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omments/comment19.xml" ContentType="application/vnd.openxmlformats-officedocument.spreadsheetml.comments+xml"/>
  <Override PartName="/xl/worksheets/sheet28.xml" ContentType="application/vnd.openxmlformats-officedocument.spreadsheetml.worksheet+xml"/>
  <Override PartName="/xl/comments/comment20.xml" ContentType="application/vnd.openxmlformats-officedocument.spreadsheetml.comments+xml"/>
  <Override PartName="/xl/worksheets/sheet29.xml" ContentType="application/vnd.openxmlformats-officedocument.spreadsheetml.worksheet+xml"/>
  <Override PartName="/xl/comments/comment21.xml" ContentType="application/vnd.openxmlformats-officedocument.spreadsheetml.comments+xml"/>
  <Override PartName="/xl/worksheets/sheet30.xml" ContentType="application/vnd.openxmlformats-officedocument.spreadsheetml.worksheet+xml"/>
  <Override PartName="/xl/comments/comment22.xml" ContentType="application/vnd.openxmlformats-officedocument.spreadsheetml.comments+xml"/>
  <Override PartName="/xl/worksheets/sheet31.xml" ContentType="application/vnd.openxmlformats-officedocument.spreadsheetml.worksheet+xml"/>
  <Override PartName="/xl/comments/comment23.xml" ContentType="application/vnd.openxmlformats-officedocument.spreadsheetml.comments+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survey_dashboard" sheetId="3" state="visible" r:id="rId3"/>
    <sheet xmlns:r="http://schemas.openxmlformats.org/officeDocument/2006/relationships" name="report" sheetId="4" state="visible" r:id="rId4"/>
    <sheet xmlns:r="http://schemas.openxmlformats.org/officeDocument/2006/relationships" name="config" sheetId="5" state="visible" r:id="rId5"/>
    <sheet xmlns:r="http://schemas.openxmlformats.org/officeDocument/2006/relationships" name="calendar" sheetId="6" state="visible" r:id="rId6"/>
    <sheet xmlns:r="http://schemas.openxmlformats.org/officeDocument/2006/relationships" name="drops" sheetId="7" state="visible" r:id="rId7"/>
    <sheet xmlns:r="http://schemas.openxmlformats.org/officeDocument/2006/relationships" name="campaigns" sheetId="8" state="visible" r:id="rId8"/>
    <sheet xmlns:r="http://schemas.openxmlformats.org/officeDocument/2006/relationships" name="brands" sheetId="9" state="visible" r:id="rId9"/>
    <sheet xmlns:r="http://schemas.openxmlformats.org/officeDocument/2006/relationships" name="offices" sheetId="10" state="visible" r:id="rId10"/>
    <sheet xmlns:r="http://schemas.openxmlformats.org/officeDocument/2006/relationships" name="approvals" sheetId="11" state="visible" r:id="rId11"/>
    <sheet xmlns:r="http://schemas.openxmlformats.org/officeDocument/2006/relationships" name="stops" sheetId="12" state="visible" r:id="rId12"/>
    <sheet xmlns:r="http://schemas.openxmlformats.org/officeDocument/2006/relationships" name="inventory" sheetId="13" state="visible" r:id="rId13"/>
    <sheet xmlns:r="http://schemas.openxmlformats.org/officeDocument/2006/relationships" name="counts" sheetId="14" state="visible" r:id="rId14"/>
    <sheet xmlns:r="http://schemas.openxmlformats.org/officeDocument/2006/relationships" name="photos" sheetId="15" state="visible" r:id="rId15"/>
    <sheet xmlns:r="http://schemas.openxmlformats.org/officeDocument/2006/relationships" name="links" sheetId="16" state="visible" r:id="rId16"/>
    <sheet xmlns:r="http://schemas.openxmlformats.org/officeDocument/2006/relationships" name="scans" sheetId="17" state="visible" r:id="rId17"/>
    <sheet xmlns:r="http://schemas.openxmlformats.org/officeDocument/2006/relationships" name="redemptions" sheetId="18" state="visible" r:id="rId18"/>
    <sheet xmlns:r="http://schemas.openxmlformats.org/officeDocument/2006/relationships" name="issues" sheetId="19" state="visible" r:id="rId19"/>
    <sheet xmlns:r="http://schemas.openxmlformats.org/officeDocument/2006/relationships" name="hours" sheetId="20" state="visible" r:id="rId20"/>
    <sheet xmlns:r="http://schemas.openxmlformats.org/officeDocument/2006/relationships" name="costs" sheetId="21" state="visible" r:id="rId21"/>
    <sheet xmlns:r="http://schemas.openxmlformats.org/officeDocument/2006/relationships" name="invoices" sheetId="22" state="visible" r:id="rId22"/>
    <sheet xmlns:r="http://schemas.openxmlformats.org/officeDocument/2006/relationships" name="office_intake" sheetId="23" state="visible" r:id="rId23"/>
    <sheet xmlns:r="http://schemas.openxmlformats.org/officeDocument/2006/relationships" name="brand_intake" sheetId="24" state="visible" r:id="rId24"/>
    <sheet xmlns:r="http://schemas.openxmlformats.org/officeDocument/2006/relationships" name="office_form" sheetId="25" state="visible" r:id="rId25"/>
    <sheet xmlns:r="http://schemas.openxmlformats.org/officeDocument/2006/relationships" name="brand_form" sheetId="26" state="visible" r:id="rId26"/>
    <sheet xmlns:r="http://schemas.openxmlformats.org/officeDocument/2006/relationships" name="office_intake_founder" sheetId="27" state="visible" r:id="rId27"/>
    <sheet xmlns:r="http://schemas.openxmlformats.org/officeDocument/2006/relationships" name="brand_intake_founder" sheetId="28" state="visible" r:id="rId28"/>
    <sheet xmlns:r="http://schemas.openxmlformats.org/officeDocument/2006/relationships" name="in_signed_offices" sheetId="29" state="visible" r:id="rId29"/>
    <sheet xmlns:r="http://schemas.openxmlformats.org/officeDocument/2006/relationships" name="in_paid_brands" sheetId="30" state="visible" r:id="rId30"/>
    <sheet xmlns:r="http://schemas.openxmlformats.org/officeDocument/2006/relationships" name="survey_frozen" sheetId="31" state="visible" r:id="rId31"/>
    <sheet xmlns:r="http://schemas.openxmlformats.org/officeDocument/2006/relationships" name="responses_template" sheetId="32" state="visible" r:id="rId32"/>
    <sheet xmlns:r="http://schemas.openxmlformats.org/officeDocument/2006/relationships" name="SAMPLE-CMP-001" sheetId="33" state="visible" r:id="rId33"/>
    <sheet xmlns:r="http://schemas.openxmlformats.org/officeDocument/2006/relationships" name="SAMPLE-CMP-002" sheetId="34" state="visible" r:id="rId34"/>
  </sheets>
  <definedNames/>
  <calcPr calcId="124519" fullCalcOnLoad="1"/>
</workbook>
</file>

<file path=xl/styles.xml><?xml version="1.0" encoding="utf-8"?>
<styleSheet xmlns="http://schemas.openxmlformats.org/spreadsheetml/2006/main">
  <numFmts count="8">
    <numFmt numFmtId="164" formatCode="ddd yyyy-mm-dd"/>
    <numFmt numFmtId="165" formatCode="yyyy-mm-dd"/>
    <numFmt numFmtId="166" formatCode="0.0"/>
    <numFmt numFmtId="167" formatCode="0.000000"/>
    <numFmt numFmtId="168" formatCode="yyyy-mm-dd hh:mm"/>
    <numFmt numFmtId="169" formatCode="hh:mm"/>
    <numFmt numFmtId="170" formatCode="yyyy-mm-dd hh:mm:ss"/>
    <numFmt numFmtId="171" formatCode="yyyy-mm-dd h:mm:ss"/>
  </numFmts>
  <fonts count="11">
    <font>
      <name val="Calibri"/>
      <family val="2"/>
      <color theme="1"/>
      <sz val="11"/>
      <scheme val="minor"/>
    </font>
    <font>
      <b val="1"/>
      <sz val="16"/>
    </font>
    <font>
      <b val="1"/>
      <sz val="12"/>
    </font>
    <font>
      <b val="1"/>
      <color rgb="00C00000"/>
      <sz val="14"/>
    </font>
    <font>
      <b val="1"/>
    </font>
    <font>
      <i val="1"/>
      <sz val="9"/>
    </font>
    <font>
      <i val="1"/>
    </font>
    <font>
      <b val="1"/>
      <color rgb="00C00000"/>
    </font>
    <font>
      <b val="1"/>
      <sz val="13"/>
    </font>
    <font>
      <b val="1"/>
      <color rgb="00FFFFFF"/>
    </font>
    <font>
      <b val="1"/>
      <sz val="14"/>
    </font>
  </fonts>
  <fills count="7">
    <fill>
      <patternFill/>
    </fill>
    <fill>
      <patternFill patternType="gray125"/>
    </fill>
    <fill>
      <patternFill patternType="solid">
        <fgColor rgb="001F3864"/>
      </patternFill>
    </fill>
    <fill>
      <patternFill patternType="solid">
        <fgColor rgb="00FFF2CC"/>
      </patternFill>
    </fill>
    <fill>
      <patternFill patternType="solid">
        <fgColor rgb="007F7F7F"/>
      </patternFill>
    </fill>
    <fill>
      <patternFill patternType="solid">
        <fgColor rgb="00EFEFEF"/>
      </patternFill>
    </fill>
    <fill>
      <patternFill patternType="solid">
        <fgColor rgb="00BF8F00"/>
      </patternFill>
    </fill>
  </fills>
  <borders count="2">
    <border>
      <left/>
      <right/>
      <top/>
      <bottom/>
      <diagonal/>
    </border>
    <border>
      <bottom style="thin">
        <color rgb="00BFBFBF"/>
      </bottom>
    </border>
  </borders>
  <cellStyleXfs count="1">
    <xf numFmtId="0" fontId="0" fillId="0" borderId="0"/>
  </cellStyleXfs>
  <cellXfs count="38">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0" borderId="0" applyAlignment="1" pivotButton="0" quotePrefix="0" xfId="0">
      <alignment wrapText="1"/>
    </xf>
    <xf numFmtId="0" fontId="1" fillId="0" borderId="0" pivotButton="0" quotePrefix="0" xfId="0"/>
    <xf numFmtId="0" fontId="3" fillId="0" borderId="0" pivotButton="0" quotePrefix="0" xfId="0"/>
    <xf numFmtId="0" fontId="4" fillId="0" borderId="0" pivotButton="0" quotePrefix="0" xfId="0"/>
    <xf numFmtId="164" fontId="0" fillId="0" borderId="0" pivotButton="0" quotePrefix="0" xfId="0"/>
    <xf numFmtId="0" fontId="2" fillId="0" borderId="0" pivotButton="0" quotePrefix="0" xfId="0"/>
    <xf numFmtId="165" fontId="0" fillId="0" borderId="0" pivotButton="0" quotePrefix="0" xfId="0"/>
    <xf numFmtId="2" fontId="0" fillId="0" borderId="0" pivotButton="0" quotePrefix="0" xfId="0"/>
    <xf numFmtId="166" fontId="0" fillId="0" borderId="0" pivotButton="0" quotePrefix="0" xfId="0"/>
    <xf numFmtId="9" fontId="0"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0" fillId="0" borderId="0" applyAlignment="1" pivotButton="0" quotePrefix="0" xfId="0">
      <alignment vertical="top" wrapText="1"/>
    </xf>
    <xf numFmtId="0" fontId="8" fillId="0" borderId="0" pivotButton="0" quotePrefix="0" xfId="0"/>
    <xf numFmtId="0" fontId="9" fillId="2" borderId="0" pivotButton="0" quotePrefix="0" xfId="0"/>
    <xf numFmtId="0" fontId="10" fillId="0" borderId="0" pivotButton="0" quotePrefix="0" xfId="0"/>
    <xf numFmtId="0" fontId="4" fillId="0" borderId="1" pivotButton="0" quotePrefix="0" xfId="0"/>
    <xf numFmtId="0" fontId="0" fillId="3" borderId="0" pivotButton="0" quotePrefix="0" xfId="0"/>
    <xf numFmtId="0" fontId="9" fillId="4" borderId="0" pivotButton="0" quotePrefix="0" xfId="0"/>
    <xf numFmtId="0" fontId="9" fillId="2" borderId="0" applyAlignment="1" pivotButton="0" quotePrefix="0" xfId="0">
      <alignment vertical="center"/>
    </xf>
    <xf numFmtId="0" fontId="9" fillId="4" borderId="0" applyAlignment="1" pivotButton="0" quotePrefix="0" xfId="0">
      <alignment vertical="center"/>
    </xf>
    <xf numFmtId="0" fontId="0" fillId="5" borderId="0" pivotButton="0" quotePrefix="0" xfId="0"/>
    <xf numFmtId="165" fontId="0" fillId="5" borderId="0" pivotButton="0" quotePrefix="0" xfId="0"/>
    <xf numFmtId="2" fontId="0" fillId="5" borderId="0" pivotButton="0" quotePrefix="0" xfId="0"/>
    <xf numFmtId="166" fontId="0" fillId="5" borderId="0" pivotButton="0" quotePrefix="0" xfId="0"/>
    <xf numFmtId="9" fontId="0" fillId="5" borderId="0" pivotButton="0" quotePrefix="0" xfId="0"/>
    <xf numFmtId="49" fontId="0" fillId="0" borderId="0" pivotButton="0" quotePrefix="0" xfId="0"/>
    <xf numFmtId="167" fontId="0" fillId="0" borderId="0" pivotButton="0" quotePrefix="0" xfId="0"/>
    <xf numFmtId="168" fontId="0" fillId="5" borderId="0" pivotButton="0" quotePrefix="0" xfId="0"/>
    <xf numFmtId="169" fontId="0" fillId="0" borderId="0" pivotButton="0" quotePrefix="0" xfId="0"/>
    <xf numFmtId="0" fontId="9" fillId="6" borderId="0" applyAlignment="1" pivotButton="0" quotePrefix="0" xfId="0">
      <alignment vertical="center"/>
    </xf>
    <xf numFmtId="0" fontId="9" fillId="6" borderId="0" pivotButton="0" quotePrefix="0" xfId="0"/>
    <xf numFmtId="170" fontId="0" fillId="0" borderId="0" pivotButton="0" quotePrefix="0" xfId="0"/>
    <xf numFmtId="170" fontId="0" fillId="0" borderId="0" pivotButton="0" quotePrefix="0" xfId="0"/>
  </cellXfs>
  <cellStyles count="1">
    <cellStyle name="Normal" xfId="0" builtinId="0" hidden="0"/>
  </cellStyles>
  <dxfs count="2">
    <dxf>
      <font>
        <b val="1"/>
        <color rgb="00C00000"/>
      </font>
    </dxf>
    <dxf>
      <font>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comments/comment1.xml><?xml version="1.0" encoding="utf-8"?>
<comments xmlns="http://schemas.openxmlformats.org/spreadsheetml/2006/main">
  <authors>
    <author>tracker</author>
  </authors>
  <commentList>
    <comment ref="A1" authorId="0" shapeId="0">
      <text>
        <t>DRP-### from the financial model's Schedule tab (financial-model/HANDOFF.md section 1). Keep the ID if a drop slips.</t>
      </text>
    </comment>
    <comment ref="B1" authorId="0" shapeId="0">
      <text>
        <t>Tuesday or Wednesday, window clear of blackouts. Refused otherwise (date_check). Use tools/opscal.py next to pick one.</t>
      </text>
    </comment>
    <comment ref="E1" authorId="0" shapeId="0">
      <text>
        <t>Where brands ship: the receiving address (founder, courier) or 'direct to offices' (direct-ship).</t>
      </text>
    </comment>
    <comment ref="F1" authorId="0" shapeId="0">
      <text>
        <t>Courier or van booked for this drop (courier model): name and booking reference.</t>
      </text>
    </comment>
    <comment ref="G1" authorId="0" shapeId="0">
      <text>
        <t>Briefed backup who can run the route from the route sheet and the kit.</t>
      </text>
    </comment>
    <comment ref="I1" authorId="0" shapeId="0">
      <text>
        <t>Formula. Never type over it.</t>
      </text>
    </comment>
    <comment ref="J1" authorId="0" shapeId="0">
      <text>
        <t>Formula. Never type over it.</t>
      </text>
    </comment>
    <comment ref="K1" authorId="0" shapeId="0">
      <text>
        <t>Hard ship-by and cancel-by (T-10).</t>
      </text>
    </comment>
    <comment ref="L1" authorId="0" shapeId="0">
      <text>
        <t>Earlier ship date asked of brands when T-10 to T-5 crosses the December blackout (CONTRACTS section 3).</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Formula. Never type over it.</t>
      </text>
    </comment>
    <comment ref="AG1" authorId="0" shapeId="0">
      <text>
        <t>Formula. Never type over it.</t>
      </text>
    </comment>
    <comment ref="AH1" authorId="0" shapeId="0">
      <text>
        <t>Formula. Never type over it.</t>
      </text>
    </comment>
    <comment ref="AI1" authorId="0" shapeId="0">
      <text>
        <t>Formula. Never type over it.</t>
      </text>
    </comment>
    <comment ref="AJ1" authorId="0" shapeId="0">
      <text>
        <t>Formula. Never type over it.</t>
      </text>
    </comment>
    <comment ref="AK1" authorId="0" shapeId="0">
      <text>
        <t>Formula. Never type over it.</t>
      </text>
    </comment>
    <comment ref="AL1" authorId="0" shapeId="0">
      <text>
        <t>Gate 2: units placed within one business day over units delivered, all brands on the drop (80% to pass).</t>
      </text>
    </comment>
    <comment ref="AM1" authorId="0" shapeId="0">
      <text>
        <t>Gate 2: the fewest responses at any office for any brand on the drop (5 to pass).</t>
      </text>
    </comment>
    <comment ref="AN1" authorId="0" shapeId="0">
      <text>
        <t>Gate 2: reports delivered after T+7, or still missing after it.</t>
      </text>
    </comment>
    <comment ref="AO1" authorId="0" shapeId="0">
      <text>
        <t>Gate 2: brands that said yes on the debrief call (1 to pass).</t>
      </text>
    </comment>
  </commentList>
</comments>
</file>

<file path=xl/comments/comment2.xml><?xml version="1.0" encoding="utf-8"?>
<comments xmlns="http://schemas.openxmlformats.org/spreadsheetml/2006/main">
  <authors>
    <author>tracker</author>
  </authors>
  <commentList>
    <comment ref="A1" authorId="0" shapeId="0">
      <text>
        <t>CMP-###. One row per brand per drop.</t>
      </text>
    </comment>
    <comment ref="E1" authorId="0" shapeId="0">
      <text>
        <t>Y for a founding brand's second or third campaign at $120 per office.</t>
      </text>
    </comment>
    <comment ref="F1" authorId="0" shapeId="0">
      <text>
        <t>Offices in the agreement (5 founding, 10 standard, plus extra offices).</t>
      </text>
    </comment>
    <comment ref="G1" authorId="0" shapeId="0">
      <text>
        <t>Only if the signed price differs from price_expected. Leave empty otherwise.</t>
      </text>
    </comment>
    <comment ref="J1" authorId="0" shapeId="0">
      <text>
        <t>As on the package, with pack size.</t>
      </text>
    </comment>
    <comment ref="K1" authorId="0" shapeId="0">
      <text>
        <t>Units in one of the brand's shipping cartons (for example 24 cans). Empty = each office's units fit one labeled case.</t>
      </text>
    </comment>
    <comment ref="L1" authorId="0" shapeId="0">
      <text>
        <t>The brand's two sentences, no claims (desk-drop-identity/templates/tent-card/FIELDS.md).</t>
      </text>
    </comment>
    <comment ref="N1" authorId="0" shapeId="0">
      <text>
        <t>Word for word from the package. Checked against the package at receiving.</t>
      </text>
    </comment>
    <comment ref="U1" authorId="0" shapeId="0">
      <text>
        <t>'Retailer Name, 123 Street Name'. Only stores with evidence.</t>
      </text>
    </comment>
    <comment ref="W1" authorId="0" shapeId="0">
      <text>
        <t>Short form without https://, for example example.com.</t>
      </text>
    </comment>
    <comment ref="Z1" authorId="0" shapeId="0">
      <text>
        <t>Brand agreement Part 1. Y = a newsletter sign-up form is made for this campaign.</t>
      </text>
    </comment>
    <comment ref="AF1" authorId="0" shapeId="0">
      <text>
        <t>Card text sent to the brand before printing (brand agreement section 1).</t>
      </text>
    </comment>
    <comment ref="AG1" authorId="0" shapeId="0">
      <text>
        <t>The day you sent the ship-date email (template 02), or its latest revision.</t>
      </text>
    </comment>
    <comment ref="AH1" authorId="0" shapeId="0">
      <text>
        <t>units_to_ship as written in that email. If the route changes before the product arrives, the checks ask for a revised email.</t>
      </text>
    </comment>
    <comment ref="AJ1" authorId="0" shapeId="0">
      <text>
        <t>The pre-filled link with the literal text CARDCODE typed into the Card code field (forms/survey-form.md, step 9).</t>
      </text>
    </comment>
    <comment ref="AL1" authorId="0" shapeId="0">
      <text>
        <t>Word for word from the response tab. Replace a name with [name removed]; mark a cut with [...].</t>
      </text>
    </comment>
    <comment ref="AO1" authorId="0" shapeId="0">
      <text>
        <t>Three lines, one per bullet (Alt+Enter between lines).</t>
      </text>
    </comment>
    <comment ref="AQ1" authorId="0" shapeId="0">
      <text>
        <t>Only store-level sales the brand shares, with its source.</t>
      </text>
    </comment>
    <comment ref="AY1" authorId="0" shapeId="0">
      <text>
        <t>The one day the consented list went to the brand (file 13, D7).</t>
      </text>
    </comment>
    <comment ref="AZ1" authorId="0" shapeId="0">
      <text>
        <t>How many addresses. Never the addresses themselves.</t>
      </text>
    </comment>
    <comment ref="BB1" authorId="0" shapeId="0">
      <text>
        <t>Form responses, the form and the sent email deleted (D8).</t>
      </text>
    </comment>
    <comment ref="BE1" authorId="0" shapeId="0">
      <text>
        <t>Formula. Never type over it.</t>
      </text>
    </comment>
    <comment ref="BF1" authorId="0" shapeId="0">
      <text>
        <t>Formula. Never type over it.</t>
      </text>
    </comment>
    <comment ref="BG1" authorId="0" shapeId="0">
      <text>
        <t>Formula. Never type over it.</t>
      </text>
    </comment>
    <comment ref="BH1" authorId="0" shapeId="0">
      <text>
        <t>Formula. Never type over it.</t>
      </text>
    </comment>
    <comment ref="BI1" authorId="0" shapeId="0">
      <text>
        <t>Formula. Never type over it.</t>
      </text>
    </comment>
    <comment ref="BJ1" authorId="0" shapeId="0">
      <text>
        <t>Formula. Never type over it.</t>
      </text>
    </comment>
    <comment ref="BK1" authorId="0" shapeId="0">
      <text>
        <t>Formula. Never type over it.</t>
      </text>
    </comment>
    <comment ref="BL1" authorId="0" shapeId="0">
      <text>
        <t>Formula. Never type over it.</t>
      </text>
    </comment>
    <comment ref="BM1" authorId="0" shapeId="0">
      <text>
        <t>Formula. Never type over it.</t>
      </text>
    </comment>
    <comment ref="BN1" authorId="0" shapeId="0">
      <text>
        <t>Formula. Never type over it.</t>
      </text>
    </comment>
    <comment ref="BO1" authorId="0" shapeId="0">
      <text>
        <t>Formula. Never type over it.</t>
      </text>
    </comment>
    <comment ref="BP1" authorId="0" shapeId="0">
      <text>
        <t>Formula. Never type over it.</t>
      </text>
    </comment>
    <comment ref="BQ1" authorId="0" shapeId="0">
      <text>
        <t>Formula. Never type over it.</t>
      </text>
    </comment>
    <comment ref="BR1" authorId="0" shapeId="0">
      <text>
        <t>Formula. Never type over it.</t>
      </text>
    </comment>
    <comment ref="BS1" authorId="0" shapeId="0">
      <text>
        <t>Formula. Never type over it.</t>
      </text>
    </comment>
    <comment ref="BT1" authorId="0" shapeId="0">
      <text>
        <t>Formula. Never type over it.</t>
      </text>
    </comment>
    <comment ref="BU1" authorId="0" shapeId="0">
      <text>
        <t>Formula. Never type over it.</t>
      </text>
    </comment>
    <comment ref="BV1" authorId="0" shapeId="0">
      <text>
        <t>Formula. Never type over it.</t>
      </text>
    </comment>
    <comment ref="BW1" authorId="0" shapeId="0">
      <text>
        <t>Formula. Never type over it.</t>
      </text>
    </comment>
    <comment ref="BX1" authorId="0" shapeId="0">
      <text>
        <t>Formula. Never type over it.</t>
      </text>
    </comment>
    <comment ref="BY1" authorId="0" shapeId="0">
      <text>
        <t>Formula. Never type over it.</t>
      </text>
    </comment>
    <comment ref="BZ1" authorId="0" shapeId="0">
      <text>
        <t>Formula. Never type over it.</t>
      </text>
    </comment>
    <comment ref="CA1" authorId="0" shapeId="0">
      <text>
        <t>Formula. Never type over it.</t>
      </text>
    </comment>
    <comment ref="CB1" authorId="0" shapeId="0">
      <text>
        <t>Formula. Never type over it.</t>
      </text>
    </comment>
    <comment ref="CC1" authorId="0" shapeId="0">
      <text>
        <t>Formula. Never type over it.</t>
      </text>
    </comment>
    <comment ref="CD1" authorId="0" shapeId="0">
      <text>
        <t>Formula. Never type over it.</t>
      </text>
    </comment>
    <comment ref="CE1" authorId="0" shapeId="0">
      <text>
        <t>Formula. Never type over it.</t>
      </text>
    </comment>
    <comment ref="CF1" authorId="0" shapeId="0">
      <text>
        <t>Formula. Never type over it.</t>
      </text>
    </comment>
    <comment ref="CG1" authorId="0" shapeId="0">
      <text>
        <t>Formula. Never type over it.</t>
      </text>
    </comment>
    <comment ref="CH1" authorId="0" shapeId="0">
      <text>
        <t>Formula. Never type over it.</t>
      </text>
    </comment>
    <comment ref="CI1" authorId="0" shapeId="0">
      <text>
        <t>Formula. Never type over it.</t>
      </text>
    </comment>
    <comment ref="CJ1" authorId="0" shapeId="0">
      <text>
        <t>Formula. Never type over it.</t>
      </text>
    </comment>
    <comment ref="CK1" authorId="0" shapeId="0">
      <text>
        <t>Formula. Never type over it.</t>
      </text>
    </comment>
    <comment ref="CL1" authorId="0" shapeId="0">
      <text>
        <t>Formula. Never type over it.</t>
      </text>
    </comment>
    <comment ref="CM1" authorId="0" shapeId="0">
      <text>
        <t>Formula. Never type over it.</t>
      </text>
    </comment>
    <comment ref="CN1" authorId="0" shapeId="0">
      <text>
        <t>Formula. Never type over it.</t>
      </text>
    </comment>
    <comment ref="CO1" authorId="0" shapeId="0">
      <text>
        <t>Formula. Never type over it.</t>
      </text>
    </comment>
    <comment ref="CP1" authorId="0" shapeId="0">
      <text>
        <t>Formula. Never type over it.</t>
      </text>
    </comment>
    <comment ref="CQ1" authorId="0" shapeId="0">
      <text>
        <t>Formula. Never type over it.</t>
      </text>
    </comment>
    <comment ref="CR1" authorId="0" shapeId="0">
      <text>
        <t>Formula. Never type over it.</t>
      </text>
    </comment>
    <comment ref="CS1" authorId="0" shapeId="0">
      <text>
        <t>Formula. Never type over it.</t>
      </text>
    </comment>
    <comment ref="CT1" authorId="0" shapeId="0">
      <text>
        <t>Formula. Never type over it.</t>
      </text>
    </comment>
    <comment ref="CU1" authorId="0" shapeId="0">
      <text>
        <t>Formula. Never type over it.</t>
      </text>
    </comment>
    <comment ref="CV1" authorId="0" shapeId="0">
      <text>
        <t>Formula. Never type over it.</t>
      </text>
    </comment>
    <comment ref="CW1" authorId="0" shapeId="0">
      <text>
        <t>Formula. Never type over it.</t>
      </text>
    </comment>
    <comment ref="CX1" authorId="0" shapeId="0">
      <text>
        <t>Formula. Never type over it.</t>
      </text>
    </comment>
    <comment ref="CY1" authorId="0" shapeId="0">
      <text>
        <t>Formula. Never type over it.</t>
      </text>
    </comment>
    <comment ref="CZ1" authorId="0" shapeId="0">
      <text>
        <t>Formula. Never type over it.</t>
      </text>
    </comment>
    <comment ref="DA1" authorId="0" shapeId="0">
      <text>
        <t>Formula. Never type over it.</t>
      </text>
    </comment>
    <comment ref="DB1" authorId="0" shapeId="0">
      <text>
        <t>Formula. Never type over it.</t>
      </text>
    </comment>
    <comment ref="DC1" authorId="0" shapeId="0">
      <text>
        <t>Formula. Never type over it.</t>
      </text>
    </comment>
    <comment ref="DD1" authorId="0" shapeId="0">
      <text>
        <t>Formula. Never type over it.</t>
      </text>
    </comment>
    <comment ref="DE1" authorId="0" shapeId="0">
      <text>
        <t>Formula. Never type over it.</t>
      </text>
    </comment>
    <comment ref="DF1" authorId="0" shapeId="0">
      <text>
        <t>Formula. Never type over it.</t>
      </text>
    </comment>
    <comment ref="DG1" authorId="0" shapeId="0">
      <text>
        <t>Formula. Never type over it.</t>
      </text>
    </comment>
    <comment ref="DH1" authorId="0" shapeId="0">
      <text>
        <t>Formula. Never type over it.</t>
      </text>
    </comment>
    <comment ref="DI1" authorId="0" shapeId="0">
      <text>
        <t>Formula. Never type over it.</t>
      </text>
    </comment>
    <comment ref="DJ1" authorId="0" shapeId="0">
      <text>
        <t>Formula. Never type over it.</t>
      </text>
    </comment>
    <comment ref="DK1" authorId="0" shapeId="0">
      <text>
        <t>Formula. Never type over it.</t>
      </text>
    </comment>
    <comment ref="DL1" authorId="0" shapeId="0">
      <text>
        <t>Formula. Never type over it.</t>
      </text>
    </comment>
    <comment ref="DM1" authorId="0" shapeId="0">
      <text>
        <t>Formula. Never type over it.</t>
      </text>
    </comment>
    <comment ref="DN1" authorId="0" shapeId="0">
      <text>
        <t>Formula. Never type over it.</t>
      </text>
    </comment>
    <comment ref="DO1" authorId="0" shapeId="0">
      <text>
        <t>Formula. Never type over it.</t>
      </text>
    </comment>
    <comment ref="DP1" authorId="0" shapeId="0">
      <text>
        <t>Formula. Never type over it.</t>
      </text>
    </comment>
    <comment ref="DQ1" authorId="0" shapeId="0">
      <text>
        <t>Formula. Never type over it.</t>
      </text>
    </comment>
    <comment ref="DR1" authorId="0" shapeId="0">
      <text>
        <t>Formula. Never type over it.</t>
      </text>
    </comment>
    <comment ref="DS1" authorId="0" shapeId="0">
      <text>
        <t>Formula. Never type over it.</t>
      </text>
    </comment>
    <comment ref="DT1" authorId="0" shapeId="0">
      <text>
        <t>Formula. Never type over it.</t>
      </text>
    </comment>
    <comment ref="DU1" authorId="0" shapeId="0">
      <text>
        <t>Formula. Never type over it.</t>
      </text>
    </comment>
  </commentList>
</comments>
</file>

<file path=xl/comments/comment3.xml><?xml version="1.0" encoding="utf-8"?>
<comments xmlns="http://schemas.openxmlformats.org/spreadsheetml/2006/main">
  <authors>
    <author>tracker</author>
  </authors>
  <commentList>
    <comment ref="A1" authorId="0" shapeId="0">
      <text>
        <t>BR-###, the same ID E uses (paid_brands.csv) and H keys renewals on. One ID per brand for life.</t>
      </text>
    </comment>
    <comment ref="B1" authorId="0" shapeId="0">
      <text>
        <t>Copy the brand's submitted_at from brand_intake or brand_intake_founder. Everything grey fills from that row.</t>
      </text>
    </comment>
    <comment ref="C1" authorId="0" shapeId="0">
      <text>
        <t>From the signed agreement (Part 1). Printed on invoices.</t>
      </text>
    </comment>
    <comment ref="E1" authorId="0" shapeId="0">
      <text>
        <t>Business email for invoices.</t>
      </text>
    </comment>
    <comment ref="F1" authorId="0" shapeId="0">
      <text>
        <t>Check 3 evidence (CONTRACTS section 4). seen_on_shelf only after you saw it yourself.</t>
      </text>
    </comment>
    <comment ref="G1" authorId="0" shapeId="0">
      <text>
        <t>Legal pack file 11 five-minute check passed for the current certificate.</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Of the seven checks, how many are a plain yes (q7 counts when written).</t>
      </text>
    </comment>
    <comment ref="AG1" authorId="0" shapeId="0">
      <text>
        <t>Formula. Never type over it.</t>
      </text>
    </comment>
    <comment ref="AH1" authorId="0" shapeId="0">
      <text>
        <t>Formula. Never type over it.</t>
      </text>
    </comment>
    <comment ref="AI1" authorId="0" shapeId="0">
      <text>
        <t>1, 2, 3 = the order founding brands first paid. The founding tier closes after 3.</t>
      </text>
    </comment>
    <comment ref="AJ1" authorId="0" shapeId="0">
      <text>
        <t>E's paid_brands.csv (in_paid_brands) against the invoices tab: payment 1 = the pre-ship payment, payment 2 = the standard balance, on the campaign E's row names. Empty = they agree, or E has no row for this brand.</t>
      </text>
    </comment>
  </commentList>
</comments>
</file>

<file path=xl/comments/comment4.xml><?xml version="1.0" encoding="utf-8"?>
<comments xmlns="http://schemas.openxmlformats.org/spreadsheetml/2006/main">
  <authors>
    <author>tracker</author>
  </authors>
  <commentList>
    <comment ref="A1" authorId="0" shapeId="0">
      <text>
        <t>O-###, assigned at signing (E's signed_offices.csv). Everything grey fills from in_signed_offices.</t>
      </text>
    </comment>
    <comment ref="B1" authorId="0" shapeId="0">
      <text>
        <t>B-B-### from the cluster map (cluster-1-flatiron/buildings.csv), if known.</t>
      </text>
    </comment>
    <comment ref="C1" authorId="0" shapeId="0">
      <text>
        <t>From python3 _shared/geocode.py "&lt;address&gt;" (run from desk-drop/).</t>
      </text>
    </comment>
    <comment ref="E1" authorId="0" shapeId="0">
      <text>
        <t>Only if E did not send industry.</t>
      </text>
    </comment>
    <comment ref="F1" authorId="0" shapeId="0">
      <text>
        <t>The pantry owner's business phone, from the agreement's top table, if E did not send it.</t>
      </text>
    </comment>
    <comment ref="G1" authorId="0" shapeId="0">
      <text>
        <t>Y only if the owner agreed the front desk may take the case when they are out. Otherwise: no unattended food, come back next morning.</t>
      </text>
    </comment>
    <comment ref="H1" authorId="0" shapeId="0">
      <text>
        <t>Floor, kitchen, which door, who to ask for. What a stranger needs at the door.</t>
      </text>
    </comment>
    <comment ref="I1" authorId="0" shapeId="0">
      <text>
        <t>Legal pack file 12: start at least 10 business days before the first drop.</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Formula. Never type over it.</t>
      </text>
    </comment>
    <comment ref="AG1" authorId="0" shapeId="0">
      <text>
        <t>Formula. Never type over it.</t>
      </text>
    </comment>
    <comment ref="AH1" authorId="0" shapeId="0">
      <text>
        <t>Formula. Never type over it.</t>
      </text>
    </comment>
    <comment ref="AI1" authorId="0" shapeId="0">
      <text>
        <t>Phone for the route sheet: the pantry owner's, or the contact's when they are the owner.</t>
      </text>
    </comment>
    <comment ref="AJ1" authorId="0" shapeId="0">
      <text>
        <t>Formula. Never type over it.</t>
      </text>
    </comment>
    <comment ref="AK1" authorId="0" shapeId="0">
      <text>
        <t>Formula. Never type over it.</t>
      </text>
    </comment>
    <comment ref="AL1" authorId="0" shapeId="0">
      <text>
        <t>Formula. Never type over it.</t>
      </text>
    </comment>
    <comment ref="AM1" authorId="0" shapeId="0">
      <text>
        <t>Formula. Never type over it.</t>
      </text>
    </comment>
    <comment ref="AN1" authorId="0" shapeId="0">
      <text>
        <t>Formula. Never type over it.</t>
      </text>
    </comment>
  </commentList>
</comments>
</file>

<file path=xl/comments/comment5.xml><?xml version="1.0" encoding="utf-8"?>
<comments xmlns="http://schemas.openxmlformats.org/spreadsheetml/2006/main">
  <authors>
    <author>tracker</author>
  </authors>
  <commentList>
    <comment ref="C1" authorId="0" shapeId="0">
      <text>
        <t>The day you emailed the office about this brand.</t>
      </text>
    </comment>
    <comment ref="D1" authorId="0" shapeId="0">
      <text>
        <t>Explicit yes needed for an office's first three drops. After that the brand goes unless they say no (notice at least five business days ahead).</t>
      </text>
    </comment>
    <comment ref="G1" authorId="0" shapeId="0">
      <text>
        <t>Only to change the headcount-based number.</t>
      </text>
    </comment>
    <comment ref="H1" authorId="0" shapeId="0">
      <text>
        <t>Formula. Never type over it.</t>
      </text>
    </comment>
    <comment ref="I1" authorId="0" shapeId="0">
      <text>
        <t>Formula. Never type over it.</t>
      </text>
    </comment>
    <comment ref="J1" authorId="0" shapeId="0">
      <text>
        <t>Formula. Never type over it.</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Y = approved and not turned away at the door. N = the office said no, or the stop's outcome is declined, building_refused or not_delivered with no units delivered for this brand. Every count of offices on a drop (the financial model's offices, Gate 2, depletion, photos, letters) uses on_drop = Y.</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Formula. Never type over it.</t>
      </text>
    </comment>
    <comment ref="AG1" authorId="0" shapeId="0">
      <text>
        <t>Formula. Never type over it.</t>
      </text>
    </comment>
    <comment ref="AH1" authorId="0" shapeId="0">
      <text>
        <t>Formula. Never type over it.</t>
      </text>
    </comment>
    <comment ref="AI1" authorId="0" shapeId="0">
      <text>
        <t>Formula. Never type over it.</t>
      </text>
    </comment>
    <comment ref="AJ1" authorId="0" shapeId="0">
      <text>
        <t>Formula. Never type over it.</t>
      </text>
    </comment>
    <comment ref="AK1" authorId="0" shapeId="0">
      <text>
        <t>Formula. Never type over it.</t>
      </text>
    </comment>
    <comment ref="AL1" authorId="0" shapeId="0">
      <text>
        <t>Formula. Never type over it.</t>
      </text>
    </comment>
    <comment ref="AM1" authorId="0" shapeId="0">
      <text>
        <t>Formula. Never type over it.</t>
      </text>
    </comment>
    <comment ref="AN1" authorId="0" shapeId="0">
      <text>
        <t>Formula. Never type over it.</t>
      </text>
    </comment>
    <comment ref="AO1" authorId="0" shapeId="0">
      <text>
        <t>Formula. Never type over it.</t>
      </text>
    </comment>
    <comment ref="AP1" authorId="0" shapeId="0">
      <text>
        <t>Formula. Never type over it.</t>
      </text>
    </comment>
    <comment ref="AQ1" authorId="0" shapeId="0">
      <text>
        <t>Formula. Never type over it.</t>
      </text>
    </comment>
    <comment ref="AR1" authorId="0" shapeId="0">
      <text>
        <t>Formula. Never type over it.</t>
      </text>
    </comment>
    <comment ref="AS1" authorId="0" shapeId="0">
      <text>
        <t>Formula. Never type over it.</t>
      </text>
    </comment>
    <comment ref="AT1" authorId="0" shapeId="0">
      <text>
        <t>Formula. Never type over it.</t>
      </text>
    </comment>
    <comment ref="AU1" authorId="0" shapeId="0">
      <text>
        <t>Formula. Never type over it.</t>
      </text>
    </comment>
    <comment ref="AV1" authorId="0" shapeId="0">
      <text>
        <t>Formula. Never type over it.</t>
      </text>
    </comment>
    <comment ref="AW1" authorId="0" shapeId="0">
      <text>
        <t>Formula. Never type over it.</t>
      </text>
    </comment>
    <comment ref="AX1" authorId="0" shapeId="0">
      <text>
        <t>Formula. Never type over it.</t>
      </text>
    </comment>
    <comment ref="AY1" authorId="0" shapeId="0">
      <text>
        <t>Formula. Never type over it.</t>
      </text>
    </comment>
    <comment ref="AZ1" authorId="0" shapeId="0">
      <text>
        <t>Formula. Never type over it.</t>
      </text>
    </comment>
    <comment ref="BA1" authorId="0" shapeId="0">
      <text>
        <t>Formula. Never type over it.</t>
      </text>
    </comment>
    <comment ref="BB1" authorId="0" shapeId="0">
      <text>
        <t>Formula. Never type over it.</t>
      </text>
    </comment>
    <comment ref="BC1" authorId="0" shapeId="0">
      <text>
        <t>Y = this office's survey numbers come from the survey_frozen tab (the raw answers were deleted after 12 months).</t>
      </text>
    </comment>
  </commentList>
</comments>
</file>

<file path=xl/comments/comment6.xml><?xml version="1.0" encoding="utf-8"?>
<comments xmlns="http://schemas.openxmlformats.org/spreadsheetml/2006/main">
  <authors>
    <author>tracker</author>
  </authors>
  <commentList>
    <comment ref="C1" authorId="0" shapeId="0">
      <text>
        <t>1 = first stop. Walk-up lobbies first, then by receiving window.</t>
      </text>
    </comment>
    <comment ref="E1" authorId="0" shapeId="0">
      <text>
        <t>T-3: window and pre-written Slack post sent to the owner.</t>
      </text>
    </comment>
    <comment ref="F1" authorId="0" shapeId="0">
      <text>
        <t>T-1: confirmation text to the owner.</t>
      </text>
    </comment>
    <comment ref="G1" authorId="0" shapeId="0">
      <text>
        <t>Direct-ship only: tent cards and Slack post mailed ahead.</t>
      </text>
    </comment>
    <comment ref="H1" authorId="0" shapeId="0">
      <text>
        <t>Direct-ship only: each brand's tracking number for this office, separated by semicolons.</t>
      </text>
    </comment>
    <comment ref="N1" authorId="0" shapeId="0">
      <text>
        <t>The office's ten-minute debrief after this drop.</t>
      </text>
    </comment>
    <comment ref="O1" authorId="0" shapeId="0">
      <text>
        <t>The one-question satisfaction at the office debrief.</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List>
</comments>
</file>

<file path=xl/comments/comment7.xml><?xml version="1.0" encoding="utf-8"?>
<comments xmlns="http://schemas.openxmlformats.org/spreadsheetml/2006/main">
  <authors>
    <author>tracker</author>
  </authors>
  <commentList>
    <comment ref="D1" authorId="0" shapeId="0">
      <text>
        <t>Blank for stock with you; the office for delivered, topped_up, collected.</t>
      </text>
    </comment>
    <comment ref="F1" authorId="0" shapeId="0">
      <text>
        <t>Only for returned_to_brand, disposed and correction: which pile it came from.</t>
      </text>
    </comment>
    <comment ref="J1" authorId="0" shapeId="0">
      <text>
        <t>Who counted. packing_list = nobody counted: it shows in the report as unverified.</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List>
</comments>
</file>

<file path=xl/comments/comment8.xml><?xml version="1.0" encoding="utf-8"?>
<comments xmlns="http://schemas.openxmlformats.org/spreadsheetml/2006/main">
  <authors>
    <author>tracker</author>
  </authors>
  <commentList>
    <comment ref="J1" authorId="0" shapeId="0">
      <text>
        <t>Formula. Never type over it.</t>
      </text>
    </comment>
    <comment ref="K1" authorId="0" shapeId="0">
      <text>
        <t>Formula. Never type over it.</t>
      </text>
    </comment>
  </commentList>
</comments>
</file>

<file path=xl/comments/comment9.xml><?xml version="1.0" encoding="utf-8"?>
<comments xmlns="http://schemas.openxmlformats.org/spreadsheetml/2006/main">
  <authors>
    <author>tracker</author>
  </authors>
  <commentList>
    <comment ref="A1" authorId="0" shapeId="0">
      <text>
        <t>PH-####.</t>
      </text>
    </comment>
    <comment ref="E1" authorId="0" shapeId="0">
      <text>
        <t>The day the photo was taken (from the photo, or the message it came in).</t>
      </text>
    </comment>
    <comment ref="H1" authorId="0" shapeId="0">
      <text>
        <t>Saved as &lt;campaign_id&gt;_&lt;office_id&gt;_&lt;placement|later&gt;_&lt;YYYY-MM-DD&gt;.jpg in photos/&lt;campaign_id&gt;/.</t>
      </text>
    </comment>
    <comment ref="K1" authorId="0" shapeId="0">
      <text>
        <t>Y only if no person, face, screen or whiteboard can be made out. N = never used.</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List>
</comments>
</file>

<file path=xl/comments/comment10.xml><?xml version="1.0" encoding="utf-8"?>
<comments xmlns="http://schemas.openxmlformats.org/spreadsheetml/2006/main">
  <authors>
    <author>tracker</author>
  </authors>
  <commentList>
    <comment ref="A1" authorId="0" shapeId="0">
      <text>
        <t>Formula. Never type over it.</t>
      </text>
    </comment>
    <comment ref="B1" authorId="0" shapeId="0">
      <text>
        <t>Formula. Never type over it.</t>
      </text>
    </comment>
    <comment ref="C1" authorId="0" shapeId="0">
      <text>
        <t>Formula. Never type over it.</t>
      </text>
    </comment>
    <comment ref="D1" authorId="0" shapeId="0">
      <text>
        <t>Formula. Never type over it.</t>
      </text>
    </comment>
    <comment ref="E1" authorId="0" shapeId="0">
      <text>
        <t>Formula. Never type over it.</t>
      </text>
    </comment>
    <comment ref="F1" authorId="0" shapeId="0">
      <text>
        <t>Formula. Never type over it.</t>
      </text>
    </comment>
    <comment ref="G1" authorId="0" shapeId="0">
      <text>
        <t>Formula. Never type over it.</t>
      </text>
    </comment>
    <comment ref="H1" authorId="0" shapeId="0">
      <text>
        <t>Formula. Never type over it.</t>
      </text>
    </comment>
    <comment ref="I1" authorId="0" shapeId="0">
      <text>
        <t>Formula. Never type over it.</t>
      </text>
    </comment>
  </commentList>
</comments>
</file>

<file path=xl/comments/comment11.xml><?xml version="1.0" encoding="utf-8"?>
<comments xmlns="http://schemas.openxmlformats.org/spreadsheetml/2006/main">
  <authors>
    <author>tracker</author>
  </authors>
  <commentList>
    <comment ref="D1" authorId="0" shapeId="0">
      <text>
        <t>baseline = after your own test scan at kitting; close = end of day 5 (T+4).</t>
      </text>
    </comment>
    <comment ref="E1" authorId="0" shapeId="0">
      <text>
        <t>The link tool's total for this link, read from its dashboard. Totals only, never per-click logs.</t>
      </text>
    </comment>
    <comment ref="G1" authorId="0" shapeId="0">
      <text>
        <t>Formula. Never type over it.</t>
      </text>
    </comment>
    <comment ref="H1" authorId="0" shapeId="0">
      <text>
        <t>Formula. Never type over it.</t>
      </text>
    </comment>
    <comment ref="I1" authorId="0" shapeId="0">
      <text>
        <t>Formula. Never type over it.</t>
      </text>
    </comment>
    <comment ref="J1" authorId="0" shapeId="0">
      <text>
        <t>Formula. Never type over it.</t>
      </text>
    </comment>
  </commentList>
</comments>
</file>

<file path=xl/comments/comment12.xml><?xml version="1.0" encoding="utf-8"?>
<comments xmlns="http://schemas.openxmlformats.org/spreadsheetml/2006/main">
  <authors>
    <author>tracker</author>
  </authors>
  <commentList>
    <comment ref="G1" authorId="0" shapeId="0">
      <text>
        <t>Formula. Never type over it.</t>
      </text>
    </comment>
    <comment ref="H1" authorId="0" shapeId="0">
      <text>
        <t>Formula. Never type over it.</t>
      </text>
    </comment>
  </commentList>
</comments>
</file>

<file path=xl/comments/comment13.xml><?xml version="1.0" encoding="utf-8"?>
<comments xmlns="http://schemas.openxmlformats.org/spreadsheetml/2006/main">
  <authors>
    <author>tracker</author>
  </authors>
  <commentList>
    <comment ref="H1" authorId="0" shapeId="0">
      <text>
        <t>Facts and times. No employee names, and no one's health details (office staff included).</t>
      </text>
    </comment>
    <comment ref="N1" authorId="0" shapeId="0">
      <text>
        <t>Formula. Never type over it.</t>
      </text>
    </comment>
    <comment ref="O1" authorId="0" shapeId="0">
      <text>
        <t>Formula. Never type over it.</t>
      </text>
    </comment>
  </commentList>
</comments>
</file>

<file path=xl/comments/comment14.xml><?xml version="1.0" encoding="utf-8"?>
<comments xmlns="http://schemas.openxmlformats.org/spreadsheetml/2006/main">
  <authors>
    <author>tracker</author>
  </authors>
  <commentList>
    <comment ref="B1" authorId="0" shapeId="0">
      <text>
        <t>Blank for time not tied to a drop.</t>
      </text>
    </comment>
    <comment ref="C1" authorId="0" shapeId="0">
      <text>
        <t>Optional. Fill it for brand-specific work (selling, report, debrief).</t>
      </text>
    </comment>
    <comment ref="E1" authorId="0" shapeId="0">
      <text>
        <t>Decimal hours: 1.5, not 1:30.</t>
      </text>
    </comment>
    <comment ref="G1" authorId="0" shapeId="0">
      <text>
        <t>Formula. Never type over it.</t>
      </text>
    </comment>
  </commentList>
</comments>
</file>

<file path=xl/comments/comment15.xml><?xml version="1.0" encoding="utf-8"?>
<comments xmlns="http://schemas.openxmlformats.org/spreadsheetml/2006/main">
  <authors>
    <author>tracker</author>
  </authors>
  <commentList>
    <comment ref="C1" authorId="0" shapeId="0">
      <text>
        <t>Blank = shared by the drop's brands (split by offices).</t>
      </text>
    </comment>
    <comment ref="I1" authorId="0" shapeId="0">
      <text>
        <t>Formula. Never type over it.</t>
      </text>
    </comment>
  </commentList>
</comments>
</file>

<file path=xl/comments/comment16.xml><?xml version="1.0" encoding="utf-8"?>
<comments xmlns="http://schemas.openxmlformats.org/spreadsheetml/2006/main">
  <authors>
    <author>tracker</author>
  </authors>
  <commentList>
    <comment ref="A1" authorId="0" shapeId="0">
      <text>
        <t>INV-###, in order, never reused.</t>
      </text>
    </comment>
    <comment ref="E1" authorId="0" shapeId="0">
      <text>
        <t>Before tax. A credit note is negative.</t>
      </text>
    </comment>
    <comment ref="H1" authorId="0" shapeId="0">
      <text>
        <t>The day the money is in the business bank account. This releases the ship date.</t>
      </text>
    </comment>
    <comment ref="L1" authorId="0" shapeId="0">
      <text>
        <t>0 for a bank transfer.</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List>
</comments>
</file>

<file path=xl/comments/comment17.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List>
</comments>
</file>

<file path=xl/comments/comment18.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 ref="V1" authorId="0" shapeId="0">
      <text>
        <t>Pasted or written by a form or script.</t>
      </text>
    </comment>
    <comment ref="W1" authorId="0" shapeId="0">
      <text>
        <t>Pasted or written by a form or script.</t>
      </text>
    </comment>
    <comment ref="X1" authorId="0" shapeId="0">
      <text>
        <t>Pasted or written by a form or script.</t>
      </text>
    </comment>
    <comment ref="Y1" authorId="0" shapeId="0">
      <text>
        <t>Pasted or written by a form or script.</t>
      </text>
    </comment>
    <comment ref="Z1" authorId="0" shapeId="0">
      <text>
        <t>Pasted or written by a form or script.</t>
      </text>
    </comment>
    <comment ref="AA1" authorId="0" shapeId="0">
      <text>
        <t>Pasted or written by a form or script.</t>
      </text>
    </comment>
  </commentList>
</comments>
</file>

<file path=xl/comments/comment19.xml><?xml version="1.0" encoding="utf-8"?>
<comments xmlns="http://schemas.openxmlformats.org/spreadsheetml/2006/main">
  <authors>
    <author>tracker</author>
  </authors>
  <commentList>
    <comment ref="A1" authorId="0" shapeId="0">
      <text>
        <t>Formula. Never type over it.</t>
      </text>
    </comment>
    <comment ref="B1" authorId="0" shapeId="0">
      <text>
        <t>Formula. Never type over it.</t>
      </text>
    </comment>
    <comment ref="C1" authorId="0" shapeId="0">
      <text>
        <t>Formula. Never type over it.</t>
      </text>
    </comment>
    <comment ref="D1" authorId="0" shapeId="0">
      <text>
        <t>Formula. Never type over it.</t>
      </text>
    </comment>
    <comment ref="E1" authorId="0" shapeId="0">
      <text>
        <t>Formula. Never type over it.</t>
      </text>
    </comment>
    <comment ref="F1" authorId="0" shapeId="0">
      <text>
        <t>Formula. Never type over it.</t>
      </text>
    </comment>
    <comment ref="G1" authorId="0" shapeId="0">
      <text>
        <t>Formula. Never type over it.</t>
      </text>
    </comment>
    <comment ref="H1" authorId="0" shapeId="0">
      <text>
        <t>Formula. Never type over it.</t>
      </text>
    </comment>
    <comment ref="I1" authorId="0" shapeId="0">
      <text>
        <t>Formula. Never type over it.</t>
      </text>
    </comment>
    <comment ref="J1" authorId="0" shapeId="0">
      <text>
        <t>Formula. Never type over it.</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List>
</comments>
</file>

<file path=xl/comments/comment20.xml><?xml version="1.0" encoding="utf-8"?>
<comments xmlns="http://schemas.openxmlformats.org/spreadsheetml/2006/main">
  <authors>
    <author>tracker</author>
  </authors>
  <commentList>
    <comment ref="A1" authorId="0" shapeId="0">
      <text>
        <t>Formula. Never type over it.</t>
      </text>
    </comment>
    <comment ref="B1" authorId="0" shapeId="0">
      <text>
        <t>Formula. Never type over it.</t>
      </text>
    </comment>
    <comment ref="C1" authorId="0" shapeId="0">
      <text>
        <t>Formula. Never type over it.</t>
      </text>
    </comment>
    <comment ref="D1" authorId="0" shapeId="0">
      <text>
        <t>Formula. Never type over it.</t>
      </text>
    </comment>
    <comment ref="E1" authorId="0" shapeId="0">
      <text>
        <t>Formula. Never type over it.</t>
      </text>
    </comment>
    <comment ref="F1" authorId="0" shapeId="0">
      <text>
        <t>Formula. Never type over it.</t>
      </text>
    </comment>
    <comment ref="G1" authorId="0" shapeId="0">
      <text>
        <t>Formula. Never type over it.</t>
      </text>
    </comment>
    <comment ref="H1" authorId="0" shapeId="0">
      <text>
        <t>Formula. Never type over it.</t>
      </text>
    </comment>
    <comment ref="I1" authorId="0" shapeId="0">
      <text>
        <t>Formula. Never type over it.</t>
      </text>
    </comment>
    <comment ref="J1" authorId="0" shapeId="0">
      <text>
        <t>Formula. Never type over it.</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List>
</comments>
</file>

<file path=xl/comments/comment21.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 ref="V1" authorId="0" shapeId="0">
      <text>
        <t>Pasted or written by a form or script.</t>
      </text>
    </comment>
    <comment ref="W1" authorId="0" shapeId="0">
      <text>
        <t>Pasted or written by a form or script.</t>
      </text>
    </comment>
    <comment ref="X1" authorId="0" shapeId="0">
      <text>
        <t>Pasted or written by a form or script.</t>
      </text>
    </comment>
    <comment ref="Y1" authorId="0" shapeId="0">
      <text>
        <t>Pasted or written by a form or script.</t>
      </text>
    </comment>
    <comment ref="Z1" authorId="0" shapeId="0">
      <text>
        <t>Pasted or written by a form or script.</t>
      </text>
    </comment>
    <comment ref="AA1" authorId="0" shapeId="0">
      <text>
        <t>Pasted or written by a form or script.</t>
      </text>
    </comment>
    <comment ref="AB1" authorId="0" shapeId="0">
      <text>
        <t>Pasted or written by a form or script.</t>
      </text>
    </comment>
    <comment ref="AC1" authorId="0" shapeId="0">
      <text>
        <t>Pasted or written by a form or script.</t>
      </text>
    </comment>
    <comment ref="AD1" authorId="0" shapeId="0">
      <text>
        <t>Pasted or written by a form or script.</t>
      </text>
    </comment>
    <comment ref="AE1" authorId="0" shapeId="0">
      <text>
        <t>Pasted or written by a form or script.</t>
      </text>
    </comment>
    <comment ref="AF1" authorId="0" shapeId="0">
      <text>
        <t>Pasted or written by a form or script.</t>
      </text>
    </comment>
    <comment ref="AG1" authorId="0" shapeId="0">
      <text>
        <t>Pasted or written by a form or script.</t>
      </text>
    </comment>
    <comment ref="AH1" authorId="0" shapeId="0">
      <text>
        <t>Pasted or written by a form or script.</t>
      </text>
    </comment>
    <comment ref="AI1" authorId="0" shapeId="0">
      <text>
        <t>Pasted or written by a form or script.</t>
      </text>
    </comment>
  </commentList>
</comments>
</file>

<file path=xl/comments/comment22.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 ref="V1" authorId="0" shapeId="0">
      <text>
        <t>Pasted or written by a form or script.</t>
      </text>
    </comment>
    <comment ref="W1" authorId="0" shapeId="0">
      <text>
        <t>Pasted or written by a form or script.</t>
      </text>
    </comment>
    <comment ref="X1" authorId="0" shapeId="0">
      <text>
        <t>Pasted or written by a form or script.</t>
      </text>
    </comment>
    <comment ref="Y1" authorId="0" shapeId="0">
      <text>
        <t>Pasted or written by a form or script.</t>
      </text>
    </comment>
    <comment ref="Z1" authorId="0" shapeId="0">
      <text>
        <t>Pasted or written by a form or script.</t>
      </text>
    </comment>
    <comment ref="AA1" authorId="0" shapeId="0">
      <text>
        <t>Pasted or written by a form or script.</t>
      </text>
    </comment>
    <comment ref="AB1" authorId="0" shapeId="0">
      <text>
        <t>Pasted or written by a form or script.</t>
      </text>
    </comment>
    <comment ref="AC1" authorId="0" shapeId="0">
      <text>
        <t>Pasted or written by a form or script.</t>
      </text>
    </comment>
    <comment ref="AD1" authorId="0" shapeId="0">
      <text>
        <t>Pasted or written by a form or script.</t>
      </text>
    </comment>
    <comment ref="AE1" authorId="0" shapeId="0">
      <text>
        <t>Pasted or written by a form or script.</t>
      </text>
    </comment>
    <comment ref="AF1" authorId="0" shapeId="0">
      <text>
        <t>Pasted or written by a form or script.</t>
      </text>
    </comment>
    <comment ref="AG1" authorId="0" shapeId="0">
      <text>
        <t>Pasted or written by a form or script.</t>
      </text>
    </comment>
    <comment ref="AH1" authorId="0" shapeId="0">
      <text>
        <t>Pasted or written by a form or script.</t>
      </text>
    </comment>
    <comment ref="AI1" authorId="0" shapeId="0">
      <text>
        <t>Pasted or written by a form or script.</t>
      </text>
    </comment>
    <comment ref="AJ1" authorId="0" shapeId="0">
      <text>
        <t>Pasted or written by a form or script.</t>
      </text>
    </comment>
    <comment ref="AK1" authorId="0" shapeId="0">
      <text>
        <t>Pasted or written by a form or script.</t>
      </text>
    </comment>
    <comment ref="AL1" authorId="0" shapeId="0">
      <text>
        <t>Pasted or written by a form or script.</t>
      </text>
    </comment>
    <comment ref="AM1" authorId="0" shapeId="0">
      <text>
        <t>Pasted or written by a form or script.</t>
      </text>
    </comment>
    <comment ref="AN1" authorId="0" shapeId="0">
      <text>
        <t>Pasted or written by a form or script.</t>
      </text>
    </comment>
    <comment ref="AO1" authorId="0" shapeId="0">
      <text>
        <t>Pasted or written by a form or script.</t>
      </text>
    </comment>
    <comment ref="AP1" authorId="0" shapeId="0">
      <text>
        <t>Pasted or written by a form or script.</t>
      </text>
    </comment>
    <comment ref="AQ1" authorId="0" shapeId="0">
      <text>
        <t>Pasted or written by a form or script.</t>
      </text>
    </comment>
    <comment ref="AR1" authorId="0" shapeId="0">
      <text>
        <t>Pasted or written by a form or script.</t>
      </text>
    </comment>
    <comment ref="AS1" authorId="0" shapeId="0">
      <text>
        <t>Pasted or written by a form or script.</t>
      </text>
    </comment>
    <comment ref="AT1" authorId="0" shapeId="0">
      <text>
        <t>Pasted or written by a form or script.</t>
      </text>
    </comment>
    <comment ref="AU1" authorId="0" shapeId="0">
      <text>
        <t>Pasted or written by a form or script.</t>
      </text>
    </comment>
    <comment ref="AV1" authorId="0" shapeId="0">
      <text>
        <t>Pasted or written by a form or script.</t>
      </text>
    </comment>
    <comment ref="AW1" authorId="0" shapeId="0">
      <text>
        <t>Pasted or written by a form or script.</t>
      </text>
    </comment>
    <comment ref="AX1" authorId="0" shapeId="0">
      <text>
        <t>Pasted or written by a form or script.</t>
      </text>
    </comment>
    <comment ref="AY1" authorId="0" shapeId="0">
      <text>
        <t>Pasted or written by a form or script.</t>
      </text>
    </comment>
    <comment ref="AZ1" authorId="0" shapeId="0">
      <text>
        <t>Pasted or written by a form or script.</t>
      </text>
    </comment>
    <comment ref="BA1" authorId="0" shapeId="0">
      <text>
        <t>Pasted or written by a form or script.</t>
      </text>
    </comment>
    <comment ref="BB1" authorId="0" shapeId="0">
      <text>
        <t>Pasted or written by a form or script.</t>
      </text>
    </comment>
    <comment ref="BC1" authorId="0" shapeId="0">
      <text>
        <t>Pasted or written by a form or script.</t>
      </text>
    </comment>
    <comment ref="BD1" authorId="0" shapeId="0">
      <text>
        <t>Pasted or written by a form or script.</t>
      </text>
    </comment>
    <comment ref="BE1" authorId="0" shapeId="0">
      <text>
        <t>Pasted or written by a form or script.</t>
      </text>
    </comment>
    <comment ref="BF1" authorId="0" shapeId="0">
      <text>
        <t>Pasted or written by a form or script.</t>
      </text>
    </comment>
  </commentList>
</comments>
</file>

<file path=xl/comments/comment23.xml><?xml version="1.0" encoding="utf-8"?>
<comments xmlns="http://schemas.openxmlformats.org/spreadsheetml/2006/main">
  <authors>
    <author>tracker</author>
  </authors>
  <commentList>
    <comment ref="P1" authorId="0" shapeId="0">
      <text>
        <t>Formula. Never type over 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1.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2.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3.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4.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5.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6.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7.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8.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9.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20.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21.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22.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23.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4.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7.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8.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9.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30.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31.xml.rels><Relationships xmlns="http://schemas.openxmlformats.org/package/2006/relationships"><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50" customWidth="1" min="1" max="1"/>
  </cols>
  <sheetData>
    <row r="1">
      <c r="A1" s="1">
        <f>"Campaign tracker · "&amp;config!$B$2</f>
        <v/>
      </c>
    </row>
    <row r="2">
      <c r="A2" s="2" t="inlineStr">
        <is>
          <t>Every number in a brand report comes from a row in this file or a photo. Type only in white cells. Grey cells are formulas: never type over them. Cream tabs are written by forms, scripts or a pasted file.</t>
        </is>
      </c>
    </row>
    <row r="3">
      <c r="A3" s="2" t="inlineStr">
        <is>
          <t>Rename: change config!B2 (company_name). Nothing else in this file holds the name. The printed pieces take it from desk-drop-identity/brand.json: change both the same day; every tool refuses while they differ (README, Rename).</t>
        </is>
      </c>
    </row>
    <row r="4">
      <c r="A4" s="2" t="inlineStr"/>
    </row>
    <row r="5">
      <c r="A5" s="3" t="inlineStr">
        <is>
          <t>Tabs in the order a campaign touches them</t>
        </is>
      </c>
    </row>
    <row r="6">
      <c r="A6" s="2" t="inlineStr">
        <is>
          <t>office_intake, brand_intake: website form rows (CONTRACTS 6.3), written by the website's script when it is bound to this file.</t>
        </is>
      </c>
    </row>
    <row r="7">
      <c r="A7" s="2" t="inlineStr">
        <is>
          <t>office_form, brand_form: the founder-side Google Forms' response tabs; office_intake_founder, brand_intake_founder turn them into the same 6.3 columns.</t>
        </is>
      </c>
    </row>
    <row r="8">
      <c r="A8" s="2" t="inlineStr">
        <is>
          <t>in_signed_offices: paste E's signed_offices.csv. offices: type the office_id; the rest fills by header name.</t>
        </is>
      </c>
    </row>
    <row r="9">
      <c r="A9" s="2" t="inlineStr">
        <is>
          <t>brands: type brand_id and intake_key (the brand's submitted_at); the seven checks fill in. in_paid_brands: paste E's paid_brands.csv to check it.</t>
        </is>
      </c>
    </row>
    <row r="10">
      <c r="A10" s="2" t="inlineStr">
        <is>
          <t>drops: one row per route. The date is refused unless it is a Tuesday or Wednesday business day with a window clear of blackouts.</t>
        </is>
      </c>
    </row>
    <row r="11">
      <c r="A11" s="2" t="inlineStr">
        <is>
          <t>campaigns: one row per brand per drop: terms, card text, survey links, report inputs, and every ladder number.</t>
        </is>
      </c>
    </row>
    <row r="12">
      <c r="A12" s="2" t="inlineStr">
        <is>
          <t>invoices: issue, then log paid_date. The ship date is released only when the pre-ship payment is in, the agreement is signed, the certificate checked and the offices approved.</t>
        </is>
      </c>
    </row>
    <row r="13">
      <c r="A13" s="2" t="inlineStr">
        <is>
          <t>approvals: one row per office per campaign: the office's yes, its units, and its whole ladder (formulas).</t>
        </is>
      </c>
    </row>
    <row r="14">
      <c r="A14" s="2" t="inlineStr">
        <is>
          <t>stops: one row per office per drop: the route.</t>
        </is>
      </c>
    </row>
    <row r="15">
      <c r="A15" s="2" t="inlineStr">
        <is>
          <t>links: made by formulas. Two short links per office per campaign: qr (on the card) and post (the Slack or email post).</t>
        </is>
      </c>
    </row>
    <row r="16">
      <c r="A16" s="2" t="inlineStr">
        <is>
          <t>inventory: every unit that moves. counts: shelf counts. photos: one row per photo.</t>
        </is>
      </c>
    </row>
    <row r="17">
      <c r="A17" s="2" t="inlineStr">
        <is>
          <t>&lt;campaign_id&gt; tabs: each campaign's survey form writes its own tab, named with the campaign_id (forms/survey-form.md).</t>
        </is>
      </c>
    </row>
    <row r="18">
      <c r="A18" s="2" t="inlineStr">
        <is>
          <t>scans: link totals read from the short-link tool. redemptions: what the brand reports. issues: every deviation.</t>
        </is>
      </c>
    </row>
    <row r="19">
      <c r="A19" s="2" t="inlineStr">
        <is>
          <t>hours, costs: the founder hours log and the direct costs. Exports for the financial model come from tools/export_actuals.py.</t>
        </is>
      </c>
    </row>
    <row r="20">
      <c r="A20" s="2" t="inlineStr">
        <is>
          <t>survey_frozen: a campaign's survey totals, imported from tools/freeze_survey.py before its raw answers are deleted at 12 months, so its numbers stay.</t>
        </is>
      </c>
    </row>
    <row r="21">
      <c r="A21" s="2" t="inlineStr">
        <is>
          <t>dashboard, survey_dashboard, report: read only.</t>
        </is>
      </c>
    </row>
    <row r="22">
      <c r="A22" s="2" t="inlineStr"/>
    </row>
    <row r="23">
      <c r="A23" s="3" t="inlineStr">
        <is>
          <t>Rules this file keeps</t>
        </is>
      </c>
    </row>
    <row r="24">
      <c r="A24" s="2" t="inlineStr">
        <is>
          <t>The ladder rungs stay in separate columns: delivered, placed, depleted, responded, scanned, purchased. Incremental is not measured. Nothing adds them up.</t>
        </is>
      </c>
    </row>
    <row r="25">
      <c r="A25" s="2" t="inlineStr">
        <is>
          <t>Placed means visible in a usable placement photo with the card. Placed within one business day means that photo is dated on or before T+1.</t>
        </is>
      </c>
    </row>
    <row r="26">
      <c r="A26" s="2" t="inlineStr">
        <is>
          <t>Survey counts only include answers inside the window, T to the end of T+4, whose card code matches an office on the campaign.</t>
        </is>
      </c>
    </row>
    <row r="27">
      <c r="A27" s="2" t="inlineStr">
        <is>
          <t>No employee data. No email address ever enters this file.</t>
        </is>
      </c>
    </row>
    <row r="28">
      <c r="A28" s="2" t="inlineStr">
        <is>
          <t>SAMPLE: any ID or text starting with SAMPLE is test data; the dashboard and report show a SAMPLE banner.</t>
        </is>
      </c>
    </row>
    <row r="29">
      <c r="A29" s="2" t="inlineStr">
        <is>
          <t>Google Sheets: File &gt; Settings &gt; Locale United States, Time zone America/New_York.</t>
        </is>
      </c>
    </row>
  </sheetData>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Z91"/>
  <sheetViews>
    <sheetView workbookViewId="0">
      <pane ySplit="3" topLeftCell="A4" activePane="bottomLeft" state="frozen"/>
      <selection pane="bottomLeft" activeCell="A1" sqref="A1"/>
    </sheetView>
  </sheetViews>
  <sheetFormatPr baseColWidth="8" defaultRowHeight="15"/>
  <cols>
    <col width="30" customWidth="1" min="1" max="1"/>
    <col width="18" customWidth="1" min="2" max="2"/>
    <col width="14" customWidth="1" min="3" max="3"/>
    <col width="10" customWidth="1" min="4" max="4"/>
    <col width="30" customWidth="1" min="5" max="5"/>
    <col width="30" customWidth="1" min="6" max="6"/>
    <col width="12" customWidth="1" min="7" max="7"/>
    <col width="9" customWidth="1" min="8" max="8"/>
    <col width="9" customWidth="1" min="9" max="9"/>
    <col width="9" customWidth="1" min="10" max="10"/>
    <col width="9" customWidth="1" min="11" max="11"/>
    <col width="10" customWidth="1" min="12" max="12"/>
    <col width="11" customWidth="1" min="13" max="13"/>
    <col width="11" customWidth="1" min="14" max="14"/>
    <col width="10" customWidth="1" min="15" max="15"/>
    <col width="11" customWidth="1" min="16" max="16"/>
    <col width="10" customWidth="1" min="17" max="17"/>
    <col width="10" customWidth="1" min="18" max="18"/>
    <col width="10" customWidth="1" min="19" max="19"/>
    <col width="10" customWidth="1" min="20" max="20"/>
    <col width="10" customWidth="1" min="21" max="21"/>
    <col width="9" customWidth="1" min="22" max="22"/>
    <col width="9" customWidth="1" min="23" max="23"/>
    <col width="9" customWidth="1" min="24" max="24"/>
    <col width="9" customWidth="1" min="25" max="25"/>
    <col width="40" customWidth="1" min="26" max="26"/>
  </cols>
  <sheetData>
    <row r="1">
      <c r="A1" s="4">
        <f>"Campaign tracker · "&amp;config!$B$2</f>
        <v/>
      </c>
    </row>
    <row r="2">
      <c r="A2" s="5">
        <f>IF(COUNTIF(campaigns!$A$2:$A$51,"SAMPLE*")+COUNTIF(drops!$A$2:$A$21,"SAMPLE*")&gt;0,"SAMPLE DATA. Illustrative placeholders, not results.","")</f>
        <v/>
      </c>
    </row>
    <row r="3">
      <c r="A3" s="6" t="inlineStr">
        <is>
          <t>Today</t>
        </is>
      </c>
      <c r="B3" s="7">
        <f>IF(config!$B$37&lt;&gt;"",config!$B$37,TODAY())</f>
        <v/>
      </c>
    </row>
    <row r="5">
      <c r="A5" s="8" t="inlineStr">
        <is>
          <t>Checks to fix (0 everywhere = nothing to fix; lines starting info: are facts, not counted)</t>
        </is>
      </c>
    </row>
    <row r="6">
      <c r="A6" s="6" t="inlineStr">
        <is>
          <t>check</t>
        </is>
      </c>
      <c r="B6" s="6" t="inlineStr">
        <is>
          <t>count</t>
        </is>
      </c>
      <c r="C6" s="6" t="inlineStr">
        <is>
          <t>where to look</t>
        </is>
      </c>
    </row>
    <row r="7">
      <c r="A7" t="inlineStr">
        <is>
          <t>Drops with a refused date</t>
        </is>
      </c>
      <c r="B7">
        <f>IFERROR(COUNTIF(drops!$I$2:$I$21,"REFUSED*"),0)</f>
        <v/>
      </c>
      <c r="C7" t="inlineStr">
        <is>
          <t>drops, date_check</t>
        </is>
      </c>
    </row>
    <row r="8">
      <c r="A8" t="inlineStr">
        <is>
          <t>Campaigns with checks to read</t>
        </is>
      </c>
      <c r="B8">
        <f>IFERROR(COUNTIF(campaigns!$DU$2:$DU$51,"?*")-COUNTIF(campaigns!$DU$2:$DU$51,"info:*"),0)</f>
        <v/>
      </c>
      <c r="C8" t="inlineStr">
        <is>
          <t>campaigns, checks</t>
        </is>
      </c>
    </row>
    <row r="9">
      <c r="A9" t="inlineStr">
        <is>
          <t>Campaigns on ship HOLD</t>
        </is>
      </c>
      <c r="B9">
        <f>IFERROR(COUNTIF(campaigns!$BW$2:$BW$51,"HOLD*"),0)</f>
        <v/>
      </c>
      <c r="C9" t="inlineStr">
        <is>
          <t>campaigns, ship_release</t>
        </is>
      </c>
    </row>
    <row r="10">
      <c r="A10" t="inlineStr">
        <is>
          <t>Office rows with checks</t>
        </is>
      </c>
      <c r="B10">
        <f>IFERROR(COUNTIF(approvals!$AP$2:$AP$251,"?*")-COUNTIF(approvals!$AP$2:$AP$251,"info:*"),0)</f>
        <v/>
      </c>
      <c r="C10" t="inlineStr">
        <is>
          <t>approvals, checks</t>
        </is>
      </c>
    </row>
    <row r="11">
      <c r="A11" t="inlineStr">
        <is>
          <t>Stops with checks</t>
        </is>
      </c>
      <c r="B11">
        <f>IFERROR(COUNTIF(stops!$AD$2:$AD$151,"?*")-COUNTIF(stops!$AD$2:$AD$151,"info:*"),0)</f>
        <v/>
      </c>
      <c r="C11" t="inlineStr">
        <is>
          <t>stops, checks</t>
        </is>
      </c>
    </row>
    <row r="12">
      <c r="A12" t="inlineStr">
        <is>
          <t>Inventory rows with checks</t>
        </is>
      </c>
      <c r="B12">
        <f>IFERROR(COUNTIF(inventory!$Q$2:$Q$801,"?*")-COUNTIF(inventory!$Q$2:$Q$801,"info:*"),0)</f>
        <v/>
      </c>
      <c r="C12" t="inlineStr">
        <is>
          <t>inventory, checks</t>
        </is>
      </c>
    </row>
    <row r="13">
      <c r="A13" t="inlineStr">
        <is>
          <t>Count rows with checks</t>
        </is>
      </c>
      <c r="B13">
        <f>IFERROR(COUNTIF(counts!$K$2:$K$701,"?*")-COUNTIF(counts!$K$2:$K$701,"info:*"),0)</f>
        <v/>
      </c>
      <c r="C13" t="inlineStr">
        <is>
          <t>counts, checks</t>
        </is>
      </c>
    </row>
    <row r="14">
      <c r="A14" t="inlineStr">
        <is>
          <t>Photo rows with checks</t>
        </is>
      </c>
      <c r="B14">
        <f>IFERROR(COUNTIF(photos!$Q$2:$Q$701,"?*")-COUNTIF(photos!$Q$2:$Q$701,"info:*"),0)</f>
        <v/>
      </c>
      <c r="C14" t="inlineStr">
        <is>
          <t>photos, checks</t>
        </is>
      </c>
    </row>
    <row r="15">
      <c r="A15" t="inlineStr">
        <is>
          <t>Link rows with checks</t>
        </is>
      </c>
      <c r="B15">
        <f>IFERROR(COUNTIF(links!$I$2:$I$501,"?*")-COUNTIF(links!$I$2:$I$501,"info:*"),0)</f>
        <v/>
      </c>
      <c r="C15" t="inlineStr">
        <is>
          <t>links, checks</t>
        </is>
      </c>
    </row>
    <row r="16">
      <c r="A16" t="inlineStr">
        <is>
          <t>Scan readings with checks</t>
        </is>
      </c>
      <c r="B16">
        <f>IFERROR(COUNTIF(scans!$J$2:$J$1601,"?*")-COUNTIF(scans!$J$2:$J$1601,"info:*"),0)</f>
        <v/>
      </c>
      <c r="C16" t="inlineStr">
        <is>
          <t>scans, checks</t>
        </is>
      </c>
    </row>
    <row r="17">
      <c r="A17" t="inlineStr">
        <is>
          <t>Issues open</t>
        </is>
      </c>
      <c r="B17">
        <f>IFERROR(SUMPRODUCT((LEN(issues!$A$2:$A$121)&gt;0)*(LEN(issues!$L$2:$L$121)=0)),0)</f>
        <v/>
      </c>
      <c r="C17" t="inlineStr">
        <is>
          <t>issues</t>
        </is>
      </c>
    </row>
    <row r="18">
      <c r="A18" t="inlineStr">
        <is>
          <t>Issue rows with checks</t>
        </is>
      </c>
      <c r="B18">
        <f>IFERROR(COUNTIF(issues!$O$2:$O$121,"?*")-COUNTIF(issues!$O$2:$O$121,"info:*"),0)</f>
        <v/>
      </c>
      <c r="C18" t="inlineStr">
        <is>
          <t>issues, checks</t>
        </is>
      </c>
    </row>
    <row r="19">
      <c r="A19" t="inlineStr">
        <is>
          <t>Hours rows with checks</t>
        </is>
      </c>
      <c r="B19">
        <f>IFERROR(COUNTIF(hours!$G$2:$G$1501,"?*")-COUNTIF(hours!$G$2:$G$1501,"info:*"),0)</f>
        <v/>
      </c>
      <c r="C19" t="inlineStr">
        <is>
          <t>hours, checks</t>
        </is>
      </c>
    </row>
    <row r="20">
      <c r="A20" t="inlineStr">
        <is>
          <t>Cost rows with checks</t>
        </is>
      </c>
      <c r="B20">
        <f>IFERROR(COUNTIF(costs!$I$2:$I$301,"?*")-COUNTIF(costs!$I$2:$I$301,"info:*"),0)</f>
        <v/>
      </c>
      <c r="C20" t="inlineStr">
        <is>
          <t>costs, checks</t>
        </is>
      </c>
    </row>
    <row r="21">
      <c r="A21" t="inlineStr">
        <is>
          <t>Invoices overdue</t>
        </is>
      </c>
      <c r="B21">
        <f>IFERROR(COUNTIF(invoices!$Q$2:$Q$151,"overdue"),0)</f>
        <v/>
      </c>
      <c r="C21" t="inlineStr">
        <is>
          <t>invoices, status</t>
        </is>
      </c>
    </row>
    <row r="22">
      <c r="A22" t="inlineStr">
        <is>
          <t>Invoice rows with checks</t>
        </is>
      </c>
      <c r="B22">
        <f>IFERROR(COUNTIF(invoices!$S$2:$S$151,"?*")-COUNTIF(invoices!$S$2:$S$151,"info:*"),0)</f>
        <v/>
      </c>
      <c r="C22" t="inlineStr">
        <is>
          <t>invoices, checks</t>
        </is>
      </c>
    </row>
    <row r="23">
      <c r="A23" t="inlineStr">
        <is>
          <t>Brands in E's paid_brands.csv not on brands</t>
        </is>
      </c>
      <c r="B23">
        <f>IFERROR(SUMPRODUCT((in_paid_brands!$A$2:$A$81&lt;&gt;"")*(COUNTIF(brands!$A$2:$A$41,INDEX(in_paid_brands!$A$2:$BZ$81,0,MATCH("brand_id",in_paid_brands!$A$1:$BZ$1,0)))=0)),0)</f>
        <v/>
      </c>
      <c r="C23" t="inlineStr">
        <is>
          <t>in_paid_brands</t>
        </is>
      </c>
    </row>
    <row r="24">
      <c r="A24" t="inlineStr">
        <is>
          <t>Offices in E's signed_offices.csv not on offices</t>
        </is>
      </c>
      <c r="B24">
        <f>IFERROR(SUMPRODUCT((in_signed_offices!$A$2:$A$81&lt;&gt;"")*(COUNTIF(offices!$A$2:$A$61,INDEX(in_signed_offices!$A$2:$BZ$81,0,MATCH("office_id",in_signed_offices!$A$1:$BZ$1,0)))=0)),0)</f>
        <v/>
      </c>
      <c r="C24" t="inlineStr">
        <is>
          <t>in_signed_offices</t>
        </is>
      </c>
    </row>
    <row r="25">
      <c r="A25" t="inlineStr">
        <is>
          <t>Offices that left: contact details past their keep date</t>
        </is>
      </c>
      <c r="B25">
        <f>IFERROR(SUMPRODUCT((offices!$K$2:$K$61="left")*ISNUMBER(offices!$L$2:$L$61)*((IF(config!$B$37&lt;&gt;"",config!$B$37,TODAY())-offices!$L$2:$L$61)&gt;config!$B$42)*((LEN(offices!$R$2:$R$61)+LEN(offices!$T$2:$T$61)+LEN(offices!$U$2:$U$61)+LEN(offices!$AI$2:$AI$61))&gt;0)),0)</f>
        <v/>
      </c>
      <c r="C25" t="inlineStr">
        <is>
          <t>offices: clear names, emails, phones in in_signed_offices, office_intake, office_form</t>
        </is>
      </c>
    </row>
    <row r="26">
      <c r="A26" t="inlineStr">
        <is>
          <t>Brands whose payments in E's paid_brands.csv differ from the invoices tab</t>
        </is>
      </c>
      <c r="B26">
        <f>IFERROR(COUNTIF(brands!$AJ$2:$AJ$41,"?*"),0)</f>
        <v/>
      </c>
      <c r="C26" t="inlineStr">
        <is>
          <t>brands, e_payment_check (E's file feeds the financial model's Pipeline; the invoices tab releases the ship date)</t>
        </is>
      </c>
    </row>
    <row r="27">
      <c r="A27" t="inlineStr">
        <is>
          <t>Tabs over 90% full (rows below the last formula row are not counted)</t>
        </is>
      </c>
      <c r="B27">
        <f>IFERROR((COUNTA(drops!$A:$A)-1&gt;0.9*20)+(COUNTA(brands!$A:$A)-1&gt;0.9*40)+(COUNTA(offices!$A:$A)-1&gt;0.9*60)+(COUNTA(campaigns!$A:$A)-1&gt;0.9*50)+(COUNTA(approvals!$A:$A)-1&gt;0.9*250)+(COUNTA(stops!$A:$A)-1&gt;0.9*150)+(COUNTA(inventory!$A:$A)-1&gt;0.9*800)+(COUNTA(counts!$A:$A)-1&gt;0.9*700)+(COUNTA(photos!$A:$A)-1&gt;0.9*700)+(COUNTA(scans!$A:$A)-1&gt;0.9*1600)+(COUNTA(redemptions!$A:$A)-1&gt;0.9*120)+(COUNTA(issues!$A:$A)-1&gt;0.9*120)+(COUNTA(hours!$A:$A)-1&gt;0.9*1500)+(COUNTA(costs!$A:$A)-1&gt;0.9*300)+(COUNTA(invoices!$A:$A)-1&gt;0.9*150)+(COUNTA(office_form!$A:$A)-1&gt;0.9*80)+(COUNTA(brand_form!$A:$A)-1&gt;0.9*80)+(COUNTA(in_signed_offices!$A:$A)-1&gt;0.9*80)+(COUNTA(in_paid_brands!$A:$A)-1&gt;0.9*80)+(COUNTA(office_intake!$A:$A)-1&gt;0.9*400)+(COUNTA(brand_intake!$A:$A)-1&gt;0.9*400)+(COUNTA(survey_frozen!$A:$A)-1&gt;0.9*250),0)</f>
        <v/>
      </c>
      <c r="C27" t="inlineStr">
        <is>
          <t>runbook, 'Speed and size': rebuild with tools/build_tracker.py --size full before a tab runs out</t>
        </is>
      </c>
    </row>
    <row r="29">
      <c r="A29" s="8" t="inlineStr">
        <is>
          <t>Drops</t>
        </is>
      </c>
    </row>
    <row r="30">
      <c r="A30" s="6" t="inlineStr">
        <is>
          <t>drop</t>
        </is>
      </c>
      <c r="B30" s="6" t="inlineStr">
        <is>
          <t>date</t>
        </is>
      </c>
      <c r="C30" s="6" t="inlineStr">
        <is>
          <t>model</t>
        </is>
      </c>
      <c r="D30" s="6" t="inlineStr">
        <is>
          <t>status</t>
        </is>
      </c>
      <c r="E30" s="6" t="inlineStr">
        <is>
          <t>date check</t>
        </is>
      </c>
      <c r="F30" s="6" t="inlineStr">
        <is>
          <t>next step</t>
        </is>
      </c>
      <c r="G30" s="6" t="inlineStr">
        <is>
          <t>on</t>
        </is>
      </c>
      <c r="H30" s="6" t="inlineStr">
        <is>
          <t>stops</t>
        </is>
      </c>
      <c r="I30" s="6" t="inlineStr">
        <is>
          <t>brands</t>
        </is>
      </c>
      <c r="J30" s="6" t="inlineStr">
        <is>
          <t>units</t>
        </is>
      </c>
      <c r="K30" s="6" t="inlineStr">
        <is>
          <t>revenue</t>
        </is>
      </c>
      <c r="L30" s="6" t="inlineStr">
        <is>
          <t>direct cost</t>
        </is>
      </c>
      <c r="M30" s="6" t="inlineStr">
        <is>
          <t>cost per stop</t>
        </is>
      </c>
      <c r="N30" s="6" t="inlineStr">
        <is>
          <t>founder hours</t>
        </is>
      </c>
      <c r="O30" s="6" t="inlineStr">
        <is>
          <t>contribution before overhead</t>
        </is>
      </c>
      <c r="P30" s="6" t="inlineStr">
        <is>
          <t>per founder hour, before overhead</t>
        </is>
      </c>
      <c r="Q30" s="6" t="inlineStr">
        <is>
          <t>G2 placed in 1 bd</t>
        </is>
      </c>
      <c r="R30" s="6" t="inlineStr">
        <is>
          <t>G2 fewest responses</t>
        </is>
      </c>
      <c r="S30" s="6" t="inlineStr">
        <is>
          <t>G2 reports late</t>
        </is>
      </c>
      <c r="T30" s="6" t="inlineStr">
        <is>
          <t>G2 buy again</t>
        </is>
      </c>
    </row>
    <row r="31">
      <c r="A31">
        <f>IF(INDEX(drops!$A$2:$A$21,1)="","",INDEX(drops!$A$2:$A$21,1))</f>
        <v/>
      </c>
      <c r="B31" s="9">
        <f>IF(INDEX(drops!$A$2:$A$21,1)="","",INDEX(drops!$B$2:$B$21,1))</f>
        <v/>
      </c>
      <c r="C31">
        <f>IF(INDEX(drops!$A$2:$A$21,1)="","",INDEX(drops!$C$2:$C$21,1))</f>
        <v/>
      </c>
      <c r="D31">
        <f>IF(INDEX(drops!$A$2:$A$21,1)="","",INDEX(drops!$D$2:$D$21,1))</f>
        <v/>
      </c>
      <c r="E31">
        <f>IF(INDEX(drops!$A$2:$A$21,1)="","",INDEX(drops!$I$2:$I$21,1))</f>
        <v/>
      </c>
      <c r="F31">
        <f>IF(INDEX(drops!$A$2:$A$21,1)="","",INDEX(drops!$X$2:$X$21,1))</f>
        <v/>
      </c>
      <c r="G31" s="9">
        <f>IF(INDEX(drops!$A$2:$A$21,1)="","",INDEX(drops!$Y$2:$Y$21,1))</f>
        <v/>
      </c>
      <c r="H31">
        <f>IF(INDEX(drops!$A$2:$A$21,1)="","",INDEX(drops!$AA$2:$AA$21,1))</f>
        <v/>
      </c>
      <c r="I31">
        <f>IF(INDEX(drops!$A$2:$A$21,1)="","",INDEX(drops!$Z$2:$Z$21,1))</f>
        <v/>
      </c>
      <c r="J31">
        <f>IF(INDEX(drops!$A$2:$A$21,1)="","",INDEX(drops!$AB$2:$AB$21,1))</f>
        <v/>
      </c>
      <c r="K31" s="10">
        <f>IF(INDEX(drops!$A$2:$A$21,1)="","",INDEX(drops!$AC$2:$AC$21,1))</f>
        <v/>
      </c>
      <c r="L31" s="10">
        <f>IF(INDEX(drops!$A$2:$A$21,1)="","",INDEX(drops!$AG$2:$AG$21,1))</f>
        <v/>
      </c>
      <c r="M31" s="10">
        <f>IF(INDEX(drops!$A$2:$A$21,1)="","",INDEX(drops!$AH$2:$AH$21,1))</f>
        <v/>
      </c>
      <c r="N31" s="11">
        <f>IF(INDEX(drops!$A$2:$A$21,1)="","",INDEX(drops!$AI$2:$AI$21,1))</f>
        <v/>
      </c>
      <c r="O31" s="10">
        <f>IF(INDEX(drops!$A$2:$A$21,1)="","",INDEX(drops!$AJ$2:$AJ$21,1))</f>
        <v/>
      </c>
      <c r="P31" s="10">
        <f>IF(INDEX(drops!$A$2:$A$21,1)="","",INDEX(drops!$AK$2:$AK$21,1))</f>
        <v/>
      </c>
      <c r="Q31" s="12">
        <f>IF(INDEX(drops!$A$2:$A$21,1)="","",INDEX(drops!$AL$2:$AL$21,1))</f>
        <v/>
      </c>
      <c r="R31">
        <f>IF(INDEX(drops!$A$2:$A$21,1)="","",INDEX(drops!$AM$2:$AM$21,1))</f>
        <v/>
      </c>
      <c r="S31">
        <f>IF(INDEX(drops!$A$2:$A$21,1)="","",INDEX(drops!$AN$2:$AN$21,1))</f>
        <v/>
      </c>
      <c r="T31">
        <f>IF(INDEX(drops!$A$2:$A$21,1)="","",INDEX(drops!$AO$2:$AO$21,1))</f>
        <v/>
      </c>
    </row>
    <row r="32">
      <c r="A32">
        <f>IF(INDEX(drops!$A$2:$A$21,2)="","",INDEX(drops!$A$2:$A$21,2))</f>
        <v/>
      </c>
      <c r="B32" s="9">
        <f>IF(INDEX(drops!$A$2:$A$21,2)="","",INDEX(drops!$B$2:$B$21,2))</f>
        <v/>
      </c>
      <c r="C32">
        <f>IF(INDEX(drops!$A$2:$A$21,2)="","",INDEX(drops!$C$2:$C$21,2))</f>
        <v/>
      </c>
      <c r="D32">
        <f>IF(INDEX(drops!$A$2:$A$21,2)="","",INDEX(drops!$D$2:$D$21,2))</f>
        <v/>
      </c>
      <c r="E32">
        <f>IF(INDEX(drops!$A$2:$A$21,2)="","",INDEX(drops!$I$2:$I$21,2))</f>
        <v/>
      </c>
      <c r="F32">
        <f>IF(INDEX(drops!$A$2:$A$21,2)="","",INDEX(drops!$X$2:$X$21,2))</f>
        <v/>
      </c>
      <c r="G32" s="9">
        <f>IF(INDEX(drops!$A$2:$A$21,2)="","",INDEX(drops!$Y$2:$Y$21,2))</f>
        <v/>
      </c>
      <c r="H32">
        <f>IF(INDEX(drops!$A$2:$A$21,2)="","",INDEX(drops!$AA$2:$AA$21,2))</f>
        <v/>
      </c>
      <c r="I32">
        <f>IF(INDEX(drops!$A$2:$A$21,2)="","",INDEX(drops!$Z$2:$Z$21,2))</f>
        <v/>
      </c>
      <c r="J32">
        <f>IF(INDEX(drops!$A$2:$A$21,2)="","",INDEX(drops!$AB$2:$AB$21,2))</f>
        <v/>
      </c>
      <c r="K32" s="10">
        <f>IF(INDEX(drops!$A$2:$A$21,2)="","",INDEX(drops!$AC$2:$AC$21,2))</f>
        <v/>
      </c>
      <c r="L32" s="10">
        <f>IF(INDEX(drops!$A$2:$A$21,2)="","",INDEX(drops!$AG$2:$AG$21,2))</f>
        <v/>
      </c>
      <c r="M32" s="10">
        <f>IF(INDEX(drops!$A$2:$A$21,2)="","",INDEX(drops!$AH$2:$AH$21,2))</f>
        <v/>
      </c>
      <c r="N32" s="11">
        <f>IF(INDEX(drops!$A$2:$A$21,2)="","",INDEX(drops!$AI$2:$AI$21,2))</f>
        <v/>
      </c>
      <c r="O32" s="10">
        <f>IF(INDEX(drops!$A$2:$A$21,2)="","",INDEX(drops!$AJ$2:$AJ$21,2))</f>
        <v/>
      </c>
      <c r="P32" s="10">
        <f>IF(INDEX(drops!$A$2:$A$21,2)="","",INDEX(drops!$AK$2:$AK$21,2))</f>
        <v/>
      </c>
      <c r="Q32" s="12">
        <f>IF(INDEX(drops!$A$2:$A$21,2)="","",INDEX(drops!$AL$2:$AL$21,2))</f>
        <v/>
      </c>
      <c r="R32">
        <f>IF(INDEX(drops!$A$2:$A$21,2)="","",INDEX(drops!$AM$2:$AM$21,2))</f>
        <v/>
      </c>
      <c r="S32">
        <f>IF(INDEX(drops!$A$2:$A$21,2)="","",INDEX(drops!$AN$2:$AN$21,2))</f>
        <v/>
      </c>
      <c r="T32">
        <f>IF(INDEX(drops!$A$2:$A$21,2)="","",INDEX(drops!$AO$2:$AO$21,2))</f>
        <v/>
      </c>
    </row>
    <row r="33">
      <c r="A33">
        <f>IF(INDEX(drops!$A$2:$A$21,3)="","",INDEX(drops!$A$2:$A$21,3))</f>
        <v/>
      </c>
      <c r="B33" s="9">
        <f>IF(INDEX(drops!$A$2:$A$21,3)="","",INDEX(drops!$B$2:$B$21,3))</f>
        <v/>
      </c>
      <c r="C33">
        <f>IF(INDEX(drops!$A$2:$A$21,3)="","",INDEX(drops!$C$2:$C$21,3))</f>
        <v/>
      </c>
      <c r="D33">
        <f>IF(INDEX(drops!$A$2:$A$21,3)="","",INDEX(drops!$D$2:$D$21,3))</f>
        <v/>
      </c>
      <c r="E33">
        <f>IF(INDEX(drops!$A$2:$A$21,3)="","",INDEX(drops!$I$2:$I$21,3))</f>
        <v/>
      </c>
      <c r="F33">
        <f>IF(INDEX(drops!$A$2:$A$21,3)="","",INDEX(drops!$X$2:$X$21,3))</f>
        <v/>
      </c>
      <c r="G33" s="9">
        <f>IF(INDEX(drops!$A$2:$A$21,3)="","",INDEX(drops!$Y$2:$Y$21,3))</f>
        <v/>
      </c>
      <c r="H33">
        <f>IF(INDEX(drops!$A$2:$A$21,3)="","",INDEX(drops!$AA$2:$AA$21,3))</f>
        <v/>
      </c>
      <c r="I33">
        <f>IF(INDEX(drops!$A$2:$A$21,3)="","",INDEX(drops!$Z$2:$Z$21,3))</f>
        <v/>
      </c>
      <c r="J33">
        <f>IF(INDEX(drops!$A$2:$A$21,3)="","",INDEX(drops!$AB$2:$AB$21,3))</f>
        <v/>
      </c>
      <c r="K33" s="10">
        <f>IF(INDEX(drops!$A$2:$A$21,3)="","",INDEX(drops!$AC$2:$AC$21,3))</f>
        <v/>
      </c>
      <c r="L33" s="10">
        <f>IF(INDEX(drops!$A$2:$A$21,3)="","",INDEX(drops!$AG$2:$AG$21,3))</f>
        <v/>
      </c>
      <c r="M33" s="10">
        <f>IF(INDEX(drops!$A$2:$A$21,3)="","",INDEX(drops!$AH$2:$AH$21,3))</f>
        <v/>
      </c>
      <c r="N33" s="11">
        <f>IF(INDEX(drops!$A$2:$A$21,3)="","",INDEX(drops!$AI$2:$AI$21,3))</f>
        <v/>
      </c>
      <c r="O33" s="10">
        <f>IF(INDEX(drops!$A$2:$A$21,3)="","",INDEX(drops!$AJ$2:$AJ$21,3))</f>
        <v/>
      </c>
      <c r="P33" s="10">
        <f>IF(INDEX(drops!$A$2:$A$21,3)="","",INDEX(drops!$AK$2:$AK$21,3))</f>
        <v/>
      </c>
      <c r="Q33" s="12">
        <f>IF(INDEX(drops!$A$2:$A$21,3)="","",INDEX(drops!$AL$2:$AL$21,3))</f>
        <v/>
      </c>
      <c r="R33">
        <f>IF(INDEX(drops!$A$2:$A$21,3)="","",INDEX(drops!$AM$2:$AM$21,3))</f>
        <v/>
      </c>
      <c r="S33">
        <f>IF(INDEX(drops!$A$2:$A$21,3)="","",INDEX(drops!$AN$2:$AN$21,3))</f>
        <v/>
      </c>
      <c r="T33">
        <f>IF(INDEX(drops!$A$2:$A$21,3)="","",INDEX(drops!$AO$2:$AO$21,3))</f>
        <v/>
      </c>
    </row>
    <row r="34">
      <c r="A34">
        <f>IF(INDEX(drops!$A$2:$A$21,4)="","",INDEX(drops!$A$2:$A$21,4))</f>
        <v/>
      </c>
      <c r="B34" s="9">
        <f>IF(INDEX(drops!$A$2:$A$21,4)="","",INDEX(drops!$B$2:$B$21,4))</f>
        <v/>
      </c>
      <c r="C34">
        <f>IF(INDEX(drops!$A$2:$A$21,4)="","",INDEX(drops!$C$2:$C$21,4))</f>
        <v/>
      </c>
      <c r="D34">
        <f>IF(INDEX(drops!$A$2:$A$21,4)="","",INDEX(drops!$D$2:$D$21,4))</f>
        <v/>
      </c>
      <c r="E34">
        <f>IF(INDEX(drops!$A$2:$A$21,4)="","",INDEX(drops!$I$2:$I$21,4))</f>
        <v/>
      </c>
      <c r="F34">
        <f>IF(INDEX(drops!$A$2:$A$21,4)="","",INDEX(drops!$X$2:$X$21,4))</f>
        <v/>
      </c>
      <c r="G34" s="9">
        <f>IF(INDEX(drops!$A$2:$A$21,4)="","",INDEX(drops!$Y$2:$Y$21,4))</f>
        <v/>
      </c>
      <c r="H34">
        <f>IF(INDEX(drops!$A$2:$A$21,4)="","",INDEX(drops!$AA$2:$AA$21,4))</f>
        <v/>
      </c>
      <c r="I34">
        <f>IF(INDEX(drops!$A$2:$A$21,4)="","",INDEX(drops!$Z$2:$Z$21,4))</f>
        <v/>
      </c>
      <c r="J34">
        <f>IF(INDEX(drops!$A$2:$A$21,4)="","",INDEX(drops!$AB$2:$AB$21,4))</f>
        <v/>
      </c>
      <c r="K34" s="10">
        <f>IF(INDEX(drops!$A$2:$A$21,4)="","",INDEX(drops!$AC$2:$AC$21,4))</f>
        <v/>
      </c>
      <c r="L34" s="10">
        <f>IF(INDEX(drops!$A$2:$A$21,4)="","",INDEX(drops!$AG$2:$AG$21,4))</f>
        <v/>
      </c>
      <c r="M34" s="10">
        <f>IF(INDEX(drops!$A$2:$A$21,4)="","",INDEX(drops!$AH$2:$AH$21,4))</f>
        <v/>
      </c>
      <c r="N34" s="11">
        <f>IF(INDEX(drops!$A$2:$A$21,4)="","",INDEX(drops!$AI$2:$AI$21,4))</f>
        <v/>
      </c>
      <c r="O34" s="10">
        <f>IF(INDEX(drops!$A$2:$A$21,4)="","",INDEX(drops!$AJ$2:$AJ$21,4))</f>
        <v/>
      </c>
      <c r="P34" s="10">
        <f>IF(INDEX(drops!$A$2:$A$21,4)="","",INDEX(drops!$AK$2:$AK$21,4))</f>
        <v/>
      </c>
      <c r="Q34" s="12">
        <f>IF(INDEX(drops!$A$2:$A$21,4)="","",INDEX(drops!$AL$2:$AL$21,4))</f>
        <v/>
      </c>
      <c r="R34">
        <f>IF(INDEX(drops!$A$2:$A$21,4)="","",INDEX(drops!$AM$2:$AM$21,4))</f>
        <v/>
      </c>
      <c r="S34">
        <f>IF(INDEX(drops!$A$2:$A$21,4)="","",INDEX(drops!$AN$2:$AN$21,4))</f>
        <v/>
      </c>
      <c r="T34">
        <f>IF(INDEX(drops!$A$2:$A$21,4)="","",INDEX(drops!$AO$2:$AO$21,4))</f>
        <v/>
      </c>
    </row>
    <row r="35">
      <c r="A35">
        <f>IF(INDEX(drops!$A$2:$A$21,5)="","",INDEX(drops!$A$2:$A$21,5))</f>
        <v/>
      </c>
      <c r="B35" s="9">
        <f>IF(INDEX(drops!$A$2:$A$21,5)="","",INDEX(drops!$B$2:$B$21,5))</f>
        <v/>
      </c>
      <c r="C35">
        <f>IF(INDEX(drops!$A$2:$A$21,5)="","",INDEX(drops!$C$2:$C$21,5))</f>
        <v/>
      </c>
      <c r="D35">
        <f>IF(INDEX(drops!$A$2:$A$21,5)="","",INDEX(drops!$D$2:$D$21,5))</f>
        <v/>
      </c>
      <c r="E35">
        <f>IF(INDEX(drops!$A$2:$A$21,5)="","",INDEX(drops!$I$2:$I$21,5))</f>
        <v/>
      </c>
      <c r="F35">
        <f>IF(INDEX(drops!$A$2:$A$21,5)="","",INDEX(drops!$X$2:$X$21,5))</f>
        <v/>
      </c>
      <c r="G35" s="9">
        <f>IF(INDEX(drops!$A$2:$A$21,5)="","",INDEX(drops!$Y$2:$Y$21,5))</f>
        <v/>
      </c>
      <c r="H35">
        <f>IF(INDEX(drops!$A$2:$A$21,5)="","",INDEX(drops!$AA$2:$AA$21,5))</f>
        <v/>
      </c>
      <c r="I35">
        <f>IF(INDEX(drops!$A$2:$A$21,5)="","",INDEX(drops!$Z$2:$Z$21,5))</f>
        <v/>
      </c>
      <c r="J35">
        <f>IF(INDEX(drops!$A$2:$A$21,5)="","",INDEX(drops!$AB$2:$AB$21,5))</f>
        <v/>
      </c>
      <c r="K35" s="10">
        <f>IF(INDEX(drops!$A$2:$A$21,5)="","",INDEX(drops!$AC$2:$AC$21,5))</f>
        <v/>
      </c>
      <c r="L35" s="10">
        <f>IF(INDEX(drops!$A$2:$A$21,5)="","",INDEX(drops!$AG$2:$AG$21,5))</f>
        <v/>
      </c>
      <c r="M35" s="10">
        <f>IF(INDEX(drops!$A$2:$A$21,5)="","",INDEX(drops!$AH$2:$AH$21,5))</f>
        <v/>
      </c>
      <c r="N35" s="11">
        <f>IF(INDEX(drops!$A$2:$A$21,5)="","",INDEX(drops!$AI$2:$AI$21,5))</f>
        <v/>
      </c>
      <c r="O35" s="10">
        <f>IF(INDEX(drops!$A$2:$A$21,5)="","",INDEX(drops!$AJ$2:$AJ$21,5))</f>
        <v/>
      </c>
      <c r="P35" s="10">
        <f>IF(INDEX(drops!$A$2:$A$21,5)="","",INDEX(drops!$AK$2:$AK$21,5))</f>
        <v/>
      </c>
      <c r="Q35" s="12">
        <f>IF(INDEX(drops!$A$2:$A$21,5)="","",INDEX(drops!$AL$2:$AL$21,5))</f>
        <v/>
      </c>
      <c r="R35">
        <f>IF(INDEX(drops!$A$2:$A$21,5)="","",INDEX(drops!$AM$2:$AM$21,5))</f>
        <v/>
      </c>
      <c r="S35">
        <f>IF(INDEX(drops!$A$2:$A$21,5)="","",INDEX(drops!$AN$2:$AN$21,5))</f>
        <v/>
      </c>
      <c r="T35">
        <f>IF(INDEX(drops!$A$2:$A$21,5)="","",INDEX(drops!$AO$2:$AO$21,5))</f>
        <v/>
      </c>
    </row>
    <row r="36">
      <c r="A36">
        <f>IF(INDEX(drops!$A$2:$A$21,6)="","",INDEX(drops!$A$2:$A$21,6))</f>
        <v/>
      </c>
      <c r="B36" s="9">
        <f>IF(INDEX(drops!$A$2:$A$21,6)="","",INDEX(drops!$B$2:$B$21,6))</f>
        <v/>
      </c>
      <c r="C36">
        <f>IF(INDEX(drops!$A$2:$A$21,6)="","",INDEX(drops!$C$2:$C$21,6))</f>
        <v/>
      </c>
      <c r="D36">
        <f>IF(INDEX(drops!$A$2:$A$21,6)="","",INDEX(drops!$D$2:$D$21,6))</f>
        <v/>
      </c>
      <c r="E36">
        <f>IF(INDEX(drops!$A$2:$A$21,6)="","",INDEX(drops!$I$2:$I$21,6))</f>
        <v/>
      </c>
      <c r="F36">
        <f>IF(INDEX(drops!$A$2:$A$21,6)="","",INDEX(drops!$X$2:$X$21,6))</f>
        <v/>
      </c>
      <c r="G36" s="9">
        <f>IF(INDEX(drops!$A$2:$A$21,6)="","",INDEX(drops!$Y$2:$Y$21,6))</f>
        <v/>
      </c>
      <c r="H36">
        <f>IF(INDEX(drops!$A$2:$A$21,6)="","",INDEX(drops!$AA$2:$AA$21,6))</f>
        <v/>
      </c>
      <c r="I36">
        <f>IF(INDEX(drops!$A$2:$A$21,6)="","",INDEX(drops!$Z$2:$Z$21,6))</f>
        <v/>
      </c>
      <c r="J36">
        <f>IF(INDEX(drops!$A$2:$A$21,6)="","",INDEX(drops!$AB$2:$AB$21,6))</f>
        <v/>
      </c>
      <c r="K36" s="10">
        <f>IF(INDEX(drops!$A$2:$A$21,6)="","",INDEX(drops!$AC$2:$AC$21,6))</f>
        <v/>
      </c>
      <c r="L36" s="10">
        <f>IF(INDEX(drops!$A$2:$A$21,6)="","",INDEX(drops!$AG$2:$AG$21,6))</f>
        <v/>
      </c>
      <c r="M36" s="10">
        <f>IF(INDEX(drops!$A$2:$A$21,6)="","",INDEX(drops!$AH$2:$AH$21,6))</f>
        <v/>
      </c>
      <c r="N36" s="11">
        <f>IF(INDEX(drops!$A$2:$A$21,6)="","",INDEX(drops!$AI$2:$AI$21,6))</f>
        <v/>
      </c>
      <c r="O36" s="10">
        <f>IF(INDEX(drops!$A$2:$A$21,6)="","",INDEX(drops!$AJ$2:$AJ$21,6))</f>
        <v/>
      </c>
      <c r="P36" s="10">
        <f>IF(INDEX(drops!$A$2:$A$21,6)="","",INDEX(drops!$AK$2:$AK$21,6))</f>
        <v/>
      </c>
      <c r="Q36" s="12">
        <f>IF(INDEX(drops!$A$2:$A$21,6)="","",INDEX(drops!$AL$2:$AL$21,6))</f>
        <v/>
      </c>
      <c r="R36">
        <f>IF(INDEX(drops!$A$2:$A$21,6)="","",INDEX(drops!$AM$2:$AM$21,6))</f>
        <v/>
      </c>
      <c r="S36">
        <f>IF(INDEX(drops!$A$2:$A$21,6)="","",INDEX(drops!$AN$2:$AN$21,6))</f>
        <v/>
      </c>
      <c r="T36">
        <f>IF(INDEX(drops!$A$2:$A$21,6)="","",INDEX(drops!$AO$2:$AO$21,6))</f>
        <v/>
      </c>
    </row>
    <row r="37">
      <c r="A37">
        <f>IF(INDEX(drops!$A$2:$A$21,7)="","",INDEX(drops!$A$2:$A$21,7))</f>
        <v/>
      </c>
      <c r="B37" s="9">
        <f>IF(INDEX(drops!$A$2:$A$21,7)="","",INDEX(drops!$B$2:$B$21,7))</f>
        <v/>
      </c>
      <c r="C37">
        <f>IF(INDEX(drops!$A$2:$A$21,7)="","",INDEX(drops!$C$2:$C$21,7))</f>
        <v/>
      </c>
      <c r="D37">
        <f>IF(INDEX(drops!$A$2:$A$21,7)="","",INDEX(drops!$D$2:$D$21,7))</f>
        <v/>
      </c>
      <c r="E37">
        <f>IF(INDEX(drops!$A$2:$A$21,7)="","",INDEX(drops!$I$2:$I$21,7))</f>
        <v/>
      </c>
      <c r="F37">
        <f>IF(INDEX(drops!$A$2:$A$21,7)="","",INDEX(drops!$X$2:$X$21,7))</f>
        <v/>
      </c>
      <c r="G37" s="9">
        <f>IF(INDEX(drops!$A$2:$A$21,7)="","",INDEX(drops!$Y$2:$Y$21,7))</f>
        <v/>
      </c>
      <c r="H37">
        <f>IF(INDEX(drops!$A$2:$A$21,7)="","",INDEX(drops!$AA$2:$AA$21,7))</f>
        <v/>
      </c>
      <c r="I37">
        <f>IF(INDEX(drops!$A$2:$A$21,7)="","",INDEX(drops!$Z$2:$Z$21,7))</f>
        <v/>
      </c>
      <c r="J37">
        <f>IF(INDEX(drops!$A$2:$A$21,7)="","",INDEX(drops!$AB$2:$AB$21,7))</f>
        <v/>
      </c>
      <c r="K37" s="10">
        <f>IF(INDEX(drops!$A$2:$A$21,7)="","",INDEX(drops!$AC$2:$AC$21,7))</f>
        <v/>
      </c>
      <c r="L37" s="10">
        <f>IF(INDEX(drops!$A$2:$A$21,7)="","",INDEX(drops!$AG$2:$AG$21,7))</f>
        <v/>
      </c>
      <c r="M37" s="10">
        <f>IF(INDEX(drops!$A$2:$A$21,7)="","",INDEX(drops!$AH$2:$AH$21,7))</f>
        <v/>
      </c>
      <c r="N37" s="11">
        <f>IF(INDEX(drops!$A$2:$A$21,7)="","",INDEX(drops!$AI$2:$AI$21,7))</f>
        <v/>
      </c>
      <c r="O37" s="10">
        <f>IF(INDEX(drops!$A$2:$A$21,7)="","",INDEX(drops!$AJ$2:$AJ$21,7))</f>
        <v/>
      </c>
      <c r="P37" s="10">
        <f>IF(INDEX(drops!$A$2:$A$21,7)="","",INDEX(drops!$AK$2:$AK$21,7))</f>
        <v/>
      </c>
      <c r="Q37" s="12">
        <f>IF(INDEX(drops!$A$2:$A$21,7)="","",INDEX(drops!$AL$2:$AL$21,7))</f>
        <v/>
      </c>
      <c r="R37">
        <f>IF(INDEX(drops!$A$2:$A$21,7)="","",INDEX(drops!$AM$2:$AM$21,7))</f>
        <v/>
      </c>
      <c r="S37">
        <f>IF(INDEX(drops!$A$2:$A$21,7)="","",INDEX(drops!$AN$2:$AN$21,7))</f>
        <v/>
      </c>
      <c r="T37">
        <f>IF(INDEX(drops!$A$2:$A$21,7)="","",INDEX(drops!$AO$2:$AO$21,7))</f>
        <v/>
      </c>
    </row>
    <row r="38">
      <c r="A38">
        <f>IF(INDEX(drops!$A$2:$A$21,8)="","",INDEX(drops!$A$2:$A$21,8))</f>
        <v/>
      </c>
      <c r="B38" s="9">
        <f>IF(INDEX(drops!$A$2:$A$21,8)="","",INDEX(drops!$B$2:$B$21,8))</f>
        <v/>
      </c>
      <c r="C38">
        <f>IF(INDEX(drops!$A$2:$A$21,8)="","",INDEX(drops!$C$2:$C$21,8))</f>
        <v/>
      </c>
      <c r="D38">
        <f>IF(INDEX(drops!$A$2:$A$21,8)="","",INDEX(drops!$D$2:$D$21,8))</f>
        <v/>
      </c>
      <c r="E38">
        <f>IF(INDEX(drops!$A$2:$A$21,8)="","",INDEX(drops!$I$2:$I$21,8))</f>
        <v/>
      </c>
      <c r="F38">
        <f>IF(INDEX(drops!$A$2:$A$21,8)="","",INDEX(drops!$X$2:$X$21,8))</f>
        <v/>
      </c>
      <c r="G38" s="9">
        <f>IF(INDEX(drops!$A$2:$A$21,8)="","",INDEX(drops!$Y$2:$Y$21,8))</f>
        <v/>
      </c>
      <c r="H38">
        <f>IF(INDEX(drops!$A$2:$A$21,8)="","",INDEX(drops!$AA$2:$AA$21,8))</f>
        <v/>
      </c>
      <c r="I38">
        <f>IF(INDEX(drops!$A$2:$A$21,8)="","",INDEX(drops!$Z$2:$Z$21,8))</f>
        <v/>
      </c>
      <c r="J38">
        <f>IF(INDEX(drops!$A$2:$A$21,8)="","",INDEX(drops!$AB$2:$AB$21,8))</f>
        <v/>
      </c>
      <c r="K38" s="10">
        <f>IF(INDEX(drops!$A$2:$A$21,8)="","",INDEX(drops!$AC$2:$AC$21,8))</f>
        <v/>
      </c>
      <c r="L38" s="10">
        <f>IF(INDEX(drops!$A$2:$A$21,8)="","",INDEX(drops!$AG$2:$AG$21,8))</f>
        <v/>
      </c>
      <c r="M38" s="10">
        <f>IF(INDEX(drops!$A$2:$A$21,8)="","",INDEX(drops!$AH$2:$AH$21,8))</f>
        <v/>
      </c>
      <c r="N38" s="11">
        <f>IF(INDEX(drops!$A$2:$A$21,8)="","",INDEX(drops!$AI$2:$AI$21,8))</f>
        <v/>
      </c>
      <c r="O38" s="10">
        <f>IF(INDEX(drops!$A$2:$A$21,8)="","",INDEX(drops!$AJ$2:$AJ$21,8))</f>
        <v/>
      </c>
      <c r="P38" s="10">
        <f>IF(INDEX(drops!$A$2:$A$21,8)="","",INDEX(drops!$AK$2:$AK$21,8))</f>
        <v/>
      </c>
      <c r="Q38" s="12">
        <f>IF(INDEX(drops!$A$2:$A$21,8)="","",INDEX(drops!$AL$2:$AL$21,8))</f>
        <v/>
      </c>
      <c r="R38">
        <f>IF(INDEX(drops!$A$2:$A$21,8)="","",INDEX(drops!$AM$2:$AM$21,8))</f>
        <v/>
      </c>
      <c r="S38">
        <f>IF(INDEX(drops!$A$2:$A$21,8)="","",INDEX(drops!$AN$2:$AN$21,8))</f>
        <v/>
      </c>
      <c r="T38">
        <f>IF(INDEX(drops!$A$2:$A$21,8)="","",INDEX(drops!$AO$2:$AO$21,8))</f>
        <v/>
      </c>
    </row>
    <row r="39">
      <c r="A39">
        <f>IF(INDEX(drops!$A$2:$A$21,9)="","",INDEX(drops!$A$2:$A$21,9))</f>
        <v/>
      </c>
      <c r="B39" s="9">
        <f>IF(INDEX(drops!$A$2:$A$21,9)="","",INDEX(drops!$B$2:$B$21,9))</f>
        <v/>
      </c>
      <c r="C39">
        <f>IF(INDEX(drops!$A$2:$A$21,9)="","",INDEX(drops!$C$2:$C$21,9))</f>
        <v/>
      </c>
      <c r="D39">
        <f>IF(INDEX(drops!$A$2:$A$21,9)="","",INDEX(drops!$D$2:$D$21,9))</f>
        <v/>
      </c>
      <c r="E39">
        <f>IF(INDEX(drops!$A$2:$A$21,9)="","",INDEX(drops!$I$2:$I$21,9))</f>
        <v/>
      </c>
      <c r="F39">
        <f>IF(INDEX(drops!$A$2:$A$21,9)="","",INDEX(drops!$X$2:$X$21,9))</f>
        <v/>
      </c>
      <c r="G39" s="9">
        <f>IF(INDEX(drops!$A$2:$A$21,9)="","",INDEX(drops!$Y$2:$Y$21,9))</f>
        <v/>
      </c>
      <c r="H39">
        <f>IF(INDEX(drops!$A$2:$A$21,9)="","",INDEX(drops!$AA$2:$AA$21,9))</f>
        <v/>
      </c>
      <c r="I39">
        <f>IF(INDEX(drops!$A$2:$A$21,9)="","",INDEX(drops!$Z$2:$Z$21,9))</f>
        <v/>
      </c>
      <c r="J39">
        <f>IF(INDEX(drops!$A$2:$A$21,9)="","",INDEX(drops!$AB$2:$AB$21,9))</f>
        <v/>
      </c>
      <c r="K39" s="10">
        <f>IF(INDEX(drops!$A$2:$A$21,9)="","",INDEX(drops!$AC$2:$AC$21,9))</f>
        <v/>
      </c>
      <c r="L39" s="10">
        <f>IF(INDEX(drops!$A$2:$A$21,9)="","",INDEX(drops!$AG$2:$AG$21,9))</f>
        <v/>
      </c>
      <c r="M39" s="10">
        <f>IF(INDEX(drops!$A$2:$A$21,9)="","",INDEX(drops!$AH$2:$AH$21,9))</f>
        <v/>
      </c>
      <c r="N39" s="11">
        <f>IF(INDEX(drops!$A$2:$A$21,9)="","",INDEX(drops!$AI$2:$AI$21,9))</f>
        <v/>
      </c>
      <c r="O39" s="10">
        <f>IF(INDEX(drops!$A$2:$A$21,9)="","",INDEX(drops!$AJ$2:$AJ$21,9))</f>
        <v/>
      </c>
      <c r="P39" s="10">
        <f>IF(INDEX(drops!$A$2:$A$21,9)="","",INDEX(drops!$AK$2:$AK$21,9))</f>
        <v/>
      </c>
      <c r="Q39" s="12">
        <f>IF(INDEX(drops!$A$2:$A$21,9)="","",INDEX(drops!$AL$2:$AL$21,9))</f>
        <v/>
      </c>
      <c r="R39">
        <f>IF(INDEX(drops!$A$2:$A$21,9)="","",INDEX(drops!$AM$2:$AM$21,9))</f>
        <v/>
      </c>
      <c r="S39">
        <f>IF(INDEX(drops!$A$2:$A$21,9)="","",INDEX(drops!$AN$2:$AN$21,9))</f>
        <v/>
      </c>
      <c r="T39">
        <f>IF(INDEX(drops!$A$2:$A$21,9)="","",INDEX(drops!$AO$2:$AO$21,9))</f>
        <v/>
      </c>
    </row>
    <row r="40">
      <c r="A40">
        <f>IF(INDEX(drops!$A$2:$A$21,10)="","",INDEX(drops!$A$2:$A$21,10))</f>
        <v/>
      </c>
      <c r="B40" s="9">
        <f>IF(INDEX(drops!$A$2:$A$21,10)="","",INDEX(drops!$B$2:$B$21,10))</f>
        <v/>
      </c>
      <c r="C40">
        <f>IF(INDEX(drops!$A$2:$A$21,10)="","",INDEX(drops!$C$2:$C$21,10))</f>
        <v/>
      </c>
      <c r="D40">
        <f>IF(INDEX(drops!$A$2:$A$21,10)="","",INDEX(drops!$D$2:$D$21,10))</f>
        <v/>
      </c>
      <c r="E40">
        <f>IF(INDEX(drops!$A$2:$A$21,10)="","",INDEX(drops!$I$2:$I$21,10))</f>
        <v/>
      </c>
      <c r="F40">
        <f>IF(INDEX(drops!$A$2:$A$21,10)="","",INDEX(drops!$X$2:$X$21,10))</f>
        <v/>
      </c>
      <c r="G40" s="9">
        <f>IF(INDEX(drops!$A$2:$A$21,10)="","",INDEX(drops!$Y$2:$Y$21,10))</f>
        <v/>
      </c>
      <c r="H40">
        <f>IF(INDEX(drops!$A$2:$A$21,10)="","",INDEX(drops!$AA$2:$AA$21,10))</f>
        <v/>
      </c>
      <c r="I40">
        <f>IF(INDEX(drops!$A$2:$A$21,10)="","",INDEX(drops!$Z$2:$Z$21,10))</f>
        <v/>
      </c>
      <c r="J40">
        <f>IF(INDEX(drops!$A$2:$A$21,10)="","",INDEX(drops!$AB$2:$AB$21,10))</f>
        <v/>
      </c>
      <c r="K40" s="10">
        <f>IF(INDEX(drops!$A$2:$A$21,10)="","",INDEX(drops!$AC$2:$AC$21,10))</f>
        <v/>
      </c>
      <c r="L40" s="10">
        <f>IF(INDEX(drops!$A$2:$A$21,10)="","",INDEX(drops!$AG$2:$AG$21,10))</f>
        <v/>
      </c>
      <c r="M40" s="10">
        <f>IF(INDEX(drops!$A$2:$A$21,10)="","",INDEX(drops!$AH$2:$AH$21,10))</f>
        <v/>
      </c>
      <c r="N40" s="11">
        <f>IF(INDEX(drops!$A$2:$A$21,10)="","",INDEX(drops!$AI$2:$AI$21,10))</f>
        <v/>
      </c>
      <c r="O40" s="10">
        <f>IF(INDEX(drops!$A$2:$A$21,10)="","",INDEX(drops!$AJ$2:$AJ$21,10))</f>
        <v/>
      </c>
      <c r="P40" s="10">
        <f>IF(INDEX(drops!$A$2:$A$21,10)="","",INDEX(drops!$AK$2:$AK$21,10))</f>
        <v/>
      </c>
      <c r="Q40" s="12">
        <f>IF(INDEX(drops!$A$2:$A$21,10)="","",INDEX(drops!$AL$2:$AL$21,10))</f>
        <v/>
      </c>
      <c r="R40">
        <f>IF(INDEX(drops!$A$2:$A$21,10)="","",INDEX(drops!$AM$2:$AM$21,10))</f>
        <v/>
      </c>
      <c r="S40">
        <f>IF(INDEX(drops!$A$2:$A$21,10)="","",INDEX(drops!$AN$2:$AN$21,10))</f>
        <v/>
      </c>
      <c r="T40">
        <f>IF(INDEX(drops!$A$2:$A$21,10)="","",INDEX(drops!$AO$2:$AO$21,10))</f>
        <v/>
      </c>
    </row>
    <row r="41">
      <c r="A41">
        <f>IF(INDEX(drops!$A$2:$A$21,11)="","",INDEX(drops!$A$2:$A$21,11))</f>
        <v/>
      </c>
      <c r="B41" s="9">
        <f>IF(INDEX(drops!$A$2:$A$21,11)="","",INDEX(drops!$B$2:$B$21,11))</f>
        <v/>
      </c>
      <c r="C41">
        <f>IF(INDEX(drops!$A$2:$A$21,11)="","",INDEX(drops!$C$2:$C$21,11))</f>
        <v/>
      </c>
      <c r="D41">
        <f>IF(INDEX(drops!$A$2:$A$21,11)="","",INDEX(drops!$D$2:$D$21,11))</f>
        <v/>
      </c>
      <c r="E41">
        <f>IF(INDEX(drops!$A$2:$A$21,11)="","",INDEX(drops!$I$2:$I$21,11))</f>
        <v/>
      </c>
      <c r="F41">
        <f>IF(INDEX(drops!$A$2:$A$21,11)="","",INDEX(drops!$X$2:$X$21,11))</f>
        <v/>
      </c>
      <c r="G41" s="9">
        <f>IF(INDEX(drops!$A$2:$A$21,11)="","",INDEX(drops!$Y$2:$Y$21,11))</f>
        <v/>
      </c>
      <c r="H41">
        <f>IF(INDEX(drops!$A$2:$A$21,11)="","",INDEX(drops!$AA$2:$AA$21,11))</f>
        <v/>
      </c>
      <c r="I41">
        <f>IF(INDEX(drops!$A$2:$A$21,11)="","",INDEX(drops!$Z$2:$Z$21,11))</f>
        <v/>
      </c>
      <c r="J41">
        <f>IF(INDEX(drops!$A$2:$A$21,11)="","",INDEX(drops!$AB$2:$AB$21,11))</f>
        <v/>
      </c>
      <c r="K41" s="10">
        <f>IF(INDEX(drops!$A$2:$A$21,11)="","",INDEX(drops!$AC$2:$AC$21,11))</f>
        <v/>
      </c>
      <c r="L41" s="10">
        <f>IF(INDEX(drops!$A$2:$A$21,11)="","",INDEX(drops!$AG$2:$AG$21,11))</f>
        <v/>
      </c>
      <c r="M41" s="10">
        <f>IF(INDEX(drops!$A$2:$A$21,11)="","",INDEX(drops!$AH$2:$AH$21,11))</f>
        <v/>
      </c>
      <c r="N41" s="11">
        <f>IF(INDEX(drops!$A$2:$A$21,11)="","",INDEX(drops!$AI$2:$AI$21,11))</f>
        <v/>
      </c>
      <c r="O41" s="10">
        <f>IF(INDEX(drops!$A$2:$A$21,11)="","",INDEX(drops!$AJ$2:$AJ$21,11))</f>
        <v/>
      </c>
      <c r="P41" s="10">
        <f>IF(INDEX(drops!$A$2:$A$21,11)="","",INDEX(drops!$AK$2:$AK$21,11))</f>
        <v/>
      </c>
      <c r="Q41" s="12">
        <f>IF(INDEX(drops!$A$2:$A$21,11)="","",INDEX(drops!$AL$2:$AL$21,11))</f>
        <v/>
      </c>
      <c r="R41">
        <f>IF(INDEX(drops!$A$2:$A$21,11)="","",INDEX(drops!$AM$2:$AM$21,11))</f>
        <v/>
      </c>
      <c r="S41">
        <f>IF(INDEX(drops!$A$2:$A$21,11)="","",INDEX(drops!$AN$2:$AN$21,11))</f>
        <v/>
      </c>
      <c r="T41">
        <f>IF(INDEX(drops!$A$2:$A$21,11)="","",INDEX(drops!$AO$2:$AO$21,11))</f>
        <v/>
      </c>
    </row>
    <row r="42">
      <c r="A42">
        <f>IF(INDEX(drops!$A$2:$A$21,12)="","",INDEX(drops!$A$2:$A$21,12))</f>
        <v/>
      </c>
      <c r="B42" s="9">
        <f>IF(INDEX(drops!$A$2:$A$21,12)="","",INDEX(drops!$B$2:$B$21,12))</f>
        <v/>
      </c>
      <c r="C42">
        <f>IF(INDEX(drops!$A$2:$A$21,12)="","",INDEX(drops!$C$2:$C$21,12))</f>
        <v/>
      </c>
      <c r="D42">
        <f>IF(INDEX(drops!$A$2:$A$21,12)="","",INDEX(drops!$D$2:$D$21,12))</f>
        <v/>
      </c>
      <c r="E42">
        <f>IF(INDEX(drops!$A$2:$A$21,12)="","",INDEX(drops!$I$2:$I$21,12))</f>
        <v/>
      </c>
      <c r="F42">
        <f>IF(INDEX(drops!$A$2:$A$21,12)="","",INDEX(drops!$X$2:$X$21,12))</f>
        <v/>
      </c>
      <c r="G42" s="9">
        <f>IF(INDEX(drops!$A$2:$A$21,12)="","",INDEX(drops!$Y$2:$Y$21,12))</f>
        <v/>
      </c>
      <c r="H42">
        <f>IF(INDEX(drops!$A$2:$A$21,12)="","",INDEX(drops!$AA$2:$AA$21,12))</f>
        <v/>
      </c>
      <c r="I42">
        <f>IF(INDEX(drops!$A$2:$A$21,12)="","",INDEX(drops!$Z$2:$Z$21,12))</f>
        <v/>
      </c>
      <c r="J42">
        <f>IF(INDEX(drops!$A$2:$A$21,12)="","",INDEX(drops!$AB$2:$AB$21,12))</f>
        <v/>
      </c>
      <c r="K42" s="10">
        <f>IF(INDEX(drops!$A$2:$A$21,12)="","",INDEX(drops!$AC$2:$AC$21,12))</f>
        <v/>
      </c>
      <c r="L42" s="10">
        <f>IF(INDEX(drops!$A$2:$A$21,12)="","",INDEX(drops!$AG$2:$AG$21,12))</f>
        <v/>
      </c>
      <c r="M42" s="10">
        <f>IF(INDEX(drops!$A$2:$A$21,12)="","",INDEX(drops!$AH$2:$AH$21,12))</f>
        <v/>
      </c>
      <c r="N42" s="11">
        <f>IF(INDEX(drops!$A$2:$A$21,12)="","",INDEX(drops!$AI$2:$AI$21,12))</f>
        <v/>
      </c>
      <c r="O42" s="10">
        <f>IF(INDEX(drops!$A$2:$A$21,12)="","",INDEX(drops!$AJ$2:$AJ$21,12))</f>
        <v/>
      </c>
      <c r="P42" s="10">
        <f>IF(INDEX(drops!$A$2:$A$21,12)="","",INDEX(drops!$AK$2:$AK$21,12))</f>
        <v/>
      </c>
      <c r="Q42" s="12">
        <f>IF(INDEX(drops!$A$2:$A$21,12)="","",INDEX(drops!$AL$2:$AL$21,12))</f>
        <v/>
      </c>
      <c r="R42">
        <f>IF(INDEX(drops!$A$2:$A$21,12)="","",INDEX(drops!$AM$2:$AM$21,12))</f>
        <v/>
      </c>
      <c r="S42">
        <f>IF(INDEX(drops!$A$2:$A$21,12)="","",INDEX(drops!$AN$2:$AN$21,12))</f>
        <v/>
      </c>
      <c r="T42">
        <f>IF(INDEX(drops!$A$2:$A$21,12)="","",INDEX(drops!$AO$2:$AO$21,12))</f>
        <v/>
      </c>
    </row>
    <row r="43">
      <c r="A43">
        <f>IF(INDEX(drops!$A$2:$A$21,13)="","",INDEX(drops!$A$2:$A$21,13))</f>
        <v/>
      </c>
      <c r="B43" s="9">
        <f>IF(INDEX(drops!$A$2:$A$21,13)="","",INDEX(drops!$B$2:$B$21,13))</f>
        <v/>
      </c>
      <c r="C43">
        <f>IF(INDEX(drops!$A$2:$A$21,13)="","",INDEX(drops!$C$2:$C$21,13))</f>
        <v/>
      </c>
      <c r="D43">
        <f>IF(INDEX(drops!$A$2:$A$21,13)="","",INDEX(drops!$D$2:$D$21,13))</f>
        <v/>
      </c>
      <c r="E43">
        <f>IF(INDEX(drops!$A$2:$A$21,13)="","",INDEX(drops!$I$2:$I$21,13))</f>
        <v/>
      </c>
      <c r="F43">
        <f>IF(INDEX(drops!$A$2:$A$21,13)="","",INDEX(drops!$X$2:$X$21,13))</f>
        <v/>
      </c>
      <c r="G43" s="9">
        <f>IF(INDEX(drops!$A$2:$A$21,13)="","",INDEX(drops!$Y$2:$Y$21,13))</f>
        <v/>
      </c>
      <c r="H43">
        <f>IF(INDEX(drops!$A$2:$A$21,13)="","",INDEX(drops!$AA$2:$AA$21,13))</f>
        <v/>
      </c>
      <c r="I43">
        <f>IF(INDEX(drops!$A$2:$A$21,13)="","",INDEX(drops!$Z$2:$Z$21,13))</f>
        <v/>
      </c>
      <c r="J43">
        <f>IF(INDEX(drops!$A$2:$A$21,13)="","",INDEX(drops!$AB$2:$AB$21,13))</f>
        <v/>
      </c>
      <c r="K43" s="10">
        <f>IF(INDEX(drops!$A$2:$A$21,13)="","",INDEX(drops!$AC$2:$AC$21,13))</f>
        <v/>
      </c>
      <c r="L43" s="10">
        <f>IF(INDEX(drops!$A$2:$A$21,13)="","",INDEX(drops!$AG$2:$AG$21,13))</f>
        <v/>
      </c>
      <c r="M43" s="10">
        <f>IF(INDEX(drops!$A$2:$A$21,13)="","",INDEX(drops!$AH$2:$AH$21,13))</f>
        <v/>
      </c>
      <c r="N43" s="11">
        <f>IF(INDEX(drops!$A$2:$A$21,13)="","",INDEX(drops!$AI$2:$AI$21,13))</f>
        <v/>
      </c>
      <c r="O43" s="10">
        <f>IF(INDEX(drops!$A$2:$A$21,13)="","",INDEX(drops!$AJ$2:$AJ$21,13))</f>
        <v/>
      </c>
      <c r="P43" s="10">
        <f>IF(INDEX(drops!$A$2:$A$21,13)="","",INDEX(drops!$AK$2:$AK$21,13))</f>
        <v/>
      </c>
      <c r="Q43" s="12">
        <f>IF(INDEX(drops!$A$2:$A$21,13)="","",INDEX(drops!$AL$2:$AL$21,13))</f>
        <v/>
      </c>
      <c r="R43">
        <f>IF(INDEX(drops!$A$2:$A$21,13)="","",INDEX(drops!$AM$2:$AM$21,13))</f>
        <v/>
      </c>
      <c r="S43">
        <f>IF(INDEX(drops!$A$2:$A$21,13)="","",INDEX(drops!$AN$2:$AN$21,13))</f>
        <v/>
      </c>
      <c r="T43">
        <f>IF(INDEX(drops!$A$2:$A$21,13)="","",INDEX(drops!$AO$2:$AO$21,13))</f>
        <v/>
      </c>
    </row>
    <row r="44">
      <c r="A44">
        <f>IF(INDEX(drops!$A$2:$A$21,14)="","",INDEX(drops!$A$2:$A$21,14))</f>
        <v/>
      </c>
      <c r="B44" s="9">
        <f>IF(INDEX(drops!$A$2:$A$21,14)="","",INDEX(drops!$B$2:$B$21,14))</f>
        <v/>
      </c>
      <c r="C44">
        <f>IF(INDEX(drops!$A$2:$A$21,14)="","",INDEX(drops!$C$2:$C$21,14))</f>
        <v/>
      </c>
      <c r="D44">
        <f>IF(INDEX(drops!$A$2:$A$21,14)="","",INDEX(drops!$D$2:$D$21,14))</f>
        <v/>
      </c>
      <c r="E44">
        <f>IF(INDEX(drops!$A$2:$A$21,14)="","",INDEX(drops!$I$2:$I$21,14))</f>
        <v/>
      </c>
      <c r="F44">
        <f>IF(INDEX(drops!$A$2:$A$21,14)="","",INDEX(drops!$X$2:$X$21,14))</f>
        <v/>
      </c>
      <c r="G44" s="9">
        <f>IF(INDEX(drops!$A$2:$A$21,14)="","",INDEX(drops!$Y$2:$Y$21,14))</f>
        <v/>
      </c>
      <c r="H44">
        <f>IF(INDEX(drops!$A$2:$A$21,14)="","",INDEX(drops!$AA$2:$AA$21,14))</f>
        <v/>
      </c>
      <c r="I44">
        <f>IF(INDEX(drops!$A$2:$A$21,14)="","",INDEX(drops!$Z$2:$Z$21,14))</f>
        <v/>
      </c>
      <c r="J44">
        <f>IF(INDEX(drops!$A$2:$A$21,14)="","",INDEX(drops!$AB$2:$AB$21,14))</f>
        <v/>
      </c>
      <c r="K44" s="10">
        <f>IF(INDEX(drops!$A$2:$A$21,14)="","",INDEX(drops!$AC$2:$AC$21,14))</f>
        <v/>
      </c>
      <c r="L44" s="10">
        <f>IF(INDEX(drops!$A$2:$A$21,14)="","",INDEX(drops!$AG$2:$AG$21,14))</f>
        <v/>
      </c>
      <c r="M44" s="10">
        <f>IF(INDEX(drops!$A$2:$A$21,14)="","",INDEX(drops!$AH$2:$AH$21,14))</f>
        <v/>
      </c>
      <c r="N44" s="11">
        <f>IF(INDEX(drops!$A$2:$A$21,14)="","",INDEX(drops!$AI$2:$AI$21,14))</f>
        <v/>
      </c>
      <c r="O44" s="10">
        <f>IF(INDEX(drops!$A$2:$A$21,14)="","",INDEX(drops!$AJ$2:$AJ$21,14))</f>
        <v/>
      </c>
      <c r="P44" s="10">
        <f>IF(INDEX(drops!$A$2:$A$21,14)="","",INDEX(drops!$AK$2:$AK$21,14))</f>
        <v/>
      </c>
      <c r="Q44" s="12">
        <f>IF(INDEX(drops!$A$2:$A$21,14)="","",INDEX(drops!$AL$2:$AL$21,14))</f>
        <v/>
      </c>
      <c r="R44">
        <f>IF(INDEX(drops!$A$2:$A$21,14)="","",INDEX(drops!$AM$2:$AM$21,14))</f>
        <v/>
      </c>
      <c r="S44">
        <f>IF(INDEX(drops!$A$2:$A$21,14)="","",INDEX(drops!$AN$2:$AN$21,14))</f>
        <v/>
      </c>
      <c r="T44">
        <f>IF(INDEX(drops!$A$2:$A$21,14)="","",INDEX(drops!$AO$2:$AO$21,14))</f>
        <v/>
      </c>
    </row>
    <row r="45">
      <c r="A45">
        <f>IF(INDEX(drops!$A$2:$A$21,15)="","",INDEX(drops!$A$2:$A$21,15))</f>
        <v/>
      </c>
      <c r="B45" s="9">
        <f>IF(INDEX(drops!$A$2:$A$21,15)="","",INDEX(drops!$B$2:$B$21,15))</f>
        <v/>
      </c>
      <c r="C45">
        <f>IF(INDEX(drops!$A$2:$A$21,15)="","",INDEX(drops!$C$2:$C$21,15))</f>
        <v/>
      </c>
      <c r="D45">
        <f>IF(INDEX(drops!$A$2:$A$21,15)="","",INDEX(drops!$D$2:$D$21,15))</f>
        <v/>
      </c>
      <c r="E45">
        <f>IF(INDEX(drops!$A$2:$A$21,15)="","",INDEX(drops!$I$2:$I$21,15))</f>
        <v/>
      </c>
      <c r="F45">
        <f>IF(INDEX(drops!$A$2:$A$21,15)="","",INDEX(drops!$X$2:$X$21,15))</f>
        <v/>
      </c>
      <c r="G45" s="9">
        <f>IF(INDEX(drops!$A$2:$A$21,15)="","",INDEX(drops!$Y$2:$Y$21,15))</f>
        <v/>
      </c>
      <c r="H45">
        <f>IF(INDEX(drops!$A$2:$A$21,15)="","",INDEX(drops!$AA$2:$AA$21,15))</f>
        <v/>
      </c>
      <c r="I45">
        <f>IF(INDEX(drops!$A$2:$A$21,15)="","",INDEX(drops!$Z$2:$Z$21,15))</f>
        <v/>
      </c>
      <c r="J45">
        <f>IF(INDEX(drops!$A$2:$A$21,15)="","",INDEX(drops!$AB$2:$AB$21,15))</f>
        <v/>
      </c>
      <c r="K45" s="10">
        <f>IF(INDEX(drops!$A$2:$A$21,15)="","",INDEX(drops!$AC$2:$AC$21,15))</f>
        <v/>
      </c>
      <c r="L45" s="10">
        <f>IF(INDEX(drops!$A$2:$A$21,15)="","",INDEX(drops!$AG$2:$AG$21,15))</f>
        <v/>
      </c>
      <c r="M45" s="10">
        <f>IF(INDEX(drops!$A$2:$A$21,15)="","",INDEX(drops!$AH$2:$AH$21,15))</f>
        <v/>
      </c>
      <c r="N45" s="11">
        <f>IF(INDEX(drops!$A$2:$A$21,15)="","",INDEX(drops!$AI$2:$AI$21,15))</f>
        <v/>
      </c>
      <c r="O45" s="10">
        <f>IF(INDEX(drops!$A$2:$A$21,15)="","",INDEX(drops!$AJ$2:$AJ$21,15))</f>
        <v/>
      </c>
      <c r="P45" s="10">
        <f>IF(INDEX(drops!$A$2:$A$21,15)="","",INDEX(drops!$AK$2:$AK$21,15))</f>
        <v/>
      </c>
      <c r="Q45" s="12">
        <f>IF(INDEX(drops!$A$2:$A$21,15)="","",INDEX(drops!$AL$2:$AL$21,15))</f>
        <v/>
      </c>
      <c r="R45">
        <f>IF(INDEX(drops!$A$2:$A$21,15)="","",INDEX(drops!$AM$2:$AM$21,15))</f>
        <v/>
      </c>
      <c r="S45">
        <f>IF(INDEX(drops!$A$2:$A$21,15)="","",INDEX(drops!$AN$2:$AN$21,15))</f>
        <v/>
      </c>
      <c r="T45">
        <f>IF(INDEX(drops!$A$2:$A$21,15)="","",INDEX(drops!$AO$2:$AO$21,15))</f>
        <v/>
      </c>
    </row>
    <row r="46">
      <c r="A46" s="13" t="inlineStr">
        <is>
          <t>Contribution here = revenue (net of credit notes) - direct costs (kit, transport, other) - card fees, before overhead. The financial model also subtracts its planned overhead allocation (software, insurance, storage), so its figure per drop is lower by that amount.</t>
        </is>
      </c>
    </row>
    <row r="47">
      <c r="A47" s="8" t="inlineStr">
        <is>
          <t>Campaigns (every rung kept separate)</t>
        </is>
      </c>
    </row>
    <row r="48">
      <c r="A48" s="6" t="inlineStr">
        <is>
          <t>campaign</t>
        </is>
      </c>
      <c r="B48" s="6" t="inlineStr">
        <is>
          <t>brand</t>
        </is>
      </c>
      <c r="C48" s="6" t="inlineStr">
        <is>
          <t>drop</t>
        </is>
      </c>
      <c r="D48" s="6" t="inlineStr">
        <is>
          <t>tier</t>
        </is>
      </c>
      <c r="E48" s="6" t="inlineStr">
        <is>
          <t>ship release</t>
        </is>
      </c>
      <c r="F48" s="6" t="inlineStr">
        <is>
          <t>offices approved</t>
        </is>
      </c>
      <c r="G48" s="6" t="inlineStr">
        <is>
          <t>on the drop</t>
        </is>
      </c>
      <c r="H48" s="6" t="inlineStr">
        <is>
          <t>contracted</t>
        </is>
      </c>
      <c r="I48" s="6" t="inlineStr">
        <is>
          <t>delivered</t>
        </is>
      </c>
      <c r="J48" s="6" t="inlineStr">
        <is>
          <t>placed within 1 bd</t>
        </is>
      </c>
      <c r="K48" s="6" t="inlineStr">
        <is>
          <t>share</t>
        </is>
      </c>
      <c r="L48" s="6" t="inlineStr">
        <is>
          <t>topped up</t>
        </is>
      </c>
      <c r="M48" s="6" t="inlineStr">
        <is>
          <t>depleted by day 5</t>
        </is>
      </c>
      <c r="N48" s="6" t="inlineStr">
        <is>
          <t>responded</t>
        </is>
      </c>
      <c r="O48" s="6" t="inlineStr">
        <is>
          <t>fewest at one office</t>
        </is>
      </c>
      <c r="P48" s="6" t="inlineStr">
        <is>
          <t>said they tried</t>
        </is>
      </c>
      <c r="Q48" s="6" t="inlineStr">
        <is>
          <t>avg rating</t>
        </is>
      </c>
      <c r="R48" s="6" t="inlineStr">
        <is>
          <t>QR scans</t>
        </is>
      </c>
      <c r="S48" s="6" t="inlineStr">
        <is>
          <t>code redemptions</t>
        </is>
      </c>
      <c r="T48" s="6" t="inlineStr">
        <is>
          <t>revenue</t>
        </is>
      </c>
      <c r="U48" s="6" t="inlineStr">
        <is>
          <t>per founder hour, before overhead</t>
        </is>
      </c>
      <c r="V48" s="6" t="inlineStr">
        <is>
          <t>G2 placed</t>
        </is>
      </c>
      <c r="W48" s="6" t="inlineStr">
        <is>
          <t>G2 responses</t>
        </is>
      </c>
      <c r="X48" s="6" t="inlineStr">
        <is>
          <t>G2 report</t>
        </is>
      </c>
      <c r="Y48" s="6" t="inlineStr">
        <is>
          <t>buy again</t>
        </is>
      </c>
      <c r="Z48" s="6" t="inlineStr">
        <is>
          <t>checks</t>
        </is>
      </c>
    </row>
    <row r="49">
      <c r="A49">
        <f>IF(INDEX(campaigns!$A$2:$A$51,1)="","",INDEX(campaigns!$A$2:$A$51,1))</f>
        <v/>
      </c>
      <c r="B49">
        <f>IF(INDEX(campaigns!$A$2:$A$51,1)="","",INDEX(campaigns!$BE$2:$BE$51,1))</f>
        <v/>
      </c>
      <c r="C49" s="9">
        <f>IF(INDEX(campaigns!$A$2:$A$51,1)="","",INDEX(campaigns!$BG$2:$BG$51,1))</f>
        <v/>
      </c>
      <c r="D49">
        <f>IF(INDEX(campaigns!$A$2:$A$51,1)="","",INDEX(campaigns!$D$2:$D$51,1))</f>
        <v/>
      </c>
      <c r="E49">
        <f>IF(INDEX(campaigns!$A$2:$A$51,1)="","",INDEX(campaigns!$BW$2:$BW$51,1))</f>
        <v/>
      </c>
      <c r="F49">
        <f>IF(INDEX(campaigns!$A$2:$A$51,1)="","",INDEX(campaigns!$BO$2:$BO$51,1))</f>
        <v/>
      </c>
      <c r="G49">
        <f>IF(INDEX(campaigns!$A$2:$A$51,1)="","",INDEX(campaigns!$BP$2:$BP$51,1))</f>
        <v/>
      </c>
      <c r="H49">
        <f>IF(INDEX(campaigns!$A$2:$A$51,1)="","",INDEX(campaigns!$F$2:$F$51,1))</f>
        <v/>
      </c>
      <c r="I49">
        <f>IF(INDEX(campaigns!$A$2:$A$51,1)="","",INDEX(campaigns!$CB$2:$CB$51,1))</f>
        <v/>
      </c>
      <c r="J49">
        <f>IF(INDEX(campaigns!$A$2:$A$51,1)="","",INDEX(campaigns!$CD$2:$CD$51,1))</f>
        <v/>
      </c>
      <c r="K49" s="12">
        <f>IF(INDEX(campaigns!$A$2:$A$51,1)="","",INDEX(campaigns!$CE$2:$CE$51,1))</f>
        <v/>
      </c>
      <c r="L49">
        <f>IF(INDEX(campaigns!$A$2:$A$51,1)="","",INDEX(campaigns!$CF$2:$CF$51,1))</f>
        <v/>
      </c>
      <c r="M49">
        <f>IF(INDEX(campaigns!$A$2:$A$51,1)="","",INDEX(campaigns!$CG$2:$CG$51,1))</f>
        <v/>
      </c>
      <c r="N49">
        <f>IF(INDEX(campaigns!$A$2:$A$51,1)="","",INDEX(campaigns!$CH$2:$CH$51,1))</f>
        <v/>
      </c>
      <c r="O49">
        <f>IF(INDEX(campaigns!$A$2:$A$51,1)="","",INDEX(campaigns!$CI$2:$CI$51,1))</f>
        <v/>
      </c>
      <c r="P49">
        <f>IF(INDEX(campaigns!$A$2:$A$51,1)="","",INDEX(campaigns!$CK$2:$CK$51,1))</f>
        <v/>
      </c>
      <c r="Q49" s="11">
        <f>IF(INDEX(campaigns!$A$2:$A$51,1)="","",INDEX(campaigns!$CP$2:$CP$51,1))</f>
        <v/>
      </c>
      <c r="R49">
        <f>IF(INDEX(campaigns!$A$2:$A$51,1)="","",INDEX(campaigns!$CW$2:$CW$51,1))</f>
        <v/>
      </c>
      <c r="S49">
        <f>IF(INDEX(campaigns!$A$2:$A$51,1)="","",INDEX(campaigns!$CY$2:$CY$51,1))</f>
        <v/>
      </c>
      <c r="T49" s="10">
        <f>IF(INDEX(campaigns!$A$2:$A$51,1)="","",INDEX(campaigns!$DB$2:$DB$51,1))</f>
        <v/>
      </c>
      <c r="U49" s="10">
        <f>IF(INDEX(campaigns!$A$2:$A$51,1)="","",INDEX(campaigns!$DL$2:$DL$51,1))</f>
        <v/>
      </c>
      <c r="V49">
        <f>IF(INDEX(campaigns!$A$2:$A$51,1)="","",INDEX(campaigns!$DR$2:$DR$51,1))</f>
        <v/>
      </c>
      <c r="W49">
        <f>IF(INDEX(campaigns!$A$2:$A$51,1)="","",INDEX(campaigns!$DS$2:$DS$51,1))</f>
        <v/>
      </c>
      <c r="X49">
        <f>IF(INDEX(campaigns!$A$2:$A$51,1)="","",INDEX(campaigns!$DT$2:$DT$51,1))</f>
        <v/>
      </c>
      <c r="Y49">
        <f>IF(INDEX(campaigns!$A$2:$A$51,1)="","",INDEX(campaigns!$AV$2:$AV$51,1))</f>
        <v/>
      </c>
      <c r="Z49">
        <f>IF(INDEX(campaigns!$A$2:$A$51,1)="","",INDEX(campaigns!$DU$2:$DU$51,1))</f>
        <v/>
      </c>
    </row>
    <row r="50">
      <c r="A50">
        <f>IF(INDEX(campaigns!$A$2:$A$51,2)="","",INDEX(campaigns!$A$2:$A$51,2))</f>
        <v/>
      </c>
      <c r="B50">
        <f>IF(INDEX(campaigns!$A$2:$A$51,2)="","",INDEX(campaigns!$BE$2:$BE$51,2))</f>
        <v/>
      </c>
      <c r="C50" s="9">
        <f>IF(INDEX(campaigns!$A$2:$A$51,2)="","",INDEX(campaigns!$BG$2:$BG$51,2))</f>
        <v/>
      </c>
      <c r="D50">
        <f>IF(INDEX(campaigns!$A$2:$A$51,2)="","",INDEX(campaigns!$D$2:$D$51,2))</f>
        <v/>
      </c>
      <c r="E50">
        <f>IF(INDEX(campaigns!$A$2:$A$51,2)="","",INDEX(campaigns!$BW$2:$BW$51,2))</f>
        <v/>
      </c>
      <c r="F50">
        <f>IF(INDEX(campaigns!$A$2:$A$51,2)="","",INDEX(campaigns!$BO$2:$BO$51,2))</f>
        <v/>
      </c>
      <c r="G50">
        <f>IF(INDEX(campaigns!$A$2:$A$51,2)="","",INDEX(campaigns!$BP$2:$BP$51,2))</f>
        <v/>
      </c>
      <c r="H50">
        <f>IF(INDEX(campaigns!$A$2:$A$51,2)="","",INDEX(campaigns!$F$2:$F$51,2))</f>
        <v/>
      </c>
      <c r="I50">
        <f>IF(INDEX(campaigns!$A$2:$A$51,2)="","",INDEX(campaigns!$CB$2:$CB$51,2))</f>
        <v/>
      </c>
      <c r="J50">
        <f>IF(INDEX(campaigns!$A$2:$A$51,2)="","",INDEX(campaigns!$CD$2:$CD$51,2))</f>
        <v/>
      </c>
      <c r="K50" s="12">
        <f>IF(INDEX(campaigns!$A$2:$A$51,2)="","",INDEX(campaigns!$CE$2:$CE$51,2))</f>
        <v/>
      </c>
      <c r="L50">
        <f>IF(INDEX(campaigns!$A$2:$A$51,2)="","",INDEX(campaigns!$CF$2:$CF$51,2))</f>
        <v/>
      </c>
      <c r="M50">
        <f>IF(INDEX(campaigns!$A$2:$A$51,2)="","",INDEX(campaigns!$CG$2:$CG$51,2))</f>
        <v/>
      </c>
      <c r="N50">
        <f>IF(INDEX(campaigns!$A$2:$A$51,2)="","",INDEX(campaigns!$CH$2:$CH$51,2))</f>
        <v/>
      </c>
      <c r="O50">
        <f>IF(INDEX(campaigns!$A$2:$A$51,2)="","",INDEX(campaigns!$CI$2:$CI$51,2))</f>
        <v/>
      </c>
      <c r="P50">
        <f>IF(INDEX(campaigns!$A$2:$A$51,2)="","",INDEX(campaigns!$CK$2:$CK$51,2))</f>
        <v/>
      </c>
      <c r="Q50" s="11">
        <f>IF(INDEX(campaigns!$A$2:$A$51,2)="","",INDEX(campaigns!$CP$2:$CP$51,2))</f>
        <v/>
      </c>
      <c r="R50">
        <f>IF(INDEX(campaigns!$A$2:$A$51,2)="","",INDEX(campaigns!$CW$2:$CW$51,2))</f>
        <v/>
      </c>
      <c r="S50">
        <f>IF(INDEX(campaigns!$A$2:$A$51,2)="","",INDEX(campaigns!$CY$2:$CY$51,2))</f>
        <v/>
      </c>
      <c r="T50" s="10">
        <f>IF(INDEX(campaigns!$A$2:$A$51,2)="","",INDEX(campaigns!$DB$2:$DB$51,2))</f>
        <v/>
      </c>
      <c r="U50" s="10">
        <f>IF(INDEX(campaigns!$A$2:$A$51,2)="","",INDEX(campaigns!$DL$2:$DL$51,2))</f>
        <v/>
      </c>
      <c r="V50">
        <f>IF(INDEX(campaigns!$A$2:$A$51,2)="","",INDEX(campaigns!$DR$2:$DR$51,2))</f>
        <v/>
      </c>
      <c r="W50">
        <f>IF(INDEX(campaigns!$A$2:$A$51,2)="","",INDEX(campaigns!$DS$2:$DS$51,2))</f>
        <v/>
      </c>
      <c r="X50">
        <f>IF(INDEX(campaigns!$A$2:$A$51,2)="","",INDEX(campaigns!$DT$2:$DT$51,2))</f>
        <v/>
      </c>
      <c r="Y50">
        <f>IF(INDEX(campaigns!$A$2:$A$51,2)="","",INDEX(campaigns!$AV$2:$AV$51,2))</f>
        <v/>
      </c>
      <c r="Z50">
        <f>IF(INDEX(campaigns!$A$2:$A$51,2)="","",INDEX(campaigns!$DU$2:$DU$51,2))</f>
        <v/>
      </c>
    </row>
    <row r="51">
      <c r="A51">
        <f>IF(INDEX(campaigns!$A$2:$A$51,3)="","",INDEX(campaigns!$A$2:$A$51,3))</f>
        <v/>
      </c>
      <c r="B51">
        <f>IF(INDEX(campaigns!$A$2:$A$51,3)="","",INDEX(campaigns!$BE$2:$BE$51,3))</f>
        <v/>
      </c>
      <c r="C51" s="9">
        <f>IF(INDEX(campaigns!$A$2:$A$51,3)="","",INDEX(campaigns!$BG$2:$BG$51,3))</f>
        <v/>
      </c>
      <c r="D51">
        <f>IF(INDEX(campaigns!$A$2:$A$51,3)="","",INDEX(campaigns!$D$2:$D$51,3))</f>
        <v/>
      </c>
      <c r="E51">
        <f>IF(INDEX(campaigns!$A$2:$A$51,3)="","",INDEX(campaigns!$BW$2:$BW$51,3))</f>
        <v/>
      </c>
      <c r="F51">
        <f>IF(INDEX(campaigns!$A$2:$A$51,3)="","",INDEX(campaigns!$BO$2:$BO$51,3))</f>
        <v/>
      </c>
      <c r="G51">
        <f>IF(INDEX(campaigns!$A$2:$A$51,3)="","",INDEX(campaigns!$BP$2:$BP$51,3))</f>
        <v/>
      </c>
      <c r="H51">
        <f>IF(INDEX(campaigns!$A$2:$A$51,3)="","",INDEX(campaigns!$F$2:$F$51,3))</f>
        <v/>
      </c>
      <c r="I51">
        <f>IF(INDEX(campaigns!$A$2:$A$51,3)="","",INDEX(campaigns!$CB$2:$CB$51,3))</f>
        <v/>
      </c>
      <c r="J51">
        <f>IF(INDEX(campaigns!$A$2:$A$51,3)="","",INDEX(campaigns!$CD$2:$CD$51,3))</f>
        <v/>
      </c>
      <c r="K51" s="12">
        <f>IF(INDEX(campaigns!$A$2:$A$51,3)="","",INDEX(campaigns!$CE$2:$CE$51,3))</f>
        <v/>
      </c>
      <c r="L51">
        <f>IF(INDEX(campaigns!$A$2:$A$51,3)="","",INDEX(campaigns!$CF$2:$CF$51,3))</f>
        <v/>
      </c>
      <c r="M51">
        <f>IF(INDEX(campaigns!$A$2:$A$51,3)="","",INDEX(campaigns!$CG$2:$CG$51,3))</f>
        <v/>
      </c>
      <c r="N51">
        <f>IF(INDEX(campaigns!$A$2:$A$51,3)="","",INDEX(campaigns!$CH$2:$CH$51,3))</f>
        <v/>
      </c>
      <c r="O51">
        <f>IF(INDEX(campaigns!$A$2:$A$51,3)="","",INDEX(campaigns!$CI$2:$CI$51,3))</f>
        <v/>
      </c>
      <c r="P51">
        <f>IF(INDEX(campaigns!$A$2:$A$51,3)="","",INDEX(campaigns!$CK$2:$CK$51,3))</f>
        <v/>
      </c>
      <c r="Q51" s="11">
        <f>IF(INDEX(campaigns!$A$2:$A$51,3)="","",INDEX(campaigns!$CP$2:$CP$51,3))</f>
        <v/>
      </c>
      <c r="R51">
        <f>IF(INDEX(campaigns!$A$2:$A$51,3)="","",INDEX(campaigns!$CW$2:$CW$51,3))</f>
        <v/>
      </c>
      <c r="S51">
        <f>IF(INDEX(campaigns!$A$2:$A$51,3)="","",INDEX(campaigns!$CY$2:$CY$51,3))</f>
        <v/>
      </c>
      <c r="T51" s="10">
        <f>IF(INDEX(campaigns!$A$2:$A$51,3)="","",INDEX(campaigns!$DB$2:$DB$51,3))</f>
        <v/>
      </c>
      <c r="U51" s="10">
        <f>IF(INDEX(campaigns!$A$2:$A$51,3)="","",INDEX(campaigns!$DL$2:$DL$51,3))</f>
        <v/>
      </c>
      <c r="V51">
        <f>IF(INDEX(campaigns!$A$2:$A$51,3)="","",INDEX(campaigns!$DR$2:$DR$51,3))</f>
        <v/>
      </c>
      <c r="W51">
        <f>IF(INDEX(campaigns!$A$2:$A$51,3)="","",INDEX(campaigns!$DS$2:$DS$51,3))</f>
        <v/>
      </c>
      <c r="X51">
        <f>IF(INDEX(campaigns!$A$2:$A$51,3)="","",INDEX(campaigns!$DT$2:$DT$51,3))</f>
        <v/>
      </c>
      <c r="Y51">
        <f>IF(INDEX(campaigns!$A$2:$A$51,3)="","",INDEX(campaigns!$AV$2:$AV$51,3))</f>
        <v/>
      </c>
      <c r="Z51">
        <f>IF(INDEX(campaigns!$A$2:$A$51,3)="","",INDEX(campaigns!$DU$2:$DU$51,3))</f>
        <v/>
      </c>
    </row>
    <row r="52">
      <c r="A52">
        <f>IF(INDEX(campaigns!$A$2:$A$51,4)="","",INDEX(campaigns!$A$2:$A$51,4))</f>
        <v/>
      </c>
      <c r="B52">
        <f>IF(INDEX(campaigns!$A$2:$A$51,4)="","",INDEX(campaigns!$BE$2:$BE$51,4))</f>
        <v/>
      </c>
      <c r="C52" s="9">
        <f>IF(INDEX(campaigns!$A$2:$A$51,4)="","",INDEX(campaigns!$BG$2:$BG$51,4))</f>
        <v/>
      </c>
      <c r="D52">
        <f>IF(INDEX(campaigns!$A$2:$A$51,4)="","",INDEX(campaigns!$D$2:$D$51,4))</f>
        <v/>
      </c>
      <c r="E52">
        <f>IF(INDEX(campaigns!$A$2:$A$51,4)="","",INDEX(campaigns!$BW$2:$BW$51,4))</f>
        <v/>
      </c>
      <c r="F52">
        <f>IF(INDEX(campaigns!$A$2:$A$51,4)="","",INDEX(campaigns!$BO$2:$BO$51,4))</f>
        <v/>
      </c>
      <c r="G52">
        <f>IF(INDEX(campaigns!$A$2:$A$51,4)="","",INDEX(campaigns!$BP$2:$BP$51,4))</f>
        <v/>
      </c>
      <c r="H52">
        <f>IF(INDEX(campaigns!$A$2:$A$51,4)="","",INDEX(campaigns!$F$2:$F$51,4))</f>
        <v/>
      </c>
      <c r="I52">
        <f>IF(INDEX(campaigns!$A$2:$A$51,4)="","",INDEX(campaigns!$CB$2:$CB$51,4))</f>
        <v/>
      </c>
      <c r="J52">
        <f>IF(INDEX(campaigns!$A$2:$A$51,4)="","",INDEX(campaigns!$CD$2:$CD$51,4))</f>
        <v/>
      </c>
      <c r="K52" s="12">
        <f>IF(INDEX(campaigns!$A$2:$A$51,4)="","",INDEX(campaigns!$CE$2:$CE$51,4))</f>
        <v/>
      </c>
      <c r="L52">
        <f>IF(INDEX(campaigns!$A$2:$A$51,4)="","",INDEX(campaigns!$CF$2:$CF$51,4))</f>
        <v/>
      </c>
      <c r="M52">
        <f>IF(INDEX(campaigns!$A$2:$A$51,4)="","",INDEX(campaigns!$CG$2:$CG$51,4))</f>
        <v/>
      </c>
      <c r="N52">
        <f>IF(INDEX(campaigns!$A$2:$A$51,4)="","",INDEX(campaigns!$CH$2:$CH$51,4))</f>
        <v/>
      </c>
      <c r="O52">
        <f>IF(INDEX(campaigns!$A$2:$A$51,4)="","",INDEX(campaigns!$CI$2:$CI$51,4))</f>
        <v/>
      </c>
      <c r="P52">
        <f>IF(INDEX(campaigns!$A$2:$A$51,4)="","",INDEX(campaigns!$CK$2:$CK$51,4))</f>
        <v/>
      </c>
      <c r="Q52" s="11">
        <f>IF(INDEX(campaigns!$A$2:$A$51,4)="","",INDEX(campaigns!$CP$2:$CP$51,4))</f>
        <v/>
      </c>
      <c r="R52">
        <f>IF(INDEX(campaigns!$A$2:$A$51,4)="","",INDEX(campaigns!$CW$2:$CW$51,4))</f>
        <v/>
      </c>
      <c r="S52">
        <f>IF(INDEX(campaigns!$A$2:$A$51,4)="","",INDEX(campaigns!$CY$2:$CY$51,4))</f>
        <v/>
      </c>
      <c r="T52" s="10">
        <f>IF(INDEX(campaigns!$A$2:$A$51,4)="","",INDEX(campaigns!$DB$2:$DB$51,4))</f>
        <v/>
      </c>
      <c r="U52" s="10">
        <f>IF(INDEX(campaigns!$A$2:$A$51,4)="","",INDEX(campaigns!$DL$2:$DL$51,4))</f>
        <v/>
      </c>
      <c r="V52">
        <f>IF(INDEX(campaigns!$A$2:$A$51,4)="","",INDEX(campaigns!$DR$2:$DR$51,4))</f>
        <v/>
      </c>
      <c r="W52">
        <f>IF(INDEX(campaigns!$A$2:$A$51,4)="","",INDEX(campaigns!$DS$2:$DS$51,4))</f>
        <v/>
      </c>
      <c r="X52">
        <f>IF(INDEX(campaigns!$A$2:$A$51,4)="","",INDEX(campaigns!$DT$2:$DT$51,4))</f>
        <v/>
      </c>
      <c r="Y52">
        <f>IF(INDEX(campaigns!$A$2:$A$51,4)="","",INDEX(campaigns!$AV$2:$AV$51,4))</f>
        <v/>
      </c>
      <c r="Z52">
        <f>IF(INDEX(campaigns!$A$2:$A$51,4)="","",INDEX(campaigns!$DU$2:$DU$51,4))</f>
        <v/>
      </c>
    </row>
    <row r="53">
      <c r="A53">
        <f>IF(INDEX(campaigns!$A$2:$A$51,5)="","",INDEX(campaigns!$A$2:$A$51,5))</f>
        <v/>
      </c>
      <c r="B53">
        <f>IF(INDEX(campaigns!$A$2:$A$51,5)="","",INDEX(campaigns!$BE$2:$BE$51,5))</f>
        <v/>
      </c>
      <c r="C53" s="9">
        <f>IF(INDEX(campaigns!$A$2:$A$51,5)="","",INDEX(campaigns!$BG$2:$BG$51,5))</f>
        <v/>
      </c>
      <c r="D53">
        <f>IF(INDEX(campaigns!$A$2:$A$51,5)="","",INDEX(campaigns!$D$2:$D$51,5))</f>
        <v/>
      </c>
      <c r="E53">
        <f>IF(INDEX(campaigns!$A$2:$A$51,5)="","",INDEX(campaigns!$BW$2:$BW$51,5))</f>
        <v/>
      </c>
      <c r="F53">
        <f>IF(INDEX(campaigns!$A$2:$A$51,5)="","",INDEX(campaigns!$BO$2:$BO$51,5))</f>
        <v/>
      </c>
      <c r="G53">
        <f>IF(INDEX(campaigns!$A$2:$A$51,5)="","",INDEX(campaigns!$BP$2:$BP$51,5))</f>
        <v/>
      </c>
      <c r="H53">
        <f>IF(INDEX(campaigns!$A$2:$A$51,5)="","",INDEX(campaigns!$F$2:$F$51,5))</f>
        <v/>
      </c>
      <c r="I53">
        <f>IF(INDEX(campaigns!$A$2:$A$51,5)="","",INDEX(campaigns!$CB$2:$CB$51,5))</f>
        <v/>
      </c>
      <c r="J53">
        <f>IF(INDEX(campaigns!$A$2:$A$51,5)="","",INDEX(campaigns!$CD$2:$CD$51,5))</f>
        <v/>
      </c>
      <c r="K53" s="12">
        <f>IF(INDEX(campaigns!$A$2:$A$51,5)="","",INDEX(campaigns!$CE$2:$CE$51,5))</f>
        <v/>
      </c>
      <c r="L53">
        <f>IF(INDEX(campaigns!$A$2:$A$51,5)="","",INDEX(campaigns!$CF$2:$CF$51,5))</f>
        <v/>
      </c>
      <c r="M53">
        <f>IF(INDEX(campaigns!$A$2:$A$51,5)="","",INDEX(campaigns!$CG$2:$CG$51,5))</f>
        <v/>
      </c>
      <c r="N53">
        <f>IF(INDEX(campaigns!$A$2:$A$51,5)="","",INDEX(campaigns!$CH$2:$CH$51,5))</f>
        <v/>
      </c>
      <c r="O53">
        <f>IF(INDEX(campaigns!$A$2:$A$51,5)="","",INDEX(campaigns!$CI$2:$CI$51,5))</f>
        <v/>
      </c>
      <c r="P53">
        <f>IF(INDEX(campaigns!$A$2:$A$51,5)="","",INDEX(campaigns!$CK$2:$CK$51,5))</f>
        <v/>
      </c>
      <c r="Q53" s="11">
        <f>IF(INDEX(campaigns!$A$2:$A$51,5)="","",INDEX(campaigns!$CP$2:$CP$51,5))</f>
        <v/>
      </c>
      <c r="R53">
        <f>IF(INDEX(campaigns!$A$2:$A$51,5)="","",INDEX(campaigns!$CW$2:$CW$51,5))</f>
        <v/>
      </c>
      <c r="S53">
        <f>IF(INDEX(campaigns!$A$2:$A$51,5)="","",INDEX(campaigns!$CY$2:$CY$51,5))</f>
        <v/>
      </c>
      <c r="T53" s="10">
        <f>IF(INDEX(campaigns!$A$2:$A$51,5)="","",INDEX(campaigns!$DB$2:$DB$51,5))</f>
        <v/>
      </c>
      <c r="U53" s="10">
        <f>IF(INDEX(campaigns!$A$2:$A$51,5)="","",INDEX(campaigns!$DL$2:$DL$51,5))</f>
        <v/>
      </c>
      <c r="V53">
        <f>IF(INDEX(campaigns!$A$2:$A$51,5)="","",INDEX(campaigns!$DR$2:$DR$51,5))</f>
        <v/>
      </c>
      <c r="W53">
        <f>IF(INDEX(campaigns!$A$2:$A$51,5)="","",INDEX(campaigns!$DS$2:$DS$51,5))</f>
        <v/>
      </c>
      <c r="X53">
        <f>IF(INDEX(campaigns!$A$2:$A$51,5)="","",INDEX(campaigns!$DT$2:$DT$51,5))</f>
        <v/>
      </c>
      <c r="Y53">
        <f>IF(INDEX(campaigns!$A$2:$A$51,5)="","",INDEX(campaigns!$AV$2:$AV$51,5))</f>
        <v/>
      </c>
      <c r="Z53">
        <f>IF(INDEX(campaigns!$A$2:$A$51,5)="","",INDEX(campaigns!$DU$2:$DU$51,5))</f>
        <v/>
      </c>
    </row>
    <row r="54">
      <c r="A54">
        <f>IF(INDEX(campaigns!$A$2:$A$51,6)="","",INDEX(campaigns!$A$2:$A$51,6))</f>
        <v/>
      </c>
      <c r="B54">
        <f>IF(INDEX(campaigns!$A$2:$A$51,6)="","",INDEX(campaigns!$BE$2:$BE$51,6))</f>
        <v/>
      </c>
      <c r="C54" s="9">
        <f>IF(INDEX(campaigns!$A$2:$A$51,6)="","",INDEX(campaigns!$BG$2:$BG$51,6))</f>
        <v/>
      </c>
      <c r="D54">
        <f>IF(INDEX(campaigns!$A$2:$A$51,6)="","",INDEX(campaigns!$D$2:$D$51,6))</f>
        <v/>
      </c>
      <c r="E54">
        <f>IF(INDEX(campaigns!$A$2:$A$51,6)="","",INDEX(campaigns!$BW$2:$BW$51,6))</f>
        <v/>
      </c>
      <c r="F54">
        <f>IF(INDEX(campaigns!$A$2:$A$51,6)="","",INDEX(campaigns!$BO$2:$BO$51,6))</f>
        <v/>
      </c>
      <c r="G54">
        <f>IF(INDEX(campaigns!$A$2:$A$51,6)="","",INDEX(campaigns!$BP$2:$BP$51,6))</f>
        <v/>
      </c>
      <c r="H54">
        <f>IF(INDEX(campaigns!$A$2:$A$51,6)="","",INDEX(campaigns!$F$2:$F$51,6))</f>
        <v/>
      </c>
      <c r="I54">
        <f>IF(INDEX(campaigns!$A$2:$A$51,6)="","",INDEX(campaigns!$CB$2:$CB$51,6))</f>
        <v/>
      </c>
      <c r="J54">
        <f>IF(INDEX(campaigns!$A$2:$A$51,6)="","",INDEX(campaigns!$CD$2:$CD$51,6))</f>
        <v/>
      </c>
      <c r="K54" s="12">
        <f>IF(INDEX(campaigns!$A$2:$A$51,6)="","",INDEX(campaigns!$CE$2:$CE$51,6))</f>
        <v/>
      </c>
      <c r="L54">
        <f>IF(INDEX(campaigns!$A$2:$A$51,6)="","",INDEX(campaigns!$CF$2:$CF$51,6))</f>
        <v/>
      </c>
      <c r="M54">
        <f>IF(INDEX(campaigns!$A$2:$A$51,6)="","",INDEX(campaigns!$CG$2:$CG$51,6))</f>
        <v/>
      </c>
      <c r="N54">
        <f>IF(INDEX(campaigns!$A$2:$A$51,6)="","",INDEX(campaigns!$CH$2:$CH$51,6))</f>
        <v/>
      </c>
      <c r="O54">
        <f>IF(INDEX(campaigns!$A$2:$A$51,6)="","",INDEX(campaigns!$CI$2:$CI$51,6))</f>
        <v/>
      </c>
      <c r="P54">
        <f>IF(INDEX(campaigns!$A$2:$A$51,6)="","",INDEX(campaigns!$CK$2:$CK$51,6))</f>
        <v/>
      </c>
      <c r="Q54" s="11">
        <f>IF(INDEX(campaigns!$A$2:$A$51,6)="","",INDEX(campaigns!$CP$2:$CP$51,6))</f>
        <v/>
      </c>
      <c r="R54">
        <f>IF(INDEX(campaigns!$A$2:$A$51,6)="","",INDEX(campaigns!$CW$2:$CW$51,6))</f>
        <v/>
      </c>
      <c r="S54">
        <f>IF(INDEX(campaigns!$A$2:$A$51,6)="","",INDEX(campaigns!$CY$2:$CY$51,6))</f>
        <v/>
      </c>
      <c r="T54" s="10">
        <f>IF(INDEX(campaigns!$A$2:$A$51,6)="","",INDEX(campaigns!$DB$2:$DB$51,6))</f>
        <v/>
      </c>
      <c r="U54" s="10">
        <f>IF(INDEX(campaigns!$A$2:$A$51,6)="","",INDEX(campaigns!$DL$2:$DL$51,6))</f>
        <v/>
      </c>
      <c r="V54">
        <f>IF(INDEX(campaigns!$A$2:$A$51,6)="","",INDEX(campaigns!$DR$2:$DR$51,6))</f>
        <v/>
      </c>
      <c r="W54">
        <f>IF(INDEX(campaigns!$A$2:$A$51,6)="","",INDEX(campaigns!$DS$2:$DS$51,6))</f>
        <v/>
      </c>
      <c r="X54">
        <f>IF(INDEX(campaigns!$A$2:$A$51,6)="","",INDEX(campaigns!$DT$2:$DT$51,6))</f>
        <v/>
      </c>
      <c r="Y54">
        <f>IF(INDEX(campaigns!$A$2:$A$51,6)="","",INDEX(campaigns!$AV$2:$AV$51,6))</f>
        <v/>
      </c>
      <c r="Z54">
        <f>IF(INDEX(campaigns!$A$2:$A$51,6)="","",INDEX(campaigns!$DU$2:$DU$51,6))</f>
        <v/>
      </c>
    </row>
    <row r="55">
      <c r="A55">
        <f>IF(INDEX(campaigns!$A$2:$A$51,7)="","",INDEX(campaigns!$A$2:$A$51,7))</f>
        <v/>
      </c>
      <c r="B55">
        <f>IF(INDEX(campaigns!$A$2:$A$51,7)="","",INDEX(campaigns!$BE$2:$BE$51,7))</f>
        <v/>
      </c>
      <c r="C55" s="9">
        <f>IF(INDEX(campaigns!$A$2:$A$51,7)="","",INDEX(campaigns!$BG$2:$BG$51,7))</f>
        <v/>
      </c>
      <c r="D55">
        <f>IF(INDEX(campaigns!$A$2:$A$51,7)="","",INDEX(campaigns!$D$2:$D$51,7))</f>
        <v/>
      </c>
      <c r="E55">
        <f>IF(INDEX(campaigns!$A$2:$A$51,7)="","",INDEX(campaigns!$BW$2:$BW$51,7))</f>
        <v/>
      </c>
      <c r="F55">
        <f>IF(INDEX(campaigns!$A$2:$A$51,7)="","",INDEX(campaigns!$BO$2:$BO$51,7))</f>
        <v/>
      </c>
      <c r="G55">
        <f>IF(INDEX(campaigns!$A$2:$A$51,7)="","",INDEX(campaigns!$BP$2:$BP$51,7))</f>
        <v/>
      </c>
      <c r="H55">
        <f>IF(INDEX(campaigns!$A$2:$A$51,7)="","",INDEX(campaigns!$F$2:$F$51,7))</f>
        <v/>
      </c>
      <c r="I55">
        <f>IF(INDEX(campaigns!$A$2:$A$51,7)="","",INDEX(campaigns!$CB$2:$CB$51,7))</f>
        <v/>
      </c>
      <c r="J55">
        <f>IF(INDEX(campaigns!$A$2:$A$51,7)="","",INDEX(campaigns!$CD$2:$CD$51,7))</f>
        <v/>
      </c>
      <c r="K55" s="12">
        <f>IF(INDEX(campaigns!$A$2:$A$51,7)="","",INDEX(campaigns!$CE$2:$CE$51,7))</f>
        <v/>
      </c>
      <c r="L55">
        <f>IF(INDEX(campaigns!$A$2:$A$51,7)="","",INDEX(campaigns!$CF$2:$CF$51,7))</f>
        <v/>
      </c>
      <c r="M55">
        <f>IF(INDEX(campaigns!$A$2:$A$51,7)="","",INDEX(campaigns!$CG$2:$CG$51,7))</f>
        <v/>
      </c>
      <c r="N55">
        <f>IF(INDEX(campaigns!$A$2:$A$51,7)="","",INDEX(campaigns!$CH$2:$CH$51,7))</f>
        <v/>
      </c>
      <c r="O55">
        <f>IF(INDEX(campaigns!$A$2:$A$51,7)="","",INDEX(campaigns!$CI$2:$CI$51,7))</f>
        <v/>
      </c>
      <c r="P55">
        <f>IF(INDEX(campaigns!$A$2:$A$51,7)="","",INDEX(campaigns!$CK$2:$CK$51,7))</f>
        <v/>
      </c>
      <c r="Q55" s="11">
        <f>IF(INDEX(campaigns!$A$2:$A$51,7)="","",INDEX(campaigns!$CP$2:$CP$51,7))</f>
        <v/>
      </c>
      <c r="R55">
        <f>IF(INDEX(campaigns!$A$2:$A$51,7)="","",INDEX(campaigns!$CW$2:$CW$51,7))</f>
        <v/>
      </c>
      <c r="S55">
        <f>IF(INDEX(campaigns!$A$2:$A$51,7)="","",INDEX(campaigns!$CY$2:$CY$51,7))</f>
        <v/>
      </c>
      <c r="T55" s="10">
        <f>IF(INDEX(campaigns!$A$2:$A$51,7)="","",INDEX(campaigns!$DB$2:$DB$51,7))</f>
        <v/>
      </c>
      <c r="U55" s="10">
        <f>IF(INDEX(campaigns!$A$2:$A$51,7)="","",INDEX(campaigns!$DL$2:$DL$51,7))</f>
        <v/>
      </c>
      <c r="V55">
        <f>IF(INDEX(campaigns!$A$2:$A$51,7)="","",INDEX(campaigns!$DR$2:$DR$51,7))</f>
        <v/>
      </c>
      <c r="W55">
        <f>IF(INDEX(campaigns!$A$2:$A$51,7)="","",INDEX(campaigns!$DS$2:$DS$51,7))</f>
        <v/>
      </c>
      <c r="X55">
        <f>IF(INDEX(campaigns!$A$2:$A$51,7)="","",INDEX(campaigns!$DT$2:$DT$51,7))</f>
        <v/>
      </c>
      <c r="Y55">
        <f>IF(INDEX(campaigns!$A$2:$A$51,7)="","",INDEX(campaigns!$AV$2:$AV$51,7))</f>
        <v/>
      </c>
      <c r="Z55">
        <f>IF(INDEX(campaigns!$A$2:$A$51,7)="","",INDEX(campaigns!$DU$2:$DU$51,7))</f>
        <v/>
      </c>
    </row>
    <row r="56">
      <c r="A56">
        <f>IF(INDEX(campaigns!$A$2:$A$51,8)="","",INDEX(campaigns!$A$2:$A$51,8))</f>
        <v/>
      </c>
      <c r="B56">
        <f>IF(INDEX(campaigns!$A$2:$A$51,8)="","",INDEX(campaigns!$BE$2:$BE$51,8))</f>
        <v/>
      </c>
      <c r="C56" s="9">
        <f>IF(INDEX(campaigns!$A$2:$A$51,8)="","",INDEX(campaigns!$BG$2:$BG$51,8))</f>
        <v/>
      </c>
      <c r="D56">
        <f>IF(INDEX(campaigns!$A$2:$A$51,8)="","",INDEX(campaigns!$D$2:$D$51,8))</f>
        <v/>
      </c>
      <c r="E56">
        <f>IF(INDEX(campaigns!$A$2:$A$51,8)="","",INDEX(campaigns!$BW$2:$BW$51,8))</f>
        <v/>
      </c>
      <c r="F56">
        <f>IF(INDEX(campaigns!$A$2:$A$51,8)="","",INDEX(campaigns!$BO$2:$BO$51,8))</f>
        <v/>
      </c>
      <c r="G56">
        <f>IF(INDEX(campaigns!$A$2:$A$51,8)="","",INDEX(campaigns!$BP$2:$BP$51,8))</f>
        <v/>
      </c>
      <c r="H56">
        <f>IF(INDEX(campaigns!$A$2:$A$51,8)="","",INDEX(campaigns!$F$2:$F$51,8))</f>
        <v/>
      </c>
      <c r="I56">
        <f>IF(INDEX(campaigns!$A$2:$A$51,8)="","",INDEX(campaigns!$CB$2:$CB$51,8))</f>
        <v/>
      </c>
      <c r="J56">
        <f>IF(INDEX(campaigns!$A$2:$A$51,8)="","",INDEX(campaigns!$CD$2:$CD$51,8))</f>
        <v/>
      </c>
      <c r="K56" s="12">
        <f>IF(INDEX(campaigns!$A$2:$A$51,8)="","",INDEX(campaigns!$CE$2:$CE$51,8))</f>
        <v/>
      </c>
      <c r="L56">
        <f>IF(INDEX(campaigns!$A$2:$A$51,8)="","",INDEX(campaigns!$CF$2:$CF$51,8))</f>
        <v/>
      </c>
      <c r="M56">
        <f>IF(INDEX(campaigns!$A$2:$A$51,8)="","",INDEX(campaigns!$CG$2:$CG$51,8))</f>
        <v/>
      </c>
      <c r="N56">
        <f>IF(INDEX(campaigns!$A$2:$A$51,8)="","",INDEX(campaigns!$CH$2:$CH$51,8))</f>
        <v/>
      </c>
      <c r="O56">
        <f>IF(INDEX(campaigns!$A$2:$A$51,8)="","",INDEX(campaigns!$CI$2:$CI$51,8))</f>
        <v/>
      </c>
      <c r="P56">
        <f>IF(INDEX(campaigns!$A$2:$A$51,8)="","",INDEX(campaigns!$CK$2:$CK$51,8))</f>
        <v/>
      </c>
      <c r="Q56" s="11">
        <f>IF(INDEX(campaigns!$A$2:$A$51,8)="","",INDEX(campaigns!$CP$2:$CP$51,8))</f>
        <v/>
      </c>
      <c r="R56">
        <f>IF(INDEX(campaigns!$A$2:$A$51,8)="","",INDEX(campaigns!$CW$2:$CW$51,8))</f>
        <v/>
      </c>
      <c r="S56">
        <f>IF(INDEX(campaigns!$A$2:$A$51,8)="","",INDEX(campaigns!$CY$2:$CY$51,8))</f>
        <v/>
      </c>
      <c r="T56" s="10">
        <f>IF(INDEX(campaigns!$A$2:$A$51,8)="","",INDEX(campaigns!$DB$2:$DB$51,8))</f>
        <v/>
      </c>
      <c r="U56" s="10">
        <f>IF(INDEX(campaigns!$A$2:$A$51,8)="","",INDEX(campaigns!$DL$2:$DL$51,8))</f>
        <v/>
      </c>
      <c r="V56">
        <f>IF(INDEX(campaigns!$A$2:$A$51,8)="","",INDEX(campaigns!$DR$2:$DR$51,8))</f>
        <v/>
      </c>
      <c r="W56">
        <f>IF(INDEX(campaigns!$A$2:$A$51,8)="","",INDEX(campaigns!$DS$2:$DS$51,8))</f>
        <v/>
      </c>
      <c r="X56">
        <f>IF(INDEX(campaigns!$A$2:$A$51,8)="","",INDEX(campaigns!$DT$2:$DT$51,8))</f>
        <v/>
      </c>
      <c r="Y56">
        <f>IF(INDEX(campaigns!$A$2:$A$51,8)="","",INDEX(campaigns!$AV$2:$AV$51,8))</f>
        <v/>
      </c>
      <c r="Z56">
        <f>IF(INDEX(campaigns!$A$2:$A$51,8)="","",INDEX(campaigns!$DU$2:$DU$51,8))</f>
        <v/>
      </c>
    </row>
    <row r="57">
      <c r="A57">
        <f>IF(INDEX(campaigns!$A$2:$A$51,9)="","",INDEX(campaigns!$A$2:$A$51,9))</f>
        <v/>
      </c>
      <c r="B57">
        <f>IF(INDEX(campaigns!$A$2:$A$51,9)="","",INDEX(campaigns!$BE$2:$BE$51,9))</f>
        <v/>
      </c>
      <c r="C57" s="9">
        <f>IF(INDEX(campaigns!$A$2:$A$51,9)="","",INDEX(campaigns!$BG$2:$BG$51,9))</f>
        <v/>
      </c>
      <c r="D57">
        <f>IF(INDEX(campaigns!$A$2:$A$51,9)="","",INDEX(campaigns!$D$2:$D$51,9))</f>
        <v/>
      </c>
      <c r="E57">
        <f>IF(INDEX(campaigns!$A$2:$A$51,9)="","",INDEX(campaigns!$BW$2:$BW$51,9))</f>
        <v/>
      </c>
      <c r="F57">
        <f>IF(INDEX(campaigns!$A$2:$A$51,9)="","",INDEX(campaigns!$BO$2:$BO$51,9))</f>
        <v/>
      </c>
      <c r="G57">
        <f>IF(INDEX(campaigns!$A$2:$A$51,9)="","",INDEX(campaigns!$BP$2:$BP$51,9))</f>
        <v/>
      </c>
      <c r="H57">
        <f>IF(INDEX(campaigns!$A$2:$A$51,9)="","",INDEX(campaigns!$F$2:$F$51,9))</f>
        <v/>
      </c>
      <c r="I57">
        <f>IF(INDEX(campaigns!$A$2:$A$51,9)="","",INDEX(campaigns!$CB$2:$CB$51,9))</f>
        <v/>
      </c>
      <c r="J57">
        <f>IF(INDEX(campaigns!$A$2:$A$51,9)="","",INDEX(campaigns!$CD$2:$CD$51,9))</f>
        <v/>
      </c>
      <c r="K57" s="12">
        <f>IF(INDEX(campaigns!$A$2:$A$51,9)="","",INDEX(campaigns!$CE$2:$CE$51,9))</f>
        <v/>
      </c>
      <c r="L57">
        <f>IF(INDEX(campaigns!$A$2:$A$51,9)="","",INDEX(campaigns!$CF$2:$CF$51,9))</f>
        <v/>
      </c>
      <c r="M57">
        <f>IF(INDEX(campaigns!$A$2:$A$51,9)="","",INDEX(campaigns!$CG$2:$CG$51,9))</f>
        <v/>
      </c>
      <c r="N57">
        <f>IF(INDEX(campaigns!$A$2:$A$51,9)="","",INDEX(campaigns!$CH$2:$CH$51,9))</f>
        <v/>
      </c>
      <c r="O57">
        <f>IF(INDEX(campaigns!$A$2:$A$51,9)="","",INDEX(campaigns!$CI$2:$CI$51,9))</f>
        <v/>
      </c>
      <c r="P57">
        <f>IF(INDEX(campaigns!$A$2:$A$51,9)="","",INDEX(campaigns!$CK$2:$CK$51,9))</f>
        <v/>
      </c>
      <c r="Q57" s="11">
        <f>IF(INDEX(campaigns!$A$2:$A$51,9)="","",INDEX(campaigns!$CP$2:$CP$51,9))</f>
        <v/>
      </c>
      <c r="R57">
        <f>IF(INDEX(campaigns!$A$2:$A$51,9)="","",INDEX(campaigns!$CW$2:$CW$51,9))</f>
        <v/>
      </c>
      <c r="S57">
        <f>IF(INDEX(campaigns!$A$2:$A$51,9)="","",INDEX(campaigns!$CY$2:$CY$51,9))</f>
        <v/>
      </c>
      <c r="T57" s="10">
        <f>IF(INDEX(campaigns!$A$2:$A$51,9)="","",INDEX(campaigns!$DB$2:$DB$51,9))</f>
        <v/>
      </c>
      <c r="U57" s="10">
        <f>IF(INDEX(campaigns!$A$2:$A$51,9)="","",INDEX(campaigns!$DL$2:$DL$51,9))</f>
        <v/>
      </c>
      <c r="V57">
        <f>IF(INDEX(campaigns!$A$2:$A$51,9)="","",INDEX(campaigns!$DR$2:$DR$51,9))</f>
        <v/>
      </c>
      <c r="W57">
        <f>IF(INDEX(campaigns!$A$2:$A$51,9)="","",INDEX(campaigns!$DS$2:$DS$51,9))</f>
        <v/>
      </c>
      <c r="X57">
        <f>IF(INDEX(campaigns!$A$2:$A$51,9)="","",INDEX(campaigns!$DT$2:$DT$51,9))</f>
        <v/>
      </c>
      <c r="Y57">
        <f>IF(INDEX(campaigns!$A$2:$A$51,9)="","",INDEX(campaigns!$AV$2:$AV$51,9))</f>
        <v/>
      </c>
      <c r="Z57">
        <f>IF(INDEX(campaigns!$A$2:$A$51,9)="","",INDEX(campaigns!$DU$2:$DU$51,9))</f>
        <v/>
      </c>
    </row>
    <row r="58">
      <c r="A58">
        <f>IF(INDEX(campaigns!$A$2:$A$51,10)="","",INDEX(campaigns!$A$2:$A$51,10))</f>
        <v/>
      </c>
      <c r="B58">
        <f>IF(INDEX(campaigns!$A$2:$A$51,10)="","",INDEX(campaigns!$BE$2:$BE$51,10))</f>
        <v/>
      </c>
      <c r="C58" s="9">
        <f>IF(INDEX(campaigns!$A$2:$A$51,10)="","",INDEX(campaigns!$BG$2:$BG$51,10))</f>
        <v/>
      </c>
      <c r="D58">
        <f>IF(INDEX(campaigns!$A$2:$A$51,10)="","",INDEX(campaigns!$D$2:$D$51,10))</f>
        <v/>
      </c>
      <c r="E58">
        <f>IF(INDEX(campaigns!$A$2:$A$51,10)="","",INDEX(campaigns!$BW$2:$BW$51,10))</f>
        <v/>
      </c>
      <c r="F58">
        <f>IF(INDEX(campaigns!$A$2:$A$51,10)="","",INDEX(campaigns!$BO$2:$BO$51,10))</f>
        <v/>
      </c>
      <c r="G58">
        <f>IF(INDEX(campaigns!$A$2:$A$51,10)="","",INDEX(campaigns!$BP$2:$BP$51,10))</f>
        <v/>
      </c>
      <c r="H58">
        <f>IF(INDEX(campaigns!$A$2:$A$51,10)="","",INDEX(campaigns!$F$2:$F$51,10))</f>
        <v/>
      </c>
      <c r="I58">
        <f>IF(INDEX(campaigns!$A$2:$A$51,10)="","",INDEX(campaigns!$CB$2:$CB$51,10))</f>
        <v/>
      </c>
      <c r="J58">
        <f>IF(INDEX(campaigns!$A$2:$A$51,10)="","",INDEX(campaigns!$CD$2:$CD$51,10))</f>
        <v/>
      </c>
      <c r="K58" s="12">
        <f>IF(INDEX(campaigns!$A$2:$A$51,10)="","",INDEX(campaigns!$CE$2:$CE$51,10))</f>
        <v/>
      </c>
      <c r="L58">
        <f>IF(INDEX(campaigns!$A$2:$A$51,10)="","",INDEX(campaigns!$CF$2:$CF$51,10))</f>
        <v/>
      </c>
      <c r="M58">
        <f>IF(INDEX(campaigns!$A$2:$A$51,10)="","",INDEX(campaigns!$CG$2:$CG$51,10))</f>
        <v/>
      </c>
      <c r="N58">
        <f>IF(INDEX(campaigns!$A$2:$A$51,10)="","",INDEX(campaigns!$CH$2:$CH$51,10))</f>
        <v/>
      </c>
      <c r="O58">
        <f>IF(INDEX(campaigns!$A$2:$A$51,10)="","",INDEX(campaigns!$CI$2:$CI$51,10))</f>
        <v/>
      </c>
      <c r="P58">
        <f>IF(INDEX(campaigns!$A$2:$A$51,10)="","",INDEX(campaigns!$CK$2:$CK$51,10))</f>
        <v/>
      </c>
      <c r="Q58" s="11">
        <f>IF(INDEX(campaigns!$A$2:$A$51,10)="","",INDEX(campaigns!$CP$2:$CP$51,10))</f>
        <v/>
      </c>
      <c r="R58">
        <f>IF(INDEX(campaigns!$A$2:$A$51,10)="","",INDEX(campaigns!$CW$2:$CW$51,10))</f>
        <v/>
      </c>
      <c r="S58">
        <f>IF(INDEX(campaigns!$A$2:$A$51,10)="","",INDEX(campaigns!$CY$2:$CY$51,10))</f>
        <v/>
      </c>
      <c r="T58" s="10">
        <f>IF(INDEX(campaigns!$A$2:$A$51,10)="","",INDEX(campaigns!$DB$2:$DB$51,10))</f>
        <v/>
      </c>
      <c r="U58" s="10">
        <f>IF(INDEX(campaigns!$A$2:$A$51,10)="","",INDEX(campaigns!$DL$2:$DL$51,10))</f>
        <v/>
      </c>
      <c r="V58">
        <f>IF(INDEX(campaigns!$A$2:$A$51,10)="","",INDEX(campaigns!$DR$2:$DR$51,10))</f>
        <v/>
      </c>
      <c r="W58">
        <f>IF(INDEX(campaigns!$A$2:$A$51,10)="","",INDEX(campaigns!$DS$2:$DS$51,10))</f>
        <v/>
      </c>
      <c r="X58">
        <f>IF(INDEX(campaigns!$A$2:$A$51,10)="","",INDEX(campaigns!$DT$2:$DT$51,10))</f>
        <v/>
      </c>
      <c r="Y58">
        <f>IF(INDEX(campaigns!$A$2:$A$51,10)="","",INDEX(campaigns!$AV$2:$AV$51,10))</f>
        <v/>
      </c>
      <c r="Z58">
        <f>IF(INDEX(campaigns!$A$2:$A$51,10)="","",INDEX(campaigns!$DU$2:$DU$51,10))</f>
        <v/>
      </c>
    </row>
    <row r="59">
      <c r="A59">
        <f>IF(INDEX(campaigns!$A$2:$A$51,11)="","",INDEX(campaigns!$A$2:$A$51,11))</f>
        <v/>
      </c>
      <c r="B59">
        <f>IF(INDEX(campaigns!$A$2:$A$51,11)="","",INDEX(campaigns!$BE$2:$BE$51,11))</f>
        <v/>
      </c>
      <c r="C59" s="9">
        <f>IF(INDEX(campaigns!$A$2:$A$51,11)="","",INDEX(campaigns!$BG$2:$BG$51,11))</f>
        <v/>
      </c>
      <c r="D59">
        <f>IF(INDEX(campaigns!$A$2:$A$51,11)="","",INDEX(campaigns!$D$2:$D$51,11))</f>
        <v/>
      </c>
      <c r="E59">
        <f>IF(INDEX(campaigns!$A$2:$A$51,11)="","",INDEX(campaigns!$BW$2:$BW$51,11))</f>
        <v/>
      </c>
      <c r="F59">
        <f>IF(INDEX(campaigns!$A$2:$A$51,11)="","",INDEX(campaigns!$BO$2:$BO$51,11))</f>
        <v/>
      </c>
      <c r="G59">
        <f>IF(INDEX(campaigns!$A$2:$A$51,11)="","",INDEX(campaigns!$BP$2:$BP$51,11))</f>
        <v/>
      </c>
      <c r="H59">
        <f>IF(INDEX(campaigns!$A$2:$A$51,11)="","",INDEX(campaigns!$F$2:$F$51,11))</f>
        <v/>
      </c>
      <c r="I59">
        <f>IF(INDEX(campaigns!$A$2:$A$51,11)="","",INDEX(campaigns!$CB$2:$CB$51,11))</f>
        <v/>
      </c>
      <c r="J59">
        <f>IF(INDEX(campaigns!$A$2:$A$51,11)="","",INDEX(campaigns!$CD$2:$CD$51,11))</f>
        <v/>
      </c>
      <c r="K59" s="12">
        <f>IF(INDEX(campaigns!$A$2:$A$51,11)="","",INDEX(campaigns!$CE$2:$CE$51,11))</f>
        <v/>
      </c>
      <c r="L59">
        <f>IF(INDEX(campaigns!$A$2:$A$51,11)="","",INDEX(campaigns!$CF$2:$CF$51,11))</f>
        <v/>
      </c>
      <c r="M59">
        <f>IF(INDEX(campaigns!$A$2:$A$51,11)="","",INDEX(campaigns!$CG$2:$CG$51,11))</f>
        <v/>
      </c>
      <c r="N59">
        <f>IF(INDEX(campaigns!$A$2:$A$51,11)="","",INDEX(campaigns!$CH$2:$CH$51,11))</f>
        <v/>
      </c>
      <c r="O59">
        <f>IF(INDEX(campaigns!$A$2:$A$51,11)="","",INDEX(campaigns!$CI$2:$CI$51,11))</f>
        <v/>
      </c>
      <c r="P59">
        <f>IF(INDEX(campaigns!$A$2:$A$51,11)="","",INDEX(campaigns!$CK$2:$CK$51,11))</f>
        <v/>
      </c>
      <c r="Q59" s="11">
        <f>IF(INDEX(campaigns!$A$2:$A$51,11)="","",INDEX(campaigns!$CP$2:$CP$51,11))</f>
        <v/>
      </c>
      <c r="R59">
        <f>IF(INDEX(campaigns!$A$2:$A$51,11)="","",INDEX(campaigns!$CW$2:$CW$51,11))</f>
        <v/>
      </c>
      <c r="S59">
        <f>IF(INDEX(campaigns!$A$2:$A$51,11)="","",INDEX(campaigns!$CY$2:$CY$51,11))</f>
        <v/>
      </c>
      <c r="T59" s="10">
        <f>IF(INDEX(campaigns!$A$2:$A$51,11)="","",INDEX(campaigns!$DB$2:$DB$51,11))</f>
        <v/>
      </c>
      <c r="U59" s="10">
        <f>IF(INDEX(campaigns!$A$2:$A$51,11)="","",INDEX(campaigns!$DL$2:$DL$51,11))</f>
        <v/>
      </c>
      <c r="V59">
        <f>IF(INDEX(campaigns!$A$2:$A$51,11)="","",INDEX(campaigns!$DR$2:$DR$51,11))</f>
        <v/>
      </c>
      <c r="W59">
        <f>IF(INDEX(campaigns!$A$2:$A$51,11)="","",INDEX(campaigns!$DS$2:$DS$51,11))</f>
        <v/>
      </c>
      <c r="X59">
        <f>IF(INDEX(campaigns!$A$2:$A$51,11)="","",INDEX(campaigns!$DT$2:$DT$51,11))</f>
        <v/>
      </c>
      <c r="Y59">
        <f>IF(INDEX(campaigns!$A$2:$A$51,11)="","",INDEX(campaigns!$AV$2:$AV$51,11))</f>
        <v/>
      </c>
      <c r="Z59">
        <f>IF(INDEX(campaigns!$A$2:$A$51,11)="","",INDEX(campaigns!$DU$2:$DU$51,11))</f>
        <v/>
      </c>
    </row>
    <row r="60">
      <c r="A60">
        <f>IF(INDEX(campaigns!$A$2:$A$51,12)="","",INDEX(campaigns!$A$2:$A$51,12))</f>
        <v/>
      </c>
      <c r="B60">
        <f>IF(INDEX(campaigns!$A$2:$A$51,12)="","",INDEX(campaigns!$BE$2:$BE$51,12))</f>
        <v/>
      </c>
      <c r="C60" s="9">
        <f>IF(INDEX(campaigns!$A$2:$A$51,12)="","",INDEX(campaigns!$BG$2:$BG$51,12))</f>
        <v/>
      </c>
      <c r="D60">
        <f>IF(INDEX(campaigns!$A$2:$A$51,12)="","",INDEX(campaigns!$D$2:$D$51,12))</f>
        <v/>
      </c>
      <c r="E60">
        <f>IF(INDEX(campaigns!$A$2:$A$51,12)="","",INDEX(campaigns!$BW$2:$BW$51,12))</f>
        <v/>
      </c>
      <c r="F60">
        <f>IF(INDEX(campaigns!$A$2:$A$51,12)="","",INDEX(campaigns!$BO$2:$BO$51,12))</f>
        <v/>
      </c>
      <c r="G60">
        <f>IF(INDEX(campaigns!$A$2:$A$51,12)="","",INDEX(campaigns!$BP$2:$BP$51,12))</f>
        <v/>
      </c>
      <c r="H60">
        <f>IF(INDEX(campaigns!$A$2:$A$51,12)="","",INDEX(campaigns!$F$2:$F$51,12))</f>
        <v/>
      </c>
      <c r="I60">
        <f>IF(INDEX(campaigns!$A$2:$A$51,12)="","",INDEX(campaigns!$CB$2:$CB$51,12))</f>
        <v/>
      </c>
      <c r="J60">
        <f>IF(INDEX(campaigns!$A$2:$A$51,12)="","",INDEX(campaigns!$CD$2:$CD$51,12))</f>
        <v/>
      </c>
      <c r="K60" s="12">
        <f>IF(INDEX(campaigns!$A$2:$A$51,12)="","",INDEX(campaigns!$CE$2:$CE$51,12))</f>
        <v/>
      </c>
      <c r="L60">
        <f>IF(INDEX(campaigns!$A$2:$A$51,12)="","",INDEX(campaigns!$CF$2:$CF$51,12))</f>
        <v/>
      </c>
      <c r="M60">
        <f>IF(INDEX(campaigns!$A$2:$A$51,12)="","",INDEX(campaigns!$CG$2:$CG$51,12))</f>
        <v/>
      </c>
      <c r="N60">
        <f>IF(INDEX(campaigns!$A$2:$A$51,12)="","",INDEX(campaigns!$CH$2:$CH$51,12))</f>
        <v/>
      </c>
      <c r="O60">
        <f>IF(INDEX(campaigns!$A$2:$A$51,12)="","",INDEX(campaigns!$CI$2:$CI$51,12))</f>
        <v/>
      </c>
      <c r="P60">
        <f>IF(INDEX(campaigns!$A$2:$A$51,12)="","",INDEX(campaigns!$CK$2:$CK$51,12))</f>
        <v/>
      </c>
      <c r="Q60" s="11">
        <f>IF(INDEX(campaigns!$A$2:$A$51,12)="","",INDEX(campaigns!$CP$2:$CP$51,12))</f>
        <v/>
      </c>
      <c r="R60">
        <f>IF(INDEX(campaigns!$A$2:$A$51,12)="","",INDEX(campaigns!$CW$2:$CW$51,12))</f>
        <v/>
      </c>
      <c r="S60">
        <f>IF(INDEX(campaigns!$A$2:$A$51,12)="","",INDEX(campaigns!$CY$2:$CY$51,12))</f>
        <v/>
      </c>
      <c r="T60" s="10">
        <f>IF(INDEX(campaigns!$A$2:$A$51,12)="","",INDEX(campaigns!$DB$2:$DB$51,12))</f>
        <v/>
      </c>
      <c r="U60" s="10">
        <f>IF(INDEX(campaigns!$A$2:$A$51,12)="","",INDEX(campaigns!$DL$2:$DL$51,12))</f>
        <v/>
      </c>
      <c r="V60">
        <f>IF(INDEX(campaigns!$A$2:$A$51,12)="","",INDEX(campaigns!$DR$2:$DR$51,12))</f>
        <v/>
      </c>
      <c r="W60">
        <f>IF(INDEX(campaigns!$A$2:$A$51,12)="","",INDEX(campaigns!$DS$2:$DS$51,12))</f>
        <v/>
      </c>
      <c r="X60">
        <f>IF(INDEX(campaigns!$A$2:$A$51,12)="","",INDEX(campaigns!$DT$2:$DT$51,12))</f>
        <v/>
      </c>
      <c r="Y60">
        <f>IF(INDEX(campaigns!$A$2:$A$51,12)="","",INDEX(campaigns!$AV$2:$AV$51,12))</f>
        <v/>
      </c>
      <c r="Z60">
        <f>IF(INDEX(campaigns!$A$2:$A$51,12)="","",INDEX(campaigns!$DU$2:$DU$51,12))</f>
        <v/>
      </c>
    </row>
    <row r="61">
      <c r="A61">
        <f>IF(INDEX(campaigns!$A$2:$A$51,13)="","",INDEX(campaigns!$A$2:$A$51,13))</f>
        <v/>
      </c>
      <c r="B61">
        <f>IF(INDEX(campaigns!$A$2:$A$51,13)="","",INDEX(campaigns!$BE$2:$BE$51,13))</f>
        <v/>
      </c>
      <c r="C61" s="9">
        <f>IF(INDEX(campaigns!$A$2:$A$51,13)="","",INDEX(campaigns!$BG$2:$BG$51,13))</f>
        <v/>
      </c>
      <c r="D61">
        <f>IF(INDEX(campaigns!$A$2:$A$51,13)="","",INDEX(campaigns!$D$2:$D$51,13))</f>
        <v/>
      </c>
      <c r="E61">
        <f>IF(INDEX(campaigns!$A$2:$A$51,13)="","",INDEX(campaigns!$BW$2:$BW$51,13))</f>
        <v/>
      </c>
      <c r="F61">
        <f>IF(INDEX(campaigns!$A$2:$A$51,13)="","",INDEX(campaigns!$BO$2:$BO$51,13))</f>
        <v/>
      </c>
      <c r="G61">
        <f>IF(INDEX(campaigns!$A$2:$A$51,13)="","",INDEX(campaigns!$BP$2:$BP$51,13))</f>
        <v/>
      </c>
      <c r="H61">
        <f>IF(INDEX(campaigns!$A$2:$A$51,13)="","",INDEX(campaigns!$F$2:$F$51,13))</f>
        <v/>
      </c>
      <c r="I61">
        <f>IF(INDEX(campaigns!$A$2:$A$51,13)="","",INDEX(campaigns!$CB$2:$CB$51,13))</f>
        <v/>
      </c>
      <c r="J61">
        <f>IF(INDEX(campaigns!$A$2:$A$51,13)="","",INDEX(campaigns!$CD$2:$CD$51,13))</f>
        <v/>
      </c>
      <c r="K61" s="12">
        <f>IF(INDEX(campaigns!$A$2:$A$51,13)="","",INDEX(campaigns!$CE$2:$CE$51,13))</f>
        <v/>
      </c>
      <c r="L61">
        <f>IF(INDEX(campaigns!$A$2:$A$51,13)="","",INDEX(campaigns!$CF$2:$CF$51,13))</f>
        <v/>
      </c>
      <c r="M61">
        <f>IF(INDEX(campaigns!$A$2:$A$51,13)="","",INDEX(campaigns!$CG$2:$CG$51,13))</f>
        <v/>
      </c>
      <c r="N61">
        <f>IF(INDEX(campaigns!$A$2:$A$51,13)="","",INDEX(campaigns!$CH$2:$CH$51,13))</f>
        <v/>
      </c>
      <c r="O61">
        <f>IF(INDEX(campaigns!$A$2:$A$51,13)="","",INDEX(campaigns!$CI$2:$CI$51,13))</f>
        <v/>
      </c>
      <c r="P61">
        <f>IF(INDEX(campaigns!$A$2:$A$51,13)="","",INDEX(campaigns!$CK$2:$CK$51,13))</f>
        <v/>
      </c>
      <c r="Q61" s="11">
        <f>IF(INDEX(campaigns!$A$2:$A$51,13)="","",INDEX(campaigns!$CP$2:$CP$51,13))</f>
        <v/>
      </c>
      <c r="R61">
        <f>IF(INDEX(campaigns!$A$2:$A$51,13)="","",INDEX(campaigns!$CW$2:$CW$51,13))</f>
        <v/>
      </c>
      <c r="S61">
        <f>IF(INDEX(campaigns!$A$2:$A$51,13)="","",INDEX(campaigns!$CY$2:$CY$51,13))</f>
        <v/>
      </c>
      <c r="T61" s="10">
        <f>IF(INDEX(campaigns!$A$2:$A$51,13)="","",INDEX(campaigns!$DB$2:$DB$51,13))</f>
        <v/>
      </c>
      <c r="U61" s="10">
        <f>IF(INDEX(campaigns!$A$2:$A$51,13)="","",INDEX(campaigns!$DL$2:$DL$51,13))</f>
        <v/>
      </c>
      <c r="V61">
        <f>IF(INDEX(campaigns!$A$2:$A$51,13)="","",INDEX(campaigns!$DR$2:$DR$51,13))</f>
        <v/>
      </c>
      <c r="W61">
        <f>IF(INDEX(campaigns!$A$2:$A$51,13)="","",INDEX(campaigns!$DS$2:$DS$51,13))</f>
        <v/>
      </c>
      <c r="X61">
        <f>IF(INDEX(campaigns!$A$2:$A$51,13)="","",INDEX(campaigns!$DT$2:$DT$51,13))</f>
        <v/>
      </c>
      <c r="Y61">
        <f>IF(INDEX(campaigns!$A$2:$A$51,13)="","",INDEX(campaigns!$AV$2:$AV$51,13))</f>
        <v/>
      </c>
      <c r="Z61">
        <f>IF(INDEX(campaigns!$A$2:$A$51,13)="","",INDEX(campaigns!$DU$2:$DU$51,13))</f>
        <v/>
      </c>
    </row>
    <row r="62">
      <c r="A62">
        <f>IF(INDEX(campaigns!$A$2:$A$51,14)="","",INDEX(campaigns!$A$2:$A$51,14))</f>
        <v/>
      </c>
      <c r="B62">
        <f>IF(INDEX(campaigns!$A$2:$A$51,14)="","",INDEX(campaigns!$BE$2:$BE$51,14))</f>
        <v/>
      </c>
      <c r="C62" s="9">
        <f>IF(INDEX(campaigns!$A$2:$A$51,14)="","",INDEX(campaigns!$BG$2:$BG$51,14))</f>
        <v/>
      </c>
      <c r="D62">
        <f>IF(INDEX(campaigns!$A$2:$A$51,14)="","",INDEX(campaigns!$D$2:$D$51,14))</f>
        <v/>
      </c>
      <c r="E62">
        <f>IF(INDEX(campaigns!$A$2:$A$51,14)="","",INDEX(campaigns!$BW$2:$BW$51,14))</f>
        <v/>
      </c>
      <c r="F62">
        <f>IF(INDEX(campaigns!$A$2:$A$51,14)="","",INDEX(campaigns!$BO$2:$BO$51,14))</f>
        <v/>
      </c>
      <c r="G62">
        <f>IF(INDEX(campaigns!$A$2:$A$51,14)="","",INDEX(campaigns!$BP$2:$BP$51,14))</f>
        <v/>
      </c>
      <c r="H62">
        <f>IF(INDEX(campaigns!$A$2:$A$51,14)="","",INDEX(campaigns!$F$2:$F$51,14))</f>
        <v/>
      </c>
      <c r="I62">
        <f>IF(INDEX(campaigns!$A$2:$A$51,14)="","",INDEX(campaigns!$CB$2:$CB$51,14))</f>
        <v/>
      </c>
      <c r="J62">
        <f>IF(INDEX(campaigns!$A$2:$A$51,14)="","",INDEX(campaigns!$CD$2:$CD$51,14))</f>
        <v/>
      </c>
      <c r="K62" s="12">
        <f>IF(INDEX(campaigns!$A$2:$A$51,14)="","",INDEX(campaigns!$CE$2:$CE$51,14))</f>
        <v/>
      </c>
      <c r="L62">
        <f>IF(INDEX(campaigns!$A$2:$A$51,14)="","",INDEX(campaigns!$CF$2:$CF$51,14))</f>
        <v/>
      </c>
      <c r="M62">
        <f>IF(INDEX(campaigns!$A$2:$A$51,14)="","",INDEX(campaigns!$CG$2:$CG$51,14))</f>
        <v/>
      </c>
      <c r="N62">
        <f>IF(INDEX(campaigns!$A$2:$A$51,14)="","",INDEX(campaigns!$CH$2:$CH$51,14))</f>
        <v/>
      </c>
      <c r="O62">
        <f>IF(INDEX(campaigns!$A$2:$A$51,14)="","",INDEX(campaigns!$CI$2:$CI$51,14))</f>
        <v/>
      </c>
      <c r="P62">
        <f>IF(INDEX(campaigns!$A$2:$A$51,14)="","",INDEX(campaigns!$CK$2:$CK$51,14))</f>
        <v/>
      </c>
      <c r="Q62" s="11">
        <f>IF(INDEX(campaigns!$A$2:$A$51,14)="","",INDEX(campaigns!$CP$2:$CP$51,14))</f>
        <v/>
      </c>
      <c r="R62">
        <f>IF(INDEX(campaigns!$A$2:$A$51,14)="","",INDEX(campaigns!$CW$2:$CW$51,14))</f>
        <v/>
      </c>
      <c r="S62">
        <f>IF(INDEX(campaigns!$A$2:$A$51,14)="","",INDEX(campaigns!$CY$2:$CY$51,14))</f>
        <v/>
      </c>
      <c r="T62" s="10">
        <f>IF(INDEX(campaigns!$A$2:$A$51,14)="","",INDEX(campaigns!$DB$2:$DB$51,14))</f>
        <v/>
      </c>
      <c r="U62" s="10">
        <f>IF(INDEX(campaigns!$A$2:$A$51,14)="","",INDEX(campaigns!$DL$2:$DL$51,14))</f>
        <v/>
      </c>
      <c r="V62">
        <f>IF(INDEX(campaigns!$A$2:$A$51,14)="","",INDEX(campaigns!$DR$2:$DR$51,14))</f>
        <v/>
      </c>
      <c r="W62">
        <f>IF(INDEX(campaigns!$A$2:$A$51,14)="","",INDEX(campaigns!$DS$2:$DS$51,14))</f>
        <v/>
      </c>
      <c r="X62">
        <f>IF(INDEX(campaigns!$A$2:$A$51,14)="","",INDEX(campaigns!$DT$2:$DT$51,14))</f>
        <v/>
      </c>
      <c r="Y62">
        <f>IF(INDEX(campaigns!$A$2:$A$51,14)="","",INDEX(campaigns!$AV$2:$AV$51,14))</f>
        <v/>
      </c>
      <c r="Z62">
        <f>IF(INDEX(campaigns!$A$2:$A$51,14)="","",INDEX(campaigns!$DU$2:$DU$51,14))</f>
        <v/>
      </c>
    </row>
    <row r="63">
      <c r="A63">
        <f>IF(INDEX(campaigns!$A$2:$A$51,15)="","",INDEX(campaigns!$A$2:$A$51,15))</f>
        <v/>
      </c>
      <c r="B63">
        <f>IF(INDEX(campaigns!$A$2:$A$51,15)="","",INDEX(campaigns!$BE$2:$BE$51,15))</f>
        <v/>
      </c>
      <c r="C63" s="9">
        <f>IF(INDEX(campaigns!$A$2:$A$51,15)="","",INDEX(campaigns!$BG$2:$BG$51,15))</f>
        <v/>
      </c>
      <c r="D63">
        <f>IF(INDEX(campaigns!$A$2:$A$51,15)="","",INDEX(campaigns!$D$2:$D$51,15))</f>
        <v/>
      </c>
      <c r="E63">
        <f>IF(INDEX(campaigns!$A$2:$A$51,15)="","",INDEX(campaigns!$BW$2:$BW$51,15))</f>
        <v/>
      </c>
      <c r="F63">
        <f>IF(INDEX(campaigns!$A$2:$A$51,15)="","",INDEX(campaigns!$BO$2:$BO$51,15))</f>
        <v/>
      </c>
      <c r="G63">
        <f>IF(INDEX(campaigns!$A$2:$A$51,15)="","",INDEX(campaigns!$BP$2:$BP$51,15))</f>
        <v/>
      </c>
      <c r="H63">
        <f>IF(INDEX(campaigns!$A$2:$A$51,15)="","",INDEX(campaigns!$F$2:$F$51,15))</f>
        <v/>
      </c>
      <c r="I63">
        <f>IF(INDEX(campaigns!$A$2:$A$51,15)="","",INDEX(campaigns!$CB$2:$CB$51,15))</f>
        <v/>
      </c>
      <c r="J63">
        <f>IF(INDEX(campaigns!$A$2:$A$51,15)="","",INDEX(campaigns!$CD$2:$CD$51,15))</f>
        <v/>
      </c>
      <c r="K63" s="12">
        <f>IF(INDEX(campaigns!$A$2:$A$51,15)="","",INDEX(campaigns!$CE$2:$CE$51,15))</f>
        <v/>
      </c>
      <c r="L63">
        <f>IF(INDEX(campaigns!$A$2:$A$51,15)="","",INDEX(campaigns!$CF$2:$CF$51,15))</f>
        <v/>
      </c>
      <c r="M63">
        <f>IF(INDEX(campaigns!$A$2:$A$51,15)="","",INDEX(campaigns!$CG$2:$CG$51,15))</f>
        <v/>
      </c>
      <c r="N63">
        <f>IF(INDEX(campaigns!$A$2:$A$51,15)="","",INDEX(campaigns!$CH$2:$CH$51,15))</f>
        <v/>
      </c>
      <c r="O63">
        <f>IF(INDEX(campaigns!$A$2:$A$51,15)="","",INDEX(campaigns!$CI$2:$CI$51,15))</f>
        <v/>
      </c>
      <c r="P63">
        <f>IF(INDEX(campaigns!$A$2:$A$51,15)="","",INDEX(campaigns!$CK$2:$CK$51,15))</f>
        <v/>
      </c>
      <c r="Q63" s="11">
        <f>IF(INDEX(campaigns!$A$2:$A$51,15)="","",INDEX(campaigns!$CP$2:$CP$51,15))</f>
        <v/>
      </c>
      <c r="R63">
        <f>IF(INDEX(campaigns!$A$2:$A$51,15)="","",INDEX(campaigns!$CW$2:$CW$51,15))</f>
        <v/>
      </c>
      <c r="S63">
        <f>IF(INDEX(campaigns!$A$2:$A$51,15)="","",INDEX(campaigns!$CY$2:$CY$51,15))</f>
        <v/>
      </c>
      <c r="T63" s="10">
        <f>IF(INDEX(campaigns!$A$2:$A$51,15)="","",INDEX(campaigns!$DB$2:$DB$51,15))</f>
        <v/>
      </c>
      <c r="U63" s="10">
        <f>IF(INDEX(campaigns!$A$2:$A$51,15)="","",INDEX(campaigns!$DL$2:$DL$51,15))</f>
        <v/>
      </c>
      <c r="V63">
        <f>IF(INDEX(campaigns!$A$2:$A$51,15)="","",INDEX(campaigns!$DR$2:$DR$51,15))</f>
        <v/>
      </c>
      <c r="W63">
        <f>IF(INDEX(campaigns!$A$2:$A$51,15)="","",INDEX(campaigns!$DS$2:$DS$51,15))</f>
        <v/>
      </c>
      <c r="X63">
        <f>IF(INDEX(campaigns!$A$2:$A$51,15)="","",INDEX(campaigns!$DT$2:$DT$51,15))</f>
        <v/>
      </c>
      <c r="Y63">
        <f>IF(INDEX(campaigns!$A$2:$A$51,15)="","",INDEX(campaigns!$AV$2:$AV$51,15))</f>
        <v/>
      </c>
      <c r="Z63">
        <f>IF(INDEX(campaigns!$A$2:$A$51,15)="","",INDEX(campaigns!$DU$2:$DU$51,15))</f>
        <v/>
      </c>
    </row>
    <row r="64">
      <c r="A64">
        <f>IF(INDEX(campaigns!$A$2:$A$51,16)="","",INDEX(campaigns!$A$2:$A$51,16))</f>
        <v/>
      </c>
      <c r="B64">
        <f>IF(INDEX(campaigns!$A$2:$A$51,16)="","",INDEX(campaigns!$BE$2:$BE$51,16))</f>
        <v/>
      </c>
      <c r="C64" s="9">
        <f>IF(INDEX(campaigns!$A$2:$A$51,16)="","",INDEX(campaigns!$BG$2:$BG$51,16))</f>
        <v/>
      </c>
      <c r="D64">
        <f>IF(INDEX(campaigns!$A$2:$A$51,16)="","",INDEX(campaigns!$D$2:$D$51,16))</f>
        <v/>
      </c>
      <c r="E64">
        <f>IF(INDEX(campaigns!$A$2:$A$51,16)="","",INDEX(campaigns!$BW$2:$BW$51,16))</f>
        <v/>
      </c>
      <c r="F64">
        <f>IF(INDEX(campaigns!$A$2:$A$51,16)="","",INDEX(campaigns!$BO$2:$BO$51,16))</f>
        <v/>
      </c>
      <c r="G64">
        <f>IF(INDEX(campaigns!$A$2:$A$51,16)="","",INDEX(campaigns!$BP$2:$BP$51,16))</f>
        <v/>
      </c>
      <c r="H64">
        <f>IF(INDEX(campaigns!$A$2:$A$51,16)="","",INDEX(campaigns!$F$2:$F$51,16))</f>
        <v/>
      </c>
      <c r="I64">
        <f>IF(INDEX(campaigns!$A$2:$A$51,16)="","",INDEX(campaigns!$CB$2:$CB$51,16))</f>
        <v/>
      </c>
      <c r="J64">
        <f>IF(INDEX(campaigns!$A$2:$A$51,16)="","",INDEX(campaigns!$CD$2:$CD$51,16))</f>
        <v/>
      </c>
      <c r="K64" s="12">
        <f>IF(INDEX(campaigns!$A$2:$A$51,16)="","",INDEX(campaigns!$CE$2:$CE$51,16))</f>
        <v/>
      </c>
      <c r="L64">
        <f>IF(INDEX(campaigns!$A$2:$A$51,16)="","",INDEX(campaigns!$CF$2:$CF$51,16))</f>
        <v/>
      </c>
      <c r="M64">
        <f>IF(INDEX(campaigns!$A$2:$A$51,16)="","",INDEX(campaigns!$CG$2:$CG$51,16))</f>
        <v/>
      </c>
      <c r="N64">
        <f>IF(INDEX(campaigns!$A$2:$A$51,16)="","",INDEX(campaigns!$CH$2:$CH$51,16))</f>
        <v/>
      </c>
      <c r="O64">
        <f>IF(INDEX(campaigns!$A$2:$A$51,16)="","",INDEX(campaigns!$CI$2:$CI$51,16))</f>
        <v/>
      </c>
      <c r="P64">
        <f>IF(INDEX(campaigns!$A$2:$A$51,16)="","",INDEX(campaigns!$CK$2:$CK$51,16))</f>
        <v/>
      </c>
      <c r="Q64" s="11">
        <f>IF(INDEX(campaigns!$A$2:$A$51,16)="","",INDEX(campaigns!$CP$2:$CP$51,16))</f>
        <v/>
      </c>
      <c r="R64">
        <f>IF(INDEX(campaigns!$A$2:$A$51,16)="","",INDEX(campaigns!$CW$2:$CW$51,16))</f>
        <v/>
      </c>
      <c r="S64">
        <f>IF(INDEX(campaigns!$A$2:$A$51,16)="","",INDEX(campaigns!$CY$2:$CY$51,16))</f>
        <v/>
      </c>
      <c r="T64" s="10">
        <f>IF(INDEX(campaigns!$A$2:$A$51,16)="","",INDEX(campaigns!$DB$2:$DB$51,16))</f>
        <v/>
      </c>
      <c r="U64" s="10">
        <f>IF(INDEX(campaigns!$A$2:$A$51,16)="","",INDEX(campaigns!$DL$2:$DL$51,16))</f>
        <v/>
      </c>
      <c r="V64">
        <f>IF(INDEX(campaigns!$A$2:$A$51,16)="","",INDEX(campaigns!$DR$2:$DR$51,16))</f>
        <v/>
      </c>
      <c r="W64">
        <f>IF(INDEX(campaigns!$A$2:$A$51,16)="","",INDEX(campaigns!$DS$2:$DS$51,16))</f>
        <v/>
      </c>
      <c r="X64">
        <f>IF(INDEX(campaigns!$A$2:$A$51,16)="","",INDEX(campaigns!$DT$2:$DT$51,16))</f>
        <v/>
      </c>
      <c r="Y64">
        <f>IF(INDEX(campaigns!$A$2:$A$51,16)="","",INDEX(campaigns!$AV$2:$AV$51,16))</f>
        <v/>
      </c>
      <c r="Z64">
        <f>IF(INDEX(campaigns!$A$2:$A$51,16)="","",INDEX(campaigns!$DU$2:$DU$51,16))</f>
        <v/>
      </c>
    </row>
    <row r="65">
      <c r="A65">
        <f>IF(INDEX(campaigns!$A$2:$A$51,17)="","",INDEX(campaigns!$A$2:$A$51,17))</f>
        <v/>
      </c>
      <c r="B65">
        <f>IF(INDEX(campaigns!$A$2:$A$51,17)="","",INDEX(campaigns!$BE$2:$BE$51,17))</f>
        <v/>
      </c>
      <c r="C65" s="9">
        <f>IF(INDEX(campaigns!$A$2:$A$51,17)="","",INDEX(campaigns!$BG$2:$BG$51,17))</f>
        <v/>
      </c>
      <c r="D65">
        <f>IF(INDEX(campaigns!$A$2:$A$51,17)="","",INDEX(campaigns!$D$2:$D$51,17))</f>
        <v/>
      </c>
      <c r="E65">
        <f>IF(INDEX(campaigns!$A$2:$A$51,17)="","",INDEX(campaigns!$BW$2:$BW$51,17))</f>
        <v/>
      </c>
      <c r="F65">
        <f>IF(INDEX(campaigns!$A$2:$A$51,17)="","",INDEX(campaigns!$BO$2:$BO$51,17))</f>
        <v/>
      </c>
      <c r="G65">
        <f>IF(INDEX(campaigns!$A$2:$A$51,17)="","",INDEX(campaigns!$BP$2:$BP$51,17))</f>
        <v/>
      </c>
      <c r="H65">
        <f>IF(INDEX(campaigns!$A$2:$A$51,17)="","",INDEX(campaigns!$F$2:$F$51,17))</f>
        <v/>
      </c>
      <c r="I65">
        <f>IF(INDEX(campaigns!$A$2:$A$51,17)="","",INDEX(campaigns!$CB$2:$CB$51,17))</f>
        <v/>
      </c>
      <c r="J65">
        <f>IF(INDEX(campaigns!$A$2:$A$51,17)="","",INDEX(campaigns!$CD$2:$CD$51,17))</f>
        <v/>
      </c>
      <c r="K65" s="12">
        <f>IF(INDEX(campaigns!$A$2:$A$51,17)="","",INDEX(campaigns!$CE$2:$CE$51,17))</f>
        <v/>
      </c>
      <c r="L65">
        <f>IF(INDEX(campaigns!$A$2:$A$51,17)="","",INDEX(campaigns!$CF$2:$CF$51,17))</f>
        <v/>
      </c>
      <c r="M65">
        <f>IF(INDEX(campaigns!$A$2:$A$51,17)="","",INDEX(campaigns!$CG$2:$CG$51,17))</f>
        <v/>
      </c>
      <c r="N65">
        <f>IF(INDEX(campaigns!$A$2:$A$51,17)="","",INDEX(campaigns!$CH$2:$CH$51,17))</f>
        <v/>
      </c>
      <c r="O65">
        <f>IF(INDEX(campaigns!$A$2:$A$51,17)="","",INDEX(campaigns!$CI$2:$CI$51,17))</f>
        <v/>
      </c>
      <c r="P65">
        <f>IF(INDEX(campaigns!$A$2:$A$51,17)="","",INDEX(campaigns!$CK$2:$CK$51,17))</f>
        <v/>
      </c>
      <c r="Q65" s="11">
        <f>IF(INDEX(campaigns!$A$2:$A$51,17)="","",INDEX(campaigns!$CP$2:$CP$51,17))</f>
        <v/>
      </c>
      <c r="R65">
        <f>IF(INDEX(campaigns!$A$2:$A$51,17)="","",INDEX(campaigns!$CW$2:$CW$51,17))</f>
        <v/>
      </c>
      <c r="S65">
        <f>IF(INDEX(campaigns!$A$2:$A$51,17)="","",INDEX(campaigns!$CY$2:$CY$51,17))</f>
        <v/>
      </c>
      <c r="T65" s="10">
        <f>IF(INDEX(campaigns!$A$2:$A$51,17)="","",INDEX(campaigns!$DB$2:$DB$51,17))</f>
        <v/>
      </c>
      <c r="U65" s="10">
        <f>IF(INDEX(campaigns!$A$2:$A$51,17)="","",INDEX(campaigns!$DL$2:$DL$51,17))</f>
        <v/>
      </c>
      <c r="V65">
        <f>IF(INDEX(campaigns!$A$2:$A$51,17)="","",INDEX(campaigns!$DR$2:$DR$51,17))</f>
        <v/>
      </c>
      <c r="W65">
        <f>IF(INDEX(campaigns!$A$2:$A$51,17)="","",INDEX(campaigns!$DS$2:$DS$51,17))</f>
        <v/>
      </c>
      <c r="X65">
        <f>IF(INDEX(campaigns!$A$2:$A$51,17)="","",INDEX(campaigns!$DT$2:$DT$51,17))</f>
        <v/>
      </c>
      <c r="Y65">
        <f>IF(INDEX(campaigns!$A$2:$A$51,17)="","",INDEX(campaigns!$AV$2:$AV$51,17))</f>
        <v/>
      </c>
      <c r="Z65">
        <f>IF(INDEX(campaigns!$A$2:$A$51,17)="","",INDEX(campaigns!$DU$2:$DU$51,17))</f>
        <v/>
      </c>
    </row>
    <row r="66">
      <c r="A66">
        <f>IF(INDEX(campaigns!$A$2:$A$51,18)="","",INDEX(campaigns!$A$2:$A$51,18))</f>
        <v/>
      </c>
      <c r="B66">
        <f>IF(INDEX(campaigns!$A$2:$A$51,18)="","",INDEX(campaigns!$BE$2:$BE$51,18))</f>
        <v/>
      </c>
      <c r="C66" s="9">
        <f>IF(INDEX(campaigns!$A$2:$A$51,18)="","",INDEX(campaigns!$BG$2:$BG$51,18))</f>
        <v/>
      </c>
      <c r="D66">
        <f>IF(INDEX(campaigns!$A$2:$A$51,18)="","",INDEX(campaigns!$D$2:$D$51,18))</f>
        <v/>
      </c>
      <c r="E66">
        <f>IF(INDEX(campaigns!$A$2:$A$51,18)="","",INDEX(campaigns!$BW$2:$BW$51,18))</f>
        <v/>
      </c>
      <c r="F66">
        <f>IF(INDEX(campaigns!$A$2:$A$51,18)="","",INDEX(campaigns!$BO$2:$BO$51,18))</f>
        <v/>
      </c>
      <c r="G66">
        <f>IF(INDEX(campaigns!$A$2:$A$51,18)="","",INDEX(campaigns!$BP$2:$BP$51,18))</f>
        <v/>
      </c>
      <c r="H66">
        <f>IF(INDEX(campaigns!$A$2:$A$51,18)="","",INDEX(campaigns!$F$2:$F$51,18))</f>
        <v/>
      </c>
      <c r="I66">
        <f>IF(INDEX(campaigns!$A$2:$A$51,18)="","",INDEX(campaigns!$CB$2:$CB$51,18))</f>
        <v/>
      </c>
      <c r="J66">
        <f>IF(INDEX(campaigns!$A$2:$A$51,18)="","",INDEX(campaigns!$CD$2:$CD$51,18))</f>
        <v/>
      </c>
      <c r="K66" s="12">
        <f>IF(INDEX(campaigns!$A$2:$A$51,18)="","",INDEX(campaigns!$CE$2:$CE$51,18))</f>
        <v/>
      </c>
      <c r="L66">
        <f>IF(INDEX(campaigns!$A$2:$A$51,18)="","",INDEX(campaigns!$CF$2:$CF$51,18))</f>
        <v/>
      </c>
      <c r="M66">
        <f>IF(INDEX(campaigns!$A$2:$A$51,18)="","",INDEX(campaigns!$CG$2:$CG$51,18))</f>
        <v/>
      </c>
      <c r="N66">
        <f>IF(INDEX(campaigns!$A$2:$A$51,18)="","",INDEX(campaigns!$CH$2:$CH$51,18))</f>
        <v/>
      </c>
      <c r="O66">
        <f>IF(INDEX(campaigns!$A$2:$A$51,18)="","",INDEX(campaigns!$CI$2:$CI$51,18))</f>
        <v/>
      </c>
      <c r="P66">
        <f>IF(INDEX(campaigns!$A$2:$A$51,18)="","",INDEX(campaigns!$CK$2:$CK$51,18))</f>
        <v/>
      </c>
      <c r="Q66" s="11">
        <f>IF(INDEX(campaigns!$A$2:$A$51,18)="","",INDEX(campaigns!$CP$2:$CP$51,18))</f>
        <v/>
      </c>
      <c r="R66">
        <f>IF(INDEX(campaigns!$A$2:$A$51,18)="","",INDEX(campaigns!$CW$2:$CW$51,18))</f>
        <v/>
      </c>
      <c r="S66">
        <f>IF(INDEX(campaigns!$A$2:$A$51,18)="","",INDEX(campaigns!$CY$2:$CY$51,18))</f>
        <v/>
      </c>
      <c r="T66" s="10">
        <f>IF(INDEX(campaigns!$A$2:$A$51,18)="","",INDEX(campaigns!$DB$2:$DB$51,18))</f>
        <v/>
      </c>
      <c r="U66" s="10">
        <f>IF(INDEX(campaigns!$A$2:$A$51,18)="","",INDEX(campaigns!$DL$2:$DL$51,18))</f>
        <v/>
      </c>
      <c r="V66">
        <f>IF(INDEX(campaigns!$A$2:$A$51,18)="","",INDEX(campaigns!$DR$2:$DR$51,18))</f>
        <v/>
      </c>
      <c r="W66">
        <f>IF(INDEX(campaigns!$A$2:$A$51,18)="","",INDEX(campaigns!$DS$2:$DS$51,18))</f>
        <v/>
      </c>
      <c r="X66">
        <f>IF(INDEX(campaigns!$A$2:$A$51,18)="","",INDEX(campaigns!$DT$2:$DT$51,18))</f>
        <v/>
      </c>
      <c r="Y66">
        <f>IF(INDEX(campaigns!$A$2:$A$51,18)="","",INDEX(campaigns!$AV$2:$AV$51,18))</f>
        <v/>
      </c>
      <c r="Z66">
        <f>IF(INDEX(campaigns!$A$2:$A$51,18)="","",INDEX(campaigns!$DU$2:$DU$51,18))</f>
        <v/>
      </c>
    </row>
    <row r="67">
      <c r="A67">
        <f>IF(INDEX(campaigns!$A$2:$A$51,19)="","",INDEX(campaigns!$A$2:$A$51,19))</f>
        <v/>
      </c>
      <c r="B67">
        <f>IF(INDEX(campaigns!$A$2:$A$51,19)="","",INDEX(campaigns!$BE$2:$BE$51,19))</f>
        <v/>
      </c>
      <c r="C67" s="9">
        <f>IF(INDEX(campaigns!$A$2:$A$51,19)="","",INDEX(campaigns!$BG$2:$BG$51,19))</f>
        <v/>
      </c>
      <c r="D67">
        <f>IF(INDEX(campaigns!$A$2:$A$51,19)="","",INDEX(campaigns!$D$2:$D$51,19))</f>
        <v/>
      </c>
      <c r="E67">
        <f>IF(INDEX(campaigns!$A$2:$A$51,19)="","",INDEX(campaigns!$BW$2:$BW$51,19))</f>
        <v/>
      </c>
      <c r="F67">
        <f>IF(INDEX(campaigns!$A$2:$A$51,19)="","",INDEX(campaigns!$BO$2:$BO$51,19))</f>
        <v/>
      </c>
      <c r="G67">
        <f>IF(INDEX(campaigns!$A$2:$A$51,19)="","",INDEX(campaigns!$BP$2:$BP$51,19))</f>
        <v/>
      </c>
      <c r="H67">
        <f>IF(INDEX(campaigns!$A$2:$A$51,19)="","",INDEX(campaigns!$F$2:$F$51,19))</f>
        <v/>
      </c>
      <c r="I67">
        <f>IF(INDEX(campaigns!$A$2:$A$51,19)="","",INDEX(campaigns!$CB$2:$CB$51,19))</f>
        <v/>
      </c>
      <c r="J67">
        <f>IF(INDEX(campaigns!$A$2:$A$51,19)="","",INDEX(campaigns!$CD$2:$CD$51,19))</f>
        <v/>
      </c>
      <c r="K67" s="12">
        <f>IF(INDEX(campaigns!$A$2:$A$51,19)="","",INDEX(campaigns!$CE$2:$CE$51,19))</f>
        <v/>
      </c>
      <c r="L67">
        <f>IF(INDEX(campaigns!$A$2:$A$51,19)="","",INDEX(campaigns!$CF$2:$CF$51,19))</f>
        <v/>
      </c>
      <c r="M67">
        <f>IF(INDEX(campaigns!$A$2:$A$51,19)="","",INDEX(campaigns!$CG$2:$CG$51,19))</f>
        <v/>
      </c>
      <c r="N67">
        <f>IF(INDEX(campaigns!$A$2:$A$51,19)="","",INDEX(campaigns!$CH$2:$CH$51,19))</f>
        <v/>
      </c>
      <c r="O67">
        <f>IF(INDEX(campaigns!$A$2:$A$51,19)="","",INDEX(campaigns!$CI$2:$CI$51,19))</f>
        <v/>
      </c>
      <c r="P67">
        <f>IF(INDEX(campaigns!$A$2:$A$51,19)="","",INDEX(campaigns!$CK$2:$CK$51,19))</f>
        <v/>
      </c>
      <c r="Q67" s="11">
        <f>IF(INDEX(campaigns!$A$2:$A$51,19)="","",INDEX(campaigns!$CP$2:$CP$51,19))</f>
        <v/>
      </c>
      <c r="R67">
        <f>IF(INDEX(campaigns!$A$2:$A$51,19)="","",INDEX(campaigns!$CW$2:$CW$51,19))</f>
        <v/>
      </c>
      <c r="S67">
        <f>IF(INDEX(campaigns!$A$2:$A$51,19)="","",INDEX(campaigns!$CY$2:$CY$51,19))</f>
        <v/>
      </c>
      <c r="T67" s="10">
        <f>IF(INDEX(campaigns!$A$2:$A$51,19)="","",INDEX(campaigns!$DB$2:$DB$51,19))</f>
        <v/>
      </c>
      <c r="U67" s="10">
        <f>IF(INDEX(campaigns!$A$2:$A$51,19)="","",INDEX(campaigns!$DL$2:$DL$51,19))</f>
        <v/>
      </c>
      <c r="V67">
        <f>IF(INDEX(campaigns!$A$2:$A$51,19)="","",INDEX(campaigns!$DR$2:$DR$51,19))</f>
        <v/>
      </c>
      <c r="W67">
        <f>IF(INDEX(campaigns!$A$2:$A$51,19)="","",INDEX(campaigns!$DS$2:$DS$51,19))</f>
        <v/>
      </c>
      <c r="X67">
        <f>IF(INDEX(campaigns!$A$2:$A$51,19)="","",INDEX(campaigns!$DT$2:$DT$51,19))</f>
        <v/>
      </c>
      <c r="Y67">
        <f>IF(INDEX(campaigns!$A$2:$A$51,19)="","",INDEX(campaigns!$AV$2:$AV$51,19))</f>
        <v/>
      </c>
      <c r="Z67">
        <f>IF(INDEX(campaigns!$A$2:$A$51,19)="","",INDEX(campaigns!$DU$2:$DU$51,19))</f>
        <v/>
      </c>
    </row>
    <row r="68">
      <c r="A68">
        <f>IF(INDEX(campaigns!$A$2:$A$51,20)="","",INDEX(campaigns!$A$2:$A$51,20))</f>
        <v/>
      </c>
      <c r="B68">
        <f>IF(INDEX(campaigns!$A$2:$A$51,20)="","",INDEX(campaigns!$BE$2:$BE$51,20))</f>
        <v/>
      </c>
      <c r="C68" s="9">
        <f>IF(INDEX(campaigns!$A$2:$A$51,20)="","",INDEX(campaigns!$BG$2:$BG$51,20))</f>
        <v/>
      </c>
      <c r="D68">
        <f>IF(INDEX(campaigns!$A$2:$A$51,20)="","",INDEX(campaigns!$D$2:$D$51,20))</f>
        <v/>
      </c>
      <c r="E68">
        <f>IF(INDEX(campaigns!$A$2:$A$51,20)="","",INDEX(campaigns!$BW$2:$BW$51,20))</f>
        <v/>
      </c>
      <c r="F68">
        <f>IF(INDEX(campaigns!$A$2:$A$51,20)="","",INDEX(campaigns!$BO$2:$BO$51,20))</f>
        <v/>
      </c>
      <c r="G68">
        <f>IF(INDEX(campaigns!$A$2:$A$51,20)="","",INDEX(campaigns!$BP$2:$BP$51,20))</f>
        <v/>
      </c>
      <c r="H68">
        <f>IF(INDEX(campaigns!$A$2:$A$51,20)="","",INDEX(campaigns!$F$2:$F$51,20))</f>
        <v/>
      </c>
      <c r="I68">
        <f>IF(INDEX(campaigns!$A$2:$A$51,20)="","",INDEX(campaigns!$CB$2:$CB$51,20))</f>
        <v/>
      </c>
      <c r="J68">
        <f>IF(INDEX(campaigns!$A$2:$A$51,20)="","",INDEX(campaigns!$CD$2:$CD$51,20))</f>
        <v/>
      </c>
      <c r="K68" s="12">
        <f>IF(INDEX(campaigns!$A$2:$A$51,20)="","",INDEX(campaigns!$CE$2:$CE$51,20))</f>
        <v/>
      </c>
      <c r="L68">
        <f>IF(INDEX(campaigns!$A$2:$A$51,20)="","",INDEX(campaigns!$CF$2:$CF$51,20))</f>
        <v/>
      </c>
      <c r="M68">
        <f>IF(INDEX(campaigns!$A$2:$A$51,20)="","",INDEX(campaigns!$CG$2:$CG$51,20))</f>
        <v/>
      </c>
      <c r="N68">
        <f>IF(INDEX(campaigns!$A$2:$A$51,20)="","",INDEX(campaigns!$CH$2:$CH$51,20))</f>
        <v/>
      </c>
      <c r="O68">
        <f>IF(INDEX(campaigns!$A$2:$A$51,20)="","",INDEX(campaigns!$CI$2:$CI$51,20))</f>
        <v/>
      </c>
      <c r="P68">
        <f>IF(INDEX(campaigns!$A$2:$A$51,20)="","",INDEX(campaigns!$CK$2:$CK$51,20))</f>
        <v/>
      </c>
      <c r="Q68" s="11">
        <f>IF(INDEX(campaigns!$A$2:$A$51,20)="","",INDEX(campaigns!$CP$2:$CP$51,20))</f>
        <v/>
      </c>
      <c r="R68">
        <f>IF(INDEX(campaigns!$A$2:$A$51,20)="","",INDEX(campaigns!$CW$2:$CW$51,20))</f>
        <v/>
      </c>
      <c r="S68">
        <f>IF(INDEX(campaigns!$A$2:$A$51,20)="","",INDEX(campaigns!$CY$2:$CY$51,20))</f>
        <v/>
      </c>
      <c r="T68" s="10">
        <f>IF(INDEX(campaigns!$A$2:$A$51,20)="","",INDEX(campaigns!$DB$2:$DB$51,20))</f>
        <v/>
      </c>
      <c r="U68" s="10">
        <f>IF(INDEX(campaigns!$A$2:$A$51,20)="","",INDEX(campaigns!$DL$2:$DL$51,20))</f>
        <v/>
      </c>
      <c r="V68">
        <f>IF(INDEX(campaigns!$A$2:$A$51,20)="","",INDEX(campaigns!$DR$2:$DR$51,20))</f>
        <v/>
      </c>
      <c r="W68">
        <f>IF(INDEX(campaigns!$A$2:$A$51,20)="","",INDEX(campaigns!$DS$2:$DS$51,20))</f>
        <v/>
      </c>
      <c r="X68">
        <f>IF(INDEX(campaigns!$A$2:$A$51,20)="","",INDEX(campaigns!$DT$2:$DT$51,20))</f>
        <v/>
      </c>
      <c r="Y68">
        <f>IF(INDEX(campaigns!$A$2:$A$51,20)="","",INDEX(campaigns!$AV$2:$AV$51,20))</f>
        <v/>
      </c>
      <c r="Z68">
        <f>IF(INDEX(campaigns!$A$2:$A$51,20)="","",INDEX(campaigns!$DU$2:$DU$51,20))</f>
        <v/>
      </c>
    </row>
    <row r="69">
      <c r="A69">
        <f>IF(INDEX(campaigns!$A$2:$A$51,21)="","",INDEX(campaigns!$A$2:$A$51,21))</f>
        <v/>
      </c>
      <c r="B69">
        <f>IF(INDEX(campaigns!$A$2:$A$51,21)="","",INDEX(campaigns!$BE$2:$BE$51,21))</f>
        <v/>
      </c>
      <c r="C69" s="9">
        <f>IF(INDEX(campaigns!$A$2:$A$51,21)="","",INDEX(campaigns!$BG$2:$BG$51,21))</f>
        <v/>
      </c>
      <c r="D69">
        <f>IF(INDEX(campaigns!$A$2:$A$51,21)="","",INDEX(campaigns!$D$2:$D$51,21))</f>
        <v/>
      </c>
      <c r="E69">
        <f>IF(INDEX(campaigns!$A$2:$A$51,21)="","",INDEX(campaigns!$BW$2:$BW$51,21))</f>
        <v/>
      </c>
      <c r="F69">
        <f>IF(INDEX(campaigns!$A$2:$A$51,21)="","",INDEX(campaigns!$BO$2:$BO$51,21))</f>
        <v/>
      </c>
      <c r="G69">
        <f>IF(INDEX(campaigns!$A$2:$A$51,21)="","",INDEX(campaigns!$BP$2:$BP$51,21))</f>
        <v/>
      </c>
      <c r="H69">
        <f>IF(INDEX(campaigns!$A$2:$A$51,21)="","",INDEX(campaigns!$F$2:$F$51,21))</f>
        <v/>
      </c>
      <c r="I69">
        <f>IF(INDEX(campaigns!$A$2:$A$51,21)="","",INDEX(campaigns!$CB$2:$CB$51,21))</f>
        <v/>
      </c>
      <c r="J69">
        <f>IF(INDEX(campaigns!$A$2:$A$51,21)="","",INDEX(campaigns!$CD$2:$CD$51,21))</f>
        <v/>
      </c>
      <c r="K69" s="12">
        <f>IF(INDEX(campaigns!$A$2:$A$51,21)="","",INDEX(campaigns!$CE$2:$CE$51,21))</f>
        <v/>
      </c>
      <c r="L69">
        <f>IF(INDEX(campaigns!$A$2:$A$51,21)="","",INDEX(campaigns!$CF$2:$CF$51,21))</f>
        <v/>
      </c>
      <c r="M69">
        <f>IF(INDEX(campaigns!$A$2:$A$51,21)="","",INDEX(campaigns!$CG$2:$CG$51,21))</f>
        <v/>
      </c>
      <c r="N69">
        <f>IF(INDEX(campaigns!$A$2:$A$51,21)="","",INDEX(campaigns!$CH$2:$CH$51,21))</f>
        <v/>
      </c>
      <c r="O69">
        <f>IF(INDEX(campaigns!$A$2:$A$51,21)="","",INDEX(campaigns!$CI$2:$CI$51,21))</f>
        <v/>
      </c>
      <c r="P69">
        <f>IF(INDEX(campaigns!$A$2:$A$51,21)="","",INDEX(campaigns!$CK$2:$CK$51,21))</f>
        <v/>
      </c>
      <c r="Q69" s="11">
        <f>IF(INDEX(campaigns!$A$2:$A$51,21)="","",INDEX(campaigns!$CP$2:$CP$51,21))</f>
        <v/>
      </c>
      <c r="R69">
        <f>IF(INDEX(campaigns!$A$2:$A$51,21)="","",INDEX(campaigns!$CW$2:$CW$51,21))</f>
        <v/>
      </c>
      <c r="S69">
        <f>IF(INDEX(campaigns!$A$2:$A$51,21)="","",INDEX(campaigns!$CY$2:$CY$51,21))</f>
        <v/>
      </c>
      <c r="T69" s="10">
        <f>IF(INDEX(campaigns!$A$2:$A$51,21)="","",INDEX(campaigns!$DB$2:$DB$51,21))</f>
        <v/>
      </c>
      <c r="U69" s="10">
        <f>IF(INDEX(campaigns!$A$2:$A$51,21)="","",INDEX(campaigns!$DL$2:$DL$51,21))</f>
        <v/>
      </c>
      <c r="V69">
        <f>IF(INDEX(campaigns!$A$2:$A$51,21)="","",INDEX(campaigns!$DR$2:$DR$51,21))</f>
        <v/>
      </c>
      <c r="W69">
        <f>IF(INDEX(campaigns!$A$2:$A$51,21)="","",INDEX(campaigns!$DS$2:$DS$51,21))</f>
        <v/>
      </c>
      <c r="X69">
        <f>IF(INDEX(campaigns!$A$2:$A$51,21)="","",INDEX(campaigns!$DT$2:$DT$51,21))</f>
        <v/>
      </c>
      <c r="Y69">
        <f>IF(INDEX(campaigns!$A$2:$A$51,21)="","",INDEX(campaigns!$AV$2:$AV$51,21))</f>
        <v/>
      </c>
      <c r="Z69">
        <f>IF(INDEX(campaigns!$A$2:$A$51,21)="","",INDEX(campaigns!$DU$2:$DU$51,21))</f>
        <v/>
      </c>
    </row>
    <row r="70">
      <c r="A70">
        <f>IF(INDEX(campaigns!$A$2:$A$51,22)="","",INDEX(campaigns!$A$2:$A$51,22))</f>
        <v/>
      </c>
      <c r="B70">
        <f>IF(INDEX(campaigns!$A$2:$A$51,22)="","",INDEX(campaigns!$BE$2:$BE$51,22))</f>
        <v/>
      </c>
      <c r="C70" s="9">
        <f>IF(INDEX(campaigns!$A$2:$A$51,22)="","",INDEX(campaigns!$BG$2:$BG$51,22))</f>
        <v/>
      </c>
      <c r="D70">
        <f>IF(INDEX(campaigns!$A$2:$A$51,22)="","",INDEX(campaigns!$D$2:$D$51,22))</f>
        <v/>
      </c>
      <c r="E70">
        <f>IF(INDEX(campaigns!$A$2:$A$51,22)="","",INDEX(campaigns!$BW$2:$BW$51,22))</f>
        <v/>
      </c>
      <c r="F70">
        <f>IF(INDEX(campaigns!$A$2:$A$51,22)="","",INDEX(campaigns!$BO$2:$BO$51,22))</f>
        <v/>
      </c>
      <c r="G70">
        <f>IF(INDEX(campaigns!$A$2:$A$51,22)="","",INDEX(campaigns!$BP$2:$BP$51,22))</f>
        <v/>
      </c>
      <c r="H70">
        <f>IF(INDEX(campaigns!$A$2:$A$51,22)="","",INDEX(campaigns!$F$2:$F$51,22))</f>
        <v/>
      </c>
      <c r="I70">
        <f>IF(INDEX(campaigns!$A$2:$A$51,22)="","",INDEX(campaigns!$CB$2:$CB$51,22))</f>
        <v/>
      </c>
      <c r="J70">
        <f>IF(INDEX(campaigns!$A$2:$A$51,22)="","",INDEX(campaigns!$CD$2:$CD$51,22))</f>
        <v/>
      </c>
      <c r="K70" s="12">
        <f>IF(INDEX(campaigns!$A$2:$A$51,22)="","",INDEX(campaigns!$CE$2:$CE$51,22))</f>
        <v/>
      </c>
      <c r="L70">
        <f>IF(INDEX(campaigns!$A$2:$A$51,22)="","",INDEX(campaigns!$CF$2:$CF$51,22))</f>
        <v/>
      </c>
      <c r="M70">
        <f>IF(INDEX(campaigns!$A$2:$A$51,22)="","",INDEX(campaigns!$CG$2:$CG$51,22))</f>
        <v/>
      </c>
      <c r="N70">
        <f>IF(INDEX(campaigns!$A$2:$A$51,22)="","",INDEX(campaigns!$CH$2:$CH$51,22))</f>
        <v/>
      </c>
      <c r="O70">
        <f>IF(INDEX(campaigns!$A$2:$A$51,22)="","",INDEX(campaigns!$CI$2:$CI$51,22))</f>
        <v/>
      </c>
      <c r="P70">
        <f>IF(INDEX(campaigns!$A$2:$A$51,22)="","",INDEX(campaigns!$CK$2:$CK$51,22))</f>
        <v/>
      </c>
      <c r="Q70" s="11">
        <f>IF(INDEX(campaigns!$A$2:$A$51,22)="","",INDEX(campaigns!$CP$2:$CP$51,22))</f>
        <v/>
      </c>
      <c r="R70">
        <f>IF(INDEX(campaigns!$A$2:$A$51,22)="","",INDEX(campaigns!$CW$2:$CW$51,22))</f>
        <v/>
      </c>
      <c r="S70">
        <f>IF(INDEX(campaigns!$A$2:$A$51,22)="","",INDEX(campaigns!$CY$2:$CY$51,22))</f>
        <v/>
      </c>
      <c r="T70" s="10">
        <f>IF(INDEX(campaigns!$A$2:$A$51,22)="","",INDEX(campaigns!$DB$2:$DB$51,22))</f>
        <v/>
      </c>
      <c r="U70" s="10">
        <f>IF(INDEX(campaigns!$A$2:$A$51,22)="","",INDEX(campaigns!$DL$2:$DL$51,22))</f>
        <v/>
      </c>
      <c r="V70">
        <f>IF(INDEX(campaigns!$A$2:$A$51,22)="","",INDEX(campaigns!$DR$2:$DR$51,22))</f>
        <v/>
      </c>
      <c r="W70">
        <f>IF(INDEX(campaigns!$A$2:$A$51,22)="","",INDEX(campaigns!$DS$2:$DS$51,22))</f>
        <v/>
      </c>
      <c r="X70">
        <f>IF(INDEX(campaigns!$A$2:$A$51,22)="","",INDEX(campaigns!$DT$2:$DT$51,22))</f>
        <v/>
      </c>
      <c r="Y70">
        <f>IF(INDEX(campaigns!$A$2:$A$51,22)="","",INDEX(campaigns!$AV$2:$AV$51,22))</f>
        <v/>
      </c>
      <c r="Z70">
        <f>IF(INDEX(campaigns!$A$2:$A$51,22)="","",INDEX(campaigns!$DU$2:$DU$51,22))</f>
        <v/>
      </c>
    </row>
    <row r="71">
      <c r="A71">
        <f>IF(INDEX(campaigns!$A$2:$A$51,23)="","",INDEX(campaigns!$A$2:$A$51,23))</f>
        <v/>
      </c>
      <c r="B71">
        <f>IF(INDEX(campaigns!$A$2:$A$51,23)="","",INDEX(campaigns!$BE$2:$BE$51,23))</f>
        <v/>
      </c>
      <c r="C71" s="9">
        <f>IF(INDEX(campaigns!$A$2:$A$51,23)="","",INDEX(campaigns!$BG$2:$BG$51,23))</f>
        <v/>
      </c>
      <c r="D71">
        <f>IF(INDEX(campaigns!$A$2:$A$51,23)="","",INDEX(campaigns!$D$2:$D$51,23))</f>
        <v/>
      </c>
      <c r="E71">
        <f>IF(INDEX(campaigns!$A$2:$A$51,23)="","",INDEX(campaigns!$BW$2:$BW$51,23))</f>
        <v/>
      </c>
      <c r="F71">
        <f>IF(INDEX(campaigns!$A$2:$A$51,23)="","",INDEX(campaigns!$BO$2:$BO$51,23))</f>
        <v/>
      </c>
      <c r="G71">
        <f>IF(INDEX(campaigns!$A$2:$A$51,23)="","",INDEX(campaigns!$BP$2:$BP$51,23))</f>
        <v/>
      </c>
      <c r="H71">
        <f>IF(INDEX(campaigns!$A$2:$A$51,23)="","",INDEX(campaigns!$F$2:$F$51,23))</f>
        <v/>
      </c>
      <c r="I71">
        <f>IF(INDEX(campaigns!$A$2:$A$51,23)="","",INDEX(campaigns!$CB$2:$CB$51,23))</f>
        <v/>
      </c>
      <c r="J71">
        <f>IF(INDEX(campaigns!$A$2:$A$51,23)="","",INDEX(campaigns!$CD$2:$CD$51,23))</f>
        <v/>
      </c>
      <c r="K71" s="12">
        <f>IF(INDEX(campaigns!$A$2:$A$51,23)="","",INDEX(campaigns!$CE$2:$CE$51,23))</f>
        <v/>
      </c>
      <c r="L71">
        <f>IF(INDEX(campaigns!$A$2:$A$51,23)="","",INDEX(campaigns!$CF$2:$CF$51,23))</f>
        <v/>
      </c>
      <c r="M71">
        <f>IF(INDEX(campaigns!$A$2:$A$51,23)="","",INDEX(campaigns!$CG$2:$CG$51,23))</f>
        <v/>
      </c>
      <c r="N71">
        <f>IF(INDEX(campaigns!$A$2:$A$51,23)="","",INDEX(campaigns!$CH$2:$CH$51,23))</f>
        <v/>
      </c>
      <c r="O71">
        <f>IF(INDEX(campaigns!$A$2:$A$51,23)="","",INDEX(campaigns!$CI$2:$CI$51,23))</f>
        <v/>
      </c>
      <c r="P71">
        <f>IF(INDEX(campaigns!$A$2:$A$51,23)="","",INDEX(campaigns!$CK$2:$CK$51,23))</f>
        <v/>
      </c>
      <c r="Q71" s="11">
        <f>IF(INDEX(campaigns!$A$2:$A$51,23)="","",INDEX(campaigns!$CP$2:$CP$51,23))</f>
        <v/>
      </c>
      <c r="R71">
        <f>IF(INDEX(campaigns!$A$2:$A$51,23)="","",INDEX(campaigns!$CW$2:$CW$51,23))</f>
        <v/>
      </c>
      <c r="S71">
        <f>IF(INDEX(campaigns!$A$2:$A$51,23)="","",INDEX(campaigns!$CY$2:$CY$51,23))</f>
        <v/>
      </c>
      <c r="T71" s="10">
        <f>IF(INDEX(campaigns!$A$2:$A$51,23)="","",INDEX(campaigns!$DB$2:$DB$51,23))</f>
        <v/>
      </c>
      <c r="U71" s="10">
        <f>IF(INDEX(campaigns!$A$2:$A$51,23)="","",INDEX(campaigns!$DL$2:$DL$51,23))</f>
        <v/>
      </c>
      <c r="V71">
        <f>IF(INDEX(campaigns!$A$2:$A$51,23)="","",INDEX(campaigns!$DR$2:$DR$51,23))</f>
        <v/>
      </c>
      <c r="W71">
        <f>IF(INDEX(campaigns!$A$2:$A$51,23)="","",INDEX(campaigns!$DS$2:$DS$51,23))</f>
        <v/>
      </c>
      <c r="X71">
        <f>IF(INDEX(campaigns!$A$2:$A$51,23)="","",INDEX(campaigns!$DT$2:$DT$51,23))</f>
        <v/>
      </c>
      <c r="Y71">
        <f>IF(INDEX(campaigns!$A$2:$A$51,23)="","",INDEX(campaigns!$AV$2:$AV$51,23))</f>
        <v/>
      </c>
      <c r="Z71">
        <f>IF(INDEX(campaigns!$A$2:$A$51,23)="","",INDEX(campaigns!$DU$2:$DU$51,23))</f>
        <v/>
      </c>
    </row>
    <row r="72">
      <c r="A72">
        <f>IF(INDEX(campaigns!$A$2:$A$51,24)="","",INDEX(campaigns!$A$2:$A$51,24))</f>
        <v/>
      </c>
      <c r="B72">
        <f>IF(INDEX(campaigns!$A$2:$A$51,24)="","",INDEX(campaigns!$BE$2:$BE$51,24))</f>
        <v/>
      </c>
      <c r="C72" s="9">
        <f>IF(INDEX(campaigns!$A$2:$A$51,24)="","",INDEX(campaigns!$BG$2:$BG$51,24))</f>
        <v/>
      </c>
      <c r="D72">
        <f>IF(INDEX(campaigns!$A$2:$A$51,24)="","",INDEX(campaigns!$D$2:$D$51,24))</f>
        <v/>
      </c>
      <c r="E72">
        <f>IF(INDEX(campaigns!$A$2:$A$51,24)="","",INDEX(campaigns!$BW$2:$BW$51,24))</f>
        <v/>
      </c>
      <c r="F72">
        <f>IF(INDEX(campaigns!$A$2:$A$51,24)="","",INDEX(campaigns!$BO$2:$BO$51,24))</f>
        <v/>
      </c>
      <c r="G72">
        <f>IF(INDEX(campaigns!$A$2:$A$51,24)="","",INDEX(campaigns!$BP$2:$BP$51,24))</f>
        <v/>
      </c>
      <c r="H72">
        <f>IF(INDEX(campaigns!$A$2:$A$51,24)="","",INDEX(campaigns!$F$2:$F$51,24))</f>
        <v/>
      </c>
      <c r="I72">
        <f>IF(INDEX(campaigns!$A$2:$A$51,24)="","",INDEX(campaigns!$CB$2:$CB$51,24))</f>
        <v/>
      </c>
      <c r="J72">
        <f>IF(INDEX(campaigns!$A$2:$A$51,24)="","",INDEX(campaigns!$CD$2:$CD$51,24))</f>
        <v/>
      </c>
      <c r="K72" s="12">
        <f>IF(INDEX(campaigns!$A$2:$A$51,24)="","",INDEX(campaigns!$CE$2:$CE$51,24))</f>
        <v/>
      </c>
      <c r="L72">
        <f>IF(INDEX(campaigns!$A$2:$A$51,24)="","",INDEX(campaigns!$CF$2:$CF$51,24))</f>
        <v/>
      </c>
      <c r="M72">
        <f>IF(INDEX(campaigns!$A$2:$A$51,24)="","",INDEX(campaigns!$CG$2:$CG$51,24))</f>
        <v/>
      </c>
      <c r="N72">
        <f>IF(INDEX(campaigns!$A$2:$A$51,24)="","",INDEX(campaigns!$CH$2:$CH$51,24))</f>
        <v/>
      </c>
      <c r="O72">
        <f>IF(INDEX(campaigns!$A$2:$A$51,24)="","",INDEX(campaigns!$CI$2:$CI$51,24))</f>
        <v/>
      </c>
      <c r="P72">
        <f>IF(INDEX(campaigns!$A$2:$A$51,24)="","",INDEX(campaigns!$CK$2:$CK$51,24))</f>
        <v/>
      </c>
      <c r="Q72" s="11">
        <f>IF(INDEX(campaigns!$A$2:$A$51,24)="","",INDEX(campaigns!$CP$2:$CP$51,24))</f>
        <v/>
      </c>
      <c r="R72">
        <f>IF(INDEX(campaigns!$A$2:$A$51,24)="","",INDEX(campaigns!$CW$2:$CW$51,24))</f>
        <v/>
      </c>
      <c r="S72">
        <f>IF(INDEX(campaigns!$A$2:$A$51,24)="","",INDEX(campaigns!$CY$2:$CY$51,24))</f>
        <v/>
      </c>
      <c r="T72" s="10">
        <f>IF(INDEX(campaigns!$A$2:$A$51,24)="","",INDEX(campaigns!$DB$2:$DB$51,24))</f>
        <v/>
      </c>
      <c r="U72" s="10">
        <f>IF(INDEX(campaigns!$A$2:$A$51,24)="","",INDEX(campaigns!$DL$2:$DL$51,24))</f>
        <v/>
      </c>
      <c r="V72">
        <f>IF(INDEX(campaigns!$A$2:$A$51,24)="","",INDEX(campaigns!$DR$2:$DR$51,24))</f>
        <v/>
      </c>
      <c r="W72">
        <f>IF(INDEX(campaigns!$A$2:$A$51,24)="","",INDEX(campaigns!$DS$2:$DS$51,24))</f>
        <v/>
      </c>
      <c r="X72">
        <f>IF(INDEX(campaigns!$A$2:$A$51,24)="","",INDEX(campaigns!$DT$2:$DT$51,24))</f>
        <v/>
      </c>
      <c r="Y72">
        <f>IF(INDEX(campaigns!$A$2:$A$51,24)="","",INDEX(campaigns!$AV$2:$AV$51,24))</f>
        <v/>
      </c>
      <c r="Z72">
        <f>IF(INDEX(campaigns!$A$2:$A$51,24)="","",INDEX(campaigns!$DU$2:$DU$51,24))</f>
        <v/>
      </c>
    </row>
    <row r="73">
      <c r="A73">
        <f>IF(INDEX(campaigns!$A$2:$A$51,25)="","",INDEX(campaigns!$A$2:$A$51,25))</f>
        <v/>
      </c>
      <c r="B73">
        <f>IF(INDEX(campaigns!$A$2:$A$51,25)="","",INDEX(campaigns!$BE$2:$BE$51,25))</f>
        <v/>
      </c>
      <c r="C73" s="9">
        <f>IF(INDEX(campaigns!$A$2:$A$51,25)="","",INDEX(campaigns!$BG$2:$BG$51,25))</f>
        <v/>
      </c>
      <c r="D73">
        <f>IF(INDEX(campaigns!$A$2:$A$51,25)="","",INDEX(campaigns!$D$2:$D$51,25))</f>
        <v/>
      </c>
      <c r="E73">
        <f>IF(INDEX(campaigns!$A$2:$A$51,25)="","",INDEX(campaigns!$BW$2:$BW$51,25))</f>
        <v/>
      </c>
      <c r="F73">
        <f>IF(INDEX(campaigns!$A$2:$A$51,25)="","",INDEX(campaigns!$BO$2:$BO$51,25))</f>
        <v/>
      </c>
      <c r="G73">
        <f>IF(INDEX(campaigns!$A$2:$A$51,25)="","",INDEX(campaigns!$BP$2:$BP$51,25))</f>
        <v/>
      </c>
      <c r="H73">
        <f>IF(INDEX(campaigns!$A$2:$A$51,25)="","",INDEX(campaigns!$F$2:$F$51,25))</f>
        <v/>
      </c>
      <c r="I73">
        <f>IF(INDEX(campaigns!$A$2:$A$51,25)="","",INDEX(campaigns!$CB$2:$CB$51,25))</f>
        <v/>
      </c>
      <c r="J73">
        <f>IF(INDEX(campaigns!$A$2:$A$51,25)="","",INDEX(campaigns!$CD$2:$CD$51,25))</f>
        <v/>
      </c>
      <c r="K73" s="12">
        <f>IF(INDEX(campaigns!$A$2:$A$51,25)="","",INDEX(campaigns!$CE$2:$CE$51,25))</f>
        <v/>
      </c>
      <c r="L73">
        <f>IF(INDEX(campaigns!$A$2:$A$51,25)="","",INDEX(campaigns!$CF$2:$CF$51,25))</f>
        <v/>
      </c>
      <c r="M73">
        <f>IF(INDEX(campaigns!$A$2:$A$51,25)="","",INDEX(campaigns!$CG$2:$CG$51,25))</f>
        <v/>
      </c>
      <c r="N73">
        <f>IF(INDEX(campaigns!$A$2:$A$51,25)="","",INDEX(campaigns!$CH$2:$CH$51,25))</f>
        <v/>
      </c>
      <c r="O73">
        <f>IF(INDEX(campaigns!$A$2:$A$51,25)="","",INDEX(campaigns!$CI$2:$CI$51,25))</f>
        <v/>
      </c>
      <c r="P73">
        <f>IF(INDEX(campaigns!$A$2:$A$51,25)="","",INDEX(campaigns!$CK$2:$CK$51,25))</f>
        <v/>
      </c>
      <c r="Q73" s="11">
        <f>IF(INDEX(campaigns!$A$2:$A$51,25)="","",INDEX(campaigns!$CP$2:$CP$51,25))</f>
        <v/>
      </c>
      <c r="R73">
        <f>IF(INDEX(campaigns!$A$2:$A$51,25)="","",INDEX(campaigns!$CW$2:$CW$51,25))</f>
        <v/>
      </c>
      <c r="S73">
        <f>IF(INDEX(campaigns!$A$2:$A$51,25)="","",INDEX(campaigns!$CY$2:$CY$51,25))</f>
        <v/>
      </c>
      <c r="T73" s="10">
        <f>IF(INDEX(campaigns!$A$2:$A$51,25)="","",INDEX(campaigns!$DB$2:$DB$51,25))</f>
        <v/>
      </c>
      <c r="U73" s="10">
        <f>IF(INDEX(campaigns!$A$2:$A$51,25)="","",INDEX(campaigns!$DL$2:$DL$51,25))</f>
        <v/>
      </c>
      <c r="V73">
        <f>IF(INDEX(campaigns!$A$2:$A$51,25)="","",INDEX(campaigns!$DR$2:$DR$51,25))</f>
        <v/>
      </c>
      <c r="W73">
        <f>IF(INDEX(campaigns!$A$2:$A$51,25)="","",INDEX(campaigns!$DS$2:$DS$51,25))</f>
        <v/>
      </c>
      <c r="X73">
        <f>IF(INDEX(campaigns!$A$2:$A$51,25)="","",INDEX(campaigns!$DT$2:$DT$51,25))</f>
        <v/>
      </c>
      <c r="Y73">
        <f>IF(INDEX(campaigns!$A$2:$A$51,25)="","",INDEX(campaigns!$AV$2:$AV$51,25))</f>
        <v/>
      </c>
      <c r="Z73">
        <f>IF(INDEX(campaigns!$A$2:$A$51,25)="","",INDEX(campaigns!$DU$2:$DU$51,25))</f>
        <v/>
      </c>
    </row>
    <row r="74">
      <c r="A74">
        <f>IF(INDEX(campaigns!$A$2:$A$51,26)="","",INDEX(campaigns!$A$2:$A$51,26))</f>
        <v/>
      </c>
      <c r="B74">
        <f>IF(INDEX(campaigns!$A$2:$A$51,26)="","",INDEX(campaigns!$BE$2:$BE$51,26))</f>
        <v/>
      </c>
      <c r="C74" s="9">
        <f>IF(INDEX(campaigns!$A$2:$A$51,26)="","",INDEX(campaigns!$BG$2:$BG$51,26))</f>
        <v/>
      </c>
      <c r="D74">
        <f>IF(INDEX(campaigns!$A$2:$A$51,26)="","",INDEX(campaigns!$D$2:$D$51,26))</f>
        <v/>
      </c>
      <c r="E74">
        <f>IF(INDEX(campaigns!$A$2:$A$51,26)="","",INDEX(campaigns!$BW$2:$BW$51,26))</f>
        <v/>
      </c>
      <c r="F74">
        <f>IF(INDEX(campaigns!$A$2:$A$51,26)="","",INDEX(campaigns!$BO$2:$BO$51,26))</f>
        <v/>
      </c>
      <c r="G74">
        <f>IF(INDEX(campaigns!$A$2:$A$51,26)="","",INDEX(campaigns!$BP$2:$BP$51,26))</f>
        <v/>
      </c>
      <c r="H74">
        <f>IF(INDEX(campaigns!$A$2:$A$51,26)="","",INDEX(campaigns!$F$2:$F$51,26))</f>
        <v/>
      </c>
      <c r="I74">
        <f>IF(INDEX(campaigns!$A$2:$A$51,26)="","",INDEX(campaigns!$CB$2:$CB$51,26))</f>
        <v/>
      </c>
      <c r="J74">
        <f>IF(INDEX(campaigns!$A$2:$A$51,26)="","",INDEX(campaigns!$CD$2:$CD$51,26))</f>
        <v/>
      </c>
      <c r="K74" s="12">
        <f>IF(INDEX(campaigns!$A$2:$A$51,26)="","",INDEX(campaigns!$CE$2:$CE$51,26))</f>
        <v/>
      </c>
      <c r="L74">
        <f>IF(INDEX(campaigns!$A$2:$A$51,26)="","",INDEX(campaigns!$CF$2:$CF$51,26))</f>
        <v/>
      </c>
      <c r="M74">
        <f>IF(INDEX(campaigns!$A$2:$A$51,26)="","",INDEX(campaigns!$CG$2:$CG$51,26))</f>
        <v/>
      </c>
      <c r="N74">
        <f>IF(INDEX(campaigns!$A$2:$A$51,26)="","",INDEX(campaigns!$CH$2:$CH$51,26))</f>
        <v/>
      </c>
      <c r="O74">
        <f>IF(INDEX(campaigns!$A$2:$A$51,26)="","",INDEX(campaigns!$CI$2:$CI$51,26))</f>
        <v/>
      </c>
      <c r="P74">
        <f>IF(INDEX(campaigns!$A$2:$A$51,26)="","",INDEX(campaigns!$CK$2:$CK$51,26))</f>
        <v/>
      </c>
      <c r="Q74" s="11">
        <f>IF(INDEX(campaigns!$A$2:$A$51,26)="","",INDEX(campaigns!$CP$2:$CP$51,26))</f>
        <v/>
      </c>
      <c r="R74">
        <f>IF(INDEX(campaigns!$A$2:$A$51,26)="","",INDEX(campaigns!$CW$2:$CW$51,26))</f>
        <v/>
      </c>
      <c r="S74">
        <f>IF(INDEX(campaigns!$A$2:$A$51,26)="","",INDEX(campaigns!$CY$2:$CY$51,26))</f>
        <v/>
      </c>
      <c r="T74" s="10">
        <f>IF(INDEX(campaigns!$A$2:$A$51,26)="","",INDEX(campaigns!$DB$2:$DB$51,26))</f>
        <v/>
      </c>
      <c r="U74" s="10">
        <f>IF(INDEX(campaigns!$A$2:$A$51,26)="","",INDEX(campaigns!$DL$2:$DL$51,26))</f>
        <v/>
      </c>
      <c r="V74">
        <f>IF(INDEX(campaigns!$A$2:$A$51,26)="","",INDEX(campaigns!$DR$2:$DR$51,26))</f>
        <v/>
      </c>
      <c r="W74">
        <f>IF(INDEX(campaigns!$A$2:$A$51,26)="","",INDEX(campaigns!$DS$2:$DS$51,26))</f>
        <v/>
      </c>
      <c r="X74">
        <f>IF(INDEX(campaigns!$A$2:$A$51,26)="","",INDEX(campaigns!$DT$2:$DT$51,26))</f>
        <v/>
      </c>
      <c r="Y74">
        <f>IF(INDEX(campaigns!$A$2:$A$51,26)="","",INDEX(campaigns!$AV$2:$AV$51,26))</f>
        <v/>
      </c>
      <c r="Z74">
        <f>IF(INDEX(campaigns!$A$2:$A$51,26)="","",INDEX(campaigns!$DU$2:$DU$51,26))</f>
        <v/>
      </c>
    </row>
    <row r="75">
      <c r="A75">
        <f>IF(INDEX(campaigns!$A$2:$A$51,27)="","",INDEX(campaigns!$A$2:$A$51,27))</f>
        <v/>
      </c>
      <c r="B75">
        <f>IF(INDEX(campaigns!$A$2:$A$51,27)="","",INDEX(campaigns!$BE$2:$BE$51,27))</f>
        <v/>
      </c>
      <c r="C75" s="9">
        <f>IF(INDEX(campaigns!$A$2:$A$51,27)="","",INDEX(campaigns!$BG$2:$BG$51,27))</f>
        <v/>
      </c>
      <c r="D75">
        <f>IF(INDEX(campaigns!$A$2:$A$51,27)="","",INDEX(campaigns!$D$2:$D$51,27))</f>
        <v/>
      </c>
      <c r="E75">
        <f>IF(INDEX(campaigns!$A$2:$A$51,27)="","",INDEX(campaigns!$BW$2:$BW$51,27))</f>
        <v/>
      </c>
      <c r="F75">
        <f>IF(INDEX(campaigns!$A$2:$A$51,27)="","",INDEX(campaigns!$BO$2:$BO$51,27))</f>
        <v/>
      </c>
      <c r="G75">
        <f>IF(INDEX(campaigns!$A$2:$A$51,27)="","",INDEX(campaigns!$BP$2:$BP$51,27))</f>
        <v/>
      </c>
      <c r="H75">
        <f>IF(INDEX(campaigns!$A$2:$A$51,27)="","",INDEX(campaigns!$F$2:$F$51,27))</f>
        <v/>
      </c>
      <c r="I75">
        <f>IF(INDEX(campaigns!$A$2:$A$51,27)="","",INDEX(campaigns!$CB$2:$CB$51,27))</f>
        <v/>
      </c>
      <c r="J75">
        <f>IF(INDEX(campaigns!$A$2:$A$51,27)="","",INDEX(campaigns!$CD$2:$CD$51,27))</f>
        <v/>
      </c>
      <c r="K75" s="12">
        <f>IF(INDEX(campaigns!$A$2:$A$51,27)="","",INDEX(campaigns!$CE$2:$CE$51,27))</f>
        <v/>
      </c>
      <c r="L75">
        <f>IF(INDEX(campaigns!$A$2:$A$51,27)="","",INDEX(campaigns!$CF$2:$CF$51,27))</f>
        <v/>
      </c>
      <c r="M75">
        <f>IF(INDEX(campaigns!$A$2:$A$51,27)="","",INDEX(campaigns!$CG$2:$CG$51,27))</f>
        <v/>
      </c>
      <c r="N75">
        <f>IF(INDEX(campaigns!$A$2:$A$51,27)="","",INDEX(campaigns!$CH$2:$CH$51,27))</f>
        <v/>
      </c>
      <c r="O75">
        <f>IF(INDEX(campaigns!$A$2:$A$51,27)="","",INDEX(campaigns!$CI$2:$CI$51,27))</f>
        <v/>
      </c>
      <c r="P75">
        <f>IF(INDEX(campaigns!$A$2:$A$51,27)="","",INDEX(campaigns!$CK$2:$CK$51,27))</f>
        <v/>
      </c>
      <c r="Q75" s="11">
        <f>IF(INDEX(campaigns!$A$2:$A$51,27)="","",INDEX(campaigns!$CP$2:$CP$51,27))</f>
        <v/>
      </c>
      <c r="R75">
        <f>IF(INDEX(campaigns!$A$2:$A$51,27)="","",INDEX(campaigns!$CW$2:$CW$51,27))</f>
        <v/>
      </c>
      <c r="S75">
        <f>IF(INDEX(campaigns!$A$2:$A$51,27)="","",INDEX(campaigns!$CY$2:$CY$51,27))</f>
        <v/>
      </c>
      <c r="T75" s="10">
        <f>IF(INDEX(campaigns!$A$2:$A$51,27)="","",INDEX(campaigns!$DB$2:$DB$51,27))</f>
        <v/>
      </c>
      <c r="U75" s="10">
        <f>IF(INDEX(campaigns!$A$2:$A$51,27)="","",INDEX(campaigns!$DL$2:$DL$51,27))</f>
        <v/>
      </c>
      <c r="V75">
        <f>IF(INDEX(campaigns!$A$2:$A$51,27)="","",INDEX(campaigns!$DR$2:$DR$51,27))</f>
        <v/>
      </c>
      <c r="W75">
        <f>IF(INDEX(campaigns!$A$2:$A$51,27)="","",INDEX(campaigns!$DS$2:$DS$51,27))</f>
        <v/>
      </c>
      <c r="X75">
        <f>IF(INDEX(campaigns!$A$2:$A$51,27)="","",INDEX(campaigns!$DT$2:$DT$51,27))</f>
        <v/>
      </c>
      <c r="Y75">
        <f>IF(INDEX(campaigns!$A$2:$A$51,27)="","",INDEX(campaigns!$AV$2:$AV$51,27))</f>
        <v/>
      </c>
      <c r="Z75">
        <f>IF(INDEX(campaigns!$A$2:$A$51,27)="","",INDEX(campaigns!$DU$2:$DU$51,27))</f>
        <v/>
      </c>
    </row>
    <row r="76">
      <c r="A76">
        <f>IF(INDEX(campaigns!$A$2:$A$51,28)="","",INDEX(campaigns!$A$2:$A$51,28))</f>
        <v/>
      </c>
      <c r="B76">
        <f>IF(INDEX(campaigns!$A$2:$A$51,28)="","",INDEX(campaigns!$BE$2:$BE$51,28))</f>
        <v/>
      </c>
      <c r="C76" s="9">
        <f>IF(INDEX(campaigns!$A$2:$A$51,28)="","",INDEX(campaigns!$BG$2:$BG$51,28))</f>
        <v/>
      </c>
      <c r="D76">
        <f>IF(INDEX(campaigns!$A$2:$A$51,28)="","",INDEX(campaigns!$D$2:$D$51,28))</f>
        <v/>
      </c>
      <c r="E76">
        <f>IF(INDEX(campaigns!$A$2:$A$51,28)="","",INDEX(campaigns!$BW$2:$BW$51,28))</f>
        <v/>
      </c>
      <c r="F76">
        <f>IF(INDEX(campaigns!$A$2:$A$51,28)="","",INDEX(campaigns!$BO$2:$BO$51,28))</f>
        <v/>
      </c>
      <c r="G76">
        <f>IF(INDEX(campaigns!$A$2:$A$51,28)="","",INDEX(campaigns!$BP$2:$BP$51,28))</f>
        <v/>
      </c>
      <c r="H76">
        <f>IF(INDEX(campaigns!$A$2:$A$51,28)="","",INDEX(campaigns!$F$2:$F$51,28))</f>
        <v/>
      </c>
      <c r="I76">
        <f>IF(INDEX(campaigns!$A$2:$A$51,28)="","",INDEX(campaigns!$CB$2:$CB$51,28))</f>
        <v/>
      </c>
      <c r="J76">
        <f>IF(INDEX(campaigns!$A$2:$A$51,28)="","",INDEX(campaigns!$CD$2:$CD$51,28))</f>
        <v/>
      </c>
      <c r="K76" s="12">
        <f>IF(INDEX(campaigns!$A$2:$A$51,28)="","",INDEX(campaigns!$CE$2:$CE$51,28))</f>
        <v/>
      </c>
      <c r="L76">
        <f>IF(INDEX(campaigns!$A$2:$A$51,28)="","",INDEX(campaigns!$CF$2:$CF$51,28))</f>
        <v/>
      </c>
      <c r="M76">
        <f>IF(INDEX(campaigns!$A$2:$A$51,28)="","",INDEX(campaigns!$CG$2:$CG$51,28))</f>
        <v/>
      </c>
      <c r="N76">
        <f>IF(INDEX(campaigns!$A$2:$A$51,28)="","",INDEX(campaigns!$CH$2:$CH$51,28))</f>
        <v/>
      </c>
      <c r="O76">
        <f>IF(INDEX(campaigns!$A$2:$A$51,28)="","",INDEX(campaigns!$CI$2:$CI$51,28))</f>
        <v/>
      </c>
      <c r="P76">
        <f>IF(INDEX(campaigns!$A$2:$A$51,28)="","",INDEX(campaigns!$CK$2:$CK$51,28))</f>
        <v/>
      </c>
      <c r="Q76" s="11">
        <f>IF(INDEX(campaigns!$A$2:$A$51,28)="","",INDEX(campaigns!$CP$2:$CP$51,28))</f>
        <v/>
      </c>
      <c r="R76">
        <f>IF(INDEX(campaigns!$A$2:$A$51,28)="","",INDEX(campaigns!$CW$2:$CW$51,28))</f>
        <v/>
      </c>
      <c r="S76">
        <f>IF(INDEX(campaigns!$A$2:$A$51,28)="","",INDEX(campaigns!$CY$2:$CY$51,28))</f>
        <v/>
      </c>
      <c r="T76" s="10">
        <f>IF(INDEX(campaigns!$A$2:$A$51,28)="","",INDEX(campaigns!$DB$2:$DB$51,28))</f>
        <v/>
      </c>
      <c r="U76" s="10">
        <f>IF(INDEX(campaigns!$A$2:$A$51,28)="","",INDEX(campaigns!$DL$2:$DL$51,28))</f>
        <v/>
      </c>
      <c r="V76">
        <f>IF(INDEX(campaigns!$A$2:$A$51,28)="","",INDEX(campaigns!$DR$2:$DR$51,28))</f>
        <v/>
      </c>
      <c r="W76">
        <f>IF(INDEX(campaigns!$A$2:$A$51,28)="","",INDEX(campaigns!$DS$2:$DS$51,28))</f>
        <v/>
      </c>
      <c r="X76">
        <f>IF(INDEX(campaigns!$A$2:$A$51,28)="","",INDEX(campaigns!$DT$2:$DT$51,28))</f>
        <v/>
      </c>
      <c r="Y76">
        <f>IF(INDEX(campaigns!$A$2:$A$51,28)="","",INDEX(campaigns!$AV$2:$AV$51,28))</f>
        <v/>
      </c>
      <c r="Z76">
        <f>IF(INDEX(campaigns!$A$2:$A$51,28)="","",INDEX(campaigns!$DU$2:$DU$51,28))</f>
        <v/>
      </c>
    </row>
    <row r="77">
      <c r="A77">
        <f>IF(INDEX(campaigns!$A$2:$A$51,29)="","",INDEX(campaigns!$A$2:$A$51,29))</f>
        <v/>
      </c>
      <c r="B77">
        <f>IF(INDEX(campaigns!$A$2:$A$51,29)="","",INDEX(campaigns!$BE$2:$BE$51,29))</f>
        <v/>
      </c>
      <c r="C77" s="9">
        <f>IF(INDEX(campaigns!$A$2:$A$51,29)="","",INDEX(campaigns!$BG$2:$BG$51,29))</f>
        <v/>
      </c>
      <c r="D77">
        <f>IF(INDEX(campaigns!$A$2:$A$51,29)="","",INDEX(campaigns!$D$2:$D$51,29))</f>
        <v/>
      </c>
      <c r="E77">
        <f>IF(INDEX(campaigns!$A$2:$A$51,29)="","",INDEX(campaigns!$BW$2:$BW$51,29))</f>
        <v/>
      </c>
      <c r="F77">
        <f>IF(INDEX(campaigns!$A$2:$A$51,29)="","",INDEX(campaigns!$BO$2:$BO$51,29))</f>
        <v/>
      </c>
      <c r="G77">
        <f>IF(INDEX(campaigns!$A$2:$A$51,29)="","",INDEX(campaigns!$BP$2:$BP$51,29))</f>
        <v/>
      </c>
      <c r="H77">
        <f>IF(INDEX(campaigns!$A$2:$A$51,29)="","",INDEX(campaigns!$F$2:$F$51,29))</f>
        <v/>
      </c>
      <c r="I77">
        <f>IF(INDEX(campaigns!$A$2:$A$51,29)="","",INDEX(campaigns!$CB$2:$CB$51,29))</f>
        <v/>
      </c>
      <c r="J77">
        <f>IF(INDEX(campaigns!$A$2:$A$51,29)="","",INDEX(campaigns!$CD$2:$CD$51,29))</f>
        <v/>
      </c>
      <c r="K77" s="12">
        <f>IF(INDEX(campaigns!$A$2:$A$51,29)="","",INDEX(campaigns!$CE$2:$CE$51,29))</f>
        <v/>
      </c>
      <c r="L77">
        <f>IF(INDEX(campaigns!$A$2:$A$51,29)="","",INDEX(campaigns!$CF$2:$CF$51,29))</f>
        <v/>
      </c>
      <c r="M77">
        <f>IF(INDEX(campaigns!$A$2:$A$51,29)="","",INDEX(campaigns!$CG$2:$CG$51,29))</f>
        <v/>
      </c>
      <c r="N77">
        <f>IF(INDEX(campaigns!$A$2:$A$51,29)="","",INDEX(campaigns!$CH$2:$CH$51,29))</f>
        <v/>
      </c>
      <c r="O77">
        <f>IF(INDEX(campaigns!$A$2:$A$51,29)="","",INDEX(campaigns!$CI$2:$CI$51,29))</f>
        <v/>
      </c>
      <c r="P77">
        <f>IF(INDEX(campaigns!$A$2:$A$51,29)="","",INDEX(campaigns!$CK$2:$CK$51,29))</f>
        <v/>
      </c>
      <c r="Q77" s="11">
        <f>IF(INDEX(campaigns!$A$2:$A$51,29)="","",INDEX(campaigns!$CP$2:$CP$51,29))</f>
        <v/>
      </c>
      <c r="R77">
        <f>IF(INDEX(campaigns!$A$2:$A$51,29)="","",INDEX(campaigns!$CW$2:$CW$51,29))</f>
        <v/>
      </c>
      <c r="S77">
        <f>IF(INDEX(campaigns!$A$2:$A$51,29)="","",INDEX(campaigns!$CY$2:$CY$51,29))</f>
        <v/>
      </c>
      <c r="T77" s="10">
        <f>IF(INDEX(campaigns!$A$2:$A$51,29)="","",INDEX(campaigns!$DB$2:$DB$51,29))</f>
        <v/>
      </c>
      <c r="U77" s="10">
        <f>IF(INDEX(campaigns!$A$2:$A$51,29)="","",INDEX(campaigns!$DL$2:$DL$51,29))</f>
        <v/>
      </c>
      <c r="V77">
        <f>IF(INDEX(campaigns!$A$2:$A$51,29)="","",INDEX(campaigns!$DR$2:$DR$51,29))</f>
        <v/>
      </c>
      <c r="W77">
        <f>IF(INDEX(campaigns!$A$2:$A$51,29)="","",INDEX(campaigns!$DS$2:$DS$51,29))</f>
        <v/>
      </c>
      <c r="X77">
        <f>IF(INDEX(campaigns!$A$2:$A$51,29)="","",INDEX(campaigns!$DT$2:$DT$51,29))</f>
        <v/>
      </c>
      <c r="Y77">
        <f>IF(INDEX(campaigns!$A$2:$A$51,29)="","",INDEX(campaigns!$AV$2:$AV$51,29))</f>
        <v/>
      </c>
      <c r="Z77">
        <f>IF(INDEX(campaigns!$A$2:$A$51,29)="","",INDEX(campaigns!$DU$2:$DU$51,29))</f>
        <v/>
      </c>
    </row>
    <row r="78">
      <c r="A78">
        <f>IF(INDEX(campaigns!$A$2:$A$51,30)="","",INDEX(campaigns!$A$2:$A$51,30))</f>
        <v/>
      </c>
      <c r="B78">
        <f>IF(INDEX(campaigns!$A$2:$A$51,30)="","",INDEX(campaigns!$BE$2:$BE$51,30))</f>
        <v/>
      </c>
      <c r="C78" s="9">
        <f>IF(INDEX(campaigns!$A$2:$A$51,30)="","",INDEX(campaigns!$BG$2:$BG$51,30))</f>
        <v/>
      </c>
      <c r="D78">
        <f>IF(INDEX(campaigns!$A$2:$A$51,30)="","",INDEX(campaigns!$D$2:$D$51,30))</f>
        <v/>
      </c>
      <c r="E78">
        <f>IF(INDEX(campaigns!$A$2:$A$51,30)="","",INDEX(campaigns!$BW$2:$BW$51,30))</f>
        <v/>
      </c>
      <c r="F78">
        <f>IF(INDEX(campaigns!$A$2:$A$51,30)="","",INDEX(campaigns!$BO$2:$BO$51,30))</f>
        <v/>
      </c>
      <c r="G78">
        <f>IF(INDEX(campaigns!$A$2:$A$51,30)="","",INDEX(campaigns!$BP$2:$BP$51,30))</f>
        <v/>
      </c>
      <c r="H78">
        <f>IF(INDEX(campaigns!$A$2:$A$51,30)="","",INDEX(campaigns!$F$2:$F$51,30))</f>
        <v/>
      </c>
      <c r="I78">
        <f>IF(INDEX(campaigns!$A$2:$A$51,30)="","",INDEX(campaigns!$CB$2:$CB$51,30))</f>
        <v/>
      </c>
      <c r="J78">
        <f>IF(INDEX(campaigns!$A$2:$A$51,30)="","",INDEX(campaigns!$CD$2:$CD$51,30))</f>
        <v/>
      </c>
      <c r="K78" s="12">
        <f>IF(INDEX(campaigns!$A$2:$A$51,30)="","",INDEX(campaigns!$CE$2:$CE$51,30))</f>
        <v/>
      </c>
      <c r="L78">
        <f>IF(INDEX(campaigns!$A$2:$A$51,30)="","",INDEX(campaigns!$CF$2:$CF$51,30))</f>
        <v/>
      </c>
      <c r="M78">
        <f>IF(INDEX(campaigns!$A$2:$A$51,30)="","",INDEX(campaigns!$CG$2:$CG$51,30))</f>
        <v/>
      </c>
      <c r="N78">
        <f>IF(INDEX(campaigns!$A$2:$A$51,30)="","",INDEX(campaigns!$CH$2:$CH$51,30))</f>
        <v/>
      </c>
      <c r="O78">
        <f>IF(INDEX(campaigns!$A$2:$A$51,30)="","",INDEX(campaigns!$CI$2:$CI$51,30))</f>
        <v/>
      </c>
      <c r="P78">
        <f>IF(INDEX(campaigns!$A$2:$A$51,30)="","",INDEX(campaigns!$CK$2:$CK$51,30))</f>
        <v/>
      </c>
      <c r="Q78" s="11">
        <f>IF(INDEX(campaigns!$A$2:$A$51,30)="","",INDEX(campaigns!$CP$2:$CP$51,30))</f>
        <v/>
      </c>
      <c r="R78">
        <f>IF(INDEX(campaigns!$A$2:$A$51,30)="","",INDEX(campaigns!$CW$2:$CW$51,30))</f>
        <v/>
      </c>
      <c r="S78">
        <f>IF(INDEX(campaigns!$A$2:$A$51,30)="","",INDEX(campaigns!$CY$2:$CY$51,30))</f>
        <v/>
      </c>
      <c r="T78" s="10">
        <f>IF(INDEX(campaigns!$A$2:$A$51,30)="","",INDEX(campaigns!$DB$2:$DB$51,30))</f>
        <v/>
      </c>
      <c r="U78" s="10">
        <f>IF(INDEX(campaigns!$A$2:$A$51,30)="","",INDEX(campaigns!$DL$2:$DL$51,30))</f>
        <v/>
      </c>
      <c r="V78">
        <f>IF(INDEX(campaigns!$A$2:$A$51,30)="","",INDEX(campaigns!$DR$2:$DR$51,30))</f>
        <v/>
      </c>
      <c r="W78">
        <f>IF(INDEX(campaigns!$A$2:$A$51,30)="","",INDEX(campaigns!$DS$2:$DS$51,30))</f>
        <v/>
      </c>
      <c r="X78">
        <f>IF(INDEX(campaigns!$A$2:$A$51,30)="","",INDEX(campaigns!$DT$2:$DT$51,30))</f>
        <v/>
      </c>
      <c r="Y78">
        <f>IF(INDEX(campaigns!$A$2:$A$51,30)="","",INDEX(campaigns!$AV$2:$AV$51,30))</f>
        <v/>
      </c>
      <c r="Z78">
        <f>IF(INDEX(campaigns!$A$2:$A$51,30)="","",INDEX(campaigns!$DU$2:$DU$51,30))</f>
        <v/>
      </c>
    </row>
    <row r="80">
      <c r="A80" s="14" t="inlineStr">
        <is>
          <t>Incremental purchases are not measured. No column here adds the rungs together.</t>
        </is>
      </c>
    </row>
    <row r="82">
      <c r="A82" s="8" t="inlineStr">
        <is>
          <t>Founder hours by activity</t>
        </is>
      </c>
    </row>
    <row r="83">
      <c r="A83" s="6" t="inlineStr">
        <is>
          <t>activity</t>
        </is>
      </c>
      <c r="B83" s="6" t="inlineStr">
        <is>
          <t>all hours</t>
        </is>
      </c>
      <c r="C83" s="6" t="inlineStr">
        <is>
          <t>not tied to a drop</t>
        </is>
      </c>
      <c r="D83" s="6">
        <f>IF(INDEX(drops!$A$2:$A$21,1)="","",INDEX(drops!$A$2:$A$21,1))</f>
        <v/>
      </c>
      <c r="E83" s="6">
        <f>IF(INDEX(drops!$A$2:$A$21,2)="","",INDEX(drops!$A$2:$A$21,2))</f>
        <v/>
      </c>
      <c r="F83" s="6">
        <f>IF(INDEX(drops!$A$2:$A$21,3)="","",INDEX(drops!$A$2:$A$21,3))</f>
        <v/>
      </c>
      <c r="G83" s="6">
        <f>IF(INDEX(drops!$A$2:$A$21,4)="","",INDEX(drops!$A$2:$A$21,4))</f>
        <v/>
      </c>
      <c r="H83" s="6">
        <f>IF(INDEX(drops!$A$2:$A$21,5)="","",INDEX(drops!$A$2:$A$21,5))</f>
        <v/>
      </c>
      <c r="I83" s="6">
        <f>IF(INDEX(drops!$A$2:$A$21,6)="","",INDEX(drops!$A$2:$A$21,6))</f>
        <v/>
      </c>
    </row>
    <row r="84">
      <c r="A84" t="inlineStr">
        <is>
          <t>brand_sales</t>
        </is>
      </c>
      <c r="B84" s="11">
        <f>SUMIFS(hours!$E$2:$E$1501,hours!$D$2:$D$1501,"brand_sales")</f>
        <v/>
      </c>
      <c r="C84" s="11">
        <f>SUMIFS(hours!$E$2:$E$1501,hours!$D$2:$D$1501,"brand_sales",hours!$B$2:$B$1501,"")</f>
        <v/>
      </c>
      <c r="D84" s="11">
        <f>IF(D83="","",SUMIFS(hours!$E$2:$E$1501,hours!$D$2:$D$1501,"brand_sales",hours!$B$2:$B$1501,D83))</f>
        <v/>
      </c>
      <c r="E84" s="11">
        <f>IF(E83="","",SUMIFS(hours!$E$2:$E$1501,hours!$D$2:$D$1501,"brand_sales",hours!$B$2:$B$1501,E83))</f>
        <v/>
      </c>
      <c r="F84" s="11">
        <f>IF(F83="","",SUMIFS(hours!$E$2:$E$1501,hours!$D$2:$D$1501,"brand_sales",hours!$B$2:$B$1501,F83))</f>
        <v/>
      </c>
      <c r="G84" s="11">
        <f>IF(G83="","",SUMIFS(hours!$E$2:$E$1501,hours!$D$2:$D$1501,"brand_sales",hours!$B$2:$B$1501,G83))</f>
        <v/>
      </c>
      <c r="H84" s="11">
        <f>IF(H83="","",SUMIFS(hours!$E$2:$E$1501,hours!$D$2:$D$1501,"brand_sales",hours!$B$2:$B$1501,H83))</f>
        <v/>
      </c>
      <c r="I84" s="11">
        <f>IF(I83="","",SUMIFS(hours!$E$2:$E$1501,hours!$D$2:$D$1501,"brand_sales",hours!$B$2:$B$1501,I83))</f>
        <v/>
      </c>
    </row>
    <row r="85">
      <c r="A85" t="inlineStr">
        <is>
          <t>office_coordination</t>
        </is>
      </c>
      <c r="B85" s="11">
        <f>SUMIFS(hours!$E$2:$E$1501,hours!$D$2:$D$1501,"office_coordination")</f>
        <v/>
      </c>
      <c r="C85" s="11">
        <f>SUMIFS(hours!$E$2:$E$1501,hours!$D$2:$D$1501,"office_coordination",hours!$B$2:$B$1501,"")</f>
        <v/>
      </c>
      <c r="D85" s="11">
        <f>IF(D83="","",SUMIFS(hours!$E$2:$E$1501,hours!$D$2:$D$1501,"office_coordination",hours!$B$2:$B$1501,D83))</f>
        <v/>
      </c>
      <c r="E85" s="11">
        <f>IF(E83="","",SUMIFS(hours!$E$2:$E$1501,hours!$D$2:$D$1501,"office_coordination",hours!$B$2:$B$1501,E83))</f>
        <v/>
      </c>
      <c r="F85" s="11">
        <f>IF(F83="","",SUMIFS(hours!$E$2:$E$1501,hours!$D$2:$D$1501,"office_coordination",hours!$B$2:$B$1501,F83))</f>
        <v/>
      </c>
      <c r="G85" s="11">
        <f>IF(G83="","",SUMIFS(hours!$E$2:$E$1501,hours!$D$2:$D$1501,"office_coordination",hours!$B$2:$B$1501,G83))</f>
        <v/>
      </c>
      <c r="H85" s="11">
        <f>IF(H83="","",SUMIFS(hours!$E$2:$E$1501,hours!$D$2:$D$1501,"office_coordination",hours!$B$2:$B$1501,H83))</f>
        <v/>
      </c>
      <c r="I85" s="11">
        <f>IF(I83="","",SUMIFS(hours!$E$2:$E$1501,hours!$D$2:$D$1501,"office_coordination",hours!$B$2:$B$1501,I83))</f>
        <v/>
      </c>
    </row>
    <row r="86">
      <c r="A86" t="inlineStr">
        <is>
          <t>receiving_kitting</t>
        </is>
      </c>
      <c r="B86" s="11">
        <f>SUMIFS(hours!$E$2:$E$1501,hours!$D$2:$D$1501,"receiving_kitting")</f>
        <v/>
      </c>
      <c r="C86" s="11">
        <f>SUMIFS(hours!$E$2:$E$1501,hours!$D$2:$D$1501,"receiving_kitting",hours!$B$2:$B$1501,"")</f>
        <v/>
      </c>
      <c r="D86" s="11">
        <f>IF(D83="","",SUMIFS(hours!$E$2:$E$1501,hours!$D$2:$D$1501,"receiving_kitting",hours!$B$2:$B$1501,D83))</f>
        <v/>
      </c>
      <c r="E86" s="11">
        <f>IF(E83="","",SUMIFS(hours!$E$2:$E$1501,hours!$D$2:$D$1501,"receiving_kitting",hours!$B$2:$B$1501,E83))</f>
        <v/>
      </c>
      <c r="F86" s="11">
        <f>IF(F83="","",SUMIFS(hours!$E$2:$E$1501,hours!$D$2:$D$1501,"receiving_kitting",hours!$B$2:$B$1501,F83))</f>
        <v/>
      </c>
      <c r="G86" s="11">
        <f>IF(G83="","",SUMIFS(hours!$E$2:$E$1501,hours!$D$2:$D$1501,"receiving_kitting",hours!$B$2:$B$1501,G83))</f>
        <v/>
      </c>
      <c r="H86" s="11">
        <f>IF(H83="","",SUMIFS(hours!$E$2:$E$1501,hours!$D$2:$D$1501,"receiving_kitting",hours!$B$2:$B$1501,H83))</f>
        <v/>
      </c>
      <c r="I86" s="11">
        <f>IF(I83="","",SUMIFS(hours!$E$2:$E$1501,hours!$D$2:$D$1501,"receiving_kitting",hours!$B$2:$B$1501,I83))</f>
        <v/>
      </c>
    </row>
    <row r="87">
      <c r="A87" t="inlineStr">
        <is>
          <t>drop_day</t>
        </is>
      </c>
      <c r="B87" s="11">
        <f>SUMIFS(hours!$E$2:$E$1501,hours!$D$2:$D$1501,"drop_day")</f>
        <v/>
      </c>
      <c r="C87" s="11">
        <f>SUMIFS(hours!$E$2:$E$1501,hours!$D$2:$D$1501,"drop_day",hours!$B$2:$B$1501,"")</f>
        <v/>
      </c>
      <c r="D87" s="11">
        <f>IF(D83="","",SUMIFS(hours!$E$2:$E$1501,hours!$D$2:$D$1501,"drop_day",hours!$B$2:$B$1501,D83))</f>
        <v/>
      </c>
      <c r="E87" s="11">
        <f>IF(E83="","",SUMIFS(hours!$E$2:$E$1501,hours!$D$2:$D$1501,"drop_day",hours!$B$2:$B$1501,E83))</f>
        <v/>
      </c>
      <c r="F87" s="11">
        <f>IF(F83="","",SUMIFS(hours!$E$2:$E$1501,hours!$D$2:$D$1501,"drop_day",hours!$B$2:$B$1501,F83))</f>
        <v/>
      </c>
      <c r="G87" s="11">
        <f>IF(G83="","",SUMIFS(hours!$E$2:$E$1501,hours!$D$2:$D$1501,"drop_day",hours!$B$2:$B$1501,G83))</f>
        <v/>
      </c>
      <c r="H87" s="11">
        <f>IF(H83="","",SUMIFS(hours!$E$2:$E$1501,hours!$D$2:$D$1501,"drop_day",hours!$B$2:$B$1501,H83))</f>
        <v/>
      </c>
      <c r="I87" s="11">
        <f>IF(I83="","",SUMIFS(hours!$E$2:$E$1501,hours!$D$2:$D$1501,"drop_day",hours!$B$2:$B$1501,I83))</f>
        <v/>
      </c>
    </row>
    <row r="88">
      <c r="A88" t="inlineStr">
        <is>
          <t>checks_pickup</t>
        </is>
      </c>
      <c r="B88" s="11">
        <f>SUMIFS(hours!$E$2:$E$1501,hours!$D$2:$D$1501,"checks_pickup")</f>
        <v/>
      </c>
      <c r="C88" s="11">
        <f>SUMIFS(hours!$E$2:$E$1501,hours!$D$2:$D$1501,"checks_pickup",hours!$B$2:$B$1501,"")</f>
        <v/>
      </c>
      <c r="D88" s="11">
        <f>IF(D83="","",SUMIFS(hours!$E$2:$E$1501,hours!$D$2:$D$1501,"checks_pickup",hours!$B$2:$B$1501,D83))</f>
        <v/>
      </c>
      <c r="E88" s="11">
        <f>IF(E83="","",SUMIFS(hours!$E$2:$E$1501,hours!$D$2:$D$1501,"checks_pickup",hours!$B$2:$B$1501,E83))</f>
        <v/>
      </c>
      <c r="F88" s="11">
        <f>IF(F83="","",SUMIFS(hours!$E$2:$E$1501,hours!$D$2:$D$1501,"checks_pickup",hours!$B$2:$B$1501,F83))</f>
        <v/>
      </c>
      <c r="G88" s="11">
        <f>IF(G83="","",SUMIFS(hours!$E$2:$E$1501,hours!$D$2:$D$1501,"checks_pickup",hours!$B$2:$B$1501,G83))</f>
        <v/>
      </c>
      <c r="H88" s="11">
        <f>IF(H83="","",SUMIFS(hours!$E$2:$E$1501,hours!$D$2:$D$1501,"checks_pickup",hours!$B$2:$B$1501,H83))</f>
        <v/>
      </c>
      <c r="I88" s="11">
        <f>IF(I83="","",SUMIFS(hours!$E$2:$E$1501,hours!$D$2:$D$1501,"checks_pickup",hours!$B$2:$B$1501,I83))</f>
        <v/>
      </c>
    </row>
    <row r="89">
      <c r="A89" t="inlineStr">
        <is>
          <t>reporting_debriefs</t>
        </is>
      </c>
      <c r="B89" s="11">
        <f>SUMIFS(hours!$E$2:$E$1501,hours!$D$2:$D$1501,"reporting_debriefs")</f>
        <v/>
      </c>
      <c r="C89" s="11">
        <f>SUMIFS(hours!$E$2:$E$1501,hours!$D$2:$D$1501,"reporting_debriefs",hours!$B$2:$B$1501,"")</f>
        <v/>
      </c>
      <c r="D89" s="11">
        <f>IF(D83="","",SUMIFS(hours!$E$2:$E$1501,hours!$D$2:$D$1501,"reporting_debriefs",hours!$B$2:$B$1501,D83))</f>
        <v/>
      </c>
      <c r="E89" s="11">
        <f>IF(E83="","",SUMIFS(hours!$E$2:$E$1501,hours!$D$2:$D$1501,"reporting_debriefs",hours!$B$2:$B$1501,E83))</f>
        <v/>
      </c>
      <c r="F89" s="11">
        <f>IF(F83="","",SUMIFS(hours!$E$2:$E$1501,hours!$D$2:$D$1501,"reporting_debriefs",hours!$B$2:$B$1501,F83))</f>
        <v/>
      </c>
      <c r="G89" s="11">
        <f>IF(G83="","",SUMIFS(hours!$E$2:$E$1501,hours!$D$2:$D$1501,"reporting_debriefs",hours!$B$2:$B$1501,G83))</f>
        <v/>
      </c>
      <c r="H89" s="11">
        <f>IF(H83="","",SUMIFS(hours!$E$2:$E$1501,hours!$D$2:$D$1501,"reporting_debriefs",hours!$B$2:$B$1501,H83))</f>
        <v/>
      </c>
      <c r="I89" s="11">
        <f>IF(I83="","",SUMIFS(hours!$E$2:$E$1501,hours!$D$2:$D$1501,"reporting_debriefs",hours!$B$2:$B$1501,I83))</f>
        <v/>
      </c>
    </row>
    <row r="90">
      <c r="A90" t="inlineStr">
        <is>
          <t>admin_invoicing</t>
        </is>
      </c>
      <c r="B90" s="11">
        <f>SUMIFS(hours!$E$2:$E$1501,hours!$D$2:$D$1501,"admin_invoicing")</f>
        <v/>
      </c>
      <c r="C90" s="11">
        <f>SUMIFS(hours!$E$2:$E$1501,hours!$D$2:$D$1501,"admin_invoicing",hours!$B$2:$B$1501,"")</f>
        <v/>
      </c>
      <c r="D90" s="11">
        <f>IF(D83="","",SUMIFS(hours!$E$2:$E$1501,hours!$D$2:$D$1501,"admin_invoicing",hours!$B$2:$B$1501,D83))</f>
        <v/>
      </c>
      <c r="E90" s="11">
        <f>IF(E83="","",SUMIFS(hours!$E$2:$E$1501,hours!$D$2:$D$1501,"admin_invoicing",hours!$B$2:$B$1501,E83))</f>
        <v/>
      </c>
      <c r="F90" s="11">
        <f>IF(F83="","",SUMIFS(hours!$E$2:$E$1501,hours!$D$2:$D$1501,"admin_invoicing",hours!$B$2:$B$1501,F83))</f>
        <v/>
      </c>
      <c r="G90" s="11">
        <f>IF(G83="","",SUMIFS(hours!$E$2:$E$1501,hours!$D$2:$D$1501,"admin_invoicing",hours!$B$2:$B$1501,G83))</f>
        <v/>
      </c>
      <c r="H90" s="11">
        <f>IF(H83="","",SUMIFS(hours!$E$2:$E$1501,hours!$D$2:$D$1501,"admin_invoicing",hours!$B$2:$B$1501,H83))</f>
        <v/>
      </c>
      <c r="I90" s="11">
        <f>IF(I83="","",SUMIFS(hours!$E$2:$E$1501,hours!$D$2:$D$1501,"admin_invoicing",hours!$B$2:$B$1501,I83))</f>
        <v/>
      </c>
    </row>
    <row r="91">
      <c r="A91" s="6" t="inlineStr">
        <is>
          <t>total</t>
        </is>
      </c>
      <c r="B91" s="11">
        <f>SUM(B84:B90)</f>
        <v/>
      </c>
      <c r="C91" s="11">
        <f>SUM(C84:C90)</f>
        <v/>
      </c>
      <c r="D91" s="11">
        <f>IF(D83="","",SUM(D84:D90))</f>
        <v/>
      </c>
      <c r="E91" s="11">
        <f>IF(E83="","",SUM(E84:E90))</f>
        <v/>
      </c>
      <c r="F91" s="11">
        <f>IF(F83="","",SUM(F84:F90))</f>
        <v/>
      </c>
      <c r="G91" s="11">
        <f>IF(G83="","",SUM(G84:G90))</f>
        <v/>
      </c>
      <c r="H91" s="11">
        <f>IF(H83="","",SUM(H84:H90))</f>
        <v/>
      </c>
      <c r="I91" s="11">
        <f>IF(I83="","",SUM(I84:I90))</f>
        <v/>
      </c>
    </row>
  </sheetData>
  <conditionalFormatting sqref="B7">
    <cfRule type="expression" priority="1" dxfId="0">
      <formula>B7&gt;0</formula>
    </cfRule>
  </conditionalFormatting>
  <conditionalFormatting sqref="B8">
    <cfRule type="expression" priority="2" dxfId="0">
      <formula>B8&gt;0</formula>
    </cfRule>
  </conditionalFormatting>
  <conditionalFormatting sqref="B9">
    <cfRule type="expression" priority="3" dxfId="0">
      <formula>B9&gt;0</formula>
    </cfRule>
  </conditionalFormatting>
  <conditionalFormatting sqref="B10">
    <cfRule type="expression" priority="4" dxfId="0">
      <formula>B10&gt;0</formula>
    </cfRule>
  </conditionalFormatting>
  <conditionalFormatting sqref="B11">
    <cfRule type="expression" priority="5" dxfId="0">
      <formula>B11&gt;0</formula>
    </cfRule>
  </conditionalFormatting>
  <conditionalFormatting sqref="B12">
    <cfRule type="expression" priority="6" dxfId="0">
      <formula>B12&gt;0</formula>
    </cfRule>
  </conditionalFormatting>
  <conditionalFormatting sqref="B13">
    <cfRule type="expression" priority="7" dxfId="0">
      <formula>B13&gt;0</formula>
    </cfRule>
  </conditionalFormatting>
  <conditionalFormatting sqref="B14">
    <cfRule type="expression" priority="8" dxfId="0">
      <formula>B14&gt;0</formula>
    </cfRule>
  </conditionalFormatting>
  <conditionalFormatting sqref="B15">
    <cfRule type="expression" priority="9" dxfId="0">
      <formula>B15&gt;0</formula>
    </cfRule>
  </conditionalFormatting>
  <conditionalFormatting sqref="B16">
    <cfRule type="expression" priority="10" dxfId="0">
      <formula>B16&gt;0</formula>
    </cfRule>
  </conditionalFormatting>
  <conditionalFormatting sqref="B17">
    <cfRule type="expression" priority="11" dxfId="0">
      <formula>B17&gt;0</formula>
    </cfRule>
  </conditionalFormatting>
  <conditionalFormatting sqref="B18">
    <cfRule type="expression" priority="12" dxfId="0">
      <formula>B18&gt;0</formula>
    </cfRule>
  </conditionalFormatting>
  <conditionalFormatting sqref="B19">
    <cfRule type="expression" priority="13" dxfId="0">
      <formula>B19&gt;0</formula>
    </cfRule>
  </conditionalFormatting>
  <conditionalFormatting sqref="B20">
    <cfRule type="expression" priority="14" dxfId="0">
      <formula>B20&gt;0</formula>
    </cfRule>
  </conditionalFormatting>
  <conditionalFormatting sqref="B21">
    <cfRule type="expression" priority="15" dxfId="0">
      <formula>B21&gt;0</formula>
    </cfRule>
  </conditionalFormatting>
  <conditionalFormatting sqref="B22">
    <cfRule type="expression" priority="16" dxfId="0">
      <formula>B22&gt;0</formula>
    </cfRule>
  </conditionalFormatting>
  <conditionalFormatting sqref="B23">
    <cfRule type="expression" priority="17" dxfId="0">
      <formula>B23&gt;0</formula>
    </cfRule>
  </conditionalFormatting>
  <conditionalFormatting sqref="B24">
    <cfRule type="expression" priority="18" dxfId="0">
      <formula>B24&gt;0</formula>
    </cfRule>
  </conditionalFormatting>
  <conditionalFormatting sqref="B25">
    <cfRule type="expression" priority="19" dxfId="0">
      <formula>B25&gt;0</formula>
    </cfRule>
  </conditionalFormatting>
  <conditionalFormatting sqref="B26">
    <cfRule type="expression" priority="20" dxfId="0">
      <formula>B26&gt;0</formula>
    </cfRule>
  </conditionalFormatting>
  <conditionalFormatting sqref="B27">
    <cfRule type="expression" priority="21" dxfId="0">
      <formula>B27&gt;0</formula>
    </cfRule>
  </conditionalFormatting>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N25"/>
  <sheetViews>
    <sheetView workbookViewId="0">
      <selection activeCell="A1" sqref="A1"/>
    </sheetView>
  </sheetViews>
  <sheetFormatPr baseColWidth="8" defaultRowHeight="15"/>
  <cols>
    <col width="16" customWidth="1" min="1" max="1"/>
    <col width="22" customWidth="1" min="2" max="2"/>
    <col width="10" customWidth="1" min="3" max="3"/>
    <col width="10" customWidth="1" min="4" max="4"/>
    <col width="10" customWidth="1" min="5" max="5"/>
    <col width="10" customWidth="1" min="6" max="6"/>
    <col width="12" customWidth="1" min="7" max="7"/>
    <col width="8" customWidth="1" min="8" max="8"/>
    <col width="9" customWidth="1" min="9" max="9"/>
    <col width="10" customWidth="1" min="10" max="10"/>
    <col width="8" customWidth="1" min="11" max="11"/>
    <col width="8" customWidth="1" min="12" max="12"/>
    <col width="9" customWidth="1" min="13" max="13"/>
    <col width="30" customWidth="1" min="14" max="14"/>
  </cols>
  <sheetData>
    <row r="1">
      <c r="A1" s="4" t="inlineStr">
        <is>
          <t>Survey responses</t>
        </is>
      </c>
    </row>
    <row r="2">
      <c r="A2" s="6" t="inlineStr">
        <is>
          <t>Campaign</t>
        </is>
      </c>
      <c r="B2">
        <f>IF(INDEX(campaigns!$A$2:$A$51,1)="","",INDEX(campaigns!$A$2:$A$51,1))</f>
        <v/>
      </c>
      <c r="C2" t="inlineStr">
        <is>
          <t>Type a campaign_id over B2 to switch. Counts are live from the campaign's form tab, inside the window T to T+4 only.</t>
        </is>
      </c>
    </row>
    <row r="3">
      <c r="A3" s="15">
        <f>IF(LEFT($B$2,6)="SAMPLE","SAMPLE DATA. Illustrative placeholders, not results.","")</f>
        <v/>
      </c>
    </row>
    <row r="4">
      <c r="A4">
        <f>IF($B$2="","",IFERROR(INDEX(campaigns!$BE$2:$BE$51,MATCH($B$2,campaigns!$A$2:$A$51,0)),"")&amp;" · drop "&amp;TEXT(IFERROR(INDEX(campaigns!$BG$2:$BG$51,MATCH($B$2,campaigns!$A$2:$A$51,0)),""),"ddd yyyy-mm-dd")&amp;" · window closes "&amp;TEXT(IFERROR(INDEX(drops!$R$2:$R$21,MATCH(IFERROR(INDEX(campaigns!$B$2:$B$51,MATCH($B$2,campaigns!$A$2:$A$51,0)),""),drops!$A$2:$A$21,0)),""),"ddd yyyy-mm-dd"))</f>
        <v/>
      </c>
    </row>
    <row r="6">
      <c r="A6" s="6" t="inlineStr">
        <is>
          <t>office</t>
        </is>
      </c>
      <c r="B6" s="6" t="inlineStr">
        <is>
          <t>company</t>
        </is>
      </c>
      <c r="C6" s="6" t="inlineStr">
        <is>
          <t>responses</t>
        </is>
      </c>
      <c r="D6" s="6" t="inlineStr">
        <is>
          <t>said they tried</t>
        </is>
      </c>
      <c r="E6" s="6" t="inlineStr">
        <is>
          <t>didn't see it</t>
        </is>
      </c>
      <c r="F6" s="6" t="inlineStr">
        <is>
          <t>not for me</t>
        </is>
      </c>
      <c r="G6" s="6" t="inlineStr">
        <is>
          <t>gone when they looked</t>
        </is>
      </c>
      <c r="H6" s="6" t="inlineStr">
        <is>
          <t>ratings</t>
        </is>
      </c>
      <c r="I6" s="6" t="inlineStr">
        <is>
          <t>avg rating</t>
        </is>
      </c>
      <c r="J6" s="6" t="inlineStr">
        <is>
          <t>would buy: yes</t>
        </is>
      </c>
      <c r="K6" s="6" t="inlineStr">
        <is>
          <t>maybe</t>
        </is>
      </c>
      <c r="L6" s="6" t="inlineStr">
        <is>
          <t>no</t>
        </is>
      </c>
      <c r="M6" s="6" t="inlineStr">
        <is>
          <t>comments</t>
        </is>
      </c>
      <c r="N6" s="6" t="inlineStr">
        <is>
          <t>status</t>
        </is>
      </c>
    </row>
    <row r="7">
      <c r="A7">
        <f>IFERROR(INDEX(approvals!$M$2:$M$251,MATCH($B$2&amp;"|"&amp;1,approvals!$AZ$2:$AZ$251,0)),"")</f>
        <v/>
      </c>
      <c r="B7">
        <f>IFERROR(INDEX(approvals!$K$2:$K$251,MATCH($B$2&amp;"|"&amp;1,approvals!$AZ$2:$AZ$251,0)),"")</f>
        <v/>
      </c>
      <c r="C7">
        <f>IFERROR(INDEX(approvals!$AL$2:$AL$251,MATCH($B$2&amp;"|"&amp;1,approvals!$AZ$2:$AZ$251,0)),"")</f>
        <v/>
      </c>
      <c r="D7">
        <f>IFERROR(INDEX(approvals!$AM$2:$AM$251,MATCH($B$2&amp;"|"&amp;1,approvals!$AZ$2:$AZ$251,0)),"")</f>
        <v/>
      </c>
      <c r="E7">
        <f>IFERROR(INDEX(approvals!$AQ$2:$AQ$251,MATCH($B$2&amp;"|"&amp;1,approvals!$AZ$2:$AZ$251,0)),"")</f>
        <v/>
      </c>
      <c r="F7">
        <f>IFERROR(INDEX(approvals!$AR$2:$AR$251,MATCH($B$2&amp;"|"&amp;1,approvals!$AZ$2:$AZ$251,0)),"")</f>
        <v/>
      </c>
      <c r="G7">
        <f>IFERROR(INDEX(approvals!$AS$2:$AS$251,MATCH($B$2&amp;"|"&amp;1,approvals!$AZ$2:$AZ$251,0)),"")</f>
        <v/>
      </c>
      <c r="H7">
        <f>IFERROR(INDEX(approvals!$AT$2:$AT$251,MATCH($B$2&amp;"|"&amp;1,approvals!$AZ$2:$AZ$251,0)),"")</f>
        <v/>
      </c>
      <c r="I7">
        <f>IFERROR(IF(INDEX(approvals!$AT$2:$AT$251,MATCH($B$2&amp;"|"&amp;1,approvals!$AZ$2:$AZ$251,0))=0,"",ROUND(INDEX(approvals!$AU$2:$AU$251,MATCH($B$2&amp;"|"&amp;1,approvals!$AZ$2:$AZ$251,0))/INDEX(approvals!$AT$2:$AT$251,MATCH($B$2&amp;"|"&amp;1,approvals!$AZ$2:$AZ$251,0)),1)),"")</f>
        <v/>
      </c>
      <c r="J7">
        <f>IFERROR(INDEX(approvals!$AV$2:$AV$251,MATCH($B$2&amp;"|"&amp;1,approvals!$AZ$2:$AZ$251,0)),"")</f>
        <v/>
      </c>
      <c r="K7">
        <f>IFERROR(INDEX(approvals!$AW$2:$AW$251,MATCH($B$2&amp;"|"&amp;1,approvals!$AZ$2:$AZ$251,0)),"")</f>
        <v/>
      </c>
      <c r="L7">
        <f>IFERROR(INDEX(approvals!$AX$2:$AX$251,MATCH($B$2&amp;"|"&amp;1,approvals!$AZ$2:$AZ$251,0)),"")</f>
        <v/>
      </c>
      <c r="M7">
        <f>IFERROR(INDEX(approvals!$AY$2:$AY$251,MATCH($B$2&amp;"|"&amp;1,approvals!$AZ$2:$AZ$251,0)),"")</f>
        <v/>
      </c>
      <c r="N7">
        <f>IFERROR(IF(INDEX(approvals!$AL$2:$AL$251,MATCH($B$2&amp;"|"&amp;1,approvals!$AZ$2:$AZ$251,0))&gt;=config!$B$30,"OK","under "&amp;config!$B$30&amp;": ask the owner to re-post"),"")</f>
        <v/>
      </c>
    </row>
    <row r="8">
      <c r="A8">
        <f>IFERROR(INDEX(approvals!$M$2:$M$251,MATCH($B$2&amp;"|"&amp;2,approvals!$AZ$2:$AZ$251,0)),"")</f>
        <v/>
      </c>
      <c r="B8">
        <f>IFERROR(INDEX(approvals!$K$2:$K$251,MATCH($B$2&amp;"|"&amp;2,approvals!$AZ$2:$AZ$251,0)),"")</f>
        <v/>
      </c>
      <c r="C8">
        <f>IFERROR(INDEX(approvals!$AL$2:$AL$251,MATCH($B$2&amp;"|"&amp;2,approvals!$AZ$2:$AZ$251,0)),"")</f>
        <v/>
      </c>
      <c r="D8">
        <f>IFERROR(INDEX(approvals!$AM$2:$AM$251,MATCH($B$2&amp;"|"&amp;2,approvals!$AZ$2:$AZ$251,0)),"")</f>
        <v/>
      </c>
      <c r="E8">
        <f>IFERROR(INDEX(approvals!$AQ$2:$AQ$251,MATCH($B$2&amp;"|"&amp;2,approvals!$AZ$2:$AZ$251,0)),"")</f>
        <v/>
      </c>
      <c r="F8">
        <f>IFERROR(INDEX(approvals!$AR$2:$AR$251,MATCH($B$2&amp;"|"&amp;2,approvals!$AZ$2:$AZ$251,0)),"")</f>
        <v/>
      </c>
      <c r="G8">
        <f>IFERROR(INDEX(approvals!$AS$2:$AS$251,MATCH($B$2&amp;"|"&amp;2,approvals!$AZ$2:$AZ$251,0)),"")</f>
        <v/>
      </c>
      <c r="H8">
        <f>IFERROR(INDEX(approvals!$AT$2:$AT$251,MATCH($B$2&amp;"|"&amp;2,approvals!$AZ$2:$AZ$251,0)),"")</f>
        <v/>
      </c>
      <c r="I8">
        <f>IFERROR(IF(INDEX(approvals!$AT$2:$AT$251,MATCH($B$2&amp;"|"&amp;2,approvals!$AZ$2:$AZ$251,0))=0,"",ROUND(INDEX(approvals!$AU$2:$AU$251,MATCH($B$2&amp;"|"&amp;2,approvals!$AZ$2:$AZ$251,0))/INDEX(approvals!$AT$2:$AT$251,MATCH($B$2&amp;"|"&amp;2,approvals!$AZ$2:$AZ$251,0)),1)),"")</f>
        <v/>
      </c>
      <c r="J8">
        <f>IFERROR(INDEX(approvals!$AV$2:$AV$251,MATCH($B$2&amp;"|"&amp;2,approvals!$AZ$2:$AZ$251,0)),"")</f>
        <v/>
      </c>
      <c r="K8">
        <f>IFERROR(INDEX(approvals!$AW$2:$AW$251,MATCH($B$2&amp;"|"&amp;2,approvals!$AZ$2:$AZ$251,0)),"")</f>
        <v/>
      </c>
      <c r="L8">
        <f>IFERROR(INDEX(approvals!$AX$2:$AX$251,MATCH($B$2&amp;"|"&amp;2,approvals!$AZ$2:$AZ$251,0)),"")</f>
        <v/>
      </c>
      <c r="M8">
        <f>IFERROR(INDEX(approvals!$AY$2:$AY$251,MATCH($B$2&amp;"|"&amp;2,approvals!$AZ$2:$AZ$251,0)),"")</f>
        <v/>
      </c>
      <c r="N8">
        <f>IFERROR(IF(INDEX(approvals!$AL$2:$AL$251,MATCH($B$2&amp;"|"&amp;2,approvals!$AZ$2:$AZ$251,0))&gt;=config!$B$30,"OK","under "&amp;config!$B$30&amp;": ask the owner to re-post"),"")</f>
        <v/>
      </c>
    </row>
    <row r="9">
      <c r="A9">
        <f>IFERROR(INDEX(approvals!$M$2:$M$251,MATCH($B$2&amp;"|"&amp;3,approvals!$AZ$2:$AZ$251,0)),"")</f>
        <v/>
      </c>
      <c r="B9">
        <f>IFERROR(INDEX(approvals!$K$2:$K$251,MATCH($B$2&amp;"|"&amp;3,approvals!$AZ$2:$AZ$251,0)),"")</f>
        <v/>
      </c>
      <c r="C9">
        <f>IFERROR(INDEX(approvals!$AL$2:$AL$251,MATCH($B$2&amp;"|"&amp;3,approvals!$AZ$2:$AZ$251,0)),"")</f>
        <v/>
      </c>
      <c r="D9">
        <f>IFERROR(INDEX(approvals!$AM$2:$AM$251,MATCH($B$2&amp;"|"&amp;3,approvals!$AZ$2:$AZ$251,0)),"")</f>
        <v/>
      </c>
      <c r="E9">
        <f>IFERROR(INDEX(approvals!$AQ$2:$AQ$251,MATCH($B$2&amp;"|"&amp;3,approvals!$AZ$2:$AZ$251,0)),"")</f>
        <v/>
      </c>
      <c r="F9">
        <f>IFERROR(INDEX(approvals!$AR$2:$AR$251,MATCH($B$2&amp;"|"&amp;3,approvals!$AZ$2:$AZ$251,0)),"")</f>
        <v/>
      </c>
      <c r="G9">
        <f>IFERROR(INDEX(approvals!$AS$2:$AS$251,MATCH($B$2&amp;"|"&amp;3,approvals!$AZ$2:$AZ$251,0)),"")</f>
        <v/>
      </c>
      <c r="H9">
        <f>IFERROR(INDEX(approvals!$AT$2:$AT$251,MATCH($B$2&amp;"|"&amp;3,approvals!$AZ$2:$AZ$251,0)),"")</f>
        <v/>
      </c>
      <c r="I9">
        <f>IFERROR(IF(INDEX(approvals!$AT$2:$AT$251,MATCH($B$2&amp;"|"&amp;3,approvals!$AZ$2:$AZ$251,0))=0,"",ROUND(INDEX(approvals!$AU$2:$AU$251,MATCH($B$2&amp;"|"&amp;3,approvals!$AZ$2:$AZ$251,0))/INDEX(approvals!$AT$2:$AT$251,MATCH($B$2&amp;"|"&amp;3,approvals!$AZ$2:$AZ$251,0)),1)),"")</f>
        <v/>
      </c>
      <c r="J9">
        <f>IFERROR(INDEX(approvals!$AV$2:$AV$251,MATCH($B$2&amp;"|"&amp;3,approvals!$AZ$2:$AZ$251,0)),"")</f>
        <v/>
      </c>
      <c r="K9">
        <f>IFERROR(INDEX(approvals!$AW$2:$AW$251,MATCH($B$2&amp;"|"&amp;3,approvals!$AZ$2:$AZ$251,0)),"")</f>
        <v/>
      </c>
      <c r="L9">
        <f>IFERROR(INDEX(approvals!$AX$2:$AX$251,MATCH($B$2&amp;"|"&amp;3,approvals!$AZ$2:$AZ$251,0)),"")</f>
        <v/>
      </c>
      <c r="M9">
        <f>IFERROR(INDEX(approvals!$AY$2:$AY$251,MATCH($B$2&amp;"|"&amp;3,approvals!$AZ$2:$AZ$251,0)),"")</f>
        <v/>
      </c>
      <c r="N9">
        <f>IFERROR(IF(INDEX(approvals!$AL$2:$AL$251,MATCH($B$2&amp;"|"&amp;3,approvals!$AZ$2:$AZ$251,0))&gt;=config!$B$30,"OK","under "&amp;config!$B$30&amp;": ask the owner to re-post"),"")</f>
        <v/>
      </c>
    </row>
    <row r="10">
      <c r="A10">
        <f>IFERROR(INDEX(approvals!$M$2:$M$251,MATCH($B$2&amp;"|"&amp;4,approvals!$AZ$2:$AZ$251,0)),"")</f>
        <v/>
      </c>
      <c r="B10">
        <f>IFERROR(INDEX(approvals!$K$2:$K$251,MATCH($B$2&amp;"|"&amp;4,approvals!$AZ$2:$AZ$251,0)),"")</f>
        <v/>
      </c>
      <c r="C10">
        <f>IFERROR(INDEX(approvals!$AL$2:$AL$251,MATCH($B$2&amp;"|"&amp;4,approvals!$AZ$2:$AZ$251,0)),"")</f>
        <v/>
      </c>
      <c r="D10">
        <f>IFERROR(INDEX(approvals!$AM$2:$AM$251,MATCH($B$2&amp;"|"&amp;4,approvals!$AZ$2:$AZ$251,0)),"")</f>
        <v/>
      </c>
      <c r="E10">
        <f>IFERROR(INDEX(approvals!$AQ$2:$AQ$251,MATCH($B$2&amp;"|"&amp;4,approvals!$AZ$2:$AZ$251,0)),"")</f>
        <v/>
      </c>
      <c r="F10">
        <f>IFERROR(INDEX(approvals!$AR$2:$AR$251,MATCH($B$2&amp;"|"&amp;4,approvals!$AZ$2:$AZ$251,0)),"")</f>
        <v/>
      </c>
      <c r="G10">
        <f>IFERROR(INDEX(approvals!$AS$2:$AS$251,MATCH($B$2&amp;"|"&amp;4,approvals!$AZ$2:$AZ$251,0)),"")</f>
        <v/>
      </c>
      <c r="H10">
        <f>IFERROR(INDEX(approvals!$AT$2:$AT$251,MATCH($B$2&amp;"|"&amp;4,approvals!$AZ$2:$AZ$251,0)),"")</f>
        <v/>
      </c>
      <c r="I10">
        <f>IFERROR(IF(INDEX(approvals!$AT$2:$AT$251,MATCH($B$2&amp;"|"&amp;4,approvals!$AZ$2:$AZ$251,0))=0,"",ROUND(INDEX(approvals!$AU$2:$AU$251,MATCH($B$2&amp;"|"&amp;4,approvals!$AZ$2:$AZ$251,0))/INDEX(approvals!$AT$2:$AT$251,MATCH($B$2&amp;"|"&amp;4,approvals!$AZ$2:$AZ$251,0)),1)),"")</f>
        <v/>
      </c>
      <c r="J10">
        <f>IFERROR(INDEX(approvals!$AV$2:$AV$251,MATCH($B$2&amp;"|"&amp;4,approvals!$AZ$2:$AZ$251,0)),"")</f>
        <v/>
      </c>
      <c r="K10">
        <f>IFERROR(INDEX(approvals!$AW$2:$AW$251,MATCH($B$2&amp;"|"&amp;4,approvals!$AZ$2:$AZ$251,0)),"")</f>
        <v/>
      </c>
      <c r="L10">
        <f>IFERROR(INDEX(approvals!$AX$2:$AX$251,MATCH($B$2&amp;"|"&amp;4,approvals!$AZ$2:$AZ$251,0)),"")</f>
        <v/>
      </c>
      <c r="M10">
        <f>IFERROR(INDEX(approvals!$AY$2:$AY$251,MATCH($B$2&amp;"|"&amp;4,approvals!$AZ$2:$AZ$251,0)),"")</f>
        <v/>
      </c>
      <c r="N10">
        <f>IFERROR(IF(INDEX(approvals!$AL$2:$AL$251,MATCH($B$2&amp;"|"&amp;4,approvals!$AZ$2:$AZ$251,0))&gt;=config!$B$30,"OK","under "&amp;config!$B$30&amp;": ask the owner to re-post"),"")</f>
        <v/>
      </c>
    </row>
    <row r="11">
      <c r="A11">
        <f>IFERROR(INDEX(approvals!$M$2:$M$251,MATCH($B$2&amp;"|"&amp;5,approvals!$AZ$2:$AZ$251,0)),"")</f>
        <v/>
      </c>
      <c r="B11">
        <f>IFERROR(INDEX(approvals!$K$2:$K$251,MATCH($B$2&amp;"|"&amp;5,approvals!$AZ$2:$AZ$251,0)),"")</f>
        <v/>
      </c>
      <c r="C11">
        <f>IFERROR(INDEX(approvals!$AL$2:$AL$251,MATCH($B$2&amp;"|"&amp;5,approvals!$AZ$2:$AZ$251,0)),"")</f>
        <v/>
      </c>
      <c r="D11">
        <f>IFERROR(INDEX(approvals!$AM$2:$AM$251,MATCH($B$2&amp;"|"&amp;5,approvals!$AZ$2:$AZ$251,0)),"")</f>
        <v/>
      </c>
      <c r="E11">
        <f>IFERROR(INDEX(approvals!$AQ$2:$AQ$251,MATCH($B$2&amp;"|"&amp;5,approvals!$AZ$2:$AZ$251,0)),"")</f>
        <v/>
      </c>
      <c r="F11">
        <f>IFERROR(INDEX(approvals!$AR$2:$AR$251,MATCH($B$2&amp;"|"&amp;5,approvals!$AZ$2:$AZ$251,0)),"")</f>
        <v/>
      </c>
      <c r="G11">
        <f>IFERROR(INDEX(approvals!$AS$2:$AS$251,MATCH($B$2&amp;"|"&amp;5,approvals!$AZ$2:$AZ$251,0)),"")</f>
        <v/>
      </c>
      <c r="H11">
        <f>IFERROR(INDEX(approvals!$AT$2:$AT$251,MATCH($B$2&amp;"|"&amp;5,approvals!$AZ$2:$AZ$251,0)),"")</f>
        <v/>
      </c>
      <c r="I11">
        <f>IFERROR(IF(INDEX(approvals!$AT$2:$AT$251,MATCH($B$2&amp;"|"&amp;5,approvals!$AZ$2:$AZ$251,0))=0,"",ROUND(INDEX(approvals!$AU$2:$AU$251,MATCH($B$2&amp;"|"&amp;5,approvals!$AZ$2:$AZ$251,0))/INDEX(approvals!$AT$2:$AT$251,MATCH($B$2&amp;"|"&amp;5,approvals!$AZ$2:$AZ$251,0)),1)),"")</f>
        <v/>
      </c>
      <c r="J11">
        <f>IFERROR(INDEX(approvals!$AV$2:$AV$251,MATCH($B$2&amp;"|"&amp;5,approvals!$AZ$2:$AZ$251,0)),"")</f>
        <v/>
      </c>
      <c r="K11">
        <f>IFERROR(INDEX(approvals!$AW$2:$AW$251,MATCH($B$2&amp;"|"&amp;5,approvals!$AZ$2:$AZ$251,0)),"")</f>
        <v/>
      </c>
      <c r="L11">
        <f>IFERROR(INDEX(approvals!$AX$2:$AX$251,MATCH($B$2&amp;"|"&amp;5,approvals!$AZ$2:$AZ$251,0)),"")</f>
        <v/>
      </c>
      <c r="M11">
        <f>IFERROR(INDEX(approvals!$AY$2:$AY$251,MATCH($B$2&amp;"|"&amp;5,approvals!$AZ$2:$AZ$251,0)),"")</f>
        <v/>
      </c>
      <c r="N11">
        <f>IFERROR(IF(INDEX(approvals!$AL$2:$AL$251,MATCH($B$2&amp;"|"&amp;5,approvals!$AZ$2:$AZ$251,0))&gt;=config!$B$30,"OK","under "&amp;config!$B$30&amp;": ask the owner to re-post"),"")</f>
        <v/>
      </c>
    </row>
    <row r="12">
      <c r="A12">
        <f>IFERROR(INDEX(approvals!$M$2:$M$251,MATCH($B$2&amp;"|"&amp;6,approvals!$AZ$2:$AZ$251,0)),"")</f>
        <v/>
      </c>
      <c r="B12">
        <f>IFERROR(INDEX(approvals!$K$2:$K$251,MATCH($B$2&amp;"|"&amp;6,approvals!$AZ$2:$AZ$251,0)),"")</f>
        <v/>
      </c>
      <c r="C12">
        <f>IFERROR(INDEX(approvals!$AL$2:$AL$251,MATCH($B$2&amp;"|"&amp;6,approvals!$AZ$2:$AZ$251,0)),"")</f>
        <v/>
      </c>
      <c r="D12">
        <f>IFERROR(INDEX(approvals!$AM$2:$AM$251,MATCH($B$2&amp;"|"&amp;6,approvals!$AZ$2:$AZ$251,0)),"")</f>
        <v/>
      </c>
      <c r="E12">
        <f>IFERROR(INDEX(approvals!$AQ$2:$AQ$251,MATCH($B$2&amp;"|"&amp;6,approvals!$AZ$2:$AZ$251,0)),"")</f>
        <v/>
      </c>
      <c r="F12">
        <f>IFERROR(INDEX(approvals!$AR$2:$AR$251,MATCH($B$2&amp;"|"&amp;6,approvals!$AZ$2:$AZ$251,0)),"")</f>
        <v/>
      </c>
      <c r="G12">
        <f>IFERROR(INDEX(approvals!$AS$2:$AS$251,MATCH($B$2&amp;"|"&amp;6,approvals!$AZ$2:$AZ$251,0)),"")</f>
        <v/>
      </c>
      <c r="H12">
        <f>IFERROR(INDEX(approvals!$AT$2:$AT$251,MATCH($B$2&amp;"|"&amp;6,approvals!$AZ$2:$AZ$251,0)),"")</f>
        <v/>
      </c>
      <c r="I12">
        <f>IFERROR(IF(INDEX(approvals!$AT$2:$AT$251,MATCH($B$2&amp;"|"&amp;6,approvals!$AZ$2:$AZ$251,0))=0,"",ROUND(INDEX(approvals!$AU$2:$AU$251,MATCH($B$2&amp;"|"&amp;6,approvals!$AZ$2:$AZ$251,0))/INDEX(approvals!$AT$2:$AT$251,MATCH($B$2&amp;"|"&amp;6,approvals!$AZ$2:$AZ$251,0)),1)),"")</f>
        <v/>
      </c>
      <c r="J12">
        <f>IFERROR(INDEX(approvals!$AV$2:$AV$251,MATCH($B$2&amp;"|"&amp;6,approvals!$AZ$2:$AZ$251,0)),"")</f>
        <v/>
      </c>
      <c r="K12">
        <f>IFERROR(INDEX(approvals!$AW$2:$AW$251,MATCH($B$2&amp;"|"&amp;6,approvals!$AZ$2:$AZ$251,0)),"")</f>
        <v/>
      </c>
      <c r="L12">
        <f>IFERROR(INDEX(approvals!$AX$2:$AX$251,MATCH($B$2&amp;"|"&amp;6,approvals!$AZ$2:$AZ$251,0)),"")</f>
        <v/>
      </c>
      <c r="M12">
        <f>IFERROR(INDEX(approvals!$AY$2:$AY$251,MATCH($B$2&amp;"|"&amp;6,approvals!$AZ$2:$AZ$251,0)),"")</f>
        <v/>
      </c>
      <c r="N12">
        <f>IFERROR(IF(INDEX(approvals!$AL$2:$AL$251,MATCH($B$2&amp;"|"&amp;6,approvals!$AZ$2:$AZ$251,0))&gt;=config!$B$30,"OK","under "&amp;config!$B$30&amp;": ask the owner to re-post"),"")</f>
        <v/>
      </c>
    </row>
    <row r="13">
      <c r="A13">
        <f>IFERROR(INDEX(approvals!$M$2:$M$251,MATCH($B$2&amp;"|"&amp;7,approvals!$AZ$2:$AZ$251,0)),"")</f>
        <v/>
      </c>
      <c r="B13">
        <f>IFERROR(INDEX(approvals!$K$2:$K$251,MATCH($B$2&amp;"|"&amp;7,approvals!$AZ$2:$AZ$251,0)),"")</f>
        <v/>
      </c>
      <c r="C13">
        <f>IFERROR(INDEX(approvals!$AL$2:$AL$251,MATCH($B$2&amp;"|"&amp;7,approvals!$AZ$2:$AZ$251,0)),"")</f>
        <v/>
      </c>
      <c r="D13">
        <f>IFERROR(INDEX(approvals!$AM$2:$AM$251,MATCH($B$2&amp;"|"&amp;7,approvals!$AZ$2:$AZ$251,0)),"")</f>
        <v/>
      </c>
      <c r="E13">
        <f>IFERROR(INDEX(approvals!$AQ$2:$AQ$251,MATCH($B$2&amp;"|"&amp;7,approvals!$AZ$2:$AZ$251,0)),"")</f>
        <v/>
      </c>
      <c r="F13">
        <f>IFERROR(INDEX(approvals!$AR$2:$AR$251,MATCH($B$2&amp;"|"&amp;7,approvals!$AZ$2:$AZ$251,0)),"")</f>
        <v/>
      </c>
      <c r="G13">
        <f>IFERROR(INDEX(approvals!$AS$2:$AS$251,MATCH($B$2&amp;"|"&amp;7,approvals!$AZ$2:$AZ$251,0)),"")</f>
        <v/>
      </c>
      <c r="H13">
        <f>IFERROR(INDEX(approvals!$AT$2:$AT$251,MATCH($B$2&amp;"|"&amp;7,approvals!$AZ$2:$AZ$251,0)),"")</f>
        <v/>
      </c>
      <c r="I13">
        <f>IFERROR(IF(INDEX(approvals!$AT$2:$AT$251,MATCH($B$2&amp;"|"&amp;7,approvals!$AZ$2:$AZ$251,0))=0,"",ROUND(INDEX(approvals!$AU$2:$AU$251,MATCH($B$2&amp;"|"&amp;7,approvals!$AZ$2:$AZ$251,0))/INDEX(approvals!$AT$2:$AT$251,MATCH($B$2&amp;"|"&amp;7,approvals!$AZ$2:$AZ$251,0)),1)),"")</f>
        <v/>
      </c>
      <c r="J13">
        <f>IFERROR(INDEX(approvals!$AV$2:$AV$251,MATCH($B$2&amp;"|"&amp;7,approvals!$AZ$2:$AZ$251,0)),"")</f>
        <v/>
      </c>
      <c r="K13">
        <f>IFERROR(INDEX(approvals!$AW$2:$AW$251,MATCH($B$2&amp;"|"&amp;7,approvals!$AZ$2:$AZ$251,0)),"")</f>
        <v/>
      </c>
      <c r="L13">
        <f>IFERROR(INDEX(approvals!$AX$2:$AX$251,MATCH($B$2&amp;"|"&amp;7,approvals!$AZ$2:$AZ$251,0)),"")</f>
        <v/>
      </c>
      <c r="M13">
        <f>IFERROR(INDEX(approvals!$AY$2:$AY$251,MATCH($B$2&amp;"|"&amp;7,approvals!$AZ$2:$AZ$251,0)),"")</f>
        <v/>
      </c>
      <c r="N13">
        <f>IFERROR(IF(INDEX(approvals!$AL$2:$AL$251,MATCH($B$2&amp;"|"&amp;7,approvals!$AZ$2:$AZ$251,0))&gt;=config!$B$30,"OK","under "&amp;config!$B$30&amp;": ask the owner to re-post"),"")</f>
        <v/>
      </c>
    </row>
    <row r="14">
      <c r="A14">
        <f>IFERROR(INDEX(approvals!$M$2:$M$251,MATCH($B$2&amp;"|"&amp;8,approvals!$AZ$2:$AZ$251,0)),"")</f>
        <v/>
      </c>
      <c r="B14">
        <f>IFERROR(INDEX(approvals!$K$2:$K$251,MATCH($B$2&amp;"|"&amp;8,approvals!$AZ$2:$AZ$251,0)),"")</f>
        <v/>
      </c>
      <c r="C14">
        <f>IFERROR(INDEX(approvals!$AL$2:$AL$251,MATCH($B$2&amp;"|"&amp;8,approvals!$AZ$2:$AZ$251,0)),"")</f>
        <v/>
      </c>
      <c r="D14">
        <f>IFERROR(INDEX(approvals!$AM$2:$AM$251,MATCH($B$2&amp;"|"&amp;8,approvals!$AZ$2:$AZ$251,0)),"")</f>
        <v/>
      </c>
      <c r="E14">
        <f>IFERROR(INDEX(approvals!$AQ$2:$AQ$251,MATCH($B$2&amp;"|"&amp;8,approvals!$AZ$2:$AZ$251,0)),"")</f>
        <v/>
      </c>
      <c r="F14">
        <f>IFERROR(INDEX(approvals!$AR$2:$AR$251,MATCH($B$2&amp;"|"&amp;8,approvals!$AZ$2:$AZ$251,0)),"")</f>
        <v/>
      </c>
      <c r="G14">
        <f>IFERROR(INDEX(approvals!$AS$2:$AS$251,MATCH($B$2&amp;"|"&amp;8,approvals!$AZ$2:$AZ$251,0)),"")</f>
        <v/>
      </c>
      <c r="H14">
        <f>IFERROR(INDEX(approvals!$AT$2:$AT$251,MATCH($B$2&amp;"|"&amp;8,approvals!$AZ$2:$AZ$251,0)),"")</f>
        <v/>
      </c>
      <c r="I14">
        <f>IFERROR(IF(INDEX(approvals!$AT$2:$AT$251,MATCH($B$2&amp;"|"&amp;8,approvals!$AZ$2:$AZ$251,0))=0,"",ROUND(INDEX(approvals!$AU$2:$AU$251,MATCH($B$2&amp;"|"&amp;8,approvals!$AZ$2:$AZ$251,0))/INDEX(approvals!$AT$2:$AT$251,MATCH($B$2&amp;"|"&amp;8,approvals!$AZ$2:$AZ$251,0)),1)),"")</f>
        <v/>
      </c>
      <c r="J14">
        <f>IFERROR(INDEX(approvals!$AV$2:$AV$251,MATCH($B$2&amp;"|"&amp;8,approvals!$AZ$2:$AZ$251,0)),"")</f>
        <v/>
      </c>
      <c r="K14">
        <f>IFERROR(INDEX(approvals!$AW$2:$AW$251,MATCH($B$2&amp;"|"&amp;8,approvals!$AZ$2:$AZ$251,0)),"")</f>
        <v/>
      </c>
      <c r="L14">
        <f>IFERROR(INDEX(approvals!$AX$2:$AX$251,MATCH($B$2&amp;"|"&amp;8,approvals!$AZ$2:$AZ$251,0)),"")</f>
        <v/>
      </c>
      <c r="M14">
        <f>IFERROR(INDEX(approvals!$AY$2:$AY$251,MATCH($B$2&amp;"|"&amp;8,approvals!$AZ$2:$AZ$251,0)),"")</f>
        <v/>
      </c>
      <c r="N14">
        <f>IFERROR(IF(INDEX(approvals!$AL$2:$AL$251,MATCH($B$2&amp;"|"&amp;8,approvals!$AZ$2:$AZ$251,0))&gt;=config!$B$30,"OK","under "&amp;config!$B$30&amp;": ask the owner to re-post"),"")</f>
        <v/>
      </c>
    </row>
    <row r="15">
      <c r="A15">
        <f>IFERROR(INDEX(approvals!$M$2:$M$251,MATCH($B$2&amp;"|"&amp;9,approvals!$AZ$2:$AZ$251,0)),"")</f>
        <v/>
      </c>
      <c r="B15">
        <f>IFERROR(INDEX(approvals!$K$2:$K$251,MATCH($B$2&amp;"|"&amp;9,approvals!$AZ$2:$AZ$251,0)),"")</f>
        <v/>
      </c>
      <c r="C15">
        <f>IFERROR(INDEX(approvals!$AL$2:$AL$251,MATCH($B$2&amp;"|"&amp;9,approvals!$AZ$2:$AZ$251,0)),"")</f>
        <v/>
      </c>
      <c r="D15">
        <f>IFERROR(INDEX(approvals!$AM$2:$AM$251,MATCH($B$2&amp;"|"&amp;9,approvals!$AZ$2:$AZ$251,0)),"")</f>
        <v/>
      </c>
      <c r="E15">
        <f>IFERROR(INDEX(approvals!$AQ$2:$AQ$251,MATCH($B$2&amp;"|"&amp;9,approvals!$AZ$2:$AZ$251,0)),"")</f>
        <v/>
      </c>
      <c r="F15">
        <f>IFERROR(INDEX(approvals!$AR$2:$AR$251,MATCH($B$2&amp;"|"&amp;9,approvals!$AZ$2:$AZ$251,0)),"")</f>
        <v/>
      </c>
      <c r="G15">
        <f>IFERROR(INDEX(approvals!$AS$2:$AS$251,MATCH($B$2&amp;"|"&amp;9,approvals!$AZ$2:$AZ$251,0)),"")</f>
        <v/>
      </c>
      <c r="H15">
        <f>IFERROR(INDEX(approvals!$AT$2:$AT$251,MATCH($B$2&amp;"|"&amp;9,approvals!$AZ$2:$AZ$251,0)),"")</f>
        <v/>
      </c>
      <c r="I15">
        <f>IFERROR(IF(INDEX(approvals!$AT$2:$AT$251,MATCH($B$2&amp;"|"&amp;9,approvals!$AZ$2:$AZ$251,0))=0,"",ROUND(INDEX(approvals!$AU$2:$AU$251,MATCH($B$2&amp;"|"&amp;9,approvals!$AZ$2:$AZ$251,0))/INDEX(approvals!$AT$2:$AT$251,MATCH($B$2&amp;"|"&amp;9,approvals!$AZ$2:$AZ$251,0)),1)),"")</f>
        <v/>
      </c>
      <c r="J15">
        <f>IFERROR(INDEX(approvals!$AV$2:$AV$251,MATCH($B$2&amp;"|"&amp;9,approvals!$AZ$2:$AZ$251,0)),"")</f>
        <v/>
      </c>
      <c r="K15">
        <f>IFERROR(INDEX(approvals!$AW$2:$AW$251,MATCH($B$2&amp;"|"&amp;9,approvals!$AZ$2:$AZ$251,0)),"")</f>
        <v/>
      </c>
      <c r="L15">
        <f>IFERROR(INDEX(approvals!$AX$2:$AX$251,MATCH($B$2&amp;"|"&amp;9,approvals!$AZ$2:$AZ$251,0)),"")</f>
        <v/>
      </c>
      <c r="M15">
        <f>IFERROR(INDEX(approvals!$AY$2:$AY$251,MATCH($B$2&amp;"|"&amp;9,approvals!$AZ$2:$AZ$251,0)),"")</f>
        <v/>
      </c>
      <c r="N15">
        <f>IFERROR(IF(INDEX(approvals!$AL$2:$AL$251,MATCH($B$2&amp;"|"&amp;9,approvals!$AZ$2:$AZ$251,0))&gt;=config!$B$30,"OK","under "&amp;config!$B$30&amp;": ask the owner to re-post"),"")</f>
        <v/>
      </c>
    </row>
    <row r="16">
      <c r="A16">
        <f>IFERROR(INDEX(approvals!$M$2:$M$251,MATCH($B$2&amp;"|"&amp;10,approvals!$AZ$2:$AZ$251,0)),"")</f>
        <v/>
      </c>
      <c r="B16">
        <f>IFERROR(INDEX(approvals!$K$2:$K$251,MATCH($B$2&amp;"|"&amp;10,approvals!$AZ$2:$AZ$251,0)),"")</f>
        <v/>
      </c>
      <c r="C16">
        <f>IFERROR(INDEX(approvals!$AL$2:$AL$251,MATCH($B$2&amp;"|"&amp;10,approvals!$AZ$2:$AZ$251,0)),"")</f>
        <v/>
      </c>
      <c r="D16">
        <f>IFERROR(INDEX(approvals!$AM$2:$AM$251,MATCH($B$2&amp;"|"&amp;10,approvals!$AZ$2:$AZ$251,0)),"")</f>
        <v/>
      </c>
      <c r="E16">
        <f>IFERROR(INDEX(approvals!$AQ$2:$AQ$251,MATCH($B$2&amp;"|"&amp;10,approvals!$AZ$2:$AZ$251,0)),"")</f>
        <v/>
      </c>
      <c r="F16">
        <f>IFERROR(INDEX(approvals!$AR$2:$AR$251,MATCH($B$2&amp;"|"&amp;10,approvals!$AZ$2:$AZ$251,0)),"")</f>
        <v/>
      </c>
      <c r="G16">
        <f>IFERROR(INDEX(approvals!$AS$2:$AS$251,MATCH($B$2&amp;"|"&amp;10,approvals!$AZ$2:$AZ$251,0)),"")</f>
        <v/>
      </c>
      <c r="H16">
        <f>IFERROR(INDEX(approvals!$AT$2:$AT$251,MATCH($B$2&amp;"|"&amp;10,approvals!$AZ$2:$AZ$251,0)),"")</f>
        <v/>
      </c>
      <c r="I16">
        <f>IFERROR(IF(INDEX(approvals!$AT$2:$AT$251,MATCH($B$2&amp;"|"&amp;10,approvals!$AZ$2:$AZ$251,0))=0,"",ROUND(INDEX(approvals!$AU$2:$AU$251,MATCH($B$2&amp;"|"&amp;10,approvals!$AZ$2:$AZ$251,0))/INDEX(approvals!$AT$2:$AT$251,MATCH($B$2&amp;"|"&amp;10,approvals!$AZ$2:$AZ$251,0)),1)),"")</f>
        <v/>
      </c>
      <c r="J16">
        <f>IFERROR(INDEX(approvals!$AV$2:$AV$251,MATCH($B$2&amp;"|"&amp;10,approvals!$AZ$2:$AZ$251,0)),"")</f>
        <v/>
      </c>
      <c r="K16">
        <f>IFERROR(INDEX(approvals!$AW$2:$AW$251,MATCH($B$2&amp;"|"&amp;10,approvals!$AZ$2:$AZ$251,0)),"")</f>
        <v/>
      </c>
      <c r="L16">
        <f>IFERROR(INDEX(approvals!$AX$2:$AX$251,MATCH($B$2&amp;"|"&amp;10,approvals!$AZ$2:$AZ$251,0)),"")</f>
        <v/>
      </c>
      <c r="M16">
        <f>IFERROR(INDEX(approvals!$AY$2:$AY$251,MATCH($B$2&amp;"|"&amp;10,approvals!$AZ$2:$AZ$251,0)),"")</f>
        <v/>
      </c>
      <c r="N16">
        <f>IFERROR(IF(INDEX(approvals!$AL$2:$AL$251,MATCH($B$2&amp;"|"&amp;10,approvals!$AZ$2:$AZ$251,0))&gt;=config!$B$30,"OK","under "&amp;config!$B$30&amp;": ask the owner to re-post"),"")</f>
        <v/>
      </c>
    </row>
    <row r="17">
      <c r="A17">
        <f>IFERROR(INDEX(approvals!$M$2:$M$251,MATCH($B$2&amp;"|"&amp;11,approvals!$AZ$2:$AZ$251,0)),"")</f>
        <v/>
      </c>
      <c r="B17">
        <f>IFERROR(INDEX(approvals!$K$2:$K$251,MATCH($B$2&amp;"|"&amp;11,approvals!$AZ$2:$AZ$251,0)),"")</f>
        <v/>
      </c>
      <c r="C17">
        <f>IFERROR(INDEX(approvals!$AL$2:$AL$251,MATCH($B$2&amp;"|"&amp;11,approvals!$AZ$2:$AZ$251,0)),"")</f>
        <v/>
      </c>
      <c r="D17">
        <f>IFERROR(INDEX(approvals!$AM$2:$AM$251,MATCH($B$2&amp;"|"&amp;11,approvals!$AZ$2:$AZ$251,0)),"")</f>
        <v/>
      </c>
      <c r="E17">
        <f>IFERROR(INDEX(approvals!$AQ$2:$AQ$251,MATCH($B$2&amp;"|"&amp;11,approvals!$AZ$2:$AZ$251,0)),"")</f>
        <v/>
      </c>
      <c r="F17">
        <f>IFERROR(INDEX(approvals!$AR$2:$AR$251,MATCH($B$2&amp;"|"&amp;11,approvals!$AZ$2:$AZ$251,0)),"")</f>
        <v/>
      </c>
      <c r="G17">
        <f>IFERROR(INDEX(approvals!$AS$2:$AS$251,MATCH($B$2&amp;"|"&amp;11,approvals!$AZ$2:$AZ$251,0)),"")</f>
        <v/>
      </c>
      <c r="H17">
        <f>IFERROR(INDEX(approvals!$AT$2:$AT$251,MATCH($B$2&amp;"|"&amp;11,approvals!$AZ$2:$AZ$251,0)),"")</f>
        <v/>
      </c>
      <c r="I17">
        <f>IFERROR(IF(INDEX(approvals!$AT$2:$AT$251,MATCH($B$2&amp;"|"&amp;11,approvals!$AZ$2:$AZ$251,0))=0,"",ROUND(INDEX(approvals!$AU$2:$AU$251,MATCH($B$2&amp;"|"&amp;11,approvals!$AZ$2:$AZ$251,0))/INDEX(approvals!$AT$2:$AT$251,MATCH($B$2&amp;"|"&amp;11,approvals!$AZ$2:$AZ$251,0)),1)),"")</f>
        <v/>
      </c>
      <c r="J17">
        <f>IFERROR(INDEX(approvals!$AV$2:$AV$251,MATCH($B$2&amp;"|"&amp;11,approvals!$AZ$2:$AZ$251,0)),"")</f>
        <v/>
      </c>
      <c r="K17">
        <f>IFERROR(INDEX(approvals!$AW$2:$AW$251,MATCH($B$2&amp;"|"&amp;11,approvals!$AZ$2:$AZ$251,0)),"")</f>
        <v/>
      </c>
      <c r="L17">
        <f>IFERROR(INDEX(approvals!$AX$2:$AX$251,MATCH($B$2&amp;"|"&amp;11,approvals!$AZ$2:$AZ$251,0)),"")</f>
        <v/>
      </c>
      <c r="M17">
        <f>IFERROR(INDEX(approvals!$AY$2:$AY$251,MATCH($B$2&amp;"|"&amp;11,approvals!$AZ$2:$AZ$251,0)),"")</f>
        <v/>
      </c>
      <c r="N17">
        <f>IFERROR(IF(INDEX(approvals!$AL$2:$AL$251,MATCH($B$2&amp;"|"&amp;11,approvals!$AZ$2:$AZ$251,0))&gt;=config!$B$30,"OK","under "&amp;config!$B$30&amp;": ask the owner to re-post"),"")</f>
        <v/>
      </c>
    </row>
    <row r="18">
      <c r="A18">
        <f>IFERROR(INDEX(approvals!$M$2:$M$251,MATCH($B$2&amp;"|"&amp;12,approvals!$AZ$2:$AZ$251,0)),"")</f>
        <v/>
      </c>
      <c r="B18">
        <f>IFERROR(INDEX(approvals!$K$2:$K$251,MATCH($B$2&amp;"|"&amp;12,approvals!$AZ$2:$AZ$251,0)),"")</f>
        <v/>
      </c>
      <c r="C18">
        <f>IFERROR(INDEX(approvals!$AL$2:$AL$251,MATCH($B$2&amp;"|"&amp;12,approvals!$AZ$2:$AZ$251,0)),"")</f>
        <v/>
      </c>
      <c r="D18">
        <f>IFERROR(INDEX(approvals!$AM$2:$AM$251,MATCH($B$2&amp;"|"&amp;12,approvals!$AZ$2:$AZ$251,0)),"")</f>
        <v/>
      </c>
      <c r="E18">
        <f>IFERROR(INDEX(approvals!$AQ$2:$AQ$251,MATCH($B$2&amp;"|"&amp;12,approvals!$AZ$2:$AZ$251,0)),"")</f>
        <v/>
      </c>
      <c r="F18">
        <f>IFERROR(INDEX(approvals!$AR$2:$AR$251,MATCH($B$2&amp;"|"&amp;12,approvals!$AZ$2:$AZ$251,0)),"")</f>
        <v/>
      </c>
      <c r="G18">
        <f>IFERROR(INDEX(approvals!$AS$2:$AS$251,MATCH($B$2&amp;"|"&amp;12,approvals!$AZ$2:$AZ$251,0)),"")</f>
        <v/>
      </c>
      <c r="H18">
        <f>IFERROR(INDEX(approvals!$AT$2:$AT$251,MATCH($B$2&amp;"|"&amp;12,approvals!$AZ$2:$AZ$251,0)),"")</f>
        <v/>
      </c>
      <c r="I18">
        <f>IFERROR(IF(INDEX(approvals!$AT$2:$AT$251,MATCH($B$2&amp;"|"&amp;12,approvals!$AZ$2:$AZ$251,0))=0,"",ROUND(INDEX(approvals!$AU$2:$AU$251,MATCH($B$2&amp;"|"&amp;12,approvals!$AZ$2:$AZ$251,0))/INDEX(approvals!$AT$2:$AT$251,MATCH($B$2&amp;"|"&amp;12,approvals!$AZ$2:$AZ$251,0)),1)),"")</f>
        <v/>
      </c>
      <c r="J18">
        <f>IFERROR(INDEX(approvals!$AV$2:$AV$251,MATCH($B$2&amp;"|"&amp;12,approvals!$AZ$2:$AZ$251,0)),"")</f>
        <v/>
      </c>
      <c r="K18">
        <f>IFERROR(INDEX(approvals!$AW$2:$AW$251,MATCH($B$2&amp;"|"&amp;12,approvals!$AZ$2:$AZ$251,0)),"")</f>
        <v/>
      </c>
      <c r="L18">
        <f>IFERROR(INDEX(approvals!$AX$2:$AX$251,MATCH($B$2&amp;"|"&amp;12,approvals!$AZ$2:$AZ$251,0)),"")</f>
        <v/>
      </c>
      <c r="M18">
        <f>IFERROR(INDEX(approvals!$AY$2:$AY$251,MATCH($B$2&amp;"|"&amp;12,approvals!$AZ$2:$AZ$251,0)),"")</f>
        <v/>
      </c>
      <c r="N18">
        <f>IFERROR(IF(INDEX(approvals!$AL$2:$AL$251,MATCH($B$2&amp;"|"&amp;12,approvals!$AZ$2:$AZ$251,0))&gt;=config!$B$30,"OK","under "&amp;config!$B$30&amp;": ask the owner to re-post"),"")</f>
        <v/>
      </c>
    </row>
    <row r="19">
      <c r="A19" s="6" t="inlineStr">
        <is>
          <t>total</t>
        </is>
      </c>
      <c r="C19" s="6">
        <f>SUM(C7:C18)</f>
        <v/>
      </c>
      <c r="D19" s="6">
        <f>SUM(D7:D18)</f>
        <v/>
      </c>
      <c r="E19" s="6">
        <f>SUM(E7:E18)</f>
        <v/>
      </c>
      <c r="F19" s="6">
        <f>SUM(F7:F18)</f>
        <v/>
      </c>
      <c r="G19" s="6">
        <f>SUM(G7:G18)</f>
        <v/>
      </c>
      <c r="H19" s="6">
        <f>SUM(H7:H18)</f>
        <v/>
      </c>
      <c r="I19" s="6">
        <f>IFERROR(IFERROR(INDEX(campaigns!$CP$2:$CP$51,MATCH($B$2,campaigns!$A$2:$A$51,0)),""),"")</f>
        <v/>
      </c>
      <c r="J19" s="6">
        <f>SUM(J7:J18)</f>
        <v/>
      </c>
      <c r="K19" s="6">
        <f>SUM(K7:K18)</f>
        <v/>
      </c>
      <c r="L19" s="6">
        <f>SUM(L7:L18)</f>
        <v/>
      </c>
      <c r="M19" s="6">
        <f>SUM(M7:M18)</f>
        <v/>
      </c>
    </row>
    <row r="21">
      <c r="A21" s="6" t="inlineStr">
        <is>
          <t>Not counted</t>
        </is>
      </c>
    </row>
    <row r="22">
      <c r="A22" t="inlineStr">
        <is>
          <t>outside the window (before T or after T+4)</t>
        </is>
      </c>
      <c r="C22">
        <f>IFERROR(INDEX(campaigns!$CU$2:$CU$51,MATCH($B$2,campaigns!$A$2:$A$51,0)),"")</f>
        <v/>
      </c>
    </row>
    <row r="23">
      <c r="A23" t="inlineStr">
        <is>
          <t>card code matches no office on this campaign</t>
        </is>
      </c>
      <c r="C23">
        <f>IFERROR(INDEX(campaigns!$CV$2:$CV$51,MATCH($B$2,campaigns!$A$2:$A$51,0)),"")</f>
        <v/>
      </c>
    </row>
    <row r="25" ht="48" customHeight="1">
      <c r="A25" s="16" t="inlineStr">
        <is>
          <t>Who sees what (legal pack file 13, D6 and D9): this sheet is the founder's only. The brand gets totals and at most three comments word for word; each office gets its own summary, never answers row by row. No email address is ever in this file: newsletter sign-ups live only in the campaign's separate sign-up form.</t>
        </is>
      </c>
    </row>
  </sheetData>
  <mergeCells count="1">
    <mergeCell ref="A25:N25"/>
  </mergeCells>
  <dataValidations count="1">
    <dataValidation sqref="B2" showDropDown="0" showInputMessage="0" showErrorMessage="0" allowBlank="1" type="list">
      <formula1>=campaigns!$A$2:$A$51</formula1>
    </dataValidation>
  </dataValidation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K44"/>
  <sheetViews>
    <sheetView workbookViewId="0">
      <selection activeCell="A1" sqref="A1"/>
    </sheetView>
  </sheetViews>
  <sheetFormatPr baseColWidth="8" defaultRowHeight="15"/>
  <cols>
    <col width="12" customWidth="1" min="1" max="1"/>
    <col width="18" customWidth="1" min="2" max="2"/>
    <col width="14" customWidth="1" min="3" max="3"/>
    <col width="12" customWidth="1" min="4" max="4"/>
    <col width="12" customWidth="1" min="5" max="5"/>
    <col width="10" customWidth="1" min="6" max="6"/>
    <col width="12" customWidth="1" min="7" max="7"/>
    <col width="11" customWidth="1" min="8" max="8"/>
    <col width="10" customWidth="1" min="9" max="9"/>
    <col width="15" customWidth="1" min="10" max="10"/>
    <col width="15" customWidth="1" min="11" max="11"/>
  </cols>
  <sheetData>
    <row r="1">
      <c r="A1" s="5">
        <f>IF(LEFT($B$2,6)="SAMPLE","SAMPLE DATA. Illustrative placeholders, not results.","")</f>
        <v/>
      </c>
    </row>
    <row r="2">
      <c r="A2" s="6" t="inlineStr">
        <is>
          <t>Campaign</t>
        </is>
      </c>
      <c r="B2">
        <f>IF(INDEX(campaigns!$A$2:$A$51,1)="","",INDEX(campaigns!$A$2:$A$51,1))</f>
        <v/>
      </c>
      <c r="D2" t="inlineStr">
        <is>
          <t>Type a campaign_id over B2. Everything below is formulas over the logged rows: nothing is retyped. The PDF comes from tools/make_report.py.</t>
        </is>
      </c>
    </row>
    <row r="4">
      <c r="A4" s="17">
        <f>IF($B$2="","",IFERROR(INDEX(campaigns!$BE$2:$BE$51,MATCH($B$2,campaigns!$A$2:$A$51,0)),"")&amp;IF(IFERROR(INDEX(campaigns!$J$2:$J$51,MATCH($B$2,campaigns!$A$2:$A$51,0)),"")&lt;&gt;""," · "&amp;IFERROR(INDEX(campaigns!$J$2:$J$51,MATCH($B$2,campaigns!$A$2:$A$51,0)),""),"")&amp;" · "&amp;config!$B$11&amp;" · Drop "&amp;TEXT(IFERROR(INDEX(campaigns!$BG$2:$BG$51,MATCH($B$2,campaigns!$A$2:$A$51,0)),""),"ddd yyyy-mm-dd")&amp;" · Window "&amp;TEXT(IFERROR(INDEX(campaigns!$BG$2:$BG$51,MATCH($B$2,campaigns!$A$2:$A$51,0)),""),"ddd yyyy-mm-dd")&amp;" to "&amp;TEXT(IFERROR(INDEX(drops!$R$2:$R$21,MATCH(IFERROR(INDEX(campaigns!$B$2:$B$51,MATCH($B$2,campaigns!$A$2:$A$51,0)),""),drops!$A$2:$A$21,0)),""),"ddd yyyy-mm-dd"))</f>
        <v/>
      </c>
    </row>
    <row r="6">
      <c r="A6" s="18" t="inlineStr">
        <is>
          <t>Delivered</t>
        </is>
      </c>
      <c r="B6" s="18" t="inlineStr">
        <is>
          <t>Placed</t>
        </is>
      </c>
      <c r="C6" s="18" t="inlineStr">
        <is>
          <t>Depleted</t>
        </is>
      </c>
      <c r="D6" s="18" t="inlineStr">
        <is>
          <t>Responded</t>
        </is>
      </c>
      <c r="E6" s="18" t="inlineStr">
        <is>
          <t>Scanned</t>
        </is>
      </c>
      <c r="F6" s="18" t="inlineStr">
        <is>
          <t>Purchased</t>
        </is>
      </c>
      <c r="G6" s="18" t="inlineStr">
        <is>
          <t>Incremental</t>
        </is>
      </c>
    </row>
    <row r="7">
      <c r="A7" s="19">
        <f>IFERROR(INDEX(campaigns!$CB$2:$CB$51,MATCH($B$2,campaigns!$A$2:$A$51,0)),"")</f>
        <v/>
      </c>
      <c r="B7" s="19">
        <f>IFERROR(INDEX(campaigns!$CC$2:$CC$51,MATCH($B$2,campaigns!$A$2:$A$51,0)),"")</f>
        <v/>
      </c>
      <c r="C7" s="19">
        <f>IFERROR(INDEX(campaigns!$CG$2:$CG$51,MATCH($B$2,campaigns!$A$2:$A$51,0)),"")</f>
        <v/>
      </c>
      <c r="D7" s="19">
        <f>IFERROR(INDEX(campaigns!$CH$2:$CH$51,MATCH($B$2,campaigns!$A$2:$A$51,0)),"")</f>
        <v/>
      </c>
      <c r="E7" s="19">
        <f>IFERROR(INDEX(campaigns!$CW$2:$CW$51,MATCH($B$2,campaigns!$A$2:$A$51,0)),"")</f>
        <v/>
      </c>
      <c r="F7" s="19">
        <f>IFERROR(INDEX(campaigns!$CY$2:$CY$51,MATCH($B$2,campaigns!$A$2:$A$51,0)),"")</f>
        <v/>
      </c>
      <c r="G7" s="19">
        <f>"not measured"</f>
        <v/>
      </c>
    </row>
    <row r="8" ht="44" customHeight="1">
      <c r="A8" s="16">
        <f>IF($B$2="","","handed over on the drop day")</f>
        <v/>
      </c>
      <c r="B8" s="16">
        <f>IF($B$2="","","within one business day: "&amp;IFERROR(INDEX(campaigns!$CD$2:$CD$51,MATCH($B$2,campaigns!$A$2:$A$51,0)),"")&amp;" of "&amp;IFERROR(INDEX(campaigns!$CB$2:$CB$51,MATCH($B$2,campaigns!$A$2:$A$51,0)),"")&amp;IF(IFERROR(INDEX(campaigns!$CE$2:$CE$51,MATCH($B$2,campaigns!$A$2:$A$51,0)),"")="",""," ("&amp;TEXT(IFERROR(INDEX(campaigns!$CE$2:$CE$51,MATCH($B$2,campaigns!$A$2:$A$51,0)),""),"0%")&amp;")"))</f>
        <v/>
      </c>
      <c r="C8" s="16">
        <f>IF($B$2="","","gone by day 5; plus "&amp;IFERROR(INDEX(campaigns!$CF$2:$CF$51,MATCH($B$2,campaigns!$A$2:$A$51,0)),"")&amp;" day-3 top-ups from reserve")</f>
        <v/>
      </c>
      <c r="D8" s="16">
        <f>IF($B$2="","","survey responses; "&amp;IFERROR(INDEX(campaigns!$CK$2:$CK$51,MATCH($B$2,campaigns!$A$2:$A$51,0)),"")&amp;" said they tried it")</f>
        <v/>
      </c>
      <c r="E8" s="16">
        <f>IF($B$2="","","QR scans, T to T+4")</f>
        <v/>
      </c>
      <c r="F8" s="16">
        <f>IF($B$2="","","code redemptions reported by the brand"&amp;IF(IFERROR(INDEX(campaigns!$CZ$2:$CZ$51,MATCH($B$2,campaigns!$A$2:$A$51,0)),"")="",""," as of "&amp;TEXT(IFERROR(INDEX(campaigns!$CZ$2:$CZ$51,MATCH($B$2,campaigns!$A$2:$A$51,0)),""),"yyyy-mm-dd")))</f>
        <v/>
      </c>
      <c r="G8" s="16">
        <f>IF($B$2="","","this report does not show whether the campaign caused any sale")</f>
        <v/>
      </c>
    </row>
    <row r="10">
      <c r="A10" s="20" t="inlineStr">
        <is>
          <t>Office</t>
        </is>
      </c>
      <c r="B10" s="20" t="inlineStr">
        <is>
          <t>Industry</t>
        </is>
      </c>
      <c r="C10" s="20" t="inlineStr">
        <is>
          <t>Tuesday headcount</t>
        </is>
      </c>
      <c r="D10" s="20" t="inlineStr">
        <is>
          <t>Units delivered</t>
        </is>
      </c>
      <c r="E10" s="20" t="inlineStr">
        <is>
          <t>Units placed</t>
        </is>
      </c>
      <c r="F10" s="20" t="inlineStr">
        <is>
          <t>Topped up</t>
        </is>
      </c>
      <c r="G10" s="20" t="inlineStr">
        <is>
          <t>Gone by day 5</t>
        </is>
      </c>
      <c r="H10" s="20" t="inlineStr">
        <is>
          <t>Responses</t>
        </is>
      </c>
      <c r="I10" s="20" t="inlineStr">
        <is>
          <t>QR scans</t>
        </is>
      </c>
      <c r="J10" s="20" t="inlineStr">
        <is>
          <t>Placement photo</t>
        </is>
      </c>
      <c r="K10" s="20" t="inlineStr">
        <is>
          <t>Later photo</t>
        </is>
      </c>
    </row>
    <row r="11">
      <c r="A11">
        <f>IFERROR(INDEX(approvals!$M$2:$M$251,MATCH($B$2&amp;"|"&amp;1,approvals!$AZ$2:$AZ$251,0))&amp;IF(INDEX(approvals!$AB$2:$AB$251,MATCH($B$2&amp;"|"&amp;1,approvals!$AZ$2:$AZ$251,0))="N","*",""),"")</f>
        <v/>
      </c>
      <c r="B11">
        <f>IFERROR(INDEX(offices!$AH$2:$AH$61,MATCH(INDEX(approvals!$B$2:$B$251,MATCH($B$2&amp;"|"&amp;1,approvals!$AZ$2:$AZ$251,0)),offices!$A$2:$A$61,0)),"")</f>
        <v/>
      </c>
      <c r="C11">
        <f>IFERROR(SUBSTITUTE(INDEX(offices!$AJ$2:$AJ$61,MATCH(INDEX(approvals!$B$2:$B$251,MATCH($B$2&amp;"|"&amp;1,approvals!$AZ$2:$AZ$251,0)),offices!$A$2:$A$61,0)),"-"," to "),"")</f>
        <v/>
      </c>
      <c r="D11">
        <f>IFERROR(INDEX(approvals!$U$2:$U$251,MATCH($B$2&amp;"|"&amp;1,approvals!$AZ$2:$AZ$251,0)),"")</f>
        <v/>
      </c>
      <c r="E11">
        <f>IFERROR(INDEX(approvals!$AA$2:$AA$251,MATCH($B$2&amp;"|"&amp;1,approvals!$AZ$2:$AZ$251,0)),"")</f>
        <v/>
      </c>
      <c r="F11">
        <f>IFERROR(INDEX(approvals!$AD$2:$AD$251,MATCH($B$2&amp;"|"&amp;1,approvals!$AZ$2:$AZ$251,0)),"")</f>
        <v/>
      </c>
      <c r="G11">
        <f>IFERROR(INDEX(approvals!$AG$2:$AG$251,MATCH($B$2&amp;"|"&amp;1,approvals!$AZ$2:$AZ$251,0)),"")</f>
        <v/>
      </c>
      <c r="H11">
        <f>IFERROR(INDEX(approvals!$AL$2:$AL$251,MATCH($B$2&amp;"|"&amp;1,approvals!$AZ$2:$AZ$251,0)),"")</f>
        <v/>
      </c>
      <c r="I11">
        <f>IFERROR(INDEX(approvals!$AN$2:$AN$251,MATCH($B$2&amp;"|"&amp;1,approvals!$AZ$2:$AZ$251,0)),"")</f>
        <v/>
      </c>
      <c r="J11">
        <f>IFERROR(IF(INDEX(approvals!$Y$2:$Y$251,MATCH($B$2&amp;"|"&amp;1,approvals!$AZ$2:$AZ$251,0))="","none received",TEXT(INDEX(approvals!$Y$2:$Y$251,MATCH($B$2&amp;"|"&amp;1,approvals!$AZ$2:$AZ$251,0)),"yyyy-mm-dd")),"")</f>
        <v/>
      </c>
      <c r="K11">
        <f>IFERROR(IF(INDEX(approvals!$AI$2:$AI$251,MATCH($B$2&amp;"|"&amp;1,approvals!$AZ$2:$AZ$251,0))="","none received",TEXT(INDEX(approvals!$AI$2:$AI$251,MATCH($B$2&amp;"|"&amp;1,approvals!$AZ$2:$AZ$251,0)),"yyyy-mm-dd")),"")</f>
        <v/>
      </c>
    </row>
    <row r="12">
      <c r="A12">
        <f>IFERROR(INDEX(approvals!$M$2:$M$251,MATCH($B$2&amp;"|"&amp;2,approvals!$AZ$2:$AZ$251,0))&amp;IF(INDEX(approvals!$AB$2:$AB$251,MATCH($B$2&amp;"|"&amp;2,approvals!$AZ$2:$AZ$251,0))="N","*",""),"")</f>
        <v/>
      </c>
      <c r="B12">
        <f>IFERROR(INDEX(offices!$AH$2:$AH$61,MATCH(INDEX(approvals!$B$2:$B$251,MATCH($B$2&amp;"|"&amp;2,approvals!$AZ$2:$AZ$251,0)),offices!$A$2:$A$61,0)),"")</f>
        <v/>
      </c>
      <c r="C12">
        <f>IFERROR(SUBSTITUTE(INDEX(offices!$AJ$2:$AJ$61,MATCH(INDEX(approvals!$B$2:$B$251,MATCH($B$2&amp;"|"&amp;2,approvals!$AZ$2:$AZ$251,0)),offices!$A$2:$A$61,0)),"-"," to "),"")</f>
        <v/>
      </c>
      <c r="D12">
        <f>IFERROR(INDEX(approvals!$U$2:$U$251,MATCH($B$2&amp;"|"&amp;2,approvals!$AZ$2:$AZ$251,0)),"")</f>
        <v/>
      </c>
      <c r="E12">
        <f>IFERROR(INDEX(approvals!$AA$2:$AA$251,MATCH($B$2&amp;"|"&amp;2,approvals!$AZ$2:$AZ$251,0)),"")</f>
        <v/>
      </c>
      <c r="F12">
        <f>IFERROR(INDEX(approvals!$AD$2:$AD$251,MATCH($B$2&amp;"|"&amp;2,approvals!$AZ$2:$AZ$251,0)),"")</f>
        <v/>
      </c>
      <c r="G12">
        <f>IFERROR(INDEX(approvals!$AG$2:$AG$251,MATCH($B$2&amp;"|"&amp;2,approvals!$AZ$2:$AZ$251,0)),"")</f>
        <v/>
      </c>
      <c r="H12">
        <f>IFERROR(INDEX(approvals!$AL$2:$AL$251,MATCH($B$2&amp;"|"&amp;2,approvals!$AZ$2:$AZ$251,0)),"")</f>
        <v/>
      </c>
      <c r="I12">
        <f>IFERROR(INDEX(approvals!$AN$2:$AN$251,MATCH($B$2&amp;"|"&amp;2,approvals!$AZ$2:$AZ$251,0)),"")</f>
        <v/>
      </c>
      <c r="J12">
        <f>IFERROR(IF(INDEX(approvals!$Y$2:$Y$251,MATCH($B$2&amp;"|"&amp;2,approvals!$AZ$2:$AZ$251,0))="","none received",TEXT(INDEX(approvals!$Y$2:$Y$251,MATCH($B$2&amp;"|"&amp;2,approvals!$AZ$2:$AZ$251,0)),"yyyy-mm-dd")),"")</f>
        <v/>
      </c>
      <c r="K12">
        <f>IFERROR(IF(INDEX(approvals!$AI$2:$AI$251,MATCH($B$2&amp;"|"&amp;2,approvals!$AZ$2:$AZ$251,0))="","none received",TEXT(INDEX(approvals!$AI$2:$AI$251,MATCH($B$2&amp;"|"&amp;2,approvals!$AZ$2:$AZ$251,0)),"yyyy-mm-dd")),"")</f>
        <v/>
      </c>
    </row>
    <row r="13">
      <c r="A13">
        <f>IFERROR(INDEX(approvals!$M$2:$M$251,MATCH($B$2&amp;"|"&amp;3,approvals!$AZ$2:$AZ$251,0))&amp;IF(INDEX(approvals!$AB$2:$AB$251,MATCH($B$2&amp;"|"&amp;3,approvals!$AZ$2:$AZ$251,0))="N","*",""),"")</f>
        <v/>
      </c>
      <c r="B13">
        <f>IFERROR(INDEX(offices!$AH$2:$AH$61,MATCH(INDEX(approvals!$B$2:$B$251,MATCH($B$2&amp;"|"&amp;3,approvals!$AZ$2:$AZ$251,0)),offices!$A$2:$A$61,0)),"")</f>
        <v/>
      </c>
      <c r="C13">
        <f>IFERROR(SUBSTITUTE(INDEX(offices!$AJ$2:$AJ$61,MATCH(INDEX(approvals!$B$2:$B$251,MATCH($B$2&amp;"|"&amp;3,approvals!$AZ$2:$AZ$251,0)),offices!$A$2:$A$61,0)),"-"," to "),"")</f>
        <v/>
      </c>
      <c r="D13">
        <f>IFERROR(INDEX(approvals!$U$2:$U$251,MATCH($B$2&amp;"|"&amp;3,approvals!$AZ$2:$AZ$251,0)),"")</f>
        <v/>
      </c>
      <c r="E13">
        <f>IFERROR(INDEX(approvals!$AA$2:$AA$251,MATCH($B$2&amp;"|"&amp;3,approvals!$AZ$2:$AZ$251,0)),"")</f>
        <v/>
      </c>
      <c r="F13">
        <f>IFERROR(INDEX(approvals!$AD$2:$AD$251,MATCH($B$2&amp;"|"&amp;3,approvals!$AZ$2:$AZ$251,0)),"")</f>
        <v/>
      </c>
      <c r="G13">
        <f>IFERROR(INDEX(approvals!$AG$2:$AG$251,MATCH($B$2&amp;"|"&amp;3,approvals!$AZ$2:$AZ$251,0)),"")</f>
        <v/>
      </c>
      <c r="H13">
        <f>IFERROR(INDEX(approvals!$AL$2:$AL$251,MATCH($B$2&amp;"|"&amp;3,approvals!$AZ$2:$AZ$251,0)),"")</f>
        <v/>
      </c>
      <c r="I13">
        <f>IFERROR(INDEX(approvals!$AN$2:$AN$251,MATCH($B$2&amp;"|"&amp;3,approvals!$AZ$2:$AZ$251,0)),"")</f>
        <v/>
      </c>
      <c r="J13">
        <f>IFERROR(IF(INDEX(approvals!$Y$2:$Y$251,MATCH($B$2&amp;"|"&amp;3,approvals!$AZ$2:$AZ$251,0))="","none received",TEXT(INDEX(approvals!$Y$2:$Y$251,MATCH($B$2&amp;"|"&amp;3,approvals!$AZ$2:$AZ$251,0)),"yyyy-mm-dd")),"")</f>
        <v/>
      </c>
      <c r="K13">
        <f>IFERROR(IF(INDEX(approvals!$AI$2:$AI$251,MATCH($B$2&amp;"|"&amp;3,approvals!$AZ$2:$AZ$251,0))="","none received",TEXT(INDEX(approvals!$AI$2:$AI$251,MATCH($B$2&amp;"|"&amp;3,approvals!$AZ$2:$AZ$251,0)),"yyyy-mm-dd")),"")</f>
        <v/>
      </c>
    </row>
    <row r="14">
      <c r="A14">
        <f>IFERROR(INDEX(approvals!$M$2:$M$251,MATCH($B$2&amp;"|"&amp;4,approvals!$AZ$2:$AZ$251,0))&amp;IF(INDEX(approvals!$AB$2:$AB$251,MATCH($B$2&amp;"|"&amp;4,approvals!$AZ$2:$AZ$251,0))="N","*",""),"")</f>
        <v/>
      </c>
      <c r="B14">
        <f>IFERROR(INDEX(offices!$AH$2:$AH$61,MATCH(INDEX(approvals!$B$2:$B$251,MATCH($B$2&amp;"|"&amp;4,approvals!$AZ$2:$AZ$251,0)),offices!$A$2:$A$61,0)),"")</f>
        <v/>
      </c>
      <c r="C14">
        <f>IFERROR(SUBSTITUTE(INDEX(offices!$AJ$2:$AJ$61,MATCH(INDEX(approvals!$B$2:$B$251,MATCH($B$2&amp;"|"&amp;4,approvals!$AZ$2:$AZ$251,0)),offices!$A$2:$A$61,0)),"-"," to "),"")</f>
        <v/>
      </c>
      <c r="D14">
        <f>IFERROR(INDEX(approvals!$U$2:$U$251,MATCH($B$2&amp;"|"&amp;4,approvals!$AZ$2:$AZ$251,0)),"")</f>
        <v/>
      </c>
      <c r="E14">
        <f>IFERROR(INDEX(approvals!$AA$2:$AA$251,MATCH($B$2&amp;"|"&amp;4,approvals!$AZ$2:$AZ$251,0)),"")</f>
        <v/>
      </c>
      <c r="F14">
        <f>IFERROR(INDEX(approvals!$AD$2:$AD$251,MATCH($B$2&amp;"|"&amp;4,approvals!$AZ$2:$AZ$251,0)),"")</f>
        <v/>
      </c>
      <c r="G14">
        <f>IFERROR(INDEX(approvals!$AG$2:$AG$251,MATCH($B$2&amp;"|"&amp;4,approvals!$AZ$2:$AZ$251,0)),"")</f>
        <v/>
      </c>
      <c r="H14">
        <f>IFERROR(INDEX(approvals!$AL$2:$AL$251,MATCH($B$2&amp;"|"&amp;4,approvals!$AZ$2:$AZ$251,0)),"")</f>
        <v/>
      </c>
      <c r="I14">
        <f>IFERROR(INDEX(approvals!$AN$2:$AN$251,MATCH($B$2&amp;"|"&amp;4,approvals!$AZ$2:$AZ$251,0)),"")</f>
        <v/>
      </c>
      <c r="J14">
        <f>IFERROR(IF(INDEX(approvals!$Y$2:$Y$251,MATCH($B$2&amp;"|"&amp;4,approvals!$AZ$2:$AZ$251,0))="","none received",TEXT(INDEX(approvals!$Y$2:$Y$251,MATCH($B$2&amp;"|"&amp;4,approvals!$AZ$2:$AZ$251,0)),"yyyy-mm-dd")),"")</f>
        <v/>
      </c>
      <c r="K14">
        <f>IFERROR(IF(INDEX(approvals!$AI$2:$AI$251,MATCH($B$2&amp;"|"&amp;4,approvals!$AZ$2:$AZ$251,0))="","none received",TEXT(INDEX(approvals!$AI$2:$AI$251,MATCH($B$2&amp;"|"&amp;4,approvals!$AZ$2:$AZ$251,0)),"yyyy-mm-dd")),"")</f>
        <v/>
      </c>
    </row>
    <row r="15">
      <c r="A15">
        <f>IFERROR(INDEX(approvals!$M$2:$M$251,MATCH($B$2&amp;"|"&amp;5,approvals!$AZ$2:$AZ$251,0))&amp;IF(INDEX(approvals!$AB$2:$AB$251,MATCH($B$2&amp;"|"&amp;5,approvals!$AZ$2:$AZ$251,0))="N","*",""),"")</f>
        <v/>
      </c>
      <c r="B15">
        <f>IFERROR(INDEX(offices!$AH$2:$AH$61,MATCH(INDEX(approvals!$B$2:$B$251,MATCH($B$2&amp;"|"&amp;5,approvals!$AZ$2:$AZ$251,0)),offices!$A$2:$A$61,0)),"")</f>
        <v/>
      </c>
      <c r="C15">
        <f>IFERROR(SUBSTITUTE(INDEX(offices!$AJ$2:$AJ$61,MATCH(INDEX(approvals!$B$2:$B$251,MATCH($B$2&amp;"|"&amp;5,approvals!$AZ$2:$AZ$251,0)),offices!$A$2:$A$61,0)),"-"," to "),"")</f>
        <v/>
      </c>
      <c r="D15">
        <f>IFERROR(INDEX(approvals!$U$2:$U$251,MATCH($B$2&amp;"|"&amp;5,approvals!$AZ$2:$AZ$251,0)),"")</f>
        <v/>
      </c>
      <c r="E15">
        <f>IFERROR(INDEX(approvals!$AA$2:$AA$251,MATCH($B$2&amp;"|"&amp;5,approvals!$AZ$2:$AZ$251,0)),"")</f>
        <v/>
      </c>
      <c r="F15">
        <f>IFERROR(INDEX(approvals!$AD$2:$AD$251,MATCH($B$2&amp;"|"&amp;5,approvals!$AZ$2:$AZ$251,0)),"")</f>
        <v/>
      </c>
      <c r="G15">
        <f>IFERROR(INDEX(approvals!$AG$2:$AG$251,MATCH($B$2&amp;"|"&amp;5,approvals!$AZ$2:$AZ$251,0)),"")</f>
        <v/>
      </c>
      <c r="H15">
        <f>IFERROR(INDEX(approvals!$AL$2:$AL$251,MATCH($B$2&amp;"|"&amp;5,approvals!$AZ$2:$AZ$251,0)),"")</f>
        <v/>
      </c>
      <c r="I15">
        <f>IFERROR(INDEX(approvals!$AN$2:$AN$251,MATCH($B$2&amp;"|"&amp;5,approvals!$AZ$2:$AZ$251,0)),"")</f>
        <v/>
      </c>
      <c r="J15">
        <f>IFERROR(IF(INDEX(approvals!$Y$2:$Y$251,MATCH($B$2&amp;"|"&amp;5,approvals!$AZ$2:$AZ$251,0))="","none received",TEXT(INDEX(approvals!$Y$2:$Y$251,MATCH($B$2&amp;"|"&amp;5,approvals!$AZ$2:$AZ$251,0)),"yyyy-mm-dd")),"")</f>
        <v/>
      </c>
      <c r="K15">
        <f>IFERROR(IF(INDEX(approvals!$AI$2:$AI$251,MATCH($B$2&amp;"|"&amp;5,approvals!$AZ$2:$AZ$251,0))="","none received",TEXT(INDEX(approvals!$AI$2:$AI$251,MATCH($B$2&amp;"|"&amp;5,approvals!$AZ$2:$AZ$251,0)),"yyyy-mm-dd")),"")</f>
        <v/>
      </c>
    </row>
    <row r="16">
      <c r="A16">
        <f>IFERROR(INDEX(approvals!$M$2:$M$251,MATCH($B$2&amp;"|"&amp;6,approvals!$AZ$2:$AZ$251,0))&amp;IF(INDEX(approvals!$AB$2:$AB$251,MATCH($B$2&amp;"|"&amp;6,approvals!$AZ$2:$AZ$251,0))="N","*",""),"")</f>
        <v/>
      </c>
      <c r="B16">
        <f>IFERROR(INDEX(offices!$AH$2:$AH$61,MATCH(INDEX(approvals!$B$2:$B$251,MATCH($B$2&amp;"|"&amp;6,approvals!$AZ$2:$AZ$251,0)),offices!$A$2:$A$61,0)),"")</f>
        <v/>
      </c>
      <c r="C16">
        <f>IFERROR(SUBSTITUTE(INDEX(offices!$AJ$2:$AJ$61,MATCH(INDEX(approvals!$B$2:$B$251,MATCH($B$2&amp;"|"&amp;6,approvals!$AZ$2:$AZ$251,0)),offices!$A$2:$A$61,0)),"-"," to "),"")</f>
        <v/>
      </c>
      <c r="D16">
        <f>IFERROR(INDEX(approvals!$U$2:$U$251,MATCH($B$2&amp;"|"&amp;6,approvals!$AZ$2:$AZ$251,0)),"")</f>
        <v/>
      </c>
      <c r="E16">
        <f>IFERROR(INDEX(approvals!$AA$2:$AA$251,MATCH($B$2&amp;"|"&amp;6,approvals!$AZ$2:$AZ$251,0)),"")</f>
        <v/>
      </c>
      <c r="F16">
        <f>IFERROR(INDEX(approvals!$AD$2:$AD$251,MATCH($B$2&amp;"|"&amp;6,approvals!$AZ$2:$AZ$251,0)),"")</f>
        <v/>
      </c>
      <c r="G16">
        <f>IFERROR(INDEX(approvals!$AG$2:$AG$251,MATCH($B$2&amp;"|"&amp;6,approvals!$AZ$2:$AZ$251,0)),"")</f>
        <v/>
      </c>
      <c r="H16">
        <f>IFERROR(INDEX(approvals!$AL$2:$AL$251,MATCH($B$2&amp;"|"&amp;6,approvals!$AZ$2:$AZ$251,0)),"")</f>
        <v/>
      </c>
      <c r="I16">
        <f>IFERROR(INDEX(approvals!$AN$2:$AN$251,MATCH($B$2&amp;"|"&amp;6,approvals!$AZ$2:$AZ$251,0)),"")</f>
        <v/>
      </c>
      <c r="J16">
        <f>IFERROR(IF(INDEX(approvals!$Y$2:$Y$251,MATCH($B$2&amp;"|"&amp;6,approvals!$AZ$2:$AZ$251,0))="","none received",TEXT(INDEX(approvals!$Y$2:$Y$251,MATCH($B$2&amp;"|"&amp;6,approvals!$AZ$2:$AZ$251,0)),"yyyy-mm-dd")),"")</f>
        <v/>
      </c>
      <c r="K16">
        <f>IFERROR(IF(INDEX(approvals!$AI$2:$AI$251,MATCH($B$2&amp;"|"&amp;6,approvals!$AZ$2:$AZ$251,0))="","none received",TEXT(INDEX(approvals!$AI$2:$AI$251,MATCH($B$2&amp;"|"&amp;6,approvals!$AZ$2:$AZ$251,0)),"yyyy-mm-dd")),"")</f>
        <v/>
      </c>
    </row>
    <row r="17">
      <c r="A17">
        <f>IFERROR(INDEX(approvals!$M$2:$M$251,MATCH($B$2&amp;"|"&amp;7,approvals!$AZ$2:$AZ$251,0))&amp;IF(INDEX(approvals!$AB$2:$AB$251,MATCH($B$2&amp;"|"&amp;7,approvals!$AZ$2:$AZ$251,0))="N","*",""),"")</f>
        <v/>
      </c>
      <c r="B17">
        <f>IFERROR(INDEX(offices!$AH$2:$AH$61,MATCH(INDEX(approvals!$B$2:$B$251,MATCH($B$2&amp;"|"&amp;7,approvals!$AZ$2:$AZ$251,0)),offices!$A$2:$A$61,0)),"")</f>
        <v/>
      </c>
      <c r="C17">
        <f>IFERROR(SUBSTITUTE(INDEX(offices!$AJ$2:$AJ$61,MATCH(INDEX(approvals!$B$2:$B$251,MATCH($B$2&amp;"|"&amp;7,approvals!$AZ$2:$AZ$251,0)),offices!$A$2:$A$61,0)),"-"," to "),"")</f>
        <v/>
      </c>
      <c r="D17">
        <f>IFERROR(INDEX(approvals!$U$2:$U$251,MATCH($B$2&amp;"|"&amp;7,approvals!$AZ$2:$AZ$251,0)),"")</f>
        <v/>
      </c>
      <c r="E17">
        <f>IFERROR(INDEX(approvals!$AA$2:$AA$251,MATCH($B$2&amp;"|"&amp;7,approvals!$AZ$2:$AZ$251,0)),"")</f>
        <v/>
      </c>
      <c r="F17">
        <f>IFERROR(INDEX(approvals!$AD$2:$AD$251,MATCH($B$2&amp;"|"&amp;7,approvals!$AZ$2:$AZ$251,0)),"")</f>
        <v/>
      </c>
      <c r="G17">
        <f>IFERROR(INDEX(approvals!$AG$2:$AG$251,MATCH($B$2&amp;"|"&amp;7,approvals!$AZ$2:$AZ$251,0)),"")</f>
        <v/>
      </c>
      <c r="H17">
        <f>IFERROR(INDEX(approvals!$AL$2:$AL$251,MATCH($B$2&amp;"|"&amp;7,approvals!$AZ$2:$AZ$251,0)),"")</f>
        <v/>
      </c>
      <c r="I17">
        <f>IFERROR(INDEX(approvals!$AN$2:$AN$251,MATCH($B$2&amp;"|"&amp;7,approvals!$AZ$2:$AZ$251,0)),"")</f>
        <v/>
      </c>
      <c r="J17">
        <f>IFERROR(IF(INDEX(approvals!$Y$2:$Y$251,MATCH($B$2&amp;"|"&amp;7,approvals!$AZ$2:$AZ$251,0))="","none received",TEXT(INDEX(approvals!$Y$2:$Y$251,MATCH($B$2&amp;"|"&amp;7,approvals!$AZ$2:$AZ$251,0)),"yyyy-mm-dd")),"")</f>
        <v/>
      </c>
      <c r="K17">
        <f>IFERROR(IF(INDEX(approvals!$AI$2:$AI$251,MATCH($B$2&amp;"|"&amp;7,approvals!$AZ$2:$AZ$251,0))="","none received",TEXT(INDEX(approvals!$AI$2:$AI$251,MATCH($B$2&amp;"|"&amp;7,approvals!$AZ$2:$AZ$251,0)),"yyyy-mm-dd")),"")</f>
        <v/>
      </c>
    </row>
    <row r="18">
      <c r="A18">
        <f>IFERROR(INDEX(approvals!$M$2:$M$251,MATCH($B$2&amp;"|"&amp;8,approvals!$AZ$2:$AZ$251,0))&amp;IF(INDEX(approvals!$AB$2:$AB$251,MATCH($B$2&amp;"|"&amp;8,approvals!$AZ$2:$AZ$251,0))="N","*",""),"")</f>
        <v/>
      </c>
      <c r="B18">
        <f>IFERROR(INDEX(offices!$AH$2:$AH$61,MATCH(INDEX(approvals!$B$2:$B$251,MATCH($B$2&amp;"|"&amp;8,approvals!$AZ$2:$AZ$251,0)),offices!$A$2:$A$61,0)),"")</f>
        <v/>
      </c>
      <c r="C18">
        <f>IFERROR(SUBSTITUTE(INDEX(offices!$AJ$2:$AJ$61,MATCH(INDEX(approvals!$B$2:$B$251,MATCH($B$2&amp;"|"&amp;8,approvals!$AZ$2:$AZ$251,0)),offices!$A$2:$A$61,0)),"-"," to "),"")</f>
        <v/>
      </c>
      <c r="D18">
        <f>IFERROR(INDEX(approvals!$U$2:$U$251,MATCH($B$2&amp;"|"&amp;8,approvals!$AZ$2:$AZ$251,0)),"")</f>
        <v/>
      </c>
      <c r="E18">
        <f>IFERROR(INDEX(approvals!$AA$2:$AA$251,MATCH($B$2&amp;"|"&amp;8,approvals!$AZ$2:$AZ$251,0)),"")</f>
        <v/>
      </c>
      <c r="F18">
        <f>IFERROR(INDEX(approvals!$AD$2:$AD$251,MATCH($B$2&amp;"|"&amp;8,approvals!$AZ$2:$AZ$251,0)),"")</f>
        <v/>
      </c>
      <c r="G18">
        <f>IFERROR(INDEX(approvals!$AG$2:$AG$251,MATCH($B$2&amp;"|"&amp;8,approvals!$AZ$2:$AZ$251,0)),"")</f>
        <v/>
      </c>
      <c r="H18">
        <f>IFERROR(INDEX(approvals!$AL$2:$AL$251,MATCH($B$2&amp;"|"&amp;8,approvals!$AZ$2:$AZ$251,0)),"")</f>
        <v/>
      </c>
      <c r="I18">
        <f>IFERROR(INDEX(approvals!$AN$2:$AN$251,MATCH($B$2&amp;"|"&amp;8,approvals!$AZ$2:$AZ$251,0)),"")</f>
        <v/>
      </c>
      <c r="J18">
        <f>IFERROR(IF(INDEX(approvals!$Y$2:$Y$251,MATCH($B$2&amp;"|"&amp;8,approvals!$AZ$2:$AZ$251,0))="","none received",TEXT(INDEX(approvals!$Y$2:$Y$251,MATCH($B$2&amp;"|"&amp;8,approvals!$AZ$2:$AZ$251,0)),"yyyy-mm-dd")),"")</f>
        <v/>
      </c>
      <c r="K18">
        <f>IFERROR(IF(INDEX(approvals!$AI$2:$AI$251,MATCH($B$2&amp;"|"&amp;8,approvals!$AZ$2:$AZ$251,0))="","none received",TEXT(INDEX(approvals!$AI$2:$AI$251,MATCH($B$2&amp;"|"&amp;8,approvals!$AZ$2:$AZ$251,0)),"yyyy-mm-dd")),"")</f>
        <v/>
      </c>
    </row>
    <row r="19">
      <c r="A19">
        <f>IFERROR(INDEX(approvals!$M$2:$M$251,MATCH($B$2&amp;"|"&amp;9,approvals!$AZ$2:$AZ$251,0))&amp;IF(INDEX(approvals!$AB$2:$AB$251,MATCH($B$2&amp;"|"&amp;9,approvals!$AZ$2:$AZ$251,0))="N","*",""),"")</f>
        <v/>
      </c>
      <c r="B19">
        <f>IFERROR(INDEX(offices!$AH$2:$AH$61,MATCH(INDEX(approvals!$B$2:$B$251,MATCH($B$2&amp;"|"&amp;9,approvals!$AZ$2:$AZ$251,0)),offices!$A$2:$A$61,0)),"")</f>
        <v/>
      </c>
      <c r="C19">
        <f>IFERROR(SUBSTITUTE(INDEX(offices!$AJ$2:$AJ$61,MATCH(INDEX(approvals!$B$2:$B$251,MATCH($B$2&amp;"|"&amp;9,approvals!$AZ$2:$AZ$251,0)),offices!$A$2:$A$61,0)),"-"," to "),"")</f>
        <v/>
      </c>
      <c r="D19">
        <f>IFERROR(INDEX(approvals!$U$2:$U$251,MATCH($B$2&amp;"|"&amp;9,approvals!$AZ$2:$AZ$251,0)),"")</f>
        <v/>
      </c>
      <c r="E19">
        <f>IFERROR(INDEX(approvals!$AA$2:$AA$251,MATCH($B$2&amp;"|"&amp;9,approvals!$AZ$2:$AZ$251,0)),"")</f>
        <v/>
      </c>
      <c r="F19">
        <f>IFERROR(INDEX(approvals!$AD$2:$AD$251,MATCH($B$2&amp;"|"&amp;9,approvals!$AZ$2:$AZ$251,0)),"")</f>
        <v/>
      </c>
      <c r="G19">
        <f>IFERROR(INDEX(approvals!$AG$2:$AG$251,MATCH($B$2&amp;"|"&amp;9,approvals!$AZ$2:$AZ$251,0)),"")</f>
        <v/>
      </c>
      <c r="H19">
        <f>IFERROR(INDEX(approvals!$AL$2:$AL$251,MATCH($B$2&amp;"|"&amp;9,approvals!$AZ$2:$AZ$251,0)),"")</f>
        <v/>
      </c>
      <c r="I19">
        <f>IFERROR(INDEX(approvals!$AN$2:$AN$251,MATCH($B$2&amp;"|"&amp;9,approvals!$AZ$2:$AZ$251,0)),"")</f>
        <v/>
      </c>
      <c r="J19">
        <f>IFERROR(IF(INDEX(approvals!$Y$2:$Y$251,MATCH($B$2&amp;"|"&amp;9,approvals!$AZ$2:$AZ$251,0))="","none received",TEXT(INDEX(approvals!$Y$2:$Y$251,MATCH($B$2&amp;"|"&amp;9,approvals!$AZ$2:$AZ$251,0)),"yyyy-mm-dd")),"")</f>
        <v/>
      </c>
      <c r="K19">
        <f>IFERROR(IF(INDEX(approvals!$AI$2:$AI$251,MATCH($B$2&amp;"|"&amp;9,approvals!$AZ$2:$AZ$251,0))="","none received",TEXT(INDEX(approvals!$AI$2:$AI$251,MATCH($B$2&amp;"|"&amp;9,approvals!$AZ$2:$AZ$251,0)),"yyyy-mm-dd")),"")</f>
        <v/>
      </c>
    </row>
    <row r="20">
      <c r="A20">
        <f>IFERROR(INDEX(approvals!$M$2:$M$251,MATCH($B$2&amp;"|"&amp;10,approvals!$AZ$2:$AZ$251,0))&amp;IF(INDEX(approvals!$AB$2:$AB$251,MATCH($B$2&amp;"|"&amp;10,approvals!$AZ$2:$AZ$251,0))="N","*",""),"")</f>
        <v/>
      </c>
      <c r="B20">
        <f>IFERROR(INDEX(offices!$AH$2:$AH$61,MATCH(INDEX(approvals!$B$2:$B$251,MATCH($B$2&amp;"|"&amp;10,approvals!$AZ$2:$AZ$251,0)),offices!$A$2:$A$61,0)),"")</f>
        <v/>
      </c>
      <c r="C20">
        <f>IFERROR(SUBSTITUTE(INDEX(offices!$AJ$2:$AJ$61,MATCH(INDEX(approvals!$B$2:$B$251,MATCH($B$2&amp;"|"&amp;10,approvals!$AZ$2:$AZ$251,0)),offices!$A$2:$A$61,0)),"-"," to "),"")</f>
        <v/>
      </c>
      <c r="D20">
        <f>IFERROR(INDEX(approvals!$U$2:$U$251,MATCH($B$2&amp;"|"&amp;10,approvals!$AZ$2:$AZ$251,0)),"")</f>
        <v/>
      </c>
      <c r="E20">
        <f>IFERROR(INDEX(approvals!$AA$2:$AA$251,MATCH($B$2&amp;"|"&amp;10,approvals!$AZ$2:$AZ$251,0)),"")</f>
        <v/>
      </c>
      <c r="F20">
        <f>IFERROR(INDEX(approvals!$AD$2:$AD$251,MATCH($B$2&amp;"|"&amp;10,approvals!$AZ$2:$AZ$251,0)),"")</f>
        <v/>
      </c>
      <c r="G20">
        <f>IFERROR(INDEX(approvals!$AG$2:$AG$251,MATCH($B$2&amp;"|"&amp;10,approvals!$AZ$2:$AZ$251,0)),"")</f>
        <v/>
      </c>
      <c r="H20">
        <f>IFERROR(INDEX(approvals!$AL$2:$AL$251,MATCH($B$2&amp;"|"&amp;10,approvals!$AZ$2:$AZ$251,0)),"")</f>
        <v/>
      </c>
      <c r="I20">
        <f>IFERROR(INDEX(approvals!$AN$2:$AN$251,MATCH($B$2&amp;"|"&amp;10,approvals!$AZ$2:$AZ$251,0)),"")</f>
        <v/>
      </c>
      <c r="J20">
        <f>IFERROR(IF(INDEX(approvals!$Y$2:$Y$251,MATCH($B$2&amp;"|"&amp;10,approvals!$AZ$2:$AZ$251,0))="","none received",TEXT(INDEX(approvals!$Y$2:$Y$251,MATCH($B$2&amp;"|"&amp;10,approvals!$AZ$2:$AZ$251,0)),"yyyy-mm-dd")),"")</f>
        <v/>
      </c>
      <c r="K20">
        <f>IFERROR(IF(INDEX(approvals!$AI$2:$AI$251,MATCH($B$2&amp;"|"&amp;10,approvals!$AZ$2:$AZ$251,0))="","none received",TEXT(INDEX(approvals!$AI$2:$AI$251,MATCH($B$2&amp;"|"&amp;10,approvals!$AZ$2:$AZ$251,0)),"yyyy-mm-dd")),"")</f>
        <v/>
      </c>
    </row>
    <row r="21">
      <c r="A21">
        <f>IFERROR(INDEX(approvals!$M$2:$M$251,MATCH($B$2&amp;"|"&amp;11,approvals!$AZ$2:$AZ$251,0))&amp;IF(INDEX(approvals!$AB$2:$AB$251,MATCH($B$2&amp;"|"&amp;11,approvals!$AZ$2:$AZ$251,0))="N","*",""),"")</f>
        <v/>
      </c>
      <c r="B21">
        <f>IFERROR(INDEX(offices!$AH$2:$AH$61,MATCH(INDEX(approvals!$B$2:$B$251,MATCH($B$2&amp;"|"&amp;11,approvals!$AZ$2:$AZ$251,0)),offices!$A$2:$A$61,0)),"")</f>
        <v/>
      </c>
      <c r="C21">
        <f>IFERROR(SUBSTITUTE(INDEX(offices!$AJ$2:$AJ$61,MATCH(INDEX(approvals!$B$2:$B$251,MATCH($B$2&amp;"|"&amp;11,approvals!$AZ$2:$AZ$251,0)),offices!$A$2:$A$61,0)),"-"," to "),"")</f>
        <v/>
      </c>
      <c r="D21">
        <f>IFERROR(INDEX(approvals!$U$2:$U$251,MATCH($B$2&amp;"|"&amp;11,approvals!$AZ$2:$AZ$251,0)),"")</f>
        <v/>
      </c>
      <c r="E21">
        <f>IFERROR(INDEX(approvals!$AA$2:$AA$251,MATCH($B$2&amp;"|"&amp;11,approvals!$AZ$2:$AZ$251,0)),"")</f>
        <v/>
      </c>
      <c r="F21">
        <f>IFERROR(INDEX(approvals!$AD$2:$AD$251,MATCH($B$2&amp;"|"&amp;11,approvals!$AZ$2:$AZ$251,0)),"")</f>
        <v/>
      </c>
      <c r="G21">
        <f>IFERROR(INDEX(approvals!$AG$2:$AG$251,MATCH($B$2&amp;"|"&amp;11,approvals!$AZ$2:$AZ$251,0)),"")</f>
        <v/>
      </c>
      <c r="H21">
        <f>IFERROR(INDEX(approvals!$AL$2:$AL$251,MATCH($B$2&amp;"|"&amp;11,approvals!$AZ$2:$AZ$251,0)),"")</f>
        <v/>
      </c>
      <c r="I21">
        <f>IFERROR(INDEX(approvals!$AN$2:$AN$251,MATCH($B$2&amp;"|"&amp;11,approvals!$AZ$2:$AZ$251,0)),"")</f>
        <v/>
      </c>
      <c r="J21">
        <f>IFERROR(IF(INDEX(approvals!$Y$2:$Y$251,MATCH($B$2&amp;"|"&amp;11,approvals!$AZ$2:$AZ$251,0))="","none received",TEXT(INDEX(approvals!$Y$2:$Y$251,MATCH($B$2&amp;"|"&amp;11,approvals!$AZ$2:$AZ$251,0)),"yyyy-mm-dd")),"")</f>
        <v/>
      </c>
      <c r="K21">
        <f>IFERROR(IF(INDEX(approvals!$AI$2:$AI$251,MATCH($B$2&amp;"|"&amp;11,approvals!$AZ$2:$AZ$251,0))="","none received",TEXT(INDEX(approvals!$AI$2:$AI$251,MATCH($B$2&amp;"|"&amp;11,approvals!$AZ$2:$AZ$251,0)),"yyyy-mm-dd")),"")</f>
        <v/>
      </c>
    </row>
    <row r="22">
      <c r="A22">
        <f>IFERROR(INDEX(approvals!$M$2:$M$251,MATCH($B$2&amp;"|"&amp;12,approvals!$AZ$2:$AZ$251,0))&amp;IF(INDEX(approvals!$AB$2:$AB$251,MATCH($B$2&amp;"|"&amp;12,approvals!$AZ$2:$AZ$251,0))="N","*",""),"")</f>
        <v/>
      </c>
      <c r="B22">
        <f>IFERROR(INDEX(offices!$AH$2:$AH$61,MATCH(INDEX(approvals!$B$2:$B$251,MATCH($B$2&amp;"|"&amp;12,approvals!$AZ$2:$AZ$251,0)),offices!$A$2:$A$61,0)),"")</f>
        <v/>
      </c>
      <c r="C22">
        <f>IFERROR(SUBSTITUTE(INDEX(offices!$AJ$2:$AJ$61,MATCH(INDEX(approvals!$B$2:$B$251,MATCH($B$2&amp;"|"&amp;12,approvals!$AZ$2:$AZ$251,0)),offices!$A$2:$A$61,0)),"-"," to "),"")</f>
        <v/>
      </c>
      <c r="D22">
        <f>IFERROR(INDEX(approvals!$U$2:$U$251,MATCH($B$2&amp;"|"&amp;12,approvals!$AZ$2:$AZ$251,0)),"")</f>
        <v/>
      </c>
      <c r="E22">
        <f>IFERROR(INDEX(approvals!$AA$2:$AA$251,MATCH($B$2&amp;"|"&amp;12,approvals!$AZ$2:$AZ$251,0)),"")</f>
        <v/>
      </c>
      <c r="F22">
        <f>IFERROR(INDEX(approvals!$AD$2:$AD$251,MATCH($B$2&amp;"|"&amp;12,approvals!$AZ$2:$AZ$251,0)),"")</f>
        <v/>
      </c>
      <c r="G22">
        <f>IFERROR(INDEX(approvals!$AG$2:$AG$251,MATCH($B$2&amp;"|"&amp;12,approvals!$AZ$2:$AZ$251,0)),"")</f>
        <v/>
      </c>
      <c r="H22">
        <f>IFERROR(INDEX(approvals!$AL$2:$AL$251,MATCH($B$2&amp;"|"&amp;12,approvals!$AZ$2:$AZ$251,0)),"")</f>
        <v/>
      </c>
      <c r="I22">
        <f>IFERROR(INDEX(approvals!$AN$2:$AN$251,MATCH($B$2&amp;"|"&amp;12,approvals!$AZ$2:$AZ$251,0)),"")</f>
        <v/>
      </c>
      <c r="J22">
        <f>IFERROR(IF(INDEX(approvals!$Y$2:$Y$251,MATCH($B$2&amp;"|"&amp;12,approvals!$AZ$2:$AZ$251,0))="","none received",TEXT(INDEX(approvals!$Y$2:$Y$251,MATCH($B$2&amp;"|"&amp;12,approvals!$AZ$2:$AZ$251,0)),"yyyy-mm-dd")),"")</f>
        <v/>
      </c>
      <c r="K22">
        <f>IFERROR(IF(INDEX(approvals!$AI$2:$AI$251,MATCH($B$2&amp;"|"&amp;12,approvals!$AZ$2:$AZ$251,0))="","none received",TEXT(INDEX(approvals!$AI$2:$AI$251,MATCH($B$2&amp;"|"&amp;12,approvals!$AZ$2:$AZ$251,0)),"yyyy-mm-dd")),"")</f>
        <v/>
      </c>
    </row>
    <row r="23">
      <c r="A23" s="6" t="inlineStr">
        <is>
          <t>Total</t>
        </is>
      </c>
      <c r="D23" s="6">
        <f>SUM(D11:D22)</f>
        <v/>
      </c>
      <c r="E23" s="6">
        <f>SUM(E11:E22)</f>
        <v/>
      </c>
      <c r="F23" s="6">
        <f>SUM(F11:F22)</f>
        <v/>
      </c>
      <c r="G23" s="6">
        <f>SUM(G11:G22)</f>
        <v/>
      </c>
      <c r="H23" s="6">
        <f>SUM(H11:H22)</f>
        <v/>
      </c>
      <c r="I23" s="6">
        <f>SUM(I11:I22)</f>
        <v/>
      </c>
    </row>
    <row r="24">
      <c r="A24">
        <f>IF(COUNTIF(A11:A22,"*~*")&gt;0,"* placed after the first business day","")</f>
        <v/>
      </c>
    </row>
    <row r="26">
      <c r="A26" s="6">
        <f>IF($B$2="","","Survey (n = "&amp;IFERROR(INDEX(campaigns!$CH$2:$CH$51,MATCH($B$2,campaigns!$A$2:$A$51,0)),"")&amp;"): tried "&amp;IF(N(IFERROR(INDEX(campaigns!$CH$2:$CH$51,MATCH($B$2,campaigns!$A$2:$A$51,0)),""))=0,"-",TEXT(IFERROR(INDEX(campaigns!$CK$2:$CK$51,MATCH($B$2,campaigns!$A$2:$A$51,0)),"")/IFERROR(INDEX(campaigns!$CH$2:$CH$51,MATCH($B$2,campaigns!$A$2:$A$51,0)),""),"0%")&amp;" ("&amp;IFERROR(INDEX(campaigns!$CK$2:$CK$51,MATCH($B$2,campaigns!$A$2:$A$51,0)),"")&amp;")")&amp;" · average rating "&amp;IFERROR(INDEX(campaigns!$CP$2:$CP$51,MATCH($B$2,campaigns!$A$2:$A$51,0)),"")&amp;" of 5 ("&amp;IFERROR(INDEX(campaigns!$CO$2:$CO$51,MATCH($B$2,campaigns!$A$2:$A$51,0)),"")&amp;" ratings) · would buy, of "&amp;(N(IFERROR(INDEX(campaigns!$CQ$2:$CQ$51,MATCH($B$2,campaigns!$A$2:$A$51,0)),""))+N(IFERROR(INDEX(campaigns!$CR$2:$CR$51,MATCH($B$2,campaigns!$A$2:$A$51,0)),""))+N(IFERROR(INDEX(campaigns!$CS$2:$CS$51,MATCH($B$2,campaigns!$A$2:$A$51,0)),"")))&amp;" who answered: yes "&amp;IF(N((N(IFERROR(INDEX(campaigns!$CQ$2:$CQ$51,MATCH($B$2,campaigns!$A$2:$A$51,0)),""))+N(IFERROR(INDEX(campaigns!$CR$2:$CR$51,MATCH($B$2,campaigns!$A$2:$A$51,0)),""))+N(IFERROR(INDEX(campaigns!$CS$2:$CS$51,MATCH($B$2,campaigns!$A$2:$A$51,0)),""))))=0,"-",TEXT(IFERROR(INDEX(campaigns!$CQ$2:$CQ$51,MATCH($B$2,campaigns!$A$2:$A$51,0)),"")/(N(IFERROR(INDEX(campaigns!$CQ$2:$CQ$51,MATCH($B$2,campaigns!$A$2:$A$51,0)),""))+N(IFERROR(INDEX(campaigns!$CR$2:$CR$51,MATCH($B$2,campaigns!$A$2:$A$51,0)),""))+N(IFERROR(INDEX(campaigns!$CS$2:$CS$51,MATCH($B$2,campaigns!$A$2:$A$51,0)),""))),"0%")&amp;" ("&amp;IFERROR(INDEX(campaigns!$CQ$2:$CQ$51,MATCH($B$2,campaigns!$A$2:$A$51,0)),"")&amp;")")&amp;", maybe "&amp;IF(N((N(IFERROR(INDEX(campaigns!$CQ$2:$CQ$51,MATCH($B$2,campaigns!$A$2:$A$51,0)),""))+N(IFERROR(INDEX(campaigns!$CR$2:$CR$51,MATCH($B$2,campaigns!$A$2:$A$51,0)),""))+N(IFERROR(INDEX(campaigns!$CS$2:$CS$51,MATCH($B$2,campaigns!$A$2:$A$51,0)),""))))=0,"-",TEXT(IFERROR(INDEX(campaigns!$CR$2:$CR$51,MATCH($B$2,campaigns!$A$2:$A$51,0)),"")/(N(IFERROR(INDEX(campaigns!$CQ$2:$CQ$51,MATCH($B$2,campaigns!$A$2:$A$51,0)),""))+N(IFERROR(INDEX(campaigns!$CR$2:$CR$51,MATCH($B$2,campaigns!$A$2:$A$51,0)),""))+N(IFERROR(INDEX(campaigns!$CS$2:$CS$51,MATCH($B$2,campaigns!$A$2:$A$51,0)),""))),"0%")&amp;" ("&amp;IFERROR(INDEX(campaigns!$CR$2:$CR$51,MATCH($B$2,campaigns!$A$2:$A$51,0)),"")&amp;")")&amp;", no "&amp;IF(N((N(IFERROR(INDEX(campaigns!$CQ$2:$CQ$51,MATCH($B$2,campaigns!$A$2:$A$51,0)),""))+N(IFERROR(INDEX(campaigns!$CR$2:$CR$51,MATCH($B$2,campaigns!$A$2:$A$51,0)),""))+N(IFERROR(INDEX(campaigns!$CS$2:$CS$51,MATCH($B$2,campaigns!$A$2:$A$51,0)),""))))=0,"-",TEXT(IFERROR(INDEX(campaigns!$CS$2:$CS$51,MATCH($B$2,campaigns!$A$2:$A$51,0)),"")/(N(IFERROR(INDEX(campaigns!$CQ$2:$CQ$51,MATCH($B$2,campaigns!$A$2:$A$51,0)),""))+N(IFERROR(INDEX(campaigns!$CR$2:$CR$51,MATCH($B$2,campaigns!$A$2:$A$51,0)),""))+N(IFERROR(INDEX(campaigns!$CS$2:$CS$51,MATCH($B$2,campaigns!$A$2:$A$51,0)),""))),"0%")&amp;" ("&amp;IFERROR(INDEX(campaigns!$CS$2:$CS$51,MATCH($B$2,campaigns!$A$2:$A$51,0)),"")&amp;")"))</f>
        <v/>
      </c>
    </row>
    <row r="27">
      <c r="A27">
        <f>IF($B$2="","","Did not try: didn't see it "&amp;IFERROR(INDEX(campaigns!$CL$2:$CL$51,MATCH($B$2,campaigns!$A$2:$A$51,0)),"")&amp;", not for me "&amp;IFERROR(INDEX(campaigns!$CM$2:$CM$51,MATCH($B$2,campaigns!$A$2:$A$51,0)),"")&amp;", gone by the time they looked "&amp;IFERROR(INDEX(campaigns!$CN$2:$CN$51,MATCH($B$2,campaigns!$A$2:$A$51,0)),""))</f>
        <v/>
      </c>
    </row>
    <row r="28" ht="30" customHeight="1">
      <c r="A28" s="16">
        <f>IF(IFERROR(INDEX(campaigns!$AL$2:$AL$51,MATCH($B$2,campaigns!$A$2:$A$51,0)),"")="","","“"&amp;IFERROR(INDEX(campaigns!$AL$2:$AL$51,MATCH($B$2,campaigns!$A$2:$A$51,0)),"")&amp;"”")</f>
        <v/>
      </c>
    </row>
    <row r="29" ht="30" customHeight="1">
      <c r="A29" s="16">
        <f>IF(IFERROR(INDEX(campaigns!$AM$2:$AM$51,MATCH($B$2,campaigns!$A$2:$A$51,0)),"")="","","“"&amp;IFERROR(INDEX(campaigns!$AM$2:$AM$51,MATCH($B$2,campaigns!$A$2:$A$51,0)),"")&amp;"”")</f>
        <v/>
      </c>
    </row>
    <row r="30" ht="30" customHeight="1">
      <c r="A30" s="16">
        <f>IF(IFERROR(INDEX(campaigns!$AN$2:$AN$51,MATCH($B$2,campaigns!$A$2:$A$51,0)),"")="","","“"&amp;IFERROR(INDEX(campaigns!$AN$2:$AN$51,MATCH($B$2,campaigns!$A$2:$A$51,0)),"")&amp;"”")</f>
        <v/>
      </c>
    </row>
    <row r="31">
      <c r="A31">
        <f>IF($B$2="","","Three of "&amp;IFERROR(INDEX(campaigns!$CT$2:$CT$51,MATCH($B$2,campaigns!$A$2:$A$51,0)),"")&amp;" comments, word for word.")</f>
        <v/>
      </c>
    </row>
    <row r="33">
      <c r="A33" s="6">
        <f>IF($B$2="","","Engagement: "&amp;N(IFERROR(INDEX(campaigns!$CW$2:$CW$51,MATCH($B$2,campaigns!$A$2:$A$51,0)),""))&amp;" QR scans across "&amp;IFERROR(INDEX(campaigns!$BP$2:$BP$51,MATCH($B$2,campaigns!$A$2:$A$51,0)),"")&amp;" offices · "&amp;IF(IFERROR(INDEX(campaigns!$CY$2:$CY$51,MATCH($B$2,campaigns!$A$2:$A$51,0)),"")="","no code redemptions reported yet",IFERROR(INDEX(campaigns!$CY$2:$CY$51,MATCH($B$2,campaigns!$A$2:$A$51,0)),"")&amp;" code redemptions to date"))</f>
        <v/>
      </c>
    </row>
    <row r="35">
      <c r="A35" s="6" t="inlineStr">
        <is>
          <t>What we learned</t>
        </is>
      </c>
    </row>
    <row r="36" ht="60" customHeight="1">
      <c r="A36" s="16">
        <f>IFERROR(INDEX(campaigns!$AO$2:$AO$51,MATCH($B$2,campaigns!$A$2:$A$51,0)),"")</f>
        <v/>
      </c>
    </row>
    <row r="38">
      <c r="A38" s="6" t="inlineStr">
        <is>
          <t>Recommendation</t>
        </is>
      </c>
    </row>
    <row r="39" ht="32" customHeight="1">
      <c r="A39" s="16">
        <f>IFERROR(INDEX(campaigns!$AP$2:$AP$51,MATCH($B$2,campaigns!$A$2:$A$51,0)),"")</f>
        <v/>
      </c>
    </row>
    <row r="41">
      <c r="A41" s="6" t="inlineStr">
        <is>
          <t>Limitations</t>
        </is>
      </c>
    </row>
    <row r="42" ht="96" customHeight="1">
      <c r="A42" s="16" t="inlineStr">
        <is>
          <t>Each number is a separate step, counted as stated. Delivered: our count at handoff. Placed: units visible in the placement photo; an office may hold some back for later. Depleted: from photos or the pantry owner's count by day 5; one person may take several, and sharing and disposal are invisible. Tuesday headcount: a range the office reports; not everyone visits the pantry. Survey responses: anonymous and self-selected, from small samples, so one answer can move a share by several points. A QR scan is curiosity, not intent. Code redemptions: reported by the brand; some of those people would have bought anyway. Retailer sales, where shown, are confounded by everything else that happened that month and are suggestive only. Incremental purchases were not measured, so this report does not show whether the campaign caused any sale.</t>
        </is>
      </c>
    </row>
    <row r="44">
      <c r="A44">
        <f>"Prepared by "&amp;config!$B$4&amp;" · "&amp;config!$B$2&amp;" · "&amp;config!$B$6</f>
        <v/>
      </c>
    </row>
  </sheetData>
  <mergeCells count="6">
    <mergeCell ref="A30:K30"/>
    <mergeCell ref="A39:K39"/>
    <mergeCell ref="A29:K29"/>
    <mergeCell ref="A28:K28"/>
    <mergeCell ref="A42:K42"/>
    <mergeCell ref="A36:K36"/>
  </mergeCells>
  <dataValidations count="1">
    <dataValidation sqref="B2" showDropDown="0" showInputMessage="0" showErrorMessage="0" allowBlank="1" type="list">
      <formula1>=campaigns!$A$2:$A$51</formula1>
    </dataValidation>
  </dataValidations>
  <pageMargins left="0.75" right="0.75" top="1" bottom="1" header="0.5" footer="0.5"/>
</worksheet>
</file>

<file path=xl/worksheets/sheet5.xml><?xml version="1.0" encoding="utf-8"?>
<worksheet xmlns="http://schemas.openxmlformats.org/spreadsheetml/2006/main">
  <sheetPr>
    <tabColor rgb="00DDEBF7"/>
    <outlinePr summaryBelow="1" summaryRight="1"/>
    <pageSetUpPr/>
  </sheetPr>
  <dimension ref="A1:C42"/>
  <sheetViews>
    <sheetView workbookViewId="0">
      <pane ySplit="1" topLeftCell="A2" activePane="bottomLeft" state="frozen"/>
      <selection pane="bottomLeft" activeCell="A1" sqref="A1"/>
    </sheetView>
  </sheetViews>
  <sheetFormatPr baseColWidth="8" defaultRowHeight="15"/>
  <cols>
    <col width="28" customWidth="1" min="1" max="1"/>
    <col width="44" customWidth="1" min="2" max="2"/>
    <col width="90" customWidth="1" min="3" max="3"/>
  </cols>
  <sheetData>
    <row r="1">
      <c r="A1" s="18" t="inlineStr">
        <is>
          <t>key</t>
        </is>
      </c>
      <c r="B1" s="18" t="inlineStr">
        <is>
          <t>value</t>
        </is>
      </c>
      <c r="C1" s="18" t="inlineStr">
        <is>
          <t>note</t>
        </is>
      </c>
    </row>
    <row r="2">
      <c r="A2" s="6" t="inlineStr">
        <is>
          <t>company_name</t>
        </is>
      </c>
      <c r="B2" s="21" t="inlineStr">
        <is>
          <t>Desk Drop</t>
        </is>
      </c>
      <c r="C2" s="16" t="inlineStr">
        <is>
          <t>THE ONE PLACE the working name lives. Everything that prints the name reads this cell. Rename = change this cell (and BRAND_NAME in desk-drop-identity/brand.json for the printed pieces).</t>
        </is>
      </c>
    </row>
    <row r="3">
      <c r="A3" s="6" t="inlineStr">
        <is>
          <t>tagline</t>
        </is>
      </c>
      <c r="B3" t="inlineStr">
        <is>
          <t>Emerging brands. Delivered to your workday.</t>
        </is>
      </c>
      <c r="C3" s="16" t="inlineStr">
        <is>
          <t>TAGLINE, working, may change.</t>
        </is>
      </c>
    </row>
    <row r="4">
      <c r="A4" s="6" t="inlineStr">
        <is>
          <t>founder_name</t>
        </is>
      </c>
      <c r="B4" t="inlineStr">
        <is>
          <t>[FOUNDER NAME]</t>
        </is>
      </c>
      <c r="C4" s="16" t="inlineStr"/>
    </row>
    <row r="5">
      <c r="A5" s="6" t="inlineStr">
        <is>
          <t>founder_phone</t>
        </is>
      </c>
      <c r="B5" t="inlineStr">
        <is>
          <t>[PHONE]</t>
        </is>
      </c>
      <c r="C5" s="16" t="inlineStr">
        <is>
          <t>Printed on case labels, route sheets and messages.</t>
        </is>
      </c>
    </row>
    <row r="6">
      <c r="A6" s="6" t="inlineStr">
        <is>
          <t>founder_email</t>
        </is>
      </c>
      <c r="B6" t="inlineStr">
        <is>
          <t>[EMAIL]</t>
        </is>
      </c>
      <c r="C6" s="16" t="inlineStr"/>
    </row>
    <row r="7">
      <c r="A7" s="6" t="inlineStr">
        <is>
          <t>postal_address</t>
        </is>
      </c>
      <c r="B7" t="inlineStr">
        <is>
          <t>[POSTAL ADDRESS]</t>
        </is>
      </c>
      <c r="C7" s="16" t="inlineStr">
        <is>
          <t>Mailing address (CAN-SPAM footer, invoices).</t>
        </is>
      </c>
    </row>
    <row r="8">
      <c r="A8" s="6" t="inlineStr">
        <is>
          <t>receiving_address</t>
        </is>
      </c>
      <c r="B8" t="inlineStr">
        <is>
          <t>[RECEIVING ADDRESS]</t>
        </is>
      </c>
      <c r="C8" s="16" t="inlineStr">
        <is>
          <t>Where brands ship cases (founder and courier models). A street address that takes parcels; a PO box cannot receive carrier freight.</t>
        </is>
      </c>
    </row>
    <row r="9">
      <c r="A9" s="6" t="inlineStr">
        <is>
          <t>short_link_domain</t>
        </is>
      </c>
      <c r="B9" t="inlineStr">
        <is>
          <t>go.example.com</t>
        </is>
      </c>
      <c r="C9" s="16" t="inlineStr">
        <is>
          <t>The short-link domain (links/QR-AND-LINKS.md). Never put the company name in a link's back-half.</t>
        </is>
      </c>
    </row>
    <row r="10">
      <c r="A10" s="6" t="inlineStr">
        <is>
          <t>survey_privacy_url</t>
        </is>
      </c>
      <c r="B10" t="inlineStr">
        <is>
          <t>https://example.com/survey-privacy</t>
        </is>
      </c>
      <c r="C10" s="16" t="inlineStr">
        <is>
          <t>The full survey notice, hosted by the website (legal pack file 13, Part C).</t>
        </is>
      </c>
    </row>
    <row r="11">
      <c r="A11" s="6" t="inlineStr">
        <is>
          <t>cluster_name</t>
        </is>
      </c>
      <c r="B11" t="inlineStr">
        <is>
          <t>Flatiron, NoMad and Union Square</t>
        </is>
      </c>
      <c r="C11" s="16" t="inlineStr">
        <is>
          <t>Printed in report headers.</t>
        </is>
      </c>
    </row>
    <row r="12">
      <c r="A12" s="6" t="inlineStr">
        <is>
          <t>time_zone</t>
        </is>
      </c>
      <c r="B12" t="inlineStr">
        <is>
          <t>America/New_York</t>
        </is>
      </c>
      <c r="C12" s="16" t="inlineStr">
        <is>
          <t>Set the same in File &gt; Settings (Google Sheets) so form timestamps match.</t>
        </is>
      </c>
    </row>
    <row r="13">
      <c r="A13" s="6" t="inlineStr">
        <is>
          <t>units_base</t>
        </is>
      </c>
      <c r="B13" t="n">
        <v>30</v>
      </c>
      <c r="C13" s="16" t="inlineStr">
        <is>
          <t>Units per office = base + per_person x Tuesday headcount, rounded to 5, between min and max.</t>
        </is>
      </c>
    </row>
    <row r="14">
      <c r="A14" s="6" t="inlineStr">
        <is>
          <t>units_per_person</t>
        </is>
      </c>
      <c r="B14" t="n">
        <v>0.2</v>
      </c>
      <c r="C14" s="16" t="inlineStr"/>
    </row>
    <row r="15">
      <c r="A15" s="6" t="inlineStr">
        <is>
          <t>units_min</t>
        </is>
      </c>
      <c r="B15" t="n">
        <v>30</v>
      </c>
      <c r="C15" s="16" t="inlineStr">
        <is>
          <t>Plan: floor 30.</t>
        </is>
      </c>
    </row>
    <row r="16">
      <c r="A16" s="6" t="inlineStr">
        <is>
          <t>units_max</t>
        </is>
      </c>
      <c r="B16" t="n">
        <v>80</v>
      </c>
      <c r="C16" s="16" t="inlineStr">
        <is>
          <t>Plan: ceiling 80.</t>
        </is>
      </c>
    </row>
    <row r="17">
      <c r="A17" s="6" t="inlineStr">
        <is>
          <t>units_round</t>
        </is>
      </c>
      <c r="B17" t="n">
        <v>5</v>
      </c>
      <c r="C17" s="16" t="inlineStr"/>
    </row>
    <row r="18">
      <c r="A18" s="6" t="inlineStr">
        <is>
          <t>reserve_share</t>
        </is>
      </c>
      <c r="B18" t="n">
        <v>0.1</v>
      </c>
      <c r="C18" s="16" t="inlineStr">
        <is>
          <t>Brand ships 10% extra as reserve.</t>
        </is>
      </c>
    </row>
    <row r="19">
      <c r="A19" s="6" t="inlineStr">
        <is>
          <t>min_shelf_life_days</t>
        </is>
      </c>
      <c r="B19" t="n">
        <v>60</v>
      </c>
      <c r="C19" s="16" t="inlineStr">
        <is>
          <t>Days of shelf life left on the drop day (brand agreement section 2(b)).</t>
        </is>
      </c>
    </row>
    <row r="20">
      <c r="A20" s="6" t="inlineStr">
        <is>
          <t>founding_price_usd</t>
        </is>
      </c>
      <c r="B20" t="n">
        <v>600</v>
      </c>
      <c r="C20" s="16" t="inlineStr">
        <is>
          <t>Founding: 5 offices, first three brands only.</t>
        </is>
      </c>
    </row>
    <row r="21">
      <c r="A21" s="6" t="inlineStr">
        <is>
          <t>founding_offices</t>
        </is>
      </c>
      <c r="B21" t="n">
        <v>5</v>
      </c>
      <c r="C21" s="16" t="inlineStr"/>
    </row>
    <row r="22">
      <c r="A22" s="6" t="inlineStr">
        <is>
          <t>standard_price_usd</t>
        </is>
      </c>
      <c r="B22" t="n">
        <v>1500</v>
      </c>
      <c r="C22" s="16" t="inlineStr">
        <is>
          <t>Standard: 10 offices.</t>
        </is>
      </c>
    </row>
    <row r="23">
      <c r="A23" s="6" t="inlineStr">
        <is>
          <t>standard_offices</t>
        </is>
      </c>
      <c r="B23" t="n">
        <v>10</v>
      </c>
      <c r="C23" s="16" t="inlineStr"/>
    </row>
    <row r="24">
      <c r="A24" s="6" t="inlineStr">
        <is>
          <t>extra_office_usd</t>
        </is>
      </c>
      <c r="B24" t="n">
        <v>150</v>
      </c>
      <c r="C24" s="16" t="inlineStr">
        <is>
          <t>Each office beyond the package.</t>
        </is>
      </c>
    </row>
    <row r="25">
      <c r="A25" s="6" t="inlineStr">
        <is>
          <t>founding_lock_per_office_usd</t>
        </is>
      </c>
      <c r="B25" t="n">
        <v>120</v>
      </c>
      <c r="C25" s="16" t="inlineStr">
        <is>
          <t>A founding brand's next two campaigns: 120 per office up to 10 offices, then 150.</t>
        </is>
      </c>
    </row>
    <row r="26">
      <c r="A26" s="6" t="inlineStr">
        <is>
          <t>founding_lock_max_offices</t>
        </is>
      </c>
      <c r="B26" t="n">
        <v>10</v>
      </c>
      <c r="C26" s="16" t="inlineStr"/>
    </row>
    <row r="27">
      <c r="A27" s="6" t="inlineStr">
        <is>
          <t>founding_due_bd</t>
        </is>
      </c>
      <c r="B27" t="n">
        <v>5</v>
      </c>
      <c r="C27" s="16" t="inlineStr">
        <is>
          <t>Founding price due within five business days of the invoice, and before shipping.</t>
        </is>
      </c>
    </row>
    <row r="28">
      <c r="A28" s="6" t="inlineStr">
        <is>
          <t>deposit_share</t>
        </is>
      </c>
      <c r="B28" t="n">
        <v>0.5</v>
      </c>
      <c r="C28" s="16" t="inlineStr">
        <is>
          <t>Standard: 50% on signing, 50% at placement confirmation (T+1).</t>
        </is>
      </c>
    </row>
    <row r="29">
      <c r="A29" s="6" t="inlineStr">
        <is>
          <t>approvals_explicit_drops</t>
        </is>
      </c>
      <c r="B29" t="n">
        <v>3</v>
      </c>
      <c r="C29" s="16" t="inlineStr">
        <is>
          <t>An office's first three drops need its explicit yes; after that, opt-out with five business days' notice.</t>
        </is>
      </c>
    </row>
    <row r="30">
      <c r="A30" s="6" t="inlineStr">
        <is>
          <t>min_responses_per_office</t>
        </is>
      </c>
      <c r="B30" t="n">
        <v>5</v>
      </c>
      <c r="C30" s="16" t="inlineStr">
        <is>
          <t>Office commitment; Gate 2.</t>
        </is>
      </c>
    </row>
    <row r="31">
      <c r="A31" s="6" t="inlineStr">
        <is>
          <t>gate2_placed_share</t>
        </is>
      </c>
      <c r="B31" t="n">
        <v>0.8</v>
      </c>
      <c r="C31" s="16" t="inlineStr">
        <is>
          <t>Gate 2: 80% of units placed within one business day.</t>
        </is>
      </c>
    </row>
    <row r="32">
      <c r="A32" s="6" t="inlineStr">
        <is>
          <t>newsletter_keep_days</t>
        </is>
      </c>
      <c r="B32" t="n">
        <v>30</v>
      </c>
      <c r="C32" s="16" t="inlineStr">
        <is>
          <t>Consented emails: our copy deleted 30 days after passing on (file 13, D8).</t>
        </is>
      </c>
    </row>
    <row r="33">
      <c r="A33" s="6" t="inlineStr">
        <is>
          <t>answers_keep_months</t>
        </is>
      </c>
      <c r="B33" t="n">
        <v>12</v>
      </c>
      <c r="C33" s="16" t="inlineStr">
        <is>
          <t>Raw survey answers deleted 12 months after the campaign (file 13, D8).</t>
        </is>
      </c>
    </row>
    <row r="34">
      <c r="A34" s="6" t="inlineStr">
        <is>
          <t>report_office_names</t>
        </is>
      </c>
      <c r="B34" t="inlineStr">
        <is>
          <t>letters</t>
        </is>
      </c>
      <c r="C34" s="16" t="inlineStr">
        <is>
          <t>letters = offices shown as A, B, C in brand reports; names_if_public = name only where public_naming_ok = Y.</t>
        </is>
      </c>
    </row>
    <row r="35">
      <c r="A35" s="6" t="inlineStr">
        <is>
          <t>brand_form_version</t>
        </is>
      </c>
      <c r="B35" t="inlineStr">
        <is>
          <t>brand-gform-1.0</t>
        </is>
      </c>
      <c r="C35" s="16" t="inlineStr">
        <is>
          <t>Founder-side brand form version (1.x asks about 275 units and $600; 2.x about 550 and $1,500).</t>
        </is>
      </c>
    </row>
    <row r="36">
      <c r="A36" s="6" t="inlineStr">
        <is>
          <t>office_form_version</t>
        </is>
      </c>
      <c r="B36" t="inlineStr">
        <is>
          <t>office-gform-1.0</t>
        </is>
      </c>
      <c r="C36" s="16" t="inlineStr">
        <is>
          <t>Founder-side office form version.</t>
        </is>
      </c>
    </row>
    <row r="37">
      <c r="A37" s="6" t="inlineStr">
        <is>
          <t>today_override</t>
        </is>
      </c>
      <c r="B37" s="9" t="n">
        <v>46402</v>
      </c>
      <c r="C37" s="16" t="inlineStr">
        <is>
          <t>Leave empty. A date here replaces TODAY() everywhere (used by the dry runs).</t>
        </is>
      </c>
    </row>
    <row r="38">
      <c r="A38" s="6" t="inlineStr">
        <is>
          <t>invoice_prefix</t>
        </is>
      </c>
      <c r="B38" t="inlineStr">
        <is>
          <t>INV-</t>
        </is>
      </c>
      <c r="C38" s="16" t="inlineStr"/>
    </row>
    <row r="39">
      <c r="A39" s="6" t="inlineStr">
        <is>
          <t>bank_details</t>
        </is>
      </c>
      <c r="B39" t="inlineStr">
        <is>
          <t>[BANK NAME] · Account name [ACCOUNT NAME] · Routing [ROUTING NUMBER] · Account [ACCOUNT NUMBER]</t>
        </is>
      </c>
      <c r="C39" s="16" t="inlineStr">
        <is>
          <t>Printed on invoices. Business account only (legal pack file 04).</t>
        </is>
      </c>
    </row>
    <row r="40">
      <c r="A40" s="6" t="inlineStr">
        <is>
          <t>sales_tax_note</t>
        </is>
      </c>
      <c r="B40" t="inlineStr">
        <is>
          <t>Prices do not include sales tax. If any applies, it is shown above.</t>
        </is>
      </c>
      <c r="C40" s="16" t="inlineStr">
        <is>
          <t>Printed on invoices. Confirm with the accountant before the first invoice (legal pack file 09).</t>
        </is>
      </c>
    </row>
    <row r="41">
      <c r="A41" s="6" t="inlineStr">
        <is>
          <t>office_summary_min_answers</t>
        </is>
      </c>
      <c r="B41" t="n">
        <v>5</v>
      </c>
      <c r="C41" s="16" t="inlineStr">
        <is>
          <t>An office summary breaks a brand's answers down (rating, would buy, comments) only where the office gave at least this many answers, and shows no rating or would-buy split from fewer people; below it, the count only, so no one's answer can be picked out (file 13, D9). 5 = the office's own commitment (review round 1 raised it from 3).</t>
        </is>
      </c>
    </row>
    <row r="42">
      <c r="A42" s="6" t="inlineStr">
        <is>
          <t>contacts_keep_days_after_leaving</t>
        </is>
      </c>
      <c r="B42" t="n">
        <v>365</v>
      </c>
      <c r="C42" s="16" t="inlineStr">
        <is>
          <t>An office that left: clear its people's names, emails and phones (in_signed_offices, office_intake, office_form) this many days after left_date. Company, address and campaign counts stay.</t>
        </is>
      </c>
    </row>
  </sheetData>
  <pageMargins left="0.75" right="0.75" top="1" bottom="1" header="0.5" footer="0.5"/>
</worksheet>
</file>

<file path=xl/worksheets/sheet6.xml><?xml version="1.0" encoding="utf-8"?>
<worksheet xmlns="http://schemas.openxmlformats.org/spreadsheetml/2006/main">
  <sheetPr>
    <tabColor rgb="00DDEBF7"/>
    <outlinePr summaryBelow="1" summaryRight="1"/>
    <pageSetUpPr/>
  </sheetPr>
  <dimension ref="A1:H56"/>
  <sheetViews>
    <sheetView workbookViewId="0">
      <selection activeCell="A1" sqref="A1"/>
    </sheetView>
  </sheetViews>
  <sheetFormatPr baseColWidth="8" defaultRowHeight="15"/>
  <cols>
    <col width="12" customWidth="1" min="1" max="1"/>
    <col width="30" customWidth="1" min="2" max="2"/>
    <col width="14" customWidth="1" min="4" max="4"/>
    <col width="14" customWidth="1" min="5" max="5"/>
    <col width="34" customWidth="1" min="6" max="6"/>
    <col width="60" customWidth="1" min="8" max="8"/>
  </cols>
  <sheetData>
    <row r="1">
      <c r="A1" s="22" t="inlineStr">
        <is>
          <t>holiday</t>
        </is>
      </c>
      <c r="B1" s="22" t="inlineStr">
        <is>
          <t>name</t>
        </is>
      </c>
      <c r="D1" s="22" t="inlineStr">
        <is>
          <t>blackout_start</t>
        </is>
      </c>
      <c r="E1" s="22" t="inlineStr">
        <is>
          <t>blackout_end</t>
        </is>
      </c>
      <c r="F1" s="22" t="inlineStr">
        <is>
          <t>reason</t>
        </is>
      </c>
      <c r="H1" s="16" t="inlineStr">
        <is>
          <t>Source: CONTRACTS section 3 (derived, founder to confirm). US federal holidays by rule, observed dates; written by tools/opscal.py. Do not edit: rebuild with tools/build_tracker.py, or add a row by hand only to add a new year.</t>
        </is>
      </c>
    </row>
    <row r="2">
      <c r="A2" s="9" t="n">
        <v>46023</v>
      </c>
      <c r="B2" t="inlineStr">
        <is>
          <t>New Year's Day</t>
        </is>
      </c>
      <c r="D2" s="9" t="n">
        <v>46202</v>
      </c>
      <c r="E2" s="9" t="n">
        <v>46206</v>
      </c>
      <c r="F2" t="inlineStr">
        <is>
          <t>week of 4 July (observed 2026-07-03)</t>
        </is>
      </c>
    </row>
    <row r="3">
      <c r="A3" s="9" t="n">
        <v>46041</v>
      </c>
      <c r="B3" t="inlineStr">
        <is>
          <t>Martin Luther King Jr. Day</t>
        </is>
      </c>
      <c r="D3" s="9" t="n">
        <v>46252</v>
      </c>
      <c r="E3" s="9" t="n">
        <v>46265</v>
      </c>
      <c r="F3" t="inlineStr">
        <is>
          <t>last two weeks of August</t>
        </is>
      </c>
    </row>
    <row r="4">
      <c r="A4" s="9" t="n">
        <v>46069</v>
      </c>
      <c r="B4" t="inlineStr">
        <is>
          <t>Washington's Birthday</t>
        </is>
      </c>
      <c r="D4" s="9" t="n">
        <v>46374</v>
      </c>
      <c r="E4" s="9" t="n">
        <v>46387</v>
      </c>
      <c r="F4" t="inlineStr">
        <is>
          <t>last two weeks of December</t>
        </is>
      </c>
    </row>
    <row r="5">
      <c r="A5" s="9" t="n">
        <v>46167</v>
      </c>
      <c r="B5" t="inlineStr">
        <is>
          <t>Memorial Day</t>
        </is>
      </c>
      <c r="D5" s="9" t="n">
        <v>46573</v>
      </c>
      <c r="E5" s="9" t="n">
        <v>46577</v>
      </c>
      <c r="F5" t="inlineStr">
        <is>
          <t>week of 4 July (observed 2027-07-05)</t>
        </is>
      </c>
    </row>
    <row r="6">
      <c r="A6" s="9" t="n">
        <v>46192</v>
      </c>
      <c r="B6" t="inlineStr">
        <is>
          <t>Juneteenth</t>
        </is>
      </c>
      <c r="D6" s="9" t="n">
        <v>46617</v>
      </c>
      <c r="E6" s="9" t="n">
        <v>46630</v>
      </c>
      <c r="F6" t="inlineStr">
        <is>
          <t>last two weeks of August</t>
        </is>
      </c>
    </row>
    <row r="7">
      <c r="A7" s="9" t="n">
        <v>46206</v>
      </c>
      <c r="B7" t="inlineStr">
        <is>
          <t>Independence Day (observed)</t>
        </is>
      </c>
      <c r="D7" s="9" t="n">
        <v>46739</v>
      </c>
      <c r="E7" s="9" t="n">
        <v>46752</v>
      </c>
      <c r="F7" t="inlineStr">
        <is>
          <t>last two weeks of December</t>
        </is>
      </c>
    </row>
    <row r="8">
      <c r="A8" s="9" t="n">
        <v>46272</v>
      </c>
      <c r="B8" t="inlineStr">
        <is>
          <t>Labor Day</t>
        </is>
      </c>
      <c r="D8" s="9" t="n">
        <v>46937</v>
      </c>
      <c r="E8" s="9" t="n">
        <v>46941</v>
      </c>
      <c r="F8" t="inlineStr">
        <is>
          <t>week of 4 July (observed 2028-07-04)</t>
        </is>
      </c>
    </row>
    <row r="9">
      <c r="A9" s="9" t="n">
        <v>46307</v>
      </c>
      <c r="B9" t="inlineStr">
        <is>
          <t>Columbus Day</t>
        </is>
      </c>
      <c r="D9" s="9" t="n">
        <v>46983</v>
      </c>
      <c r="E9" s="9" t="n">
        <v>46996</v>
      </c>
      <c r="F9" t="inlineStr">
        <is>
          <t>last two weeks of August</t>
        </is>
      </c>
    </row>
    <row r="10">
      <c r="A10" s="9" t="n">
        <v>46337</v>
      </c>
      <c r="B10" t="inlineStr">
        <is>
          <t>Veterans Day</t>
        </is>
      </c>
      <c r="D10" s="9" t="n">
        <v>47105</v>
      </c>
      <c r="E10" s="9" t="n">
        <v>47118</v>
      </c>
      <c r="F10" t="inlineStr">
        <is>
          <t>last two weeks of December</t>
        </is>
      </c>
    </row>
    <row r="11">
      <c r="A11" s="9" t="n">
        <v>46352</v>
      </c>
      <c r="B11" t="inlineStr">
        <is>
          <t>Thanksgiving Day</t>
        </is>
      </c>
      <c r="D11" s="9" t="n">
        <v>47301</v>
      </c>
      <c r="E11" s="9" t="n">
        <v>47305</v>
      </c>
      <c r="F11" t="inlineStr">
        <is>
          <t>week of 4 July (observed 2029-07-04)</t>
        </is>
      </c>
    </row>
    <row r="12">
      <c r="A12" s="9" t="n">
        <v>46381</v>
      </c>
      <c r="B12" t="inlineStr">
        <is>
          <t>Christmas Day</t>
        </is>
      </c>
      <c r="D12" s="9" t="n">
        <v>47348</v>
      </c>
      <c r="E12" s="9" t="n">
        <v>47361</v>
      </c>
      <c r="F12" t="inlineStr">
        <is>
          <t>last two weeks of August</t>
        </is>
      </c>
    </row>
    <row r="13">
      <c r="A13" s="9" t="n">
        <v>46388</v>
      </c>
      <c r="B13" t="inlineStr">
        <is>
          <t>New Year's Day</t>
        </is>
      </c>
      <c r="D13" s="9" t="n">
        <v>47470</v>
      </c>
      <c r="E13" s="9" t="n">
        <v>47483</v>
      </c>
      <c r="F13" t="inlineStr">
        <is>
          <t>last two weeks of December</t>
        </is>
      </c>
    </row>
    <row r="14">
      <c r="A14" s="9" t="n">
        <v>46405</v>
      </c>
      <c r="B14" t="inlineStr">
        <is>
          <t>Martin Luther King Jr. Day</t>
        </is>
      </c>
      <c r="D14" s="9" t="n">
        <v>47665</v>
      </c>
      <c r="E14" s="9" t="n">
        <v>47669</v>
      </c>
      <c r="F14" t="inlineStr">
        <is>
          <t>week of 4 July (observed 2030-07-04)</t>
        </is>
      </c>
    </row>
    <row r="15">
      <c r="A15" s="9" t="n">
        <v>46433</v>
      </c>
      <c r="B15" t="inlineStr">
        <is>
          <t>Washington's Birthday</t>
        </is>
      </c>
      <c r="D15" s="9" t="n">
        <v>47713</v>
      </c>
      <c r="E15" s="9" t="n">
        <v>47726</v>
      </c>
      <c r="F15" t="inlineStr">
        <is>
          <t>last two weeks of August</t>
        </is>
      </c>
    </row>
    <row r="16">
      <c r="A16" s="9" t="n">
        <v>46538</v>
      </c>
      <c r="B16" t="inlineStr">
        <is>
          <t>Memorial Day</t>
        </is>
      </c>
      <c r="D16" s="9" t="n">
        <v>47835</v>
      </c>
      <c r="E16" s="9" t="n">
        <v>47848</v>
      </c>
      <c r="F16" t="inlineStr">
        <is>
          <t>last two weeks of December</t>
        </is>
      </c>
    </row>
    <row r="17">
      <c r="A17" s="9" t="n">
        <v>46556</v>
      </c>
      <c r="B17" t="inlineStr">
        <is>
          <t>Juneteenth (observed)</t>
        </is>
      </c>
    </row>
    <row r="18">
      <c r="A18" s="9" t="n">
        <v>46573</v>
      </c>
      <c r="B18" t="inlineStr">
        <is>
          <t>Independence Day (observed)</t>
        </is>
      </c>
    </row>
    <row r="19">
      <c r="A19" s="9" t="n">
        <v>46636</v>
      </c>
      <c r="B19" t="inlineStr">
        <is>
          <t>Labor Day</t>
        </is>
      </c>
    </row>
    <row r="20">
      <c r="A20" s="9" t="n">
        <v>46671</v>
      </c>
      <c r="B20" t="inlineStr">
        <is>
          <t>Columbus Day</t>
        </is>
      </c>
    </row>
    <row r="21">
      <c r="A21" s="9" t="n">
        <v>46702</v>
      </c>
      <c r="B21" t="inlineStr">
        <is>
          <t>Veterans Day</t>
        </is>
      </c>
    </row>
    <row r="22">
      <c r="A22" s="9" t="n">
        <v>46716</v>
      </c>
      <c r="B22" t="inlineStr">
        <is>
          <t>Thanksgiving Day</t>
        </is>
      </c>
    </row>
    <row r="23">
      <c r="A23" s="9" t="n">
        <v>46745</v>
      </c>
      <c r="B23" t="inlineStr">
        <is>
          <t>Christmas Day (observed)</t>
        </is>
      </c>
    </row>
    <row r="24">
      <c r="A24" s="9" t="n">
        <v>46752</v>
      </c>
      <c r="B24" t="inlineStr">
        <is>
          <t>New Year's Day (observed)</t>
        </is>
      </c>
    </row>
    <row r="25">
      <c r="A25" s="9" t="n">
        <v>46769</v>
      </c>
      <c r="B25" t="inlineStr">
        <is>
          <t>Martin Luther King Jr. Day</t>
        </is>
      </c>
    </row>
    <row r="26">
      <c r="A26" s="9" t="n">
        <v>46804</v>
      </c>
      <c r="B26" t="inlineStr">
        <is>
          <t>Washington's Birthday</t>
        </is>
      </c>
    </row>
    <row r="27">
      <c r="A27" s="9" t="n">
        <v>46902</v>
      </c>
      <c r="B27" t="inlineStr">
        <is>
          <t>Memorial Day</t>
        </is>
      </c>
    </row>
    <row r="28">
      <c r="A28" s="9" t="n">
        <v>46923</v>
      </c>
      <c r="B28" t="inlineStr">
        <is>
          <t>Juneteenth</t>
        </is>
      </c>
    </row>
    <row r="29">
      <c r="A29" s="9" t="n">
        <v>46938</v>
      </c>
      <c r="B29" t="inlineStr">
        <is>
          <t>Independence Day</t>
        </is>
      </c>
    </row>
    <row r="30">
      <c r="A30" s="9" t="n">
        <v>47000</v>
      </c>
      <c r="B30" t="inlineStr">
        <is>
          <t>Labor Day</t>
        </is>
      </c>
    </row>
    <row r="31">
      <c r="A31" s="9" t="n">
        <v>47035</v>
      </c>
      <c r="B31" t="inlineStr">
        <is>
          <t>Columbus Day</t>
        </is>
      </c>
    </row>
    <row r="32">
      <c r="A32" s="9" t="n">
        <v>47067</v>
      </c>
      <c r="B32" t="inlineStr">
        <is>
          <t>Veterans Day (observed)</t>
        </is>
      </c>
    </row>
    <row r="33">
      <c r="A33" s="9" t="n">
        <v>47080</v>
      </c>
      <c r="B33" t="inlineStr">
        <is>
          <t>Thanksgiving Day</t>
        </is>
      </c>
    </row>
    <row r="34">
      <c r="A34" s="9" t="n">
        <v>47112</v>
      </c>
      <c r="B34" t="inlineStr">
        <is>
          <t>Christmas Day</t>
        </is>
      </c>
    </row>
    <row r="35">
      <c r="A35" s="9" t="n">
        <v>47119</v>
      </c>
      <c r="B35" t="inlineStr">
        <is>
          <t>New Year's Day</t>
        </is>
      </c>
    </row>
    <row r="36">
      <c r="A36" s="9" t="n">
        <v>47133</v>
      </c>
      <c r="B36" t="inlineStr">
        <is>
          <t>Martin Luther King Jr. Day</t>
        </is>
      </c>
    </row>
    <row r="37">
      <c r="A37" s="9" t="n">
        <v>47168</v>
      </c>
      <c r="B37" t="inlineStr">
        <is>
          <t>Washington's Birthday</t>
        </is>
      </c>
    </row>
    <row r="38">
      <c r="A38" s="9" t="n">
        <v>47266</v>
      </c>
      <c r="B38" t="inlineStr">
        <is>
          <t>Memorial Day</t>
        </is>
      </c>
    </row>
    <row r="39">
      <c r="A39" s="9" t="n">
        <v>47288</v>
      </c>
      <c r="B39" t="inlineStr">
        <is>
          <t>Juneteenth</t>
        </is>
      </c>
    </row>
    <row r="40">
      <c r="A40" s="9" t="n">
        <v>47303</v>
      </c>
      <c r="B40" t="inlineStr">
        <is>
          <t>Independence Day</t>
        </is>
      </c>
    </row>
    <row r="41">
      <c r="A41" s="9" t="n">
        <v>47364</v>
      </c>
      <c r="B41" t="inlineStr">
        <is>
          <t>Labor Day</t>
        </is>
      </c>
    </row>
    <row r="42">
      <c r="A42" s="9" t="n">
        <v>47399</v>
      </c>
      <c r="B42" t="inlineStr">
        <is>
          <t>Columbus Day</t>
        </is>
      </c>
    </row>
    <row r="43">
      <c r="A43" s="9" t="n">
        <v>47434</v>
      </c>
      <c r="B43" t="inlineStr">
        <is>
          <t>Veterans Day (observed)</t>
        </is>
      </c>
    </row>
    <row r="44">
      <c r="A44" s="9" t="n">
        <v>47444</v>
      </c>
      <c r="B44" t="inlineStr">
        <is>
          <t>Thanksgiving Day</t>
        </is>
      </c>
    </row>
    <row r="45">
      <c r="A45" s="9" t="n">
        <v>47477</v>
      </c>
      <c r="B45" t="inlineStr">
        <is>
          <t>Christmas Day</t>
        </is>
      </c>
    </row>
    <row r="46">
      <c r="A46" s="9" t="n">
        <v>47484</v>
      </c>
      <c r="B46" t="inlineStr">
        <is>
          <t>New Year's Day</t>
        </is>
      </c>
    </row>
    <row r="47">
      <c r="A47" s="9" t="n">
        <v>47504</v>
      </c>
      <c r="B47" t="inlineStr">
        <is>
          <t>Martin Luther King Jr. Day</t>
        </is>
      </c>
    </row>
    <row r="48">
      <c r="A48" s="9" t="n">
        <v>47532</v>
      </c>
      <c r="B48" t="inlineStr">
        <is>
          <t>Washington's Birthday</t>
        </is>
      </c>
    </row>
    <row r="49">
      <c r="A49" s="9" t="n">
        <v>47630</v>
      </c>
      <c r="B49" t="inlineStr">
        <is>
          <t>Memorial Day</t>
        </is>
      </c>
    </row>
    <row r="50">
      <c r="A50" s="9" t="n">
        <v>47653</v>
      </c>
      <c r="B50" t="inlineStr">
        <is>
          <t>Juneteenth</t>
        </is>
      </c>
    </row>
    <row r="51">
      <c r="A51" s="9" t="n">
        <v>47668</v>
      </c>
      <c r="B51" t="inlineStr">
        <is>
          <t>Independence Day</t>
        </is>
      </c>
    </row>
    <row r="52">
      <c r="A52" s="9" t="n">
        <v>47728</v>
      </c>
      <c r="B52" t="inlineStr">
        <is>
          <t>Labor Day</t>
        </is>
      </c>
    </row>
    <row r="53">
      <c r="A53" s="9" t="n">
        <v>47770</v>
      </c>
      <c r="B53" t="inlineStr">
        <is>
          <t>Columbus Day</t>
        </is>
      </c>
    </row>
    <row r="54">
      <c r="A54" s="9" t="n">
        <v>47798</v>
      </c>
      <c r="B54" t="inlineStr">
        <is>
          <t>Veterans Day</t>
        </is>
      </c>
    </row>
    <row r="55">
      <c r="A55" s="9" t="n">
        <v>47815</v>
      </c>
      <c r="B55" t="inlineStr">
        <is>
          <t>Thanksgiving Day</t>
        </is>
      </c>
    </row>
    <row r="56">
      <c r="A56" s="9" t="n">
        <v>47842</v>
      </c>
      <c r="B56" t="inlineStr">
        <is>
          <t>Christmas Day</t>
        </is>
      </c>
    </row>
  </sheetData>
  <pageMargins left="0.75" right="0.75" top="1" bottom="1" header="0.5" footer="0.5"/>
</worksheet>
</file>

<file path=xl/worksheets/sheet7.xml><?xml version="1.0" encoding="utf-8"?>
<worksheet xmlns="http://schemas.openxmlformats.org/spreadsheetml/2006/main">
  <sheetPr>
    <tabColor rgb="00DDEBF7"/>
    <outlinePr summaryBelow="1" summaryRight="1"/>
    <pageSetUpPr/>
  </sheetPr>
  <dimension ref="A1:AO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24" customWidth="1" min="5" max="5"/>
    <col width="18" customWidth="1" min="6" max="6"/>
    <col width="16" customWidth="1" min="7" max="7"/>
    <col width="24" customWidth="1" min="8" max="8"/>
    <col width="30" customWidth="1" min="9" max="9"/>
    <col width="8"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34" customWidth="1" min="24" max="24"/>
    <col width="14" customWidth="1" min="25" max="25"/>
    <col width="9" customWidth="1" min="26" max="26"/>
    <col width="7" customWidth="1" min="27" max="27"/>
    <col width="9"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8" customWidth="1" min="39" max="39"/>
    <col width="8" customWidth="1" min="40" max="40"/>
    <col width="8" customWidth="1" min="41" max="41"/>
  </cols>
  <sheetData>
    <row r="1">
      <c r="A1" s="23" t="inlineStr">
        <is>
          <t>drop_id</t>
        </is>
      </c>
      <c r="B1" s="23" t="inlineStr">
        <is>
          <t>drop_date</t>
        </is>
      </c>
      <c r="C1" s="23" t="inlineStr">
        <is>
          <t>delivery_model</t>
        </is>
      </c>
      <c r="D1" s="23" t="inlineStr">
        <is>
          <t>status</t>
        </is>
      </c>
      <c r="E1" s="23" t="inlineStr">
        <is>
          <t>receiving_location</t>
        </is>
      </c>
      <c r="F1" s="23" t="inlineStr">
        <is>
          <t>courier_or_van</t>
        </is>
      </c>
      <c r="G1" s="23" t="inlineStr">
        <is>
          <t>backup_person</t>
        </is>
      </c>
      <c r="H1" s="23" t="inlineStr">
        <is>
          <t>notes</t>
        </is>
      </c>
      <c r="I1" s="24" t="inlineStr">
        <is>
          <t>date_check</t>
        </is>
      </c>
      <c r="J1" s="24" t="inlineStr">
        <is>
          <t>weekday</t>
        </is>
      </c>
      <c r="K1" s="24" t="inlineStr">
        <is>
          <t>t_minus_10</t>
        </is>
      </c>
      <c r="L1" s="24" t="inlineStr">
        <is>
          <t>ship_by_requested</t>
        </is>
      </c>
      <c r="M1" s="24" t="inlineStr">
        <is>
          <t>t_minus_5</t>
        </is>
      </c>
      <c r="N1" s="24" t="inlineStr">
        <is>
          <t>t_minus_3</t>
        </is>
      </c>
      <c r="O1" s="24" t="inlineStr">
        <is>
          <t>t_minus_1</t>
        </is>
      </c>
      <c r="P1" s="24" t="inlineStr">
        <is>
          <t>t_plus_1</t>
        </is>
      </c>
      <c r="Q1" s="24" t="inlineStr">
        <is>
          <t>t_plus_2</t>
        </is>
      </c>
      <c r="R1" s="24" t="inlineStr">
        <is>
          <t>t_plus_4</t>
        </is>
      </c>
      <c r="S1" s="24" t="inlineStr">
        <is>
          <t>t_plus_5</t>
        </is>
      </c>
      <c r="T1" s="24" t="inlineStr">
        <is>
          <t>t_plus_7</t>
        </is>
      </c>
      <c r="U1" s="24" t="inlineStr">
        <is>
          <t>t_plus_10</t>
        </is>
      </c>
      <c r="V1" s="24" t="inlineStr">
        <is>
          <t>t_plus_14</t>
        </is>
      </c>
      <c r="W1" s="24" t="inlineStr">
        <is>
          <t>t_plus_30_cal</t>
        </is>
      </c>
      <c r="X1" s="24" t="inlineStr">
        <is>
          <t>next_step</t>
        </is>
      </c>
      <c r="Y1" s="24" t="inlineStr">
        <is>
          <t>next_step_date</t>
        </is>
      </c>
      <c r="Z1" s="24" t="inlineStr">
        <is>
          <t>campaigns</t>
        </is>
      </c>
      <c r="AA1" s="24" t="inlineStr">
        <is>
          <t>stops</t>
        </is>
      </c>
      <c r="AB1" s="24" t="inlineStr">
        <is>
          <t>units_allocated</t>
        </is>
      </c>
      <c r="AC1" s="24" t="inlineStr">
        <is>
          <t>revenue_usd</t>
        </is>
      </c>
      <c r="AD1" s="24" t="inlineStr">
        <is>
          <t>kit_cost_usd</t>
        </is>
      </c>
      <c r="AE1" s="24" t="inlineStr">
        <is>
          <t>transport_cost_usd</t>
        </is>
      </c>
      <c r="AF1" s="24" t="inlineStr">
        <is>
          <t>other_direct_cost_usd</t>
        </is>
      </c>
      <c r="AG1" s="24" t="inlineStr">
        <is>
          <t>direct_cost_usd</t>
        </is>
      </c>
      <c r="AH1" s="24" t="inlineStr">
        <is>
          <t>cost_per_stop_usd</t>
        </is>
      </c>
      <c r="AI1" s="24" t="inlineStr">
        <is>
          <t>hours</t>
        </is>
      </c>
      <c r="AJ1" s="24" t="inlineStr">
        <is>
          <t>contribution_usd</t>
        </is>
      </c>
      <c r="AK1" s="24" t="inlineStr">
        <is>
          <t>contribution_per_hour_usd</t>
        </is>
      </c>
      <c r="AL1" s="24" t="inlineStr">
        <is>
          <t>gate2_placed_share</t>
        </is>
      </c>
      <c r="AM1" s="24" t="inlineStr">
        <is>
          <t>gate2_min_responses</t>
        </is>
      </c>
      <c r="AN1" s="24" t="inlineStr">
        <is>
          <t>gate2_reports_late</t>
        </is>
      </c>
      <c r="AO1" s="24" t="inlineStr">
        <is>
          <t>gate2_buy_again_yes</t>
        </is>
      </c>
    </row>
    <row r="2">
      <c r="A2" t="inlineStr">
        <is>
          <t>SAMPLE-DRP-001</t>
        </is>
      </c>
      <c r="B2" s="9" t="n">
        <v>46399</v>
      </c>
      <c r="C2" t="inlineStr">
        <is>
          <t>founder</t>
        </is>
      </c>
      <c r="D2" t="inlineStr">
        <is>
          <t>confirmed</t>
        </is>
      </c>
      <c r="E2" t="inlineStr">
        <is>
          <t>SAMPLE receiving address (founder's home, sealed cases)</t>
        </is>
      </c>
      <c r="F2" t="inlineStr">
        <is>
          <t>SAMPLE car service between stops</t>
        </is>
      </c>
      <c r="G2" t="inlineStr">
        <is>
          <t>SAMPLE backup (briefed 2027-01-08)</t>
        </is>
      </c>
      <c r="H2" t="inlineStr">
        <is>
          <t>SAMPLE campaign zero</t>
        </is>
      </c>
      <c r="I2" s="25">
        <f>IF($B2="","",IF(AND(WEEKDAY($B2)&lt;&gt;3,WEEKDAY($B2)&lt;&gt;4),"REFUSED: a "&amp;TEXT($B2,"dddd")&amp;". Tuesday or Wednesday only",IF(COUNTIF(calendar!$A$2:$A$80,$B2)&gt;0,"REFUSED: a federal holiday",IF(COUNTIFS(calendar!$D$2:$D$20,"&lt;="&amp;WORKDAY($B2,4,calendar!$A$2:$A$80),calendar!$E$2:$E$20,"&gt;="&amp;$B2)&gt;0,"REFUSED: the five-day window overlaps a blackout","OK"))))</f>
        <v/>
      </c>
      <c r="J2" s="25">
        <f>IF($B2="","",TEXT($B2,"ddd"))</f>
        <v/>
      </c>
      <c r="K2" s="26">
        <f>IF($I2="OK",WORKDAY($B2,-10,calendar!$A$2:$A$80),"")</f>
        <v/>
      </c>
      <c r="L2" s="26">
        <f>IF($I2="OK",IF(SUMPRODUCT((calendar!$D$2:$D$20&lt;=$M2)*(calendar!$E$2:$E$20&gt;=$K2)*calendar!$D$2:$D$20)=0,$K2,MIN($K2,WORKDAY(SUMPRODUCT((calendar!$D$2:$D$20&lt;=$M2)*(calendar!$E$2:$E$20&gt;=$K2)*calendar!$D$2:$D$20)+5,-1,calendar!$A$2:$A$80))),"")</f>
        <v/>
      </c>
      <c r="M2" s="26">
        <f>IF($I2="OK",WORKDAY($B2,-5,calendar!$A$2:$A$80),"")</f>
        <v/>
      </c>
      <c r="N2" s="26">
        <f>IF($I2="OK",WORKDAY($B2,-3,calendar!$A$2:$A$80),"")</f>
        <v/>
      </c>
      <c r="O2" s="26">
        <f>IF($I2="OK",WORKDAY($B2,-1,calendar!$A$2:$A$80),"")</f>
        <v/>
      </c>
      <c r="P2" s="26">
        <f>IF($I2="OK",WORKDAY($B2,1,calendar!$A$2:$A$80),"")</f>
        <v/>
      </c>
      <c r="Q2" s="26">
        <f>IF($I2="OK",WORKDAY($B2,2,calendar!$A$2:$A$80),"")</f>
        <v/>
      </c>
      <c r="R2" s="26">
        <f>IF($I2="OK",WORKDAY($B2,4,calendar!$A$2:$A$80),"")</f>
        <v/>
      </c>
      <c r="S2" s="26">
        <f>IF($I2="OK",WORKDAY($B2,5,calendar!$A$2:$A$80),"")</f>
        <v/>
      </c>
      <c r="T2" s="26">
        <f>IF($I2="OK",WORKDAY($B2,7,calendar!$A$2:$A$80),"")</f>
        <v/>
      </c>
      <c r="U2" s="26">
        <f>IF($I2="OK",WORKDAY($B2,10,calendar!$A$2:$A$80),"")</f>
        <v/>
      </c>
      <c r="V2" s="26">
        <f>IF($I2="OK",WORKDAY($B2,14,calendar!$A$2:$A$80),"")</f>
        <v/>
      </c>
      <c r="W2" s="26">
        <f>IF($I2="OK",$B2+30,"")</f>
        <v/>
      </c>
      <c r="X2" s="25">
        <f>IF(NOT($I2="OK"),"",IF($K2&gt;=IF(config!$B$37&lt;&gt;"",config!$B$37,TODAY()),"T-10 brand ships; approvals in",IF($M2&gt;=IF(config!$B$37&lt;&gt;"",config!$B$37,TODAY()),"T-5 receive and count",IF($N2&gt;=IF(config!$B$37&lt;&gt;"",config!$B$37,TODAY()),"T-3 print cards, send windows and posts",IF($O2&gt;=IF(config!$B$37&lt;&gt;"",config!$B$37,TODAY()),"T-1 confirm owners, pack",IF($B2&gt;=IF(config!$B$37&lt;&gt;"",config!$B$37,TODAY()),"T drop day",IF($P2&gt;=IF(config!$B$37&lt;&gt;"",config!$B$37,TODAY()),"T+1 placement confirmation",IF($Q2&gt;=IF(config!$B$37&lt;&gt;"",config!$B$37,TODAY()),"T+2 day-3 photos and top-ups",IF($R2&gt;=IF(config!$B$37&lt;&gt;"",config!$B$37,TODAY()),"T+4 close survey, leftovers",IF($S2&gt;=IF(config!$B$37&lt;&gt;"",config!$B$37,TODAY()),"T+5 newsletter list, reserve",IF($T2&gt;=IF(config!$B$37&lt;&gt;"",config!$B$37,TODAY()),"T+7 report and office summaries",IF($U2&gt;=IF(config!$B$37&lt;&gt;"",config!$B$37,TODAY()),"T+10 brand debrief, export actuals",IF($V2&gt;=IF(config!$B$37&lt;&gt;"",config!$B$37,TODAY()),"T+14 return-label deadline",IF($W2&gt;=IF(config!$B$37&lt;&gt;"",config!$B$37,TODAY()),"T+30 redemption check","done"))))))))))))))</f>
        <v/>
      </c>
      <c r="Y2" s="26">
        <f>IF(NOT($I2="OK"),"",IF($K2&gt;=IF(config!$B$37&lt;&gt;"",config!$B$37,TODAY()),$K2,IF($M2&gt;=IF(config!$B$37&lt;&gt;"",config!$B$37,TODAY()),$M2,IF($N2&gt;=IF(config!$B$37&lt;&gt;"",config!$B$37,TODAY()),$N2,IF($O2&gt;=IF(config!$B$37&lt;&gt;"",config!$B$37,TODAY()),$O2,IF($B2&gt;=IF(config!$B$37&lt;&gt;"",config!$B$37,TODAY()),$B2,IF($P2&gt;=IF(config!$B$37&lt;&gt;"",config!$B$37,TODAY()),$P2,IF($Q2&gt;=IF(config!$B$37&lt;&gt;"",config!$B$37,TODAY()),$Q2,IF($R2&gt;=IF(config!$B$37&lt;&gt;"",config!$B$37,TODAY()),$R2,IF($S2&gt;=IF(config!$B$37&lt;&gt;"",config!$B$37,TODAY()),$S2,IF($T2&gt;=IF(config!$B$37&lt;&gt;"",config!$B$37,TODAY()),$T2,IF($U2&gt;=IF(config!$B$37&lt;&gt;"",config!$B$37,TODAY()),$U2,IF($V2&gt;=IF(config!$B$37&lt;&gt;"",config!$B$37,TODAY()),$V2,IF($W2&gt;=IF(config!$B$37&lt;&gt;"",config!$B$37,TODAY()),$W2,""))))))))))))))</f>
        <v/>
      </c>
      <c r="Z2" s="25">
        <f>IF($A2="","",COUNTIF(campaigns!$B$2:$B$51,$A2))</f>
        <v/>
      </c>
      <c r="AA2" s="25">
        <f>IF($A2="","",COUNTIF(stops!$A$2:$A$151,$A2))</f>
        <v/>
      </c>
      <c r="AB2" s="25">
        <f>IF($A2="","",SUMIFS(approvals!$S$2:$S$251,approvals!$H$2:$H$251,$A2,approvals!$P$2:$P$251,"Y"))</f>
        <v/>
      </c>
      <c r="AC2" s="27">
        <f>IF($A2="","",SUMIFS(campaigns!$DB$2:$DB$51,campaigns!$B$2:$B$51,$A2))</f>
        <v/>
      </c>
      <c r="AD2" s="27">
        <f>IF($A2="","",SUMIFS(costs!$E$2:$E$301,costs!$B$2:$B$301,$A2,costs!$D$2:$D$301,"kit"))</f>
        <v/>
      </c>
      <c r="AE2" s="27">
        <f>IF($A2="","",SUMIFS(costs!$E$2:$E$301,costs!$B$2:$B$301,$A2,costs!$D$2:$D$301,"transport"))</f>
        <v/>
      </c>
      <c r="AF2" s="27">
        <f>IF($A2="","",SUMIFS(costs!$E$2:$E$301,costs!$B$2:$B$301,$A2,costs!$D$2:$D$301,"other_direct"))</f>
        <v/>
      </c>
      <c r="AG2" s="27">
        <f>IF($A2="","",$AD2+$AE2+$AF2)</f>
        <v/>
      </c>
      <c r="AH2" s="27">
        <f>IF(OR($A2="",N($AA2)=0),"",ROUND($AG2/$AA2,2))</f>
        <v/>
      </c>
      <c r="AI2" s="28">
        <f>IF($A2="","",SUMIFS(hours!$E$2:$E$1501,hours!$B$2:$B$1501,$A2))</f>
        <v/>
      </c>
      <c r="AJ2" s="27">
        <f>IF($A2="","",$AC2-SUMIFS(campaigns!$DF$2:$DF$51,campaigns!$B$2:$B$51,$A2)-$AG2)</f>
        <v/>
      </c>
      <c r="AK2" s="27">
        <f>IF(OR($A2="",N($AI2)=0),"",ROUND($AJ2/$AI2,2))</f>
        <v/>
      </c>
      <c r="AL2" s="29">
        <f>IF(OR($A2="",SUMIFS(campaigns!$CB$2:$CB$51,campaigns!$B$2:$B$51,$A2)=0),"",SUMIFS(campaigns!$CD$2:$CD$51,campaigns!$B$2:$B$51,$A2)/SUMIFS(campaigns!$CB$2:$CB$51,campaigns!$B$2:$B$51,$A2))</f>
        <v/>
      </c>
      <c r="AM2" s="25">
        <f>IF(OR($A2="",COUNTIFS(approvals!$H$2:$H$251,$A2,approvals!$Q$2:$Q$251,"Y")=0),"",SUMPRODUCT(MIN(approvals!$BB$2:$BB$251+(approvals!$H$2:$H$251&lt;&gt;$A2)*1000000)))</f>
        <v/>
      </c>
      <c r="AN2" s="25">
        <f>IF(OR($A2="",$T2=""),"",COUNTIFS(campaigns!$B$2:$B$51,$A2,campaigns!$DT$2:$DT$51,"late"))</f>
        <v/>
      </c>
      <c r="AO2" s="25">
        <f>IF($A2="","",COUNTIFS(campaigns!$B$2:$B$51,$A2,campaigns!$AV$2:$AV$51,"yes"))</f>
        <v/>
      </c>
    </row>
    <row r="3">
      <c r="A3" t="inlineStr">
        <is>
          <t>SAMPLE-DRP-002</t>
        </is>
      </c>
      <c r="B3" s="9" t="n">
        <v>46427</v>
      </c>
      <c r="C3" t="inlineStr">
        <is>
          <t>courier</t>
        </is>
      </c>
      <c r="D3" t="inlineStr">
        <is>
          <t>confirmed</t>
        </is>
      </c>
      <c r="E3" t="inlineStr">
        <is>
          <t>SAMPLE receiving address (founder's home, sealed cases)</t>
        </is>
      </c>
      <c r="F3" t="inlineStr">
        <is>
          <t>SAMPLE Example Courier, booking SAMPLE-BK-0209, pickup 7:45 am</t>
        </is>
      </c>
      <c r="G3" t="inlineStr">
        <is>
          <t>SAMPLE backup (briefed 2027-02-05)</t>
        </is>
      </c>
      <c r="H3" t="inlineStr">
        <is>
          <t>SAMPLE first standard run</t>
        </is>
      </c>
      <c r="I3" s="25">
        <f>IF($B3="","",IF(AND(WEEKDAY($B3)&lt;&gt;3,WEEKDAY($B3)&lt;&gt;4),"REFUSED: a "&amp;TEXT($B3,"dddd")&amp;". Tuesday or Wednesday only",IF(COUNTIF(calendar!$A$2:$A$80,$B3)&gt;0,"REFUSED: a federal holiday",IF(COUNTIFS(calendar!$D$2:$D$20,"&lt;="&amp;WORKDAY($B3,4,calendar!$A$2:$A$80),calendar!$E$2:$E$20,"&gt;="&amp;$B3)&gt;0,"REFUSED: the five-day window overlaps a blackout","OK"))))</f>
        <v/>
      </c>
      <c r="J3" s="25">
        <f>IF($B3="","",TEXT($B3,"ddd"))</f>
        <v/>
      </c>
      <c r="K3" s="26">
        <f>IF($I3="OK",WORKDAY($B3,-10,calendar!$A$2:$A$80),"")</f>
        <v/>
      </c>
      <c r="L3" s="26">
        <f>IF($I3="OK",IF(SUMPRODUCT((calendar!$D$2:$D$20&lt;=$M3)*(calendar!$E$2:$E$20&gt;=$K3)*calendar!$D$2:$D$20)=0,$K3,MIN($K3,WORKDAY(SUMPRODUCT((calendar!$D$2:$D$20&lt;=$M3)*(calendar!$E$2:$E$20&gt;=$K3)*calendar!$D$2:$D$20)+5,-1,calendar!$A$2:$A$80))),"")</f>
        <v/>
      </c>
      <c r="M3" s="26">
        <f>IF($I3="OK",WORKDAY($B3,-5,calendar!$A$2:$A$80),"")</f>
        <v/>
      </c>
      <c r="N3" s="26">
        <f>IF($I3="OK",WORKDAY($B3,-3,calendar!$A$2:$A$80),"")</f>
        <v/>
      </c>
      <c r="O3" s="26">
        <f>IF($I3="OK",WORKDAY($B3,-1,calendar!$A$2:$A$80),"")</f>
        <v/>
      </c>
      <c r="P3" s="26">
        <f>IF($I3="OK",WORKDAY($B3,1,calendar!$A$2:$A$80),"")</f>
        <v/>
      </c>
      <c r="Q3" s="26">
        <f>IF($I3="OK",WORKDAY($B3,2,calendar!$A$2:$A$80),"")</f>
        <v/>
      </c>
      <c r="R3" s="26">
        <f>IF($I3="OK",WORKDAY($B3,4,calendar!$A$2:$A$80),"")</f>
        <v/>
      </c>
      <c r="S3" s="26">
        <f>IF($I3="OK",WORKDAY($B3,5,calendar!$A$2:$A$80),"")</f>
        <v/>
      </c>
      <c r="T3" s="26">
        <f>IF($I3="OK",WORKDAY($B3,7,calendar!$A$2:$A$80),"")</f>
        <v/>
      </c>
      <c r="U3" s="26">
        <f>IF($I3="OK",WORKDAY($B3,10,calendar!$A$2:$A$80),"")</f>
        <v/>
      </c>
      <c r="V3" s="26">
        <f>IF($I3="OK",WORKDAY($B3,14,calendar!$A$2:$A$80),"")</f>
        <v/>
      </c>
      <c r="W3" s="26">
        <f>IF($I3="OK",$B3+30,"")</f>
        <v/>
      </c>
      <c r="X3" s="25">
        <f>IF(NOT($I3="OK"),"",IF($K3&gt;=IF(config!$B$37&lt;&gt;"",config!$B$37,TODAY()),"T-10 brand ships; approvals in",IF($M3&gt;=IF(config!$B$37&lt;&gt;"",config!$B$37,TODAY()),"T-5 receive and count",IF($N3&gt;=IF(config!$B$37&lt;&gt;"",config!$B$37,TODAY()),"T-3 print cards, send windows and posts",IF($O3&gt;=IF(config!$B$37&lt;&gt;"",config!$B$37,TODAY()),"T-1 confirm owners, pack",IF($B3&gt;=IF(config!$B$37&lt;&gt;"",config!$B$37,TODAY()),"T drop day",IF($P3&gt;=IF(config!$B$37&lt;&gt;"",config!$B$37,TODAY()),"T+1 placement confirmation",IF($Q3&gt;=IF(config!$B$37&lt;&gt;"",config!$B$37,TODAY()),"T+2 day-3 photos and top-ups",IF($R3&gt;=IF(config!$B$37&lt;&gt;"",config!$B$37,TODAY()),"T+4 close survey, leftovers",IF($S3&gt;=IF(config!$B$37&lt;&gt;"",config!$B$37,TODAY()),"T+5 newsletter list, reserve",IF($T3&gt;=IF(config!$B$37&lt;&gt;"",config!$B$37,TODAY()),"T+7 report and office summaries",IF($U3&gt;=IF(config!$B$37&lt;&gt;"",config!$B$37,TODAY()),"T+10 brand debrief, export actuals",IF($V3&gt;=IF(config!$B$37&lt;&gt;"",config!$B$37,TODAY()),"T+14 return-label deadline",IF($W3&gt;=IF(config!$B$37&lt;&gt;"",config!$B$37,TODAY()),"T+30 redemption check","done"))))))))))))))</f>
        <v/>
      </c>
      <c r="Y3" s="26">
        <f>IF(NOT($I3="OK"),"",IF($K3&gt;=IF(config!$B$37&lt;&gt;"",config!$B$37,TODAY()),$K3,IF($M3&gt;=IF(config!$B$37&lt;&gt;"",config!$B$37,TODAY()),$M3,IF($N3&gt;=IF(config!$B$37&lt;&gt;"",config!$B$37,TODAY()),$N3,IF($O3&gt;=IF(config!$B$37&lt;&gt;"",config!$B$37,TODAY()),$O3,IF($B3&gt;=IF(config!$B$37&lt;&gt;"",config!$B$37,TODAY()),$B3,IF($P3&gt;=IF(config!$B$37&lt;&gt;"",config!$B$37,TODAY()),$P3,IF($Q3&gt;=IF(config!$B$37&lt;&gt;"",config!$B$37,TODAY()),$Q3,IF($R3&gt;=IF(config!$B$37&lt;&gt;"",config!$B$37,TODAY()),$R3,IF($S3&gt;=IF(config!$B$37&lt;&gt;"",config!$B$37,TODAY()),$S3,IF($T3&gt;=IF(config!$B$37&lt;&gt;"",config!$B$37,TODAY()),$T3,IF($U3&gt;=IF(config!$B$37&lt;&gt;"",config!$B$37,TODAY()),$U3,IF($V3&gt;=IF(config!$B$37&lt;&gt;"",config!$B$37,TODAY()),$V3,IF($W3&gt;=IF(config!$B$37&lt;&gt;"",config!$B$37,TODAY()),$W3,""))))))))))))))</f>
        <v/>
      </c>
      <c r="Z3" s="25">
        <f>IF($A3="","",COUNTIF(campaigns!$B$2:$B$51,$A3))</f>
        <v/>
      </c>
      <c r="AA3" s="25">
        <f>IF($A3="","",COUNTIF(stops!$A$2:$A$151,$A3))</f>
        <v/>
      </c>
      <c r="AB3" s="25">
        <f>IF($A3="","",SUMIFS(approvals!$S$2:$S$251,approvals!$H$2:$H$251,$A3,approvals!$P$2:$P$251,"Y"))</f>
        <v/>
      </c>
      <c r="AC3" s="27">
        <f>IF($A3="","",SUMIFS(campaigns!$DB$2:$DB$51,campaigns!$B$2:$B$51,$A3))</f>
        <v/>
      </c>
      <c r="AD3" s="27">
        <f>IF($A3="","",SUMIFS(costs!$E$2:$E$301,costs!$B$2:$B$301,$A3,costs!$D$2:$D$301,"kit"))</f>
        <v/>
      </c>
      <c r="AE3" s="27">
        <f>IF($A3="","",SUMIFS(costs!$E$2:$E$301,costs!$B$2:$B$301,$A3,costs!$D$2:$D$301,"transport"))</f>
        <v/>
      </c>
      <c r="AF3" s="27">
        <f>IF($A3="","",SUMIFS(costs!$E$2:$E$301,costs!$B$2:$B$301,$A3,costs!$D$2:$D$301,"other_direct"))</f>
        <v/>
      </c>
      <c r="AG3" s="27">
        <f>IF($A3="","",$AD3+$AE3+$AF3)</f>
        <v/>
      </c>
      <c r="AH3" s="27">
        <f>IF(OR($A3="",N($AA3)=0),"",ROUND($AG3/$AA3,2))</f>
        <v/>
      </c>
      <c r="AI3" s="28">
        <f>IF($A3="","",SUMIFS(hours!$E$2:$E$1501,hours!$B$2:$B$1501,$A3))</f>
        <v/>
      </c>
      <c r="AJ3" s="27">
        <f>IF($A3="","",$AC3-SUMIFS(campaigns!$DF$2:$DF$51,campaigns!$B$2:$B$51,$A3)-$AG3)</f>
        <v/>
      </c>
      <c r="AK3" s="27">
        <f>IF(OR($A3="",N($AI3)=0),"",ROUND($AJ3/$AI3,2))</f>
        <v/>
      </c>
      <c r="AL3" s="29">
        <f>IF(OR($A3="",SUMIFS(campaigns!$CB$2:$CB$51,campaigns!$B$2:$B$51,$A3)=0),"",SUMIFS(campaigns!$CD$2:$CD$51,campaigns!$B$2:$B$51,$A3)/SUMIFS(campaigns!$CB$2:$CB$51,campaigns!$B$2:$B$51,$A3))</f>
        <v/>
      </c>
      <c r="AM3" s="25">
        <f>IF(OR($A3="",COUNTIFS(approvals!$H$2:$H$251,$A3,approvals!$Q$2:$Q$251,"Y")=0),"",SUMPRODUCT(MIN(approvals!$BB$2:$BB$251+(approvals!$H$2:$H$251&lt;&gt;$A3)*1000000)))</f>
        <v/>
      </c>
      <c r="AN3" s="25">
        <f>IF(OR($A3="",$T3=""),"",COUNTIFS(campaigns!$B$2:$B$51,$A3,campaigns!$DT$2:$DT$51,"late"))</f>
        <v/>
      </c>
      <c r="AO3" s="25">
        <f>IF($A3="","",COUNTIFS(campaigns!$B$2:$B$51,$A3,campaigns!$AV$2:$AV$51,"yes"))</f>
        <v/>
      </c>
    </row>
    <row r="4">
      <c r="B4" s="9" t="n"/>
      <c r="I4" s="25">
        <f>IF($B4="","",IF(AND(WEEKDAY($B4)&lt;&gt;3,WEEKDAY($B4)&lt;&gt;4),"REFUSED: a "&amp;TEXT($B4,"dddd")&amp;". Tuesday or Wednesday only",IF(COUNTIF(calendar!$A$2:$A$80,$B4)&gt;0,"REFUSED: a federal holiday",IF(COUNTIFS(calendar!$D$2:$D$20,"&lt;="&amp;WORKDAY($B4,4,calendar!$A$2:$A$80),calendar!$E$2:$E$20,"&gt;="&amp;$B4)&gt;0,"REFUSED: the five-day window overlaps a blackout","OK"))))</f>
        <v/>
      </c>
      <c r="J4" s="25">
        <f>IF($B4="","",TEXT($B4,"ddd"))</f>
        <v/>
      </c>
      <c r="K4" s="26">
        <f>IF($I4="OK",WORKDAY($B4,-10,calendar!$A$2:$A$80),"")</f>
        <v/>
      </c>
      <c r="L4" s="26">
        <f>IF($I4="OK",IF(SUMPRODUCT((calendar!$D$2:$D$20&lt;=$M4)*(calendar!$E$2:$E$20&gt;=$K4)*calendar!$D$2:$D$20)=0,$K4,MIN($K4,WORKDAY(SUMPRODUCT((calendar!$D$2:$D$20&lt;=$M4)*(calendar!$E$2:$E$20&gt;=$K4)*calendar!$D$2:$D$20)+5,-1,calendar!$A$2:$A$80))),"")</f>
        <v/>
      </c>
      <c r="M4" s="26">
        <f>IF($I4="OK",WORKDAY($B4,-5,calendar!$A$2:$A$80),"")</f>
        <v/>
      </c>
      <c r="N4" s="26">
        <f>IF($I4="OK",WORKDAY($B4,-3,calendar!$A$2:$A$80),"")</f>
        <v/>
      </c>
      <c r="O4" s="26">
        <f>IF($I4="OK",WORKDAY($B4,-1,calendar!$A$2:$A$80),"")</f>
        <v/>
      </c>
      <c r="P4" s="26">
        <f>IF($I4="OK",WORKDAY($B4,1,calendar!$A$2:$A$80),"")</f>
        <v/>
      </c>
      <c r="Q4" s="26">
        <f>IF($I4="OK",WORKDAY($B4,2,calendar!$A$2:$A$80),"")</f>
        <v/>
      </c>
      <c r="R4" s="26">
        <f>IF($I4="OK",WORKDAY($B4,4,calendar!$A$2:$A$80),"")</f>
        <v/>
      </c>
      <c r="S4" s="26">
        <f>IF($I4="OK",WORKDAY($B4,5,calendar!$A$2:$A$80),"")</f>
        <v/>
      </c>
      <c r="T4" s="26">
        <f>IF($I4="OK",WORKDAY($B4,7,calendar!$A$2:$A$80),"")</f>
        <v/>
      </c>
      <c r="U4" s="26">
        <f>IF($I4="OK",WORKDAY($B4,10,calendar!$A$2:$A$80),"")</f>
        <v/>
      </c>
      <c r="V4" s="26">
        <f>IF($I4="OK",WORKDAY($B4,14,calendar!$A$2:$A$80),"")</f>
        <v/>
      </c>
      <c r="W4" s="26">
        <f>IF($I4="OK",$B4+30,"")</f>
        <v/>
      </c>
      <c r="X4" s="25">
        <f>IF(NOT($I4="OK"),"",IF($K4&gt;=IF(config!$B$37&lt;&gt;"",config!$B$37,TODAY()),"T-10 brand ships; approvals in",IF($M4&gt;=IF(config!$B$37&lt;&gt;"",config!$B$37,TODAY()),"T-5 receive and count",IF($N4&gt;=IF(config!$B$37&lt;&gt;"",config!$B$37,TODAY()),"T-3 print cards, send windows and posts",IF($O4&gt;=IF(config!$B$37&lt;&gt;"",config!$B$37,TODAY()),"T-1 confirm owners, pack",IF($B4&gt;=IF(config!$B$37&lt;&gt;"",config!$B$37,TODAY()),"T drop day",IF($P4&gt;=IF(config!$B$37&lt;&gt;"",config!$B$37,TODAY()),"T+1 placement confirmation",IF($Q4&gt;=IF(config!$B$37&lt;&gt;"",config!$B$37,TODAY()),"T+2 day-3 photos and top-ups",IF($R4&gt;=IF(config!$B$37&lt;&gt;"",config!$B$37,TODAY()),"T+4 close survey, leftovers",IF($S4&gt;=IF(config!$B$37&lt;&gt;"",config!$B$37,TODAY()),"T+5 newsletter list, reserve",IF($T4&gt;=IF(config!$B$37&lt;&gt;"",config!$B$37,TODAY()),"T+7 report and office summaries",IF($U4&gt;=IF(config!$B$37&lt;&gt;"",config!$B$37,TODAY()),"T+10 brand debrief, export actuals",IF($V4&gt;=IF(config!$B$37&lt;&gt;"",config!$B$37,TODAY()),"T+14 return-label deadline",IF($W4&gt;=IF(config!$B$37&lt;&gt;"",config!$B$37,TODAY()),"T+30 redemption check","done"))))))))))))))</f>
        <v/>
      </c>
      <c r="Y4" s="26">
        <f>IF(NOT($I4="OK"),"",IF($K4&gt;=IF(config!$B$37&lt;&gt;"",config!$B$37,TODAY()),$K4,IF($M4&gt;=IF(config!$B$37&lt;&gt;"",config!$B$37,TODAY()),$M4,IF($N4&gt;=IF(config!$B$37&lt;&gt;"",config!$B$37,TODAY()),$N4,IF($O4&gt;=IF(config!$B$37&lt;&gt;"",config!$B$37,TODAY()),$O4,IF($B4&gt;=IF(config!$B$37&lt;&gt;"",config!$B$37,TODAY()),$B4,IF($P4&gt;=IF(config!$B$37&lt;&gt;"",config!$B$37,TODAY()),$P4,IF($Q4&gt;=IF(config!$B$37&lt;&gt;"",config!$B$37,TODAY()),$Q4,IF($R4&gt;=IF(config!$B$37&lt;&gt;"",config!$B$37,TODAY()),$R4,IF($S4&gt;=IF(config!$B$37&lt;&gt;"",config!$B$37,TODAY()),$S4,IF($T4&gt;=IF(config!$B$37&lt;&gt;"",config!$B$37,TODAY()),$T4,IF($U4&gt;=IF(config!$B$37&lt;&gt;"",config!$B$37,TODAY()),$U4,IF($V4&gt;=IF(config!$B$37&lt;&gt;"",config!$B$37,TODAY()),$V4,IF($W4&gt;=IF(config!$B$37&lt;&gt;"",config!$B$37,TODAY()),$W4,""))))))))))))))</f>
        <v/>
      </c>
      <c r="Z4" s="25">
        <f>IF($A4="","",COUNTIF(campaigns!$B$2:$B$51,$A4))</f>
        <v/>
      </c>
      <c r="AA4" s="25">
        <f>IF($A4="","",COUNTIF(stops!$A$2:$A$151,$A4))</f>
        <v/>
      </c>
      <c r="AB4" s="25">
        <f>IF($A4="","",SUMIFS(approvals!$S$2:$S$251,approvals!$H$2:$H$251,$A4,approvals!$P$2:$P$251,"Y"))</f>
        <v/>
      </c>
      <c r="AC4" s="27">
        <f>IF($A4="","",SUMIFS(campaigns!$DB$2:$DB$51,campaigns!$B$2:$B$51,$A4))</f>
        <v/>
      </c>
      <c r="AD4" s="27">
        <f>IF($A4="","",SUMIFS(costs!$E$2:$E$301,costs!$B$2:$B$301,$A4,costs!$D$2:$D$301,"kit"))</f>
        <v/>
      </c>
      <c r="AE4" s="27">
        <f>IF($A4="","",SUMIFS(costs!$E$2:$E$301,costs!$B$2:$B$301,$A4,costs!$D$2:$D$301,"transport"))</f>
        <v/>
      </c>
      <c r="AF4" s="27">
        <f>IF($A4="","",SUMIFS(costs!$E$2:$E$301,costs!$B$2:$B$301,$A4,costs!$D$2:$D$301,"other_direct"))</f>
        <v/>
      </c>
      <c r="AG4" s="27">
        <f>IF($A4="","",$AD4+$AE4+$AF4)</f>
        <v/>
      </c>
      <c r="AH4" s="27">
        <f>IF(OR($A4="",N($AA4)=0),"",ROUND($AG4/$AA4,2))</f>
        <v/>
      </c>
      <c r="AI4" s="28">
        <f>IF($A4="","",SUMIFS(hours!$E$2:$E$1501,hours!$B$2:$B$1501,$A4))</f>
        <v/>
      </c>
      <c r="AJ4" s="27">
        <f>IF($A4="","",$AC4-SUMIFS(campaigns!$DF$2:$DF$51,campaigns!$B$2:$B$51,$A4)-$AG4)</f>
        <v/>
      </c>
      <c r="AK4" s="27">
        <f>IF(OR($A4="",N($AI4)=0),"",ROUND($AJ4/$AI4,2))</f>
        <v/>
      </c>
      <c r="AL4" s="29">
        <f>IF(OR($A4="",SUMIFS(campaigns!$CB$2:$CB$51,campaigns!$B$2:$B$51,$A4)=0),"",SUMIFS(campaigns!$CD$2:$CD$51,campaigns!$B$2:$B$51,$A4)/SUMIFS(campaigns!$CB$2:$CB$51,campaigns!$B$2:$B$51,$A4))</f>
        <v/>
      </c>
      <c r="AM4" s="25">
        <f>IF(OR($A4="",COUNTIFS(approvals!$H$2:$H$251,$A4,approvals!$Q$2:$Q$251,"Y")=0),"",SUMPRODUCT(MIN(approvals!$BB$2:$BB$251+(approvals!$H$2:$H$251&lt;&gt;$A4)*1000000)))</f>
        <v/>
      </c>
      <c r="AN4" s="25">
        <f>IF(OR($A4="",$T4=""),"",COUNTIFS(campaigns!$B$2:$B$51,$A4,campaigns!$DT$2:$DT$51,"late"))</f>
        <v/>
      </c>
      <c r="AO4" s="25">
        <f>IF($A4="","",COUNTIFS(campaigns!$B$2:$B$51,$A4,campaigns!$AV$2:$AV$51,"yes"))</f>
        <v/>
      </c>
    </row>
    <row r="5">
      <c r="B5" s="9" t="n"/>
      <c r="I5" s="25">
        <f>IF($B5="","",IF(AND(WEEKDAY($B5)&lt;&gt;3,WEEKDAY($B5)&lt;&gt;4),"REFUSED: a "&amp;TEXT($B5,"dddd")&amp;". Tuesday or Wednesday only",IF(COUNTIF(calendar!$A$2:$A$80,$B5)&gt;0,"REFUSED: a federal holiday",IF(COUNTIFS(calendar!$D$2:$D$20,"&lt;="&amp;WORKDAY($B5,4,calendar!$A$2:$A$80),calendar!$E$2:$E$20,"&gt;="&amp;$B5)&gt;0,"REFUSED: the five-day window overlaps a blackout","OK"))))</f>
        <v/>
      </c>
      <c r="J5" s="25">
        <f>IF($B5="","",TEXT($B5,"ddd"))</f>
        <v/>
      </c>
      <c r="K5" s="26">
        <f>IF($I5="OK",WORKDAY($B5,-10,calendar!$A$2:$A$80),"")</f>
        <v/>
      </c>
      <c r="L5" s="26">
        <f>IF($I5="OK",IF(SUMPRODUCT((calendar!$D$2:$D$20&lt;=$M5)*(calendar!$E$2:$E$20&gt;=$K5)*calendar!$D$2:$D$20)=0,$K5,MIN($K5,WORKDAY(SUMPRODUCT((calendar!$D$2:$D$20&lt;=$M5)*(calendar!$E$2:$E$20&gt;=$K5)*calendar!$D$2:$D$20)+5,-1,calendar!$A$2:$A$80))),"")</f>
        <v/>
      </c>
      <c r="M5" s="26">
        <f>IF($I5="OK",WORKDAY($B5,-5,calendar!$A$2:$A$80),"")</f>
        <v/>
      </c>
      <c r="N5" s="26">
        <f>IF($I5="OK",WORKDAY($B5,-3,calendar!$A$2:$A$80),"")</f>
        <v/>
      </c>
      <c r="O5" s="26">
        <f>IF($I5="OK",WORKDAY($B5,-1,calendar!$A$2:$A$80),"")</f>
        <v/>
      </c>
      <c r="P5" s="26">
        <f>IF($I5="OK",WORKDAY($B5,1,calendar!$A$2:$A$80),"")</f>
        <v/>
      </c>
      <c r="Q5" s="26">
        <f>IF($I5="OK",WORKDAY($B5,2,calendar!$A$2:$A$80),"")</f>
        <v/>
      </c>
      <c r="R5" s="26">
        <f>IF($I5="OK",WORKDAY($B5,4,calendar!$A$2:$A$80),"")</f>
        <v/>
      </c>
      <c r="S5" s="26">
        <f>IF($I5="OK",WORKDAY($B5,5,calendar!$A$2:$A$80),"")</f>
        <v/>
      </c>
      <c r="T5" s="26">
        <f>IF($I5="OK",WORKDAY($B5,7,calendar!$A$2:$A$80),"")</f>
        <v/>
      </c>
      <c r="U5" s="26">
        <f>IF($I5="OK",WORKDAY($B5,10,calendar!$A$2:$A$80),"")</f>
        <v/>
      </c>
      <c r="V5" s="26">
        <f>IF($I5="OK",WORKDAY($B5,14,calendar!$A$2:$A$80),"")</f>
        <v/>
      </c>
      <c r="W5" s="26">
        <f>IF($I5="OK",$B5+30,"")</f>
        <v/>
      </c>
      <c r="X5" s="25">
        <f>IF(NOT($I5="OK"),"",IF($K5&gt;=IF(config!$B$37&lt;&gt;"",config!$B$37,TODAY()),"T-10 brand ships; approvals in",IF($M5&gt;=IF(config!$B$37&lt;&gt;"",config!$B$37,TODAY()),"T-5 receive and count",IF($N5&gt;=IF(config!$B$37&lt;&gt;"",config!$B$37,TODAY()),"T-3 print cards, send windows and posts",IF($O5&gt;=IF(config!$B$37&lt;&gt;"",config!$B$37,TODAY()),"T-1 confirm owners, pack",IF($B5&gt;=IF(config!$B$37&lt;&gt;"",config!$B$37,TODAY()),"T drop day",IF($P5&gt;=IF(config!$B$37&lt;&gt;"",config!$B$37,TODAY()),"T+1 placement confirmation",IF($Q5&gt;=IF(config!$B$37&lt;&gt;"",config!$B$37,TODAY()),"T+2 day-3 photos and top-ups",IF($R5&gt;=IF(config!$B$37&lt;&gt;"",config!$B$37,TODAY()),"T+4 close survey, leftovers",IF($S5&gt;=IF(config!$B$37&lt;&gt;"",config!$B$37,TODAY()),"T+5 newsletter list, reserve",IF($T5&gt;=IF(config!$B$37&lt;&gt;"",config!$B$37,TODAY()),"T+7 report and office summaries",IF($U5&gt;=IF(config!$B$37&lt;&gt;"",config!$B$37,TODAY()),"T+10 brand debrief, export actuals",IF($V5&gt;=IF(config!$B$37&lt;&gt;"",config!$B$37,TODAY()),"T+14 return-label deadline",IF($W5&gt;=IF(config!$B$37&lt;&gt;"",config!$B$37,TODAY()),"T+30 redemption check","done"))))))))))))))</f>
        <v/>
      </c>
      <c r="Y5" s="26">
        <f>IF(NOT($I5="OK"),"",IF($K5&gt;=IF(config!$B$37&lt;&gt;"",config!$B$37,TODAY()),$K5,IF($M5&gt;=IF(config!$B$37&lt;&gt;"",config!$B$37,TODAY()),$M5,IF($N5&gt;=IF(config!$B$37&lt;&gt;"",config!$B$37,TODAY()),$N5,IF($O5&gt;=IF(config!$B$37&lt;&gt;"",config!$B$37,TODAY()),$O5,IF($B5&gt;=IF(config!$B$37&lt;&gt;"",config!$B$37,TODAY()),$B5,IF($P5&gt;=IF(config!$B$37&lt;&gt;"",config!$B$37,TODAY()),$P5,IF($Q5&gt;=IF(config!$B$37&lt;&gt;"",config!$B$37,TODAY()),$Q5,IF($R5&gt;=IF(config!$B$37&lt;&gt;"",config!$B$37,TODAY()),$R5,IF($S5&gt;=IF(config!$B$37&lt;&gt;"",config!$B$37,TODAY()),$S5,IF($T5&gt;=IF(config!$B$37&lt;&gt;"",config!$B$37,TODAY()),$T5,IF($U5&gt;=IF(config!$B$37&lt;&gt;"",config!$B$37,TODAY()),$U5,IF($V5&gt;=IF(config!$B$37&lt;&gt;"",config!$B$37,TODAY()),$V5,IF($W5&gt;=IF(config!$B$37&lt;&gt;"",config!$B$37,TODAY()),$W5,""))))))))))))))</f>
        <v/>
      </c>
      <c r="Z5" s="25">
        <f>IF($A5="","",COUNTIF(campaigns!$B$2:$B$51,$A5))</f>
        <v/>
      </c>
      <c r="AA5" s="25">
        <f>IF($A5="","",COUNTIF(stops!$A$2:$A$151,$A5))</f>
        <v/>
      </c>
      <c r="AB5" s="25">
        <f>IF($A5="","",SUMIFS(approvals!$S$2:$S$251,approvals!$H$2:$H$251,$A5,approvals!$P$2:$P$251,"Y"))</f>
        <v/>
      </c>
      <c r="AC5" s="27">
        <f>IF($A5="","",SUMIFS(campaigns!$DB$2:$DB$51,campaigns!$B$2:$B$51,$A5))</f>
        <v/>
      </c>
      <c r="AD5" s="27">
        <f>IF($A5="","",SUMIFS(costs!$E$2:$E$301,costs!$B$2:$B$301,$A5,costs!$D$2:$D$301,"kit"))</f>
        <v/>
      </c>
      <c r="AE5" s="27">
        <f>IF($A5="","",SUMIFS(costs!$E$2:$E$301,costs!$B$2:$B$301,$A5,costs!$D$2:$D$301,"transport"))</f>
        <v/>
      </c>
      <c r="AF5" s="27">
        <f>IF($A5="","",SUMIFS(costs!$E$2:$E$301,costs!$B$2:$B$301,$A5,costs!$D$2:$D$301,"other_direct"))</f>
        <v/>
      </c>
      <c r="AG5" s="27">
        <f>IF($A5="","",$AD5+$AE5+$AF5)</f>
        <v/>
      </c>
      <c r="AH5" s="27">
        <f>IF(OR($A5="",N($AA5)=0),"",ROUND($AG5/$AA5,2))</f>
        <v/>
      </c>
      <c r="AI5" s="28">
        <f>IF($A5="","",SUMIFS(hours!$E$2:$E$1501,hours!$B$2:$B$1501,$A5))</f>
        <v/>
      </c>
      <c r="AJ5" s="27">
        <f>IF($A5="","",$AC5-SUMIFS(campaigns!$DF$2:$DF$51,campaigns!$B$2:$B$51,$A5)-$AG5)</f>
        <v/>
      </c>
      <c r="AK5" s="27">
        <f>IF(OR($A5="",N($AI5)=0),"",ROUND($AJ5/$AI5,2))</f>
        <v/>
      </c>
      <c r="AL5" s="29">
        <f>IF(OR($A5="",SUMIFS(campaigns!$CB$2:$CB$51,campaigns!$B$2:$B$51,$A5)=0),"",SUMIFS(campaigns!$CD$2:$CD$51,campaigns!$B$2:$B$51,$A5)/SUMIFS(campaigns!$CB$2:$CB$51,campaigns!$B$2:$B$51,$A5))</f>
        <v/>
      </c>
      <c r="AM5" s="25">
        <f>IF(OR($A5="",COUNTIFS(approvals!$H$2:$H$251,$A5,approvals!$Q$2:$Q$251,"Y")=0),"",SUMPRODUCT(MIN(approvals!$BB$2:$BB$251+(approvals!$H$2:$H$251&lt;&gt;$A5)*1000000)))</f>
        <v/>
      </c>
      <c r="AN5" s="25">
        <f>IF(OR($A5="",$T5=""),"",COUNTIFS(campaigns!$B$2:$B$51,$A5,campaigns!$DT$2:$DT$51,"late"))</f>
        <v/>
      </c>
      <c r="AO5" s="25">
        <f>IF($A5="","",COUNTIFS(campaigns!$B$2:$B$51,$A5,campaigns!$AV$2:$AV$51,"yes"))</f>
        <v/>
      </c>
    </row>
    <row r="6">
      <c r="B6" s="9" t="n"/>
      <c r="I6" s="25">
        <f>IF($B6="","",IF(AND(WEEKDAY($B6)&lt;&gt;3,WEEKDAY($B6)&lt;&gt;4),"REFUSED: a "&amp;TEXT($B6,"dddd")&amp;". Tuesday or Wednesday only",IF(COUNTIF(calendar!$A$2:$A$80,$B6)&gt;0,"REFUSED: a federal holiday",IF(COUNTIFS(calendar!$D$2:$D$20,"&lt;="&amp;WORKDAY($B6,4,calendar!$A$2:$A$80),calendar!$E$2:$E$20,"&gt;="&amp;$B6)&gt;0,"REFUSED: the five-day window overlaps a blackout","OK"))))</f>
        <v/>
      </c>
      <c r="J6" s="25">
        <f>IF($B6="","",TEXT($B6,"ddd"))</f>
        <v/>
      </c>
      <c r="K6" s="26">
        <f>IF($I6="OK",WORKDAY($B6,-10,calendar!$A$2:$A$80),"")</f>
        <v/>
      </c>
      <c r="L6" s="26">
        <f>IF($I6="OK",IF(SUMPRODUCT((calendar!$D$2:$D$20&lt;=$M6)*(calendar!$E$2:$E$20&gt;=$K6)*calendar!$D$2:$D$20)=0,$K6,MIN($K6,WORKDAY(SUMPRODUCT((calendar!$D$2:$D$20&lt;=$M6)*(calendar!$E$2:$E$20&gt;=$K6)*calendar!$D$2:$D$20)+5,-1,calendar!$A$2:$A$80))),"")</f>
        <v/>
      </c>
      <c r="M6" s="26">
        <f>IF($I6="OK",WORKDAY($B6,-5,calendar!$A$2:$A$80),"")</f>
        <v/>
      </c>
      <c r="N6" s="26">
        <f>IF($I6="OK",WORKDAY($B6,-3,calendar!$A$2:$A$80),"")</f>
        <v/>
      </c>
      <c r="O6" s="26">
        <f>IF($I6="OK",WORKDAY($B6,-1,calendar!$A$2:$A$80),"")</f>
        <v/>
      </c>
      <c r="P6" s="26">
        <f>IF($I6="OK",WORKDAY($B6,1,calendar!$A$2:$A$80),"")</f>
        <v/>
      </c>
      <c r="Q6" s="26">
        <f>IF($I6="OK",WORKDAY($B6,2,calendar!$A$2:$A$80),"")</f>
        <v/>
      </c>
      <c r="R6" s="26">
        <f>IF($I6="OK",WORKDAY($B6,4,calendar!$A$2:$A$80),"")</f>
        <v/>
      </c>
      <c r="S6" s="26">
        <f>IF($I6="OK",WORKDAY($B6,5,calendar!$A$2:$A$80),"")</f>
        <v/>
      </c>
      <c r="T6" s="26">
        <f>IF($I6="OK",WORKDAY($B6,7,calendar!$A$2:$A$80),"")</f>
        <v/>
      </c>
      <c r="U6" s="26">
        <f>IF($I6="OK",WORKDAY($B6,10,calendar!$A$2:$A$80),"")</f>
        <v/>
      </c>
      <c r="V6" s="26">
        <f>IF($I6="OK",WORKDAY($B6,14,calendar!$A$2:$A$80),"")</f>
        <v/>
      </c>
      <c r="W6" s="26">
        <f>IF($I6="OK",$B6+30,"")</f>
        <v/>
      </c>
      <c r="X6" s="25">
        <f>IF(NOT($I6="OK"),"",IF($K6&gt;=IF(config!$B$37&lt;&gt;"",config!$B$37,TODAY()),"T-10 brand ships; approvals in",IF($M6&gt;=IF(config!$B$37&lt;&gt;"",config!$B$37,TODAY()),"T-5 receive and count",IF($N6&gt;=IF(config!$B$37&lt;&gt;"",config!$B$37,TODAY()),"T-3 print cards, send windows and posts",IF($O6&gt;=IF(config!$B$37&lt;&gt;"",config!$B$37,TODAY()),"T-1 confirm owners, pack",IF($B6&gt;=IF(config!$B$37&lt;&gt;"",config!$B$37,TODAY()),"T drop day",IF($P6&gt;=IF(config!$B$37&lt;&gt;"",config!$B$37,TODAY()),"T+1 placement confirmation",IF($Q6&gt;=IF(config!$B$37&lt;&gt;"",config!$B$37,TODAY()),"T+2 day-3 photos and top-ups",IF($R6&gt;=IF(config!$B$37&lt;&gt;"",config!$B$37,TODAY()),"T+4 close survey, leftovers",IF($S6&gt;=IF(config!$B$37&lt;&gt;"",config!$B$37,TODAY()),"T+5 newsletter list, reserve",IF($T6&gt;=IF(config!$B$37&lt;&gt;"",config!$B$37,TODAY()),"T+7 report and office summaries",IF($U6&gt;=IF(config!$B$37&lt;&gt;"",config!$B$37,TODAY()),"T+10 brand debrief, export actuals",IF($V6&gt;=IF(config!$B$37&lt;&gt;"",config!$B$37,TODAY()),"T+14 return-label deadline",IF($W6&gt;=IF(config!$B$37&lt;&gt;"",config!$B$37,TODAY()),"T+30 redemption check","done"))))))))))))))</f>
        <v/>
      </c>
      <c r="Y6" s="26">
        <f>IF(NOT($I6="OK"),"",IF($K6&gt;=IF(config!$B$37&lt;&gt;"",config!$B$37,TODAY()),$K6,IF($M6&gt;=IF(config!$B$37&lt;&gt;"",config!$B$37,TODAY()),$M6,IF($N6&gt;=IF(config!$B$37&lt;&gt;"",config!$B$37,TODAY()),$N6,IF($O6&gt;=IF(config!$B$37&lt;&gt;"",config!$B$37,TODAY()),$O6,IF($B6&gt;=IF(config!$B$37&lt;&gt;"",config!$B$37,TODAY()),$B6,IF($P6&gt;=IF(config!$B$37&lt;&gt;"",config!$B$37,TODAY()),$P6,IF($Q6&gt;=IF(config!$B$37&lt;&gt;"",config!$B$37,TODAY()),$Q6,IF($R6&gt;=IF(config!$B$37&lt;&gt;"",config!$B$37,TODAY()),$R6,IF($S6&gt;=IF(config!$B$37&lt;&gt;"",config!$B$37,TODAY()),$S6,IF($T6&gt;=IF(config!$B$37&lt;&gt;"",config!$B$37,TODAY()),$T6,IF($U6&gt;=IF(config!$B$37&lt;&gt;"",config!$B$37,TODAY()),$U6,IF($V6&gt;=IF(config!$B$37&lt;&gt;"",config!$B$37,TODAY()),$V6,IF($W6&gt;=IF(config!$B$37&lt;&gt;"",config!$B$37,TODAY()),$W6,""))))))))))))))</f>
        <v/>
      </c>
      <c r="Z6" s="25">
        <f>IF($A6="","",COUNTIF(campaigns!$B$2:$B$51,$A6))</f>
        <v/>
      </c>
      <c r="AA6" s="25">
        <f>IF($A6="","",COUNTIF(stops!$A$2:$A$151,$A6))</f>
        <v/>
      </c>
      <c r="AB6" s="25">
        <f>IF($A6="","",SUMIFS(approvals!$S$2:$S$251,approvals!$H$2:$H$251,$A6,approvals!$P$2:$P$251,"Y"))</f>
        <v/>
      </c>
      <c r="AC6" s="27">
        <f>IF($A6="","",SUMIFS(campaigns!$DB$2:$DB$51,campaigns!$B$2:$B$51,$A6))</f>
        <v/>
      </c>
      <c r="AD6" s="27">
        <f>IF($A6="","",SUMIFS(costs!$E$2:$E$301,costs!$B$2:$B$301,$A6,costs!$D$2:$D$301,"kit"))</f>
        <v/>
      </c>
      <c r="AE6" s="27">
        <f>IF($A6="","",SUMIFS(costs!$E$2:$E$301,costs!$B$2:$B$301,$A6,costs!$D$2:$D$301,"transport"))</f>
        <v/>
      </c>
      <c r="AF6" s="27">
        <f>IF($A6="","",SUMIFS(costs!$E$2:$E$301,costs!$B$2:$B$301,$A6,costs!$D$2:$D$301,"other_direct"))</f>
        <v/>
      </c>
      <c r="AG6" s="27">
        <f>IF($A6="","",$AD6+$AE6+$AF6)</f>
        <v/>
      </c>
      <c r="AH6" s="27">
        <f>IF(OR($A6="",N($AA6)=0),"",ROUND($AG6/$AA6,2))</f>
        <v/>
      </c>
      <c r="AI6" s="28">
        <f>IF($A6="","",SUMIFS(hours!$E$2:$E$1501,hours!$B$2:$B$1501,$A6))</f>
        <v/>
      </c>
      <c r="AJ6" s="27">
        <f>IF($A6="","",$AC6-SUMIFS(campaigns!$DF$2:$DF$51,campaigns!$B$2:$B$51,$A6)-$AG6)</f>
        <v/>
      </c>
      <c r="AK6" s="27">
        <f>IF(OR($A6="",N($AI6)=0),"",ROUND($AJ6/$AI6,2))</f>
        <v/>
      </c>
      <c r="AL6" s="29">
        <f>IF(OR($A6="",SUMIFS(campaigns!$CB$2:$CB$51,campaigns!$B$2:$B$51,$A6)=0),"",SUMIFS(campaigns!$CD$2:$CD$51,campaigns!$B$2:$B$51,$A6)/SUMIFS(campaigns!$CB$2:$CB$51,campaigns!$B$2:$B$51,$A6))</f>
        <v/>
      </c>
      <c r="AM6" s="25">
        <f>IF(OR($A6="",COUNTIFS(approvals!$H$2:$H$251,$A6,approvals!$Q$2:$Q$251,"Y")=0),"",SUMPRODUCT(MIN(approvals!$BB$2:$BB$251+(approvals!$H$2:$H$251&lt;&gt;$A6)*1000000)))</f>
        <v/>
      </c>
      <c r="AN6" s="25">
        <f>IF(OR($A6="",$T6=""),"",COUNTIFS(campaigns!$B$2:$B$51,$A6,campaigns!$DT$2:$DT$51,"late"))</f>
        <v/>
      </c>
      <c r="AO6" s="25">
        <f>IF($A6="","",COUNTIFS(campaigns!$B$2:$B$51,$A6,campaigns!$AV$2:$AV$51,"yes"))</f>
        <v/>
      </c>
    </row>
    <row r="7">
      <c r="B7" s="9" t="n"/>
      <c r="I7" s="25">
        <f>IF($B7="","",IF(AND(WEEKDAY($B7)&lt;&gt;3,WEEKDAY($B7)&lt;&gt;4),"REFUSED: a "&amp;TEXT($B7,"dddd")&amp;". Tuesday or Wednesday only",IF(COUNTIF(calendar!$A$2:$A$80,$B7)&gt;0,"REFUSED: a federal holiday",IF(COUNTIFS(calendar!$D$2:$D$20,"&lt;="&amp;WORKDAY($B7,4,calendar!$A$2:$A$80),calendar!$E$2:$E$20,"&gt;="&amp;$B7)&gt;0,"REFUSED: the five-day window overlaps a blackout","OK"))))</f>
        <v/>
      </c>
      <c r="J7" s="25">
        <f>IF($B7="","",TEXT($B7,"ddd"))</f>
        <v/>
      </c>
      <c r="K7" s="26">
        <f>IF($I7="OK",WORKDAY($B7,-10,calendar!$A$2:$A$80),"")</f>
        <v/>
      </c>
      <c r="L7" s="26">
        <f>IF($I7="OK",IF(SUMPRODUCT((calendar!$D$2:$D$20&lt;=$M7)*(calendar!$E$2:$E$20&gt;=$K7)*calendar!$D$2:$D$20)=0,$K7,MIN($K7,WORKDAY(SUMPRODUCT((calendar!$D$2:$D$20&lt;=$M7)*(calendar!$E$2:$E$20&gt;=$K7)*calendar!$D$2:$D$20)+5,-1,calendar!$A$2:$A$80))),"")</f>
        <v/>
      </c>
      <c r="M7" s="26">
        <f>IF($I7="OK",WORKDAY($B7,-5,calendar!$A$2:$A$80),"")</f>
        <v/>
      </c>
      <c r="N7" s="26">
        <f>IF($I7="OK",WORKDAY($B7,-3,calendar!$A$2:$A$80),"")</f>
        <v/>
      </c>
      <c r="O7" s="26">
        <f>IF($I7="OK",WORKDAY($B7,-1,calendar!$A$2:$A$80),"")</f>
        <v/>
      </c>
      <c r="P7" s="26">
        <f>IF($I7="OK",WORKDAY($B7,1,calendar!$A$2:$A$80),"")</f>
        <v/>
      </c>
      <c r="Q7" s="26">
        <f>IF($I7="OK",WORKDAY($B7,2,calendar!$A$2:$A$80),"")</f>
        <v/>
      </c>
      <c r="R7" s="26">
        <f>IF($I7="OK",WORKDAY($B7,4,calendar!$A$2:$A$80),"")</f>
        <v/>
      </c>
      <c r="S7" s="26">
        <f>IF($I7="OK",WORKDAY($B7,5,calendar!$A$2:$A$80),"")</f>
        <v/>
      </c>
      <c r="T7" s="26">
        <f>IF($I7="OK",WORKDAY($B7,7,calendar!$A$2:$A$80),"")</f>
        <v/>
      </c>
      <c r="U7" s="26">
        <f>IF($I7="OK",WORKDAY($B7,10,calendar!$A$2:$A$80),"")</f>
        <v/>
      </c>
      <c r="V7" s="26">
        <f>IF($I7="OK",WORKDAY($B7,14,calendar!$A$2:$A$80),"")</f>
        <v/>
      </c>
      <c r="W7" s="26">
        <f>IF($I7="OK",$B7+30,"")</f>
        <v/>
      </c>
      <c r="X7" s="25">
        <f>IF(NOT($I7="OK"),"",IF($K7&gt;=IF(config!$B$37&lt;&gt;"",config!$B$37,TODAY()),"T-10 brand ships; approvals in",IF($M7&gt;=IF(config!$B$37&lt;&gt;"",config!$B$37,TODAY()),"T-5 receive and count",IF($N7&gt;=IF(config!$B$37&lt;&gt;"",config!$B$37,TODAY()),"T-3 print cards, send windows and posts",IF($O7&gt;=IF(config!$B$37&lt;&gt;"",config!$B$37,TODAY()),"T-1 confirm owners, pack",IF($B7&gt;=IF(config!$B$37&lt;&gt;"",config!$B$37,TODAY()),"T drop day",IF($P7&gt;=IF(config!$B$37&lt;&gt;"",config!$B$37,TODAY()),"T+1 placement confirmation",IF($Q7&gt;=IF(config!$B$37&lt;&gt;"",config!$B$37,TODAY()),"T+2 day-3 photos and top-ups",IF($R7&gt;=IF(config!$B$37&lt;&gt;"",config!$B$37,TODAY()),"T+4 close survey, leftovers",IF($S7&gt;=IF(config!$B$37&lt;&gt;"",config!$B$37,TODAY()),"T+5 newsletter list, reserve",IF($T7&gt;=IF(config!$B$37&lt;&gt;"",config!$B$37,TODAY()),"T+7 report and office summaries",IF($U7&gt;=IF(config!$B$37&lt;&gt;"",config!$B$37,TODAY()),"T+10 brand debrief, export actuals",IF($V7&gt;=IF(config!$B$37&lt;&gt;"",config!$B$37,TODAY()),"T+14 return-label deadline",IF($W7&gt;=IF(config!$B$37&lt;&gt;"",config!$B$37,TODAY()),"T+30 redemption check","done"))))))))))))))</f>
        <v/>
      </c>
      <c r="Y7" s="26">
        <f>IF(NOT($I7="OK"),"",IF($K7&gt;=IF(config!$B$37&lt;&gt;"",config!$B$37,TODAY()),$K7,IF($M7&gt;=IF(config!$B$37&lt;&gt;"",config!$B$37,TODAY()),$M7,IF($N7&gt;=IF(config!$B$37&lt;&gt;"",config!$B$37,TODAY()),$N7,IF($O7&gt;=IF(config!$B$37&lt;&gt;"",config!$B$37,TODAY()),$O7,IF($B7&gt;=IF(config!$B$37&lt;&gt;"",config!$B$37,TODAY()),$B7,IF($P7&gt;=IF(config!$B$37&lt;&gt;"",config!$B$37,TODAY()),$P7,IF($Q7&gt;=IF(config!$B$37&lt;&gt;"",config!$B$37,TODAY()),$Q7,IF($R7&gt;=IF(config!$B$37&lt;&gt;"",config!$B$37,TODAY()),$R7,IF($S7&gt;=IF(config!$B$37&lt;&gt;"",config!$B$37,TODAY()),$S7,IF($T7&gt;=IF(config!$B$37&lt;&gt;"",config!$B$37,TODAY()),$T7,IF($U7&gt;=IF(config!$B$37&lt;&gt;"",config!$B$37,TODAY()),$U7,IF($V7&gt;=IF(config!$B$37&lt;&gt;"",config!$B$37,TODAY()),$V7,IF($W7&gt;=IF(config!$B$37&lt;&gt;"",config!$B$37,TODAY()),$W7,""))))))))))))))</f>
        <v/>
      </c>
      <c r="Z7" s="25">
        <f>IF($A7="","",COUNTIF(campaigns!$B$2:$B$51,$A7))</f>
        <v/>
      </c>
      <c r="AA7" s="25">
        <f>IF($A7="","",COUNTIF(stops!$A$2:$A$151,$A7))</f>
        <v/>
      </c>
      <c r="AB7" s="25">
        <f>IF($A7="","",SUMIFS(approvals!$S$2:$S$251,approvals!$H$2:$H$251,$A7,approvals!$P$2:$P$251,"Y"))</f>
        <v/>
      </c>
      <c r="AC7" s="27">
        <f>IF($A7="","",SUMIFS(campaigns!$DB$2:$DB$51,campaigns!$B$2:$B$51,$A7))</f>
        <v/>
      </c>
      <c r="AD7" s="27">
        <f>IF($A7="","",SUMIFS(costs!$E$2:$E$301,costs!$B$2:$B$301,$A7,costs!$D$2:$D$301,"kit"))</f>
        <v/>
      </c>
      <c r="AE7" s="27">
        <f>IF($A7="","",SUMIFS(costs!$E$2:$E$301,costs!$B$2:$B$301,$A7,costs!$D$2:$D$301,"transport"))</f>
        <v/>
      </c>
      <c r="AF7" s="27">
        <f>IF($A7="","",SUMIFS(costs!$E$2:$E$301,costs!$B$2:$B$301,$A7,costs!$D$2:$D$301,"other_direct"))</f>
        <v/>
      </c>
      <c r="AG7" s="27">
        <f>IF($A7="","",$AD7+$AE7+$AF7)</f>
        <v/>
      </c>
      <c r="AH7" s="27">
        <f>IF(OR($A7="",N($AA7)=0),"",ROUND($AG7/$AA7,2))</f>
        <v/>
      </c>
      <c r="AI7" s="28">
        <f>IF($A7="","",SUMIFS(hours!$E$2:$E$1501,hours!$B$2:$B$1501,$A7))</f>
        <v/>
      </c>
      <c r="AJ7" s="27">
        <f>IF($A7="","",$AC7-SUMIFS(campaigns!$DF$2:$DF$51,campaigns!$B$2:$B$51,$A7)-$AG7)</f>
        <v/>
      </c>
      <c r="AK7" s="27">
        <f>IF(OR($A7="",N($AI7)=0),"",ROUND($AJ7/$AI7,2))</f>
        <v/>
      </c>
      <c r="AL7" s="29">
        <f>IF(OR($A7="",SUMIFS(campaigns!$CB$2:$CB$51,campaigns!$B$2:$B$51,$A7)=0),"",SUMIFS(campaigns!$CD$2:$CD$51,campaigns!$B$2:$B$51,$A7)/SUMIFS(campaigns!$CB$2:$CB$51,campaigns!$B$2:$B$51,$A7))</f>
        <v/>
      </c>
      <c r="AM7" s="25">
        <f>IF(OR($A7="",COUNTIFS(approvals!$H$2:$H$251,$A7,approvals!$Q$2:$Q$251,"Y")=0),"",SUMPRODUCT(MIN(approvals!$BB$2:$BB$251+(approvals!$H$2:$H$251&lt;&gt;$A7)*1000000)))</f>
        <v/>
      </c>
      <c r="AN7" s="25">
        <f>IF(OR($A7="",$T7=""),"",COUNTIFS(campaigns!$B$2:$B$51,$A7,campaigns!$DT$2:$DT$51,"late"))</f>
        <v/>
      </c>
      <c r="AO7" s="25">
        <f>IF($A7="","",COUNTIFS(campaigns!$B$2:$B$51,$A7,campaigns!$AV$2:$AV$51,"yes"))</f>
        <v/>
      </c>
    </row>
    <row r="8">
      <c r="B8" s="9" t="n"/>
      <c r="I8" s="25">
        <f>IF($B8="","",IF(AND(WEEKDAY($B8)&lt;&gt;3,WEEKDAY($B8)&lt;&gt;4),"REFUSED: a "&amp;TEXT($B8,"dddd")&amp;". Tuesday or Wednesday only",IF(COUNTIF(calendar!$A$2:$A$80,$B8)&gt;0,"REFUSED: a federal holiday",IF(COUNTIFS(calendar!$D$2:$D$20,"&lt;="&amp;WORKDAY($B8,4,calendar!$A$2:$A$80),calendar!$E$2:$E$20,"&gt;="&amp;$B8)&gt;0,"REFUSED: the five-day window overlaps a blackout","OK"))))</f>
        <v/>
      </c>
      <c r="J8" s="25">
        <f>IF($B8="","",TEXT($B8,"ddd"))</f>
        <v/>
      </c>
      <c r="K8" s="26">
        <f>IF($I8="OK",WORKDAY($B8,-10,calendar!$A$2:$A$80),"")</f>
        <v/>
      </c>
      <c r="L8" s="26">
        <f>IF($I8="OK",IF(SUMPRODUCT((calendar!$D$2:$D$20&lt;=$M8)*(calendar!$E$2:$E$20&gt;=$K8)*calendar!$D$2:$D$20)=0,$K8,MIN($K8,WORKDAY(SUMPRODUCT((calendar!$D$2:$D$20&lt;=$M8)*(calendar!$E$2:$E$20&gt;=$K8)*calendar!$D$2:$D$20)+5,-1,calendar!$A$2:$A$80))),"")</f>
        <v/>
      </c>
      <c r="M8" s="26">
        <f>IF($I8="OK",WORKDAY($B8,-5,calendar!$A$2:$A$80),"")</f>
        <v/>
      </c>
      <c r="N8" s="26">
        <f>IF($I8="OK",WORKDAY($B8,-3,calendar!$A$2:$A$80),"")</f>
        <v/>
      </c>
      <c r="O8" s="26">
        <f>IF($I8="OK",WORKDAY($B8,-1,calendar!$A$2:$A$80),"")</f>
        <v/>
      </c>
      <c r="P8" s="26">
        <f>IF($I8="OK",WORKDAY($B8,1,calendar!$A$2:$A$80),"")</f>
        <v/>
      </c>
      <c r="Q8" s="26">
        <f>IF($I8="OK",WORKDAY($B8,2,calendar!$A$2:$A$80),"")</f>
        <v/>
      </c>
      <c r="R8" s="26">
        <f>IF($I8="OK",WORKDAY($B8,4,calendar!$A$2:$A$80),"")</f>
        <v/>
      </c>
      <c r="S8" s="26">
        <f>IF($I8="OK",WORKDAY($B8,5,calendar!$A$2:$A$80),"")</f>
        <v/>
      </c>
      <c r="T8" s="26">
        <f>IF($I8="OK",WORKDAY($B8,7,calendar!$A$2:$A$80),"")</f>
        <v/>
      </c>
      <c r="U8" s="26">
        <f>IF($I8="OK",WORKDAY($B8,10,calendar!$A$2:$A$80),"")</f>
        <v/>
      </c>
      <c r="V8" s="26">
        <f>IF($I8="OK",WORKDAY($B8,14,calendar!$A$2:$A$80),"")</f>
        <v/>
      </c>
      <c r="W8" s="26">
        <f>IF($I8="OK",$B8+30,"")</f>
        <v/>
      </c>
      <c r="X8" s="25">
        <f>IF(NOT($I8="OK"),"",IF($K8&gt;=IF(config!$B$37&lt;&gt;"",config!$B$37,TODAY()),"T-10 brand ships; approvals in",IF($M8&gt;=IF(config!$B$37&lt;&gt;"",config!$B$37,TODAY()),"T-5 receive and count",IF($N8&gt;=IF(config!$B$37&lt;&gt;"",config!$B$37,TODAY()),"T-3 print cards, send windows and posts",IF($O8&gt;=IF(config!$B$37&lt;&gt;"",config!$B$37,TODAY()),"T-1 confirm owners, pack",IF($B8&gt;=IF(config!$B$37&lt;&gt;"",config!$B$37,TODAY()),"T drop day",IF($P8&gt;=IF(config!$B$37&lt;&gt;"",config!$B$37,TODAY()),"T+1 placement confirmation",IF($Q8&gt;=IF(config!$B$37&lt;&gt;"",config!$B$37,TODAY()),"T+2 day-3 photos and top-ups",IF($R8&gt;=IF(config!$B$37&lt;&gt;"",config!$B$37,TODAY()),"T+4 close survey, leftovers",IF($S8&gt;=IF(config!$B$37&lt;&gt;"",config!$B$37,TODAY()),"T+5 newsletter list, reserve",IF($T8&gt;=IF(config!$B$37&lt;&gt;"",config!$B$37,TODAY()),"T+7 report and office summaries",IF($U8&gt;=IF(config!$B$37&lt;&gt;"",config!$B$37,TODAY()),"T+10 brand debrief, export actuals",IF($V8&gt;=IF(config!$B$37&lt;&gt;"",config!$B$37,TODAY()),"T+14 return-label deadline",IF($W8&gt;=IF(config!$B$37&lt;&gt;"",config!$B$37,TODAY()),"T+30 redemption check","done"))))))))))))))</f>
        <v/>
      </c>
      <c r="Y8" s="26">
        <f>IF(NOT($I8="OK"),"",IF($K8&gt;=IF(config!$B$37&lt;&gt;"",config!$B$37,TODAY()),$K8,IF($M8&gt;=IF(config!$B$37&lt;&gt;"",config!$B$37,TODAY()),$M8,IF($N8&gt;=IF(config!$B$37&lt;&gt;"",config!$B$37,TODAY()),$N8,IF($O8&gt;=IF(config!$B$37&lt;&gt;"",config!$B$37,TODAY()),$O8,IF($B8&gt;=IF(config!$B$37&lt;&gt;"",config!$B$37,TODAY()),$B8,IF($P8&gt;=IF(config!$B$37&lt;&gt;"",config!$B$37,TODAY()),$P8,IF($Q8&gt;=IF(config!$B$37&lt;&gt;"",config!$B$37,TODAY()),$Q8,IF($R8&gt;=IF(config!$B$37&lt;&gt;"",config!$B$37,TODAY()),$R8,IF($S8&gt;=IF(config!$B$37&lt;&gt;"",config!$B$37,TODAY()),$S8,IF($T8&gt;=IF(config!$B$37&lt;&gt;"",config!$B$37,TODAY()),$T8,IF($U8&gt;=IF(config!$B$37&lt;&gt;"",config!$B$37,TODAY()),$U8,IF($V8&gt;=IF(config!$B$37&lt;&gt;"",config!$B$37,TODAY()),$V8,IF($W8&gt;=IF(config!$B$37&lt;&gt;"",config!$B$37,TODAY()),$W8,""))))))))))))))</f>
        <v/>
      </c>
      <c r="Z8" s="25">
        <f>IF($A8="","",COUNTIF(campaigns!$B$2:$B$51,$A8))</f>
        <v/>
      </c>
      <c r="AA8" s="25">
        <f>IF($A8="","",COUNTIF(stops!$A$2:$A$151,$A8))</f>
        <v/>
      </c>
      <c r="AB8" s="25">
        <f>IF($A8="","",SUMIFS(approvals!$S$2:$S$251,approvals!$H$2:$H$251,$A8,approvals!$P$2:$P$251,"Y"))</f>
        <v/>
      </c>
      <c r="AC8" s="27">
        <f>IF($A8="","",SUMIFS(campaigns!$DB$2:$DB$51,campaigns!$B$2:$B$51,$A8))</f>
        <v/>
      </c>
      <c r="AD8" s="27">
        <f>IF($A8="","",SUMIFS(costs!$E$2:$E$301,costs!$B$2:$B$301,$A8,costs!$D$2:$D$301,"kit"))</f>
        <v/>
      </c>
      <c r="AE8" s="27">
        <f>IF($A8="","",SUMIFS(costs!$E$2:$E$301,costs!$B$2:$B$301,$A8,costs!$D$2:$D$301,"transport"))</f>
        <v/>
      </c>
      <c r="AF8" s="27">
        <f>IF($A8="","",SUMIFS(costs!$E$2:$E$301,costs!$B$2:$B$301,$A8,costs!$D$2:$D$301,"other_direct"))</f>
        <v/>
      </c>
      <c r="AG8" s="27">
        <f>IF($A8="","",$AD8+$AE8+$AF8)</f>
        <v/>
      </c>
      <c r="AH8" s="27">
        <f>IF(OR($A8="",N($AA8)=0),"",ROUND($AG8/$AA8,2))</f>
        <v/>
      </c>
      <c r="AI8" s="28">
        <f>IF($A8="","",SUMIFS(hours!$E$2:$E$1501,hours!$B$2:$B$1501,$A8))</f>
        <v/>
      </c>
      <c r="AJ8" s="27">
        <f>IF($A8="","",$AC8-SUMIFS(campaigns!$DF$2:$DF$51,campaigns!$B$2:$B$51,$A8)-$AG8)</f>
        <v/>
      </c>
      <c r="AK8" s="27">
        <f>IF(OR($A8="",N($AI8)=0),"",ROUND($AJ8/$AI8,2))</f>
        <v/>
      </c>
      <c r="AL8" s="29">
        <f>IF(OR($A8="",SUMIFS(campaigns!$CB$2:$CB$51,campaigns!$B$2:$B$51,$A8)=0),"",SUMIFS(campaigns!$CD$2:$CD$51,campaigns!$B$2:$B$51,$A8)/SUMIFS(campaigns!$CB$2:$CB$51,campaigns!$B$2:$B$51,$A8))</f>
        <v/>
      </c>
      <c r="AM8" s="25">
        <f>IF(OR($A8="",COUNTIFS(approvals!$H$2:$H$251,$A8,approvals!$Q$2:$Q$251,"Y")=0),"",SUMPRODUCT(MIN(approvals!$BB$2:$BB$251+(approvals!$H$2:$H$251&lt;&gt;$A8)*1000000)))</f>
        <v/>
      </c>
      <c r="AN8" s="25">
        <f>IF(OR($A8="",$T8=""),"",COUNTIFS(campaigns!$B$2:$B$51,$A8,campaigns!$DT$2:$DT$51,"late"))</f>
        <v/>
      </c>
      <c r="AO8" s="25">
        <f>IF($A8="","",COUNTIFS(campaigns!$B$2:$B$51,$A8,campaigns!$AV$2:$AV$51,"yes"))</f>
        <v/>
      </c>
    </row>
    <row r="9">
      <c r="B9" s="9" t="n"/>
      <c r="I9" s="25">
        <f>IF($B9="","",IF(AND(WEEKDAY($B9)&lt;&gt;3,WEEKDAY($B9)&lt;&gt;4),"REFUSED: a "&amp;TEXT($B9,"dddd")&amp;". Tuesday or Wednesday only",IF(COUNTIF(calendar!$A$2:$A$80,$B9)&gt;0,"REFUSED: a federal holiday",IF(COUNTIFS(calendar!$D$2:$D$20,"&lt;="&amp;WORKDAY($B9,4,calendar!$A$2:$A$80),calendar!$E$2:$E$20,"&gt;="&amp;$B9)&gt;0,"REFUSED: the five-day window overlaps a blackout","OK"))))</f>
        <v/>
      </c>
      <c r="J9" s="25">
        <f>IF($B9="","",TEXT($B9,"ddd"))</f>
        <v/>
      </c>
      <c r="K9" s="26">
        <f>IF($I9="OK",WORKDAY($B9,-10,calendar!$A$2:$A$80),"")</f>
        <v/>
      </c>
      <c r="L9" s="26">
        <f>IF($I9="OK",IF(SUMPRODUCT((calendar!$D$2:$D$20&lt;=$M9)*(calendar!$E$2:$E$20&gt;=$K9)*calendar!$D$2:$D$20)=0,$K9,MIN($K9,WORKDAY(SUMPRODUCT((calendar!$D$2:$D$20&lt;=$M9)*(calendar!$E$2:$E$20&gt;=$K9)*calendar!$D$2:$D$20)+5,-1,calendar!$A$2:$A$80))),"")</f>
        <v/>
      </c>
      <c r="M9" s="26">
        <f>IF($I9="OK",WORKDAY($B9,-5,calendar!$A$2:$A$80),"")</f>
        <v/>
      </c>
      <c r="N9" s="26">
        <f>IF($I9="OK",WORKDAY($B9,-3,calendar!$A$2:$A$80),"")</f>
        <v/>
      </c>
      <c r="O9" s="26">
        <f>IF($I9="OK",WORKDAY($B9,-1,calendar!$A$2:$A$80),"")</f>
        <v/>
      </c>
      <c r="P9" s="26">
        <f>IF($I9="OK",WORKDAY($B9,1,calendar!$A$2:$A$80),"")</f>
        <v/>
      </c>
      <c r="Q9" s="26">
        <f>IF($I9="OK",WORKDAY($B9,2,calendar!$A$2:$A$80),"")</f>
        <v/>
      </c>
      <c r="R9" s="26">
        <f>IF($I9="OK",WORKDAY($B9,4,calendar!$A$2:$A$80),"")</f>
        <v/>
      </c>
      <c r="S9" s="26">
        <f>IF($I9="OK",WORKDAY($B9,5,calendar!$A$2:$A$80),"")</f>
        <v/>
      </c>
      <c r="T9" s="26">
        <f>IF($I9="OK",WORKDAY($B9,7,calendar!$A$2:$A$80),"")</f>
        <v/>
      </c>
      <c r="U9" s="26">
        <f>IF($I9="OK",WORKDAY($B9,10,calendar!$A$2:$A$80),"")</f>
        <v/>
      </c>
      <c r="V9" s="26">
        <f>IF($I9="OK",WORKDAY($B9,14,calendar!$A$2:$A$80),"")</f>
        <v/>
      </c>
      <c r="W9" s="26">
        <f>IF($I9="OK",$B9+30,"")</f>
        <v/>
      </c>
      <c r="X9" s="25">
        <f>IF(NOT($I9="OK"),"",IF($K9&gt;=IF(config!$B$37&lt;&gt;"",config!$B$37,TODAY()),"T-10 brand ships; approvals in",IF($M9&gt;=IF(config!$B$37&lt;&gt;"",config!$B$37,TODAY()),"T-5 receive and count",IF($N9&gt;=IF(config!$B$37&lt;&gt;"",config!$B$37,TODAY()),"T-3 print cards, send windows and posts",IF($O9&gt;=IF(config!$B$37&lt;&gt;"",config!$B$37,TODAY()),"T-1 confirm owners, pack",IF($B9&gt;=IF(config!$B$37&lt;&gt;"",config!$B$37,TODAY()),"T drop day",IF($P9&gt;=IF(config!$B$37&lt;&gt;"",config!$B$37,TODAY()),"T+1 placement confirmation",IF($Q9&gt;=IF(config!$B$37&lt;&gt;"",config!$B$37,TODAY()),"T+2 day-3 photos and top-ups",IF($R9&gt;=IF(config!$B$37&lt;&gt;"",config!$B$37,TODAY()),"T+4 close survey, leftovers",IF($S9&gt;=IF(config!$B$37&lt;&gt;"",config!$B$37,TODAY()),"T+5 newsletter list, reserve",IF($T9&gt;=IF(config!$B$37&lt;&gt;"",config!$B$37,TODAY()),"T+7 report and office summaries",IF($U9&gt;=IF(config!$B$37&lt;&gt;"",config!$B$37,TODAY()),"T+10 brand debrief, export actuals",IF($V9&gt;=IF(config!$B$37&lt;&gt;"",config!$B$37,TODAY()),"T+14 return-label deadline",IF($W9&gt;=IF(config!$B$37&lt;&gt;"",config!$B$37,TODAY()),"T+30 redemption check","done"))))))))))))))</f>
        <v/>
      </c>
      <c r="Y9" s="26">
        <f>IF(NOT($I9="OK"),"",IF($K9&gt;=IF(config!$B$37&lt;&gt;"",config!$B$37,TODAY()),$K9,IF($M9&gt;=IF(config!$B$37&lt;&gt;"",config!$B$37,TODAY()),$M9,IF($N9&gt;=IF(config!$B$37&lt;&gt;"",config!$B$37,TODAY()),$N9,IF($O9&gt;=IF(config!$B$37&lt;&gt;"",config!$B$37,TODAY()),$O9,IF($B9&gt;=IF(config!$B$37&lt;&gt;"",config!$B$37,TODAY()),$B9,IF($P9&gt;=IF(config!$B$37&lt;&gt;"",config!$B$37,TODAY()),$P9,IF($Q9&gt;=IF(config!$B$37&lt;&gt;"",config!$B$37,TODAY()),$Q9,IF($R9&gt;=IF(config!$B$37&lt;&gt;"",config!$B$37,TODAY()),$R9,IF($S9&gt;=IF(config!$B$37&lt;&gt;"",config!$B$37,TODAY()),$S9,IF($T9&gt;=IF(config!$B$37&lt;&gt;"",config!$B$37,TODAY()),$T9,IF($U9&gt;=IF(config!$B$37&lt;&gt;"",config!$B$37,TODAY()),$U9,IF($V9&gt;=IF(config!$B$37&lt;&gt;"",config!$B$37,TODAY()),$V9,IF($W9&gt;=IF(config!$B$37&lt;&gt;"",config!$B$37,TODAY()),$W9,""))))))))))))))</f>
        <v/>
      </c>
      <c r="Z9" s="25">
        <f>IF($A9="","",COUNTIF(campaigns!$B$2:$B$51,$A9))</f>
        <v/>
      </c>
      <c r="AA9" s="25">
        <f>IF($A9="","",COUNTIF(stops!$A$2:$A$151,$A9))</f>
        <v/>
      </c>
      <c r="AB9" s="25">
        <f>IF($A9="","",SUMIFS(approvals!$S$2:$S$251,approvals!$H$2:$H$251,$A9,approvals!$P$2:$P$251,"Y"))</f>
        <v/>
      </c>
      <c r="AC9" s="27">
        <f>IF($A9="","",SUMIFS(campaigns!$DB$2:$DB$51,campaigns!$B$2:$B$51,$A9))</f>
        <v/>
      </c>
      <c r="AD9" s="27">
        <f>IF($A9="","",SUMIFS(costs!$E$2:$E$301,costs!$B$2:$B$301,$A9,costs!$D$2:$D$301,"kit"))</f>
        <v/>
      </c>
      <c r="AE9" s="27">
        <f>IF($A9="","",SUMIFS(costs!$E$2:$E$301,costs!$B$2:$B$301,$A9,costs!$D$2:$D$301,"transport"))</f>
        <v/>
      </c>
      <c r="AF9" s="27">
        <f>IF($A9="","",SUMIFS(costs!$E$2:$E$301,costs!$B$2:$B$301,$A9,costs!$D$2:$D$301,"other_direct"))</f>
        <v/>
      </c>
      <c r="AG9" s="27">
        <f>IF($A9="","",$AD9+$AE9+$AF9)</f>
        <v/>
      </c>
      <c r="AH9" s="27">
        <f>IF(OR($A9="",N($AA9)=0),"",ROUND($AG9/$AA9,2))</f>
        <v/>
      </c>
      <c r="AI9" s="28">
        <f>IF($A9="","",SUMIFS(hours!$E$2:$E$1501,hours!$B$2:$B$1501,$A9))</f>
        <v/>
      </c>
      <c r="AJ9" s="27">
        <f>IF($A9="","",$AC9-SUMIFS(campaigns!$DF$2:$DF$51,campaigns!$B$2:$B$51,$A9)-$AG9)</f>
        <v/>
      </c>
      <c r="AK9" s="27">
        <f>IF(OR($A9="",N($AI9)=0),"",ROUND($AJ9/$AI9,2))</f>
        <v/>
      </c>
      <c r="AL9" s="29">
        <f>IF(OR($A9="",SUMIFS(campaigns!$CB$2:$CB$51,campaigns!$B$2:$B$51,$A9)=0),"",SUMIFS(campaigns!$CD$2:$CD$51,campaigns!$B$2:$B$51,$A9)/SUMIFS(campaigns!$CB$2:$CB$51,campaigns!$B$2:$B$51,$A9))</f>
        <v/>
      </c>
      <c r="AM9" s="25">
        <f>IF(OR($A9="",COUNTIFS(approvals!$H$2:$H$251,$A9,approvals!$Q$2:$Q$251,"Y")=0),"",SUMPRODUCT(MIN(approvals!$BB$2:$BB$251+(approvals!$H$2:$H$251&lt;&gt;$A9)*1000000)))</f>
        <v/>
      </c>
      <c r="AN9" s="25">
        <f>IF(OR($A9="",$T9=""),"",COUNTIFS(campaigns!$B$2:$B$51,$A9,campaigns!$DT$2:$DT$51,"late"))</f>
        <v/>
      </c>
      <c r="AO9" s="25">
        <f>IF($A9="","",COUNTIFS(campaigns!$B$2:$B$51,$A9,campaigns!$AV$2:$AV$51,"yes"))</f>
        <v/>
      </c>
    </row>
    <row r="10">
      <c r="B10" s="9" t="n"/>
      <c r="I10" s="25">
        <f>IF($B10="","",IF(AND(WEEKDAY($B10)&lt;&gt;3,WEEKDAY($B10)&lt;&gt;4),"REFUSED: a "&amp;TEXT($B10,"dddd")&amp;". Tuesday or Wednesday only",IF(COUNTIF(calendar!$A$2:$A$80,$B10)&gt;0,"REFUSED: a federal holiday",IF(COUNTIFS(calendar!$D$2:$D$20,"&lt;="&amp;WORKDAY($B10,4,calendar!$A$2:$A$80),calendar!$E$2:$E$20,"&gt;="&amp;$B10)&gt;0,"REFUSED: the five-day window overlaps a blackout","OK"))))</f>
        <v/>
      </c>
      <c r="J10" s="25">
        <f>IF($B10="","",TEXT($B10,"ddd"))</f>
        <v/>
      </c>
      <c r="K10" s="26">
        <f>IF($I10="OK",WORKDAY($B10,-10,calendar!$A$2:$A$80),"")</f>
        <v/>
      </c>
      <c r="L10" s="26">
        <f>IF($I10="OK",IF(SUMPRODUCT((calendar!$D$2:$D$20&lt;=$M10)*(calendar!$E$2:$E$20&gt;=$K10)*calendar!$D$2:$D$20)=0,$K10,MIN($K10,WORKDAY(SUMPRODUCT((calendar!$D$2:$D$20&lt;=$M10)*(calendar!$E$2:$E$20&gt;=$K10)*calendar!$D$2:$D$20)+5,-1,calendar!$A$2:$A$80))),"")</f>
        <v/>
      </c>
      <c r="M10" s="26">
        <f>IF($I10="OK",WORKDAY($B10,-5,calendar!$A$2:$A$80),"")</f>
        <v/>
      </c>
      <c r="N10" s="26">
        <f>IF($I10="OK",WORKDAY($B10,-3,calendar!$A$2:$A$80),"")</f>
        <v/>
      </c>
      <c r="O10" s="26">
        <f>IF($I10="OK",WORKDAY($B10,-1,calendar!$A$2:$A$80),"")</f>
        <v/>
      </c>
      <c r="P10" s="26">
        <f>IF($I10="OK",WORKDAY($B10,1,calendar!$A$2:$A$80),"")</f>
        <v/>
      </c>
      <c r="Q10" s="26">
        <f>IF($I10="OK",WORKDAY($B10,2,calendar!$A$2:$A$80),"")</f>
        <v/>
      </c>
      <c r="R10" s="26">
        <f>IF($I10="OK",WORKDAY($B10,4,calendar!$A$2:$A$80),"")</f>
        <v/>
      </c>
      <c r="S10" s="26">
        <f>IF($I10="OK",WORKDAY($B10,5,calendar!$A$2:$A$80),"")</f>
        <v/>
      </c>
      <c r="T10" s="26">
        <f>IF($I10="OK",WORKDAY($B10,7,calendar!$A$2:$A$80),"")</f>
        <v/>
      </c>
      <c r="U10" s="26">
        <f>IF($I10="OK",WORKDAY($B10,10,calendar!$A$2:$A$80),"")</f>
        <v/>
      </c>
      <c r="V10" s="26">
        <f>IF($I10="OK",WORKDAY($B10,14,calendar!$A$2:$A$80),"")</f>
        <v/>
      </c>
      <c r="W10" s="26">
        <f>IF($I10="OK",$B10+30,"")</f>
        <v/>
      </c>
      <c r="X10" s="25">
        <f>IF(NOT($I10="OK"),"",IF($K10&gt;=IF(config!$B$37&lt;&gt;"",config!$B$37,TODAY()),"T-10 brand ships; approvals in",IF($M10&gt;=IF(config!$B$37&lt;&gt;"",config!$B$37,TODAY()),"T-5 receive and count",IF($N10&gt;=IF(config!$B$37&lt;&gt;"",config!$B$37,TODAY()),"T-3 print cards, send windows and posts",IF($O10&gt;=IF(config!$B$37&lt;&gt;"",config!$B$37,TODAY()),"T-1 confirm owners, pack",IF($B10&gt;=IF(config!$B$37&lt;&gt;"",config!$B$37,TODAY()),"T drop day",IF($P10&gt;=IF(config!$B$37&lt;&gt;"",config!$B$37,TODAY()),"T+1 placement confirmation",IF($Q10&gt;=IF(config!$B$37&lt;&gt;"",config!$B$37,TODAY()),"T+2 day-3 photos and top-ups",IF($R10&gt;=IF(config!$B$37&lt;&gt;"",config!$B$37,TODAY()),"T+4 close survey, leftovers",IF($S10&gt;=IF(config!$B$37&lt;&gt;"",config!$B$37,TODAY()),"T+5 newsletter list, reserve",IF($T10&gt;=IF(config!$B$37&lt;&gt;"",config!$B$37,TODAY()),"T+7 report and office summaries",IF($U10&gt;=IF(config!$B$37&lt;&gt;"",config!$B$37,TODAY()),"T+10 brand debrief, export actuals",IF($V10&gt;=IF(config!$B$37&lt;&gt;"",config!$B$37,TODAY()),"T+14 return-label deadline",IF($W10&gt;=IF(config!$B$37&lt;&gt;"",config!$B$37,TODAY()),"T+30 redemption check","done"))))))))))))))</f>
        <v/>
      </c>
      <c r="Y10" s="26">
        <f>IF(NOT($I10="OK"),"",IF($K10&gt;=IF(config!$B$37&lt;&gt;"",config!$B$37,TODAY()),$K10,IF($M10&gt;=IF(config!$B$37&lt;&gt;"",config!$B$37,TODAY()),$M10,IF($N10&gt;=IF(config!$B$37&lt;&gt;"",config!$B$37,TODAY()),$N10,IF($O10&gt;=IF(config!$B$37&lt;&gt;"",config!$B$37,TODAY()),$O10,IF($B10&gt;=IF(config!$B$37&lt;&gt;"",config!$B$37,TODAY()),$B10,IF($P10&gt;=IF(config!$B$37&lt;&gt;"",config!$B$37,TODAY()),$P10,IF($Q10&gt;=IF(config!$B$37&lt;&gt;"",config!$B$37,TODAY()),$Q10,IF($R10&gt;=IF(config!$B$37&lt;&gt;"",config!$B$37,TODAY()),$R10,IF($S10&gt;=IF(config!$B$37&lt;&gt;"",config!$B$37,TODAY()),$S10,IF($T10&gt;=IF(config!$B$37&lt;&gt;"",config!$B$37,TODAY()),$T10,IF($U10&gt;=IF(config!$B$37&lt;&gt;"",config!$B$37,TODAY()),$U10,IF($V10&gt;=IF(config!$B$37&lt;&gt;"",config!$B$37,TODAY()),$V10,IF($W10&gt;=IF(config!$B$37&lt;&gt;"",config!$B$37,TODAY()),$W10,""))))))))))))))</f>
        <v/>
      </c>
      <c r="Z10" s="25">
        <f>IF($A10="","",COUNTIF(campaigns!$B$2:$B$51,$A10))</f>
        <v/>
      </c>
      <c r="AA10" s="25">
        <f>IF($A10="","",COUNTIF(stops!$A$2:$A$151,$A10))</f>
        <v/>
      </c>
      <c r="AB10" s="25">
        <f>IF($A10="","",SUMIFS(approvals!$S$2:$S$251,approvals!$H$2:$H$251,$A10,approvals!$P$2:$P$251,"Y"))</f>
        <v/>
      </c>
      <c r="AC10" s="27">
        <f>IF($A10="","",SUMIFS(campaigns!$DB$2:$DB$51,campaigns!$B$2:$B$51,$A10))</f>
        <v/>
      </c>
      <c r="AD10" s="27">
        <f>IF($A10="","",SUMIFS(costs!$E$2:$E$301,costs!$B$2:$B$301,$A10,costs!$D$2:$D$301,"kit"))</f>
        <v/>
      </c>
      <c r="AE10" s="27">
        <f>IF($A10="","",SUMIFS(costs!$E$2:$E$301,costs!$B$2:$B$301,$A10,costs!$D$2:$D$301,"transport"))</f>
        <v/>
      </c>
      <c r="AF10" s="27">
        <f>IF($A10="","",SUMIFS(costs!$E$2:$E$301,costs!$B$2:$B$301,$A10,costs!$D$2:$D$301,"other_direct"))</f>
        <v/>
      </c>
      <c r="AG10" s="27">
        <f>IF($A10="","",$AD10+$AE10+$AF10)</f>
        <v/>
      </c>
      <c r="AH10" s="27">
        <f>IF(OR($A10="",N($AA10)=0),"",ROUND($AG10/$AA10,2))</f>
        <v/>
      </c>
      <c r="AI10" s="28">
        <f>IF($A10="","",SUMIFS(hours!$E$2:$E$1501,hours!$B$2:$B$1501,$A10))</f>
        <v/>
      </c>
      <c r="AJ10" s="27">
        <f>IF($A10="","",$AC10-SUMIFS(campaigns!$DF$2:$DF$51,campaigns!$B$2:$B$51,$A10)-$AG10)</f>
        <v/>
      </c>
      <c r="AK10" s="27">
        <f>IF(OR($A10="",N($AI10)=0),"",ROUND($AJ10/$AI10,2))</f>
        <v/>
      </c>
      <c r="AL10" s="29">
        <f>IF(OR($A10="",SUMIFS(campaigns!$CB$2:$CB$51,campaigns!$B$2:$B$51,$A10)=0),"",SUMIFS(campaigns!$CD$2:$CD$51,campaigns!$B$2:$B$51,$A10)/SUMIFS(campaigns!$CB$2:$CB$51,campaigns!$B$2:$B$51,$A10))</f>
        <v/>
      </c>
      <c r="AM10" s="25">
        <f>IF(OR($A10="",COUNTIFS(approvals!$H$2:$H$251,$A10,approvals!$Q$2:$Q$251,"Y")=0),"",SUMPRODUCT(MIN(approvals!$BB$2:$BB$251+(approvals!$H$2:$H$251&lt;&gt;$A10)*1000000)))</f>
        <v/>
      </c>
      <c r="AN10" s="25">
        <f>IF(OR($A10="",$T10=""),"",COUNTIFS(campaigns!$B$2:$B$51,$A10,campaigns!$DT$2:$DT$51,"late"))</f>
        <v/>
      </c>
      <c r="AO10" s="25">
        <f>IF($A10="","",COUNTIFS(campaigns!$B$2:$B$51,$A10,campaigns!$AV$2:$AV$51,"yes"))</f>
        <v/>
      </c>
    </row>
    <row r="11">
      <c r="B11" s="9" t="n"/>
      <c r="I11" s="25">
        <f>IF($B11="","",IF(AND(WEEKDAY($B11)&lt;&gt;3,WEEKDAY($B11)&lt;&gt;4),"REFUSED: a "&amp;TEXT($B11,"dddd")&amp;". Tuesday or Wednesday only",IF(COUNTIF(calendar!$A$2:$A$80,$B11)&gt;0,"REFUSED: a federal holiday",IF(COUNTIFS(calendar!$D$2:$D$20,"&lt;="&amp;WORKDAY($B11,4,calendar!$A$2:$A$80),calendar!$E$2:$E$20,"&gt;="&amp;$B11)&gt;0,"REFUSED: the five-day window overlaps a blackout","OK"))))</f>
        <v/>
      </c>
      <c r="J11" s="25">
        <f>IF($B11="","",TEXT($B11,"ddd"))</f>
        <v/>
      </c>
      <c r="K11" s="26">
        <f>IF($I11="OK",WORKDAY($B11,-10,calendar!$A$2:$A$80),"")</f>
        <v/>
      </c>
      <c r="L11" s="26">
        <f>IF($I11="OK",IF(SUMPRODUCT((calendar!$D$2:$D$20&lt;=$M11)*(calendar!$E$2:$E$20&gt;=$K11)*calendar!$D$2:$D$20)=0,$K11,MIN($K11,WORKDAY(SUMPRODUCT((calendar!$D$2:$D$20&lt;=$M11)*(calendar!$E$2:$E$20&gt;=$K11)*calendar!$D$2:$D$20)+5,-1,calendar!$A$2:$A$80))),"")</f>
        <v/>
      </c>
      <c r="M11" s="26">
        <f>IF($I11="OK",WORKDAY($B11,-5,calendar!$A$2:$A$80),"")</f>
        <v/>
      </c>
      <c r="N11" s="26">
        <f>IF($I11="OK",WORKDAY($B11,-3,calendar!$A$2:$A$80),"")</f>
        <v/>
      </c>
      <c r="O11" s="26">
        <f>IF($I11="OK",WORKDAY($B11,-1,calendar!$A$2:$A$80),"")</f>
        <v/>
      </c>
      <c r="P11" s="26">
        <f>IF($I11="OK",WORKDAY($B11,1,calendar!$A$2:$A$80),"")</f>
        <v/>
      </c>
      <c r="Q11" s="26">
        <f>IF($I11="OK",WORKDAY($B11,2,calendar!$A$2:$A$80),"")</f>
        <v/>
      </c>
      <c r="R11" s="26">
        <f>IF($I11="OK",WORKDAY($B11,4,calendar!$A$2:$A$80),"")</f>
        <v/>
      </c>
      <c r="S11" s="26">
        <f>IF($I11="OK",WORKDAY($B11,5,calendar!$A$2:$A$80),"")</f>
        <v/>
      </c>
      <c r="T11" s="26">
        <f>IF($I11="OK",WORKDAY($B11,7,calendar!$A$2:$A$80),"")</f>
        <v/>
      </c>
      <c r="U11" s="26">
        <f>IF($I11="OK",WORKDAY($B11,10,calendar!$A$2:$A$80),"")</f>
        <v/>
      </c>
      <c r="V11" s="26">
        <f>IF($I11="OK",WORKDAY($B11,14,calendar!$A$2:$A$80),"")</f>
        <v/>
      </c>
      <c r="W11" s="26">
        <f>IF($I11="OK",$B11+30,"")</f>
        <v/>
      </c>
      <c r="X11" s="25">
        <f>IF(NOT($I11="OK"),"",IF($K11&gt;=IF(config!$B$37&lt;&gt;"",config!$B$37,TODAY()),"T-10 brand ships; approvals in",IF($M11&gt;=IF(config!$B$37&lt;&gt;"",config!$B$37,TODAY()),"T-5 receive and count",IF($N11&gt;=IF(config!$B$37&lt;&gt;"",config!$B$37,TODAY()),"T-3 print cards, send windows and posts",IF($O11&gt;=IF(config!$B$37&lt;&gt;"",config!$B$37,TODAY()),"T-1 confirm owners, pack",IF($B11&gt;=IF(config!$B$37&lt;&gt;"",config!$B$37,TODAY()),"T drop day",IF($P11&gt;=IF(config!$B$37&lt;&gt;"",config!$B$37,TODAY()),"T+1 placement confirmation",IF($Q11&gt;=IF(config!$B$37&lt;&gt;"",config!$B$37,TODAY()),"T+2 day-3 photos and top-ups",IF($R11&gt;=IF(config!$B$37&lt;&gt;"",config!$B$37,TODAY()),"T+4 close survey, leftovers",IF($S11&gt;=IF(config!$B$37&lt;&gt;"",config!$B$37,TODAY()),"T+5 newsletter list, reserve",IF($T11&gt;=IF(config!$B$37&lt;&gt;"",config!$B$37,TODAY()),"T+7 report and office summaries",IF($U11&gt;=IF(config!$B$37&lt;&gt;"",config!$B$37,TODAY()),"T+10 brand debrief, export actuals",IF($V11&gt;=IF(config!$B$37&lt;&gt;"",config!$B$37,TODAY()),"T+14 return-label deadline",IF($W11&gt;=IF(config!$B$37&lt;&gt;"",config!$B$37,TODAY()),"T+30 redemption check","done"))))))))))))))</f>
        <v/>
      </c>
      <c r="Y11" s="26">
        <f>IF(NOT($I11="OK"),"",IF($K11&gt;=IF(config!$B$37&lt;&gt;"",config!$B$37,TODAY()),$K11,IF($M11&gt;=IF(config!$B$37&lt;&gt;"",config!$B$37,TODAY()),$M11,IF($N11&gt;=IF(config!$B$37&lt;&gt;"",config!$B$37,TODAY()),$N11,IF($O11&gt;=IF(config!$B$37&lt;&gt;"",config!$B$37,TODAY()),$O11,IF($B11&gt;=IF(config!$B$37&lt;&gt;"",config!$B$37,TODAY()),$B11,IF($P11&gt;=IF(config!$B$37&lt;&gt;"",config!$B$37,TODAY()),$P11,IF($Q11&gt;=IF(config!$B$37&lt;&gt;"",config!$B$37,TODAY()),$Q11,IF($R11&gt;=IF(config!$B$37&lt;&gt;"",config!$B$37,TODAY()),$R11,IF($S11&gt;=IF(config!$B$37&lt;&gt;"",config!$B$37,TODAY()),$S11,IF($T11&gt;=IF(config!$B$37&lt;&gt;"",config!$B$37,TODAY()),$T11,IF($U11&gt;=IF(config!$B$37&lt;&gt;"",config!$B$37,TODAY()),$U11,IF($V11&gt;=IF(config!$B$37&lt;&gt;"",config!$B$37,TODAY()),$V11,IF($W11&gt;=IF(config!$B$37&lt;&gt;"",config!$B$37,TODAY()),$W11,""))))))))))))))</f>
        <v/>
      </c>
      <c r="Z11" s="25">
        <f>IF($A11="","",COUNTIF(campaigns!$B$2:$B$51,$A11))</f>
        <v/>
      </c>
      <c r="AA11" s="25">
        <f>IF($A11="","",COUNTIF(stops!$A$2:$A$151,$A11))</f>
        <v/>
      </c>
      <c r="AB11" s="25">
        <f>IF($A11="","",SUMIFS(approvals!$S$2:$S$251,approvals!$H$2:$H$251,$A11,approvals!$P$2:$P$251,"Y"))</f>
        <v/>
      </c>
      <c r="AC11" s="27">
        <f>IF($A11="","",SUMIFS(campaigns!$DB$2:$DB$51,campaigns!$B$2:$B$51,$A11))</f>
        <v/>
      </c>
      <c r="AD11" s="27">
        <f>IF($A11="","",SUMIFS(costs!$E$2:$E$301,costs!$B$2:$B$301,$A11,costs!$D$2:$D$301,"kit"))</f>
        <v/>
      </c>
      <c r="AE11" s="27">
        <f>IF($A11="","",SUMIFS(costs!$E$2:$E$301,costs!$B$2:$B$301,$A11,costs!$D$2:$D$301,"transport"))</f>
        <v/>
      </c>
      <c r="AF11" s="27">
        <f>IF($A11="","",SUMIFS(costs!$E$2:$E$301,costs!$B$2:$B$301,$A11,costs!$D$2:$D$301,"other_direct"))</f>
        <v/>
      </c>
      <c r="AG11" s="27">
        <f>IF($A11="","",$AD11+$AE11+$AF11)</f>
        <v/>
      </c>
      <c r="AH11" s="27">
        <f>IF(OR($A11="",N($AA11)=0),"",ROUND($AG11/$AA11,2))</f>
        <v/>
      </c>
      <c r="AI11" s="28">
        <f>IF($A11="","",SUMIFS(hours!$E$2:$E$1501,hours!$B$2:$B$1501,$A11))</f>
        <v/>
      </c>
      <c r="AJ11" s="27">
        <f>IF($A11="","",$AC11-SUMIFS(campaigns!$DF$2:$DF$51,campaigns!$B$2:$B$51,$A11)-$AG11)</f>
        <v/>
      </c>
      <c r="AK11" s="27">
        <f>IF(OR($A11="",N($AI11)=0),"",ROUND($AJ11/$AI11,2))</f>
        <v/>
      </c>
      <c r="AL11" s="29">
        <f>IF(OR($A11="",SUMIFS(campaigns!$CB$2:$CB$51,campaigns!$B$2:$B$51,$A11)=0),"",SUMIFS(campaigns!$CD$2:$CD$51,campaigns!$B$2:$B$51,$A11)/SUMIFS(campaigns!$CB$2:$CB$51,campaigns!$B$2:$B$51,$A11))</f>
        <v/>
      </c>
      <c r="AM11" s="25">
        <f>IF(OR($A11="",COUNTIFS(approvals!$H$2:$H$251,$A11,approvals!$Q$2:$Q$251,"Y")=0),"",SUMPRODUCT(MIN(approvals!$BB$2:$BB$251+(approvals!$H$2:$H$251&lt;&gt;$A11)*1000000)))</f>
        <v/>
      </c>
      <c r="AN11" s="25">
        <f>IF(OR($A11="",$T11=""),"",COUNTIFS(campaigns!$B$2:$B$51,$A11,campaigns!$DT$2:$DT$51,"late"))</f>
        <v/>
      </c>
      <c r="AO11" s="25">
        <f>IF($A11="","",COUNTIFS(campaigns!$B$2:$B$51,$A11,campaigns!$AV$2:$AV$51,"yes"))</f>
        <v/>
      </c>
    </row>
    <row r="12">
      <c r="B12" s="9" t="n"/>
      <c r="I12" s="25">
        <f>IF($B12="","",IF(AND(WEEKDAY($B12)&lt;&gt;3,WEEKDAY($B12)&lt;&gt;4),"REFUSED: a "&amp;TEXT($B12,"dddd")&amp;". Tuesday or Wednesday only",IF(COUNTIF(calendar!$A$2:$A$80,$B12)&gt;0,"REFUSED: a federal holiday",IF(COUNTIFS(calendar!$D$2:$D$20,"&lt;="&amp;WORKDAY($B12,4,calendar!$A$2:$A$80),calendar!$E$2:$E$20,"&gt;="&amp;$B12)&gt;0,"REFUSED: the five-day window overlaps a blackout","OK"))))</f>
        <v/>
      </c>
      <c r="J12" s="25">
        <f>IF($B12="","",TEXT($B12,"ddd"))</f>
        <v/>
      </c>
      <c r="K12" s="26">
        <f>IF($I12="OK",WORKDAY($B12,-10,calendar!$A$2:$A$80),"")</f>
        <v/>
      </c>
      <c r="L12" s="26">
        <f>IF($I12="OK",IF(SUMPRODUCT((calendar!$D$2:$D$20&lt;=$M12)*(calendar!$E$2:$E$20&gt;=$K12)*calendar!$D$2:$D$20)=0,$K12,MIN($K12,WORKDAY(SUMPRODUCT((calendar!$D$2:$D$20&lt;=$M12)*(calendar!$E$2:$E$20&gt;=$K12)*calendar!$D$2:$D$20)+5,-1,calendar!$A$2:$A$80))),"")</f>
        <v/>
      </c>
      <c r="M12" s="26">
        <f>IF($I12="OK",WORKDAY($B12,-5,calendar!$A$2:$A$80),"")</f>
        <v/>
      </c>
      <c r="N12" s="26">
        <f>IF($I12="OK",WORKDAY($B12,-3,calendar!$A$2:$A$80),"")</f>
        <v/>
      </c>
      <c r="O12" s="26">
        <f>IF($I12="OK",WORKDAY($B12,-1,calendar!$A$2:$A$80),"")</f>
        <v/>
      </c>
      <c r="P12" s="26">
        <f>IF($I12="OK",WORKDAY($B12,1,calendar!$A$2:$A$80),"")</f>
        <v/>
      </c>
      <c r="Q12" s="26">
        <f>IF($I12="OK",WORKDAY($B12,2,calendar!$A$2:$A$80),"")</f>
        <v/>
      </c>
      <c r="R12" s="26">
        <f>IF($I12="OK",WORKDAY($B12,4,calendar!$A$2:$A$80),"")</f>
        <v/>
      </c>
      <c r="S12" s="26">
        <f>IF($I12="OK",WORKDAY($B12,5,calendar!$A$2:$A$80),"")</f>
        <v/>
      </c>
      <c r="T12" s="26">
        <f>IF($I12="OK",WORKDAY($B12,7,calendar!$A$2:$A$80),"")</f>
        <v/>
      </c>
      <c r="U12" s="26">
        <f>IF($I12="OK",WORKDAY($B12,10,calendar!$A$2:$A$80),"")</f>
        <v/>
      </c>
      <c r="V12" s="26">
        <f>IF($I12="OK",WORKDAY($B12,14,calendar!$A$2:$A$80),"")</f>
        <v/>
      </c>
      <c r="W12" s="26">
        <f>IF($I12="OK",$B12+30,"")</f>
        <v/>
      </c>
      <c r="X12" s="25">
        <f>IF(NOT($I12="OK"),"",IF($K12&gt;=IF(config!$B$37&lt;&gt;"",config!$B$37,TODAY()),"T-10 brand ships; approvals in",IF($M12&gt;=IF(config!$B$37&lt;&gt;"",config!$B$37,TODAY()),"T-5 receive and count",IF($N12&gt;=IF(config!$B$37&lt;&gt;"",config!$B$37,TODAY()),"T-3 print cards, send windows and posts",IF($O12&gt;=IF(config!$B$37&lt;&gt;"",config!$B$37,TODAY()),"T-1 confirm owners, pack",IF($B12&gt;=IF(config!$B$37&lt;&gt;"",config!$B$37,TODAY()),"T drop day",IF($P12&gt;=IF(config!$B$37&lt;&gt;"",config!$B$37,TODAY()),"T+1 placement confirmation",IF($Q12&gt;=IF(config!$B$37&lt;&gt;"",config!$B$37,TODAY()),"T+2 day-3 photos and top-ups",IF($R12&gt;=IF(config!$B$37&lt;&gt;"",config!$B$37,TODAY()),"T+4 close survey, leftovers",IF($S12&gt;=IF(config!$B$37&lt;&gt;"",config!$B$37,TODAY()),"T+5 newsletter list, reserve",IF($T12&gt;=IF(config!$B$37&lt;&gt;"",config!$B$37,TODAY()),"T+7 report and office summaries",IF($U12&gt;=IF(config!$B$37&lt;&gt;"",config!$B$37,TODAY()),"T+10 brand debrief, export actuals",IF($V12&gt;=IF(config!$B$37&lt;&gt;"",config!$B$37,TODAY()),"T+14 return-label deadline",IF($W12&gt;=IF(config!$B$37&lt;&gt;"",config!$B$37,TODAY()),"T+30 redemption check","done"))))))))))))))</f>
        <v/>
      </c>
      <c r="Y12" s="26">
        <f>IF(NOT($I12="OK"),"",IF($K12&gt;=IF(config!$B$37&lt;&gt;"",config!$B$37,TODAY()),$K12,IF($M12&gt;=IF(config!$B$37&lt;&gt;"",config!$B$37,TODAY()),$M12,IF($N12&gt;=IF(config!$B$37&lt;&gt;"",config!$B$37,TODAY()),$N12,IF($O12&gt;=IF(config!$B$37&lt;&gt;"",config!$B$37,TODAY()),$O12,IF($B12&gt;=IF(config!$B$37&lt;&gt;"",config!$B$37,TODAY()),$B12,IF($P12&gt;=IF(config!$B$37&lt;&gt;"",config!$B$37,TODAY()),$P12,IF($Q12&gt;=IF(config!$B$37&lt;&gt;"",config!$B$37,TODAY()),$Q12,IF($R12&gt;=IF(config!$B$37&lt;&gt;"",config!$B$37,TODAY()),$R12,IF($S12&gt;=IF(config!$B$37&lt;&gt;"",config!$B$37,TODAY()),$S12,IF($T12&gt;=IF(config!$B$37&lt;&gt;"",config!$B$37,TODAY()),$T12,IF($U12&gt;=IF(config!$B$37&lt;&gt;"",config!$B$37,TODAY()),$U12,IF($V12&gt;=IF(config!$B$37&lt;&gt;"",config!$B$37,TODAY()),$V12,IF($W12&gt;=IF(config!$B$37&lt;&gt;"",config!$B$37,TODAY()),$W12,""))))))))))))))</f>
        <v/>
      </c>
      <c r="Z12" s="25">
        <f>IF($A12="","",COUNTIF(campaigns!$B$2:$B$51,$A12))</f>
        <v/>
      </c>
      <c r="AA12" s="25">
        <f>IF($A12="","",COUNTIF(stops!$A$2:$A$151,$A12))</f>
        <v/>
      </c>
      <c r="AB12" s="25">
        <f>IF($A12="","",SUMIFS(approvals!$S$2:$S$251,approvals!$H$2:$H$251,$A12,approvals!$P$2:$P$251,"Y"))</f>
        <v/>
      </c>
      <c r="AC12" s="27">
        <f>IF($A12="","",SUMIFS(campaigns!$DB$2:$DB$51,campaigns!$B$2:$B$51,$A12))</f>
        <v/>
      </c>
      <c r="AD12" s="27">
        <f>IF($A12="","",SUMIFS(costs!$E$2:$E$301,costs!$B$2:$B$301,$A12,costs!$D$2:$D$301,"kit"))</f>
        <v/>
      </c>
      <c r="AE12" s="27">
        <f>IF($A12="","",SUMIFS(costs!$E$2:$E$301,costs!$B$2:$B$301,$A12,costs!$D$2:$D$301,"transport"))</f>
        <v/>
      </c>
      <c r="AF12" s="27">
        <f>IF($A12="","",SUMIFS(costs!$E$2:$E$301,costs!$B$2:$B$301,$A12,costs!$D$2:$D$301,"other_direct"))</f>
        <v/>
      </c>
      <c r="AG12" s="27">
        <f>IF($A12="","",$AD12+$AE12+$AF12)</f>
        <v/>
      </c>
      <c r="AH12" s="27">
        <f>IF(OR($A12="",N($AA12)=0),"",ROUND($AG12/$AA12,2))</f>
        <v/>
      </c>
      <c r="AI12" s="28">
        <f>IF($A12="","",SUMIFS(hours!$E$2:$E$1501,hours!$B$2:$B$1501,$A12))</f>
        <v/>
      </c>
      <c r="AJ12" s="27">
        <f>IF($A12="","",$AC12-SUMIFS(campaigns!$DF$2:$DF$51,campaigns!$B$2:$B$51,$A12)-$AG12)</f>
        <v/>
      </c>
      <c r="AK12" s="27">
        <f>IF(OR($A12="",N($AI12)=0),"",ROUND($AJ12/$AI12,2))</f>
        <v/>
      </c>
      <c r="AL12" s="29">
        <f>IF(OR($A12="",SUMIFS(campaigns!$CB$2:$CB$51,campaigns!$B$2:$B$51,$A12)=0),"",SUMIFS(campaigns!$CD$2:$CD$51,campaigns!$B$2:$B$51,$A12)/SUMIFS(campaigns!$CB$2:$CB$51,campaigns!$B$2:$B$51,$A12))</f>
        <v/>
      </c>
      <c r="AM12" s="25">
        <f>IF(OR($A12="",COUNTIFS(approvals!$H$2:$H$251,$A12,approvals!$Q$2:$Q$251,"Y")=0),"",SUMPRODUCT(MIN(approvals!$BB$2:$BB$251+(approvals!$H$2:$H$251&lt;&gt;$A12)*1000000)))</f>
        <v/>
      </c>
      <c r="AN12" s="25">
        <f>IF(OR($A12="",$T12=""),"",COUNTIFS(campaigns!$B$2:$B$51,$A12,campaigns!$DT$2:$DT$51,"late"))</f>
        <v/>
      </c>
      <c r="AO12" s="25">
        <f>IF($A12="","",COUNTIFS(campaigns!$B$2:$B$51,$A12,campaigns!$AV$2:$AV$51,"yes"))</f>
        <v/>
      </c>
    </row>
    <row r="13">
      <c r="B13" s="9" t="n"/>
      <c r="I13" s="25">
        <f>IF($B13="","",IF(AND(WEEKDAY($B13)&lt;&gt;3,WEEKDAY($B13)&lt;&gt;4),"REFUSED: a "&amp;TEXT($B13,"dddd")&amp;". Tuesday or Wednesday only",IF(COUNTIF(calendar!$A$2:$A$80,$B13)&gt;0,"REFUSED: a federal holiday",IF(COUNTIFS(calendar!$D$2:$D$20,"&lt;="&amp;WORKDAY($B13,4,calendar!$A$2:$A$80),calendar!$E$2:$E$20,"&gt;="&amp;$B13)&gt;0,"REFUSED: the five-day window overlaps a blackout","OK"))))</f>
        <v/>
      </c>
      <c r="J13" s="25">
        <f>IF($B13="","",TEXT($B13,"ddd"))</f>
        <v/>
      </c>
      <c r="K13" s="26">
        <f>IF($I13="OK",WORKDAY($B13,-10,calendar!$A$2:$A$80),"")</f>
        <v/>
      </c>
      <c r="L13" s="26">
        <f>IF($I13="OK",IF(SUMPRODUCT((calendar!$D$2:$D$20&lt;=$M13)*(calendar!$E$2:$E$20&gt;=$K13)*calendar!$D$2:$D$20)=0,$K13,MIN($K13,WORKDAY(SUMPRODUCT((calendar!$D$2:$D$20&lt;=$M13)*(calendar!$E$2:$E$20&gt;=$K13)*calendar!$D$2:$D$20)+5,-1,calendar!$A$2:$A$80))),"")</f>
        <v/>
      </c>
      <c r="M13" s="26">
        <f>IF($I13="OK",WORKDAY($B13,-5,calendar!$A$2:$A$80),"")</f>
        <v/>
      </c>
      <c r="N13" s="26">
        <f>IF($I13="OK",WORKDAY($B13,-3,calendar!$A$2:$A$80),"")</f>
        <v/>
      </c>
      <c r="O13" s="26">
        <f>IF($I13="OK",WORKDAY($B13,-1,calendar!$A$2:$A$80),"")</f>
        <v/>
      </c>
      <c r="P13" s="26">
        <f>IF($I13="OK",WORKDAY($B13,1,calendar!$A$2:$A$80),"")</f>
        <v/>
      </c>
      <c r="Q13" s="26">
        <f>IF($I13="OK",WORKDAY($B13,2,calendar!$A$2:$A$80),"")</f>
        <v/>
      </c>
      <c r="R13" s="26">
        <f>IF($I13="OK",WORKDAY($B13,4,calendar!$A$2:$A$80),"")</f>
        <v/>
      </c>
      <c r="S13" s="26">
        <f>IF($I13="OK",WORKDAY($B13,5,calendar!$A$2:$A$80),"")</f>
        <v/>
      </c>
      <c r="T13" s="26">
        <f>IF($I13="OK",WORKDAY($B13,7,calendar!$A$2:$A$80),"")</f>
        <v/>
      </c>
      <c r="U13" s="26">
        <f>IF($I13="OK",WORKDAY($B13,10,calendar!$A$2:$A$80),"")</f>
        <v/>
      </c>
      <c r="V13" s="26">
        <f>IF($I13="OK",WORKDAY($B13,14,calendar!$A$2:$A$80),"")</f>
        <v/>
      </c>
      <c r="W13" s="26">
        <f>IF($I13="OK",$B13+30,"")</f>
        <v/>
      </c>
      <c r="X13" s="25">
        <f>IF(NOT($I13="OK"),"",IF($K13&gt;=IF(config!$B$37&lt;&gt;"",config!$B$37,TODAY()),"T-10 brand ships; approvals in",IF($M13&gt;=IF(config!$B$37&lt;&gt;"",config!$B$37,TODAY()),"T-5 receive and count",IF($N13&gt;=IF(config!$B$37&lt;&gt;"",config!$B$37,TODAY()),"T-3 print cards, send windows and posts",IF($O13&gt;=IF(config!$B$37&lt;&gt;"",config!$B$37,TODAY()),"T-1 confirm owners, pack",IF($B13&gt;=IF(config!$B$37&lt;&gt;"",config!$B$37,TODAY()),"T drop day",IF($P13&gt;=IF(config!$B$37&lt;&gt;"",config!$B$37,TODAY()),"T+1 placement confirmation",IF($Q13&gt;=IF(config!$B$37&lt;&gt;"",config!$B$37,TODAY()),"T+2 day-3 photos and top-ups",IF($R13&gt;=IF(config!$B$37&lt;&gt;"",config!$B$37,TODAY()),"T+4 close survey, leftovers",IF($S13&gt;=IF(config!$B$37&lt;&gt;"",config!$B$37,TODAY()),"T+5 newsletter list, reserve",IF($T13&gt;=IF(config!$B$37&lt;&gt;"",config!$B$37,TODAY()),"T+7 report and office summaries",IF($U13&gt;=IF(config!$B$37&lt;&gt;"",config!$B$37,TODAY()),"T+10 brand debrief, export actuals",IF($V13&gt;=IF(config!$B$37&lt;&gt;"",config!$B$37,TODAY()),"T+14 return-label deadline",IF($W13&gt;=IF(config!$B$37&lt;&gt;"",config!$B$37,TODAY()),"T+30 redemption check","done"))))))))))))))</f>
        <v/>
      </c>
      <c r="Y13" s="26">
        <f>IF(NOT($I13="OK"),"",IF($K13&gt;=IF(config!$B$37&lt;&gt;"",config!$B$37,TODAY()),$K13,IF($M13&gt;=IF(config!$B$37&lt;&gt;"",config!$B$37,TODAY()),$M13,IF($N13&gt;=IF(config!$B$37&lt;&gt;"",config!$B$37,TODAY()),$N13,IF($O13&gt;=IF(config!$B$37&lt;&gt;"",config!$B$37,TODAY()),$O13,IF($B13&gt;=IF(config!$B$37&lt;&gt;"",config!$B$37,TODAY()),$B13,IF($P13&gt;=IF(config!$B$37&lt;&gt;"",config!$B$37,TODAY()),$P13,IF($Q13&gt;=IF(config!$B$37&lt;&gt;"",config!$B$37,TODAY()),$Q13,IF($R13&gt;=IF(config!$B$37&lt;&gt;"",config!$B$37,TODAY()),$R13,IF($S13&gt;=IF(config!$B$37&lt;&gt;"",config!$B$37,TODAY()),$S13,IF($T13&gt;=IF(config!$B$37&lt;&gt;"",config!$B$37,TODAY()),$T13,IF($U13&gt;=IF(config!$B$37&lt;&gt;"",config!$B$37,TODAY()),$U13,IF($V13&gt;=IF(config!$B$37&lt;&gt;"",config!$B$37,TODAY()),$V13,IF($W13&gt;=IF(config!$B$37&lt;&gt;"",config!$B$37,TODAY()),$W13,""))))))))))))))</f>
        <v/>
      </c>
      <c r="Z13" s="25">
        <f>IF($A13="","",COUNTIF(campaigns!$B$2:$B$51,$A13))</f>
        <v/>
      </c>
      <c r="AA13" s="25">
        <f>IF($A13="","",COUNTIF(stops!$A$2:$A$151,$A13))</f>
        <v/>
      </c>
      <c r="AB13" s="25">
        <f>IF($A13="","",SUMIFS(approvals!$S$2:$S$251,approvals!$H$2:$H$251,$A13,approvals!$P$2:$P$251,"Y"))</f>
        <v/>
      </c>
      <c r="AC13" s="27">
        <f>IF($A13="","",SUMIFS(campaigns!$DB$2:$DB$51,campaigns!$B$2:$B$51,$A13))</f>
        <v/>
      </c>
      <c r="AD13" s="27">
        <f>IF($A13="","",SUMIFS(costs!$E$2:$E$301,costs!$B$2:$B$301,$A13,costs!$D$2:$D$301,"kit"))</f>
        <v/>
      </c>
      <c r="AE13" s="27">
        <f>IF($A13="","",SUMIFS(costs!$E$2:$E$301,costs!$B$2:$B$301,$A13,costs!$D$2:$D$301,"transport"))</f>
        <v/>
      </c>
      <c r="AF13" s="27">
        <f>IF($A13="","",SUMIFS(costs!$E$2:$E$301,costs!$B$2:$B$301,$A13,costs!$D$2:$D$301,"other_direct"))</f>
        <v/>
      </c>
      <c r="AG13" s="27">
        <f>IF($A13="","",$AD13+$AE13+$AF13)</f>
        <v/>
      </c>
      <c r="AH13" s="27">
        <f>IF(OR($A13="",N($AA13)=0),"",ROUND($AG13/$AA13,2))</f>
        <v/>
      </c>
      <c r="AI13" s="28">
        <f>IF($A13="","",SUMIFS(hours!$E$2:$E$1501,hours!$B$2:$B$1501,$A13))</f>
        <v/>
      </c>
      <c r="AJ13" s="27">
        <f>IF($A13="","",$AC13-SUMIFS(campaigns!$DF$2:$DF$51,campaigns!$B$2:$B$51,$A13)-$AG13)</f>
        <v/>
      </c>
      <c r="AK13" s="27">
        <f>IF(OR($A13="",N($AI13)=0),"",ROUND($AJ13/$AI13,2))</f>
        <v/>
      </c>
      <c r="AL13" s="29">
        <f>IF(OR($A13="",SUMIFS(campaigns!$CB$2:$CB$51,campaigns!$B$2:$B$51,$A13)=0),"",SUMIFS(campaigns!$CD$2:$CD$51,campaigns!$B$2:$B$51,$A13)/SUMIFS(campaigns!$CB$2:$CB$51,campaigns!$B$2:$B$51,$A13))</f>
        <v/>
      </c>
      <c r="AM13" s="25">
        <f>IF(OR($A13="",COUNTIFS(approvals!$H$2:$H$251,$A13,approvals!$Q$2:$Q$251,"Y")=0),"",SUMPRODUCT(MIN(approvals!$BB$2:$BB$251+(approvals!$H$2:$H$251&lt;&gt;$A13)*1000000)))</f>
        <v/>
      </c>
      <c r="AN13" s="25">
        <f>IF(OR($A13="",$T13=""),"",COUNTIFS(campaigns!$B$2:$B$51,$A13,campaigns!$DT$2:$DT$51,"late"))</f>
        <v/>
      </c>
      <c r="AO13" s="25">
        <f>IF($A13="","",COUNTIFS(campaigns!$B$2:$B$51,$A13,campaigns!$AV$2:$AV$51,"yes"))</f>
        <v/>
      </c>
    </row>
    <row r="14">
      <c r="B14" s="9" t="n"/>
      <c r="I14" s="25">
        <f>IF($B14="","",IF(AND(WEEKDAY($B14)&lt;&gt;3,WEEKDAY($B14)&lt;&gt;4),"REFUSED: a "&amp;TEXT($B14,"dddd")&amp;". Tuesday or Wednesday only",IF(COUNTIF(calendar!$A$2:$A$80,$B14)&gt;0,"REFUSED: a federal holiday",IF(COUNTIFS(calendar!$D$2:$D$20,"&lt;="&amp;WORKDAY($B14,4,calendar!$A$2:$A$80),calendar!$E$2:$E$20,"&gt;="&amp;$B14)&gt;0,"REFUSED: the five-day window overlaps a blackout","OK"))))</f>
        <v/>
      </c>
      <c r="J14" s="25">
        <f>IF($B14="","",TEXT($B14,"ddd"))</f>
        <v/>
      </c>
      <c r="K14" s="26">
        <f>IF($I14="OK",WORKDAY($B14,-10,calendar!$A$2:$A$80),"")</f>
        <v/>
      </c>
      <c r="L14" s="26">
        <f>IF($I14="OK",IF(SUMPRODUCT((calendar!$D$2:$D$20&lt;=$M14)*(calendar!$E$2:$E$20&gt;=$K14)*calendar!$D$2:$D$20)=0,$K14,MIN($K14,WORKDAY(SUMPRODUCT((calendar!$D$2:$D$20&lt;=$M14)*(calendar!$E$2:$E$20&gt;=$K14)*calendar!$D$2:$D$20)+5,-1,calendar!$A$2:$A$80))),"")</f>
        <v/>
      </c>
      <c r="M14" s="26">
        <f>IF($I14="OK",WORKDAY($B14,-5,calendar!$A$2:$A$80),"")</f>
        <v/>
      </c>
      <c r="N14" s="26">
        <f>IF($I14="OK",WORKDAY($B14,-3,calendar!$A$2:$A$80),"")</f>
        <v/>
      </c>
      <c r="O14" s="26">
        <f>IF($I14="OK",WORKDAY($B14,-1,calendar!$A$2:$A$80),"")</f>
        <v/>
      </c>
      <c r="P14" s="26">
        <f>IF($I14="OK",WORKDAY($B14,1,calendar!$A$2:$A$80),"")</f>
        <v/>
      </c>
      <c r="Q14" s="26">
        <f>IF($I14="OK",WORKDAY($B14,2,calendar!$A$2:$A$80),"")</f>
        <v/>
      </c>
      <c r="R14" s="26">
        <f>IF($I14="OK",WORKDAY($B14,4,calendar!$A$2:$A$80),"")</f>
        <v/>
      </c>
      <c r="S14" s="26">
        <f>IF($I14="OK",WORKDAY($B14,5,calendar!$A$2:$A$80),"")</f>
        <v/>
      </c>
      <c r="T14" s="26">
        <f>IF($I14="OK",WORKDAY($B14,7,calendar!$A$2:$A$80),"")</f>
        <v/>
      </c>
      <c r="U14" s="26">
        <f>IF($I14="OK",WORKDAY($B14,10,calendar!$A$2:$A$80),"")</f>
        <v/>
      </c>
      <c r="V14" s="26">
        <f>IF($I14="OK",WORKDAY($B14,14,calendar!$A$2:$A$80),"")</f>
        <v/>
      </c>
      <c r="W14" s="26">
        <f>IF($I14="OK",$B14+30,"")</f>
        <v/>
      </c>
      <c r="X14" s="25">
        <f>IF(NOT($I14="OK"),"",IF($K14&gt;=IF(config!$B$37&lt;&gt;"",config!$B$37,TODAY()),"T-10 brand ships; approvals in",IF($M14&gt;=IF(config!$B$37&lt;&gt;"",config!$B$37,TODAY()),"T-5 receive and count",IF($N14&gt;=IF(config!$B$37&lt;&gt;"",config!$B$37,TODAY()),"T-3 print cards, send windows and posts",IF($O14&gt;=IF(config!$B$37&lt;&gt;"",config!$B$37,TODAY()),"T-1 confirm owners, pack",IF($B14&gt;=IF(config!$B$37&lt;&gt;"",config!$B$37,TODAY()),"T drop day",IF($P14&gt;=IF(config!$B$37&lt;&gt;"",config!$B$37,TODAY()),"T+1 placement confirmation",IF($Q14&gt;=IF(config!$B$37&lt;&gt;"",config!$B$37,TODAY()),"T+2 day-3 photos and top-ups",IF($R14&gt;=IF(config!$B$37&lt;&gt;"",config!$B$37,TODAY()),"T+4 close survey, leftovers",IF($S14&gt;=IF(config!$B$37&lt;&gt;"",config!$B$37,TODAY()),"T+5 newsletter list, reserve",IF($T14&gt;=IF(config!$B$37&lt;&gt;"",config!$B$37,TODAY()),"T+7 report and office summaries",IF($U14&gt;=IF(config!$B$37&lt;&gt;"",config!$B$37,TODAY()),"T+10 brand debrief, export actuals",IF($V14&gt;=IF(config!$B$37&lt;&gt;"",config!$B$37,TODAY()),"T+14 return-label deadline",IF($W14&gt;=IF(config!$B$37&lt;&gt;"",config!$B$37,TODAY()),"T+30 redemption check","done"))))))))))))))</f>
        <v/>
      </c>
      <c r="Y14" s="26">
        <f>IF(NOT($I14="OK"),"",IF($K14&gt;=IF(config!$B$37&lt;&gt;"",config!$B$37,TODAY()),$K14,IF($M14&gt;=IF(config!$B$37&lt;&gt;"",config!$B$37,TODAY()),$M14,IF($N14&gt;=IF(config!$B$37&lt;&gt;"",config!$B$37,TODAY()),$N14,IF($O14&gt;=IF(config!$B$37&lt;&gt;"",config!$B$37,TODAY()),$O14,IF($B14&gt;=IF(config!$B$37&lt;&gt;"",config!$B$37,TODAY()),$B14,IF($P14&gt;=IF(config!$B$37&lt;&gt;"",config!$B$37,TODAY()),$P14,IF($Q14&gt;=IF(config!$B$37&lt;&gt;"",config!$B$37,TODAY()),$Q14,IF($R14&gt;=IF(config!$B$37&lt;&gt;"",config!$B$37,TODAY()),$R14,IF($S14&gt;=IF(config!$B$37&lt;&gt;"",config!$B$37,TODAY()),$S14,IF($T14&gt;=IF(config!$B$37&lt;&gt;"",config!$B$37,TODAY()),$T14,IF($U14&gt;=IF(config!$B$37&lt;&gt;"",config!$B$37,TODAY()),$U14,IF($V14&gt;=IF(config!$B$37&lt;&gt;"",config!$B$37,TODAY()),$V14,IF($W14&gt;=IF(config!$B$37&lt;&gt;"",config!$B$37,TODAY()),$W14,""))))))))))))))</f>
        <v/>
      </c>
      <c r="Z14" s="25">
        <f>IF($A14="","",COUNTIF(campaigns!$B$2:$B$51,$A14))</f>
        <v/>
      </c>
      <c r="AA14" s="25">
        <f>IF($A14="","",COUNTIF(stops!$A$2:$A$151,$A14))</f>
        <v/>
      </c>
      <c r="AB14" s="25">
        <f>IF($A14="","",SUMIFS(approvals!$S$2:$S$251,approvals!$H$2:$H$251,$A14,approvals!$P$2:$P$251,"Y"))</f>
        <v/>
      </c>
      <c r="AC14" s="27">
        <f>IF($A14="","",SUMIFS(campaigns!$DB$2:$DB$51,campaigns!$B$2:$B$51,$A14))</f>
        <v/>
      </c>
      <c r="AD14" s="27">
        <f>IF($A14="","",SUMIFS(costs!$E$2:$E$301,costs!$B$2:$B$301,$A14,costs!$D$2:$D$301,"kit"))</f>
        <v/>
      </c>
      <c r="AE14" s="27">
        <f>IF($A14="","",SUMIFS(costs!$E$2:$E$301,costs!$B$2:$B$301,$A14,costs!$D$2:$D$301,"transport"))</f>
        <v/>
      </c>
      <c r="AF14" s="27">
        <f>IF($A14="","",SUMIFS(costs!$E$2:$E$301,costs!$B$2:$B$301,$A14,costs!$D$2:$D$301,"other_direct"))</f>
        <v/>
      </c>
      <c r="AG14" s="27">
        <f>IF($A14="","",$AD14+$AE14+$AF14)</f>
        <v/>
      </c>
      <c r="AH14" s="27">
        <f>IF(OR($A14="",N($AA14)=0),"",ROUND($AG14/$AA14,2))</f>
        <v/>
      </c>
      <c r="AI14" s="28">
        <f>IF($A14="","",SUMIFS(hours!$E$2:$E$1501,hours!$B$2:$B$1501,$A14))</f>
        <v/>
      </c>
      <c r="AJ14" s="27">
        <f>IF($A14="","",$AC14-SUMIFS(campaigns!$DF$2:$DF$51,campaigns!$B$2:$B$51,$A14)-$AG14)</f>
        <v/>
      </c>
      <c r="AK14" s="27">
        <f>IF(OR($A14="",N($AI14)=0),"",ROUND($AJ14/$AI14,2))</f>
        <v/>
      </c>
      <c r="AL14" s="29">
        <f>IF(OR($A14="",SUMIFS(campaigns!$CB$2:$CB$51,campaigns!$B$2:$B$51,$A14)=0),"",SUMIFS(campaigns!$CD$2:$CD$51,campaigns!$B$2:$B$51,$A14)/SUMIFS(campaigns!$CB$2:$CB$51,campaigns!$B$2:$B$51,$A14))</f>
        <v/>
      </c>
      <c r="AM14" s="25">
        <f>IF(OR($A14="",COUNTIFS(approvals!$H$2:$H$251,$A14,approvals!$Q$2:$Q$251,"Y")=0),"",SUMPRODUCT(MIN(approvals!$BB$2:$BB$251+(approvals!$H$2:$H$251&lt;&gt;$A14)*1000000)))</f>
        <v/>
      </c>
      <c r="AN14" s="25">
        <f>IF(OR($A14="",$T14=""),"",COUNTIFS(campaigns!$B$2:$B$51,$A14,campaigns!$DT$2:$DT$51,"late"))</f>
        <v/>
      </c>
      <c r="AO14" s="25">
        <f>IF($A14="","",COUNTIFS(campaigns!$B$2:$B$51,$A14,campaigns!$AV$2:$AV$51,"yes"))</f>
        <v/>
      </c>
    </row>
    <row r="15">
      <c r="B15" s="9" t="n"/>
      <c r="I15" s="25">
        <f>IF($B15="","",IF(AND(WEEKDAY($B15)&lt;&gt;3,WEEKDAY($B15)&lt;&gt;4),"REFUSED: a "&amp;TEXT($B15,"dddd")&amp;". Tuesday or Wednesday only",IF(COUNTIF(calendar!$A$2:$A$80,$B15)&gt;0,"REFUSED: a federal holiday",IF(COUNTIFS(calendar!$D$2:$D$20,"&lt;="&amp;WORKDAY($B15,4,calendar!$A$2:$A$80),calendar!$E$2:$E$20,"&gt;="&amp;$B15)&gt;0,"REFUSED: the five-day window overlaps a blackout","OK"))))</f>
        <v/>
      </c>
      <c r="J15" s="25">
        <f>IF($B15="","",TEXT($B15,"ddd"))</f>
        <v/>
      </c>
      <c r="K15" s="26">
        <f>IF($I15="OK",WORKDAY($B15,-10,calendar!$A$2:$A$80),"")</f>
        <v/>
      </c>
      <c r="L15" s="26">
        <f>IF($I15="OK",IF(SUMPRODUCT((calendar!$D$2:$D$20&lt;=$M15)*(calendar!$E$2:$E$20&gt;=$K15)*calendar!$D$2:$D$20)=0,$K15,MIN($K15,WORKDAY(SUMPRODUCT((calendar!$D$2:$D$20&lt;=$M15)*(calendar!$E$2:$E$20&gt;=$K15)*calendar!$D$2:$D$20)+5,-1,calendar!$A$2:$A$80))),"")</f>
        <v/>
      </c>
      <c r="M15" s="26">
        <f>IF($I15="OK",WORKDAY($B15,-5,calendar!$A$2:$A$80),"")</f>
        <v/>
      </c>
      <c r="N15" s="26">
        <f>IF($I15="OK",WORKDAY($B15,-3,calendar!$A$2:$A$80),"")</f>
        <v/>
      </c>
      <c r="O15" s="26">
        <f>IF($I15="OK",WORKDAY($B15,-1,calendar!$A$2:$A$80),"")</f>
        <v/>
      </c>
      <c r="P15" s="26">
        <f>IF($I15="OK",WORKDAY($B15,1,calendar!$A$2:$A$80),"")</f>
        <v/>
      </c>
      <c r="Q15" s="26">
        <f>IF($I15="OK",WORKDAY($B15,2,calendar!$A$2:$A$80),"")</f>
        <v/>
      </c>
      <c r="R15" s="26">
        <f>IF($I15="OK",WORKDAY($B15,4,calendar!$A$2:$A$80),"")</f>
        <v/>
      </c>
      <c r="S15" s="26">
        <f>IF($I15="OK",WORKDAY($B15,5,calendar!$A$2:$A$80),"")</f>
        <v/>
      </c>
      <c r="T15" s="26">
        <f>IF($I15="OK",WORKDAY($B15,7,calendar!$A$2:$A$80),"")</f>
        <v/>
      </c>
      <c r="U15" s="26">
        <f>IF($I15="OK",WORKDAY($B15,10,calendar!$A$2:$A$80),"")</f>
        <v/>
      </c>
      <c r="V15" s="26">
        <f>IF($I15="OK",WORKDAY($B15,14,calendar!$A$2:$A$80),"")</f>
        <v/>
      </c>
      <c r="W15" s="26">
        <f>IF($I15="OK",$B15+30,"")</f>
        <v/>
      </c>
      <c r="X15" s="25">
        <f>IF(NOT($I15="OK"),"",IF($K15&gt;=IF(config!$B$37&lt;&gt;"",config!$B$37,TODAY()),"T-10 brand ships; approvals in",IF($M15&gt;=IF(config!$B$37&lt;&gt;"",config!$B$37,TODAY()),"T-5 receive and count",IF($N15&gt;=IF(config!$B$37&lt;&gt;"",config!$B$37,TODAY()),"T-3 print cards, send windows and posts",IF($O15&gt;=IF(config!$B$37&lt;&gt;"",config!$B$37,TODAY()),"T-1 confirm owners, pack",IF($B15&gt;=IF(config!$B$37&lt;&gt;"",config!$B$37,TODAY()),"T drop day",IF($P15&gt;=IF(config!$B$37&lt;&gt;"",config!$B$37,TODAY()),"T+1 placement confirmation",IF($Q15&gt;=IF(config!$B$37&lt;&gt;"",config!$B$37,TODAY()),"T+2 day-3 photos and top-ups",IF($R15&gt;=IF(config!$B$37&lt;&gt;"",config!$B$37,TODAY()),"T+4 close survey, leftovers",IF($S15&gt;=IF(config!$B$37&lt;&gt;"",config!$B$37,TODAY()),"T+5 newsletter list, reserve",IF($T15&gt;=IF(config!$B$37&lt;&gt;"",config!$B$37,TODAY()),"T+7 report and office summaries",IF($U15&gt;=IF(config!$B$37&lt;&gt;"",config!$B$37,TODAY()),"T+10 brand debrief, export actuals",IF($V15&gt;=IF(config!$B$37&lt;&gt;"",config!$B$37,TODAY()),"T+14 return-label deadline",IF($W15&gt;=IF(config!$B$37&lt;&gt;"",config!$B$37,TODAY()),"T+30 redemption check","done"))))))))))))))</f>
        <v/>
      </c>
      <c r="Y15" s="26">
        <f>IF(NOT($I15="OK"),"",IF($K15&gt;=IF(config!$B$37&lt;&gt;"",config!$B$37,TODAY()),$K15,IF($M15&gt;=IF(config!$B$37&lt;&gt;"",config!$B$37,TODAY()),$M15,IF($N15&gt;=IF(config!$B$37&lt;&gt;"",config!$B$37,TODAY()),$N15,IF($O15&gt;=IF(config!$B$37&lt;&gt;"",config!$B$37,TODAY()),$O15,IF($B15&gt;=IF(config!$B$37&lt;&gt;"",config!$B$37,TODAY()),$B15,IF($P15&gt;=IF(config!$B$37&lt;&gt;"",config!$B$37,TODAY()),$P15,IF($Q15&gt;=IF(config!$B$37&lt;&gt;"",config!$B$37,TODAY()),$Q15,IF($R15&gt;=IF(config!$B$37&lt;&gt;"",config!$B$37,TODAY()),$R15,IF($S15&gt;=IF(config!$B$37&lt;&gt;"",config!$B$37,TODAY()),$S15,IF($T15&gt;=IF(config!$B$37&lt;&gt;"",config!$B$37,TODAY()),$T15,IF($U15&gt;=IF(config!$B$37&lt;&gt;"",config!$B$37,TODAY()),$U15,IF($V15&gt;=IF(config!$B$37&lt;&gt;"",config!$B$37,TODAY()),$V15,IF($W15&gt;=IF(config!$B$37&lt;&gt;"",config!$B$37,TODAY()),$W15,""))))))))))))))</f>
        <v/>
      </c>
      <c r="Z15" s="25">
        <f>IF($A15="","",COUNTIF(campaigns!$B$2:$B$51,$A15))</f>
        <v/>
      </c>
      <c r="AA15" s="25">
        <f>IF($A15="","",COUNTIF(stops!$A$2:$A$151,$A15))</f>
        <v/>
      </c>
      <c r="AB15" s="25">
        <f>IF($A15="","",SUMIFS(approvals!$S$2:$S$251,approvals!$H$2:$H$251,$A15,approvals!$P$2:$P$251,"Y"))</f>
        <v/>
      </c>
      <c r="AC15" s="27">
        <f>IF($A15="","",SUMIFS(campaigns!$DB$2:$DB$51,campaigns!$B$2:$B$51,$A15))</f>
        <v/>
      </c>
      <c r="AD15" s="27">
        <f>IF($A15="","",SUMIFS(costs!$E$2:$E$301,costs!$B$2:$B$301,$A15,costs!$D$2:$D$301,"kit"))</f>
        <v/>
      </c>
      <c r="AE15" s="27">
        <f>IF($A15="","",SUMIFS(costs!$E$2:$E$301,costs!$B$2:$B$301,$A15,costs!$D$2:$D$301,"transport"))</f>
        <v/>
      </c>
      <c r="AF15" s="27">
        <f>IF($A15="","",SUMIFS(costs!$E$2:$E$301,costs!$B$2:$B$301,$A15,costs!$D$2:$D$301,"other_direct"))</f>
        <v/>
      </c>
      <c r="AG15" s="27">
        <f>IF($A15="","",$AD15+$AE15+$AF15)</f>
        <v/>
      </c>
      <c r="AH15" s="27">
        <f>IF(OR($A15="",N($AA15)=0),"",ROUND($AG15/$AA15,2))</f>
        <v/>
      </c>
      <c r="AI15" s="28">
        <f>IF($A15="","",SUMIFS(hours!$E$2:$E$1501,hours!$B$2:$B$1501,$A15))</f>
        <v/>
      </c>
      <c r="AJ15" s="27">
        <f>IF($A15="","",$AC15-SUMIFS(campaigns!$DF$2:$DF$51,campaigns!$B$2:$B$51,$A15)-$AG15)</f>
        <v/>
      </c>
      <c r="AK15" s="27">
        <f>IF(OR($A15="",N($AI15)=0),"",ROUND($AJ15/$AI15,2))</f>
        <v/>
      </c>
      <c r="AL15" s="29">
        <f>IF(OR($A15="",SUMIFS(campaigns!$CB$2:$CB$51,campaigns!$B$2:$B$51,$A15)=0),"",SUMIFS(campaigns!$CD$2:$CD$51,campaigns!$B$2:$B$51,$A15)/SUMIFS(campaigns!$CB$2:$CB$51,campaigns!$B$2:$B$51,$A15))</f>
        <v/>
      </c>
      <c r="AM15" s="25">
        <f>IF(OR($A15="",COUNTIFS(approvals!$H$2:$H$251,$A15,approvals!$Q$2:$Q$251,"Y")=0),"",SUMPRODUCT(MIN(approvals!$BB$2:$BB$251+(approvals!$H$2:$H$251&lt;&gt;$A15)*1000000)))</f>
        <v/>
      </c>
      <c r="AN15" s="25">
        <f>IF(OR($A15="",$T15=""),"",COUNTIFS(campaigns!$B$2:$B$51,$A15,campaigns!$DT$2:$DT$51,"late"))</f>
        <v/>
      </c>
      <c r="AO15" s="25">
        <f>IF($A15="","",COUNTIFS(campaigns!$B$2:$B$51,$A15,campaigns!$AV$2:$AV$51,"yes"))</f>
        <v/>
      </c>
    </row>
    <row r="16">
      <c r="B16" s="9" t="n"/>
      <c r="I16" s="25">
        <f>IF($B16="","",IF(AND(WEEKDAY($B16)&lt;&gt;3,WEEKDAY($B16)&lt;&gt;4),"REFUSED: a "&amp;TEXT($B16,"dddd")&amp;". Tuesday or Wednesday only",IF(COUNTIF(calendar!$A$2:$A$80,$B16)&gt;0,"REFUSED: a federal holiday",IF(COUNTIFS(calendar!$D$2:$D$20,"&lt;="&amp;WORKDAY($B16,4,calendar!$A$2:$A$80),calendar!$E$2:$E$20,"&gt;="&amp;$B16)&gt;0,"REFUSED: the five-day window overlaps a blackout","OK"))))</f>
        <v/>
      </c>
      <c r="J16" s="25">
        <f>IF($B16="","",TEXT($B16,"ddd"))</f>
        <v/>
      </c>
      <c r="K16" s="26">
        <f>IF($I16="OK",WORKDAY($B16,-10,calendar!$A$2:$A$80),"")</f>
        <v/>
      </c>
      <c r="L16" s="26">
        <f>IF($I16="OK",IF(SUMPRODUCT((calendar!$D$2:$D$20&lt;=$M16)*(calendar!$E$2:$E$20&gt;=$K16)*calendar!$D$2:$D$20)=0,$K16,MIN($K16,WORKDAY(SUMPRODUCT((calendar!$D$2:$D$20&lt;=$M16)*(calendar!$E$2:$E$20&gt;=$K16)*calendar!$D$2:$D$20)+5,-1,calendar!$A$2:$A$80))),"")</f>
        <v/>
      </c>
      <c r="M16" s="26">
        <f>IF($I16="OK",WORKDAY($B16,-5,calendar!$A$2:$A$80),"")</f>
        <v/>
      </c>
      <c r="N16" s="26">
        <f>IF($I16="OK",WORKDAY($B16,-3,calendar!$A$2:$A$80),"")</f>
        <v/>
      </c>
      <c r="O16" s="26">
        <f>IF($I16="OK",WORKDAY($B16,-1,calendar!$A$2:$A$80),"")</f>
        <v/>
      </c>
      <c r="P16" s="26">
        <f>IF($I16="OK",WORKDAY($B16,1,calendar!$A$2:$A$80),"")</f>
        <v/>
      </c>
      <c r="Q16" s="26">
        <f>IF($I16="OK",WORKDAY($B16,2,calendar!$A$2:$A$80),"")</f>
        <v/>
      </c>
      <c r="R16" s="26">
        <f>IF($I16="OK",WORKDAY($B16,4,calendar!$A$2:$A$80),"")</f>
        <v/>
      </c>
      <c r="S16" s="26">
        <f>IF($I16="OK",WORKDAY($B16,5,calendar!$A$2:$A$80),"")</f>
        <v/>
      </c>
      <c r="T16" s="26">
        <f>IF($I16="OK",WORKDAY($B16,7,calendar!$A$2:$A$80),"")</f>
        <v/>
      </c>
      <c r="U16" s="26">
        <f>IF($I16="OK",WORKDAY($B16,10,calendar!$A$2:$A$80),"")</f>
        <v/>
      </c>
      <c r="V16" s="26">
        <f>IF($I16="OK",WORKDAY($B16,14,calendar!$A$2:$A$80),"")</f>
        <v/>
      </c>
      <c r="W16" s="26">
        <f>IF($I16="OK",$B16+30,"")</f>
        <v/>
      </c>
      <c r="X16" s="25">
        <f>IF(NOT($I16="OK"),"",IF($K16&gt;=IF(config!$B$37&lt;&gt;"",config!$B$37,TODAY()),"T-10 brand ships; approvals in",IF($M16&gt;=IF(config!$B$37&lt;&gt;"",config!$B$37,TODAY()),"T-5 receive and count",IF($N16&gt;=IF(config!$B$37&lt;&gt;"",config!$B$37,TODAY()),"T-3 print cards, send windows and posts",IF($O16&gt;=IF(config!$B$37&lt;&gt;"",config!$B$37,TODAY()),"T-1 confirm owners, pack",IF($B16&gt;=IF(config!$B$37&lt;&gt;"",config!$B$37,TODAY()),"T drop day",IF($P16&gt;=IF(config!$B$37&lt;&gt;"",config!$B$37,TODAY()),"T+1 placement confirmation",IF($Q16&gt;=IF(config!$B$37&lt;&gt;"",config!$B$37,TODAY()),"T+2 day-3 photos and top-ups",IF($R16&gt;=IF(config!$B$37&lt;&gt;"",config!$B$37,TODAY()),"T+4 close survey, leftovers",IF($S16&gt;=IF(config!$B$37&lt;&gt;"",config!$B$37,TODAY()),"T+5 newsletter list, reserve",IF($T16&gt;=IF(config!$B$37&lt;&gt;"",config!$B$37,TODAY()),"T+7 report and office summaries",IF($U16&gt;=IF(config!$B$37&lt;&gt;"",config!$B$37,TODAY()),"T+10 brand debrief, export actuals",IF($V16&gt;=IF(config!$B$37&lt;&gt;"",config!$B$37,TODAY()),"T+14 return-label deadline",IF($W16&gt;=IF(config!$B$37&lt;&gt;"",config!$B$37,TODAY()),"T+30 redemption check","done"))))))))))))))</f>
        <v/>
      </c>
      <c r="Y16" s="26">
        <f>IF(NOT($I16="OK"),"",IF($K16&gt;=IF(config!$B$37&lt;&gt;"",config!$B$37,TODAY()),$K16,IF($M16&gt;=IF(config!$B$37&lt;&gt;"",config!$B$37,TODAY()),$M16,IF($N16&gt;=IF(config!$B$37&lt;&gt;"",config!$B$37,TODAY()),$N16,IF($O16&gt;=IF(config!$B$37&lt;&gt;"",config!$B$37,TODAY()),$O16,IF($B16&gt;=IF(config!$B$37&lt;&gt;"",config!$B$37,TODAY()),$B16,IF($P16&gt;=IF(config!$B$37&lt;&gt;"",config!$B$37,TODAY()),$P16,IF($Q16&gt;=IF(config!$B$37&lt;&gt;"",config!$B$37,TODAY()),$Q16,IF($R16&gt;=IF(config!$B$37&lt;&gt;"",config!$B$37,TODAY()),$R16,IF($S16&gt;=IF(config!$B$37&lt;&gt;"",config!$B$37,TODAY()),$S16,IF($T16&gt;=IF(config!$B$37&lt;&gt;"",config!$B$37,TODAY()),$T16,IF($U16&gt;=IF(config!$B$37&lt;&gt;"",config!$B$37,TODAY()),$U16,IF($V16&gt;=IF(config!$B$37&lt;&gt;"",config!$B$37,TODAY()),$V16,IF($W16&gt;=IF(config!$B$37&lt;&gt;"",config!$B$37,TODAY()),$W16,""))))))))))))))</f>
        <v/>
      </c>
      <c r="Z16" s="25">
        <f>IF($A16="","",COUNTIF(campaigns!$B$2:$B$51,$A16))</f>
        <v/>
      </c>
      <c r="AA16" s="25">
        <f>IF($A16="","",COUNTIF(stops!$A$2:$A$151,$A16))</f>
        <v/>
      </c>
      <c r="AB16" s="25">
        <f>IF($A16="","",SUMIFS(approvals!$S$2:$S$251,approvals!$H$2:$H$251,$A16,approvals!$P$2:$P$251,"Y"))</f>
        <v/>
      </c>
      <c r="AC16" s="27">
        <f>IF($A16="","",SUMIFS(campaigns!$DB$2:$DB$51,campaigns!$B$2:$B$51,$A16))</f>
        <v/>
      </c>
      <c r="AD16" s="27">
        <f>IF($A16="","",SUMIFS(costs!$E$2:$E$301,costs!$B$2:$B$301,$A16,costs!$D$2:$D$301,"kit"))</f>
        <v/>
      </c>
      <c r="AE16" s="27">
        <f>IF($A16="","",SUMIFS(costs!$E$2:$E$301,costs!$B$2:$B$301,$A16,costs!$D$2:$D$301,"transport"))</f>
        <v/>
      </c>
      <c r="AF16" s="27">
        <f>IF($A16="","",SUMIFS(costs!$E$2:$E$301,costs!$B$2:$B$301,$A16,costs!$D$2:$D$301,"other_direct"))</f>
        <v/>
      </c>
      <c r="AG16" s="27">
        <f>IF($A16="","",$AD16+$AE16+$AF16)</f>
        <v/>
      </c>
      <c r="AH16" s="27">
        <f>IF(OR($A16="",N($AA16)=0),"",ROUND($AG16/$AA16,2))</f>
        <v/>
      </c>
      <c r="AI16" s="28">
        <f>IF($A16="","",SUMIFS(hours!$E$2:$E$1501,hours!$B$2:$B$1501,$A16))</f>
        <v/>
      </c>
      <c r="AJ16" s="27">
        <f>IF($A16="","",$AC16-SUMIFS(campaigns!$DF$2:$DF$51,campaigns!$B$2:$B$51,$A16)-$AG16)</f>
        <v/>
      </c>
      <c r="AK16" s="27">
        <f>IF(OR($A16="",N($AI16)=0),"",ROUND($AJ16/$AI16,2))</f>
        <v/>
      </c>
      <c r="AL16" s="29">
        <f>IF(OR($A16="",SUMIFS(campaigns!$CB$2:$CB$51,campaigns!$B$2:$B$51,$A16)=0),"",SUMIFS(campaigns!$CD$2:$CD$51,campaigns!$B$2:$B$51,$A16)/SUMIFS(campaigns!$CB$2:$CB$51,campaigns!$B$2:$B$51,$A16))</f>
        <v/>
      </c>
      <c r="AM16" s="25">
        <f>IF(OR($A16="",COUNTIFS(approvals!$H$2:$H$251,$A16,approvals!$Q$2:$Q$251,"Y")=0),"",SUMPRODUCT(MIN(approvals!$BB$2:$BB$251+(approvals!$H$2:$H$251&lt;&gt;$A16)*1000000)))</f>
        <v/>
      </c>
      <c r="AN16" s="25">
        <f>IF(OR($A16="",$T16=""),"",COUNTIFS(campaigns!$B$2:$B$51,$A16,campaigns!$DT$2:$DT$51,"late"))</f>
        <v/>
      </c>
      <c r="AO16" s="25">
        <f>IF($A16="","",COUNTIFS(campaigns!$B$2:$B$51,$A16,campaigns!$AV$2:$AV$51,"yes"))</f>
        <v/>
      </c>
    </row>
    <row r="17">
      <c r="B17" s="9" t="n"/>
      <c r="I17" s="25">
        <f>IF($B17="","",IF(AND(WEEKDAY($B17)&lt;&gt;3,WEEKDAY($B17)&lt;&gt;4),"REFUSED: a "&amp;TEXT($B17,"dddd")&amp;". Tuesday or Wednesday only",IF(COUNTIF(calendar!$A$2:$A$80,$B17)&gt;0,"REFUSED: a federal holiday",IF(COUNTIFS(calendar!$D$2:$D$20,"&lt;="&amp;WORKDAY($B17,4,calendar!$A$2:$A$80),calendar!$E$2:$E$20,"&gt;="&amp;$B17)&gt;0,"REFUSED: the five-day window overlaps a blackout","OK"))))</f>
        <v/>
      </c>
      <c r="J17" s="25">
        <f>IF($B17="","",TEXT($B17,"ddd"))</f>
        <v/>
      </c>
      <c r="K17" s="26">
        <f>IF($I17="OK",WORKDAY($B17,-10,calendar!$A$2:$A$80),"")</f>
        <v/>
      </c>
      <c r="L17" s="26">
        <f>IF($I17="OK",IF(SUMPRODUCT((calendar!$D$2:$D$20&lt;=$M17)*(calendar!$E$2:$E$20&gt;=$K17)*calendar!$D$2:$D$20)=0,$K17,MIN($K17,WORKDAY(SUMPRODUCT((calendar!$D$2:$D$20&lt;=$M17)*(calendar!$E$2:$E$20&gt;=$K17)*calendar!$D$2:$D$20)+5,-1,calendar!$A$2:$A$80))),"")</f>
        <v/>
      </c>
      <c r="M17" s="26">
        <f>IF($I17="OK",WORKDAY($B17,-5,calendar!$A$2:$A$80),"")</f>
        <v/>
      </c>
      <c r="N17" s="26">
        <f>IF($I17="OK",WORKDAY($B17,-3,calendar!$A$2:$A$80),"")</f>
        <v/>
      </c>
      <c r="O17" s="26">
        <f>IF($I17="OK",WORKDAY($B17,-1,calendar!$A$2:$A$80),"")</f>
        <v/>
      </c>
      <c r="P17" s="26">
        <f>IF($I17="OK",WORKDAY($B17,1,calendar!$A$2:$A$80),"")</f>
        <v/>
      </c>
      <c r="Q17" s="26">
        <f>IF($I17="OK",WORKDAY($B17,2,calendar!$A$2:$A$80),"")</f>
        <v/>
      </c>
      <c r="R17" s="26">
        <f>IF($I17="OK",WORKDAY($B17,4,calendar!$A$2:$A$80),"")</f>
        <v/>
      </c>
      <c r="S17" s="26">
        <f>IF($I17="OK",WORKDAY($B17,5,calendar!$A$2:$A$80),"")</f>
        <v/>
      </c>
      <c r="T17" s="26">
        <f>IF($I17="OK",WORKDAY($B17,7,calendar!$A$2:$A$80),"")</f>
        <v/>
      </c>
      <c r="U17" s="26">
        <f>IF($I17="OK",WORKDAY($B17,10,calendar!$A$2:$A$80),"")</f>
        <v/>
      </c>
      <c r="V17" s="26">
        <f>IF($I17="OK",WORKDAY($B17,14,calendar!$A$2:$A$80),"")</f>
        <v/>
      </c>
      <c r="W17" s="26">
        <f>IF($I17="OK",$B17+30,"")</f>
        <v/>
      </c>
      <c r="X17" s="25">
        <f>IF(NOT($I17="OK"),"",IF($K17&gt;=IF(config!$B$37&lt;&gt;"",config!$B$37,TODAY()),"T-10 brand ships; approvals in",IF($M17&gt;=IF(config!$B$37&lt;&gt;"",config!$B$37,TODAY()),"T-5 receive and count",IF($N17&gt;=IF(config!$B$37&lt;&gt;"",config!$B$37,TODAY()),"T-3 print cards, send windows and posts",IF($O17&gt;=IF(config!$B$37&lt;&gt;"",config!$B$37,TODAY()),"T-1 confirm owners, pack",IF($B17&gt;=IF(config!$B$37&lt;&gt;"",config!$B$37,TODAY()),"T drop day",IF($P17&gt;=IF(config!$B$37&lt;&gt;"",config!$B$37,TODAY()),"T+1 placement confirmation",IF($Q17&gt;=IF(config!$B$37&lt;&gt;"",config!$B$37,TODAY()),"T+2 day-3 photos and top-ups",IF($R17&gt;=IF(config!$B$37&lt;&gt;"",config!$B$37,TODAY()),"T+4 close survey, leftovers",IF($S17&gt;=IF(config!$B$37&lt;&gt;"",config!$B$37,TODAY()),"T+5 newsletter list, reserve",IF($T17&gt;=IF(config!$B$37&lt;&gt;"",config!$B$37,TODAY()),"T+7 report and office summaries",IF($U17&gt;=IF(config!$B$37&lt;&gt;"",config!$B$37,TODAY()),"T+10 brand debrief, export actuals",IF($V17&gt;=IF(config!$B$37&lt;&gt;"",config!$B$37,TODAY()),"T+14 return-label deadline",IF($W17&gt;=IF(config!$B$37&lt;&gt;"",config!$B$37,TODAY()),"T+30 redemption check","done"))))))))))))))</f>
        <v/>
      </c>
      <c r="Y17" s="26">
        <f>IF(NOT($I17="OK"),"",IF($K17&gt;=IF(config!$B$37&lt;&gt;"",config!$B$37,TODAY()),$K17,IF($M17&gt;=IF(config!$B$37&lt;&gt;"",config!$B$37,TODAY()),$M17,IF($N17&gt;=IF(config!$B$37&lt;&gt;"",config!$B$37,TODAY()),$N17,IF($O17&gt;=IF(config!$B$37&lt;&gt;"",config!$B$37,TODAY()),$O17,IF($B17&gt;=IF(config!$B$37&lt;&gt;"",config!$B$37,TODAY()),$B17,IF($P17&gt;=IF(config!$B$37&lt;&gt;"",config!$B$37,TODAY()),$P17,IF($Q17&gt;=IF(config!$B$37&lt;&gt;"",config!$B$37,TODAY()),$Q17,IF($R17&gt;=IF(config!$B$37&lt;&gt;"",config!$B$37,TODAY()),$R17,IF($S17&gt;=IF(config!$B$37&lt;&gt;"",config!$B$37,TODAY()),$S17,IF($T17&gt;=IF(config!$B$37&lt;&gt;"",config!$B$37,TODAY()),$T17,IF($U17&gt;=IF(config!$B$37&lt;&gt;"",config!$B$37,TODAY()),$U17,IF($V17&gt;=IF(config!$B$37&lt;&gt;"",config!$B$37,TODAY()),$V17,IF($W17&gt;=IF(config!$B$37&lt;&gt;"",config!$B$37,TODAY()),$W17,""))))))))))))))</f>
        <v/>
      </c>
      <c r="Z17" s="25">
        <f>IF($A17="","",COUNTIF(campaigns!$B$2:$B$51,$A17))</f>
        <v/>
      </c>
      <c r="AA17" s="25">
        <f>IF($A17="","",COUNTIF(stops!$A$2:$A$151,$A17))</f>
        <v/>
      </c>
      <c r="AB17" s="25">
        <f>IF($A17="","",SUMIFS(approvals!$S$2:$S$251,approvals!$H$2:$H$251,$A17,approvals!$P$2:$P$251,"Y"))</f>
        <v/>
      </c>
      <c r="AC17" s="27">
        <f>IF($A17="","",SUMIFS(campaigns!$DB$2:$DB$51,campaigns!$B$2:$B$51,$A17))</f>
        <v/>
      </c>
      <c r="AD17" s="27">
        <f>IF($A17="","",SUMIFS(costs!$E$2:$E$301,costs!$B$2:$B$301,$A17,costs!$D$2:$D$301,"kit"))</f>
        <v/>
      </c>
      <c r="AE17" s="27">
        <f>IF($A17="","",SUMIFS(costs!$E$2:$E$301,costs!$B$2:$B$301,$A17,costs!$D$2:$D$301,"transport"))</f>
        <v/>
      </c>
      <c r="AF17" s="27">
        <f>IF($A17="","",SUMIFS(costs!$E$2:$E$301,costs!$B$2:$B$301,$A17,costs!$D$2:$D$301,"other_direct"))</f>
        <v/>
      </c>
      <c r="AG17" s="27">
        <f>IF($A17="","",$AD17+$AE17+$AF17)</f>
        <v/>
      </c>
      <c r="AH17" s="27">
        <f>IF(OR($A17="",N($AA17)=0),"",ROUND($AG17/$AA17,2))</f>
        <v/>
      </c>
      <c r="AI17" s="28">
        <f>IF($A17="","",SUMIFS(hours!$E$2:$E$1501,hours!$B$2:$B$1501,$A17))</f>
        <v/>
      </c>
      <c r="AJ17" s="27">
        <f>IF($A17="","",$AC17-SUMIFS(campaigns!$DF$2:$DF$51,campaigns!$B$2:$B$51,$A17)-$AG17)</f>
        <v/>
      </c>
      <c r="AK17" s="27">
        <f>IF(OR($A17="",N($AI17)=0),"",ROUND($AJ17/$AI17,2))</f>
        <v/>
      </c>
      <c r="AL17" s="29">
        <f>IF(OR($A17="",SUMIFS(campaigns!$CB$2:$CB$51,campaigns!$B$2:$B$51,$A17)=0),"",SUMIFS(campaigns!$CD$2:$CD$51,campaigns!$B$2:$B$51,$A17)/SUMIFS(campaigns!$CB$2:$CB$51,campaigns!$B$2:$B$51,$A17))</f>
        <v/>
      </c>
      <c r="AM17" s="25">
        <f>IF(OR($A17="",COUNTIFS(approvals!$H$2:$H$251,$A17,approvals!$Q$2:$Q$251,"Y")=0),"",SUMPRODUCT(MIN(approvals!$BB$2:$BB$251+(approvals!$H$2:$H$251&lt;&gt;$A17)*1000000)))</f>
        <v/>
      </c>
      <c r="AN17" s="25">
        <f>IF(OR($A17="",$T17=""),"",COUNTIFS(campaigns!$B$2:$B$51,$A17,campaigns!$DT$2:$DT$51,"late"))</f>
        <v/>
      </c>
      <c r="AO17" s="25">
        <f>IF($A17="","",COUNTIFS(campaigns!$B$2:$B$51,$A17,campaigns!$AV$2:$AV$51,"yes"))</f>
        <v/>
      </c>
    </row>
    <row r="18">
      <c r="B18" s="9" t="n"/>
      <c r="I18" s="25">
        <f>IF($B18="","",IF(AND(WEEKDAY($B18)&lt;&gt;3,WEEKDAY($B18)&lt;&gt;4),"REFUSED: a "&amp;TEXT($B18,"dddd")&amp;". Tuesday or Wednesday only",IF(COUNTIF(calendar!$A$2:$A$80,$B18)&gt;0,"REFUSED: a federal holiday",IF(COUNTIFS(calendar!$D$2:$D$20,"&lt;="&amp;WORKDAY($B18,4,calendar!$A$2:$A$80),calendar!$E$2:$E$20,"&gt;="&amp;$B18)&gt;0,"REFUSED: the five-day window overlaps a blackout","OK"))))</f>
        <v/>
      </c>
      <c r="J18" s="25">
        <f>IF($B18="","",TEXT($B18,"ddd"))</f>
        <v/>
      </c>
      <c r="K18" s="26">
        <f>IF($I18="OK",WORKDAY($B18,-10,calendar!$A$2:$A$80),"")</f>
        <v/>
      </c>
      <c r="L18" s="26">
        <f>IF($I18="OK",IF(SUMPRODUCT((calendar!$D$2:$D$20&lt;=$M18)*(calendar!$E$2:$E$20&gt;=$K18)*calendar!$D$2:$D$20)=0,$K18,MIN($K18,WORKDAY(SUMPRODUCT((calendar!$D$2:$D$20&lt;=$M18)*(calendar!$E$2:$E$20&gt;=$K18)*calendar!$D$2:$D$20)+5,-1,calendar!$A$2:$A$80))),"")</f>
        <v/>
      </c>
      <c r="M18" s="26">
        <f>IF($I18="OK",WORKDAY($B18,-5,calendar!$A$2:$A$80),"")</f>
        <v/>
      </c>
      <c r="N18" s="26">
        <f>IF($I18="OK",WORKDAY($B18,-3,calendar!$A$2:$A$80),"")</f>
        <v/>
      </c>
      <c r="O18" s="26">
        <f>IF($I18="OK",WORKDAY($B18,-1,calendar!$A$2:$A$80),"")</f>
        <v/>
      </c>
      <c r="P18" s="26">
        <f>IF($I18="OK",WORKDAY($B18,1,calendar!$A$2:$A$80),"")</f>
        <v/>
      </c>
      <c r="Q18" s="26">
        <f>IF($I18="OK",WORKDAY($B18,2,calendar!$A$2:$A$80),"")</f>
        <v/>
      </c>
      <c r="R18" s="26">
        <f>IF($I18="OK",WORKDAY($B18,4,calendar!$A$2:$A$80),"")</f>
        <v/>
      </c>
      <c r="S18" s="26">
        <f>IF($I18="OK",WORKDAY($B18,5,calendar!$A$2:$A$80),"")</f>
        <v/>
      </c>
      <c r="T18" s="26">
        <f>IF($I18="OK",WORKDAY($B18,7,calendar!$A$2:$A$80),"")</f>
        <v/>
      </c>
      <c r="U18" s="26">
        <f>IF($I18="OK",WORKDAY($B18,10,calendar!$A$2:$A$80),"")</f>
        <v/>
      </c>
      <c r="V18" s="26">
        <f>IF($I18="OK",WORKDAY($B18,14,calendar!$A$2:$A$80),"")</f>
        <v/>
      </c>
      <c r="W18" s="26">
        <f>IF($I18="OK",$B18+30,"")</f>
        <v/>
      </c>
      <c r="X18" s="25">
        <f>IF(NOT($I18="OK"),"",IF($K18&gt;=IF(config!$B$37&lt;&gt;"",config!$B$37,TODAY()),"T-10 brand ships; approvals in",IF($M18&gt;=IF(config!$B$37&lt;&gt;"",config!$B$37,TODAY()),"T-5 receive and count",IF($N18&gt;=IF(config!$B$37&lt;&gt;"",config!$B$37,TODAY()),"T-3 print cards, send windows and posts",IF($O18&gt;=IF(config!$B$37&lt;&gt;"",config!$B$37,TODAY()),"T-1 confirm owners, pack",IF($B18&gt;=IF(config!$B$37&lt;&gt;"",config!$B$37,TODAY()),"T drop day",IF($P18&gt;=IF(config!$B$37&lt;&gt;"",config!$B$37,TODAY()),"T+1 placement confirmation",IF($Q18&gt;=IF(config!$B$37&lt;&gt;"",config!$B$37,TODAY()),"T+2 day-3 photos and top-ups",IF($R18&gt;=IF(config!$B$37&lt;&gt;"",config!$B$37,TODAY()),"T+4 close survey, leftovers",IF($S18&gt;=IF(config!$B$37&lt;&gt;"",config!$B$37,TODAY()),"T+5 newsletter list, reserve",IF($T18&gt;=IF(config!$B$37&lt;&gt;"",config!$B$37,TODAY()),"T+7 report and office summaries",IF($U18&gt;=IF(config!$B$37&lt;&gt;"",config!$B$37,TODAY()),"T+10 brand debrief, export actuals",IF($V18&gt;=IF(config!$B$37&lt;&gt;"",config!$B$37,TODAY()),"T+14 return-label deadline",IF($W18&gt;=IF(config!$B$37&lt;&gt;"",config!$B$37,TODAY()),"T+30 redemption check","done"))))))))))))))</f>
        <v/>
      </c>
      <c r="Y18" s="26">
        <f>IF(NOT($I18="OK"),"",IF($K18&gt;=IF(config!$B$37&lt;&gt;"",config!$B$37,TODAY()),$K18,IF($M18&gt;=IF(config!$B$37&lt;&gt;"",config!$B$37,TODAY()),$M18,IF($N18&gt;=IF(config!$B$37&lt;&gt;"",config!$B$37,TODAY()),$N18,IF($O18&gt;=IF(config!$B$37&lt;&gt;"",config!$B$37,TODAY()),$O18,IF($B18&gt;=IF(config!$B$37&lt;&gt;"",config!$B$37,TODAY()),$B18,IF($P18&gt;=IF(config!$B$37&lt;&gt;"",config!$B$37,TODAY()),$P18,IF($Q18&gt;=IF(config!$B$37&lt;&gt;"",config!$B$37,TODAY()),$Q18,IF($R18&gt;=IF(config!$B$37&lt;&gt;"",config!$B$37,TODAY()),$R18,IF($S18&gt;=IF(config!$B$37&lt;&gt;"",config!$B$37,TODAY()),$S18,IF($T18&gt;=IF(config!$B$37&lt;&gt;"",config!$B$37,TODAY()),$T18,IF($U18&gt;=IF(config!$B$37&lt;&gt;"",config!$B$37,TODAY()),$U18,IF($V18&gt;=IF(config!$B$37&lt;&gt;"",config!$B$37,TODAY()),$V18,IF($W18&gt;=IF(config!$B$37&lt;&gt;"",config!$B$37,TODAY()),$W18,""))))))))))))))</f>
        <v/>
      </c>
      <c r="Z18" s="25">
        <f>IF($A18="","",COUNTIF(campaigns!$B$2:$B$51,$A18))</f>
        <v/>
      </c>
      <c r="AA18" s="25">
        <f>IF($A18="","",COUNTIF(stops!$A$2:$A$151,$A18))</f>
        <v/>
      </c>
      <c r="AB18" s="25">
        <f>IF($A18="","",SUMIFS(approvals!$S$2:$S$251,approvals!$H$2:$H$251,$A18,approvals!$P$2:$P$251,"Y"))</f>
        <v/>
      </c>
      <c r="AC18" s="27">
        <f>IF($A18="","",SUMIFS(campaigns!$DB$2:$DB$51,campaigns!$B$2:$B$51,$A18))</f>
        <v/>
      </c>
      <c r="AD18" s="27">
        <f>IF($A18="","",SUMIFS(costs!$E$2:$E$301,costs!$B$2:$B$301,$A18,costs!$D$2:$D$301,"kit"))</f>
        <v/>
      </c>
      <c r="AE18" s="27">
        <f>IF($A18="","",SUMIFS(costs!$E$2:$E$301,costs!$B$2:$B$301,$A18,costs!$D$2:$D$301,"transport"))</f>
        <v/>
      </c>
      <c r="AF18" s="27">
        <f>IF($A18="","",SUMIFS(costs!$E$2:$E$301,costs!$B$2:$B$301,$A18,costs!$D$2:$D$301,"other_direct"))</f>
        <v/>
      </c>
      <c r="AG18" s="27">
        <f>IF($A18="","",$AD18+$AE18+$AF18)</f>
        <v/>
      </c>
      <c r="AH18" s="27">
        <f>IF(OR($A18="",N($AA18)=0),"",ROUND($AG18/$AA18,2))</f>
        <v/>
      </c>
      <c r="AI18" s="28">
        <f>IF($A18="","",SUMIFS(hours!$E$2:$E$1501,hours!$B$2:$B$1501,$A18))</f>
        <v/>
      </c>
      <c r="AJ18" s="27">
        <f>IF($A18="","",$AC18-SUMIFS(campaigns!$DF$2:$DF$51,campaigns!$B$2:$B$51,$A18)-$AG18)</f>
        <v/>
      </c>
      <c r="AK18" s="27">
        <f>IF(OR($A18="",N($AI18)=0),"",ROUND($AJ18/$AI18,2))</f>
        <v/>
      </c>
      <c r="AL18" s="29">
        <f>IF(OR($A18="",SUMIFS(campaigns!$CB$2:$CB$51,campaigns!$B$2:$B$51,$A18)=0),"",SUMIFS(campaigns!$CD$2:$CD$51,campaigns!$B$2:$B$51,$A18)/SUMIFS(campaigns!$CB$2:$CB$51,campaigns!$B$2:$B$51,$A18))</f>
        <v/>
      </c>
      <c r="AM18" s="25">
        <f>IF(OR($A18="",COUNTIFS(approvals!$H$2:$H$251,$A18,approvals!$Q$2:$Q$251,"Y")=0),"",SUMPRODUCT(MIN(approvals!$BB$2:$BB$251+(approvals!$H$2:$H$251&lt;&gt;$A18)*1000000)))</f>
        <v/>
      </c>
      <c r="AN18" s="25">
        <f>IF(OR($A18="",$T18=""),"",COUNTIFS(campaigns!$B$2:$B$51,$A18,campaigns!$DT$2:$DT$51,"late"))</f>
        <v/>
      </c>
      <c r="AO18" s="25">
        <f>IF($A18="","",COUNTIFS(campaigns!$B$2:$B$51,$A18,campaigns!$AV$2:$AV$51,"yes"))</f>
        <v/>
      </c>
    </row>
    <row r="19">
      <c r="B19" s="9" t="n"/>
      <c r="I19" s="25">
        <f>IF($B19="","",IF(AND(WEEKDAY($B19)&lt;&gt;3,WEEKDAY($B19)&lt;&gt;4),"REFUSED: a "&amp;TEXT($B19,"dddd")&amp;". Tuesday or Wednesday only",IF(COUNTIF(calendar!$A$2:$A$80,$B19)&gt;0,"REFUSED: a federal holiday",IF(COUNTIFS(calendar!$D$2:$D$20,"&lt;="&amp;WORKDAY($B19,4,calendar!$A$2:$A$80),calendar!$E$2:$E$20,"&gt;="&amp;$B19)&gt;0,"REFUSED: the five-day window overlaps a blackout","OK"))))</f>
        <v/>
      </c>
      <c r="J19" s="25">
        <f>IF($B19="","",TEXT($B19,"ddd"))</f>
        <v/>
      </c>
      <c r="K19" s="26">
        <f>IF($I19="OK",WORKDAY($B19,-10,calendar!$A$2:$A$80),"")</f>
        <v/>
      </c>
      <c r="L19" s="26">
        <f>IF($I19="OK",IF(SUMPRODUCT((calendar!$D$2:$D$20&lt;=$M19)*(calendar!$E$2:$E$20&gt;=$K19)*calendar!$D$2:$D$20)=0,$K19,MIN($K19,WORKDAY(SUMPRODUCT((calendar!$D$2:$D$20&lt;=$M19)*(calendar!$E$2:$E$20&gt;=$K19)*calendar!$D$2:$D$20)+5,-1,calendar!$A$2:$A$80))),"")</f>
        <v/>
      </c>
      <c r="M19" s="26">
        <f>IF($I19="OK",WORKDAY($B19,-5,calendar!$A$2:$A$80),"")</f>
        <v/>
      </c>
      <c r="N19" s="26">
        <f>IF($I19="OK",WORKDAY($B19,-3,calendar!$A$2:$A$80),"")</f>
        <v/>
      </c>
      <c r="O19" s="26">
        <f>IF($I19="OK",WORKDAY($B19,-1,calendar!$A$2:$A$80),"")</f>
        <v/>
      </c>
      <c r="P19" s="26">
        <f>IF($I19="OK",WORKDAY($B19,1,calendar!$A$2:$A$80),"")</f>
        <v/>
      </c>
      <c r="Q19" s="26">
        <f>IF($I19="OK",WORKDAY($B19,2,calendar!$A$2:$A$80),"")</f>
        <v/>
      </c>
      <c r="R19" s="26">
        <f>IF($I19="OK",WORKDAY($B19,4,calendar!$A$2:$A$80),"")</f>
        <v/>
      </c>
      <c r="S19" s="26">
        <f>IF($I19="OK",WORKDAY($B19,5,calendar!$A$2:$A$80),"")</f>
        <v/>
      </c>
      <c r="T19" s="26">
        <f>IF($I19="OK",WORKDAY($B19,7,calendar!$A$2:$A$80),"")</f>
        <v/>
      </c>
      <c r="U19" s="26">
        <f>IF($I19="OK",WORKDAY($B19,10,calendar!$A$2:$A$80),"")</f>
        <v/>
      </c>
      <c r="V19" s="26">
        <f>IF($I19="OK",WORKDAY($B19,14,calendar!$A$2:$A$80),"")</f>
        <v/>
      </c>
      <c r="W19" s="26">
        <f>IF($I19="OK",$B19+30,"")</f>
        <v/>
      </c>
      <c r="X19" s="25">
        <f>IF(NOT($I19="OK"),"",IF($K19&gt;=IF(config!$B$37&lt;&gt;"",config!$B$37,TODAY()),"T-10 brand ships; approvals in",IF($M19&gt;=IF(config!$B$37&lt;&gt;"",config!$B$37,TODAY()),"T-5 receive and count",IF($N19&gt;=IF(config!$B$37&lt;&gt;"",config!$B$37,TODAY()),"T-3 print cards, send windows and posts",IF($O19&gt;=IF(config!$B$37&lt;&gt;"",config!$B$37,TODAY()),"T-1 confirm owners, pack",IF($B19&gt;=IF(config!$B$37&lt;&gt;"",config!$B$37,TODAY()),"T drop day",IF($P19&gt;=IF(config!$B$37&lt;&gt;"",config!$B$37,TODAY()),"T+1 placement confirmation",IF($Q19&gt;=IF(config!$B$37&lt;&gt;"",config!$B$37,TODAY()),"T+2 day-3 photos and top-ups",IF($R19&gt;=IF(config!$B$37&lt;&gt;"",config!$B$37,TODAY()),"T+4 close survey, leftovers",IF($S19&gt;=IF(config!$B$37&lt;&gt;"",config!$B$37,TODAY()),"T+5 newsletter list, reserve",IF($T19&gt;=IF(config!$B$37&lt;&gt;"",config!$B$37,TODAY()),"T+7 report and office summaries",IF($U19&gt;=IF(config!$B$37&lt;&gt;"",config!$B$37,TODAY()),"T+10 brand debrief, export actuals",IF($V19&gt;=IF(config!$B$37&lt;&gt;"",config!$B$37,TODAY()),"T+14 return-label deadline",IF($W19&gt;=IF(config!$B$37&lt;&gt;"",config!$B$37,TODAY()),"T+30 redemption check","done"))))))))))))))</f>
        <v/>
      </c>
      <c r="Y19" s="26">
        <f>IF(NOT($I19="OK"),"",IF($K19&gt;=IF(config!$B$37&lt;&gt;"",config!$B$37,TODAY()),$K19,IF($M19&gt;=IF(config!$B$37&lt;&gt;"",config!$B$37,TODAY()),$M19,IF($N19&gt;=IF(config!$B$37&lt;&gt;"",config!$B$37,TODAY()),$N19,IF($O19&gt;=IF(config!$B$37&lt;&gt;"",config!$B$37,TODAY()),$O19,IF($B19&gt;=IF(config!$B$37&lt;&gt;"",config!$B$37,TODAY()),$B19,IF($P19&gt;=IF(config!$B$37&lt;&gt;"",config!$B$37,TODAY()),$P19,IF($Q19&gt;=IF(config!$B$37&lt;&gt;"",config!$B$37,TODAY()),$Q19,IF($R19&gt;=IF(config!$B$37&lt;&gt;"",config!$B$37,TODAY()),$R19,IF($S19&gt;=IF(config!$B$37&lt;&gt;"",config!$B$37,TODAY()),$S19,IF($T19&gt;=IF(config!$B$37&lt;&gt;"",config!$B$37,TODAY()),$T19,IF($U19&gt;=IF(config!$B$37&lt;&gt;"",config!$B$37,TODAY()),$U19,IF($V19&gt;=IF(config!$B$37&lt;&gt;"",config!$B$37,TODAY()),$V19,IF($W19&gt;=IF(config!$B$37&lt;&gt;"",config!$B$37,TODAY()),$W19,""))))))))))))))</f>
        <v/>
      </c>
      <c r="Z19" s="25">
        <f>IF($A19="","",COUNTIF(campaigns!$B$2:$B$51,$A19))</f>
        <v/>
      </c>
      <c r="AA19" s="25">
        <f>IF($A19="","",COUNTIF(stops!$A$2:$A$151,$A19))</f>
        <v/>
      </c>
      <c r="AB19" s="25">
        <f>IF($A19="","",SUMIFS(approvals!$S$2:$S$251,approvals!$H$2:$H$251,$A19,approvals!$P$2:$P$251,"Y"))</f>
        <v/>
      </c>
      <c r="AC19" s="27">
        <f>IF($A19="","",SUMIFS(campaigns!$DB$2:$DB$51,campaigns!$B$2:$B$51,$A19))</f>
        <v/>
      </c>
      <c r="AD19" s="27">
        <f>IF($A19="","",SUMIFS(costs!$E$2:$E$301,costs!$B$2:$B$301,$A19,costs!$D$2:$D$301,"kit"))</f>
        <v/>
      </c>
      <c r="AE19" s="27">
        <f>IF($A19="","",SUMIFS(costs!$E$2:$E$301,costs!$B$2:$B$301,$A19,costs!$D$2:$D$301,"transport"))</f>
        <v/>
      </c>
      <c r="AF19" s="27">
        <f>IF($A19="","",SUMIFS(costs!$E$2:$E$301,costs!$B$2:$B$301,$A19,costs!$D$2:$D$301,"other_direct"))</f>
        <v/>
      </c>
      <c r="AG19" s="27">
        <f>IF($A19="","",$AD19+$AE19+$AF19)</f>
        <v/>
      </c>
      <c r="AH19" s="27">
        <f>IF(OR($A19="",N($AA19)=0),"",ROUND($AG19/$AA19,2))</f>
        <v/>
      </c>
      <c r="AI19" s="28">
        <f>IF($A19="","",SUMIFS(hours!$E$2:$E$1501,hours!$B$2:$B$1501,$A19))</f>
        <v/>
      </c>
      <c r="AJ19" s="27">
        <f>IF($A19="","",$AC19-SUMIFS(campaigns!$DF$2:$DF$51,campaigns!$B$2:$B$51,$A19)-$AG19)</f>
        <v/>
      </c>
      <c r="AK19" s="27">
        <f>IF(OR($A19="",N($AI19)=0),"",ROUND($AJ19/$AI19,2))</f>
        <v/>
      </c>
      <c r="AL19" s="29">
        <f>IF(OR($A19="",SUMIFS(campaigns!$CB$2:$CB$51,campaigns!$B$2:$B$51,$A19)=0),"",SUMIFS(campaigns!$CD$2:$CD$51,campaigns!$B$2:$B$51,$A19)/SUMIFS(campaigns!$CB$2:$CB$51,campaigns!$B$2:$B$51,$A19))</f>
        <v/>
      </c>
      <c r="AM19" s="25">
        <f>IF(OR($A19="",COUNTIFS(approvals!$H$2:$H$251,$A19,approvals!$Q$2:$Q$251,"Y")=0),"",SUMPRODUCT(MIN(approvals!$BB$2:$BB$251+(approvals!$H$2:$H$251&lt;&gt;$A19)*1000000)))</f>
        <v/>
      </c>
      <c r="AN19" s="25">
        <f>IF(OR($A19="",$T19=""),"",COUNTIFS(campaigns!$B$2:$B$51,$A19,campaigns!$DT$2:$DT$51,"late"))</f>
        <v/>
      </c>
      <c r="AO19" s="25">
        <f>IF($A19="","",COUNTIFS(campaigns!$B$2:$B$51,$A19,campaigns!$AV$2:$AV$51,"yes"))</f>
        <v/>
      </c>
    </row>
    <row r="20">
      <c r="B20" s="9" t="n"/>
      <c r="I20" s="25">
        <f>IF($B20="","",IF(AND(WEEKDAY($B20)&lt;&gt;3,WEEKDAY($B20)&lt;&gt;4),"REFUSED: a "&amp;TEXT($B20,"dddd")&amp;". Tuesday or Wednesday only",IF(COUNTIF(calendar!$A$2:$A$80,$B20)&gt;0,"REFUSED: a federal holiday",IF(COUNTIFS(calendar!$D$2:$D$20,"&lt;="&amp;WORKDAY($B20,4,calendar!$A$2:$A$80),calendar!$E$2:$E$20,"&gt;="&amp;$B20)&gt;0,"REFUSED: the five-day window overlaps a blackout","OK"))))</f>
        <v/>
      </c>
      <c r="J20" s="25">
        <f>IF($B20="","",TEXT($B20,"ddd"))</f>
        <v/>
      </c>
      <c r="K20" s="26">
        <f>IF($I20="OK",WORKDAY($B20,-10,calendar!$A$2:$A$80),"")</f>
        <v/>
      </c>
      <c r="L20" s="26">
        <f>IF($I20="OK",IF(SUMPRODUCT((calendar!$D$2:$D$20&lt;=$M20)*(calendar!$E$2:$E$20&gt;=$K20)*calendar!$D$2:$D$20)=0,$K20,MIN($K20,WORKDAY(SUMPRODUCT((calendar!$D$2:$D$20&lt;=$M20)*(calendar!$E$2:$E$20&gt;=$K20)*calendar!$D$2:$D$20)+5,-1,calendar!$A$2:$A$80))),"")</f>
        <v/>
      </c>
      <c r="M20" s="26">
        <f>IF($I20="OK",WORKDAY($B20,-5,calendar!$A$2:$A$80),"")</f>
        <v/>
      </c>
      <c r="N20" s="26">
        <f>IF($I20="OK",WORKDAY($B20,-3,calendar!$A$2:$A$80),"")</f>
        <v/>
      </c>
      <c r="O20" s="26">
        <f>IF($I20="OK",WORKDAY($B20,-1,calendar!$A$2:$A$80),"")</f>
        <v/>
      </c>
      <c r="P20" s="26">
        <f>IF($I20="OK",WORKDAY($B20,1,calendar!$A$2:$A$80),"")</f>
        <v/>
      </c>
      <c r="Q20" s="26">
        <f>IF($I20="OK",WORKDAY($B20,2,calendar!$A$2:$A$80),"")</f>
        <v/>
      </c>
      <c r="R20" s="26">
        <f>IF($I20="OK",WORKDAY($B20,4,calendar!$A$2:$A$80),"")</f>
        <v/>
      </c>
      <c r="S20" s="26">
        <f>IF($I20="OK",WORKDAY($B20,5,calendar!$A$2:$A$80),"")</f>
        <v/>
      </c>
      <c r="T20" s="26">
        <f>IF($I20="OK",WORKDAY($B20,7,calendar!$A$2:$A$80),"")</f>
        <v/>
      </c>
      <c r="U20" s="26">
        <f>IF($I20="OK",WORKDAY($B20,10,calendar!$A$2:$A$80),"")</f>
        <v/>
      </c>
      <c r="V20" s="26">
        <f>IF($I20="OK",WORKDAY($B20,14,calendar!$A$2:$A$80),"")</f>
        <v/>
      </c>
      <c r="W20" s="26">
        <f>IF($I20="OK",$B20+30,"")</f>
        <v/>
      </c>
      <c r="X20" s="25">
        <f>IF(NOT($I20="OK"),"",IF($K20&gt;=IF(config!$B$37&lt;&gt;"",config!$B$37,TODAY()),"T-10 brand ships; approvals in",IF($M20&gt;=IF(config!$B$37&lt;&gt;"",config!$B$37,TODAY()),"T-5 receive and count",IF($N20&gt;=IF(config!$B$37&lt;&gt;"",config!$B$37,TODAY()),"T-3 print cards, send windows and posts",IF($O20&gt;=IF(config!$B$37&lt;&gt;"",config!$B$37,TODAY()),"T-1 confirm owners, pack",IF($B20&gt;=IF(config!$B$37&lt;&gt;"",config!$B$37,TODAY()),"T drop day",IF($P20&gt;=IF(config!$B$37&lt;&gt;"",config!$B$37,TODAY()),"T+1 placement confirmation",IF($Q20&gt;=IF(config!$B$37&lt;&gt;"",config!$B$37,TODAY()),"T+2 day-3 photos and top-ups",IF($R20&gt;=IF(config!$B$37&lt;&gt;"",config!$B$37,TODAY()),"T+4 close survey, leftovers",IF($S20&gt;=IF(config!$B$37&lt;&gt;"",config!$B$37,TODAY()),"T+5 newsletter list, reserve",IF($T20&gt;=IF(config!$B$37&lt;&gt;"",config!$B$37,TODAY()),"T+7 report and office summaries",IF($U20&gt;=IF(config!$B$37&lt;&gt;"",config!$B$37,TODAY()),"T+10 brand debrief, export actuals",IF($V20&gt;=IF(config!$B$37&lt;&gt;"",config!$B$37,TODAY()),"T+14 return-label deadline",IF($W20&gt;=IF(config!$B$37&lt;&gt;"",config!$B$37,TODAY()),"T+30 redemption check","done"))))))))))))))</f>
        <v/>
      </c>
      <c r="Y20" s="26">
        <f>IF(NOT($I20="OK"),"",IF($K20&gt;=IF(config!$B$37&lt;&gt;"",config!$B$37,TODAY()),$K20,IF($M20&gt;=IF(config!$B$37&lt;&gt;"",config!$B$37,TODAY()),$M20,IF($N20&gt;=IF(config!$B$37&lt;&gt;"",config!$B$37,TODAY()),$N20,IF($O20&gt;=IF(config!$B$37&lt;&gt;"",config!$B$37,TODAY()),$O20,IF($B20&gt;=IF(config!$B$37&lt;&gt;"",config!$B$37,TODAY()),$B20,IF($P20&gt;=IF(config!$B$37&lt;&gt;"",config!$B$37,TODAY()),$P20,IF($Q20&gt;=IF(config!$B$37&lt;&gt;"",config!$B$37,TODAY()),$Q20,IF($R20&gt;=IF(config!$B$37&lt;&gt;"",config!$B$37,TODAY()),$R20,IF($S20&gt;=IF(config!$B$37&lt;&gt;"",config!$B$37,TODAY()),$S20,IF($T20&gt;=IF(config!$B$37&lt;&gt;"",config!$B$37,TODAY()),$T20,IF($U20&gt;=IF(config!$B$37&lt;&gt;"",config!$B$37,TODAY()),$U20,IF($V20&gt;=IF(config!$B$37&lt;&gt;"",config!$B$37,TODAY()),$V20,IF($W20&gt;=IF(config!$B$37&lt;&gt;"",config!$B$37,TODAY()),$W20,""))))))))))))))</f>
        <v/>
      </c>
      <c r="Z20" s="25">
        <f>IF($A20="","",COUNTIF(campaigns!$B$2:$B$51,$A20))</f>
        <v/>
      </c>
      <c r="AA20" s="25">
        <f>IF($A20="","",COUNTIF(stops!$A$2:$A$151,$A20))</f>
        <v/>
      </c>
      <c r="AB20" s="25">
        <f>IF($A20="","",SUMIFS(approvals!$S$2:$S$251,approvals!$H$2:$H$251,$A20,approvals!$P$2:$P$251,"Y"))</f>
        <v/>
      </c>
      <c r="AC20" s="27">
        <f>IF($A20="","",SUMIFS(campaigns!$DB$2:$DB$51,campaigns!$B$2:$B$51,$A20))</f>
        <v/>
      </c>
      <c r="AD20" s="27">
        <f>IF($A20="","",SUMIFS(costs!$E$2:$E$301,costs!$B$2:$B$301,$A20,costs!$D$2:$D$301,"kit"))</f>
        <v/>
      </c>
      <c r="AE20" s="27">
        <f>IF($A20="","",SUMIFS(costs!$E$2:$E$301,costs!$B$2:$B$301,$A20,costs!$D$2:$D$301,"transport"))</f>
        <v/>
      </c>
      <c r="AF20" s="27">
        <f>IF($A20="","",SUMIFS(costs!$E$2:$E$301,costs!$B$2:$B$301,$A20,costs!$D$2:$D$301,"other_direct"))</f>
        <v/>
      </c>
      <c r="AG20" s="27">
        <f>IF($A20="","",$AD20+$AE20+$AF20)</f>
        <v/>
      </c>
      <c r="AH20" s="27">
        <f>IF(OR($A20="",N($AA20)=0),"",ROUND($AG20/$AA20,2))</f>
        <v/>
      </c>
      <c r="AI20" s="28">
        <f>IF($A20="","",SUMIFS(hours!$E$2:$E$1501,hours!$B$2:$B$1501,$A20))</f>
        <v/>
      </c>
      <c r="AJ20" s="27">
        <f>IF($A20="","",$AC20-SUMIFS(campaigns!$DF$2:$DF$51,campaigns!$B$2:$B$51,$A20)-$AG20)</f>
        <v/>
      </c>
      <c r="AK20" s="27">
        <f>IF(OR($A20="",N($AI20)=0),"",ROUND($AJ20/$AI20,2))</f>
        <v/>
      </c>
      <c r="AL20" s="29">
        <f>IF(OR($A20="",SUMIFS(campaigns!$CB$2:$CB$51,campaigns!$B$2:$B$51,$A20)=0),"",SUMIFS(campaigns!$CD$2:$CD$51,campaigns!$B$2:$B$51,$A20)/SUMIFS(campaigns!$CB$2:$CB$51,campaigns!$B$2:$B$51,$A20))</f>
        <v/>
      </c>
      <c r="AM20" s="25">
        <f>IF(OR($A20="",COUNTIFS(approvals!$H$2:$H$251,$A20,approvals!$Q$2:$Q$251,"Y")=0),"",SUMPRODUCT(MIN(approvals!$BB$2:$BB$251+(approvals!$H$2:$H$251&lt;&gt;$A20)*1000000)))</f>
        <v/>
      </c>
      <c r="AN20" s="25">
        <f>IF(OR($A20="",$T20=""),"",COUNTIFS(campaigns!$B$2:$B$51,$A20,campaigns!$DT$2:$DT$51,"late"))</f>
        <v/>
      </c>
      <c r="AO20" s="25">
        <f>IF($A20="","",COUNTIFS(campaigns!$B$2:$B$51,$A20,campaigns!$AV$2:$AV$51,"yes"))</f>
        <v/>
      </c>
    </row>
    <row r="21">
      <c r="B21" s="9" t="n"/>
      <c r="I21" s="25">
        <f>IF($B21="","",IF(AND(WEEKDAY($B21)&lt;&gt;3,WEEKDAY($B21)&lt;&gt;4),"REFUSED: a "&amp;TEXT($B21,"dddd")&amp;". Tuesday or Wednesday only",IF(COUNTIF(calendar!$A$2:$A$80,$B21)&gt;0,"REFUSED: a federal holiday",IF(COUNTIFS(calendar!$D$2:$D$20,"&lt;="&amp;WORKDAY($B21,4,calendar!$A$2:$A$80),calendar!$E$2:$E$20,"&gt;="&amp;$B21)&gt;0,"REFUSED: the five-day window overlaps a blackout","OK"))))</f>
        <v/>
      </c>
      <c r="J21" s="25">
        <f>IF($B21="","",TEXT($B21,"ddd"))</f>
        <v/>
      </c>
      <c r="K21" s="26">
        <f>IF($I21="OK",WORKDAY($B21,-10,calendar!$A$2:$A$80),"")</f>
        <v/>
      </c>
      <c r="L21" s="26">
        <f>IF($I21="OK",IF(SUMPRODUCT((calendar!$D$2:$D$20&lt;=$M21)*(calendar!$E$2:$E$20&gt;=$K21)*calendar!$D$2:$D$20)=0,$K21,MIN($K21,WORKDAY(SUMPRODUCT((calendar!$D$2:$D$20&lt;=$M21)*(calendar!$E$2:$E$20&gt;=$K21)*calendar!$D$2:$D$20)+5,-1,calendar!$A$2:$A$80))),"")</f>
        <v/>
      </c>
      <c r="M21" s="26">
        <f>IF($I21="OK",WORKDAY($B21,-5,calendar!$A$2:$A$80),"")</f>
        <v/>
      </c>
      <c r="N21" s="26">
        <f>IF($I21="OK",WORKDAY($B21,-3,calendar!$A$2:$A$80),"")</f>
        <v/>
      </c>
      <c r="O21" s="26">
        <f>IF($I21="OK",WORKDAY($B21,-1,calendar!$A$2:$A$80),"")</f>
        <v/>
      </c>
      <c r="P21" s="26">
        <f>IF($I21="OK",WORKDAY($B21,1,calendar!$A$2:$A$80),"")</f>
        <v/>
      </c>
      <c r="Q21" s="26">
        <f>IF($I21="OK",WORKDAY($B21,2,calendar!$A$2:$A$80),"")</f>
        <v/>
      </c>
      <c r="R21" s="26">
        <f>IF($I21="OK",WORKDAY($B21,4,calendar!$A$2:$A$80),"")</f>
        <v/>
      </c>
      <c r="S21" s="26">
        <f>IF($I21="OK",WORKDAY($B21,5,calendar!$A$2:$A$80),"")</f>
        <v/>
      </c>
      <c r="T21" s="26">
        <f>IF($I21="OK",WORKDAY($B21,7,calendar!$A$2:$A$80),"")</f>
        <v/>
      </c>
      <c r="U21" s="26">
        <f>IF($I21="OK",WORKDAY($B21,10,calendar!$A$2:$A$80),"")</f>
        <v/>
      </c>
      <c r="V21" s="26">
        <f>IF($I21="OK",WORKDAY($B21,14,calendar!$A$2:$A$80),"")</f>
        <v/>
      </c>
      <c r="W21" s="26">
        <f>IF($I21="OK",$B21+30,"")</f>
        <v/>
      </c>
      <c r="X21" s="25">
        <f>IF(NOT($I21="OK"),"",IF($K21&gt;=IF(config!$B$37&lt;&gt;"",config!$B$37,TODAY()),"T-10 brand ships; approvals in",IF($M21&gt;=IF(config!$B$37&lt;&gt;"",config!$B$37,TODAY()),"T-5 receive and count",IF($N21&gt;=IF(config!$B$37&lt;&gt;"",config!$B$37,TODAY()),"T-3 print cards, send windows and posts",IF($O21&gt;=IF(config!$B$37&lt;&gt;"",config!$B$37,TODAY()),"T-1 confirm owners, pack",IF($B21&gt;=IF(config!$B$37&lt;&gt;"",config!$B$37,TODAY()),"T drop day",IF($P21&gt;=IF(config!$B$37&lt;&gt;"",config!$B$37,TODAY()),"T+1 placement confirmation",IF($Q21&gt;=IF(config!$B$37&lt;&gt;"",config!$B$37,TODAY()),"T+2 day-3 photos and top-ups",IF($R21&gt;=IF(config!$B$37&lt;&gt;"",config!$B$37,TODAY()),"T+4 close survey, leftovers",IF($S21&gt;=IF(config!$B$37&lt;&gt;"",config!$B$37,TODAY()),"T+5 newsletter list, reserve",IF($T21&gt;=IF(config!$B$37&lt;&gt;"",config!$B$37,TODAY()),"T+7 report and office summaries",IF($U21&gt;=IF(config!$B$37&lt;&gt;"",config!$B$37,TODAY()),"T+10 brand debrief, export actuals",IF($V21&gt;=IF(config!$B$37&lt;&gt;"",config!$B$37,TODAY()),"T+14 return-label deadline",IF($W21&gt;=IF(config!$B$37&lt;&gt;"",config!$B$37,TODAY()),"T+30 redemption check","done"))))))))))))))</f>
        <v/>
      </c>
      <c r="Y21" s="26">
        <f>IF(NOT($I21="OK"),"",IF($K21&gt;=IF(config!$B$37&lt;&gt;"",config!$B$37,TODAY()),$K21,IF($M21&gt;=IF(config!$B$37&lt;&gt;"",config!$B$37,TODAY()),$M21,IF($N21&gt;=IF(config!$B$37&lt;&gt;"",config!$B$37,TODAY()),$N21,IF($O21&gt;=IF(config!$B$37&lt;&gt;"",config!$B$37,TODAY()),$O21,IF($B21&gt;=IF(config!$B$37&lt;&gt;"",config!$B$37,TODAY()),$B21,IF($P21&gt;=IF(config!$B$37&lt;&gt;"",config!$B$37,TODAY()),$P21,IF($Q21&gt;=IF(config!$B$37&lt;&gt;"",config!$B$37,TODAY()),$Q21,IF($R21&gt;=IF(config!$B$37&lt;&gt;"",config!$B$37,TODAY()),$R21,IF($S21&gt;=IF(config!$B$37&lt;&gt;"",config!$B$37,TODAY()),$S21,IF($T21&gt;=IF(config!$B$37&lt;&gt;"",config!$B$37,TODAY()),$T21,IF($U21&gt;=IF(config!$B$37&lt;&gt;"",config!$B$37,TODAY()),$U21,IF($V21&gt;=IF(config!$B$37&lt;&gt;"",config!$B$37,TODAY()),$V21,IF($W21&gt;=IF(config!$B$37&lt;&gt;"",config!$B$37,TODAY()),$W21,""))))))))))))))</f>
        <v/>
      </c>
      <c r="Z21" s="25">
        <f>IF($A21="","",COUNTIF(campaigns!$B$2:$B$51,$A21))</f>
        <v/>
      </c>
      <c r="AA21" s="25">
        <f>IF($A21="","",COUNTIF(stops!$A$2:$A$151,$A21))</f>
        <v/>
      </c>
      <c r="AB21" s="25">
        <f>IF($A21="","",SUMIFS(approvals!$S$2:$S$251,approvals!$H$2:$H$251,$A21,approvals!$P$2:$P$251,"Y"))</f>
        <v/>
      </c>
      <c r="AC21" s="27">
        <f>IF($A21="","",SUMIFS(campaigns!$DB$2:$DB$51,campaigns!$B$2:$B$51,$A21))</f>
        <v/>
      </c>
      <c r="AD21" s="27">
        <f>IF($A21="","",SUMIFS(costs!$E$2:$E$301,costs!$B$2:$B$301,$A21,costs!$D$2:$D$301,"kit"))</f>
        <v/>
      </c>
      <c r="AE21" s="27">
        <f>IF($A21="","",SUMIFS(costs!$E$2:$E$301,costs!$B$2:$B$301,$A21,costs!$D$2:$D$301,"transport"))</f>
        <v/>
      </c>
      <c r="AF21" s="27">
        <f>IF($A21="","",SUMIFS(costs!$E$2:$E$301,costs!$B$2:$B$301,$A21,costs!$D$2:$D$301,"other_direct"))</f>
        <v/>
      </c>
      <c r="AG21" s="27">
        <f>IF($A21="","",$AD21+$AE21+$AF21)</f>
        <v/>
      </c>
      <c r="AH21" s="27">
        <f>IF(OR($A21="",N($AA21)=0),"",ROUND($AG21/$AA21,2))</f>
        <v/>
      </c>
      <c r="AI21" s="28">
        <f>IF($A21="","",SUMIFS(hours!$E$2:$E$1501,hours!$B$2:$B$1501,$A21))</f>
        <v/>
      </c>
      <c r="AJ21" s="27">
        <f>IF($A21="","",$AC21-SUMIFS(campaigns!$DF$2:$DF$51,campaigns!$B$2:$B$51,$A21)-$AG21)</f>
        <v/>
      </c>
      <c r="AK21" s="27">
        <f>IF(OR($A21="",N($AI21)=0),"",ROUND($AJ21/$AI21,2))</f>
        <v/>
      </c>
      <c r="AL21" s="29">
        <f>IF(OR($A21="",SUMIFS(campaigns!$CB$2:$CB$51,campaigns!$B$2:$B$51,$A21)=0),"",SUMIFS(campaigns!$CD$2:$CD$51,campaigns!$B$2:$B$51,$A21)/SUMIFS(campaigns!$CB$2:$CB$51,campaigns!$B$2:$B$51,$A21))</f>
        <v/>
      </c>
      <c r="AM21" s="25">
        <f>IF(OR($A21="",COUNTIFS(approvals!$H$2:$H$251,$A21,approvals!$Q$2:$Q$251,"Y")=0),"",SUMPRODUCT(MIN(approvals!$BB$2:$BB$251+(approvals!$H$2:$H$251&lt;&gt;$A21)*1000000)))</f>
        <v/>
      </c>
      <c r="AN21" s="25">
        <f>IF(OR($A21="",$T21=""),"",COUNTIFS(campaigns!$B$2:$B$51,$A21,campaigns!$DT$2:$DT$51,"late"))</f>
        <v/>
      </c>
      <c r="AO21" s="25">
        <f>IF($A21="","",COUNTIFS(campaigns!$B$2:$B$51,$A21,campaigns!$AV$2:$AV$51,"yes"))</f>
        <v/>
      </c>
    </row>
  </sheetData>
  <conditionalFormatting sqref="I2:I21">
    <cfRule type="expression" priority="1" dxfId="0">
      <formula>LEFT(I2,7)="REFUSED"</formula>
    </cfRule>
  </conditionalFormatting>
  <dataValidations count="3">
    <dataValidation sqref="C2:C21" showDropDown="0" showInputMessage="0" showErrorMessage="1" allowBlank="1" errorTitle="Not on the list" error="Pick a value from the list." type="list">
      <formula1>"founder,courier,direct-ship"</formula1>
    </dataValidation>
    <dataValidation sqref="D2:D21" showDropDown="0" showInputMessage="0" showErrorMessage="1" allowBlank="1" errorTitle="Not on the list" error="Pick a value from the list." type="list">
      <formula1>"planned,confirmed,slipped,done,cancelled"</formula1>
    </dataValidation>
    <dataValidation sqref="B2:B21" showDropDown="0" showInputMessage="0" showErrorMessage="1" allowBlank="1" errorTitle="Not a valid drop day" error="Drop days are Tuesday or Wednesday business days, and the five-day window must be clear of 18-31 Dec, 18-31 Aug and the 4 July week. Run tools/opscal.py next to pick one." type="custom" errorStyle="stop">
      <formula1>AND(OR(WEEKDAY(B2)=3,WEEKDAY(B2)=4),COUNTIF(INDIRECT("calendar!$A$2:$A$80"),B2)=0,COUNTIFS(INDIRECT("calendar!$D$2:$D$20"),"&lt;="&amp;WORKDAY(B2,4,INDIRECT("calendar!$A$2:$A$80")),INDIRECT("calendar!$E$2:$E$20"),"&gt;="&amp;B2)=0)</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DDEBF7"/>
    <outlinePr summaryBelow="1" summaryRight="1"/>
    <pageSetUpPr/>
  </sheetPr>
  <dimension ref="A1:DU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9" customWidth="1" min="6" max="6"/>
    <col width="14" customWidth="1" min="7" max="7"/>
    <col width="14" customWidth="1" min="8" max="8"/>
    <col width="8" customWidth="1" min="9" max="9"/>
    <col width="22" customWidth="1" min="10" max="10"/>
    <col width="7" customWidth="1" min="11" max="11"/>
    <col width="30" customWidth="1" min="12" max="12"/>
    <col width="14" customWidth="1" min="13" max="13"/>
    <col width="30" customWidth="1" min="14" max="14"/>
    <col width="22" customWidth="1" min="15" max="15"/>
    <col width="14" customWidth="1" min="16" max="16"/>
    <col width="14" customWidth="1" min="17" max="17"/>
    <col width="14" customWidth="1" min="18" max="18"/>
    <col width="22" customWidth="1" min="19" max="19"/>
    <col width="18" customWidth="1" min="20" max="20"/>
    <col width="24" customWidth="1" min="21" max="21"/>
    <col width="14" customWidth="1" min="22" max="22"/>
    <col width="14" customWidth="1" min="23" max="23"/>
    <col width="22" customWidth="1" min="24" max="24"/>
    <col width="14" customWidth="1" min="25" max="25"/>
    <col width="14" customWidth="1" min="26" max="26"/>
    <col width="20" customWidth="1" min="27" max="27"/>
    <col width="14" customWidth="1" min="28" max="28"/>
    <col width="14" customWidth="1" min="29" max="29"/>
    <col width="14" customWidth="1" min="30" max="30"/>
    <col width="16" customWidth="1" min="31" max="31"/>
    <col width="14" customWidth="1" min="32" max="32"/>
    <col width="14" customWidth="1" min="33" max="33"/>
    <col width="8" customWidth="1" min="34" max="34"/>
    <col width="20" customWidth="1" min="35" max="35"/>
    <col width="30" customWidth="1" min="36" max="36"/>
    <col width="20" customWidth="1" min="37" max="37"/>
    <col width="30" customWidth="1" min="38" max="38"/>
    <col width="30" customWidth="1" min="39" max="39"/>
    <col width="30" customWidth="1" min="40" max="40"/>
    <col width="30" customWidth="1" min="41" max="41"/>
    <col width="30" customWidth="1" min="42" max="42"/>
    <col width="20" customWidth="1" min="43" max="43"/>
    <col width="14" customWidth="1" min="44" max="44"/>
    <col width="18" customWidth="1" min="45" max="45"/>
    <col width="14" customWidth="1" min="46" max="46"/>
    <col width="14" customWidth="1" min="47" max="47"/>
    <col width="14" customWidth="1" min="48" max="48"/>
    <col width="14" customWidth="1" min="49" max="49"/>
    <col width="20" customWidth="1" min="50" max="50"/>
    <col width="14" customWidth="1" min="51" max="51"/>
    <col width="8" customWidth="1" min="52" max="52"/>
    <col width="14" customWidth="1" min="53" max="53"/>
    <col width="14" customWidth="1" min="54" max="54"/>
    <col width="14" customWidth="1" min="55" max="55"/>
    <col width="24" customWidth="1" min="56" max="56"/>
    <col width="18" customWidth="1" min="57" max="57"/>
    <col width="12" customWidth="1" min="58" max="58"/>
    <col width="11" customWidth="1" min="59" max="59"/>
    <col width="10" customWidth="1" min="60" max="60"/>
    <col width="10" customWidth="1" min="61" max="61"/>
    <col width="10" customWidth="1" min="62" max="62"/>
    <col width="30" customWidth="1" min="63" max="63"/>
    <col width="11" customWidth="1" min="64" max="64"/>
    <col width="11"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9" customWidth="1" min="73" max="73"/>
    <col width="9" customWidth="1" min="74" max="74"/>
    <col width="36"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11" customWidth="1" min="104" max="104"/>
    <col width="8" customWidth="1" min="105" max="105"/>
    <col width="10" customWidth="1" min="106" max="106"/>
    <col width="10" customWidth="1" min="107" max="107"/>
    <col width="11" customWidth="1" min="108" max="108"/>
    <col width="11" customWidth="1" min="109" max="109"/>
    <col width="9" customWidth="1" min="110" max="110"/>
    <col width="10" customWidth="1" min="111" max="111"/>
    <col width="10" customWidth="1" min="112" max="112"/>
    <col width="8" customWidth="1" min="113" max="113"/>
    <col width="8" customWidth="1" min="114" max="114"/>
    <col width="10" customWidth="1" min="115" max="115"/>
    <col width="10" customWidth="1" min="116" max="116"/>
    <col width="8" customWidth="1" min="117" max="117"/>
    <col width="8" customWidth="1" min="118" max="118"/>
    <col width="11" customWidth="1" min="119" max="119"/>
    <col width="11" customWidth="1" min="120" max="120"/>
    <col width="11" customWidth="1" min="121" max="121"/>
    <col width="7" customWidth="1" min="122" max="122"/>
    <col width="7" customWidth="1" min="123" max="123"/>
    <col width="7" customWidth="1" min="124" max="124"/>
    <col width="40" customWidth="1" min="125" max="125"/>
  </cols>
  <sheetData>
    <row r="1">
      <c r="A1" s="23" t="inlineStr">
        <is>
          <t>campaign_id</t>
        </is>
      </c>
      <c r="B1" s="23" t="inlineStr">
        <is>
          <t>drop_id</t>
        </is>
      </c>
      <c r="C1" s="23" t="inlineStr">
        <is>
          <t>brand_id</t>
        </is>
      </c>
      <c r="D1" s="23" t="inlineStr">
        <is>
          <t>tier</t>
        </is>
      </c>
      <c r="E1" s="23" t="inlineStr">
        <is>
          <t>founding_lock</t>
        </is>
      </c>
      <c r="F1" s="23" t="inlineStr">
        <is>
          <t>offices_contracted</t>
        </is>
      </c>
      <c r="G1" s="23" t="inlineStr">
        <is>
          <t>price_override_usd</t>
        </is>
      </c>
      <c r="H1" s="23" t="inlineStr">
        <is>
          <t>agreement_signed_date</t>
        </is>
      </c>
      <c r="I1" s="23" t="inlineStr">
        <is>
          <t>agreement_version</t>
        </is>
      </c>
      <c r="J1" s="23" t="inlineStr">
        <is>
          <t>product_sku</t>
        </is>
      </c>
      <c r="K1" s="23" t="inlineStr">
        <is>
          <t>units_per_case</t>
        </is>
      </c>
      <c r="L1" s="23" t="inlineStr">
        <is>
          <t>card_sentences</t>
        </is>
      </c>
      <c r="M1" s="23" t="inlineStr">
        <is>
          <t>allergen_source</t>
        </is>
      </c>
      <c r="N1" s="23" t="inlineStr">
        <is>
          <t>allergen_line_verbatim</t>
        </is>
      </c>
      <c r="O1" s="23" t="inlineStr">
        <is>
          <t>may_contain_verbatim</t>
        </is>
      </c>
      <c r="P1" s="23" t="inlineStr">
        <is>
          <t>flavor_name</t>
        </is>
      </c>
      <c r="Q1" s="23" t="inlineStr">
        <is>
          <t>flavor_name_2</t>
        </is>
      </c>
      <c r="R1" s="23" t="inlineStr">
        <is>
          <t>allergen_source_2</t>
        </is>
      </c>
      <c r="S1" s="23" t="inlineStr">
        <is>
          <t>allergen_line_verbatim_2</t>
        </is>
      </c>
      <c r="T1" s="23" t="inlineStr">
        <is>
          <t>may_contain_verbatim_2</t>
        </is>
      </c>
      <c r="U1" s="23" t="inlineStr">
        <is>
          <t>retailer_line</t>
        </is>
      </c>
      <c r="V1" s="23" t="inlineStr">
        <is>
          <t>discount_code</t>
        </is>
      </c>
      <c r="W1" s="23" t="inlineStr">
        <is>
          <t>code_site</t>
        </is>
      </c>
      <c r="X1" s="23" t="inlineStr">
        <is>
          <t>landing_url</t>
        </is>
      </c>
      <c r="Y1" s="23" t="inlineStr">
        <is>
          <t>unused_product_election</t>
        </is>
      </c>
      <c r="Z1" s="23" t="inlineStr">
        <is>
          <t>newsletter_option</t>
        </is>
      </c>
      <c r="AA1" s="23" t="inlineStr">
        <is>
          <t>brand_privacy_url</t>
        </is>
      </c>
      <c r="AB1" s="23" t="inlineStr">
        <is>
          <t>coi_received_date</t>
        </is>
      </c>
      <c r="AC1" s="23" t="inlineStr">
        <is>
          <t>allergen_sheet_received_date</t>
        </is>
      </c>
      <c r="AD1" s="23" t="inlineStr">
        <is>
          <t>logo_received_date</t>
        </is>
      </c>
      <c r="AE1" s="23" t="inlineStr">
        <is>
          <t>logo_file</t>
        </is>
      </c>
      <c r="AF1" s="23" t="inlineStr">
        <is>
          <t>card_proof_sent_date</t>
        </is>
      </c>
      <c r="AG1" s="23" t="inlineStr">
        <is>
          <t>ship_email_sent_date</t>
        </is>
      </c>
      <c r="AH1" s="23" t="inlineStr">
        <is>
          <t>ship_email_units</t>
        </is>
      </c>
      <c r="AI1" s="23" t="inlineStr">
        <is>
          <t>survey_form_url</t>
        </is>
      </c>
      <c r="AJ1" s="23" t="inlineStr">
        <is>
          <t>survey_prefill_template</t>
        </is>
      </c>
      <c r="AK1" s="23" t="inlineStr">
        <is>
          <t>newsletter_form_url</t>
        </is>
      </c>
      <c r="AL1" s="23" t="inlineStr">
        <is>
          <t>comment_1</t>
        </is>
      </c>
      <c r="AM1" s="23" t="inlineStr">
        <is>
          <t>comment_2</t>
        </is>
      </c>
      <c r="AN1" s="23" t="inlineStr">
        <is>
          <t>comment_3</t>
        </is>
      </c>
      <c r="AO1" s="23" t="inlineStr">
        <is>
          <t>learned</t>
        </is>
      </c>
      <c r="AP1" s="23" t="inlineStr">
        <is>
          <t>recommendation</t>
        </is>
      </c>
      <c r="AQ1" s="23" t="inlineStr">
        <is>
          <t>retailer_velocity</t>
        </is>
      </c>
      <c r="AR1" s="23" t="inlineStr">
        <is>
          <t>claims_reviewed</t>
        </is>
      </c>
      <c r="AS1" s="23" t="inlineStr">
        <is>
          <t>claims_review_reason</t>
        </is>
      </c>
      <c r="AT1" s="23" t="inlineStr">
        <is>
          <t>report_delivered_date</t>
        </is>
      </c>
      <c r="AU1" s="23" t="inlineStr">
        <is>
          <t>debrief_date</t>
        </is>
      </c>
      <c r="AV1" s="23" t="inlineStr">
        <is>
          <t>brand_would_buy_again</t>
        </is>
      </c>
      <c r="AW1" s="23" t="inlineStr">
        <is>
          <t>renewed</t>
        </is>
      </c>
      <c r="AX1" s="23" t="inlineStr">
        <is>
          <t>renewal_note</t>
        </is>
      </c>
      <c r="AY1" s="23" t="inlineStr">
        <is>
          <t>newsletter_passed_date</t>
        </is>
      </c>
      <c r="AZ1" s="23" t="inlineStr">
        <is>
          <t>newsletter_passed_count</t>
        </is>
      </c>
      <c r="BA1" s="23" t="inlineStr">
        <is>
          <t>newsletter_unticked_deleted_date</t>
        </is>
      </c>
      <c r="BB1" s="23" t="inlineStr">
        <is>
          <t>newsletter_deleted_date</t>
        </is>
      </c>
      <c r="BC1" s="23" t="inlineStr">
        <is>
          <t>answers_deleted_date</t>
        </is>
      </c>
      <c r="BD1" s="23" t="inlineStr">
        <is>
          <t>notes</t>
        </is>
      </c>
      <c r="BE1" s="24" t="inlineStr">
        <is>
          <t>brand_name</t>
        </is>
      </c>
      <c r="BF1" s="24" t="inlineStr">
        <is>
          <t>category</t>
        </is>
      </c>
      <c r="BG1" s="24" t="inlineStr">
        <is>
          <t>drop_date</t>
        </is>
      </c>
      <c r="BH1" s="24" t="inlineStr">
        <is>
          <t>delivery_model</t>
        </is>
      </c>
      <c r="BI1" s="24" t="inlineStr">
        <is>
          <t>price_expected_usd</t>
        </is>
      </c>
      <c r="BJ1" s="24" t="inlineStr">
        <is>
          <t>price_usd</t>
        </is>
      </c>
      <c r="BK1" s="24" t="inlineStr">
        <is>
          <t>payment_terms</t>
        </is>
      </c>
      <c r="BL1" s="24" t="inlineStr">
        <is>
          <t>cancel_by</t>
        </is>
      </c>
      <c r="BM1" s="24" t="inlineStr">
        <is>
          <t>ship_by_requested</t>
        </is>
      </c>
      <c r="BN1" s="24" t="inlineStr">
        <is>
          <t>offices_on_route</t>
        </is>
      </c>
      <c r="BO1" s="24" t="inlineStr">
        <is>
          <t>offices_approved</t>
        </is>
      </c>
      <c r="BP1" s="24" t="inlineStr">
        <is>
          <t>offices_on_drop</t>
        </is>
      </c>
      <c r="BQ1" s="24" t="inlineStr">
        <is>
          <t>approvals_pending</t>
        </is>
      </c>
      <c r="BR1" s="24" t="inlineStr">
        <is>
          <t>units_allocated</t>
        </is>
      </c>
      <c r="BS1" s="24" t="inlineStr">
        <is>
          <t>reserve_planned</t>
        </is>
      </c>
      <c r="BT1" s="24" t="inlineStr">
        <is>
          <t>units_to_ship</t>
        </is>
      </c>
      <c r="BU1" s="24" t="inlineStr">
        <is>
          <t>pre_ship_paid_usd</t>
        </is>
      </c>
      <c r="BV1" s="24" t="inlineStr">
        <is>
          <t>pre_ship_due_usd</t>
        </is>
      </c>
      <c r="BW1" s="24" t="inlineStr">
        <is>
          <t>ship_release</t>
        </is>
      </c>
      <c r="BX1" s="24" t="inlineStr">
        <is>
          <t>units_received</t>
        </is>
      </c>
      <c r="BY1" s="24" t="inlineStr">
        <is>
          <t>units_rejected</t>
        </is>
      </c>
      <c r="BZ1" s="24" t="inlineStr">
        <is>
          <t>reserve_on_hand</t>
        </is>
      </c>
      <c r="CA1" s="24" t="inlineStr">
        <is>
          <t>leftover_on_hand</t>
        </is>
      </c>
      <c r="CB1" s="24" t="inlineStr">
        <is>
          <t>units_delivered</t>
        </is>
      </c>
      <c r="CC1" s="24" t="inlineStr">
        <is>
          <t>units_placed</t>
        </is>
      </c>
      <c r="CD1" s="24" t="inlineStr">
        <is>
          <t>units_placed_within_1bd</t>
        </is>
      </c>
      <c r="CE1" s="24" t="inlineStr">
        <is>
          <t>placed_share_1bd</t>
        </is>
      </c>
      <c r="CF1" s="24" t="inlineStr">
        <is>
          <t>units_topped_up</t>
        </is>
      </c>
      <c r="CG1" s="24" t="inlineStr">
        <is>
          <t>units_depleted_day5</t>
        </is>
      </c>
      <c r="CH1" s="24" t="inlineStr">
        <is>
          <t>survey_responses</t>
        </is>
      </c>
      <c r="CI1" s="24" t="inlineStr">
        <is>
          <t>survey_responses_min_office</t>
        </is>
      </c>
      <c r="CJ1" s="24" t="inlineStr">
        <is>
          <t>offices_under_5</t>
        </is>
      </c>
      <c r="CK1" s="24" t="inlineStr">
        <is>
          <t>survey_tried_yes</t>
        </is>
      </c>
      <c r="CL1" s="24" t="inlineStr">
        <is>
          <t>tried_no_didnt_see</t>
        </is>
      </c>
      <c r="CM1" s="24" t="inlineStr">
        <is>
          <t>tried_no_not_for_me</t>
        </is>
      </c>
      <c r="CN1" s="24" t="inlineStr">
        <is>
          <t>tried_no_gone</t>
        </is>
      </c>
      <c r="CO1" s="24" t="inlineStr">
        <is>
          <t>survey_rating_n</t>
        </is>
      </c>
      <c r="CP1" s="24" t="inlineStr">
        <is>
          <t>survey_rating_avg</t>
        </is>
      </c>
      <c r="CQ1" s="24" t="inlineStr">
        <is>
          <t>survey_buy_yes</t>
        </is>
      </c>
      <c r="CR1" s="24" t="inlineStr">
        <is>
          <t>survey_buy_maybe</t>
        </is>
      </c>
      <c r="CS1" s="24" t="inlineStr">
        <is>
          <t>survey_buy_no</t>
        </is>
      </c>
      <c r="CT1" s="24" t="inlineStr">
        <is>
          <t>comments_total</t>
        </is>
      </c>
      <c r="CU1" s="24" t="inlineStr">
        <is>
          <t>responses_outside_window</t>
        </is>
      </c>
      <c r="CV1" s="24" t="inlineStr">
        <is>
          <t>responses_unmatched_code</t>
        </is>
      </c>
      <c r="CW1" s="24" t="inlineStr">
        <is>
          <t>qr_scans</t>
        </is>
      </c>
      <c r="CX1" s="24" t="inlineStr">
        <is>
          <t>post_link_opens</t>
        </is>
      </c>
      <c r="CY1" s="24" t="inlineStr">
        <is>
          <t>code_redemptions_to_date</t>
        </is>
      </c>
      <c r="CZ1" s="24" t="inlineStr">
        <is>
          <t>code_redemptions_as_of</t>
        </is>
      </c>
      <c r="DA1" s="24" t="inlineStr">
        <is>
          <t>code_redemptions_day30</t>
        </is>
      </c>
      <c r="DB1" s="24" t="inlineStr">
        <is>
          <t>revenue_usd</t>
        </is>
      </c>
      <c r="DC1" s="24" t="inlineStr">
        <is>
          <t>deposit_usd</t>
        </is>
      </c>
      <c r="DD1" s="24" t="inlineStr">
        <is>
          <t>deposit_paid_date</t>
        </is>
      </c>
      <c r="DE1" s="24" t="inlineStr">
        <is>
          <t>invoice_paid_date</t>
        </is>
      </c>
      <c r="DF1" s="24" t="inlineStr">
        <is>
          <t>processing_fee_usd</t>
        </is>
      </c>
      <c r="DG1" s="24" t="inlineStr">
        <is>
          <t>direct_cost_usd</t>
        </is>
      </c>
      <c r="DH1" s="24" t="inlineStr">
        <is>
          <t>shared_cost_usd</t>
        </is>
      </c>
      <c r="DI1" s="24" t="inlineStr">
        <is>
          <t>hours_direct</t>
        </is>
      </c>
      <c r="DJ1" s="24" t="inlineStr">
        <is>
          <t>hours_shared</t>
        </is>
      </c>
      <c r="DK1" s="24" t="inlineStr">
        <is>
          <t>contribution_usd</t>
        </is>
      </c>
      <c r="DL1" s="24" t="inlineStr">
        <is>
          <t>contribution_per_hour_usd</t>
        </is>
      </c>
      <c r="DM1" s="24" t="inlineStr">
        <is>
          <t>photo_compliance</t>
        </is>
      </c>
      <c r="DN1" s="24" t="inlineStr">
        <is>
          <t>placement_lag_hours_avg</t>
        </is>
      </c>
      <c r="DO1" s="24" t="inlineStr">
        <is>
          <t>report_due</t>
        </is>
      </c>
      <c r="DP1" s="24" t="inlineStr">
        <is>
          <t>debrief_due</t>
        </is>
      </c>
      <c r="DQ1" s="24" t="inlineStr">
        <is>
          <t>redemption_check_date</t>
        </is>
      </c>
      <c r="DR1" s="24" t="inlineStr">
        <is>
          <t>gate2_placed</t>
        </is>
      </c>
      <c r="DS1" s="24" t="inlineStr">
        <is>
          <t>gate2_responses</t>
        </is>
      </c>
      <c r="DT1" s="24" t="inlineStr">
        <is>
          <t>gate2_report_on_time</t>
        </is>
      </c>
      <c r="DU1" s="24" t="inlineStr">
        <is>
          <t>checks</t>
        </is>
      </c>
    </row>
    <row r="2">
      <c r="A2" t="inlineStr">
        <is>
          <t>SAMPLE-CMP-001</t>
        </is>
      </c>
      <c r="B2" t="inlineStr">
        <is>
          <t>SAMPLE-DRP-001</t>
        </is>
      </c>
      <c r="C2" t="inlineStr">
        <is>
          <t>SAMPLE-BR-001</t>
        </is>
      </c>
      <c r="D2" t="inlineStr">
        <is>
          <t>founding</t>
        </is>
      </c>
      <c r="F2" t="n">
        <v>5</v>
      </c>
      <c r="G2" s="10" t="n"/>
      <c r="H2" s="9" t="n">
        <v>46363</v>
      </c>
      <c r="I2" t="inlineStr">
        <is>
          <t>0.8</t>
        </is>
      </c>
      <c r="J2" t="inlineStr">
        <is>
          <t>SAMPLE Sea Salt Lentil Crisps, 1 oz bags</t>
        </is>
      </c>
      <c r="L2" t="inlineStr">
        <is>
          <t>SAMPLE Two friends in Queens make lentil crisps that taste like a snack, not a compromise. Baked in small batches in Long Island City.</t>
        </is>
      </c>
      <c r="M2" t="inlineStr">
        <is>
          <t>contains_statement</t>
        </is>
      </c>
      <c r="N2" t="inlineStr">
        <is>
          <t>SAMPLE Contains: milk, sesame.</t>
        </is>
      </c>
      <c r="O2" t="inlineStr">
        <is>
          <t>SAMPLE Made in a facility that also processes tree nuts.</t>
        </is>
      </c>
      <c r="U2" t="inlineStr">
        <is>
          <t>SAMPLE Example Market, 1 Example Street</t>
        </is>
      </c>
      <c r="V2" t="inlineStr">
        <is>
          <t>SAMPLEDESK15</t>
        </is>
      </c>
      <c r="W2" t="inlineStr">
        <is>
          <t>example.com</t>
        </is>
      </c>
      <c r="X2" t="inlineStr">
        <is>
          <t>https://example.com/brightside/office</t>
        </is>
      </c>
      <c r="Y2" t="inlineStr">
        <is>
          <t>release</t>
        </is>
      </c>
      <c r="Z2" t="inlineStr">
        <is>
          <t>Y</t>
        </is>
      </c>
      <c r="AA2" t="inlineStr">
        <is>
          <t>https://example.com/brightside/privacy</t>
        </is>
      </c>
      <c r="AB2" s="9" t="n">
        <v>46370</v>
      </c>
      <c r="AC2" s="9" t="n">
        <v>46370</v>
      </c>
      <c r="AD2" s="9" t="n">
        <v>46370</v>
      </c>
      <c r="AF2" s="9" t="n">
        <v>46377</v>
      </c>
      <c r="AG2" s="9" t="n">
        <v>46374</v>
      </c>
      <c r="AH2" t="n">
        <v>275</v>
      </c>
      <c r="AI2" t="inlineStr">
        <is>
          <t>https://docs.google.com/forms/d/e/SAMPLE-CMP-001-FORM/viewform</t>
        </is>
      </c>
      <c r="AJ2" t="inlineStr">
        <is>
          <t>https://docs.google.com/forms/d/e/SAMPLE-CMP-001-FORM/viewform?usp=pp_url&amp;entry.1000001=CARDCODE</t>
        </is>
      </c>
      <c r="AK2" t="inlineStr">
        <is>
          <t>https://docs.google.com/forms/d/e/SAMPLE-CMP-001-NEWS/viewform</t>
        </is>
      </c>
      <c r="AT2" s="9" t="n"/>
      <c r="AU2" s="9" t="n"/>
      <c r="AY2" s="9" t="n"/>
      <c r="BA2" s="9" t="n"/>
      <c r="BB2" s="9" t="n"/>
      <c r="BC2" s="9" t="n"/>
      <c r="BE2" s="25">
        <f>IF($A2="","",IFERROR(IF(INDEX(brands!$K$2:$K$41,MATCH($C2,brands!$A$2:$A$41,0))="","",INDEX(brands!$K$2:$K$41,MATCH($C2,brands!$A$2:$A$41,0))),""))</f>
        <v/>
      </c>
      <c r="BF2" s="25">
        <f>IF($A2="","",IFERROR(IF(INDEX(brands!$M$2:$M$41,MATCH($C2,brands!$A$2:$A$41,0))="","",INDEX(brands!$M$2:$M$41,MATCH($C2,brands!$A$2:$A$41,0))),""))</f>
        <v/>
      </c>
      <c r="BG2" s="26">
        <f>IF($A2="","",IF(IFERROR(IF(INDEX(drops!$I$2:$I$21,MATCH($B2,drops!$A$2:$A$21,0))="","",INDEX(drops!$I$2:$I$21,MATCH($B2,drops!$A$2:$A$21,0))),"")="OK",IFERROR(IF(INDEX(drops!$B$2:$B$21,MATCH($B2,drops!$A$2:$A$21,0))="","",INDEX(drops!$B$2:$B$21,MATCH($B2,drops!$A$2:$A$21,0))),""),""))</f>
        <v/>
      </c>
      <c r="BH2" s="25">
        <f>IF($A2="","",IFERROR(IF(INDEX(drops!$C$2:$C$21,MATCH($B2,drops!$A$2:$A$21,0))="","",INDEX(drops!$C$2:$C$21,MATCH($B2,drops!$A$2:$A$21,0))),""))</f>
        <v/>
      </c>
      <c r="BI2" s="27">
        <f>IF($A2="","",IF($F2="","",IF($D2="founding",IF($E2="Y",config!$B$25*MIN($F2,config!$B$26)+config!$B$24*MAX(0,$F2-config!$B$26),config!$B$20+config!$B$24*MAX(0,$F2-config!$B$21)),IF($D2="standard",config!$B$22+config!$B$24*MAX(0,$F2-config!$B$23),""))))</f>
        <v/>
      </c>
      <c r="BJ2" s="27">
        <f>IF($A2="","",IF($G2&lt;&gt;"",$G2,$BI2))</f>
        <v/>
      </c>
      <c r="BK2" s="25">
        <f>IF($A2="","",IF($D2="founding","100% within "&amp;config!$B$27&amp;" business days of the invoice, before shipping",IF($D2="standard","50% on signing; 50% at placement confirmation (T+1)","")))</f>
        <v/>
      </c>
      <c r="BL2" s="26">
        <f>IF($A2="","",IFERROR(IF(INDEX(drops!$K$2:$K$21,MATCH($B2,drops!$A$2:$A$21,0))="","",INDEX(drops!$K$2:$K$21,MATCH($B2,drops!$A$2:$A$21,0))),""))</f>
        <v/>
      </c>
      <c r="BM2" s="26">
        <f>IF($A2="","",IFERROR(IF(INDEX(drops!$L$2:$L$21,MATCH($B2,drops!$A$2:$A$21,0))="","",INDEX(drops!$L$2:$L$21,MATCH($B2,drops!$A$2:$A$21,0))),""))</f>
        <v/>
      </c>
      <c r="BN2" s="25">
        <f>IF($A2="","",COUNTIF(approvals!$A$2:$A$251,$A2))</f>
        <v/>
      </c>
      <c r="BO2" s="25">
        <f>IF($A2="","",COUNTIFS(approvals!$A$2:$A$251,$A2,approvals!$P$2:$P$251,"Y"))</f>
        <v/>
      </c>
      <c r="BP2" s="25">
        <f>IF($A2="","",COUNTIFS(approvals!$A$2:$A$251,$A2,approvals!$Q$2:$Q$251,"Y"))</f>
        <v/>
      </c>
      <c r="BQ2" s="25">
        <f>IF($A2="","",COUNTIFS(approvals!$A$2:$A$251,$A2,approvals!$P$2:$P$251,"pending"))</f>
        <v/>
      </c>
      <c r="BR2" s="25">
        <f>IF($A2="","",SUMIFS(approvals!$S$2:$S$251,approvals!$A$2:$A$251,$A2,approvals!$P$2:$P$251,"Y"))</f>
        <v/>
      </c>
      <c r="BS2" s="25">
        <f>IF($A2="","",ROUNDUP($BR2*config!$B$18,0))</f>
        <v/>
      </c>
      <c r="BT2" s="25">
        <f>IF($A2="","",$BR2+$BS2)</f>
        <v/>
      </c>
      <c r="BU2" s="27">
        <f>IF($A2="","",SUMIFS(invoices!$I$2:$I$151,invoices!$B$2:$B$151,$A2,invoices!$R$2:$R$151,"Y",invoices!$H$2:$H$151,"&gt;0"))</f>
        <v/>
      </c>
      <c r="BV2" s="27">
        <f>IF($A2="","",IF($BJ2="","",IF($D2="founding",$BJ2,ROUND($BJ2*config!$B$28,2))))</f>
        <v/>
      </c>
      <c r="BW2" s="25">
        <f>IF($A2="","",IF(AND(N($BU2)&gt;=N($BV2),N($BV2)&gt;0,$H2&lt;&gt;"",AND($AB2&lt;&gt;"",IFERROR(IF(INDEX(brands!$G$2:$G$41,MATCH($C2,brands!$A$2:$A$41,0))="","",INDEX(brands!$G$2:$G$41,MATCH($C2,brands!$A$2:$A$41,0))),"")="Y"),LEFT(IFERROR(IF(INDEX(brands!$AG$2:$AG$41,MATCH($C2,brands!$A$2:$A$41,0))="","",INDEX(brands!$AG$2:$AG$41,MATCH($C2,brands!$A$2:$A$41,0))),""),1)="Y",$BG2&lt;&gt;"",$BQ2=0,$BO2&gt;0),"RELEASED "&amp;TEXT(MAX(IFERROR(1/(1/SUMPRODUCT(MAX((invoices!$B$2:$B$151=$A2)*(invoices!$R$2:$R$151="Y")*(invoices!$H$2:$H$151)))),""),$H2,$AB2,SUMPRODUCT(MAX((approvals!$A$2:$A$251=$A2)*(approvals!$P$2:$P$251="Y")*(approvals!$E$2:$E$251+(approvals!$E$2:$E$251=0)*approvals!$C$2:$C$251)))),"yyyy-mm-dd")&amp;": ship by "&amp;TEXT($BM2,"ddd yyyy-mm-dd")&amp;" (latest "&amp;TEXT($BL2,"ddd yyyy-mm-dd")&amp;")","HOLD: "&amp;IF(N($BU2)&lt;N($BV2),"payment ("&amp;TEXT(N($BU2),"0")&amp;" of "&amp;TEXT(N($BV2),"0")&amp;") ","")&amp;IF($H2="","agreement ","")&amp;IF(NOT(AND($AB2&lt;&gt;"",IFERROR(IF(INDEX(brands!$G$2:$G$41,MATCH($C2,brands!$A$2:$A$41,0))="","",INDEX(brands!$G$2:$G$41,MATCH($C2,brands!$A$2:$A$41,0))),"")="Y")),"certificate ","")&amp;IF(NOT(LEFT(IFERROR(IF(INDEX(brands!$AG$2:$AG$41,MATCH($C2,brands!$A$2:$A$41,0))="","",INDEX(brands!$AG$2:$AG$41,MATCH($C2,brands!$A$2:$A$41,0))),""),1)="Y"),"qualification ","")&amp;IF($BG2="","drop date ","")&amp;IF($BQ2&gt;0,"approvals ("&amp;$BQ2&amp;" pending) ","")&amp;IF($BO2=0,"no office approved ","")))</f>
        <v/>
      </c>
      <c r="BX2" s="25">
        <f>IF($A2="","",SUMIFS(inventory!$G$2:$G$801,inventory!$C$2:$C$801,$A2,inventory!$E$2:$E$801,"received"))</f>
        <v/>
      </c>
      <c r="BY2" s="25">
        <f>IF($A2="","",SUMIFS(inventory!$G$2:$G$801,inventory!$C$2:$C$801,$A2,inventory!$E$2:$E$801,"rejected"))</f>
        <v/>
      </c>
      <c r="BZ2" s="25">
        <f>IF($A2="","",SUMIFS(inventory!$M$2:$M$801,inventory!$C$2:$C$801,$A2))</f>
        <v/>
      </c>
      <c r="CA2" s="25">
        <f>IF($A2="","",SUMIFS(inventory!$O$2:$O$801,inventory!$C$2:$C$801,$A2))</f>
        <v/>
      </c>
      <c r="CB2" s="25">
        <f>IF($A2="","",SUMIFS(approvals!$U$2:$U$251,approvals!$A$2:$A$251,$A2))</f>
        <v/>
      </c>
      <c r="CC2" s="25">
        <f>IF($A2="","",SUMIFS(approvals!$AA$2:$AA$251,approvals!$A$2:$A$251,$A2))</f>
        <v/>
      </c>
      <c r="CD2" s="25">
        <f>IF($A2="","",SUMIFS(approvals!$AA$2:$AA$251,approvals!$A$2:$A$251,$A2,approvals!$AB$2:$AB$251,"Y"))</f>
        <v/>
      </c>
      <c r="CE2" s="29">
        <f>IF($A2="","",IF(N($CB2)=0,"",$CD2/$CB2))</f>
        <v/>
      </c>
      <c r="CF2" s="25">
        <f>IF($A2="","",SUMIFS(approvals!$AD$2:$AD$251,approvals!$A$2:$A$251,$A2))</f>
        <v/>
      </c>
      <c r="CG2" s="25">
        <f>IF($A2="","",IF(COUNTIFS(approvals!$A$2:$A$251,$A2,approvals!$Q$2:$Q$251,"Y",approvals!$AG$2:$AG$251,"")&gt;0,"",SUMIFS(approvals!$AG$2:$AG$251,approvals!$A$2:$A$251,$A2,approvals!$Q$2:$Q$251,"Y")))</f>
        <v/>
      </c>
      <c r="CH2" s="25">
        <f>IF($A2="","",SUMIFS(approvals!$AL$2:$AL$251,approvals!$A$2:$A$251,$A2))</f>
        <v/>
      </c>
      <c r="CI2" s="25">
        <f>IF($A2="","",IF(N($BP2)=0,"",SUMPRODUCT(MIN(approvals!$BB$2:$BB$251+(approvals!$A$2:$A$251&lt;&gt;$A2)*1000000))))</f>
        <v/>
      </c>
      <c r="CJ2" s="25">
        <f>IF($A2="","",COUNTIFS(approvals!$A$2:$A$251,$A2,approvals!$Q$2:$Q$251,"Y",approvals!$AL$2:$AL$251,"&lt;"&amp;config!$B$30))</f>
        <v/>
      </c>
      <c r="CK2" s="25">
        <f>IF($A2="","",SUMIFS(approvals!$AM$2:$AM$251,approvals!$A$2:$A$251,$A2))</f>
        <v/>
      </c>
      <c r="CL2" s="25">
        <f>IF($A2="","",SUMIFS(approvals!$AQ$2:$AQ$251,approvals!$A$2:$A$251,$A2))</f>
        <v/>
      </c>
      <c r="CM2" s="25">
        <f>IF($A2="","",SUMIFS(approvals!$AR$2:$AR$251,approvals!$A$2:$A$251,$A2))</f>
        <v/>
      </c>
      <c r="CN2" s="25">
        <f>IF($A2="","",SUMIFS(approvals!$AS$2:$AS$251,approvals!$A$2:$A$251,$A2))</f>
        <v/>
      </c>
      <c r="CO2" s="25">
        <f>IF($A2="","",SUMIFS(approvals!$AT$2:$AT$251,approvals!$A$2:$A$251,$A2))</f>
        <v/>
      </c>
      <c r="CP2" s="28">
        <f>IF($A2="","",IF(N($CO2)=0,"",ROUND(SUMIFS(approvals!$AU$2:$AU$251,approvals!$A$2:$A$251,$A2)/$CO2,1)))</f>
        <v/>
      </c>
      <c r="CQ2" s="25">
        <f>IF($A2="","",SUMIFS(approvals!$AV$2:$AV$251,approvals!$A$2:$A$251,$A2))</f>
        <v/>
      </c>
      <c r="CR2" s="25">
        <f>IF($A2="","",SUMIFS(approvals!$AW$2:$AW$251,approvals!$A$2:$A$251,$A2))</f>
        <v/>
      </c>
      <c r="CS2" s="25">
        <f>IF($A2="","",SUMIFS(approvals!$AX$2:$AX$251,approvals!$A$2:$A$251,$A2))</f>
        <v/>
      </c>
      <c r="CT2" s="25">
        <f>IF($A2="","",SUMIFS(approvals!$AY$2:$AY$251,approvals!$A$2:$A$251,$A2))</f>
        <v/>
      </c>
      <c r="CU2" s="25">
        <f>IF($A2="","",IF(OR($BG2="",$BC2&lt;&gt;""),"",IFERROR(COUNT(INDIRECT("'"&amp;$A2&amp;"'!$A$2:$A$501")),0)-IFERROR(COUNTIFS(INDIRECT("'"&amp;$A2&amp;"'!$A$2:$A$501"),"&gt;="&amp;$BG2,INDIRECT("'"&amp;$A2&amp;"'!$A$2:$A$501"),"&lt;"&amp;(IFERROR(IF(INDEX(drops!$R$2:$R$21,MATCH($B2,drops!$A$2:$A$21,0))="","",INDEX(drops!$R$2:$R$21,MATCH($B2,drops!$A$2:$A$21,0))),"")+1)),0)))</f>
        <v/>
      </c>
      <c r="CV2" s="25">
        <f>IF($A2="","",IF(OR($BG2="",$BC2&lt;&gt;""),"",IFERROR(COUNTIFS(INDIRECT("'"&amp;$A2&amp;"'!$A$2:$A$501"),"&gt;="&amp;$BG2,INDIRECT("'"&amp;$A2&amp;"'!$A$2:$A$501"),"&lt;"&amp;(IFERROR(IF(INDEX(drops!$R$2:$R$21,MATCH($B2,drops!$A$2:$A$21,0))="","",INDEX(drops!$R$2:$R$21,MATCH($B2,drops!$A$2:$A$21,0))),"")+1)),0)-N($CH2)))</f>
        <v/>
      </c>
      <c r="CW2" s="25">
        <f>IF($A2="","",SUMIFS(approvals!$AN$2:$AN$251,approvals!$A$2:$A$251,$A2))</f>
        <v/>
      </c>
      <c r="CX2" s="25">
        <f>IF($A2="","",SUMIFS(approvals!$AO$2:$AO$251,approvals!$A$2:$A$251,$A2))</f>
        <v/>
      </c>
      <c r="CY2" s="25">
        <f>IF($A2="","",IF($CZ2="","",SUMIFS(redemptions!$C$2:$C$121,redemptions!$A$2:$A$121,$A2,redemptions!$B$2:$B$121,$CZ2)))</f>
        <v/>
      </c>
      <c r="CZ2" s="26">
        <f>IF($A2="","",IFERROR(1/(1/SUMPRODUCT(MAX((redemptions!$A$2:$A$121=$A2)*redemptions!$B$2:$B$121))),""))</f>
        <v/>
      </c>
      <c r="DA2" s="25">
        <f>IF($A2="","",IF(COUNTIFS(redemptions!$A$2:$A$121,$A2,redemptions!$H$2:$H$121,"Y")=0,"",SUMIFS(redemptions!$C$2:$C$121,redemptions!$A$2:$A$121,$A2,redemptions!$B$2:$B$121,SUMPRODUCT(MIN((redemptions!$A$2:$A$121=$A2)*(redemptions!$H$2:$H$121="Y")*redemptions!$B$2:$B$121+((redemptions!$A$2:$A$121&lt;&gt;$A2)+(redemptions!$H$2:$H$121&lt;&gt;"Y")&gt;0)*1000000)))))</f>
        <v/>
      </c>
      <c r="DB2" s="27">
        <f>IF($A2="","",SUMIFS(invoices!$E$2:$E$151,invoices!$B$2:$B$151,$A2))</f>
        <v/>
      </c>
      <c r="DC2" s="27">
        <f>IF($A2="","",IF(COUNTIFS(invoices!$B$2:$B$151,$A2,invoices!$C$2:$C$151,"standard_deposit",invoices!$H$2:$H$151,"&gt;0")=0,"",SUMIFS(invoices!$I$2:$I$151,invoices!$B$2:$B$151,$A2,invoices!$C$2:$C$151,"standard_deposit")))</f>
        <v/>
      </c>
      <c r="DD2" s="26">
        <f>IF($A2="","",IFERROR(1/(1/SUMPRODUCT(MAX((invoices!$B$2:$B$151=$A2)*(invoices!$C$2:$C$151="standard_deposit")*invoices!$H$2:$H$151))),""))</f>
        <v/>
      </c>
      <c r="DE2" s="26">
        <f>IF($A2="","",IFERROR(1/(1/SUMPRODUCT(MAX((invoices!$B$2:$B$151=$A2)*((invoices!$C$2:$C$151="founding_full")+(invoices!$C$2:$C$151="standard_balance"))*invoices!$H$2:$H$151))),""))</f>
        <v/>
      </c>
      <c r="DF2" s="27">
        <f>IF($A2="","",SUMIFS(invoices!$L$2:$L$151,invoices!$B$2:$B$151,$A2))</f>
        <v/>
      </c>
      <c r="DG2" s="27">
        <f>IF($A2="","",SUMIFS(costs!$E$2:$E$301,costs!$C$2:$C$301,$A2))</f>
        <v/>
      </c>
      <c r="DH2" s="27">
        <f>IF($A2="","",ROUND(IF(SUMIFS(campaigns!$BO$2:$BO$51,campaigns!$B$2:$B$51,$B2)=0,0,$BO2/SUMIFS(campaigns!$BO$2:$BO$51,campaigns!$B$2:$B$51,$B2))*(SUMIFS(costs!$E$2:$E$301,costs!$B$2:$B$301,$B2)-SUMPRODUCT((costs!$B$2:$B$301=$B2)*(LEN(costs!$C$2:$C$301)&gt;0)*costs!$E$2:$E$301)),2))</f>
        <v/>
      </c>
      <c r="DI2" s="28">
        <f>IF($A2="","",SUMIFS(hours!$E$2:$E$1501,hours!$C$2:$C$1501,$A2))</f>
        <v/>
      </c>
      <c r="DJ2" s="28">
        <f>IF($A2="","",ROUND(IF(SUMIFS(campaigns!$BO$2:$BO$51,campaigns!$B$2:$B$51,$B2)=0,0,$BO2/SUMIFS(campaigns!$BO$2:$BO$51,campaigns!$B$2:$B$51,$B2))*(SUMIFS(hours!$E$2:$E$1501,hours!$B$2:$B$1501,$B2)-SUMPRODUCT((hours!$B$2:$B$1501=$B2)*(LEN(hours!$C$2:$C$1501)&gt;0)*hours!$E$2:$E$1501)),2))</f>
        <v/>
      </c>
      <c r="DK2" s="27">
        <f>IF($A2="","",$DB2-$DF2-$DG2-$DH2)</f>
        <v/>
      </c>
      <c r="DL2" s="27">
        <f>IF($A2="","",IF(N($DI2)+N($DJ2)=0,"",ROUND($DK2/($DI2+$DJ2),2)))</f>
        <v/>
      </c>
      <c r="DM2" s="29">
        <f>IF($A2="","",IF(N($BP2)=0,"",COUNTIFS(approvals!$A$2:$A$251,$A2,approvals!$Q$2:$Q$251,"Y",approvals!$AK$2:$AK$251,"Y")/$BP2))</f>
        <v/>
      </c>
      <c r="DN2" s="28">
        <f>IF($A2="","",IF(COUNTIFS(approvals!$A$2:$A$251,$A2,approvals!$AC$2:$AC$251,"&gt;=0")=0,"",ROUND(SUMIFS(approvals!$AC$2:$AC$251,approvals!$A$2:$A$251,$A2)/COUNTIFS(approvals!$A$2:$A$251,$A2,approvals!$AC$2:$AC$251,"&gt;=0"),1)))</f>
        <v/>
      </c>
      <c r="DO2" s="26">
        <f>IF($A2="","",IFERROR(IF(INDEX(drops!$T$2:$T$21,MATCH($B2,drops!$A$2:$A$21,0))="","",INDEX(drops!$T$2:$T$21,MATCH($B2,drops!$A$2:$A$21,0))),""))</f>
        <v/>
      </c>
      <c r="DP2" s="26">
        <f>IF($A2="","",IFERROR(IF(INDEX(drops!$U$2:$U$21,MATCH($B2,drops!$A$2:$A$21,0))="","",INDEX(drops!$U$2:$U$21,MATCH($B2,drops!$A$2:$A$21,0))),""))</f>
        <v/>
      </c>
      <c r="DQ2" s="26">
        <f>IF($A2="","",IFERROR(IF(INDEX(drops!$W$2:$W$21,MATCH($B2,drops!$A$2:$A$21,0))="","",INDEX(drops!$W$2:$W$21,MATCH($B2,drops!$A$2:$A$21,0))),""))</f>
        <v/>
      </c>
      <c r="DR2" s="25">
        <f>IF($A2="","",IF($CE2="","",IF($CE2&gt;=config!$B$31,"pass","miss")))</f>
        <v/>
      </c>
      <c r="DS2" s="25">
        <f>IF($A2="","",IF($CI2="","",IF($CI2&gt;=config!$B$30,"pass","miss")))</f>
        <v/>
      </c>
      <c r="DT2" s="25">
        <f>IF($A2="","",IF($AT2="",IF($DO2="","",IF(IF(config!$B$37&lt;&gt;"",config!$B$37,TODAY())&gt;$DO2,"late","due")),IF($AT2&lt;=$DO2,"pass","late")))</f>
        <v/>
      </c>
      <c r="DU2" s="25">
        <f>IF($A2="","",IF(COUNTIF(drops!$A$2:$A$21,$B2)=0,"drop_id not on drops; ",IF($BG2="","drop date missing or refused; ",""))&amp;IF(AND($G2&lt;&gt;"",$G2&lt;&gt;$BI2),"price differs from the price list; ","")&amp;IF(AND(LEFT($BW2,4)="HOLD",$BL2&lt;&gt;"",IF(config!$B$37&lt;&gt;"",config!$B$37,TODAY())&gt;=WORKDAY(N($BL2),-3,calendar!$A$2:$A$80)),"SHIP HOLD within 3 business days of T-10; ","")&amp;IF(AND($BQ2&gt;0,$BL2&lt;&gt;"",IF(config!$B$37&lt;&gt;"",config!$B$37,TODAY())&gt;$BL2),"approvals still pending after T-10; ","")&amp;IF($BZ2&lt;0,"reserve below zero: check inventory; ","")&amp;IF(AND($BG2&lt;&gt;"",IF(config!$B$37&lt;&gt;"",config!$B$37,TODAY())&gt;WORKDAY(N($BG2),14,calendar!$A$2:$A$80),N($BZ2)+N($CA2)&lt;&gt;0),"units still on hand after T+14; ","")&amp;IF(N($CV2)&gt;0,"info: "&amp;$CV2&amp;" in-window responses with a card code that matches no office (not counted); ","")&amp;IF(AND($Z2="Y",$AK2=""),"newsletter form URL missing; ","")&amp;IF(AND($Z2="Y",$BG2&lt;&gt;"",IF(config!$B$37&lt;&gt;"",config!$B$37,TODAY())&gt;WORKDAY(N($BG2),5,calendar!$A$2:$A$80),$AY2=""),"newsletter list not yet passed on (due T+5); ","")&amp;IF(AND($AY2&lt;&gt;"",$BA2=""),"delete unticked emails; ","")&amp;IF(AND($AY2&lt;&gt;"",$BB2="",IF(config!$B$37&lt;&gt;"",config!$B$37,TODAY())&gt;$AY2+config!$B$32),"DELETE the consented emails (30 days after passing on); ","")&amp;IF(AND($BG2&lt;&gt;"",$AJ2="",IF(config!$B$37&lt;&gt;"",config!$B$37,TODAY())&gt;=WORKDAY(N($BG2),-4,calendar!$A$2:$A$80)),"survey prefill template missing (due T-4); ","")&amp;IF(AND($AJ2&lt;&gt;"",ISERROR(SEARCH("CARDCODE",$AJ2))),"prefill template has no CARDCODE; ","")&amp;IF(AND($AF2="",$BG2&lt;&gt;"",IF(config!$B$37&lt;&gt;"",config!$B$37,TODAY())&gt;=WORKDAY(N($BG2),-3,calendar!$A$2:$A$80)),"card text not yet sent to the brand; ","")&amp;IF(AND($DA2="",$DQ2&lt;&gt;"",IF(config!$B$37&lt;&gt;"",config!$B$37,TODAY())&gt;$DQ2),"day-30 redemption count due; ","")&amp;IF(AND(LEFT($BW2,8)="RELEASED",$AG2=""),"ship-date email due (template 02): send it, then log ship_email_sent_date and ship_email_units; ","")&amp;IF(AND($AH2&lt;&gt;"",N($BT2)&gt;0,N($BX2)=0,N($AH2)&lt;&gt;N($BT2)),"units changed since the ship-date email of "&amp;IF($AG2="","?",TEXT($AG2,"yyyy-mm-dd"))&amp;" ("&amp;$AH2&amp;", now "&amp;$BT2&amp;"): send the brand the revised numbers (template 02) and log them; ","")&amp;IF($DT2="late","report late; ","")&amp;IF(AND(N($F2)&gt;0,$BO2&lt;N($F2),$BQ2=0),"info: "&amp;(N($F2)-$BO2)&amp;" office(s) short of the contract: add a roster office or credit $"&amp;IF($D2="founding",config!$B$25,config!$B$24)&amp;" each; ","")&amp;IF($BC2&lt;&gt;"",IF(COUNTIF(survey_frozen!$A$2:$A$251,$A2)=0,"answers deleted but no frozen totals: the survey numbers now read 0 (tools/freeze_survey.py, SOP answers_delete); ",""),IF(AND($BG2&lt;&gt;"",IF(config!$B$37&lt;&gt;"",config!$B$37,TODAY())&gt;=$BG2,ISREF(INDIRECT("'"&amp;$A2&amp;"'!B1"))),IF(INDIRECT("'"&amp;$A2&amp;"'!B1")&lt;&gt;"Card code (filled in for you)","survey tab column B is not the card code: fix the form or the tab; ",""),IF(AND($BG2&lt;&gt;"",IF(config!$B$37&lt;&gt;"",config!$B$37,TODAY())&gt;=$BG2),"no survey tab named "&amp;$A2&amp;"; ","")))&amp;IF(COUNTIF(brands!$A$2:$A$41,$C2)=0,"brand_id not on brands; ",IF(LEFT(IFERROR(IF(INDEX(brands!$AG$2:$AG$41,MATCH($C2,brands!$A$2:$A$41,0))="","",INDEX(brands!$AG$2:$AG$41,MATCH($C2,brands!$A$2:$A$41,0))),""),1)&lt;&gt;"Y","brand not qualified ("&amp;IFERROR(IF(INDEX(brands!$AG$2:$AG$41,MATCH($C2,brands!$A$2:$A$41,0))="","",INDEX(brands!$AG$2:$AG$41,MATCH($C2,brands!$A$2:$A$41,0))),"")&amp;"): nothing ships until it is; ",""))&amp;IF(AND(COUNTIF(brands!$A$2:$A$41,$C2)&gt;0,OR(IFERROR(IF(INDEX(brands!$C$2:$C$41,MATCH($C2,brands!$A$2:$A$41,0))="","",INDEX(brands!$C$2:$C$41,MATCH($C2,brands!$A$2:$A$41,0))),"")="",IFERROR(IF(INDEX(brands!$D$2:$D$41,MATCH($C2,brands!$A$2:$A$41,0))="","",INDEX(brands!$D$2:$D$41,MATCH($C2,brands!$A$2:$A$41,0))),"")="",IFERROR(IF(INDEX(brands!$E$2:$E$41,MATCH($C2,brands!$A$2:$A$41,0))="","",INDEX(brands!$E$2:$E$41,MATCH($C2,brands!$A$2:$A$41,0))),"")="")),"brand billing details missing on brands (legal name, address, email): needed for the invoice; ","")&amp;IF(AND($D2="founding",$E2&lt;&gt;"Y",N(IFERROR(IF(INDEX(brands!$AI$2:$AI$41,MATCH($C2,brands!$A$2:$A$41,0))="","",INDEX(brands!$AI$2:$AI$41,MATCH($C2,brands!$A$2:$A$41,0))),""))&gt;3),"the founding tier is for the first three brands only (this is brand "&amp;IFERROR(IF(INDEX(brands!$AI$2:$AI$41,MATCH($C2,brands!$A$2:$A$41,0))="","",INDEX(brands!$AI$2:$AI$41,MATCH($C2,brands!$A$2:$A$41,0))),"")&amp;"): use standard; ","")&amp;IF(AND($D2="founding",$E2&lt;&gt;"Y",COUNTIFS(campaigns!$C$2:$C$51,$C2,campaigns!$D$2:$D$51,"founding",campaigns!$E$2:$E$51,"&lt;&gt;Y")&gt;1),"a brand has the founding price once; its next two campaigns are founding_lock = Y; ","")&amp;IF(AND($E2="Y",COUNTIFS(campaigns!$C$2:$C$51,$C2,campaigns!$D$2:$D$51,"founding",campaigns!$E$2:$E$51,"Y")&gt;2),"founding_lock is for the brand's next two campaigns only (this is a third): use standard; ","")&amp;IF(AND($E2="Y",COUNTIFS(campaigns!$C$2:$C$51,$C2,campaigns!$D$2:$D$51,"founding",campaigns!$E$2:$E$51,"&lt;&gt;Y")=0),"founding_lock without a first founding campaign for this brand; ","")&amp;IF(AND(N($BX2)&gt;0,$BG2&lt;&gt;"",IF(config!$B$37&lt;&gt;"",config!$B$37,TODAY())&gt;=WORKDAY(N($BG2),-5,calendar!$A$2:$A$80)),IF(N($BX2)-N($BY2)&lt;N($BR2),"received "&amp;(N($BX2)-N($BY2))&amp;" usable units for "&amp;$BR2&amp;" allocated: reduce units_override evenly (SOP section 4, short shipment); ","")&amp;IF(AND(N($BX2)&lt;N($BT2),COUNTIFS(issues!$E$2:$E$121,$A2,issues!$G$2:$G$121,"short_shipment")=0),"received "&amp;$BX2&amp;" of "&amp;$BT2&amp;" due: log a short_shipment issue and tell the brand today; ",""),"")&amp;IF(AND($BG2&lt;&gt;"",IF(config!$B$37&lt;&gt;"",config!$B$37,TODAY())&gt;=WORKDAY(N($BG2),1,calendar!$A$2:$A$80),N($F2)&gt;0,(-SUMIFS(invoices!$E$2:$E$151,invoices!$B$2:$B$151,$A2,invoices!$C$2:$C$151,"credit_note"))&lt;(IF($D2="founding",config!$B$25,config!$B$24)*MAX(0,N($F2)-COUNTIFS(approvals!$A$2:$A$251,$A2,approvals!$Q$2:$Q$251,"Y",approvals!$AB$2:$AB$251,"Y")))-0.005),"credit due from T+1: "&amp;MAX(0,N($F2)-COUNTIFS(approvals!$A$2:$A$251,$A2,approvals!$Q$2:$Q$251,"Y",approvals!$AB$2:$AB$251,"Y"))&amp;" of "&amp;$F2&amp;" contracted offices not placed by T+1, $"&amp;(IF($D2="founding",config!$B$25,config!$B$24)*MAX(0,N($F2)-COUNTIFS(approvals!$A$2:$A$251,$A2,approvals!$Q$2:$Q$251,"Y",approvals!$AB$2:$AB$251,"Y")))&amp;" due, $"&amp;(-SUMIFS(invoices!$E$2:$E$151,invoices!$B$2:$B$151,$A2,invoices!$C$2:$C$151,"credit_note"))&amp;" in credit notes so far (template 06, make_invoice.py); ","")&amp;IF(AND(IFERROR(IF(INDEX(brands!$H$2:$H$41,MATCH($C2,brands!$A$2:$A$41,0))="","",INDEX(brands!$H$2:$H$41,MATCH($C2,brands!$A$2:$A$41,0))),"")&lt;&gt;"",$BG2&lt;&gt;"",IFERROR(IF(INDEX(brands!$H$2:$H$41,MATCH($C2,brands!$A$2:$A$41,0))="","",INDEX(brands!$H$2:$H$41,MATCH($C2,brands!$A$2:$A$41,0))),"")&lt;EDATE(WORKDAY(N($BG2),4,calendar!$A$2:$A$80),12)),"info: brand insurance ends "&amp;TEXT(IFERROR(IF(INDEX(brands!$H$2:$H$41,MATCH($C2,brands!$A$2:$A$41,0))="","",INDEX(brands!$H$2:$H$41,MATCH($C2,brands!$A$2:$A$41,0))),""),"yyyy-mm-dd")&amp;": diary the renewal certificate; ",""))</f>
        <v/>
      </c>
    </row>
    <row r="3">
      <c r="A3" t="inlineStr">
        <is>
          <t>SAMPLE-CMP-002</t>
        </is>
      </c>
      <c r="B3" t="inlineStr">
        <is>
          <t>SAMPLE-DRP-001</t>
        </is>
      </c>
      <c r="C3" t="inlineStr">
        <is>
          <t>SAMPLE-BR-002</t>
        </is>
      </c>
      <c r="D3" t="inlineStr">
        <is>
          <t>founding</t>
        </is>
      </c>
      <c r="F3" t="n">
        <v>5</v>
      </c>
      <c r="G3" s="10" t="n"/>
      <c r="H3" s="9" t="n">
        <v>46364</v>
      </c>
      <c r="I3" t="inlineStr">
        <is>
          <t>0.8</t>
        </is>
      </c>
      <c r="J3" t="inlineStr">
        <is>
          <t>SAMPLE Grapefruit Sparkling Water, 12 oz cans</t>
        </is>
      </c>
      <c r="K3" t="n">
        <v>24</v>
      </c>
      <c r="L3" t="inlineStr">
        <is>
          <t>SAMPLE A Brooklyn sparkling water with real grapefruit and nothing else. Started in a Red Hook kitchen in 2023.</t>
        </is>
      </c>
      <c r="M3" t="inlineStr">
        <is>
          <t>single_ingredient</t>
        </is>
      </c>
      <c r="N3" t="inlineStr">
        <is>
          <t>SAMPLE Sparkling Water, Grapefruit Juice</t>
        </is>
      </c>
      <c r="U3" t="inlineStr">
        <is>
          <t>SAMPLE Example Grocer, 20 Example Avenue</t>
        </is>
      </c>
      <c r="V3" t="inlineStr">
        <is>
          <t>SAMPLEFIZZ10</t>
        </is>
      </c>
      <c r="W3" t="inlineStr">
        <is>
          <t>example.com</t>
        </is>
      </c>
      <c r="Y3" t="inlineStr">
        <is>
          <t>return</t>
        </is>
      </c>
      <c r="Z3" t="inlineStr">
        <is>
          <t>N</t>
        </is>
      </c>
      <c r="AB3" s="9" t="n">
        <v>46371</v>
      </c>
      <c r="AC3" s="9" t="n">
        <v>46370</v>
      </c>
      <c r="AD3" s="9" t="n">
        <v>46370</v>
      </c>
      <c r="AF3" s="9" t="n">
        <v>46377</v>
      </c>
      <c r="AG3" s="9" t="n">
        <v>46374</v>
      </c>
      <c r="AH3" t="n">
        <v>275</v>
      </c>
      <c r="AI3" t="inlineStr">
        <is>
          <t>https://docs.google.com/forms/d/e/SAMPLE-CMP-002-FORM/viewform</t>
        </is>
      </c>
      <c r="AJ3" t="inlineStr">
        <is>
          <t>https://docs.google.com/forms/d/e/SAMPLE-CMP-002-FORM/viewform?usp=pp_url&amp;entry.1000001=CARDCODE</t>
        </is>
      </c>
      <c r="AT3" s="9" t="n"/>
      <c r="AU3" s="9" t="n"/>
      <c r="AY3" s="9" t="n"/>
      <c r="BA3" s="9" t="n"/>
      <c r="BB3" s="9" t="n"/>
      <c r="BC3" s="9" t="n"/>
      <c r="BE3" s="25">
        <f>IF($A3="","",IFERROR(IF(INDEX(brands!$K$2:$K$41,MATCH($C3,brands!$A$2:$A$41,0))="","",INDEX(brands!$K$2:$K$41,MATCH($C3,brands!$A$2:$A$41,0))),""))</f>
        <v/>
      </c>
      <c r="BF3" s="25">
        <f>IF($A3="","",IFERROR(IF(INDEX(brands!$M$2:$M$41,MATCH($C3,brands!$A$2:$A$41,0))="","",INDEX(brands!$M$2:$M$41,MATCH($C3,brands!$A$2:$A$41,0))),""))</f>
        <v/>
      </c>
      <c r="BG3" s="26">
        <f>IF($A3="","",IF(IFERROR(IF(INDEX(drops!$I$2:$I$21,MATCH($B3,drops!$A$2:$A$21,0))="","",INDEX(drops!$I$2:$I$21,MATCH($B3,drops!$A$2:$A$21,0))),"")="OK",IFERROR(IF(INDEX(drops!$B$2:$B$21,MATCH($B3,drops!$A$2:$A$21,0))="","",INDEX(drops!$B$2:$B$21,MATCH($B3,drops!$A$2:$A$21,0))),""),""))</f>
        <v/>
      </c>
      <c r="BH3" s="25">
        <f>IF($A3="","",IFERROR(IF(INDEX(drops!$C$2:$C$21,MATCH($B3,drops!$A$2:$A$21,0))="","",INDEX(drops!$C$2:$C$21,MATCH($B3,drops!$A$2:$A$21,0))),""))</f>
        <v/>
      </c>
      <c r="BI3" s="27">
        <f>IF($A3="","",IF($F3="","",IF($D3="founding",IF($E3="Y",config!$B$25*MIN($F3,config!$B$26)+config!$B$24*MAX(0,$F3-config!$B$26),config!$B$20+config!$B$24*MAX(0,$F3-config!$B$21)),IF($D3="standard",config!$B$22+config!$B$24*MAX(0,$F3-config!$B$23),""))))</f>
        <v/>
      </c>
      <c r="BJ3" s="27">
        <f>IF($A3="","",IF($G3&lt;&gt;"",$G3,$BI3))</f>
        <v/>
      </c>
      <c r="BK3" s="25">
        <f>IF($A3="","",IF($D3="founding","100% within "&amp;config!$B$27&amp;" business days of the invoice, before shipping",IF($D3="standard","50% on signing; 50% at placement confirmation (T+1)","")))</f>
        <v/>
      </c>
      <c r="BL3" s="26">
        <f>IF($A3="","",IFERROR(IF(INDEX(drops!$K$2:$K$21,MATCH($B3,drops!$A$2:$A$21,0))="","",INDEX(drops!$K$2:$K$21,MATCH($B3,drops!$A$2:$A$21,0))),""))</f>
        <v/>
      </c>
      <c r="BM3" s="26">
        <f>IF($A3="","",IFERROR(IF(INDEX(drops!$L$2:$L$21,MATCH($B3,drops!$A$2:$A$21,0))="","",INDEX(drops!$L$2:$L$21,MATCH($B3,drops!$A$2:$A$21,0))),""))</f>
        <v/>
      </c>
      <c r="BN3" s="25">
        <f>IF($A3="","",COUNTIF(approvals!$A$2:$A$251,$A3))</f>
        <v/>
      </c>
      <c r="BO3" s="25">
        <f>IF($A3="","",COUNTIFS(approvals!$A$2:$A$251,$A3,approvals!$P$2:$P$251,"Y"))</f>
        <v/>
      </c>
      <c r="BP3" s="25">
        <f>IF($A3="","",COUNTIFS(approvals!$A$2:$A$251,$A3,approvals!$Q$2:$Q$251,"Y"))</f>
        <v/>
      </c>
      <c r="BQ3" s="25">
        <f>IF($A3="","",COUNTIFS(approvals!$A$2:$A$251,$A3,approvals!$P$2:$P$251,"pending"))</f>
        <v/>
      </c>
      <c r="BR3" s="25">
        <f>IF($A3="","",SUMIFS(approvals!$S$2:$S$251,approvals!$A$2:$A$251,$A3,approvals!$P$2:$P$251,"Y"))</f>
        <v/>
      </c>
      <c r="BS3" s="25">
        <f>IF($A3="","",ROUNDUP($BR3*config!$B$18,0))</f>
        <v/>
      </c>
      <c r="BT3" s="25">
        <f>IF($A3="","",$BR3+$BS3)</f>
        <v/>
      </c>
      <c r="BU3" s="27">
        <f>IF($A3="","",SUMIFS(invoices!$I$2:$I$151,invoices!$B$2:$B$151,$A3,invoices!$R$2:$R$151,"Y",invoices!$H$2:$H$151,"&gt;0"))</f>
        <v/>
      </c>
      <c r="BV3" s="27">
        <f>IF($A3="","",IF($BJ3="","",IF($D3="founding",$BJ3,ROUND($BJ3*config!$B$28,2))))</f>
        <v/>
      </c>
      <c r="BW3" s="25">
        <f>IF($A3="","",IF(AND(N($BU3)&gt;=N($BV3),N($BV3)&gt;0,$H3&lt;&gt;"",AND($AB3&lt;&gt;"",IFERROR(IF(INDEX(brands!$G$2:$G$41,MATCH($C3,brands!$A$2:$A$41,0))="","",INDEX(brands!$G$2:$G$41,MATCH($C3,brands!$A$2:$A$41,0))),"")="Y"),LEFT(IFERROR(IF(INDEX(brands!$AG$2:$AG$41,MATCH($C3,brands!$A$2:$A$41,0))="","",INDEX(brands!$AG$2:$AG$41,MATCH($C3,brands!$A$2:$A$41,0))),""),1)="Y",$BG3&lt;&gt;"",$BQ3=0,$BO3&gt;0),"RELEASED "&amp;TEXT(MAX(IFERROR(1/(1/SUMPRODUCT(MAX((invoices!$B$2:$B$151=$A3)*(invoices!$R$2:$R$151="Y")*(invoices!$H$2:$H$151)))),""),$H3,$AB3,SUMPRODUCT(MAX((approvals!$A$2:$A$251=$A3)*(approvals!$P$2:$P$251="Y")*(approvals!$E$2:$E$251+(approvals!$E$2:$E$251=0)*approvals!$C$2:$C$251)))),"yyyy-mm-dd")&amp;": ship by "&amp;TEXT($BM3,"ddd yyyy-mm-dd")&amp;" (latest "&amp;TEXT($BL3,"ddd yyyy-mm-dd")&amp;")","HOLD: "&amp;IF(N($BU3)&lt;N($BV3),"payment ("&amp;TEXT(N($BU3),"0")&amp;" of "&amp;TEXT(N($BV3),"0")&amp;") ","")&amp;IF($H3="","agreement ","")&amp;IF(NOT(AND($AB3&lt;&gt;"",IFERROR(IF(INDEX(brands!$G$2:$G$41,MATCH($C3,brands!$A$2:$A$41,0))="","",INDEX(brands!$G$2:$G$41,MATCH($C3,brands!$A$2:$A$41,0))),"")="Y")),"certificate ","")&amp;IF(NOT(LEFT(IFERROR(IF(INDEX(brands!$AG$2:$AG$41,MATCH($C3,brands!$A$2:$A$41,0))="","",INDEX(brands!$AG$2:$AG$41,MATCH($C3,brands!$A$2:$A$41,0))),""),1)="Y"),"qualification ","")&amp;IF($BG3="","drop date ","")&amp;IF($BQ3&gt;0,"approvals ("&amp;$BQ3&amp;" pending) ","")&amp;IF($BO3=0,"no office approved ","")))</f>
        <v/>
      </c>
      <c r="BX3" s="25">
        <f>IF($A3="","",SUMIFS(inventory!$G$2:$G$801,inventory!$C$2:$C$801,$A3,inventory!$E$2:$E$801,"received"))</f>
        <v/>
      </c>
      <c r="BY3" s="25">
        <f>IF($A3="","",SUMIFS(inventory!$G$2:$G$801,inventory!$C$2:$C$801,$A3,inventory!$E$2:$E$801,"rejected"))</f>
        <v/>
      </c>
      <c r="BZ3" s="25">
        <f>IF($A3="","",SUMIFS(inventory!$M$2:$M$801,inventory!$C$2:$C$801,$A3))</f>
        <v/>
      </c>
      <c r="CA3" s="25">
        <f>IF($A3="","",SUMIFS(inventory!$O$2:$O$801,inventory!$C$2:$C$801,$A3))</f>
        <v/>
      </c>
      <c r="CB3" s="25">
        <f>IF($A3="","",SUMIFS(approvals!$U$2:$U$251,approvals!$A$2:$A$251,$A3))</f>
        <v/>
      </c>
      <c r="CC3" s="25">
        <f>IF($A3="","",SUMIFS(approvals!$AA$2:$AA$251,approvals!$A$2:$A$251,$A3))</f>
        <v/>
      </c>
      <c r="CD3" s="25">
        <f>IF($A3="","",SUMIFS(approvals!$AA$2:$AA$251,approvals!$A$2:$A$251,$A3,approvals!$AB$2:$AB$251,"Y"))</f>
        <v/>
      </c>
      <c r="CE3" s="29">
        <f>IF($A3="","",IF(N($CB3)=0,"",$CD3/$CB3))</f>
        <v/>
      </c>
      <c r="CF3" s="25">
        <f>IF($A3="","",SUMIFS(approvals!$AD$2:$AD$251,approvals!$A$2:$A$251,$A3))</f>
        <v/>
      </c>
      <c r="CG3" s="25">
        <f>IF($A3="","",IF(COUNTIFS(approvals!$A$2:$A$251,$A3,approvals!$Q$2:$Q$251,"Y",approvals!$AG$2:$AG$251,"")&gt;0,"",SUMIFS(approvals!$AG$2:$AG$251,approvals!$A$2:$A$251,$A3,approvals!$Q$2:$Q$251,"Y")))</f>
        <v/>
      </c>
      <c r="CH3" s="25">
        <f>IF($A3="","",SUMIFS(approvals!$AL$2:$AL$251,approvals!$A$2:$A$251,$A3))</f>
        <v/>
      </c>
      <c r="CI3" s="25">
        <f>IF($A3="","",IF(N($BP3)=0,"",SUMPRODUCT(MIN(approvals!$BB$2:$BB$251+(approvals!$A$2:$A$251&lt;&gt;$A3)*1000000))))</f>
        <v/>
      </c>
      <c r="CJ3" s="25">
        <f>IF($A3="","",COUNTIFS(approvals!$A$2:$A$251,$A3,approvals!$Q$2:$Q$251,"Y",approvals!$AL$2:$AL$251,"&lt;"&amp;config!$B$30))</f>
        <v/>
      </c>
      <c r="CK3" s="25">
        <f>IF($A3="","",SUMIFS(approvals!$AM$2:$AM$251,approvals!$A$2:$A$251,$A3))</f>
        <v/>
      </c>
      <c r="CL3" s="25">
        <f>IF($A3="","",SUMIFS(approvals!$AQ$2:$AQ$251,approvals!$A$2:$A$251,$A3))</f>
        <v/>
      </c>
      <c r="CM3" s="25">
        <f>IF($A3="","",SUMIFS(approvals!$AR$2:$AR$251,approvals!$A$2:$A$251,$A3))</f>
        <v/>
      </c>
      <c r="CN3" s="25">
        <f>IF($A3="","",SUMIFS(approvals!$AS$2:$AS$251,approvals!$A$2:$A$251,$A3))</f>
        <v/>
      </c>
      <c r="CO3" s="25">
        <f>IF($A3="","",SUMIFS(approvals!$AT$2:$AT$251,approvals!$A$2:$A$251,$A3))</f>
        <v/>
      </c>
      <c r="CP3" s="28">
        <f>IF($A3="","",IF(N($CO3)=0,"",ROUND(SUMIFS(approvals!$AU$2:$AU$251,approvals!$A$2:$A$251,$A3)/$CO3,1)))</f>
        <v/>
      </c>
      <c r="CQ3" s="25">
        <f>IF($A3="","",SUMIFS(approvals!$AV$2:$AV$251,approvals!$A$2:$A$251,$A3))</f>
        <v/>
      </c>
      <c r="CR3" s="25">
        <f>IF($A3="","",SUMIFS(approvals!$AW$2:$AW$251,approvals!$A$2:$A$251,$A3))</f>
        <v/>
      </c>
      <c r="CS3" s="25">
        <f>IF($A3="","",SUMIFS(approvals!$AX$2:$AX$251,approvals!$A$2:$A$251,$A3))</f>
        <v/>
      </c>
      <c r="CT3" s="25">
        <f>IF($A3="","",SUMIFS(approvals!$AY$2:$AY$251,approvals!$A$2:$A$251,$A3))</f>
        <v/>
      </c>
      <c r="CU3" s="25">
        <f>IF($A3="","",IF(OR($BG3="",$BC3&lt;&gt;""),"",IFERROR(COUNT(INDIRECT("'"&amp;$A3&amp;"'!$A$2:$A$501")),0)-IFERROR(COUNTIFS(INDIRECT("'"&amp;$A3&amp;"'!$A$2:$A$501"),"&gt;="&amp;$BG3,INDIRECT("'"&amp;$A3&amp;"'!$A$2:$A$501"),"&lt;"&amp;(IFERROR(IF(INDEX(drops!$R$2:$R$21,MATCH($B3,drops!$A$2:$A$21,0))="","",INDEX(drops!$R$2:$R$21,MATCH($B3,drops!$A$2:$A$21,0))),"")+1)),0)))</f>
        <v/>
      </c>
      <c r="CV3" s="25">
        <f>IF($A3="","",IF(OR($BG3="",$BC3&lt;&gt;""),"",IFERROR(COUNTIFS(INDIRECT("'"&amp;$A3&amp;"'!$A$2:$A$501"),"&gt;="&amp;$BG3,INDIRECT("'"&amp;$A3&amp;"'!$A$2:$A$501"),"&lt;"&amp;(IFERROR(IF(INDEX(drops!$R$2:$R$21,MATCH($B3,drops!$A$2:$A$21,0))="","",INDEX(drops!$R$2:$R$21,MATCH($B3,drops!$A$2:$A$21,0))),"")+1)),0)-N($CH3)))</f>
        <v/>
      </c>
      <c r="CW3" s="25">
        <f>IF($A3="","",SUMIFS(approvals!$AN$2:$AN$251,approvals!$A$2:$A$251,$A3))</f>
        <v/>
      </c>
      <c r="CX3" s="25">
        <f>IF($A3="","",SUMIFS(approvals!$AO$2:$AO$251,approvals!$A$2:$A$251,$A3))</f>
        <v/>
      </c>
      <c r="CY3" s="25">
        <f>IF($A3="","",IF($CZ3="","",SUMIFS(redemptions!$C$2:$C$121,redemptions!$A$2:$A$121,$A3,redemptions!$B$2:$B$121,$CZ3)))</f>
        <v/>
      </c>
      <c r="CZ3" s="26">
        <f>IF($A3="","",IFERROR(1/(1/SUMPRODUCT(MAX((redemptions!$A$2:$A$121=$A3)*redemptions!$B$2:$B$121))),""))</f>
        <v/>
      </c>
      <c r="DA3" s="25">
        <f>IF($A3="","",IF(COUNTIFS(redemptions!$A$2:$A$121,$A3,redemptions!$H$2:$H$121,"Y")=0,"",SUMIFS(redemptions!$C$2:$C$121,redemptions!$A$2:$A$121,$A3,redemptions!$B$2:$B$121,SUMPRODUCT(MIN((redemptions!$A$2:$A$121=$A3)*(redemptions!$H$2:$H$121="Y")*redemptions!$B$2:$B$121+((redemptions!$A$2:$A$121&lt;&gt;$A3)+(redemptions!$H$2:$H$121&lt;&gt;"Y")&gt;0)*1000000)))))</f>
        <v/>
      </c>
      <c r="DB3" s="27">
        <f>IF($A3="","",SUMIFS(invoices!$E$2:$E$151,invoices!$B$2:$B$151,$A3))</f>
        <v/>
      </c>
      <c r="DC3" s="27">
        <f>IF($A3="","",IF(COUNTIFS(invoices!$B$2:$B$151,$A3,invoices!$C$2:$C$151,"standard_deposit",invoices!$H$2:$H$151,"&gt;0")=0,"",SUMIFS(invoices!$I$2:$I$151,invoices!$B$2:$B$151,$A3,invoices!$C$2:$C$151,"standard_deposit")))</f>
        <v/>
      </c>
      <c r="DD3" s="26">
        <f>IF($A3="","",IFERROR(1/(1/SUMPRODUCT(MAX((invoices!$B$2:$B$151=$A3)*(invoices!$C$2:$C$151="standard_deposit")*invoices!$H$2:$H$151))),""))</f>
        <v/>
      </c>
      <c r="DE3" s="26">
        <f>IF($A3="","",IFERROR(1/(1/SUMPRODUCT(MAX((invoices!$B$2:$B$151=$A3)*((invoices!$C$2:$C$151="founding_full")+(invoices!$C$2:$C$151="standard_balance"))*invoices!$H$2:$H$151))),""))</f>
        <v/>
      </c>
      <c r="DF3" s="27">
        <f>IF($A3="","",SUMIFS(invoices!$L$2:$L$151,invoices!$B$2:$B$151,$A3))</f>
        <v/>
      </c>
      <c r="DG3" s="27">
        <f>IF($A3="","",SUMIFS(costs!$E$2:$E$301,costs!$C$2:$C$301,$A3))</f>
        <v/>
      </c>
      <c r="DH3" s="27">
        <f>IF($A3="","",ROUND(IF(SUMIFS(campaigns!$BO$2:$BO$51,campaigns!$B$2:$B$51,$B3)=0,0,$BO3/SUMIFS(campaigns!$BO$2:$BO$51,campaigns!$B$2:$B$51,$B3))*(SUMIFS(costs!$E$2:$E$301,costs!$B$2:$B$301,$B3)-SUMPRODUCT((costs!$B$2:$B$301=$B3)*(LEN(costs!$C$2:$C$301)&gt;0)*costs!$E$2:$E$301)),2))</f>
        <v/>
      </c>
      <c r="DI3" s="28">
        <f>IF($A3="","",SUMIFS(hours!$E$2:$E$1501,hours!$C$2:$C$1501,$A3))</f>
        <v/>
      </c>
      <c r="DJ3" s="28">
        <f>IF($A3="","",ROUND(IF(SUMIFS(campaigns!$BO$2:$BO$51,campaigns!$B$2:$B$51,$B3)=0,0,$BO3/SUMIFS(campaigns!$BO$2:$BO$51,campaigns!$B$2:$B$51,$B3))*(SUMIFS(hours!$E$2:$E$1501,hours!$B$2:$B$1501,$B3)-SUMPRODUCT((hours!$B$2:$B$1501=$B3)*(LEN(hours!$C$2:$C$1501)&gt;0)*hours!$E$2:$E$1501)),2))</f>
        <v/>
      </c>
      <c r="DK3" s="27">
        <f>IF($A3="","",$DB3-$DF3-$DG3-$DH3)</f>
        <v/>
      </c>
      <c r="DL3" s="27">
        <f>IF($A3="","",IF(N($DI3)+N($DJ3)=0,"",ROUND($DK3/($DI3+$DJ3),2)))</f>
        <v/>
      </c>
      <c r="DM3" s="29">
        <f>IF($A3="","",IF(N($BP3)=0,"",COUNTIFS(approvals!$A$2:$A$251,$A3,approvals!$Q$2:$Q$251,"Y",approvals!$AK$2:$AK$251,"Y")/$BP3))</f>
        <v/>
      </c>
      <c r="DN3" s="28">
        <f>IF($A3="","",IF(COUNTIFS(approvals!$A$2:$A$251,$A3,approvals!$AC$2:$AC$251,"&gt;=0")=0,"",ROUND(SUMIFS(approvals!$AC$2:$AC$251,approvals!$A$2:$A$251,$A3)/COUNTIFS(approvals!$A$2:$A$251,$A3,approvals!$AC$2:$AC$251,"&gt;=0"),1)))</f>
        <v/>
      </c>
      <c r="DO3" s="26">
        <f>IF($A3="","",IFERROR(IF(INDEX(drops!$T$2:$T$21,MATCH($B3,drops!$A$2:$A$21,0))="","",INDEX(drops!$T$2:$T$21,MATCH($B3,drops!$A$2:$A$21,0))),""))</f>
        <v/>
      </c>
      <c r="DP3" s="26">
        <f>IF($A3="","",IFERROR(IF(INDEX(drops!$U$2:$U$21,MATCH($B3,drops!$A$2:$A$21,0))="","",INDEX(drops!$U$2:$U$21,MATCH($B3,drops!$A$2:$A$21,0))),""))</f>
        <v/>
      </c>
      <c r="DQ3" s="26">
        <f>IF($A3="","",IFERROR(IF(INDEX(drops!$W$2:$W$21,MATCH($B3,drops!$A$2:$A$21,0))="","",INDEX(drops!$W$2:$W$21,MATCH($B3,drops!$A$2:$A$21,0))),""))</f>
        <v/>
      </c>
      <c r="DR3" s="25">
        <f>IF($A3="","",IF($CE3="","",IF($CE3&gt;=config!$B$31,"pass","miss")))</f>
        <v/>
      </c>
      <c r="DS3" s="25">
        <f>IF($A3="","",IF($CI3="","",IF($CI3&gt;=config!$B$30,"pass","miss")))</f>
        <v/>
      </c>
      <c r="DT3" s="25">
        <f>IF($A3="","",IF($AT3="",IF($DO3="","",IF(IF(config!$B$37&lt;&gt;"",config!$B$37,TODAY())&gt;$DO3,"late","due")),IF($AT3&lt;=$DO3,"pass","late")))</f>
        <v/>
      </c>
      <c r="DU3" s="25">
        <f>IF($A3="","",IF(COUNTIF(drops!$A$2:$A$21,$B3)=0,"drop_id not on drops; ",IF($BG3="","drop date missing or refused; ",""))&amp;IF(AND($G3&lt;&gt;"",$G3&lt;&gt;$BI3),"price differs from the price list; ","")&amp;IF(AND(LEFT($BW3,4)="HOLD",$BL3&lt;&gt;"",IF(config!$B$37&lt;&gt;"",config!$B$37,TODAY())&gt;=WORKDAY(N($BL3),-3,calendar!$A$2:$A$80)),"SHIP HOLD within 3 business days of T-10; ","")&amp;IF(AND($BQ3&gt;0,$BL3&lt;&gt;"",IF(config!$B$37&lt;&gt;"",config!$B$37,TODAY())&gt;$BL3),"approvals still pending after T-10; ","")&amp;IF($BZ3&lt;0,"reserve below zero: check inventory; ","")&amp;IF(AND($BG3&lt;&gt;"",IF(config!$B$37&lt;&gt;"",config!$B$37,TODAY())&gt;WORKDAY(N($BG3),14,calendar!$A$2:$A$80),N($BZ3)+N($CA3)&lt;&gt;0),"units still on hand after T+14; ","")&amp;IF(N($CV3)&gt;0,"info: "&amp;$CV3&amp;" in-window responses with a card code that matches no office (not counted); ","")&amp;IF(AND($Z3="Y",$AK3=""),"newsletter form URL missing; ","")&amp;IF(AND($Z3="Y",$BG3&lt;&gt;"",IF(config!$B$37&lt;&gt;"",config!$B$37,TODAY())&gt;WORKDAY(N($BG3),5,calendar!$A$2:$A$80),$AY3=""),"newsletter list not yet passed on (due T+5); ","")&amp;IF(AND($AY3&lt;&gt;"",$BA3=""),"delete unticked emails; ","")&amp;IF(AND($AY3&lt;&gt;"",$BB3="",IF(config!$B$37&lt;&gt;"",config!$B$37,TODAY())&gt;$AY3+config!$B$32),"DELETE the consented emails (30 days after passing on); ","")&amp;IF(AND($BG3&lt;&gt;"",$AJ3="",IF(config!$B$37&lt;&gt;"",config!$B$37,TODAY())&gt;=WORKDAY(N($BG3),-4,calendar!$A$2:$A$80)),"survey prefill template missing (due T-4); ","")&amp;IF(AND($AJ3&lt;&gt;"",ISERROR(SEARCH("CARDCODE",$AJ3))),"prefill template has no CARDCODE; ","")&amp;IF(AND($AF3="",$BG3&lt;&gt;"",IF(config!$B$37&lt;&gt;"",config!$B$37,TODAY())&gt;=WORKDAY(N($BG3),-3,calendar!$A$2:$A$80)),"card text not yet sent to the brand; ","")&amp;IF(AND($DA3="",$DQ3&lt;&gt;"",IF(config!$B$37&lt;&gt;"",config!$B$37,TODAY())&gt;$DQ3),"day-30 redemption count due; ","")&amp;IF(AND(LEFT($BW3,8)="RELEASED",$AG3=""),"ship-date email due (template 02): send it, then log ship_email_sent_date and ship_email_units; ","")&amp;IF(AND($AH3&lt;&gt;"",N($BT3)&gt;0,N($BX3)=0,N($AH3)&lt;&gt;N($BT3)),"units changed since the ship-date email of "&amp;IF($AG3="","?",TEXT($AG3,"yyyy-mm-dd"))&amp;" ("&amp;$AH3&amp;", now "&amp;$BT3&amp;"): send the brand the revised numbers (template 02) and log them; ","")&amp;IF($DT3="late","report late; ","")&amp;IF(AND(N($F3)&gt;0,$BO3&lt;N($F3),$BQ3=0),"info: "&amp;(N($F3)-$BO3)&amp;" office(s) short of the contract: add a roster office or credit $"&amp;IF($D3="founding",config!$B$25,config!$B$24)&amp;" each; ","")&amp;IF($BC3&lt;&gt;"",IF(COUNTIF(survey_frozen!$A$2:$A$251,$A3)=0,"answers deleted but no frozen totals: the survey numbers now read 0 (tools/freeze_survey.py, SOP answers_delete); ",""),IF(AND($BG3&lt;&gt;"",IF(config!$B$37&lt;&gt;"",config!$B$37,TODAY())&gt;=$BG3,ISREF(INDIRECT("'"&amp;$A3&amp;"'!B1"))),IF(INDIRECT("'"&amp;$A3&amp;"'!B1")&lt;&gt;"Card code (filled in for you)","survey tab column B is not the card code: fix the form or the tab; ",""),IF(AND($BG3&lt;&gt;"",IF(config!$B$37&lt;&gt;"",config!$B$37,TODAY())&gt;=$BG3),"no survey tab named "&amp;$A3&amp;"; ","")))&amp;IF(COUNTIF(brands!$A$2:$A$41,$C3)=0,"brand_id not on brands; ",IF(LEFT(IFERROR(IF(INDEX(brands!$AG$2:$AG$41,MATCH($C3,brands!$A$2:$A$41,0))="","",INDEX(brands!$AG$2:$AG$41,MATCH($C3,brands!$A$2:$A$41,0))),""),1)&lt;&gt;"Y","brand not qualified ("&amp;IFERROR(IF(INDEX(brands!$AG$2:$AG$41,MATCH($C3,brands!$A$2:$A$41,0))="","",INDEX(brands!$AG$2:$AG$41,MATCH($C3,brands!$A$2:$A$41,0))),"")&amp;"): nothing ships until it is; ",""))&amp;IF(AND(COUNTIF(brands!$A$2:$A$41,$C3)&gt;0,OR(IFERROR(IF(INDEX(brands!$C$2:$C$41,MATCH($C3,brands!$A$2:$A$41,0))="","",INDEX(brands!$C$2:$C$41,MATCH($C3,brands!$A$2:$A$41,0))),"")="",IFERROR(IF(INDEX(brands!$D$2:$D$41,MATCH($C3,brands!$A$2:$A$41,0))="","",INDEX(brands!$D$2:$D$41,MATCH($C3,brands!$A$2:$A$41,0))),"")="",IFERROR(IF(INDEX(brands!$E$2:$E$41,MATCH($C3,brands!$A$2:$A$41,0))="","",INDEX(brands!$E$2:$E$41,MATCH($C3,brands!$A$2:$A$41,0))),"")="")),"brand billing details missing on brands (legal name, address, email): needed for the invoice; ","")&amp;IF(AND($D3="founding",$E3&lt;&gt;"Y",N(IFERROR(IF(INDEX(brands!$AI$2:$AI$41,MATCH($C3,brands!$A$2:$A$41,0))="","",INDEX(brands!$AI$2:$AI$41,MATCH($C3,brands!$A$2:$A$41,0))),""))&gt;3),"the founding tier is for the first three brands only (this is brand "&amp;IFERROR(IF(INDEX(brands!$AI$2:$AI$41,MATCH($C3,brands!$A$2:$A$41,0))="","",INDEX(brands!$AI$2:$AI$41,MATCH($C3,brands!$A$2:$A$41,0))),"")&amp;"): use standard; ","")&amp;IF(AND($D3="founding",$E3&lt;&gt;"Y",COUNTIFS(campaigns!$C$2:$C$51,$C3,campaigns!$D$2:$D$51,"founding",campaigns!$E$2:$E$51,"&lt;&gt;Y")&gt;1),"a brand has the founding price once; its next two campaigns are founding_lock = Y; ","")&amp;IF(AND($E3="Y",COUNTIFS(campaigns!$C$2:$C$51,$C3,campaigns!$D$2:$D$51,"founding",campaigns!$E$2:$E$51,"Y")&gt;2),"founding_lock is for the brand's next two campaigns only (this is a third): use standard; ","")&amp;IF(AND($E3="Y",COUNTIFS(campaigns!$C$2:$C$51,$C3,campaigns!$D$2:$D$51,"founding",campaigns!$E$2:$E$51,"&lt;&gt;Y")=0),"founding_lock without a first founding campaign for this brand; ","")&amp;IF(AND(N($BX3)&gt;0,$BG3&lt;&gt;"",IF(config!$B$37&lt;&gt;"",config!$B$37,TODAY())&gt;=WORKDAY(N($BG3),-5,calendar!$A$2:$A$80)),IF(N($BX3)-N($BY3)&lt;N($BR3),"received "&amp;(N($BX3)-N($BY3))&amp;" usable units for "&amp;$BR3&amp;" allocated: reduce units_override evenly (SOP section 4, short shipment); ","")&amp;IF(AND(N($BX3)&lt;N($BT3),COUNTIFS(issues!$E$2:$E$121,$A3,issues!$G$2:$G$121,"short_shipment")=0),"received "&amp;$BX3&amp;" of "&amp;$BT3&amp;" due: log a short_shipment issue and tell the brand today; ",""),"")&amp;IF(AND($BG3&lt;&gt;"",IF(config!$B$37&lt;&gt;"",config!$B$37,TODAY())&gt;=WORKDAY(N($BG3),1,calendar!$A$2:$A$80),N($F3)&gt;0,(-SUMIFS(invoices!$E$2:$E$151,invoices!$B$2:$B$151,$A3,invoices!$C$2:$C$151,"credit_note"))&lt;(IF($D3="founding",config!$B$25,config!$B$24)*MAX(0,N($F3)-COUNTIFS(approvals!$A$2:$A$251,$A3,approvals!$Q$2:$Q$251,"Y",approvals!$AB$2:$AB$251,"Y")))-0.005),"credit due from T+1: "&amp;MAX(0,N($F3)-COUNTIFS(approvals!$A$2:$A$251,$A3,approvals!$Q$2:$Q$251,"Y",approvals!$AB$2:$AB$251,"Y"))&amp;" of "&amp;$F3&amp;" contracted offices not placed by T+1, $"&amp;(IF($D3="founding",config!$B$25,config!$B$24)*MAX(0,N($F3)-COUNTIFS(approvals!$A$2:$A$251,$A3,approvals!$Q$2:$Q$251,"Y",approvals!$AB$2:$AB$251,"Y")))&amp;" due, $"&amp;(-SUMIFS(invoices!$E$2:$E$151,invoices!$B$2:$B$151,$A3,invoices!$C$2:$C$151,"credit_note"))&amp;" in credit notes so far (template 06, make_invoice.py); ","")&amp;IF(AND(IFERROR(IF(INDEX(brands!$H$2:$H$41,MATCH($C3,brands!$A$2:$A$41,0))="","",INDEX(brands!$H$2:$H$41,MATCH($C3,brands!$A$2:$A$41,0))),"")&lt;&gt;"",$BG3&lt;&gt;"",IFERROR(IF(INDEX(brands!$H$2:$H$41,MATCH($C3,brands!$A$2:$A$41,0))="","",INDEX(brands!$H$2:$H$41,MATCH($C3,brands!$A$2:$A$41,0))),"")&lt;EDATE(WORKDAY(N($BG3),4,calendar!$A$2:$A$80),12)),"info: brand insurance ends "&amp;TEXT(IFERROR(IF(INDEX(brands!$H$2:$H$41,MATCH($C3,brands!$A$2:$A$41,0))="","",INDEX(brands!$H$2:$H$41,MATCH($C3,brands!$A$2:$A$41,0))),""),"yyyy-mm-dd")&amp;": diary the renewal certificate; ",""))</f>
        <v/>
      </c>
    </row>
    <row r="4">
      <c r="A4" t="inlineStr">
        <is>
          <t>SAMPLE-CMP-003</t>
        </is>
      </c>
      <c r="B4" t="inlineStr">
        <is>
          <t>SAMPLE-DRP-002</t>
        </is>
      </c>
      <c r="C4" t="inlineStr">
        <is>
          <t>SAMPLE-BR-003</t>
        </is>
      </c>
      <c r="D4" t="inlineStr">
        <is>
          <t>standard</t>
        </is>
      </c>
      <c r="F4" t="n">
        <v>10</v>
      </c>
      <c r="G4" s="10" t="n"/>
      <c r="H4" s="9" t="n">
        <v>46391</v>
      </c>
      <c r="I4" t="inlineStr">
        <is>
          <t>0.8</t>
        </is>
      </c>
      <c r="J4" t="inlineStr">
        <is>
          <t>SAMPLE Oat &amp; Date Bars, 1.4 oz</t>
        </is>
      </c>
      <c r="L4" t="inlineStr">
        <is>
          <t>SAMPLE Oat and date bars from a Jersey City bakery that started as a farmers-market stand. Four ingredients, no surprises.</t>
        </is>
      </c>
      <c r="M4" t="inlineStr">
        <is>
          <t>contains_statement</t>
        </is>
      </c>
      <c r="N4" t="inlineStr">
        <is>
          <t>SAMPLE Contains: oats (gluten), almonds.</t>
        </is>
      </c>
      <c r="O4" t="inlineStr">
        <is>
          <t>SAMPLE May contain peanuts.</t>
        </is>
      </c>
      <c r="U4" t="inlineStr">
        <is>
          <t>SAMPLE Example Market, 1 Example Street</t>
        </is>
      </c>
      <c r="V4" t="inlineStr">
        <is>
          <t>SAMPLEBAR20</t>
        </is>
      </c>
      <c r="W4" t="inlineStr">
        <is>
          <t>example.com</t>
        </is>
      </c>
      <c r="Y4" t="inlineStr">
        <is>
          <t>release</t>
        </is>
      </c>
      <c r="Z4" t="inlineStr">
        <is>
          <t>N</t>
        </is>
      </c>
      <c r="AB4" s="9" t="n">
        <v>46394</v>
      </c>
      <c r="AC4" s="9" t="n">
        <v>46394</v>
      </c>
      <c r="AD4" s="9" t="n">
        <v>46394</v>
      </c>
      <c r="AF4" s="9" t="n">
        <v>46416</v>
      </c>
      <c r="AG4" s="9" t="n">
        <v>46402</v>
      </c>
      <c r="AH4" t="n">
        <v>567</v>
      </c>
      <c r="AT4" s="9" t="n"/>
      <c r="AU4" s="9" t="n"/>
      <c r="AY4" s="9" t="n"/>
      <c r="BA4" s="9" t="n"/>
      <c r="BB4" s="9" t="n"/>
      <c r="BC4" s="9" t="n"/>
      <c r="BE4" s="25">
        <f>IF($A4="","",IFERROR(IF(INDEX(brands!$K$2:$K$41,MATCH($C4,brands!$A$2:$A$41,0))="","",INDEX(brands!$K$2:$K$41,MATCH($C4,brands!$A$2:$A$41,0))),""))</f>
        <v/>
      </c>
      <c r="BF4" s="25">
        <f>IF($A4="","",IFERROR(IF(INDEX(brands!$M$2:$M$41,MATCH($C4,brands!$A$2:$A$41,0))="","",INDEX(brands!$M$2:$M$41,MATCH($C4,brands!$A$2:$A$41,0))),""))</f>
        <v/>
      </c>
      <c r="BG4" s="26">
        <f>IF($A4="","",IF(IFERROR(IF(INDEX(drops!$I$2:$I$21,MATCH($B4,drops!$A$2:$A$21,0))="","",INDEX(drops!$I$2:$I$21,MATCH($B4,drops!$A$2:$A$21,0))),"")="OK",IFERROR(IF(INDEX(drops!$B$2:$B$21,MATCH($B4,drops!$A$2:$A$21,0))="","",INDEX(drops!$B$2:$B$21,MATCH($B4,drops!$A$2:$A$21,0))),""),""))</f>
        <v/>
      </c>
      <c r="BH4" s="25">
        <f>IF($A4="","",IFERROR(IF(INDEX(drops!$C$2:$C$21,MATCH($B4,drops!$A$2:$A$21,0))="","",INDEX(drops!$C$2:$C$21,MATCH($B4,drops!$A$2:$A$21,0))),""))</f>
        <v/>
      </c>
      <c r="BI4" s="27">
        <f>IF($A4="","",IF($F4="","",IF($D4="founding",IF($E4="Y",config!$B$25*MIN($F4,config!$B$26)+config!$B$24*MAX(0,$F4-config!$B$26),config!$B$20+config!$B$24*MAX(0,$F4-config!$B$21)),IF($D4="standard",config!$B$22+config!$B$24*MAX(0,$F4-config!$B$23),""))))</f>
        <v/>
      </c>
      <c r="BJ4" s="27">
        <f>IF($A4="","",IF($G4&lt;&gt;"",$G4,$BI4))</f>
        <v/>
      </c>
      <c r="BK4" s="25">
        <f>IF($A4="","",IF($D4="founding","100% within "&amp;config!$B$27&amp;" business days of the invoice, before shipping",IF($D4="standard","50% on signing; 50% at placement confirmation (T+1)","")))</f>
        <v/>
      </c>
      <c r="BL4" s="26">
        <f>IF($A4="","",IFERROR(IF(INDEX(drops!$K$2:$K$21,MATCH($B4,drops!$A$2:$A$21,0))="","",INDEX(drops!$K$2:$K$21,MATCH($B4,drops!$A$2:$A$21,0))),""))</f>
        <v/>
      </c>
      <c r="BM4" s="26">
        <f>IF($A4="","",IFERROR(IF(INDEX(drops!$L$2:$L$21,MATCH($B4,drops!$A$2:$A$21,0))="","",INDEX(drops!$L$2:$L$21,MATCH($B4,drops!$A$2:$A$21,0))),""))</f>
        <v/>
      </c>
      <c r="BN4" s="25">
        <f>IF($A4="","",COUNTIF(approvals!$A$2:$A$251,$A4))</f>
        <v/>
      </c>
      <c r="BO4" s="25">
        <f>IF($A4="","",COUNTIFS(approvals!$A$2:$A$251,$A4,approvals!$P$2:$P$251,"Y"))</f>
        <v/>
      </c>
      <c r="BP4" s="25">
        <f>IF($A4="","",COUNTIFS(approvals!$A$2:$A$251,$A4,approvals!$Q$2:$Q$251,"Y"))</f>
        <v/>
      </c>
      <c r="BQ4" s="25">
        <f>IF($A4="","",COUNTIFS(approvals!$A$2:$A$251,$A4,approvals!$P$2:$P$251,"pending"))</f>
        <v/>
      </c>
      <c r="BR4" s="25">
        <f>IF($A4="","",SUMIFS(approvals!$S$2:$S$251,approvals!$A$2:$A$251,$A4,approvals!$P$2:$P$251,"Y"))</f>
        <v/>
      </c>
      <c r="BS4" s="25">
        <f>IF($A4="","",ROUNDUP($BR4*config!$B$18,0))</f>
        <v/>
      </c>
      <c r="BT4" s="25">
        <f>IF($A4="","",$BR4+$BS4)</f>
        <v/>
      </c>
      <c r="BU4" s="27">
        <f>IF($A4="","",SUMIFS(invoices!$I$2:$I$151,invoices!$B$2:$B$151,$A4,invoices!$R$2:$R$151,"Y",invoices!$H$2:$H$151,"&gt;0"))</f>
        <v/>
      </c>
      <c r="BV4" s="27">
        <f>IF($A4="","",IF($BJ4="","",IF($D4="founding",$BJ4,ROUND($BJ4*config!$B$28,2))))</f>
        <v/>
      </c>
      <c r="BW4" s="25">
        <f>IF($A4="","",IF(AND(N($BU4)&gt;=N($BV4),N($BV4)&gt;0,$H4&lt;&gt;"",AND($AB4&lt;&gt;"",IFERROR(IF(INDEX(brands!$G$2:$G$41,MATCH($C4,brands!$A$2:$A$41,0))="","",INDEX(brands!$G$2:$G$41,MATCH($C4,brands!$A$2:$A$41,0))),"")="Y"),LEFT(IFERROR(IF(INDEX(brands!$AG$2:$AG$41,MATCH($C4,brands!$A$2:$A$41,0))="","",INDEX(brands!$AG$2:$AG$41,MATCH($C4,brands!$A$2:$A$41,0))),""),1)="Y",$BG4&lt;&gt;"",$BQ4=0,$BO4&gt;0),"RELEASED "&amp;TEXT(MAX(IFERROR(1/(1/SUMPRODUCT(MAX((invoices!$B$2:$B$151=$A4)*(invoices!$R$2:$R$151="Y")*(invoices!$H$2:$H$151)))),""),$H4,$AB4,SUMPRODUCT(MAX((approvals!$A$2:$A$251=$A4)*(approvals!$P$2:$P$251="Y")*(approvals!$E$2:$E$251+(approvals!$E$2:$E$251=0)*approvals!$C$2:$C$251)))),"yyyy-mm-dd")&amp;": ship by "&amp;TEXT($BM4,"ddd yyyy-mm-dd")&amp;" (latest "&amp;TEXT($BL4,"ddd yyyy-mm-dd")&amp;")","HOLD: "&amp;IF(N($BU4)&lt;N($BV4),"payment ("&amp;TEXT(N($BU4),"0")&amp;" of "&amp;TEXT(N($BV4),"0")&amp;") ","")&amp;IF($H4="","agreement ","")&amp;IF(NOT(AND($AB4&lt;&gt;"",IFERROR(IF(INDEX(brands!$G$2:$G$41,MATCH($C4,brands!$A$2:$A$41,0))="","",INDEX(brands!$G$2:$G$41,MATCH($C4,brands!$A$2:$A$41,0))),"")="Y")),"certificate ","")&amp;IF(NOT(LEFT(IFERROR(IF(INDEX(brands!$AG$2:$AG$41,MATCH($C4,brands!$A$2:$A$41,0))="","",INDEX(brands!$AG$2:$AG$41,MATCH($C4,brands!$A$2:$A$41,0))),""),1)="Y"),"qualification ","")&amp;IF($BG4="","drop date ","")&amp;IF($BQ4&gt;0,"approvals ("&amp;$BQ4&amp;" pending) ","")&amp;IF($BO4=0,"no office approved ","")))</f>
        <v/>
      </c>
      <c r="BX4" s="25">
        <f>IF($A4="","",SUMIFS(inventory!$G$2:$G$801,inventory!$C$2:$C$801,$A4,inventory!$E$2:$E$801,"received"))</f>
        <v/>
      </c>
      <c r="BY4" s="25">
        <f>IF($A4="","",SUMIFS(inventory!$G$2:$G$801,inventory!$C$2:$C$801,$A4,inventory!$E$2:$E$801,"rejected"))</f>
        <v/>
      </c>
      <c r="BZ4" s="25">
        <f>IF($A4="","",SUMIFS(inventory!$M$2:$M$801,inventory!$C$2:$C$801,$A4))</f>
        <v/>
      </c>
      <c r="CA4" s="25">
        <f>IF($A4="","",SUMIFS(inventory!$O$2:$O$801,inventory!$C$2:$C$801,$A4))</f>
        <v/>
      </c>
      <c r="CB4" s="25">
        <f>IF($A4="","",SUMIFS(approvals!$U$2:$U$251,approvals!$A$2:$A$251,$A4))</f>
        <v/>
      </c>
      <c r="CC4" s="25">
        <f>IF($A4="","",SUMIFS(approvals!$AA$2:$AA$251,approvals!$A$2:$A$251,$A4))</f>
        <v/>
      </c>
      <c r="CD4" s="25">
        <f>IF($A4="","",SUMIFS(approvals!$AA$2:$AA$251,approvals!$A$2:$A$251,$A4,approvals!$AB$2:$AB$251,"Y"))</f>
        <v/>
      </c>
      <c r="CE4" s="29">
        <f>IF($A4="","",IF(N($CB4)=0,"",$CD4/$CB4))</f>
        <v/>
      </c>
      <c r="CF4" s="25">
        <f>IF($A4="","",SUMIFS(approvals!$AD$2:$AD$251,approvals!$A$2:$A$251,$A4))</f>
        <v/>
      </c>
      <c r="CG4" s="25">
        <f>IF($A4="","",IF(COUNTIFS(approvals!$A$2:$A$251,$A4,approvals!$Q$2:$Q$251,"Y",approvals!$AG$2:$AG$251,"")&gt;0,"",SUMIFS(approvals!$AG$2:$AG$251,approvals!$A$2:$A$251,$A4,approvals!$Q$2:$Q$251,"Y")))</f>
        <v/>
      </c>
      <c r="CH4" s="25">
        <f>IF($A4="","",SUMIFS(approvals!$AL$2:$AL$251,approvals!$A$2:$A$251,$A4))</f>
        <v/>
      </c>
      <c r="CI4" s="25">
        <f>IF($A4="","",IF(N($BP4)=0,"",SUMPRODUCT(MIN(approvals!$BB$2:$BB$251+(approvals!$A$2:$A$251&lt;&gt;$A4)*1000000))))</f>
        <v/>
      </c>
      <c r="CJ4" s="25">
        <f>IF($A4="","",COUNTIFS(approvals!$A$2:$A$251,$A4,approvals!$Q$2:$Q$251,"Y",approvals!$AL$2:$AL$251,"&lt;"&amp;config!$B$30))</f>
        <v/>
      </c>
      <c r="CK4" s="25">
        <f>IF($A4="","",SUMIFS(approvals!$AM$2:$AM$251,approvals!$A$2:$A$251,$A4))</f>
        <v/>
      </c>
      <c r="CL4" s="25">
        <f>IF($A4="","",SUMIFS(approvals!$AQ$2:$AQ$251,approvals!$A$2:$A$251,$A4))</f>
        <v/>
      </c>
      <c r="CM4" s="25">
        <f>IF($A4="","",SUMIFS(approvals!$AR$2:$AR$251,approvals!$A$2:$A$251,$A4))</f>
        <v/>
      </c>
      <c r="CN4" s="25">
        <f>IF($A4="","",SUMIFS(approvals!$AS$2:$AS$251,approvals!$A$2:$A$251,$A4))</f>
        <v/>
      </c>
      <c r="CO4" s="25">
        <f>IF($A4="","",SUMIFS(approvals!$AT$2:$AT$251,approvals!$A$2:$A$251,$A4))</f>
        <v/>
      </c>
      <c r="CP4" s="28">
        <f>IF($A4="","",IF(N($CO4)=0,"",ROUND(SUMIFS(approvals!$AU$2:$AU$251,approvals!$A$2:$A$251,$A4)/$CO4,1)))</f>
        <v/>
      </c>
      <c r="CQ4" s="25">
        <f>IF($A4="","",SUMIFS(approvals!$AV$2:$AV$251,approvals!$A$2:$A$251,$A4))</f>
        <v/>
      </c>
      <c r="CR4" s="25">
        <f>IF($A4="","",SUMIFS(approvals!$AW$2:$AW$251,approvals!$A$2:$A$251,$A4))</f>
        <v/>
      </c>
      <c r="CS4" s="25">
        <f>IF($A4="","",SUMIFS(approvals!$AX$2:$AX$251,approvals!$A$2:$A$251,$A4))</f>
        <v/>
      </c>
      <c r="CT4" s="25">
        <f>IF($A4="","",SUMIFS(approvals!$AY$2:$AY$251,approvals!$A$2:$A$251,$A4))</f>
        <v/>
      </c>
      <c r="CU4" s="25">
        <f>IF($A4="","",IF(OR($BG4="",$BC4&lt;&gt;""),"",IFERROR(COUNT(INDIRECT("'"&amp;$A4&amp;"'!$A$2:$A$501")),0)-IFERROR(COUNTIFS(INDIRECT("'"&amp;$A4&amp;"'!$A$2:$A$501"),"&gt;="&amp;$BG4,INDIRECT("'"&amp;$A4&amp;"'!$A$2:$A$501"),"&lt;"&amp;(IFERROR(IF(INDEX(drops!$R$2:$R$21,MATCH($B4,drops!$A$2:$A$21,0))="","",INDEX(drops!$R$2:$R$21,MATCH($B4,drops!$A$2:$A$21,0))),"")+1)),0)))</f>
        <v/>
      </c>
      <c r="CV4" s="25">
        <f>IF($A4="","",IF(OR($BG4="",$BC4&lt;&gt;""),"",IFERROR(COUNTIFS(INDIRECT("'"&amp;$A4&amp;"'!$A$2:$A$501"),"&gt;="&amp;$BG4,INDIRECT("'"&amp;$A4&amp;"'!$A$2:$A$501"),"&lt;"&amp;(IFERROR(IF(INDEX(drops!$R$2:$R$21,MATCH($B4,drops!$A$2:$A$21,0))="","",INDEX(drops!$R$2:$R$21,MATCH($B4,drops!$A$2:$A$21,0))),"")+1)),0)-N($CH4)))</f>
        <v/>
      </c>
      <c r="CW4" s="25">
        <f>IF($A4="","",SUMIFS(approvals!$AN$2:$AN$251,approvals!$A$2:$A$251,$A4))</f>
        <v/>
      </c>
      <c r="CX4" s="25">
        <f>IF($A4="","",SUMIFS(approvals!$AO$2:$AO$251,approvals!$A$2:$A$251,$A4))</f>
        <v/>
      </c>
      <c r="CY4" s="25">
        <f>IF($A4="","",IF($CZ4="","",SUMIFS(redemptions!$C$2:$C$121,redemptions!$A$2:$A$121,$A4,redemptions!$B$2:$B$121,$CZ4)))</f>
        <v/>
      </c>
      <c r="CZ4" s="26">
        <f>IF($A4="","",IFERROR(1/(1/SUMPRODUCT(MAX((redemptions!$A$2:$A$121=$A4)*redemptions!$B$2:$B$121))),""))</f>
        <v/>
      </c>
      <c r="DA4" s="25">
        <f>IF($A4="","",IF(COUNTIFS(redemptions!$A$2:$A$121,$A4,redemptions!$H$2:$H$121,"Y")=0,"",SUMIFS(redemptions!$C$2:$C$121,redemptions!$A$2:$A$121,$A4,redemptions!$B$2:$B$121,SUMPRODUCT(MIN((redemptions!$A$2:$A$121=$A4)*(redemptions!$H$2:$H$121="Y")*redemptions!$B$2:$B$121+((redemptions!$A$2:$A$121&lt;&gt;$A4)+(redemptions!$H$2:$H$121&lt;&gt;"Y")&gt;0)*1000000)))))</f>
        <v/>
      </c>
      <c r="DB4" s="27">
        <f>IF($A4="","",SUMIFS(invoices!$E$2:$E$151,invoices!$B$2:$B$151,$A4))</f>
        <v/>
      </c>
      <c r="DC4" s="27">
        <f>IF($A4="","",IF(COUNTIFS(invoices!$B$2:$B$151,$A4,invoices!$C$2:$C$151,"standard_deposit",invoices!$H$2:$H$151,"&gt;0")=0,"",SUMIFS(invoices!$I$2:$I$151,invoices!$B$2:$B$151,$A4,invoices!$C$2:$C$151,"standard_deposit")))</f>
        <v/>
      </c>
      <c r="DD4" s="26">
        <f>IF($A4="","",IFERROR(1/(1/SUMPRODUCT(MAX((invoices!$B$2:$B$151=$A4)*(invoices!$C$2:$C$151="standard_deposit")*invoices!$H$2:$H$151))),""))</f>
        <v/>
      </c>
      <c r="DE4" s="26">
        <f>IF($A4="","",IFERROR(1/(1/SUMPRODUCT(MAX((invoices!$B$2:$B$151=$A4)*((invoices!$C$2:$C$151="founding_full")+(invoices!$C$2:$C$151="standard_balance"))*invoices!$H$2:$H$151))),""))</f>
        <v/>
      </c>
      <c r="DF4" s="27">
        <f>IF($A4="","",SUMIFS(invoices!$L$2:$L$151,invoices!$B$2:$B$151,$A4))</f>
        <v/>
      </c>
      <c r="DG4" s="27">
        <f>IF($A4="","",SUMIFS(costs!$E$2:$E$301,costs!$C$2:$C$301,$A4))</f>
        <v/>
      </c>
      <c r="DH4" s="27">
        <f>IF($A4="","",ROUND(IF(SUMIFS(campaigns!$BO$2:$BO$51,campaigns!$B$2:$B$51,$B4)=0,0,$BO4/SUMIFS(campaigns!$BO$2:$BO$51,campaigns!$B$2:$B$51,$B4))*(SUMIFS(costs!$E$2:$E$301,costs!$B$2:$B$301,$B4)-SUMPRODUCT((costs!$B$2:$B$301=$B4)*(LEN(costs!$C$2:$C$301)&gt;0)*costs!$E$2:$E$301)),2))</f>
        <v/>
      </c>
      <c r="DI4" s="28">
        <f>IF($A4="","",SUMIFS(hours!$E$2:$E$1501,hours!$C$2:$C$1501,$A4))</f>
        <v/>
      </c>
      <c r="DJ4" s="28">
        <f>IF($A4="","",ROUND(IF(SUMIFS(campaigns!$BO$2:$BO$51,campaigns!$B$2:$B$51,$B4)=0,0,$BO4/SUMIFS(campaigns!$BO$2:$BO$51,campaigns!$B$2:$B$51,$B4))*(SUMIFS(hours!$E$2:$E$1501,hours!$B$2:$B$1501,$B4)-SUMPRODUCT((hours!$B$2:$B$1501=$B4)*(LEN(hours!$C$2:$C$1501)&gt;0)*hours!$E$2:$E$1501)),2))</f>
        <v/>
      </c>
      <c r="DK4" s="27">
        <f>IF($A4="","",$DB4-$DF4-$DG4-$DH4)</f>
        <v/>
      </c>
      <c r="DL4" s="27">
        <f>IF($A4="","",IF(N($DI4)+N($DJ4)=0,"",ROUND($DK4/($DI4+$DJ4),2)))</f>
        <v/>
      </c>
      <c r="DM4" s="29">
        <f>IF($A4="","",IF(N($BP4)=0,"",COUNTIFS(approvals!$A$2:$A$251,$A4,approvals!$Q$2:$Q$251,"Y",approvals!$AK$2:$AK$251,"Y")/$BP4))</f>
        <v/>
      </c>
      <c r="DN4" s="28">
        <f>IF($A4="","",IF(COUNTIFS(approvals!$A$2:$A$251,$A4,approvals!$AC$2:$AC$251,"&gt;=0")=0,"",ROUND(SUMIFS(approvals!$AC$2:$AC$251,approvals!$A$2:$A$251,$A4)/COUNTIFS(approvals!$A$2:$A$251,$A4,approvals!$AC$2:$AC$251,"&gt;=0"),1)))</f>
        <v/>
      </c>
      <c r="DO4" s="26">
        <f>IF($A4="","",IFERROR(IF(INDEX(drops!$T$2:$T$21,MATCH($B4,drops!$A$2:$A$21,0))="","",INDEX(drops!$T$2:$T$21,MATCH($B4,drops!$A$2:$A$21,0))),""))</f>
        <v/>
      </c>
      <c r="DP4" s="26">
        <f>IF($A4="","",IFERROR(IF(INDEX(drops!$U$2:$U$21,MATCH($B4,drops!$A$2:$A$21,0))="","",INDEX(drops!$U$2:$U$21,MATCH($B4,drops!$A$2:$A$21,0))),""))</f>
        <v/>
      </c>
      <c r="DQ4" s="26">
        <f>IF($A4="","",IFERROR(IF(INDEX(drops!$W$2:$W$21,MATCH($B4,drops!$A$2:$A$21,0))="","",INDEX(drops!$W$2:$W$21,MATCH($B4,drops!$A$2:$A$21,0))),""))</f>
        <v/>
      </c>
      <c r="DR4" s="25">
        <f>IF($A4="","",IF($CE4="","",IF($CE4&gt;=config!$B$31,"pass","miss")))</f>
        <v/>
      </c>
      <c r="DS4" s="25">
        <f>IF($A4="","",IF($CI4="","",IF($CI4&gt;=config!$B$30,"pass","miss")))</f>
        <v/>
      </c>
      <c r="DT4" s="25">
        <f>IF($A4="","",IF($AT4="",IF($DO4="","",IF(IF(config!$B$37&lt;&gt;"",config!$B$37,TODAY())&gt;$DO4,"late","due")),IF($AT4&lt;=$DO4,"pass","late")))</f>
        <v/>
      </c>
      <c r="DU4" s="25">
        <f>IF($A4="","",IF(COUNTIF(drops!$A$2:$A$21,$B4)=0,"drop_id not on drops; ",IF($BG4="","drop date missing or refused; ",""))&amp;IF(AND($G4&lt;&gt;"",$G4&lt;&gt;$BI4),"price differs from the price list; ","")&amp;IF(AND(LEFT($BW4,4)="HOLD",$BL4&lt;&gt;"",IF(config!$B$37&lt;&gt;"",config!$B$37,TODAY())&gt;=WORKDAY(N($BL4),-3,calendar!$A$2:$A$80)),"SHIP HOLD within 3 business days of T-10; ","")&amp;IF(AND($BQ4&gt;0,$BL4&lt;&gt;"",IF(config!$B$37&lt;&gt;"",config!$B$37,TODAY())&gt;$BL4),"approvals still pending after T-10; ","")&amp;IF($BZ4&lt;0,"reserve below zero: check inventory; ","")&amp;IF(AND($BG4&lt;&gt;"",IF(config!$B$37&lt;&gt;"",config!$B$37,TODAY())&gt;WORKDAY(N($BG4),14,calendar!$A$2:$A$80),N($BZ4)+N($CA4)&lt;&gt;0),"units still on hand after T+14; ","")&amp;IF(N($CV4)&gt;0,"info: "&amp;$CV4&amp;" in-window responses with a card code that matches no office (not counted); ","")&amp;IF(AND($Z4="Y",$AK4=""),"newsletter form URL missing; ","")&amp;IF(AND($Z4="Y",$BG4&lt;&gt;"",IF(config!$B$37&lt;&gt;"",config!$B$37,TODAY())&gt;WORKDAY(N($BG4),5,calendar!$A$2:$A$80),$AY4=""),"newsletter list not yet passed on (due T+5); ","")&amp;IF(AND($AY4&lt;&gt;"",$BA4=""),"delete unticked emails; ","")&amp;IF(AND($AY4&lt;&gt;"",$BB4="",IF(config!$B$37&lt;&gt;"",config!$B$37,TODAY())&gt;$AY4+config!$B$32),"DELETE the consented emails (30 days after passing on); ","")&amp;IF(AND($BG4&lt;&gt;"",$AJ4="",IF(config!$B$37&lt;&gt;"",config!$B$37,TODAY())&gt;=WORKDAY(N($BG4),-4,calendar!$A$2:$A$80)),"survey prefill template missing (due T-4); ","")&amp;IF(AND($AJ4&lt;&gt;"",ISERROR(SEARCH("CARDCODE",$AJ4))),"prefill template has no CARDCODE; ","")&amp;IF(AND($AF4="",$BG4&lt;&gt;"",IF(config!$B$37&lt;&gt;"",config!$B$37,TODAY())&gt;=WORKDAY(N($BG4),-3,calendar!$A$2:$A$80)),"card text not yet sent to the brand; ","")&amp;IF(AND($DA4="",$DQ4&lt;&gt;"",IF(config!$B$37&lt;&gt;"",config!$B$37,TODAY())&gt;$DQ4),"day-30 redemption count due; ","")&amp;IF(AND(LEFT($BW4,8)="RELEASED",$AG4=""),"ship-date email due (template 02): send it, then log ship_email_sent_date and ship_email_units; ","")&amp;IF(AND($AH4&lt;&gt;"",N($BT4)&gt;0,N($BX4)=0,N($AH4)&lt;&gt;N($BT4)),"units changed since the ship-date email of "&amp;IF($AG4="","?",TEXT($AG4,"yyyy-mm-dd"))&amp;" ("&amp;$AH4&amp;", now "&amp;$BT4&amp;"): send the brand the revised numbers (template 02) and log them; ","")&amp;IF($DT4="late","report late; ","")&amp;IF(AND(N($F4)&gt;0,$BO4&lt;N($F4),$BQ4=0),"info: "&amp;(N($F4)-$BO4)&amp;" office(s) short of the contract: add a roster office or credit $"&amp;IF($D4="founding",config!$B$25,config!$B$24)&amp;" each; ","")&amp;IF($BC4&lt;&gt;"",IF(COUNTIF(survey_frozen!$A$2:$A$251,$A4)=0,"answers deleted but no frozen totals: the survey numbers now read 0 (tools/freeze_survey.py, SOP answers_delete); ",""),IF(AND($BG4&lt;&gt;"",IF(config!$B$37&lt;&gt;"",config!$B$37,TODAY())&gt;=$BG4,ISREF(INDIRECT("'"&amp;$A4&amp;"'!B1"))),IF(INDIRECT("'"&amp;$A4&amp;"'!B1")&lt;&gt;"Card code (filled in for you)","survey tab column B is not the card code: fix the form or the tab; ",""),IF(AND($BG4&lt;&gt;"",IF(config!$B$37&lt;&gt;"",config!$B$37,TODAY())&gt;=$BG4),"no survey tab named "&amp;$A4&amp;"; ","")))&amp;IF(COUNTIF(brands!$A$2:$A$41,$C4)=0,"brand_id not on brands; ",IF(LEFT(IFERROR(IF(INDEX(brands!$AG$2:$AG$41,MATCH($C4,brands!$A$2:$A$41,0))="","",INDEX(brands!$AG$2:$AG$41,MATCH($C4,brands!$A$2:$A$41,0))),""),1)&lt;&gt;"Y","brand not qualified ("&amp;IFERROR(IF(INDEX(brands!$AG$2:$AG$41,MATCH($C4,brands!$A$2:$A$41,0))="","",INDEX(brands!$AG$2:$AG$41,MATCH($C4,brands!$A$2:$A$41,0))),"")&amp;"): nothing ships until it is; ",""))&amp;IF(AND(COUNTIF(brands!$A$2:$A$41,$C4)&gt;0,OR(IFERROR(IF(INDEX(brands!$C$2:$C$41,MATCH($C4,brands!$A$2:$A$41,0))="","",INDEX(brands!$C$2:$C$41,MATCH($C4,brands!$A$2:$A$41,0))),"")="",IFERROR(IF(INDEX(brands!$D$2:$D$41,MATCH($C4,brands!$A$2:$A$41,0))="","",INDEX(brands!$D$2:$D$41,MATCH($C4,brands!$A$2:$A$41,0))),"")="",IFERROR(IF(INDEX(brands!$E$2:$E$41,MATCH($C4,brands!$A$2:$A$41,0))="","",INDEX(brands!$E$2:$E$41,MATCH($C4,brands!$A$2:$A$41,0))),"")="")),"brand billing details missing on brands (legal name, address, email): needed for the invoice; ","")&amp;IF(AND($D4="founding",$E4&lt;&gt;"Y",N(IFERROR(IF(INDEX(brands!$AI$2:$AI$41,MATCH($C4,brands!$A$2:$A$41,0))="","",INDEX(brands!$AI$2:$AI$41,MATCH($C4,brands!$A$2:$A$41,0))),""))&gt;3),"the founding tier is for the first three brands only (this is brand "&amp;IFERROR(IF(INDEX(brands!$AI$2:$AI$41,MATCH($C4,brands!$A$2:$A$41,0))="","",INDEX(brands!$AI$2:$AI$41,MATCH($C4,brands!$A$2:$A$41,0))),"")&amp;"): use standard; ","")&amp;IF(AND($D4="founding",$E4&lt;&gt;"Y",COUNTIFS(campaigns!$C$2:$C$51,$C4,campaigns!$D$2:$D$51,"founding",campaigns!$E$2:$E$51,"&lt;&gt;Y")&gt;1),"a brand has the founding price once; its next two campaigns are founding_lock = Y; ","")&amp;IF(AND($E4="Y",COUNTIFS(campaigns!$C$2:$C$51,$C4,campaigns!$D$2:$D$51,"founding",campaigns!$E$2:$E$51,"Y")&gt;2),"founding_lock is for the brand's next two campaigns only (this is a third): use standard; ","")&amp;IF(AND($E4="Y",COUNTIFS(campaigns!$C$2:$C$51,$C4,campaigns!$D$2:$D$51,"founding",campaigns!$E$2:$E$51,"&lt;&gt;Y")=0),"founding_lock without a first founding campaign for this brand; ","")&amp;IF(AND(N($BX4)&gt;0,$BG4&lt;&gt;"",IF(config!$B$37&lt;&gt;"",config!$B$37,TODAY())&gt;=WORKDAY(N($BG4),-5,calendar!$A$2:$A$80)),IF(N($BX4)-N($BY4)&lt;N($BR4),"received "&amp;(N($BX4)-N($BY4))&amp;" usable units for "&amp;$BR4&amp;" allocated: reduce units_override evenly (SOP section 4, short shipment); ","")&amp;IF(AND(N($BX4)&lt;N($BT4),COUNTIFS(issues!$E$2:$E$121,$A4,issues!$G$2:$G$121,"short_shipment")=0),"received "&amp;$BX4&amp;" of "&amp;$BT4&amp;" due: log a short_shipment issue and tell the brand today; ",""),"")&amp;IF(AND($BG4&lt;&gt;"",IF(config!$B$37&lt;&gt;"",config!$B$37,TODAY())&gt;=WORKDAY(N($BG4),1,calendar!$A$2:$A$80),N($F4)&gt;0,(-SUMIFS(invoices!$E$2:$E$151,invoices!$B$2:$B$151,$A4,invoices!$C$2:$C$151,"credit_note"))&lt;(IF($D4="founding",config!$B$25,config!$B$24)*MAX(0,N($F4)-COUNTIFS(approvals!$A$2:$A$251,$A4,approvals!$Q$2:$Q$251,"Y",approvals!$AB$2:$AB$251,"Y")))-0.005),"credit due from T+1: "&amp;MAX(0,N($F4)-COUNTIFS(approvals!$A$2:$A$251,$A4,approvals!$Q$2:$Q$251,"Y",approvals!$AB$2:$AB$251,"Y"))&amp;" of "&amp;$F4&amp;" contracted offices not placed by T+1, $"&amp;(IF($D4="founding",config!$B$25,config!$B$24)*MAX(0,N($F4)-COUNTIFS(approvals!$A$2:$A$251,$A4,approvals!$Q$2:$Q$251,"Y",approvals!$AB$2:$AB$251,"Y")))&amp;" due, $"&amp;(-SUMIFS(invoices!$E$2:$E$151,invoices!$B$2:$B$151,$A4,invoices!$C$2:$C$151,"credit_note"))&amp;" in credit notes so far (template 06, make_invoice.py); ","")&amp;IF(AND(IFERROR(IF(INDEX(brands!$H$2:$H$41,MATCH($C4,brands!$A$2:$A$41,0))="","",INDEX(brands!$H$2:$H$41,MATCH($C4,brands!$A$2:$A$41,0))),"")&lt;&gt;"",$BG4&lt;&gt;"",IFERROR(IF(INDEX(brands!$H$2:$H$41,MATCH($C4,brands!$A$2:$A$41,0))="","",INDEX(brands!$H$2:$H$41,MATCH($C4,brands!$A$2:$A$41,0))),"")&lt;EDATE(WORKDAY(N($BG4),4,calendar!$A$2:$A$80),12)),"info: brand insurance ends "&amp;TEXT(IFERROR(IF(INDEX(brands!$H$2:$H$41,MATCH($C4,brands!$A$2:$A$41,0))="","",INDEX(brands!$H$2:$H$41,MATCH($C4,brands!$A$2:$A$41,0))),""),"yyyy-mm-dd")&amp;": diary the renewal certificate; ",""))</f>
        <v/>
      </c>
    </row>
    <row r="5">
      <c r="A5" t="inlineStr">
        <is>
          <t>SAMPLE-CMP-004</t>
        </is>
      </c>
      <c r="B5" t="inlineStr">
        <is>
          <t>SAMPLE-DRP-002</t>
        </is>
      </c>
      <c r="C5" t="inlineStr">
        <is>
          <t>SAMPLE-BR-004</t>
        </is>
      </c>
      <c r="D5" t="inlineStr">
        <is>
          <t>standard</t>
        </is>
      </c>
      <c r="F5" t="n">
        <v>10</v>
      </c>
      <c r="G5" s="10" t="n"/>
      <c r="H5" s="9" t="n">
        <v>46393</v>
      </c>
      <c r="I5" t="inlineStr">
        <is>
          <t>0.8</t>
        </is>
      </c>
      <c r="J5" t="inlineStr">
        <is>
          <t>SAMPLE Dried Mango Strips, 1 oz</t>
        </is>
      </c>
      <c r="L5" t="inlineStr">
        <is>
          <t>SAMPLE Dried mango from one Hudson Valley co-op, cut thick and nothing added. Started by two sisters in 2022.</t>
        </is>
      </c>
      <c r="M5" t="inlineStr">
        <is>
          <t>single_ingredient</t>
        </is>
      </c>
      <c r="N5" t="inlineStr">
        <is>
          <t>SAMPLE Dried Mango</t>
        </is>
      </c>
      <c r="O5" t="inlineStr">
        <is>
          <t>SAMPLE Packed in a facility that also handles tree nuts.</t>
        </is>
      </c>
      <c r="U5" t="inlineStr">
        <is>
          <t>SAMPLE Example Grocer, 20 Example Avenue</t>
        </is>
      </c>
      <c r="V5" t="inlineStr">
        <is>
          <t>SAMPLEMANGO</t>
        </is>
      </c>
      <c r="W5" t="inlineStr">
        <is>
          <t>example.com</t>
        </is>
      </c>
      <c r="Y5" t="inlineStr">
        <is>
          <t>return</t>
        </is>
      </c>
      <c r="Z5" t="inlineStr">
        <is>
          <t>Y</t>
        </is>
      </c>
      <c r="AA5" t="inlineStr">
        <is>
          <t>https://example.com/orchardrow/privacy</t>
        </is>
      </c>
      <c r="AB5" s="9" t="n">
        <v>46398</v>
      </c>
      <c r="AC5" s="9" t="n">
        <v>46398</v>
      </c>
      <c r="AD5" s="9" t="n">
        <v>46398</v>
      </c>
      <c r="AF5" s="9" t="n">
        <v>46416</v>
      </c>
      <c r="AG5" s="9" t="n">
        <v>46402</v>
      </c>
      <c r="AH5" t="n">
        <v>501</v>
      </c>
      <c r="AK5" t="inlineStr">
        <is>
          <t>https://docs.google.com/forms/d/e/SAMPLE-CMP-004-NEWS/viewform</t>
        </is>
      </c>
      <c r="AT5" s="9" t="n"/>
      <c r="AU5" s="9" t="n"/>
      <c r="AY5" s="9" t="n"/>
      <c r="BA5" s="9" t="n"/>
      <c r="BB5" s="9" t="n"/>
      <c r="BC5" s="9" t="n"/>
      <c r="BE5" s="25">
        <f>IF($A5="","",IFERROR(IF(INDEX(brands!$K$2:$K$41,MATCH($C5,brands!$A$2:$A$41,0))="","",INDEX(brands!$K$2:$K$41,MATCH($C5,brands!$A$2:$A$41,0))),""))</f>
        <v/>
      </c>
      <c r="BF5" s="25">
        <f>IF($A5="","",IFERROR(IF(INDEX(brands!$M$2:$M$41,MATCH($C5,brands!$A$2:$A$41,0))="","",INDEX(brands!$M$2:$M$41,MATCH($C5,brands!$A$2:$A$41,0))),""))</f>
        <v/>
      </c>
      <c r="BG5" s="26">
        <f>IF($A5="","",IF(IFERROR(IF(INDEX(drops!$I$2:$I$21,MATCH($B5,drops!$A$2:$A$21,0))="","",INDEX(drops!$I$2:$I$21,MATCH($B5,drops!$A$2:$A$21,0))),"")="OK",IFERROR(IF(INDEX(drops!$B$2:$B$21,MATCH($B5,drops!$A$2:$A$21,0))="","",INDEX(drops!$B$2:$B$21,MATCH($B5,drops!$A$2:$A$21,0))),""),""))</f>
        <v/>
      </c>
      <c r="BH5" s="25">
        <f>IF($A5="","",IFERROR(IF(INDEX(drops!$C$2:$C$21,MATCH($B5,drops!$A$2:$A$21,0))="","",INDEX(drops!$C$2:$C$21,MATCH($B5,drops!$A$2:$A$21,0))),""))</f>
        <v/>
      </c>
      <c r="BI5" s="27">
        <f>IF($A5="","",IF($F5="","",IF($D5="founding",IF($E5="Y",config!$B$25*MIN($F5,config!$B$26)+config!$B$24*MAX(0,$F5-config!$B$26),config!$B$20+config!$B$24*MAX(0,$F5-config!$B$21)),IF($D5="standard",config!$B$22+config!$B$24*MAX(0,$F5-config!$B$23),""))))</f>
        <v/>
      </c>
      <c r="BJ5" s="27">
        <f>IF($A5="","",IF($G5&lt;&gt;"",$G5,$BI5))</f>
        <v/>
      </c>
      <c r="BK5" s="25">
        <f>IF($A5="","",IF($D5="founding","100% within "&amp;config!$B$27&amp;" business days of the invoice, before shipping",IF($D5="standard","50% on signing; 50% at placement confirmation (T+1)","")))</f>
        <v/>
      </c>
      <c r="BL5" s="26">
        <f>IF($A5="","",IFERROR(IF(INDEX(drops!$K$2:$K$21,MATCH($B5,drops!$A$2:$A$21,0))="","",INDEX(drops!$K$2:$K$21,MATCH($B5,drops!$A$2:$A$21,0))),""))</f>
        <v/>
      </c>
      <c r="BM5" s="26">
        <f>IF($A5="","",IFERROR(IF(INDEX(drops!$L$2:$L$21,MATCH($B5,drops!$A$2:$A$21,0))="","",INDEX(drops!$L$2:$L$21,MATCH($B5,drops!$A$2:$A$21,0))),""))</f>
        <v/>
      </c>
      <c r="BN5" s="25">
        <f>IF($A5="","",COUNTIF(approvals!$A$2:$A$251,$A5))</f>
        <v/>
      </c>
      <c r="BO5" s="25">
        <f>IF($A5="","",COUNTIFS(approvals!$A$2:$A$251,$A5,approvals!$P$2:$P$251,"Y"))</f>
        <v/>
      </c>
      <c r="BP5" s="25">
        <f>IF($A5="","",COUNTIFS(approvals!$A$2:$A$251,$A5,approvals!$Q$2:$Q$251,"Y"))</f>
        <v/>
      </c>
      <c r="BQ5" s="25">
        <f>IF($A5="","",COUNTIFS(approvals!$A$2:$A$251,$A5,approvals!$P$2:$P$251,"pending"))</f>
        <v/>
      </c>
      <c r="BR5" s="25">
        <f>IF($A5="","",SUMIFS(approvals!$S$2:$S$251,approvals!$A$2:$A$251,$A5,approvals!$P$2:$P$251,"Y"))</f>
        <v/>
      </c>
      <c r="BS5" s="25">
        <f>IF($A5="","",ROUNDUP($BR5*config!$B$18,0))</f>
        <v/>
      </c>
      <c r="BT5" s="25">
        <f>IF($A5="","",$BR5+$BS5)</f>
        <v/>
      </c>
      <c r="BU5" s="27">
        <f>IF($A5="","",SUMIFS(invoices!$I$2:$I$151,invoices!$B$2:$B$151,$A5,invoices!$R$2:$R$151,"Y",invoices!$H$2:$H$151,"&gt;0"))</f>
        <v/>
      </c>
      <c r="BV5" s="27">
        <f>IF($A5="","",IF($BJ5="","",IF($D5="founding",$BJ5,ROUND($BJ5*config!$B$28,2))))</f>
        <v/>
      </c>
      <c r="BW5" s="25">
        <f>IF($A5="","",IF(AND(N($BU5)&gt;=N($BV5),N($BV5)&gt;0,$H5&lt;&gt;"",AND($AB5&lt;&gt;"",IFERROR(IF(INDEX(brands!$G$2:$G$41,MATCH($C5,brands!$A$2:$A$41,0))="","",INDEX(brands!$G$2:$G$41,MATCH($C5,brands!$A$2:$A$41,0))),"")="Y"),LEFT(IFERROR(IF(INDEX(brands!$AG$2:$AG$41,MATCH($C5,brands!$A$2:$A$41,0))="","",INDEX(brands!$AG$2:$AG$41,MATCH($C5,brands!$A$2:$A$41,0))),""),1)="Y",$BG5&lt;&gt;"",$BQ5=0,$BO5&gt;0),"RELEASED "&amp;TEXT(MAX(IFERROR(1/(1/SUMPRODUCT(MAX((invoices!$B$2:$B$151=$A5)*(invoices!$R$2:$R$151="Y")*(invoices!$H$2:$H$151)))),""),$H5,$AB5,SUMPRODUCT(MAX((approvals!$A$2:$A$251=$A5)*(approvals!$P$2:$P$251="Y")*(approvals!$E$2:$E$251+(approvals!$E$2:$E$251=0)*approvals!$C$2:$C$251)))),"yyyy-mm-dd")&amp;": ship by "&amp;TEXT($BM5,"ddd yyyy-mm-dd")&amp;" (latest "&amp;TEXT($BL5,"ddd yyyy-mm-dd")&amp;")","HOLD: "&amp;IF(N($BU5)&lt;N($BV5),"payment ("&amp;TEXT(N($BU5),"0")&amp;" of "&amp;TEXT(N($BV5),"0")&amp;") ","")&amp;IF($H5="","agreement ","")&amp;IF(NOT(AND($AB5&lt;&gt;"",IFERROR(IF(INDEX(brands!$G$2:$G$41,MATCH($C5,brands!$A$2:$A$41,0))="","",INDEX(brands!$G$2:$G$41,MATCH($C5,brands!$A$2:$A$41,0))),"")="Y")),"certificate ","")&amp;IF(NOT(LEFT(IFERROR(IF(INDEX(brands!$AG$2:$AG$41,MATCH($C5,brands!$A$2:$A$41,0))="","",INDEX(brands!$AG$2:$AG$41,MATCH($C5,brands!$A$2:$A$41,0))),""),1)="Y"),"qualification ","")&amp;IF($BG5="","drop date ","")&amp;IF($BQ5&gt;0,"approvals ("&amp;$BQ5&amp;" pending) ","")&amp;IF($BO5=0,"no office approved ","")))</f>
        <v/>
      </c>
      <c r="BX5" s="25">
        <f>IF($A5="","",SUMIFS(inventory!$G$2:$G$801,inventory!$C$2:$C$801,$A5,inventory!$E$2:$E$801,"received"))</f>
        <v/>
      </c>
      <c r="BY5" s="25">
        <f>IF($A5="","",SUMIFS(inventory!$G$2:$G$801,inventory!$C$2:$C$801,$A5,inventory!$E$2:$E$801,"rejected"))</f>
        <v/>
      </c>
      <c r="BZ5" s="25">
        <f>IF($A5="","",SUMIFS(inventory!$M$2:$M$801,inventory!$C$2:$C$801,$A5))</f>
        <v/>
      </c>
      <c r="CA5" s="25">
        <f>IF($A5="","",SUMIFS(inventory!$O$2:$O$801,inventory!$C$2:$C$801,$A5))</f>
        <v/>
      </c>
      <c r="CB5" s="25">
        <f>IF($A5="","",SUMIFS(approvals!$U$2:$U$251,approvals!$A$2:$A$251,$A5))</f>
        <v/>
      </c>
      <c r="CC5" s="25">
        <f>IF($A5="","",SUMIFS(approvals!$AA$2:$AA$251,approvals!$A$2:$A$251,$A5))</f>
        <v/>
      </c>
      <c r="CD5" s="25">
        <f>IF($A5="","",SUMIFS(approvals!$AA$2:$AA$251,approvals!$A$2:$A$251,$A5,approvals!$AB$2:$AB$251,"Y"))</f>
        <v/>
      </c>
      <c r="CE5" s="29">
        <f>IF($A5="","",IF(N($CB5)=0,"",$CD5/$CB5))</f>
        <v/>
      </c>
      <c r="CF5" s="25">
        <f>IF($A5="","",SUMIFS(approvals!$AD$2:$AD$251,approvals!$A$2:$A$251,$A5))</f>
        <v/>
      </c>
      <c r="CG5" s="25">
        <f>IF($A5="","",IF(COUNTIFS(approvals!$A$2:$A$251,$A5,approvals!$Q$2:$Q$251,"Y",approvals!$AG$2:$AG$251,"")&gt;0,"",SUMIFS(approvals!$AG$2:$AG$251,approvals!$A$2:$A$251,$A5,approvals!$Q$2:$Q$251,"Y")))</f>
        <v/>
      </c>
      <c r="CH5" s="25">
        <f>IF($A5="","",SUMIFS(approvals!$AL$2:$AL$251,approvals!$A$2:$A$251,$A5))</f>
        <v/>
      </c>
      <c r="CI5" s="25">
        <f>IF($A5="","",IF(N($BP5)=0,"",SUMPRODUCT(MIN(approvals!$BB$2:$BB$251+(approvals!$A$2:$A$251&lt;&gt;$A5)*1000000))))</f>
        <v/>
      </c>
      <c r="CJ5" s="25">
        <f>IF($A5="","",COUNTIFS(approvals!$A$2:$A$251,$A5,approvals!$Q$2:$Q$251,"Y",approvals!$AL$2:$AL$251,"&lt;"&amp;config!$B$30))</f>
        <v/>
      </c>
      <c r="CK5" s="25">
        <f>IF($A5="","",SUMIFS(approvals!$AM$2:$AM$251,approvals!$A$2:$A$251,$A5))</f>
        <v/>
      </c>
      <c r="CL5" s="25">
        <f>IF($A5="","",SUMIFS(approvals!$AQ$2:$AQ$251,approvals!$A$2:$A$251,$A5))</f>
        <v/>
      </c>
      <c r="CM5" s="25">
        <f>IF($A5="","",SUMIFS(approvals!$AR$2:$AR$251,approvals!$A$2:$A$251,$A5))</f>
        <v/>
      </c>
      <c r="CN5" s="25">
        <f>IF($A5="","",SUMIFS(approvals!$AS$2:$AS$251,approvals!$A$2:$A$251,$A5))</f>
        <v/>
      </c>
      <c r="CO5" s="25">
        <f>IF($A5="","",SUMIFS(approvals!$AT$2:$AT$251,approvals!$A$2:$A$251,$A5))</f>
        <v/>
      </c>
      <c r="CP5" s="28">
        <f>IF($A5="","",IF(N($CO5)=0,"",ROUND(SUMIFS(approvals!$AU$2:$AU$251,approvals!$A$2:$A$251,$A5)/$CO5,1)))</f>
        <v/>
      </c>
      <c r="CQ5" s="25">
        <f>IF($A5="","",SUMIFS(approvals!$AV$2:$AV$251,approvals!$A$2:$A$251,$A5))</f>
        <v/>
      </c>
      <c r="CR5" s="25">
        <f>IF($A5="","",SUMIFS(approvals!$AW$2:$AW$251,approvals!$A$2:$A$251,$A5))</f>
        <v/>
      </c>
      <c r="CS5" s="25">
        <f>IF($A5="","",SUMIFS(approvals!$AX$2:$AX$251,approvals!$A$2:$A$251,$A5))</f>
        <v/>
      </c>
      <c r="CT5" s="25">
        <f>IF($A5="","",SUMIFS(approvals!$AY$2:$AY$251,approvals!$A$2:$A$251,$A5))</f>
        <v/>
      </c>
      <c r="CU5" s="25">
        <f>IF($A5="","",IF(OR($BG5="",$BC5&lt;&gt;""),"",IFERROR(COUNT(INDIRECT("'"&amp;$A5&amp;"'!$A$2:$A$501")),0)-IFERROR(COUNTIFS(INDIRECT("'"&amp;$A5&amp;"'!$A$2:$A$501"),"&gt;="&amp;$BG5,INDIRECT("'"&amp;$A5&amp;"'!$A$2:$A$501"),"&lt;"&amp;(IFERROR(IF(INDEX(drops!$R$2:$R$21,MATCH($B5,drops!$A$2:$A$21,0))="","",INDEX(drops!$R$2:$R$21,MATCH($B5,drops!$A$2:$A$21,0))),"")+1)),0)))</f>
        <v/>
      </c>
      <c r="CV5" s="25">
        <f>IF($A5="","",IF(OR($BG5="",$BC5&lt;&gt;""),"",IFERROR(COUNTIFS(INDIRECT("'"&amp;$A5&amp;"'!$A$2:$A$501"),"&gt;="&amp;$BG5,INDIRECT("'"&amp;$A5&amp;"'!$A$2:$A$501"),"&lt;"&amp;(IFERROR(IF(INDEX(drops!$R$2:$R$21,MATCH($B5,drops!$A$2:$A$21,0))="","",INDEX(drops!$R$2:$R$21,MATCH($B5,drops!$A$2:$A$21,0))),"")+1)),0)-N($CH5)))</f>
        <v/>
      </c>
      <c r="CW5" s="25">
        <f>IF($A5="","",SUMIFS(approvals!$AN$2:$AN$251,approvals!$A$2:$A$251,$A5))</f>
        <v/>
      </c>
      <c r="CX5" s="25">
        <f>IF($A5="","",SUMIFS(approvals!$AO$2:$AO$251,approvals!$A$2:$A$251,$A5))</f>
        <v/>
      </c>
      <c r="CY5" s="25">
        <f>IF($A5="","",IF($CZ5="","",SUMIFS(redemptions!$C$2:$C$121,redemptions!$A$2:$A$121,$A5,redemptions!$B$2:$B$121,$CZ5)))</f>
        <v/>
      </c>
      <c r="CZ5" s="26">
        <f>IF($A5="","",IFERROR(1/(1/SUMPRODUCT(MAX((redemptions!$A$2:$A$121=$A5)*redemptions!$B$2:$B$121))),""))</f>
        <v/>
      </c>
      <c r="DA5" s="25">
        <f>IF($A5="","",IF(COUNTIFS(redemptions!$A$2:$A$121,$A5,redemptions!$H$2:$H$121,"Y")=0,"",SUMIFS(redemptions!$C$2:$C$121,redemptions!$A$2:$A$121,$A5,redemptions!$B$2:$B$121,SUMPRODUCT(MIN((redemptions!$A$2:$A$121=$A5)*(redemptions!$H$2:$H$121="Y")*redemptions!$B$2:$B$121+((redemptions!$A$2:$A$121&lt;&gt;$A5)+(redemptions!$H$2:$H$121&lt;&gt;"Y")&gt;0)*1000000)))))</f>
        <v/>
      </c>
      <c r="DB5" s="27">
        <f>IF($A5="","",SUMIFS(invoices!$E$2:$E$151,invoices!$B$2:$B$151,$A5))</f>
        <v/>
      </c>
      <c r="DC5" s="27">
        <f>IF($A5="","",IF(COUNTIFS(invoices!$B$2:$B$151,$A5,invoices!$C$2:$C$151,"standard_deposit",invoices!$H$2:$H$151,"&gt;0")=0,"",SUMIFS(invoices!$I$2:$I$151,invoices!$B$2:$B$151,$A5,invoices!$C$2:$C$151,"standard_deposit")))</f>
        <v/>
      </c>
      <c r="DD5" s="26">
        <f>IF($A5="","",IFERROR(1/(1/SUMPRODUCT(MAX((invoices!$B$2:$B$151=$A5)*(invoices!$C$2:$C$151="standard_deposit")*invoices!$H$2:$H$151))),""))</f>
        <v/>
      </c>
      <c r="DE5" s="26">
        <f>IF($A5="","",IFERROR(1/(1/SUMPRODUCT(MAX((invoices!$B$2:$B$151=$A5)*((invoices!$C$2:$C$151="founding_full")+(invoices!$C$2:$C$151="standard_balance"))*invoices!$H$2:$H$151))),""))</f>
        <v/>
      </c>
      <c r="DF5" s="27">
        <f>IF($A5="","",SUMIFS(invoices!$L$2:$L$151,invoices!$B$2:$B$151,$A5))</f>
        <v/>
      </c>
      <c r="DG5" s="27">
        <f>IF($A5="","",SUMIFS(costs!$E$2:$E$301,costs!$C$2:$C$301,$A5))</f>
        <v/>
      </c>
      <c r="DH5" s="27">
        <f>IF($A5="","",ROUND(IF(SUMIFS(campaigns!$BO$2:$BO$51,campaigns!$B$2:$B$51,$B5)=0,0,$BO5/SUMIFS(campaigns!$BO$2:$BO$51,campaigns!$B$2:$B$51,$B5))*(SUMIFS(costs!$E$2:$E$301,costs!$B$2:$B$301,$B5)-SUMPRODUCT((costs!$B$2:$B$301=$B5)*(LEN(costs!$C$2:$C$301)&gt;0)*costs!$E$2:$E$301)),2))</f>
        <v/>
      </c>
      <c r="DI5" s="28">
        <f>IF($A5="","",SUMIFS(hours!$E$2:$E$1501,hours!$C$2:$C$1501,$A5))</f>
        <v/>
      </c>
      <c r="DJ5" s="28">
        <f>IF($A5="","",ROUND(IF(SUMIFS(campaigns!$BO$2:$BO$51,campaigns!$B$2:$B$51,$B5)=0,0,$BO5/SUMIFS(campaigns!$BO$2:$BO$51,campaigns!$B$2:$B$51,$B5))*(SUMIFS(hours!$E$2:$E$1501,hours!$B$2:$B$1501,$B5)-SUMPRODUCT((hours!$B$2:$B$1501=$B5)*(LEN(hours!$C$2:$C$1501)&gt;0)*hours!$E$2:$E$1501)),2))</f>
        <v/>
      </c>
      <c r="DK5" s="27">
        <f>IF($A5="","",$DB5-$DF5-$DG5-$DH5)</f>
        <v/>
      </c>
      <c r="DL5" s="27">
        <f>IF($A5="","",IF(N($DI5)+N($DJ5)=0,"",ROUND($DK5/($DI5+$DJ5),2)))</f>
        <v/>
      </c>
      <c r="DM5" s="29">
        <f>IF($A5="","",IF(N($BP5)=0,"",COUNTIFS(approvals!$A$2:$A$251,$A5,approvals!$Q$2:$Q$251,"Y",approvals!$AK$2:$AK$251,"Y")/$BP5))</f>
        <v/>
      </c>
      <c r="DN5" s="28">
        <f>IF($A5="","",IF(COUNTIFS(approvals!$A$2:$A$251,$A5,approvals!$AC$2:$AC$251,"&gt;=0")=0,"",ROUND(SUMIFS(approvals!$AC$2:$AC$251,approvals!$A$2:$A$251,$A5)/COUNTIFS(approvals!$A$2:$A$251,$A5,approvals!$AC$2:$AC$251,"&gt;=0"),1)))</f>
        <v/>
      </c>
      <c r="DO5" s="26">
        <f>IF($A5="","",IFERROR(IF(INDEX(drops!$T$2:$T$21,MATCH($B5,drops!$A$2:$A$21,0))="","",INDEX(drops!$T$2:$T$21,MATCH($B5,drops!$A$2:$A$21,0))),""))</f>
        <v/>
      </c>
      <c r="DP5" s="26">
        <f>IF($A5="","",IFERROR(IF(INDEX(drops!$U$2:$U$21,MATCH($B5,drops!$A$2:$A$21,0))="","",INDEX(drops!$U$2:$U$21,MATCH($B5,drops!$A$2:$A$21,0))),""))</f>
        <v/>
      </c>
      <c r="DQ5" s="26">
        <f>IF($A5="","",IFERROR(IF(INDEX(drops!$W$2:$W$21,MATCH($B5,drops!$A$2:$A$21,0))="","",INDEX(drops!$W$2:$W$21,MATCH($B5,drops!$A$2:$A$21,0))),""))</f>
        <v/>
      </c>
      <c r="DR5" s="25">
        <f>IF($A5="","",IF($CE5="","",IF($CE5&gt;=config!$B$31,"pass","miss")))</f>
        <v/>
      </c>
      <c r="DS5" s="25">
        <f>IF($A5="","",IF($CI5="","",IF($CI5&gt;=config!$B$30,"pass","miss")))</f>
        <v/>
      </c>
      <c r="DT5" s="25">
        <f>IF($A5="","",IF($AT5="",IF($DO5="","",IF(IF(config!$B$37&lt;&gt;"",config!$B$37,TODAY())&gt;$DO5,"late","due")),IF($AT5&lt;=$DO5,"pass","late")))</f>
        <v/>
      </c>
      <c r="DU5" s="25">
        <f>IF($A5="","",IF(COUNTIF(drops!$A$2:$A$21,$B5)=0,"drop_id not on drops; ",IF($BG5="","drop date missing or refused; ",""))&amp;IF(AND($G5&lt;&gt;"",$G5&lt;&gt;$BI5),"price differs from the price list; ","")&amp;IF(AND(LEFT($BW5,4)="HOLD",$BL5&lt;&gt;"",IF(config!$B$37&lt;&gt;"",config!$B$37,TODAY())&gt;=WORKDAY(N($BL5),-3,calendar!$A$2:$A$80)),"SHIP HOLD within 3 business days of T-10; ","")&amp;IF(AND($BQ5&gt;0,$BL5&lt;&gt;"",IF(config!$B$37&lt;&gt;"",config!$B$37,TODAY())&gt;$BL5),"approvals still pending after T-10; ","")&amp;IF($BZ5&lt;0,"reserve below zero: check inventory; ","")&amp;IF(AND($BG5&lt;&gt;"",IF(config!$B$37&lt;&gt;"",config!$B$37,TODAY())&gt;WORKDAY(N($BG5),14,calendar!$A$2:$A$80),N($BZ5)+N($CA5)&lt;&gt;0),"units still on hand after T+14; ","")&amp;IF(N($CV5)&gt;0,"info: "&amp;$CV5&amp;" in-window responses with a card code that matches no office (not counted); ","")&amp;IF(AND($Z5="Y",$AK5=""),"newsletter form URL missing; ","")&amp;IF(AND($Z5="Y",$BG5&lt;&gt;"",IF(config!$B$37&lt;&gt;"",config!$B$37,TODAY())&gt;WORKDAY(N($BG5),5,calendar!$A$2:$A$80),$AY5=""),"newsletter list not yet passed on (due T+5); ","")&amp;IF(AND($AY5&lt;&gt;"",$BA5=""),"delete unticked emails; ","")&amp;IF(AND($AY5&lt;&gt;"",$BB5="",IF(config!$B$37&lt;&gt;"",config!$B$37,TODAY())&gt;$AY5+config!$B$32),"DELETE the consented emails (30 days after passing on); ","")&amp;IF(AND($BG5&lt;&gt;"",$AJ5="",IF(config!$B$37&lt;&gt;"",config!$B$37,TODAY())&gt;=WORKDAY(N($BG5),-4,calendar!$A$2:$A$80)),"survey prefill template missing (due T-4); ","")&amp;IF(AND($AJ5&lt;&gt;"",ISERROR(SEARCH("CARDCODE",$AJ5))),"prefill template has no CARDCODE; ","")&amp;IF(AND($AF5="",$BG5&lt;&gt;"",IF(config!$B$37&lt;&gt;"",config!$B$37,TODAY())&gt;=WORKDAY(N($BG5),-3,calendar!$A$2:$A$80)),"card text not yet sent to the brand; ","")&amp;IF(AND($DA5="",$DQ5&lt;&gt;"",IF(config!$B$37&lt;&gt;"",config!$B$37,TODAY())&gt;$DQ5),"day-30 redemption count due; ","")&amp;IF(AND(LEFT($BW5,8)="RELEASED",$AG5=""),"ship-date email due (template 02): send it, then log ship_email_sent_date and ship_email_units; ","")&amp;IF(AND($AH5&lt;&gt;"",N($BT5)&gt;0,N($BX5)=0,N($AH5)&lt;&gt;N($BT5)),"units changed since the ship-date email of "&amp;IF($AG5="","?",TEXT($AG5,"yyyy-mm-dd"))&amp;" ("&amp;$AH5&amp;", now "&amp;$BT5&amp;"): send the brand the revised numbers (template 02) and log them; ","")&amp;IF($DT5="late","report late; ","")&amp;IF(AND(N($F5)&gt;0,$BO5&lt;N($F5),$BQ5=0),"info: "&amp;(N($F5)-$BO5)&amp;" office(s) short of the contract: add a roster office or credit $"&amp;IF($D5="founding",config!$B$25,config!$B$24)&amp;" each; ","")&amp;IF($BC5&lt;&gt;"",IF(COUNTIF(survey_frozen!$A$2:$A$251,$A5)=0,"answers deleted but no frozen totals: the survey numbers now read 0 (tools/freeze_survey.py, SOP answers_delete); ",""),IF(AND($BG5&lt;&gt;"",IF(config!$B$37&lt;&gt;"",config!$B$37,TODAY())&gt;=$BG5,ISREF(INDIRECT("'"&amp;$A5&amp;"'!B1"))),IF(INDIRECT("'"&amp;$A5&amp;"'!B1")&lt;&gt;"Card code (filled in for you)","survey tab column B is not the card code: fix the form or the tab; ",""),IF(AND($BG5&lt;&gt;"",IF(config!$B$37&lt;&gt;"",config!$B$37,TODAY())&gt;=$BG5),"no survey tab named "&amp;$A5&amp;"; ","")))&amp;IF(COUNTIF(brands!$A$2:$A$41,$C5)=0,"brand_id not on brands; ",IF(LEFT(IFERROR(IF(INDEX(brands!$AG$2:$AG$41,MATCH($C5,brands!$A$2:$A$41,0))="","",INDEX(brands!$AG$2:$AG$41,MATCH($C5,brands!$A$2:$A$41,0))),""),1)&lt;&gt;"Y","brand not qualified ("&amp;IFERROR(IF(INDEX(brands!$AG$2:$AG$41,MATCH($C5,brands!$A$2:$A$41,0))="","",INDEX(brands!$AG$2:$AG$41,MATCH($C5,brands!$A$2:$A$41,0))),"")&amp;"): nothing ships until it is; ",""))&amp;IF(AND(COUNTIF(brands!$A$2:$A$41,$C5)&gt;0,OR(IFERROR(IF(INDEX(brands!$C$2:$C$41,MATCH($C5,brands!$A$2:$A$41,0))="","",INDEX(brands!$C$2:$C$41,MATCH($C5,brands!$A$2:$A$41,0))),"")="",IFERROR(IF(INDEX(brands!$D$2:$D$41,MATCH($C5,brands!$A$2:$A$41,0))="","",INDEX(brands!$D$2:$D$41,MATCH($C5,brands!$A$2:$A$41,0))),"")="",IFERROR(IF(INDEX(brands!$E$2:$E$41,MATCH($C5,brands!$A$2:$A$41,0))="","",INDEX(brands!$E$2:$E$41,MATCH($C5,brands!$A$2:$A$41,0))),"")="")),"brand billing details missing on brands (legal name, address, email): needed for the invoice; ","")&amp;IF(AND($D5="founding",$E5&lt;&gt;"Y",N(IFERROR(IF(INDEX(brands!$AI$2:$AI$41,MATCH($C5,brands!$A$2:$A$41,0))="","",INDEX(brands!$AI$2:$AI$41,MATCH($C5,brands!$A$2:$A$41,0))),""))&gt;3),"the founding tier is for the first three brands only (this is brand "&amp;IFERROR(IF(INDEX(brands!$AI$2:$AI$41,MATCH($C5,brands!$A$2:$A$41,0))="","",INDEX(brands!$AI$2:$AI$41,MATCH($C5,brands!$A$2:$A$41,0))),"")&amp;"): use standard; ","")&amp;IF(AND($D5="founding",$E5&lt;&gt;"Y",COUNTIFS(campaigns!$C$2:$C$51,$C5,campaigns!$D$2:$D$51,"founding",campaigns!$E$2:$E$51,"&lt;&gt;Y")&gt;1),"a brand has the founding price once; its next two campaigns are founding_lock = Y; ","")&amp;IF(AND($E5="Y",COUNTIFS(campaigns!$C$2:$C$51,$C5,campaigns!$D$2:$D$51,"founding",campaigns!$E$2:$E$51,"Y")&gt;2),"founding_lock is for the brand's next two campaigns only (this is a third): use standard; ","")&amp;IF(AND($E5="Y",COUNTIFS(campaigns!$C$2:$C$51,$C5,campaigns!$D$2:$D$51,"founding",campaigns!$E$2:$E$51,"&lt;&gt;Y")=0),"founding_lock without a first founding campaign for this brand; ","")&amp;IF(AND(N($BX5)&gt;0,$BG5&lt;&gt;"",IF(config!$B$37&lt;&gt;"",config!$B$37,TODAY())&gt;=WORKDAY(N($BG5),-5,calendar!$A$2:$A$80)),IF(N($BX5)-N($BY5)&lt;N($BR5),"received "&amp;(N($BX5)-N($BY5))&amp;" usable units for "&amp;$BR5&amp;" allocated: reduce units_override evenly (SOP section 4, short shipment); ","")&amp;IF(AND(N($BX5)&lt;N($BT5),COUNTIFS(issues!$E$2:$E$121,$A5,issues!$G$2:$G$121,"short_shipment")=0),"received "&amp;$BX5&amp;" of "&amp;$BT5&amp;" due: log a short_shipment issue and tell the brand today; ",""),"")&amp;IF(AND($BG5&lt;&gt;"",IF(config!$B$37&lt;&gt;"",config!$B$37,TODAY())&gt;=WORKDAY(N($BG5),1,calendar!$A$2:$A$80),N($F5)&gt;0,(-SUMIFS(invoices!$E$2:$E$151,invoices!$B$2:$B$151,$A5,invoices!$C$2:$C$151,"credit_note"))&lt;(IF($D5="founding",config!$B$25,config!$B$24)*MAX(0,N($F5)-COUNTIFS(approvals!$A$2:$A$251,$A5,approvals!$Q$2:$Q$251,"Y",approvals!$AB$2:$AB$251,"Y")))-0.005),"credit due from T+1: "&amp;MAX(0,N($F5)-COUNTIFS(approvals!$A$2:$A$251,$A5,approvals!$Q$2:$Q$251,"Y",approvals!$AB$2:$AB$251,"Y"))&amp;" of "&amp;$F5&amp;" contracted offices not placed by T+1, $"&amp;(IF($D5="founding",config!$B$25,config!$B$24)*MAX(0,N($F5)-COUNTIFS(approvals!$A$2:$A$251,$A5,approvals!$Q$2:$Q$251,"Y",approvals!$AB$2:$AB$251,"Y")))&amp;" due, $"&amp;(-SUMIFS(invoices!$E$2:$E$151,invoices!$B$2:$B$151,$A5,invoices!$C$2:$C$151,"credit_note"))&amp;" in credit notes so far (template 06, make_invoice.py); ","")&amp;IF(AND(IFERROR(IF(INDEX(brands!$H$2:$H$41,MATCH($C5,brands!$A$2:$A$41,0))="","",INDEX(brands!$H$2:$H$41,MATCH($C5,brands!$A$2:$A$41,0))),"")&lt;&gt;"",$BG5&lt;&gt;"",IFERROR(IF(INDEX(brands!$H$2:$H$41,MATCH($C5,brands!$A$2:$A$41,0))="","",INDEX(brands!$H$2:$H$41,MATCH($C5,brands!$A$2:$A$41,0))),"")&lt;EDATE(WORKDAY(N($BG5),4,calendar!$A$2:$A$80),12)),"info: brand insurance ends "&amp;TEXT(IFERROR(IF(INDEX(brands!$H$2:$H$41,MATCH($C5,brands!$A$2:$A$41,0))="","",INDEX(brands!$H$2:$H$41,MATCH($C5,brands!$A$2:$A$41,0))),""),"yyyy-mm-dd")&amp;": diary the renewal certificate; ",""))</f>
        <v/>
      </c>
    </row>
    <row r="6">
      <c r="A6" t="inlineStr">
        <is>
          <t>SAMPLE-CMP-005</t>
        </is>
      </c>
      <c r="B6" t="inlineStr">
        <is>
          <t>SAMPLE-DRP-002</t>
        </is>
      </c>
      <c r="C6" t="inlineStr">
        <is>
          <t>SAMPLE-BR-005</t>
        </is>
      </c>
      <c r="D6" t="inlineStr">
        <is>
          <t>standard</t>
        </is>
      </c>
      <c r="F6" t="n">
        <v>10</v>
      </c>
      <c r="G6" s="10" t="n"/>
      <c r="H6" s="9" t="n">
        <v>46395</v>
      </c>
      <c r="I6" t="inlineStr">
        <is>
          <t>0.8</t>
        </is>
      </c>
      <c r="J6" t="inlineStr">
        <is>
          <t>SAMPLE Kettle Chips, Sea Salt, 1 oz bags</t>
        </is>
      </c>
      <c r="K6" t="n">
        <v>24</v>
      </c>
      <c r="L6" t="inlineStr">
        <is>
          <t>SAMPLE Kettle chips fried in small batches near Albany, from one farm's potatoes. Salt, oil, potatoes, done.</t>
        </is>
      </c>
      <c r="M6" t="inlineStr">
        <is>
          <t>ingredient_list</t>
        </is>
      </c>
      <c r="N6" t="inlineStr">
        <is>
          <t>SAMPLE Ingredients: potatoes, sunflower oil, sea salt.</t>
        </is>
      </c>
      <c r="U6" t="inlineStr">
        <is>
          <t>SAMPLE Example Market, 1 Example Street</t>
        </is>
      </c>
      <c r="V6" t="inlineStr">
        <is>
          <t>SAMPLECRUNCH</t>
        </is>
      </c>
      <c r="W6" t="inlineStr">
        <is>
          <t>example.com</t>
        </is>
      </c>
      <c r="Y6" t="inlineStr">
        <is>
          <t>release</t>
        </is>
      </c>
      <c r="Z6" t="inlineStr">
        <is>
          <t>N</t>
        </is>
      </c>
      <c r="AB6" s="9" t="n">
        <v>46399</v>
      </c>
      <c r="AC6" s="9" t="n">
        <v>46399</v>
      </c>
      <c r="AD6" s="9" t="n">
        <v>46399</v>
      </c>
      <c r="AF6" s="9" t="n">
        <v>46416</v>
      </c>
      <c r="AG6" s="9" t="n">
        <v>46402</v>
      </c>
      <c r="AH6" t="n">
        <v>567</v>
      </c>
      <c r="AT6" s="9" t="n"/>
      <c r="AU6" s="9" t="n"/>
      <c r="AY6" s="9" t="n"/>
      <c r="BA6" s="9" t="n"/>
      <c r="BB6" s="9" t="n"/>
      <c r="BC6" s="9" t="n"/>
      <c r="BE6" s="25">
        <f>IF($A6="","",IFERROR(IF(INDEX(brands!$K$2:$K$41,MATCH($C6,brands!$A$2:$A$41,0))="","",INDEX(brands!$K$2:$K$41,MATCH($C6,brands!$A$2:$A$41,0))),""))</f>
        <v/>
      </c>
      <c r="BF6" s="25">
        <f>IF($A6="","",IFERROR(IF(INDEX(brands!$M$2:$M$41,MATCH($C6,brands!$A$2:$A$41,0))="","",INDEX(brands!$M$2:$M$41,MATCH($C6,brands!$A$2:$A$41,0))),""))</f>
        <v/>
      </c>
      <c r="BG6" s="26">
        <f>IF($A6="","",IF(IFERROR(IF(INDEX(drops!$I$2:$I$21,MATCH($B6,drops!$A$2:$A$21,0))="","",INDEX(drops!$I$2:$I$21,MATCH($B6,drops!$A$2:$A$21,0))),"")="OK",IFERROR(IF(INDEX(drops!$B$2:$B$21,MATCH($B6,drops!$A$2:$A$21,0))="","",INDEX(drops!$B$2:$B$21,MATCH($B6,drops!$A$2:$A$21,0))),""),""))</f>
        <v/>
      </c>
      <c r="BH6" s="25">
        <f>IF($A6="","",IFERROR(IF(INDEX(drops!$C$2:$C$21,MATCH($B6,drops!$A$2:$A$21,0))="","",INDEX(drops!$C$2:$C$21,MATCH($B6,drops!$A$2:$A$21,0))),""))</f>
        <v/>
      </c>
      <c r="BI6" s="27">
        <f>IF($A6="","",IF($F6="","",IF($D6="founding",IF($E6="Y",config!$B$25*MIN($F6,config!$B$26)+config!$B$24*MAX(0,$F6-config!$B$26),config!$B$20+config!$B$24*MAX(0,$F6-config!$B$21)),IF($D6="standard",config!$B$22+config!$B$24*MAX(0,$F6-config!$B$23),""))))</f>
        <v/>
      </c>
      <c r="BJ6" s="27">
        <f>IF($A6="","",IF($G6&lt;&gt;"",$G6,$BI6))</f>
        <v/>
      </c>
      <c r="BK6" s="25">
        <f>IF($A6="","",IF($D6="founding","100% within "&amp;config!$B$27&amp;" business days of the invoice, before shipping",IF($D6="standard","50% on signing; 50% at placement confirmation (T+1)","")))</f>
        <v/>
      </c>
      <c r="BL6" s="26">
        <f>IF($A6="","",IFERROR(IF(INDEX(drops!$K$2:$K$21,MATCH($B6,drops!$A$2:$A$21,0))="","",INDEX(drops!$K$2:$K$21,MATCH($B6,drops!$A$2:$A$21,0))),""))</f>
        <v/>
      </c>
      <c r="BM6" s="26">
        <f>IF($A6="","",IFERROR(IF(INDEX(drops!$L$2:$L$21,MATCH($B6,drops!$A$2:$A$21,0))="","",INDEX(drops!$L$2:$L$21,MATCH($B6,drops!$A$2:$A$21,0))),""))</f>
        <v/>
      </c>
      <c r="BN6" s="25">
        <f>IF($A6="","",COUNTIF(approvals!$A$2:$A$251,$A6))</f>
        <v/>
      </c>
      <c r="BO6" s="25">
        <f>IF($A6="","",COUNTIFS(approvals!$A$2:$A$251,$A6,approvals!$P$2:$P$251,"Y"))</f>
        <v/>
      </c>
      <c r="BP6" s="25">
        <f>IF($A6="","",COUNTIFS(approvals!$A$2:$A$251,$A6,approvals!$Q$2:$Q$251,"Y"))</f>
        <v/>
      </c>
      <c r="BQ6" s="25">
        <f>IF($A6="","",COUNTIFS(approvals!$A$2:$A$251,$A6,approvals!$P$2:$P$251,"pending"))</f>
        <v/>
      </c>
      <c r="BR6" s="25">
        <f>IF($A6="","",SUMIFS(approvals!$S$2:$S$251,approvals!$A$2:$A$251,$A6,approvals!$P$2:$P$251,"Y"))</f>
        <v/>
      </c>
      <c r="BS6" s="25">
        <f>IF($A6="","",ROUNDUP($BR6*config!$B$18,0))</f>
        <v/>
      </c>
      <c r="BT6" s="25">
        <f>IF($A6="","",$BR6+$BS6)</f>
        <v/>
      </c>
      <c r="BU6" s="27">
        <f>IF($A6="","",SUMIFS(invoices!$I$2:$I$151,invoices!$B$2:$B$151,$A6,invoices!$R$2:$R$151,"Y",invoices!$H$2:$H$151,"&gt;0"))</f>
        <v/>
      </c>
      <c r="BV6" s="27">
        <f>IF($A6="","",IF($BJ6="","",IF($D6="founding",$BJ6,ROUND($BJ6*config!$B$28,2))))</f>
        <v/>
      </c>
      <c r="BW6" s="25">
        <f>IF($A6="","",IF(AND(N($BU6)&gt;=N($BV6),N($BV6)&gt;0,$H6&lt;&gt;"",AND($AB6&lt;&gt;"",IFERROR(IF(INDEX(brands!$G$2:$G$41,MATCH($C6,brands!$A$2:$A$41,0))="","",INDEX(brands!$G$2:$G$41,MATCH($C6,brands!$A$2:$A$41,0))),"")="Y"),LEFT(IFERROR(IF(INDEX(brands!$AG$2:$AG$41,MATCH($C6,brands!$A$2:$A$41,0))="","",INDEX(brands!$AG$2:$AG$41,MATCH($C6,brands!$A$2:$A$41,0))),""),1)="Y",$BG6&lt;&gt;"",$BQ6=0,$BO6&gt;0),"RELEASED "&amp;TEXT(MAX(IFERROR(1/(1/SUMPRODUCT(MAX((invoices!$B$2:$B$151=$A6)*(invoices!$R$2:$R$151="Y")*(invoices!$H$2:$H$151)))),""),$H6,$AB6,SUMPRODUCT(MAX((approvals!$A$2:$A$251=$A6)*(approvals!$P$2:$P$251="Y")*(approvals!$E$2:$E$251+(approvals!$E$2:$E$251=0)*approvals!$C$2:$C$251)))),"yyyy-mm-dd")&amp;": ship by "&amp;TEXT($BM6,"ddd yyyy-mm-dd")&amp;" (latest "&amp;TEXT($BL6,"ddd yyyy-mm-dd")&amp;")","HOLD: "&amp;IF(N($BU6)&lt;N($BV6),"payment ("&amp;TEXT(N($BU6),"0")&amp;" of "&amp;TEXT(N($BV6),"0")&amp;") ","")&amp;IF($H6="","agreement ","")&amp;IF(NOT(AND($AB6&lt;&gt;"",IFERROR(IF(INDEX(brands!$G$2:$G$41,MATCH($C6,brands!$A$2:$A$41,0))="","",INDEX(brands!$G$2:$G$41,MATCH($C6,brands!$A$2:$A$41,0))),"")="Y")),"certificate ","")&amp;IF(NOT(LEFT(IFERROR(IF(INDEX(brands!$AG$2:$AG$41,MATCH($C6,brands!$A$2:$A$41,0))="","",INDEX(brands!$AG$2:$AG$41,MATCH($C6,brands!$A$2:$A$41,0))),""),1)="Y"),"qualification ","")&amp;IF($BG6="","drop date ","")&amp;IF($BQ6&gt;0,"approvals ("&amp;$BQ6&amp;" pending) ","")&amp;IF($BO6=0,"no office approved ","")))</f>
        <v/>
      </c>
      <c r="BX6" s="25">
        <f>IF($A6="","",SUMIFS(inventory!$G$2:$G$801,inventory!$C$2:$C$801,$A6,inventory!$E$2:$E$801,"received"))</f>
        <v/>
      </c>
      <c r="BY6" s="25">
        <f>IF($A6="","",SUMIFS(inventory!$G$2:$G$801,inventory!$C$2:$C$801,$A6,inventory!$E$2:$E$801,"rejected"))</f>
        <v/>
      </c>
      <c r="BZ6" s="25">
        <f>IF($A6="","",SUMIFS(inventory!$M$2:$M$801,inventory!$C$2:$C$801,$A6))</f>
        <v/>
      </c>
      <c r="CA6" s="25">
        <f>IF($A6="","",SUMIFS(inventory!$O$2:$O$801,inventory!$C$2:$C$801,$A6))</f>
        <v/>
      </c>
      <c r="CB6" s="25">
        <f>IF($A6="","",SUMIFS(approvals!$U$2:$U$251,approvals!$A$2:$A$251,$A6))</f>
        <v/>
      </c>
      <c r="CC6" s="25">
        <f>IF($A6="","",SUMIFS(approvals!$AA$2:$AA$251,approvals!$A$2:$A$251,$A6))</f>
        <v/>
      </c>
      <c r="CD6" s="25">
        <f>IF($A6="","",SUMIFS(approvals!$AA$2:$AA$251,approvals!$A$2:$A$251,$A6,approvals!$AB$2:$AB$251,"Y"))</f>
        <v/>
      </c>
      <c r="CE6" s="29">
        <f>IF($A6="","",IF(N($CB6)=0,"",$CD6/$CB6))</f>
        <v/>
      </c>
      <c r="CF6" s="25">
        <f>IF($A6="","",SUMIFS(approvals!$AD$2:$AD$251,approvals!$A$2:$A$251,$A6))</f>
        <v/>
      </c>
      <c r="CG6" s="25">
        <f>IF($A6="","",IF(COUNTIFS(approvals!$A$2:$A$251,$A6,approvals!$Q$2:$Q$251,"Y",approvals!$AG$2:$AG$251,"")&gt;0,"",SUMIFS(approvals!$AG$2:$AG$251,approvals!$A$2:$A$251,$A6,approvals!$Q$2:$Q$251,"Y")))</f>
        <v/>
      </c>
      <c r="CH6" s="25">
        <f>IF($A6="","",SUMIFS(approvals!$AL$2:$AL$251,approvals!$A$2:$A$251,$A6))</f>
        <v/>
      </c>
      <c r="CI6" s="25">
        <f>IF($A6="","",IF(N($BP6)=0,"",SUMPRODUCT(MIN(approvals!$BB$2:$BB$251+(approvals!$A$2:$A$251&lt;&gt;$A6)*1000000))))</f>
        <v/>
      </c>
      <c r="CJ6" s="25">
        <f>IF($A6="","",COUNTIFS(approvals!$A$2:$A$251,$A6,approvals!$Q$2:$Q$251,"Y",approvals!$AL$2:$AL$251,"&lt;"&amp;config!$B$30))</f>
        <v/>
      </c>
      <c r="CK6" s="25">
        <f>IF($A6="","",SUMIFS(approvals!$AM$2:$AM$251,approvals!$A$2:$A$251,$A6))</f>
        <v/>
      </c>
      <c r="CL6" s="25">
        <f>IF($A6="","",SUMIFS(approvals!$AQ$2:$AQ$251,approvals!$A$2:$A$251,$A6))</f>
        <v/>
      </c>
      <c r="CM6" s="25">
        <f>IF($A6="","",SUMIFS(approvals!$AR$2:$AR$251,approvals!$A$2:$A$251,$A6))</f>
        <v/>
      </c>
      <c r="CN6" s="25">
        <f>IF($A6="","",SUMIFS(approvals!$AS$2:$AS$251,approvals!$A$2:$A$251,$A6))</f>
        <v/>
      </c>
      <c r="CO6" s="25">
        <f>IF($A6="","",SUMIFS(approvals!$AT$2:$AT$251,approvals!$A$2:$A$251,$A6))</f>
        <v/>
      </c>
      <c r="CP6" s="28">
        <f>IF($A6="","",IF(N($CO6)=0,"",ROUND(SUMIFS(approvals!$AU$2:$AU$251,approvals!$A$2:$A$251,$A6)/$CO6,1)))</f>
        <v/>
      </c>
      <c r="CQ6" s="25">
        <f>IF($A6="","",SUMIFS(approvals!$AV$2:$AV$251,approvals!$A$2:$A$251,$A6))</f>
        <v/>
      </c>
      <c r="CR6" s="25">
        <f>IF($A6="","",SUMIFS(approvals!$AW$2:$AW$251,approvals!$A$2:$A$251,$A6))</f>
        <v/>
      </c>
      <c r="CS6" s="25">
        <f>IF($A6="","",SUMIFS(approvals!$AX$2:$AX$251,approvals!$A$2:$A$251,$A6))</f>
        <v/>
      </c>
      <c r="CT6" s="25">
        <f>IF($A6="","",SUMIFS(approvals!$AY$2:$AY$251,approvals!$A$2:$A$251,$A6))</f>
        <v/>
      </c>
      <c r="CU6" s="25">
        <f>IF($A6="","",IF(OR($BG6="",$BC6&lt;&gt;""),"",IFERROR(COUNT(INDIRECT("'"&amp;$A6&amp;"'!$A$2:$A$501")),0)-IFERROR(COUNTIFS(INDIRECT("'"&amp;$A6&amp;"'!$A$2:$A$501"),"&gt;="&amp;$BG6,INDIRECT("'"&amp;$A6&amp;"'!$A$2:$A$501"),"&lt;"&amp;(IFERROR(IF(INDEX(drops!$R$2:$R$21,MATCH($B6,drops!$A$2:$A$21,0))="","",INDEX(drops!$R$2:$R$21,MATCH($B6,drops!$A$2:$A$21,0))),"")+1)),0)))</f>
        <v/>
      </c>
      <c r="CV6" s="25">
        <f>IF($A6="","",IF(OR($BG6="",$BC6&lt;&gt;""),"",IFERROR(COUNTIFS(INDIRECT("'"&amp;$A6&amp;"'!$A$2:$A$501"),"&gt;="&amp;$BG6,INDIRECT("'"&amp;$A6&amp;"'!$A$2:$A$501"),"&lt;"&amp;(IFERROR(IF(INDEX(drops!$R$2:$R$21,MATCH($B6,drops!$A$2:$A$21,0))="","",INDEX(drops!$R$2:$R$21,MATCH($B6,drops!$A$2:$A$21,0))),"")+1)),0)-N($CH6)))</f>
        <v/>
      </c>
      <c r="CW6" s="25">
        <f>IF($A6="","",SUMIFS(approvals!$AN$2:$AN$251,approvals!$A$2:$A$251,$A6))</f>
        <v/>
      </c>
      <c r="CX6" s="25">
        <f>IF($A6="","",SUMIFS(approvals!$AO$2:$AO$251,approvals!$A$2:$A$251,$A6))</f>
        <v/>
      </c>
      <c r="CY6" s="25">
        <f>IF($A6="","",IF($CZ6="","",SUMIFS(redemptions!$C$2:$C$121,redemptions!$A$2:$A$121,$A6,redemptions!$B$2:$B$121,$CZ6)))</f>
        <v/>
      </c>
      <c r="CZ6" s="26">
        <f>IF($A6="","",IFERROR(1/(1/SUMPRODUCT(MAX((redemptions!$A$2:$A$121=$A6)*redemptions!$B$2:$B$121))),""))</f>
        <v/>
      </c>
      <c r="DA6" s="25">
        <f>IF($A6="","",IF(COUNTIFS(redemptions!$A$2:$A$121,$A6,redemptions!$H$2:$H$121,"Y")=0,"",SUMIFS(redemptions!$C$2:$C$121,redemptions!$A$2:$A$121,$A6,redemptions!$B$2:$B$121,SUMPRODUCT(MIN((redemptions!$A$2:$A$121=$A6)*(redemptions!$H$2:$H$121="Y")*redemptions!$B$2:$B$121+((redemptions!$A$2:$A$121&lt;&gt;$A6)+(redemptions!$H$2:$H$121&lt;&gt;"Y")&gt;0)*1000000)))))</f>
        <v/>
      </c>
      <c r="DB6" s="27">
        <f>IF($A6="","",SUMIFS(invoices!$E$2:$E$151,invoices!$B$2:$B$151,$A6))</f>
        <v/>
      </c>
      <c r="DC6" s="27">
        <f>IF($A6="","",IF(COUNTIFS(invoices!$B$2:$B$151,$A6,invoices!$C$2:$C$151,"standard_deposit",invoices!$H$2:$H$151,"&gt;0")=0,"",SUMIFS(invoices!$I$2:$I$151,invoices!$B$2:$B$151,$A6,invoices!$C$2:$C$151,"standard_deposit")))</f>
        <v/>
      </c>
      <c r="DD6" s="26">
        <f>IF($A6="","",IFERROR(1/(1/SUMPRODUCT(MAX((invoices!$B$2:$B$151=$A6)*(invoices!$C$2:$C$151="standard_deposit")*invoices!$H$2:$H$151))),""))</f>
        <v/>
      </c>
      <c r="DE6" s="26">
        <f>IF($A6="","",IFERROR(1/(1/SUMPRODUCT(MAX((invoices!$B$2:$B$151=$A6)*((invoices!$C$2:$C$151="founding_full")+(invoices!$C$2:$C$151="standard_balance"))*invoices!$H$2:$H$151))),""))</f>
        <v/>
      </c>
      <c r="DF6" s="27">
        <f>IF($A6="","",SUMIFS(invoices!$L$2:$L$151,invoices!$B$2:$B$151,$A6))</f>
        <v/>
      </c>
      <c r="DG6" s="27">
        <f>IF($A6="","",SUMIFS(costs!$E$2:$E$301,costs!$C$2:$C$301,$A6))</f>
        <v/>
      </c>
      <c r="DH6" s="27">
        <f>IF($A6="","",ROUND(IF(SUMIFS(campaigns!$BO$2:$BO$51,campaigns!$B$2:$B$51,$B6)=0,0,$BO6/SUMIFS(campaigns!$BO$2:$BO$51,campaigns!$B$2:$B$51,$B6))*(SUMIFS(costs!$E$2:$E$301,costs!$B$2:$B$301,$B6)-SUMPRODUCT((costs!$B$2:$B$301=$B6)*(LEN(costs!$C$2:$C$301)&gt;0)*costs!$E$2:$E$301)),2))</f>
        <v/>
      </c>
      <c r="DI6" s="28">
        <f>IF($A6="","",SUMIFS(hours!$E$2:$E$1501,hours!$C$2:$C$1501,$A6))</f>
        <v/>
      </c>
      <c r="DJ6" s="28">
        <f>IF($A6="","",ROUND(IF(SUMIFS(campaigns!$BO$2:$BO$51,campaigns!$B$2:$B$51,$B6)=0,0,$BO6/SUMIFS(campaigns!$BO$2:$BO$51,campaigns!$B$2:$B$51,$B6))*(SUMIFS(hours!$E$2:$E$1501,hours!$B$2:$B$1501,$B6)-SUMPRODUCT((hours!$B$2:$B$1501=$B6)*(LEN(hours!$C$2:$C$1501)&gt;0)*hours!$E$2:$E$1501)),2))</f>
        <v/>
      </c>
      <c r="DK6" s="27">
        <f>IF($A6="","",$DB6-$DF6-$DG6-$DH6)</f>
        <v/>
      </c>
      <c r="DL6" s="27">
        <f>IF($A6="","",IF(N($DI6)+N($DJ6)=0,"",ROUND($DK6/($DI6+$DJ6),2)))</f>
        <v/>
      </c>
      <c r="DM6" s="29">
        <f>IF($A6="","",IF(N($BP6)=0,"",COUNTIFS(approvals!$A$2:$A$251,$A6,approvals!$Q$2:$Q$251,"Y",approvals!$AK$2:$AK$251,"Y")/$BP6))</f>
        <v/>
      </c>
      <c r="DN6" s="28">
        <f>IF($A6="","",IF(COUNTIFS(approvals!$A$2:$A$251,$A6,approvals!$AC$2:$AC$251,"&gt;=0")=0,"",ROUND(SUMIFS(approvals!$AC$2:$AC$251,approvals!$A$2:$A$251,$A6)/COUNTIFS(approvals!$A$2:$A$251,$A6,approvals!$AC$2:$AC$251,"&gt;=0"),1)))</f>
        <v/>
      </c>
      <c r="DO6" s="26">
        <f>IF($A6="","",IFERROR(IF(INDEX(drops!$T$2:$T$21,MATCH($B6,drops!$A$2:$A$21,0))="","",INDEX(drops!$T$2:$T$21,MATCH($B6,drops!$A$2:$A$21,0))),""))</f>
        <v/>
      </c>
      <c r="DP6" s="26">
        <f>IF($A6="","",IFERROR(IF(INDEX(drops!$U$2:$U$21,MATCH($B6,drops!$A$2:$A$21,0))="","",INDEX(drops!$U$2:$U$21,MATCH($B6,drops!$A$2:$A$21,0))),""))</f>
        <v/>
      </c>
      <c r="DQ6" s="26">
        <f>IF($A6="","",IFERROR(IF(INDEX(drops!$W$2:$W$21,MATCH($B6,drops!$A$2:$A$21,0))="","",INDEX(drops!$W$2:$W$21,MATCH($B6,drops!$A$2:$A$21,0))),""))</f>
        <v/>
      </c>
      <c r="DR6" s="25">
        <f>IF($A6="","",IF($CE6="","",IF($CE6&gt;=config!$B$31,"pass","miss")))</f>
        <v/>
      </c>
      <c r="DS6" s="25">
        <f>IF($A6="","",IF($CI6="","",IF($CI6&gt;=config!$B$30,"pass","miss")))</f>
        <v/>
      </c>
      <c r="DT6" s="25">
        <f>IF($A6="","",IF($AT6="",IF($DO6="","",IF(IF(config!$B$37&lt;&gt;"",config!$B$37,TODAY())&gt;$DO6,"late","due")),IF($AT6&lt;=$DO6,"pass","late")))</f>
        <v/>
      </c>
      <c r="DU6" s="25">
        <f>IF($A6="","",IF(COUNTIF(drops!$A$2:$A$21,$B6)=0,"drop_id not on drops; ",IF($BG6="","drop date missing or refused; ",""))&amp;IF(AND($G6&lt;&gt;"",$G6&lt;&gt;$BI6),"price differs from the price list; ","")&amp;IF(AND(LEFT($BW6,4)="HOLD",$BL6&lt;&gt;"",IF(config!$B$37&lt;&gt;"",config!$B$37,TODAY())&gt;=WORKDAY(N($BL6),-3,calendar!$A$2:$A$80)),"SHIP HOLD within 3 business days of T-10; ","")&amp;IF(AND($BQ6&gt;0,$BL6&lt;&gt;"",IF(config!$B$37&lt;&gt;"",config!$B$37,TODAY())&gt;$BL6),"approvals still pending after T-10; ","")&amp;IF($BZ6&lt;0,"reserve below zero: check inventory; ","")&amp;IF(AND($BG6&lt;&gt;"",IF(config!$B$37&lt;&gt;"",config!$B$37,TODAY())&gt;WORKDAY(N($BG6),14,calendar!$A$2:$A$80),N($BZ6)+N($CA6)&lt;&gt;0),"units still on hand after T+14; ","")&amp;IF(N($CV6)&gt;0,"info: "&amp;$CV6&amp;" in-window responses with a card code that matches no office (not counted); ","")&amp;IF(AND($Z6="Y",$AK6=""),"newsletter form URL missing; ","")&amp;IF(AND($Z6="Y",$BG6&lt;&gt;"",IF(config!$B$37&lt;&gt;"",config!$B$37,TODAY())&gt;WORKDAY(N($BG6),5,calendar!$A$2:$A$80),$AY6=""),"newsletter list not yet passed on (due T+5); ","")&amp;IF(AND($AY6&lt;&gt;"",$BA6=""),"delete unticked emails; ","")&amp;IF(AND($AY6&lt;&gt;"",$BB6="",IF(config!$B$37&lt;&gt;"",config!$B$37,TODAY())&gt;$AY6+config!$B$32),"DELETE the consented emails (30 days after passing on); ","")&amp;IF(AND($BG6&lt;&gt;"",$AJ6="",IF(config!$B$37&lt;&gt;"",config!$B$37,TODAY())&gt;=WORKDAY(N($BG6),-4,calendar!$A$2:$A$80)),"survey prefill template missing (due T-4); ","")&amp;IF(AND($AJ6&lt;&gt;"",ISERROR(SEARCH("CARDCODE",$AJ6))),"prefill template has no CARDCODE; ","")&amp;IF(AND($AF6="",$BG6&lt;&gt;"",IF(config!$B$37&lt;&gt;"",config!$B$37,TODAY())&gt;=WORKDAY(N($BG6),-3,calendar!$A$2:$A$80)),"card text not yet sent to the brand; ","")&amp;IF(AND($DA6="",$DQ6&lt;&gt;"",IF(config!$B$37&lt;&gt;"",config!$B$37,TODAY())&gt;$DQ6),"day-30 redemption count due; ","")&amp;IF(AND(LEFT($BW6,8)="RELEASED",$AG6=""),"ship-date email due (template 02): send it, then log ship_email_sent_date and ship_email_units; ","")&amp;IF(AND($AH6&lt;&gt;"",N($BT6)&gt;0,N($BX6)=0,N($AH6)&lt;&gt;N($BT6)),"units changed since the ship-date email of "&amp;IF($AG6="","?",TEXT($AG6,"yyyy-mm-dd"))&amp;" ("&amp;$AH6&amp;", now "&amp;$BT6&amp;"): send the brand the revised numbers (template 02) and log them; ","")&amp;IF($DT6="late","report late; ","")&amp;IF(AND(N($F6)&gt;0,$BO6&lt;N($F6),$BQ6=0),"info: "&amp;(N($F6)-$BO6)&amp;" office(s) short of the contract: add a roster office or credit $"&amp;IF($D6="founding",config!$B$25,config!$B$24)&amp;" each; ","")&amp;IF($BC6&lt;&gt;"",IF(COUNTIF(survey_frozen!$A$2:$A$251,$A6)=0,"answers deleted but no frozen totals: the survey numbers now read 0 (tools/freeze_survey.py, SOP answers_delete); ",""),IF(AND($BG6&lt;&gt;"",IF(config!$B$37&lt;&gt;"",config!$B$37,TODAY())&gt;=$BG6,ISREF(INDIRECT("'"&amp;$A6&amp;"'!B1"))),IF(INDIRECT("'"&amp;$A6&amp;"'!B1")&lt;&gt;"Card code (filled in for you)","survey tab column B is not the card code: fix the form or the tab; ",""),IF(AND($BG6&lt;&gt;"",IF(config!$B$37&lt;&gt;"",config!$B$37,TODAY())&gt;=$BG6),"no survey tab named "&amp;$A6&amp;"; ","")))&amp;IF(COUNTIF(brands!$A$2:$A$41,$C6)=0,"brand_id not on brands; ",IF(LEFT(IFERROR(IF(INDEX(brands!$AG$2:$AG$41,MATCH($C6,brands!$A$2:$A$41,0))="","",INDEX(brands!$AG$2:$AG$41,MATCH($C6,brands!$A$2:$A$41,0))),""),1)&lt;&gt;"Y","brand not qualified ("&amp;IFERROR(IF(INDEX(brands!$AG$2:$AG$41,MATCH($C6,brands!$A$2:$A$41,0))="","",INDEX(brands!$AG$2:$AG$41,MATCH($C6,brands!$A$2:$A$41,0))),"")&amp;"): nothing ships until it is; ",""))&amp;IF(AND(COUNTIF(brands!$A$2:$A$41,$C6)&gt;0,OR(IFERROR(IF(INDEX(brands!$C$2:$C$41,MATCH($C6,brands!$A$2:$A$41,0))="","",INDEX(brands!$C$2:$C$41,MATCH($C6,brands!$A$2:$A$41,0))),"")="",IFERROR(IF(INDEX(brands!$D$2:$D$41,MATCH($C6,brands!$A$2:$A$41,0))="","",INDEX(brands!$D$2:$D$41,MATCH($C6,brands!$A$2:$A$41,0))),"")="",IFERROR(IF(INDEX(brands!$E$2:$E$41,MATCH($C6,brands!$A$2:$A$41,0))="","",INDEX(brands!$E$2:$E$41,MATCH($C6,brands!$A$2:$A$41,0))),"")="")),"brand billing details missing on brands (legal name, address, email): needed for the invoice; ","")&amp;IF(AND($D6="founding",$E6&lt;&gt;"Y",N(IFERROR(IF(INDEX(brands!$AI$2:$AI$41,MATCH($C6,brands!$A$2:$A$41,0))="","",INDEX(brands!$AI$2:$AI$41,MATCH($C6,brands!$A$2:$A$41,0))),""))&gt;3),"the founding tier is for the first three brands only (this is brand "&amp;IFERROR(IF(INDEX(brands!$AI$2:$AI$41,MATCH($C6,brands!$A$2:$A$41,0))="","",INDEX(brands!$AI$2:$AI$41,MATCH($C6,brands!$A$2:$A$41,0))),"")&amp;"): use standard; ","")&amp;IF(AND($D6="founding",$E6&lt;&gt;"Y",COUNTIFS(campaigns!$C$2:$C$51,$C6,campaigns!$D$2:$D$51,"founding",campaigns!$E$2:$E$51,"&lt;&gt;Y")&gt;1),"a brand has the founding price once; its next two campaigns are founding_lock = Y; ","")&amp;IF(AND($E6="Y",COUNTIFS(campaigns!$C$2:$C$51,$C6,campaigns!$D$2:$D$51,"founding",campaigns!$E$2:$E$51,"Y")&gt;2),"founding_lock is for the brand's next two campaigns only (this is a third): use standard; ","")&amp;IF(AND($E6="Y",COUNTIFS(campaigns!$C$2:$C$51,$C6,campaigns!$D$2:$D$51,"founding",campaigns!$E$2:$E$51,"&lt;&gt;Y")=0),"founding_lock without a first founding campaign for this brand; ","")&amp;IF(AND(N($BX6)&gt;0,$BG6&lt;&gt;"",IF(config!$B$37&lt;&gt;"",config!$B$37,TODAY())&gt;=WORKDAY(N($BG6),-5,calendar!$A$2:$A$80)),IF(N($BX6)-N($BY6)&lt;N($BR6),"received "&amp;(N($BX6)-N($BY6))&amp;" usable units for "&amp;$BR6&amp;" allocated: reduce units_override evenly (SOP section 4, short shipment); ","")&amp;IF(AND(N($BX6)&lt;N($BT6),COUNTIFS(issues!$E$2:$E$121,$A6,issues!$G$2:$G$121,"short_shipment")=0),"received "&amp;$BX6&amp;" of "&amp;$BT6&amp;" due: log a short_shipment issue and tell the brand today; ",""),"")&amp;IF(AND($BG6&lt;&gt;"",IF(config!$B$37&lt;&gt;"",config!$B$37,TODAY())&gt;=WORKDAY(N($BG6),1,calendar!$A$2:$A$80),N($F6)&gt;0,(-SUMIFS(invoices!$E$2:$E$151,invoices!$B$2:$B$151,$A6,invoices!$C$2:$C$151,"credit_note"))&lt;(IF($D6="founding",config!$B$25,config!$B$24)*MAX(0,N($F6)-COUNTIFS(approvals!$A$2:$A$251,$A6,approvals!$Q$2:$Q$251,"Y",approvals!$AB$2:$AB$251,"Y")))-0.005),"credit due from T+1: "&amp;MAX(0,N($F6)-COUNTIFS(approvals!$A$2:$A$251,$A6,approvals!$Q$2:$Q$251,"Y",approvals!$AB$2:$AB$251,"Y"))&amp;" of "&amp;$F6&amp;" contracted offices not placed by T+1, $"&amp;(IF($D6="founding",config!$B$25,config!$B$24)*MAX(0,N($F6)-COUNTIFS(approvals!$A$2:$A$251,$A6,approvals!$Q$2:$Q$251,"Y",approvals!$AB$2:$AB$251,"Y")))&amp;" due, $"&amp;(-SUMIFS(invoices!$E$2:$E$151,invoices!$B$2:$B$151,$A6,invoices!$C$2:$C$151,"credit_note"))&amp;" in credit notes so far (template 06, make_invoice.py); ","")&amp;IF(AND(IFERROR(IF(INDEX(brands!$H$2:$H$41,MATCH($C6,brands!$A$2:$A$41,0))="","",INDEX(brands!$H$2:$H$41,MATCH($C6,brands!$A$2:$A$41,0))),"")&lt;&gt;"",$BG6&lt;&gt;"",IFERROR(IF(INDEX(brands!$H$2:$H$41,MATCH($C6,brands!$A$2:$A$41,0))="","",INDEX(brands!$H$2:$H$41,MATCH($C6,brands!$A$2:$A$41,0))),"")&lt;EDATE(WORKDAY(N($BG6),4,calendar!$A$2:$A$80),12)),"info: brand insurance ends "&amp;TEXT(IFERROR(IF(INDEX(brands!$H$2:$H$41,MATCH($C6,brands!$A$2:$A$41,0))="","",INDEX(brands!$H$2:$H$41,MATCH($C6,brands!$A$2:$A$41,0))),""),"yyyy-mm-dd")&amp;": diary the renewal certificate; ",""))</f>
        <v/>
      </c>
    </row>
    <row r="7">
      <c r="G7" s="10" t="n"/>
      <c r="H7" s="9" t="n"/>
      <c r="AB7" s="9" t="n"/>
      <c r="AC7" s="9" t="n"/>
      <c r="AD7" s="9" t="n"/>
      <c r="AF7" s="9" t="n"/>
      <c r="AG7" s="9" t="n"/>
      <c r="AT7" s="9" t="n"/>
      <c r="AU7" s="9" t="n"/>
      <c r="AY7" s="9" t="n"/>
      <c r="BA7" s="9" t="n"/>
      <c r="BB7" s="9" t="n"/>
      <c r="BC7" s="9" t="n"/>
      <c r="BE7" s="25">
        <f>IF($A7="","",IFERROR(IF(INDEX(brands!$K$2:$K$41,MATCH($C7,brands!$A$2:$A$41,0))="","",INDEX(brands!$K$2:$K$41,MATCH($C7,brands!$A$2:$A$41,0))),""))</f>
        <v/>
      </c>
      <c r="BF7" s="25">
        <f>IF($A7="","",IFERROR(IF(INDEX(brands!$M$2:$M$41,MATCH($C7,brands!$A$2:$A$41,0))="","",INDEX(brands!$M$2:$M$41,MATCH($C7,brands!$A$2:$A$41,0))),""))</f>
        <v/>
      </c>
      <c r="BG7" s="26">
        <f>IF($A7="","",IF(IFERROR(IF(INDEX(drops!$I$2:$I$21,MATCH($B7,drops!$A$2:$A$21,0))="","",INDEX(drops!$I$2:$I$21,MATCH($B7,drops!$A$2:$A$21,0))),"")="OK",IFERROR(IF(INDEX(drops!$B$2:$B$21,MATCH($B7,drops!$A$2:$A$21,0))="","",INDEX(drops!$B$2:$B$21,MATCH($B7,drops!$A$2:$A$21,0))),""),""))</f>
        <v/>
      </c>
      <c r="BH7" s="25">
        <f>IF($A7="","",IFERROR(IF(INDEX(drops!$C$2:$C$21,MATCH($B7,drops!$A$2:$A$21,0))="","",INDEX(drops!$C$2:$C$21,MATCH($B7,drops!$A$2:$A$21,0))),""))</f>
        <v/>
      </c>
      <c r="BI7" s="27">
        <f>IF($A7="","",IF($F7="","",IF($D7="founding",IF($E7="Y",config!$B$25*MIN($F7,config!$B$26)+config!$B$24*MAX(0,$F7-config!$B$26),config!$B$20+config!$B$24*MAX(0,$F7-config!$B$21)),IF($D7="standard",config!$B$22+config!$B$24*MAX(0,$F7-config!$B$23),""))))</f>
        <v/>
      </c>
      <c r="BJ7" s="27">
        <f>IF($A7="","",IF($G7&lt;&gt;"",$G7,$BI7))</f>
        <v/>
      </c>
      <c r="BK7" s="25">
        <f>IF($A7="","",IF($D7="founding","100% within "&amp;config!$B$27&amp;" business days of the invoice, before shipping",IF($D7="standard","50% on signing; 50% at placement confirmation (T+1)","")))</f>
        <v/>
      </c>
      <c r="BL7" s="26">
        <f>IF($A7="","",IFERROR(IF(INDEX(drops!$K$2:$K$21,MATCH($B7,drops!$A$2:$A$21,0))="","",INDEX(drops!$K$2:$K$21,MATCH($B7,drops!$A$2:$A$21,0))),""))</f>
        <v/>
      </c>
      <c r="BM7" s="26">
        <f>IF($A7="","",IFERROR(IF(INDEX(drops!$L$2:$L$21,MATCH($B7,drops!$A$2:$A$21,0))="","",INDEX(drops!$L$2:$L$21,MATCH($B7,drops!$A$2:$A$21,0))),""))</f>
        <v/>
      </c>
      <c r="BN7" s="25">
        <f>IF($A7="","",COUNTIF(approvals!$A$2:$A$251,$A7))</f>
        <v/>
      </c>
      <c r="BO7" s="25">
        <f>IF($A7="","",COUNTIFS(approvals!$A$2:$A$251,$A7,approvals!$P$2:$P$251,"Y"))</f>
        <v/>
      </c>
      <c r="BP7" s="25">
        <f>IF($A7="","",COUNTIFS(approvals!$A$2:$A$251,$A7,approvals!$Q$2:$Q$251,"Y"))</f>
        <v/>
      </c>
      <c r="BQ7" s="25">
        <f>IF($A7="","",COUNTIFS(approvals!$A$2:$A$251,$A7,approvals!$P$2:$P$251,"pending"))</f>
        <v/>
      </c>
      <c r="BR7" s="25">
        <f>IF($A7="","",SUMIFS(approvals!$S$2:$S$251,approvals!$A$2:$A$251,$A7,approvals!$P$2:$P$251,"Y"))</f>
        <v/>
      </c>
      <c r="BS7" s="25">
        <f>IF($A7="","",ROUNDUP($BR7*config!$B$18,0))</f>
        <v/>
      </c>
      <c r="BT7" s="25">
        <f>IF($A7="","",$BR7+$BS7)</f>
        <v/>
      </c>
      <c r="BU7" s="27">
        <f>IF($A7="","",SUMIFS(invoices!$I$2:$I$151,invoices!$B$2:$B$151,$A7,invoices!$R$2:$R$151,"Y",invoices!$H$2:$H$151,"&gt;0"))</f>
        <v/>
      </c>
      <c r="BV7" s="27">
        <f>IF($A7="","",IF($BJ7="","",IF($D7="founding",$BJ7,ROUND($BJ7*config!$B$28,2))))</f>
        <v/>
      </c>
      <c r="BW7" s="25">
        <f>IF($A7="","",IF(AND(N($BU7)&gt;=N($BV7),N($BV7)&gt;0,$H7&lt;&gt;"",AND($AB7&lt;&gt;"",IFERROR(IF(INDEX(brands!$G$2:$G$41,MATCH($C7,brands!$A$2:$A$41,0))="","",INDEX(brands!$G$2:$G$41,MATCH($C7,brands!$A$2:$A$41,0))),"")="Y"),LEFT(IFERROR(IF(INDEX(brands!$AG$2:$AG$41,MATCH($C7,brands!$A$2:$A$41,0))="","",INDEX(brands!$AG$2:$AG$41,MATCH($C7,brands!$A$2:$A$41,0))),""),1)="Y",$BG7&lt;&gt;"",$BQ7=0,$BO7&gt;0),"RELEASED "&amp;TEXT(MAX(IFERROR(1/(1/SUMPRODUCT(MAX((invoices!$B$2:$B$151=$A7)*(invoices!$R$2:$R$151="Y")*(invoices!$H$2:$H$151)))),""),$H7,$AB7,SUMPRODUCT(MAX((approvals!$A$2:$A$251=$A7)*(approvals!$P$2:$P$251="Y")*(approvals!$E$2:$E$251+(approvals!$E$2:$E$251=0)*approvals!$C$2:$C$251)))),"yyyy-mm-dd")&amp;": ship by "&amp;TEXT($BM7,"ddd yyyy-mm-dd")&amp;" (latest "&amp;TEXT($BL7,"ddd yyyy-mm-dd")&amp;")","HOLD: "&amp;IF(N($BU7)&lt;N($BV7),"payment ("&amp;TEXT(N($BU7),"0")&amp;" of "&amp;TEXT(N($BV7),"0")&amp;") ","")&amp;IF($H7="","agreement ","")&amp;IF(NOT(AND($AB7&lt;&gt;"",IFERROR(IF(INDEX(brands!$G$2:$G$41,MATCH($C7,brands!$A$2:$A$41,0))="","",INDEX(brands!$G$2:$G$41,MATCH($C7,brands!$A$2:$A$41,0))),"")="Y")),"certificate ","")&amp;IF(NOT(LEFT(IFERROR(IF(INDEX(brands!$AG$2:$AG$41,MATCH($C7,brands!$A$2:$A$41,0))="","",INDEX(brands!$AG$2:$AG$41,MATCH($C7,brands!$A$2:$A$41,0))),""),1)="Y"),"qualification ","")&amp;IF($BG7="","drop date ","")&amp;IF($BQ7&gt;0,"approvals ("&amp;$BQ7&amp;" pending) ","")&amp;IF($BO7=0,"no office approved ","")))</f>
        <v/>
      </c>
      <c r="BX7" s="25">
        <f>IF($A7="","",SUMIFS(inventory!$G$2:$G$801,inventory!$C$2:$C$801,$A7,inventory!$E$2:$E$801,"received"))</f>
        <v/>
      </c>
      <c r="BY7" s="25">
        <f>IF($A7="","",SUMIFS(inventory!$G$2:$G$801,inventory!$C$2:$C$801,$A7,inventory!$E$2:$E$801,"rejected"))</f>
        <v/>
      </c>
      <c r="BZ7" s="25">
        <f>IF($A7="","",SUMIFS(inventory!$M$2:$M$801,inventory!$C$2:$C$801,$A7))</f>
        <v/>
      </c>
      <c r="CA7" s="25">
        <f>IF($A7="","",SUMIFS(inventory!$O$2:$O$801,inventory!$C$2:$C$801,$A7))</f>
        <v/>
      </c>
      <c r="CB7" s="25">
        <f>IF($A7="","",SUMIFS(approvals!$U$2:$U$251,approvals!$A$2:$A$251,$A7))</f>
        <v/>
      </c>
      <c r="CC7" s="25">
        <f>IF($A7="","",SUMIFS(approvals!$AA$2:$AA$251,approvals!$A$2:$A$251,$A7))</f>
        <v/>
      </c>
      <c r="CD7" s="25">
        <f>IF($A7="","",SUMIFS(approvals!$AA$2:$AA$251,approvals!$A$2:$A$251,$A7,approvals!$AB$2:$AB$251,"Y"))</f>
        <v/>
      </c>
      <c r="CE7" s="29">
        <f>IF($A7="","",IF(N($CB7)=0,"",$CD7/$CB7))</f>
        <v/>
      </c>
      <c r="CF7" s="25">
        <f>IF($A7="","",SUMIFS(approvals!$AD$2:$AD$251,approvals!$A$2:$A$251,$A7))</f>
        <v/>
      </c>
      <c r="CG7" s="25">
        <f>IF($A7="","",IF(COUNTIFS(approvals!$A$2:$A$251,$A7,approvals!$Q$2:$Q$251,"Y",approvals!$AG$2:$AG$251,"")&gt;0,"",SUMIFS(approvals!$AG$2:$AG$251,approvals!$A$2:$A$251,$A7,approvals!$Q$2:$Q$251,"Y")))</f>
        <v/>
      </c>
      <c r="CH7" s="25">
        <f>IF($A7="","",SUMIFS(approvals!$AL$2:$AL$251,approvals!$A$2:$A$251,$A7))</f>
        <v/>
      </c>
      <c r="CI7" s="25">
        <f>IF($A7="","",IF(N($BP7)=0,"",SUMPRODUCT(MIN(approvals!$BB$2:$BB$251+(approvals!$A$2:$A$251&lt;&gt;$A7)*1000000))))</f>
        <v/>
      </c>
      <c r="CJ7" s="25">
        <f>IF($A7="","",COUNTIFS(approvals!$A$2:$A$251,$A7,approvals!$Q$2:$Q$251,"Y",approvals!$AL$2:$AL$251,"&lt;"&amp;config!$B$30))</f>
        <v/>
      </c>
      <c r="CK7" s="25">
        <f>IF($A7="","",SUMIFS(approvals!$AM$2:$AM$251,approvals!$A$2:$A$251,$A7))</f>
        <v/>
      </c>
      <c r="CL7" s="25">
        <f>IF($A7="","",SUMIFS(approvals!$AQ$2:$AQ$251,approvals!$A$2:$A$251,$A7))</f>
        <v/>
      </c>
      <c r="CM7" s="25">
        <f>IF($A7="","",SUMIFS(approvals!$AR$2:$AR$251,approvals!$A$2:$A$251,$A7))</f>
        <v/>
      </c>
      <c r="CN7" s="25">
        <f>IF($A7="","",SUMIFS(approvals!$AS$2:$AS$251,approvals!$A$2:$A$251,$A7))</f>
        <v/>
      </c>
      <c r="CO7" s="25">
        <f>IF($A7="","",SUMIFS(approvals!$AT$2:$AT$251,approvals!$A$2:$A$251,$A7))</f>
        <v/>
      </c>
      <c r="CP7" s="28">
        <f>IF($A7="","",IF(N($CO7)=0,"",ROUND(SUMIFS(approvals!$AU$2:$AU$251,approvals!$A$2:$A$251,$A7)/$CO7,1)))</f>
        <v/>
      </c>
      <c r="CQ7" s="25">
        <f>IF($A7="","",SUMIFS(approvals!$AV$2:$AV$251,approvals!$A$2:$A$251,$A7))</f>
        <v/>
      </c>
      <c r="CR7" s="25">
        <f>IF($A7="","",SUMIFS(approvals!$AW$2:$AW$251,approvals!$A$2:$A$251,$A7))</f>
        <v/>
      </c>
      <c r="CS7" s="25">
        <f>IF($A7="","",SUMIFS(approvals!$AX$2:$AX$251,approvals!$A$2:$A$251,$A7))</f>
        <v/>
      </c>
      <c r="CT7" s="25">
        <f>IF($A7="","",SUMIFS(approvals!$AY$2:$AY$251,approvals!$A$2:$A$251,$A7))</f>
        <v/>
      </c>
      <c r="CU7" s="25">
        <f>IF($A7="","",IF(OR($BG7="",$BC7&lt;&gt;""),"",IFERROR(COUNT(INDIRECT("'"&amp;$A7&amp;"'!$A$2:$A$501")),0)-IFERROR(COUNTIFS(INDIRECT("'"&amp;$A7&amp;"'!$A$2:$A$501"),"&gt;="&amp;$BG7,INDIRECT("'"&amp;$A7&amp;"'!$A$2:$A$501"),"&lt;"&amp;(IFERROR(IF(INDEX(drops!$R$2:$R$21,MATCH($B7,drops!$A$2:$A$21,0))="","",INDEX(drops!$R$2:$R$21,MATCH($B7,drops!$A$2:$A$21,0))),"")+1)),0)))</f>
        <v/>
      </c>
      <c r="CV7" s="25">
        <f>IF($A7="","",IF(OR($BG7="",$BC7&lt;&gt;""),"",IFERROR(COUNTIFS(INDIRECT("'"&amp;$A7&amp;"'!$A$2:$A$501"),"&gt;="&amp;$BG7,INDIRECT("'"&amp;$A7&amp;"'!$A$2:$A$501"),"&lt;"&amp;(IFERROR(IF(INDEX(drops!$R$2:$R$21,MATCH($B7,drops!$A$2:$A$21,0))="","",INDEX(drops!$R$2:$R$21,MATCH($B7,drops!$A$2:$A$21,0))),"")+1)),0)-N($CH7)))</f>
        <v/>
      </c>
      <c r="CW7" s="25">
        <f>IF($A7="","",SUMIFS(approvals!$AN$2:$AN$251,approvals!$A$2:$A$251,$A7))</f>
        <v/>
      </c>
      <c r="CX7" s="25">
        <f>IF($A7="","",SUMIFS(approvals!$AO$2:$AO$251,approvals!$A$2:$A$251,$A7))</f>
        <v/>
      </c>
      <c r="CY7" s="25">
        <f>IF($A7="","",IF($CZ7="","",SUMIFS(redemptions!$C$2:$C$121,redemptions!$A$2:$A$121,$A7,redemptions!$B$2:$B$121,$CZ7)))</f>
        <v/>
      </c>
      <c r="CZ7" s="26">
        <f>IF($A7="","",IFERROR(1/(1/SUMPRODUCT(MAX((redemptions!$A$2:$A$121=$A7)*redemptions!$B$2:$B$121))),""))</f>
        <v/>
      </c>
      <c r="DA7" s="25">
        <f>IF($A7="","",IF(COUNTIFS(redemptions!$A$2:$A$121,$A7,redemptions!$H$2:$H$121,"Y")=0,"",SUMIFS(redemptions!$C$2:$C$121,redemptions!$A$2:$A$121,$A7,redemptions!$B$2:$B$121,SUMPRODUCT(MIN((redemptions!$A$2:$A$121=$A7)*(redemptions!$H$2:$H$121="Y")*redemptions!$B$2:$B$121+((redemptions!$A$2:$A$121&lt;&gt;$A7)+(redemptions!$H$2:$H$121&lt;&gt;"Y")&gt;0)*1000000)))))</f>
        <v/>
      </c>
      <c r="DB7" s="27">
        <f>IF($A7="","",SUMIFS(invoices!$E$2:$E$151,invoices!$B$2:$B$151,$A7))</f>
        <v/>
      </c>
      <c r="DC7" s="27">
        <f>IF($A7="","",IF(COUNTIFS(invoices!$B$2:$B$151,$A7,invoices!$C$2:$C$151,"standard_deposit",invoices!$H$2:$H$151,"&gt;0")=0,"",SUMIFS(invoices!$I$2:$I$151,invoices!$B$2:$B$151,$A7,invoices!$C$2:$C$151,"standard_deposit")))</f>
        <v/>
      </c>
      <c r="DD7" s="26">
        <f>IF($A7="","",IFERROR(1/(1/SUMPRODUCT(MAX((invoices!$B$2:$B$151=$A7)*(invoices!$C$2:$C$151="standard_deposit")*invoices!$H$2:$H$151))),""))</f>
        <v/>
      </c>
      <c r="DE7" s="26">
        <f>IF($A7="","",IFERROR(1/(1/SUMPRODUCT(MAX((invoices!$B$2:$B$151=$A7)*((invoices!$C$2:$C$151="founding_full")+(invoices!$C$2:$C$151="standard_balance"))*invoices!$H$2:$H$151))),""))</f>
        <v/>
      </c>
      <c r="DF7" s="27">
        <f>IF($A7="","",SUMIFS(invoices!$L$2:$L$151,invoices!$B$2:$B$151,$A7))</f>
        <v/>
      </c>
      <c r="DG7" s="27">
        <f>IF($A7="","",SUMIFS(costs!$E$2:$E$301,costs!$C$2:$C$301,$A7))</f>
        <v/>
      </c>
      <c r="DH7" s="27">
        <f>IF($A7="","",ROUND(IF(SUMIFS(campaigns!$BO$2:$BO$51,campaigns!$B$2:$B$51,$B7)=0,0,$BO7/SUMIFS(campaigns!$BO$2:$BO$51,campaigns!$B$2:$B$51,$B7))*(SUMIFS(costs!$E$2:$E$301,costs!$B$2:$B$301,$B7)-SUMPRODUCT((costs!$B$2:$B$301=$B7)*(LEN(costs!$C$2:$C$301)&gt;0)*costs!$E$2:$E$301)),2))</f>
        <v/>
      </c>
      <c r="DI7" s="28">
        <f>IF($A7="","",SUMIFS(hours!$E$2:$E$1501,hours!$C$2:$C$1501,$A7))</f>
        <v/>
      </c>
      <c r="DJ7" s="28">
        <f>IF($A7="","",ROUND(IF(SUMIFS(campaigns!$BO$2:$BO$51,campaigns!$B$2:$B$51,$B7)=0,0,$BO7/SUMIFS(campaigns!$BO$2:$BO$51,campaigns!$B$2:$B$51,$B7))*(SUMIFS(hours!$E$2:$E$1501,hours!$B$2:$B$1501,$B7)-SUMPRODUCT((hours!$B$2:$B$1501=$B7)*(LEN(hours!$C$2:$C$1501)&gt;0)*hours!$E$2:$E$1501)),2))</f>
        <v/>
      </c>
      <c r="DK7" s="27">
        <f>IF($A7="","",$DB7-$DF7-$DG7-$DH7)</f>
        <v/>
      </c>
      <c r="DL7" s="27">
        <f>IF($A7="","",IF(N($DI7)+N($DJ7)=0,"",ROUND($DK7/($DI7+$DJ7),2)))</f>
        <v/>
      </c>
      <c r="DM7" s="29">
        <f>IF($A7="","",IF(N($BP7)=0,"",COUNTIFS(approvals!$A$2:$A$251,$A7,approvals!$Q$2:$Q$251,"Y",approvals!$AK$2:$AK$251,"Y")/$BP7))</f>
        <v/>
      </c>
      <c r="DN7" s="28">
        <f>IF($A7="","",IF(COUNTIFS(approvals!$A$2:$A$251,$A7,approvals!$AC$2:$AC$251,"&gt;=0")=0,"",ROUND(SUMIFS(approvals!$AC$2:$AC$251,approvals!$A$2:$A$251,$A7)/COUNTIFS(approvals!$A$2:$A$251,$A7,approvals!$AC$2:$AC$251,"&gt;=0"),1)))</f>
        <v/>
      </c>
      <c r="DO7" s="26">
        <f>IF($A7="","",IFERROR(IF(INDEX(drops!$T$2:$T$21,MATCH($B7,drops!$A$2:$A$21,0))="","",INDEX(drops!$T$2:$T$21,MATCH($B7,drops!$A$2:$A$21,0))),""))</f>
        <v/>
      </c>
      <c r="DP7" s="26">
        <f>IF($A7="","",IFERROR(IF(INDEX(drops!$U$2:$U$21,MATCH($B7,drops!$A$2:$A$21,0))="","",INDEX(drops!$U$2:$U$21,MATCH($B7,drops!$A$2:$A$21,0))),""))</f>
        <v/>
      </c>
      <c r="DQ7" s="26">
        <f>IF($A7="","",IFERROR(IF(INDEX(drops!$W$2:$W$21,MATCH($B7,drops!$A$2:$A$21,0))="","",INDEX(drops!$W$2:$W$21,MATCH($B7,drops!$A$2:$A$21,0))),""))</f>
        <v/>
      </c>
      <c r="DR7" s="25">
        <f>IF($A7="","",IF($CE7="","",IF($CE7&gt;=config!$B$31,"pass","miss")))</f>
        <v/>
      </c>
      <c r="DS7" s="25">
        <f>IF($A7="","",IF($CI7="","",IF($CI7&gt;=config!$B$30,"pass","miss")))</f>
        <v/>
      </c>
      <c r="DT7" s="25">
        <f>IF($A7="","",IF($AT7="",IF($DO7="","",IF(IF(config!$B$37&lt;&gt;"",config!$B$37,TODAY())&gt;$DO7,"late","due")),IF($AT7&lt;=$DO7,"pass","late")))</f>
        <v/>
      </c>
      <c r="DU7" s="25">
        <f>IF($A7="","",IF(COUNTIF(drops!$A$2:$A$21,$B7)=0,"drop_id not on drops; ",IF($BG7="","drop date missing or refused; ",""))&amp;IF(AND($G7&lt;&gt;"",$G7&lt;&gt;$BI7),"price differs from the price list; ","")&amp;IF(AND(LEFT($BW7,4)="HOLD",$BL7&lt;&gt;"",IF(config!$B$37&lt;&gt;"",config!$B$37,TODAY())&gt;=WORKDAY(N($BL7),-3,calendar!$A$2:$A$80)),"SHIP HOLD within 3 business days of T-10; ","")&amp;IF(AND($BQ7&gt;0,$BL7&lt;&gt;"",IF(config!$B$37&lt;&gt;"",config!$B$37,TODAY())&gt;$BL7),"approvals still pending after T-10; ","")&amp;IF($BZ7&lt;0,"reserve below zero: check inventory; ","")&amp;IF(AND($BG7&lt;&gt;"",IF(config!$B$37&lt;&gt;"",config!$B$37,TODAY())&gt;WORKDAY(N($BG7),14,calendar!$A$2:$A$80),N($BZ7)+N($CA7)&lt;&gt;0),"units still on hand after T+14; ","")&amp;IF(N($CV7)&gt;0,"info: "&amp;$CV7&amp;" in-window responses with a card code that matches no office (not counted); ","")&amp;IF(AND($Z7="Y",$AK7=""),"newsletter form URL missing; ","")&amp;IF(AND($Z7="Y",$BG7&lt;&gt;"",IF(config!$B$37&lt;&gt;"",config!$B$37,TODAY())&gt;WORKDAY(N($BG7),5,calendar!$A$2:$A$80),$AY7=""),"newsletter list not yet passed on (due T+5); ","")&amp;IF(AND($AY7&lt;&gt;"",$BA7=""),"delete unticked emails; ","")&amp;IF(AND($AY7&lt;&gt;"",$BB7="",IF(config!$B$37&lt;&gt;"",config!$B$37,TODAY())&gt;$AY7+config!$B$32),"DELETE the consented emails (30 days after passing on); ","")&amp;IF(AND($BG7&lt;&gt;"",$AJ7="",IF(config!$B$37&lt;&gt;"",config!$B$37,TODAY())&gt;=WORKDAY(N($BG7),-4,calendar!$A$2:$A$80)),"survey prefill template missing (due T-4); ","")&amp;IF(AND($AJ7&lt;&gt;"",ISERROR(SEARCH("CARDCODE",$AJ7))),"prefill template has no CARDCODE; ","")&amp;IF(AND($AF7="",$BG7&lt;&gt;"",IF(config!$B$37&lt;&gt;"",config!$B$37,TODAY())&gt;=WORKDAY(N($BG7),-3,calendar!$A$2:$A$80)),"card text not yet sent to the brand; ","")&amp;IF(AND($DA7="",$DQ7&lt;&gt;"",IF(config!$B$37&lt;&gt;"",config!$B$37,TODAY())&gt;$DQ7),"day-30 redemption count due; ","")&amp;IF(AND(LEFT($BW7,8)="RELEASED",$AG7=""),"ship-date email due (template 02): send it, then log ship_email_sent_date and ship_email_units; ","")&amp;IF(AND($AH7&lt;&gt;"",N($BT7)&gt;0,N($BX7)=0,N($AH7)&lt;&gt;N($BT7)),"units changed since the ship-date email of "&amp;IF($AG7="","?",TEXT($AG7,"yyyy-mm-dd"))&amp;" ("&amp;$AH7&amp;", now "&amp;$BT7&amp;"): send the brand the revised numbers (template 02) and log them; ","")&amp;IF($DT7="late","report late; ","")&amp;IF(AND(N($F7)&gt;0,$BO7&lt;N($F7),$BQ7=0),"info: "&amp;(N($F7)-$BO7)&amp;" office(s) short of the contract: add a roster office or credit $"&amp;IF($D7="founding",config!$B$25,config!$B$24)&amp;" each; ","")&amp;IF($BC7&lt;&gt;"",IF(COUNTIF(survey_frozen!$A$2:$A$251,$A7)=0,"answers deleted but no frozen totals: the survey numbers now read 0 (tools/freeze_survey.py, SOP answers_delete); ",""),IF(AND($BG7&lt;&gt;"",IF(config!$B$37&lt;&gt;"",config!$B$37,TODAY())&gt;=$BG7,ISREF(INDIRECT("'"&amp;$A7&amp;"'!B1"))),IF(INDIRECT("'"&amp;$A7&amp;"'!B1")&lt;&gt;"Card code (filled in for you)","survey tab column B is not the card code: fix the form or the tab; ",""),IF(AND($BG7&lt;&gt;"",IF(config!$B$37&lt;&gt;"",config!$B$37,TODAY())&gt;=$BG7),"no survey tab named "&amp;$A7&amp;"; ","")))&amp;IF(COUNTIF(brands!$A$2:$A$41,$C7)=0,"brand_id not on brands; ",IF(LEFT(IFERROR(IF(INDEX(brands!$AG$2:$AG$41,MATCH($C7,brands!$A$2:$A$41,0))="","",INDEX(brands!$AG$2:$AG$41,MATCH($C7,brands!$A$2:$A$41,0))),""),1)&lt;&gt;"Y","brand not qualified ("&amp;IFERROR(IF(INDEX(brands!$AG$2:$AG$41,MATCH($C7,brands!$A$2:$A$41,0))="","",INDEX(brands!$AG$2:$AG$41,MATCH($C7,brands!$A$2:$A$41,0))),"")&amp;"): nothing ships until it is; ",""))&amp;IF(AND(COUNTIF(brands!$A$2:$A$41,$C7)&gt;0,OR(IFERROR(IF(INDEX(brands!$C$2:$C$41,MATCH($C7,brands!$A$2:$A$41,0))="","",INDEX(brands!$C$2:$C$41,MATCH($C7,brands!$A$2:$A$41,0))),"")="",IFERROR(IF(INDEX(brands!$D$2:$D$41,MATCH($C7,brands!$A$2:$A$41,0))="","",INDEX(brands!$D$2:$D$41,MATCH($C7,brands!$A$2:$A$41,0))),"")="",IFERROR(IF(INDEX(brands!$E$2:$E$41,MATCH($C7,brands!$A$2:$A$41,0))="","",INDEX(brands!$E$2:$E$41,MATCH($C7,brands!$A$2:$A$41,0))),"")="")),"brand billing details missing on brands (legal name, address, email): needed for the invoice; ","")&amp;IF(AND($D7="founding",$E7&lt;&gt;"Y",N(IFERROR(IF(INDEX(brands!$AI$2:$AI$41,MATCH($C7,brands!$A$2:$A$41,0))="","",INDEX(brands!$AI$2:$AI$41,MATCH($C7,brands!$A$2:$A$41,0))),""))&gt;3),"the founding tier is for the first three brands only (this is brand "&amp;IFERROR(IF(INDEX(brands!$AI$2:$AI$41,MATCH($C7,brands!$A$2:$A$41,0))="","",INDEX(brands!$AI$2:$AI$41,MATCH($C7,brands!$A$2:$A$41,0))),"")&amp;"): use standard; ","")&amp;IF(AND($D7="founding",$E7&lt;&gt;"Y",COUNTIFS(campaigns!$C$2:$C$51,$C7,campaigns!$D$2:$D$51,"founding",campaigns!$E$2:$E$51,"&lt;&gt;Y")&gt;1),"a brand has the founding price once; its next two campaigns are founding_lock = Y; ","")&amp;IF(AND($E7="Y",COUNTIFS(campaigns!$C$2:$C$51,$C7,campaigns!$D$2:$D$51,"founding",campaigns!$E$2:$E$51,"Y")&gt;2),"founding_lock is for the brand's next two campaigns only (this is a third): use standard; ","")&amp;IF(AND($E7="Y",COUNTIFS(campaigns!$C$2:$C$51,$C7,campaigns!$D$2:$D$51,"founding",campaigns!$E$2:$E$51,"&lt;&gt;Y")=0),"founding_lock without a first founding campaign for this brand; ","")&amp;IF(AND(N($BX7)&gt;0,$BG7&lt;&gt;"",IF(config!$B$37&lt;&gt;"",config!$B$37,TODAY())&gt;=WORKDAY(N($BG7),-5,calendar!$A$2:$A$80)),IF(N($BX7)-N($BY7)&lt;N($BR7),"received "&amp;(N($BX7)-N($BY7))&amp;" usable units for "&amp;$BR7&amp;" allocated: reduce units_override evenly (SOP section 4, short shipment); ","")&amp;IF(AND(N($BX7)&lt;N($BT7),COUNTIFS(issues!$E$2:$E$121,$A7,issues!$G$2:$G$121,"short_shipment")=0),"received "&amp;$BX7&amp;" of "&amp;$BT7&amp;" due: log a short_shipment issue and tell the brand today; ",""),"")&amp;IF(AND($BG7&lt;&gt;"",IF(config!$B$37&lt;&gt;"",config!$B$37,TODAY())&gt;=WORKDAY(N($BG7),1,calendar!$A$2:$A$80),N($F7)&gt;0,(-SUMIFS(invoices!$E$2:$E$151,invoices!$B$2:$B$151,$A7,invoices!$C$2:$C$151,"credit_note"))&lt;(IF($D7="founding",config!$B$25,config!$B$24)*MAX(0,N($F7)-COUNTIFS(approvals!$A$2:$A$251,$A7,approvals!$Q$2:$Q$251,"Y",approvals!$AB$2:$AB$251,"Y")))-0.005),"credit due from T+1: "&amp;MAX(0,N($F7)-COUNTIFS(approvals!$A$2:$A$251,$A7,approvals!$Q$2:$Q$251,"Y",approvals!$AB$2:$AB$251,"Y"))&amp;" of "&amp;$F7&amp;" contracted offices not placed by T+1, $"&amp;(IF($D7="founding",config!$B$25,config!$B$24)*MAX(0,N($F7)-COUNTIFS(approvals!$A$2:$A$251,$A7,approvals!$Q$2:$Q$251,"Y",approvals!$AB$2:$AB$251,"Y")))&amp;" due, $"&amp;(-SUMIFS(invoices!$E$2:$E$151,invoices!$B$2:$B$151,$A7,invoices!$C$2:$C$151,"credit_note"))&amp;" in credit notes so far (template 06, make_invoice.py); ","")&amp;IF(AND(IFERROR(IF(INDEX(brands!$H$2:$H$41,MATCH($C7,brands!$A$2:$A$41,0))="","",INDEX(brands!$H$2:$H$41,MATCH($C7,brands!$A$2:$A$41,0))),"")&lt;&gt;"",$BG7&lt;&gt;"",IFERROR(IF(INDEX(brands!$H$2:$H$41,MATCH($C7,brands!$A$2:$A$41,0))="","",INDEX(brands!$H$2:$H$41,MATCH($C7,brands!$A$2:$A$41,0))),"")&lt;EDATE(WORKDAY(N($BG7),4,calendar!$A$2:$A$80),12)),"info: brand insurance ends "&amp;TEXT(IFERROR(IF(INDEX(brands!$H$2:$H$41,MATCH($C7,brands!$A$2:$A$41,0))="","",INDEX(brands!$H$2:$H$41,MATCH($C7,brands!$A$2:$A$41,0))),""),"yyyy-mm-dd")&amp;": diary the renewal certificate; ",""))</f>
        <v/>
      </c>
    </row>
    <row r="8">
      <c r="G8" s="10" t="n"/>
      <c r="H8" s="9" t="n"/>
      <c r="AB8" s="9" t="n"/>
      <c r="AC8" s="9" t="n"/>
      <c r="AD8" s="9" t="n"/>
      <c r="AF8" s="9" t="n"/>
      <c r="AG8" s="9" t="n"/>
      <c r="AT8" s="9" t="n"/>
      <c r="AU8" s="9" t="n"/>
      <c r="AY8" s="9" t="n"/>
      <c r="BA8" s="9" t="n"/>
      <c r="BB8" s="9" t="n"/>
      <c r="BC8" s="9" t="n"/>
      <c r="BE8" s="25">
        <f>IF($A8="","",IFERROR(IF(INDEX(brands!$K$2:$K$41,MATCH($C8,brands!$A$2:$A$41,0))="","",INDEX(brands!$K$2:$K$41,MATCH($C8,brands!$A$2:$A$41,0))),""))</f>
        <v/>
      </c>
      <c r="BF8" s="25">
        <f>IF($A8="","",IFERROR(IF(INDEX(brands!$M$2:$M$41,MATCH($C8,brands!$A$2:$A$41,0))="","",INDEX(brands!$M$2:$M$41,MATCH($C8,brands!$A$2:$A$41,0))),""))</f>
        <v/>
      </c>
      <c r="BG8" s="26">
        <f>IF($A8="","",IF(IFERROR(IF(INDEX(drops!$I$2:$I$21,MATCH($B8,drops!$A$2:$A$21,0))="","",INDEX(drops!$I$2:$I$21,MATCH($B8,drops!$A$2:$A$21,0))),"")="OK",IFERROR(IF(INDEX(drops!$B$2:$B$21,MATCH($B8,drops!$A$2:$A$21,0))="","",INDEX(drops!$B$2:$B$21,MATCH($B8,drops!$A$2:$A$21,0))),""),""))</f>
        <v/>
      </c>
      <c r="BH8" s="25">
        <f>IF($A8="","",IFERROR(IF(INDEX(drops!$C$2:$C$21,MATCH($B8,drops!$A$2:$A$21,0))="","",INDEX(drops!$C$2:$C$21,MATCH($B8,drops!$A$2:$A$21,0))),""))</f>
        <v/>
      </c>
      <c r="BI8" s="27">
        <f>IF($A8="","",IF($F8="","",IF($D8="founding",IF($E8="Y",config!$B$25*MIN($F8,config!$B$26)+config!$B$24*MAX(0,$F8-config!$B$26),config!$B$20+config!$B$24*MAX(0,$F8-config!$B$21)),IF($D8="standard",config!$B$22+config!$B$24*MAX(0,$F8-config!$B$23),""))))</f>
        <v/>
      </c>
      <c r="BJ8" s="27">
        <f>IF($A8="","",IF($G8&lt;&gt;"",$G8,$BI8))</f>
        <v/>
      </c>
      <c r="BK8" s="25">
        <f>IF($A8="","",IF($D8="founding","100% within "&amp;config!$B$27&amp;" business days of the invoice, before shipping",IF($D8="standard","50% on signing; 50% at placement confirmation (T+1)","")))</f>
        <v/>
      </c>
      <c r="BL8" s="26">
        <f>IF($A8="","",IFERROR(IF(INDEX(drops!$K$2:$K$21,MATCH($B8,drops!$A$2:$A$21,0))="","",INDEX(drops!$K$2:$K$21,MATCH($B8,drops!$A$2:$A$21,0))),""))</f>
        <v/>
      </c>
      <c r="BM8" s="26">
        <f>IF($A8="","",IFERROR(IF(INDEX(drops!$L$2:$L$21,MATCH($B8,drops!$A$2:$A$21,0))="","",INDEX(drops!$L$2:$L$21,MATCH($B8,drops!$A$2:$A$21,0))),""))</f>
        <v/>
      </c>
      <c r="BN8" s="25">
        <f>IF($A8="","",COUNTIF(approvals!$A$2:$A$251,$A8))</f>
        <v/>
      </c>
      <c r="BO8" s="25">
        <f>IF($A8="","",COUNTIFS(approvals!$A$2:$A$251,$A8,approvals!$P$2:$P$251,"Y"))</f>
        <v/>
      </c>
      <c r="BP8" s="25">
        <f>IF($A8="","",COUNTIFS(approvals!$A$2:$A$251,$A8,approvals!$Q$2:$Q$251,"Y"))</f>
        <v/>
      </c>
      <c r="BQ8" s="25">
        <f>IF($A8="","",COUNTIFS(approvals!$A$2:$A$251,$A8,approvals!$P$2:$P$251,"pending"))</f>
        <v/>
      </c>
      <c r="BR8" s="25">
        <f>IF($A8="","",SUMIFS(approvals!$S$2:$S$251,approvals!$A$2:$A$251,$A8,approvals!$P$2:$P$251,"Y"))</f>
        <v/>
      </c>
      <c r="BS8" s="25">
        <f>IF($A8="","",ROUNDUP($BR8*config!$B$18,0))</f>
        <v/>
      </c>
      <c r="BT8" s="25">
        <f>IF($A8="","",$BR8+$BS8)</f>
        <v/>
      </c>
      <c r="BU8" s="27">
        <f>IF($A8="","",SUMIFS(invoices!$I$2:$I$151,invoices!$B$2:$B$151,$A8,invoices!$R$2:$R$151,"Y",invoices!$H$2:$H$151,"&gt;0"))</f>
        <v/>
      </c>
      <c r="BV8" s="27">
        <f>IF($A8="","",IF($BJ8="","",IF($D8="founding",$BJ8,ROUND($BJ8*config!$B$28,2))))</f>
        <v/>
      </c>
      <c r="BW8" s="25">
        <f>IF($A8="","",IF(AND(N($BU8)&gt;=N($BV8),N($BV8)&gt;0,$H8&lt;&gt;"",AND($AB8&lt;&gt;"",IFERROR(IF(INDEX(brands!$G$2:$G$41,MATCH($C8,brands!$A$2:$A$41,0))="","",INDEX(brands!$G$2:$G$41,MATCH($C8,brands!$A$2:$A$41,0))),"")="Y"),LEFT(IFERROR(IF(INDEX(brands!$AG$2:$AG$41,MATCH($C8,brands!$A$2:$A$41,0))="","",INDEX(brands!$AG$2:$AG$41,MATCH($C8,brands!$A$2:$A$41,0))),""),1)="Y",$BG8&lt;&gt;"",$BQ8=0,$BO8&gt;0),"RELEASED "&amp;TEXT(MAX(IFERROR(1/(1/SUMPRODUCT(MAX((invoices!$B$2:$B$151=$A8)*(invoices!$R$2:$R$151="Y")*(invoices!$H$2:$H$151)))),""),$H8,$AB8,SUMPRODUCT(MAX((approvals!$A$2:$A$251=$A8)*(approvals!$P$2:$P$251="Y")*(approvals!$E$2:$E$251+(approvals!$E$2:$E$251=0)*approvals!$C$2:$C$251)))),"yyyy-mm-dd")&amp;": ship by "&amp;TEXT($BM8,"ddd yyyy-mm-dd")&amp;" (latest "&amp;TEXT($BL8,"ddd yyyy-mm-dd")&amp;")","HOLD: "&amp;IF(N($BU8)&lt;N($BV8),"payment ("&amp;TEXT(N($BU8),"0")&amp;" of "&amp;TEXT(N($BV8),"0")&amp;") ","")&amp;IF($H8="","agreement ","")&amp;IF(NOT(AND($AB8&lt;&gt;"",IFERROR(IF(INDEX(brands!$G$2:$G$41,MATCH($C8,brands!$A$2:$A$41,0))="","",INDEX(brands!$G$2:$G$41,MATCH($C8,brands!$A$2:$A$41,0))),"")="Y")),"certificate ","")&amp;IF(NOT(LEFT(IFERROR(IF(INDEX(brands!$AG$2:$AG$41,MATCH($C8,brands!$A$2:$A$41,0))="","",INDEX(brands!$AG$2:$AG$41,MATCH($C8,brands!$A$2:$A$41,0))),""),1)="Y"),"qualification ","")&amp;IF($BG8="","drop date ","")&amp;IF($BQ8&gt;0,"approvals ("&amp;$BQ8&amp;" pending) ","")&amp;IF($BO8=0,"no office approved ","")))</f>
        <v/>
      </c>
      <c r="BX8" s="25">
        <f>IF($A8="","",SUMIFS(inventory!$G$2:$G$801,inventory!$C$2:$C$801,$A8,inventory!$E$2:$E$801,"received"))</f>
        <v/>
      </c>
      <c r="BY8" s="25">
        <f>IF($A8="","",SUMIFS(inventory!$G$2:$G$801,inventory!$C$2:$C$801,$A8,inventory!$E$2:$E$801,"rejected"))</f>
        <v/>
      </c>
      <c r="BZ8" s="25">
        <f>IF($A8="","",SUMIFS(inventory!$M$2:$M$801,inventory!$C$2:$C$801,$A8))</f>
        <v/>
      </c>
      <c r="CA8" s="25">
        <f>IF($A8="","",SUMIFS(inventory!$O$2:$O$801,inventory!$C$2:$C$801,$A8))</f>
        <v/>
      </c>
      <c r="CB8" s="25">
        <f>IF($A8="","",SUMIFS(approvals!$U$2:$U$251,approvals!$A$2:$A$251,$A8))</f>
        <v/>
      </c>
      <c r="CC8" s="25">
        <f>IF($A8="","",SUMIFS(approvals!$AA$2:$AA$251,approvals!$A$2:$A$251,$A8))</f>
        <v/>
      </c>
      <c r="CD8" s="25">
        <f>IF($A8="","",SUMIFS(approvals!$AA$2:$AA$251,approvals!$A$2:$A$251,$A8,approvals!$AB$2:$AB$251,"Y"))</f>
        <v/>
      </c>
      <c r="CE8" s="29">
        <f>IF($A8="","",IF(N($CB8)=0,"",$CD8/$CB8))</f>
        <v/>
      </c>
      <c r="CF8" s="25">
        <f>IF($A8="","",SUMIFS(approvals!$AD$2:$AD$251,approvals!$A$2:$A$251,$A8))</f>
        <v/>
      </c>
      <c r="CG8" s="25">
        <f>IF($A8="","",IF(COUNTIFS(approvals!$A$2:$A$251,$A8,approvals!$Q$2:$Q$251,"Y",approvals!$AG$2:$AG$251,"")&gt;0,"",SUMIFS(approvals!$AG$2:$AG$251,approvals!$A$2:$A$251,$A8,approvals!$Q$2:$Q$251,"Y")))</f>
        <v/>
      </c>
      <c r="CH8" s="25">
        <f>IF($A8="","",SUMIFS(approvals!$AL$2:$AL$251,approvals!$A$2:$A$251,$A8))</f>
        <v/>
      </c>
      <c r="CI8" s="25">
        <f>IF($A8="","",IF(N($BP8)=0,"",SUMPRODUCT(MIN(approvals!$BB$2:$BB$251+(approvals!$A$2:$A$251&lt;&gt;$A8)*1000000))))</f>
        <v/>
      </c>
      <c r="CJ8" s="25">
        <f>IF($A8="","",COUNTIFS(approvals!$A$2:$A$251,$A8,approvals!$Q$2:$Q$251,"Y",approvals!$AL$2:$AL$251,"&lt;"&amp;config!$B$30))</f>
        <v/>
      </c>
      <c r="CK8" s="25">
        <f>IF($A8="","",SUMIFS(approvals!$AM$2:$AM$251,approvals!$A$2:$A$251,$A8))</f>
        <v/>
      </c>
      <c r="CL8" s="25">
        <f>IF($A8="","",SUMIFS(approvals!$AQ$2:$AQ$251,approvals!$A$2:$A$251,$A8))</f>
        <v/>
      </c>
      <c r="CM8" s="25">
        <f>IF($A8="","",SUMIFS(approvals!$AR$2:$AR$251,approvals!$A$2:$A$251,$A8))</f>
        <v/>
      </c>
      <c r="CN8" s="25">
        <f>IF($A8="","",SUMIFS(approvals!$AS$2:$AS$251,approvals!$A$2:$A$251,$A8))</f>
        <v/>
      </c>
      <c r="CO8" s="25">
        <f>IF($A8="","",SUMIFS(approvals!$AT$2:$AT$251,approvals!$A$2:$A$251,$A8))</f>
        <v/>
      </c>
      <c r="CP8" s="28">
        <f>IF($A8="","",IF(N($CO8)=0,"",ROUND(SUMIFS(approvals!$AU$2:$AU$251,approvals!$A$2:$A$251,$A8)/$CO8,1)))</f>
        <v/>
      </c>
      <c r="CQ8" s="25">
        <f>IF($A8="","",SUMIFS(approvals!$AV$2:$AV$251,approvals!$A$2:$A$251,$A8))</f>
        <v/>
      </c>
      <c r="CR8" s="25">
        <f>IF($A8="","",SUMIFS(approvals!$AW$2:$AW$251,approvals!$A$2:$A$251,$A8))</f>
        <v/>
      </c>
      <c r="CS8" s="25">
        <f>IF($A8="","",SUMIFS(approvals!$AX$2:$AX$251,approvals!$A$2:$A$251,$A8))</f>
        <v/>
      </c>
      <c r="CT8" s="25">
        <f>IF($A8="","",SUMIFS(approvals!$AY$2:$AY$251,approvals!$A$2:$A$251,$A8))</f>
        <v/>
      </c>
      <c r="CU8" s="25">
        <f>IF($A8="","",IF(OR($BG8="",$BC8&lt;&gt;""),"",IFERROR(COUNT(INDIRECT("'"&amp;$A8&amp;"'!$A$2:$A$501")),0)-IFERROR(COUNTIFS(INDIRECT("'"&amp;$A8&amp;"'!$A$2:$A$501"),"&gt;="&amp;$BG8,INDIRECT("'"&amp;$A8&amp;"'!$A$2:$A$501"),"&lt;"&amp;(IFERROR(IF(INDEX(drops!$R$2:$R$21,MATCH($B8,drops!$A$2:$A$21,0))="","",INDEX(drops!$R$2:$R$21,MATCH($B8,drops!$A$2:$A$21,0))),"")+1)),0)))</f>
        <v/>
      </c>
      <c r="CV8" s="25">
        <f>IF($A8="","",IF(OR($BG8="",$BC8&lt;&gt;""),"",IFERROR(COUNTIFS(INDIRECT("'"&amp;$A8&amp;"'!$A$2:$A$501"),"&gt;="&amp;$BG8,INDIRECT("'"&amp;$A8&amp;"'!$A$2:$A$501"),"&lt;"&amp;(IFERROR(IF(INDEX(drops!$R$2:$R$21,MATCH($B8,drops!$A$2:$A$21,0))="","",INDEX(drops!$R$2:$R$21,MATCH($B8,drops!$A$2:$A$21,0))),"")+1)),0)-N($CH8)))</f>
        <v/>
      </c>
      <c r="CW8" s="25">
        <f>IF($A8="","",SUMIFS(approvals!$AN$2:$AN$251,approvals!$A$2:$A$251,$A8))</f>
        <v/>
      </c>
      <c r="CX8" s="25">
        <f>IF($A8="","",SUMIFS(approvals!$AO$2:$AO$251,approvals!$A$2:$A$251,$A8))</f>
        <v/>
      </c>
      <c r="CY8" s="25">
        <f>IF($A8="","",IF($CZ8="","",SUMIFS(redemptions!$C$2:$C$121,redemptions!$A$2:$A$121,$A8,redemptions!$B$2:$B$121,$CZ8)))</f>
        <v/>
      </c>
      <c r="CZ8" s="26">
        <f>IF($A8="","",IFERROR(1/(1/SUMPRODUCT(MAX((redemptions!$A$2:$A$121=$A8)*redemptions!$B$2:$B$121))),""))</f>
        <v/>
      </c>
      <c r="DA8" s="25">
        <f>IF($A8="","",IF(COUNTIFS(redemptions!$A$2:$A$121,$A8,redemptions!$H$2:$H$121,"Y")=0,"",SUMIFS(redemptions!$C$2:$C$121,redemptions!$A$2:$A$121,$A8,redemptions!$B$2:$B$121,SUMPRODUCT(MIN((redemptions!$A$2:$A$121=$A8)*(redemptions!$H$2:$H$121="Y")*redemptions!$B$2:$B$121+((redemptions!$A$2:$A$121&lt;&gt;$A8)+(redemptions!$H$2:$H$121&lt;&gt;"Y")&gt;0)*1000000)))))</f>
        <v/>
      </c>
      <c r="DB8" s="27">
        <f>IF($A8="","",SUMIFS(invoices!$E$2:$E$151,invoices!$B$2:$B$151,$A8))</f>
        <v/>
      </c>
      <c r="DC8" s="27">
        <f>IF($A8="","",IF(COUNTIFS(invoices!$B$2:$B$151,$A8,invoices!$C$2:$C$151,"standard_deposit",invoices!$H$2:$H$151,"&gt;0")=0,"",SUMIFS(invoices!$I$2:$I$151,invoices!$B$2:$B$151,$A8,invoices!$C$2:$C$151,"standard_deposit")))</f>
        <v/>
      </c>
      <c r="DD8" s="26">
        <f>IF($A8="","",IFERROR(1/(1/SUMPRODUCT(MAX((invoices!$B$2:$B$151=$A8)*(invoices!$C$2:$C$151="standard_deposit")*invoices!$H$2:$H$151))),""))</f>
        <v/>
      </c>
      <c r="DE8" s="26">
        <f>IF($A8="","",IFERROR(1/(1/SUMPRODUCT(MAX((invoices!$B$2:$B$151=$A8)*((invoices!$C$2:$C$151="founding_full")+(invoices!$C$2:$C$151="standard_balance"))*invoices!$H$2:$H$151))),""))</f>
        <v/>
      </c>
      <c r="DF8" s="27">
        <f>IF($A8="","",SUMIFS(invoices!$L$2:$L$151,invoices!$B$2:$B$151,$A8))</f>
        <v/>
      </c>
      <c r="DG8" s="27">
        <f>IF($A8="","",SUMIFS(costs!$E$2:$E$301,costs!$C$2:$C$301,$A8))</f>
        <v/>
      </c>
      <c r="DH8" s="27">
        <f>IF($A8="","",ROUND(IF(SUMIFS(campaigns!$BO$2:$BO$51,campaigns!$B$2:$B$51,$B8)=0,0,$BO8/SUMIFS(campaigns!$BO$2:$BO$51,campaigns!$B$2:$B$51,$B8))*(SUMIFS(costs!$E$2:$E$301,costs!$B$2:$B$301,$B8)-SUMPRODUCT((costs!$B$2:$B$301=$B8)*(LEN(costs!$C$2:$C$301)&gt;0)*costs!$E$2:$E$301)),2))</f>
        <v/>
      </c>
      <c r="DI8" s="28">
        <f>IF($A8="","",SUMIFS(hours!$E$2:$E$1501,hours!$C$2:$C$1501,$A8))</f>
        <v/>
      </c>
      <c r="DJ8" s="28">
        <f>IF($A8="","",ROUND(IF(SUMIFS(campaigns!$BO$2:$BO$51,campaigns!$B$2:$B$51,$B8)=0,0,$BO8/SUMIFS(campaigns!$BO$2:$BO$51,campaigns!$B$2:$B$51,$B8))*(SUMIFS(hours!$E$2:$E$1501,hours!$B$2:$B$1501,$B8)-SUMPRODUCT((hours!$B$2:$B$1501=$B8)*(LEN(hours!$C$2:$C$1501)&gt;0)*hours!$E$2:$E$1501)),2))</f>
        <v/>
      </c>
      <c r="DK8" s="27">
        <f>IF($A8="","",$DB8-$DF8-$DG8-$DH8)</f>
        <v/>
      </c>
      <c r="DL8" s="27">
        <f>IF($A8="","",IF(N($DI8)+N($DJ8)=0,"",ROUND($DK8/($DI8+$DJ8),2)))</f>
        <v/>
      </c>
      <c r="DM8" s="29">
        <f>IF($A8="","",IF(N($BP8)=0,"",COUNTIFS(approvals!$A$2:$A$251,$A8,approvals!$Q$2:$Q$251,"Y",approvals!$AK$2:$AK$251,"Y")/$BP8))</f>
        <v/>
      </c>
      <c r="DN8" s="28">
        <f>IF($A8="","",IF(COUNTIFS(approvals!$A$2:$A$251,$A8,approvals!$AC$2:$AC$251,"&gt;=0")=0,"",ROUND(SUMIFS(approvals!$AC$2:$AC$251,approvals!$A$2:$A$251,$A8)/COUNTIFS(approvals!$A$2:$A$251,$A8,approvals!$AC$2:$AC$251,"&gt;=0"),1)))</f>
        <v/>
      </c>
      <c r="DO8" s="26">
        <f>IF($A8="","",IFERROR(IF(INDEX(drops!$T$2:$T$21,MATCH($B8,drops!$A$2:$A$21,0))="","",INDEX(drops!$T$2:$T$21,MATCH($B8,drops!$A$2:$A$21,0))),""))</f>
        <v/>
      </c>
      <c r="DP8" s="26">
        <f>IF($A8="","",IFERROR(IF(INDEX(drops!$U$2:$U$21,MATCH($B8,drops!$A$2:$A$21,0))="","",INDEX(drops!$U$2:$U$21,MATCH($B8,drops!$A$2:$A$21,0))),""))</f>
        <v/>
      </c>
      <c r="DQ8" s="26">
        <f>IF($A8="","",IFERROR(IF(INDEX(drops!$W$2:$W$21,MATCH($B8,drops!$A$2:$A$21,0))="","",INDEX(drops!$W$2:$W$21,MATCH($B8,drops!$A$2:$A$21,0))),""))</f>
        <v/>
      </c>
      <c r="DR8" s="25">
        <f>IF($A8="","",IF($CE8="","",IF($CE8&gt;=config!$B$31,"pass","miss")))</f>
        <v/>
      </c>
      <c r="DS8" s="25">
        <f>IF($A8="","",IF($CI8="","",IF($CI8&gt;=config!$B$30,"pass","miss")))</f>
        <v/>
      </c>
      <c r="DT8" s="25">
        <f>IF($A8="","",IF($AT8="",IF($DO8="","",IF(IF(config!$B$37&lt;&gt;"",config!$B$37,TODAY())&gt;$DO8,"late","due")),IF($AT8&lt;=$DO8,"pass","late")))</f>
        <v/>
      </c>
      <c r="DU8" s="25">
        <f>IF($A8="","",IF(COUNTIF(drops!$A$2:$A$21,$B8)=0,"drop_id not on drops; ",IF($BG8="","drop date missing or refused; ",""))&amp;IF(AND($G8&lt;&gt;"",$G8&lt;&gt;$BI8),"price differs from the price list; ","")&amp;IF(AND(LEFT($BW8,4)="HOLD",$BL8&lt;&gt;"",IF(config!$B$37&lt;&gt;"",config!$B$37,TODAY())&gt;=WORKDAY(N($BL8),-3,calendar!$A$2:$A$80)),"SHIP HOLD within 3 business days of T-10; ","")&amp;IF(AND($BQ8&gt;0,$BL8&lt;&gt;"",IF(config!$B$37&lt;&gt;"",config!$B$37,TODAY())&gt;$BL8),"approvals still pending after T-10; ","")&amp;IF($BZ8&lt;0,"reserve below zero: check inventory; ","")&amp;IF(AND($BG8&lt;&gt;"",IF(config!$B$37&lt;&gt;"",config!$B$37,TODAY())&gt;WORKDAY(N($BG8),14,calendar!$A$2:$A$80),N($BZ8)+N($CA8)&lt;&gt;0),"units still on hand after T+14; ","")&amp;IF(N($CV8)&gt;0,"info: "&amp;$CV8&amp;" in-window responses with a card code that matches no office (not counted); ","")&amp;IF(AND($Z8="Y",$AK8=""),"newsletter form URL missing; ","")&amp;IF(AND($Z8="Y",$BG8&lt;&gt;"",IF(config!$B$37&lt;&gt;"",config!$B$37,TODAY())&gt;WORKDAY(N($BG8),5,calendar!$A$2:$A$80),$AY8=""),"newsletter list not yet passed on (due T+5); ","")&amp;IF(AND($AY8&lt;&gt;"",$BA8=""),"delete unticked emails; ","")&amp;IF(AND($AY8&lt;&gt;"",$BB8="",IF(config!$B$37&lt;&gt;"",config!$B$37,TODAY())&gt;$AY8+config!$B$32),"DELETE the consented emails (30 days after passing on); ","")&amp;IF(AND($BG8&lt;&gt;"",$AJ8="",IF(config!$B$37&lt;&gt;"",config!$B$37,TODAY())&gt;=WORKDAY(N($BG8),-4,calendar!$A$2:$A$80)),"survey prefill template missing (due T-4); ","")&amp;IF(AND($AJ8&lt;&gt;"",ISERROR(SEARCH("CARDCODE",$AJ8))),"prefill template has no CARDCODE; ","")&amp;IF(AND($AF8="",$BG8&lt;&gt;"",IF(config!$B$37&lt;&gt;"",config!$B$37,TODAY())&gt;=WORKDAY(N($BG8),-3,calendar!$A$2:$A$80)),"card text not yet sent to the brand; ","")&amp;IF(AND($DA8="",$DQ8&lt;&gt;"",IF(config!$B$37&lt;&gt;"",config!$B$37,TODAY())&gt;$DQ8),"day-30 redemption count due; ","")&amp;IF(AND(LEFT($BW8,8)="RELEASED",$AG8=""),"ship-date email due (template 02): send it, then log ship_email_sent_date and ship_email_units; ","")&amp;IF(AND($AH8&lt;&gt;"",N($BT8)&gt;0,N($BX8)=0,N($AH8)&lt;&gt;N($BT8)),"units changed since the ship-date email of "&amp;IF($AG8="","?",TEXT($AG8,"yyyy-mm-dd"))&amp;" ("&amp;$AH8&amp;", now "&amp;$BT8&amp;"): send the brand the revised numbers (template 02) and log them; ","")&amp;IF($DT8="late","report late; ","")&amp;IF(AND(N($F8)&gt;0,$BO8&lt;N($F8),$BQ8=0),"info: "&amp;(N($F8)-$BO8)&amp;" office(s) short of the contract: add a roster office or credit $"&amp;IF($D8="founding",config!$B$25,config!$B$24)&amp;" each; ","")&amp;IF($BC8&lt;&gt;"",IF(COUNTIF(survey_frozen!$A$2:$A$251,$A8)=0,"answers deleted but no frozen totals: the survey numbers now read 0 (tools/freeze_survey.py, SOP answers_delete); ",""),IF(AND($BG8&lt;&gt;"",IF(config!$B$37&lt;&gt;"",config!$B$37,TODAY())&gt;=$BG8,ISREF(INDIRECT("'"&amp;$A8&amp;"'!B1"))),IF(INDIRECT("'"&amp;$A8&amp;"'!B1")&lt;&gt;"Card code (filled in for you)","survey tab column B is not the card code: fix the form or the tab; ",""),IF(AND($BG8&lt;&gt;"",IF(config!$B$37&lt;&gt;"",config!$B$37,TODAY())&gt;=$BG8),"no survey tab named "&amp;$A8&amp;"; ","")))&amp;IF(COUNTIF(brands!$A$2:$A$41,$C8)=0,"brand_id not on brands; ",IF(LEFT(IFERROR(IF(INDEX(brands!$AG$2:$AG$41,MATCH($C8,brands!$A$2:$A$41,0))="","",INDEX(brands!$AG$2:$AG$41,MATCH($C8,brands!$A$2:$A$41,0))),""),1)&lt;&gt;"Y","brand not qualified ("&amp;IFERROR(IF(INDEX(brands!$AG$2:$AG$41,MATCH($C8,brands!$A$2:$A$41,0))="","",INDEX(brands!$AG$2:$AG$41,MATCH($C8,brands!$A$2:$A$41,0))),"")&amp;"): nothing ships until it is; ",""))&amp;IF(AND(COUNTIF(brands!$A$2:$A$41,$C8)&gt;0,OR(IFERROR(IF(INDEX(brands!$C$2:$C$41,MATCH($C8,brands!$A$2:$A$41,0))="","",INDEX(brands!$C$2:$C$41,MATCH($C8,brands!$A$2:$A$41,0))),"")="",IFERROR(IF(INDEX(brands!$D$2:$D$41,MATCH($C8,brands!$A$2:$A$41,0))="","",INDEX(brands!$D$2:$D$41,MATCH($C8,brands!$A$2:$A$41,0))),"")="",IFERROR(IF(INDEX(brands!$E$2:$E$41,MATCH($C8,brands!$A$2:$A$41,0))="","",INDEX(brands!$E$2:$E$41,MATCH($C8,brands!$A$2:$A$41,0))),"")="")),"brand billing details missing on brands (legal name, address, email): needed for the invoice; ","")&amp;IF(AND($D8="founding",$E8&lt;&gt;"Y",N(IFERROR(IF(INDEX(brands!$AI$2:$AI$41,MATCH($C8,brands!$A$2:$A$41,0))="","",INDEX(brands!$AI$2:$AI$41,MATCH($C8,brands!$A$2:$A$41,0))),""))&gt;3),"the founding tier is for the first three brands only (this is brand "&amp;IFERROR(IF(INDEX(brands!$AI$2:$AI$41,MATCH($C8,brands!$A$2:$A$41,0))="","",INDEX(brands!$AI$2:$AI$41,MATCH($C8,brands!$A$2:$A$41,0))),"")&amp;"): use standard; ","")&amp;IF(AND($D8="founding",$E8&lt;&gt;"Y",COUNTIFS(campaigns!$C$2:$C$51,$C8,campaigns!$D$2:$D$51,"founding",campaigns!$E$2:$E$51,"&lt;&gt;Y")&gt;1),"a brand has the founding price once; its next two campaigns are founding_lock = Y; ","")&amp;IF(AND($E8="Y",COUNTIFS(campaigns!$C$2:$C$51,$C8,campaigns!$D$2:$D$51,"founding",campaigns!$E$2:$E$51,"Y")&gt;2),"founding_lock is for the brand's next two campaigns only (this is a third): use standard; ","")&amp;IF(AND($E8="Y",COUNTIFS(campaigns!$C$2:$C$51,$C8,campaigns!$D$2:$D$51,"founding",campaigns!$E$2:$E$51,"&lt;&gt;Y")=0),"founding_lock without a first founding campaign for this brand; ","")&amp;IF(AND(N($BX8)&gt;0,$BG8&lt;&gt;"",IF(config!$B$37&lt;&gt;"",config!$B$37,TODAY())&gt;=WORKDAY(N($BG8),-5,calendar!$A$2:$A$80)),IF(N($BX8)-N($BY8)&lt;N($BR8),"received "&amp;(N($BX8)-N($BY8))&amp;" usable units for "&amp;$BR8&amp;" allocated: reduce units_override evenly (SOP section 4, short shipment); ","")&amp;IF(AND(N($BX8)&lt;N($BT8),COUNTIFS(issues!$E$2:$E$121,$A8,issues!$G$2:$G$121,"short_shipment")=0),"received "&amp;$BX8&amp;" of "&amp;$BT8&amp;" due: log a short_shipment issue and tell the brand today; ",""),"")&amp;IF(AND($BG8&lt;&gt;"",IF(config!$B$37&lt;&gt;"",config!$B$37,TODAY())&gt;=WORKDAY(N($BG8),1,calendar!$A$2:$A$80),N($F8)&gt;0,(-SUMIFS(invoices!$E$2:$E$151,invoices!$B$2:$B$151,$A8,invoices!$C$2:$C$151,"credit_note"))&lt;(IF($D8="founding",config!$B$25,config!$B$24)*MAX(0,N($F8)-COUNTIFS(approvals!$A$2:$A$251,$A8,approvals!$Q$2:$Q$251,"Y",approvals!$AB$2:$AB$251,"Y")))-0.005),"credit due from T+1: "&amp;MAX(0,N($F8)-COUNTIFS(approvals!$A$2:$A$251,$A8,approvals!$Q$2:$Q$251,"Y",approvals!$AB$2:$AB$251,"Y"))&amp;" of "&amp;$F8&amp;" contracted offices not placed by T+1, $"&amp;(IF($D8="founding",config!$B$25,config!$B$24)*MAX(0,N($F8)-COUNTIFS(approvals!$A$2:$A$251,$A8,approvals!$Q$2:$Q$251,"Y",approvals!$AB$2:$AB$251,"Y")))&amp;" due, $"&amp;(-SUMIFS(invoices!$E$2:$E$151,invoices!$B$2:$B$151,$A8,invoices!$C$2:$C$151,"credit_note"))&amp;" in credit notes so far (template 06, make_invoice.py); ","")&amp;IF(AND(IFERROR(IF(INDEX(brands!$H$2:$H$41,MATCH($C8,brands!$A$2:$A$41,0))="","",INDEX(brands!$H$2:$H$41,MATCH($C8,brands!$A$2:$A$41,0))),"")&lt;&gt;"",$BG8&lt;&gt;"",IFERROR(IF(INDEX(brands!$H$2:$H$41,MATCH($C8,brands!$A$2:$A$41,0))="","",INDEX(brands!$H$2:$H$41,MATCH($C8,brands!$A$2:$A$41,0))),"")&lt;EDATE(WORKDAY(N($BG8),4,calendar!$A$2:$A$80),12)),"info: brand insurance ends "&amp;TEXT(IFERROR(IF(INDEX(brands!$H$2:$H$41,MATCH($C8,brands!$A$2:$A$41,0))="","",INDEX(brands!$H$2:$H$41,MATCH($C8,brands!$A$2:$A$41,0))),""),"yyyy-mm-dd")&amp;": diary the renewal certificate; ",""))</f>
        <v/>
      </c>
    </row>
    <row r="9">
      <c r="G9" s="10" t="n"/>
      <c r="H9" s="9" t="n"/>
      <c r="AB9" s="9" t="n"/>
      <c r="AC9" s="9" t="n"/>
      <c r="AD9" s="9" t="n"/>
      <c r="AF9" s="9" t="n"/>
      <c r="AG9" s="9" t="n"/>
      <c r="AT9" s="9" t="n"/>
      <c r="AU9" s="9" t="n"/>
      <c r="AY9" s="9" t="n"/>
      <c r="BA9" s="9" t="n"/>
      <c r="BB9" s="9" t="n"/>
      <c r="BC9" s="9" t="n"/>
      <c r="BE9" s="25">
        <f>IF($A9="","",IFERROR(IF(INDEX(brands!$K$2:$K$41,MATCH($C9,brands!$A$2:$A$41,0))="","",INDEX(brands!$K$2:$K$41,MATCH($C9,brands!$A$2:$A$41,0))),""))</f>
        <v/>
      </c>
      <c r="BF9" s="25">
        <f>IF($A9="","",IFERROR(IF(INDEX(brands!$M$2:$M$41,MATCH($C9,brands!$A$2:$A$41,0))="","",INDEX(brands!$M$2:$M$41,MATCH($C9,brands!$A$2:$A$41,0))),""))</f>
        <v/>
      </c>
      <c r="BG9" s="26">
        <f>IF($A9="","",IF(IFERROR(IF(INDEX(drops!$I$2:$I$21,MATCH($B9,drops!$A$2:$A$21,0))="","",INDEX(drops!$I$2:$I$21,MATCH($B9,drops!$A$2:$A$21,0))),"")="OK",IFERROR(IF(INDEX(drops!$B$2:$B$21,MATCH($B9,drops!$A$2:$A$21,0))="","",INDEX(drops!$B$2:$B$21,MATCH($B9,drops!$A$2:$A$21,0))),""),""))</f>
        <v/>
      </c>
      <c r="BH9" s="25">
        <f>IF($A9="","",IFERROR(IF(INDEX(drops!$C$2:$C$21,MATCH($B9,drops!$A$2:$A$21,0))="","",INDEX(drops!$C$2:$C$21,MATCH($B9,drops!$A$2:$A$21,0))),""))</f>
        <v/>
      </c>
      <c r="BI9" s="27">
        <f>IF($A9="","",IF($F9="","",IF($D9="founding",IF($E9="Y",config!$B$25*MIN($F9,config!$B$26)+config!$B$24*MAX(0,$F9-config!$B$26),config!$B$20+config!$B$24*MAX(0,$F9-config!$B$21)),IF($D9="standard",config!$B$22+config!$B$24*MAX(0,$F9-config!$B$23),""))))</f>
        <v/>
      </c>
      <c r="BJ9" s="27">
        <f>IF($A9="","",IF($G9&lt;&gt;"",$G9,$BI9))</f>
        <v/>
      </c>
      <c r="BK9" s="25">
        <f>IF($A9="","",IF($D9="founding","100% within "&amp;config!$B$27&amp;" business days of the invoice, before shipping",IF($D9="standard","50% on signing; 50% at placement confirmation (T+1)","")))</f>
        <v/>
      </c>
      <c r="BL9" s="26">
        <f>IF($A9="","",IFERROR(IF(INDEX(drops!$K$2:$K$21,MATCH($B9,drops!$A$2:$A$21,0))="","",INDEX(drops!$K$2:$K$21,MATCH($B9,drops!$A$2:$A$21,0))),""))</f>
        <v/>
      </c>
      <c r="BM9" s="26">
        <f>IF($A9="","",IFERROR(IF(INDEX(drops!$L$2:$L$21,MATCH($B9,drops!$A$2:$A$21,0))="","",INDEX(drops!$L$2:$L$21,MATCH($B9,drops!$A$2:$A$21,0))),""))</f>
        <v/>
      </c>
      <c r="BN9" s="25">
        <f>IF($A9="","",COUNTIF(approvals!$A$2:$A$251,$A9))</f>
        <v/>
      </c>
      <c r="BO9" s="25">
        <f>IF($A9="","",COUNTIFS(approvals!$A$2:$A$251,$A9,approvals!$P$2:$P$251,"Y"))</f>
        <v/>
      </c>
      <c r="BP9" s="25">
        <f>IF($A9="","",COUNTIFS(approvals!$A$2:$A$251,$A9,approvals!$Q$2:$Q$251,"Y"))</f>
        <v/>
      </c>
      <c r="BQ9" s="25">
        <f>IF($A9="","",COUNTIFS(approvals!$A$2:$A$251,$A9,approvals!$P$2:$P$251,"pending"))</f>
        <v/>
      </c>
      <c r="BR9" s="25">
        <f>IF($A9="","",SUMIFS(approvals!$S$2:$S$251,approvals!$A$2:$A$251,$A9,approvals!$P$2:$P$251,"Y"))</f>
        <v/>
      </c>
      <c r="BS9" s="25">
        <f>IF($A9="","",ROUNDUP($BR9*config!$B$18,0))</f>
        <v/>
      </c>
      <c r="BT9" s="25">
        <f>IF($A9="","",$BR9+$BS9)</f>
        <v/>
      </c>
      <c r="BU9" s="27">
        <f>IF($A9="","",SUMIFS(invoices!$I$2:$I$151,invoices!$B$2:$B$151,$A9,invoices!$R$2:$R$151,"Y",invoices!$H$2:$H$151,"&gt;0"))</f>
        <v/>
      </c>
      <c r="BV9" s="27">
        <f>IF($A9="","",IF($BJ9="","",IF($D9="founding",$BJ9,ROUND($BJ9*config!$B$28,2))))</f>
        <v/>
      </c>
      <c r="BW9" s="25">
        <f>IF($A9="","",IF(AND(N($BU9)&gt;=N($BV9),N($BV9)&gt;0,$H9&lt;&gt;"",AND($AB9&lt;&gt;"",IFERROR(IF(INDEX(brands!$G$2:$G$41,MATCH($C9,brands!$A$2:$A$41,0))="","",INDEX(brands!$G$2:$G$41,MATCH($C9,brands!$A$2:$A$41,0))),"")="Y"),LEFT(IFERROR(IF(INDEX(brands!$AG$2:$AG$41,MATCH($C9,brands!$A$2:$A$41,0))="","",INDEX(brands!$AG$2:$AG$41,MATCH($C9,brands!$A$2:$A$41,0))),""),1)="Y",$BG9&lt;&gt;"",$BQ9=0,$BO9&gt;0),"RELEASED "&amp;TEXT(MAX(IFERROR(1/(1/SUMPRODUCT(MAX((invoices!$B$2:$B$151=$A9)*(invoices!$R$2:$R$151="Y")*(invoices!$H$2:$H$151)))),""),$H9,$AB9,SUMPRODUCT(MAX((approvals!$A$2:$A$251=$A9)*(approvals!$P$2:$P$251="Y")*(approvals!$E$2:$E$251+(approvals!$E$2:$E$251=0)*approvals!$C$2:$C$251)))),"yyyy-mm-dd")&amp;": ship by "&amp;TEXT($BM9,"ddd yyyy-mm-dd")&amp;" (latest "&amp;TEXT($BL9,"ddd yyyy-mm-dd")&amp;")","HOLD: "&amp;IF(N($BU9)&lt;N($BV9),"payment ("&amp;TEXT(N($BU9),"0")&amp;" of "&amp;TEXT(N($BV9),"0")&amp;") ","")&amp;IF($H9="","agreement ","")&amp;IF(NOT(AND($AB9&lt;&gt;"",IFERROR(IF(INDEX(brands!$G$2:$G$41,MATCH($C9,brands!$A$2:$A$41,0))="","",INDEX(brands!$G$2:$G$41,MATCH($C9,brands!$A$2:$A$41,0))),"")="Y")),"certificate ","")&amp;IF(NOT(LEFT(IFERROR(IF(INDEX(brands!$AG$2:$AG$41,MATCH($C9,brands!$A$2:$A$41,0))="","",INDEX(brands!$AG$2:$AG$41,MATCH($C9,brands!$A$2:$A$41,0))),""),1)="Y"),"qualification ","")&amp;IF($BG9="","drop date ","")&amp;IF($BQ9&gt;0,"approvals ("&amp;$BQ9&amp;" pending) ","")&amp;IF($BO9=0,"no office approved ","")))</f>
        <v/>
      </c>
      <c r="BX9" s="25">
        <f>IF($A9="","",SUMIFS(inventory!$G$2:$G$801,inventory!$C$2:$C$801,$A9,inventory!$E$2:$E$801,"received"))</f>
        <v/>
      </c>
      <c r="BY9" s="25">
        <f>IF($A9="","",SUMIFS(inventory!$G$2:$G$801,inventory!$C$2:$C$801,$A9,inventory!$E$2:$E$801,"rejected"))</f>
        <v/>
      </c>
      <c r="BZ9" s="25">
        <f>IF($A9="","",SUMIFS(inventory!$M$2:$M$801,inventory!$C$2:$C$801,$A9))</f>
        <v/>
      </c>
      <c r="CA9" s="25">
        <f>IF($A9="","",SUMIFS(inventory!$O$2:$O$801,inventory!$C$2:$C$801,$A9))</f>
        <v/>
      </c>
      <c r="CB9" s="25">
        <f>IF($A9="","",SUMIFS(approvals!$U$2:$U$251,approvals!$A$2:$A$251,$A9))</f>
        <v/>
      </c>
      <c r="CC9" s="25">
        <f>IF($A9="","",SUMIFS(approvals!$AA$2:$AA$251,approvals!$A$2:$A$251,$A9))</f>
        <v/>
      </c>
      <c r="CD9" s="25">
        <f>IF($A9="","",SUMIFS(approvals!$AA$2:$AA$251,approvals!$A$2:$A$251,$A9,approvals!$AB$2:$AB$251,"Y"))</f>
        <v/>
      </c>
      <c r="CE9" s="29">
        <f>IF($A9="","",IF(N($CB9)=0,"",$CD9/$CB9))</f>
        <v/>
      </c>
      <c r="CF9" s="25">
        <f>IF($A9="","",SUMIFS(approvals!$AD$2:$AD$251,approvals!$A$2:$A$251,$A9))</f>
        <v/>
      </c>
      <c r="CG9" s="25">
        <f>IF($A9="","",IF(COUNTIFS(approvals!$A$2:$A$251,$A9,approvals!$Q$2:$Q$251,"Y",approvals!$AG$2:$AG$251,"")&gt;0,"",SUMIFS(approvals!$AG$2:$AG$251,approvals!$A$2:$A$251,$A9,approvals!$Q$2:$Q$251,"Y")))</f>
        <v/>
      </c>
      <c r="CH9" s="25">
        <f>IF($A9="","",SUMIFS(approvals!$AL$2:$AL$251,approvals!$A$2:$A$251,$A9))</f>
        <v/>
      </c>
      <c r="CI9" s="25">
        <f>IF($A9="","",IF(N($BP9)=0,"",SUMPRODUCT(MIN(approvals!$BB$2:$BB$251+(approvals!$A$2:$A$251&lt;&gt;$A9)*1000000))))</f>
        <v/>
      </c>
      <c r="CJ9" s="25">
        <f>IF($A9="","",COUNTIFS(approvals!$A$2:$A$251,$A9,approvals!$Q$2:$Q$251,"Y",approvals!$AL$2:$AL$251,"&lt;"&amp;config!$B$30))</f>
        <v/>
      </c>
      <c r="CK9" s="25">
        <f>IF($A9="","",SUMIFS(approvals!$AM$2:$AM$251,approvals!$A$2:$A$251,$A9))</f>
        <v/>
      </c>
      <c r="CL9" s="25">
        <f>IF($A9="","",SUMIFS(approvals!$AQ$2:$AQ$251,approvals!$A$2:$A$251,$A9))</f>
        <v/>
      </c>
      <c r="CM9" s="25">
        <f>IF($A9="","",SUMIFS(approvals!$AR$2:$AR$251,approvals!$A$2:$A$251,$A9))</f>
        <v/>
      </c>
      <c r="CN9" s="25">
        <f>IF($A9="","",SUMIFS(approvals!$AS$2:$AS$251,approvals!$A$2:$A$251,$A9))</f>
        <v/>
      </c>
      <c r="CO9" s="25">
        <f>IF($A9="","",SUMIFS(approvals!$AT$2:$AT$251,approvals!$A$2:$A$251,$A9))</f>
        <v/>
      </c>
      <c r="CP9" s="28">
        <f>IF($A9="","",IF(N($CO9)=0,"",ROUND(SUMIFS(approvals!$AU$2:$AU$251,approvals!$A$2:$A$251,$A9)/$CO9,1)))</f>
        <v/>
      </c>
      <c r="CQ9" s="25">
        <f>IF($A9="","",SUMIFS(approvals!$AV$2:$AV$251,approvals!$A$2:$A$251,$A9))</f>
        <v/>
      </c>
      <c r="CR9" s="25">
        <f>IF($A9="","",SUMIFS(approvals!$AW$2:$AW$251,approvals!$A$2:$A$251,$A9))</f>
        <v/>
      </c>
      <c r="CS9" s="25">
        <f>IF($A9="","",SUMIFS(approvals!$AX$2:$AX$251,approvals!$A$2:$A$251,$A9))</f>
        <v/>
      </c>
      <c r="CT9" s="25">
        <f>IF($A9="","",SUMIFS(approvals!$AY$2:$AY$251,approvals!$A$2:$A$251,$A9))</f>
        <v/>
      </c>
      <c r="CU9" s="25">
        <f>IF($A9="","",IF(OR($BG9="",$BC9&lt;&gt;""),"",IFERROR(COUNT(INDIRECT("'"&amp;$A9&amp;"'!$A$2:$A$501")),0)-IFERROR(COUNTIFS(INDIRECT("'"&amp;$A9&amp;"'!$A$2:$A$501"),"&gt;="&amp;$BG9,INDIRECT("'"&amp;$A9&amp;"'!$A$2:$A$501"),"&lt;"&amp;(IFERROR(IF(INDEX(drops!$R$2:$R$21,MATCH($B9,drops!$A$2:$A$21,0))="","",INDEX(drops!$R$2:$R$21,MATCH($B9,drops!$A$2:$A$21,0))),"")+1)),0)))</f>
        <v/>
      </c>
      <c r="CV9" s="25">
        <f>IF($A9="","",IF(OR($BG9="",$BC9&lt;&gt;""),"",IFERROR(COUNTIFS(INDIRECT("'"&amp;$A9&amp;"'!$A$2:$A$501"),"&gt;="&amp;$BG9,INDIRECT("'"&amp;$A9&amp;"'!$A$2:$A$501"),"&lt;"&amp;(IFERROR(IF(INDEX(drops!$R$2:$R$21,MATCH($B9,drops!$A$2:$A$21,0))="","",INDEX(drops!$R$2:$R$21,MATCH($B9,drops!$A$2:$A$21,0))),"")+1)),0)-N($CH9)))</f>
        <v/>
      </c>
      <c r="CW9" s="25">
        <f>IF($A9="","",SUMIFS(approvals!$AN$2:$AN$251,approvals!$A$2:$A$251,$A9))</f>
        <v/>
      </c>
      <c r="CX9" s="25">
        <f>IF($A9="","",SUMIFS(approvals!$AO$2:$AO$251,approvals!$A$2:$A$251,$A9))</f>
        <v/>
      </c>
      <c r="CY9" s="25">
        <f>IF($A9="","",IF($CZ9="","",SUMIFS(redemptions!$C$2:$C$121,redemptions!$A$2:$A$121,$A9,redemptions!$B$2:$B$121,$CZ9)))</f>
        <v/>
      </c>
      <c r="CZ9" s="26">
        <f>IF($A9="","",IFERROR(1/(1/SUMPRODUCT(MAX((redemptions!$A$2:$A$121=$A9)*redemptions!$B$2:$B$121))),""))</f>
        <v/>
      </c>
      <c r="DA9" s="25">
        <f>IF($A9="","",IF(COUNTIFS(redemptions!$A$2:$A$121,$A9,redemptions!$H$2:$H$121,"Y")=0,"",SUMIFS(redemptions!$C$2:$C$121,redemptions!$A$2:$A$121,$A9,redemptions!$B$2:$B$121,SUMPRODUCT(MIN((redemptions!$A$2:$A$121=$A9)*(redemptions!$H$2:$H$121="Y")*redemptions!$B$2:$B$121+((redemptions!$A$2:$A$121&lt;&gt;$A9)+(redemptions!$H$2:$H$121&lt;&gt;"Y")&gt;0)*1000000)))))</f>
        <v/>
      </c>
      <c r="DB9" s="27">
        <f>IF($A9="","",SUMIFS(invoices!$E$2:$E$151,invoices!$B$2:$B$151,$A9))</f>
        <v/>
      </c>
      <c r="DC9" s="27">
        <f>IF($A9="","",IF(COUNTIFS(invoices!$B$2:$B$151,$A9,invoices!$C$2:$C$151,"standard_deposit",invoices!$H$2:$H$151,"&gt;0")=0,"",SUMIFS(invoices!$I$2:$I$151,invoices!$B$2:$B$151,$A9,invoices!$C$2:$C$151,"standard_deposit")))</f>
        <v/>
      </c>
      <c r="DD9" s="26">
        <f>IF($A9="","",IFERROR(1/(1/SUMPRODUCT(MAX((invoices!$B$2:$B$151=$A9)*(invoices!$C$2:$C$151="standard_deposit")*invoices!$H$2:$H$151))),""))</f>
        <v/>
      </c>
      <c r="DE9" s="26">
        <f>IF($A9="","",IFERROR(1/(1/SUMPRODUCT(MAX((invoices!$B$2:$B$151=$A9)*((invoices!$C$2:$C$151="founding_full")+(invoices!$C$2:$C$151="standard_balance"))*invoices!$H$2:$H$151))),""))</f>
        <v/>
      </c>
      <c r="DF9" s="27">
        <f>IF($A9="","",SUMIFS(invoices!$L$2:$L$151,invoices!$B$2:$B$151,$A9))</f>
        <v/>
      </c>
      <c r="DG9" s="27">
        <f>IF($A9="","",SUMIFS(costs!$E$2:$E$301,costs!$C$2:$C$301,$A9))</f>
        <v/>
      </c>
      <c r="DH9" s="27">
        <f>IF($A9="","",ROUND(IF(SUMIFS(campaigns!$BO$2:$BO$51,campaigns!$B$2:$B$51,$B9)=0,0,$BO9/SUMIFS(campaigns!$BO$2:$BO$51,campaigns!$B$2:$B$51,$B9))*(SUMIFS(costs!$E$2:$E$301,costs!$B$2:$B$301,$B9)-SUMPRODUCT((costs!$B$2:$B$301=$B9)*(LEN(costs!$C$2:$C$301)&gt;0)*costs!$E$2:$E$301)),2))</f>
        <v/>
      </c>
      <c r="DI9" s="28">
        <f>IF($A9="","",SUMIFS(hours!$E$2:$E$1501,hours!$C$2:$C$1501,$A9))</f>
        <v/>
      </c>
      <c r="DJ9" s="28">
        <f>IF($A9="","",ROUND(IF(SUMIFS(campaigns!$BO$2:$BO$51,campaigns!$B$2:$B$51,$B9)=0,0,$BO9/SUMIFS(campaigns!$BO$2:$BO$51,campaigns!$B$2:$B$51,$B9))*(SUMIFS(hours!$E$2:$E$1501,hours!$B$2:$B$1501,$B9)-SUMPRODUCT((hours!$B$2:$B$1501=$B9)*(LEN(hours!$C$2:$C$1501)&gt;0)*hours!$E$2:$E$1501)),2))</f>
        <v/>
      </c>
      <c r="DK9" s="27">
        <f>IF($A9="","",$DB9-$DF9-$DG9-$DH9)</f>
        <v/>
      </c>
      <c r="DL9" s="27">
        <f>IF($A9="","",IF(N($DI9)+N($DJ9)=0,"",ROUND($DK9/($DI9+$DJ9),2)))</f>
        <v/>
      </c>
      <c r="DM9" s="29">
        <f>IF($A9="","",IF(N($BP9)=0,"",COUNTIFS(approvals!$A$2:$A$251,$A9,approvals!$Q$2:$Q$251,"Y",approvals!$AK$2:$AK$251,"Y")/$BP9))</f>
        <v/>
      </c>
      <c r="DN9" s="28">
        <f>IF($A9="","",IF(COUNTIFS(approvals!$A$2:$A$251,$A9,approvals!$AC$2:$AC$251,"&gt;=0")=0,"",ROUND(SUMIFS(approvals!$AC$2:$AC$251,approvals!$A$2:$A$251,$A9)/COUNTIFS(approvals!$A$2:$A$251,$A9,approvals!$AC$2:$AC$251,"&gt;=0"),1)))</f>
        <v/>
      </c>
      <c r="DO9" s="26">
        <f>IF($A9="","",IFERROR(IF(INDEX(drops!$T$2:$T$21,MATCH($B9,drops!$A$2:$A$21,0))="","",INDEX(drops!$T$2:$T$21,MATCH($B9,drops!$A$2:$A$21,0))),""))</f>
        <v/>
      </c>
      <c r="DP9" s="26">
        <f>IF($A9="","",IFERROR(IF(INDEX(drops!$U$2:$U$21,MATCH($B9,drops!$A$2:$A$21,0))="","",INDEX(drops!$U$2:$U$21,MATCH($B9,drops!$A$2:$A$21,0))),""))</f>
        <v/>
      </c>
      <c r="DQ9" s="26">
        <f>IF($A9="","",IFERROR(IF(INDEX(drops!$W$2:$W$21,MATCH($B9,drops!$A$2:$A$21,0))="","",INDEX(drops!$W$2:$W$21,MATCH($B9,drops!$A$2:$A$21,0))),""))</f>
        <v/>
      </c>
      <c r="DR9" s="25">
        <f>IF($A9="","",IF($CE9="","",IF($CE9&gt;=config!$B$31,"pass","miss")))</f>
        <v/>
      </c>
      <c r="DS9" s="25">
        <f>IF($A9="","",IF($CI9="","",IF($CI9&gt;=config!$B$30,"pass","miss")))</f>
        <v/>
      </c>
      <c r="DT9" s="25">
        <f>IF($A9="","",IF($AT9="",IF($DO9="","",IF(IF(config!$B$37&lt;&gt;"",config!$B$37,TODAY())&gt;$DO9,"late","due")),IF($AT9&lt;=$DO9,"pass","late")))</f>
        <v/>
      </c>
      <c r="DU9" s="25">
        <f>IF($A9="","",IF(COUNTIF(drops!$A$2:$A$21,$B9)=0,"drop_id not on drops; ",IF($BG9="","drop date missing or refused; ",""))&amp;IF(AND($G9&lt;&gt;"",$G9&lt;&gt;$BI9),"price differs from the price list; ","")&amp;IF(AND(LEFT($BW9,4)="HOLD",$BL9&lt;&gt;"",IF(config!$B$37&lt;&gt;"",config!$B$37,TODAY())&gt;=WORKDAY(N($BL9),-3,calendar!$A$2:$A$80)),"SHIP HOLD within 3 business days of T-10; ","")&amp;IF(AND($BQ9&gt;0,$BL9&lt;&gt;"",IF(config!$B$37&lt;&gt;"",config!$B$37,TODAY())&gt;$BL9),"approvals still pending after T-10; ","")&amp;IF($BZ9&lt;0,"reserve below zero: check inventory; ","")&amp;IF(AND($BG9&lt;&gt;"",IF(config!$B$37&lt;&gt;"",config!$B$37,TODAY())&gt;WORKDAY(N($BG9),14,calendar!$A$2:$A$80),N($BZ9)+N($CA9)&lt;&gt;0),"units still on hand after T+14; ","")&amp;IF(N($CV9)&gt;0,"info: "&amp;$CV9&amp;" in-window responses with a card code that matches no office (not counted); ","")&amp;IF(AND($Z9="Y",$AK9=""),"newsletter form URL missing; ","")&amp;IF(AND($Z9="Y",$BG9&lt;&gt;"",IF(config!$B$37&lt;&gt;"",config!$B$37,TODAY())&gt;WORKDAY(N($BG9),5,calendar!$A$2:$A$80),$AY9=""),"newsletter list not yet passed on (due T+5); ","")&amp;IF(AND($AY9&lt;&gt;"",$BA9=""),"delete unticked emails; ","")&amp;IF(AND($AY9&lt;&gt;"",$BB9="",IF(config!$B$37&lt;&gt;"",config!$B$37,TODAY())&gt;$AY9+config!$B$32),"DELETE the consented emails (30 days after passing on); ","")&amp;IF(AND($BG9&lt;&gt;"",$AJ9="",IF(config!$B$37&lt;&gt;"",config!$B$37,TODAY())&gt;=WORKDAY(N($BG9),-4,calendar!$A$2:$A$80)),"survey prefill template missing (due T-4); ","")&amp;IF(AND($AJ9&lt;&gt;"",ISERROR(SEARCH("CARDCODE",$AJ9))),"prefill template has no CARDCODE; ","")&amp;IF(AND($AF9="",$BG9&lt;&gt;"",IF(config!$B$37&lt;&gt;"",config!$B$37,TODAY())&gt;=WORKDAY(N($BG9),-3,calendar!$A$2:$A$80)),"card text not yet sent to the brand; ","")&amp;IF(AND($DA9="",$DQ9&lt;&gt;"",IF(config!$B$37&lt;&gt;"",config!$B$37,TODAY())&gt;$DQ9),"day-30 redemption count due; ","")&amp;IF(AND(LEFT($BW9,8)="RELEASED",$AG9=""),"ship-date email due (template 02): send it, then log ship_email_sent_date and ship_email_units; ","")&amp;IF(AND($AH9&lt;&gt;"",N($BT9)&gt;0,N($BX9)=0,N($AH9)&lt;&gt;N($BT9)),"units changed since the ship-date email of "&amp;IF($AG9="","?",TEXT($AG9,"yyyy-mm-dd"))&amp;" ("&amp;$AH9&amp;", now "&amp;$BT9&amp;"): send the brand the revised numbers (template 02) and log them; ","")&amp;IF($DT9="late","report late; ","")&amp;IF(AND(N($F9)&gt;0,$BO9&lt;N($F9),$BQ9=0),"info: "&amp;(N($F9)-$BO9)&amp;" office(s) short of the contract: add a roster office or credit $"&amp;IF($D9="founding",config!$B$25,config!$B$24)&amp;" each; ","")&amp;IF($BC9&lt;&gt;"",IF(COUNTIF(survey_frozen!$A$2:$A$251,$A9)=0,"answers deleted but no frozen totals: the survey numbers now read 0 (tools/freeze_survey.py, SOP answers_delete); ",""),IF(AND($BG9&lt;&gt;"",IF(config!$B$37&lt;&gt;"",config!$B$37,TODAY())&gt;=$BG9,ISREF(INDIRECT("'"&amp;$A9&amp;"'!B1"))),IF(INDIRECT("'"&amp;$A9&amp;"'!B1")&lt;&gt;"Card code (filled in for you)","survey tab column B is not the card code: fix the form or the tab; ",""),IF(AND($BG9&lt;&gt;"",IF(config!$B$37&lt;&gt;"",config!$B$37,TODAY())&gt;=$BG9),"no survey tab named "&amp;$A9&amp;"; ","")))&amp;IF(COUNTIF(brands!$A$2:$A$41,$C9)=0,"brand_id not on brands; ",IF(LEFT(IFERROR(IF(INDEX(brands!$AG$2:$AG$41,MATCH($C9,brands!$A$2:$A$41,0))="","",INDEX(brands!$AG$2:$AG$41,MATCH($C9,brands!$A$2:$A$41,0))),""),1)&lt;&gt;"Y","brand not qualified ("&amp;IFERROR(IF(INDEX(brands!$AG$2:$AG$41,MATCH($C9,brands!$A$2:$A$41,0))="","",INDEX(brands!$AG$2:$AG$41,MATCH($C9,brands!$A$2:$A$41,0))),"")&amp;"): nothing ships until it is; ",""))&amp;IF(AND(COUNTIF(brands!$A$2:$A$41,$C9)&gt;0,OR(IFERROR(IF(INDEX(brands!$C$2:$C$41,MATCH($C9,brands!$A$2:$A$41,0))="","",INDEX(brands!$C$2:$C$41,MATCH($C9,brands!$A$2:$A$41,0))),"")="",IFERROR(IF(INDEX(brands!$D$2:$D$41,MATCH($C9,brands!$A$2:$A$41,0))="","",INDEX(brands!$D$2:$D$41,MATCH($C9,brands!$A$2:$A$41,0))),"")="",IFERROR(IF(INDEX(brands!$E$2:$E$41,MATCH($C9,brands!$A$2:$A$41,0))="","",INDEX(brands!$E$2:$E$41,MATCH($C9,brands!$A$2:$A$41,0))),"")="")),"brand billing details missing on brands (legal name, address, email): needed for the invoice; ","")&amp;IF(AND($D9="founding",$E9&lt;&gt;"Y",N(IFERROR(IF(INDEX(brands!$AI$2:$AI$41,MATCH($C9,brands!$A$2:$A$41,0))="","",INDEX(brands!$AI$2:$AI$41,MATCH($C9,brands!$A$2:$A$41,0))),""))&gt;3),"the founding tier is for the first three brands only (this is brand "&amp;IFERROR(IF(INDEX(brands!$AI$2:$AI$41,MATCH($C9,brands!$A$2:$A$41,0))="","",INDEX(brands!$AI$2:$AI$41,MATCH($C9,brands!$A$2:$A$41,0))),"")&amp;"): use standard; ","")&amp;IF(AND($D9="founding",$E9&lt;&gt;"Y",COUNTIFS(campaigns!$C$2:$C$51,$C9,campaigns!$D$2:$D$51,"founding",campaigns!$E$2:$E$51,"&lt;&gt;Y")&gt;1),"a brand has the founding price once; its next two campaigns are founding_lock = Y; ","")&amp;IF(AND($E9="Y",COUNTIFS(campaigns!$C$2:$C$51,$C9,campaigns!$D$2:$D$51,"founding",campaigns!$E$2:$E$51,"Y")&gt;2),"founding_lock is for the brand's next two campaigns only (this is a third): use standard; ","")&amp;IF(AND($E9="Y",COUNTIFS(campaigns!$C$2:$C$51,$C9,campaigns!$D$2:$D$51,"founding",campaigns!$E$2:$E$51,"&lt;&gt;Y")=0),"founding_lock without a first founding campaign for this brand; ","")&amp;IF(AND(N($BX9)&gt;0,$BG9&lt;&gt;"",IF(config!$B$37&lt;&gt;"",config!$B$37,TODAY())&gt;=WORKDAY(N($BG9),-5,calendar!$A$2:$A$80)),IF(N($BX9)-N($BY9)&lt;N($BR9),"received "&amp;(N($BX9)-N($BY9))&amp;" usable units for "&amp;$BR9&amp;" allocated: reduce units_override evenly (SOP section 4, short shipment); ","")&amp;IF(AND(N($BX9)&lt;N($BT9),COUNTIFS(issues!$E$2:$E$121,$A9,issues!$G$2:$G$121,"short_shipment")=0),"received "&amp;$BX9&amp;" of "&amp;$BT9&amp;" due: log a short_shipment issue and tell the brand today; ",""),"")&amp;IF(AND($BG9&lt;&gt;"",IF(config!$B$37&lt;&gt;"",config!$B$37,TODAY())&gt;=WORKDAY(N($BG9),1,calendar!$A$2:$A$80),N($F9)&gt;0,(-SUMIFS(invoices!$E$2:$E$151,invoices!$B$2:$B$151,$A9,invoices!$C$2:$C$151,"credit_note"))&lt;(IF($D9="founding",config!$B$25,config!$B$24)*MAX(0,N($F9)-COUNTIFS(approvals!$A$2:$A$251,$A9,approvals!$Q$2:$Q$251,"Y",approvals!$AB$2:$AB$251,"Y")))-0.005),"credit due from T+1: "&amp;MAX(0,N($F9)-COUNTIFS(approvals!$A$2:$A$251,$A9,approvals!$Q$2:$Q$251,"Y",approvals!$AB$2:$AB$251,"Y"))&amp;" of "&amp;$F9&amp;" contracted offices not placed by T+1, $"&amp;(IF($D9="founding",config!$B$25,config!$B$24)*MAX(0,N($F9)-COUNTIFS(approvals!$A$2:$A$251,$A9,approvals!$Q$2:$Q$251,"Y",approvals!$AB$2:$AB$251,"Y")))&amp;" due, $"&amp;(-SUMIFS(invoices!$E$2:$E$151,invoices!$B$2:$B$151,$A9,invoices!$C$2:$C$151,"credit_note"))&amp;" in credit notes so far (template 06, make_invoice.py); ","")&amp;IF(AND(IFERROR(IF(INDEX(brands!$H$2:$H$41,MATCH($C9,brands!$A$2:$A$41,0))="","",INDEX(brands!$H$2:$H$41,MATCH($C9,brands!$A$2:$A$41,0))),"")&lt;&gt;"",$BG9&lt;&gt;"",IFERROR(IF(INDEX(brands!$H$2:$H$41,MATCH($C9,brands!$A$2:$A$41,0))="","",INDEX(brands!$H$2:$H$41,MATCH($C9,brands!$A$2:$A$41,0))),"")&lt;EDATE(WORKDAY(N($BG9),4,calendar!$A$2:$A$80),12)),"info: brand insurance ends "&amp;TEXT(IFERROR(IF(INDEX(brands!$H$2:$H$41,MATCH($C9,brands!$A$2:$A$41,0))="","",INDEX(brands!$H$2:$H$41,MATCH($C9,brands!$A$2:$A$41,0))),""),"yyyy-mm-dd")&amp;": diary the renewal certificate; ",""))</f>
        <v/>
      </c>
    </row>
    <row r="10">
      <c r="G10" s="10" t="n"/>
      <c r="H10" s="9" t="n"/>
      <c r="AB10" s="9" t="n"/>
      <c r="AC10" s="9" t="n"/>
      <c r="AD10" s="9" t="n"/>
      <c r="AF10" s="9" t="n"/>
      <c r="AG10" s="9" t="n"/>
      <c r="AT10" s="9" t="n"/>
      <c r="AU10" s="9" t="n"/>
      <c r="AY10" s="9" t="n"/>
      <c r="BA10" s="9" t="n"/>
      <c r="BB10" s="9" t="n"/>
      <c r="BC10" s="9" t="n"/>
      <c r="BE10" s="25">
        <f>IF($A10="","",IFERROR(IF(INDEX(brands!$K$2:$K$41,MATCH($C10,brands!$A$2:$A$41,0))="","",INDEX(brands!$K$2:$K$41,MATCH($C10,brands!$A$2:$A$41,0))),""))</f>
        <v/>
      </c>
      <c r="BF10" s="25">
        <f>IF($A10="","",IFERROR(IF(INDEX(brands!$M$2:$M$41,MATCH($C10,brands!$A$2:$A$41,0))="","",INDEX(brands!$M$2:$M$41,MATCH($C10,brands!$A$2:$A$41,0))),""))</f>
        <v/>
      </c>
      <c r="BG10" s="26">
        <f>IF($A10="","",IF(IFERROR(IF(INDEX(drops!$I$2:$I$21,MATCH($B10,drops!$A$2:$A$21,0))="","",INDEX(drops!$I$2:$I$21,MATCH($B10,drops!$A$2:$A$21,0))),"")="OK",IFERROR(IF(INDEX(drops!$B$2:$B$21,MATCH($B10,drops!$A$2:$A$21,0))="","",INDEX(drops!$B$2:$B$21,MATCH($B10,drops!$A$2:$A$21,0))),""),""))</f>
        <v/>
      </c>
      <c r="BH10" s="25">
        <f>IF($A10="","",IFERROR(IF(INDEX(drops!$C$2:$C$21,MATCH($B10,drops!$A$2:$A$21,0))="","",INDEX(drops!$C$2:$C$21,MATCH($B10,drops!$A$2:$A$21,0))),""))</f>
        <v/>
      </c>
      <c r="BI10" s="27">
        <f>IF($A10="","",IF($F10="","",IF($D10="founding",IF($E10="Y",config!$B$25*MIN($F10,config!$B$26)+config!$B$24*MAX(0,$F10-config!$B$26),config!$B$20+config!$B$24*MAX(0,$F10-config!$B$21)),IF($D10="standard",config!$B$22+config!$B$24*MAX(0,$F10-config!$B$23),""))))</f>
        <v/>
      </c>
      <c r="BJ10" s="27">
        <f>IF($A10="","",IF($G10&lt;&gt;"",$G10,$BI10))</f>
        <v/>
      </c>
      <c r="BK10" s="25">
        <f>IF($A10="","",IF($D10="founding","100% within "&amp;config!$B$27&amp;" business days of the invoice, before shipping",IF($D10="standard","50% on signing; 50% at placement confirmation (T+1)","")))</f>
        <v/>
      </c>
      <c r="BL10" s="26">
        <f>IF($A10="","",IFERROR(IF(INDEX(drops!$K$2:$K$21,MATCH($B10,drops!$A$2:$A$21,0))="","",INDEX(drops!$K$2:$K$21,MATCH($B10,drops!$A$2:$A$21,0))),""))</f>
        <v/>
      </c>
      <c r="BM10" s="26">
        <f>IF($A10="","",IFERROR(IF(INDEX(drops!$L$2:$L$21,MATCH($B10,drops!$A$2:$A$21,0))="","",INDEX(drops!$L$2:$L$21,MATCH($B10,drops!$A$2:$A$21,0))),""))</f>
        <v/>
      </c>
      <c r="BN10" s="25">
        <f>IF($A10="","",COUNTIF(approvals!$A$2:$A$251,$A10))</f>
        <v/>
      </c>
      <c r="BO10" s="25">
        <f>IF($A10="","",COUNTIFS(approvals!$A$2:$A$251,$A10,approvals!$P$2:$P$251,"Y"))</f>
        <v/>
      </c>
      <c r="BP10" s="25">
        <f>IF($A10="","",COUNTIFS(approvals!$A$2:$A$251,$A10,approvals!$Q$2:$Q$251,"Y"))</f>
        <v/>
      </c>
      <c r="BQ10" s="25">
        <f>IF($A10="","",COUNTIFS(approvals!$A$2:$A$251,$A10,approvals!$P$2:$P$251,"pending"))</f>
        <v/>
      </c>
      <c r="BR10" s="25">
        <f>IF($A10="","",SUMIFS(approvals!$S$2:$S$251,approvals!$A$2:$A$251,$A10,approvals!$P$2:$P$251,"Y"))</f>
        <v/>
      </c>
      <c r="BS10" s="25">
        <f>IF($A10="","",ROUNDUP($BR10*config!$B$18,0))</f>
        <v/>
      </c>
      <c r="BT10" s="25">
        <f>IF($A10="","",$BR10+$BS10)</f>
        <v/>
      </c>
      <c r="BU10" s="27">
        <f>IF($A10="","",SUMIFS(invoices!$I$2:$I$151,invoices!$B$2:$B$151,$A10,invoices!$R$2:$R$151,"Y",invoices!$H$2:$H$151,"&gt;0"))</f>
        <v/>
      </c>
      <c r="BV10" s="27">
        <f>IF($A10="","",IF($BJ10="","",IF($D10="founding",$BJ10,ROUND($BJ10*config!$B$28,2))))</f>
        <v/>
      </c>
      <c r="BW10" s="25">
        <f>IF($A10="","",IF(AND(N($BU10)&gt;=N($BV10),N($BV10)&gt;0,$H10&lt;&gt;"",AND($AB10&lt;&gt;"",IFERROR(IF(INDEX(brands!$G$2:$G$41,MATCH($C10,brands!$A$2:$A$41,0))="","",INDEX(brands!$G$2:$G$41,MATCH($C10,brands!$A$2:$A$41,0))),"")="Y"),LEFT(IFERROR(IF(INDEX(brands!$AG$2:$AG$41,MATCH($C10,brands!$A$2:$A$41,0))="","",INDEX(brands!$AG$2:$AG$41,MATCH($C10,brands!$A$2:$A$41,0))),""),1)="Y",$BG10&lt;&gt;"",$BQ10=0,$BO10&gt;0),"RELEASED "&amp;TEXT(MAX(IFERROR(1/(1/SUMPRODUCT(MAX((invoices!$B$2:$B$151=$A10)*(invoices!$R$2:$R$151="Y")*(invoices!$H$2:$H$151)))),""),$H10,$AB10,SUMPRODUCT(MAX((approvals!$A$2:$A$251=$A10)*(approvals!$P$2:$P$251="Y")*(approvals!$E$2:$E$251+(approvals!$E$2:$E$251=0)*approvals!$C$2:$C$251)))),"yyyy-mm-dd")&amp;": ship by "&amp;TEXT($BM10,"ddd yyyy-mm-dd")&amp;" (latest "&amp;TEXT($BL10,"ddd yyyy-mm-dd")&amp;")","HOLD: "&amp;IF(N($BU10)&lt;N($BV10),"payment ("&amp;TEXT(N($BU10),"0")&amp;" of "&amp;TEXT(N($BV10),"0")&amp;") ","")&amp;IF($H10="","agreement ","")&amp;IF(NOT(AND($AB10&lt;&gt;"",IFERROR(IF(INDEX(brands!$G$2:$G$41,MATCH($C10,brands!$A$2:$A$41,0))="","",INDEX(brands!$G$2:$G$41,MATCH($C10,brands!$A$2:$A$41,0))),"")="Y")),"certificate ","")&amp;IF(NOT(LEFT(IFERROR(IF(INDEX(brands!$AG$2:$AG$41,MATCH($C10,brands!$A$2:$A$41,0))="","",INDEX(brands!$AG$2:$AG$41,MATCH($C10,brands!$A$2:$A$41,0))),""),1)="Y"),"qualification ","")&amp;IF($BG10="","drop date ","")&amp;IF($BQ10&gt;0,"approvals ("&amp;$BQ10&amp;" pending) ","")&amp;IF($BO10=0,"no office approved ","")))</f>
        <v/>
      </c>
      <c r="BX10" s="25">
        <f>IF($A10="","",SUMIFS(inventory!$G$2:$G$801,inventory!$C$2:$C$801,$A10,inventory!$E$2:$E$801,"received"))</f>
        <v/>
      </c>
      <c r="BY10" s="25">
        <f>IF($A10="","",SUMIFS(inventory!$G$2:$G$801,inventory!$C$2:$C$801,$A10,inventory!$E$2:$E$801,"rejected"))</f>
        <v/>
      </c>
      <c r="BZ10" s="25">
        <f>IF($A10="","",SUMIFS(inventory!$M$2:$M$801,inventory!$C$2:$C$801,$A10))</f>
        <v/>
      </c>
      <c r="CA10" s="25">
        <f>IF($A10="","",SUMIFS(inventory!$O$2:$O$801,inventory!$C$2:$C$801,$A10))</f>
        <v/>
      </c>
      <c r="CB10" s="25">
        <f>IF($A10="","",SUMIFS(approvals!$U$2:$U$251,approvals!$A$2:$A$251,$A10))</f>
        <v/>
      </c>
      <c r="CC10" s="25">
        <f>IF($A10="","",SUMIFS(approvals!$AA$2:$AA$251,approvals!$A$2:$A$251,$A10))</f>
        <v/>
      </c>
      <c r="CD10" s="25">
        <f>IF($A10="","",SUMIFS(approvals!$AA$2:$AA$251,approvals!$A$2:$A$251,$A10,approvals!$AB$2:$AB$251,"Y"))</f>
        <v/>
      </c>
      <c r="CE10" s="29">
        <f>IF($A10="","",IF(N($CB10)=0,"",$CD10/$CB10))</f>
        <v/>
      </c>
      <c r="CF10" s="25">
        <f>IF($A10="","",SUMIFS(approvals!$AD$2:$AD$251,approvals!$A$2:$A$251,$A10))</f>
        <v/>
      </c>
      <c r="CG10" s="25">
        <f>IF($A10="","",IF(COUNTIFS(approvals!$A$2:$A$251,$A10,approvals!$Q$2:$Q$251,"Y",approvals!$AG$2:$AG$251,"")&gt;0,"",SUMIFS(approvals!$AG$2:$AG$251,approvals!$A$2:$A$251,$A10,approvals!$Q$2:$Q$251,"Y")))</f>
        <v/>
      </c>
      <c r="CH10" s="25">
        <f>IF($A10="","",SUMIFS(approvals!$AL$2:$AL$251,approvals!$A$2:$A$251,$A10))</f>
        <v/>
      </c>
      <c r="CI10" s="25">
        <f>IF($A10="","",IF(N($BP10)=0,"",SUMPRODUCT(MIN(approvals!$BB$2:$BB$251+(approvals!$A$2:$A$251&lt;&gt;$A10)*1000000))))</f>
        <v/>
      </c>
      <c r="CJ10" s="25">
        <f>IF($A10="","",COUNTIFS(approvals!$A$2:$A$251,$A10,approvals!$Q$2:$Q$251,"Y",approvals!$AL$2:$AL$251,"&lt;"&amp;config!$B$30))</f>
        <v/>
      </c>
      <c r="CK10" s="25">
        <f>IF($A10="","",SUMIFS(approvals!$AM$2:$AM$251,approvals!$A$2:$A$251,$A10))</f>
        <v/>
      </c>
      <c r="CL10" s="25">
        <f>IF($A10="","",SUMIFS(approvals!$AQ$2:$AQ$251,approvals!$A$2:$A$251,$A10))</f>
        <v/>
      </c>
      <c r="CM10" s="25">
        <f>IF($A10="","",SUMIFS(approvals!$AR$2:$AR$251,approvals!$A$2:$A$251,$A10))</f>
        <v/>
      </c>
      <c r="CN10" s="25">
        <f>IF($A10="","",SUMIFS(approvals!$AS$2:$AS$251,approvals!$A$2:$A$251,$A10))</f>
        <v/>
      </c>
      <c r="CO10" s="25">
        <f>IF($A10="","",SUMIFS(approvals!$AT$2:$AT$251,approvals!$A$2:$A$251,$A10))</f>
        <v/>
      </c>
      <c r="CP10" s="28">
        <f>IF($A10="","",IF(N($CO10)=0,"",ROUND(SUMIFS(approvals!$AU$2:$AU$251,approvals!$A$2:$A$251,$A10)/$CO10,1)))</f>
        <v/>
      </c>
      <c r="CQ10" s="25">
        <f>IF($A10="","",SUMIFS(approvals!$AV$2:$AV$251,approvals!$A$2:$A$251,$A10))</f>
        <v/>
      </c>
      <c r="CR10" s="25">
        <f>IF($A10="","",SUMIFS(approvals!$AW$2:$AW$251,approvals!$A$2:$A$251,$A10))</f>
        <v/>
      </c>
      <c r="CS10" s="25">
        <f>IF($A10="","",SUMIFS(approvals!$AX$2:$AX$251,approvals!$A$2:$A$251,$A10))</f>
        <v/>
      </c>
      <c r="CT10" s="25">
        <f>IF($A10="","",SUMIFS(approvals!$AY$2:$AY$251,approvals!$A$2:$A$251,$A10))</f>
        <v/>
      </c>
      <c r="CU10" s="25">
        <f>IF($A10="","",IF(OR($BG10="",$BC10&lt;&gt;""),"",IFERROR(COUNT(INDIRECT("'"&amp;$A10&amp;"'!$A$2:$A$501")),0)-IFERROR(COUNTIFS(INDIRECT("'"&amp;$A10&amp;"'!$A$2:$A$501"),"&gt;="&amp;$BG10,INDIRECT("'"&amp;$A10&amp;"'!$A$2:$A$501"),"&lt;"&amp;(IFERROR(IF(INDEX(drops!$R$2:$R$21,MATCH($B10,drops!$A$2:$A$21,0))="","",INDEX(drops!$R$2:$R$21,MATCH($B10,drops!$A$2:$A$21,0))),"")+1)),0)))</f>
        <v/>
      </c>
      <c r="CV10" s="25">
        <f>IF($A10="","",IF(OR($BG10="",$BC10&lt;&gt;""),"",IFERROR(COUNTIFS(INDIRECT("'"&amp;$A10&amp;"'!$A$2:$A$501"),"&gt;="&amp;$BG10,INDIRECT("'"&amp;$A10&amp;"'!$A$2:$A$501"),"&lt;"&amp;(IFERROR(IF(INDEX(drops!$R$2:$R$21,MATCH($B10,drops!$A$2:$A$21,0))="","",INDEX(drops!$R$2:$R$21,MATCH($B10,drops!$A$2:$A$21,0))),"")+1)),0)-N($CH10)))</f>
        <v/>
      </c>
      <c r="CW10" s="25">
        <f>IF($A10="","",SUMIFS(approvals!$AN$2:$AN$251,approvals!$A$2:$A$251,$A10))</f>
        <v/>
      </c>
      <c r="CX10" s="25">
        <f>IF($A10="","",SUMIFS(approvals!$AO$2:$AO$251,approvals!$A$2:$A$251,$A10))</f>
        <v/>
      </c>
      <c r="CY10" s="25">
        <f>IF($A10="","",IF($CZ10="","",SUMIFS(redemptions!$C$2:$C$121,redemptions!$A$2:$A$121,$A10,redemptions!$B$2:$B$121,$CZ10)))</f>
        <v/>
      </c>
      <c r="CZ10" s="26">
        <f>IF($A10="","",IFERROR(1/(1/SUMPRODUCT(MAX((redemptions!$A$2:$A$121=$A10)*redemptions!$B$2:$B$121))),""))</f>
        <v/>
      </c>
      <c r="DA10" s="25">
        <f>IF($A10="","",IF(COUNTIFS(redemptions!$A$2:$A$121,$A10,redemptions!$H$2:$H$121,"Y")=0,"",SUMIFS(redemptions!$C$2:$C$121,redemptions!$A$2:$A$121,$A10,redemptions!$B$2:$B$121,SUMPRODUCT(MIN((redemptions!$A$2:$A$121=$A10)*(redemptions!$H$2:$H$121="Y")*redemptions!$B$2:$B$121+((redemptions!$A$2:$A$121&lt;&gt;$A10)+(redemptions!$H$2:$H$121&lt;&gt;"Y")&gt;0)*1000000)))))</f>
        <v/>
      </c>
      <c r="DB10" s="27">
        <f>IF($A10="","",SUMIFS(invoices!$E$2:$E$151,invoices!$B$2:$B$151,$A10))</f>
        <v/>
      </c>
      <c r="DC10" s="27">
        <f>IF($A10="","",IF(COUNTIFS(invoices!$B$2:$B$151,$A10,invoices!$C$2:$C$151,"standard_deposit",invoices!$H$2:$H$151,"&gt;0")=0,"",SUMIFS(invoices!$I$2:$I$151,invoices!$B$2:$B$151,$A10,invoices!$C$2:$C$151,"standard_deposit")))</f>
        <v/>
      </c>
      <c r="DD10" s="26">
        <f>IF($A10="","",IFERROR(1/(1/SUMPRODUCT(MAX((invoices!$B$2:$B$151=$A10)*(invoices!$C$2:$C$151="standard_deposit")*invoices!$H$2:$H$151))),""))</f>
        <v/>
      </c>
      <c r="DE10" s="26">
        <f>IF($A10="","",IFERROR(1/(1/SUMPRODUCT(MAX((invoices!$B$2:$B$151=$A10)*((invoices!$C$2:$C$151="founding_full")+(invoices!$C$2:$C$151="standard_balance"))*invoices!$H$2:$H$151))),""))</f>
        <v/>
      </c>
      <c r="DF10" s="27">
        <f>IF($A10="","",SUMIFS(invoices!$L$2:$L$151,invoices!$B$2:$B$151,$A10))</f>
        <v/>
      </c>
      <c r="DG10" s="27">
        <f>IF($A10="","",SUMIFS(costs!$E$2:$E$301,costs!$C$2:$C$301,$A10))</f>
        <v/>
      </c>
      <c r="DH10" s="27">
        <f>IF($A10="","",ROUND(IF(SUMIFS(campaigns!$BO$2:$BO$51,campaigns!$B$2:$B$51,$B10)=0,0,$BO10/SUMIFS(campaigns!$BO$2:$BO$51,campaigns!$B$2:$B$51,$B10))*(SUMIFS(costs!$E$2:$E$301,costs!$B$2:$B$301,$B10)-SUMPRODUCT((costs!$B$2:$B$301=$B10)*(LEN(costs!$C$2:$C$301)&gt;0)*costs!$E$2:$E$301)),2))</f>
        <v/>
      </c>
      <c r="DI10" s="28">
        <f>IF($A10="","",SUMIFS(hours!$E$2:$E$1501,hours!$C$2:$C$1501,$A10))</f>
        <v/>
      </c>
      <c r="DJ10" s="28">
        <f>IF($A10="","",ROUND(IF(SUMIFS(campaigns!$BO$2:$BO$51,campaigns!$B$2:$B$51,$B10)=0,0,$BO10/SUMIFS(campaigns!$BO$2:$BO$51,campaigns!$B$2:$B$51,$B10))*(SUMIFS(hours!$E$2:$E$1501,hours!$B$2:$B$1501,$B10)-SUMPRODUCT((hours!$B$2:$B$1501=$B10)*(LEN(hours!$C$2:$C$1501)&gt;0)*hours!$E$2:$E$1501)),2))</f>
        <v/>
      </c>
      <c r="DK10" s="27">
        <f>IF($A10="","",$DB10-$DF10-$DG10-$DH10)</f>
        <v/>
      </c>
      <c r="DL10" s="27">
        <f>IF($A10="","",IF(N($DI10)+N($DJ10)=0,"",ROUND($DK10/($DI10+$DJ10),2)))</f>
        <v/>
      </c>
      <c r="DM10" s="29">
        <f>IF($A10="","",IF(N($BP10)=0,"",COUNTIFS(approvals!$A$2:$A$251,$A10,approvals!$Q$2:$Q$251,"Y",approvals!$AK$2:$AK$251,"Y")/$BP10))</f>
        <v/>
      </c>
      <c r="DN10" s="28">
        <f>IF($A10="","",IF(COUNTIFS(approvals!$A$2:$A$251,$A10,approvals!$AC$2:$AC$251,"&gt;=0")=0,"",ROUND(SUMIFS(approvals!$AC$2:$AC$251,approvals!$A$2:$A$251,$A10)/COUNTIFS(approvals!$A$2:$A$251,$A10,approvals!$AC$2:$AC$251,"&gt;=0"),1)))</f>
        <v/>
      </c>
      <c r="DO10" s="26">
        <f>IF($A10="","",IFERROR(IF(INDEX(drops!$T$2:$T$21,MATCH($B10,drops!$A$2:$A$21,0))="","",INDEX(drops!$T$2:$T$21,MATCH($B10,drops!$A$2:$A$21,0))),""))</f>
        <v/>
      </c>
      <c r="DP10" s="26">
        <f>IF($A10="","",IFERROR(IF(INDEX(drops!$U$2:$U$21,MATCH($B10,drops!$A$2:$A$21,0))="","",INDEX(drops!$U$2:$U$21,MATCH($B10,drops!$A$2:$A$21,0))),""))</f>
        <v/>
      </c>
      <c r="DQ10" s="26">
        <f>IF($A10="","",IFERROR(IF(INDEX(drops!$W$2:$W$21,MATCH($B10,drops!$A$2:$A$21,0))="","",INDEX(drops!$W$2:$W$21,MATCH($B10,drops!$A$2:$A$21,0))),""))</f>
        <v/>
      </c>
      <c r="DR10" s="25">
        <f>IF($A10="","",IF($CE10="","",IF($CE10&gt;=config!$B$31,"pass","miss")))</f>
        <v/>
      </c>
      <c r="DS10" s="25">
        <f>IF($A10="","",IF($CI10="","",IF($CI10&gt;=config!$B$30,"pass","miss")))</f>
        <v/>
      </c>
      <c r="DT10" s="25">
        <f>IF($A10="","",IF($AT10="",IF($DO10="","",IF(IF(config!$B$37&lt;&gt;"",config!$B$37,TODAY())&gt;$DO10,"late","due")),IF($AT10&lt;=$DO10,"pass","late")))</f>
        <v/>
      </c>
      <c r="DU10" s="25">
        <f>IF($A10="","",IF(COUNTIF(drops!$A$2:$A$21,$B10)=0,"drop_id not on drops; ",IF($BG10="","drop date missing or refused; ",""))&amp;IF(AND($G10&lt;&gt;"",$G10&lt;&gt;$BI10),"price differs from the price list; ","")&amp;IF(AND(LEFT($BW10,4)="HOLD",$BL10&lt;&gt;"",IF(config!$B$37&lt;&gt;"",config!$B$37,TODAY())&gt;=WORKDAY(N($BL10),-3,calendar!$A$2:$A$80)),"SHIP HOLD within 3 business days of T-10; ","")&amp;IF(AND($BQ10&gt;0,$BL10&lt;&gt;"",IF(config!$B$37&lt;&gt;"",config!$B$37,TODAY())&gt;$BL10),"approvals still pending after T-10; ","")&amp;IF($BZ10&lt;0,"reserve below zero: check inventory; ","")&amp;IF(AND($BG10&lt;&gt;"",IF(config!$B$37&lt;&gt;"",config!$B$37,TODAY())&gt;WORKDAY(N($BG10),14,calendar!$A$2:$A$80),N($BZ10)+N($CA10)&lt;&gt;0),"units still on hand after T+14; ","")&amp;IF(N($CV10)&gt;0,"info: "&amp;$CV10&amp;" in-window responses with a card code that matches no office (not counted); ","")&amp;IF(AND($Z10="Y",$AK10=""),"newsletter form URL missing; ","")&amp;IF(AND($Z10="Y",$BG10&lt;&gt;"",IF(config!$B$37&lt;&gt;"",config!$B$37,TODAY())&gt;WORKDAY(N($BG10),5,calendar!$A$2:$A$80),$AY10=""),"newsletter list not yet passed on (due T+5); ","")&amp;IF(AND($AY10&lt;&gt;"",$BA10=""),"delete unticked emails; ","")&amp;IF(AND($AY10&lt;&gt;"",$BB10="",IF(config!$B$37&lt;&gt;"",config!$B$37,TODAY())&gt;$AY10+config!$B$32),"DELETE the consented emails (30 days after passing on); ","")&amp;IF(AND($BG10&lt;&gt;"",$AJ10="",IF(config!$B$37&lt;&gt;"",config!$B$37,TODAY())&gt;=WORKDAY(N($BG10),-4,calendar!$A$2:$A$80)),"survey prefill template missing (due T-4); ","")&amp;IF(AND($AJ10&lt;&gt;"",ISERROR(SEARCH("CARDCODE",$AJ10))),"prefill template has no CARDCODE; ","")&amp;IF(AND($AF10="",$BG10&lt;&gt;"",IF(config!$B$37&lt;&gt;"",config!$B$37,TODAY())&gt;=WORKDAY(N($BG10),-3,calendar!$A$2:$A$80)),"card text not yet sent to the brand; ","")&amp;IF(AND($DA10="",$DQ10&lt;&gt;"",IF(config!$B$37&lt;&gt;"",config!$B$37,TODAY())&gt;$DQ10),"day-30 redemption count due; ","")&amp;IF(AND(LEFT($BW10,8)="RELEASED",$AG10=""),"ship-date email due (template 02): send it, then log ship_email_sent_date and ship_email_units; ","")&amp;IF(AND($AH10&lt;&gt;"",N($BT10)&gt;0,N($BX10)=0,N($AH10)&lt;&gt;N($BT10)),"units changed since the ship-date email of "&amp;IF($AG10="","?",TEXT($AG10,"yyyy-mm-dd"))&amp;" ("&amp;$AH10&amp;", now "&amp;$BT10&amp;"): send the brand the revised numbers (template 02) and log them; ","")&amp;IF($DT10="late","report late; ","")&amp;IF(AND(N($F10)&gt;0,$BO10&lt;N($F10),$BQ10=0),"info: "&amp;(N($F10)-$BO10)&amp;" office(s) short of the contract: add a roster office or credit $"&amp;IF($D10="founding",config!$B$25,config!$B$24)&amp;" each; ","")&amp;IF($BC10&lt;&gt;"",IF(COUNTIF(survey_frozen!$A$2:$A$251,$A10)=0,"answers deleted but no frozen totals: the survey numbers now read 0 (tools/freeze_survey.py, SOP answers_delete); ",""),IF(AND($BG10&lt;&gt;"",IF(config!$B$37&lt;&gt;"",config!$B$37,TODAY())&gt;=$BG10,ISREF(INDIRECT("'"&amp;$A10&amp;"'!B1"))),IF(INDIRECT("'"&amp;$A10&amp;"'!B1")&lt;&gt;"Card code (filled in for you)","survey tab column B is not the card code: fix the form or the tab; ",""),IF(AND($BG10&lt;&gt;"",IF(config!$B$37&lt;&gt;"",config!$B$37,TODAY())&gt;=$BG10),"no survey tab named "&amp;$A10&amp;"; ","")))&amp;IF(COUNTIF(brands!$A$2:$A$41,$C10)=0,"brand_id not on brands; ",IF(LEFT(IFERROR(IF(INDEX(brands!$AG$2:$AG$41,MATCH($C10,brands!$A$2:$A$41,0))="","",INDEX(brands!$AG$2:$AG$41,MATCH($C10,brands!$A$2:$A$41,0))),""),1)&lt;&gt;"Y","brand not qualified ("&amp;IFERROR(IF(INDEX(brands!$AG$2:$AG$41,MATCH($C10,brands!$A$2:$A$41,0))="","",INDEX(brands!$AG$2:$AG$41,MATCH($C10,brands!$A$2:$A$41,0))),"")&amp;"): nothing ships until it is; ",""))&amp;IF(AND(COUNTIF(brands!$A$2:$A$41,$C10)&gt;0,OR(IFERROR(IF(INDEX(brands!$C$2:$C$41,MATCH($C10,brands!$A$2:$A$41,0))="","",INDEX(brands!$C$2:$C$41,MATCH($C10,brands!$A$2:$A$41,0))),"")="",IFERROR(IF(INDEX(brands!$D$2:$D$41,MATCH($C10,brands!$A$2:$A$41,0))="","",INDEX(brands!$D$2:$D$41,MATCH($C10,brands!$A$2:$A$41,0))),"")="",IFERROR(IF(INDEX(brands!$E$2:$E$41,MATCH($C10,brands!$A$2:$A$41,0))="","",INDEX(brands!$E$2:$E$41,MATCH($C10,brands!$A$2:$A$41,0))),"")="")),"brand billing details missing on brands (legal name, address, email): needed for the invoice; ","")&amp;IF(AND($D10="founding",$E10&lt;&gt;"Y",N(IFERROR(IF(INDEX(brands!$AI$2:$AI$41,MATCH($C10,brands!$A$2:$A$41,0))="","",INDEX(brands!$AI$2:$AI$41,MATCH($C10,brands!$A$2:$A$41,0))),""))&gt;3),"the founding tier is for the first three brands only (this is brand "&amp;IFERROR(IF(INDEX(brands!$AI$2:$AI$41,MATCH($C10,brands!$A$2:$A$41,0))="","",INDEX(brands!$AI$2:$AI$41,MATCH($C10,brands!$A$2:$A$41,0))),"")&amp;"): use standard; ","")&amp;IF(AND($D10="founding",$E10&lt;&gt;"Y",COUNTIFS(campaigns!$C$2:$C$51,$C10,campaigns!$D$2:$D$51,"founding",campaigns!$E$2:$E$51,"&lt;&gt;Y")&gt;1),"a brand has the founding price once; its next two campaigns are founding_lock = Y; ","")&amp;IF(AND($E10="Y",COUNTIFS(campaigns!$C$2:$C$51,$C10,campaigns!$D$2:$D$51,"founding",campaigns!$E$2:$E$51,"Y")&gt;2),"founding_lock is for the brand's next two campaigns only (this is a third): use standard; ","")&amp;IF(AND($E10="Y",COUNTIFS(campaigns!$C$2:$C$51,$C10,campaigns!$D$2:$D$51,"founding",campaigns!$E$2:$E$51,"&lt;&gt;Y")=0),"founding_lock without a first founding campaign for this brand; ","")&amp;IF(AND(N($BX10)&gt;0,$BG10&lt;&gt;"",IF(config!$B$37&lt;&gt;"",config!$B$37,TODAY())&gt;=WORKDAY(N($BG10),-5,calendar!$A$2:$A$80)),IF(N($BX10)-N($BY10)&lt;N($BR10),"received "&amp;(N($BX10)-N($BY10))&amp;" usable units for "&amp;$BR10&amp;" allocated: reduce units_override evenly (SOP section 4, short shipment); ","")&amp;IF(AND(N($BX10)&lt;N($BT10),COUNTIFS(issues!$E$2:$E$121,$A10,issues!$G$2:$G$121,"short_shipment")=0),"received "&amp;$BX10&amp;" of "&amp;$BT10&amp;" due: log a short_shipment issue and tell the brand today; ",""),"")&amp;IF(AND($BG10&lt;&gt;"",IF(config!$B$37&lt;&gt;"",config!$B$37,TODAY())&gt;=WORKDAY(N($BG10),1,calendar!$A$2:$A$80),N($F10)&gt;0,(-SUMIFS(invoices!$E$2:$E$151,invoices!$B$2:$B$151,$A10,invoices!$C$2:$C$151,"credit_note"))&lt;(IF($D10="founding",config!$B$25,config!$B$24)*MAX(0,N($F10)-COUNTIFS(approvals!$A$2:$A$251,$A10,approvals!$Q$2:$Q$251,"Y",approvals!$AB$2:$AB$251,"Y")))-0.005),"credit due from T+1: "&amp;MAX(0,N($F10)-COUNTIFS(approvals!$A$2:$A$251,$A10,approvals!$Q$2:$Q$251,"Y",approvals!$AB$2:$AB$251,"Y"))&amp;" of "&amp;$F10&amp;" contracted offices not placed by T+1, $"&amp;(IF($D10="founding",config!$B$25,config!$B$24)*MAX(0,N($F10)-COUNTIFS(approvals!$A$2:$A$251,$A10,approvals!$Q$2:$Q$251,"Y",approvals!$AB$2:$AB$251,"Y")))&amp;" due, $"&amp;(-SUMIFS(invoices!$E$2:$E$151,invoices!$B$2:$B$151,$A10,invoices!$C$2:$C$151,"credit_note"))&amp;" in credit notes so far (template 06, make_invoice.py); ","")&amp;IF(AND(IFERROR(IF(INDEX(brands!$H$2:$H$41,MATCH($C10,brands!$A$2:$A$41,0))="","",INDEX(brands!$H$2:$H$41,MATCH($C10,brands!$A$2:$A$41,0))),"")&lt;&gt;"",$BG10&lt;&gt;"",IFERROR(IF(INDEX(brands!$H$2:$H$41,MATCH($C10,brands!$A$2:$A$41,0))="","",INDEX(brands!$H$2:$H$41,MATCH($C10,brands!$A$2:$A$41,0))),"")&lt;EDATE(WORKDAY(N($BG10),4,calendar!$A$2:$A$80),12)),"info: brand insurance ends "&amp;TEXT(IFERROR(IF(INDEX(brands!$H$2:$H$41,MATCH($C10,brands!$A$2:$A$41,0))="","",INDEX(brands!$H$2:$H$41,MATCH($C10,brands!$A$2:$A$41,0))),""),"yyyy-mm-dd")&amp;": diary the renewal certificate; ",""))</f>
        <v/>
      </c>
    </row>
    <row r="11">
      <c r="G11" s="10" t="n"/>
      <c r="H11" s="9" t="n"/>
      <c r="AB11" s="9" t="n"/>
      <c r="AC11" s="9" t="n"/>
      <c r="AD11" s="9" t="n"/>
      <c r="AF11" s="9" t="n"/>
      <c r="AG11" s="9" t="n"/>
      <c r="AT11" s="9" t="n"/>
      <c r="AU11" s="9" t="n"/>
      <c r="AY11" s="9" t="n"/>
      <c r="BA11" s="9" t="n"/>
      <c r="BB11" s="9" t="n"/>
      <c r="BC11" s="9" t="n"/>
      <c r="BE11" s="25">
        <f>IF($A11="","",IFERROR(IF(INDEX(brands!$K$2:$K$41,MATCH($C11,brands!$A$2:$A$41,0))="","",INDEX(brands!$K$2:$K$41,MATCH($C11,brands!$A$2:$A$41,0))),""))</f>
        <v/>
      </c>
      <c r="BF11" s="25">
        <f>IF($A11="","",IFERROR(IF(INDEX(brands!$M$2:$M$41,MATCH($C11,brands!$A$2:$A$41,0))="","",INDEX(brands!$M$2:$M$41,MATCH($C11,brands!$A$2:$A$41,0))),""))</f>
        <v/>
      </c>
      <c r="BG11" s="26">
        <f>IF($A11="","",IF(IFERROR(IF(INDEX(drops!$I$2:$I$21,MATCH($B11,drops!$A$2:$A$21,0))="","",INDEX(drops!$I$2:$I$21,MATCH($B11,drops!$A$2:$A$21,0))),"")="OK",IFERROR(IF(INDEX(drops!$B$2:$B$21,MATCH($B11,drops!$A$2:$A$21,0))="","",INDEX(drops!$B$2:$B$21,MATCH($B11,drops!$A$2:$A$21,0))),""),""))</f>
        <v/>
      </c>
      <c r="BH11" s="25">
        <f>IF($A11="","",IFERROR(IF(INDEX(drops!$C$2:$C$21,MATCH($B11,drops!$A$2:$A$21,0))="","",INDEX(drops!$C$2:$C$21,MATCH($B11,drops!$A$2:$A$21,0))),""))</f>
        <v/>
      </c>
      <c r="BI11" s="27">
        <f>IF($A11="","",IF($F11="","",IF($D11="founding",IF($E11="Y",config!$B$25*MIN($F11,config!$B$26)+config!$B$24*MAX(0,$F11-config!$B$26),config!$B$20+config!$B$24*MAX(0,$F11-config!$B$21)),IF($D11="standard",config!$B$22+config!$B$24*MAX(0,$F11-config!$B$23),""))))</f>
        <v/>
      </c>
      <c r="BJ11" s="27">
        <f>IF($A11="","",IF($G11&lt;&gt;"",$G11,$BI11))</f>
        <v/>
      </c>
      <c r="BK11" s="25">
        <f>IF($A11="","",IF($D11="founding","100% within "&amp;config!$B$27&amp;" business days of the invoice, before shipping",IF($D11="standard","50% on signing; 50% at placement confirmation (T+1)","")))</f>
        <v/>
      </c>
      <c r="BL11" s="26">
        <f>IF($A11="","",IFERROR(IF(INDEX(drops!$K$2:$K$21,MATCH($B11,drops!$A$2:$A$21,0))="","",INDEX(drops!$K$2:$K$21,MATCH($B11,drops!$A$2:$A$21,0))),""))</f>
        <v/>
      </c>
      <c r="BM11" s="26">
        <f>IF($A11="","",IFERROR(IF(INDEX(drops!$L$2:$L$21,MATCH($B11,drops!$A$2:$A$21,0))="","",INDEX(drops!$L$2:$L$21,MATCH($B11,drops!$A$2:$A$21,0))),""))</f>
        <v/>
      </c>
      <c r="BN11" s="25">
        <f>IF($A11="","",COUNTIF(approvals!$A$2:$A$251,$A11))</f>
        <v/>
      </c>
      <c r="BO11" s="25">
        <f>IF($A11="","",COUNTIFS(approvals!$A$2:$A$251,$A11,approvals!$P$2:$P$251,"Y"))</f>
        <v/>
      </c>
      <c r="BP11" s="25">
        <f>IF($A11="","",COUNTIFS(approvals!$A$2:$A$251,$A11,approvals!$Q$2:$Q$251,"Y"))</f>
        <v/>
      </c>
      <c r="BQ11" s="25">
        <f>IF($A11="","",COUNTIFS(approvals!$A$2:$A$251,$A11,approvals!$P$2:$P$251,"pending"))</f>
        <v/>
      </c>
      <c r="BR11" s="25">
        <f>IF($A11="","",SUMIFS(approvals!$S$2:$S$251,approvals!$A$2:$A$251,$A11,approvals!$P$2:$P$251,"Y"))</f>
        <v/>
      </c>
      <c r="BS11" s="25">
        <f>IF($A11="","",ROUNDUP($BR11*config!$B$18,0))</f>
        <v/>
      </c>
      <c r="BT11" s="25">
        <f>IF($A11="","",$BR11+$BS11)</f>
        <v/>
      </c>
      <c r="BU11" s="27">
        <f>IF($A11="","",SUMIFS(invoices!$I$2:$I$151,invoices!$B$2:$B$151,$A11,invoices!$R$2:$R$151,"Y",invoices!$H$2:$H$151,"&gt;0"))</f>
        <v/>
      </c>
      <c r="BV11" s="27">
        <f>IF($A11="","",IF($BJ11="","",IF($D11="founding",$BJ11,ROUND($BJ11*config!$B$28,2))))</f>
        <v/>
      </c>
      <c r="BW11" s="25">
        <f>IF($A11="","",IF(AND(N($BU11)&gt;=N($BV11),N($BV11)&gt;0,$H11&lt;&gt;"",AND($AB11&lt;&gt;"",IFERROR(IF(INDEX(brands!$G$2:$G$41,MATCH($C11,brands!$A$2:$A$41,0))="","",INDEX(brands!$G$2:$G$41,MATCH($C11,brands!$A$2:$A$41,0))),"")="Y"),LEFT(IFERROR(IF(INDEX(brands!$AG$2:$AG$41,MATCH($C11,brands!$A$2:$A$41,0))="","",INDEX(brands!$AG$2:$AG$41,MATCH($C11,brands!$A$2:$A$41,0))),""),1)="Y",$BG11&lt;&gt;"",$BQ11=0,$BO11&gt;0),"RELEASED "&amp;TEXT(MAX(IFERROR(1/(1/SUMPRODUCT(MAX((invoices!$B$2:$B$151=$A11)*(invoices!$R$2:$R$151="Y")*(invoices!$H$2:$H$151)))),""),$H11,$AB11,SUMPRODUCT(MAX((approvals!$A$2:$A$251=$A11)*(approvals!$P$2:$P$251="Y")*(approvals!$E$2:$E$251+(approvals!$E$2:$E$251=0)*approvals!$C$2:$C$251)))),"yyyy-mm-dd")&amp;": ship by "&amp;TEXT($BM11,"ddd yyyy-mm-dd")&amp;" (latest "&amp;TEXT($BL11,"ddd yyyy-mm-dd")&amp;")","HOLD: "&amp;IF(N($BU11)&lt;N($BV11),"payment ("&amp;TEXT(N($BU11),"0")&amp;" of "&amp;TEXT(N($BV11),"0")&amp;") ","")&amp;IF($H11="","agreement ","")&amp;IF(NOT(AND($AB11&lt;&gt;"",IFERROR(IF(INDEX(brands!$G$2:$G$41,MATCH($C11,brands!$A$2:$A$41,0))="","",INDEX(brands!$G$2:$G$41,MATCH($C11,brands!$A$2:$A$41,0))),"")="Y")),"certificate ","")&amp;IF(NOT(LEFT(IFERROR(IF(INDEX(brands!$AG$2:$AG$41,MATCH($C11,brands!$A$2:$A$41,0))="","",INDEX(brands!$AG$2:$AG$41,MATCH($C11,brands!$A$2:$A$41,0))),""),1)="Y"),"qualification ","")&amp;IF($BG11="","drop date ","")&amp;IF($BQ11&gt;0,"approvals ("&amp;$BQ11&amp;" pending) ","")&amp;IF($BO11=0,"no office approved ","")))</f>
        <v/>
      </c>
      <c r="BX11" s="25">
        <f>IF($A11="","",SUMIFS(inventory!$G$2:$G$801,inventory!$C$2:$C$801,$A11,inventory!$E$2:$E$801,"received"))</f>
        <v/>
      </c>
      <c r="BY11" s="25">
        <f>IF($A11="","",SUMIFS(inventory!$G$2:$G$801,inventory!$C$2:$C$801,$A11,inventory!$E$2:$E$801,"rejected"))</f>
        <v/>
      </c>
      <c r="BZ11" s="25">
        <f>IF($A11="","",SUMIFS(inventory!$M$2:$M$801,inventory!$C$2:$C$801,$A11))</f>
        <v/>
      </c>
      <c r="CA11" s="25">
        <f>IF($A11="","",SUMIFS(inventory!$O$2:$O$801,inventory!$C$2:$C$801,$A11))</f>
        <v/>
      </c>
      <c r="CB11" s="25">
        <f>IF($A11="","",SUMIFS(approvals!$U$2:$U$251,approvals!$A$2:$A$251,$A11))</f>
        <v/>
      </c>
      <c r="CC11" s="25">
        <f>IF($A11="","",SUMIFS(approvals!$AA$2:$AA$251,approvals!$A$2:$A$251,$A11))</f>
        <v/>
      </c>
      <c r="CD11" s="25">
        <f>IF($A11="","",SUMIFS(approvals!$AA$2:$AA$251,approvals!$A$2:$A$251,$A11,approvals!$AB$2:$AB$251,"Y"))</f>
        <v/>
      </c>
      <c r="CE11" s="29">
        <f>IF($A11="","",IF(N($CB11)=0,"",$CD11/$CB11))</f>
        <v/>
      </c>
      <c r="CF11" s="25">
        <f>IF($A11="","",SUMIFS(approvals!$AD$2:$AD$251,approvals!$A$2:$A$251,$A11))</f>
        <v/>
      </c>
      <c r="CG11" s="25">
        <f>IF($A11="","",IF(COUNTIFS(approvals!$A$2:$A$251,$A11,approvals!$Q$2:$Q$251,"Y",approvals!$AG$2:$AG$251,"")&gt;0,"",SUMIFS(approvals!$AG$2:$AG$251,approvals!$A$2:$A$251,$A11,approvals!$Q$2:$Q$251,"Y")))</f>
        <v/>
      </c>
      <c r="CH11" s="25">
        <f>IF($A11="","",SUMIFS(approvals!$AL$2:$AL$251,approvals!$A$2:$A$251,$A11))</f>
        <v/>
      </c>
      <c r="CI11" s="25">
        <f>IF($A11="","",IF(N($BP11)=0,"",SUMPRODUCT(MIN(approvals!$BB$2:$BB$251+(approvals!$A$2:$A$251&lt;&gt;$A11)*1000000))))</f>
        <v/>
      </c>
      <c r="CJ11" s="25">
        <f>IF($A11="","",COUNTIFS(approvals!$A$2:$A$251,$A11,approvals!$Q$2:$Q$251,"Y",approvals!$AL$2:$AL$251,"&lt;"&amp;config!$B$30))</f>
        <v/>
      </c>
      <c r="CK11" s="25">
        <f>IF($A11="","",SUMIFS(approvals!$AM$2:$AM$251,approvals!$A$2:$A$251,$A11))</f>
        <v/>
      </c>
      <c r="CL11" s="25">
        <f>IF($A11="","",SUMIFS(approvals!$AQ$2:$AQ$251,approvals!$A$2:$A$251,$A11))</f>
        <v/>
      </c>
      <c r="CM11" s="25">
        <f>IF($A11="","",SUMIFS(approvals!$AR$2:$AR$251,approvals!$A$2:$A$251,$A11))</f>
        <v/>
      </c>
      <c r="CN11" s="25">
        <f>IF($A11="","",SUMIFS(approvals!$AS$2:$AS$251,approvals!$A$2:$A$251,$A11))</f>
        <v/>
      </c>
      <c r="CO11" s="25">
        <f>IF($A11="","",SUMIFS(approvals!$AT$2:$AT$251,approvals!$A$2:$A$251,$A11))</f>
        <v/>
      </c>
      <c r="CP11" s="28">
        <f>IF($A11="","",IF(N($CO11)=0,"",ROUND(SUMIFS(approvals!$AU$2:$AU$251,approvals!$A$2:$A$251,$A11)/$CO11,1)))</f>
        <v/>
      </c>
      <c r="CQ11" s="25">
        <f>IF($A11="","",SUMIFS(approvals!$AV$2:$AV$251,approvals!$A$2:$A$251,$A11))</f>
        <v/>
      </c>
      <c r="CR11" s="25">
        <f>IF($A11="","",SUMIFS(approvals!$AW$2:$AW$251,approvals!$A$2:$A$251,$A11))</f>
        <v/>
      </c>
      <c r="CS11" s="25">
        <f>IF($A11="","",SUMIFS(approvals!$AX$2:$AX$251,approvals!$A$2:$A$251,$A11))</f>
        <v/>
      </c>
      <c r="CT11" s="25">
        <f>IF($A11="","",SUMIFS(approvals!$AY$2:$AY$251,approvals!$A$2:$A$251,$A11))</f>
        <v/>
      </c>
      <c r="CU11" s="25">
        <f>IF($A11="","",IF(OR($BG11="",$BC11&lt;&gt;""),"",IFERROR(COUNT(INDIRECT("'"&amp;$A11&amp;"'!$A$2:$A$501")),0)-IFERROR(COUNTIFS(INDIRECT("'"&amp;$A11&amp;"'!$A$2:$A$501"),"&gt;="&amp;$BG11,INDIRECT("'"&amp;$A11&amp;"'!$A$2:$A$501"),"&lt;"&amp;(IFERROR(IF(INDEX(drops!$R$2:$R$21,MATCH($B11,drops!$A$2:$A$21,0))="","",INDEX(drops!$R$2:$R$21,MATCH($B11,drops!$A$2:$A$21,0))),"")+1)),0)))</f>
        <v/>
      </c>
      <c r="CV11" s="25">
        <f>IF($A11="","",IF(OR($BG11="",$BC11&lt;&gt;""),"",IFERROR(COUNTIFS(INDIRECT("'"&amp;$A11&amp;"'!$A$2:$A$501"),"&gt;="&amp;$BG11,INDIRECT("'"&amp;$A11&amp;"'!$A$2:$A$501"),"&lt;"&amp;(IFERROR(IF(INDEX(drops!$R$2:$R$21,MATCH($B11,drops!$A$2:$A$21,0))="","",INDEX(drops!$R$2:$R$21,MATCH($B11,drops!$A$2:$A$21,0))),"")+1)),0)-N($CH11)))</f>
        <v/>
      </c>
      <c r="CW11" s="25">
        <f>IF($A11="","",SUMIFS(approvals!$AN$2:$AN$251,approvals!$A$2:$A$251,$A11))</f>
        <v/>
      </c>
      <c r="CX11" s="25">
        <f>IF($A11="","",SUMIFS(approvals!$AO$2:$AO$251,approvals!$A$2:$A$251,$A11))</f>
        <v/>
      </c>
      <c r="CY11" s="25">
        <f>IF($A11="","",IF($CZ11="","",SUMIFS(redemptions!$C$2:$C$121,redemptions!$A$2:$A$121,$A11,redemptions!$B$2:$B$121,$CZ11)))</f>
        <v/>
      </c>
      <c r="CZ11" s="26">
        <f>IF($A11="","",IFERROR(1/(1/SUMPRODUCT(MAX((redemptions!$A$2:$A$121=$A11)*redemptions!$B$2:$B$121))),""))</f>
        <v/>
      </c>
      <c r="DA11" s="25">
        <f>IF($A11="","",IF(COUNTIFS(redemptions!$A$2:$A$121,$A11,redemptions!$H$2:$H$121,"Y")=0,"",SUMIFS(redemptions!$C$2:$C$121,redemptions!$A$2:$A$121,$A11,redemptions!$B$2:$B$121,SUMPRODUCT(MIN((redemptions!$A$2:$A$121=$A11)*(redemptions!$H$2:$H$121="Y")*redemptions!$B$2:$B$121+((redemptions!$A$2:$A$121&lt;&gt;$A11)+(redemptions!$H$2:$H$121&lt;&gt;"Y")&gt;0)*1000000)))))</f>
        <v/>
      </c>
      <c r="DB11" s="27">
        <f>IF($A11="","",SUMIFS(invoices!$E$2:$E$151,invoices!$B$2:$B$151,$A11))</f>
        <v/>
      </c>
      <c r="DC11" s="27">
        <f>IF($A11="","",IF(COUNTIFS(invoices!$B$2:$B$151,$A11,invoices!$C$2:$C$151,"standard_deposit",invoices!$H$2:$H$151,"&gt;0")=0,"",SUMIFS(invoices!$I$2:$I$151,invoices!$B$2:$B$151,$A11,invoices!$C$2:$C$151,"standard_deposit")))</f>
        <v/>
      </c>
      <c r="DD11" s="26">
        <f>IF($A11="","",IFERROR(1/(1/SUMPRODUCT(MAX((invoices!$B$2:$B$151=$A11)*(invoices!$C$2:$C$151="standard_deposit")*invoices!$H$2:$H$151))),""))</f>
        <v/>
      </c>
      <c r="DE11" s="26">
        <f>IF($A11="","",IFERROR(1/(1/SUMPRODUCT(MAX((invoices!$B$2:$B$151=$A11)*((invoices!$C$2:$C$151="founding_full")+(invoices!$C$2:$C$151="standard_balance"))*invoices!$H$2:$H$151))),""))</f>
        <v/>
      </c>
      <c r="DF11" s="27">
        <f>IF($A11="","",SUMIFS(invoices!$L$2:$L$151,invoices!$B$2:$B$151,$A11))</f>
        <v/>
      </c>
      <c r="DG11" s="27">
        <f>IF($A11="","",SUMIFS(costs!$E$2:$E$301,costs!$C$2:$C$301,$A11))</f>
        <v/>
      </c>
      <c r="DH11" s="27">
        <f>IF($A11="","",ROUND(IF(SUMIFS(campaigns!$BO$2:$BO$51,campaigns!$B$2:$B$51,$B11)=0,0,$BO11/SUMIFS(campaigns!$BO$2:$BO$51,campaigns!$B$2:$B$51,$B11))*(SUMIFS(costs!$E$2:$E$301,costs!$B$2:$B$301,$B11)-SUMPRODUCT((costs!$B$2:$B$301=$B11)*(LEN(costs!$C$2:$C$301)&gt;0)*costs!$E$2:$E$301)),2))</f>
        <v/>
      </c>
      <c r="DI11" s="28">
        <f>IF($A11="","",SUMIFS(hours!$E$2:$E$1501,hours!$C$2:$C$1501,$A11))</f>
        <v/>
      </c>
      <c r="DJ11" s="28">
        <f>IF($A11="","",ROUND(IF(SUMIFS(campaigns!$BO$2:$BO$51,campaigns!$B$2:$B$51,$B11)=0,0,$BO11/SUMIFS(campaigns!$BO$2:$BO$51,campaigns!$B$2:$B$51,$B11))*(SUMIFS(hours!$E$2:$E$1501,hours!$B$2:$B$1501,$B11)-SUMPRODUCT((hours!$B$2:$B$1501=$B11)*(LEN(hours!$C$2:$C$1501)&gt;0)*hours!$E$2:$E$1501)),2))</f>
        <v/>
      </c>
      <c r="DK11" s="27">
        <f>IF($A11="","",$DB11-$DF11-$DG11-$DH11)</f>
        <v/>
      </c>
      <c r="DL11" s="27">
        <f>IF($A11="","",IF(N($DI11)+N($DJ11)=0,"",ROUND($DK11/($DI11+$DJ11),2)))</f>
        <v/>
      </c>
      <c r="DM11" s="29">
        <f>IF($A11="","",IF(N($BP11)=0,"",COUNTIFS(approvals!$A$2:$A$251,$A11,approvals!$Q$2:$Q$251,"Y",approvals!$AK$2:$AK$251,"Y")/$BP11))</f>
        <v/>
      </c>
      <c r="DN11" s="28">
        <f>IF($A11="","",IF(COUNTIFS(approvals!$A$2:$A$251,$A11,approvals!$AC$2:$AC$251,"&gt;=0")=0,"",ROUND(SUMIFS(approvals!$AC$2:$AC$251,approvals!$A$2:$A$251,$A11)/COUNTIFS(approvals!$A$2:$A$251,$A11,approvals!$AC$2:$AC$251,"&gt;=0"),1)))</f>
        <v/>
      </c>
      <c r="DO11" s="26">
        <f>IF($A11="","",IFERROR(IF(INDEX(drops!$T$2:$T$21,MATCH($B11,drops!$A$2:$A$21,0))="","",INDEX(drops!$T$2:$T$21,MATCH($B11,drops!$A$2:$A$21,0))),""))</f>
        <v/>
      </c>
      <c r="DP11" s="26">
        <f>IF($A11="","",IFERROR(IF(INDEX(drops!$U$2:$U$21,MATCH($B11,drops!$A$2:$A$21,0))="","",INDEX(drops!$U$2:$U$21,MATCH($B11,drops!$A$2:$A$21,0))),""))</f>
        <v/>
      </c>
      <c r="DQ11" s="26">
        <f>IF($A11="","",IFERROR(IF(INDEX(drops!$W$2:$W$21,MATCH($B11,drops!$A$2:$A$21,0))="","",INDEX(drops!$W$2:$W$21,MATCH($B11,drops!$A$2:$A$21,0))),""))</f>
        <v/>
      </c>
      <c r="DR11" s="25">
        <f>IF($A11="","",IF($CE11="","",IF($CE11&gt;=config!$B$31,"pass","miss")))</f>
        <v/>
      </c>
      <c r="DS11" s="25">
        <f>IF($A11="","",IF($CI11="","",IF($CI11&gt;=config!$B$30,"pass","miss")))</f>
        <v/>
      </c>
      <c r="DT11" s="25">
        <f>IF($A11="","",IF($AT11="",IF($DO11="","",IF(IF(config!$B$37&lt;&gt;"",config!$B$37,TODAY())&gt;$DO11,"late","due")),IF($AT11&lt;=$DO11,"pass","late")))</f>
        <v/>
      </c>
      <c r="DU11" s="25">
        <f>IF($A11="","",IF(COUNTIF(drops!$A$2:$A$21,$B11)=0,"drop_id not on drops; ",IF($BG11="","drop date missing or refused; ",""))&amp;IF(AND($G11&lt;&gt;"",$G11&lt;&gt;$BI11),"price differs from the price list; ","")&amp;IF(AND(LEFT($BW11,4)="HOLD",$BL11&lt;&gt;"",IF(config!$B$37&lt;&gt;"",config!$B$37,TODAY())&gt;=WORKDAY(N($BL11),-3,calendar!$A$2:$A$80)),"SHIP HOLD within 3 business days of T-10; ","")&amp;IF(AND($BQ11&gt;0,$BL11&lt;&gt;"",IF(config!$B$37&lt;&gt;"",config!$B$37,TODAY())&gt;$BL11),"approvals still pending after T-10; ","")&amp;IF($BZ11&lt;0,"reserve below zero: check inventory; ","")&amp;IF(AND($BG11&lt;&gt;"",IF(config!$B$37&lt;&gt;"",config!$B$37,TODAY())&gt;WORKDAY(N($BG11),14,calendar!$A$2:$A$80),N($BZ11)+N($CA11)&lt;&gt;0),"units still on hand after T+14; ","")&amp;IF(N($CV11)&gt;0,"info: "&amp;$CV11&amp;" in-window responses with a card code that matches no office (not counted); ","")&amp;IF(AND($Z11="Y",$AK11=""),"newsletter form URL missing; ","")&amp;IF(AND($Z11="Y",$BG11&lt;&gt;"",IF(config!$B$37&lt;&gt;"",config!$B$37,TODAY())&gt;WORKDAY(N($BG11),5,calendar!$A$2:$A$80),$AY11=""),"newsletter list not yet passed on (due T+5); ","")&amp;IF(AND($AY11&lt;&gt;"",$BA11=""),"delete unticked emails; ","")&amp;IF(AND($AY11&lt;&gt;"",$BB11="",IF(config!$B$37&lt;&gt;"",config!$B$37,TODAY())&gt;$AY11+config!$B$32),"DELETE the consented emails (30 days after passing on); ","")&amp;IF(AND($BG11&lt;&gt;"",$AJ11="",IF(config!$B$37&lt;&gt;"",config!$B$37,TODAY())&gt;=WORKDAY(N($BG11),-4,calendar!$A$2:$A$80)),"survey prefill template missing (due T-4); ","")&amp;IF(AND($AJ11&lt;&gt;"",ISERROR(SEARCH("CARDCODE",$AJ11))),"prefill template has no CARDCODE; ","")&amp;IF(AND($AF11="",$BG11&lt;&gt;"",IF(config!$B$37&lt;&gt;"",config!$B$37,TODAY())&gt;=WORKDAY(N($BG11),-3,calendar!$A$2:$A$80)),"card text not yet sent to the brand; ","")&amp;IF(AND($DA11="",$DQ11&lt;&gt;"",IF(config!$B$37&lt;&gt;"",config!$B$37,TODAY())&gt;$DQ11),"day-30 redemption count due; ","")&amp;IF(AND(LEFT($BW11,8)="RELEASED",$AG11=""),"ship-date email due (template 02): send it, then log ship_email_sent_date and ship_email_units; ","")&amp;IF(AND($AH11&lt;&gt;"",N($BT11)&gt;0,N($BX11)=0,N($AH11)&lt;&gt;N($BT11)),"units changed since the ship-date email of "&amp;IF($AG11="","?",TEXT($AG11,"yyyy-mm-dd"))&amp;" ("&amp;$AH11&amp;", now "&amp;$BT11&amp;"): send the brand the revised numbers (template 02) and log them; ","")&amp;IF($DT11="late","report late; ","")&amp;IF(AND(N($F11)&gt;0,$BO11&lt;N($F11),$BQ11=0),"info: "&amp;(N($F11)-$BO11)&amp;" office(s) short of the contract: add a roster office or credit $"&amp;IF($D11="founding",config!$B$25,config!$B$24)&amp;" each; ","")&amp;IF($BC11&lt;&gt;"",IF(COUNTIF(survey_frozen!$A$2:$A$251,$A11)=0,"answers deleted but no frozen totals: the survey numbers now read 0 (tools/freeze_survey.py, SOP answers_delete); ",""),IF(AND($BG11&lt;&gt;"",IF(config!$B$37&lt;&gt;"",config!$B$37,TODAY())&gt;=$BG11,ISREF(INDIRECT("'"&amp;$A11&amp;"'!B1"))),IF(INDIRECT("'"&amp;$A11&amp;"'!B1")&lt;&gt;"Card code (filled in for you)","survey tab column B is not the card code: fix the form or the tab; ",""),IF(AND($BG11&lt;&gt;"",IF(config!$B$37&lt;&gt;"",config!$B$37,TODAY())&gt;=$BG11),"no survey tab named "&amp;$A11&amp;"; ","")))&amp;IF(COUNTIF(brands!$A$2:$A$41,$C11)=0,"brand_id not on brands; ",IF(LEFT(IFERROR(IF(INDEX(brands!$AG$2:$AG$41,MATCH($C11,brands!$A$2:$A$41,0))="","",INDEX(brands!$AG$2:$AG$41,MATCH($C11,brands!$A$2:$A$41,0))),""),1)&lt;&gt;"Y","brand not qualified ("&amp;IFERROR(IF(INDEX(brands!$AG$2:$AG$41,MATCH($C11,brands!$A$2:$A$41,0))="","",INDEX(brands!$AG$2:$AG$41,MATCH($C11,brands!$A$2:$A$41,0))),"")&amp;"): nothing ships until it is; ",""))&amp;IF(AND(COUNTIF(brands!$A$2:$A$41,$C11)&gt;0,OR(IFERROR(IF(INDEX(brands!$C$2:$C$41,MATCH($C11,brands!$A$2:$A$41,0))="","",INDEX(brands!$C$2:$C$41,MATCH($C11,brands!$A$2:$A$41,0))),"")="",IFERROR(IF(INDEX(brands!$D$2:$D$41,MATCH($C11,brands!$A$2:$A$41,0))="","",INDEX(brands!$D$2:$D$41,MATCH($C11,brands!$A$2:$A$41,0))),"")="",IFERROR(IF(INDEX(brands!$E$2:$E$41,MATCH($C11,brands!$A$2:$A$41,0))="","",INDEX(brands!$E$2:$E$41,MATCH($C11,brands!$A$2:$A$41,0))),"")="")),"brand billing details missing on brands (legal name, address, email): needed for the invoice; ","")&amp;IF(AND($D11="founding",$E11&lt;&gt;"Y",N(IFERROR(IF(INDEX(brands!$AI$2:$AI$41,MATCH($C11,brands!$A$2:$A$41,0))="","",INDEX(brands!$AI$2:$AI$41,MATCH($C11,brands!$A$2:$A$41,0))),""))&gt;3),"the founding tier is for the first three brands only (this is brand "&amp;IFERROR(IF(INDEX(brands!$AI$2:$AI$41,MATCH($C11,brands!$A$2:$A$41,0))="","",INDEX(brands!$AI$2:$AI$41,MATCH($C11,brands!$A$2:$A$41,0))),"")&amp;"): use standard; ","")&amp;IF(AND($D11="founding",$E11&lt;&gt;"Y",COUNTIFS(campaigns!$C$2:$C$51,$C11,campaigns!$D$2:$D$51,"founding",campaigns!$E$2:$E$51,"&lt;&gt;Y")&gt;1),"a brand has the founding price once; its next two campaigns are founding_lock = Y; ","")&amp;IF(AND($E11="Y",COUNTIFS(campaigns!$C$2:$C$51,$C11,campaigns!$D$2:$D$51,"founding",campaigns!$E$2:$E$51,"Y")&gt;2),"founding_lock is for the brand's next two campaigns only (this is a third): use standard; ","")&amp;IF(AND($E11="Y",COUNTIFS(campaigns!$C$2:$C$51,$C11,campaigns!$D$2:$D$51,"founding",campaigns!$E$2:$E$51,"&lt;&gt;Y")=0),"founding_lock without a first founding campaign for this brand; ","")&amp;IF(AND(N($BX11)&gt;0,$BG11&lt;&gt;"",IF(config!$B$37&lt;&gt;"",config!$B$37,TODAY())&gt;=WORKDAY(N($BG11),-5,calendar!$A$2:$A$80)),IF(N($BX11)-N($BY11)&lt;N($BR11),"received "&amp;(N($BX11)-N($BY11))&amp;" usable units for "&amp;$BR11&amp;" allocated: reduce units_override evenly (SOP section 4, short shipment); ","")&amp;IF(AND(N($BX11)&lt;N($BT11),COUNTIFS(issues!$E$2:$E$121,$A11,issues!$G$2:$G$121,"short_shipment")=0),"received "&amp;$BX11&amp;" of "&amp;$BT11&amp;" due: log a short_shipment issue and tell the brand today; ",""),"")&amp;IF(AND($BG11&lt;&gt;"",IF(config!$B$37&lt;&gt;"",config!$B$37,TODAY())&gt;=WORKDAY(N($BG11),1,calendar!$A$2:$A$80),N($F11)&gt;0,(-SUMIFS(invoices!$E$2:$E$151,invoices!$B$2:$B$151,$A11,invoices!$C$2:$C$151,"credit_note"))&lt;(IF($D11="founding",config!$B$25,config!$B$24)*MAX(0,N($F11)-COUNTIFS(approvals!$A$2:$A$251,$A11,approvals!$Q$2:$Q$251,"Y",approvals!$AB$2:$AB$251,"Y")))-0.005),"credit due from T+1: "&amp;MAX(0,N($F11)-COUNTIFS(approvals!$A$2:$A$251,$A11,approvals!$Q$2:$Q$251,"Y",approvals!$AB$2:$AB$251,"Y"))&amp;" of "&amp;$F11&amp;" contracted offices not placed by T+1, $"&amp;(IF($D11="founding",config!$B$25,config!$B$24)*MAX(0,N($F11)-COUNTIFS(approvals!$A$2:$A$251,$A11,approvals!$Q$2:$Q$251,"Y",approvals!$AB$2:$AB$251,"Y")))&amp;" due, $"&amp;(-SUMIFS(invoices!$E$2:$E$151,invoices!$B$2:$B$151,$A11,invoices!$C$2:$C$151,"credit_note"))&amp;" in credit notes so far (template 06, make_invoice.py); ","")&amp;IF(AND(IFERROR(IF(INDEX(brands!$H$2:$H$41,MATCH($C11,brands!$A$2:$A$41,0))="","",INDEX(brands!$H$2:$H$41,MATCH($C11,brands!$A$2:$A$41,0))),"")&lt;&gt;"",$BG11&lt;&gt;"",IFERROR(IF(INDEX(brands!$H$2:$H$41,MATCH($C11,brands!$A$2:$A$41,0))="","",INDEX(brands!$H$2:$H$41,MATCH($C11,brands!$A$2:$A$41,0))),"")&lt;EDATE(WORKDAY(N($BG11),4,calendar!$A$2:$A$80),12)),"info: brand insurance ends "&amp;TEXT(IFERROR(IF(INDEX(brands!$H$2:$H$41,MATCH($C11,brands!$A$2:$A$41,0))="","",INDEX(brands!$H$2:$H$41,MATCH($C11,brands!$A$2:$A$41,0))),""),"yyyy-mm-dd")&amp;": diary the renewal certificate; ",""))</f>
        <v/>
      </c>
    </row>
    <row r="12">
      <c r="G12" s="10" t="n"/>
      <c r="H12" s="9" t="n"/>
      <c r="AB12" s="9" t="n"/>
      <c r="AC12" s="9" t="n"/>
      <c r="AD12" s="9" t="n"/>
      <c r="AF12" s="9" t="n"/>
      <c r="AG12" s="9" t="n"/>
      <c r="AT12" s="9" t="n"/>
      <c r="AU12" s="9" t="n"/>
      <c r="AY12" s="9" t="n"/>
      <c r="BA12" s="9" t="n"/>
      <c r="BB12" s="9" t="n"/>
      <c r="BC12" s="9" t="n"/>
      <c r="BE12" s="25">
        <f>IF($A12="","",IFERROR(IF(INDEX(brands!$K$2:$K$41,MATCH($C12,brands!$A$2:$A$41,0))="","",INDEX(brands!$K$2:$K$41,MATCH($C12,brands!$A$2:$A$41,0))),""))</f>
        <v/>
      </c>
      <c r="BF12" s="25">
        <f>IF($A12="","",IFERROR(IF(INDEX(brands!$M$2:$M$41,MATCH($C12,brands!$A$2:$A$41,0))="","",INDEX(brands!$M$2:$M$41,MATCH($C12,brands!$A$2:$A$41,0))),""))</f>
        <v/>
      </c>
      <c r="BG12" s="26">
        <f>IF($A12="","",IF(IFERROR(IF(INDEX(drops!$I$2:$I$21,MATCH($B12,drops!$A$2:$A$21,0))="","",INDEX(drops!$I$2:$I$21,MATCH($B12,drops!$A$2:$A$21,0))),"")="OK",IFERROR(IF(INDEX(drops!$B$2:$B$21,MATCH($B12,drops!$A$2:$A$21,0))="","",INDEX(drops!$B$2:$B$21,MATCH($B12,drops!$A$2:$A$21,0))),""),""))</f>
        <v/>
      </c>
      <c r="BH12" s="25">
        <f>IF($A12="","",IFERROR(IF(INDEX(drops!$C$2:$C$21,MATCH($B12,drops!$A$2:$A$21,0))="","",INDEX(drops!$C$2:$C$21,MATCH($B12,drops!$A$2:$A$21,0))),""))</f>
        <v/>
      </c>
      <c r="BI12" s="27">
        <f>IF($A12="","",IF($F12="","",IF($D12="founding",IF($E12="Y",config!$B$25*MIN($F12,config!$B$26)+config!$B$24*MAX(0,$F12-config!$B$26),config!$B$20+config!$B$24*MAX(0,$F12-config!$B$21)),IF($D12="standard",config!$B$22+config!$B$24*MAX(0,$F12-config!$B$23),""))))</f>
        <v/>
      </c>
      <c r="BJ12" s="27">
        <f>IF($A12="","",IF($G12&lt;&gt;"",$G12,$BI12))</f>
        <v/>
      </c>
      <c r="BK12" s="25">
        <f>IF($A12="","",IF($D12="founding","100% within "&amp;config!$B$27&amp;" business days of the invoice, before shipping",IF($D12="standard","50% on signing; 50% at placement confirmation (T+1)","")))</f>
        <v/>
      </c>
      <c r="BL12" s="26">
        <f>IF($A12="","",IFERROR(IF(INDEX(drops!$K$2:$K$21,MATCH($B12,drops!$A$2:$A$21,0))="","",INDEX(drops!$K$2:$K$21,MATCH($B12,drops!$A$2:$A$21,0))),""))</f>
        <v/>
      </c>
      <c r="BM12" s="26">
        <f>IF($A12="","",IFERROR(IF(INDEX(drops!$L$2:$L$21,MATCH($B12,drops!$A$2:$A$21,0))="","",INDEX(drops!$L$2:$L$21,MATCH($B12,drops!$A$2:$A$21,0))),""))</f>
        <v/>
      </c>
      <c r="BN12" s="25">
        <f>IF($A12="","",COUNTIF(approvals!$A$2:$A$251,$A12))</f>
        <v/>
      </c>
      <c r="BO12" s="25">
        <f>IF($A12="","",COUNTIFS(approvals!$A$2:$A$251,$A12,approvals!$P$2:$P$251,"Y"))</f>
        <v/>
      </c>
      <c r="BP12" s="25">
        <f>IF($A12="","",COUNTIFS(approvals!$A$2:$A$251,$A12,approvals!$Q$2:$Q$251,"Y"))</f>
        <v/>
      </c>
      <c r="BQ12" s="25">
        <f>IF($A12="","",COUNTIFS(approvals!$A$2:$A$251,$A12,approvals!$P$2:$P$251,"pending"))</f>
        <v/>
      </c>
      <c r="BR12" s="25">
        <f>IF($A12="","",SUMIFS(approvals!$S$2:$S$251,approvals!$A$2:$A$251,$A12,approvals!$P$2:$P$251,"Y"))</f>
        <v/>
      </c>
      <c r="BS12" s="25">
        <f>IF($A12="","",ROUNDUP($BR12*config!$B$18,0))</f>
        <v/>
      </c>
      <c r="BT12" s="25">
        <f>IF($A12="","",$BR12+$BS12)</f>
        <v/>
      </c>
      <c r="BU12" s="27">
        <f>IF($A12="","",SUMIFS(invoices!$I$2:$I$151,invoices!$B$2:$B$151,$A12,invoices!$R$2:$R$151,"Y",invoices!$H$2:$H$151,"&gt;0"))</f>
        <v/>
      </c>
      <c r="BV12" s="27">
        <f>IF($A12="","",IF($BJ12="","",IF($D12="founding",$BJ12,ROUND($BJ12*config!$B$28,2))))</f>
        <v/>
      </c>
      <c r="BW12" s="25">
        <f>IF($A12="","",IF(AND(N($BU12)&gt;=N($BV12),N($BV12)&gt;0,$H12&lt;&gt;"",AND($AB12&lt;&gt;"",IFERROR(IF(INDEX(brands!$G$2:$G$41,MATCH($C12,brands!$A$2:$A$41,0))="","",INDEX(brands!$G$2:$G$41,MATCH($C12,brands!$A$2:$A$41,0))),"")="Y"),LEFT(IFERROR(IF(INDEX(brands!$AG$2:$AG$41,MATCH($C12,brands!$A$2:$A$41,0))="","",INDEX(brands!$AG$2:$AG$41,MATCH($C12,brands!$A$2:$A$41,0))),""),1)="Y",$BG12&lt;&gt;"",$BQ12=0,$BO12&gt;0),"RELEASED "&amp;TEXT(MAX(IFERROR(1/(1/SUMPRODUCT(MAX((invoices!$B$2:$B$151=$A12)*(invoices!$R$2:$R$151="Y")*(invoices!$H$2:$H$151)))),""),$H12,$AB12,SUMPRODUCT(MAX((approvals!$A$2:$A$251=$A12)*(approvals!$P$2:$P$251="Y")*(approvals!$E$2:$E$251+(approvals!$E$2:$E$251=0)*approvals!$C$2:$C$251)))),"yyyy-mm-dd")&amp;": ship by "&amp;TEXT($BM12,"ddd yyyy-mm-dd")&amp;" (latest "&amp;TEXT($BL12,"ddd yyyy-mm-dd")&amp;")","HOLD: "&amp;IF(N($BU12)&lt;N($BV12),"payment ("&amp;TEXT(N($BU12),"0")&amp;" of "&amp;TEXT(N($BV12),"0")&amp;") ","")&amp;IF($H12="","agreement ","")&amp;IF(NOT(AND($AB12&lt;&gt;"",IFERROR(IF(INDEX(brands!$G$2:$G$41,MATCH($C12,brands!$A$2:$A$41,0))="","",INDEX(brands!$G$2:$G$41,MATCH($C12,brands!$A$2:$A$41,0))),"")="Y")),"certificate ","")&amp;IF(NOT(LEFT(IFERROR(IF(INDEX(brands!$AG$2:$AG$41,MATCH($C12,brands!$A$2:$A$41,0))="","",INDEX(brands!$AG$2:$AG$41,MATCH($C12,brands!$A$2:$A$41,0))),""),1)="Y"),"qualification ","")&amp;IF($BG12="","drop date ","")&amp;IF($BQ12&gt;0,"approvals ("&amp;$BQ12&amp;" pending) ","")&amp;IF($BO12=0,"no office approved ","")))</f>
        <v/>
      </c>
      <c r="BX12" s="25">
        <f>IF($A12="","",SUMIFS(inventory!$G$2:$G$801,inventory!$C$2:$C$801,$A12,inventory!$E$2:$E$801,"received"))</f>
        <v/>
      </c>
      <c r="BY12" s="25">
        <f>IF($A12="","",SUMIFS(inventory!$G$2:$G$801,inventory!$C$2:$C$801,$A12,inventory!$E$2:$E$801,"rejected"))</f>
        <v/>
      </c>
      <c r="BZ12" s="25">
        <f>IF($A12="","",SUMIFS(inventory!$M$2:$M$801,inventory!$C$2:$C$801,$A12))</f>
        <v/>
      </c>
      <c r="CA12" s="25">
        <f>IF($A12="","",SUMIFS(inventory!$O$2:$O$801,inventory!$C$2:$C$801,$A12))</f>
        <v/>
      </c>
      <c r="CB12" s="25">
        <f>IF($A12="","",SUMIFS(approvals!$U$2:$U$251,approvals!$A$2:$A$251,$A12))</f>
        <v/>
      </c>
      <c r="CC12" s="25">
        <f>IF($A12="","",SUMIFS(approvals!$AA$2:$AA$251,approvals!$A$2:$A$251,$A12))</f>
        <v/>
      </c>
      <c r="CD12" s="25">
        <f>IF($A12="","",SUMIFS(approvals!$AA$2:$AA$251,approvals!$A$2:$A$251,$A12,approvals!$AB$2:$AB$251,"Y"))</f>
        <v/>
      </c>
      <c r="CE12" s="29">
        <f>IF($A12="","",IF(N($CB12)=0,"",$CD12/$CB12))</f>
        <v/>
      </c>
      <c r="CF12" s="25">
        <f>IF($A12="","",SUMIFS(approvals!$AD$2:$AD$251,approvals!$A$2:$A$251,$A12))</f>
        <v/>
      </c>
      <c r="CG12" s="25">
        <f>IF($A12="","",IF(COUNTIFS(approvals!$A$2:$A$251,$A12,approvals!$Q$2:$Q$251,"Y",approvals!$AG$2:$AG$251,"")&gt;0,"",SUMIFS(approvals!$AG$2:$AG$251,approvals!$A$2:$A$251,$A12,approvals!$Q$2:$Q$251,"Y")))</f>
        <v/>
      </c>
      <c r="CH12" s="25">
        <f>IF($A12="","",SUMIFS(approvals!$AL$2:$AL$251,approvals!$A$2:$A$251,$A12))</f>
        <v/>
      </c>
      <c r="CI12" s="25">
        <f>IF($A12="","",IF(N($BP12)=0,"",SUMPRODUCT(MIN(approvals!$BB$2:$BB$251+(approvals!$A$2:$A$251&lt;&gt;$A12)*1000000))))</f>
        <v/>
      </c>
      <c r="CJ12" s="25">
        <f>IF($A12="","",COUNTIFS(approvals!$A$2:$A$251,$A12,approvals!$Q$2:$Q$251,"Y",approvals!$AL$2:$AL$251,"&lt;"&amp;config!$B$30))</f>
        <v/>
      </c>
      <c r="CK12" s="25">
        <f>IF($A12="","",SUMIFS(approvals!$AM$2:$AM$251,approvals!$A$2:$A$251,$A12))</f>
        <v/>
      </c>
      <c r="CL12" s="25">
        <f>IF($A12="","",SUMIFS(approvals!$AQ$2:$AQ$251,approvals!$A$2:$A$251,$A12))</f>
        <v/>
      </c>
      <c r="CM12" s="25">
        <f>IF($A12="","",SUMIFS(approvals!$AR$2:$AR$251,approvals!$A$2:$A$251,$A12))</f>
        <v/>
      </c>
      <c r="CN12" s="25">
        <f>IF($A12="","",SUMIFS(approvals!$AS$2:$AS$251,approvals!$A$2:$A$251,$A12))</f>
        <v/>
      </c>
      <c r="CO12" s="25">
        <f>IF($A12="","",SUMIFS(approvals!$AT$2:$AT$251,approvals!$A$2:$A$251,$A12))</f>
        <v/>
      </c>
      <c r="CP12" s="28">
        <f>IF($A12="","",IF(N($CO12)=0,"",ROUND(SUMIFS(approvals!$AU$2:$AU$251,approvals!$A$2:$A$251,$A12)/$CO12,1)))</f>
        <v/>
      </c>
      <c r="CQ12" s="25">
        <f>IF($A12="","",SUMIFS(approvals!$AV$2:$AV$251,approvals!$A$2:$A$251,$A12))</f>
        <v/>
      </c>
      <c r="CR12" s="25">
        <f>IF($A12="","",SUMIFS(approvals!$AW$2:$AW$251,approvals!$A$2:$A$251,$A12))</f>
        <v/>
      </c>
      <c r="CS12" s="25">
        <f>IF($A12="","",SUMIFS(approvals!$AX$2:$AX$251,approvals!$A$2:$A$251,$A12))</f>
        <v/>
      </c>
      <c r="CT12" s="25">
        <f>IF($A12="","",SUMIFS(approvals!$AY$2:$AY$251,approvals!$A$2:$A$251,$A12))</f>
        <v/>
      </c>
      <c r="CU12" s="25">
        <f>IF($A12="","",IF(OR($BG12="",$BC12&lt;&gt;""),"",IFERROR(COUNT(INDIRECT("'"&amp;$A12&amp;"'!$A$2:$A$501")),0)-IFERROR(COUNTIFS(INDIRECT("'"&amp;$A12&amp;"'!$A$2:$A$501"),"&gt;="&amp;$BG12,INDIRECT("'"&amp;$A12&amp;"'!$A$2:$A$501"),"&lt;"&amp;(IFERROR(IF(INDEX(drops!$R$2:$R$21,MATCH($B12,drops!$A$2:$A$21,0))="","",INDEX(drops!$R$2:$R$21,MATCH($B12,drops!$A$2:$A$21,0))),"")+1)),0)))</f>
        <v/>
      </c>
      <c r="CV12" s="25">
        <f>IF($A12="","",IF(OR($BG12="",$BC12&lt;&gt;""),"",IFERROR(COUNTIFS(INDIRECT("'"&amp;$A12&amp;"'!$A$2:$A$501"),"&gt;="&amp;$BG12,INDIRECT("'"&amp;$A12&amp;"'!$A$2:$A$501"),"&lt;"&amp;(IFERROR(IF(INDEX(drops!$R$2:$R$21,MATCH($B12,drops!$A$2:$A$21,0))="","",INDEX(drops!$R$2:$R$21,MATCH($B12,drops!$A$2:$A$21,0))),"")+1)),0)-N($CH12)))</f>
        <v/>
      </c>
      <c r="CW12" s="25">
        <f>IF($A12="","",SUMIFS(approvals!$AN$2:$AN$251,approvals!$A$2:$A$251,$A12))</f>
        <v/>
      </c>
      <c r="CX12" s="25">
        <f>IF($A12="","",SUMIFS(approvals!$AO$2:$AO$251,approvals!$A$2:$A$251,$A12))</f>
        <v/>
      </c>
      <c r="CY12" s="25">
        <f>IF($A12="","",IF($CZ12="","",SUMIFS(redemptions!$C$2:$C$121,redemptions!$A$2:$A$121,$A12,redemptions!$B$2:$B$121,$CZ12)))</f>
        <v/>
      </c>
      <c r="CZ12" s="26">
        <f>IF($A12="","",IFERROR(1/(1/SUMPRODUCT(MAX((redemptions!$A$2:$A$121=$A12)*redemptions!$B$2:$B$121))),""))</f>
        <v/>
      </c>
      <c r="DA12" s="25">
        <f>IF($A12="","",IF(COUNTIFS(redemptions!$A$2:$A$121,$A12,redemptions!$H$2:$H$121,"Y")=0,"",SUMIFS(redemptions!$C$2:$C$121,redemptions!$A$2:$A$121,$A12,redemptions!$B$2:$B$121,SUMPRODUCT(MIN((redemptions!$A$2:$A$121=$A12)*(redemptions!$H$2:$H$121="Y")*redemptions!$B$2:$B$121+((redemptions!$A$2:$A$121&lt;&gt;$A12)+(redemptions!$H$2:$H$121&lt;&gt;"Y")&gt;0)*1000000)))))</f>
        <v/>
      </c>
      <c r="DB12" s="27">
        <f>IF($A12="","",SUMIFS(invoices!$E$2:$E$151,invoices!$B$2:$B$151,$A12))</f>
        <v/>
      </c>
      <c r="DC12" s="27">
        <f>IF($A12="","",IF(COUNTIFS(invoices!$B$2:$B$151,$A12,invoices!$C$2:$C$151,"standard_deposit",invoices!$H$2:$H$151,"&gt;0")=0,"",SUMIFS(invoices!$I$2:$I$151,invoices!$B$2:$B$151,$A12,invoices!$C$2:$C$151,"standard_deposit")))</f>
        <v/>
      </c>
      <c r="DD12" s="26">
        <f>IF($A12="","",IFERROR(1/(1/SUMPRODUCT(MAX((invoices!$B$2:$B$151=$A12)*(invoices!$C$2:$C$151="standard_deposit")*invoices!$H$2:$H$151))),""))</f>
        <v/>
      </c>
      <c r="DE12" s="26">
        <f>IF($A12="","",IFERROR(1/(1/SUMPRODUCT(MAX((invoices!$B$2:$B$151=$A12)*((invoices!$C$2:$C$151="founding_full")+(invoices!$C$2:$C$151="standard_balance"))*invoices!$H$2:$H$151))),""))</f>
        <v/>
      </c>
      <c r="DF12" s="27">
        <f>IF($A12="","",SUMIFS(invoices!$L$2:$L$151,invoices!$B$2:$B$151,$A12))</f>
        <v/>
      </c>
      <c r="DG12" s="27">
        <f>IF($A12="","",SUMIFS(costs!$E$2:$E$301,costs!$C$2:$C$301,$A12))</f>
        <v/>
      </c>
      <c r="DH12" s="27">
        <f>IF($A12="","",ROUND(IF(SUMIFS(campaigns!$BO$2:$BO$51,campaigns!$B$2:$B$51,$B12)=0,0,$BO12/SUMIFS(campaigns!$BO$2:$BO$51,campaigns!$B$2:$B$51,$B12))*(SUMIFS(costs!$E$2:$E$301,costs!$B$2:$B$301,$B12)-SUMPRODUCT((costs!$B$2:$B$301=$B12)*(LEN(costs!$C$2:$C$301)&gt;0)*costs!$E$2:$E$301)),2))</f>
        <v/>
      </c>
      <c r="DI12" s="28">
        <f>IF($A12="","",SUMIFS(hours!$E$2:$E$1501,hours!$C$2:$C$1501,$A12))</f>
        <v/>
      </c>
      <c r="DJ12" s="28">
        <f>IF($A12="","",ROUND(IF(SUMIFS(campaigns!$BO$2:$BO$51,campaigns!$B$2:$B$51,$B12)=0,0,$BO12/SUMIFS(campaigns!$BO$2:$BO$51,campaigns!$B$2:$B$51,$B12))*(SUMIFS(hours!$E$2:$E$1501,hours!$B$2:$B$1501,$B12)-SUMPRODUCT((hours!$B$2:$B$1501=$B12)*(LEN(hours!$C$2:$C$1501)&gt;0)*hours!$E$2:$E$1501)),2))</f>
        <v/>
      </c>
      <c r="DK12" s="27">
        <f>IF($A12="","",$DB12-$DF12-$DG12-$DH12)</f>
        <v/>
      </c>
      <c r="DL12" s="27">
        <f>IF($A12="","",IF(N($DI12)+N($DJ12)=0,"",ROUND($DK12/($DI12+$DJ12),2)))</f>
        <v/>
      </c>
      <c r="DM12" s="29">
        <f>IF($A12="","",IF(N($BP12)=0,"",COUNTIFS(approvals!$A$2:$A$251,$A12,approvals!$Q$2:$Q$251,"Y",approvals!$AK$2:$AK$251,"Y")/$BP12))</f>
        <v/>
      </c>
      <c r="DN12" s="28">
        <f>IF($A12="","",IF(COUNTIFS(approvals!$A$2:$A$251,$A12,approvals!$AC$2:$AC$251,"&gt;=0")=0,"",ROUND(SUMIFS(approvals!$AC$2:$AC$251,approvals!$A$2:$A$251,$A12)/COUNTIFS(approvals!$A$2:$A$251,$A12,approvals!$AC$2:$AC$251,"&gt;=0"),1)))</f>
        <v/>
      </c>
      <c r="DO12" s="26">
        <f>IF($A12="","",IFERROR(IF(INDEX(drops!$T$2:$T$21,MATCH($B12,drops!$A$2:$A$21,0))="","",INDEX(drops!$T$2:$T$21,MATCH($B12,drops!$A$2:$A$21,0))),""))</f>
        <v/>
      </c>
      <c r="DP12" s="26">
        <f>IF($A12="","",IFERROR(IF(INDEX(drops!$U$2:$U$21,MATCH($B12,drops!$A$2:$A$21,0))="","",INDEX(drops!$U$2:$U$21,MATCH($B12,drops!$A$2:$A$21,0))),""))</f>
        <v/>
      </c>
      <c r="DQ12" s="26">
        <f>IF($A12="","",IFERROR(IF(INDEX(drops!$W$2:$W$21,MATCH($B12,drops!$A$2:$A$21,0))="","",INDEX(drops!$W$2:$W$21,MATCH($B12,drops!$A$2:$A$21,0))),""))</f>
        <v/>
      </c>
      <c r="DR12" s="25">
        <f>IF($A12="","",IF($CE12="","",IF($CE12&gt;=config!$B$31,"pass","miss")))</f>
        <v/>
      </c>
      <c r="DS12" s="25">
        <f>IF($A12="","",IF($CI12="","",IF($CI12&gt;=config!$B$30,"pass","miss")))</f>
        <v/>
      </c>
      <c r="DT12" s="25">
        <f>IF($A12="","",IF($AT12="",IF($DO12="","",IF(IF(config!$B$37&lt;&gt;"",config!$B$37,TODAY())&gt;$DO12,"late","due")),IF($AT12&lt;=$DO12,"pass","late")))</f>
        <v/>
      </c>
      <c r="DU12" s="25">
        <f>IF($A12="","",IF(COUNTIF(drops!$A$2:$A$21,$B12)=0,"drop_id not on drops; ",IF($BG12="","drop date missing or refused; ",""))&amp;IF(AND($G12&lt;&gt;"",$G12&lt;&gt;$BI12),"price differs from the price list; ","")&amp;IF(AND(LEFT($BW12,4)="HOLD",$BL12&lt;&gt;"",IF(config!$B$37&lt;&gt;"",config!$B$37,TODAY())&gt;=WORKDAY(N($BL12),-3,calendar!$A$2:$A$80)),"SHIP HOLD within 3 business days of T-10; ","")&amp;IF(AND($BQ12&gt;0,$BL12&lt;&gt;"",IF(config!$B$37&lt;&gt;"",config!$B$37,TODAY())&gt;$BL12),"approvals still pending after T-10; ","")&amp;IF($BZ12&lt;0,"reserve below zero: check inventory; ","")&amp;IF(AND($BG12&lt;&gt;"",IF(config!$B$37&lt;&gt;"",config!$B$37,TODAY())&gt;WORKDAY(N($BG12),14,calendar!$A$2:$A$80),N($BZ12)+N($CA12)&lt;&gt;0),"units still on hand after T+14; ","")&amp;IF(N($CV12)&gt;0,"info: "&amp;$CV12&amp;" in-window responses with a card code that matches no office (not counted); ","")&amp;IF(AND($Z12="Y",$AK12=""),"newsletter form URL missing; ","")&amp;IF(AND($Z12="Y",$BG12&lt;&gt;"",IF(config!$B$37&lt;&gt;"",config!$B$37,TODAY())&gt;WORKDAY(N($BG12),5,calendar!$A$2:$A$80),$AY12=""),"newsletter list not yet passed on (due T+5); ","")&amp;IF(AND($AY12&lt;&gt;"",$BA12=""),"delete unticked emails; ","")&amp;IF(AND($AY12&lt;&gt;"",$BB12="",IF(config!$B$37&lt;&gt;"",config!$B$37,TODAY())&gt;$AY12+config!$B$32),"DELETE the consented emails (30 days after passing on); ","")&amp;IF(AND($BG12&lt;&gt;"",$AJ12="",IF(config!$B$37&lt;&gt;"",config!$B$37,TODAY())&gt;=WORKDAY(N($BG12),-4,calendar!$A$2:$A$80)),"survey prefill template missing (due T-4); ","")&amp;IF(AND($AJ12&lt;&gt;"",ISERROR(SEARCH("CARDCODE",$AJ12))),"prefill template has no CARDCODE; ","")&amp;IF(AND($AF12="",$BG12&lt;&gt;"",IF(config!$B$37&lt;&gt;"",config!$B$37,TODAY())&gt;=WORKDAY(N($BG12),-3,calendar!$A$2:$A$80)),"card text not yet sent to the brand; ","")&amp;IF(AND($DA12="",$DQ12&lt;&gt;"",IF(config!$B$37&lt;&gt;"",config!$B$37,TODAY())&gt;$DQ12),"day-30 redemption count due; ","")&amp;IF(AND(LEFT($BW12,8)="RELEASED",$AG12=""),"ship-date email due (template 02): send it, then log ship_email_sent_date and ship_email_units; ","")&amp;IF(AND($AH12&lt;&gt;"",N($BT12)&gt;0,N($BX12)=0,N($AH12)&lt;&gt;N($BT12)),"units changed since the ship-date email of "&amp;IF($AG12="","?",TEXT($AG12,"yyyy-mm-dd"))&amp;" ("&amp;$AH12&amp;", now "&amp;$BT12&amp;"): send the brand the revised numbers (template 02) and log them; ","")&amp;IF($DT12="late","report late; ","")&amp;IF(AND(N($F12)&gt;0,$BO12&lt;N($F12),$BQ12=0),"info: "&amp;(N($F12)-$BO12)&amp;" office(s) short of the contract: add a roster office or credit $"&amp;IF($D12="founding",config!$B$25,config!$B$24)&amp;" each; ","")&amp;IF($BC12&lt;&gt;"",IF(COUNTIF(survey_frozen!$A$2:$A$251,$A12)=0,"answers deleted but no frozen totals: the survey numbers now read 0 (tools/freeze_survey.py, SOP answers_delete); ",""),IF(AND($BG12&lt;&gt;"",IF(config!$B$37&lt;&gt;"",config!$B$37,TODAY())&gt;=$BG12,ISREF(INDIRECT("'"&amp;$A12&amp;"'!B1"))),IF(INDIRECT("'"&amp;$A12&amp;"'!B1")&lt;&gt;"Card code (filled in for you)","survey tab column B is not the card code: fix the form or the tab; ",""),IF(AND($BG12&lt;&gt;"",IF(config!$B$37&lt;&gt;"",config!$B$37,TODAY())&gt;=$BG12),"no survey tab named "&amp;$A12&amp;"; ","")))&amp;IF(COUNTIF(brands!$A$2:$A$41,$C12)=0,"brand_id not on brands; ",IF(LEFT(IFERROR(IF(INDEX(brands!$AG$2:$AG$41,MATCH($C12,brands!$A$2:$A$41,0))="","",INDEX(brands!$AG$2:$AG$41,MATCH($C12,brands!$A$2:$A$41,0))),""),1)&lt;&gt;"Y","brand not qualified ("&amp;IFERROR(IF(INDEX(brands!$AG$2:$AG$41,MATCH($C12,brands!$A$2:$A$41,0))="","",INDEX(brands!$AG$2:$AG$41,MATCH($C12,brands!$A$2:$A$41,0))),"")&amp;"): nothing ships until it is; ",""))&amp;IF(AND(COUNTIF(brands!$A$2:$A$41,$C12)&gt;0,OR(IFERROR(IF(INDEX(brands!$C$2:$C$41,MATCH($C12,brands!$A$2:$A$41,0))="","",INDEX(brands!$C$2:$C$41,MATCH($C12,brands!$A$2:$A$41,0))),"")="",IFERROR(IF(INDEX(brands!$D$2:$D$41,MATCH($C12,brands!$A$2:$A$41,0))="","",INDEX(brands!$D$2:$D$41,MATCH($C12,brands!$A$2:$A$41,0))),"")="",IFERROR(IF(INDEX(brands!$E$2:$E$41,MATCH($C12,brands!$A$2:$A$41,0))="","",INDEX(brands!$E$2:$E$41,MATCH($C12,brands!$A$2:$A$41,0))),"")="")),"brand billing details missing on brands (legal name, address, email): needed for the invoice; ","")&amp;IF(AND($D12="founding",$E12&lt;&gt;"Y",N(IFERROR(IF(INDEX(brands!$AI$2:$AI$41,MATCH($C12,brands!$A$2:$A$41,0))="","",INDEX(brands!$AI$2:$AI$41,MATCH($C12,brands!$A$2:$A$41,0))),""))&gt;3),"the founding tier is for the first three brands only (this is brand "&amp;IFERROR(IF(INDEX(brands!$AI$2:$AI$41,MATCH($C12,brands!$A$2:$A$41,0))="","",INDEX(brands!$AI$2:$AI$41,MATCH($C12,brands!$A$2:$A$41,0))),"")&amp;"): use standard; ","")&amp;IF(AND($D12="founding",$E12&lt;&gt;"Y",COUNTIFS(campaigns!$C$2:$C$51,$C12,campaigns!$D$2:$D$51,"founding",campaigns!$E$2:$E$51,"&lt;&gt;Y")&gt;1),"a brand has the founding price once; its next two campaigns are founding_lock = Y; ","")&amp;IF(AND($E12="Y",COUNTIFS(campaigns!$C$2:$C$51,$C12,campaigns!$D$2:$D$51,"founding",campaigns!$E$2:$E$51,"Y")&gt;2),"founding_lock is for the brand's next two campaigns only (this is a third): use standard; ","")&amp;IF(AND($E12="Y",COUNTIFS(campaigns!$C$2:$C$51,$C12,campaigns!$D$2:$D$51,"founding",campaigns!$E$2:$E$51,"&lt;&gt;Y")=0),"founding_lock without a first founding campaign for this brand; ","")&amp;IF(AND(N($BX12)&gt;0,$BG12&lt;&gt;"",IF(config!$B$37&lt;&gt;"",config!$B$37,TODAY())&gt;=WORKDAY(N($BG12),-5,calendar!$A$2:$A$80)),IF(N($BX12)-N($BY12)&lt;N($BR12),"received "&amp;(N($BX12)-N($BY12))&amp;" usable units for "&amp;$BR12&amp;" allocated: reduce units_override evenly (SOP section 4, short shipment); ","")&amp;IF(AND(N($BX12)&lt;N($BT12),COUNTIFS(issues!$E$2:$E$121,$A12,issues!$G$2:$G$121,"short_shipment")=0),"received "&amp;$BX12&amp;" of "&amp;$BT12&amp;" due: log a short_shipment issue and tell the brand today; ",""),"")&amp;IF(AND($BG12&lt;&gt;"",IF(config!$B$37&lt;&gt;"",config!$B$37,TODAY())&gt;=WORKDAY(N($BG12),1,calendar!$A$2:$A$80),N($F12)&gt;0,(-SUMIFS(invoices!$E$2:$E$151,invoices!$B$2:$B$151,$A12,invoices!$C$2:$C$151,"credit_note"))&lt;(IF($D12="founding",config!$B$25,config!$B$24)*MAX(0,N($F12)-COUNTIFS(approvals!$A$2:$A$251,$A12,approvals!$Q$2:$Q$251,"Y",approvals!$AB$2:$AB$251,"Y")))-0.005),"credit due from T+1: "&amp;MAX(0,N($F12)-COUNTIFS(approvals!$A$2:$A$251,$A12,approvals!$Q$2:$Q$251,"Y",approvals!$AB$2:$AB$251,"Y"))&amp;" of "&amp;$F12&amp;" contracted offices not placed by T+1, $"&amp;(IF($D12="founding",config!$B$25,config!$B$24)*MAX(0,N($F12)-COUNTIFS(approvals!$A$2:$A$251,$A12,approvals!$Q$2:$Q$251,"Y",approvals!$AB$2:$AB$251,"Y")))&amp;" due, $"&amp;(-SUMIFS(invoices!$E$2:$E$151,invoices!$B$2:$B$151,$A12,invoices!$C$2:$C$151,"credit_note"))&amp;" in credit notes so far (template 06, make_invoice.py); ","")&amp;IF(AND(IFERROR(IF(INDEX(brands!$H$2:$H$41,MATCH($C12,brands!$A$2:$A$41,0))="","",INDEX(brands!$H$2:$H$41,MATCH($C12,brands!$A$2:$A$41,0))),"")&lt;&gt;"",$BG12&lt;&gt;"",IFERROR(IF(INDEX(brands!$H$2:$H$41,MATCH($C12,brands!$A$2:$A$41,0))="","",INDEX(brands!$H$2:$H$41,MATCH($C12,brands!$A$2:$A$41,0))),"")&lt;EDATE(WORKDAY(N($BG12),4,calendar!$A$2:$A$80),12)),"info: brand insurance ends "&amp;TEXT(IFERROR(IF(INDEX(brands!$H$2:$H$41,MATCH($C12,brands!$A$2:$A$41,0))="","",INDEX(brands!$H$2:$H$41,MATCH($C12,brands!$A$2:$A$41,0))),""),"yyyy-mm-dd")&amp;": diary the renewal certificate; ",""))</f>
        <v/>
      </c>
    </row>
    <row r="13">
      <c r="G13" s="10" t="n"/>
      <c r="H13" s="9" t="n"/>
      <c r="AB13" s="9" t="n"/>
      <c r="AC13" s="9" t="n"/>
      <c r="AD13" s="9" t="n"/>
      <c r="AF13" s="9" t="n"/>
      <c r="AG13" s="9" t="n"/>
      <c r="AT13" s="9" t="n"/>
      <c r="AU13" s="9" t="n"/>
      <c r="AY13" s="9" t="n"/>
      <c r="BA13" s="9" t="n"/>
      <c r="BB13" s="9" t="n"/>
      <c r="BC13" s="9" t="n"/>
      <c r="BE13" s="25">
        <f>IF($A13="","",IFERROR(IF(INDEX(brands!$K$2:$K$41,MATCH($C13,brands!$A$2:$A$41,0))="","",INDEX(brands!$K$2:$K$41,MATCH($C13,brands!$A$2:$A$41,0))),""))</f>
        <v/>
      </c>
      <c r="BF13" s="25">
        <f>IF($A13="","",IFERROR(IF(INDEX(brands!$M$2:$M$41,MATCH($C13,brands!$A$2:$A$41,0))="","",INDEX(brands!$M$2:$M$41,MATCH($C13,brands!$A$2:$A$41,0))),""))</f>
        <v/>
      </c>
      <c r="BG13" s="26">
        <f>IF($A13="","",IF(IFERROR(IF(INDEX(drops!$I$2:$I$21,MATCH($B13,drops!$A$2:$A$21,0))="","",INDEX(drops!$I$2:$I$21,MATCH($B13,drops!$A$2:$A$21,0))),"")="OK",IFERROR(IF(INDEX(drops!$B$2:$B$21,MATCH($B13,drops!$A$2:$A$21,0))="","",INDEX(drops!$B$2:$B$21,MATCH($B13,drops!$A$2:$A$21,0))),""),""))</f>
        <v/>
      </c>
      <c r="BH13" s="25">
        <f>IF($A13="","",IFERROR(IF(INDEX(drops!$C$2:$C$21,MATCH($B13,drops!$A$2:$A$21,0))="","",INDEX(drops!$C$2:$C$21,MATCH($B13,drops!$A$2:$A$21,0))),""))</f>
        <v/>
      </c>
      <c r="BI13" s="27">
        <f>IF($A13="","",IF($F13="","",IF($D13="founding",IF($E13="Y",config!$B$25*MIN($F13,config!$B$26)+config!$B$24*MAX(0,$F13-config!$B$26),config!$B$20+config!$B$24*MAX(0,$F13-config!$B$21)),IF($D13="standard",config!$B$22+config!$B$24*MAX(0,$F13-config!$B$23),""))))</f>
        <v/>
      </c>
      <c r="BJ13" s="27">
        <f>IF($A13="","",IF($G13&lt;&gt;"",$G13,$BI13))</f>
        <v/>
      </c>
      <c r="BK13" s="25">
        <f>IF($A13="","",IF($D13="founding","100% within "&amp;config!$B$27&amp;" business days of the invoice, before shipping",IF($D13="standard","50% on signing; 50% at placement confirmation (T+1)","")))</f>
        <v/>
      </c>
      <c r="BL13" s="26">
        <f>IF($A13="","",IFERROR(IF(INDEX(drops!$K$2:$K$21,MATCH($B13,drops!$A$2:$A$21,0))="","",INDEX(drops!$K$2:$K$21,MATCH($B13,drops!$A$2:$A$21,0))),""))</f>
        <v/>
      </c>
      <c r="BM13" s="26">
        <f>IF($A13="","",IFERROR(IF(INDEX(drops!$L$2:$L$21,MATCH($B13,drops!$A$2:$A$21,0))="","",INDEX(drops!$L$2:$L$21,MATCH($B13,drops!$A$2:$A$21,0))),""))</f>
        <v/>
      </c>
      <c r="BN13" s="25">
        <f>IF($A13="","",COUNTIF(approvals!$A$2:$A$251,$A13))</f>
        <v/>
      </c>
      <c r="BO13" s="25">
        <f>IF($A13="","",COUNTIFS(approvals!$A$2:$A$251,$A13,approvals!$P$2:$P$251,"Y"))</f>
        <v/>
      </c>
      <c r="BP13" s="25">
        <f>IF($A13="","",COUNTIFS(approvals!$A$2:$A$251,$A13,approvals!$Q$2:$Q$251,"Y"))</f>
        <v/>
      </c>
      <c r="BQ13" s="25">
        <f>IF($A13="","",COUNTIFS(approvals!$A$2:$A$251,$A13,approvals!$P$2:$P$251,"pending"))</f>
        <v/>
      </c>
      <c r="BR13" s="25">
        <f>IF($A13="","",SUMIFS(approvals!$S$2:$S$251,approvals!$A$2:$A$251,$A13,approvals!$P$2:$P$251,"Y"))</f>
        <v/>
      </c>
      <c r="BS13" s="25">
        <f>IF($A13="","",ROUNDUP($BR13*config!$B$18,0))</f>
        <v/>
      </c>
      <c r="BT13" s="25">
        <f>IF($A13="","",$BR13+$BS13)</f>
        <v/>
      </c>
      <c r="BU13" s="27">
        <f>IF($A13="","",SUMIFS(invoices!$I$2:$I$151,invoices!$B$2:$B$151,$A13,invoices!$R$2:$R$151,"Y",invoices!$H$2:$H$151,"&gt;0"))</f>
        <v/>
      </c>
      <c r="BV13" s="27">
        <f>IF($A13="","",IF($BJ13="","",IF($D13="founding",$BJ13,ROUND($BJ13*config!$B$28,2))))</f>
        <v/>
      </c>
      <c r="BW13" s="25">
        <f>IF($A13="","",IF(AND(N($BU13)&gt;=N($BV13),N($BV13)&gt;0,$H13&lt;&gt;"",AND($AB13&lt;&gt;"",IFERROR(IF(INDEX(brands!$G$2:$G$41,MATCH($C13,brands!$A$2:$A$41,0))="","",INDEX(brands!$G$2:$G$41,MATCH($C13,brands!$A$2:$A$41,0))),"")="Y"),LEFT(IFERROR(IF(INDEX(brands!$AG$2:$AG$41,MATCH($C13,brands!$A$2:$A$41,0))="","",INDEX(brands!$AG$2:$AG$41,MATCH($C13,brands!$A$2:$A$41,0))),""),1)="Y",$BG13&lt;&gt;"",$BQ13=0,$BO13&gt;0),"RELEASED "&amp;TEXT(MAX(IFERROR(1/(1/SUMPRODUCT(MAX((invoices!$B$2:$B$151=$A13)*(invoices!$R$2:$R$151="Y")*(invoices!$H$2:$H$151)))),""),$H13,$AB13,SUMPRODUCT(MAX((approvals!$A$2:$A$251=$A13)*(approvals!$P$2:$P$251="Y")*(approvals!$E$2:$E$251+(approvals!$E$2:$E$251=0)*approvals!$C$2:$C$251)))),"yyyy-mm-dd")&amp;": ship by "&amp;TEXT($BM13,"ddd yyyy-mm-dd")&amp;" (latest "&amp;TEXT($BL13,"ddd yyyy-mm-dd")&amp;")","HOLD: "&amp;IF(N($BU13)&lt;N($BV13),"payment ("&amp;TEXT(N($BU13),"0")&amp;" of "&amp;TEXT(N($BV13),"0")&amp;") ","")&amp;IF($H13="","agreement ","")&amp;IF(NOT(AND($AB13&lt;&gt;"",IFERROR(IF(INDEX(brands!$G$2:$G$41,MATCH($C13,brands!$A$2:$A$41,0))="","",INDEX(brands!$G$2:$G$41,MATCH($C13,brands!$A$2:$A$41,0))),"")="Y")),"certificate ","")&amp;IF(NOT(LEFT(IFERROR(IF(INDEX(brands!$AG$2:$AG$41,MATCH($C13,brands!$A$2:$A$41,0))="","",INDEX(brands!$AG$2:$AG$41,MATCH($C13,brands!$A$2:$A$41,0))),""),1)="Y"),"qualification ","")&amp;IF($BG13="","drop date ","")&amp;IF($BQ13&gt;0,"approvals ("&amp;$BQ13&amp;" pending) ","")&amp;IF($BO13=0,"no office approved ","")))</f>
        <v/>
      </c>
      <c r="BX13" s="25">
        <f>IF($A13="","",SUMIFS(inventory!$G$2:$G$801,inventory!$C$2:$C$801,$A13,inventory!$E$2:$E$801,"received"))</f>
        <v/>
      </c>
      <c r="BY13" s="25">
        <f>IF($A13="","",SUMIFS(inventory!$G$2:$G$801,inventory!$C$2:$C$801,$A13,inventory!$E$2:$E$801,"rejected"))</f>
        <v/>
      </c>
      <c r="BZ13" s="25">
        <f>IF($A13="","",SUMIFS(inventory!$M$2:$M$801,inventory!$C$2:$C$801,$A13))</f>
        <v/>
      </c>
      <c r="CA13" s="25">
        <f>IF($A13="","",SUMIFS(inventory!$O$2:$O$801,inventory!$C$2:$C$801,$A13))</f>
        <v/>
      </c>
      <c r="CB13" s="25">
        <f>IF($A13="","",SUMIFS(approvals!$U$2:$U$251,approvals!$A$2:$A$251,$A13))</f>
        <v/>
      </c>
      <c r="CC13" s="25">
        <f>IF($A13="","",SUMIFS(approvals!$AA$2:$AA$251,approvals!$A$2:$A$251,$A13))</f>
        <v/>
      </c>
      <c r="CD13" s="25">
        <f>IF($A13="","",SUMIFS(approvals!$AA$2:$AA$251,approvals!$A$2:$A$251,$A13,approvals!$AB$2:$AB$251,"Y"))</f>
        <v/>
      </c>
      <c r="CE13" s="29">
        <f>IF($A13="","",IF(N($CB13)=0,"",$CD13/$CB13))</f>
        <v/>
      </c>
      <c r="CF13" s="25">
        <f>IF($A13="","",SUMIFS(approvals!$AD$2:$AD$251,approvals!$A$2:$A$251,$A13))</f>
        <v/>
      </c>
      <c r="CG13" s="25">
        <f>IF($A13="","",IF(COUNTIFS(approvals!$A$2:$A$251,$A13,approvals!$Q$2:$Q$251,"Y",approvals!$AG$2:$AG$251,"")&gt;0,"",SUMIFS(approvals!$AG$2:$AG$251,approvals!$A$2:$A$251,$A13,approvals!$Q$2:$Q$251,"Y")))</f>
        <v/>
      </c>
      <c r="CH13" s="25">
        <f>IF($A13="","",SUMIFS(approvals!$AL$2:$AL$251,approvals!$A$2:$A$251,$A13))</f>
        <v/>
      </c>
      <c r="CI13" s="25">
        <f>IF($A13="","",IF(N($BP13)=0,"",SUMPRODUCT(MIN(approvals!$BB$2:$BB$251+(approvals!$A$2:$A$251&lt;&gt;$A13)*1000000))))</f>
        <v/>
      </c>
      <c r="CJ13" s="25">
        <f>IF($A13="","",COUNTIFS(approvals!$A$2:$A$251,$A13,approvals!$Q$2:$Q$251,"Y",approvals!$AL$2:$AL$251,"&lt;"&amp;config!$B$30))</f>
        <v/>
      </c>
      <c r="CK13" s="25">
        <f>IF($A13="","",SUMIFS(approvals!$AM$2:$AM$251,approvals!$A$2:$A$251,$A13))</f>
        <v/>
      </c>
      <c r="CL13" s="25">
        <f>IF($A13="","",SUMIFS(approvals!$AQ$2:$AQ$251,approvals!$A$2:$A$251,$A13))</f>
        <v/>
      </c>
      <c r="CM13" s="25">
        <f>IF($A13="","",SUMIFS(approvals!$AR$2:$AR$251,approvals!$A$2:$A$251,$A13))</f>
        <v/>
      </c>
      <c r="CN13" s="25">
        <f>IF($A13="","",SUMIFS(approvals!$AS$2:$AS$251,approvals!$A$2:$A$251,$A13))</f>
        <v/>
      </c>
      <c r="CO13" s="25">
        <f>IF($A13="","",SUMIFS(approvals!$AT$2:$AT$251,approvals!$A$2:$A$251,$A13))</f>
        <v/>
      </c>
      <c r="CP13" s="28">
        <f>IF($A13="","",IF(N($CO13)=0,"",ROUND(SUMIFS(approvals!$AU$2:$AU$251,approvals!$A$2:$A$251,$A13)/$CO13,1)))</f>
        <v/>
      </c>
      <c r="CQ13" s="25">
        <f>IF($A13="","",SUMIFS(approvals!$AV$2:$AV$251,approvals!$A$2:$A$251,$A13))</f>
        <v/>
      </c>
      <c r="CR13" s="25">
        <f>IF($A13="","",SUMIFS(approvals!$AW$2:$AW$251,approvals!$A$2:$A$251,$A13))</f>
        <v/>
      </c>
      <c r="CS13" s="25">
        <f>IF($A13="","",SUMIFS(approvals!$AX$2:$AX$251,approvals!$A$2:$A$251,$A13))</f>
        <v/>
      </c>
      <c r="CT13" s="25">
        <f>IF($A13="","",SUMIFS(approvals!$AY$2:$AY$251,approvals!$A$2:$A$251,$A13))</f>
        <v/>
      </c>
      <c r="CU13" s="25">
        <f>IF($A13="","",IF(OR($BG13="",$BC13&lt;&gt;""),"",IFERROR(COUNT(INDIRECT("'"&amp;$A13&amp;"'!$A$2:$A$501")),0)-IFERROR(COUNTIFS(INDIRECT("'"&amp;$A13&amp;"'!$A$2:$A$501"),"&gt;="&amp;$BG13,INDIRECT("'"&amp;$A13&amp;"'!$A$2:$A$501"),"&lt;"&amp;(IFERROR(IF(INDEX(drops!$R$2:$R$21,MATCH($B13,drops!$A$2:$A$21,0))="","",INDEX(drops!$R$2:$R$21,MATCH($B13,drops!$A$2:$A$21,0))),"")+1)),0)))</f>
        <v/>
      </c>
      <c r="CV13" s="25">
        <f>IF($A13="","",IF(OR($BG13="",$BC13&lt;&gt;""),"",IFERROR(COUNTIFS(INDIRECT("'"&amp;$A13&amp;"'!$A$2:$A$501"),"&gt;="&amp;$BG13,INDIRECT("'"&amp;$A13&amp;"'!$A$2:$A$501"),"&lt;"&amp;(IFERROR(IF(INDEX(drops!$R$2:$R$21,MATCH($B13,drops!$A$2:$A$21,0))="","",INDEX(drops!$R$2:$R$21,MATCH($B13,drops!$A$2:$A$21,0))),"")+1)),0)-N($CH13)))</f>
        <v/>
      </c>
      <c r="CW13" s="25">
        <f>IF($A13="","",SUMIFS(approvals!$AN$2:$AN$251,approvals!$A$2:$A$251,$A13))</f>
        <v/>
      </c>
      <c r="CX13" s="25">
        <f>IF($A13="","",SUMIFS(approvals!$AO$2:$AO$251,approvals!$A$2:$A$251,$A13))</f>
        <v/>
      </c>
      <c r="CY13" s="25">
        <f>IF($A13="","",IF($CZ13="","",SUMIFS(redemptions!$C$2:$C$121,redemptions!$A$2:$A$121,$A13,redemptions!$B$2:$B$121,$CZ13)))</f>
        <v/>
      </c>
      <c r="CZ13" s="26">
        <f>IF($A13="","",IFERROR(1/(1/SUMPRODUCT(MAX((redemptions!$A$2:$A$121=$A13)*redemptions!$B$2:$B$121))),""))</f>
        <v/>
      </c>
      <c r="DA13" s="25">
        <f>IF($A13="","",IF(COUNTIFS(redemptions!$A$2:$A$121,$A13,redemptions!$H$2:$H$121,"Y")=0,"",SUMIFS(redemptions!$C$2:$C$121,redemptions!$A$2:$A$121,$A13,redemptions!$B$2:$B$121,SUMPRODUCT(MIN((redemptions!$A$2:$A$121=$A13)*(redemptions!$H$2:$H$121="Y")*redemptions!$B$2:$B$121+((redemptions!$A$2:$A$121&lt;&gt;$A13)+(redemptions!$H$2:$H$121&lt;&gt;"Y")&gt;0)*1000000)))))</f>
        <v/>
      </c>
      <c r="DB13" s="27">
        <f>IF($A13="","",SUMIFS(invoices!$E$2:$E$151,invoices!$B$2:$B$151,$A13))</f>
        <v/>
      </c>
      <c r="DC13" s="27">
        <f>IF($A13="","",IF(COUNTIFS(invoices!$B$2:$B$151,$A13,invoices!$C$2:$C$151,"standard_deposit",invoices!$H$2:$H$151,"&gt;0")=0,"",SUMIFS(invoices!$I$2:$I$151,invoices!$B$2:$B$151,$A13,invoices!$C$2:$C$151,"standard_deposit")))</f>
        <v/>
      </c>
      <c r="DD13" s="26">
        <f>IF($A13="","",IFERROR(1/(1/SUMPRODUCT(MAX((invoices!$B$2:$B$151=$A13)*(invoices!$C$2:$C$151="standard_deposit")*invoices!$H$2:$H$151))),""))</f>
        <v/>
      </c>
      <c r="DE13" s="26">
        <f>IF($A13="","",IFERROR(1/(1/SUMPRODUCT(MAX((invoices!$B$2:$B$151=$A13)*((invoices!$C$2:$C$151="founding_full")+(invoices!$C$2:$C$151="standard_balance"))*invoices!$H$2:$H$151))),""))</f>
        <v/>
      </c>
      <c r="DF13" s="27">
        <f>IF($A13="","",SUMIFS(invoices!$L$2:$L$151,invoices!$B$2:$B$151,$A13))</f>
        <v/>
      </c>
      <c r="DG13" s="27">
        <f>IF($A13="","",SUMIFS(costs!$E$2:$E$301,costs!$C$2:$C$301,$A13))</f>
        <v/>
      </c>
      <c r="DH13" s="27">
        <f>IF($A13="","",ROUND(IF(SUMIFS(campaigns!$BO$2:$BO$51,campaigns!$B$2:$B$51,$B13)=0,0,$BO13/SUMIFS(campaigns!$BO$2:$BO$51,campaigns!$B$2:$B$51,$B13))*(SUMIFS(costs!$E$2:$E$301,costs!$B$2:$B$301,$B13)-SUMPRODUCT((costs!$B$2:$B$301=$B13)*(LEN(costs!$C$2:$C$301)&gt;0)*costs!$E$2:$E$301)),2))</f>
        <v/>
      </c>
      <c r="DI13" s="28">
        <f>IF($A13="","",SUMIFS(hours!$E$2:$E$1501,hours!$C$2:$C$1501,$A13))</f>
        <v/>
      </c>
      <c r="DJ13" s="28">
        <f>IF($A13="","",ROUND(IF(SUMIFS(campaigns!$BO$2:$BO$51,campaigns!$B$2:$B$51,$B13)=0,0,$BO13/SUMIFS(campaigns!$BO$2:$BO$51,campaigns!$B$2:$B$51,$B13))*(SUMIFS(hours!$E$2:$E$1501,hours!$B$2:$B$1501,$B13)-SUMPRODUCT((hours!$B$2:$B$1501=$B13)*(LEN(hours!$C$2:$C$1501)&gt;0)*hours!$E$2:$E$1501)),2))</f>
        <v/>
      </c>
      <c r="DK13" s="27">
        <f>IF($A13="","",$DB13-$DF13-$DG13-$DH13)</f>
        <v/>
      </c>
      <c r="DL13" s="27">
        <f>IF($A13="","",IF(N($DI13)+N($DJ13)=0,"",ROUND($DK13/($DI13+$DJ13),2)))</f>
        <v/>
      </c>
      <c r="DM13" s="29">
        <f>IF($A13="","",IF(N($BP13)=0,"",COUNTIFS(approvals!$A$2:$A$251,$A13,approvals!$Q$2:$Q$251,"Y",approvals!$AK$2:$AK$251,"Y")/$BP13))</f>
        <v/>
      </c>
      <c r="DN13" s="28">
        <f>IF($A13="","",IF(COUNTIFS(approvals!$A$2:$A$251,$A13,approvals!$AC$2:$AC$251,"&gt;=0")=0,"",ROUND(SUMIFS(approvals!$AC$2:$AC$251,approvals!$A$2:$A$251,$A13)/COUNTIFS(approvals!$A$2:$A$251,$A13,approvals!$AC$2:$AC$251,"&gt;=0"),1)))</f>
        <v/>
      </c>
      <c r="DO13" s="26">
        <f>IF($A13="","",IFERROR(IF(INDEX(drops!$T$2:$T$21,MATCH($B13,drops!$A$2:$A$21,0))="","",INDEX(drops!$T$2:$T$21,MATCH($B13,drops!$A$2:$A$21,0))),""))</f>
        <v/>
      </c>
      <c r="DP13" s="26">
        <f>IF($A13="","",IFERROR(IF(INDEX(drops!$U$2:$U$21,MATCH($B13,drops!$A$2:$A$21,0))="","",INDEX(drops!$U$2:$U$21,MATCH($B13,drops!$A$2:$A$21,0))),""))</f>
        <v/>
      </c>
      <c r="DQ13" s="26">
        <f>IF($A13="","",IFERROR(IF(INDEX(drops!$W$2:$W$21,MATCH($B13,drops!$A$2:$A$21,0))="","",INDEX(drops!$W$2:$W$21,MATCH($B13,drops!$A$2:$A$21,0))),""))</f>
        <v/>
      </c>
      <c r="DR13" s="25">
        <f>IF($A13="","",IF($CE13="","",IF($CE13&gt;=config!$B$31,"pass","miss")))</f>
        <v/>
      </c>
      <c r="DS13" s="25">
        <f>IF($A13="","",IF($CI13="","",IF($CI13&gt;=config!$B$30,"pass","miss")))</f>
        <v/>
      </c>
      <c r="DT13" s="25">
        <f>IF($A13="","",IF($AT13="",IF($DO13="","",IF(IF(config!$B$37&lt;&gt;"",config!$B$37,TODAY())&gt;$DO13,"late","due")),IF($AT13&lt;=$DO13,"pass","late")))</f>
        <v/>
      </c>
      <c r="DU13" s="25">
        <f>IF($A13="","",IF(COUNTIF(drops!$A$2:$A$21,$B13)=0,"drop_id not on drops; ",IF($BG13="","drop date missing or refused; ",""))&amp;IF(AND($G13&lt;&gt;"",$G13&lt;&gt;$BI13),"price differs from the price list; ","")&amp;IF(AND(LEFT($BW13,4)="HOLD",$BL13&lt;&gt;"",IF(config!$B$37&lt;&gt;"",config!$B$37,TODAY())&gt;=WORKDAY(N($BL13),-3,calendar!$A$2:$A$80)),"SHIP HOLD within 3 business days of T-10; ","")&amp;IF(AND($BQ13&gt;0,$BL13&lt;&gt;"",IF(config!$B$37&lt;&gt;"",config!$B$37,TODAY())&gt;$BL13),"approvals still pending after T-10; ","")&amp;IF($BZ13&lt;0,"reserve below zero: check inventory; ","")&amp;IF(AND($BG13&lt;&gt;"",IF(config!$B$37&lt;&gt;"",config!$B$37,TODAY())&gt;WORKDAY(N($BG13),14,calendar!$A$2:$A$80),N($BZ13)+N($CA13)&lt;&gt;0),"units still on hand after T+14; ","")&amp;IF(N($CV13)&gt;0,"info: "&amp;$CV13&amp;" in-window responses with a card code that matches no office (not counted); ","")&amp;IF(AND($Z13="Y",$AK13=""),"newsletter form URL missing; ","")&amp;IF(AND($Z13="Y",$BG13&lt;&gt;"",IF(config!$B$37&lt;&gt;"",config!$B$37,TODAY())&gt;WORKDAY(N($BG13),5,calendar!$A$2:$A$80),$AY13=""),"newsletter list not yet passed on (due T+5); ","")&amp;IF(AND($AY13&lt;&gt;"",$BA13=""),"delete unticked emails; ","")&amp;IF(AND($AY13&lt;&gt;"",$BB13="",IF(config!$B$37&lt;&gt;"",config!$B$37,TODAY())&gt;$AY13+config!$B$32),"DELETE the consented emails (30 days after passing on); ","")&amp;IF(AND($BG13&lt;&gt;"",$AJ13="",IF(config!$B$37&lt;&gt;"",config!$B$37,TODAY())&gt;=WORKDAY(N($BG13),-4,calendar!$A$2:$A$80)),"survey prefill template missing (due T-4); ","")&amp;IF(AND($AJ13&lt;&gt;"",ISERROR(SEARCH("CARDCODE",$AJ13))),"prefill template has no CARDCODE; ","")&amp;IF(AND($AF13="",$BG13&lt;&gt;"",IF(config!$B$37&lt;&gt;"",config!$B$37,TODAY())&gt;=WORKDAY(N($BG13),-3,calendar!$A$2:$A$80)),"card text not yet sent to the brand; ","")&amp;IF(AND($DA13="",$DQ13&lt;&gt;"",IF(config!$B$37&lt;&gt;"",config!$B$37,TODAY())&gt;$DQ13),"day-30 redemption count due; ","")&amp;IF(AND(LEFT($BW13,8)="RELEASED",$AG13=""),"ship-date email due (template 02): send it, then log ship_email_sent_date and ship_email_units; ","")&amp;IF(AND($AH13&lt;&gt;"",N($BT13)&gt;0,N($BX13)=0,N($AH13)&lt;&gt;N($BT13)),"units changed since the ship-date email of "&amp;IF($AG13="","?",TEXT($AG13,"yyyy-mm-dd"))&amp;" ("&amp;$AH13&amp;", now "&amp;$BT13&amp;"): send the brand the revised numbers (template 02) and log them; ","")&amp;IF($DT13="late","report late; ","")&amp;IF(AND(N($F13)&gt;0,$BO13&lt;N($F13),$BQ13=0),"info: "&amp;(N($F13)-$BO13)&amp;" office(s) short of the contract: add a roster office or credit $"&amp;IF($D13="founding",config!$B$25,config!$B$24)&amp;" each; ","")&amp;IF($BC13&lt;&gt;"",IF(COUNTIF(survey_frozen!$A$2:$A$251,$A13)=0,"answers deleted but no frozen totals: the survey numbers now read 0 (tools/freeze_survey.py, SOP answers_delete); ",""),IF(AND($BG13&lt;&gt;"",IF(config!$B$37&lt;&gt;"",config!$B$37,TODAY())&gt;=$BG13,ISREF(INDIRECT("'"&amp;$A13&amp;"'!B1"))),IF(INDIRECT("'"&amp;$A13&amp;"'!B1")&lt;&gt;"Card code (filled in for you)","survey tab column B is not the card code: fix the form or the tab; ",""),IF(AND($BG13&lt;&gt;"",IF(config!$B$37&lt;&gt;"",config!$B$37,TODAY())&gt;=$BG13),"no survey tab named "&amp;$A13&amp;"; ","")))&amp;IF(COUNTIF(brands!$A$2:$A$41,$C13)=0,"brand_id not on brands; ",IF(LEFT(IFERROR(IF(INDEX(brands!$AG$2:$AG$41,MATCH($C13,brands!$A$2:$A$41,0))="","",INDEX(brands!$AG$2:$AG$41,MATCH($C13,brands!$A$2:$A$41,0))),""),1)&lt;&gt;"Y","brand not qualified ("&amp;IFERROR(IF(INDEX(brands!$AG$2:$AG$41,MATCH($C13,brands!$A$2:$A$41,0))="","",INDEX(brands!$AG$2:$AG$41,MATCH($C13,brands!$A$2:$A$41,0))),"")&amp;"): nothing ships until it is; ",""))&amp;IF(AND(COUNTIF(brands!$A$2:$A$41,$C13)&gt;0,OR(IFERROR(IF(INDEX(brands!$C$2:$C$41,MATCH($C13,brands!$A$2:$A$41,0))="","",INDEX(brands!$C$2:$C$41,MATCH($C13,brands!$A$2:$A$41,0))),"")="",IFERROR(IF(INDEX(brands!$D$2:$D$41,MATCH($C13,brands!$A$2:$A$41,0))="","",INDEX(brands!$D$2:$D$41,MATCH($C13,brands!$A$2:$A$41,0))),"")="",IFERROR(IF(INDEX(brands!$E$2:$E$41,MATCH($C13,brands!$A$2:$A$41,0))="","",INDEX(brands!$E$2:$E$41,MATCH($C13,brands!$A$2:$A$41,0))),"")="")),"brand billing details missing on brands (legal name, address, email): needed for the invoice; ","")&amp;IF(AND($D13="founding",$E13&lt;&gt;"Y",N(IFERROR(IF(INDEX(brands!$AI$2:$AI$41,MATCH($C13,brands!$A$2:$A$41,0))="","",INDEX(brands!$AI$2:$AI$41,MATCH($C13,brands!$A$2:$A$41,0))),""))&gt;3),"the founding tier is for the first three brands only (this is brand "&amp;IFERROR(IF(INDEX(brands!$AI$2:$AI$41,MATCH($C13,brands!$A$2:$A$41,0))="","",INDEX(brands!$AI$2:$AI$41,MATCH($C13,brands!$A$2:$A$41,0))),"")&amp;"): use standard; ","")&amp;IF(AND($D13="founding",$E13&lt;&gt;"Y",COUNTIFS(campaigns!$C$2:$C$51,$C13,campaigns!$D$2:$D$51,"founding",campaigns!$E$2:$E$51,"&lt;&gt;Y")&gt;1),"a brand has the founding price once; its next two campaigns are founding_lock = Y; ","")&amp;IF(AND($E13="Y",COUNTIFS(campaigns!$C$2:$C$51,$C13,campaigns!$D$2:$D$51,"founding",campaigns!$E$2:$E$51,"Y")&gt;2),"founding_lock is for the brand's next two campaigns only (this is a third): use standard; ","")&amp;IF(AND($E13="Y",COUNTIFS(campaigns!$C$2:$C$51,$C13,campaigns!$D$2:$D$51,"founding",campaigns!$E$2:$E$51,"&lt;&gt;Y")=0),"founding_lock without a first founding campaign for this brand; ","")&amp;IF(AND(N($BX13)&gt;0,$BG13&lt;&gt;"",IF(config!$B$37&lt;&gt;"",config!$B$37,TODAY())&gt;=WORKDAY(N($BG13),-5,calendar!$A$2:$A$80)),IF(N($BX13)-N($BY13)&lt;N($BR13),"received "&amp;(N($BX13)-N($BY13))&amp;" usable units for "&amp;$BR13&amp;" allocated: reduce units_override evenly (SOP section 4, short shipment); ","")&amp;IF(AND(N($BX13)&lt;N($BT13),COUNTIFS(issues!$E$2:$E$121,$A13,issues!$G$2:$G$121,"short_shipment")=0),"received "&amp;$BX13&amp;" of "&amp;$BT13&amp;" due: log a short_shipment issue and tell the brand today; ",""),"")&amp;IF(AND($BG13&lt;&gt;"",IF(config!$B$37&lt;&gt;"",config!$B$37,TODAY())&gt;=WORKDAY(N($BG13),1,calendar!$A$2:$A$80),N($F13)&gt;0,(-SUMIFS(invoices!$E$2:$E$151,invoices!$B$2:$B$151,$A13,invoices!$C$2:$C$151,"credit_note"))&lt;(IF($D13="founding",config!$B$25,config!$B$24)*MAX(0,N($F13)-COUNTIFS(approvals!$A$2:$A$251,$A13,approvals!$Q$2:$Q$251,"Y",approvals!$AB$2:$AB$251,"Y")))-0.005),"credit due from T+1: "&amp;MAX(0,N($F13)-COUNTIFS(approvals!$A$2:$A$251,$A13,approvals!$Q$2:$Q$251,"Y",approvals!$AB$2:$AB$251,"Y"))&amp;" of "&amp;$F13&amp;" contracted offices not placed by T+1, $"&amp;(IF($D13="founding",config!$B$25,config!$B$24)*MAX(0,N($F13)-COUNTIFS(approvals!$A$2:$A$251,$A13,approvals!$Q$2:$Q$251,"Y",approvals!$AB$2:$AB$251,"Y")))&amp;" due, $"&amp;(-SUMIFS(invoices!$E$2:$E$151,invoices!$B$2:$B$151,$A13,invoices!$C$2:$C$151,"credit_note"))&amp;" in credit notes so far (template 06, make_invoice.py); ","")&amp;IF(AND(IFERROR(IF(INDEX(brands!$H$2:$H$41,MATCH($C13,brands!$A$2:$A$41,0))="","",INDEX(brands!$H$2:$H$41,MATCH($C13,brands!$A$2:$A$41,0))),"")&lt;&gt;"",$BG13&lt;&gt;"",IFERROR(IF(INDEX(brands!$H$2:$H$41,MATCH($C13,brands!$A$2:$A$41,0))="","",INDEX(brands!$H$2:$H$41,MATCH($C13,brands!$A$2:$A$41,0))),"")&lt;EDATE(WORKDAY(N($BG13),4,calendar!$A$2:$A$80),12)),"info: brand insurance ends "&amp;TEXT(IFERROR(IF(INDEX(brands!$H$2:$H$41,MATCH($C13,brands!$A$2:$A$41,0))="","",INDEX(brands!$H$2:$H$41,MATCH($C13,brands!$A$2:$A$41,0))),""),"yyyy-mm-dd")&amp;": diary the renewal certificate; ",""))</f>
        <v/>
      </c>
    </row>
    <row r="14">
      <c r="G14" s="10" t="n"/>
      <c r="H14" s="9" t="n"/>
      <c r="AB14" s="9" t="n"/>
      <c r="AC14" s="9" t="n"/>
      <c r="AD14" s="9" t="n"/>
      <c r="AF14" s="9" t="n"/>
      <c r="AG14" s="9" t="n"/>
      <c r="AT14" s="9" t="n"/>
      <c r="AU14" s="9" t="n"/>
      <c r="AY14" s="9" t="n"/>
      <c r="BA14" s="9" t="n"/>
      <c r="BB14" s="9" t="n"/>
      <c r="BC14" s="9" t="n"/>
      <c r="BE14" s="25">
        <f>IF($A14="","",IFERROR(IF(INDEX(brands!$K$2:$K$41,MATCH($C14,brands!$A$2:$A$41,0))="","",INDEX(brands!$K$2:$K$41,MATCH($C14,brands!$A$2:$A$41,0))),""))</f>
        <v/>
      </c>
      <c r="BF14" s="25">
        <f>IF($A14="","",IFERROR(IF(INDEX(brands!$M$2:$M$41,MATCH($C14,brands!$A$2:$A$41,0))="","",INDEX(brands!$M$2:$M$41,MATCH($C14,brands!$A$2:$A$41,0))),""))</f>
        <v/>
      </c>
      <c r="BG14" s="26">
        <f>IF($A14="","",IF(IFERROR(IF(INDEX(drops!$I$2:$I$21,MATCH($B14,drops!$A$2:$A$21,0))="","",INDEX(drops!$I$2:$I$21,MATCH($B14,drops!$A$2:$A$21,0))),"")="OK",IFERROR(IF(INDEX(drops!$B$2:$B$21,MATCH($B14,drops!$A$2:$A$21,0))="","",INDEX(drops!$B$2:$B$21,MATCH($B14,drops!$A$2:$A$21,0))),""),""))</f>
        <v/>
      </c>
      <c r="BH14" s="25">
        <f>IF($A14="","",IFERROR(IF(INDEX(drops!$C$2:$C$21,MATCH($B14,drops!$A$2:$A$21,0))="","",INDEX(drops!$C$2:$C$21,MATCH($B14,drops!$A$2:$A$21,0))),""))</f>
        <v/>
      </c>
      <c r="BI14" s="27">
        <f>IF($A14="","",IF($F14="","",IF($D14="founding",IF($E14="Y",config!$B$25*MIN($F14,config!$B$26)+config!$B$24*MAX(0,$F14-config!$B$26),config!$B$20+config!$B$24*MAX(0,$F14-config!$B$21)),IF($D14="standard",config!$B$22+config!$B$24*MAX(0,$F14-config!$B$23),""))))</f>
        <v/>
      </c>
      <c r="BJ14" s="27">
        <f>IF($A14="","",IF($G14&lt;&gt;"",$G14,$BI14))</f>
        <v/>
      </c>
      <c r="BK14" s="25">
        <f>IF($A14="","",IF($D14="founding","100% within "&amp;config!$B$27&amp;" business days of the invoice, before shipping",IF($D14="standard","50% on signing; 50% at placement confirmation (T+1)","")))</f>
        <v/>
      </c>
      <c r="BL14" s="26">
        <f>IF($A14="","",IFERROR(IF(INDEX(drops!$K$2:$K$21,MATCH($B14,drops!$A$2:$A$21,0))="","",INDEX(drops!$K$2:$K$21,MATCH($B14,drops!$A$2:$A$21,0))),""))</f>
        <v/>
      </c>
      <c r="BM14" s="26">
        <f>IF($A14="","",IFERROR(IF(INDEX(drops!$L$2:$L$21,MATCH($B14,drops!$A$2:$A$21,0))="","",INDEX(drops!$L$2:$L$21,MATCH($B14,drops!$A$2:$A$21,0))),""))</f>
        <v/>
      </c>
      <c r="BN14" s="25">
        <f>IF($A14="","",COUNTIF(approvals!$A$2:$A$251,$A14))</f>
        <v/>
      </c>
      <c r="BO14" s="25">
        <f>IF($A14="","",COUNTIFS(approvals!$A$2:$A$251,$A14,approvals!$P$2:$P$251,"Y"))</f>
        <v/>
      </c>
      <c r="BP14" s="25">
        <f>IF($A14="","",COUNTIFS(approvals!$A$2:$A$251,$A14,approvals!$Q$2:$Q$251,"Y"))</f>
        <v/>
      </c>
      <c r="BQ14" s="25">
        <f>IF($A14="","",COUNTIFS(approvals!$A$2:$A$251,$A14,approvals!$P$2:$P$251,"pending"))</f>
        <v/>
      </c>
      <c r="BR14" s="25">
        <f>IF($A14="","",SUMIFS(approvals!$S$2:$S$251,approvals!$A$2:$A$251,$A14,approvals!$P$2:$P$251,"Y"))</f>
        <v/>
      </c>
      <c r="BS14" s="25">
        <f>IF($A14="","",ROUNDUP($BR14*config!$B$18,0))</f>
        <v/>
      </c>
      <c r="BT14" s="25">
        <f>IF($A14="","",$BR14+$BS14)</f>
        <v/>
      </c>
      <c r="BU14" s="27">
        <f>IF($A14="","",SUMIFS(invoices!$I$2:$I$151,invoices!$B$2:$B$151,$A14,invoices!$R$2:$R$151,"Y",invoices!$H$2:$H$151,"&gt;0"))</f>
        <v/>
      </c>
      <c r="BV14" s="27">
        <f>IF($A14="","",IF($BJ14="","",IF($D14="founding",$BJ14,ROUND($BJ14*config!$B$28,2))))</f>
        <v/>
      </c>
      <c r="BW14" s="25">
        <f>IF($A14="","",IF(AND(N($BU14)&gt;=N($BV14),N($BV14)&gt;0,$H14&lt;&gt;"",AND($AB14&lt;&gt;"",IFERROR(IF(INDEX(brands!$G$2:$G$41,MATCH($C14,brands!$A$2:$A$41,0))="","",INDEX(brands!$G$2:$G$41,MATCH($C14,brands!$A$2:$A$41,0))),"")="Y"),LEFT(IFERROR(IF(INDEX(brands!$AG$2:$AG$41,MATCH($C14,brands!$A$2:$A$41,0))="","",INDEX(brands!$AG$2:$AG$41,MATCH($C14,brands!$A$2:$A$41,0))),""),1)="Y",$BG14&lt;&gt;"",$BQ14=0,$BO14&gt;0),"RELEASED "&amp;TEXT(MAX(IFERROR(1/(1/SUMPRODUCT(MAX((invoices!$B$2:$B$151=$A14)*(invoices!$R$2:$R$151="Y")*(invoices!$H$2:$H$151)))),""),$H14,$AB14,SUMPRODUCT(MAX((approvals!$A$2:$A$251=$A14)*(approvals!$P$2:$P$251="Y")*(approvals!$E$2:$E$251+(approvals!$E$2:$E$251=0)*approvals!$C$2:$C$251)))),"yyyy-mm-dd")&amp;": ship by "&amp;TEXT($BM14,"ddd yyyy-mm-dd")&amp;" (latest "&amp;TEXT($BL14,"ddd yyyy-mm-dd")&amp;")","HOLD: "&amp;IF(N($BU14)&lt;N($BV14),"payment ("&amp;TEXT(N($BU14),"0")&amp;" of "&amp;TEXT(N($BV14),"0")&amp;") ","")&amp;IF($H14="","agreement ","")&amp;IF(NOT(AND($AB14&lt;&gt;"",IFERROR(IF(INDEX(brands!$G$2:$G$41,MATCH($C14,brands!$A$2:$A$41,0))="","",INDEX(brands!$G$2:$G$41,MATCH($C14,brands!$A$2:$A$41,0))),"")="Y")),"certificate ","")&amp;IF(NOT(LEFT(IFERROR(IF(INDEX(brands!$AG$2:$AG$41,MATCH($C14,brands!$A$2:$A$41,0))="","",INDEX(brands!$AG$2:$AG$41,MATCH($C14,brands!$A$2:$A$41,0))),""),1)="Y"),"qualification ","")&amp;IF($BG14="","drop date ","")&amp;IF($BQ14&gt;0,"approvals ("&amp;$BQ14&amp;" pending) ","")&amp;IF($BO14=0,"no office approved ","")))</f>
        <v/>
      </c>
      <c r="BX14" s="25">
        <f>IF($A14="","",SUMIFS(inventory!$G$2:$G$801,inventory!$C$2:$C$801,$A14,inventory!$E$2:$E$801,"received"))</f>
        <v/>
      </c>
      <c r="BY14" s="25">
        <f>IF($A14="","",SUMIFS(inventory!$G$2:$G$801,inventory!$C$2:$C$801,$A14,inventory!$E$2:$E$801,"rejected"))</f>
        <v/>
      </c>
      <c r="BZ14" s="25">
        <f>IF($A14="","",SUMIFS(inventory!$M$2:$M$801,inventory!$C$2:$C$801,$A14))</f>
        <v/>
      </c>
      <c r="CA14" s="25">
        <f>IF($A14="","",SUMIFS(inventory!$O$2:$O$801,inventory!$C$2:$C$801,$A14))</f>
        <v/>
      </c>
      <c r="CB14" s="25">
        <f>IF($A14="","",SUMIFS(approvals!$U$2:$U$251,approvals!$A$2:$A$251,$A14))</f>
        <v/>
      </c>
      <c r="CC14" s="25">
        <f>IF($A14="","",SUMIFS(approvals!$AA$2:$AA$251,approvals!$A$2:$A$251,$A14))</f>
        <v/>
      </c>
      <c r="CD14" s="25">
        <f>IF($A14="","",SUMIFS(approvals!$AA$2:$AA$251,approvals!$A$2:$A$251,$A14,approvals!$AB$2:$AB$251,"Y"))</f>
        <v/>
      </c>
      <c r="CE14" s="29">
        <f>IF($A14="","",IF(N($CB14)=0,"",$CD14/$CB14))</f>
        <v/>
      </c>
      <c r="CF14" s="25">
        <f>IF($A14="","",SUMIFS(approvals!$AD$2:$AD$251,approvals!$A$2:$A$251,$A14))</f>
        <v/>
      </c>
      <c r="CG14" s="25">
        <f>IF($A14="","",IF(COUNTIFS(approvals!$A$2:$A$251,$A14,approvals!$Q$2:$Q$251,"Y",approvals!$AG$2:$AG$251,"")&gt;0,"",SUMIFS(approvals!$AG$2:$AG$251,approvals!$A$2:$A$251,$A14,approvals!$Q$2:$Q$251,"Y")))</f>
        <v/>
      </c>
      <c r="CH14" s="25">
        <f>IF($A14="","",SUMIFS(approvals!$AL$2:$AL$251,approvals!$A$2:$A$251,$A14))</f>
        <v/>
      </c>
      <c r="CI14" s="25">
        <f>IF($A14="","",IF(N($BP14)=0,"",SUMPRODUCT(MIN(approvals!$BB$2:$BB$251+(approvals!$A$2:$A$251&lt;&gt;$A14)*1000000))))</f>
        <v/>
      </c>
      <c r="CJ14" s="25">
        <f>IF($A14="","",COUNTIFS(approvals!$A$2:$A$251,$A14,approvals!$Q$2:$Q$251,"Y",approvals!$AL$2:$AL$251,"&lt;"&amp;config!$B$30))</f>
        <v/>
      </c>
      <c r="CK14" s="25">
        <f>IF($A14="","",SUMIFS(approvals!$AM$2:$AM$251,approvals!$A$2:$A$251,$A14))</f>
        <v/>
      </c>
      <c r="CL14" s="25">
        <f>IF($A14="","",SUMIFS(approvals!$AQ$2:$AQ$251,approvals!$A$2:$A$251,$A14))</f>
        <v/>
      </c>
      <c r="CM14" s="25">
        <f>IF($A14="","",SUMIFS(approvals!$AR$2:$AR$251,approvals!$A$2:$A$251,$A14))</f>
        <v/>
      </c>
      <c r="CN14" s="25">
        <f>IF($A14="","",SUMIFS(approvals!$AS$2:$AS$251,approvals!$A$2:$A$251,$A14))</f>
        <v/>
      </c>
      <c r="CO14" s="25">
        <f>IF($A14="","",SUMIFS(approvals!$AT$2:$AT$251,approvals!$A$2:$A$251,$A14))</f>
        <v/>
      </c>
      <c r="CP14" s="28">
        <f>IF($A14="","",IF(N($CO14)=0,"",ROUND(SUMIFS(approvals!$AU$2:$AU$251,approvals!$A$2:$A$251,$A14)/$CO14,1)))</f>
        <v/>
      </c>
      <c r="CQ14" s="25">
        <f>IF($A14="","",SUMIFS(approvals!$AV$2:$AV$251,approvals!$A$2:$A$251,$A14))</f>
        <v/>
      </c>
      <c r="CR14" s="25">
        <f>IF($A14="","",SUMIFS(approvals!$AW$2:$AW$251,approvals!$A$2:$A$251,$A14))</f>
        <v/>
      </c>
      <c r="CS14" s="25">
        <f>IF($A14="","",SUMIFS(approvals!$AX$2:$AX$251,approvals!$A$2:$A$251,$A14))</f>
        <v/>
      </c>
      <c r="CT14" s="25">
        <f>IF($A14="","",SUMIFS(approvals!$AY$2:$AY$251,approvals!$A$2:$A$251,$A14))</f>
        <v/>
      </c>
      <c r="CU14" s="25">
        <f>IF($A14="","",IF(OR($BG14="",$BC14&lt;&gt;""),"",IFERROR(COUNT(INDIRECT("'"&amp;$A14&amp;"'!$A$2:$A$501")),0)-IFERROR(COUNTIFS(INDIRECT("'"&amp;$A14&amp;"'!$A$2:$A$501"),"&gt;="&amp;$BG14,INDIRECT("'"&amp;$A14&amp;"'!$A$2:$A$501"),"&lt;"&amp;(IFERROR(IF(INDEX(drops!$R$2:$R$21,MATCH($B14,drops!$A$2:$A$21,0))="","",INDEX(drops!$R$2:$R$21,MATCH($B14,drops!$A$2:$A$21,0))),"")+1)),0)))</f>
        <v/>
      </c>
      <c r="CV14" s="25">
        <f>IF($A14="","",IF(OR($BG14="",$BC14&lt;&gt;""),"",IFERROR(COUNTIFS(INDIRECT("'"&amp;$A14&amp;"'!$A$2:$A$501"),"&gt;="&amp;$BG14,INDIRECT("'"&amp;$A14&amp;"'!$A$2:$A$501"),"&lt;"&amp;(IFERROR(IF(INDEX(drops!$R$2:$R$21,MATCH($B14,drops!$A$2:$A$21,0))="","",INDEX(drops!$R$2:$R$21,MATCH($B14,drops!$A$2:$A$21,0))),"")+1)),0)-N($CH14)))</f>
        <v/>
      </c>
      <c r="CW14" s="25">
        <f>IF($A14="","",SUMIFS(approvals!$AN$2:$AN$251,approvals!$A$2:$A$251,$A14))</f>
        <v/>
      </c>
      <c r="CX14" s="25">
        <f>IF($A14="","",SUMIFS(approvals!$AO$2:$AO$251,approvals!$A$2:$A$251,$A14))</f>
        <v/>
      </c>
      <c r="CY14" s="25">
        <f>IF($A14="","",IF($CZ14="","",SUMIFS(redemptions!$C$2:$C$121,redemptions!$A$2:$A$121,$A14,redemptions!$B$2:$B$121,$CZ14)))</f>
        <v/>
      </c>
      <c r="CZ14" s="26">
        <f>IF($A14="","",IFERROR(1/(1/SUMPRODUCT(MAX((redemptions!$A$2:$A$121=$A14)*redemptions!$B$2:$B$121))),""))</f>
        <v/>
      </c>
      <c r="DA14" s="25">
        <f>IF($A14="","",IF(COUNTIFS(redemptions!$A$2:$A$121,$A14,redemptions!$H$2:$H$121,"Y")=0,"",SUMIFS(redemptions!$C$2:$C$121,redemptions!$A$2:$A$121,$A14,redemptions!$B$2:$B$121,SUMPRODUCT(MIN((redemptions!$A$2:$A$121=$A14)*(redemptions!$H$2:$H$121="Y")*redemptions!$B$2:$B$121+((redemptions!$A$2:$A$121&lt;&gt;$A14)+(redemptions!$H$2:$H$121&lt;&gt;"Y")&gt;0)*1000000)))))</f>
        <v/>
      </c>
      <c r="DB14" s="27">
        <f>IF($A14="","",SUMIFS(invoices!$E$2:$E$151,invoices!$B$2:$B$151,$A14))</f>
        <v/>
      </c>
      <c r="DC14" s="27">
        <f>IF($A14="","",IF(COUNTIFS(invoices!$B$2:$B$151,$A14,invoices!$C$2:$C$151,"standard_deposit",invoices!$H$2:$H$151,"&gt;0")=0,"",SUMIFS(invoices!$I$2:$I$151,invoices!$B$2:$B$151,$A14,invoices!$C$2:$C$151,"standard_deposit")))</f>
        <v/>
      </c>
      <c r="DD14" s="26">
        <f>IF($A14="","",IFERROR(1/(1/SUMPRODUCT(MAX((invoices!$B$2:$B$151=$A14)*(invoices!$C$2:$C$151="standard_deposit")*invoices!$H$2:$H$151))),""))</f>
        <v/>
      </c>
      <c r="DE14" s="26">
        <f>IF($A14="","",IFERROR(1/(1/SUMPRODUCT(MAX((invoices!$B$2:$B$151=$A14)*((invoices!$C$2:$C$151="founding_full")+(invoices!$C$2:$C$151="standard_balance"))*invoices!$H$2:$H$151))),""))</f>
        <v/>
      </c>
      <c r="DF14" s="27">
        <f>IF($A14="","",SUMIFS(invoices!$L$2:$L$151,invoices!$B$2:$B$151,$A14))</f>
        <v/>
      </c>
      <c r="DG14" s="27">
        <f>IF($A14="","",SUMIFS(costs!$E$2:$E$301,costs!$C$2:$C$301,$A14))</f>
        <v/>
      </c>
      <c r="DH14" s="27">
        <f>IF($A14="","",ROUND(IF(SUMIFS(campaigns!$BO$2:$BO$51,campaigns!$B$2:$B$51,$B14)=0,0,$BO14/SUMIFS(campaigns!$BO$2:$BO$51,campaigns!$B$2:$B$51,$B14))*(SUMIFS(costs!$E$2:$E$301,costs!$B$2:$B$301,$B14)-SUMPRODUCT((costs!$B$2:$B$301=$B14)*(LEN(costs!$C$2:$C$301)&gt;0)*costs!$E$2:$E$301)),2))</f>
        <v/>
      </c>
      <c r="DI14" s="28">
        <f>IF($A14="","",SUMIFS(hours!$E$2:$E$1501,hours!$C$2:$C$1501,$A14))</f>
        <v/>
      </c>
      <c r="DJ14" s="28">
        <f>IF($A14="","",ROUND(IF(SUMIFS(campaigns!$BO$2:$BO$51,campaigns!$B$2:$B$51,$B14)=0,0,$BO14/SUMIFS(campaigns!$BO$2:$BO$51,campaigns!$B$2:$B$51,$B14))*(SUMIFS(hours!$E$2:$E$1501,hours!$B$2:$B$1501,$B14)-SUMPRODUCT((hours!$B$2:$B$1501=$B14)*(LEN(hours!$C$2:$C$1501)&gt;0)*hours!$E$2:$E$1501)),2))</f>
        <v/>
      </c>
      <c r="DK14" s="27">
        <f>IF($A14="","",$DB14-$DF14-$DG14-$DH14)</f>
        <v/>
      </c>
      <c r="DL14" s="27">
        <f>IF($A14="","",IF(N($DI14)+N($DJ14)=0,"",ROUND($DK14/($DI14+$DJ14),2)))</f>
        <v/>
      </c>
      <c r="DM14" s="29">
        <f>IF($A14="","",IF(N($BP14)=0,"",COUNTIFS(approvals!$A$2:$A$251,$A14,approvals!$Q$2:$Q$251,"Y",approvals!$AK$2:$AK$251,"Y")/$BP14))</f>
        <v/>
      </c>
      <c r="DN14" s="28">
        <f>IF($A14="","",IF(COUNTIFS(approvals!$A$2:$A$251,$A14,approvals!$AC$2:$AC$251,"&gt;=0")=0,"",ROUND(SUMIFS(approvals!$AC$2:$AC$251,approvals!$A$2:$A$251,$A14)/COUNTIFS(approvals!$A$2:$A$251,$A14,approvals!$AC$2:$AC$251,"&gt;=0"),1)))</f>
        <v/>
      </c>
      <c r="DO14" s="26">
        <f>IF($A14="","",IFERROR(IF(INDEX(drops!$T$2:$T$21,MATCH($B14,drops!$A$2:$A$21,0))="","",INDEX(drops!$T$2:$T$21,MATCH($B14,drops!$A$2:$A$21,0))),""))</f>
        <v/>
      </c>
      <c r="DP14" s="26">
        <f>IF($A14="","",IFERROR(IF(INDEX(drops!$U$2:$U$21,MATCH($B14,drops!$A$2:$A$21,0))="","",INDEX(drops!$U$2:$U$21,MATCH($B14,drops!$A$2:$A$21,0))),""))</f>
        <v/>
      </c>
      <c r="DQ14" s="26">
        <f>IF($A14="","",IFERROR(IF(INDEX(drops!$W$2:$W$21,MATCH($B14,drops!$A$2:$A$21,0))="","",INDEX(drops!$W$2:$W$21,MATCH($B14,drops!$A$2:$A$21,0))),""))</f>
        <v/>
      </c>
      <c r="DR14" s="25">
        <f>IF($A14="","",IF($CE14="","",IF($CE14&gt;=config!$B$31,"pass","miss")))</f>
        <v/>
      </c>
      <c r="DS14" s="25">
        <f>IF($A14="","",IF($CI14="","",IF($CI14&gt;=config!$B$30,"pass","miss")))</f>
        <v/>
      </c>
      <c r="DT14" s="25">
        <f>IF($A14="","",IF($AT14="",IF($DO14="","",IF(IF(config!$B$37&lt;&gt;"",config!$B$37,TODAY())&gt;$DO14,"late","due")),IF($AT14&lt;=$DO14,"pass","late")))</f>
        <v/>
      </c>
      <c r="DU14" s="25">
        <f>IF($A14="","",IF(COUNTIF(drops!$A$2:$A$21,$B14)=0,"drop_id not on drops; ",IF($BG14="","drop date missing or refused; ",""))&amp;IF(AND($G14&lt;&gt;"",$G14&lt;&gt;$BI14),"price differs from the price list; ","")&amp;IF(AND(LEFT($BW14,4)="HOLD",$BL14&lt;&gt;"",IF(config!$B$37&lt;&gt;"",config!$B$37,TODAY())&gt;=WORKDAY(N($BL14),-3,calendar!$A$2:$A$80)),"SHIP HOLD within 3 business days of T-10; ","")&amp;IF(AND($BQ14&gt;0,$BL14&lt;&gt;"",IF(config!$B$37&lt;&gt;"",config!$B$37,TODAY())&gt;$BL14),"approvals still pending after T-10; ","")&amp;IF($BZ14&lt;0,"reserve below zero: check inventory; ","")&amp;IF(AND($BG14&lt;&gt;"",IF(config!$B$37&lt;&gt;"",config!$B$37,TODAY())&gt;WORKDAY(N($BG14),14,calendar!$A$2:$A$80),N($BZ14)+N($CA14)&lt;&gt;0),"units still on hand after T+14; ","")&amp;IF(N($CV14)&gt;0,"info: "&amp;$CV14&amp;" in-window responses with a card code that matches no office (not counted); ","")&amp;IF(AND($Z14="Y",$AK14=""),"newsletter form URL missing; ","")&amp;IF(AND($Z14="Y",$BG14&lt;&gt;"",IF(config!$B$37&lt;&gt;"",config!$B$37,TODAY())&gt;WORKDAY(N($BG14),5,calendar!$A$2:$A$80),$AY14=""),"newsletter list not yet passed on (due T+5); ","")&amp;IF(AND($AY14&lt;&gt;"",$BA14=""),"delete unticked emails; ","")&amp;IF(AND($AY14&lt;&gt;"",$BB14="",IF(config!$B$37&lt;&gt;"",config!$B$37,TODAY())&gt;$AY14+config!$B$32),"DELETE the consented emails (30 days after passing on); ","")&amp;IF(AND($BG14&lt;&gt;"",$AJ14="",IF(config!$B$37&lt;&gt;"",config!$B$37,TODAY())&gt;=WORKDAY(N($BG14),-4,calendar!$A$2:$A$80)),"survey prefill template missing (due T-4); ","")&amp;IF(AND($AJ14&lt;&gt;"",ISERROR(SEARCH("CARDCODE",$AJ14))),"prefill template has no CARDCODE; ","")&amp;IF(AND($AF14="",$BG14&lt;&gt;"",IF(config!$B$37&lt;&gt;"",config!$B$37,TODAY())&gt;=WORKDAY(N($BG14),-3,calendar!$A$2:$A$80)),"card text not yet sent to the brand; ","")&amp;IF(AND($DA14="",$DQ14&lt;&gt;"",IF(config!$B$37&lt;&gt;"",config!$B$37,TODAY())&gt;$DQ14),"day-30 redemption count due; ","")&amp;IF(AND(LEFT($BW14,8)="RELEASED",$AG14=""),"ship-date email due (template 02): send it, then log ship_email_sent_date and ship_email_units; ","")&amp;IF(AND($AH14&lt;&gt;"",N($BT14)&gt;0,N($BX14)=0,N($AH14)&lt;&gt;N($BT14)),"units changed since the ship-date email of "&amp;IF($AG14="","?",TEXT($AG14,"yyyy-mm-dd"))&amp;" ("&amp;$AH14&amp;", now "&amp;$BT14&amp;"): send the brand the revised numbers (template 02) and log them; ","")&amp;IF($DT14="late","report late; ","")&amp;IF(AND(N($F14)&gt;0,$BO14&lt;N($F14),$BQ14=0),"info: "&amp;(N($F14)-$BO14)&amp;" office(s) short of the contract: add a roster office or credit $"&amp;IF($D14="founding",config!$B$25,config!$B$24)&amp;" each; ","")&amp;IF($BC14&lt;&gt;"",IF(COUNTIF(survey_frozen!$A$2:$A$251,$A14)=0,"answers deleted but no frozen totals: the survey numbers now read 0 (tools/freeze_survey.py, SOP answers_delete); ",""),IF(AND($BG14&lt;&gt;"",IF(config!$B$37&lt;&gt;"",config!$B$37,TODAY())&gt;=$BG14,ISREF(INDIRECT("'"&amp;$A14&amp;"'!B1"))),IF(INDIRECT("'"&amp;$A14&amp;"'!B1")&lt;&gt;"Card code (filled in for you)","survey tab column B is not the card code: fix the form or the tab; ",""),IF(AND($BG14&lt;&gt;"",IF(config!$B$37&lt;&gt;"",config!$B$37,TODAY())&gt;=$BG14),"no survey tab named "&amp;$A14&amp;"; ","")))&amp;IF(COUNTIF(brands!$A$2:$A$41,$C14)=0,"brand_id not on brands; ",IF(LEFT(IFERROR(IF(INDEX(brands!$AG$2:$AG$41,MATCH($C14,brands!$A$2:$A$41,0))="","",INDEX(brands!$AG$2:$AG$41,MATCH($C14,brands!$A$2:$A$41,0))),""),1)&lt;&gt;"Y","brand not qualified ("&amp;IFERROR(IF(INDEX(brands!$AG$2:$AG$41,MATCH($C14,brands!$A$2:$A$41,0))="","",INDEX(brands!$AG$2:$AG$41,MATCH($C14,brands!$A$2:$A$41,0))),"")&amp;"): nothing ships until it is; ",""))&amp;IF(AND(COUNTIF(brands!$A$2:$A$41,$C14)&gt;0,OR(IFERROR(IF(INDEX(brands!$C$2:$C$41,MATCH($C14,brands!$A$2:$A$41,0))="","",INDEX(brands!$C$2:$C$41,MATCH($C14,brands!$A$2:$A$41,0))),"")="",IFERROR(IF(INDEX(brands!$D$2:$D$41,MATCH($C14,brands!$A$2:$A$41,0))="","",INDEX(brands!$D$2:$D$41,MATCH($C14,brands!$A$2:$A$41,0))),"")="",IFERROR(IF(INDEX(brands!$E$2:$E$41,MATCH($C14,brands!$A$2:$A$41,0))="","",INDEX(brands!$E$2:$E$41,MATCH($C14,brands!$A$2:$A$41,0))),"")="")),"brand billing details missing on brands (legal name, address, email): needed for the invoice; ","")&amp;IF(AND($D14="founding",$E14&lt;&gt;"Y",N(IFERROR(IF(INDEX(brands!$AI$2:$AI$41,MATCH($C14,brands!$A$2:$A$41,0))="","",INDEX(brands!$AI$2:$AI$41,MATCH($C14,brands!$A$2:$A$41,0))),""))&gt;3),"the founding tier is for the first three brands only (this is brand "&amp;IFERROR(IF(INDEX(brands!$AI$2:$AI$41,MATCH($C14,brands!$A$2:$A$41,0))="","",INDEX(brands!$AI$2:$AI$41,MATCH($C14,brands!$A$2:$A$41,0))),"")&amp;"): use standard; ","")&amp;IF(AND($D14="founding",$E14&lt;&gt;"Y",COUNTIFS(campaigns!$C$2:$C$51,$C14,campaigns!$D$2:$D$51,"founding",campaigns!$E$2:$E$51,"&lt;&gt;Y")&gt;1),"a brand has the founding price once; its next two campaigns are founding_lock = Y; ","")&amp;IF(AND($E14="Y",COUNTIFS(campaigns!$C$2:$C$51,$C14,campaigns!$D$2:$D$51,"founding",campaigns!$E$2:$E$51,"Y")&gt;2),"founding_lock is for the brand's next two campaigns only (this is a third): use standard; ","")&amp;IF(AND($E14="Y",COUNTIFS(campaigns!$C$2:$C$51,$C14,campaigns!$D$2:$D$51,"founding",campaigns!$E$2:$E$51,"&lt;&gt;Y")=0),"founding_lock without a first founding campaign for this brand; ","")&amp;IF(AND(N($BX14)&gt;0,$BG14&lt;&gt;"",IF(config!$B$37&lt;&gt;"",config!$B$37,TODAY())&gt;=WORKDAY(N($BG14),-5,calendar!$A$2:$A$80)),IF(N($BX14)-N($BY14)&lt;N($BR14),"received "&amp;(N($BX14)-N($BY14))&amp;" usable units for "&amp;$BR14&amp;" allocated: reduce units_override evenly (SOP section 4, short shipment); ","")&amp;IF(AND(N($BX14)&lt;N($BT14),COUNTIFS(issues!$E$2:$E$121,$A14,issues!$G$2:$G$121,"short_shipment")=0),"received "&amp;$BX14&amp;" of "&amp;$BT14&amp;" due: log a short_shipment issue and tell the brand today; ",""),"")&amp;IF(AND($BG14&lt;&gt;"",IF(config!$B$37&lt;&gt;"",config!$B$37,TODAY())&gt;=WORKDAY(N($BG14),1,calendar!$A$2:$A$80),N($F14)&gt;0,(-SUMIFS(invoices!$E$2:$E$151,invoices!$B$2:$B$151,$A14,invoices!$C$2:$C$151,"credit_note"))&lt;(IF($D14="founding",config!$B$25,config!$B$24)*MAX(0,N($F14)-COUNTIFS(approvals!$A$2:$A$251,$A14,approvals!$Q$2:$Q$251,"Y",approvals!$AB$2:$AB$251,"Y")))-0.005),"credit due from T+1: "&amp;MAX(0,N($F14)-COUNTIFS(approvals!$A$2:$A$251,$A14,approvals!$Q$2:$Q$251,"Y",approvals!$AB$2:$AB$251,"Y"))&amp;" of "&amp;$F14&amp;" contracted offices not placed by T+1, $"&amp;(IF($D14="founding",config!$B$25,config!$B$24)*MAX(0,N($F14)-COUNTIFS(approvals!$A$2:$A$251,$A14,approvals!$Q$2:$Q$251,"Y",approvals!$AB$2:$AB$251,"Y")))&amp;" due, $"&amp;(-SUMIFS(invoices!$E$2:$E$151,invoices!$B$2:$B$151,$A14,invoices!$C$2:$C$151,"credit_note"))&amp;" in credit notes so far (template 06, make_invoice.py); ","")&amp;IF(AND(IFERROR(IF(INDEX(brands!$H$2:$H$41,MATCH($C14,brands!$A$2:$A$41,0))="","",INDEX(brands!$H$2:$H$41,MATCH($C14,brands!$A$2:$A$41,0))),"")&lt;&gt;"",$BG14&lt;&gt;"",IFERROR(IF(INDEX(brands!$H$2:$H$41,MATCH($C14,brands!$A$2:$A$41,0))="","",INDEX(brands!$H$2:$H$41,MATCH($C14,brands!$A$2:$A$41,0))),"")&lt;EDATE(WORKDAY(N($BG14),4,calendar!$A$2:$A$80),12)),"info: brand insurance ends "&amp;TEXT(IFERROR(IF(INDEX(brands!$H$2:$H$41,MATCH($C14,brands!$A$2:$A$41,0))="","",INDEX(brands!$H$2:$H$41,MATCH($C14,brands!$A$2:$A$41,0))),""),"yyyy-mm-dd")&amp;": diary the renewal certificate; ",""))</f>
        <v/>
      </c>
    </row>
    <row r="15">
      <c r="G15" s="10" t="n"/>
      <c r="H15" s="9" t="n"/>
      <c r="AB15" s="9" t="n"/>
      <c r="AC15" s="9" t="n"/>
      <c r="AD15" s="9" t="n"/>
      <c r="AF15" s="9" t="n"/>
      <c r="AG15" s="9" t="n"/>
      <c r="AT15" s="9" t="n"/>
      <c r="AU15" s="9" t="n"/>
      <c r="AY15" s="9" t="n"/>
      <c r="BA15" s="9" t="n"/>
      <c r="BB15" s="9" t="n"/>
      <c r="BC15" s="9" t="n"/>
      <c r="BE15" s="25">
        <f>IF($A15="","",IFERROR(IF(INDEX(brands!$K$2:$K$41,MATCH($C15,brands!$A$2:$A$41,0))="","",INDEX(brands!$K$2:$K$41,MATCH($C15,brands!$A$2:$A$41,0))),""))</f>
        <v/>
      </c>
      <c r="BF15" s="25">
        <f>IF($A15="","",IFERROR(IF(INDEX(brands!$M$2:$M$41,MATCH($C15,brands!$A$2:$A$41,0))="","",INDEX(brands!$M$2:$M$41,MATCH($C15,brands!$A$2:$A$41,0))),""))</f>
        <v/>
      </c>
      <c r="BG15" s="26">
        <f>IF($A15="","",IF(IFERROR(IF(INDEX(drops!$I$2:$I$21,MATCH($B15,drops!$A$2:$A$21,0))="","",INDEX(drops!$I$2:$I$21,MATCH($B15,drops!$A$2:$A$21,0))),"")="OK",IFERROR(IF(INDEX(drops!$B$2:$B$21,MATCH($B15,drops!$A$2:$A$21,0))="","",INDEX(drops!$B$2:$B$21,MATCH($B15,drops!$A$2:$A$21,0))),""),""))</f>
        <v/>
      </c>
      <c r="BH15" s="25">
        <f>IF($A15="","",IFERROR(IF(INDEX(drops!$C$2:$C$21,MATCH($B15,drops!$A$2:$A$21,0))="","",INDEX(drops!$C$2:$C$21,MATCH($B15,drops!$A$2:$A$21,0))),""))</f>
        <v/>
      </c>
      <c r="BI15" s="27">
        <f>IF($A15="","",IF($F15="","",IF($D15="founding",IF($E15="Y",config!$B$25*MIN($F15,config!$B$26)+config!$B$24*MAX(0,$F15-config!$B$26),config!$B$20+config!$B$24*MAX(0,$F15-config!$B$21)),IF($D15="standard",config!$B$22+config!$B$24*MAX(0,$F15-config!$B$23),""))))</f>
        <v/>
      </c>
      <c r="BJ15" s="27">
        <f>IF($A15="","",IF($G15&lt;&gt;"",$G15,$BI15))</f>
        <v/>
      </c>
      <c r="BK15" s="25">
        <f>IF($A15="","",IF($D15="founding","100% within "&amp;config!$B$27&amp;" business days of the invoice, before shipping",IF($D15="standard","50% on signing; 50% at placement confirmation (T+1)","")))</f>
        <v/>
      </c>
      <c r="BL15" s="26">
        <f>IF($A15="","",IFERROR(IF(INDEX(drops!$K$2:$K$21,MATCH($B15,drops!$A$2:$A$21,0))="","",INDEX(drops!$K$2:$K$21,MATCH($B15,drops!$A$2:$A$21,0))),""))</f>
        <v/>
      </c>
      <c r="BM15" s="26">
        <f>IF($A15="","",IFERROR(IF(INDEX(drops!$L$2:$L$21,MATCH($B15,drops!$A$2:$A$21,0))="","",INDEX(drops!$L$2:$L$21,MATCH($B15,drops!$A$2:$A$21,0))),""))</f>
        <v/>
      </c>
      <c r="BN15" s="25">
        <f>IF($A15="","",COUNTIF(approvals!$A$2:$A$251,$A15))</f>
        <v/>
      </c>
      <c r="BO15" s="25">
        <f>IF($A15="","",COUNTIFS(approvals!$A$2:$A$251,$A15,approvals!$P$2:$P$251,"Y"))</f>
        <v/>
      </c>
      <c r="BP15" s="25">
        <f>IF($A15="","",COUNTIFS(approvals!$A$2:$A$251,$A15,approvals!$Q$2:$Q$251,"Y"))</f>
        <v/>
      </c>
      <c r="BQ15" s="25">
        <f>IF($A15="","",COUNTIFS(approvals!$A$2:$A$251,$A15,approvals!$P$2:$P$251,"pending"))</f>
        <v/>
      </c>
      <c r="BR15" s="25">
        <f>IF($A15="","",SUMIFS(approvals!$S$2:$S$251,approvals!$A$2:$A$251,$A15,approvals!$P$2:$P$251,"Y"))</f>
        <v/>
      </c>
      <c r="BS15" s="25">
        <f>IF($A15="","",ROUNDUP($BR15*config!$B$18,0))</f>
        <v/>
      </c>
      <c r="BT15" s="25">
        <f>IF($A15="","",$BR15+$BS15)</f>
        <v/>
      </c>
      <c r="BU15" s="27">
        <f>IF($A15="","",SUMIFS(invoices!$I$2:$I$151,invoices!$B$2:$B$151,$A15,invoices!$R$2:$R$151,"Y",invoices!$H$2:$H$151,"&gt;0"))</f>
        <v/>
      </c>
      <c r="BV15" s="27">
        <f>IF($A15="","",IF($BJ15="","",IF($D15="founding",$BJ15,ROUND($BJ15*config!$B$28,2))))</f>
        <v/>
      </c>
      <c r="BW15" s="25">
        <f>IF($A15="","",IF(AND(N($BU15)&gt;=N($BV15),N($BV15)&gt;0,$H15&lt;&gt;"",AND($AB15&lt;&gt;"",IFERROR(IF(INDEX(brands!$G$2:$G$41,MATCH($C15,brands!$A$2:$A$41,0))="","",INDEX(brands!$G$2:$G$41,MATCH($C15,brands!$A$2:$A$41,0))),"")="Y"),LEFT(IFERROR(IF(INDEX(brands!$AG$2:$AG$41,MATCH($C15,brands!$A$2:$A$41,0))="","",INDEX(brands!$AG$2:$AG$41,MATCH($C15,brands!$A$2:$A$41,0))),""),1)="Y",$BG15&lt;&gt;"",$BQ15=0,$BO15&gt;0),"RELEASED "&amp;TEXT(MAX(IFERROR(1/(1/SUMPRODUCT(MAX((invoices!$B$2:$B$151=$A15)*(invoices!$R$2:$R$151="Y")*(invoices!$H$2:$H$151)))),""),$H15,$AB15,SUMPRODUCT(MAX((approvals!$A$2:$A$251=$A15)*(approvals!$P$2:$P$251="Y")*(approvals!$E$2:$E$251+(approvals!$E$2:$E$251=0)*approvals!$C$2:$C$251)))),"yyyy-mm-dd")&amp;": ship by "&amp;TEXT($BM15,"ddd yyyy-mm-dd")&amp;" (latest "&amp;TEXT($BL15,"ddd yyyy-mm-dd")&amp;")","HOLD: "&amp;IF(N($BU15)&lt;N($BV15),"payment ("&amp;TEXT(N($BU15),"0")&amp;" of "&amp;TEXT(N($BV15),"0")&amp;") ","")&amp;IF($H15="","agreement ","")&amp;IF(NOT(AND($AB15&lt;&gt;"",IFERROR(IF(INDEX(brands!$G$2:$G$41,MATCH($C15,brands!$A$2:$A$41,0))="","",INDEX(brands!$G$2:$G$41,MATCH($C15,brands!$A$2:$A$41,0))),"")="Y")),"certificate ","")&amp;IF(NOT(LEFT(IFERROR(IF(INDEX(brands!$AG$2:$AG$41,MATCH($C15,brands!$A$2:$A$41,0))="","",INDEX(brands!$AG$2:$AG$41,MATCH($C15,brands!$A$2:$A$41,0))),""),1)="Y"),"qualification ","")&amp;IF($BG15="","drop date ","")&amp;IF($BQ15&gt;0,"approvals ("&amp;$BQ15&amp;" pending) ","")&amp;IF($BO15=0,"no office approved ","")))</f>
        <v/>
      </c>
      <c r="BX15" s="25">
        <f>IF($A15="","",SUMIFS(inventory!$G$2:$G$801,inventory!$C$2:$C$801,$A15,inventory!$E$2:$E$801,"received"))</f>
        <v/>
      </c>
      <c r="BY15" s="25">
        <f>IF($A15="","",SUMIFS(inventory!$G$2:$G$801,inventory!$C$2:$C$801,$A15,inventory!$E$2:$E$801,"rejected"))</f>
        <v/>
      </c>
      <c r="BZ15" s="25">
        <f>IF($A15="","",SUMIFS(inventory!$M$2:$M$801,inventory!$C$2:$C$801,$A15))</f>
        <v/>
      </c>
      <c r="CA15" s="25">
        <f>IF($A15="","",SUMIFS(inventory!$O$2:$O$801,inventory!$C$2:$C$801,$A15))</f>
        <v/>
      </c>
      <c r="CB15" s="25">
        <f>IF($A15="","",SUMIFS(approvals!$U$2:$U$251,approvals!$A$2:$A$251,$A15))</f>
        <v/>
      </c>
      <c r="CC15" s="25">
        <f>IF($A15="","",SUMIFS(approvals!$AA$2:$AA$251,approvals!$A$2:$A$251,$A15))</f>
        <v/>
      </c>
      <c r="CD15" s="25">
        <f>IF($A15="","",SUMIFS(approvals!$AA$2:$AA$251,approvals!$A$2:$A$251,$A15,approvals!$AB$2:$AB$251,"Y"))</f>
        <v/>
      </c>
      <c r="CE15" s="29">
        <f>IF($A15="","",IF(N($CB15)=0,"",$CD15/$CB15))</f>
        <v/>
      </c>
      <c r="CF15" s="25">
        <f>IF($A15="","",SUMIFS(approvals!$AD$2:$AD$251,approvals!$A$2:$A$251,$A15))</f>
        <v/>
      </c>
      <c r="CG15" s="25">
        <f>IF($A15="","",IF(COUNTIFS(approvals!$A$2:$A$251,$A15,approvals!$Q$2:$Q$251,"Y",approvals!$AG$2:$AG$251,"")&gt;0,"",SUMIFS(approvals!$AG$2:$AG$251,approvals!$A$2:$A$251,$A15,approvals!$Q$2:$Q$251,"Y")))</f>
        <v/>
      </c>
      <c r="CH15" s="25">
        <f>IF($A15="","",SUMIFS(approvals!$AL$2:$AL$251,approvals!$A$2:$A$251,$A15))</f>
        <v/>
      </c>
      <c r="CI15" s="25">
        <f>IF($A15="","",IF(N($BP15)=0,"",SUMPRODUCT(MIN(approvals!$BB$2:$BB$251+(approvals!$A$2:$A$251&lt;&gt;$A15)*1000000))))</f>
        <v/>
      </c>
      <c r="CJ15" s="25">
        <f>IF($A15="","",COUNTIFS(approvals!$A$2:$A$251,$A15,approvals!$Q$2:$Q$251,"Y",approvals!$AL$2:$AL$251,"&lt;"&amp;config!$B$30))</f>
        <v/>
      </c>
      <c r="CK15" s="25">
        <f>IF($A15="","",SUMIFS(approvals!$AM$2:$AM$251,approvals!$A$2:$A$251,$A15))</f>
        <v/>
      </c>
      <c r="CL15" s="25">
        <f>IF($A15="","",SUMIFS(approvals!$AQ$2:$AQ$251,approvals!$A$2:$A$251,$A15))</f>
        <v/>
      </c>
      <c r="CM15" s="25">
        <f>IF($A15="","",SUMIFS(approvals!$AR$2:$AR$251,approvals!$A$2:$A$251,$A15))</f>
        <v/>
      </c>
      <c r="CN15" s="25">
        <f>IF($A15="","",SUMIFS(approvals!$AS$2:$AS$251,approvals!$A$2:$A$251,$A15))</f>
        <v/>
      </c>
      <c r="CO15" s="25">
        <f>IF($A15="","",SUMIFS(approvals!$AT$2:$AT$251,approvals!$A$2:$A$251,$A15))</f>
        <v/>
      </c>
      <c r="CP15" s="28">
        <f>IF($A15="","",IF(N($CO15)=0,"",ROUND(SUMIFS(approvals!$AU$2:$AU$251,approvals!$A$2:$A$251,$A15)/$CO15,1)))</f>
        <v/>
      </c>
      <c r="CQ15" s="25">
        <f>IF($A15="","",SUMIFS(approvals!$AV$2:$AV$251,approvals!$A$2:$A$251,$A15))</f>
        <v/>
      </c>
      <c r="CR15" s="25">
        <f>IF($A15="","",SUMIFS(approvals!$AW$2:$AW$251,approvals!$A$2:$A$251,$A15))</f>
        <v/>
      </c>
      <c r="CS15" s="25">
        <f>IF($A15="","",SUMIFS(approvals!$AX$2:$AX$251,approvals!$A$2:$A$251,$A15))</f>
        <v/>
      </c>
      <c r="CT15" s="25">
        <f>IF($A15="","",SUMIFS(approvals!$AY$2:$AY$251,approvals!$A$2:$A$251,$A15))</f>
        <v/>
      </c>
      <c r="CU15" s="25">
        <f>IF($A15="","",IF(OR($BG15="",$BC15&lt;&gt;""),"",IFERROR(COUNT(INDIRECT("'"&amp;$A15&amp;"'!$A$2:$A$501")),0)-IFERROR(COUNTIFS(INDIRECT("'"&amp;$A15&amp;"'!$A$2:$A$501"),"&gt;="&amp;$BG15,INDIRECT("'"&amp;$A15&amp;"'!$A$2:$A$501"),"&lt;"&amp;(IFERROR(IF(INDEX(drops!$R$2:$R$21,MATCH($B15,drops!$A$2:$A$21,0))="","",INDEX(drops!$R$2:$R$21,MATCH($B15,drops!$A$2:$A$21,0))),"")+1)),0)))</f>
        <v/>
      </c>
      <c r="CV15" s="25">
        <f>IF($A15="","",IF(OR($BG15="",$BC15&lt;&gt;""),"",IFERROR(COUNTIFS(INDIRECT("'"&amp;$A15&amp;"'!$A$2:$A$501"),"&gt;="&amp;$BG15,INDIRECT("'"&amp;$A15&amp;"'!$A$2:$A$501"),"&lt;"&amp;(IFERROR(IF(INDEX(drops!$R$2:$R$21,MATCH($B15,drops!$A$2:$A$21,0))="","",INDEX(drops!$R$2:$R$21,MATCH($B15,drops!$A$2:$A$21,0))),"")+1)),0)-N($CH15)))</f>
        <v/>
      </c>
      <c r="CW15" s="25">
        <f>IF($A15="","",SUMIFS(approvals!$AN$2:$AN$251,approvals!$A$2:$A$251,$A15))</f>
        <v/>
      </c>
      <c r="CX15" s="25">
        <f>IF($A15="","",SUMIFS(approvals!$AO$2:$AO$251,approvals!$A$2:$A$251,$A15))</f>
        <v/>
      </c>
      <c r="CY15" s="25">
        <f>IF($A15="","",IF($CZ15="","",SUMIFS(redemptions!$C$2:$C$121,redemptions!$A$2:$A$121,$A15,redemptions!$B$2:$B$121,$CZ15)))</f>
        <v/>
      </c>
      <c r="CZ15" s="26">
        <f>IF($A15="","",IFERROR(1/(1/SUMPRODUCT(MAX((redemptions!$A$2:$A$121=$A15)*redemptions!$B$2:$B$121))),""))</f>
        <v/>
      </c>
      <c r="DA15" s="25">
        <f>IF($A15="","",IF(COUNTIFS(redemptions!$A$2:$A$121,$A15,redemptions!$H$2:$H$121,"Y")=0,"",SUMIFS(redemptions!$C$2:$C$121,redemptions!$A$2:$A$121,$A15,redemptions!$B$2:$B$121,SUMPRODUCT(MIN((redemptions!$A$2:$A$121=$A15)*(redemptions!$H$2:$H$121="Y")*redemptions!$B$2:$B$121+((redemptions!$A$2:$A$121&lt;&gt;$A15)+(redemptions!$H$2:$H$121&lt;&gt;"Y")&gt;0)*1000000)))))</f>
        <v/>
      </c>
      <c r="DB15" s="27">
        <f>IF($A15="","",SUMIFS(invoices!$E$2:$E$151,invoices!$B$2:$B$151,$A15))</f>
        <v/>
      </c>
      <c r="DC15" s="27">
        <f>IF($A15="","",IF(COUNTIFS(invoices!$B$2:$B$151,$A15,invoices!$C$2:$C$151,"standard_deposit",invoices!$H$2:$H$151,"&gt;0")=0,"",SUMIFS(invoices!$I$2:$I$151,invoices!$B$2:$B$151,$A15,invoices!$C$2:$C$151,"standard_deposit")))</f>
        <v/>
      </c>
      <c r="DD15" s="26">
        <f>IF($A15="","",IFERROR(1/(1/SUMPRODUCT(MAX((invoices!$B$2:$B$151=$A15)*(invoices!$C$2:$C$151="standard_deposit")*invoices!$H$2:$H$151))),""))</f>
        <v/>
      </c>
      <c r="DE15" s="26">
        <f>IF($A15="","",IFERROR(1/(1/SUMPRODUCT(MAX((invoices!$B$2:$B$151=$A15)*((invoices!$C$2:$C$151="founding_full")+(invoices!$C$2:$C$151="standard_balance"))*invoices!$H$2:$H$151))),""))</f>
        <v/>
      </c>
      <c r="DF15" s="27">
        <f>IF($A15="","",SUMIFS(invoices!$L$2:$L$151,invoices!$B$2:$B$151,$A15))</f>
        <v/>
      </c>
      <c r="DG15" s="27">
        <f>IF($A15="","",SUMIFS(costs!$E$2:$E$301,costs!$C$2:$C$301,$A15))</f>
        <v/>
      </c>
      <c r="DH15" s="27">
        <f>IF($A15="","",ROUND(IF(SUMIFS(campaigns!$BO$2:$BO$51,campaigns!$B$2:$B$51,$B15)=0,0,$BO15/SUMIFS(campaigns!$BO$2:$BO$51,campaigns!$B$2:$B$51,$B15))*(SUMIFS(costs!$E$2:$E$301,costs!$B$2:$B$301,$B15)-SUMPRODUCT((costs!$B$2:$B$301=$B15)*(LEN(costs!$C$2:$C$301)&gt;0)*costs!$E$2:$E$301)),2))</f>
        <v/>
      </c>
      <c r="DI15" s="28">
        <f>IF($A15="","",SUMIFS(hours!$E$2:$E$1501,hours!$C$2:$C$1501,$A15))</f>
        <v/>
      </c>
      <c r="DJ15" s="28">
        <f>IF($A15="","",ROUND(IF(SUMIFS(campaigns!$BO$2:$BO$51,campaigns!$B$2:$B$51,$B15)=0,0,$BO15/SUMIFS(campaigns!$BO$2:$BO$51,campaigns!$B$2:$B$51,$B15))*(SUMIFS(hours!$E$2:$E$1501,hours!$B$2:$B$1501,$B15)-SUMPRODUCT((hours!$B$2:$B$1501=$B15)*(LEN(hours!$C$2:$C$1501)&gt;0)*hours!$E$2:$E$1501)),2))</f>
        <v/>
      </c>
      <c r="DK15" s="27">
        <f>IF($A15="","",$DB15-$DF15-$DG15-$DH15)</f>
        <v/>
      </c>
      <c r="DL15" s="27">
        <f>IF($A15="","",IF(N($DI15)+N($DJ15)=0,"",ROUND($DK15/($DI15+$DJ15),2)))</f>
        <v/>
      </c>
      <c r="DM15" s="29">
        <f>IF($A15="","",IF(N($BP15)=0,"",COUNTIFS(approvals!$A$2:$A$251,$A15,approvals!$Q$2:$Q$251,"Y",approvals!$AK$2:$AK$251,"Y")/$BP15))</f>
        <v/>
      </c>
      <c r="DN15" s="28">
        <f>IF($A15="","",IF(COUNTIFS(approvals!$A$2:$A$251,$A15,approvals!$AC$2:$AC$251,"&gt;=0")=0,"",ROUND(SUMIFS(approvals!$AC$2:$AC$251,approvals!$A$2:$A$251,$A15)/COUNTIFS(approvals!$A$2:$A$251,$A15,approvals!$AC$2:$AC$251,"&gt;=0"),1)))</f>
        <v/>
      </c>
      <c r="DO15" s="26">
        <f>IF($A15="","",IFERROR(IF(INDEX(drops!$T$2:$T$21,MATCH($B15,drops!$A$2:$A$21,0))="","",INDEX(drops!$T$2:$T$21,MATCH($B15,drops!$A$2:$A$21,0))),""))</f>
        <v/>
      </c>
      <c r="DP15" s="26">
        <f>IF($A15="","",IFERROR(IF(INDEX(drops!$U$2:$U$21,MATCH($B15,drops!$A$2:$A$21,0))="","",INDEX(drops!$U$2:$U$21,MATCH($B15,drops!$A$2:$A$21,0))),""))</f>
        <v/>
      </c>
      <c r="DQ15" s="26">
        <f>IF($A15="","",IFERROR(IF(INDEX(drops!$W$2:$W$21,MATCH($B15,drops!$A$2:$A$21,0))="","",INDEX(drops!$W$2:$W$21,MATCH($B15,drops!$A$2:$A$21,0))),""))</f>
        <v/>
      </c>
      <c r="DR15" s="25">
        <f>IF($A15="","",IF($CE15="","",IF($CE15&gt;=config!$B$31,"pass","miss")))</f>
        <v/>
      </c>
      <c r="DS15" s="25">
        <f>IF($A15="","",IF($CI15="","",IF($CI15&gt;=config!$B$30,"pass","miss")))</f>
        <v/>
      </c>
      <c r="DT15" s="25">
        <f>IF($A15="","",IF($AT15="",IF($DO15="","",IF(IF(config!$B$37&lt;&gt;"",config!$B$37,TODAY())&gt;$DO15,"late","due")),IF($AT15&lt;=$DO15,"pass","late")))</f>
        <v/>
      </c>
      <c r="DU15" s="25">
        <f>IF($A15="","",IF(COUNTIF(drops!$A$2:$A$21,$B15)=0,"drop_id not on drops; ",IF($BG15="","drop date missing or refused; ",""))&amp;IF(AND($G15&lt;&gt;"",$G15&lt;&gt;$BI15),"price differs from the price list; ","")&amp;IF(AND(LEFT($BW15,4)="HOLD",$BL15&lt;&gt;"",IF(config!$B$37&lt;&gt;"",config!$B$37,TODAY())&gt;=WORKDAY(N($BL15),-3,calendar!$A$2:$A$80)),"SHIP HOLD within 3 business days of T-10; ","")&amp;IF(AND($BQ15&gt;0,$BL15&lt;&gt;"",IF(config!$B$37&lt;&gt;"",config!$B$37,TODAY())&gt;$BL15),"approvals still pending after T-10; ","")&amp;IF($BZ15&lt;0,"reserve below zero: check inventory; ","")&amp;IF(AND($BG15&lt;&gt;"",IF(config!$B$37&lt;&gt;"",config!$B$37,TODAY())&gt;WORKDAY(N($BG15),14,calendar!$A$2:$A$80),N($BZ15)+N($CA15)&lt;&gt;0),"units still on hand after T+14; ","")&amp;IF(N($CV15)&gt;0,"info: "&amp;$CV15&amp;" in-window responses with a card code that matches no office (not counted); ","")&amp;IF(AND($Z15="Y",$AK15=""),"newsletter form URL missing; ","")&amp;IF(AND($Z15="Y",$BG15&lt;&gt;"",IF(config!$B$37&lt;&gt;"",config!$B$37,TODAY())&gt;WORKDAY(N($BG15),5,calendar!$A$2:$A$80),$AY15=""),"newsletter list not yet passed on (due T+5); ","")&amp;IF(AND($AY15&lt;&gt;"",$BA15=""),"delete unticked emails; ","")&amp;IF(AND($AY15&lt;&gt;"",$BB15="",IF(config!$B$37&lt;&gt;"",config!$B$37,TODAY())&gt;$AY15+config!$B$32),"DELETE the consented emails (30 days after passing on); ","")&amp;IF(AND($BG15&lt;&gt;"",$AJ15="",IF(config!$B$37&lt;&gt;"",config!$B$37,TODAY())&gt;=WORKDAY(N($BG15),-4,calendar!$A$2:$A$80)),"survey prefill template missing (due T-4); ","")&amp;IF(AND($AJ15&lt;&gt;"",ISERROR(SEARCH("CARDCODE",$AJ15))),"prefill template has no CARDCODE; ","")&amp;IF(AND($AF15="",$BG15&lt;&gt;"",IF(config!$B$37&lt;&gt;"",config!$B$37,TODAY())&gt;=WORKDAY(N($BG15),-3,calendar!$A$2:$A$80)),"card text not yet sent to the brand; ","")&amp;IF(AND($DA15="",$DQ15&lt;&gt;"",IF(config!$B$37&lt;&gt;"",config!$B$37,TODAY())&gt;$DQ15),"day-30 redemption count due; ","")&amp;IF(AND(LEFT($BW15,8)="RELEASED",$AG15=""),"ship-date email due (template 02): send it, then log ship_email_sent_date and ship_email_units; ","")&amp;IF(AND($AH15&lt;&gt;"",N($BT15)&gt;0,N($BX15)=0,N($AH15)&lt;&gt;N($BT15)),"units changed since the ship-date email of "&amp;IF($AG15="","?",TEXT($AG15,"yyyy-mm-dd"))&amp;" ("&amp;$AH15&amp;", now "&amp;$BT15&amp;"): send the brand the revised numbers (template 02) and log them; ","")&amp;IF($DT15="late","report late; ","")&amp;IF(AND(N($F15)&gt;0,$BO15&lt;N($F15),$BQ15=0),"info: "&amp;(N($F15)-$BO15)&amp;" office(s) short of the contract: add a roster office or credit $"&amp;IF($D15="founding",config!$B$25,config!$B$24)&amp;" each; ","")&amp;IF($BC15&lt;&gt;"",IF(COUNTIF(survey_frozen!$A$2:$A$251,$A15)=0,"answers deleted but no frozen totals: the survey numbers now read 0 (tools/freeze_survey.py, SOP answers_delete); ",""),IF(AND($BG15&lt;&gt;"",IF(config!$B$37&lt;&gt;"",config!$B$37,TODAY())&gt;=$BG15,ISREF(INDIRECT("'"&amp;$A15&amp;"'!B1"))),IF(INDIRECT("'"&amp;$A15&amp;"'!B1")&lt;&gt;"Card code (filled in for you)","survey tab column B is not the card code: fix the form or the tab; ",""),IF(AND($BG15&lt;&gt;"",IF(config!$B$37&lt;&gt;"",config!$B$37,TODAY())&gt;=$BG15),"no survey tab named "&amp;$A15&amp;"; ","")))&amp;IF(COUNTIF(brands!$A$2:$A$41,$C15)=0,"brand_id not on brands; ",IF(LEFT(IFERROR(IF(INDEX(brands!$AG$2:$AG$41,MATCH($C15,brands!$A$2:$A$41,0))="","",INDEX(brands!$AG$2:$AG$41,MATCH($C15,brands!$A$2:$A$41,0))),""),1)&lt;&gt;"Y","brand not qualified ("&amp;IFERROR(IF(INDEX(brands!$AG$2:$AG$41,MATCH($C15,brands!$A$2:$A$41,0))="","",INDEX(brands!$AG$2:$AG$41,MATCH($C15,brands!$A$2:$A$41,0))),"")&amp;"): nothing ships until it is; ",""))&amp;IF(AND(COUNTIF(brands!$A$2:$A$41,$C15)&gt;0,OR(IFERROR(IF(INDEX(brands!$C$2:$C$41,MATCH($C15,brands!$A$2:$A$41,0))="","",INDEX(brands!$C$2:$C$41,MATCH($C15,brands!$A$2:$A$41,0))),"")="",IFERROR(IF(INDEX(brands!$D$2:$D$41,MATCH($C15,brands!$A$2:$A$41,0))="","",INDEX(brands!$D$2:$D$41,MATCH($C15,brands!$A$2:$A$41,0))),"")="",IFERROR(IF(INDEX(brands!$E$2:$E$41,MATCH($C15,brands!$A$2:$A$41,0))="","",INDEX(brands!$E$2:$E$41,MATCH($C15,brands!$A$2:$A$41,0))),"")="")),"brand billing details missing on brands (legal name, address, email): needed for the invoice; ","")&amp;IF(AND($D15="founding",$E15&lt;&gt;"Y",N(IFERROR(IF(INDEX(brands!$AI$2:$AI$41,MATCH($C15,brands!$A$2:$A$41,0))="","",INDEX(brands!$AI$2:$AI$41,MATCH($C15,brands!$A$2:$A$41,0))),""))&gt;3),"the founding tier is for the first three brands only (this is brand "&amp;IFERROR(IF(INDEX(brands!$AI$2:$AI$41,MATCH($C15,brands!$A$2:$A$41,0))="","",INDEX(brands!$AI$2:$AI$41,MATCH($C15,brands!$A$2:$A$41,0))),"")&amp;"): use standard; ","")&amp;IF(AND($D15="founding",$E15&lt;&gt;"Y",COUNTIFS(campaigns!$C$2:$C$51,$C15,campaigns!$D$2:$D$51,"founding",campaigns!$E$2:$E$51,"&lt;&gt;Y")&gt;1),"a brand has the founding price once; its next two campaigns are founding_lock = Y; ","")&amp;IF(AND($E15="Y",COUNTIFS(campaigns!$C$2:$C$51,$C15,campaigns!$D$2:$D$51,"founding",campaigns!$E$2:$E$51,"Y")&gt;2),"founding_lock is for the brand's next two campaigns only (this is a third): use standard; ","")&amp;IF(AND($E15="Y",COUNTIFS(campaigns!$C$2:$C$51,$C15,campaigns!$D$2:$D$51,"founding",campaigns!$E$2:$E$51,"&lt;&gt;Y")=0),"founding_lock without a first founding campaign for this brand; ","")&amp;IF(AND(N($BX15)&gt;0,$BG15&lt;&gt;"",IF(config!$B$37&lt;&gt;"",config!$B$37,TODAY())&gt;=WORKDAY(N($BG15),-5,calendar!$A$2:$A$80)),IF(N($BX15)-N($BY15)&lt;N($BR15),"received "&amp;(N($BX15)-N($BY15))&amp;" usable units for "&amp;$BR15&amp;" allocated: reduce units_override evenly (SOP section 4, short shipment); ","")&amp;IF(AND(N($BX15)&lt;N($BT15),COUNTIFS(issues!$E$2:$E$121,$A15,issues!$G$2:$G$121,"short_shipment")=0),"received "&amp;$BX15&amp;" of "&amp;$BT15&amp;" due: log a short_shipment issue and tell the brand today; ",""),"")&amp;IF(AND($BG15&lt;&gt;"",IF(config!$B$37&lt;&gt;"",config!$B$37,TODAY())&gt;=WORKDAY(N($BG15),1,calendar!$A$2:$A$80),N($F15)&gt;0,(-SUMIFS(invoices!$E$2:$E$151,invoices!$B$2:$B$151,$A15,invoices!$C$2:$C$151,"credit_note"))&lt;(IF($D15="founding",config!$B$25,config!$B$24)*MAX(0,N($F15)-COUNTIFS(approvals!$A$2:$A$251,$A15,approvals!$Q$2:$Q$251,"Y",approvals!$AB$2:$AB$251,"Y")))-0.005),"credit due from T+1: "&amp;MAX(0,N($F15)-COUNTIFS(approvals!$A$2:$A$251,$A15,approvals!$Q$2:$Q$251,"Y",approvals!$AB$2:$AB$251,"Y"))&amp;" of "&amp;$F15&amp;" contracted offices not placed by T+1, $"&amp;(IF($D15="founding",config!$B$25,config!$B$24)*MAX(0,N($F15)-COUNTIFS(approvals!$A$2:$A$251,$A15,approvals!$Q$2:$Q$251,"Y",approvals!$AB$2:$AB$251,"Y")))&amp;" due, $"&amp;(-SUMIFS(invoices!$E$2:$E$151,invoices!$B$2:$B$151,$A15,invoices!$C$2:$C$151,"credit_note"))&amp;" in credit notes so far (template 06, make_invoice.py); ","")&amp;IF(AND(IFERROR(IF(INDEX(brands!$H$2:$H$41,MATCH($C15,brands!$A$2:$A$41,0))="","",INDEX(brands!$H$2:$H$41,MATCH($C15,brands!$A$2:$A$41,0))),"")&lt;&gt;"",$BG15&lt;&gt;"",IFERROR(IF(INDEX(brands!$H$2:$H$41,MATCH($C15,brands!$A$2:$A$41,0))="","",INDEX(brands!$H$2:$H$41,MATCH($C15,brands!$A$2:$A$41,0))),"")&lt;EDATE(WORKDAY(N($BG15),4,calendar!$A$2:$A$80),12)),"info: brand insurance ends "&amp;TEXT(IFERROR(IF(INDEX(brands!$H$2:$H$41,MATCH($C15,brands!$A$2:$A$41,0))="","",INDEX(brands!$H$2:$H$41,MATCH($C15,brands!$A$2:$A$41,0))),""),"yyyy-mm-dd")&amp;": diary the renewal certificate; ",""))</f>
        <v/>
      </c>
    </row>
    <row r="16">
      <c r="G16" s="10" t="n"/>
      <c r="H16" s="9" t="n"/>
      <c r="AB16" s="9" t="n"/>
      <c r="AC16" s="9" t="n"/>
      <c r="AD16" s="9" t="n"/>
      <c r="AF16" s="9" t="n"/>
      <c r="AG16" s="9" t="n"/>
      <c r="AT16" s="9" t="n"/>
      <c r="AU16" s="9" t="n"/>
      <c r="AY16" s="9" t="n"/>
      <c r="BA16" s="9" t="n"/>
      <c r="BB16" s="9" t="n"/>
      <c r="BC16" s="9" t="n"/>
      <c r="BE16" s="25">
        <f>IF($A16="","",IFERROR(IF(INDEX(brands!$K$2:$K$41,MATCH($C16,brands!$A$2:$A$41,0))="","",INDEX(brands!$K$2:$K$41,MATCH($C16,brands!$A$2:$A$41,0))),""))</f>
        <v/>
      </c>
      <c r="BF16" s="25">
        <f>IF($A16="","",IFERROR(IF(INDEX(brands!$M$2:$M$41,MATCH($C16,brands!$A$2:$A$41,0))="","",INDEX(brands!$M$2:$M$41,MATCH($C16,brands!$A$2:$A$41,0))),""))</f>
        <v/>
      </c>
      <c r="BG16" s="26">
        <f>IF($A16="","",IF(IFERROR(IF(INDEX(drops!$I$2:$I$21,MATCH($B16,drops!$A$2:$A$21,0))="","",INDEX(drops!$I$2:$I$21,MATCH($B16,drops!$A$2:$A$21,0))),"")="OK",IFERROR(IF(INDEX(drops!$B$2:$B$21,MATCH($B16,drops!$A$2:$A$21,0))="","",INDEX(drops!$B$2:$B$21,MATCH($B16,drops!$A$2:$A$21,0))),""),""))</f>
        <v/>
      </c>
      <c r="BH16" s="25">
        <f>IF($A16="","",IFERROR(IF(INDEX(drops!$C$2:$C$21,MATCH($B16,drops!$A$2:$A$21,0))="","",INDEX(drops!$C$2:$C$21,MATCH($B16,drops!$A$2:$A$21,0))),""))</f>
        <v/>
      </c>
      <c r="BI16" s="27">
        <f>IF($A16="","",IF($F16="","",IF($D16="founding",IF($E16="Y",config!$B$25*MIN($F16,config!$B$26)+config!$B$24*MAX(0,$F16-config!$B$26),config!$B$20+config!$B$24*MAX(0,$F16-config!$B$21)),IF($D16="standard",config!$B$22+config!$B$24*MAX(0,$F16-config!$B$23),""))))</f>
        <v/>
      </c>
      <c r="BJ16" s="27">
        <f>IF($A16="","",IF($G16&lt;&gt;"",$G16,$BI16))</f>
        <v/>
      </c>
      <c r="BK16" s="25">
        <f>IF($A16="","",IF($D16="founding","100% within "&amp;config!$B$27&amp;" business days of the invoice, before shipping",IF($D16="standard","50% on signing; 50% at placement confirmation (T+1)","")))</f>
        <v/>
      </c>
      <c r="BL16" s="26">
        <f>IF($A16="","",IFERROR(IF(INDEX(drops!$K$2:$K$21,MATCH($B16,drops!$A$2:$A$21,0))="","",INDEX(drops!$K$2:$K$21,MATCH($B16,drops!$A$2:$A$21,0))),""))</f>
        <v/>
      </c>
      <c r="BM16" s="26">
        <f>IF($A16="","",IFERROR(IF(INDEX(drops!$L$2:$L$21,MATCH($B16,drops!$A$2:$A$21,0))="","",INDEX(drops!$L$2:$L$21,MATCH($B16,drops!$A$2:$A$21,0))),""))</f>
        <v/>
      </c>
      <c r="BN16" s="25">
        <f>IF($A16="","",COUNTIF(approvals!$A$2:$A$251,$A16))</f>
        <v/>
      </c>
      <c r="BO16" s="25">
        <f>IF($A16="","",COUNTIFS(approvals!$A$2:$A$251,$A16,approvals!$P$2:$P$251,"Y"))</f>
        <v/>
      </c>
      <c r="BP16" s="25">
        <f>IF($A16="","",COUNTIFS(approvals!$A$2:$A$251,$A16,approvals!$Q$2:$Q$251,"Y"))</f>
        <v/>
      </c>
      <c r="BQ16" s="25">
        <f>IF($A16="","",COUNTIFS(approvals!$A$2:$A$251,$A16,approvals!$P$2:$P$251,"pending"))</f>
        <v/>
      </c>
      <c r="BR16" s="25">
        <f>IF($A16="","",SUMIFS(approvals!$S$2:$S$251,approvals!$A$2:$A$251,$A16,approvals!$P$2:$P$251,"Y"))</f>
        <v/>
      </c>
      <c r="BS16" s="25">
        <f>IF($A16="","",ROUNDUP($BR16*config!$B$18,0))</f>
        <v/>
      </c>
      <c r="BT16" s="25">
        <f>IF($A16="","",$BR16+$BS16)</f>
        <v/>
      </c>
      <c r="BU16" s="27">
        <f>IF($A16="","",SUMIFS(invoices!$I$2:$I$151,invoices!$B$2:$B$151,$A16,invoices!$R$2:$R$151,"Y",invoices!$H$2:$H$151,"&gt;0"))</f>
        <v/>
      </c>
      <c r="BV16" s="27">
        <f>IF($A16="","",IF($BJ16="","",IF($D16="founding",$BJ16,ROUND($BJ16*config!$B$28,2))))</f>
        <v/>
      </c>
      <c r="BW16" s="25">
        <f>IF($A16="","",IF(AND(N($BU16)&gt;=N($BV16),N($BV16)&gt;0,$H16&lt;&gt;"",AND($AB16&lt;&gt;"",IFERROR(IF(INDEX(brands!$G$2:$G$41,MATCH($C16,brands!$A$2:$A$41,0))="","",INDEX(brands!$G$2:$G$41,MATCH($C16,brands!$A$2:$A$41,0))),"")="Y"),LEFT(IFERROR(IF(INDEX(brands!$AG$2:$AG$41,MATCH($C16,brands!$A$2:$A$41,0))="","",INDEX(brands!$AG$2:$AG$41,MATCH($C16,brands!$A$2:$A$41,0))),""),1)="Y",$BG16&lt;&gt;"",$BQ16=0,$BO16&gt;0),"RELEASED "&amp;TEXT(MAX(IFERROR(1/(1/SUMPRODUCT(MAX((invoices!$B$2:$B$151=$A16)*(invoices!$R$2:$R$151="Y")*(invoices!$H$2:$H$151)))),""),$H16,$AB16,SUMPRODUCT(MAX((approvals!$A$2:$A$251=$A16)*(approvals!$P$2:$P$251="Y")*(approvals!$E$2:$E$251+(approvals!$E$2:$E$251=0)*approvals!$C$2:$C$251)))),"yyyy-mm-dd")&amp;": ship by "&amp;TEXT($BM16,"ddd yyyy-mm-dd")&amp;" (latest "&amp;TEXT($BL16,"ddd yyyy-mm-dd")&amp;")","HOLD: "&amp;IF(N($BU16)&lt;N($BV16),"payment ("&amp;TEXT(N($BU16),"0")&amp;" of "&amp;TEXT(N($BV16),"0")&amp;") ","")&amp;IF($H16="","agreement ","")&amp;IF(NOT(AND($AB16&lt;&gt;"",IFERROR(IF(INDEX(brands!$G$2:$G$41,MATCH($C16,brands!$A$2:$A$41,0))="","",INDEX(brands!$G$2:$G$41,MATCH($C16,brands!$A$2:$A$41,0))),"")="Y")),"certificate ","")&amp;IF(NOT(LEFT(IFERROR(IF(INDEX(brands!$AG$2:$AG$41,MATCH($C16,brands!$A$2:$A$41,0))="","",INDEX(brands!$AG$2:$AG$41,MATCH($C16,brands!$A$2:$A$41,0))),""),1)="Y"),"qualification ","")&amp;IF($BG16="","drop date ","")&amp;IF($BQ16&gt;0,"approvals ("&amp;$BQ16&amp;" pending) ","")&amp;IF($BO16=0,"no office approved ","")))</f>
        <v/>
      </c>
      <c r="BX16" s="25">
        <f>IF($A16="","",SUMIFS(inventory!$G$2:$G$801,inventory!$C$2:$C$801,$A16,inventory!$E$2:$E$801,"received"))</f>
        <v/>
      </c>
      <c r="BY16" s="25">
        <f>IF($A16="","",SUMIFS(inventory!$G$2:$G$801,inventory!$C$2:$C$801,$A16,inventory!$E$2:$E$801,"rejected"))</f>
        <v/>
      </c>
      <c r="BZ16" s="25">
        <f>IF($A16="","",SUMIFS(inventory!$M$2:$M$801,inventory!$C$2:$C$801,$A16))</f>
        <v/>
      </c>
      <c r="CA16" s="25">
        <f>IF($A16="","",SUMIFS(inventory!$O$2:$O$801,inventory!$C$2:$C$801,$A16))</f>
        <v/>
      </c>
      <c r="CB16" s="25">
        <f>IF($A16="","",SUMIFS(approvals!$U$2:$U$251,approvals!$A$2:$A$251,$A16))</f>
        <v/>
      </c>
      <c r="CC16" s="25">
        <f>IF($A16="","",SUMIFS(approvals!$AA$2:$AA$251,approvals!$A$2:$A$251,$A16))</f>
        <v/>
      </c>
      <c r="CD16" s="25">
        <f>IF($A16="","",SUMIFS(approvals!$AA$2:$AA$251,approvals!$A$2:$A$251,$A16,approvals!$AB$2:$AB$251,"Y"))</f>
        <v/>
      </c>
      <c r="CE16" s="29">
        <f>IF($A16="","",IF(N($CB16)=0,"",$CD16/$CB16))</f>
        <v/>
      </c>
      <c r="CF16" s="25">
        <f>IF($A16="","",SUMIFS(approvals!$AD$2:$AD$251,approvals!$A$2:$A$251,$A16))</f>
        <v/>
      </c>
      <c r="CG16" s="25">
        <f>IF($A16="","",IF(COUNTIFS(approvals!$A$2:$A$251,$A16,approvals!$Q$2:$Q$251,"Y",approvals!$AG$2:$AG$251,"")&gt;0,"",SUMIFS(approvals!$AG$2:$AG$251,approvals!$A$2:$A$251,$A16,approvals!$Q$2:$Q$251,"Y")))</f>
        <v/>
      </c>
      <c r="CH16" s="25">
        <f>IF($A16="","",SUMIFS(approvals!$AL$2:$AL$251,approvals!$A$2:$A$251,$A16))</f>
        <v/>
      </c>
      <c r="CI16" s="25">
        <f>IF($A16="","",IF(N($BP16)=0,"",SUMPRODUCT(MIN(approvals!$BB$2:$BB$251+(approvals!$A$2:$A$251&lt;&gt;$A16)*1000000))))</f>
        <v/>
      </c>
      <c r="CJ16" s="25">
        <f>IF($A16="","",COUNTIFS(approvals!$A$2:$A$251,$A16,approvals!$Q$2:$Q$251,"Y",approvals!$AL$2:$AL$251,"&lt;"&amp;config!$B$30))</f>
        <v/>
      </c>
      <c r="CK16" s="25">
        <f>IF($A16="","",SUMIFS(approvals!$AM$2:$AM$251,approvals!$A$2:$A$251,$A16))</f>
        <v/>
      </c>
      <c r="CL16" s="25">
        <f>IF($A16="","",SUMIFS(approvals!$AQ$2:$AQ$251,approvals!$A$2:$A$251,$A16))</f>
        <v/>
      </c>
      <c r="CM16" s="25">
        <f>IF($A16="","",SUMIFS(approvals!$AR$2:$AR$251,approvals!$A$2:$A$251,$A16))</f>
        <v/>
      </c>
      <c r="CN16" s="25">
        <f>IF($A16="","",SUMIFS(approvals!$AS$2:$AS$251,approvals!$A$2:$A$251,$A16))</f>
        <v/>
      </c>
      <c r="CO16" s="25">
        <f>IF($A16="","",SUMIFS(approvals!$AT$2:$AT$251,approvals!$A$2:$A$251,$A16))</f>
        <v/>
      </c>
      <c r="CP16" s="28">
        <f>IF($A16="","",IF(N($CO16)=0,"",ROUND(SUMIFS(approvals!$AU$2:$AU$251,approvals!$A$2:$A$251,$A16)/$CO16,1)))</f>
        <v/>
      </c>
      <c r="CQ16" s="25">
        <f>IF($A16="","",SUMIFS(approvals!$AV$2:$AV$251,approvals!$A$2:$A$251,$A16))</f>
        <v/>
      </c>
      <c r="CR16" s="25">
        <f>IF($A16="","",SUMIFS(approvals!$AW$2:$AW$251,approvals!$A$2:$A$251,$A16))</f>
        <v/>
      </c>
      <c r="CS16" s="25">
        <f>IF($A16="","",SUMIFS(approvals!$AX$2:$AX$251,approvals!$A$2:$A$251,$A16))</f>
        <v/>
      </c>
      <c r="CT16" s="25">
        <f>IF($A16="","",SUMIFS(approvals!$AY$2:$AY$251,approvals!$A$2:$A$251,$A16))</f>
        <v/>
      </c>
      <c r="CU16" s="25">
        <f>IF($A16="","",IF(OR($BG16="",$BC16&lt;&gt;""),"",IFERROR(COUNT(INDIRECT("'"&amp;$A16&amp;"'!$A$2:$A$501")),0)-IFERROR(COUNTIFS(INDIRECT("'"&amp;$A16&amp;"'!$A$2:$A$501"),"&gt;="&amp;$BG16,INDIRECT("'"&amp;$A16&amp;"'!$A$2:$A$501"),"&lt;"&amp;(IFERROR(IF(INDEX(drops!$R$2:$R$21,MATCH($B16,drops!$A$2:$A$21,0))="","",INDEX(drops!$R$2:$R$21,MATCH($B16,drops!$A$2:$A$21,0))),"")+1)),0)))</f>
        <v/>
      </c>
      <c r="CV16" s="25">
        <f>IF($A16="","",IF(OR($BG16="",$BC16&lt;&gt;""),"",IFERROR(COUNTIFS(INDIRECT("'"&amp;$A16&amp;"'!$A$2:$A$501"),"&gt;="&amp;$BG16,INDIRECT("'"&amp;$A16&amp;"'!$A$2:$A$501"),"&lt;"&amp;(IFERROR(IF(INDEX(drops!$R$2:$R$21,MATCH($B16,drops!$A$2:$A$21,0))="","",INDEX(drops!$R$2:$R$21,MATCH($B16,drops!$A$2:$A$21,0))),"")+1)),0)-N($CH16)))</f>
        <v/>
      </c>
      <c r="CW16" s="25">
        <f>IF($A16="","",SUMIFS(approvals!$AN$2:$AN$251,approvals!$A$2:$A$251,$A16))</f>
        <v/>
      </c>
      <c r="CX16" s="25">
        <f>IF($A16="","",SUMIFS(approvals!$AO$2:$AO$251,approvals!$A$2:$A$251,$A16))</f>
        <v/>
      </c>
      <c r="CY16" s="25">
        <f>IF($A16="","",IF($CZ16="","",SUMIFS(redemptions!$C$2:$C$121,redemptions!$A$2:$A$121,$A16,redemptions!$B$2:$B$121,$CZ16)))</f>
        <v/>
      </c>
      <c r="CZ16" s="26">
        <f>IF($A16="","",IFERROR(1/(1/SUMPRODUCT(MAX((redemptions!$A$2:$A$121=$A16)*redemptions!$B$2:$B$121))),""))</f>
        <v/>
      </c>
      <c r="DA16" s="25">
        <f>IF($A16="","",IF(COUNTIFS(redemptions!$A$2:$A$121,$A16,redemptions!$H$2:$H$121,"Y")=0,"",SUMIFS(redemptions!$C$2:$C$121,redemptions!$A$2:$A$121,$A16,redemptions!$B$2:$B$121,SUMPRODUCT(MIN((redemptions!$A$2:$A$121=$A16)*(redemptions!$H$2:$H$121="Y")*redemptions!$B$2:$B$121+((redemptions!$A$2:$A$121&lt;&gt;$A16)+(redemptions!$H$2:$H$121&lt;&gt;"Y")&gt;0)*1000000)))))</f>
        <v/>
      </c>
      <c r="DB16" s="27">
        <f>IF($A16="","",SUMIFS(invoices!$E$2:$E$151,invoices!$B$2:$B$151,$A16))</f>
        <v/>
      </c>
      <c r="DC16" s="27">
        <f>IF($A16="","",IF(COUNTIFS(invoices!$B$2:$B$151,$A16,invoices!$C$2:$C$151,"standard_deposit",invoices!$H$2:$H$151,"&gt;0")=0,"",SUMIFS(invoices!$I$2:$I$151,invoices!$B$2:$B$151,$A16,invoices!$C$2:$C$151,"standard_deposit")))</f>
        <v/>
      </c>
      <c r="DD16" s="26">
        <f>IF($A16="","",IFERROR(1/(1/SUMPRODUCT(MAX((invoices!$B$2:$B$151=$A16)*(invoices!$C$2:$C$151="standard_deposit")*invoices!$H$2:$H$151))),""))</f>
        <v/>
      </c>
      <c r="DE16" s="26">
        <f>IF($A16="","",IFERROR(1/(1/SUMPRODUCT(MAX((invoices!$B$2:$B$151=$A16)*((invoices!$C$2:$C$151="founding_full")+(invoices!$C$2:$C$151="standard_balance"))*invoices!$H$2:$H$151))),""))</f>
        <v/>
      </c>
      <c r="DF16" s="27">
        <f>IF($A16="","",SUMIFS(invoices!$L$2:$L$151,invoices!$B$2:$B$151,$A16))</f>
        <v/>
      </c>
      <c r="DG16" s="27">
        <f>IF($A16="","",SUMIFS(costs!$E$2:$E$301,costs!$C$2:$C$301,$A16))</f>
        <v/>
      </c>
      <c r="DH16" s="27">
        <f>IF($A16="","",ROUND(IF(SUMIFS(campaigns!$BO$2:$BO$51,campaigns!$B$2:$B$51,$B16)=0,0,$BO16/SUMIFS(campaigns!$BO$2:$BO$51,campaigns!$B$2:$B$51,$B16))*(SUMIFS(costs!$E$2:$E$301,costs!$B$2:$B$301,$B16)-SUMPRODUCT((costs!$B$2:$B$301=$B16)*(LEN(costs!$C$2:$C$301)&gt;0)*costs!$E$2:$E$301)),2))</f>
        <v/>
      </c>
      <c r="DI16" s="28">
        <f>IF($A16="","",SUMIFS(hours!$E$2:$E$1501,hours!$C$2:$C$1501,$A16))</f>
        <v/>
      </c>
      <c r="DJ16" s="28">
        <f>IF($A16="","",ROUND(IF(SUMIFS(campaigns!$BO$2:$BO$51,campaigns!$B$2:$B$51,$B16)=0,0,$BO16/SUMIFS(campaigns!$BO$2:$BO$51,campaigns!$B$2:$B$51,$B16))*(SUMIFS(hours!$E$2:$E$1501,hours!$B$2:$B$1501,$B16)-SUMPRODUCT((hours!$B$2:$B$1501=$B16)*(LEN(hours!$C$2:$C$1501)&gt;0)*hours!$E$2:$E$1501)),2))</f>
        <v/>
      </c>
      <c r="DK16" s="27">
        <f>IF($A16="","",$DB16-$DF16-$DG16-$DH16)</f>
        <v/>
      </c>
      <c r="DL16" s="27">
        <f>IF($A16="","",IF(N($DI16)+N($DJ16)=0,"",ROUND($DK16/($DI16+$DJ16),2)))</f>
        <v/>
      </c>
      <c r="DM16" s="29">
        <f>IF($A16="","",IF(N($BP16)=0,"",COUNTIFS(approvals!$A$2:$A$251,$A16,approvals!$Q$2:$Q$251,"Y",approvals!$AK$2:$AK$251,"Y")/$BP16))</f>
        <v/>
      </c>
      <c r="DN16" s="28">
        <f>IF($A16="","",IF(COUNTIFS(approvals!$A$2:$A$251,$A16,approvals!$AC$2:$AC$251,"&gt;=0")=0,"",ROUND(SUMIFS(approvals!$AC$2:$AC$251,approvals!$A$2:$A$251,$A16)/COUNTIFS(approvals!$A$2:$A$251,$A16,approvals!$AC$2:$AC$251,"&gt;=0"),1)))</f>
        <v/>
      </c>
      <c r="DO16" s="26">
        <f>IF($A16="","",IFERROR(IF(INDEX(drops!$T$2:$T$21,MATCH($B16,drops!$A$2:$A$21,0))="","",INDEX(drops!$T$2:$T$21,MATCH($B16,drops!$A$2:$A$21,0))),""))</f>
        <v/>
      </c>
      <c r="DP16" s="26">
        <f>IF($A16="","",IFERROR(IF(INDEX(drops!$U$2:$U$21,MATCH($B16,drops!$A$2:$A$21,0))="","",INDEX(drops!$U$2:$U$21,MATCH($B16,drops!$A$2:$A$21,0))),""))</f>
        <v/>
      </c>
      <c r="DQ16" s="26">
        <f>IF($A16="","",IFERROR(IF(INDEX(drops!$W$2:$W$21,MATCH($B16,drops!$A$2:$A$21,0))="","",INDEX(drops!$W$2:$W$21,MATCH($B16,drops!$A$2:$A$21,0))),""))</f>
        <v/>
      </c>
      <c r="DR16" s="25">
        <f>IF($A16="","",IF($CE16="","",IF($CE16&gt;=config!$B$31,"pass","miss")))</f>
        <v/>
      </c>
      <c r="DS16" s="25">
        <f>IF($A16="","",IF($CI16="","",IF($CI16&gt;=config!$B$30,"pass","miss")))</f>
        <v/>
      </c>
      <c r="DT16" s="25">
        <f>IF($A16="","",IF($AT16="",IF($DO16="","",IF(IF(config!$B$37&lt;&gt;"",config!$B$37,TODAY())&gt;$DO16,"late","due")),IF($AT16&lt;=$DO16,"pass","late")))</f>
        <v/>
      </c>
      <c r="DU16" s="25">
        <f>IF($A16="","",IF(COUNTIF(drops!$A$2:$A$21,$B16)=0,"drop_id not on drops; ",IF($BG16="","drop date missing or refused; ",""))&amp;IF(AND($G16&lt;&gt;"",$G16&lt;&gt;$BI16),"price differs from the price list; ","")&amp;IF(AND(LEFT($BW16,4)="HOLD",$BL16&lt;&gt;"",IF(config!$B$37&lt;&gt;"",config!$B$37,TODAY())&gt;=WORKDAY(N($BL16),-3,calendar!$A$2:$A$80)),"SHIP HOLD within 3 business days of T-10; ","")&amp;IF(AND($BQ16&gt;0,$BL16&lt;&gt;"",IF(config!$B$37&lt;&gt;"",config!$B$37,TODAY())&gt;$BL16),"approvals still pending after T-10; ","")&amp;IF($BZ16&lt;0,"reserve below zero: check inventory; ","")&amp;IF(AND($BG16&lt;&gt;"",IF(config!$B$37&lt;&gt;"",config!$B$37,TODAY())&gt;WORKDAY(N($BG16),14,calendar!$A$2:$A$80),N($BZ16)+N($CA16)&lt;&gt;0),"units still on hand after T+14; ","")&amp;IF(N($CV16)&gt;0,"info: "&amp;$CV16&amp;" in-window responses with a card code that matches no office (not counted); ","")&amp;IF(AND($Z16="Y",$AK16=""),"newsletter form URL missing; ","")&amp;IF(AND($Z16="Y",$BG16&lt;&gt;"",IF(config!$B$37&lt;&gt;"",config!$B$37,TODAY())&gt;WORKDAY(N($BG16),5,calendar!$A$2:$A$80),$AY16=""),"newsletter list not yet passed on (due T+5); ","")&amp;IF(AND($AY16&lt;&gt;"",$BA16=""),"delete unticked emails; ","")&amp;IF(AND($AY16&lt;&gt;"",$BB16="",IF(config!$B$37&lt;&gt;"",config!$B$37,TODAY())&gt;$AY16+config!$B$32),"DELETE the consented emails (30 days after passing on); ","")&amp;IF(AND($BG16&lt;&gt;"",$AJ16="",IF(config!$B$37&lt;&gt;"",config!$B$37,TODAY())&gt;=WORKDAY(N($BG16),-4,calendar!$A$2:$A$80)),"survey prefill template missing (due T-4); ","")&amp;IF(AND($AJ16&lt;&gt;"",ISERROR(SEARCH("CARDCODE",$AJ16))),"prefill template has no CARDCODE; ","")&amp;IF(AND($AF16="",$BG16&lt;&gt;"",IF(config!$B$37&lt;&gt;"",config!$B$37,TODAY())&gt;=WORKDAY(N($BG16),-3,calendar!$A$2:$A$80)),"card text not yet sent to the brand; ","")&amp;IF(AND($DA16="",$DQ16&lt;&gt;"",IF(config!$B$37&lt;&gt;"",config!$B$37,TODAY())&gt;$DQ16),"day-30 redemption count due; ","")&amp;IF(AND(LEFT($BW16,8)="RELEASED",$AG16=""),"ship-date email due (template 02): send it, then log ship_email_sent_date and ship_email_units; ","")&amp;IF(AND($AH16&lt;&gt;"",N($BT16)&gt;0,N($BX16)=0,N($AH16)&lt;&gt;N($BT16)),"units changed since the ship-date email of "&amp;IF($AG16="","?",TEXT($AG16,"yyyy-mm-dd"))&amp;" ("&amp;$AH16&amp;", now "&amp;$BT16&amp;"): send the brand the revised numbers (template 02) and log them; ","")&amp;IF($DT16="late","report late; ","")&amp;IF(AND(N($F16)&gt;0,$BO16&lt;N($F16),$BQ16=0),"info: "&amp;(N($F16)-$BO16)&amp;" office(s) short of the contract: add a roster office or credit $"&amp;IF($D16="founding",config!$B$25,config!$B$24)&amp;" each; ","")&amp;IF($BC16&lt;&gt;"",IF(COUNTIF(survey_frozen!$A$2:$A$251,$A16)=0,"answers deleted but no frozen totals: the survey numbers now read 0 (tools/freeze_survey.py, SOP answers_delete); ",""),IF(AND($BG16&lt;&gt;"",IF(config!$B$37&lt;&gt;"",config!$B$37,TODAY())&gt;=$BG16,ISREF(INDIRECT("'"&amp;$A16&amp;"'!B1"))),IF(INDIRECT("'"&amp;$A16&amp;"'!B1")&lt;&gt;"Card code (filled in for you)","survey tab column B is not the card code: fix the form or the tab; ",""),IF(AND($BG16&lt;&gt;"",IF(config!$B$37&lt;&gt;"",config!$B$37,TODAY())&gt;=$BG16),"no survey tab named "&amp;$A16&amp;"; ","")))&amp;IF(COUNTIF(brands!$A$2:$A$41,$C16)=0,"brand_id not on brands; ",IF(LEFT(IFERROR(IF(INDEX(brands!$AG$2:$AG$41,MATCH($C16,brands!$A$2:$A$41,0))="","",INDEX(brands!$AG$2:$AG$41,MATCH($C16,brands!$A$2:$A$41,0))),""),1)&lt;&gt;"Y","brand not qualified ("&amp;IFERROR(IF(INDEX(brands!$AG$2:$AG$41,MATCH($C16,brands!$A$2:$A$41,0))="","",INDEX(brands!$AG$2:$AG$41,MATCH($C16,brands!$A$2:$A$41,0))),"")&amp;"): nothing ships until it is; ",""))&amp;IF(AND(COUNTIF(brands!$A$2:$A$41,$C16)&gt;0,OR(IFERROR(IF(INDEX(brands!$C$2:$C$41,MATCH($C16,brands!$A$2:$A$41,0))="","",INDEX(brands!$C$2:$C$41,MATCH($C16,brands!$A$2:$A$41,0))),"")="",IFERROR(IF(INDEX(brands!$D$2:$D$41,MATCH($C16,brands!$A$2:$A$41,0))="","",INDEX(brands!$D$2:$D$41,MATCH($C16,brands!$A$2:$A$41,0))),"")="",IFERROR(IF(INDEX(brands!$E$2:$E$41,MATCH($C16,brands!$A$2:$A$41,0))="","",INDEX(brands!$E$2:$E$41,MATCH($C16,brands!$A$2:$A$41,0))),"")="")),"brand billing details missing on brands (legal name, address, email): needed for the invoice; ","")&amp;IF(AND($D16="founding",$E16&lt;&gt;"Y",N(IFERROR(IF(INDEX(brands!$AI$2:$AI$41,MATCH($C16,brands!$A$2:$A$41,0))="","",INDEX(brands!$AI$2:$AI$41,MATCH($C16,brands!$A$2:$A$41,0))),""))&gt;3),"the founding tier is for the first three brands only (this is brand "&amp;IFERROR(IF(INDEX(brands!$AI$2:$AI$41,MATCH($C16,brands!$A$2:$A$41,0))="","",INDEX(brands!$AI$2:$AI$41,MATCH($C16,brands!$A$2:$A$41,0))),"")&amp;"): use standard; ","")&amp;IF(AND($D16="founding",$E16&lt;&gt;"Y",COUNTIFS(campaigns!$C$2:$C$51,$C16,campaigns!$D$2:$D$51,"founding",campaigns!$E$2:$E$51,"&lt;&gt;Y")&gt;1),"a brand has the founding price once; its next two campaigns are founding_lock = Y; ","")&amp;IF(AND($E16="Y",COUNTIFS(campaigns!$C$2:$C$51,$C16,campaigns!$D$2:$D$51,"founding",campaigns!$E$2:$E$51,"Y")&gt;2),"founding_lock is for the brand's next two campaigns only (this is a third): use standard; ","")&amp;IF(AND($E16="Y",COUNTIFS(campaigns!$C$2:$C$51,$C16,campaigns!$D$2:$D$51,"founding",campaigns!$E$2:$E$51,"&lt;&gt;Y")=0),"founding_lock without a first founding campaign for this brand; ","")&amp;IF(AND(N($BX16)&gt;0,$BG16&lt;&gt;"",IF(config!$B$37&lt;&gt;"",config!$B$37,TODAY())&gt;=WORKDAY(N($BG16),-5,calendar!$A$2:$A$80)),IF(N($BX16)-N($BY16)&lt;N($BR16),"received "&amp;(N($BX16)-N($BY16))&amp;" usable units for "&amp;$BR16&amp;" allocated: reduce units_override evenly (SOP section 4, short shipment); ","")&amp;IF(AND(N($BX16)&lt;N($BT16),COUNTIFS(issues!$E$2:$E$121,$A16,issues!$G$2:$G$121,"short_shipment")=0),"received "&amp;$BX16&amp;" of "&amp;$BT16&amp;" due: log a short_shipment issue and tell the brand today; ",""),"")&amp;IF(AND($BG16&lt;&gt;"",IF(config!$B$37&lt;&gt;"",config!$B$37,TODAY())&gt;=WORKDAY(N($BG16),1,calendar!$A$2:$A$80),N($F16)&gt;0,(-SUMIFS(invoices!$E$2:$E$151,invoices!$B$2:$B$151,$A16,invoices!$C$2:$C$151,"credit_note"))&lt;(IF($D16="founding",config!$B$25,config!$B$24)*MAX(0,N($F16)-COUNTIFS(approvals!$A$2:$A$251,$A16,approvals!$Q$2:$Q$251,"Y",approvals!$AB$2:$AB$251,"Y")))-0.005),"credit due from T+1: "&amp;MAX(0,N($F16)-COUNTIFS(approvals!$A$2:$A$251,$A16,approvals!$Q$2:$Q$251,"Y",approvals!$AB$2:$AB$251,"Y"))&amp;" of "&amp;$F16&amp;" contracted offices not placed by T+1, $"&amp;(IF($D16="founding",config!$B$25,config!$B$24)*MAX(0,N($F16)-COUNTIFS(approvals!$A$2:$A$251,$A16,approvals!$Q$2:$Q$251,"Y",approvals!$AB$2:$AB$251,"Y")))&amp;" due, $"&amp;(-SUMIFS(invoices!$E$2:$E$151,invoices!$B$2:$B$151,$A16,invoices!$C$2:$C$151,"credit_note"))&amp;" in credit notes so far (template 06, make_invoice.py); ","")&amp;IF(AND(IFERROR(IF(INDEX(brands!$H$2:$H$41,MATCH($C16,brands!$A$2:$A$41,0))="","",INDEX(brands!$H$2:$H$41,MATCH($C16,brands!$A$2:$A$41,0))),"")&lt;&gt;"",$BG16&lt;&gt;"",IFERROR(IF(INDEX(brands!$H$2:$H$41,MATCH($C16,brands!$A$2:$A$41,0))="","",INDEX(brands!$H$2:$H$41,MATCH($C16,brands!$A$2:$A$41,0))),"")&lt;EDATE(WORKDAY(N($BG16),4,calendar!$A$2:$A$80),12)),"info: brand insurance ends "&amp;TEXT(IFERROR(IF(INDEX(brands!$H$2:$H$41,MATCH($C16,brands!$A$2:$A$41,0))="","",INDEX(brands!$H$2:$H$41,MATCH($C16,brands!$A$2:$A$41,0))),""),"yyyy-mm-dd")&amp;": diary the renewal certificate; ",""))</f>
        <v/>
      </c>
    </row>
    <row r="17">
      <c r="G17" s="10" t="n"/>
      <c r="H17" s="9" t="n"/>
      <c r="AB17" s="9" t="n"/>
      <c r="AC17" s="9" t="n"/>
      <c r="AD17" s="9" t="n"/>
      <c r="AF17" s="9" t="n"/>
      <c r="AG17" s="9" t="n"/>
      <c r="AT17" s="9" t="n"/>
      <c r="AU17" s="9" t="n"/>
      <c r="AY17" s="9" t="n"/>
      <c r="BA17" s="9" t="n"/>
      <c r="BB17" s="9" t="n"/>
      <c r="BC17" s="9" t="n"/>
      <c r="BE17" s="25">
        <f>IF($A17="","",IFERROR(IF(INDEX(brands!$K$2:$K$41,MATCH($C17,brands!$A$2:$A$41,0))="","",INDEX(brands!$K$2:$K$41,MATCH($C17,brands!$A$2:$A$41,0))),""))</f>
        <v/>
      </c>
      <c r="BF17" s="25">
        <f>IF($A17="","",IFERROR(IF(INDEX(brands!$M$2:$M$41,MATCH($C17,brands!$A$2:$A$41,0))="","",INDEX(brands!$M$2:$M$41,MATCH($C17,brands!$A$2:$A$41,0))),""))</f>
        <v/>
      </c>
      <c r="BG17" s="26">
        <f>IF($A17="","",IF(IFERROR(IF(INDEX(drops!$I$2:$I$21,MATCH($B17,drops!$A$2:$A$21,0))="","",INDEX(drops!$I$2:$I$21,MATCH($B17,drops!$A$2:$A$21,0))),"")="OK",IFERROR(IF(INDEX(drops!$B$2:$B$21,MATCH($B17,drops!$A$2:$A$21,0))="","",INDEX(drops!$B$2:$B$21,MATCH($B17,drops!$A$2:$A$21,0))),""),""))</f>
        <v/>
      </c>
      <c r="BH17" s="25">
        <f>IF($A17="","",IFERROR(IF(INDEX(drops!$C$2:$C$21,MATCH($B17,drops!$A$2:$A$21,0))="","",INDEX(drops!$C$2:$C$21,MATCH($B17,drops!$A$2:$A$21,0))),""))</f>
        <v/>
      </c>
      <c r="BI17" s="27">
        <f>IF($A17="","",IF($F17="","",IF($D17="founding",IF($E17="Y",config!$B$25*MIN($F17,config!$B$26)+config!$B$24*MAX(0,$F17-config!$B$26),config!$B$20+config!$B$24*MAX(0,$F17-config!$B$21)),IF($D17="standard",config!$B$22+config!$B$24*MAX(0,$F17-config!$B$23),""))))</f>
        <v/>
      </c>
      <c r="BJ17" s="27">
        <f>IF($A17="","",IF($G17&lt;&gt;"",$G17,$BI17))</f>
        <v/>
      </c>
      <c r="BK17" s="25">
        <f>IF($A17="","",IF($D17="founding","100% within "&amp;config!$B$27&amp;" business days of the invoice, before shipping",IF($D17="standard","50% on signing; 50% at placement confirmation (T+1)","")))</f>
        <v/>
      </c>
      <c r="BL17" s="26">
        <f>IF($A17="","",IFERROR(IF(INDEX(drops!$K$2:$K$21,MATCH($B17,drops!$A$2:$A$21,0))="","",INDEX(drops!$K$2:$K$21,MATCH($B17,drops!$A$2:$A$21,0))),""))</f>
        <v/>
      </c>
      <c r="BM17" s="26">
        <f>IF($A17="","",IFERROR(IF(INDEX(drops!$L$2:$L$21,MATCH($B17,drops!$A$2:$A$21,0))="","",INDEX(drops!$L$2:$L$21,MATCH($B17,drops!$A$2:$A$21,0))),""))</f>
        <v/>
      </c>
      <c r="BN17" s="25">
        <f>IF($A17="","",COUNTIF(approvals!$A$2:$A$251,$A17))</f>
        <v/>
      </c>
      <c r="BO17" s="25">
        <f>IF($A17="","",COUNTIFS(approvals!$A$2:$A$251,$A17,approvals!$P$2:$P$251,"Y"))</f>
        <v/>
      </c>
      <c r="BP17" s="25">
        <f>IF($A17="","",COUNTIFS(approvals!$A$2:$A$251,$A17,approvals!$Q$2:$Q$251,"Y"))</f>
        <v/>
      </c>
      <c r="BQ17" s="25">
        <f>IF($A17="","",COUNTIFS(approvals!$A$2:$A$251,$A17,approvals!$P$2:$P$251,"pending"))</f>
        <v/>
      </c>
      <c r="BR17" s="25">
        <f>IF($A17="","",SUMIFS(approvals!$S$2:$S$251,approvals!$A$2:$A$251,$A17,approvals!$P$2:$P$251,"Y"))</f>
        <v/>
      </c>
      <c r="BS17" s="25">
        <f>IF($A17="","",ROUNDUP($BR17*config!$B$18,0))</f>
        <v/>
      </c>
      <c r="BT17" s="25">
        <f>IF($A17="","",$BR17+$BS17)</f>
        <v/>
      </c>
      <c r="BU17" s="27">
        <f>IF($A17="","",SUMIFS(invoices!$I$2:$I$151,invoices!$B$2:$B$151,$A17,invoices!$R$2:$R$151,"Y",invoices!$H$2:$H$151,"&gt;0"))</f>
        <v/>
      </c>
      <c r="BV17" s="27">
        <f>IF($A17="","",IF($BJ17="","",IF($D17="founding",$BJ17,ROUND($BJ17*config!$B$28,2))))</f>
        <v/>
      </c>
      <c r="BW17" s="25">
        <f>IF($A17="","",IF(AND(N($BU17)&gt;=N($BV17),N($BV17)&gt;0,$H17&lt;&gt;"",AND($AB17&lt;&gt;"",IFERROR(IF(INDEX(brands!$G$2:$G$41,MATCH($C17,brands!$A$2:$A$41,0))="","",INDEX(brands!$G$2:$G$41,MATCH($C17,brands!$A$2:$A$41,0))),"")="Y"),LEFT(IFERROR(IF(INDEX(brands!$AG$2:$AG$41,MATCH($C17,brands!$A$2:$A$41,0))="","",INDEX(brands!$AG$2:$AG$41,MATCH($C17,brands!$A$2:$A$41,0))),""),1)="Y",$BG17&lt;&gt;"",$BQ17=0,$BO17&gt;0),"RELEASED "&amp;TEXT(MAX(IFERROR(1/(1/SUMPRODUCT(MAX((invoices!$B$2:$B$151=$A17)*(invoices!$R$2:$R$151="Y")*(invoices!$H$2:$H$151)))),""),$H17,$AB17,SUMPRODUCT(MAX((approvals!$A$2:$A$251=$A17)*(approvals!$P$2:$P$251="Y")*(approvals!$E$2:$E$251+(approvals!$E$2:$E$251=0)*approvals!$C$2:$C$251)))),"yyyy-mm-dd")&amp;": ship by "&amp;TEXT($BM17,"ddd yyyy-mm-dd")&amp;" (latest "&amp;TEXT($BL17,"ddd yyyy-mm-dd")&amp;")","HOLD: "&amp;IF(N($BU17)&lt;N($BV17),"payment ("&amp;TEXT(N($BU17),"0")&amp;" of "&amp;TEXT(N($BV17),"0")&amp;") ","")&amp;IF($H17="","agreement ","")&amp;IF(NOT(AND($AB17&lt;&gt;"",IFERROR(IF(INDEX(brands!$G$2:$G$41,MATCH($C17,brands!$A$2:$A$41,0))="","",INDEX(brands!$G$2:$G$41,MATCH($C17,brands!$A$2:$A$41,0))),"")="Y")),"certificate ","")&amp;IF(NOT(LEFT(IFERROR(IF(INDEX(brands!$AG$2:$AG$41,MATCH($C17,brands!$A$2:$A$41,0))="","",INDEX(brands!$AG$2:$AG$41,MATCH($C17,brands!$A$2:$A$41,0))),""),1)="Y"),"qualification ","")&amp;IF($BG17="","drop date ","")&amp;IF($BQ17&gt;0,"approvals ("&amp;$BQ17&amp;" pending) ","")&amp;IF($BO17=0,"no office approved ","")))</f>
        <v/>
      </c>
      <c r="BX17" s="25">
        <f>IF($A17="","",SUMIFS(inventory!$G$2:$G$801,inventory!$C$2:$C$801,$A17,inventory!$E$2:$E$801,"received"))</f>
        <v/>
      </c>
      <c r="BY17" s="25">
        <f>IF($A17="","",SUMIFS(inventory!$G$2:$G$801,inventory!$C$2:$C$801,$A17,inventory!$E$2:$E$801,"rejected"))</f>
        <v/>
      </c>
      <c r="BZ17" s="25">
        <f>IF($A17="","",SUMIFS(inventory!$M$2:$M$801,inventory!$C$2:$C$801,$A17))</f>
        <v/>
      </c>
      <c r="CA17" s="25">
        <f>IF($A17="","",SUMIFS(inventory!$O$2:$O$801,inventory!$C$2:$C$801,$A17))</f>
        <v/>
      </c>
      <c r="CB17" s="25">
        <f>IF($A17="","",SUMIFS(approvals!$U$2:$U$251,approvals!$A$2:$A$251,$A17))</f>
        <v/>
      </c>
      <c r="CC17" s="25">
        <f>IF($A17="","",SUMIFS(approvals!$AA$2:$AA$251,approvals!$A$2:$A$251,$A17))</f>
        <v/>
      </c>
      <c r="CD17" s="25">
        <f>IF($A17="","",SUMIFS(approvals!$AA$2:$AA$251,approvals!$A$2:$A$251,$A17,approvals!$AB$2:$AB$251,"Y"))</f>
        <v/>
      </c>
      <c r="CE17" s="29">
        <f>IF($A17="","",IF(N($CB17)=0,"",$CD17/$CB17))</f>
        <v/>
      </c>
      <c r="CF17" s="25">
        <f>IF($A17="","",SUMIFS(approvals!$AD$2:$AD$251,approvals!$A$2:$A$251,$A17))</f>
        <v/>
      </c>
      <c r="CG17" s="25">
        <f>IF($A17="","",IF(COUNTIFS(approvals!$A$2:$A$251,$A17,approvals!$Q$2:$Q$251,"Y",approvals!$AG$2:$AG$251,"")&gt;0,"",SUMIFS(approvals!$AG$2:$AG$251,approvals!$A$2:$A$251,$A17,approvals!$Q$2:$Q$251,"Y")))</f>
        <v/>
      </c>
      <c r="CH17" s="25">
        <f>IF($A17="","",SUMIFS(approvals!$AL$2:$AL$251,approvals!$A$2:$A$251,$A17))</f>
        <v/>
      </c>
      <c r="CI17" s="25">
        <f>IF($A17="","",IF(N($BP17)=0,"",SUMPRODUCT(MIN(approvals!$BB$2:$BB$251+(approvals!$A$2:$A$251&lt;&gt;$A17)*1000000))))</f>
        <v/>
      </c>
      <c r="CJ17" s="25">
        <f>IF($A17="","",COUNTIFS(approvals!$A$2:$A$251,$A17,approvals!$Q$2:$Q$251,"Y",approvals!$AL$2:$AL$251,"&lt;"&amp;config!$B$30))</f>
        <v/>
      </c>
      <c r="CK17" s="25">
        <f>IF($A17="","",SUMIFS(approvals!$AM$2:$AM$251,approvals!$A$2:$A$251,$A17))</f>
        <v/>
      </c>
      <c r="CL17" s="25">
        <f>IF($A17="","",SUMIFS(approvals!$AQ$2:$AQ$251,approvals!$A$2:$A$251,$A17))</f>
        <v/>
      </c>
      <c r="CM17" s="25">
        <f>IF($A17="","",SUMIFS(approvals!$AR$2:$AR$251,approvals!$A$2:$A$251,$A17))</f>
        <v/>
      </c>
      <c r="CN17" s="25">
        <f>IF($A17="","",SUMIFS(approvals!$AS$2:$AS$251,approvals!$A$2:$A$251,$A17))</f>
        <v/>
      </c>
      <c r="CO17" s="25">
        <f>IF($A17="","",SUMIFS(approvals!$AT$2:$AT$251,approvals!$A$2:$A$251,$A17))</f>
        <v/>
      </c>
      <c r="CP17" s="28">
        <f>IF($A17="","",IF(N($CO17)=0,"",ROUND(SUMIFS(approvals!$AU$2:$AU$251,approvals!$A$2:$A$251,$A17)/$CO17,1)))</f>
        <v/>
      </c>
      <c r="CQ17" s="25">
        <f>IF($A17="","",SUMIFS(approvals!$AV$2:$AV$251,approvals!$A$2:$A$251,$A17))</f>
        <v/>
      </c>
      <c r="CR17" s="25">
        <f>IF($A17="","",SUMIFS(approvals!$AW$2:$AW$251,approvals!$A$2:$A$251,$A17))</f>
        <v/>
      </c>
      <c r="CS17" s="25">
        <f>IF($A17="","",SUMIFS(approvals!$AX$2:$AX$251,approvals!$A$2:$A$251,$A17))</f>
        <v/>
      </c>
      <c r="CT17" s="25">
        <f>IF($A17="","",SUMIFS(approvals!$AY$2:$AY$251,approvals!$A$2:$A$251,$A17))</f>
        <v/>
      </c>
      <c r="CU17" s="25">
        <f>IF($A17="","",IF(OR($BG17="",$BC17&lt;&gt;""),"",IFERROR(COUNT(INDIRECT("'"&amp;$A17&amp;"'!$A$2:$A$501")),0)-IFERROR(COUNTIFS(INDIRECT("'"&amp;$A17&amp;"'!$A$2:$A$501"),"&gt;="&amp;$BG17,INDIRECT("'"&amp;$A17&amp;"'!$A$2:$A$501"),"&lt;"&amp;(IFERROR(IF(INDEX(drops!$R$2:$R$21,MATCH($B17,drops!$A$2:$A$21,0))="","",INDEX(drops!$R$2:$R$21,MATCH($B17,drops!$A$2:$A$21,0))),"")+1)),0)))</f>
        <v/>
      </c>
      <c r="CV17" s="25">
        <f>IF($A17="","",IF(OR($BG17="",$BC17&lt;&gt;""),"",IFERROR(COUNTIFS(INDIRECT("'"&amp;$A17&amp;"'!$A$2:$A$501"),"&gt;="&amp;$BG17,INDIRECT("'"&amp;$A17&amp;"'!$A$2:$A$501"),"&lt;"&amp;(IFERROR(IF(INDEX(drops!$R$2:$R$21,MATCH($B17,drops!$A$2:$A$21,0))="","",INDEX(drops!$R$2:$R$21,MATCH($B17,drops!$A$2:$A$21,0))),"")+1)),0)-N($CH17)))</f>
        <v/>
      </c>
      <c r="CW17" s="25">
        <f>IF($A17="","",SUMIFS(approvals!$AN$2:$AN$251,approvals!$A$2:$A$251,$A17))</f>
        <v/>
      </c>
      <c r="CX17" s="25">
        <f>IF($A17="","",SUMIFS(approvals!$AO$2:$AO$251,approvals!$A$2:$A$251,$A17))</f>
        <v/>
      </c>
      <c r="CY17" s="25">
        <f>IF($A17="","",IF($CZ17="","",SUMIFS(redemptions!$C$2:$C$121,redemptions!$A$2:$A$121,$A17,redemptions!$B$2:$B$121,$CZ17)))</f>
        <v/>
      </c>
      <c r="CZ17" s="26">
        <f>IF($A17="","",IFERROR(1/(1/SUMPRODUCT(MAX((redemptions!$A$2:$A$121=$A17)*redemptions!$B$2:$B$121))),""))</f>
        <v/>
      </c>
      <c r="DA17" s="25">
        <f>IF($A17="","",IF(COUNTIFS(redemptions!$A$2:$A$121,$A17,redemptions!$H$2:$H$121,"Y")=0,"",SUMIFS(redemptions!$C$2:$C$121,redemptions!$A$2:$A$121,$A17,redemptions!$B$2:$B$121,SUMPRODUCT(MIN((redemptions!$A$2:$A$121=$A17)*(redemptions!$H$2:$H$121="Y")*redemptions!$B$2:$B$121+((redemptions!$A$2:$A$121&lt;&gt;$A17)+(redemptions!$H$2:$H$121&lt;&gt;"Y")&gt;0)*1000000)))))</f>
        <v/>
      </c>
      <c r="DB17" s="27">
        <f>IF($A17="","",SUMIFS(invoices!$E$2:$E$151,invoices!$B$2:$B$151,$A17))</f>
        <v/>
      </c>
      <c r="DC17" s="27">
        <f>IF($A17="","",IF(COUNTIFS(invoices!$B$2:$B$151,$A17,invoices!$C$2:$C$151,"standard_deposit",invoices!$H$2:$H$151,"&gt;0")=0,"",SUMIFS(invoices!$I$2:$I$151,invoices!$B$2:$B$151,$A17,invoices!$C$2:$C$151,"standard_deposit")))</f>
        <v/>
      </c>
      <c r="DD17" s="26">
        <f>IF($A17="","",IFERROR(1/(1/SUMPRODUCT(MAX((invoices!$B$2:$B$151=$A17)*(invoices!$C$2:$C$151="standard_deposit")*invoices!$H$2:$H$151))),""))</f>
        <v/>
      </c>
      <c r="DE17" s="26">
        <f>IF($A17="","",IFERROR(1/(1/SUMPRODUCT(MAX((invoices!$B$2:$B$151=$A17)*((invoices!$C$2:$C$151="founding_full")+(invoices!$C$2:$C$151="standard_balance"))*invoices!$H$2:$H$151))),""))</f>
        <v/>
      </c>
      <c r="DF17" s="27">
        <f>IF($A17="","",SUMIFS(invoices!$L$2:$L$151,invoices!$B$2:$B$151,$A17))</f>
        <v/>
      </c>
      <c r="DG17" s="27">
        <f>IF($A17="","",SUMIFS(costs!$E$2:$E$301,costs!$C$2:$C$301,$A17))</f>
        <v/>
      </c>
      <c r="DH17" s="27">
        <f>IF($A17="","",ROUND(IF(SUMIFS(campaigns!$BO$2:$BO$51,campaigns!$B$2:$B$51,$B17)=0,0,$BO17/SUMIFS(campaigns!$BO$2:$BO$51,campaigns!$B$2:$B$51,$B17))*(SUMIFS(costs!$E$2:$E$301,costs!$B$2:$B$301,$B17)-SUMPRODUCT((costs!$B$2:$B$301=$B17)*(LEN(costs!$C$2:$C$301)&gt;0)*costs!$E$2:$E$301)),2))</f>
        <v/>
      </c>
      <c r="DI17" s="28">
        <f>IF($A17="","",SUMIFS(hours!$E$2:$E$1501,hours!$C$2:$C$1501,$A17))</f>
        <v/>
      </c>
      <c r="DJ17" s="28">
        <f>IF($A17="","",ROUND(IF(SUMIFS(campaigns!$BO$2:$BO$51,campaigns!$B$2:$B$51,$B17)=0,0,$BO17/SUMIFS(campaigns!$BO$2:$BO$51,campaigns!$B$2:$B$51,$B17))*(SUMIFS(hours!$E$2:$E$1501,hours!$B$2:$B$1501,$B17)-SUMPRODUCT((hours!$B$2:$B$1501=$B17)*(LEN(hours!$C$2:$C$1501)&gt;0)*hours!$E$2:$E$1501)),2))</f>
        <v/>
      </c>
      <c r="DK17" s="27">
        <f>IF($A17="","",$DB17-$DF17-$DG17-$DH17)</f>
        <v/>
      </c>
      <c r="DL17" s="27">
        <f>IF($A17="","",IF(N($DI17)+N($DJ17)=0,"",ROUND($DK17/($DI17+$DJ17),2)))</f>
        <v/>
      </c>
      <c r="DM17" s="29">
        <f>IF($A17="","",IF(N($BP17)=0,"",COUNTIFS(approvals!$A$2:$A$251,$A17,approvals!$Q$2:$Q$251,"Y",approvals!$AK$2:$AK$251,"Y")/$BP17))</f>
        <v/>
      </c>
      <c r="DN17" s="28">
        <f>IF($A17="","",IF(COUNTIFS(approvals!$A$2:$A$251,$A17,approvals!$AC$2:$AC$251,"&gt;=0")=0,"",ROUND(SUMIFS(approvals!$AC$2:$AC$251,approvals!$A$2:$A$251,$A17)/COUNTIFS(approvals!$A$2:$A$251,$A17,approvals!$AC$2:$AC$251,"&gt;=0"),1)))</f>
        <v/>
      </c>
      <c r="DO17" s="26">
        <f>IF($A17="","",IFERROR(IF(INDEX(drops!$T$2:$T$21,MATCH($B17,drops!$A$2:$A$21,0))="","",INDEX(drops!$T$2:$T$21,MATCH($B17,drops!$A$2:$A$21,0))),""))</f>
        <v/>
      </c>
      <c r="DP17" s="26">
        <f>IF($A17="","",IFERROR(IF(INDEX(drops!$U$2:$U$21,MATCH($B17,drops!$A$2:$A$21,0))="","",INDEX(drops!$U$2:$U$21,MATCH($B17,drops!$A$2:$A$21,0))),""))</f>
        <v/>
      </c>
      <c r="DQ17" s="26">
        <f>IF($A17="","",IFERROR(IF(INDEX(drops!$W$2:$W$21,MATCH($B17,drops!$A$2:$A$21,0))="","",INDEX(drops!$W$2:$W$21,MATCH($B17,drops!$A$2:$A$21,0))),""))</f>
        <v/>
      </c>
      <c r="DR17" s="25">
        <f>IF($A17="","",IF($CE17="","",IF($CE17&gt;=config!$B$31,"pass","miss")))</f>
        <v/>
      </c>
      <c r="DS17" s="25">
        <f>IF($A17="","",IF($CI17="","",IF($CI17&gt;=config!$B$30,"pass","miss")))</f>
        <v/>
      </c>
      <c r="DT17" s="25">
        <f>IF($A17="","",IF($AT17="",IF($DO17="","",IF(IF(config!$B$37&lt;&gt;"",config!$B$37,TODAY())&gt;$DO17,"late","due")),IF($AT17&lt;=$DO17,"pass","late")))</f>
        <v/>
      </c>
      <c r="DU17" s="25">
        <f>IF($A17="","",IF(COUNTIF(drops!$A$2:$A$21,$B17)=0,"drop_id not on drops; ",IF($BG17="","drop date missing or refused; ",""))&amp;IF(AND($G17&lt;&gt;"",$G17&lt;&gt;$BI17),"price differs from the price list; ","")&amp;IF(AND(LEFT($BW17,4)="HOLD",$BL17&lt;&gt;"",IF(config!$B$37&lt;&gt;"",config!$B$37,TODAY())&gt;=WORKDAY(N($BL17),-3,calendar!$A$2:$A$80)),"SHIP HOLD within 3 business days of T-10; ","")&amp;IF(AND($BQ17&gt;0,$BL17&lt;&gt;"",IF(config!$B$37&lt;&gt;"",config!$B$37,TODAY())&gt;$BL17),"approvals still pending after T-10; ","")&amp;IF($BZ17&lt;0,"reserve below zero: check inventory; ","")&amp;IF(AND($BG17&lt;&gt;"",IF(config!$B$37&lt;&gt;"",config!$B$37,TODAY())&gt;WORKDAY(N($BG17),14,calendar!$A$2:$A$80),N($BZ17)+N($CA17)&lt;&gt;0),"units still on hand after T+14; ","")&amp;IF(N($CV17)&gt;0,"info: "&amp;$CV17&amp;" in-window responses with a card code that matches no office (not counted); ","")&amp;IF(AND($Z17="Y",$AK17=""),"newsletter form URL missing; ","")&amp;IF(AND($Z17="Y",$BG17&lt;&gt;"",IF(config!$B$37&lt;&gt;"",config!$B$37,TODAY())&gt;WORKDAY(N($BG17),5,calendar!$A$2:$A$80),$AY17=""),"newsletter list not yet passed on (due T+5); ","")&amp;IF(AND($AY17&lt;&gt;"",$BA17=""),"delete unticked emails; ","")&amp;IF(AND($AY17&lt;&gt;"",$BB17="",IF(config!$B$37&lt;&gt;"",config!$B$37,TODAY())&gt;$AY17+config!$B$32),"DELETE the consented emails (30 days after passing on); ","")&amp;IF(AND($BG17&lt;&gt;"",$AJ17="",IF(config!$B$37&lt;&gt;"",config!$B$37,TODAY())&gt;=WORKDAY(N($BG17),-4,calendar!$A$2:$A$80)),"survey prefill template missing (due T-4); ","")&amp;IF(AND($AJ17&lt;&gt;"",ISERROR(SEARCH("CARDCODE",$AJ17))),"prefill template has no CARDCODE; ","")&amp;IF(AND($AF17="",$BG17&lt;&gt;"",IF(config!$B$37&lt;&gt;"",config!$B$37,TODAY())&gt;=WORKDAY(N($BG17),-3,calendar!$A$2:$A$80)),"card text not yet sent to the brand; ","")&amp;IF(AND($DA17="",$DQ17&lt;&gt;"",IF(config!$B$37&lt;&gt;"",config!$B$37,TODAY())&gt;$DQ17),"day-30 redemption count due; ","")&amp;IF(AND(LEFT($BW17,8)="RELEASED",$AG17=""),"ship-date email due (template 02): send it, then log ship_email_sent_date and ship_email_units; ","")&amp;IF(AND($AH17&lt;&gt;"",N($BT17)&gt;0,N($BX17)=0,N($AH17)&lt;&gt;N($BT17)),"units changed since the ship-date email of "&amp;IF($AG17="","?",TEXT($AG17,"yyyy-mm-dd"))&amp;" ("&amp;$AH17&amp;", now "&amp;$BT17&amp;"): send the brand the revised numbers (template 02) and log them; ","")&amp;IF($DT17="late","report late; ","")&amp;IF(AND(N($F17)&gt;0,$BO17&lt;N($F17),$BQ17=0),"info: "&amp;(N($F17)-$BO17)&amp;" office(s) short of the contract: add a roster office or credit $"&amp;IF($D17="founding",config!$B$25,config!$B$24)&amp;" each; ","")&amp;IF($BC17&lt;&gt;"",IF(COUNTIF(survey_frozen!$A$2:$A$251,$A17)=0,"answers deleted but no frozen totals: the survey numbers now read 0 (tools/freeze_survey.py, SOP answers_delete); ",""),IF(AND($BG17&lt;&gt;"",IF(config!$B$37&lt;&gt;"",config!$B$37,TODAY())&gt;=$BG17,ISREF(INDIRECT("'"&amp;$A17&amp;"'!B1"))),IF(INDIRECT("'"&amp;$A17&amp;"'!B1")&lt;&gt;"Card code (filled in for you)","survey tab column B is not the card code: fix the form or the tab; ",""),IF(AND($BG17&lt;&gt;"",IF(config!$B$37&lt;&gt;"",config!$B$37,TODAY())&gt;=$BG17),"no survey tab named "&amp;$A17&amp;"; ","")))&amp;IF(COUNTIF(brands!$A$2:$A$41,$C17)=0,"brand_id not on brands; ",IF(LEFT(IFERROR(IF(INDEX(brands!$AG$2:$AG$41,MATCH($C17,brands!$A$2:$A$41,0))="","",INDEX(brands!$AG$2:$AG$41,MATCH($C17,brands!$A$2:$A$41,0))),""),1)&lt;&gt;"Y","brand not qualified ("&amp;IFERROR(IF(INDEX(brands!$AG$2:$AG$41,MATCH($C17,brands!$A$2:$A$41,0))="","",INDEX(brands!$AG$2:$AG$41,MATCH($C17,brands!$A$2:$A$41,0))),"")&amp;"): nothing ships until it is; ",""))&amp;IF(AND(COUNTIF(brands!$A$2:$A$41,$C17)&gt;0,OR(IFERROR(IF(INDEX(brands!$C$2:$C$41,MATCH($C17,brands!$A$2:$A$41,0))="","",INDEX(brands!$C$2:$C$41,MATCH($C17,brands!$A$2:$A$41,0))),"")="",IFERROR(IF(INDEX(brands!$D$2:$D$41,MATCH($C17,brands!$A$2:$A$41,0))="","",INDEX(brands!$D$2:$D$41,MATCH($C17,brands!$A$2:$A$41,0))),"")="",IFERROR(IF(INDEX(brands!$E$2:$E$41,MATCH($C17,brands!$A$2:$A$41,0))="","",INDEX(brands!$E$2:$E$41,MATCH($C17,brands!$A$2:$A$41,0))),"")="")),"brand billing details missing on brands (legal name, address, email): needed for the invoice; ","")&amp;IF(AND($D17="founding",$E17&lt;&gt;"Y",N(IFERROR(IF(INDEX(brands!$AI$2:$AI$41,MATCH($C17,brands!$A$2:$A$41,0))="","",INDEX(brands!$AI$2:$AI$41,MATCH($C17,brands!$A$2:$A$41,0))),""))&gt;3),"the founding tier is for the first three brands only (this is brand "&amp;IFERROR(IF(INDEX(brands!$AI$2:$AI$41,MATCH($C17,brands!$A$2:$A$41,0))="","",INDEX(brands!$AI$2:$AI$41,MATCH($C17,brands!$A$2:$A$41,0))),"")&amp;"): use standard; ","")&amp;IF(AND($D17="founding",$E17&lt;&gt;"Y",COUNTIFS(campaigns!$C$2:$C$51,$C17,campaigns!$D$2:$D$51,"founding",campaigns!$E$2:$E$51,"&lt;&gt;Y")&gt;1),"a brand has the founding price once; its next two campaigns are founding_lock = Y; ","")&amp;IF(AND($E17="Y",COUNTIFS(campaigns!$C$2:$C$51,$C17,campaigns!$D$2:$D$51,"founding",campaigns!$E$2:$E$51,"Y")&gt;2),"founding_lock is for the brand's next two campaigns only (this is a third): use standard; ","")&amp;IF(AND($E17="Y",COUNTIFS(campaigns!$C$2:$C$51,$C17,campaigns!$D$2:$D$51,"founding",campaigns!$E$2:$E$51,"&lt;&gt;Y")=0),"founding_lock without a first founding campaign for this brand; ","")&amp;IF(AND(N($BX17)&gt;0,$BG17&lt;&gt;"",IF(config!$B$37&lt;&gt;"",config!$B$37,TODAY())&gt;=WORKDAY(N($BG17),-5,calendar!$A$2:$A$80)),IF(N($BX17)-N($BY17)&lt;N($BR17),"received "&amp;(N($BX17)-N($BY17))&amp;" usable units for "&amp;$BR17&amp;" allocated: reduce units_override evenly (SOP section 4, short shipment); ","")&amp;IF(AND(N($BX17)&lt;N($BT17),COUNTIFS(issues!$E$2:$E$121,$A17,issues!$G$2:$G$121,"short_shipment")=0),"received "&amp;$BX17&amp;" of "&amp;$BT17&amp;" due: log a short_shipment issue and tell the brand today; ",""),"")&amp;IF(AND($BG17&lt;&gt;"",IF(config!$B$37&lt;&gt;"",config!$B$37,TODAY())&gt;=WORKDAY(N($BG17),1,calendar!$A$2:$A$80),N($F17)&gt;0,(-SUMIFS(invoices!$E$2:$E$151,invoices!$B$2:$B$151,$A17,invoices!$C$2:$C$151,"credit_note"))&lt;(IF($D17="founding",config!$B$25,config!$B$24)*MAX(0,N($F17)-COUNTIFS(approvals!$A$2:$A$251,$A17,approvals!$Q$2:$Q$251,"Y",approvals!$AB$2:$AB$251,"Y")))-0.005),"credit due from T+1: "&amp;MAX(0,N($F17)-COUNTIFS(approvals!$A$2:$A$251,$A17,approvals!$Q$2:$Q$251,"Y",approvals!$AB$2:$AB$251,"Y"))&amp;" of "&amp;$F17&amp;" contracted offices not placed by T+1, $"&amp;(IF($D17="founding",config!$B$25,config!$B$24)*MAX(0,N($F17)-COUNTIFS(approvals!$A$2:$A$251,$A17,approvals!$Q$2:$Q$251,"Y",approvals!$AB$2:$AB$251,"Y")))&amp;" due, $"&amp;(-SUMIFS(invoices!$E$2:$E$151,invoices!$B$2:$B$151,$A17,invoices!$C$2:$C$151,"credit_note"))&amp;" in credit notes so far (template 06, make_invoice.py); ","")&amp;IF(AND(IFERROR(IF(INDEX(brands!$H$2:$H$41,MATCH($C17,brands!$A$2:$A$41,0))="","",INDEX(brands!$H$2:$H$41,MATCH($C17,brands!$A$2:$A$41,0))),"")&lt;&gt;"",$BG17&lt;&gt;"",IFERROR(IF(INDEX(brands!$H$2:$H$41,MATCH($C17,brands!$A$2:$A$41,0))="","",INDEX(brands!$H$2:$H$41,MATCH($C17,brands!$A$2:$A$41,0))),"")&lt;EDATE(WORKDAY(N($BG17),4,calendar!$A$2:$A$80),12)),"info: brand insurance ends "&amp;TEXT(IFERROR(IF(INDEX(brands!$H$2:$H$41,MATCH($C17,brands!$A$2:$A$41,0))="","",INDEX(brands!$H$2:$H$41,MATCH($C17,brands!$A$2:$A$41,0))),""),"yyyy-mm-dd")&amp;": diary the renewal certificate; ",""))</f>
        <v/>
      </c>
    </row>
    <row r="18">
      <c r="G18" s="10" t="n"/>
      <c r="H18" s="9" t="n"/>
      <c r="AB18" s="9" t="n"/>
      <c r="AC18" s="9" t="n"/>
      <c r="AD18" s="9" t="n"/>
      <c r="AF18" s="9" t="n"/>
      <c r="AG18" s="9" t="n"/>
      <c r="AT18" s="9" t="n"/>
      <c r="AU18" s="9" t="n"/>
      <c r="AY18" s="9" t="n"/>
      <c r="BA18" s="9" t="n"/>
      <c r="BB18" s="9" t="n"/>
      <c r="BC18" s="9" t="n"/>
      <c r="BE18" s="25">
        <f>IF($A18="","",IFERROR(IF(INDEX(brands!$K$2:$K$41,MATCH($C18,brands!$A$2:$A$41,0))="","",INDEX(brands!$K$2:$K$41,MATCH($C18,brands!$A$2:$A$41,0))),""))</f>
        <v/>
      </c>
      <c r="BF18" s="25">
        <f>IF($A18="","",IFERROR(IF(INDEX(brands!$M$2:$M$41,MATCH($C18,brands!$A$2:$A$41,0))="","",INDEX(brands!$M$2:$M$41,MATCH($C18,brands!$A$2:$A$41,0))),""))</f>
        <v/>
      </c>
      <c r="BG18" s="26">
        <f>IF($A18="","",IF(IFERROR(IF(INDEX(drops!$I$2:$I$21,MATCH($B18,drops!$A$2:$A$21,0))="","",INDEX(drops!$I$2:$I$21,MATCH($B18,drops!$A$2:$A$21,0))),"")="OK",IFERROR(IF(INDEX(drops!$B$2:$B$21,MATCH($B18,drops!$A$2:$A$21,0))="","",INDEX(drops!$B$2:$B$21,MATCH($B18,drops!$A$2:$A$21,0))),""),""))</f>
        <v/>
      </c>
      <c r="BH18" s="25">
        <f>IF($A18="","",IFERROR(IF(INDEX(drops!$C$2:$C$21,MATCH($B18,drops!$A$2:$A$21,0))="","",INDEX(drops!$C$2:$C$21,MATCH($B18,drops!$A$2:$A$21,0))),""))</f>
        <v/>
      </c>
      <c r="BI18" s="27">
        <f>IF($A18="","",IF($F18="","",IF($D18="founding",IF($E18="Y",config!$B$25*MIN($F18,config!$B$26)+config!$B$24*MAX(0,$F18-config!$B$26),config!$B$20+config!$B$24*MAX(0,$F18-config!$B$21)),IF($D18="standard",config!$B$22+config!$B$24*MAX(0,$F18-config!$B$23),""))))</f>
        <v/>
      </c>
      <c r="BJ18" s="27">
        <f>IF($A18="","",IF($G18&lt;&gt;"",$G18,$BI18))</f>
        <v/>
      </c>
      <c r="BK18" s="25">
        <f>IF($A18="","",IF($D18="founding","100% within "&amp;config!$B$27&amp;" business days of the invoice, before shipping",IF($D18="standard","50% on signing; 50% at placement confirmation (T+1)","")))</f>
        <v/>
      </c>
      <c r="BL18" s="26">
        <f>IF($A18="","",IFERROR(IF(INDEX(drops!$K$2:$K$21,MATCH($B18,drops!$A$2:$A$21,0))="","",INDEX(drops!$K$2:$K$21,MATCH($B18,drops!$A$2:$A$21,0))),""))</f>
        <v/>
      </c>
      <c r="BM18" s="26">
        <f>IF($A18="","",IFERROR(IF(INDEX(drops!$L$2:$L$21,MATCH($B18,drops!$A$2:$A$21,0))="","",INDEX(drops!$L$2:$L$21,MATCH($B18,drops!$A$2:$A$21,0))),""))</f>
        <v/>
      </c>
      <c r="BN18" s="25">
        <f>IF($A18="","",COUNTIF(approvals!$A$2:$A$251,$A18))</f>
        <v/>
      </c>
      <c r="BO18" s="25">
        <f>IF($A18="","",COUNTIFS(approvals!$A$2:$A$251,$A18,approvals!$P$2:$P$251,"Y"))</f>
        <v/>
      </c>
      <c r="BP18" s="25">
        <f>IF($A18="","",COUNTIFS(approvals!$A$2:$A$251,$A18,approvals!$Q$2:$Q$251,"Y"))</f>
        <v/>
      </c>
      <c r="BQ18" s="25">
        <f>IF($A18="","",COUNTIFS(approvals!$A$2:$A$251,$A18,approvals!$P$2:$P$251,"pending"))</f>
        <v/>
      </c>
      <c r="BR18" s="25">
        <f>IF($A18="","",SUMIFS(approvals!$S$2:$S$251,approvals!$A$2:$A$251,$A18,approvals!$P$2:$P$251,"Y"))</f>
        <v/>
      </c>
      <c r="BS18" s="25">
        <f>IF($A18="","",ROUNDUP($BR18*config!$B$18,0))</f>
        <v/>
      </c>
      <c r="BT18" s="25">
        <f>IF($A18="","",$BR18+$BS18)</f>
        <v/>
      </c>
      <c r="BU18" s="27">
        <f>IF($A18="","",SUMIFS(invoices!$I$2:$I$151,invoices!$B$2:$B$151,$A18,invoices!$R$2:$R$151,"Y",invoices!$H$2:$H$151,"&gt;0"))</f>
        <v/>
      </c>
      <c r="BV18" s="27">
        <f>IF($A18="","",IF($BJ18="","",IF($D18="founding",$BJ18,ROUND($BJ18*config!$B$28,2))))</f>
        <v/>
      </c>
      <c r="BW18" s="25">
        <f>IF($A18="","",IF(AND(N($BU18)&gt;=N($BV18),N($BV18)&gt;0,$H18&lt;&gt;"",AND($AB18&lt;&gt;"",IFERROR(IF(INDEX(brands!$G$2:$G$41,MATCH($C18,brands!$A$2:$A$41,0))="","",INDEX(brands!$G$2:$G$41,MATCH($C18,brands!$A$2:$A$41,0))),"")="Y"),LEFT(IFERROR(IF(INDEX(brands!$AG$2:$AG$41,MATCH($C18,brands!$A$2:$A$41,0))="","",INDEX(brands!$AG$2:$AG$41,MATCH($C18,brands!$A$2:$A$41,0))),""),1)="Y",$BG18&lt;&gt;"",$BQ18=0,$BO18&gt;0),"RELEASED "&amp;TEXT(MAX(IFERROR(1/(1/SUMPRODUCT(MAX((invoices!$B$2:$B$151=$A18)*(invoices!$R$2:$R$151="Y")*(invoices!$H$2:$H$151)))),""),$H18,$AB18,SUMPRODUCT(MAX((approvals!$A$2:$A$251=$A18)*(approvals!$P$2:$P$251="Y")*(approvals!$E$2:$E$251+(approvals!$E$2:$E$251=0)*approvals!$C$2:$C$251)))),"yyyy-mm-dd")&amp;": ship by "&amp;TEXT($BM18,"ddd yyyy-mm-dd")&amp;" (latest "&amp;TEXT($BL18,"ddd yyyy-mm-dd")&amp;")","HOLD: "&amp;IF(N($BU18)&lt;N($BV18),"payment ("&amp;TEXT(N($BU18),"0")&amp;" of "&amp;TEXT(N($BV18),"0")&amp;") ","")&amp;IF($H18="","agreement ","")&amp;IF(NOT(AND($AB18&lt;&gt;"",IFERROR(IF(INDEX(brands!$G$2:$G$41,MATCH($C18,brands!$A$2:$A$41,0))="","",INDEX(brands!$G$2:$G$41,MATCH($C18,brands!$A$2:$A$41,0))),"")="Y")),"certificate ","")&amp;IF(NOT(LEFT(IFERROR(IF(INDEX(brands!$AG$2:$AG$41,MATCH($C18,brands!$A$2:$A$41,0))="","",INDEX(brands!$AG$2:$AG$41,MATCH($C18,brands!$A$2:$A$41,0))),""),1)="Y"),"qualification ","")&amp;IF($BG18="","drop date ","")&amp;IF($BQ18&gt;0,"approvals ("&amp;$BQ18&amp;" pending) ","")&amp;IF($BO18=0,"no office approved ","")))</f>
        <v/>
      </c>
      <c r="BX18" s="25">
        <f>IF($A18="","",SUMIFS(inventory!$G$2:$G$801,inventory!$C$2:$C$801,$A18,inventory!$E$2:$E$801,"received"))</f>
        <v/>
      </c>
      <c r="BY18" s="25">
        <f>IF($A18="","",SUMIFS(inventory!$G$2:$G$801,inventory!$C$2:$C$801,$A18,inventory!$E$2:$E$801,"rejected"))</f>
        <v/>
      </c>
      <c r="BZ18" s="25">
        <f>IF($A18="","",SUMIFS(inventory!$M$2:$M$801,inventory!$C$2:$C$801,$A18))</f>
        <v/>
      </c>
      <c r="CA18" s="25">
        <f>IF($A18="","",SUMIFS(inventory!$O$2:$O$801,inventory!$C$2:$C$801,$A18))</f>
        <v/>
      </c>
      <c r="CB18" s="25">
        <f>IF($A18="","",SUMIFS(approvals!$U$2:$U$251,approvals!$A$2:$A$251,$A18))</f>
        <v/>
      </c>
      <c r="CC18" s="25">
        <f>IF($A18="","",SUMIFS(approvals!$AA$2:$AA$251,approvals!$A$2:$A$251,$A18))</f>
        <v/>
      </c>
      <c r="CD18" s="25">
        <f>IF($A18="","",SUMIFS(approvals!$AA$2:$AA$251,approvals!$A$2:$A$251,$A18,approvals!$AB$2:$AB$251,"Y"))</f>
        <v/>
      </c>
      <c r="CE18" s="29">
        <f>IF($A18="","",IF(N($CB18)=0,"",$CD18/$CB18))</f>
        <v/>
      </c>
      <c r="CF18" s="25">
        <f>IF($A18="","",SUMIFS(approvals!$AD$2:$AD$251,approvals!$A$2:$A$251,$A18))</f>
        <v/>
      </c>
      <c r="CG18" s="25">
        <f>IF($A18="","",IF(COUNTIFS(approvals!$A$2:$A$251,$A18,approvals!$Q$2:$Q$251,"Y",approvals!$AG$2:$AG$251,"")&gt;0,"",SUMIFS(approvals!$AG$2:$AG$251,approvals!$A$2:$A$251,$A18,approvals!$Q$2:$Q$251,"Y")))</f>
        <v/>
      </c>
      <c r="CH18" s="25">
        <f>IF($A18="","",SUMIFS(approvals!$AL$2:$AL$251,approvals!$A$2:$A$251,$A18))</f>
        <v/>
      </c>
      <c r="CI18" s="25">
        <f>IF($A18="","",IF(N($BP18)=0,"",SUMPRODUCT(MIN(approvals!$BB$2:$BB$251+(approvals!$A$2:$A$251&lt;&gt;$A18)*1000000))))</f>
        <v/>
      </c>
      <c r="CJ18" s="25">
        <f>IF($A18="","",COUNTIFS(approvals!$A$2:$A$251,$A18,approvals!$Q$2:$Q$251,"Y",approvals!$AL$2:$AL$251,"&lt;"&amp;config!$B$30))</f>
        <v/>
      </c>
      <c r="CK18" s="25">
        <f>IF($A18="","",SUMIFS(approvals!$AM$2:$AM$251,approvals!$A$2:$A$251,$A18))</f>
        <v/>
      </c>
      <c r="CL18" s="25">
        <f>IF($A18="","",SUMIFS(approvals!$AQ$2:$AQ$251,approvals!$A$2:$A$251,$A18))</f>
        <v/>
      </c>
      <c r="CM18" s="25">
        <f>IF($A18="","",SUMIFS(approvals!$AR$2:$AR$251,approvals!$A$2:$A$251,$A18))</f>
        <v/>
      </c>
      <c r="CN18" s="25">
        <f>IF($A18="","",SUMIFS(approvals!$AS$2:$AS$251,approvals!$A$2:$A$251,$A18))</f>
        <v/>
      </c>
      <c r="CO18" s="25">
        <f>IF($A18="","",SUMIFS(approvals!$AT$2:$AT$251,approvals!$A$2:$A$251,$A18))</f>
        <v/>
      </c>
      <c r="CP18" s="28">
        <f>IF($A18="","",IF(N($CO18)=0,"",ROUND(SUMIFS(approvals!$AU$2:$AU$251,approvals!$A$2:$A$251,$A18)/$CO18,1)))</f>
        <v/>
      </c>
      <c r="CQ18" s="25">
        <f>IF($A18="","",SUMIFS(approvals!$AV$2:$AV$251,approvals!$A$2:$A$251,$A18))</f>
        <v/>
      </c>
      <c r="CR18" s="25">
        <f>IF($A18="","",SUMIFS(approvals!$AW$2:$AW$251,approvals!$A$2:$A$251,$A18))</f>
        <v/>
      </c>
      <c r="CS18" s="25">
        <f>IF($A18="","",SUMIFS(approvals!$AX$2:$AX$251,approvals!$A$2:$A$251,$A18))</f>
        <v/>
      </c>
      <c r="CT18" s="25">
        <f>IF($A18="","",SUMIFS(approvals!$AY$2:$AY$251,approvals!$A$2:$A$251,$A18))</f>
        <v/>
      </c>
      <c r="CU18" s="25">
        <f>IF($A18="","",IF(OR($BG18="",$BC18&lt;&gt;""),"",IFERROR(COUNT(INDIRECT("'"&amp;$A18&amp;"'!$A$2:$A$501")),0)-IFERROR(COUNTIFS(INDIRECT("'"&amp;$A18&amp;"'!$A$2:$A$501"),"&gt;="&amp;$BG18,INDIRECT("'"&amp;$A18&amp;"'!$A$2:$A$501"),"&lt;"&amp;(IFERROR(IF(INDEX(drops!$R$2:$R$21,MATCH($B18,drops!$A$2:$A$21,0))="","",INDEX(drops!$R$2:$R$21,MATCH($B18,drops!$A$2:$A$21,0))),"")+1)),0)))</f>
        <v/>
      </c>
      <c r="CV18" s="25">
        <f>IF($A18="","",IF(OR($BG18="",$BC18&lt;&gt;""),"",IFERROR(COUNTIFS(INDIRECT("'"&amp;$A18&amp;"'!$A$2:$A$501"),"&gt;="&amp;$BG18,INDIRECT("'"&amp;$A18&amp;"'!$A$2:$A$501"),"&lt;"&amp;(IFERROR(IF(INDEX(drops!$R$2:$R$21,MATCH($B18,drops!$A$2:$A$21,0))="","",INDEX(drops!$R$2:$R$21,MATCH($B18,drops!$A$2:$A$21,0))),"")+1)),0)-N($CH18)))</f>
        <v/>
      </c>
      <c r="CW18" s="25">
        <f>IF($A18="","",SUMIFS(approvals!$AN$2:$AN$251,approvals!$A$2:$A$251,$A18))</f>
        <v/>
      </c>
      <c r="CX18" s="25">
        <f>IF($A18="","",SUMIFS(approvals!$AO$2:$AO$251,approvals!$A$2:$A$251,$A18))</f>
        <v/>
      </c>
      <c r="CY18" s="25">
        <f>IF($A18="","",IF($CZ18="","",SUMIFS(redemptions!$C$2:$C$121,redemptions!$A$2:$A$121,$A18,redemptions!$B$2:$B$121,$CZ18)))</f>
        <v/>
      </c>
      <c r="CZ18" s="26">
        <f>IF($A18="","",IFERROR(1/(1/SUMPRODUCT(MAX((redemptions!$A$2:$A$121=$A18)*redemptions!$B$2:$B$121))),""))</f>
        <v/>
      </c>
      <c r="DA18" s="25">
        <f>IF($A18="","",IF(COUNTIFS(redemptions!$A$2:$A$121,$A18,redemptions!$H$2:$H$121,"Y")=0,"",SUMIFS(redemptions!$C$2:$C$121,redemptions!$A$2:$A$121,$A18,redemptions!$B$2:$B$121,SUMPRODUCT(MIN((redemptions!$A$2:$A$121=$A18)*(redemptions!$H$2:$H$121="Y")*redemptions!$B$2:$B$121+((redemptions!$A$2:$A$121&lt;&gt;$A18)+(redemptions!$H$2:$H$121&lt;&gt;"Y")&gt;0)*1000000)))))</f>
        <v/>
      </c>
      <c r="DB18" s="27">
        <f>IF($A18="","",SUMIFS(invoices!$E$2:$E$151,invoices!$B$2:$B$151,$A18))</f>
        <v/>
      </c>
      <c r="DC18" s="27">
        <f>IF($A18="","",IF(COUNTIFS(invoices!$B$2:$B$151,$A18,invoices!$C$2:$C$151,"standard_deposit",invoices!$H$2:$H$151,"&gt;0")=0,"",SUMIFS(invoices!$I$2:$I$151,invoices!$B$2:$B$151,$A18,invoices!$C$2:$C$151,"standard_deposit")))</f>
        <v/>
      </c>
      <c r="DD18" s="26">
        <f>IF($A18="","",IFERROR(1/(1/SUMPRODUCT(MAX((invoices!$B$2:$B$151=$A18)*(invoices!$C$2:$C$151="standard_deposit")*invoices!$H$2:$H$151))),""))</f>
        <v/>
      </c>
      <c r="DE18" s="26">
        <f>IF($A18="","",IFERROR(1/(1/SUMPRODUCT(MAX((invoices!$B$2:$B$151=$A18)*((invoices!$C$2:$C$151="founding_full")+(invoices!$C$2:$C$151="standard_balance"))*invoices!$H$2:$H$151))),""))</f>
        <v/>
      </c>
      <c r="DF18" s="27">
        <f>IF($A18="","",SUMIFS(invoices!$L$2:$L$151,invoices!$B$2:$B$151,$A18))</f>
        <v/>
      </c>
      <c r="DG18" s="27">
        <f>IF($A18="","",SUMIFS(costs!$E$2:$E$301,costs!$C$2:$C$301,$A18))</f>
        <v/>
      </c>
      <c r="DH18" s="27">
        <f>IF($A18="","",ROUND(IF(SUMIFS(campaigns!$BO$2:$BO$51,campaigns!$B$2:$B$51,$B18)=0,0,$BO18/SUMIFS(campaigns!$BO$2:$BO$51,campaigns!$B$2:$B$51,$B18))*(SUMIFS(costs!$E$2:$E$301,costs!$B$2:$B$301,$B18)-SUMPRODUCT((costs!$B$2:$B$301=$B18)*(LEN(costs!$C$2:$C$301)&gt;0)*costs!$E$2:$E$301)),2))</f>
        <v/>
      </c>
      <c r="DI18" s="28">
        <f>IF($A18="","",SUMIFS(hours!$E$2:$E$1501,hours!$C$2:$C$1501,$A18))</f>
        <v/>
      </c>
      <c r="DJ18" s="28">
        <f>IF($A18="","",ROUND(IF(SUMIFS(campaigns!$BO$2:$BO$51,campaigns!$B$2:$B$51,$B18)=0,0,$BO18/SUMIFS(campaigns!$BO$2:$BO$51,campaigns!$B$2:$B$51,$B18))*(SUMIFS(hours!$E$2:$E$1501,hours!$B$2:$B$1501,$B18)-SUMPRODUCT((hours!$B$2:$B$1501=$B18)*(LEN(hours!$C$2:$C$1501)&gt;0)*hours!$E$2:$E$1501)),2))</f>
        <v/>
      </c>
      <c r="DK18" s="27">
        <f>IF($A18="","",$DB18-$DF18-$DG18-$DH18)</f>
        <v/>
      </c>
      <c r="DL18" s="27">
        <f>IF($A18="","",IF(N($DI18)+N($DJ18)=0,"",ROUND($DK18/($DI18+$DJ18),2)))</f>
        <v/>
      </c>
      <c r="DM18" s="29">
        <f>IF($A18="","",IF(N($BP18)=0,"",COUNTIFS(approvals!$A$2:$A$251,$A18,approvals!$Q$2:$Q$251,"Y",approvals!$AK$2:$AK$251,"Y")/$BP18))</f>
        <v/>
      </c>
      <c r="DN18" s="28">
        <f>IF($A18="","",IF(COUNTIFS(approvals!$A$2:$A$251,$A18,approvals!$AC$2:$AC$251,"&gt;=0")=0,"",ROUND(SUMIFS(approvals!$AC$2:$AC$251,approvals!$A$2:$A$251,$A18)/COUNTIFS(approvals!$A$2:$A$251,$A18,approvals!$AC$2:$AC$251,"&gt;=0"),1)))</f>
        <v/>
      </c>
      <c r="DO18" s="26">
        <f>IF($A18="","",IFERROR(IF(INDEX(drops!$T$2:$T$21,MATCH($B18,drops!$A$2:$A$21,0))="","",INDEX(drops!$T$2:$T$21,MATCH($B18,drops!$A$2:$A$21,0))),""))</f>
        <v/>
      </c>
      <c r="DP18" s="26">
        <f>IF($A18="","",IFERROR(IF(INDEX(drops!$U$2:$U$21,MATCH($B18,drops!$A$2:$A$21,0))="","",INDEX(drops!$U$2:$U$21,MATCH($B18,drops!$A$2:$A$21,0))),""))</f>
        <v/>
      </c>
      <c r="DQ18" s="26">
        <f>IF($A18="","",IFERROR(IF(INDEX(drops!$W$2:$W$21,MATCH($B18,drops!$A$2:$A$21,0))="","",INDEX(drops!$W$2:$W$21,MATCH($B18,drops!$A$2:$A$21,0))),""))</f>
        <v/>
      </c>
      <c r="DR18" s="25">
        <f>IF($A18="","",IF($CE18="","",IF($CE18&gt;=config!$B$31,"pass","miss")))</f>
        <v/>
      </c>
      <c r="DS18" s="25">
        <f>IF($A18="","",IF($CI18="","",IF($CI18&gt;=config!$B$30,"pass","miss")))</f>
        <v/>
      </c>
      <c r="DT18" s="25">
        <f>IF($A18="","",IF($AT18="",IF($DO18="","",IF(IF(config!$B$37&lt;&gt;"",config!$B$37,TODAY())&gt;$DO18,"late","due")),IF($AT18&lt;=$DO18,"pass","late")))</f>
        <v/>
      </c>
      <c r="DU18" s="25">
        <f>IF($A18="","",IF(COUNTIF(drops!$A$2:$A$21,$B18)=0,"drop_id not on drops; ",IF($BG18="","drop date missing or refused; ",""))&amp;IF(AND($G18&lt;&gt;"",$G18&lt;&gt;$BI18),"price differs from the price list; ","")&amp;IF(AND(LEFT($BW18,4)="HOLD",$BL18&lt;&gt;"",IF(config!$B$37&lt;&gt;"",config!$B$37,TODAY())&gt;=WORKDAY(N($BL18),-3,calendar!$A$2:$A$80)),"SHIP HOLD within 3 business days of T-10; ","")&amp;IF(AND($BQ18&gt;0,$BL18&lt;&gt;"",IF(config!$B$37&lt;&gt;"",config!$B$37,TODAY())&gt;$BL18),"approvals still pending after T-10; ","")&amp;IF($BZ18&lt;0,"reserve below zero: check inventory; ","")&amp;IF(AND($BG18&lt;&gt;"",IF(config!$B$37&lt;&gt;"",config!$B$37,TODAY())&gt;WORKDAY(N($BG18),14,calendar!$A$2:$A$80),N($BZ18)+N($CA18)&lt;&gt;0),"units still on hand after T+14; ","")&amp;IF(N($CV18)&gt;0,"info: "&amp;$CV18&amp;" in-window responses with a card code that matches no office (not counted); ","")&amp;IF(AND($Z18="Y",$AK18=""),"newsletter form URL missing; ","")&amp;IF(AND($Z18="Y",$BG18&lt;&gt;"",IF(config!$B$37&lt;&gt;"",config!$B$37,TODAY())&gt;WORKDAY(N($BG18),5,calendar!$A$2:$A$80),$AY18=""),"newsletter list not yet passed on (due T+5); ","")&amp;IF(AND($AY18&lt;&gt;"",$BA18=""),"delete unticked emails; ","")&amp;IF(AND($AY18&lt;&gt;"",$BB18="",IF(config!$B$37&lt;&gt;"",config!$B$37,TODAY())&gt;$AY18+config!$B$32),"DELETE the consented emails (30 days after passing on); ","")&amp;IF(AND($BG18&lt;&gt;"",$AJ18="",IF(config!$B$37&lt;&gt;"",config!$B$37,TODAY())&gt;=WORKDAY(N($BG18),-4,calendar!$A$2:$A$80)),"survey prefill template missing (due T-4); ","")&amp;IF(AND($AJ18&lt;&gt;"",ISERROR(SEARCH("CARDCODE",$AJ18))),"prefill template has no CARDCODE; ","")&amp;IF(AND($AF18="",$BG18&lt;&gt;"",IF(config!$B$37&lt;&gt;"",config!$B$37,TODAY())&gt;=WORKDAY(N($BG18),-3,calendar!$A$2:$A$80)),"card text not yet sent to the brand; ","")&amp;IF(AND($DA18="",$DQ18&lt;&gt;"",IF(config!$B$37&lt;&gt;"",config!$B$37,TODAY())&gt;$DQ18),"day-30 redemption count due; ","")&amp;IF(AND(LEFT($BW18,8)="RELEASED",$AG18=""),"ship-date email due (template 02): send it, then log ship_email_sent_date and ship_email_units; ","")&amp;IF(AND($AH18&lt;&gt;"",N($BT18)&gt;0,N($BX18)=0,N($AH18)&lt;&gt;N($BT18)),"units changed since the ship-date email of "&amp;IF($AG18="","?",TEXT($AG18,"yyyy-mm-dd"))&amp;" ("&amp;$AH18&amp;", now "&amp;$BT18&amp;"): send the brand the revised numbers (template 02) and log them; ","")&amp;IF($DT18="late","report late; ","")&amp;IF(AND(N($F18)&gt;0,$BO18&lt;N($F18),$BQ18=0),"info: "&amp;(N($F18)-$BO18)&amp;" office(s) short of the contract: add a roster office or credit $"&amp;IF($D18="founding",config!$B$25,config!$B$24)&amp;" each; ","")&amp;IF($BC18&lt;&gt;"",IF(COUNTIF(survey_frozen!$A$2:$A$251,$A18)=0,"answers deleted but no frozen totals: the survey numbers now read 0 (tools/freeze_survey.py, SOP answers_delete); ",""),IF(AND($BG18&lt;&gt;"",IF(config!$B$37&lt;&gt;"",config!$B$37,TODAY())&gt;=$BG18,ISREF(INDIRECT("'"&amp;$A18&amp;"'!B1"))),IF(INDIRECT("'"&amp;$A18&amp;"'!B1")&lt;&gt;"Card code (filled in for you)","survey tab column B is not the card code: fix the form or the tab; ",""),IF(AND($BG18&lt;&gt;"",IF(config!$B$37&lt;&gt;"",config!$B$37,TODAY())&gt;=$BG18),"no survey tab named "&amp;$A18&amp;"; ","")))&amp;IF(COUNTIF(brands!$A$2:$A$41,$C18)=0,"brand_id not on brands; ",IF(LEFT(IFERROR(IF(INDEX(brands!$AG$2:$AG$41,MATCH($C18,brands!$A$2:$A$41,0))="","",INDEX(brands!$AG$2:$AG$41,MATCH($C18,brands!$A$2:$A$41,0))),""),1)&lt;&gt;"Y","brand not qualified ("&amp;IFERROR(IF(INDEX(brands!$AG$2:$AG$41,MATCH($C18,brands!$A$2:$A$41,0))="","",INDEX(brands!$AG$2:$AG$41,MATCH($C18,brands!$A$2:$A$41,0))),"")&amp;"): nothing ships until it is; ",""))&amp;IF(AND(COUNTIF(brands!$A$2:$A$41,$C18)&gt;0,OR(IFERROR(IF(INDEX(brands!$C$2:$C$41,MATCH($C18,brands!$A$2:$A$41,0))="","",INDEX(brands!$C$2:$C$41,MATCH($C18,brands!$A$2:$A$41,0))),"")="",IFERROR(IF(INDEX(brands!$D$2:$D$41,MATCH($C18,brands!$A$2:$A$41,0))="","",INDEX(brands!$D$2:$D$41,MATCH($C18,brands!$A$2:$A$41,0))),"")="",IFERROR(IF(INDEX(brands!$E$2:$E$41,MATCH($C18,brands!$A$2:$A$41,0))="","",INDEX(brands!$E$2:$E$41,MATCH($C18,brands!$A$2:$A$41,0))),"")="")),"brand billing details missing on brands (legal name, address, email): needed for the invoice; ","")&amp;IF(AND($D18="founding",$E18&lt;&gt;"Y",N(IFERROR(IF(INDEX(brands!$AI$2:$AI$41,MATCH($C18,brands!$A$2:$A$41,0))="","",INDEX(brands!$AI$2:$AI$41,MATCH($C18,brands!$A$2:$A$41,0))),""))&gt;3),"the founding tier is for the first three brands only (this is brand "&amp;IFERROR(IF(INDEX(brands!$AI$2:$AI$41,MATCH($C18,brands!$A$2:$A$41,0))="","",INDEX(brands!$AI$2:$AI$41,MATCH($C18,brands!$A$2:$A$41,0))),"")&amp;"): use standard; ","")&amp;IF(AND($D18="founding",$E18&lt;&gt;"Y",COUNTIFS(campaigns!$C$2:$C$51,$C18,campaigns!$D$2:$D$51,"founding",campaigns!$E$2:$E$51,"&lt;&gt;Y")&gt;1),"a brand has the founding price once; its next two campaigns are founding_lock = Y; ","")&amp;IF(AND($E18="Y",COUNTIFS(campaigns!$C$2:$C$51,$C18,campaigns!$D$2:$D$51,"founding",campaigns!$E$2:$E$51,"Y")&gt;2),"founding_lock is for the brand's next two campaigns only (this is a third): use standard; ","")&amp;IF(AND($E18="Y",COUNTIFS(campaigns!$C$2:$C$51,$C18,campaigns!$D$2:$D$51,"founding",campaigns!$E$2:$E$51,"&lt;&gt;Y")=0),"founding_lock without a first founding campaign for this brand; ","")&amp;IF(AND(N($BX18)&gt;0,$BG18&lt;&gt;"",IF(config!$B$37&lt;&gt;"",config!$B$37,TODAY())&gt;=WORKDAY(N($BG18),-5,calendar!$A$2:$A$80)),IF(N($BX18)-N($BY18)&lt;N($BR18),"received "&amp;(N($BX18)-N($BY18))&amp;" usable units for "&amp;$BR18&amp;" allocated: reduce units_override evenly (SOP section 4, short shipment); ","")&amp;IF(AND(N($BX18)&lt;N($BT18),COUNTIFS(issues!$E$2:$E$121,$A18,issues!$G$2:$G$121,"short_shipment")=0),"received "&amp;$BX18&amp;" of "&amp;$BT18&amp;" due: log a short_shipment issue and tell the brand today; ",""),"")&amp;IF(AND($BG18&lt;&gt;"",IF(config!$B$37&lt;&gt;"",config!$B$37,TODAY())&gt;=WORKDAY(N($BG18),1,calendar!$A$2:$A$80),N($F18)&gt;0,(-SUMIFS(invoices!$E$2:$E$151,invoices!$B$2:$B$151,$A18,invoices!$C$2:$C$151,"credit_note"))&lt;(IF($D18="founding",config!$B$25,config!$B$24)*MAX(0,N($F18)-COUNTIFS(approvals!$A$2:$A$251,$A18,approvals!$Q$2:$Q$251,"Y",approvals!$AB$2:$AB$251,"Y")))-0.005),"credit due from T+1: "&amp;MAX(0,N($F18)-COUNTIFS(approvals!$A$2:$A$251,$A18,approvals!$Q$2:$Q$251,"Y",approvals!$AB$2:$AB$251,"Y"))&amp;" of "&amp;$F18&amp;" contracted offices not placed by T+1, $"&amp;(IF($D18="founding",config!$B$25,config!$B$24)*MAX(0,N($F18)-COUNTIFS(approvals!$A$2:$A$251,$A18,approvals!$Q$2:$Q$251,"Y",approvals!$AB$2:$AB$251,"Y")))&amp;" due, $"&amp;(-SUMIFS(invoices!$E$2:$E$151,invoices!$B$2:$B$151,$A18,invoices!$C$2:$C$151,"credit_note"))&amp;" in credit notes so far (template 06, make_invoice.py); ","")&amp;IF(AND(IFERROR(IF(INDEX(brands!$H$2:$H$41,MATCH($C18,brands!$A$2:$A$41,0))="","",INDEX(brands!$H$2:$H$41,MATCH($C18,brands!$A$2:$A$41,0))),"")&lt;&gt;"",$BG18&lt;&gt;"",IFERROR(IF(INDEX(brands!$H$2:$H$41,MATCH($C18,brands!$A$2:$A$41,0))="","",INDEX(brands!$H$2:$H$41,MATCH($C18,brands!$A$2:$A$41,0))),"")&lt;EDATE(WORKDAY(N($BG18),4,calendar!$A$2:$A$80),12)),"info: brand insurance ends "&amp;TEXT(IFERROR(IF(INDEX(brands!$H$2:$H$41,MATCH($C18,brands!$A$2:$A$41,0))="","",INDEX(brands!$H$2:$H$41,MATCH($C18,brands!$A$2:$A$41,0))),""),"yyyy-mm-dd")&amp;": diary the renewal certificate; ",""))</f>
        <v/>
      </c>
    </row>
    <row r="19">
      <c r="G19" s="10" t="n"/>
      <c r="H19" s="9" t="n"/>
      <c r="AB19" s="9" t="n"/>
      <c r="AC19" s="9" t="n"/>
      <c r="AD19" s="9" t="n"/>
      <c r="AF19" s="9" t="n"/>
      <c r="AG19" s="9" t="n"/>
      <c r="AT19" s="9" t="n"/>
      <c r="AU19" s="9" t="n"/>
      <c r="AY19" s="9" t="n"/>
      <c r="BA19" s="9" t="n"/>
      <c r="BB19" s="9" t="n"/>
      <c r="BC19" s="9" t="n"/>
      <c r="BE19" s="25">
        <f>IF($A19="","",IFERROR(IF(INDEX(brands!$K$2:$K$41,MATCH($C19,brands!$A$2:$A$41,0))="","",INDEX(brands!$K$2:$K$41,MATCH($C19,brands!$A$2:$A$41,0))),""))</f>
        <v/>
      </c>
      <c r="BF19" s="25">
        <f>IF($A19="","",IFERROR(IF(INDEX(brands!$M$2:$M$41,MATCH($C19,brands!$A$2:$A$41,0))="","",INDEX(brands!$M$2:$M$41,MATCH($C19,brands!$A$2:$A$41,0))),""))</f>
        <v/>
      </c>
      <c r="BG19" s="26">
        <f>IF($A19="","",IF(IFERROR(IF(INDEX(drops!$I$2:$I$21,MATCH($B19,drops!$A$2:$A$21,0))="","",INDEX(drops!$I$2:$I$21,MATCH($B19,drops!$A$2:$A$21,0))),"")="OK",IFERROR(IF(INDEX(drops!$B$2:$B$21,MATCH($B19,drops!$A$2:$A$21,0))="","",INDEX(drops!$B$2:$B$21,MATCH($B19,drops!$A$2:$A$21,0))),""),""))</f>
        <v/>
      </c>
      <c r="BH19" s="25">
        <f>IF($A19="","",IFERROR(IF(INDEX(drops!$C$2:$C$21,MATCH($B19,drops!$A$2:$A$21,0))="","",INDEX(drops!$C$2:$C$21,MATCH($B19,drops!$A$2:$A$21,0))),""))</f>
        <v/>
      </c>
      <c r="BI19" s="27">
        <f>IF($A19="","",IF($F19="","",IF($D19="founding",IF($E19="Y",config!$B$25*MIN($F19,config!$B$26)+config!$B$24*MAX(0,$F19-config!$B$26),config!$B$20+config!$B$24*MAX(0,$F19-config!$B$21)),IF($D19="standard",config!$B$22+config!$B$24*MAX(0,$F19-config!$B$23),""))))</f>
        <v/>
      </c>
      <c r="BJ19" s="27">
        <f>IF($A19="","",IF($G19&lt;&gt;"",$G19,$BI19))</f>
        <v/>
      </c>
      <c r="BK19" s="25">
        <f>IF($A19="","",IF($D19="founding","100% within "&amp;config!$B$27&amp;" business days of the invoice, before shipping",IF($D19="standard","50% on signing; 50% at placement confirmation (T+1)","")))</f>
        <v/>
      </c>
      <c r="BL19" s="26">
        <f>IF($A19="","",IFERROR(IF(INDEX(drops!$K$2:$K$21,MATCH($B19,drops!$A$2:$A$21,0))="","",INDEX(drops!$K$2:$K$21,MATCH($B19,drops!$A$2:$A$21,0))),""))</f>
        <v/>
      </c>
      <c r="BM19" s="26">
        <f>IF($A19="","",IFERROR(IF(INDEX(drops!$L$2:$L$21,MATCH($B19,drops!$A$2:$A$21,0))="","",INDEX(drops!$L$2:$L$21,MATCH($B19,drops!$A$2:$A$21,0))),""))</f>
        <v/>
      </c>
      <c r="BN19" s="25">
        <f>IF($A19="","",COUNTIF(approvals!$A$2:$A$251,$A19))</f>
        <v/>
      </c>
      <c r="BO19" s="25">
        <f>IF($A19="","",COUNTIFS(approvals!$A$2:$A$251,$A19,approvals!$P$2:$P$251,"Y"))</f>
        <v/>
      </c>
      <c r="BP19" s="25">
        <f>IF($A19="","",COUNTIFS(approvals!$A$2:$A$251,$A19,approvals!$Q$2:$Q$251,"Y"))</f>
        <v/>
      </c>
      <c r="BQ19" s="25">
        <f>IF($A19="","",COUNTIFS(approvals!$A$2:$A$251,$A19,approvals!$P$2:$P$251,"pending"))</f>
        <v/>
      </c>
      <c r="BR19" s="25">
        <f>IF($A19="","",SUMIFS(approvals!$S$2:$S$251,approvals!$A$2:$A$251,$A19,approvals!$P$2:$P$251,"Y"))</f>
        <v/>
      </c>
      <c r="BS19" s="25">
        <f>IF($A19="","",ROUNDUP($BR19*config!$B$18,0))</f>
        <v/>
      </c>
      <c r="BT19" s="25">
        <f>IF($A19="","",$BR19+$BS19)</f>
        <v/>
      </c>
      <c r="BU19" s="27">
        <f>IF($A19="","",SUMIFS(invoices!$I$2:$I$151,invoices!$B$2:$B$151,$A19,invoices!$R$2:$R$151,"Y",invoices!$H$2:$H$151,"&gt;0"))</f>
        <v/>
      </c>
      <c r="BV19" s="27">
        <f>IF($A19="","",IF($BJ19="","",IF($D19="founding",$BJ19,ROUND($BJ19*config!$B$28,2))))</f>
        <v/>
      </c>
      <c r="BW19" s="25">
        <f>IF($A19="","",IF(AND(N($BU19)&gt;=N($BV19),N($BV19)&gt;0,$H19&lt;&gt;"",AND($AB19&lt;&gt;"",IFERROR(IF(INDEX(brands!$G$2:$G$41,MATCH($C19,brands!$A$2:$A$41,0))="","",INDEX(brands!$G$2:$G$41,MATCH($C19,brands!$A$2:$A$41,0))),"")="Y"),LEFT(IFERROR(IF(INDEX(brands!$AG$2:$AG$41,MATCH($C19,brands!$A$2:$A$41,0))="","",INDEX(brands!$AG$2:$AG$41,MATCH($C19,brands!$A$2:$A$41,0))),""),1)="Y",$BG19&lt;&gt;"",$BQ19=0,$BO19&gt;0),"RELEASED "&amp;TEXT(MAX(IFERROR(1/(1/SUMPRODUCT(MAX((invoices!$B$2:$B$151=$A19)*(invoices!$R$2:$R$151="Y")*(invoices!$H$2:$H$151)))),""),$H19,$AB19,SUMPRODUCT(MAX((approvals!$A$2:$A$251=$A19)*(approvals!$P$2:$P$251="Y")*(approvals!$E$2:$E$251+(approvals!$E$2:$E$251=0)*approvals!$C$2:$C$251)))),"yyyy-mm-dd")&amp;": ship by "&amp;TEXT($BM19,"ddd yyyy-mm-dd")&amp;" (latest "&amp;TEXT($BL19,"ddd yyyy-mm-dd")&amp;")","HOLD: "&amp;IF(N($BU19)&lt;N($BV19),"payment ("&amp;TEXT(N($BU19),"0")&amp;" of "&amp;TEXT(N($BV19),"0")&amp;") ","")&amp;IF($H19="","agreement ","")&amp;IF(NOT(AND($AB19&lt;&gt;"",IFERROR(IF(INDEX(brands!$G$2:$G$41,MATCH($C19,brands!$A$2:$A$41,0))="","",INDEX(brands!$G$2:$G$41,MATCH($C19,brands!$A$2:$A$41,0))),"")="Y")),"certificate ","")&amp;IF(NOT(LEFT(IFERROR(IF(INDEX(brands!$AG$2:$AG$41,MATCH($C19,brands!$A$2:$A$41,0))="","",INDEX(brands!$AG$2:$AG$41,MATCH($C19,brands!$A$2:$A$41,0))),""),1)="Y"),"qualification ","")&amp;IF($BG19="","drop date ","")&amp;IF($BQ19&gt;0,"approvals ("&amp;$BQ19&amp;" pending) ","")&amp;IF($BO19=0,"no office approved ","")))</f>
        <v/>
      </c>
      <c r="BX19" s="25">
        <f>IF($A19="","",SUMIFS(inventory!$G$2:$G$801,inventory!$C$2:$C$801,$A19,inventory!$E$2:$E$801,"received"))</f>
        <v/>
      </c>
      <c r="BY19" s="25">
        <f>IF($A19="","",SUMIFS(inventory!$G$2:$G$801,inventory!$C$2:$C$801,$A19,inventory!$E$2:$E$801,"rejected"))</f>
        <v/>
      </c>
      <c r="BZ19" s="25">
        <f>IF($A19="","",SUMIFS(inventory!$M$2:$M$801,inventory!$C$2:$C$801,$A19))</f>
        <v/>
      </c>
      <c r="CA19" s="25">
        <f>IF($A19="","",SUMIFS(inventory!$O$2:$O$801,inventory!$C$2:$C$801,$A19))</f>
        <v/>
      </c>
      <c r="CB19" s="25">
        <f>IF($A19="","",SUMIFS(approvals!$U$2:$U$251,approvals!$A$2:$A$251,$A19))</f>
        <v/>
      </c>
      <c r="CC19" s="25">
        <f>IF($A19="","",SUMIFS(approvals!$AA$2:$AA$251,approvals!$A$2:$A$251,$A19))</f>
        <v/>
      </c>
      <c r="CD19" s="25">
        <f>IF($A19="","",SUMIFS(approvals!$AA$2:$AA$251,approvals!$A$2:$A$251,$A19,approvals!$AB$2:$AB$251,"Y"))</f>
        <v/>
      </c>
      <c r="CE19" s="29">
        <f>IF($A19="","",IF(N($CB19)=0,"",$CD19/$CB19))</f>
        <v/>
      </c>
      <c r="CF19" s="25">
        <f>IF($A19="","",SUMIFS(approvals!$AD$2:$AD$251,approvals!$A$2:$A$251,$A19))</f>
        <v/>
      </c>
      <c r="CG19" s="25">
        <f>IF($A19="","",IF(COUNTIFS(approvals!$A$2:$A$251,$A19,approvals!$Q$2:$Q$251,"Y",approvals!$AG$2:$AG$251,"")&gt;0,"",SUMIFS(approvals!$AG$2:$AG$251,approvals!$A$2:$A$251,$A19,approvals!$Q$2:$Q$251,"Y")))</f>
        <v/>
      </c>
      <c r="CH19" s="25">
        <f>IF($A19="","",SUMIFS(approvals!$AL$2:$AL$251,approvals!$A$2:$A$251,$A19))</f>
        <v/>
      </c>
      <c r="CI19" s="25">
        <f>IF($A19="","",IF(N($BP19)=0,"",SUMPRODUCT(MIN(approvals!$BB$2:$BB$251+(approvals!$A$2:$A$251&lt;&gt;$A19)*1000000))))</f>
        <v/>
      </c>
      <c r="CJ19" s="25">
        <f>IF($A19="","",COUNTIFS(approvals!$A$2:$A$251,$A19,approvals!$Q$2:$Q$251,"Y",approvals!$AL$2:$AL$251,"&lt;"&amp;config!$B$30))</f>
        <v/>
      </c>
      <c r="CK19" s="25">
        <f>IF($A19="","",SUMIFS(approvals!$AM$2:$AM$251,approvals!$A$2:$A$251,$A19))</f>
        <v/>
      </c>
      <c r="CL19" s="25">
        <f>IF($A19="","",SUMIFS(approvals!$AQ$2:$AQ$251,approvals!$A$2:$A$251,$A19))</f>
        <v/>
      </c>
      <c r="CM19" s="25">
        <f>IF($A19="","",SUMIFS(approvals!$AR$2:$AR$251,approvals!$A$2:$A$251,$A19))</f>
        <v/>
      </c>
      <c r="CN19" s="25">
        <f>IF($A19="","",SUMIFS(approvals!$AS$2:$AS$251,approvals!$A$2:$A$251,$A19))</f>
        <v/>
      </c>
      <c r="CO19" s="25">
        <f>IF($A19="","",SUMIFS(approvals!$AT$2:$AT$251,approvals!$A$2:$A$251,$A19))</f>
        <v/>
      </c>
      <c r="CP19" s="28">
        <f>IF($A19="","",IF(N($CO19)=0,"",ROUND(SUMIFS(approvals!$AU$2:$AU$251,approvals!$A$2:$A$251,$A19)/$CO19,1)))</f>
        <v/>
      </c>
      <c r="CQ19" s="25">
        <f>IF($A19="","",SUMIFS(approvals!$AV$2:$AV$251,approvals!$A$2:$A$251,$A19))</f>
        <v/>
      </c>
      <c r="CR19" s="25">
        <f>IF($A19="","",SUMIFS(approvals!$AW$2:$AW$251,approvals!$A$2:$A$251,$A19))</f>
        <v/>
      </c>
      <c r="CS19" s="25">
        <f>IF($A19="","",SUMIFS(approvals!$AX$2:$AX$251,approvals!$A$2:$A$251,$A19))</f>
        <v/>
      </c>
      <c r="CT19" s="25">
        <f>IF($A19="","",SUMIFS(approvals!$AY$2:$AY$251,approvals!$A$2:$A$251,$A19))</f>
        <v/>
      </c>
      <c r="CU19" s="25">
        <f>IF($A19="","",IF(OR($BG19="",$BC19&lt;&gt;""),"",IFERROR(COUNT(INDIRECT("'"&amp;$A19&amp;"'!$A$2:$A$501")),0)-IFERROR(COUNTIFS(INDIRECT("'"&amp;$A19&amp;"'!$A$2:$A$501"),"&gt;="&amp;$BG19,INDIRECT("'"&amp;$A19&amp;"'!$A$2:$A$501"),"&lt;"&amp;(IFERROR(IF(INDEX(drops!$R$2:$R$21,MATCH($B19,drops!$A$2:$A$21,0))="","",INDEX(drops!$R$2:$R$21,MATCH($B19,drops!$A$2:$A$21,0))),"")+1)),0)))</f>
        <v/>
      </c>
      <c r="CV19" s="25">
        <f>IF($A19="","",IF(OR($BG19="",$BC19&lt;&gt;""),"",IFERROR(COUNTIFS(INDIRECT("'"&amp;$A19&amp;"'!$A$2:$A$501"),"&gt;="&amp;$BG19,INDIRECT("'"&amp;$A19&amp;"'!$A$2:$A$501"),"&lt;"&amp;(IFERROR(IF(INDEX(drops!$R$2:$R$21,MATCH($B19,drops!$A$2:$A$21,0))="","",INDEX(drops!$R$2:$R$21,MATCH($B19,drops!$A$2:$A$21,0))),"")+1)),0)-N($CH19)))</f>
        <v/>
      </c>
      <c r="CW19" s="25">
        <f>IF($A19="","",SUMIFS(approvals!$AN$2:$AN$251,approvals!$A$2:$A$251,$A19))</f>
        <v/>
      </c>
      <c r="CX19" s="25">
        <f>IF($A19="","",SUMIFS(approvals!$AO$2:$AO$251,approvals!$A$2:$A$251,$A19))</f>
        <v/>
      </c>
      <c r="CY19" s="25">
        <f>IF($A19="","",IF($CZ19="","",SUMIFS(redemptions!$C$2:$C$121,redemptions!$A$2:$A$121,$A19,redemptions!$B$2:$B$121,$CZ19)))</f>
        <v/>
      </c>
      <c r="CZ19" s="26">
        <f>IF($A19="","",IFERROR(1/(1/SUMPRODUCT(MAX((redemptions!$A$2:$A$121=$A19)*redemptions!$B$2:$B$121))),""))</f>
        <v/>
      </c>
      <c r="DA19" s="25">
        <f>IF($A19="","",IF(COUNTIFS(redemptions!$A$2:$A$121,$A19,redemptions!$H$2:$H$121,"Y")=0,"",SUMIFS(redemptions!$C$2:$C$121,redemptions!$A$2:$A$121,$A19,redemptions!$B$2:$B$121,SUMPRODUCT(MIN((redemptions!$A$2:$A$121=$A19)*(redemptions!$H$2:$H$121="Y")*redemptions!$B$2:$B$121+((redemptions!$A$2:$A$121&lt;&gt;$A19)+(redemptions!$H$2:$H$121&lt;&gt;"Y")&gt;0)*1000000)))))</f>
        <v/>
      </c>
      <c r="DB19" s="27">
        <f>IF($A19="","",SUMIFS(invoices!$E$2:$E$151,invoices!$B$2:$B$151,$A19))</f>
        <v/>
      </c>
      <c r="DC19" s="27">
        <f>IF($A19="","",IF(COUNTIFS(invoices!$B$2:$B$151,$A19,invoices!$C$2:$C$151,"standard_deposit",invoices!$H$2:$H$151,"&gt;0")=0,"",SUMIFS(invoices!$I$2:$I$151,invoices!$B$2:$B$151,$A19,invoices!$C$2:$C$151,"standard_deposit")))</f>
        <v/>
      </c>
      <c r="DD19" s="26">
        <f>IF($A19="","",IFERROR(1/(1/SUMPRODUCT(MAX((invoices!$B$2:$B$151=$A19)*(invoices!$C$2:$C$151="standard_deposit")*invoices!$H$2:$H$151))),""))</f>
        <v/>
      </c>
      <c r="DE19" s="26">
        <f>IF($A19="","",IFERROR(1/(1/SUMPRODUCT(MAX((invoices!$B$2:$B$151=$A19)*((invoices!$C$2:$C$151="founding_full")+(invoices!$C$2:$C$151="standard_balance"))*invoices!$H$2:$H$151))),""))</f>
        <v/>
      </c>
      <c r="DF19" s="27">
        <f>IF($A19="","",SUMIFS(invoices!$L$2:$L$151,invoices!$B$2:$B$151,$A19))</f>
        <v/>
      </c>
      <c r="DG19" s="27">
        <f>IF($A19="","",SUMIFS(costs!$E$2:$E$301,costs!$C$2:$C$301,$A19))</f>
        <v/>
      </c>
      <c r="DH19" s="27">
        <f>IF($A19="","",ROUND(IF(SUMIFS(campaigns!$BO$2:$BO$51,campaigns!$B$2:$B$51,$B19)=0,0,$BO19/SUMIFS(campaigns!$BO$2:$BO$51,campaigns!$B$2:$B$51,$B19))*(SUMIFS(costs!$E$2:$E$301,costs!$B$2:$B$301,$B19)-SUMPRODUCT((costs!$B$2:$B$301=$B19)*(LEN(costs!$C$2:$C$301)&gt;0)*costs!$E$2:$E$301)),2))</f>
        <v/>
      </c>
      <c r="DI19" s="28">
        <f>IF($A19="","",SUMIFS(hours!$E$2:$E$1501,hours!$C$2:$C$1501,$A19))</f>
        <v/>
      </c>
      <c r="DJ19" s="28">
        <f>IF($A19="","",ROUND(IF(SUMIFS(campaigns!$BO$2:$BO$51,campaigns!$B$2:$B$51,$B19)=0,0,$BO19/SUMIFS(campaigns!$BO$2:$BO$51,campaigns!$B$2:$B$51,$B19))*(SUMIFS(hours!$E$2:$E$1501,hours!$B$2:$B$1501,$B19)-SUMPRODUCT((hours!$B$2:$B$1501=$B19)*(LEN(hours!$C$2:$C$1501)&gt;0)*hours!$E$2:$E$1501)),2))</f>
        <v/>
      </c>
      <c r="DK19" s="27">
        <f>IF($A19="","",$DB19-$DF19-$DG19-$DH19)</f>
        <v/>
      </c>
      <c r="DL19" s="27">
        <f>IF($A19="","",IF(N($DI19)+N($DJ19)=0,"",ROUND($DK19/($DI19+$DJ19),2)))</f>
        <v/>
      </c>
      <c r="DM19" s="29">
        <f>IF($A19="","",IF(N($BP19)=0,"",COUNTIFS(approvals!$A$2:$A$251,$A19,approvals!$Q$2:$Q$251,"Y",approvals!$AK$2:$AK$251,"Y")/$BP19))</f>
        <v/>
      </c>
      <c r="DN19" s="28">
        <f>IF($A19="","",IF(COUNTIFS(approvals!$A$2:$A$251,$A19,approvals!$AC$2:$AC$251,"&gt;=0")=0,"",ROUND(SUMIFS(approvals!$AC$2:$AC$251,approvals!$A$2:$A$251,$A19)/COUNTIFS(approvals!$A$2:$A$251,$A19,approvals!$AC$2:$AC$251,"&gt;=0"),1)))</f>
        <v/>
      </c>
      <c r="DO19" s="26">
        <f>IF($A19="","",IFERROR(IF(INDEX(drops!$T$2:$T$21,MATCH($B19,drops!$A$2:$A$21,0))="","",INDEX(drops!$T$2:$T$21,MATCH($B19,drops!$A$2:$A$21,0))),""))</f>
        <v/>
      </c>
      <c r="DP19" s="26">
        <f>IF($A19="","",IFERROR(IF(INDEX(drops!$U$2:$U$21,MATCH($B19,drops!$A$2:$A$21,0))="","",INDEX(drops!$U$2:$U$21,MATCH($B19,drops!$A$2:$A$21,0))),""))</f>
        <v/>
      </c>
      <c r="DQ19" s="26">
        <f>IF($A19="","",IFERROR(IF(INDEX(drops!$W$2:$W$21,MATCH($B19,drops!$A$2:$A$21,0))="","",INDEX(drops!$W$2:$W$21,MATCH($B19,drops!$A$2:$A$21,0))),""))</f>
        <v/>
      </c>
      <c r="DR19" s="25">
        <f>IF($A19="","",IF($CE19="","",IF($CE19&gt;=config!$B$31,"pass","miss")))</f>
        <v/>
      </c>
      <c r="DS19" s="25">
        <f>IF($A19="","",IF($CI19="","",IF($CI19&gt;=config!$B$30,"pass","miss")))</f>
        <v/>
      </c>
      <c r="DT19" s="25">
        <f>IF($A19="","",IF($AT19="",IF($DO19="","",IF(IF(config!$B$37&lt;&gt;"",config!$B$37,TODAY())&gt;$DO19,"late","due")),IF($AT19&lt;=$DO19,"pass","late")))</f>
        <v/>
      </c>
      <c r="DU19" s="25">
        <f>IF($A19="","",IF(COUNTIF(drops!$A$2:$A$21,$B19)=0,"drop_id not on drops; ",IF($BG19="","drop date missing or refused; ",""))&amp;IF(AND($G19&lt;&gt;"",$G19&lt;&gt;$BI19),"price differs from the price list; ","")&amp;IF(AND(LEFT($BW19,4)="HOLD",$BL19&lt;&gt;"",IF(config!$B$37&lt;&gt;"",config!$B$37,TODAY())&gt;=WORKDAY(N($BL19),-3,calendar!$A$2:$A$80)),"SHIP HOLD within 3 business days of T-10; ","")&amp;IF(AND($BQ19&gt;0,$BL19&lt;&gt;"",IF(config!$B$37&lt;&gt;"",config!$B$37,TODAY())&gt;$BL19),"approvals still pending after T-10; ","")&amp;IF($BZ19&lt;0,"reserve below zero: check inventory; ","")&amp;IF(AND($BG19&lt;&gt;"",IF(config!$B$37&lt;&gt;"",config!$B$37,TODAY())&gt;WORKDAY(N($BG19),14,calendar!$A$2:$A$80),N($BZ19)+N($CA19)&lt;&gt;0),"units still on hand after T+14; ","")&amp;IF(N($CV19)&gt;0,"info: "&amp;$CV19&amp;" in-window responses with a card code that matches no office (not counted); ","")&amp;IF(AND($Z19="Y",$AK19=""),"newsletter form URL missing; ","")&amp;IF(AND($Z19="Y",$BG19&lt;&gt;"",IF(config!$B$37&lt;&gt;"",config!$B$37,TODAY())&gt;WORKDAY(N($BG19),5,calendar!$A$2:$A$80),$AY19=""),"newsletter list not yet passed on (due T+5); ","")&amp;IF(AND($AY19&lt;&gt;"",$BA19=""),"delete unticked emails; ","")&amp;IF(AND($AY19&lt;&gt;"",$BB19="",IF(config!$B$37&lt;&gt;"",config!$B$37,TODAY())&gt;$AY19+config!$B$32),"DELETE the consented emails (30 days after passing on); ","")&amp;IF(AND($BG19&lt;&gt;"",$AJ19="",IF(config!$B$37&lt;&gt;"",config!$B$37,TODAY())&gt;=WORKDAY(N($BG19),-4,calendar!$A$2:$A$80)),"survey prefill template missing (due T-4); ","")&amp;IF(AND($AJ19&lt;&gt;"",ISERROR(SEARCH("CARDCODE",$AJ19))),"prefill template has no CARDCODE; ","")&amp;IF(AND($AF19="",$BG19&lt;&gt;"",IF(config!$B$37&lt;&gt;"",config!$B$37,TODAY())&gt;=WORKDAY(N($BG19),-3,calendar!$A$2:$A$80)),"card text not yet sent to the brand; ","")&amp;IF(AND($DA19="",$DQ19&lt;&gt;"",IF(config!$B$37&lt;&gt;"",config!$B$37,TODAY())&gt;$DQ19),"day-30 redemption count due; ","")&amp;IF(AND(LEFT($BW19,8)="RELEASED",$AG19=""),"ship-date email due (template 02): send it, then log ship_email_sent_date and ship_email_units; ","")&amp;IF(AND($AH19&lt;&gt;"",N($BT19)&gt;0,N($BX19)=0,N($AH19)&lt;&gt;N($BT19)),"units changed since the ship-date email of "&amp;IF($AG19="","?",TEXT($AG19,"yyyy-mm-dd"))&amp;" ("&amp;$AH19&amp;", now "&amp;$BT19&amp;"): send the brand the revised numbers (template 02) and log them; ","")&amp;IF($DT19="late","report late; ","")&amp;IF(AND(N($F19)&gt;0,$BO19&lt;N($F19),$BQ19=0),"info: "&amp;(N($F19)-$BO19)&amp;" office(s) short of the contract: add a roster office or credit $"&amp;IF($D19="founding",config!$B$25,config!$B$24)&amp;" each; ","")&amp;IF($BC19&lt;&gt;"",IF(COUNTIF(survey_frozen!$A$2:$A$251,$A19)=0,"answers deleted but no frozen totals: the survey numbers now read 0 (tools/freeze_survey.py, SOP answers_delete); ",""),IF(AND($BG19&lt;&gt;"",IF(config!$B$37&lt;&gt;"",config!$B$37,TODAY())&gt;=$BG19,ISREF(INDIRECT("'"&amp;$A19&amp;"'!B1"))),IF(INDIRECT("'"&amp;$A19&amp;"'!B1")&lt;&gt;"Card code (filled in for you)","survey tab column B is not the card code: fix the form or the tab; ",""),IF(AND($BG19&lt;&gt;"",IF(config!$B$37&lt;&gt;"",config!$B$37,TODAY())&gt;=$BG19),"no survey tab named "&amp;$A19&amp;"; ","")))&amp;IF(COUNTIF(brands!$A$2:$A$41,$C19)=0,"brand_id not on brands; ",IF(LEFT(IFERROR(IF(INDEX(brands!$AG$2:$AG$41,MATCH($C19,brands!$A$2:$A$41,0))="","",INDEX(brands!$AG$2:$AG$41,MATCH($C19,brands!$A$2:$A$41,0))),""),1)&lt;&gt;"Y","brand not qualified ("&amp;IFERROR(IF(INDEX(brands!$AG$2:$AG$41,MATCH($C19,brands!$A$2:$A$41,0))="","",INDEX(brands!$AG$2:$AG$41,MATCH($C19,brands!$A$2:$A$41,0))),"")&amp;"): nothing ships until it is; ",""))&amp;IF(AND(COUNTIF(brands!$A$2:$A$41,$C19)&gt;0,OR(IFERROR(IF(INDEX(brands!$C$2:$C$41,MATCH($C19,brands!$A$2:$A$41,0))="","",INDEX(brands!$C$2:$C$41,MATCH($C19,brands!$A$2:$A$41,0))),"")="",IFERROR(IF(INDEX(brands!$D$2:$D$41,MATCH($C19,brands!$A$2:$A$41,0))="","",INDEX(brands!$D$2:$D$41,MATCH($C19,brands!$A$2:$A$41,0))),"")="",IFERROR(IF(INDEX(brands!$E$2:$E$41,MATCH($C19,brands!$A$2:$A$41,0))="","",INDEX(brands!$E$2:$E$41,MATCH($C19,brands!$A$2:$A$41,0))),"")="")),"brand billing details missing on brands (legal name, address, email): needed for the invoice; ","")&amp;IF(AND($D19="founding",$E19&lt;&gt;"Y",N(IFERROR(IF(INDEX(brands!$AI$2:$AI$41,MATCH($C19,brands!$A$2:$A$41,0))="","",INDEX(brands!$AI$2:$AI$41,MATCH($C19,brands!$A$2:$A$41,0))),""))&gt;3),"the founding tier is for the first three brands only (this is brand "&amp;IFERROR(IF(INDEX(brands!$AI$2:$AI$41,MATCH($C19,brands!$A$2:$A$41,0))="","",INDEX(brands!$AI$2:$AI$41,MATCH($C19,brands!$A$2:$A$41,0))),"")&amp;"): use standard; ","")&amp;IF(AND($D19="founding",$E19&lt;&gt;"Y",COUNTIFS(campaigns!$C$2:$C$51,$C19,campaigns!$D$2:$D$51,"founding",campaigns!$E$2:$E$51,"&lt;&gt;Y")&gt;1),"a brand has the founding price once; its next two campaigns are founding_lock = Y; ","")&amp;IF(AND($E19="Y",COUNTIFS(campaigns!$C$2:$C$51,$C19,campaigns!$D$2:$D$51,"founding",campaigns!$E$2:$E$51,"Y")&gt;2),"founding_lock is for the brand's next two campaigns only (this is a third): use standard; ","")&amp;IF(AND($E19="Y",COUNTIFS(campaigns!$C$2:$C$51,$C19,campaigns!$D$2:$D$51,"founding",campaigns!$E$2:$E$51,"&lt;&gt;Y")=0),"founding_lock without a first founding campaign for this brand; ","")&amp;IF(AND(N($BX19)&gt;0,$BG19&lt;&gt;"",IF(config!$B$37&lt;&gt;"",config!$B$37,TODAY())&gt;=WORKDAY(N($BG19),-5,calendar!$A$2:$A$80)),IF(N($BX19)-N($BY19)&lt;N($BR19),"received "&amp;(N($BX19)-N($BY19))&amp;" usable units for "&amp;$BR19&amp;" allocated: reduce units_override evenly (SOP section 4, short shipment); ","")&amp;IF(AND(N($BX19)&lt;N($BT19),COUNTIFS(issues!$E$2:$E$121,$A19,issues!$G$2:$G$121,"short_shipment")=0),"received "&amp;$BX19&amp;" of "&amp;$BT19&amp;" due: log a short_shipment issue and tell the brand today; ",""),"")&amp;IF(AND($BG19&lt;&gt;"",IF(config!$B$37&lt;&gt;"",config!$B$37,TODAY())&gt;=WORKDAY(N($BG19),1,calendar!$A$2:$A$80),N($F19)&gt;0,(-SUMIFS(invoices!$E$2:$E$151,invoices!$B$2:$B$151,$A19,invoices!$C$2:$C$151,"credit_note"))&lt;(IF($D19="founding",config!$B$25,config!$B$24)*MAX(0,N($F19)-COUNTIFS(approvals!$A$2:$A$251,$A19,approvals!$Q$2:$Q$251,"Y",approvals!$AB$2:$AB$251,"Y")))-0.005),"credit due from T+1: "&amp;MAX(0,N($F19)-COUNTIFS(approvals!$A$2:$A$251,$A19,approvals!$Q$2:$Q$251,"Y",approvals!$AB$2:$AB$251,"Y"))&amp;" of "&amp;$F19&amp;" contracted offices not placed by T+1, $"&amp;(IF($D19="founding",config!$B$25,config!$B$24)*MAX(0,N($F19)-COUNTIFS(approvals!$A$2:$A$251,$A19,approvals!$Q$2:$Q$251,"Y",approvals!$AB$2:$AB$251,"Y")))&amp;" due, $"&amp;(-SUMIFS(invoices!$E$2:$E$151,invoices!$B$2:$B$151,$A19,invoices!$C$2:$C$151,"credit_note"))&amp;" in credit notes so far (template 06, make_invoice.py); ","")&amp;IF(AND(IFERROR(IF(INDEX(brands!$H$2:$H$41,MATCH($C19,brands!$A$2:$A$41,0))="","",INDEX(brands!$H$2:$H$41,MATCH($C19,brands!$A$2:$A$41,0))),"")&lt;&gt;"",$BG19&lt;&gt;"",IFERROR(IF(INDEX(brands!$H$2:$H$41,MATCH($C19,brands!$A$2:$A$41,0))="","",INDEX(brands!$H$2:$H$41,MATCH($C19,brands!$A$2:$A$41,0))),"")&lt;EDATE(WORKDAY(N($BG19),4,calendar!$A$2:$A$80),12)),"info: brand insurance ends "&amp;TEXT(IFERROR(IF(INDEX(brands!$H$2:$H$41,MATCH($C19,brands!$A$2:$A$41,0))="","",INDEX(brands!$H$2:$H$41,MATCH($C19,brands!$A$2:$A$41,0))),""),"yyyy-mm-dd")&amp;": diary the renewal certificate; ",""))</f>
        <v/>
      </c>
    </row>
    <row r="20">
      <c r="G20" s="10" t="n"/>
      <c r="H20" s="9" t="n"/>
      <c r="AB20" s="9" t="n"/>
      <c r="AC20" s="9" t="n"/>
      <c r="AD20" s="9" t="n"/>
      <c r="AF20" s="9" t="n"/>
      <c r="AG20" s="9" t="n"/>
      <c r="AT20" s="9" t="n"/>
      <c r="AU20" s="9" t="n"/>
      <c r="AY20" s="9" t="n"/>
      <c r="BA20" s="9" t="n"/>
      <c r="BB20" s="9" t="n"/>
      <c r="BC20" s="9" t="n"/>
      <c r="BE20" s="25">
        <f>IF($A20="","",IFERROR(IF(INDEX(brands!$K$2:$K$41,MATCH($C20,brands!$A$2:$A$41,0))="","",INDEX(brands!$K$2:$K$41,MATCH($C20,brands!$A$2:$A$41,0))),""))</f>
        <v/>
      </c>
      <c r="BF20" s="25">
        <f>IF($A20="","",IFERROR(IF(INDEX(brands!$M$2:$M$41,MATCH($C20,brands!$A$2:$A$41,0))="","",INDEX(brands!$M$2:$M$41,MATCH($C20,brands!$A$2:$A$41,0))),""))</f>
        <v/>
      </c>
      <c r="BG20" s="26">
        <f>IF($A20="","",IF(IFERROR(IF(INDEX(drops!$I$2:$I$21,MATCH($B20,drops!$A$2:$A$21,0))="","",INDEX(drops!$I$2:$I$21,MATCH($B20,drops!$A$2:$A$21,0))),"")="OK",IFERROR(IF(INDEX(drops!$B$2:$B$21,MATCH($B20,drops!$A$2:$A$21,0))="","",INDEX(drops!$B$2:$B$21,MATCH($B20,drops!$A$2:$A$21,0))),""),""))</f>
        <v/>
      </c>
      <c r="BH20" s="25">
        <f>IF($A20="","",IFERROR(IF(INDEX(drops!$C$2:$C$21,MATCH($B20,drops!$A$2:$A$21,0))="","",INDEX(drops!$C$2:$C$21,MATCH($B20,drops!$A$2:$A$21,0))),""))</f>
        <v/>
      </c>
      <c r="BI20" s="27">
        <f>IF($A20="","",IF($F20="","",IF($D20="founding",IF($E20="Y",config!$B$25*MIN($F20,config!$B$26)+config!$B$24*MAX(0,$F20-config!$B$26),config!$B$20+config!$B$24*MAX(0,$F20-config!$B$21)),IF($D20="standard",config!$B$22+config!$B$24*MAX(0,$F20-config!$B$23),""))))</f>
        <v/>
      </c>
      <c r="BJ20" s="27">
        <f>IF($A20="","",IF($G20&lt;&gt;"",$G20,$BI20))</f>
        <v/>
      </c>
      <c r="BK20" s="25">
        <f>IF($A20="","",IF($D20="founding","100% within "&amp;config!$B$27&amp;" business days of the invoice, before shipping",IF($D20="standard","50% on signing; 50% at placement confirmation (T+1)","")))</f>
        <v/>
      </c>
      <c r="BL20" s="26">
        <f>IF($A20="","",IFERROR(IF(INDEX(drops!$K$2:$K$21,MATCH($B20,drops!$A$2:$A$21,0))="","",INDEX(drops!$K$2:$K$21,MATCH($B20,drops!$A$2:$A$21,0))),""))</f>
        <v/>
      </c>
      <c r="BM20" s="26">
        <f>IF($A20="","",IFERROR(IF(INDEX(drops!$L$2:$L$21,MATCH($B20,drops!$A$2:$A$21,0))="","",INDEX(drops!$L$2:$L$21,MATCH($B20,drops!$A$2:$A$21,0))),""))</f>
        <v/>
      </c>
      <c r="BN20" s="25">
        <f>IF($A20="","",COUNTIF(approvals!$A$2:$A$251,$A20))</f>
        <v/>
      </c>
      <c r="BO20" s="25">
        <f>IF($A20="","",COUNTIFS(approvals!$A$2:$A$251,$A20,approvals!$P$2:$P$251,"Y"))</f>
        <v/>
      </c>
      <c r="BP20" s="25">
        <f>IF($A20="","",COUNTIFS(approvals!$A$2:$A$251,$A20,approvals!$Q$2:$Q$251,"Y"))</f>
        <v/>
      </c>
      <c r="BQ20" s="25">
        <f>IF($A20="","",COUNTIFS(approvals!$A$2:$A$251,$A20,approvals!$P$2:$P$251,"pending"))</f>
        <v/>
      </c>
      <c r="BR20" s="25">
        <f>IF($A20="","",SUMIFS(approvals!$S$2:$S$251,approvals!$A$2:$A$251,$A20,approvals!$P$2:$P$251,"Y"))</f>
        <v/>
      </c>
      <c r="BS20" s="25">
        <f>IF($A20="","",ROUNDUP($BR20*config!$B$18,0))</f>
        <v/>
      </c>
      <c r="BT20" s="25">
        <f>IF($A20="","",$BR20+$BS20)</f>
        <v/>
      </c>
      <c r="BU20" s="27">
        <f>IF($A20="","",SUMIFS(invoices!$I$2:$I$151,invoices!$B$2:$B$151,$A20,invoices!$R$2:$R$151,"Y",invoices!$H$2:$H$151,"&gt;0"))</f>
        <v/>
      </c>
      <c r="BV20" s="27">
        <f>IF($A20="","",IF($BJ20="","",IF($D20="founding",$BJ20,ROUND($BJ20*config!$B$28,2))))</f>
        <v/>
      </c>
      <c r="BW20" s="25">
        <f>IF($A20="","",IF(AND(N($BU20)&gt;=N($BV20),N($BV20)&gt;0,$H20&lt;&gt;"",AND($AB20&lt;&gt;"",IFERROR(IF(INDEX(brands!$G$2:$G$41,MATCH($C20,brands!$A$2:$A$41,0))="","",INDEX(brands!$G$2:$G$41,MATCH($C20,brands!$A$2:$A$41,0))),"")="Y"),LEFT(IFERROR(IF(INDEX(brands!$AG$2:$AG$41,MATCH($C20,brands!$A$2:$A$41,0))="","",INDEX(brands!$AG$2:$AG$41,MATCH($C20,brands!$A$2:$A$41,0))),""),1)="Y",$BG20&lt;&gt;"",$BQ20=0,$BO20&gt;0),"RELEASED "&amp;TEXT(MAX(IFERROR(1/(1/SUMPRODUCT(MAX((invoices!$B$2:$B$151=$A20)*(invoices!$R$2:$R$151="Y")*(invoices!$H$2:$H$151)))),""),$H20,$AB20,SUMPRODUCT(MAX((approvals!$A$2:$A$251=$A20)*(approvals!$P$2:$P$251="Y")*(approvals!$E$2:$E$251+(approvals!$E$2:$E$251=0)*approvals!$C$2:$C$251)))),"yyyy-mm-dd")&amp;": ship by "&amp;TEXT($BM20,"ddd yyyy-mm-dd")&amp;" (latest "&amp;TEXT($BL20,"ddd yyyy-mm-dd")&amp;")","HOLD: "&amp;IF(N($BU20)&lt;N($BV20),"payment ("&amp;TEXT(N($BU20),"0")&amp;" of "&amp;TEXT(N($BV20),"0")&amp;") ","")&amp;IF($H20="","agreement ","")&amp;IF(NOT(AND($AB20&lt;&gt;"",IFERROR(IF(INDEX(brands!$G$2:$G$41,MATCH($C20,brands!$A$2:$A$41,0))="","",INDEX(brands!$G$2:$G$41,MATCH($C20,brands!$A$2:$A$41,0))),"")="Y")),"certificate ","")&amp;IF(NOT(LEFT(IFERROR(IF(INDEX(brands!$AG$2:$AG$41,MATCH($C20,brands!$A$2:$A$41,0))="","",INDEX(brands!$AG$2:$AG$41,MATCH($C20,brands!$A$2:$A$41,0))),""),1)="Y"),"qualification ","")&amp;IF($BG20="","drop date ","")&amp;IF($BQ20&gt;0,"approvals ("&amp;$BQ20&amp;" pending) ","")&amp;IF($BO20=0,"no office approved ","")))</f>
        <v/>
      </c>
      <c r="BX20" s="25">
        <f>IF($A20="","",SUMIFS(inventory!$G$2:$G$801,inventory!$C$2:$C$801,$A20,inventory!$E$2:$E$801,"received"))</f>
        <v/>
      </c>
      <c r="BY20" s="25">
        <f>IF($A20="","",SUMIFS(inventory!$G$2:$G$801,inventory!$C$2:$C$801,$A20,inventory!$E$2:$E$801,"rejected"))</f>
        <v/>
      </c>
      <c r="BZ20" s="25">
        <f>IF($A20="","",SUMIFS(inventory!$M$2:$M$801,inventory!$C$2:$C$801,$A20))</f>
        <v/>
      </c>
      <c r="CA20" s="25">
        <f>IF($A20="","",SUMIFS(inventory!$O$2:$O$801,inventory!$C$2:$C$801,$A20))</f>
        <v/>
      </c>
      <c r="CB20" s="25">
        <f>IF($A20="","",SUMIFS(approvals!$U$2:$U$251,approvals!$A$2:$A$251,$A20))</f>
        <v/>
      </c>
      <c r="CC20" s="25">
        <f>IF($A20="","",SUMIFS(approvals!$AA$2:$AA$251,approvals!$A$2:$A$251,$A20))</f>
        <v/>
      </c>
      <c r="CD20" s="25">
        <f>IF($A20="","",SUMIFS(approvals!$AA$2:$AA$251,approvals!$A$2:$A$251,$A20,approvals!$AB$2:$AB$251,"Y"))</f>
        <v/>
      </c>
      <c r="CE20" s="29">
        <f>IF($A20="","",IF(N($CB20)=0,"",$CD20/$CB20))</f>
        <v/>
      </c>
      <c r="CF20" s="25">
        <f>IF($A20="","",SUMIFS(approvals!$AD$2:$AD$251,approvals!$A$2:$A$251,$A20))</f>
        <v/>
      </c>
      <c r="CG20" s="25">
        <f>IF($A20="","",IF(COUNTIFS(approvals!$A$2:$A$251,$A20,approvals!$Q$2:$Q$251,"Y",approvals!$AG$2:$AG$251,"")&gt;0,"",SUMIFS(approvals!$AG$2:$AG$251,approvals!$A$2:$A$251,$A20,approvals!$Q$2:$Q$251,"Y")))</f>
        <v/>
      </c>
      <c r="CH20" s="25">
        <f>IF($A20="","",SUMIFS(approvals!$AL$2:$AL$251,approvals!$A$2:$A$251,$A20))</f>
        <v/>
      </c>
      <c r="CI20" s="25">
        <f>IF($A20="","",IF(N($BP20)=0,"",SUMPRODUCT(MIN(approvals!$BB$2:$BB$251+(approvals!$A$2:$A$251&lt;&gt;$A20)*1000000))))</f>
        <v/>
      </c>
      <c r="CJ20" s="25">
        <f>IF($A20="","",COUNTIFS(approvals!$A$2:$A$251,$A20,approvals!$Q$2:$Q$251,"Y",approvals!$AL$2:$AL$251,"&lt;"&amp;config!$B$30))</f>
        <v/>
      </c>
      <c r="CK20" s="25">
        <f>IF($A20="","",SUMIFS(approvals!$AM$2:$AM$251,approvals!$A$2:$A$251,$A20))</f>
        <v/>
      </c>
      <c r="CL20" s="25">
        <f>IF($A20="","",SUMIFS(approvals!$AQ$2:$AQ$251,approvals!$A$2:$A$251,$A20))</f>
        <v/>
      </c>
      <c r="CM20" s="25">
        <f>IF($A20="","",SUMIFS(approvals!$AR$2:$AR$251,approvals!$A$2:$A$251,$A20))</f>
        <v/>
      </c>
      <c r="CN20" s="25">
        <f>IF($A20="","",SUMIFS(approvals!$AS$2:$AS$251,approvals!$A$2:$A$251,$A20))</f>
        <v/>
      </c>
      <c r="CO20" s="25">
        <f>IF($A20="","",SUMIFS(approvals!$AT$2:$AT$251,approvals!$A$2:$A$251,$A20))</f>
        <v/>
      </c>
      <c r="CP20" s="28">
        <f>IF($A20="","",IF(N($CO20)=0,"",ROUND(SUMIFS(approvals!$AU$2:$AU$251,approvals!$A$2:$A$251,$A20)/$CO20,1)))</f>
        <v/>
      </c>
      <c r="CQ20" s="25">
        <f>IF($A20="","",SUMIFS(approvals!$AV$2:$AV$251,approvals!$A$2:$A$251,$A20))</f>
        <v/>
      </c>
      <c r="CR20" s="25">
        <f>IF($A20="","",SUMIFS(approvals!$AW$2:$AW$251,approvals!$A$2:$A$251,$A20))</f>
        <v/>
      </c>
      <c r="CS20" s="25">
        <f>IF($A20="","",SUMIFS(approvals!$AX$2:$AX$251,approvals!$A$2:$A$251,$A20))</f>
        <v/>
      </c>
      <c r="CT20" s="25">
        <f>IF($A20="","",SUMIFS(approvals!$AY$2:$AY$251,approvals!$A$2:$A$251,$A20))</f>
        <v/>
      </c>
      <c r="CU20" s="25">
        <f>IF($A20="","",IF(OR($BG20="",$BC20&lt;&gt;""),"",IFERROR(COUNT(INDIRECT("'"&amp;$A20&amp;"'!$A$2:$A$501")),0)-IFERROR(COUNTIFS(INDIRECT("'"&amp;$A20&amp;"'!$A$2:$A$501"),"&gt;="&amp;$BG20,INDIRECT("'"&amp;$A20&amp;"'!$A$2:$A$501"),"&lt;"&amp;(IFERROR(IF(INDEX(drops!$R$2:$R$21,MATCH($B20,drops!$A$2:$A$21,0))="","",INDEX(drops!$R$2:$R$21,MATCH($B20,drops!$A$2:$A$21,0))),"")+1)),0)))</f>
        <v/>
      </c>
      <c r="CV20" s="25">
        <f>IF($A20="","",IF(OR($BG20="",$BC20&lt;&gt;""),"",IFERROR(COUNTIFS(INDIRECT("'"&amp;$A20&amp;"'!$A$2:$A$501"),"&gt;="&amp;$BG20,INDIRECT("'"&amp;$A20&amp;"'!$A$2:$A$501"),"&lt;"&amp;(IFERROR(IF(INDEX(drops!$R$2:$R$21,MATCH($B20,drops!$A$2:$A$21,0))="","",INDEX(drops!$R$2:$R$21,MATCH($B20,drops!$A$2:$A$21,0))),"")+1)),0)-N($CH20)))</f>
        <v/>
      </c>
      <c r="CW20" s="25">
        <f>IF($A20="","",SUMIFS(approvals!$AN$2:$AN$251,approvals!$A$2:$A$251,$A20))</f>
        <v/>
      </c>
      <c r="CX20" s="25">
        <f>IF($A20="","",SUMIFS(approvals!$AO$2:$AO$251,approvals!$A$2:$A$251,$A20))</f>
        <v/>
      </c>
      <c r="CY20" s="25">
        <f>IF($A20="","",IF($CZ20="","",SUMIFS(redemptions!$C$2:$C$121,redemptions!$A$2:$A$121,$A20,redemptions!$B$2:$B$121,$CZ20)))</f>
        <v/>
      </c>
      <c r="CZ20" s="26">
        <f>IF($A20="","",IFERROR(1/(1/SUMPRODUCT(MAX((redemptions!$A$2:$A$121=$A20)*redemptions!$B$2:$B$121))),""))</f>
        <v/>
      </c>
      <c r="DA20" s="25">
        <f>IF($A20="","",IF(COUNTIFS(redemptions!$A$2:$A$121,$A20,redemptions!$H$2:$H$121,"Y")=0,"",SUMIFS(redemptions!$C$2:$C$121,redemptions!$A$2:$A$121,$A20,redemptions!$B$2:$B$121,SUMPRODUCT(MIN((redemptions!$A$2:$A$121=$A20)*(redemptions!$H$2:$H$121="Y")*redemptions!$B$2:$B$121+((redemptions!$A$2:$A$121&lt;&gt;$A20)+(redemptions!$H$2:$H$121&lt;&gt;"Y")&gt;0)*1000000)))))</f>
        <v/>
      </c>
      <c r="DB20" s="27">
        <f>IF($A20="","",SUMIFS(invoices!$E$2:$E$151,invoices!$B$2:$B$151,$A20))</f>
        <v/>
      </c>
      <c r="DC20" s="27">
        <f>IF($A20="","",IF(COUNTIFS(invoices!$B$2:$B$151,$A20,invoices!$C$2:$C$151,"standard_deposit",invoices!$H$2:$H$151,"&gt;0")=0,"",SUMIFS(invoices!$I$2:$I$151,invoices!$B$2:$B$151,$A20,invoices!$C$2:$C$151,"standard_deposit")))</f>
        <v/>
      </c>
      <c r="DD20" s="26">
        <f>IF($A20="","",IFERROR(1/(1/SUMPRODUCT(MAX((invoices!$B$2:$B$151=$A20)*(invoices!$C$2:$C$151="standard_deposit")*invoices!$H$2:$H$151))),""))</f>
        <v/>
      </c>
      <c r="DE20" s="26">
        <f>IF($A20="","",IFERROR(1/(1/SUMPRODUCT(MAX((invoices!$B$2:$B$151=$A20)*((invoices!$C$2:$C$151="founding_full")+(invoices!$C$2:$C$151="standard_balance"))*invoices!$H$2:$H$151))),""))</f>
        <v/>
      </c>
      <c r="DF20" s="27">
        <f>IF($A20="","",SUMIFS(invoices!$L$2:$L$151,invoices!$B$2:$B$151,$A20))</f>
        <v/>
      </c>
      <c r="DG20" s="27">
        <f>IF($A20="","",SUMIFS(costs!$E$2:$E$301,costs!$C$2:$C$301,$A20))</f>
        <v/>
      </c>
      <c r="DH20" s="27">
        <f>IF($A20="","",ROUND(IF(SUMIFS(campaigns!$BO$2:$BO$51,campaigns!$B$2:$B$51,$B20)=0,0,$BO20/SUMIFS(campaigns!$BO$2:$BO$51,campaigns!$B$2:$B$51,$B20))*(SUMIFS(costs!$E$2:$E$301,costs!$B$2:$B$301,$B20)-SUMPRODUCT((costs!$B$2:$B$301=$B20)*(LEN(costs!$C$2:$C$301)&gt;0)*costs!$E$2:$E$301)),2))</f>
        <v/>
      </c>
      <c r="DI20" s="28">
        <f>IF($A20="","",SUMIFS(hours!$E$2:$E$1501,hours!$C$2:$C$1501,$A20))</f>
        <v/>
      </c>
      <c r="DJ20" s="28">
        <f>IF($A20="","",ROUND(IF(SUMIFS(campaigns!$BO$2:$BO$51,campaigns!$B$2:$B$51,$B20)=0,0,$BO20/SUMIFS(campaigns!$BO$2:$BO$51,campaigns!$B$2:$B$51,$B20))*(SUMIFS(hours!$E$2:$E$1501,hours!$B$2:$B$1501,$B20)-SUMPRODUCT((hours!$B$2:$B$1501=$B20)*(LEN(hours!$C$2:$C$1501)&gt;0)*hours!$E$2:$E$1501)),2))</f>
        <v/>
      </c>
      <c r="DK20" s="27">
        <f>IF($A20="","",$DB20-$DF20-$DG20-$DH20)</f>
        <v/>
      </c>
      <c r="DL20" s="27">
        <f>IF($A20="","",IF(N($DI20)+N($DJ20)=0,"",ROUND($DK20/($DI20+$DJ20),2)))</f>
        <v/>
      </c>
      <c r="DM20" s="29">
        <f>IF($A20="","",IF(N($BP20)=0,"",COUNTIFS(approvals!$A$2:$A$251,$A20,approvals!$Q$2:$Q$251,"Y",approvals!$AK$2:$AK$251,"Y")/$BP20))</f>
        <v/>
      </c>
      <c r="DN20" s="28">
        <f>IF($A20="","",IF(COUNTIFS(approvals!$A$2:$A$251,$A20,approvals!$AC$2:$AC$251,"&gt;=0")=0,"",ROUND(SUMIFS(approvals!$AC$2:$AC$251,approvals!$A$2:$A$251,$A20)/COUNTIFS(approvals!$A$2:$A$251,$A20,approvals!$AC$2:$AC$251,"&gt;=0"),1)))</f>
        <v/>
      </c>
      <c r="DO20" s="26">
        <f>IF($A20="","",IFERROR(IF(INDEX(drops!$T$2:$T$21,MATCH($B20,drops!$A$2:$A$21,0))="","",INDEX(drops!$T$2:$T$21,MATCH($B20,drops!$A$2:$A$21,0))),""))</f>
        <v/>
      </c>
      <c r="DP20" s="26">
        <f>IF($A20="","",IFERROR(IF(INDEX(drops!$U$2:$U$21,MATCH($B20,drops!$A$2:$A$21,0))="","",INDEX(drops!$U$2:$U$21,MATCH($B20,drops!$A$2:$A$21,0))),""))</f>
        <v/>
      </c>
      <c r="DQ20" s="26">
        <f>IF($A20="","",IFERROR(IF(INDEX(drops!$W$2:$W$21,MATCH($B20,drops!$A$2:$A$21,0))="","",INDEX(drops!$W$2:$W$21,MATCH($B20,drops!$A$2:$A$21,0))),""))</f>
        <v/>
      </c>
      <c r="DR20" s="25">
        <f>IF($A20="","",IF($CE20="","",IF($CE20&gt;=config!$B$31,"pass","miss")))</f>
        <v/>
      </c>
      <c r="DS20" s="25">
        <f>IF($A20="","",IF($CI20="","",IF($CI20&gt;=config!$B$30,"pass","miss")))</f>
        <v/>
      </c>
      <c r="DT20" s="25">
        <f>IF($A20="","",IF($AT20="",IF($DO20="","",IF(IF(config!$B$37&lt;&gt;"",config!$B$37,TODAY())&gt;$DO20,"late","due")),IF($AT20&lt;=$DO20,"pass","late")))</f>
        <v/>
      </c>
      <c r="DU20" s="25">
        <f>IF($A20="","",IF(COUNTIF(drops!$A$2:$A$21,$B20)=0,"drop_id not on drops; ",IF($BG20="","drop date missing or refused; ",""))&amp;IF(AND($G20&lt;&gt;"",$G20&lt;&gt;$BI20),"price differs from the price list; ","")&amp;IF(AND(LEFT($BW20,4)="HOLD",$BL20&lt;&gt;"",IF(config!$B$37&lt;&gt;"",config!$B$37,TODAY())&gt;=WORKDAY(N($BL20),-3,calendar!$A$2:$A$80)),"SHIP HOLD within 3 business days of T-10; ","")&amp;IF(AND($BQ20&gt;0,$BL20&lt;&gt;"",IF(config!$B$37&lt;&gt;"",config!$B$37,TODAY())&gt;$BL20),"approvals still pending after T-10; ","")&amp;IF($BZ20&lt;0,"reserve below zero: check inventory; ","")&amp;IF(AND($BG20&lt;&gt;"",IF(config!$B$37&lt;&gt;"",config!$B$37,TODAY())&gt;WORKDAY(N($BG20),14,calendar!$A$2:$A$80),N($BZ20)+N($CA20)&lt;&gt;0),"units still on hand after T+14; ","")&amp;IF(N($CV20)&gt;0,"info: "&amp;$CV20&amp;" in-window responses with a card code that matches no office (not counted); ","")&amp;IF(AND($Z20="Y",$AK20=""),"newsletter form URL missing; ","")&amp;IF(AND($Z20="Y",$BG20&lt;&gt;"",IF(config!$B$37&lt;&gt;"",config!$B$37,TODAY())&gt;WORKDAY(N($BG20),5,calendar!$A$2:$A$80),$AY20=""),"newsletter list not yet passed on (due T+5); ","")&amp;IF(AND($AY20&lt;&gt;"",$BA20=""),"delete unticked emails; ","")&amp;IF(AND($AY20&lt;&gt;"",$BB20="",IF(config!$B$37&lt;&gt;"",config!$B$37,TODAY())&gt;$AY20+config!$B$32),"DELETE the consented emails (30 days after passing on); ","")&amp;IF(AND($BG20&lt;&gt;"",$AJ20="",IF(config!$B$37&lt;&gt;"",config!$B$37,TODAY())&gt;=WORKDAY(N($BG20),-4,calendar!$A$2:$A$80)),"survey prefill template missing (due T-4); ","")&amp;IF(AND($AJ20&lt;&gt;"",ISERROR(SEARCH("CARDCODE",$AJ20))),"prefill template has no CARDCODE; ","")&amp;IF(AND($AF20="",$BG20&lt;&gt;"",IF(config!$B$37&lt;&gt;"",config!$B$37,TODAY())&gt;=WORKDAY(N($BG20),-3,calendar!$A$2:$A$80)),"card text not yet sent to the brand; ","")&amp;IF(AND($DA20="",$DQ20&lt;&gt;"",IF(config!$B$37&lt;&gt;"",config!$B$37,TODAY())&gt;$DQ20),"day-30 redemption count due; ","")&amp;IF(AND(LEFT($BW20,8)="RELEASED",$AG20=""),"ship-date email due (template 02): send it, then log ship_email_sent_date and ship_email_units; ","")&amp;IF(AND($AH20&lt;&gt;"",N($BT20)&gt;0,N($BX20)=0,N($AH20)&lt;&gt;N($BT20)),"units changed since the ship-date email of "&amp;IF($AG20="","?",TEXT($AG20,"yyyy-mm-dd"))&amp;" ("&amp;$AH20&amp;", now "&amp;$BT20&amp;"): send the brand the revised numbers (template 02) and log them; ","")&amp;IF($DT20="late","report late; ","")&amp;IF(AND(N($F20)&gt;0,$BO20&lt;N($F20),$BQ20=0),"info: "&amp;(N($F20)-$BO20)&amp;" office(s) short of the contract: add a roster office or credit $"&amp;IF($D20="founding",config!$B$25,config!$B$24)&amp;" each; ","")&amp;IF($BC20&lt;&gt;"",IF(COUNTIF(survey_frozen!$A$2:$A$251,$A20)=0,"answers deleted but no frozen totals: the survey numbers now read 0 (tools/freeze_survey.py, SOP answers_delete); ",""),IF(AND($BG20&lt;&gt;"",IF(config!$B$37&lt;&gt;"",config!$B$37,TODAY())&gt;=$BG20,ISREF(INDIRECT("'"&amp;$A20&amp;"'!B1"))),IF(INDIRECT("'"&amp;$A20&amp;"'!B1")&lt;&gt;"Card code (filled in for you)","survey tab column B is not the card code: fix the form or the tab; ",""),IF(AND($BG20&lt;&gt;"",IF(config!$B$37&lt;&gt;"",config!$B$37,TODAY())&gt;=$BG20),"no survey tab named "&amp;$A20&amp;"; ","")))&amp;IF(COUNTIF(brands!$A$2:$A$41,$C20)=0,"brand_id not on brands; ",IF(LEFT(IFERROR(IF(INDEX(brands!$AG$2:$AG$41,MATCH($C20,brands!$A$2:$A$41,0))="","",INDEX(brands!$AG$2:$AG$41,MATCH($C20,brands!$A$2:$A$41,0))),""),1)&lt;&gt;"Y","brand not qualified ("&amp;IFERROR(IF(INDEX(brands!$AG$2:$AG$41,MATCH($C20,brands!$A$2:$A$41,0))="","",INDEX(brands!$AG$2:$AG$41,MATCH($C20,brands!$A$2:$A$41,0))),"")&amp;"): nothing ships until it is; ",""))&amp;IF(AND(COUNTIF(brands!$A$2:$A$41,$C20)&gt;0,OR(IFERROR(IF(INDEX(brands!$C$2:$C$41,MATCH($C20,brands!$A$2:$A$41,0))="","",INDEX(brands!$C$2:$C$41,MATCH($C20,brands!$A$2:$A$41,0))),"")="",IFERROR(IF(INDEX(brands!$D$2:$D$41,MATCH($C20,brands!$A$2:$A$41,0))="","",INDEX(brands!$D$2:$D$41,MATCH($C20,brands!$A$2:$A$41,0))),"")="",IFERROR(IF(INDEX(brands!$E$2:$E$41,MATCH($C20,brands!$A$2:$A$41,0))="","",INDEX(brands!$E$2:$E$41,MATCH($C20,brands!$A$2:$A$41,0))),"")="")),"brand billing details missing on brands (legal name, address, email): needed for the invoice; ","")&amp;IF(AND($D20="founding",$E20&lt;&gt;"Y",N(IFERROR(IF(INDEX(brands!$AI$2:$AI$41,MATCH($C20,brands!$A$2:$A$41,0))="","",INDEX(brands!$AI$2:$AI$41,MATCH($C20,brands!$A$2:$A$41,0))),""))&gt;3),"the founding tier is for the first three brands only (this is brand "&amp;IFERROR(IF(INDEX(brands!$AI$2:$AI$41,MATCH($C20,brands!$A$2:$A$41,0))="","",INDEX(brands!$AI$2:$AI$41,MATCH($C20,brands!$A$2:$A$41,0))),"")&amp;"): use standard; ","")&amp;IF(AND($D20="founding",$E20&lt;&gt;"Y",COUNTIFS(campaigns!$C$2:$C$51,$C20,campaigns!$D$2:$D$51,"founding",campaigns!$E$2:$E$51,"&lt;&gt;Y")&gt;1),"a brand has the founding price once; its next two campaigns are founding_lock = Y; ","")&amp;IF(AND($E20="Y",COUNTIFS(campaigns!$C$2:$C$51,$C20,campaigns!$D$2:$D$51,"founding",campaigns!$E$2:$E$51,"Y")&gt;2),"founding_lock is for the brand's next two campaigns only (this is a third): use standard; ","")&amp;IF(AND($E20="Y",COUNTIFS(campaigns!$C$2:$C$51,$C20,campaigns!$D$2:$D$51,"founding",campaigns!$E$2:$E$51,"&lt;&gt;Y")=0),"founding_lock without a first founding campaign for this brand; ","")&amp;IF(AND(N($BX20)&gt;0,$BG20&lt;&gt;"",IF(config!$B$37&lt;&gt;"",config!$B$37,TODAY())&gt;=WORKDAY(N($BG20),-5,calendar!$A$2:$A$80)),IF(N($BX20)-N($BY20)&lt;N($BR20),"received "&amp;(N($BX20)-N($BY20))&amp;" usable units for "&amp;$BR20&amp;" allocated: reduce units_override evenly (SOP section 4, short shipment); ","")&amp;IF(AND(N($BX20)&lt;N($BT20),COUNTIFS(issues!$E$2:$E$121,$A20,issues!$G$2:$G$121,"short_shipment")=0),"received "&amp;$BX20&amp;" of "&amp;$BT20&amp;" due: log a short_shipment issue and tell the brand today; ",""),"")&amp;IF(AND($BG20&lt;&gt;"",IF(config!$B$37&lt;&gt;"",config!$B$37,TODAY())&gt;=WORKDAY(N($BG20),1,calendar!$A$2:$A$80),N($F20)&gt;0,(-SUMIFS(invoices!$E$2:$E$151,invoices!$B$2:$B$151,$A20,invoices!$C$2:$C$151,"credit_note"))&lt;(IF($D20="founding",config!$B$25,config!$B$24)*MAX(0,N($F20)-COUNTIFS(approvals!$A$2:$A$251,$A20,approvals!$Q$2:$Q$251,"Y",approvals!$AB$2:$AB$251,"Y")))-0.005),"credit due from T+1: "&amp;MAX(0,N($F20)-COUNTIFS(approvals!$A$2:$A$251,$A20,approvals!$Q$2:$Q$251,"Y",approvals!$AB$2:$AB$251,"Y"))&amp;" of "&amp;$F20&amp;" contracted offices not placed by T+1, $"&amp;(IF($D20="founding",config!$B$25,config!$B$24)*MAX(0,N($F20)-COUNTIFS(approvals!$A$2:$A$251,$A20,approvals!$Q$2:$Q$251,"Y",approvals!$AB$2:$AB$251,"Y")))&amp;" due, $"&amp;(-SUMIFS(invoices!$E$2:$E$151,invoices!$B$2:$B$151,$A20,invoices!$C$2:$C$151,"credit_note"))&amp;" in credit notes so far (template 06, make_invoice.py); ","")&amp;IF(AND(IFERROR(IF(INDEX(brands!$H$2:$H$41,MATCH($C20,brands!$A$2:$A$41,0))="","",INDEX(brands!$H$2:$H$41,MATCH($C20,brands!$A$2:$A$41,0))),"")&lt;&gt;"",$BG20&lt;&gt;"",IFERROR(IF(INDEX(brands!$H$2:$H$41,MATCH($C20,brands!$A$2:$A$41,0))="","",INDEX(brands!$H$2:$H$41,MATCH($C20,brands!$A$2:$A$41,0))),"")&lt;EDATE(WORKDAY(N($BG20),4,calendar!$A$2:$A$80),12)),"info: brand insurance ends "&amp;TEXT(IFERROR(IF(INDEX(brands!$H$2:$H$41,MATCH($C20,brands!$A$2:$A$41,0))="","",INDEX(brands!$H$2:$H$41,MATCH($C20,brands!$A$2:$A$41,0))),""),"yyyy-mm-dd")&amp;": diary the renewal certificate; ",""))</f>
        <v/>
      </c>
    </row>
    <row r="21">
      <c r="G21" s="10" t="n"/>
      <c r="H21" s="9" t="n"/>
      <c r="AB21" s="9" t="n"/>
      <c r="AC21" s="9" t="n"/>
      <c r="AD21" s="9" t="n"/>
      <c r="AF21" s="9" t="n"/>
      <c r="AG21" s="9" t="n"/>
      <c r="AT21" s="9" t="n"/>
      <c r="AU21" s="9" t="n"/>
      <c r="AY21" s="9" t="n"/>
      <c r="BA21" s="9" t="n"/>
      <c r="BB21" s="9" t="n"/>
      <c r="BC21" s="9" t="n"/>
      <c r="BE21" s="25">
        <f>IF($A21="","",IFERROR(IF(INDEX(brands!$K$2:$K$41,MATCH($C21,brands!$A$2:$A$41,0))="","",INDEX(brands!$K$2:$K$41,MATCH($C21,brands!$A$2:$A$41,0))),""))</f>
        <v/>
      </c>
      <c r="BF21" s="25">
        <f>IF($A21="","",IFERROR(IF(INDEX(brands!$M$2:$M$41,MATCH($C21,brands!$A$2:$A$41,0))="","",INDEX(brands!$M$2:$M$41,MATCH($C21,brands!$A$2:$A$41,0))),""))</f>
        <v/>
      </c>
      <c r="BG21" s="26">
        <f>IF($A21="","",IF(IFERROR(IF(INDEX(drops!$I$2:$I$21,MATCH($B21,drops!$A$2:$A$21,0))="","",INDEX(drops!$I$2:$I$21,MATCH($B21,drops!$A$2:$A$21,0))),"")="OK",IFERROR(IF(INDEX(drops!$B$2:$B$21,MATCH($B21,drops!$A$2:$A$21,0))="","",INDEX(drops!$B$2:$B$21,MATCH($B21,drops!$A$2:$A$21,0))),""),""))</f>
        <v/>
      </c>
      <c r="BH21" s="25">
        <f>IF($A21="","",IFERROR(IF(INDEX(drops!$C$2:$C$21,MATCH($B21,drops!$A$2:$A$21,0))="","",INDEX(drops!$C$2:$C$21,MATCH($B21,drops!$A$2:$A$21,0))),""))</f>
        <v/>
      </c>
      <c r="BI21" s="27">
        <f>IF($A21="","",IF($F21="","",IF($D21="founding",IF($E21="Y",config!$B$25*MIN($F21,config!$B$26)+config!$B$24*MAX(0,$F21-config!$B$26),config!$B$20+config!$B$24*MAX(0,$F21-config!$B$21)),IF($D21="standard",config!$B$22+config!$B$24*MAX(0,$F21-config!$B$23),""))))</f>
        <v/>
      </c>
      <c r="BJ21" s="27">
        <f>IF($A21="","",IF($G21&lt;&gt;"",$G21,$BI21))</f>
        <v/>
      </c>
      <c r="BK21" s="25">
        <f>IF($A21="","",IF($D21="founding","100% within "&amp;config!$B$27&amp;" business days of the invoice, before shipping",IF($D21="standard","50% on signing; 50% at placement confirmation (T+1)","")))</f>
        <v/>
      </c>
      <c r="BL21" s="26">
        <f>IF($A21="","",IFERROR(IF(INDEX(drops!$K$2:$K$21,MATCH($B21,drops!$A$2:$A$21,0))="","",INDEX(drops!$K$2:$K$21,MATCH($B21,drops!$A$2:$A$21,0))),""))</f>
        <v/>
      </c>
      <c r="BM21" s="26">
        <f>IF($A21="","",IFERROR(IF(INDEX(drops!$L$2:$L$21,MATCH($B21,drops!$A$2:$A$21,0))="","",INDEX(drops!$L$2:$L$21,MATCH($B21,drops!$A$2:$A$21,0))),""))</f>
        <v/>
      </c>
      <c r="BN21" s="25">
        <f>IF($A21="","",COUNTIF(approvals!$A$2:$A$251,$A21))</f>
        <v/>
      </c>
      <c r="BO21" s="25">
        <f>IF($A21="","",COUNTIFS(approvals!$A$2:$A$251,$A21,approvals!$P$2:$P$251,"Y"))</f>
        <v/>
      </c>
      <c r="BP21" s="25">
        <f>IF($A21="","",COUNTIFS(approvals!$A$2:$A$251,$A21,approvals!$Q$2:$Q$251,"Y"))</f>
        <v/>
      </c>
      <c r="BQ21" s="25">
        <f>IF($A21="","",COUNTIFS(approvals!$A$2:$A$251,$A21,approvals!$P$2:$P$251,"pending"))</f>
        <v/>
      </c>
      <c r="BR21" s="25">
        <f>IF($A21="","",SUMIFS(approvals!$S$2:$S$251,approvals!$A$2:$A$251,$A21,approvals!$P$2:$P$251,"Y"))</f>
        <v/>
      </c>
      <c r="BS21" s="25">
        <f>IF($A21="","",ROUNDUP($BR21*config!$B$18,0))</f>
        <v/>
      </c>
      <c r="BT21" s="25">
        <f>IF($A21="","",$BR21+$BS21)</f>
        <v/>
      </c>
      <c r="BU21" s="27">
        <f>IF($A21="","",SUMIFS(invoices!$I$2:$I$151,invoices!$B$2:$B$151,$A21,invoices!$R$2:$R$151,"Y",invoices!$H$2:$H$151,"&gt;0"))</f>
        <v/>
      </c>
      <c r="BV21" s="27">
        <f>IF($A21="","",IF($BJ21="","",IF($D21="founding",$BJ21,ROUND($BJ21*config!$B$28,2))))</f>
        <v/>
      </c>
      <c r="BW21" s="25">
        <f>IF($A21="","",IF(AND(N($BU21)&gt;=N($BV21),N($BV21)&gt;0,$H21&lt;&gt;"",AND($AB21&lt;&gt;"",IFERROR(IF(INDEX(brands!$G$2:$G$41,MATCH($C21,brands!$A$2:$A$41,0))="","",INDEX(brands!$G$2:$G$41,MATCH($C21,brands!$A$2:$A$41,0))),"")="Y"),LEFT(IFERROR(IF(INDEX(brands!$AG$2:$AG$41,MATCH($C21,brands!$A$2:$A$41,0))="","",INDEX(brands!$AG$2:$AG$41,MATCH($C21,brands!$A$2:$A$41,0))),""),1)="Y",$BG21&lt;&gt;"",$BQ21=0,$BO21&gt;0),"RELEASED "&amp;TEXT(MAX(IFERROR(1/(1/SUMPRODUCT(MAX((invoices!$B$2:$B$151=$A21)*(invoices!$R$2:$R$151="Y")*(invoices!$H$2:$H$151)))),""),$H21,$AB21,SUMPRODUCT(MAX((approvals!$A$2:$A$251=$A21)*(approvals!$P$2:$P$251="Y")*(approvals!$E$2:$E$251+(approvals!$E$2:$E$251=0)*approvals!$C$2:$C$251)))),"yyyy-mm-dd")&amp;": ship by "&amp;TEXT($BM21,"ddd yyyy-mm-dd")&amp;" (latest "&amp;TEXT($BL21,"ddd yyyy-mm-dd")&amp;")","HOLD: "&amp;IF(N($BU21)&lt;N($BV21),"payment ("&amp;TEXT(N($BU21),"0")&amp;" of "&amp;TEXT(N($BV21),"0")&amp;") ","")&amp;IF($H21="","agreement ","")&amp;IF(NOT(AND($AB21&lt;&gt;"",IFERROR(IF(INDEX(brands!$G$2:$G$41,MATCH($C21,brands!$A$2:$A$41,0))="","",INDEX(brands!$G$2:$G$41,MATCH($C21,brands!$A$2:$A$41,0))),"")="Y")),"certificate ","")&amp;IF(NOT(LEFT(IFERROR(IF(INDEX(brands!$AG$2:$AG$41,MATCH($C21,brands!$A$2:$A$41,0))="","",INDEX(brands!$AG$2:$AG$41,MATCH($C21,brands!$A$2:$A$41,0))),""),1)="Y"),"qualification ","")&amp;IF($BG21="","drop date ","")&amp;IF($BQ21&gt;0,"approvals ("&amp;$BQ21&amp;" pending) ","")&amp;IF($BO21=0,"no office approved ","")))</f>
        <v/>
      </c>
      <c r="BX21" s="25">
        <f>IF($A21="","",SUMIFS(inventory!$G$2:$G$801,inventory!$C$2:$C$801,$A21,inventory!$E$2:$E$801,"received"))</f>
        <v/>
      </c>
      <c r="BY21" s="25">
        <f>IF($A21="","",SUMIFS(inventory!$G$2:$G$801,inventory!$C$2:$C$801,$A21,inventory!$E$2:$E$801,"rejected"))</f>
        <v/>
      </c>
      <c r="BZ21" s="25">
        <f>IF($A21="","",SUMIFS(inventory!$M$2:$M$801,inventory!$C$2:$C$801,$A21))</f>
        <v/>
      </c>
      <c r="CA21" s="25">
        <f>IF($A21="","",SUMIFS(inventory!$O$2:$O$801,inventory!$C$2:$C$801,$A21))</f>
        <v/>
      </c>
      <c r="CB21" s="25">
        <f>IF($A21="","",SUMIFS(approvals!$U$2:$U$251,approvals!$A$2:$A$251,$A21))</f>
        <v/>
      </c>
      <c r="CC21" s="25">
        <f>IF($A21="","",SUMIFS(approvals!$AA$2:$AA$251,approvals!$A$2:$A$251,$A21))</f>
        <v/>
      </c>
      <c r="CD21" s="25">
        <f>IF($A21="","",SUMIFS(approvals!$AA$2:$AA$251,approvals!$A$2:$A$251,$A21,approvals!$AB$2:$AB$251,"Y"))</f>
        <v/>
      </c>
      <c r="CE21" s="29">
        <f>IF($A21="","",IF(N($CB21)=0,"",$CD21/$CB21))</f>
        <v/>
      </c>
      <c r="CF21" s="25">
        <f>IF($A21="","",SUMIFS(approvals!$AD$2:$AD$251,approvals!$A$2:$A$251,$A21))</f>
        <v/>
      </c>
      <c r="CG21" s="25">
        <f>IF($A21="","",IF(COUNTIFS(approvals!$A$2:$A$251,$A21,approvals!$Q$2:$Q$251,"Y",approvals!$AG$2:$AG$251,"")&gt;0,"",SUMIFS(approvals!$AG$2:$AG$251,approvals!$A$2:$A$251,$A21,approvals!$Q$2:$Q$251,"Y")))</f>
        <v/>
      </c>
      <c r="CH21" s="25">
        <f>IF($A21="","",SUMIFS(approvals!$AL$2:$AL$251,approvals!$A$2:$A$251,$A21))</f>
        <v/>
      </c>
      <c r="CI21" s="25">
        <f>IF($A21="","",IF(N($BP21)=0,"",SUMPRODUCT(MIN(approvals!$BB$2:$BB$251+(approvals!$A$2:$A$251&lt;&gt;$A21)*1000000))))</f>
        <v/>
      </c>
      <c r="CJ21" s="25">
        <f>IF($A21="","",COUNTIFS(approvals!$A$2:$A$251,$A21,approvals!$Q$2:$Q$251,"Y",approvals!$AL$2:$AL$251,"&lt;"&amp;config!$B$30))</f>
        <v/>
      </c>
      <c r="CK21" s="25">
        <f>IF($A21="","",SUMIFS(approvals!$AM$2:$AM$251,approvals!$A$2:$A$251,$A21))</f>
        <v/>
      </c>
      <c r="CL21" s="25">
        <f>IF($A21="","",SUMIFS(approvals!$AQ$2:$AQ$251,approvals!$A$2:$A$251,$A21))</f>
        <v/>
      </c>
      <c r="CM21" s="25">
        <f>IF($A21="","",SUMIFS(approvals!$AR$2:$AR$251,approvals!$A$2:$A$251,$A21))</f>
        <v/>
      </c>
      <c r="CN21" s="25">
        <f>IF($A21="","",SUMIFS(approvals!$AS$2:$AS$251,approvals!$A$2:$A$251,$A21))</f>
        <v/>
      </c>
      <c r="CO21" s="25">
        <f>IF($A21="","",SUMIFS(approvals!$AT$2:$AT$251,approvals!$A$2:$A$251,$A21))</f>
        <v/>
      </c>
      <c r="CP21" s="28">
        <f>IF($A21="","",IF(N($CO21)=0,"",ROUND(SUMIFS(approvals!$AU$2:$AU$251,approvals!$A$2:$A$251,$A21)/$CO21,1)))</f>
        <v/>
      </c>
      <c r="CQ21" s="25">
        <f>IF($A21="","",SUMIFS(approvals!$AV$2:$AV$251,approvals!$A$2:$A$251,$A21))</f>
        <v/>
      </c>
      <c r="CR21" s="25">
        <f>IF($A21="","",SUMIFS(approvals!$AW$2:$AW$251,approvals!$A$2:$A$251,$A21))</f>
        <v/>
      </c>
      <c r="CS21" s="25">
        <f>IF($A21="","",SUMIFS(approvals!$AX$2:$AX$251,approvals!$A$2:$A$251,$A21))</f>
        <v/>
      </c>
      <c r="CT21" s="25">
        <f>IF($A21="","",SUMIFS(approvals!$AY$2:$AY$251,approvals!$A$2:$A$251,$A21))</f>
        <v/>
      </c>
      <c r="CU21" s="25">
        <f>IF($A21="","",IF(OR($BG21="",$BC21&lt;&gt;""),"",IFERROR(COUNT(INDIRECT("'"&amp;$A21&amp;"'!$A$2:$A$501")),0)-IFERROR(COUNTIFS(INDIRECT("'"&amp;$A21&amp;"'!$A$2:$A$501"),"&gt;="&amp;$BG21,INDIRECT("'"&amp;$A21&amp;"'!$A$2:$A$501"),"&lt;"&amp;(IFERROR(IF(INDEX(drops!$R$2:$R$21,MATCH($B21,drops!$A$2:$A$21,0))="","",INDEX(drops!$R$2:$R$21,MATCH($B21,drops!$A$2:$A$21,0))),"")+1)),0)))</f>
        <v/>
      </c>
      <c r="CV21" s="25">
        <f>IF($A21="","",IF(OR($BG21="",$BC21&lt;&gt;""),"",IFERROR(COUNTIFS(INDIRECT("'"&amp;$A21&amp;"'!$A$2:$A$501"),"&gt;="&amp;$BG21,INDIRECT("'"&amp;$A21&amp;"'!$A$2:$A$501"),"&lt;"&amp;(IFERROR(IF(INDEX(drops!$R$2:$R$21,MATCH($B21,drops!$A$2:$A$21,0))="","",INDEX(drops!$R$2:$R$21,MATCH($B21,drops!$A$2:$A$21,0))),"")+1)),0)-N($CH21)))</f>
        <v/>
      </c>
      <c r="CW21" s="25">
        <f>IF($A21="","",SUMIFS(approvals!$AN$2:$AN$251,approvals!$A$2:$A$251,$A21))</f>
        <v/>
      </c>
      <c r="CX21" s="25">
        <f>IF($A21="","",SUMIFS(approvals!$AO$2:$AO$251,approvals!$A$2:$A$251,$A21))</f>
        <v/>
      </c>
      <c r="CY21" s="25">
        <f>IF($A21="","",IF($CZ21="","",SUMIFS(redemptions!$C$2:$C$121,redemptions!$A$2:$A$121,$A21,redemptions!$B$2:$B$121,$CZ21)))</f>
        <v/>
      </c>
      <c r="CZ21" s="26">
        <f>IF($A21="","",IFERROR(1/(1/SUMPRODUCT(MAX((redemptions!$A$2:$A$121=$A21)*redemptions!$B$2:$B$121))),""))</f>
        <v/>
      </c>
      <c r="DA21" s="25">
        <f>IF($A21="","",IF(COUNTIFS(redemptions!$A$2:$A$121,$A21,redemptions!$H$2:$H$121,"Y")=0,"",SUMIFS(redemptions!$C$2:$C$121,redemptions!$A$2:$A$121,$A21,redemptions!$B$2:$B$121,SUMPRODUCT(MIN((redemptions!$A$2:$A$121=$A21)*(redemptions!$H$2:$H$121="Y")*redemptions!$B$2:$B$121+((redemptions!$A$2:$A$121&lt;&gt;$A21)+(redemptions!$H$2:$H$121&lt;&gt;"Y")&gt;0)*1000000)))))</f>
        <v/>
      </c>
      <c r="DB21" s="27">
        <f>IF($A21="","",SUMIFS(invoices!$E$2:$E$151,invoices!$B$2:$B$151,$A21))</f>
        <v/>
      </c>
      <c r="DC21" s="27">
        <f>IF($A21="","",IF(COUNTIFS(invoices!$B$2:$B$151,$A21,invoices!$C$2:$C$151,"standard_deposit",invoices!$H$2:$H$151,"&gt;0")=0,"",SUMIFS(invoices!$I$2:$I$151,invoices!$B$2:$B$151,$A21,invoices!$C$2:$C$151,"standard_deposit")))</f>
        <v/>
      </c>
      <c r="DD21" s="26">
        <f>IF($A21="","",IFERROR(1/(1/SUMPRODUCT(MAX((invoices!$B$2:$B$151=$A21)*(invoices!$C$2:$C$151="standard_deposit")*invoices!$H$2:$H$151))),""))</f>
        <v/>
      </c>
      <c r="DE21" s="26">
        <f>IF($A21="","",IFERROR(1/(1/SUMPRODUCT(MAX((invoices!$B$2:$B$151=$A21)*((invoices!$C$2:$C$151="founding_full")+(invoices!$C$2:$C$151="standard_balance"))*invoices!$H$2:$H$151))),""))</f>
        <v/>
      </c>
      <c r="DF21" s="27">
        <f>IF($A21="","",SUMIFS(invoices!$L$2:$L$151,invoices!$B$2:$B$151,$A21))</f>
        <v/>
      </c>
      <c r="DG21" s="27">
        <f>IF($A21="","",SUMIFS(costs!$E$2:$E$301,costs!$C$2:$C$301,$A21))</f>
        <v/>
      </c>
      <c r="DH21" s="27">
        <f>IF($A21="","",ROUND(IF(SUMIFS(campaigns!$BO$2:$BO$51,campaigns!$B$2:$B$51,$B21)=0,0,$BO21/SUMIFS(campaigns!$BO$2:$BO$51,campaigns!$B$2:$B$51,$B21))*(SUMIFS(costs!$E$2:$E$301,costs!$B$2:$B$301,$B21)-SUMPRODUCT((costs!$B$2:$B$301=$B21)*(LEN(costs!$C$2:$C$301)&gt;0)*costs!$E$2:$E$301)),2))</f>
        <v/>
      </c>
      <c r="DI21" s="28">
        <f>IF($A21="","",SUMIFS(hours!$E$2:$E$1501,hours!$C$2:$C$1501,$A21))</f>
        <v/>
      </c>
      <c r="DJ21" s="28">
        <f>IF($A21="","",ROUND(IF(SUMIFS(campaigns!$BO$2:$BO$51,campaigns!$B$2:$B$51,$B21)=0,0,$BO21/SUMIFS(campaigns!$BO$2:$BO$51,campaigns!$B$2:$B$51,$B21))*(SUMIFS(hours!$E$2:$E$1501,hours!$B$2:$B$1501,$B21)-SUMPRODUCT((hours!$B$2:$B$1501=$B21)*(LEN(hours!$C$2:$C$1501)&gt;0)*hours!$E$2:$E$1501)),2))</f>
        <v/>
      </c>
      <c r="DK21" s="27">
        <f>IF($A21="","",$DB21-$DF21-$DG21-$DH21)</f>
        <v/>
      </c>
      <c r="DL21" s="27">
        <f>IF($A21="","",IF(N($DI21)+N($DJ21)=0,"",ROUND($DK21/($DI21+$DJ21),2)))</f>
        <v/>
      </c>
      <c r="DM21" s="29">
        <f>IF($A21="","",IF(N($BP21)=0,"",COUNTIFS(approvals!$A$2:$A$251,$A21,approvals!$Q$2:$Q$251,"Y",approvals!$AK$2:$AK$251,"Y")/$BP21))</f>
        <v/>
      </c>
      <c r="DN21" s="28">
        <f>IF($A21="","",IF(COUNTIFS(approvals!$A$2:$A$251,$A21,approvals!$AC$2:$AC$251,"&gt;=0")=0,"",ROUND(SUMIFS(approvals!$AC$2:$AC$251,approvals!$A$2:$A$251,$A21)/COUNTIFS(approvals!$A$2:$A$251,$A21,approvals!$AC$2:$AC$251,"&gt;=0"),1)))</f>
        <v/>
      </c>
      <c r="DO21" s="26">
        <f>IF($A21="","",IFERROR(IF(INDEX(drops!$T$2:$T$21,MATCH($B21,drops!$A$2:$A$21,0))="","",INDEX(drops!$T$2:$T$21,MATCH($B21,drops!$A$2:$A$21,0))),""))</f>
        <v/>
      </c>
      <c r="DP21" s="26">
        <f>IF($A21="","",IFERROR(IF(INDEX(drops!$U$2:$U$21,MATCH($B21,drops!$A$2:$A$21,0))="","",INDEX(drops!$U$2:$U$21,MATCH($B21,drops!$A$2:$A$21,0))),""))</f>
        <v/>
      </c>
      <c r="DQ21" s="26">
        <f>IF($A21="","",IFERROR(IF(INDEX(drops!$W$2:$W$21,MATCH($B21,drops!$A$2:$A$21,0))="","",INDEX(drops!$W$2:$W$21,MATCH($B21,drops!$A$2:$A$21,0))),""))</f>
        <v/>
      </c>
      <c r="DR21" s="25">
        <f>IF($A21="","",IF($CE21="","",IF($CE21&gt;=config!$B$31,"pass","miss")))</f>
        <v/>
      </c>
      <c r="DS21" s="25">
        <f>IF($A21="","",IF($CI21="","",IF($CI21&gt;=config!$B$30,"pass","miss")))</f>
        <v/>
      </c>
      <c r="DT21" s="25">
        <f>IF($A21="","",IF($AT21="",IF($DO21="","",IF(IF(config!$B$37&lt;&gt;"",config!$B$37,TODAY())&gt;$DO21,"late","due")),IF($AT21&lt;=$DO21,"pass","late")))</f>
        <v/>
      </c>
      <c r="DU21" s="25">
        <f>IF($A21="","",IF(COUNTIF(drops!$A$2:$A$21,$B21)=0,"drop_id not on drops; ",IF($BG21="","drop date missing or refused; ",""))&amp;IF(AND($G21&lt;&gt;"",$G21&lt;&gt;$BI21),"price differs from the price list; ","")&amp;IF(AND(LEFT($BW21,4)="HOLD",$BL21&lt;&gt;"",IF(config!$B$37&lt;&gt;"",config!$B$37,TODAY())&gt;=WORKDAY(N($BL21),-3,calendar!$A$2:$A$80)),"SHIP HOLD within 3 business days of T-10; ","")&amp;IF(AND($BQ21&gt;0,$BL21&lt;&gt;"",IF(config!$B$37&lt;&gt;"",config!$B$37,TODAY())&gt;$BL21),"approvals still pending after T-10; ","")&amp;IF($BZ21&lt;0,"reserve below zero: check inventory; ","")&amp;IF(AND($BG21&lt;&gt;"",IF(config!$B$37&lt;&gt;"",config!$B$37,TODAY())&gt;WORKDAY(N($BG21),14,calendar!$A$2:$A$80),N($BZ21)+N($CA21)&lt;&gt;0),"units still on hand after T+14; ","")&amp;IF(N($CV21)&gt;0,"info: "&amp;$CV21&amp;" in-window responses with a card code that matches no office (not counted); ","")&amp;IF(AND($Z21="Y",$AK21=""),"newsletter form URL missing; ","")&amp;IF(AND($Z21="Y",$BG21&lt;&gt;"",IF(config!$B$37&lt;&gt;"",config!$B$37,TODAY())&gt;WORKDAY(N($BG21),5,calendar!$A$2:$A$80),$AY21=""),"newsletter list not yet passed on (due T+5); ","")&amp;IF(AND($AY21&lt;&gt;"",$BA21=""),"delete unticked emails; ","")&amp;IF(AND($AY21&lt;&gt;"",$BB21="",IF(config!$B$37&lt;&gt;"",config!$B$37,TODAY())&gt;$AY21+config!$B$32),"DELETE the consented emails (30 days after passing on); ","")&amp;IF(AND($BG21&lt;&gt;"",$AJ21="",IF(config!$B$37&lt;&gt;"",config!$B$37,TODAY())&gt;=WORKDAY(N($BG21),-4,calendar!$A$2:$A$80)),"survey prefill template missing (due T-4); ","")&amp;IF(AND($AJ21&lt;&gt;"",ISERROR(SEARCH("CARDCODE",$AJ21))),"prefill template has no CARDCODE; ","")&amp;IF(AND($AF21="",$BG21&lt;&gt;"",IF(config!$B$37&lt;&gt;"",config!$B$37,TODAY())&gt;=WORKDAY(N($BG21),-3,calendar!$A$2:$A$80)),"card text not yet sent to the brand; ","")&amp;IF(AND($DA21="",$DQ21&lt;&gt;"",IF(config!$B$37&lt;&gt;"",config!$B$37,TODAY())&gt;$DQ21),"day-30 redemption count due; ","")&amp;IF(AND(LEFT($BW21,8)="RELEASED",$AG21=""),"ship-date email due (template 02): send it, then log ship_email_sent_date and ship_email_units; ","")&amp;IF(AND($AH21&lt;&gt;"",N($BT21)&gt;0,N($BX21)=0,N($AH21)&lt;&gt;N($BT21)),"units changed since the ship-date email of "&amp;IF($AG21="","?",TEXT($AG21,"yyyy-mm-dd"))&amp;" ("&amp;$AH21&amp;", now "&amp;$BT21&amp;"): send the brand the revised numbers (template 02) and log them; ","")&amp;IF($DT21="late","report late; ","")&amp;IF(AND(N($F21)&gt;0,$BO21&lt;N($F21),$BQ21=0),"info: "&amp;(N($F21)-$BO21)&amp;" office(s) short of the contract: add a roster office or credit $"&amp;IF($D21="founding",config!$B$25,config!$B$24)&amp;" each; ","")&amp;IF($BC21&lt;&gt;"",IF(COUNTIF(survey_frozen!$A$2:$A$251,$A21)=0,"answers deleted but no frozen totals: the survey numbers now read 0 (tools/freeze_survey.py, SOP answers_delete); ",""),IF(AND($BG21&lt;&gt;"",IF(config!$B$37&lt;&gt;"",config!$B$37,TODAY())&gt;=$BG21,ISREF(INDIRECT("'"&amp;$A21&amp;"'!B1"))),IF(INDIRECT("'"&amp;$A21&amp;"'!B1")&lt;&gt;"Card code (filled in for you)","survey tab column B is not the card code: fix the form or the tab; ",""),IF(AND($BG21&lt;&gt;"",IF(config!$B$37&lt;&gt;"",config!$B$37,TODAY())&gt;=$BG21),"no survey tab named "&amp;$A21&amp;"; ","")))&amp;IF(COUNTIF(brands!$A$2:$A$41,$C21)=0,"brand_id not on brands; ",IF(LEFT(IFERROR(IF(INDEX(brands!$AG$2:$AG$41,MATCH($C21,brands!$A$2:$A$41,0))="","",INDEX(brands!$AG$2:$AG$41,MATCH($C21,brands!$A$2:$A$41,0))),""),1)&lt;&gt;"Y","brand not qualified ("&amp;IFERROR(IF(INDEX(brands!$AG$2:$AG$41,MATCH($C21,brands!$A$2:$A$41,0))="","",INDEX(brands!$AG$2:$AG$41,MATCH($C21,brands!$A$2:$A$41,0))),"")&amp;"): nothing ships until it is; ",""))&amp;IF(AND(COUNTIF(brands!$A$2:$A$41,$C21)&gt;0,OR(IFERROR(IF(INDEX(brands!$C$2:$C$41,MATCH($C21,brands!$A$2:$A$41,0))="","",INDEX(brands!$C$2:$C$41,MATCH($C21,brands!$A$2:$A$41,0))),"")="",IFERROR(IF(INDEX(brands!$D$2:$D$41,MATCH($C21,brands!$A$2:$A$41,0))="","",INDEX(brands!$D$2:$D$41,MATCH($C21,brands!$A$2:$A$41,0))),"")="",IFERROR(IF(INDEX(brands!$E$2:$E$41,MATCH($C21,brands!$A$2:$A$41,0))="","",INDEX(brands!$E$2:$E$41,MATCH($C21,brands!$A$2:$A$41,0))),"")="")),"brand billing details missing on brands (legal name, address, email): needed for the invoice; ","")&amp;IF(AND($D21="founding",$E21&lt;&gt;"Y",N(IFERROR(IF(INDEX(brands!$AI$2:$AI$41,MATCH($C21,brands!$A$2:$A$41,0))="","",INDEX(brands!$AI$2:$AI$41,MATCH($C21,brands!$A$2:$A$41,0))),""))&gt;3),"the founding tier is for the first three brands only (this is brand "&amp;IFERROR(IF(INDEX(brands!$AI$2:$AI$41,MATCH($C21,brands!$A$2:$A$41,0))="","",INDEX(brands!$AI$2:$AI$41,MATCH($C21,brands!$A$2:$A$41,0))),"")&amp;"): use standard; ","")&amp;IF(AND($D21="founding",$E21&lt;&gt;"Y",COUNTIFS(campaigns!$C$2:$C$51,$C21,campaigns!$D$2:$D$51,"founding",campaigns!$E$2:$E$51,"&lt;&gt;Y")&gt;1),"a brand has the founding price once; its next two campaigns are founding_lock = Y; ","")&amp;IF(AND($E21="Y",COUNTIFS(campaigns!$C$2:$C$51,$C21,campaigns!$D$2:$D$51,"founding",campaigns!$E$2:$E$51,"Y")&gt;2),"founding_lock is for the brand's next two campaigns only (this is a third): use standard; ","")&amp;IF(AND($E21="Y",COUNTIFS(campaigns!$C$2:$C$51,$C21,campaigns!$D$2:$D$51,"founding",campaigns!$E$2:$E$51,"&lt;&gt;Y")=0),"founding_lock without a first founding campaign for this brand; ","")&amp;IF(AND(N($BX21)&gt;0,$BG21&lt;&gt;"",IF(config!$B$37&lt;&gt;"",config!$B$37,TODAY())&gt;=WORKDAY(N($BG21),-5,calendar!$A$2:$A$80)),IF(N($BX21)-N($BY21)&lt;N($BR21),"received "&amp;(N($BX21)-N($BY21))&amp;" usable units for "&amp;$BR21&amp;" allocated: reduce units_override evenly (SOP section 4, short shipment); ","")&amp;IF(AND(N($BX21)&lt;N($BT21),COUNTIFS(issues!$E$2:$E$121,$A21,issues!$G$2:$G$121,"short_shipment")=0),"received "&amp;$BX21&amp;" of "&amp;$BT21&amp;" due: log a short_shipment issue and tell the brand today; ",""),"")&amp;IF(AND($BG21&lt;&gt;"",IF(config!$B$37&lt;&gt;"",config!$B$37,TODAY())&gt;=WORKDAY(N($BG21),1,calendar!$A$2:$A$80),N($F21)&gt;0,(-SUMIFS(invoices!$E$2:$E$151,invoices!$B$2:$B$151,$A21,invoices!$C$2:$C$151,"credit_note"))&lt;(IF($D21="founding",config!$B$25,config!$B$24)*MAX(0,N($F21)-COUNTIFS(approvals!$A$2:$A$251,$A21,approvals!$Q$2:$Q$251,"Y",approvals!$AB$2:$AB$251,"Y")))-0.005),"credit due from T+1: "&amp;MAX(0,N($F21)-COUNTIFS(approvals!$A$2:$A$251,$A21,approvals!$Q$2:$Q$251,"Y",approvals!$AB$2:$AB$251,"Y"))&amp;" of "&amp;$F21&amp;" contracted offices not placed by T+1, $"&amp;(IF($D21="founding",config!$B$25,config!$B$24)*MAX(0,N($F21)-COUNTIFS(approvals!$A$2:$A$251,$A21,approvals!$Q$2:$Q$251,"Y",approvals!$AB$2:$AB$251,"Y")))&amp;" due, $"&amp;(-SUMIFS(invoices!$E$2:$E$151,invoices!$B$2:$B$151,$A21,invoices!$C$2:$C$151,"credit_note"))&amp;" in credit notes so far (template 06, make_invoice.py); ","")&amp;IF(AND(IFERROR(IF(INDEX(brands!$H$2:$H$41,MATCH($C21,brands!$A$2:$A$41,0))="","",INDEX(brands!$H$2:$H$41,MATCH($C21,brands!$A$2:$A$41,0))),"")&lt;&gt;"",$BG21&lt;&gt;"",IFERROR(IF(INDEX(brands!$H$2:$H$41,MATCH($C21,brands!$A$2:$A$41,0))="","",INDEX(brands!$H$2:$H$41,MATCH($C21,brands!$A$2:$A$41,0))),"")&lt;EDATE(WORKDAY(N($BG21),4,calendar!$A$2:$A$80),12)),"info: brand insurance ends "&amp;TEXT(IFERROR(IF(INDEX(brands!$H$2:$H$41,MATCH($C21,brands!$A$2:$A$41,0))="","",INDEX(brands!$H$2:$H$41,MATCH($C21,brands!$A$2:$A$41,0))),""),"yyyy-mm-dd")&amp;": diary the renewal certificate; ",""))</f>
        <v/>
      </c>
    </row>
    <row r="22">
      <c r="G22" s="10" t="n"/>
      <c r="H22" s="9" t="n"/>
      <c r="AB22" s="9" t="n"/>
      <c r="AC22" s="9" t="n"/>
      <c r="AD22" s="9" t="n"/>
      <c r="AF22" s="9" t="n"/>
      <c r="AG22" s="9" t="n"/>
      <c r="AT22" s="9" t="n"/>
      <c r="AU22" s="9" t="n"/>
      <c r="AY22" s="9" t="n"/>
      <c r="BA22" s="9" t="n"/>
      <c r="BB22" s="9" t="n"/>
      <c r="BC22" s="9" t="n"/>
      <c r="BE22" s="25">
        <f>IF($A22="","",IFERROR(IF(INDEX(brands!$K$2:$K$41,MATCH($C22,brands!$A$2:$A$41,0))="","",INDEX(brands!$K$2:$K$41,MATCH($C22,brands!$A$2:$A$41,0))),""))</f>
        <v/>
      </c>
      <c r="BF22" s="25">
        <f>IF($A22="","",IFERROR(IF(INDEX(brands!$M$2:$M$41,MATCH($C22,brands!$A$2:$A$41,0))="","",INDEX(brands!$M$2:$M$41,MATCH($C22,brands!$A$2:$A$41,0))),""))</f>
        <v/>
      </c>
      <c r="BG22" s="26">
        <f>IF($A22="","",IF(IFERROR(IF(INDEX(drops!$I$2:$I$21,MATCH($B22,drops!$A$2:$A$21,0))="","",INDEX(drops!$I$2:$I$21,MATCH($B22,drops!$A$2:$A$21,0))),"")="OK",IFERROR(IF(INDEX(drops!$B$2:$B$21,MATCH($B22,drops!$A$2:$A$21,0))="","",INDEX(drops!$B$2:$B$21,MATCH($B22,drops!$A$2:$A$21,0))),""),""))</f>
        <v/>
      </c>
      <c r="BH22" s="25">
        <f>IF($A22="","",IFERROR(IF(INDEX(drops!$C$2:$C$21,MATCH($B22,drops!$A$2:$A$21,0))="","",INDEX(drops!$C$2:$C$21,MATCH($B22,drops!$A$2:$A$21,0))),""))</f>
        <v/>
      </c>
      <c r="BI22" s="27">
        <f>IF($A22="","",IF($F22="","",IF($D22="founding",IF($E22="Y",config!$B$25*MIN($F22,config!$B$26)+config!$B$24*MAX(0,$F22-config!$B$26),config!$B$20+config!$B$24*MAX(0,$F22-config!$B$21)),IF($D22="standard",config!$B$22+config!$B$24*MAX(0,$F22-config!$B$23),""))))</f>
        <v/>
      </c>
      <c r="BJ22" s="27">
        <f>IF($A22="","",IF($G22&lt;&gt;"",$G22,$BI22))</f>
        <v/>
      </c>
      <c r="BK22" s="25">
        <f>IF($A22="","",IF($D22="founding","100% within "&amp;config!$B$27&amp;" business days of the invoice, before shipping",IF($D22="standard","50% on signing; 50% at placement confirmation (T+1)","")))</f>
        <v/>
      </c>
      <c r="BL22" s="26">
        <f>IF($A22="","",IFERROR(IF(INDEX(drops!$K$2:$K$21,MATCH($B22,drops!$A$2:$A$21,0))="","",INDEX(drops!$K$2:$K$21,MATCH($B22,drops!$A$2:$A$21,0))),""))</f>
        <v/>
      </c>
      <c r="BM22" s="26">
        <f>IF($A22="","",IFERROR(IF(INDEX(drops!$L$2:$L$21,MATCH($B22,drops!$A$2:$A$21,0))="","",INDEX(drops!$L$2:$L$21,MATCH($B22,drops!$A$2:$A$21,0))),""))</f>
        <v/>
      </c>
      <c r="BN22" s="25">
        <f>IF($A22="","",COUNTIF(approvals!$A$2:$A$251,$A22))</f>
        <v/>
      </c>
      <c r="BO22" s="25">
        <f>IF($A22="","",COUNTIFS(approvals!$A$2:$A$251,$A22,approvals!$P$2:$P$251,"Y"))</f>
        <v/>
      </c>
      <c r="BP22" s="25">
        <f>IF($A22="","",COUNTIFS(approvals!$A$2:$A$251,$A22,approvals!$Q$2:$Q$251,"Y"))</f>
        <v/>
      </c>
      <c r="BQ22" s="25">
        <f>IF($A22="","",COUNTIFS(approvals!$A$2:$A$251,$A22,approvals!$P$2:$P$251,"pending"))</f>
        <v/>
      </c>
      <c r="BR22" s="25">
        <f>IF($A22="","",SUMIFS(approvals!$S$2:$S$251,approvals!$A$2:$A$251,$A22,approvals!$P$2:$P$251,"Y"))</f>
        <v/>
      </c>
      <c r="BS22" s="25">
        <f>IF($A22="","",ROUNDUP($BR22*config!$B$18,0))</f>
        <v/>
      </c>
      <c r="BT22" s="25">
        <f>IF($A22="","",$BR22+$BS22)</f>
        <v/>
      </c>
      <c r="BU22" s="27">
        <f>IF($A22="","",SUMIFS(invoices!$I$2:$I$151,invoices!$B$2:$B$151,$A22,invoices!$R$2:$R$151,"Y",invoices!$H$2:$H$151,"&gt;0"))</f>
        <v/>
      </c>
      <c r="BV22" s="27">
        <f>IF($A22="","",IF($BJ22="","",IF($D22="founding",$BJ22,ROUND($BJ22*config!$B$28,2))))</f>
        <v/>
      </c>
      <c r="BW22" s="25">
        <f>IF($A22="","",IF(AND(N($BU22)&gt;=N($BV22),N($BV22)&gt;0,$H22&lt;&gt;"",AND($AB22&lt;&gt;"",IFERROR(IF(INDEX(brands!$G$2:$G$41,MATCH($C22,brands!$A$2:$A$41,0))="","",INDEX(brands!$G$2:$G$41,MATCH($C22,brands!$A$2:$A$41,0))),"")="Y"),LEFT(IFERROR(IF(INDEX(brands!$AG$2:$AG$41,MATCH($C22,brands!$A$2:$A$41,0))="","",INDEX(brands!$AG$2:$AG$41,MATCH($C22,brands!$A$2:$A$41,0))),""),1)="Y",$BG22&lt;&gt;"",$BQ22=0,$BO22&gt;0),"RELEASED "&amp;TEXT(MAX(IFERROR(1/(1/SUMPRODUCT(MAX((invoices!$B$2:$B$151=$A22)*(invoices!$R$2:$R$151="Y")*(invoices!$H$2:$H$151)))),""),$H22,$AB22,SUMPRODUCT(MAX((approvals!$A$2:$A$251=$A22)*(approvals!$P$2:$P$251="Y")*(approvals!$E$2:$E$251+(approvals!$E$2:$E$251=0)*approvals!$C$2:$C$251)))),"yyyy-mm-dd")&amp;": ship by "&amp;TEXT($BM22,"ddd yyyy-mm-dd")&amp;" (latest "&amp;TEXT($BL22,"ddd yyyy-mm-dd")&amp;")","HOLD: "&amp;IF(N($BU22)&lt;N($BV22),"payment ("&amp;TEXT(N($BU22),"0")&amp;" of "&amp;TEXT(N($BV22),"0")&amp;") ","")&amp;IF($H22="","agreement ","")&amp;IF(NOT(AND($AB22&lt;&gt;"",IFERROR(IF(INDEX(brands!$G$2:$G$41,MATCH($C22,brands!$A$2:$A$41,0))="","",INDEX(brands!$G$2:$G$41,MATCH($C22,brands!$A$2:$A$41,0))),"")="Y")),"certificate ","")&amp;IF(NOT(LEFT(IFERROR(IF(INDEX(brands!$AG$2:$AG$41,MATCH($C22,brands!$A$2:$A$41,0))="","",INDEX(brands!$AG$2:$AG$41,MATCH($C22,brands!$A$2:$A$41,0))),""),1)="Y"),"qualification ","")&amp;IF($BG22="","drop date ","")&amp;IF($BQ22&gt;0,"approvals ("&amp;$BQ22&amp;" pending) ","")&amp;IF($BO22=0,"no office approved ","")))</f>
        <v/>
      </c>
      <c r="BX22" s="25">
        <f>IF($A22="","",SUMIFS(inventory!$G$2:$G$801,inventory!$C$2:$C$801,$A22,inventory!$E$2:$E$801,"received"))</f>
        <v/>
      </c>
      <c r="BY22" s="25">
        <f>IF($A22="","",SUMIFS(inventory!$G$2:$G$801,inventory!$C$2:$C$801,$A22,inventory!$E$2:$E$801,"rejected"))</f>
        <v/>
      </c>
      <c r="BZ22" s="25">
        <f>IF($A22="","",SUMIFS(inventory!$M$2:$M$801,inventory!$C$2:$C$801,$A22))</f>
        <v/>
      </c>
      <c r="CA22" s="25">
        <f>IF($A22="","",SUMIFS(inventory!$O$2:$O$801,inventory!$C$2:$C$801,$A22))</f>
        <v/>
      </c>
      <c r="CB22" s="25">
        <f>IF($A22="","",SUMIFS(approvals!$U$2:$U$251,approvals!$A$2:$A$251,$A22))</f>
        <v/>
      </c>
      <c r="CC22" s="25">
        <f>IF($A22="","",SUMIFS(approvals!$AA$2:$AA$251,approvals!$A$2:$A$251,$A22))</f>
        <v/>
      </c>
      <c r="CD22" s="25">
        <f>IF($A22="","",SUMIFS(approvals!$AA$2:$AA$251,approvals!$A$2:$A$251,$A22,approvals!$AB$2:$AB$251,"Y"))</f>
        <v/>
      </c>
      <c r="CE22" s="29">
        <f>IF($A22="","",IF(N($CB22)=0,"",$CD22/$CB22))</f>
        <v/>
      </c>
      <c r="CF22" s="25">
        <f>IF($A22="","",SUMIFS(approvals!$AD$2:$AD$251,approvals!$A$2:$A$251,$A22))</f>
        <v/>
      </c>
      <c r="CG22" s="25">
        <f>IF($A22="","",IF(COUNTIFS(approvals!$A$2:$A$251,$A22,approvals!$Q$2:$Q$251,"Y",approvals!$AG$2:$AG$251,"")&gt;0,"",SUMIFS(approvals!$AG$2:$AG$251,approvals!$A$2:$A$251,$A22,approvals!$Q$2:$Q$251,"Y")))</f>
        <v/>
      </c>
      <c r="CH22" s="25">
        <f>IF($A22="","",SUMIFS(approvals!$AL$2:$AL$251,approvals!$A$2:$A$251,$A22))</f>
        <v/>
      </c>
      <c r="CI22" s="25">
        <f>IF($A22="","",IF(N($BP22)=0,"",SUMPRODUCT(MIN(approvals!$BB$2:$BB$251+(approvals!$A$2:$A$251&lt;&gt;$A22)*1000000))))</f>
        <v/>
      </c>
      <c r="CJ22" s="25">
        <f>IF($A22="","",COUNTIFS(approvals!$A$2:$A$251,$A22,approvals!$Q$2:$Q$251,"Y",approvals!$AL$2:$AL$251,"&lt;"&amp;config!$B$30))</f>
        <v/>
      </c>
      <c r="CK22" s="25">
        <f>IF($A22="","",SUMIFS(approvals!$AM$2:$AM$251,approvals!$A$2:$A$251,$A22))</f>
        <v/>
      </c>
      <c r="CL22" s="25">
        <f>IF($A22="","",SUMIFS(approvals!$AQ$2:$AQ$251,approvals!$A$2:$A$251,$A22))</f>
        <v/>
      </c>
      <c r="CM22" s="25">
        <f>IF($A22="","",SUMIFS(approvals!$AR$2:$AR$251,approvals!$A$2:$A$251,$A22))</f>
        <v/>
      </c>
      <c r="CN22" s="25">
        <f>IF($A22="","",SUMIFS(approvals!$AS$2:$AS$251,approvals!$A$2:$A$251,$A22))</f>
        <v/>
      </c>
      <c r="CO22" s="25">
        <f>IF($A22="","",SUMIFS(approvals!$AT$2:$AT$251,approvals!$A$2:$A$251,$A22))</f>
        <v/>
      </c>
      <c r="CP22" s="28">
        <f>IF($A22="","",IF(N($CO22)=0,"",ROUND(SUMIFS(approvals!$AU$2:$AU$251,approvals!$A$2:$A$251,$A22)/$CO22,1)))</f>
        <v/>
      </c>
      <c r="CQ22" s="25">
        <f>IF($A22="","",SUMIFS(approvals!$AV$2:$AV$251,approvals!$A$2:$A$251,$A22))</f>
        <v/>
      </c>
      <c r="CR22" s="25">
        <f>IF($A22="","",SUMIFS(approvals!$AW$2:$AW$251,approvals!$A$2:$A$251,$A22))</f>
        <v/>
      </c>
      <c r="CS22" s="25">
        <f>IF($A22="","",SUMIFS(approvals!$AX$2:$AX$251,approvals!$A$2:$A$251,$A22))</f>
        <v/>
      </c>
      <c r="CT22" s="25">
        <f>IF($A22="","",SUMIFS(approvals!$AY$2:$AY$251,approvals!$A$2:$A$251,$A22))</f>
        <v/>
      </c>
      <c r="CU22" s="25">
        <f>IF($A22="","",IF(OR($BG22="",$BC22&lt;&gt;""),"",IFERROR(COUNT(INDIRECT("'"&amp;$A22&amp;"'!$A$2:$A$501")),0)-IFERROR(COUNTIFS(INDIRECT("'"&amp;$A22&amp;"'!$A$2:$A$501"),"&gt;="&amp;$BG22,INDIRECT("'"&amp;$A22&amp;"'!$A$2:$A$501"),"&lt;"&amp;(IFERROR(IF(INDEX(drops!$R$2:$R$21,MATCH($B22,drops!$A$2:$A$21,0))="","",INDEX(drops!$R$2:$R$21,MATCH($B22,drops!$A$2:$A$21,0))),"")+1)),0)))</f>
        <v/>
      </c>
      <c r="CV22" s="25">
        <f>IF($A22="","",IF(OR($BG22="",$BC22&lt;&gt;""),"",IFERROR(COUNTIFS(INDIRECT("'"&amp;$A22&amp;"'!$A$2:$A$501"),"&gt;="&amp;$BG22,INDIRECT("'"&amp;$A22&amp;"'!$A$2:$A$501"),"&lt;"&amp;(IFERROR(IF(INDEX(drops!$R$2:$R$21,MATCH($B22,drops!$A$2:$A$21,0))="","",INDEX(drops!$R$2:$R$21,MATCH($B22,drops!$A$2:$A$21,0))),"")+1)),0)-N($CH22)))</f>
        <v/>
      </c>
      <c r="CW22" s="25">
        <f>IF($A22="","",SUMIFS(approvals!$AN$2:$AN$251,approvals!$A$2:$A$251,$A22))</f>
        <v/>
      </c>
      <c r="CX22" s="25">
        <f>IF($A22="","",SUMIFS(approvals!$AO$2:$AO$251,approvals!$A$2:$A$251,$A22))</f>
        <v/>
      </c>
      <c r="CY22" s="25">
        <f>IF($A22="","",IF($CZ22="","",SUMIFS(redemptions!$C$2:$C$121,redemptions!$A$2:$A$121,$A22,redemptions!$B$2:$B$121,$CZ22)))</f>
        <v/>
      </c>
      <c r="CZ22" s="26">
        <f>IF($A22="","",IFERROR(1/(1/SUMPRODUCT(MAX((redemptions!$A$2:$A$121=$A22)*redemptions!$B$2:$B$121))),""))</f>
        <v/>
      </c>
      <c r="DA22" s="25">
        <f>IF($A22="","",IF(COUNTIFS(redemptions!$A$2:$A$121,$A22,redemptions!$H$2:$H$121,"Y")=0,"",SUMIFS(redemptions!$C$2:$C$121,redemptions!$A$2:$A$121,$A22,redemptions!$B$2:$B$121,SUMPRODUCT(MIN((redemptions!$A$2:$A$121=$A22)*(redemptions!$H$2:$H$121="Y")*redemptions!$B$2:$B$121+((redemptions!$A$2:$A$121&lt;&gt;$A22)+(redemptions!$H$2:$H$121&lt;&gt;"Y")&gt;0)*1000000)))))</f>
        <v/>
      </c>
      <c r="DB22" s="27">
        <f>IF($A22="","",SUMIFS(invoices!$E$2:$E$151,invoices!$B$2:$B$151,$A22))</f>
        <v/>
      </c>
      <c r="DC22" s="27">
        <f>IF($A22="","",IF(COUNTIFS(invoices!$B$2:$B$151,$A22,invoices!$C$2:$C$151,"standard_deposit",invoices!$H$2:$H$151,"&gt;0")=0,"",SUMIFS(invoices!$I$2:$I$151,invoices!$B$2:$B$151,$A22,invoices!$C$2:$C$151,"standard_deposit")))</f>
        <v/>
      </c>
      <c r="DD22" s="26">
        <f>IF($A22="","",IFERROR(1/(1/SUMPRODUCT(MAX((invoices!$B$2:$B$151=$A22)*(invoices!$C$2:$C$151="standard_deposit")*invoices!$H$2:$H$151))),""))</f>
        <v/>
      </c>
      <c r="DE22" s="26">
        <f>IF($A22="","",IFERROR(1/(1/SUMPRODUCT(MAX((invoices!$B$2:$B$151=$A22)*((invoices!$C$2:$C$151="founding_full")+(invoices!$C$2:$C$151="standard_balance"))*invoices!$H$2:$H$151))),""))</f>
        <v/>
      </c>
      <c r="DF22" s="27">
        <f>IF($A22="","",SUMIFS(invoices!$L$2:$L$151,invoices!$B$2:$B$151,$A22))</f>
        <v/>
      </c>
      <c r="DG22" s="27">
        <f>IF($A22="","",SUMIFS(costs!$E$2:$E$301,costs!$C$2:$C$301,$A22))</f>
        <v/>
      </c>
      <c r="DH22" s="27">
        <f>IF($A22="","",ROUND(IF(SUMIFS(campaigns!$BO$2:$BO$51,campaigns!$B$2:$B$51,$B22)=0,0,$BO22/SUMIFS(campaigns!$BO$2:$BO$51,campaigns!$B$2:$B$51,$B22))*(SUMIFS(costs!$E$2:$E$301,costs!$B$2:$B$301,$B22)-SUMPRODUCT((costs!$B$2:$B$301=$B22)*(LEN(costs!$C$2:$C$301)&gt;0)*costs!$E$2:$E$301)),2))</f>
        <v/>
      </c>
      <c r="DI22" s="28">
        <f>IF($A22="","",SUMIFS(hours!$E$2:$E$1501,hours!$C$2:$C$1501,$A22))</f>
        <v/>
      </c>
      <c r="DJ22" s="28">
        <f>IF($A22="","",ROUND(IF(SUMIFS(campaigns!$BO$2:$BO$51,campaigns!$B$2:$B$51,$B22)=0,0,$BO22/SUMIFS(campaigns!$BO$2:$BO$51,campaigns!$B$2:$B$51,$B22))*(SUMIFS(hours!$E$2:$E$1501,hours!$B$2:$B$1501,$B22)-SUMPRODUCT((hours!$B$2:$B$1501=$B22)*(LEN(hours!$C$2:$C$1501)&gt;0)*hours!$E$2:$E$1501)),2))</f>
        <v/>
      </c>
      <c r="DK22" s="27">
        <f>IF($A22="","",$DB22-$DF22-$DG22-$DH22)</f>
        <v/>
      </c>
      <c r="DL22" s="27">
        <f>IF($A22="","",IF(N($DI22)+N($DJ22)=0,"",ROUND($DK22/($DI22+$DJ22),2)))</f>
        <v/>
      </c>
      <c r="DM22" s="29">
        <f>IF($A22="","",IF(N($BP22)=0,"",COUNTIFS(approvals!$A$2:$A$251,$A22,approvals!$Q$2:$Q$251,"Y",approvals!$AK$2:$AK$251,"Y")/$BP22))</f>
        <v/>
      </c>
      <c r="DN22" s="28">
        <f>IF($A22="","",IF(COUNTIFS(approvals!$A$2:$A$251,$A22,approvals!$AC$2:$AC$251,"&gt;=0")=0,"",ROUND(SUMIFS(approvals!$AC$2:$AC$251,approvals!$A$2:$A$251,$A22)/COUNTIFS(approvals!$A$2:$A$251,$A22,approvals!$AC$2:$AC$251,"&gt;=0"),1)))</f>
        <v/>
      </c>
      <c r="DO22" s="26">
        <f>IF($A22="","",IFERROR(IF(INDEX(drops!$T$2:$T$21,MATCH($B22,drops!$A$2:$A$21,0))="","",INDEX(drops!$T$2:$T$21,MATCH($B22,drops!$A$2:$A$21,0))),""))</f>
        <v/>
      </c>
      <c r="DP22" s="26">
        <f>IF($A22="","",IFERROR(IF(INDEX(drops!$U$2:$U$21,MATCH($B22,drops!$A$2:$A$21,0))="","",INDEX(drops!$U$2:$U$21,MATCH($B22,drops!$A$2:$A$21,0))),""))</f>
        <v/>
      </c>
      <c r="DQ22" s="26">
        <f>IF($A22="","",IFERROR(IF(INDEX(drops!$W$2:$W$21,MATCH($B22,drops!$A$2:$A$21,0))="","",INDEX(drops!$W$2:$W$21,MATCH($B22,drops!$A$2:$A$21,0))),""))</f>
        <v/>
      </c>
      <c r="DR22" s="25">
        <f>IF($A22="","",IF($CE22="","",IF($CE22&gt;=config!$B$31,"pass","miss")))</f>
        <v/>
      </c>
      <c r="DS22" s="25">
        <f>IF($A22="","",IF($CI22="","",IF($CI22&gt;=config!$B$30,"pass","miss")))</f>
        <v/>
      </c>
      <c r="DT22" s="25">
        <f>IF($A22="","",IF($AT22="",IF($DO22="","",IF(IF(config!$B$37&lt;&gt;"",config!$B$37,TODAY())&gt;$DO22,"late","due")),IF($AT22&lt;=$DO22,"pass","late")))</f>
        <v/>
      </c>
      <c r="DU22" s="25">
        <f>IF($A22="","",IF(COUNTIF(drops!$A$2:$A$21,$B22)=0,"drop_id not on drops; ",IF($BG22="","drop date missing or refused; ",""))&amp;IF(AND($G22&lt;&gt;"",$G22&lt;&gt;$BI22),"price differs from the price list; ","")&amp;IF(AND(LEFT($BW22,4)="HOLD",$BL22&lt;&gt;"",IF(config!$B$37&lt;&gt;"",config!$B$37,TODAY())&gt;=WORKDAY(N($BL22),-3,calendar!$A$2:$A$80)),"SHIP HOLD within 3 business days of T-10; ","")&amp;IF(AND($BQ22&gt;0,$BL22&lt;&gt;"",IF(config!$B$37&lt;&gt;"",config!$B$37,TODAY())&gt;$BL22),"approvals still pending after T-10; ","")&amp;IF($BZ22&lt;0,"reserve below zero: check inventory; ","")&amp;IF(AND($BG22&lt;&gt;"",IF(config!$B$37&lt;&gt;"",config!$B$37,TODAY())&gt;WORKDAY(N($BG22),14,calendar!$A$2:$A$80),N($BZ22)+N($CA22)&lt;&gt;0),"units still on hand after T+14; ","")&amp;IF(N($CV22)&gt;0,"info: "&amp;$CV22&amp;" in-window responses with a card code that matches no office (not counted); ","")&amp;IF(AND($Z22="Y",$AK22=""),"newsletter form URL missing; ","")&amp;IF(AND($Z22="Y",$BG22&lt;&gt;"",IF(config!$B$37&lt;&gt;"",config!$B$37,TODAY())&gt;WORKDAY(N($BG22),5,calendar!$A$2:$A$80),$AY22=""),"newsletter list not yet passed on (due T+5); ","")&amp;IF(AND($AY22&lt;&gt;"",$BA22=""),"delete unticked emails; ","")&amp;IF(AND($AY22&lt;&gt;"",$BB22="",IF(config!$B$37&lt;&gt;"",config!$B$37,TODAY())&gt;$AY22+config!$B$32),"DELETE the consented emails (30 days after passing on); ","")&amp;IF(AND($BG22&lt;&gt;"",$AJ22="",IF(config!$B$37&lt;&gt;"",config!$B$37,TODAY())&gt;=WORKDAY(N($BG22),-4,calendar!$A$2:$A$80)),"survey prefill template missing (due T-4); ","")&amp;IF(AND($AJ22&lt;&gt;"",ISERROR(SEARCH("CARDCODE",$AJ22))),"prefill template has no CARDCODE; ","")&amp;IF(AND($AF22="",$BG22&lt;&gt;"",IF(config!$B$37&lt;&gt;"",config!$B$37,TODAY())&gt;=WORKDAY(N($BG22),-3,calendar!$A$2:$A$80)),"card text not yet sent to the brand; ","")&amp;IF(AND($DA22="",$DQ22&lt;&gt;"",IF(config!$B$37&lt;&gt;"",config!$B$37,TODAY())&gt;$DQ22),"day-30 redemption count due; ","")&amp;IF(AND(LEFT($BW22,8)="RELEASED",$AG22=""),"ship-date email due (template 02): send it, then log ship_email_sent_date and ship_email_units; ","")&amp;IF(AND($AH22&lt;&gt;"",N($BT22)&gt;0,N($BX22)=0,N($AH22)&lt;&gt;N($BT22)),"units changed since the ship-date email of "&amp;IF($AG22="","?",TEXT($AG22,"yyyy-mm-dd"))&amp;" ("&amp;$AH22&amp;", now "&amp;$BT22&amp;"): send the brand the revised numbers (template 02) and log them; ","")&amp;IF($DT22="late","report late; ","")&amp;IF(AND(N($F22)&gt;0,$BO22&lt;N($F22),$BQ22=0),"info: "&amp;(N($F22)-$BO22)&amp;" office(s) short of the contract: add a roster office or credit $"&amp;IF($D22="founding",config!$B$25,config!$B$24)&amp;" each; ","")&amp;IF($BC22&lt;&gt;"",IF(COUNTIF(survey_frozen!$A$2:$A$251,$A22)=0,"answers deleted but no frozen totals: the survey numbers now read 0 (tools/freeze_survey.py, SOP answers_delete); ",""),IF(AND($BG22&lt;&gt;"",IF(config!$B$37&lt;&gt;"",config!$B$37,TODAY())&gt;=$BG22,ISREF(INDIRECT("'"&amp;$A22&amp;"'!B1"))),IF(INDIRECT("'"&amp;$A22&amp;"'!B1")&lt;&gt;"Card code (filled in for you)","survey tab column B is not the card code: fix the form or the tab; ",""),IF(AND($BG22&lt;&gt;"",IF(config!$B$37&lt;&gt;"",config!$B$37,TODAY())&gt;=$BG22),"no survey tab named "&amp;$A22&amp;"; ","")))&amp;IF(COUNTIF(brands!$A$2:$A$41,$C22)=0,"brand_id not on brands; ",IF(LEFT(IFERROR(IF(INDEX(brands!$AG$2:$AG$41,MATCH($C22,brands!$A$2:$A$41,0))="","",INDEX(brands!$AG$2:$AG$41,MATCH($C22,brands!$A$2:$A$41,0))),""),1)&lt;&gt;"Y","brand not qualified ("&amp;IFERROR(IF(INDEX(brands!$AG$2:$AG$41,MATCH($C22,brands!$A$2:$A$41,0))="","",INDEX(brands!$AG$2:$AG$41,MATCH($C22,brands!$A$2:$A$41,0))),"")&amp;"): nothing ships until it is; ",""))&amp;IF(AND(COUNTIF(brands!$A$2:$A$41,$C22)&gt;0,OR(IFERROR(IF(INDEX(brands!$C$2:$C$41,MATCH($C22,brands!$A$2:$A$41,0))="","",INDEX(brands!$C$2:$C$41,MATCH($C22,brands!$A$2:$A$41,0))),"")="",IFERROR(IF(INDEX(brands!$D$2:$D$41,MATCH($C22,brands!$A$2:$A$41,0))="","",INDEX(brands!$D$2:$D$41,MATCH($C22,brands!$A$2:$A$41,0))),"")="",IFERROR(IF(INDEX(brands!$E$2:$E$41,MATCH($C22,brands!$A$2:$A$41,0))="","",INDEX(brands!$E$2:$E$41,MATCH($C22,brands!$A$2:$A$41,0))),"")="")),"brand billing details missing on brands (legal name, address, email): needed for the invoice; ","")&amp;IF(AND($D22="founding",$E22&lt;&gt;"Y",N(IFERROR(IF(INDEX(brands!$AI$2:$AI$41,MATCH($C22,brands!$A$2:$A$41,0))="","",INDEX(brands!$AI$2:$AI$41,MATCH($C22,brands!$A$2:$A$41,0))),""))&gt;3),"the founding tier is for the first three brands only (this is brand "&amp;IFERROR(IF(INDEX(brands!$AI$2:$AI$41,MATCH($C22,brands!$A$2:$A$41,0))="","",INDEX(brands!$AI$2:$AI$41,MATCH($C22,brands!$A$2:$A$41,0))),"")&amp;"): use standard; ","")&amp;IF(AND($D22="founding",$E22&lt;&gt;"Y",COUNTIFS(campaigns!$C$2:$C$51,$C22,campaigns!$D$2:$D$51,"founding",campaigns!$E$2:$E$51,"&lt;&gt;Y")&gt;1),"a brand has the founding price once; its next two campaigns are founding_lock = Y; ","")&amp;IF(AND($E22="Y",COUNTIFS(campaigns!$C$2:$C$51,$C22,campaigns!$D$2:$D$51,"founding",campaigns!$E$2:$E$51,"Y")&gt;2),"founding_lock is for the brand's next two campaigns only (this is a third): use standard; ","")&amp;IF(AND($E22="Y",COUNTIFS(campaigns!$C$2:$C$51,$C22,campaigns!$D$2:$D$51,"founding",campaigns!$E$2:$E$51,"&lt;&gt;Y")=0),"founding_lock without a first founding campaign for this brand; ","")&amp;IF(AND(N($BX22)&gt;0,$BG22&lt;&gt;"",IF(config!$B$37&lt;&gt;"",config!$B$37,TODAY())&gt;=WORKDAY(N($BG22),-5,calendar!$A$2:$A$80)),IF(N($BX22)-N($BY22)&lt;N($BR22),"received "&amp;(N($BX22)-N($BY22))&amp;" usable units for "&amp;$BR22&amp;" allocated: reduce units_override evenly (SOP section 4, short shipment); ","")&amp;IF(AND(N($BX22)&lt;N($BT22),COUNTIFS(issues!$E$2:$E$121,$A22,issues!$G$2:$G$121,"short_shipment")=0),"received "&amp;$BX22&amp;" of "&amp;$BT22&amp;" due: log a short_shipment issue and tell the brand today; ",""),"")&amp;IF(AND($BG22&lt;&gt;"",IF(config!$B$37&lt;&gt;"",config!$B$37,TODAY())&gt;=WORKDAY(N($BG22),1,calendar!$A$2:$A$80),N($F22)&gt;0,(-SUMIFS(invoices!$E$2:$E$151,invoices!$B$2:$B$151,$A22,invoices!$C$2:$C$151,"credit_note"))&lt;(IF($D22="founding",config!$B$25,config!$B$24)*MAX(0,N($F22)-COUNTIFS(approvals!$A$2:$A$251,$A22,approvals!$Q$2:$Q$251,"Y",approvals!$AB$2:$AB$251,"Y")))-0.005),"credit due from T+1: "&amp;MAX(0,N($F22)-COUNTIFS(approvals!$A$2:$A$251,$A22,approvals!$Q$2:$Q$251,"Y",approvals!$AB$2:$AB$251,"Y"))&amp;" of "&amp;$F22&amp;" contracted offices not placed by T+1, $"&amp;(IF($D22="founding",config!$B$25,config!$B$24)*MAX(0,N($F22)-COUNTIFS(approvals!$A$2:$A$251,$A22,approvals!$Q$2:$Q$251,"Y",approvals!$AB$2:$AB$251,"Y")))&amp;" due, $"&amp;(-SUMIFS(invoices!$E$2:$E$151,invoices!$B$2:$B$151,$A22,invoices!$C$2:$C$151,"credit_note"))&amp;" in credit notes so far (template 06, make_invoice.py); ","")&amp;IF(AND(IFERROR(IF(INDEX(brands!$H$2:$H$41,MATCH($C22,brands!$A$2:$A$41,0))="","",INDEX(brands!$H$2:$H$41,MATCH($C22,brands!$A$2:$A$41,0))),"")&lt;&gt;"",$BG22&lt;&gt;"",IFERROR(IF(INDEX(brands!$H$2:$H$41,MATCH($C22,brands!$A$2:$A$41,0))="","",INDEX(brands!$H$2:$H$41,MATCH($C22,brands!$A$2:$A$41,0))),"")&lt;EDATE(WORKDAY(N($BG22),4,calendar!$A$2:$A$80),12)),"info: brand insurance ends "&amp;TEXT(IFERROR(IF(INDEX(brands!$H$2:$H$41,MATCH($C22,brands!$A$2:$A$41,0))="","",INDEX(brands!$H$2:$H$41,MATCH($C22,brands!$A$2:$A$41,0))),""),"yyyy-mm-dd")&amp;": diary the renewal certificate; ",""))</f>
        <v/>
      </c>
    </row>
    <row r="23">
      <c r="G23" s="10" t="n"/>
      <c r="H23" s="9" t="n"/>
      <c r="AB23" s="9" t="n"/>
      <c r="AC23" s="9" t="n"/>
      <c r="AD23" s="9" t="n"/>
      <c r="AF23" s="9" t="n"/>
      <c r="AG23" s="9" t="n"/>
      <c r="AT23" s="9" t="n"/>
      <c r="AU23" s="9" t="n"/>
      <c r="AY23" s="9" t="n"/>
      <c r="BA23" s="9" t="n"/>
      <c r="BB23" s="9" t="n"/>
      <c r="BC23" s="9" t="n"/>
      <c r="BE23" s="25">
        <f>IF($A23="","",IFERROR(IF(INDEX(brands!$K$2:$K$41,MATCH($C23,brands!$A$2:$A$41,0))="","",INDEX(brands!$K$2:$K$41,MATCH($C23,brands!$A$2:$A$41,0))),""))</f>
        <v/>
      </c>
      <c r="BF23" s="25">
        <f>IF($A23="","",IFERROR(IF(INDEX(brands!$M$2:$M$41,MATCH($C23,brands!$A$2:$A$41,0))="","",INDEX(brands!$M$2:$M$41,MATCH($C23,brands!$A$2:$A$41,0))),""))</f>
        <v/>
      </c>
      <c r="BG23" s="26">
        <f>IF($A23="","",IF(IFERROR(IF(INDEX(drops!$I$2:$I$21,MATCH($B23,drops!$A$2:$A$21,0))="","",INDEX(drops!$I$2:$I$21,MATCH($B23,drops!$A$2:$A$21,0))),"")="OK",IFERROR(IF(INDEX(drops!$B$2:$B$21,MATCH($B23,drops!$A$2:$A$21,0))="","",INDEX(drops!$B$2:$B$21,MATCH($B23,drops!$A$2:$A$21,0))),""),""))</f>
        <v/>
      </c>
      <c r="BH23" s="25">
        <f>IF($A23="","",IFERROR(IF(INDEX(drops!$C$2:$C$21,MATCH($B23,drops!$A$2:$A$21,0))="","",INDEX(drops!$C$2:$C$21,MATCH($B23,drops!$A$2:$A$21,0))),""))</f>
        <v/>
      </c>
      <c r="BI23" s="27">
        <f>IF($A23="","",IF($F23="","",IF($D23="founding",IF($E23="Y",config!$B$25*MIN($F23,config!$B$26)+config!$B$24*MAX(0,$F23-config!$B$26),config!$B$20+config!$B$24*MAX(0,$F23-config!$B$21)),IF($D23="standard",config!$B$22+config!$B$24*MAX(0,$F23-config!$B$23),""))))</f>
        <v/>
      </c>
      <c r="BJ23" s="27">
        <f>IF($A23="","",IF($G23&lt;&gt;"",$G23,$BI23))</f>
        <v/>
      </c>
      <c r="BK23" s="25">
        <f>IF($A23="","",IF($D23="founding","100% within "&amp;config!$B$27&amp;" business days of the invoice, before shipping",IF($D23="standard","50% on signing; 50% at placement confirmation (T+1)","")))</f>
        <v/>
      </c>
      <c r="BL23" s="26">
        <f>IF($A23="","",IFERROR(IF(INDEX(drops!$K$2:$K$21,MATCH($B23,drops!$A$2:$A$21,0))="","",INDEX(drops!$K$2:$K$21,MATCH($B23,drops!$A$2:$A$21,0))),""))</f>
        <v/>
      </c>
      <c r="BM23" s="26">
        <f>IF($A23="","",IFERROR(IF(INDEX(drops!$L$2:$L$21,MATCH($B23,drops!$A$2:$A$21,0))="","",INDEX(drops!$L$2:$L$21,MATCH($B23,drops!$A$2:$A$21,0))),""))</f>
        <v/>
      </c>
      <c r="BN23" s="25">
        <f>IF($A23="","",COUNTIF(approvals!$A$2:$A$251,$A23))</f>
        <v/>
      </c>
      <c r="BO23" s="25">
        <f>IF($A23="","",COUNTIFS(approvals!$A$2:$A$251,$A23,approvals!$P$2:$P$251,"Y"))</f>
        <v/>
      </c>
      <c r="BP23" s="25">
        <f>IF($A23="","",COUNTIFS(approvals!$A$2:$A$251,$A23,approvals!$Q$2:$Q$251,"Y"))</f>
        <v/>
      </c>
      <c r="BQ23" s="25">
        <f>IF($A23="","",COUNTIFS(approvals!$A$2:$A$251,$A23,approvals!$P$2:$P$251,"pending"))</f>
        <v/>
      </c>
      <c r="BR23" s="25">
        <f>IF($A23="","",SUMIFS(approvals!$S$2:$S$251,approvals!$A$2:$A$251,$A23,approvals!$P$2:$P$251,"Y"))</f>
        <v/>
      </c>
      <c r="BS23" s="25">
        <f>IF($A23="","",ROUNDUP($BR23*config!$B$18,0))</f>
        <v/>
      </c>
      <c r="BT23" s="25">
        <f>IF($A23="","",$BR23+$BS23)</f>
        <v/>
      </c>
      <c r="BU23" s="27">
        <f>IF($A23="","",SUMIFS(invoices!$I$2:$I$151,invoices!$B$2:$B$151,$A23,invoices!$R$2:$R$151,"Y",invoices!$H$2:$H$151,"&gt;0"))</f>
        <v/>
      </c>
      <c r="BV23" s="27">
        <f>IF($A23="","",IF($BJ23="","",IF($D23="founding",$BJ23,ROUND($BJ23*config!$B$28,2))))</f>
        <v/>
      </c>
      <c r="BW23" s="25">
        <f>IF($A23="","",IF(AND(N($BU23)&gt;=N($BV23),N($BV23)&gt;0,$H23&lt;&gt;"",AND($AB23&lt;&gt;"",IFERROR(IF(INDEX(brands!$G$2:$G$41,MATCH($C23,brands!$A$2:$A$41,0))="","",INDEX(brands!$G$2:$G$41,MATCH($C23,brands!$A$2:$A$41,0))),"")="Y"),LEFT(IFERROR(IF(INDEX(brands!$AG$2:$AG$41,MATCH($C23,brands!$A$2:$A$41,0))="","",INDEX(brands!$AG$2:$AG$41,MATCH($C23,brands!$A$2:$A$41,0))),""),1)="Y",$BG23&lt;&gt;"",$BQ23=0,$BO23&gt;0),"RELEASED "&amp;TEXT(MAX(IFERROR(1/(1/SUMPRODUCT(MAX((invoices!$B$2:$B$151=$A23)*(invoices!$R$2:$R$151="Y")*(invoices!$H$2:$H$151)))),""),$H23,$AB23,SUMPRODUCT(MAX((approvals!$A$2:$A$251=$A23)*(approvals!$P$2:$P$251="Y")*(approvals!$E$2:$E$251+(approvals!$E$2:$E$251=0)*approvals!$C$2:$C$251)))),"yyyy-mm-dd")&amp;": ship by "&amp;TEXT($BM23,"ddd yyyy-mm-dd")&amp;" (latest "&amp;TEXT($BL23,"ddd yyyy-mm-dd")&amp;")","HOLD: "&amp;IF(N($BU23)&lt;N($BV23),"payment ("&amp;TEXT(N($BU23),"0")&amp;" of "&amp;TEXT(N($BV23),"0")&amp;") ","")&amp;IF($H23="","agreement ","")&amp;IF(NOT(AND($AB23&lt;&gt;"",IFERROR(IF(INDEX(brands!$G$2:$G$41,MATCH($C23,brands!$A$2:$A$41,0))="","",INDEX(brands!$G$2:$G$41,MATCH($C23,brands!$A$2:$A$41,0))),"")="Y")),"certificate ","")&amp;IF(NOT(LEFT(IFERROR(IF(INDEX(brands!$AG$2:$AG$41,MATCH($C23,brands!$A$2:$A$41,0))="","",INDEX(brands!$AG$2:$AG$41,MATCH($C23,brands!$A$2:$A$41,0))),""),1)="Y"),"qualification ","")&amp;IF($BG23="","drop date ","")&amp;IF($BQ23&gt;0,"approvals ("&amp;$BQ23&amp;" pending) ","")&amp;IF($BO23=0,"no office approved ","")))</f>
        <v/>
      </c>
      <c r="BX23" s="25">
        <f>IF($A23="","",SUMIFS(inventory!$G$2:$G$801,inventory!$C$2:$C$801,$A23,inventory!$E$2:$E$801,"received"))</f>
        <v/>
      </c>
      <c r="BY23" s="25">
        <f>IF($A23="","",SUMIFS(inventory!$G$2:$G$801,inventory!$C$2:$C$801,$A23,inventory!$E$2:$E$801,"rejected"))</f>
        <v/>
      </c>
      <c r="BZ23" s="25">
        <f>IF($A23="","",SUMIFS(inventory!$M$2:$M$801,inventory!$C$2:$C$801,$A23))</f>
        <v/>
      </c>
      <c r="CA23" s="25">
        <f>IF($A23="","",SUMIFS(inventory!$O$2:$O$801,inventory!$C$2:$C$801,$A23))</f>
        <v/>
      </c>
      <c r="CB23" s="25">
        <f>IF($A23="","",SUMIFS(approvals!$U$2:$U$251,approvals!$A$2:$A$251,$A23))</f>
        <v/>
      </c>
      <c r="CC23" s="25">
        <f>IF($A23="","",SUMIFS(approvals!$AA$2:$AA$251,approvals!$A$2:$A$251,$A23))</f>
        <v/>
      </c>
      <c r="CD23" s="25">
        <f>IF($A23="","",SUMIFS(approvals!$AA$2:$AA$251,approvals!$A$2:$A$251,$A23,approvals!$AB$2:$AB$251,"Y"))</f>
        <v/>
      </c>
      <c r="CE23" s="29">
        <f>IF($A23="","",IF(N($CB23)=0,"",$CD23/$CB23))</f>
        <v/>
      </c>
      <c r="CF23" s="25">
        <f>IF($A23="","",SUMIFS(approvals!$AD$2:$AD$251,approvals!$A$2:$A$251,$A23))</f>
        <v/>
      </c>
      <c r="CG23" s="25">
        <f>IF($A23="","",IF(COUNTIFS(approvals!$A$2:$A$251,$A23,approvals!$Q$2:$Q$251,"Y",approvals!$AG$2:$AG$251,"")&gt;0,"",SUMIFS(approvals!$AG$2:$AG$251,approvals!$A$2:$A$251,$A23,approvals!$Q$2:$Q$251,"Y")))</f>
        <v/>
      </c>
      <c r="CH23" s="25">
        <f>IF($A23="","",SUMIFS(approvals!$AL$2:$AL$251,approvals!$A$2:$A$251,$A23))</f>
        <v/>
      </c>
      <c r="CI23" s="25">
        <f>IF($A23="","",IF(N($BP23)=0,"",SUMPRODUCT(MIN(approvals!$BB$2:$BB$251+(approvals!$A$2:$A$251&lt;&gt;$A23)*1000000))))</f>
        <v/>
      </c>
      <c r="CJ23" s="25">
        <f>IF($A23="","",COUNTIFS(approvals!$A$2:$A$251,$A23,approvals!$Q$2:$Q$251,"Y",approvals!$AL$2:$AL$251,"&lt;"&amp;config!$B$30))</f>
        <v/>
      </c>
      <c r="CK23" s="25">
        <f>IF($A23="","",SUMIFS(approvals!$AM$2:$AM$251,approvals!$A$2:$A$251,$A23))</f>
        <v/>
      </c>
      <c r="CL23" s="25">
        <f>IF($A23="","",SUMIFS(approvals!$AQ$2:$AQ$251,approvals!$A$2:$A$251,$A23))</f>
        <v/>
      </c>
      <c r="CM23" s="25">
        <f>IF($A23="","",SUMIFS(approvals!$AR$2:$AR$251,approvals!$A$2:$A$251,$A23))</f>
        <v/>
      </c>
      <c r="CN23" s="25">
        <f>IF($A23="","",SUMIFS(approvals!$AS$2:$AS$251,approvals!$A$2:$A$251,$A23))</f>
        <v/>
      </c>
      <c r="CO23" s="25">
        <f>IF($A23="","",SUMIFS(approvals!$AT$2:$AT$251,approvals!$A$2:$A$251,$A23))</f>
        <v/>
      </c>
      <c r="CP23" s="28">
        <f>IF($A23="","",IF(N($CO23)=0,"",ROUND(SUMIFS(approvals!$AU$2:$AU$251,approvals!$A$2:$A$251,$A23)/$CO23,1)))</f>
        <v/>
      </c>
      <c r="CQ23" s="25">
        <f>IF($A23="","",SUMIFS(approvals!$AV$2:$AV$251,approvals!$A$2:$A$251,$A23))</f>
        <v/>
      </c>
      <c r="CR23" s="25">
        <f>IF($A23="","",SUMIFS(approvals!$AW$2:$AW$251,approvals!$A$2:$A$251,$A23))</f>
        <v/>
      </c>
      <c r="CS23" s="25">
        <f>IF($A23="","",SUMIFS(approvals!$AX$2:$AX$251,approvals!$A$2:$A$251,$A23))</f>
        <v/>
      </c>
      <c r="CT23" s="25">
        <f>IF($A23="","",SUMIFS(approvals!$AY$2:$AY$251,approvals!$A$2:$A$251,$A23))</f>
        <v/>
      </c>
      <c r="CU23" s="25">
        <f>IF($A23="","",IF(OR($BG23="",$BC23&lt;&gt;""),"",IFERROR(COUNT(INDIRECT("'"&amp;$A23&amp;"'!$A$2:$A$501")),0)-IFERROR(COUNTIFS(INDIRECT("'"&amp;$A23&amp;"'!$A$2:$A$501"),"&gt;="&amp;$BG23,INDIRECT("'"&amp;$A23&amp;"'!$A$2:$A$501"),"&lt;"&amp;(IFERROR(IF(INDEX(drops!$R$2:$R$21,MATCH($B23,drops!$A$2:$A$21,0))="","",INDEX(drops!$R$2:$R$21,MATCH($B23,drops!$A$2:$A$21,0))),"")+1)),0)))</f>
        <v/>
      </c>
      <c r="CV23" s="25">
        <f>IF($A23="","",IF(OR($BG23="",$BC23&lt;&gt;""),"",IFERROR(COUNTIFS(INDIRECT("'"&amp;$A23&amp;"'!$A$2:$A$501"),"&gt;="&amp;$BG23,INDIRECT("'"&amp;$A23&amp;"'!$A$2:$A$501"),"&lt;"&amp;(IFERROR(IF(INDEX(drops!$R$2:$R$21,MATCH($B23,drops!$A$2:$A$21,0))="","",INDEX(drops!$R$2:$R$21,MATCH($B23,drops!$A$2:$A$21,0))),"")+1)),0)-N($CH23)))</f>
        <v/>
      </c>
      <c r="CW23" s="25">
        <f>IF($A23="","",SUMIFS(approvals!$AN$2:$AN$251,approvals!$A$2:$A$251,$A23))</f>
        <v/>
      </c>
      <c r="CX23" s="25">
        <f>IF($A23="","",SUMIFS(approvals!$AO$2:$AO$251,approvals!$A$2:$A$251,$A23))</f>
        <v/>
      </c>
      <c r="CY23" s="25">
        <f>IF($A23="","",IF($CZ23="","",SUMIFS(redemptions!$C$2:$C$121,redemptions!$A$2:$A$121,$A23,redemptions!$B$2:$B$121,$CZ23)))</f>
        <v/>
      </c>
      <c r="CZ23" s="26">
        <f>IF($A23="","",IFERROR(1/(1/SUMPRODUCT(MAX((redemptions!$A$2:$A$121=$A23)*redemptions!$B$2:$B$121))),""))</f>
        <v/>
      </c>
      <c r="DA23" s="25">
        <f>IF($A23="","",IF(COUNTIFS(redemptions!$A$2:$A$121,$A23,redemptions!$H$2:$H$121,"Y")=0,"",SUMIFS(redemptions!$C$2:$C$121,redemptions!$A$2:$A$121,$A23,redemptions!$B$2:$B$121,SUMPRODUCT(MIN((redemptions!$A$2:$A$121=$A23)*(redemptions!$H$2:$H$121="Y")*redemptions!$B$2:$B$121+((redemptions!$A$2:$A$121&lt;&gt;$A23)+(redemptions!$H$2:$H$121&lt;&gt;"Y")&gt;0)*1000000)))))</f>
        <v/>
      </c>
      <c r="DB23" s="27">
        <f>IF($A23="","",SUMIFS(invoices!$E$2:$E$151,invoices!$B$2:$B$151,$A23))</f>
        <v/>
      </c>
      <c r="DC23" s="27">
        <f>IF($A23="","",IF(COUNTIFS(invoices!$B$2:$B$151,$A23,invoices!$C$2:$C$151,"standard_deposit",invoices!$H$2:$H$151,"&gt;0")=0,"",SUMIFS(invoices!$I$2:$I$151,invoices!$B$2:$B$151,$A23,invoices!$C$2:$C$151,"standard_deposit")))</f>
        <v/>
      </c>
      <c r="DD23" s="26">
        <f>IF($A23="","",IFERROR(1/(1/SUMPRODUCT(MAX((invoices!$B$2:$B$151=$A23)*(invoices!$C$2:$C$151="standard_deposit")*invoices!$H$2:$H$151))),""))</f>
        <v/>
      </c>
      <c r="DE23" s="26">
        <f>IF($A23="","",IFERROR(1/(1/SUMPRODUCT(MAX((invoices!$B$2:$B$151=$A23)*((invoices!$C$2:$C$151="founding_full")+(invoices!$C$2:$C$151="standard_balance"))*invoices!$H$2:$H$151))),""))</f>
        <v/>
      </c>
      <c r="DF23" s="27">
        <f>IF($A23="","",SUMIFS(invoices!$L$2:$L$151,invoices!$B$2:$B$151,$A23))</f>
        <v/>
      </c>
      <c r="DG23" s="27">
        <f>IF($A23="","",SUMIFS(costs!$E$2:$E$301,costs!$C$2:$C$301,$A23))</f>
        <v/>
      </c>
      <c r="DH23" s="27">
        <f>IF($A23="","",ROUND(IF(SUMIFS(campaigns!$BO$2:$BO$51,campaigns!$B$2:$B$51,$B23)=0,0,$BO23/SUMIFS(campaigns!$BO$2:$BO$51,campaigns!$B$2:$B$51,$B23))*(SUMIFS(costs!$E$2:$E$301,costs!$B$2:$B$301,$B23)-SUMPRODUCT((costs!$B$2:$B$301=$B23)*(LEN(costs!$C$2:$C$301)&gt;0)*costs!$E$2:$E$301)),2))</f>
        <v/>
      </c>
      <c r="DI23" s="28">
        <f>IF($A23="","",SUMIFS(hours!$E$2:$E$1501,hours!$C$2:$C$1501,$A23))</f>
        <v/>
      </c>
      <c r="DJ23" s="28">
        <f>IF($A23="","",ROUND(IF(SUMIFS(campaigns!$BO$2:$BO$51,campaigns!$B$2:$B$51,$B23)=0,0,$BO23/SUMIFS(campaigns!$BO$2:$BO$51,campaigns!$B$2:$B$51,$B23))*(SUMIFS(hours!$E$2:$E$1501,hours!$B$2:$B$1501,$B23)-SUMPRODUCT((hours!$B$2:$B$1501=$B23)*(LEN(hours!$C$2:$C$1501)&gt;0)*hours!$E$2:$E$1501)),2))</f>
        <v/>
      </c>
      <c r="DK23" s="27">
        <f>IF($A23="","",$DB23-$DF23-$DG23-$DH23)</f>
        <v/>
      </c>
      <c r="DL23" s="27">
        <f>IF($A23="","",IF(N($DI23)+N($DJ23)=0,"",ROUND($DK23/($DI23+$DJ23),2)))</f>
        <v/>
      </c>
      <c r="DM23" s="29">
        <f>IF($A23="","",IF(N($BP23)=0,"",COUNTIFS(approvals!$A$2:$A$251,$A23,approvals!$Q$2:$Q$251,"Y",approvals!$AK$2:$AK$251,"Y")/$BP23))</f>
        <v/>
      </c>
      <c r="DN23" s="28">
        <f>IF($A23="","",IF(COUNTIFS(approvals!$A$2:$A$251,$A23,approvals!$AC$2:$AC$251,"&gt;=0")=0,"",ROUND(SUMIFS(approvals!$AC$2:$AC$251,approvals!$A$2:$A$251,$A23)/COUNTIFS(approvals!$A$2:$A$251,$A23,approvals!$AC$2:$AC$251,"&gt;=0"),1)))</f>
        <v/>
      </c>
      <c r="DO23" s="26">
        <f>IF($A23="","",IFERROR(IF(INDEX(drops!$T$2:$T$21,MATCH($B23,drops!$A$2:$A$21,0))="","",INDEX(drops!$T$2:$T$21,MATCH($B23,drops!$A$2:$A$21,0))),""))</f>
        <v/>
      </c>
      <c r="DP23" s="26">
        <f>IF($A23="","",IFERROR(IF(INDEX(drops!$U$2:$U$21,MATCH($B23,drops!$A$2:$A$21,0))="","",INDEX(drops!$U$2:$U$21,MATCH($B23,drops!$A$2:$A$21,0))),""))</f>
        <v/>
      </c>
      <c r="DQ23" s="26">
        <f>IF($A23="","",IFERROR(IF(INDEX(drops!$W$2:$W$21,MATCH($B23,drops!$A$2:$A$21,0))="","",INDEX(drops!$W$2:$W$21,MATCH($B23,drops!$A$2:$A$21,0))),""))</f>
        <v/>
      </c>
      <c r="DR23" s="25">
        <f>IF($A23="","",IF($CE23="","",IF($CE23&gt;=config!$B$31,"pass","miss")))</f>
        <v/>
      </c>
      <c r="DS23" s="25">
        <f>IF($A23="","",IF($CI23="","",IF($CI23&gt;=config!$B$30,"pass","miss")))</f>
        <v/>
      </c>
      <c r="DT23" s="25">
        <f>IF($A23="","",IF($AT23="",IF($DO23="","",IF(IF(config!$B$37&lt;&gt;"",config!$B$37,TODAY())&gt;$DO23,"late","due")),IF($AT23&lt;=$DO23,"pass","late")))</f>
        <v/>
      </c>
      <c r="DU23" s="25">
        <f>IF($A23="","",IF(COUNTIF(drops!$A$2:$A$21,$B23)=0,"drop_id not on drops; ",IF($BG23="","drop date missing or refused; ",""))&amp;IF(AND($G23&lt;&gt;"",$G23&lt;&gt;$BI23),"price differs from the price list; ","")&amp;IF(AND(LEFT($BW23,4)="HOLD",$BL23&lt;&gt;"",IF(config!$B$37&lt;&gt;"",config!$B$37,TODAY())&gt;=WORKDAY(N($BL23),-3,calendar!$A$2:$A$80)),"SHIP HOLD within 3 business days of T-10; ","")&amp;IF(AND($BQ23&gt;0,$BL23&lt;&gt;"",IF(config!$B$37&lt;&gt;"",config!$B$37,TODAY())&gt;$BL23),"approvals still pending after T-10; ","")&amp;IF($BZ23&lt;0,"reserve below zero: check inventory; ","")&amp;IF(AND($BG23&lt;&gt;"",IF(config!$B$37&lt;&gt;"",config!$B$37,TODAY())&gt;WORKDAY(N($BG23),14,calendar!$A$2:$A$80),N($BZ23)+N($CA23)&lt;&gt;0),"units still on hand after T+14; ","")&amp;IF(N($CV23)&gt;0,"info: "&amp;$CV23&amp;" in-window responses with a card code that matches no office (not counted); ","")&amp;IF(AND($Z23="Y",$AK23=""),"newsletter form URL missing; ","")&amp;IF(AND($Z23="Y",$BG23&lt;&gt;"",IF(config!$B$37&lt;&gt;"",config!$B$37,TODAY())&gt;WORKDAY(N($BG23),5,calendar!$A$2:$A$80),$AY23=""),"newsletter list not yet passed on (due T+5); ","")&amp;IF(AND($AY23&lt;&gt;"",$BA23=""),"delete unticked emails; ","")&amp;IF(AND($AY23&lt;&gt;"",$BB23="",IF(config!$B$37&lt;&gt;"",config!$B$37,TODAY())&gt;$AY23+config!$B$32),"DELETE the consented emails (30 days after passing on); ","")&amp;IF(AND($BG23&lt;&gt;"",$AJ23="",IF(config!$B$37&lt;&gt;"",config!$B$37,TODAY())&gt;=WORKDAY(N($BG23),-4,calendar!$A$2:$A$80)),"survey prefill template missing (due T-4); ","")&amp;IF(AND($AJ23&lt;&gt;"",ISERROR(SEARCH("CARDCODE",$AJ23))),"prefill template has no CARDCODE; ","")&amp;IF(AND($AF23="",$BG23&lt;&gt;"",IF(config!$B$37&lt;&gt;"",config!$B$37,TODAY())&gt;=WORKDAY(N($BG23),-3,calendar!$A$2:$A$80)),"card text not yet sent to the brand; ","")&amp;IF(AND($DA23="",$DQ23&lt;&gt;"",IF(config!$B$37&lt;&gt;"",config!$B$37,TODAY())&gt;$DQ23),"day-30 redemption count due; ","")&amp;IF(AND(LEFT($BW23,8)="RELEASED",$AG23=""),"ship-date email due (template 02): send it, then log ship_email_sent_date and ship_email_units; ","")&amp;IF(AND($AH23&lt;&gt;"",N($BT23)&gt;0,N($BX23)=0,N($AH23)&lt;&gt;N($BT23)),"units changed since the ship-date email of "&amp;IF($AG23="","?",TEXT($AG23,"yyyy-mm-dd"))&amp;" ("&amp;$AH23&amp;", now "&amp;$BT23&amp;"): send the brand the revised numbers (template 02) and log them; ","")&amp;IF($DT23="late","report late; ","")&amp;IF(AND(N($F23)&gt;0,$BO23&lt;N($F23),$BQ23=0),"info: "&amp;(N($F23)-$BO23)&amp;" office(s) short of the contract: add a roster office or credit $"&amp;IF($D23="founding",config!$B$25,config!$B$24)&amp;" each; ","")&amp;IF($BC23&lt;&gt;"",IF(COUNTIF(survey_frozen!$A$2:$A$251,$A23)=0,"answers deleted but no frozen totals: the survey numbers now read 0 (tools/freeze_survey.py, SOP answers_delete); ",""),IF(AND($BG23&lt;&gt;"",IF(config!$B$37&lt;&gt;"",config!$B$37,TODAY())&gt;=$BG23,ISREF(INDIRECT("'"&amp;$A23&amp;"'!B1"))),IF(INDIRECT("'"&amp;$A23&amp;"'!B1")&lt;&gt;"Card code (filled in for you)","survey tab column B is not the card code: fix the form or the tab; ",""),IF(AND($BG23&lt;&gt;"",IF(config!$B$37&lt;&gt;"",config!$B$37,TODAY())&gt;=$BG23),"no survey tab named "&amp;$A23&amp;"; ","")))&amp;IF(COUNTIF(brands!$A$2:$A$41,$C23)=0,"brand_id not on brands; ",IF(LEFT(IFERROR(IF(INDEX(brands!$AG$2:$AG$41,MATCH($C23,brands!$A$2:$A$41,0))="","",INDEX(brands!$AG$2:$AG$41,MATCH($C23,brands!$A$2:$A$41,0))),""),1)&lt;&gt;"Y","brand not qualified ("&amp;IFERROR(IF(INDEX(brands!$AG$2:$AG$41,MATCH($C23,brands!$A$2:$A$41,0))="","",INDEX(brands!$AG$2:$AG$41,MATCH($C23,brands!$A$2:$A$41,0))),"")&amp;"): nothing ships until it is; ",""))&amp;IF(AND(COUNTIF(brands!$A$2:$A$41,$C23)&gt;0,OR(IFERROR(IF(INDEX(brands!$C$2:$C$41,MATCH($C23,brands!$A$2:$A$41,0))="","",INDEX(brands!$C$2:$C$41,MATCH($C23,brands!$A$2:$A$41,0))),"")="",IFERROR(IF(INDEX(brands!$D$2:$D$41,MATCH($C23,brands!$A$2:$A$41,0))="","",INDEX(brands!$D$2:$D$41,MATCH($C23,brands!$A$2:$A$41,0))),"")="",IFERROR(IF(INDEX(brands!$E$2:$E$41,MATCH($C23,brands!$A$2:$A$41,0))="","",INDEX(brands!$E$2:$E$41,MATCH($C23,brands!$A$2:$A$41,0))),"")="")),"brand billing details missing on brands (legal name, address, email): needed for the invoice; ","")&amp;IF(AND($D23="founding",$E23&lt;&gt;"Y",N(IFERROR(IF(INDEX(brands!$AI$2:$AI$41,MATCH($C23,brands!$A$2:$A$41,0))="","",INDEX(brands!$AI$2:$AI$41,MATCH($C23,brands!$A$2:$A$41,0))),""))&gt;3),"the founding tier is for the first three brands only (this is brand "&amp;IFERROR(IF(INDEX(brands!$AI$2:$AI$41,MATCH($C23,brands!$A$2:$A$41,0))="","",INDEX(brands!$AI$2:$AI$41,MATCH($C23,brands!$A$2:$A$41,0))),"")&amp;"): use standard; ","")&amp;IF(AND($D23="founding",$E23&lt;&gt;"Y",COUNTIFS(campaigns!$C$2:$C$51,$C23,campaigns!$D$2:$D$51,"founding",campaigns!$E$2:$E$51,"&lt;&gt;Y")&gt;1),"a brand has the founding price once; its next two campaigns are founding_lock = Y; ","")&amp;IF(AND($E23="Y",COUNTIFS(campaigns!$C$2:$C$51,$C23,campaigns!$D$2:$D$51,"founding",campaigns!$E$2:$E$51,"Y")&gt;2),"founding_lock is for the brand's next two campaigns only (this is a third): use standard; ","")&amp;IF(AND($E23="Y",COUNTIFS(campaigns!$C$2:$C$51,$C23,campaigns!$D$2:$D$51,"founding",campaigns!$E$2:$E$51,"&lt;&gt;Y")=0),"founding_lock without a first founding campaign for this brand; ","")&amp;IF(AND(N($BX23)&gt;0,$BG23&lt;&gt;"",IF(config!$B$37&lt;&gt;"",config!$B$37,TODAY())&gt;=WORKDAY(N($BG23),-5,calendar!$A$2:$A$80)),IF(N($BX23)-N($BY23)&lt;N($BR23),"received "&amp;(N($BX23)-N($BY23))&amp;" usable units for "&amp;$BR23&amp;" allocated: reduce units_override evenly (SOP section 4, short shipment); ","")&amp;IF(AND(N($BX23)&lt;N($BT23),COUNTIFS(issues!$E$2:$E$121,$A23,issues!$G$2:$G$121,"short_shipment")=0),"received "&amp;$BX23&amp;" of "&amp;$BT23&amp;" due: log a short_shipment issue and tell the brand today; ",""),"")&amp;IF(AND($BG23&lt;&gt;"",IF(config!$B$37&lt;&gt;"",config!$B$37,TODAY())&gt;=WORKDAY(N($BG23),1,calendar!$A$2:$A$80),N($F23)&gt;0,(-SUMIFS(invoices!$E$2:$E$151,invoices!$B$2:$B$151,$A23,invoices!$C$2:$C$151,"credit_note"))&lt;(IF($D23="founding",config!$B$25,config!$B$24)*MAX(0,N($F23)-COUNTIFS(approvals!$A$2:$A$251,$A23,approvals!$Q$2:$Q$251,"Y",approvals!$AB$2:$AB$251,"Y")))-0.005),"credit due from T+1: "&amp;MAX(0,N($F23)-COUNTIFS(approvals!$A$2:$A$251,$A23,approvals!$Q$2:$Q$251,"Y",approvals!$AB$2:$AB$251,"Y"))&amp;" of "&amp;$F23&amp;" contracted offices not placed by T+1, $"&amp;(IF($D23="founding",config!$B$25,config!$B$24)*MAX(0,N($F23)-COUNTIFS(approvals!$A$2:$A$251,$A23,approvals!$Q$2:$Q$251,"Y",approvals!$AB$2:$AB$251,"Y")))&amp;" due, $"&amp;(-SUMIFS(invoices!$E$2:$E$151,invoices!$B$2:$B$151,$A23,invoices!$C$2:$C$151,"credit_note"))&amp;" in credit notes so far (template 06, make_invoice.py); ","")&amp;IF(AND(IFERROR(IF(INDEX(brands!$H$2:$H$41,MATCH($C23,brands!$A$2:$A$41,0))="","",INDEX(brands!$H$2:$H$41,MATCH($C23,brands!$A$2:$A$41,0))),"")&lt;&gt;"",$BG23&lt;&gt;"",IFERROR(IF(INDEX(brands!$H$2:$H$41,MATCH($C23,brands!$A$2:$A$41,0))="","",INDEX(brands!$H$2:$H$41,MATCH($C23,brands!$A$2:$A$41,0))),"")&lt;EDATE(WORKDAY(N($BG23),4,calendar!$A$2:$A$80),12)),"info: brand insurance ends "&amp;TEXT(IFERROR(IF(INDEX(brands!$H$2:$H$41,MATCH($C23,brands!$A$2:$A$41,0))="","",INDEX(brands!$H$2:$H$41,MATCH($C23,brands!$A$2:$A$41,0))),""),"yyyy-mm-dd")&amp;": diary the renewal certificate; ",""))</f>
        <v/>
      </c>
    </row>
    <row r="24">
      <c r="G24" s="10" t="n"/>
      <c r="H24" s="9" t="n"/>
      <c r="AB24" s="9" t="n"/>
      <c r="AC24" s="9" t="n"/>
      <c r="AD24" s="9" t="n"/>
      <c r="AF24" s="9" t="n"/>
      <c r="AG24" s="9" t="n"/>
      <c r="AT24" s="9" t="n"/>
      <c r="AU24" s="9" t="n"/>
      <c r="AY24" s="9" t="n"/>
      <c r="BA24" s="9" t="n"/>
      <c r="BB24" s="9" t="n"/>
      <c r="BC24" s="9" t="n"/>
      <c r="BE24" s="25">
        <f>IF($A24="","",IFERROR(IF(INDEX(brands!$K$2:$K$41,MATCH($C24,brands!$A$2:$A$41,0))="","",INDEX(brands!$K$2:$K$41,MATCH($C24,brands!$A$2:$A$41,0))),""))</f>
        <v/>
      </c>
      <c r="BF24" s="25">
        <f>IF($A24="","",IFERROR(IF(INDEX(brands!$M$2:$M$41,MATCH($C24,brands!$A$2:$A$41,0))="","",INDEX(brands!$M$2:$M$41,MATCH($C24,brands!$A$2:$A$41,0))),""))</f>
        <v/>
      </c>
      <c r="BG24" s="26">
        <f>IF($A24="","",IF(IFERROR(IF(INDEX(drops!$I$2:$I$21,MATCH($B24,drops!$A$2:$A$21,0))="","",INDEX(drops!$I$2:$I$21,MATCH($B24,drops!$A$2:$A$21,0))),"")="OK",IFERROR(IF(INDEX(drops!$B$2:$B$21,MATCH($B24,drops!$A$2:$A$21,0))="","",INDEX(drops!$B$2:$B$21,MATCH($B24,drops!$A$2:$A$21,0))),""),""))</f>
        <v/>
      </c>
      <c r="BH24" s="25">
        <f>IF($A24="","",IFERROR(IF(INDEX(drops!$C$2:$C$21,MATCH($B24,drops!$A$2:$A$21,0))="","",INDEX(drops!$C$2:$C$21,MATCH($B24,drops!$A$2:$A$21,0))),""))</f>
        <v/>
      </c>
      <c r="BI24" s="27">
        <f>IF($A24="","",IF($F24="","",IF($D24="founding",IF($E24="Y",config!$B$25*MIN($F24,config!$B$26)+config!$B$24*MAX(0,$F24-config!$B$26),config!$B$20+config!$B$24*MAX(0,$F24-config!$B$21)),IF($D24="standard",config!$B$22+config!$B$24*MAX(0,$F24-config!$B$23),""))))</f>
        <v/>
      </c>
      <c r="BJ24" s="27">
        <f>IF($A24="","",IF($G24&lt;&gt;"",$G24,$BI24))</f>
        <v/>
      </c>
      <c r="BK24" s="25">
        <f>IF($A24="","",IF($D24="founding","100% within "&amp;config!$B$27&amp;" business days of the invoice, before shipping",IF($D24="standard","50% on signing; 50% at placement confirmation (T+1)","")))</f>
        <v/>
      </c>
      <c r="BL24" s="26">
        <f>IF($A24="","",IFERROR(IF(INDEX(drops!$K$2:$K$21,MATCH($B24,drops!$A$2:$A$21,0))="","",INDEX(drops!$K$2:$K$21,MATCH($B24,drops!$A$2:$A$21,0))),""))</f>
        <v/>
      </c>
      <c r="BM24" s="26">
        <f>IF($A24="","",IFERROR(IF(INDEX(drops!$L$2:$L$21,MATCH($B24,drops!$A$2:$A$21,0))="","",INDEX(drops!$L$2:$L$21,MATCH($B24,drops!$A$2:$A$21,0))),""))</f>
        <v/>
      </c>
      <c r="BN24" s="25">
        <f>IF($A24="","",COUNTIF(approvals!$A$2:$A$251,$A24))</f>
        <v/>
      </c>
      <c r="BO24" s="25">
        <f>IF($A24="","",COUNTIFS(approvals!$A$2:$A$251,$A24,approvals!$P$2:$P$251,"Y"))</f>
        <v/>
      </c>
      <c r="BP24" s="25">
        <f>IF($A24="","",COUNTIFS(approvals!$A$2:$A$251,$A24,approvals!$Q$2:$Q$251,"Y"))</f>
        <v/>
      </c>
      <c r="BQ24" s="25">
        <f>IF($A24="","",COUNTIFS(approvals!$A$2:$A$251,$A24,approvals!$P$2:$P$251,"pending"))</f>
        <v/>
      </c>
      <c r="BR24" s="25">
        <f>IF($A24="","",SUMIFS(approvals!$S$2:$S$251,approvals!$A$2:$A$251,$A24,approvals!$P$2:$P$251,"Y"))</f>
        <v/>
      </c>
      <c r="BS24" s="25">
        <f>IF($A24="","",ROUNDUP($BR24*config!$B$18,0))</f>
        <v/>
      </c>
      <c r="BT24" s="25">
        <f>IF($A24="","",$BR24+$BS24)</f>
        <v/>
      </c>
      <c r="BU24" s="27">
        <f>IF($A24="","",SUMIFS(invoices!$I$2:$I$151,invoices!$B$2:$B$151,$A24,invoices!$R$2:$R$151,"Y",invoices!$H$2:$H$151,"&gt;0"))</f>
        <v/>
      </c>
      <c r="BV24" s="27">
        <f>IF($A24="","",IF($BJ24="","",IF($D24="founding",$BJ24,ROUND($BJ24*config!$B$28,2))))</f>
        <v/>
      </c>
      <c r="BW24" s="25">
        <f>IF($A24="","",IF(AND(N($BU24)&gt;=N($BV24),N($BV24)&gt;0,$H24&lt;&gt;"",AND($AB24&lt;&gt;"",IFERROR(IF(INDEX(brands!$G$2:$G$41,MATCH($C24,brands!$A$2:$A$41,0))="","",INDEX(brands!$G$2:$G$41,MATCH($C24,brands!$A$2:$A$41,0))),"")="Y"),LEFT(IFERROR(IF(INDEX(brands!$AG$2:$AG$41,MATCH($C24,brands!$A$2:$A$41,0))="","",INDEX(brands!$AG$2:$AG$41,MATCH($C24,brands!$A$2:$A$41,0))),""),1)="Y",$BG24&lt;&gt;"",$BQ24=0,$BO24&gt;0),"RELEASED "&amp;TEXT(MAX(IFERROR(1/(1/SUMPRODUCT(MAX((invoices!$B$2:$B$151=$A24)*(invoices!$R$2:$R$151="Y")*(invoices!$H$2:$H$151)))),""),$H24,$AB24,SUMPRODUCT(MAX((approvals!$A$2:$A$251=$A24)*(approvals!$P$2:$P$251="Y")*(approvals!$E$2:$E$251+(approvals!$E$2:$E$251=0)*approvals!$C$2:$C$251)))),"yyyy-mm-dd")&amp;": ship by "&amp;TEXT($BM24,"ddd yyyy-mm-dd")&amp;" (latest "&amp;TEXT($BL24,"ddd yyyy-mm-dd")&amp;")","HOLD: "&amp;IF(N($BU24)&lt;N($BV24),"payment ("&amp;TEXT(N($BU24),"0")&amp;" of "&amp;TEXT(N($BV24),"0")&amp;") ","")&amp;IF($H24="","agreement ","")&amp;IF(NOT(AND($AB24&lt;&gt;"",IFERROR(IF(INDEX(brands!$G$2:$G$41,MATCH($C24,brands!$A$2:$A$41,0))="","",INDEX(brands!$G$2:$G$41,MATCH($C24,brands!$A$2:$A$41,0))),"")="Y")),"certificate ","")&amp;IF(NOT(LEFT(IFERROR(IF(INDEX(brands!$AG$2:$AG$41,MATCH($C24,brands!$A$2:$A$41,0))="","",INDEX(brands!$AG$2:$AG$41,MATCH($C24,brands!$A$2:$A$41,0))),""),1)="Y"),"qualification ","")&amp;IF($BG24="","drop date ","")&amp;IF($BQ24&gt;0,"approvals ("&amp;$BQ24&amp;" pending) ","")&amp;IF($BO24=0,"no office approved ","")))</f>
        <v/>
      </c>
      <c r="BX24" s="25">
        <f>IF($A24="","",SUMIFS(inventory!$G$2:$G$801,inventory!$C$2:$C$801,$A24,inventory!$E$2:$E$801,"received"))</f>
        <v/>
      </c>
      <c r="BY24" s="25">
        <f>IF($A24="","",SUMIFS(inventory!$G$2:$G$801,inventory!$C$2:$C$801,$A24,inventory!$E$2:$E$801,"rejected"))</f>
        <v/>
      </c>
      <c r="BZ24" s="25">
        <f>IF($A24="","",SUMIFS(inventory!$M$2:$M$801,inventory!$C$2:$C$801,$A24))</f>
        <v/>
      </c>
      <c r="CA24" s="25">
        <f>IF($A24="","",SUMIFS(inventory!$O$2:$O$801,inventory!$C$2:$C$801,$A24))</f>
        <v/>
      </c>
      <c r="CB24" s="25">
        <f>IF($A24="","",SUMIFS(approvals!$U$2:$U$251,approvals!$A$2:$A$251,$A24))</f>
        <v/>
      </c>
      <c r="CC24" s="25">
        <f>IF($A24="","",SUMIFS(approvals!$AA$2:$AA$251,approvals!$A$2:$A$251,$A24))</f>
        <v/>
      </c>
      <c r="CD24" s="25">
        <f>IF($A24="","",SUMIFS(approvals!$AA$2:$AA$251,approvals!$A$2:$A$251,$A24,approvals!$AB$2:$AB$251,"Y"))</f>
        <v/>
      </c>
      <c r="CE24" s="29">
        <f>IF($A24="","",IF(N($CB24)=0,"",$CD24/$CB24))</f>
        <v/>
      </c>
      <c r="CF24" s="25">
        <f>IF($A24="","",SUMIFS(approvals!$AD$2:$AD$251,approvals!$A$2:$A$251,$A24))</f>
        <v/>
      </c>
      <c r="CG24" s="25">
        <f>IF($A24="","",IF(COUNTIFS(approvals!$A$2:$A$251,$A24,approvals!$Q$2:$Q$251,"Y",approvals!$AG$2:$AG$251,"")&gt;0,"",SUMIFS(approvals!$AG$2:$AG$251,approvals!$A$2:$A$251,$A24,approvals!$Q$2:$Q$251,"Y")))</f>
        <v/>
      </c>
      <c r="CH24" s="25">
        <f>IF($A24="","",SUMIFS(approvals!$AL$2:$AL$251,approvals!$A$2:$A$251,$A24))</f>
        <v/>
      </c>
      <c r="CI24" s="25">
        <f>IF($A24="","",IF(N($BP24)=0,"",SUMPRODUCT(MIN(approvals!$BB$2:$BB$251+(approvals!$A$2:$A$251&lt;&gt;$A24)*1000000))))</f>
        <v/>
      </c>
      <c r="CJ24" s="25">
        <f>IF($A24="","",COUNTIFS(approvals!$A$2:$A$251,$A24,approvals!$Q$2:$Q$251,"Y",approvals!$AL$2:$AL$251,"&lt;"&amp;config!$B$30))</f>
        <v/>
      </c>
      <c r="CK24" s="25">
        <f>IF($A24="","",SUMIFS(approvals!$AM$2:$AM$251,approvals!$A$2:$A$251,$A24))</f>
        <v/>
      </c>
      <c r="CL24" s="25">
        <f>IF($A24="","",SUMIFS(approvals!$AQ$2:$AQ$251,approvals!$A$2:$A$251,$A24))</f>
        <v/>
      </c>
      <c r="CM24" s="25">
        <f>IF($A24="","",SUMIFS(approvals!$AR$2:$AR$251,approvals!$A$2:$A$251,$A24))</f>
        <v/>
      </c>
      <c r="CN24" s="25">
        <f>IF($A24="","",SUMIFS(approvals!$AS$2:$AS$251,approvals!$A$2:$A$251,$A24))</f>
        <v/>
      </c>
      <c r="CO24" s="25">
        <f>IF($A24="","",SUMIFS(approvals!$AT$2:$AT$251,approvals!$A$2:$A$251,$A24))</f>
        <v/>
      </c>
      <c r="CP24" s="28">
        <f>IF($A24="","",IF(N($CO24)=0,"",ROUND(SUMIFS(approvals!$AU$2:$AU$251,approvals!$A$2:$A$251,$A24)/$CO24,1)))</f>
        <v/>
      </c>
      <c r="CQ24" s="25">
        <f>IF($A24="","",SUMIFS(approvals!$AV$2:$AV$251,approvals!$A$2:$A$251,$A24))</f>
        <v/>
      </c>
      <c r="CR24" s="25">
        <f>IF($A24="","",SUMIFS(approvals!$AW$2:$AW$251,approvals!$A$2:$A$251,$A24))</f>
        <v/>
      </c>
      <c r="CS24" s="25">
        <f>IF($A24="","",SUMIFS(approvals!$AX$2:$AX$251,approvals!$A$2:$A$251,$A24))</f>
        <v/>
      </c>
      <c r="CT24" s="25">
        <f>IF($A24="","",SUMIFS(approvals!$AY$2:$AY$251,approvals!$A$2:$A$251,$A24))</f>
        <v/>
      </c>
      <c r="CU24" s="25">
        <f>IF($A24="","",IF(OR($BG24="",$BC24&lt;&gt;""),"",IFERROR(COUNT(INDIRECT("'"&amp;$A24&amp;"'!$A$2:$A$501")),0)-IFERROR(COUNTIFS(INDIRECT("'"&amp;$A24&amp;"'!$A$2:$A$501"),"&gt;="&amp;$BG24,INDIRECT("'"&amp;$A24&amp;"'!$A$2:$A$501"),"&lt;"&amp;(IFERROR(IF(INDEX(drops!$R$2:$R$21,MATCH($B24,drops!$A$2:$A$21,0))="","",INDEX(drops!$R$2:$R$21,MATCH($B24,drops!$A$2:$A$21,0))),"")+1)),0)))</f>
        <v/>
      </c>
      <c r="CV24" s="25">
        <f>IF($A24="","",IF(OR($BG24="",$BC24&lt;&gt;""),"",IFERROR(COUNTIFS(INDIRECT("'"&amp;$A24&amp;"'!$A$2:$A$501"),"&gt;="&amp;$BG24,INDIRECT("'"&amp;$A24&amp;"'!$A$2:$A$501"),"&lt;"&amp;(IFERROR(IF(INDEX(drops!$R$2:$R$21,MATCH($B24,drops!$A$2:$A$21,0))="","",INDEX(drops!$R$2:$R$21,MATCH($B24,drops!$A$2:$A$21,0))),"")+1)),0)-N($CH24)))</f>
        <v/>
      </c>
      <c r="CW24" s="25">
        <f>IF($A24="","",SUMIFS(approvals!$AN$2:$AN$251,approvals!$A$2:$A$251,$A24))</f>
        <v/>
      </c>
      <c r="CX24" s="25">
        <f>IF($A24="","",SUMIFS(approvals!$AO$2:$AO$251,approvals!$A$2:$A$251,$A24))</f>
        <v/>
      </c>
      <c r="CY24" s="25">
        <f>IF($A24="","",IF($CZ24="","",SUMIFS(redemptions!$C$2:$C$121,redemptions!$A$2:$A$121,$A24,redemptions!$B$2:$B$121,$CZ24)))</f>
        <v/>
      </c>
      <c r="CZ24" s="26">
        <f>IF($A24="","",IFERROR(1/(1/SUMPRODUCT(MAX((redemptions!$A$2:$A$121=$A24)*redemptions!$B$2:$B$121))),""))</f>
        <v/>
      </c>
      <c r="DA24" s="25">
        <f>IF($A24="","",IF(COUNTIFS(redemptions!$A$2:$A$121,$A24,redemptions!$H$2:$H$121,"Y")=0,"",SUMIFS(redemptions!$C$2:$C$121,redemptions!$A$2:$A$121,$A24,redemptions!$B$2:$B$121,SUMPRODUCT(MIN((redemptions!$A$2:$A$121=$A24)*(redemptions!$H$2:$H$121="Y")*redemptions!$B$2:$B$121+((redemptions!$A$2:$A$121&lt;&gt;$A24)+(redemptions!$H$2:$H$121&lt;&gt;"Y")&gt;0)*1000000)))))</f>
        <v/>
      </c>
      <c r="DB24" s="27">
        <f>IF($A24="","",SUMIFS(invoices!$E$2:$E$151,invoices!$B$2:$B$151,$A24))</f>
        <v/>
      </c>
      <c r="DC24" s="27">
        <f>IF($A24="","",IF(COUNTIFS(invoices!$B$2:$B$151,$A24,invoices!$C$2:$C$151,"standard_deposit",invoices!$H$2:$H$151,"&gt;0")=0,"",SUMIFS(invoices!$I$2:$I$151,invoices!$B$2:$B$151,$A24,invoices!$C$2:$C$151,"standard_deposit")))</f>
        <v/>
      </c>
      <c r="DD24" s="26">
        <f>IF($A24="","",IFERROR(1/(1/SUMPRODUCT(MAX((invoices!$B$2:$B$151=$A24)*(invoices!$C$2:$C$151="standard_deposit")*invoices!$H$2:$H$151))),""))</f>
        <v/>
      </c>
      <c r="DE24" s="26">
        <f>IF($A24="","",IFERROR(1/(1/SUMPRODUCT(MAX((invoices!$B$2:$B$151=$A24)*((invoices!$C$2:$C$151="founding_full")+(invoices!$C$2:$C$151="standard_balance"))*invoices!$H$2:$H$151))),""))</f>
        <v/>
      </c>
      <c r="DF24" s="27">
        <f>IF($A24="","",SUMIFS(invoices!$L$2:$L$151,invoices!$B$2:$B$151,$A24))</f>
        <v/>
      </c>
      <c r="DG24" s="27">
        <f>IF($A24="","",SUMIFS(costs!$E$2:$E$301,costs!$C$2:$C$301,$A24))</f>
        <v/>
      </c>
      <c r="DH24" s="27">
        <f>IF($A24="","",ROUND(IF(SUMIFS(campaigns!$BO$2:$BO$51,campaigns!$B$2:$B$51,$B24)=0,0,$BO24/SUMIFS(campaigns!$BO$2:$BO$51,campaigns!$B$2:$B$51,$B24))*(SUMIFS(costs!$E$2:$E$301,costs!$B$2:$B$301,$B24)-SUMPRODUCT((costs!$B$2:$B$301=$B24)*(LEN(costs!$C$2:$C$301)&gt;0)*costs!$E$2:$E$301)),2))</f>
        <v/>
      </c>
      <c r="DI24" s="28">
        <f>IF($A24="","",SUMIFS(hours!$E$2:$E$1501,hours!$C$2:$C$1501,$A24))</f>
        <v/>
      </c>
      <c r="DJ24" s="28">
        <f>IF($A24="","",ROUND(IF(SUMIFS(campaigns!$BO$2:$BO$51,campaigns!$B$2:$B$51,$B24)=0,0,$BO24/SUMIFS(campaigns!$BO$2:$BO$51,campaigns!$B$2:$B$51,$B24))*(SUMIFS(hours!$E$2:$E$1501,hours!$B$2:$B$1501,$B24)-SUMPRODUCT((hours!$B$2:$B$1501=$B24)*(LEN(hours!$C$2:$C$1501)&gt;0)*hours!$E$2:$E$1501)),2))</f>
        <v/>
      </c>
      <c r="DK24" s="27">
        <f>IF($A24="","",$DB24-$DF24-$DG24-$DH24)</f>
        <v/>
      </c>
      <c r="DL24" s="27">
        <f>IF($A24="","",IF(N($DI24)+N($DJ24)=0,"",ROUND($DK24/($DI24+$DJ24),2)))</f>
        <v/>
      </c>
      <c r="DM24" s="29">
        <f>IF($A24="","",IF(N($BP24)=0,"",COUNTIFS(approvals!$A$2:$A$251,$A24,approvals!$Q$2:$Q$251,"Y",approvals!$AK$2:$AK$251,"Y")/$BP24))</f>
        <v/>
      </c>
      <c r="DN24" s="28">
        <f>IF($A24="","",IF(COUNTIFS(approvals!$A$2:$A$251,$A24,approvals!$AC$2:$AC$251,"&gt;=0")=0,"",ROUND(SUMIFS(approvals!$AC$2:$AC$251,approvals!$A$2:$A$251,$A24)/COUNTIFS(approvals!$A$2:$A$251,$A24,approvals!$AC$2:$AC$251,"&gt;=0"),1)))</f>
        <v/>
      </c>
      <c r="DO24" s="26">
        <f>IF($A24="","",IFERROR(IF(INDEX(drops!$T$2:$T$21,MATCH($B24,drops!$A$2:$A$21,0))="","",INDEX(drops!$T$2:$T$21,MATCH($B24,drops!$A$2:$A$21,0))),""))</f>
        <v/>
      </c>
      <c r="DP24" s="26">
        <f>IF($A24="","",IFERROR(IF(INDEX(drops!$U$2:$U$21,MATCH($B24,drops!$A$2:$A$21,0))="","",INDEX(drops!$U$2:$U$21,MATCH($B24,drops!$A$2:$A$21,0))),""))</f>
        <v/>
      </c>
      <c r="DQ24" s="26">
        <f>IF($A24="","",IFERROR(IF(INDEX(drops!$W$2:$W$21,MATCH($B24,drops!$A$2:$A$21,0))="","",INDEX(drops!$W$2:$W$21,MATCH($B24,drops!$A$2:$A$21,0))),""))</f>
        <v/>
      </c>
      <c r="DR24" s="25">
        <f>IF($A24="","",IF($CE24="","",IF($CE24&gt;=config!$B$31,"pass","miss")))</f>
        <v/>
      </c>
      <c r="DS24" s="25">
        <f>IF($A24="","",IF($CI24="","",IF($CI24&gt;=config!$B$30,"pass","miss")))</f>
        <v/>
      </c>
      <c r="DT24" s="25">
        <f>IF($A24="","",IF($AT24="",IF($DO24="","",IF(IF(config!$B$37&lt;&gt;"",config!$B$37,TODAY())&gt;$DO24,"late","due")),IF($AT24&lt;=$DO24,"pass","late")))</f>
        <v/>
      </c>
      <c r="DU24" s="25">
        <f>IF($A24="","",IF(COUNTIF(drops!$A$2:$A$21,$B24)=0,"drop_id not on drops; ",IF($BG24="","drop date missing or refused; ",""))&amp;IF(AND($G24&lt;&gt;"",$G24&lt;&gt;$BI24),"price differs from the price list; ","")&amp;IF(AND(LEFT($BW24,4)="HOLD",$BL24&lt;&gt;"",IF(config!$B$37&lt;&gt;"",config!$B$37,TODAY())&gt;=WORKDAY(N($BL24),-3,calendar!$A$2:$A$80)),"SHIP HOLD within 3 business days of T-10; ","")&amp;IF(AND($BQ24&gt;0,$BL24&lt;&gt;"",IF(config!$B$37&lt;&gt;"",config!$B$37,TODAY())&gt;$BL24),"approvals still pending after T-10; ","")&amp;IF($BZ24&lt;0,"reserve below zero: check inventory; ","")&amp;IF(AND($BG24&lt;&gt;"",IF(config!$B$37&lt;&gt;"",config!$B$37,TODAY())&gt;WORKDAY(N($BG24),14,calendar!$A$2:$A$80),N($BZ24)+N($CA24)&lt;&gt;0),"units still on hand after T+14; ","")&amp;IF(N($CV24)&gt;0,"info: "&amp;$CV24&amp;" in-window responses with a card code that matches no office (not counted); ","")&amp;IF(AND($Z24="Y",$AK24=""),"newsletter form URL missing; ","")&amp;IF(AND($Z24="Y",$BG24&lt;&gt;"",IF(config!$B$37&lt;&gt;"",config!$B$37,TODAY())&gt;WORKDAY(N($BG24),5,calendar!$A$2:$A$80),$AY24=""),"newsletter list not yet passed on (due T+5); ","")&amp;IF(AND($AY24&lt;&gt;"",$BA24=""),"delete unticked emails; ","")&amp;IF(AND($AY24&lt;&gt;"",$BB24="",IF(config!$B$37&lt;&gt;"",config!$B$37,TODAY())&gt;$AY24+config!$B$32),"DELETE the consented emails (30 days after passing on); ","")&amp;IF(AND($BG24&lt;&gt;"",$AJ24="",IF(config!$B$37&lt;&gt;"",config!$B$37,TODAY())&gt;=WORKDAY(N($BG24),-4,calendar!$A$2:$A$80)),"survey prefill template missing (due T-4); ","")&amp;IF(AND($AJ24&lt;&gt;"",ISERROR(SEARCH("CARDCODE",$AJ24))),"prefill template has no CARDCODE; ","")&amp;IF(AND($AF24="",$BG24&lt;&gt;"",IF(config!$B$37&lt;&gt;"",config!$B$37,TODAY())&gt;=WORKDAY(N($BG24),-3,calendar!$A$2:$A$80)),"card text not yet sent to the brand; ","")&amp;IF(AND($DA24="",$DQ24&lt;&gt;"",IF(config!$B$37&lt;&gt;"",config!$B$37,TODAY())&gt;$DQ24),"day-30 redemption count due; ","")&amp;IF(AND(LEFT($BW24,8)="RELEASED",$AG24=""),"ship-date email due (template 02): send it, then log ship_email_sent_date and ship_email_units; ","")&amp;IF(AND($AH24&lt;&gt;"",N($BT24)&gt;0,N($BX24)=0,N($AH24)&lt;&gt;N($BT24)),"units changed since the ship-date email of "&amp;IF($AG24="","?",TEXT($AG24,"yyyy-mm-dd"))&amp;" ("&amp;$AH24&amp;", now "&amp;$BT24&amp;"): send the brand the revised numbers (template 02) and log them; ","")&amp;IF($DT24="late","report late; ","")&amp;IF(AND(N($F24)&gt;0,$BO24&lt;N($F24),$BQ24=0),"info: "&amp;(N($F24)-$BO24)&amp;" office(s) short of the contract: add a roster office or credit $"&amp;IF($D24="founding",config!$B$25,config!$B$24)&amp;" each; ","")&amp;IF($BC24&lt;&gt;"",IF(COUNTIF(survey_frozen!$A$2:$A$251,$A24)=0,"answers deleted but no frozen totals: the survey numbers now read 0 (tools/freeze_survey.py, SOP answers_delete); ",""),IF(AND($BG24&lt;&gt;"",IF(config!$B$37&lt;&gt;"",config!$B$37,TODAY())&gt;=$BG24,ISREF(INDIRECT("'"&amp;$A24&amp;"'!B1"))),IF(INDIRECT("'"&amp;$A24&amp;"'!B1")&lt;&gt;"Card code (filled in for you)","survey tab column B is not the card code: fix the form or the tab; ",""),IF(AND($BG24&lt;&gt;"",IF(config!$B$37&lt;&gt;"",config!$B$37,TODAY())&gt;=$BG24),"no survey tab named "&amp;$A24&amp;"; ","")))&amp;IF(COUNTIF(brands!$A$2:$A$41,$C24)=0,"brand_id not on brands; ",IF(LEFT(IFERROR(IF(INDEX(brands!$AG$2:$AG$41,MATCH($C24,brands!$A$2:$A$41,0))="","",INDEX(brands!$AG$2:$AG$41,MATCH($C24,brands!$A$2:$A$41,0))),""),1)&lt;&gt;"Y","brand not qualified ("&amp;IFERROR(IF(INDEX(brands!$AG$2:$AG$41,MATCH($C24,brands!$A$2:$A$41,0))="","",INDEX(brands!$AG$2:$AG$41,MATCH($C24,brands!$A$2:$A$41,0))),"")&amp;"): nothing ships until it is; ",""))&amp;IF(AND(COUNTIF(brands!$A$2:$A$41,$C24)&gt;0,OR(IFERROR(IF(INDEX(brands!$C$2:$C$41,MATCH($C24,brands!$A$2:$A$41,0))="","",INDEX(brands!$C$2:$C$41,MATCH($C24,brands!$A$2:$A$41,0))),"")="",IFERROR(IF(INDEX(brands!$D$2:$D$41,MATCH($C24,brands!$A$2:$A$41,0))="","",INDEX(brands!$D$2:$D$41,MATCH($C24,brands!$A$2:$A$41,0))),"")="",IFERROR(IF(INDEX(brands!$E$2:$E$41,MATCH($C24,brands!$A$2:$A$41,0))="","",INDEX(brands!$E$2:$E$41,MATCH($C24,brands!$A$2:$A$41,0))),"")="")),"brand billing details missing on brands (legal name, address, email): needed for the invoice; ","")&amp;IF(AND($D24="founding",$E24&lt;&gt;"Y",N(IFERROR(IF(INDEX(brands!$AI$2:$AI$41,MATCH($C24,brands!$A$2:$A$41,0))="","",INDEX(brands!$AI$2:$AI$41,MATCH($C24,brands!$A$2:$A$41,0))),""))&gt;3),"the founding tier is for the first three brands only (this is brand "&amp;IFERROR(IF(INDEX(brands!$AI$2:$AI$41,MATCH($C24,brands!$A$2:$A$41,0))="","",INDEX(brands!$AI$2:$AI$41,MATCH($C24,brands!$A$2:$A$41,0))),"")&amp;"): use standard; ","")&amp;IF(AND($D24="founding",$E24&lt;&gt;"Y",COUNTIFS(campaigns!$C$2:$C$51,$C24,campaigns!$D$2:$D$51,"founding",campaigns!$E$2:$E$51,"&lt;&gt;Y")&gt;1),"a brand has the founding price once; its next two campaigns are founding_lock = Y; ","")&amp;IF(AND($E24="Y",COUNTIFS(campaigns!$C$2:$C$51,$C24,campaigns!$D$2:$D$51,"founding",campaigns!$E$2:$E$51,"Y")&gt;2),"founding_lock is for the brand's next two campaigns only (this is a third): use standard; ","")&amp;IF(AND($E24="Y",COUNTIFS(campaigns!$C$2:$C$51,$C24,campaigns!$D$2:$D$51,"founding",campaigns!$E$2:$E$51,"&lt;&gt;Y")=0),"founding_lock without a first founding campaign for this brand; ","")&amp;IF(AND(N($BX24)&gt;0,$BG24&lt;&gt;"",IF(config!$B$37&lt;&gt;"",config!$B$37,TODAY())&gt;=WORKDAY(N($BG24),-5,calendar!$A$2:$A$80)),IF(N($BX24)-N($BY24)&lt;N($BR24),"received "&amp;(N($BX24)-N($BY24))&amp;" usable units for "&amp;$BR24&amp;" allocated: reduce units_override evenly (SOP section 4, short shipment); ","")&amp;IF(AND(N($BX24)&lt;N($BT24),COUNTIFS(issues!$E$2:$E$121,$A24,issues!$G$2:$G$121,"short_shipment")=0),"received "&amp;$BX24&amp;" of "&amp;$BT24&amp;" due: log a short_shipment issue and tell the brand today; ",""),"")&amp;IF(AND($BG24&lt;&gt;"",IF(config!$B$37&lt;&gt;"",config!$B$37,TODAY())&gt;=WORKDAY(N($BG24),1,calendar!$A$2:$A$80),N($F24)&gt;0,(-SUMIFS(invoices!$E$2:$E$151,invoices!$B$2:$B$151,$A24,invoices!$C$2:$C$151,"credit_note"))&lt;(IF($D24="founding",config!$B$25,config!$B$24)*MAX(0,N($F24)-COUNTIFS(approvals!$A$2:$A$251,$A24,approvals!$Q$2:$Q$251,"Y",approvals!$AB$2:$AB$251,"Y")))-0.005),"credit due from T+1: "&amp;MAX(0,N($F24)-COUNTIFS(approvals!$A$2:$A$251,$A24,approvals!$Q$2:$Q$251,"Y",approvals!$AB$2:$AB$251,"Y"))&amp;" of "&amp;$F24&amp;" contracted offices not placed by T+1, $"&amp;(IF($D24="founding",config!$B$25,config!$B$24)*MAX(0,N($F24)-COUNTIFS(approvals!$A$2:$A$251,$A24,approvals!$Q$2:$Q$251,"Y",approvals!$AB$2:$AB$251,"Y")))&amp;" due, $"&amp;(-SUMIFS(invoices!$E$2:$E$151,invoices!$B$2:$B$151,$A24,invoices!$C$2:$C$151,"credit_note"))&amp;" in credit notes so far (template 06, make_invoice.py); ","")&amp;IF(AND(IFERROR(IF(INDEX(brands!$H$2:$H$41,MATCH($C24,brands!$A$2:$A$41,0))="","",INDEX(brands!$H$2:$H$41,MATCH($C24,brands!$A$2:$A$41,0))),"")&lt;&gt;"",$BG24&lt;&gt;"",IFERROR(IF(INDEX(brands!$H$2:$H$41,MATCH($C24,brands!$A$2:$A$41,0))="","",INDEX(brands!$H$2:$H$41,MATCH($C24,brands!$A$2:$A$41,0))),"")&lt;EDATE(WORKDAY(N($BG24),4,calendar!$A$2:$A$80),12)),"info: brand insurance ends "&amp;TEXT(IFERROR(IF(INDEX(brands!$H$2:$H$41,MATCH($C24,brands!$A$2:$A$41,0))="","",INDEX(brands!$H$2:$H$41,MATCH($C24,brands!$A$2:$A$41,0))),""),"yyyy-mm-dd")&amp;": diary the renewal certificate; ",""))</f>
        <v/>
      </c>
    </row>
    <row r="25">
      <c r="G25" s="10" t="n"/>
      <c r="H25" s="9" t="n"/>
      <c r="AB25" s="9" t="n"/>
      <c r="AC25" s="9" t="n"/>
      <c r="AD25" s="9" t="n"/>
      <c r="AF25" s="9" t="n"/>
      <c r="AG25" s="9" t="n"/>
      <c r="AT25" s="9" t="n"/>
      <c r="AU25" s="9" t="n"/>
      <c r="AY25" s="9" t="n"/>
      <c r="BA25" s="9" t="n"/>
      <c r="BB25" s="9" t="n"/>
      <c r="BC25" s="9" t="n"/>
      <c r="BE25" s="25">
        <f>IF($A25="","",IFERROR(IF(INDEX(brands!$K$2:$K$41,MATCH($C25,brands!$A$2:$A$41,0))="","",INDEX(brands!$K$2:$K$41,MATCH($C25,brands!$A$2:$A$41,0))),""))</f>
        <v/>
      </c>
      <c r="BF25" s="25">
        <f>IF($A25="","",IFERROR(IF(INDEX(brands!$M$2:$M$41,MATCH($C25,brands!$A$2:$A$41,0))="","",INDEX(brands!$M$2:$M$41,MATCH($C25,brands!$A$2:$A$41,0))),""))</f>
        <v/>
      </c>
      <c r="BG25" s="26">
        <f>IF($A25="","",IF(IFERROR(IF(INDEX(drops!$I$2:$I$21,MATCH($B25,drops!$A$2:$A$21,0))="","",INDEX(drops!$I$2:$I$21,MATCH($B25,drops!$A$2:$A$21,0))),"")="OK",IFERROR(IF(INDEX(drops!$B$2:$B$21,MATCH($B25,drops!$A$2:$A$21,0))="","",INDEX(drops!$B$2:$B$21,MATCH($B25,drops!$A$2:$A$21,0))),""),""))</f>
        <v/>
      </c>
      <c r="BH25" s="25">
        <f>IF($A25="","",IFERROR(IF(INDEX(drops!$C$2:$C$21,MATCH($B25,drops!$A$2:$A$21,0))="","",INDEX(drops!$C$2:$C$21,MATCH($B25,drops!$A$2:$A$21,0))),""))</f>
        <v/>
      </c>
      <c r="BI25" s="27">
        <f>IF($A25="","",IF($F25="","",IF($D25="founding",IF($E25="Y",config!$B$25*MIN($F25,config!$B$26)+config!$B$24*MAX(0,$F25-config!$B$26),config!$B$20+config!$B$24*MAX(0,$F25-config!$B$21)),IF($D25="standard",config!$B$22+config!$B$24*MAX(0,$F25-config!$B$23),""))))</f>
        <v/>
      </c>
      <c r="BJ25" s="27">
        <f>IF($A25="","",IF($G25&lt;&gt;"",$G25,$BI25))</f>
        <v/>
      </c>
      <c r="BK25" s="25">
        <f>IF($A25="","",IF($D25="founding","100% within "&amp;config!$B$27&amp;" business days of the invoice, before shipping",IF($D25="standard","50% on signing; 50% at placement confirmation (T+1)","")))</f>
        <v/>
      </c>
      <c r="BL25" s="26">
        <f>IF($A25="","",IFERROR(IF(INDEX(drops!$K$2:$K$21,MATCH($B25,drops!$A$2:$A$21,0))="","",INDEX(drops!$K$2:$K$21,MATCH($B25,drops!$A$2:$A$21,0))),""))</f>
        <v/>
      </c>
      <c r="BM25" s="26">
        <f>IF($A25="","",IFERROR(IF(INDEX(drops!$L$2:$L$21,MATCH($B25,drops!$A$2:$A$21,0))="","",INDEX(drops!$L$2:$L$21,MATCH($B25,drops!$A$2:$A$21,0))),""))</f>
        <v/>
      </c>
      <c r="BN25" s="25">
        <f>IF($A25="","",COUNTIF(approvals!$A$2:$A$251,$A25))</f>
        <v/>
      </c>
      <c r="BO25" s="25">
        <f>IF($A25="","",COUNTIFS(approvals!$A$2:$A$251,$A25,approvals!$P$2:$P$251,"Y"))</f>
        <v/>
      </c>
      <c r="BP25" s="25">
        <f>IF($A25="","",COUNTIFS(approvals!$A$2:$A$251,$A25,approvals!$Q$2:$Q$251,"Y"))</f>
        <v/>
      </c>
      <c r="BQ25" s="25">
        <f>IF($A25="","",COUNTIFS(approvals!$A$2:$A$251,$A25,approvals!$P$2:$P$251,"pending"))</f>
        <v/>
      </c>
      <c r="BR25" s="25">
        <f>IF($A25="","",SUMIFS(approvals!$S$2:$S$251,approvals!$A$2:$A$251,$A25,approvals!$P$2:$P$251,"Y"))</f>
        <v/>
      </c>
      <c r="BS25" s="25">
        <f>IF($A25="","",ROUNDUP($BR25*config!$B$18,0))</f>
        <v/>
      </c>
      <c r="BT25" s="25">
        <f>IF($A25="","",$BR25+$BS25)</f>
        <v/>
      </c>
      <c r="BU25" s="27">
        <f>IF($A25="","",SUMIFS(invoices!$I$2:$I$151,invoices!$B$2:$B$151,$A25,invoices!$R$2:$R$151,"Y",invoices!$H$2:$H$151,"&gt;0"))</f>
        <v/>
      </c>
      <c r="BV25" s="27">
        <f>IF($A25="","",IF($BJ25="","",IF($D25="founding",$BJ25,ROUND($BJ25*config!$B$28,2))))</f>
        <v/>
      </c>
      <c r="BW25" s="25">
        <f>IF($A25="","",IF(AND(N($BU25)&gt;=N($BV25),N($BV25)&gt;0,$H25&lt;&gt;"",AND($AB25&lt;&gt;"",IFERROR(IF(INDEX(brands!$G$2:$G$41,MATCH($C25,brands!$A$2:$A$41,0))="","",INDEX(brands!$G$2:$G$41,MATCH($C25,brands!$A$2:$A$41,0))),"")="Y"),LEFT(IFERROR(IF(INDEX(brands!$AG$2:$AG$41,MATCH($C25,brands!$A$2:$A$41,0))="","",INDEX(brands!$AG$2:$AG$41,MATCH($C25,brands!$A$2:$A$41,0))),""),1)="Y",$BG25&lt;&gt;"",$BQ25=0,$BO25&gt;0),"RELEASED "&amp;TEXT(MAX(IFERROR(1/(1/SUMPRODUCT(MAX((invoices!$B$2:$B$151=$A25)*(invoices!$R$2:$R$151="Y")*(invoices!$H$2:$H$151)))),""),$H25,$AB25,SUMPRODUCT(MAX((approvals!$A$2:$A$251=$A25)*(approvals!$P$2:$P$251="Y")*(approvals!$E$2:$E$251+(approvals!$E$2:$E$251=0)*approvals!$C$2:$C$251)))),"yyyy-mm-dd")&amp;": ship by "&amp;TEXT($BM25,"ddd yyyy-mm-dd")&amp;" (latest "&amp;TEXT($BL25,"ddd yyyy-mm-dd")&amp;")","HOLD: "&amp;IF(N($BU25)&lt;N($BV25),"payment ("&amp;TEXT(N($BU25),"0")&amp;" of "&amp;TEXT(N($BV25),"0")&amp;") ","")&amp;IF($H25="","agreement ","")&amp;IF(NOT(AND($AB25&lt;&gt;"",IFERROR(IF(INDEX(brands!$G$2:$G$41,MATCH($C25,brands!$A$2:$A$41,0))="","",INDEX(brands!$G$2:$G$41,MATCH($C25,brands!$A$2:$A$41,0))),"")="Y")),"certificate ","")&amp;IF(NOT(LEFT(IFERROR(IF(INDEX(brands!$AG$2:$AG$41,MATCH($C25,brands!$A$2:$A$41,0))="","",INDEX(brands!$AG$2:$AG$41,MATCH($C25,brands!$A$2:$A$41,0))),""),1)="Y"),"qualification ","")&amp;IF($BG25="","drop date ","")&amp;IF($BQ25&gt;0,"approvals ("&amp;$BQ25&amp;" pending) ","")&amp;IF($BO25=0,"no office approved ","")))</f>
        <v/>
      </c>
      <c r="BX25" s="25">
        <f>IF($A25="","",SUMIFS(inventory!$G$2:$G$801,inventory!$C$2:$C$801,$A25,inventory!$E$2:$E$801,"received"))</f>
        <v/>
      </c>
      <c r="BY25" s="25">
        <f>IF($A25="","",SUMIFS(inventory!$G$2:$G$801,inventory!$C$2:$C$801,$A25,inventory!$E$2:$E$801,"rejected"))</f>
        <v/>
      </c>
      <c r="BZ25" s="25">
        <f>IF($A25="","",SUMIFS(inventory!$M$2:$M$801,inventory!$C$2:$C$801,$A25))</f>
        <v/>
      </c>
      <c r="CA25" s="25">
        <f>IF($A25="","",SUMIFS(inventory!$O$2:$O$801,inventory!$C$2:$C$801,$A25))</f>
        <v/>
      </c>
      <c r="CB25" s="25">
        <f>IF($A25="","",SUMIFS(approvals!$U$2:$U$251,approvals!$A$2:$A$251,$A25))</f>
        <v/>
      </c>
      <c r="CC25" s="25">
        <f>IF($A25="","",SUMIFS(approvals!$AA$2:$AA$251,approvals!$A$2:$A$251,$A25))</f>
        <v/>
      </c>
      <c r="CD25" s="25">
        <f>IF($A25="","",SUMIFS(approvals!$AA$2:$AA$251,approvals!$A$2:$A$251,$A25,approvals!$AB$2:$AB$251,"Y"))</f>
        <v/>
      </c>
      <c r="CE25" s="29">
        <f>IF($A25="","",IF(N($CB25)=0,"",$CD25/$CB25))</f>
        <v/>
      </c>
      <c r="CF25" s="25">
        <f>IF($A25="","",SUMIFS(approvals!$AD$2:$AD$251,approvals!$A$2:$A$251,$A25))</f>
        <v/>
      </c>
      <c r="CG25" s="25">
        <f>IF($A25="","",IF(COUNTIFS(approvals!$A$2:$A$251,$A25,approvals!$Q$2:$Q$251,"Y",approvals!$AG$2:$AG$251,"")&gt;0,"",SUMIFS(approvals!$AG$2:$AG$251,approvals!$A$2:$A$251,$A25,approvals!$Q$2:$Q$251,"Y")))</f>
        <v/>
      </c>
      <c r="CH25" s="25">
        <f>IF($A25="","",SUMIFS(approvals!$AL$2:$AL$251,approvals!$A$2:$A$251,$A25))</f>
        <v/>
      </c>
      <c r="CI25" s="25">
        <f>IF($A25="","",IF(N($BP25)=0,"",SUMPRODUCT(MIN(approvals!$BB$2:$BB$251+(approvals!$A$2:$A$251&lt;&gt;$A25)*1000000))))</f>
        <v/>
      </c>
      <c r="CJ25" s="25">
        <f>IF($A25="","",COUNTIFS(approvals!$A$2:$A$251,$A25,approvals!$Q$2:$Q$251,"Y",approvals!$AL$2:$AL$251,"&lt;"&amp;config!$B$30))</f>
        <v/>
      </c>
      <c r="CK25" s="25">
        <f>IF($A25="","",SUMIFS(approvals!$AM$2:$AM$251,approvals!$A$2:$A$251,$A25))</f>
        <v/>
      </c>
      <c r="CL25" s="25">
        <f>IF($A25="","",SUMIFS(approvals!$AQ$2:$AQ$251,approvals!$A$2:$A$251,$A25))</f>
        <v/>
      </c>
      <c r="CM25" s="25">
        <f>IF($A25="","",SUMIFS(approvals!$AR$2:$AR$251,approvals!$A$2:$A$251,$A25))</f>
        <v/>
      </c>
      <c r="CN25" s="25">
        <f>IF($A25="","",SUMIFS(approvals!$AS$2:$AS$251,approvals!$A$2:$A$251,$A25))</f>
        <v/>
      </c>
      <c r="CO25" s="25">
        <f>IF($A25="","",SUMIFS(approvals!$AT$2:$AT$251,approvals!$A$2:$A$251,$A25))</f>
        <v/>
      </c>
      <c r="CP25" s="28">
        <f>IF($A25="","",IF(N($CO25)=0,"",ROUND(SUMIFS(approvals!$AU$2:$AU$251,approvals!$A$2:$A$251,$A25)/$CO25,1)))</f>
        <v/>
      </c>
      <c r="CQ25" s="25">
        <f>IF($A25="","",SUMIFS(approvals!$AV$2:$AV$251,approvals!$A$2:$A$251,$A25))</f>
        <v/>
      </c>
      <c r="CR25" s="25">
        <f>IF($A25="","",SUMIFS(approvals!$AW$2:$AW$251,approvals!$A$2:$A$251,$A25))</f>
        <v/>
      </c>
      <c r="CS25" s="25">
        <f>IF($A25="","",SUMIFS(approvals!$AX$2:$AX$251,approvals!$A$2:$A$251,$A25))</f>
        <v/>
      </c>
      <c r="CT25" s="25">
        <f>IF($A25="","",SUMIFS(approvals!$AY$2:$AY$251,approvals!$A$2:$A$251,$A25))</f>
        <v/>
      </c>
      <c r="CU25" s="25">
        <f>IF($A25="","",IF(OR($BG25="",$BC25&lt;&gt;""),"",IFERROR(COUNT(INDIRECT("'"&amp;$A25&amp;"'!$A$2:$A$501")),0)-IFERROR(COUNTIFS(INDIRECT("'"&amp;$A25&amp;"'!$A$2:$A$501"),"&gt;="&amp;$BG25,INDIRECT("'"&amp;$A25&amp;"'!$A$2:$A$501"),"&lt;"&amp;(IFERROR(IF(INDEX(drops!$R$2:$R$21,MATCH($B25,drops!$A$2:$A$21,0))="","",INDEX(drops!$R$2:$R$21,MATCH($B25,drops!$A$2:$A$21,0))),"")+1)),0)))</f>
        <v/>
      </c>
      <c r="CV25" s="25">
        <f>IF($A25="","",IF(OR($BG25="",$BC25&lt;&gt;""),"",IFERROR(COUNTIFS(INDIRECT("'"&amp;$A25&amp;"'!$A$2:$A$501"),"&gt;="&amp;$BG25,INDIRECT("'"&amp;$A25&amp;"'!$A$2:$A$501"),"&lt;"&amp;(IFERROR(IF(INDEX(drops!$R$2:$R$21,MATCH($B25,drops!$A$2:$A$21,0))="","",INDEX(drops!$R$2:$R$21,MATCH($B25,drops!$A$2:$A$21,0))),"")+1)),0)-N($CH25)))</f>
        <v/>
      </c>
      <c r="CW25" s="25">
        <f>IF($A25="","",SUMIFS(approvals!$AN$2:$AN$251,approvals!$A$2:$A$251,$A25))</f>
        <v/>
      </c>
      <c r="CX25" s="25">
        <f>IF($A25="","",SUMIFS(approvals!$AO$2:$AO$251,approvals!$A$2:$A$251,$A25))</f>
        <v/>
      </c>
      <c r="CY25" s="25">
        <f>IF($A25="","",IF($CZ25="","",SUMIFS(redemptions!$C$2:$C$121,redemptions!$A$2:$A$121,$A25,redemptions!$B$2:$B$121,$CZ25)))</f>
        <v/>
      </c>
      <c r="CZ25" s="26">
        <f>IF($A25="","",IFERROR(1/(1/SUMPRODUCT(MAX((redemptions!$A$2:$A$121=$A25)*redemptions!$B$2:$B$121))),""))</f>
        <v/>
      </c>
      <c r="DA25" s="25">
        <f>IF($A25="","",IF(COUNTIFS(redemptions!$A$2:$A$121,$A25,redemptions!$H$2:$H$121,"Y")=0,"",SUMIFS(redemptions!$C$2:$C$121,redemptions!$A$2:$A$121,$A25,redemptions!$B$2:$B$121,SUMPRODUCT(MIN((redemptions!$A$2:$A$121=$A25)*(redemptions!$H$2:$H$121="Y")*redemptions!$B$2:$B$121+((redemptions!$A$2:$A$121&lt;&gt;$A25)+(redemptions!$H$2:$H$121&lt;&gt;"Y")&gt;0)*1000000)))))</f>
        <v/>
      </c>
      <c r="DB25" s="27">
        <f>IF($A25="","",SUMIFS(invoices!$E$2:$E$151,invoices!$B$2:$B$151,$A25))</f>
        <v/>
      </c>
      <c r="DC25" s="27">
        <f>IF($A25="","",IF(COUNTIFS(invoices!$B$2:$B$151,$A25,invoices!$C$2:$C$151,"standard_deposit",invoices!$H$2:$H$151,"&gt;0")=0,"",SUMIFS(invoices!$I$2:$I$151,invoices!$B$2:$B$151,$A25,invoices!$C$2:$C$151,"standard_deposit")))</f>
        <v/>
      </c>
      <c r="DD25" s="26">
        <f>IF($A25="","",IFERROR(1/(1/SUMPRODUCT(MAX((invoices!$B$2:$B$151=$A25)*(invoices!$C$2:$C$151="standard_deposit")*invoices!$H$2:$H$151))),""))</f>
        <v/>
      </c>
      <c r="DE25" s="26">
        <f>IF($A25="","",IFERROR(1/(1/SUMPRODUCT(MAX((invoices!$B$2:$B$151=$A25)*((invoices!$C$2:$C$151="founding_full")+(invoices!$C$2:$C$151="standard_balance"))*invoices!$H$2:$H$151))),""))</f>
        <v/>
      </c>
      <c r="DF25" s="27">
        <f>IF($A25="","",SUMIFS(invoices!$L$2:$L$151,invoices!$B$2:$B$151,$A25))</f>
        <v/>
      </c>
      <c r="DG25" s="27">
        <f>IF($A25="","",SUMIFS(costs!$E$2:$E$301,costs!$C$2:$C$301,$A25))</f>
        <v/>
      </c>
      <c r="DH25" s="27">
        <f>IF($A25="","",ROUND(IF(SUMIFS(campaigns!$BO$2:$BO$51,campaigns!$B$2:$B$51,$B25)=0,0,$BO25/SUMIFS(campaigns!$BO$2:$BO$51,campaigns!$B$2:$B$51,$B25))*(SUMIFS(costs!$E$2:$E$301,costs!$B$2:$B$301,$B25)-SUMPRODUCT((costs!$B$2:$B$301=$B25)*(LEN(costs!$C$2:$C$301)&gt;0)*costs!$E$2:$E$301)),2))</f>
        <v/>
      </c>
      <c r="DI25" s="28">
        <f>IF($A25="","",SUMIFS(hours!$E$2:$E$1501,hours!$C$2:$C$1501,$A25))</f>
        <v/>
      </c>
      <c r="DJ25" s="28">
        <f>IF($A25="","",ROUND(IF(SUMIFS(campaigns!$BO$2:$BO$51,campaigns!$B$2:$B$51,$B25)=0,0,$BO25/SUMIFS(campaigns!$BO$2:$BO$51,campaigns!$B$2:$B$51,$B25))*(SUMIFS(hours!$E$2:$E$1501,hours!$B$2:$B$1501,$B25)-SUMPRODUCT((hours!$B$2:$B$1501=$B25)*(LEN(hours!$C$2:$C$1501)&gt;0)*hours!$E$2:$E$1501)),2))</f>
        <v/>
      </c>
      <c r="DK25" s="27">
        <f>IF($A25="","",$DB25-$DF25-$DG25-$DH25)</f>
        <v/>
      </c>
      <c r="DL25" s="27">
        <f>IF($A25="","",IF(N($DI25)+N($DJ25)=0,"",ROUND($DK25/($DI25+$DJ25),2)))</f>
        <v/>
      </c>
      <c r="DM25" s="29">
        <f>IF($A25="","",IF(N($BP25)=0,"",COUNTIFS(approvals!$A$2:$A$251,$A25,approvals!$Q$2:$Q$251,"Y",approvals!$AK$2:$AK$251,"Y")/$BP25))</f>
        <v/>
      </c>
      <c r="DN25" s="28">
        <f>IF($A25="","",IF(COUNTIFS(approvals!$A$2:$A$251,$A25,approvals!$AC$2:$AC$251,"&gt;=0")=0,"",ROUND(SUMIFS(approvals!$AC$2:$AC$251,approvals!$A$2:$A$251,$A25)/COUNTIFS(approvals!$A$2:$A$251,$A25,approvals!$AC$2:$AC$251,"&gt;=0"),1)))</f>
        <v/>
      </c>
      <c r="DO25" s="26">
        <f>IF($A25="","",IFERROR(IF(INDEX(drops!$T$2:$T$21,MATCH($B25,drops!$A$2:$A$21,0))="","",INDEX(drops!$T$2:$T$21,MATCH($B25,drops!$A$2:$A$21,0))),""))</f>
        <v/>
      </c>
      <c r="DP25" s="26">
        <f>IF($A25="","",IFERROR(IF(INDEX(drops!$U$2:$U$21,MATCH($B25,drops!$A$2:$A$21,0))="","",INDEX(drops!$U$2:$U$21,MATCH($B25,drops!$A$2:$A$21,0))),""))</f>
        <v/>
      </c>
      <c r="DQ25" s="26">
        <f>IF($A25="","",IFERROR(IF(INDEX(drops!$W$2:$W$21,MATCH($B25,drops!$A$2:$A$21,0))="","",INDEX(drops!$W$2:$W$21,MATCH($B25,drops!$A$2:$A$21,0))),""))</f>
        <v/>
      </c>
      <c r="DR25" s="25">
        <f>IF($A25="","",IF($CE25="","",IF($CE25&gt;=config!$B$31,"pass","miss")))</f>
        <v/>
      </c>
      <c r="DS25" s="25">
        <f>IF($A25="","",IF($CI25="","",IF($CI25&gt;=config!$B$30,"pass","miss")))</f>
        <v/>
      </c>
      <c r="DT25" s="25">
        <f>IF($A25="","",IF($AT25="",IF($DO25="","",IF(IF(config!$B$37&lt;&gt;"",config!$B$37,TODAY())&gt;$DO25,"late","due")),IF($AT25&lt;=$DO25,"pass","late")))</f>
        <v/>
      </c>
      <c r="DU25" s="25">
        <f>IF($A25="","",IF(COUNTIF(drops!$A$2:$A$21,$B25)=0,"drop_id not on drops; ",IF($BG25="","drop date missing or refused; ",""))&amp;IF(AND($G25&lt;&gt;"",$G25&lt;&gt;$BI25),"price differs from the price list; ","")&amp;IF(AND(LEFT($BW25,4)="HOLD",$BL25&lt;&gt;"",IF(config!$B$37&lt;&gt;"",config!$B$37,TODAY())&gt;=WORKDAY(N($BL25),-3,calendar!$A$2:$A$80)),"SHIP HOLD within 3 business days of T-10; ","")&amp;IF(AND($BQ25&gt;0,$BL25&lt;&gt;"",IF(config!$B$37&lt;&gt;"",config!$B$37,TODAY())&gt;$BL25),"approvals still pending after T-10; ","")&amp;IF($BZ25&lt;0,"reserve below zero: check inventory; ","")&amp;IF(AND($BG25&lt;&gt;"",IF(config!$B$37&lt;&gt;"",config!$B$37,TODAY())&gt;WORKDAY(N($BG25),14,calendar!$A$2:$A$80),N($BZ25)+N($CA25)&lt;&gt;0),"units still on hand after T+14; ","")&amp;IF(N($CV25)&gt;0,"info: "&amp;$CV25&amp;" in-window responses with a card code that matches no office (not counted); ","")&amp;IF(AND($Z25="Y",$AK25=""),"newsletter form URL missing; ","")&amp;IF(AND($Z25="Y",$BG25&lt;&gt;"",IF(config!$B$37&lt;&gt;"",config!$B$37,TODAY())&gt;WORKDAY(N($BG25),5,calendar!$A$2:$A$80),$AY25=""),"newsletter list not yet passed on (due T+5); ","")&amp;IF(AND($AY25&lt;&gt;"",$BA25=""),"delete unticked emails; ","")&amp;IF(AND($AY25&lt;&gt;"",$BB25="",IF(config!$B$37&lt;&gt;"",config!$B$37,TODAY())&gt;$AY25+config!$B$32),"DELETE the consented emails (30 days after passing on); ","")&amp;IF(AND($BG25&lt;&gt;"",$AJ25="",IF(config!$B$37&lt;&gt;"",config!$B$37,TODAY())&gt;=WORKDAY(N($BG25),-4,calendar!$A$2:$A$80)),"survey prefill template missing (due T-4); ","")&amp;IF(AND($AJ25&lt;&gt;"",ISERROR(SEARCH("CARDCODE",$AJ25))),"prefill template has no CARDCODE; ","")&amp;IF(AND($AF25="",$BG25&lt;&gt;"",IF(config!$B$37&lt;&gt;"",config!$B$37,TODAY())&gt;=WORKDAY(N($BG25),-3,calendar!$A$2:$A$80)),"card text not yet sent to the brand; ","")&amp;IF(AND($DA25="",$DQ25&lt;&gt;"",IF(config!$B$37&lt;&gt;"",config!$B$37,TODAY())&gt;$DQ25),"day-30 redemption count due; ","")&amp;IF(AND(LEFT($BW25,8)="RELEASED",$AG25=""),"ship-date email due (template 02): send it, then log ship_email_sent_date and ship_email_units; ","")&amp;IF(AND($AH25&lt;&gt;"",N($BT25)&gt;0,N($BX25)=0,N($AH25)&lt;&gt;N($BT25)),"units changed since the ship-date email of "&amp;IF($AG25="","?",TEXT($AG25,"yyyy-mm-dd"))&amp;" ("&amp;$AH25&amp;", now "&amp;$BT25&amp;"): send the brand the revised numbers (template 02) and log them; ","")&amp;IF($DT25="late","report late; ","")&amp;IF(AND(N($F25)&gt;0,$BO25&lt;N($F25),$BQ25=0),"info: "&amp;(N($F25)-$BO25)&amp;" office(s) short of the contract: add a roster office or credit $"&amp;IF($D25="founding",config!$B$25,config!$B$24)&amp;" each; ","")&amp;IF($BC25&lt;&gt;"",IF(COUNTIF(survey_frozen!$A$2:$A$251,$A25)=0,"answers deleted but no frozen totals: the survey numbers now read 0 (tools/freeze_survey.py, SOP answers_delete); ",""),IF(AND($BG25&lt;&gt;"",IF(config!$B$37&lt;&gt;"",config!$B$37,TODAY())&gt;=$BG25,ISREF(INDIRECT("'"&amp;$A25&amp;"'!B1"))),IF(INDIRECT("'"&amp;$A25&amp;"'!B1")&lt;&gt;"Card code (filled in for you)","survey tab column B is not the card code: fix the form or the tab; ",""),IF(AND($BG25&lt;&gt;"",IF(config!$B$37&lt;&gt;"",config!$B$37,TODAY())&gt;=$BG25),"no survey tab named "&amp;$A25&amp;"; ","")))&amp;IF(COUNTIF(brands!$A$2:$A$41,$C25)=0,"brand_id not on brands; ",IF(LEFT(IFERROR(IF(INDEX(brands!$AG$2:$AG$41,MATCH($C25,brands!$A$2:$A$41,0))="","",INDEX(brands!$AG$2:$AG$41,MATCH($C25,brands!$A$2:$A$41,0))),""),1)&lt;&gt;"Y","brand not qualified ("&amp;IFERROR(IF(INDEX(brands!$AG$2:$AG$41,MATCH($C25,brands!$A$2:$A$41,0))="","",INDEX(brands!$AG$2:$AG$41,MATCH($C25,brands!$A$2:$A$41,0))),"")&amp;"): nothing ships until it is; ",""))&amp;IF(AND(COUNTIF(brands!$A$2:$A$41,$C25)&gt;0,OR(IFERROR(IF(INDEX(brands!$C$2:$C$41,MATCH($C25,brands!$A$2:$A$41,0))="","",INDEX(brands!$C$2:$C$41,MATCH($C25,brands!$A$2:$A$41,0))),"")="",IFERROR(IF(INDEX(brands!$D$2:$D$41,MATCH($C25,brands!$A$2:$A$41,0))="","",INDEX(brands!$D$2:$D$41,MATCH($C25,brands!$A$2:$A$41,0))),"")="",IFERROR(IF(INDEX(brands!$E$2:$E$41,MATCH($C25,brands!$A$2:$A$41,0))="","",INDEX(brands!$E$2:$E$41,MATCH($C25,brands!$A$2:$A$41,0))),"")="")),"brand billing details missing on brands (legal name, address, email): needed for the invoice; ","")&amp;IF(AND($D25="founding",$E25&lt;&gt;"Y",N(IFERROR(IF(INDEX(brands!$AI$2:$AI$41,MATCH($C25,brands!$A$2:$A$41,0))="","",INDEX(brands!$AI$2:$AI$41,MATCH($C25,brands!$A$2:$A$41,0))),""))&gt;3),"the founding tier is for the first three brands only (this is brand "&amp;IFERROR(IF(INDEX(brands!$AI$2:$AI$41,MATCH($C25,brands!$A$2:$A$41,0))="","",INDEX(brands!$AI$2:$AI$41,MATCH($C25,brands!$A$2:$A$41,0))),"")&amp;"): use standard; ","")&amp;IF(AND($D25="founding",$E25&lt;&gt;"Y",COUNTIFS(campaigns!$C$2:$C$51,$C25,campaigns!$D$2:$D$51,"founding",campaigns!$E$2:$E$51,"&lt;&gt;Y")&gt;1),"a brand has the founding price once; its next two campaigns are founding_lock = Y; ","")&amp;IF(AND($E25="Y",COUNTIFS(campaigns!$C$2:$C$51,$C25,campaigns!$D$2:$D$51,"founding",campaigns!$E$2:$E$51,"Y")&gt;2),"founding_lock is for the brand's next two campaigns only (this is a third): use standard; ","")&amp;IF(AND($E25="Y",COUNTIFS(campaigns!$C$2:$C$51,$C25,campaigns!$D$2:$D$51,"founding",campaigns!$E$2:$E$51,"&lt;&gt;Y")=0),"founding_lock without a first founding campaign for this brand; ","")&amp;IF(AND(N($BX25)&gt;0,$BG25&lt;&gt;"",IF(config!$B$37&lt;&gt;"",config!$B$37,TODAY())&gt;=WORKDAY(N($BG25),-5,calendar!$A$2:$A$80)),IF(N($BX25)-N($BY25)&lt;N($BR25),"received "&amp;(N($BX25)-N($BY25))&amp;" usable units for "&amp;$BR25&amp;" allocated: reduce units_override evenly (SOP section 4, short shipment); ","")&amp;IF(AND(N($BX25)&lt;N($BT25),COUNTIFS(issues!$E$2:$E$121,$A25,issues!$G$2:$G$121,"short_shipment")=0),"received "&amp;$BX25&amp;" of "&amp;$BT25&amp;" due: log a short_shipment issue and tell the brand today; ",""),"")&amp;IF(AND($BG25&lt;&gt;"",IF(config!$B$37&lt;&gt;"",config!$B$37,TODAY())&gt;=WORKDAY(N($BG25),1,calendar!$A$2:$A$80),N($F25)&gt;0,(-SUMIFS(invoices!$E$2:$E$151,invoices!$B$2:$B$151,$A25,invoices!$C$2:$C$151,"credit_note"))&lt;(IF($D25="founding",config!$B$25,config!$B$24)*MAX(0,N($F25)-COUNTIFS(approvals!$A$2:$A$251,$A25,approvals!$Q$2:$Q$251,"Y",approvals!$AB$2:$AB$251,"Y")))-0.005),"credit due from T+1: "&amp;MAX(0,N($F25)-COUNTIFS(approvals!$A$2:$A$251,$A25,approvals!$Q$2:$Q$251,"Y",approvals!$AB$2:$AB$251,"Y"))&amp;" of "&amp;$F25&amp;" contracted offices not placed by T+1, $"&amp;(IF($D25="founding",config!$B$25,config!$B$24)*MAX(0,N($F25)-COUNTIFS(approvals!$A$2:$A$251,$A25,approvals!$Q$2:$Q$251,"Y",approvals!$AB$2:$AB$251,"Y")))&amp;" due, $"&amp;(-SUMIFS(invoices!$E$2:$E$151,invoices!$B$2:$B$151,$A25,invoices!$C$2:$C$151,"credit_note"))&amp;" in credit notes so far (template 06, make_invoice.py); ","")&amp;IF(AND(IFERROR(IF(INDEX(brands!$H$2:$H$41,MATCH($C25,brands!$A$2:$A$41,0))="","",INDEX(brands!$H$2:$H$41,MATCH($C25,brands!$A$2:$A$41,0))),"")&lt;&gt;"",$BG25&lt;&gt;"",IFERROR(IF(INDEX(brands!$H$2:$H$41,MATCH($C25,brands!$A$2:$A$41,0))="","",INDEX(brands!$H$2:$H$41,MATCH($C25,brands!$A$2:$A$41,0))),"")&lt;EDATE(WORKDAY(N($BG25),4,calendar!$A$2:$A$80),12)),"info: brand insurance ends "&amp;TEXT(IFERROR(IF(INDEX(brands!$H$2:$H$41,MATCH($C25,brands!$A$2:$A$41,0))="","",INDEX(brands!$H$2:$H$41,MATCH($C25,brands!$A$2:$A$41,0))),""),"yyyy-mm-dd")&amp;": diary the renewal certificate; ",""))</f>
        <v/>
      </c>
    </row>
    <row r="26">
      <c r="G26" s="10" t="n"/>
      <c r="H26" s="9" t="n"/>
      <c r="AB26" s="9" t="n"/>
      <c r="AC26" s="9" t="n"/>
      <c r="AD26" s="9" t="n"/>
      <c r="AF26" s="9" t="n"/>
      <c r="AG26" s="9" t="n"/>
      <c r="AT26" s="9" t="n"/>
      <c r="AU26" s="9" t="n"/>
      <c r="AY26" s="9" t="n"/>
      <c r="BA26" s="9" t="n"/>
      <c r="BB26" s="9" t="n"/>
      <c r="BC26" s="9" t="n"/>
      <c r="BE26" s="25">
        <f>IF($A26="","",IFERROR(IF(INDEX(brands!$K$2:$K$41,MATCH($C26,brands!$A$2:$A$41,0))="","",INDEX(brands!$K$2:$K$41,MATCH($C26,brands!$A$2:$A$41,0))),""))</f>
        <v/>
      </c>
      <c r="BF26" s="25">
        <f>IF($A26="","",IFERROR(IF(INDEX(brands!$M$2:$M$41,MATCH($C26,brands!$A$2:$A$41,0))="","",INDEX(brands!$M$2:$M$41,MATCH($C26,brands!$A$2:$A$41,0))),""))</f>
        <v/>
      </c>
      <c r="BG26" s="26">
        <f>IF($A26="","",IF(IFERROR(IF(INDEX(drops!$I$2:$I$21,MATCH($B26,drops!$A$2:$A$21,0))="","",INDEX(drops!$I$2:$I$21,MATCH($B26,drops!$A$2:$A$21,0))),"")="OK",IFERROR(IF(INDEX(drops!$B$2:$B$21,MATCH($B26,drops!$A$2:$A$21,0))="","",INDEX(drops!$B$2:$B$21,MATCH($B26,drops!$A$2:$A$21,0))),""),""))</f>
        <v/>
      </c>
      <c r="BH26" s="25">
        <f>IF($A26="","",IFERROR(IF(INDEX(drops!$C$2:$C$21,MATCH($B26,drops!$A$2:$A$21,0))="","",INDEX(drops!$C$2:$C$21,MATCH($B26,drops!$A$2:$A$21,0))),""))</f>
        <v/>
      </c>
      <c r="BI26" s="27">
        <f>IF($A26="","",IF($F26="","",IF($D26="founding",IF($E26="Y",config!$B$25*MIN($F26,config!$B$26)+config!$B$24*MAX(0,$F26-config!$B$26),config!$B$20+config!$B$24*MAX(0,$F26-config!$B$21)),IF($D26="standard",config!$B$22+config!$B$24*MAX(0,$F26-config!$B$23),""))))</f>
        <v/>
      </c>
      <c r="BJ26" s="27">
        <f>IF($A26="","",IF($G26&lt;&gt;"",$G26,$BI26))</f>
        <v/>
      </c>
      <c r="BK26" s="25">
        <f>IF($A26="","",IF($D26="founding","100% within "&amp;config!$B$27&amp;" business days of the invoice, before shipping",IF($D26="standard","50% on signing; 50% at placement confirmation (T+1)","")))</f>
        <v/>
      </c>
      <c r="BL26" s="26">
        <f>IF($A26="","",IFERROR(IF(INDEX(drops!$K$2:$K$21,MATCH($B26,drops!$A$2:$A$21,0))="","",INDEX(drops!$K$2:$K$21,MATCH($B26,drops!$A$2:$A$21,0))),""))</f>
        <v/>
      </c>
      <c r="BM26" s="26">
        <f>IF($A26="","",IFERROR(IF(INDEX(drops!$L$2:$L$21,MATCH($B26,drops!$A$2:$A$21,0))="","",INDEX(drops!$L$2:$L$21,MATCH($B26,drops!$A$2:$A$21,0))),""))</f>
        <v/>
      </c>
      <c r="BN26" s="25">
        <f>IF($A26="","",COUNTIF(approvals!$A$2:$A$251,$A26))</f>
        <v/>
      </c>
      <c r="BO26" s="25">
        <f>IF($A26="","",COUNTIFS(approvals!$A$2:$A$251,$A26,approvals!$P$2:$P$251,"Y"))</f>
        <v/>
      </c>
      <c r="BP26" s="25">
        <f>IF($A26="","",COUNTIFS(approvals!$A$2:$A$251,$A26,approvals!$Q$2:$Q$251,"Y"))</f>
        <v/>
      </c>
      <c r="BQ26" s="25">
        <f>IF($A26="","",COUNTIFS(approvals!$A$2:$A$251,$A26,approvals!$P$2:$P$251,"pending"))</f>
        <v/>
      </c>
      <c r="BR26" s="25">
        <f>IF($A26="","",SUMIFS(approvals!$S$2:$S$251,approvals!$A$2:$A$251,$A26,approvals!$P$2:$P$251,"Y"))</f>
        <v/>
      </c>
      <c r="BS26" s="25">
        <f>IF($A26="","",ROUNDUP($BR26*config!$B$18,0))</f>
        <v/>
      </c>
      <c r="BT26" s="25">
        <f>IF($A26="","",$BR26+$BS26)</f>
        <v/>
      </c>
      <c r="BU26" s="27">
        <f>IF($A26="","",SUMIFS(invoices!$I$2:$I$151,invoices!$B$2:$B$151,$A26,invoices!$R$2:$R$151,"Y",invoices!$H$2:$H$151,"&gt;0"))</f>
        <v/>
      </c>
      <c r="BV26" s="27">
        <f>IF($A26="","",IF($BJ26="","",IF($D26="founding",$BJ26,ROUND($BJ26*config!$B$28,2))))</f>
        <v/>
      </c>
      <c r="BW26" s="25">
        <f>IF($A26="","",IF(AND(N($BU26)&gt;=N($BV26),N($BV26)&gt;0,$H26&lt;&gt;"",AND($AB26&lt;&gt;"",IFERROR(IF(INDEX(brands!$G$2:$G$41,MATCH($C26,brands!$A$2:$A$41,0))="","",INDEX(brands!$G$2:$G$41,MATCH($C26,brands!$A$2:$A$41,0))),"")="Y"),LEFT(IFERROR(IF(INDEX(brands!$AG$2:$AG$41,MATCH($C26,brands!$A$2:$A$41,0))="","",INDEX(brands!$AG$2:$AG$41,MATCH($C26,brands!$A$2:$A$41,0))),""),1)="Y",$BG26&lt;&gt;"",$BQ26=0,$BO26&gt;0),"RELEASED "&amp;TEXT(MAX(IFERROR(1/(1/SUMPRODUCT(MAX((invoices!$B$2:$B$151=$A26)*(invoices!$R$2:$R$151="Y")*(invoices!$H$2:$H$151)))),""),$H26,$AB26,SUMPRODUCT(MAX((approvals!$A$2:$A$251=$A26)*(approvals!$P$2:$P$251="Y")*(approvals!$E$2:$E$251+(approvals!$E$2:$E$251=0)*approvals!$C$2:$C$251)))),"yyyy-mm-dd")&amp;": ship by "&amp;TEXT($BM26,"ddd yyyy-mm-dd")&amp;" (latest "&amp;TEXT($BL26,"ddd yyyy-mm-dd")&amp;")","HOLD: "&amp;IF(N($BU26)&lt;N($BV26),"payment ("&amp;TEXT(N($BU26),"0")&amp;" of "&amp;TEXT(N($BV26),"0")&amp;") ","")&amp;IF($H26="","agreement ","")&amp;IF(NOT(AND($AB26&lt;&gt;"",IFERROR(IF(INDEX(brands!$G$2:$G$41,MATCH($C26,brands!$A$2:$A$41,0))="","",INDEX(brands!$G$2:$G$41,MATCH($C26,brands!$A$2:$A$41,0))),"")="Y")),"certificate ","")&amp;IF(NOT(LEFT(IFERROR(IF(INDEX(brands!$AG$2:$AG$41,MATCH($C26,brands!$A$2:$A$41,0))="","",INDEX(brands!$AG$2:$AG$41,MATCH($C26,brands!$A$2:$A$41,0))),""),1)="Y"),"qualification ","")&amp;IF($BG26="","drop date ","")&amp;IF($BQ26&gt;0,"approvals ("&amp;$BQ26&amp;" pending) ","")&amp;IF($BO26=0,"no office approved ","")))</f>
        <v/>
      </c>
      <c r="BX26" s="25">
        <f>IF($A26="","",SUMIFS(inventory!$G$2:$G$801,inventory!$C$2:$C$801,$A26,inventory!$E$2:$E$801,"received"))</f>
        <v/>
      </c>
      <c r="BY26" s="25">
        <f>IF($A26="","",SUMIFS(inventory!$G$2:$G$801,inventory!$C$2:$C$801,$A26,inventory!$E$2:$E$801,"rejected"))</f>
        <v/>
      </c>
      <c r="BZ26" s="25">
        <f>IF($A26="","",SUMIFS(inventory!$M$2:$M$801,inventory!$C$2:$C$801,$A26))</f>
        <v/>
      </c>
      <c r="CA26" s="25">
        <f>IF($A26="","",SUMIFS(inventory!$O$2:$O$801,inventory!$C$2:$C$801,$A26))</f>
        <v/>
      </c>
      <c r="CB26" s="25">
        <f>IF($A26="","",SUMIFS(approvals!$U$2:$U$251,approvals!$A$2:$A$251,$A26))</f>
        <v/>
      </c>
      <c r="CC26" s="25">
        <f>IF($A26="","",SUMIFS(approvals!$AA$2:$AA$251,approvals!$A$2:$A$251,$A26))</f>
        <v/>
      </c>
      <c r="CD26" s="25">
        <f>IF($A26="","",SUMIFS(approvals!$AA$2:$AA$251,approvals!$A$2:$A$251,$A26,approvals!$AB$2:$AB$251,"Y"))</f>
        <v/>
      </c>
      <c r="CE26" s="29">
        <f>IF($A26="","",IF(N($CB26)=0,"",$CD26/$CB26))</f>
        <v/>
      </c>
      <c r="CF26" s="25">
        <f>IF($A26="","",SUMIFS(approvals!$AD$2:$AD$251,approvals!$A$2:$A$251,$A26))</f>
        <v/>
      </c>
      <c r="CG26" s="25">
        <f>IF($A26="","",IF(COUNTIFS(approvals!$A$2:$A$251,$A26,approvals!$Q$2:$Q$251,"Y",approvals!$AG$2:$AG$251,"")&gt;0,"",SUMIFS(approvals!$AG$2:$AG$251,approvals!$A$2:$A$251,$A26,approvals!$Q$2:$Q$251,"Y")))</f>
        <v/>
      </c>
      <c r="CH26" s="25">
        <f>IF($A26="","",SUMIFS(approvals!$AL$2:$AL$251,approvals!$A$2:$A$251,$A26))</f>
        <v/>
      </c>
      <c r="CI26" s="25">
        <f>IF($A26="","",IF(N($BP26)=0,"",SUMPRODUCT(MIN(approvals!$BB$2:$BB$251+(approvals!$A$2:$A$251&lt;&gt;$A26)*1000000))))</f>
        <v/>
      </c>
      <c r="CJ26" s="25">
        <f>IF($A26="","",COUNTIFS(approvals!$A$2:$A$251,$A26,approvals!$Q$2:$Q$251,"Y",approvals!$AL$2:$AL$251,"&lt;"&amp;config!$B$30))</f>
        <v/>
      </c>
      <c r="CK26" s="25">
        <f>IF($A26="","",SUMIFS(approvals!$AM$2:$AM$251,approvals!$A$2:$A$251,$A26))</f>
        <v/>
      </c>
      <c r="CL26" s="25">
        <f>IF($A26="","",SUMIFS(approvals!$AQ$2:$AQ$251,approvals!$A$2:$A$251,$A26))</f>
        <v/>
      </c>
      <c r="CM26" s="25">
        <f>IF($A26="","",SUMIFS(approvals!$AR$2:$AR$251,approvals!$A$2:$A$251,$A26))</f>
        <v/>
      </c>
      <c r="CN26" s="25">
        <f>IF($A26="","",SUMIFS(approvals!$AS$2:$AS$251,approvals!$A$2:$A$251,$A26))</f>
        <v/>
      </c>
      <c r="CO26" s="25">
        <f>IF($A26="","",SUMIFS(approvals!$AT$2:$AT$251,approvals!$A$2:$A$251,$A26))</f>
        <v/>
      </c>
      <c r="CP26" s="28">
        <f>IF($A26="","",IF(N($CO26)=0,"",ROUND(SUMIFS(approvals!$AU$2:$AU$251,approvals!$A$2:$A$251,$A26)/$CO26,1)))</f>
        <v/>
      </c>
      <c r="CQ26" s="25">
        <f>IF($A26="","",SUMIFS(approvals!$AV$2:$AV$251,approvals!$A$2:$A$251,$A26))</f>
        <v/>
      </c>
      <c r="CR26" s="25">
        <f>IF($A26="","",SUMIFS(approvals!$AW$2:$AW$251,approvals!$A$2:$A$251,$A26))</f>
        <v/>
      </c>
      <c r="CS26" s="25">
        <f>IF($A26="","",SUMIFS(approvals!$AX$2:$AX$251,approvals!$A$2:$A$251,$A26))</f>
        <v/>
      </c>
      <c r="CT26" s="25">
        <f>IF($A26="","",SUMIFS(approvals!$AY$2:$AY$251,approvals!$A$2:$A$251,$A26))</f>
        <v/>
      </c>
      <c r="CU26" s="25">
        <f>IF($A26="","",IF(OR($BG26="",$BC26&lt;&gt;""),"",IFERROR(COUNT(INDIRECT("'"&amp;$A26&amp;"'!$A$2:$A$501")),0)-IFERROR(COUNTIFS(INDIRECT("'"&amp;$A26&amp;"'!$A$2:$A$501"),"&gt;="&amp;$BG26,INDIRECT("'"&amp;$A26&amp;"'!$A$2:$A$501"),"&lt;"&amp;(IFERROR(IF(INDEX(drops!$R$2:$R$21,MATCH($B26,drops!$A$2:$A$21,0))="","",INDEX(drops!$R$2:$R$21,MATCH($B26,drops!$A$2:$A$21,0))),"")+1)),0)))</f>
        <v/>
      </c>
      <c r="CV26" s="25">
        <f>IF($A26="","",IF(OR($BG26="",$BC26&lt;&gt;""),"",IFERROR(COUNTIFS(INDIRECT("'"&amp;$A26&amp;"'!$A$2:$A$501"),"&gt;="&amp;$BG26,INDIRECT("'"&amp;$A26&amp;"'!$A$2:$A$501"),"&lt;"&amp;(IFERROR(IF(INDEX(drops!$R$2:$R$21,MATCH($B26,drops!$A$2:$A$21,0))="","",INDEX(drops!$R$2:$R$21,MATCH($B26,drops!$A$2:$A$21,0))),"")+1)),0)-N($CH26)))</f>
        <v/>
      </c>
      <c r="CW26" s="25">
        <f>IF($A26="","",SUMIFS(approvals!$AN$2:$AN$251,approvals!$A$2:$A$251,$A26))</f>
        <v/>
      </c>
      <c r="CX26" s="25">
        <f>IF($A26="","",SUMIFS(approvals!$AO$2:$AO$251,approvals!$A$2:$A$251,$A26))</f>
        <v/>
      </c>
      <c r="CY26" s="25">
        <f>IF($A26="","",IF($CZ26="","",SUMIFS(redemptions!$C$2:$C$121,redemptions!$A$2:$A$121,$A26,redemptions!$B$2:$B$121,$CZ26)))</f>
        <v/>
      </c>
      <c r="CZ26" s="26">
        <f>IF($A26="","",IFERROR(1/(1/SUMPRODUCT(MAX((redemptions!$A$2:$A$121=$A26)*redemptions!$B$2:$B$121))),""))</f>
        <v/>
      </c>
      <c r="DA26" s="25">
        <f>IF($A26="","",IF(COUNTIFS(redemptions!$A$2:$A$121,$A26,redemptions!$H$2:$H$121,"Y")=0,"",SUMIFS(redemptions!$C$2:$C$121,redemptions!$A$2:$A$121,$A26,redemptions!$B$2:$B$121,SUMPRODUCT(MIN((redemptions!$A$2:$A$121=$A26)*(redemptions!$H$2:$H$121="Y")*redemptions!$B$2:$B$121+((redemptions!$A$2:$A$121&lt;&gt;$A26)+(redemptions!$H$2:$H$121&lt;&gt;"Y")&gt;0)*1000000)))))</f>
        <v/>
      </c>
      <c r="DB26" s="27">
        <f>IF($A26="","",SUMIFS(invoices!$E$2:$E$151,invoices!$B$2:$B$151,$A26))</f>
        <v/>
      </c>
      <c r="DC26" s="27">
        <f>IF($A26="","",IF(COUNTIFS(invoices!$B$2:$B$151,$A26,invoices!$C$2:$C$151,"standard_deposit",invoices!$H$2:$H$151,"&gt;0")=0,"",SUMIFS(invoices!$I$2:$I$151,invoices!$B$2:$B$151,$A26,invoices!$C$2:$C$151,"standard_deposit")))</f>
        <v/>
      </c>
      <c r="DD26" s="26">
        <f>IF($A26="","",IFERROR(1/(1/SUMPRODUCT(MAX((invoices!$B$2:$B$151=$A26)*(invoices!$C$2:$C$151="standard_deposit")*invoices!$H$2:$H$151))),""))</f>
        <v/>
      </c>
      <c r="DE26" s="26">
        <f>IF($A26="","",IFERROR(1/(1/SUMPRODUCT(MAX((invoices!$B$2:$B$151=$A26)*((invoices!$C$2:$C$151="founding_full")+(invoices!$C$2:$C$151="standard_balance"))*invoices!$H$2:$H$151))),""))</f>
        <v/>
      </c>
      <c r="DF26" s="27">
        <f>IF($A26="","",SUMIFS(invoices!$L$2:$L$151,invoices!$B$2:$B$151,$A26))</f>
        <v/>
      </c>
      <c r="DG26" s="27">
        <f>IF($A26="","",SUMIFS(costs!$E$2:$E$301,costs!$C$2:$C$301,$A26))</f>
        <v/>
      </c>
      <c r="DH26" s="27">
        <f>IF($A26="","",ROUND(IF(SUMIFS(campaigns!$BO$2:$BO$51,campaigns!$B$2:$B$51,$B26)=0,0,$BO26/SUMIFS(campaigns!$BO$2:$BO$51,campaigns!$B$2:$B$51,$B26))*(SUMIFS(costs!$E$2:$E$301,costs!$B$2:$B$301,$B26)-SUMPRODUCT((costs!$B$2:$B$301=$B26)*(LEN(costs!$C$2:$C$301)&gt;0)*costs!$E$2:$E$301)),2))</f>
        <v/>
      </c>
      <c r="DI26" s="28">
        <f>IF($A26="","",SUMIFS(hours!$E$2:$E$1501,hours!$C$2:$C$1501,$A26))</f>
        <v/>
      </c>
      <c r="DJ26" s="28">
        <f>IF($A26="","",ROUND(IF(SUMIFS(campaigns!$BO$2:$BO$51,campaigns!$B$2:$B$51,$B26)=0,0,$BO26/SUMIFS(campaigns!$BO$2:$BO$51,campaigns!$B$2:$B$51,$B26))*(SUMIFS(hours!$E$2:$E$1501,hours!$B$2:$B$1501,$B26)-SUMPRODUCT((hours!$B$2:$B$1501=$B26)*(LEN(hours!$C$2:$C$1501)&gt;0)*hours!$E$2:$E$1501)),2))</f>
        <v/>
      </c>
      <c r="DK26" s="27">
        <f>IF($A26="","",$DB26-$DF26-$DG26-$DH26)</f>
        <v/>
      </c>
      <c r="DL26" s="27">
        <f>IF($A26="","",IF(N($DI26)+N($DJ26)=0,"",ROUND($DK26/($DI26+$DJ26),2)))</f>
        <v/>
      </c>
      <c r="DM26" s="29">
        <f>IF($A26="","",IF(N($BP26)=0,"",COUNTIFS(approvals!$A$2:$A$251,$A26,approvals!$Q$2:$Q$251,"Y",approvals!$AK$2:$AK$251,"Y")/$BP26))</f>
        <v/>
      </c>
      <c r="DN26" s="28">
        <f>IF($A26="","",IF(COUNTIFS(approvals!$A$2:$A$251,$A26,approvals!$AC$2:$AC$251,"&gt;=0")=0,"",ROUND(SUMIFS(approvals!$AC$2:$AC$251,approvals!$A$2:$A$251,$A26)/COUNTIFS(approvals!$A$2:$A$251,$A26,approvals!$AC$2:$AC$251,"&gt;=0"),1)))</f>
        <v/>
      </c>
      <c r="DO26" s="26">
        <f>IF($A26="","",IFERROR(IF(INDEX(drops!$T$2:$T$21,MATCH($B26,drops!$A$2:$A$21,0))="","",INDEX(drops!$T$2:$T$21,MATCH($B26,drops!$A$2:$A$21,0))),""))</f>
        <v/>
      </c>
      <c r="DP26" s="26">
        <f>IF($A26="","",IFERROR(IF(INDEX(drops!$U$2:$U$21,MATCH($B26,drops!$A$2:$A$21,0))="","",INDEX(drops!$U$2:$U$21,MATCH($B26,drops!$A$2:$A$21,0))),""))</f>
        <v/>
      </c>
      <c r="DQ26" s="26">
        <f>IF($A26="","",IFERROR(IF(INDEX(drops!$W$2:$W$21,MATCH($B26,drops!$A$2:$A$21,0))="","",INDEX(drops!$W$2:$W$21,MATCH($B26,drops!$A$2:$A$21,0))),""))</f>
        <v/>
      </c>
      <c r="DR26" s="25">
        <f>IF($A26="","",IF($CE26="","",IF($CE26&gt;=config!$B$31,"pass","miss")))</f>
        <v/>
      </c>
      <c r="DS26" s="25">
        <f>IF($A26="","",IF($CI26="","",IF($CI26&gt;=config!$B$30,"pass","miss")))</f>
        <v/>
      </c>
      <c r="DT26" s="25">
        <f>IF($A26="","",IF($AT26="",IF($DO26="","",IF(IF(config!$B$37&lt;&gt;"",config!$B$37,TODAY())&gt;$DO26,"late","due")),IF($AT26&lt;=$DO26,"pass","late")))</f>
        <v/>
      </c>
      <c r="DU26" s="25">
        <f>IF($A26="","",IF(COUNTIF(drops!$A$2:$A$21,$B26)=0,"drop_id not on drops; ",IF($BG26="","drop date missing or refused; ",""))&amp;IF(AND($G26&lt;&gt;"",$G26&lt;&gt;$BI26),"price differs from the price list; ","")&amp;IF(AND(LEFT($BW26,4)="HOLD",$BL26&lt;&gt;"",IF(config!$B$37&lt;&gt;"",config!$B$37,TODAY())&gt;=WORKDAY(N($BL26),-3,calendar!$A$2:$A$80)),"SHIP HOLD within 3 business days of T-10; ","")&amp;IF(AND($BQ26&gt;0,$BL26&lt;&gt;"",IF(config!$B$37&lt;&gt;"",config!$B$37,TODAY())&gt;$BL26),"approvals still pending after T-10; ","")&amp;IF($BZ26&lt;0,"reserve below zero: check inventory; ","")&amp;IF(AND($BG26&lt;&gt;"",IF(config!$B$37&lt;&gt;"",config!$B$37,TODAY())&gt;WORKDAY(N($BG26),14,calendar!$A$2:$A$80),N($BZ26)+N($CA26)&lt;&gt;0),"units still on hand after T+14; ","")&amp;IF(N($CV26)&gt;0,"info: "&amp;$CV26&amp;" in-window responses with a card code that matches no office (not counted); ","")&amp;IF(AND($Z26="Y",$AK26=""),"newsletter form URL missing; ","")&amp;IF(AND($Z26="Y",$BG26&lt;&gt;"",IF(config!$B$37&lt;&gt;"",config!$B$37,TODAY())&gt;WORKDAY(N($BG26),5,calendar!$A$2:$A$80),$AY26=""),"newsletter list not yet passed on (due T+5); ","")&amp;IF(AND($AY26&lt;&gt;"",$BA26=""),"delete unticked emails; ","")&amp;IF(AND($AY26&lt;&gt;"",$BB26="",IF(config!$B$37&lt;&gt;"",config!$B$37,TODAY())&gt;$AY26+config!$B$32),"DELETE the consented emails (30 days after passing on); ","")&amp;IF(AND($BG26&lt;&gt;"",$AJ26="",IF(config!$B$37&lt;&gt;"",config!$B$37,TODAY())&gt;=WORKDAY(N($BG26),-4,calendar!$A$2:$A$80)),"survey prefill template missing (due T-4); ","")&amp;IF(AND($AJ26&lt;&gt;"",ISERROR(SEARCH("CARDCODE",$AJ26))),"prefill template has no CARDCODE; ","")&amp;IF(AND($AF26="",$BG26&lt;&gt;"",IF(config!$B$37&lt;&gt;"",config!$B$37,TODAY())&gt;=WORKDAY(N($BG26),-3,calendar!$A$2:$A$80)),"card text not yet sent to the brand; ","")&amp;IF(AND($DA26="",$DQ26&lt;&gt;"",IF(config!$B$37&lt;&gt;"",config!$B$37,TODAY())&gt;$DQ26),"day-30 redemption count due; ","")&amp;IF(AND(LEFT($BW26,8)="RELEASED",$AG26=""),"ship-date email due (template 02): send it, then log ship_email_sent_date and ship_email_units; ","")&amp;IF(AND($AH26&lt;&gt;"",N($BT26)&gt;0,N($BX26)=0,N($AH26)&lt;&gt;N($BT26)),"units changed since the ship-date email of "&amp;IF($AG26="","?",TEXT($AG26,"yyyy-mm-dd"))&amp;" ("&amp;$AH26&amp;", now "&amp;$BT26&amp;"): send the brand the revised numbers (template 02) and log them; ","")&amp;IF($DT26="late","report late; ","")&amp;IF(AND(N($F26)&gt;0,$BO26&lt;N($F26),$BQ26=0),"info: "&amp;(N($F26)-$BO26)&amp;" office(s) short of the contract: add a roster office or credit $"&amp;IF($D26="founding",config!$B$25,config!$B$24)&amp;" each; ","")&amp;IF($BC26&lt;&gt;"",IF(COUNTIF(survey_frozen!$A$2:$A$251,$A26)=0,"answers deleted but no frozen totals: the survey numbers now read 0 (tools/freeze_survey.py, SOP answers_delete); ",""),IF(AND($BG26&lt;&gt;"",IF(config!$B$37&lt;&gt;"",config!$B$37,TODAY())&gt;=$BG26,ISREF(INDIRECT("'"&amp;$A26&amp;"'!B1"))),IF(INDIRECT("'"&amp;$A26&amp;"'!B1")&lt;&gt;"Card code (filled in for you)","survey tab column B is not the card code: fix the form or the tab; ",""),IF(AND($BG26&lt;&gt;"",IF(config!$B$37&lt;&gt;"",config!$B$37,TODAY())&gt;=$BG26),"no survey tab named "&amp;$A26&amp;"; ","")))&amp;IF(COUNTIF(brands!$A$2:$A$41,$C26)=0,"brand_id not on brands; ",IF(LEFT(IFERROR(IF(INDEX(brands!$AG$2:$AG$41,MATCH($C26,brands!$A$2:$A$41,0))="","",INDEX(brands!$AG$2:$AG$41,MATCH($C26,brands!$A$2:$A$41,0))),""),1)&lt;&gt;"Y","brand not qualified ("&amp;IFERROR(IF(INDEX(brands!$AG$2:$AG$41,MATCH($C26,brands!$A$2:$A$41,0))="","",INDEX(brands!$AG$2:$AG$41,MATCH($C26,brands!$A$2:$A$41,0))),"")&amp;"): nothing ships until it is; ",""))&amp;IF(AND(COUNTIF(brands!$A$2:$A$41,$C26)&gt;0,OR(IFERROR(IF(INDEX(brands!$C$2:$C$41,MATCH($C26,brands!$A$2:$A$41,0))="","",INDEX(brands!$C$2:$C$41,MATCH($C26,brands!$A$2:$A$41,0))),"")="",IFERROR(IF(INDEX(brands!$D$2:$D$41,MATCH($C26,brands!$A$2:$A$41,0))="","",INDEX(brands!$D$2:$D$41,MATCH($C26,brands!$A$2:$A$41,0))),"")="",IFERROR(IF(INDEX(brands!$E$2:$E$41,MATCH($C26,brands!$A$2:$A$41,0))="","",INDEX(brands!$E$2:$E$41,MATCH($C26,brands!$A$2:$A$41,0))),"")="")),"brand billing details missing on brands (legal name, address, email): needed for the invoice; ","")&amp;IF(AND($D26="founding",$E26&lt;&gt;"Y",N(IFERROR(IF(INDEX(brands!$AI$2:$AI$41,MATCH($C26,brands!$A$2:$A$41,0))="","",INDEX(brands!$AI$2:$AI$41,MATCH($C26,brands!$A$2:$A$41,0))),""))&gt;3),"the founding tier is for the first three brands only (this is brand "&amp;IFERROR(IF(INDEX(brands!$AI$2:$AI$41,MATCH($C26,brands!$A$2:$A$41,0))="","",INDEX(brands!$AI$2:$AI$41,MATCH($C26,brands!$A$2:$A$41,0))),"")&amp;"): use standard; ","")&amp;IF(AND($D26="founding",$E26&lt;&gt;"Y",COUNTIFS(campaigns!$C$2:$C$51,$C26,campaigns!$D$2:$D$51,"founding",campaigns!$E$2:$E$51,"&lt;&gt;Y")&gt;1),"a brand has the founding price once; its next two campaigns are founding_lock = Y; ","")&amp;IF(AND($E26="Y",COUNTIFS(campaigns!$C$2:$C$51,$C26,campaigns!$D$2:$D$51,"founding",campaigns!$E$2:$E$51,"Y")&gt;2),"founding_lock is for the brand's next two campaigns only (this is a third): use standard; ","")&amp;IF(AND($E26="Y",COUNTIFS(campaigns!$C$2:$C$51,$C26,campaigns!$D$2:$D$51,"founding",campaigns!$E$2:$E$51,"&lt;&gt;Y")=0),"founding_lock without a first founding campaign for this brand; ","")&amp;IF(AND(N($BX26)&gt;0,$BG26&lt;&gt;"",IF(config!$B$37&lt;&gt;"",config!$B$37,TODAY())&gt;=WORKDAY(N($BG26),-5,calendar!$A$2:$A$80)),IF(N($BX26)-N($BY26)&lt;N($BR26),"received "&amp;(N($BX26)-N($BY26))&amp;" usable units for "&amp;$BR26&amp;" allocated: reduce units_override evenly (SOP section 4, short shipment); ","")&amp;IF(AND(N($BX26)&lt;N($BT26),COUNTIFS(issues!$E$2:$E$121,$A26,issues!$G$2:$G$121,"short_shipment")=0),"received "&amp;$BX26&amp;" of "&amp;$BT26&amp;" due: log a short_shipment issue and tell the brand today; ",""),"")&amp;IF(AND($BG26&lt;&gt;"",IF(config!$B$37&lt;&gt;"",config!$B$37,TODAY())&gt;=WORKDAY(N($BG26),1,calendar!$A$2:$A$80),N($F26)&gt;0,(-SUMIFS(invoices!$E$2:$E$151,invoices!$B$2:$B$151,$A26,invoices!$C$2:$C$151,"credit_note"))&lt;(IF($D26="founding",config!$B$25,config!$B$24)*MAX(0,N($F26)-COUNTIFS(approvals!$A$2:$A$251,$A26,approvals!$Q$2:$Q$251,"Y",approvals!$AB$2:$AB$251,"Y")))-0.005),"credit due from T+1: "&amp;MAX(0,N($F26)-COUNTIFS(approvals!$A$2:$A$251,$A26,approvals!$Q$2:$Q$251,"Y",approvals!$AB$2:$AB$251,"Y"))&amp;" of "&amp;$F26&amp;" contracted offices not placed by T+1, $"&amp;(IF($D26="founding",config!$B$25,config!$B$24)*MAX(0,N($F26)-COUNTIFS(approvals!$A$2:$A$251,$A26,approvals!$Q$2:$Q$251,"Y",approvals!$AB$2:$AB$251,"Y")))&amp;" due, $"&amp;(-SUMIFS(invoices!$E$2:$E$151,invoices!$B$2:$B$151,$A26,invoices!$C$2:$C$151,"credit_note"))&amp;" in credit notes so far (template 06, make_invoice.py); ","")&amp;IF(AND(IFERROR(IF(INDEX(brands!$H$2:$H$41,MATCH($C26,brands!$A$2:$A$41,0))="","",INDEX(brands!$H$2:$H$41,MATCH($C26,brands!$A$2:$A$41,0))),"")&lt;&gt;"",$BG26&lt;&gt;"",IFERROR(IF(INDEX(brands!$H$2:$H$41,MATCH($C26,brands!$A$2:$A$41,0))="","",INDEX(brands!$H$2:$H$41,MATCH($C26,brands!$A$2:$A$41,0))),"")&lt;EDATE(WORKDAY(N($BG26),4,calendar!$A$2:$A$80),12)),"info: brand insurance ends "&amp;TEXT(IFERROR(IF(INDEX(brands!$H$2:$H$41,MATCH($C26,brands!$A$2:$A$41,0))="","",INDEX(brands!$H$2:$H$41,MATCH($C26,brands!$A$2:$A$41,0))),""),"yyyy-mm-dd")&amp;": diary the renewal certificate; ",""))</f>
        <v/>
      </c>
    </row>
    <row r="27">
      <c r="G27" s="10" t="n"/>
      <c r="H27" s="9" t="n"/>
      <c r="AB27" s="9" t="n"/>
      <c r="AC27" s="9" t="n"/>
      <c r="AD27" s="9" t="n"/>
      <c r="AF27" s="9" t="n"/>
      <c r="AG27" s="9" t="n"/>
      <c r="AT27" s="9" t="n"/>
      <c r="AU27" s="9" t="n"/>
      <c r="AY27" s="9" t="n"/>
      <c r="BA27" s="9" t="n"/>
      <c r="BB27" s="9" t="n"/>
      <c r="BC27" s="9" t="n"/>
      <c r="BE27" s="25">
        <f>IF($A27="","",IFERROR(IF(INDEX(brands!$K$2:$K$41,MATCH($C27,brands!$A$2:$A$41,0))="","",INDEX(brands!$K$2:$K$41,MATCH($C27,brands!$A$2:$A$41,0))),""))</f>
        <v/>
      </c>
      <c r="BF27" s="25">
        <f>IF($A27="","",IFERROR(IF(INDEX(brands!$M$2:$M$41,MATCH($C27,brands!$A$2:$A$41,0))="","",INDEX(brands!$M$2:$M$41,MATCH($C27,brands!$A$2:$A$41,0))),""))</f>
        <v/>
      </c>
      <c r="BG27" s="26">
        <f>IF($A27="","",IF(IFERROR(IF(INDEX(drops!$I$2:$I$21,MATCH($B27,drops!$A$2:$A$21,0))="","",INDEX(drops!$I$2:$I$21,MATCH($B27,drops!$A$2:$A$21,0))),"")="OK",IFERROR(IF(INDEX(drops!$B$2:$B$21,MATCH($B27,drops!$A$2:$A$21,0))="","",INDEX(drops!$B$2:$B$21,MATCH($B27,drops!$A$2:$A$21,0))),""),""))</f>
        <v/>
      </c>
      <c r="BH27" s="25">
        <f>IF($A27="","",IFERROR(IF(INDEX(drops!$C$2:$C$21,MATCH($B27,drops!$A$2:$A$21,0))="","",INDEX(drops!$C$2:$C$21,MATCH($B27,drops!$A$2:$A$21,0))),""))</f>
        <v/>
      </c>
      <c r="BI27" s="27">
        <f>IF($A27="","",IF($F27="","",IF($D27="founding",IF($E27="Y",config!$B$25*MIN($F27,config!$B$26)+config!$B$24*MAX(0,$F27-config!$B$26),config!$B$20+config!$B$24*MAX(0,$F27-config!$B$21)),IF($D27="standard",config!$B$22+config!$B$24*MAX(0,$F27-config!$B$23),""))))</f>
        <v/>
      </c>
      <c r="BJ27" s="27">
        <f>IF($A27="","",IF($G27&lt;&gt;"",$G27,$BI27))</f>
        <v/>
      </c>
      <c r="BK27" s="25">
        <f>IF($A27="","",IF($D27="founding","100% within "&amp;config!$B$27&amp;" business days of the invoice, before shipping",IF($D27="standard","50% on signing; 50% at placement confirmation (T+1)","")))</f>
        <v/>
      </c>
      <c r="BL27" s="26">
        <f>IF($A27="","",IFERROR(IF(INDEX(drops!$K$2:$K$21,MATCH($B27,drops!$A$2:$A$21,0))="","",INDEX(drops!$K$2:$K$21,MATCH($B27,drops!$A$2:$A$21,0))),""))</f>
        <v/>
      </c>
      <c r="BM27" s="26">
        <f>IF($A27="","",IFERROR(IF(INDEX(drops!$L$2:$L$21,MATCH($B27,drops!$A$2:$A$21,0))="","",INDEX(drops!$L$2:$L$21,MATCH($B27,drops!$A$2:$A$21,0))),""))</f>
        <v/>
      </c>
      <c r="BN27" s="25">
        <f>IF($A27="","",COUNTIF(approvals!$A$2:$A$251,$A27))</f>
        <v/>
      </c>
      <c r="BO27" s="25">
        <f>IF($A27="","",COUNTIFS(approvals!$A$2:$A$251,$A27,approvals!$P$2:$P$251,"Y"))</f>
        <v/>
      </c>
      <c r="BP27" s="25">
        <f>IF($A27="","",COUNTIFS(approvals!$A$2:$A$251,$A27,approvals!$Q$2:$Q$251,"Y"))</f>
        <v/>
      </c>
      <c r="BQ27" s="25">
        <f>IF($A27="","",COUNTIFS(approvals!$A$2:$A$251,$A27,approvals!$P$2:$P$251,"pending"))</f>
        <v/>
      </c>
      <c r="BR27" s="25">
        <f>IF($A27="","",SUMIFS(approvals!$S$2:$S$251,approvals!$A$2:$A$251,$A27,approvals!$P$2:$P$251,"Y"))</f>
        <v/>
      </c>
      <c r="BS27" s="25">
        <f>IF($A27="","",ROUNDUP($BR27*config!$B$18,0))</f>
        <v/>
      </c>
      <c r="BT27" s="25">
        <f>IF($A27="","",$BR27+$BS27)</f>
        <v/>
      </c>
      <c r="BU27" s="27">
        <f>IF($A27="","",SUMIFS(invoices!$I$2:$I$151,invoices!$B$2:$B$151,$A27,invoices!$R$2:$R$151,"Y",invoices!$H$2:$H$151,"&gt;0"))</f>
        <v/>
      </c>
      <c r="BV27" s="27">
        <f>IF($A27="","",IF($BJ27="","",IF($D27="founding",$BJ27,ROUND($BJ27*config!$B$28,2))))</f>
        <v/>
      </c>
      <c r="BW27" s="25">
        <f>IF($A27="","",IF(AND(N($BU27)&gt;=N($BV27),N($BV27)&gt;0,$H27&lt;&gt;"",AND($AB27&lt;&gt;"",IFERROR(IF(INDEX(brands!$G$2:$G$41,MATCH($C27,brands!$A$2:$A$41,0))="","",INDEX(brands!$G$2:$G$41,MATCH($C27,brands!$A$2:$A$41,0))),"")="Y"),LEFT(IFERROR(IF(INDEX(brands!$AG$2:$AG$41,MATCH($C27,brands!$A$2:$A$41,0))="","",INDEX(brands!$AG$2:$AG$41,MATCH($C27,brands!$A$2:$A$41,0))),""),1)="Y",$BG27&lt;&gt;"",$BQ27=0,$BO27&gt;0),"RELEASED "&amp;TEXT(MAX(IFERROR(1/(1/SUMPRODUCT(MAX((invoices!$B$2:$B$151=$A27)*(invoices!$R$2:$R$151="Y")*(invoices!$H$2:$H$151)))),""),$H27,$AB27,SUMPRODUCT(MAX((approvals!$A$2:$A$251=$A27)*(approvals!$P$2:$P$251="Y")*(approvals!$E$2:$E$251+(approvals!$E$2:$E$251=0)*approvals!$C$2:$C$251)))),"yyyy-mm-dd")&amp;": ship by "&amp;TEXT($BM27,"ddd yyyy-mm-dd")&amp;" (latest "&amp;TEXT($BL27,"ddd yyyy-mm-dd")&amp;")","HOLD: "&amp;IF(N($BU27)&lt;N($BV27),"payment ("&amp;TEXT(N($BU27),"0")&amp;" of "&amp;TEXT(N($BV27),"0")&amp;") ","")&amp;IF($H27="","agreement ","")&amp;IF(NOT(AND($AB27&lt;&gt;"",IFERROR(IF(INDEX(brands!$G$2:$G$41,MATCH($C27,brands!$A$2:$A$41,0))="","",INDEX(brands!$G$2:$G$41,MATCH($C27,brands!$A$2:$A$41,0))),"")="Y")),"certificate ","")&amp;IF(NOT(LEFT(IFERROR(IF(INDEX(brands!$AG$2:$AG$41,MATCH($C27,brands!$A$2:$A$41,0))="","",INDEX(brands!$AG$2:$AG$41,MATCH($C27,brands!$A$2:$A$41,0))),""),1)="Y"),"qualification ","")&amp;IF($BG27="","drop date ","")&amp;IF($BQ27&gt;0,"approvals ("&amp;$BQ27&amp;" pending) ","")&amp;IF($BO27=0,"no office approved ","")))</f>
        <v/>
      </c>
      <c r="BX27" s="25">
        <f>IF($A27="","",SUMIFS(inventory!$G$2:$G$801,inventory!$C$2:$C$801,$A27,inventory!$E$2:$E$801,"received"))</f>
        <v/>
      </c>
      <c r="BY27" s="25">
        <f>IF($A27="","",SUMIFS(inventory!$G$2:$G$801,inventory!$C$2:$C$801,$A27,inventory!$E$2:$E$801,"rejected"))</f>
        <v/>
      </c>
      <c r="BZ27" s="25">
        <f>IF($A27="","",SUMIFS(inventory!$M$2:$M$801,inventory!$C$2:$C$801,$A27))</f>
        <v/>
      </c>
      <c r="CA27" s="25">
        <f>IF($A27="","",SUMIFS(inventory!$O$2:$O$801,inventory!$C$2:$C$801,$A27))</f>
        <v/>
      </c>
      <c r="CB27" s="25">
        <f>IF($A27="","",SUMIFS(approvals!$U$2:$U$251,approvals!$A$2:$A$251,$A27))</f>
        <v/>
      </c>
      <c r="CC27" s="25">
        <f>IF($A27="","",SUMIFS(approvals!$AA$2:$AA$251,approvals!$A$2:$A$251,$A27))</f>
        <v/>
      </c>
      <c r="CD27" s="25">
        <f>IF($A27="","",SUMIFS(approvals!$AA$2:$AA$251,approvals!$A$2:$A$251,$A27,approvals!$AB$2:$AB$251,"Y"))</f>
        <v/>
      </c>
      <c r="CE27" s="29">
        <f>IF($A27="","",IF(N($CB27)=0,"",$CD27/$CB27))</f>
        <v/>
      </c>
      <c r="CF27" s="25">
        <f>IF($A27="","",SUMIFS(approvals!$AD$2:$AD$251,approvals!$A$2:$A$251,$A27))</f>
        <v/>
      </c>
      <c r="CG27" s="25">
        <f>IF($A27="","",IF(COUNTIFS(approvals!$A$2:$A$251,$A27,approvals!$Q$2:$Q$251,"Y",approvals!$AG$2:$AG$251,"")&gt;0,"",SUMIFS(approvals!$AG$2:$AG$251,approvals!$A$2:$A$251,$A27,approvals!$Q$2:$Q$251,"Y")))</f>
        <v/>
      </c>
      <c r="CH27" s="25">
        <f>IF($A27="","",SUMIFS(approvals!$AL$2:$AL$251,approvals!$A$2:$A$251,$A27))</f>
        <v/>
      </c>
      <c r="CI27" s="25">
        <f>IF($A27="","",IF(N($BP27)=0,"",SUMPRODUCT(MIN(approvals!$BB$2:$BB$251+(approvals!$A$2:$A$251&lt;&gt;$A27)*1000000))))</f>
        <v/>
      </c>
      <c r="CJ27" s="25">
        <f>IF($A27="","",COUNTIFS(approvals!$A$2:$A$251,$A27,approvals!$Q$2:$Q$251,"Y",approvals!$AL$2:$AL$251,"&lt;"&amp;config!$B$30))</f>
        <v/>
      </c>
      <c r="CK27" s="25">
        <f>IF($A27="","",SUMIFS(approvals!$AM$2:$AM$251,approvals!$A$2:$A$251,$A27))</f>
        <v/>
      </c>
      <c r="CL27" s="25">
        <f>IF($A27="","",SUMIFS(approvals!$AQ$2:$AQ$251,approvals!$A$2:$A$251,$A27))</f>
        <v/>
      </c>
      <c r="CM27" s="25">
        <f>IF($A27="","",SUMIFS(approvals!$AR$2:$AR$251,approvals!$A$2:$A$251,$A27))</f>
        <v/>
      </c>
      <c r="CN27" s="25">
        <f>IF($A27="","",SUMIFS(approvals!$AS$2:$AS$251,approvals!$A$2:$A$251,$A27))</f>
        <v/>
      </c>
      <c r="CO27" s="25">
        <f>IF($A27="","",SUMIFS(approvals!$AT$2:$AT$251,approvals!$A$2:$A$251,$A27))</f>
        <v/>
      </c>
      <c r="CP27" s="28">
        <f>IF($A27="","",IF(N($CO27)=0,"",ROUND(SUMIFS(approvals!$AU$2:$AU$251,approvals!$A$2:$A$251,$A27)/$CO27,1)))</f>
        <v/>
      </c>
      <c r="CQ27" s="25">
        <f>IF($A27="","",SUMIFS(approvals!$AV$2:$AV$251,approvals!$A$2:$A$251,$A27))</f>
        <v/>
      </c>
      <c r="CR27" s="25">
        <f>IF($A27="","",SUMIFS(approvals!$AW$2:$AW$251,approvals!$A$2:$A$251,$A27))</f>
        <v/>
      </c>
      <c r="CS27" s="25">
        <f>IF($A27="","",SUMIFS(approvals!$AX$2:$AX$251,approvals!$A$2:$A$251,$A27))</f>
        <v/>
      </c>
      <c r="CT27" s="25">
        <f>IF($A27="","",SUMIFS(approvals!$AY$2:$AY$251,approvals!$A$2:$A$251,$A27))</f>
        <v/>
      </c>
      <c r="CU27" s="25">
        <f>IF($A27="","",IF(OR($BG27="",$BC27&lt;&gt;""),"",IFERROR(COUNT(INDIRECT("'"&amp;$A27&amp;"'!$A$2:$A$501")),0)-IFERROR(COUNTIFS(INDIRECT("'"&amp;$A27&amp;"'!$A$2:$A$501"),"&gt;="&amp;$BG27,INDIRECT("'"&amp;$A27&amp;"'!$A$2:$A$501"),"&lt;"&amp;(IFERROR(IF(INDEX(drops!$R$2:$R$21,MATCH($B27,drops!$A$2:$A$21,0))="","",INDEX(drops!$R$2:$R$21,MATCH($B27,drops!$A$2:$A$21,0))),"")+1)),0)))</f>
        <v/>
      </c>
      <c r="CV27" s="25">
        <f>IF($A27="","",IF(OR($BG27="",$BC27&lt;&gt;""),"",IFERROR(COUNTIFS(INDIRECT("'"&amp;$A27&amp;"'!$A$2:$A$501"),"&gt;="&amp;$BG27,INDIRECT("'"&amp;$A27&amp;"'!$A$2:$A$501"),"&lt;"&amp;(IFERROR(IF(INDEX(drops!$R$2:$R$21,MATCH($B27,drops!$A$2:$A$21,0))="","",INDEX(drops!$R$2:$R$21,MATCH($B27,drops!$A$2:$A$21,0))),"")+1)),0)-N($CH27)))</f>
        <v/>
      </c>
      <c r="CW27" s="25">
        <f>IF($A27="","",SUMIFS(approvals!$AN$2:$AN$251,approvals!$A$2:$A$251,$A27))</f>
        <v/>
      </c>
      <c r="CX27" s="25">
        <f>IF($A27="","",SUMIFS(approvals!$AO$2:$AO$251,approvals!$A$2:$A$251,$A27))</f>
        <v/>
      </c>
      <c r="CY27" s="25">
        <f>IF($A27="","",IF($CZ27="","",SUMIFS(redemptions!$C$2:$C$121,redemptions!$A$2:$A$121,$A27,redemptions!$B$2:$B$121,$CZ27)))</f>
        <v/>
      </c>
      <c r="CZ27" s="26">
        <f>IF($A27="","",IFERROR(1/(1/SUMPRODUCT(MAX((redemptions!$A$2:$A$121=$A27)*redemptions!$B$2:$B$121))),""))</f>
        <v/>
      </c>
      <c r="DA27" s="25">
        <f>IF($A27="","",IF(COUNTIFS(redemptions!$A$2:$A$121,$A27,redemptions!$H$2:$H$121,"Y")=0,"",SUMIFS(redemptions!$C$2:$C$121,redemptions!$A$2:$A$121,$A27,redemptions!$B$2:$B$121,SUMPRODUCT(MIN((redemptions!$A$2:$A$121=$A27)*(redemptions!$H$2:$H$121="Y")*redemptions!$B$2:$B$121+((redemptions!$A$2:$A$121&lt;&gt;$A27)+(redemptions!$H$2:$H$121&lt;&gt;"Y")&gt;0)*1000000)))))</f>
        <v/>
      </c>
      <c r="DB27" s="27">
        <f>IF($A27="","",SUMIFS(invoices!$E$2:$E$151,invoices!$B$2:$B$151,$A27))</f>
        <v/>
      </c>
      <c r="DC27" s="27">
        <f>IF($A27="","",IF(COUNTIFS(invoices!$B$2:$B$151,$A27,invoices!$C$2:$C$151,"standard_deposit",invoices!$H$2:$H$151,"&gt;0")=0,"",SUMIFS(invoices!$I$2:$I$151,invoices!$B$2:$B$151,$A27,invoices!$C$2:$C$151,"standard_deposit")))</f>
        <v/>
      </c>
      <c r="DD27" s="26">
        <f>IF($A27="","",IFERROR(1/(1/SUMPRODUCT(MAX((invoices!$B$2:$B$151=$A27)*(invoices!$C$2:$C$151="standard_deposit")*invoices!$H$2:$H$151))),""))</f>
        <v/>
      </c>
      <c r="DE27" s="26">
        <f>IF($A27="","",IFERROR(1/(1/SUMPRODUCT(MAX((invoices!$B$2:$B$151=$A27)*((invoices!$C$2:$C$151="founding_full")+(invoices!$C$2:$C$151="standard_balance"))*invoices!$H$2:$H$151))),""))</f>
        <v/>
      </c>
      <c r="DF27" s="27">
        <f>IF($A27="","",SUMIFS(invoices!$L$2:$L$151,invoices!$B$2:$B$151,$A27))</f>
        <v/>
      </c>
      <c r="DG27" s="27">
        <f>IF($A27="","",SUMIFS(costs!$E$2:$E$301,costs!$C$2:$C$301,$A27))</f>
        <v/>
      </c>
      <c r="DH27" s="27">
        <f>IF($A27="","",ROUND(IF(SUMIFS(campaigns!$BO$2:$BO$51,campaigns!$B$2:$B$51,$B27)=0,0,$BO27/SUMIFS(campaigns!$BO$2:$BO$51,campaigns!$B$2:$B$51,$B27))*(SUMIFS(costs!$E$2:$E$301,costs!$B$2:$B$301,$B27)-SUMPRODUCT((costs!$B$2:$B$301=$B27)*(LEN(costs!$C$2:$C$301)&gt;0)*costs!$E$2:$E$301)),2))</f>
        <v/>
      </c>
      <c r="DI27" s="28">
        <f>IF($A27="","",SUMIFS(hours!$E$2:$E$1501,hours!$C$2:$C$1501,$A27))</f>
        <v/>
      </c>
      <c r="DJ27" s="28">
        <f>IF($A27="","",ROUND(IF(SUMIFS(campaigns!$BO$2:$BO$51,campaigns!$B$2:$B$51,$B27)=0,0,$BO27/SUMIFS(campaigns!$BO$2:$BO$51,campaigns!$B$2:$B$51,$B27))*(SUMIFS(hours!$E$2:$E$1501,hours!$B$2:$B$1501,$B27)-SUMPRODUCT((hours!$B$2:$B$1501=$B27)*(LEN(hours!$C$2:$C$1501)&gt;0)*hours!$E$2:$E$1501)),2))</f>
        <v/>
      </c>
      <c r="DK27" s="27">
        <f>IF($A27="","",$DB27-$DF27-$DG27-$DH27)</f>
        <v/>
      </c>
      <c r="DL27" s="27">
        <f>IF($A27="","",IF(N($DI27)+N($DJ27)=0,"",ROUND($DK27/($DI27+$DJ27),2)))</f>
        <v/>
      </c>
      <c r="DM27" s="29">
        <f>IF($A27="","",IF(N($BP27)=0,"",COUNTIFS(approvals!$A$2:$A$251,$A27,approvals!$Q$2:$Q$251,"Y",approvals!$AK$2:$AK$251,"Y")/$BP27))</f>
        <v/>
      </c>
      <c r="DN27" s="28">
        <f>IF($A27="","",IF(COUNTIFS(approvals!$A$2:$A$251,$A27,approvals!$AC$2:$AC$251,"&gt;=0")=0,"",ROUND(SUMIFS(approvals!$AC$2:$AC$251,approvals!$A$2:$A$251,$A27)/COUNTIFS(approvals!$A$2:$A$251,$A27,approvals!$AC$2:$AC$251,"&gt;=0"),1)))</f>
        <v/>
      </c>
      <c r="DO27" s="26">
        <f>IF($A27="","",IFERROR(IF(INDEX(drops!$T$2:$T$21,MATCH($B27,drops!$A$2:$A$21,0))="","",INDEX(drops!$T$2:$T$21,MATCH($B27,drops!$A$2:$A$21,0))),""))</f>
        <v/>
      </c>
      <c r="DP27" s="26">
        <f>IF($A27="","",IFERROR(IF(INDEX(drops!$U$2:$U$21,MATCH($B27,drops!$A$2:$A$21,0))="","",INDEX(drops!$U$2:$U$21,MATCH($B27,drops!$A$2:$A$21,0))),""))</f>
        <v/>
      </c>
      <c r="DQ27" s="26">
        <f>IF($A27="","",IFERROR(IF(INDEX(drops!$W$2:$W$21,MATCH($B27,drops!$A$2:$A$21,0))="","",INDEX(drops!$W$2:$W$21,MATCH($B27,drops!$A$2:$A$21,0))),""))</f>
        <v/>
      </c>
      <c r="DR27" s="25">
        <f>IF($A27="","",IF($CE27="","",IF($CE27&gt;=config!$B$31,"pass","miss")))</f>
        <v/>
      </c>
      <c r="DS27" s="25">
        <f>IF($A27="","",IF($CI27="","",IF($CI27&gt;=config!$B$30,"pass","miss")))</f>
        <v/>
      </c>
      <c r="DT27" s="25">
        <f>IF($A27="","",IF($AT27="",IF($DO27="","",IF(IF(config!$B$37&lt;&gt;"",config!$B$37,TODAY())&gt;$DO27,"late","due")),IF($AT27&lt;=$DO27,"pass","late")))</f>
        <v/>
      </c>
      <c r="DU27" s="25">
        <f>IF($A27="","",IF(COUNTIF(drops!$A$2:$A$21,$B27)=0,"drop_id not on drops; ",IF($BG27="","drop date missing or refused; ",""))&amp;IF(AND($G27&lt;&gt;"",$G27&lt;&gt;$BI27),"price differs from the price list; ","")&amp;IF(AND(LEFT($BW27,4)="HOLD",$BL27&lt;&gt;"",IF(config!$B$37&lt;&gt;"",config!$B$37,TODAY())&gt;=WORKDAY(N($BL27),-3,calendar!$A$2:$A$80)),"SHIP HOLD within 3 business days of T-10; ","")&amp;IF(AND($BQ27&gt;0,$BL27&lt;&gt;"",IF(config!$B$37&lt;&gt;"",config!$B$37,TODAY())&gt;$BL27),"approvals still pending after T-10; ","")&amp;IF($BZ27&lt;0,"reserve below zero: check inventory; ","")&amp;IF(AND($BG27&lt;&gt;"",IF(config!$B$37&lt;&gt;"",config!$B$37,TODAY())&gt;WORKDAY(N($BG27),14,calendar!$A$2:$A$80),N($BZ27)+N($CA27)&lt;&gt;0),"units still on hand after T+14; ","")&amp;IF(N($CV27)&gt;0,"info: "&amp;$CV27&amp;" in-window responses with a card code that matches no office (not counted); ","")&amp;IF(AND($Z27="Y",$AK27=""),"newsletter form URL missing; ","")&amp;IF(AND($Z27="Y",$BG27&lt;&gt;"",IF(config!$B$37&lt;&gt;"",config!$B$37,TODAY())&gt;WORKDAY(N($BG27),5,calendar!$A$2:$A$80),$AY27=""),"newsletter list not yet passed on (due T+5); ","")&amp;IF(AND($AY27&lt;&gt;"",$BA27=""),"delete unticked emails; ","")&amp;IF(AND($AY27&lt;&gt;"",$BB27="",IF(config!$B$37&lt;&gt;"",config!$B$37,TODAY())&gt;$AY27+config!$B$32),"DELETE the consented emails (30 days after passing on); ","")&amp;IF(AND($BG27&lt;&gt;"",$AJ27="",IF(config!$B$37&lt;&gt;"",config!$B$37,TODAY())&gt;=WORKDAY(N($BG27),-4,calendar!$A$2:$A$80)),"survey prefill template missing (due T-4); ","")&amp;IF(AND($AJ27&lt;&gt;"",ISERROR(SEARCH("CARDCODE",$AJ27))),"prefill template has no CARDCODE; ","")&amp;IF(AND($AF27="",$BG27&lt;&gt;"",IF(config!$B$37&lt;&gt;"",config!$B$37,TODAY())&gt;=WORKDAY(N($BG27),-3,calendar!$A$2:$A$80)),"card text not yet sent to the brand; ","")&amp;IF(AND($DA27="",$DQ27&lt;&gt;"",IF(config!$B$37&lt;&gt;"",config!$B$37,TODAY())&gt;$DQ27),"day-30 redemption count due; ","")&amp;IF(AND(LEFT($BW27,8)="RELEASED",$AG27=""),"ship-date email due (template 02): send it, then log ship_email_sent_date and ship_email_units; ","")&amp;IF(AND($AH27&lt;&gt;"",N($BT27)&gt;0,N($BX27)=0,N($AH27)&lt;&gt;N($BT27)),"units changed since the ship-date email of "&amp;IF($AG27="","?",TEXT($AG27,"yyyy-mm-dd"))&amp;" ("&amp;$AH27&amp;", now "&amp;$BT27&amp;"): send the brand the revised numbers (template 02) and log them; ","")&amp;IF($DT27="late","report late; ","")&amp;IF(AND(N($F27)&gt;0,$BO27&lt;N($F27),$BQ27=0),"info: "&amp;(N($F27)-$BO27)&amp;" office(s) short of the contract: add a roster office or credit $"&amp;IF($D27="founding",config!$B$25,config!$B$24)&amp;" each; ","")&amp;IF($BC27&lt;&gt;"",IF(COUNTIF(survey_frozen!$A$2:$A$251,$A27)=0,"answers deleted but no frozen totals: the survey numbers now read 0 (tools/freeze_survey.py, SOP answers_delete); ",""),IF(AND($BG27&lt;&gt;"",IF(config!$B$37&lt;&gt;"",config!$B$37,TODAY())&gt;=$BG27,ISREF(INDIRECT("'"&amp;$A27&amp;"'!B1"))),IF(INDIRECT("'"&amp;$A27&amp;"'!B1")&lt;&gt;"Card code (filled in for you)","survey tab column B is not the card code: fix the form or the tab; ",""),IF(AND($BG27&lt;&gt;"",IF(config!$B$37&lt;&gt;"",config!$B$37,TODAY())&gt;=$BG27),"no survey tab named "&amp;$A27&amp;"; ","")))&amp;IF(COUNTIF(brands!$A$2:$A$41,$C27)=0,"brand_id not on brands; ",IF(LEFT(IFERROR(IF(INDEX(brands!$AG$2:$AG$41,MATCH($C27,brands!$A$2:$A$41,0))="","",INDEX(brands!$AG$2:$AG$41,MATCH($C27,brands!$A$2:$A$41,0))),""),1)&lt;&gt;"Y","brand not qualified ("&amp;IFERROR(IF(INDEX(brands!$AG$2:$AG$41,MATCH($C27,brands!$A$2:$A$41,0))="","",INDEX(brands!$AG$2:$AG$41,MATCH($C27,brands!$A$2:$A$41,0))),"")&amp;"): nothing ships until it is; ",""))&amp;IF(AND(COUNTIF(brands!$A$2:$A$41,$C27)&gt;0,OR(IFERROR(IF(INDEX(brands!$C$2:$C$41,MATCH($C27,brands!$A$2:$A$41,0))="","",INDEX(brands!$C$2:$C$41,MATCH($C27,brands!$A$2:$A$41,0))),"")="",IFERROR(IF(INDEX(brands!$D$2:$D$41,MATCH($C27,brands!$A$2:$A$41,0))="","",INDEX(brands!$D$2:$D$41,MATCH($C27,brands!$A$2:$A$41,0))),"")="",IFERROR(IF(INDEX(brands!$E$2:$E$41,MATCH($C27,brands!$A$2:$A$41,0))="","",INDEX(brands!$E$2:$E$41,MATCH($C27,brands!$A$2:$A$41,0))),"")="")),"brand billing details missing on brands (legal name, address, email): needed for the invoice; ","")&amp;IF(AND($D27="founding",$E27&lt;&gt;"Y",N(IFERROR(IF(INDEX(brands!$AI$2:$AI$41,MATCH($C27,brands!$A$2:$A$41,0))="","",INDEX(brands!$AI$2:$AI$41,MATCH($C27,brands!$A$2:$A$41,0))),""))&gt;3),"the founding tier is for the first three brands only (this is brand "&amp;IFERROR(IF(INDEX(brands!$AI$2:$AI$41,MATCH($C27,brands!$A$2:$A$41,0))="","",INDEX(brands!$AI$2:$AI$41,MATCH($C27,brands!$A$2:$A$41,0))),"")&amp;"): use standard; ","")&amp;IF(AND($D27="founding",$E27&lt;&gt;"Y",COUNTIFS(campaigns!$C$2:$C$51,$C27,campaigns!$D$2:$D$51,"founding",campaigns!$E$2:$E$51,"&lt;&gt;Y")&gt;1),"a brand has the founding price once; its next two campaigns are founding_lock = Y; ","")&amp;IF(AND($E27="Y",COUNTIFS(campaigns!$C$2:$C$51,$C27,campaigns!$D$2:$D$51,"founding",campaigns!$E$2:$E$51,"Y")&gt;2),"founding_lock is for the brand's next two campaigns only (this is a third): use standard; ","")&amp;IF(AND($E27="Y",COUNTIFS(campaigns!$C$2:$C$51,$C27,campaigns!$D$2:$D$51,"founding",campaigns!$E$2:$E$51,"&lt;&gt;Y")=0),"founding_lock without a first founding campaign for this brand; ","")&amp;IF(AND(N($BX27)&gt;0,$BG27&lt;&gt;"",IF(config!$B$37&lt;&gt;"",config!$B$37,TODAY())&gt;=WORKDAY(N($BG27),-5,calendar!$A$2:$A$80)),IF(N($BX27)-N($BY27)&lt;N($BR27),"received "&amp;(N($BX27)-N($BY27))&amp;" usable units for "&amp;$BR27&amp;" allocated: reduce units_override evenly (SOP section 4, short shipment); ","")&amp;IF(AND(N($BX27)&lt;N($BT27),COUNTIFS(issues!$E$2:$E$121,$A27,issues!$G$2:$G$121,"short_shipment")=0),"received "&amp;$BX27&amp;" of "&amp;$BT27&amp;" due: log a short_shipment issue and tell the brand today; ",""),"")&amp;IF(AND($BG27&lt;&gt;"",IF(config!$B$37&lt;&gt;"",config!$B$37,TODAY())&gt;=WORKDAY(N($BG27),1,calendar!$A$2:$A$80),N($F27)&gt;0,(-SUMIFS(invoices!$E$2:$E$151,invoices!$B$2:$B$151,$A27,invoices!$C$2:$C$151,"credit_note"))&lt;(IF($D27="founding",config!$B$25,config!$B$24)*MAX(0,N($F27)-COUNTIFS(approvals!$A$2:$A$251,$A27,approvals!$Q$2:$Q$251,"Y",approvals!$AB$2:$AB$251,"Y")))-0.005),"credit due from T+1: "&amp;MAX(0,N($F27)-COUNTIFS(approvals!$A$2:$A$251,$A27,approvals!$Q$2:$Q$251,"Y",approvals!$AB$2:$AB$251,"Y"))&amp;" of "&amp;$F27&amp;" contracted offices not placed by T+1, $"&amp;(IF($D27="founding",config!$B$25,config!$B$24)*MAX(0,N($F27)-COUNTIFS(approvals!$A$2:$A$251,$A27,approvals!$Q$2:$Q$251,"Y",approvals!$AB$2:$AB$251,"Y")))&amp;" due, $"&amp;(-SUMIFS(invoices!$E$2:$E$151,invoices!$B$2:$B$151,$A27,invoices!$C$2:$C$151,"credit_note"))&amp;" in credit notes so far (template 06, make_invoice.py); ","")&amp;IF(AND(IFERROR(IF(INDEX(brands!$H$2:$H$41,MATCH($C27,brands!$A$2:$A$41,0))="","",INDEX(brands!$H$2:$H$41,MATCH($C27,brands!$A$2:$A$41,0))),"")&lt;&gt;"",$BG27&lt;&gt;"",IFERROR(IF(INDEX(brands!$H$2:$H$41,MATCH($C27,brands!$A$2:$A$41,0))="","",INDEX(brands!$H$2:$H$41,MATCH($C27,brands!$A$2:$A$41,0))),"")&lt;EDATE(WORKDAY(N($BG27),4,calendar!$A$2:$A$80),12)),"info: brand insurance ends "&amp;TEXT(IFERROR(IF(INDEX(brands!$H$2:$H$41,MATCH($C27,brands!$A$2:$A$41,0))="","",INDEX(brands!$H$2:$H$41,MATCH($C27,brands!$A$2:$A$41,0))),""),"yyyy-mm-dd")&amp;": diary the renewal certificate; ",""))</f>
        <v/>
      </c>
    </row>
    <row r="28">
      <c r="G28" s="10" t="n"/>
      <c r="H28" s="9" t="n"/>
      <c r="AB28" s="9" t="n"/>
      <c r="AC28" s="9" t="n"/>
      <c r="AD28" s="9" t="n"/>
      <c r="AF28" s="9" t="n"/>
      <c r="AG28" s="9" t="n"/>
      <c r="AT28" s="9" t="n"/>
      <c r="AU28" s="9" t="n"/>
      <c r="AY28" s="9" t="n"/>
      <c r="BA28" s="9" t="n"/>
      <c r="BB28" s="9" t="n"/>
      <c r="BC28" s="9" t="n"/>
      <c r="BE28" s="25">
        <f>IF($A28="","",IFERROR(IF(INDEX(brands!$K$2:$K$41,MATCH($C28,brands!$A$2:$A$41,0))="","",INDEX(brands!$K$2:$K$41,MATCH($C28,brands!$A$2:$A$41,0))),""))</f>
        <v/>
      </c>
      <c r="BF28" s="25">
        <f>IF($A28="","",IFERROR(IF(INDEX(brands!$M$2:$M$41,MATCH($C28,brands!$A$2:$A$41,0))="","",INDEX(brands!$M$2:$M$41,MATCH($C28,brands!$A$2:$A$41,0))),""))</f>
        <v/>
      </c>
      <c r="BG28" s="26">
        <f>IF($A28="","",IF(IFERROR(IF(INDEX(drops!$I$2:$I$21,MATCH($B28,drops!$A$2:$A$21,0))="","",INDEX(drops!$I$2:$I$21,MATCH($B28,drops!$A$2:$A$21,0))),"")="OK",IFERROR(IF(INDEX(drops!$B$2:$B$21,MATCH($B28,drops!$A$2:$A$21,0))="","",INDEX(drops!$B$2:$B$21,MATCH($B28,drops!$A$2:$A$21,0))),""),""))</f>
        <v/>
      </c>
      <c r="BH28" s="25">
        <f>IF($A28="","",IFERROR(IF(INDEX(drops!$C$2:$C$21,MATCH($B28,drops!$A$2:$A$21,0))="","",INDEX(drops!$C$2:$C$21,MATCH($B28,drops!$A$2:$A$21,0))),""))</f>
        <v/>
      </c>
      <c r="BI28" s="27">
        <f>IF($A28="","",IF($F28="","",IF($D28="founding",IF($E28="Y",config!$B$25*MIN($F28,config!$B$26)+config!$B$24*MAX(0,$F28-config!$B$26),config!$B$20+config!$B$24*MAX(0,$F28-config!$B$21)),IF($D28="standard",config!$B$22+config!$B$24*MAX(0,$F28-config!$B$23),""))))</f>
        <v/>
      </c>
      <c r="BJ28" s="27">
        <f>IF($A28="","",IF($G28&lt;&gt;"",$G28,$BI28))</f>
        <v/>
      </c>
      <c r="BK28" s="25">
        <f>IF($A28="","",IF($D28="founding","100% within "&amp;config!$B$27&amp;" business days of the invoice, before shipping",IF($D28="standard","50% on signing; 50% at placement confirmation (T+1)","")))</f>
        <v/>
      </c>
      <c r="BL28" s="26">
        <f>IF($A28="","",IFERROR(IF(INDEX(drops!$K$2:$K$21,MATCH($B28,drops!$A$2:$A$21,0))="","",INDEX(drops!$K$2:$K$21,MATCH($B28,drops!$A$2:$A$21,0))),""))</f>
        <v/>
      </c>
      <c r="BM28" s="26">
        <f>IF($A28="","",IFERROR(IF(INDEX(drops!$L$2:$L$21,MATCH($B28,drops!$A$2:$A$21,0))="","",INDEX(drops!$L$2:$L$21,MATCH($B28,drops!$A$2:$A$21,0))),""))</f>
        <v/>
      </c>
      <c r="BN28" s="25">
        <f>IF($A28="","",COUNTIF(approvals!$A$2:$A$251,$A28))</f>
        <v/>
      </c>
      <c r="BO28" s="25">
        <f>IF($A28="","",COUNTIFS(approvals!$A$2:$A$251,$A28,approvals!$P$2:$P$251,"Y"))</f>
        <v/>
      </c>
      <c r="BP28" s="25">
        <f>IF($A28="","",COUNTIFS(approvals!$A$2:$A$251,$A28,approvals!$Q$2:$Q$251,"Y"))</f>
        <v/>
      </c>
      <c r="BQ28" s="25">
        <f>IF($A28="","",COUNTIFS(approvals!$A$2:$A$251,$A28,approvals!$P$2:$P$251,"pending"))</f>
        <v/>
      </c>
      <c r="BR28" s="25">
        <f>IF($A28="","",SUMIFS(approvals!$S$2:$S$251,approvals!$A$2:$A$251,$A28,approvals!$P$2:$P$251,"Y"))</f>
        <v/>
      </c>
      <c r="BS28" s="25">
        <f>IF($A28="","",ROUNDUP($BR28*config!$B$18,0))</f>
        <v/>
      </c>
      <c r="BT28" s="25">
        <f>IF($A28="","",$BR28+$BS28)</f>
        <v/>
      </c>
      <c r="BU28" s="27">
        <f>IF($A28="","",SUMIFS(invoices!$I$2:$I$151,invoices!$B$2:$B$151,$A28,invoices!$R$2:$R$151,"Y",invoices!$H$2:$H$151,"&gt;0"))</f>
        <v/>
      </c>
      <c r="BV28" s="27">
        <f>IF($A28="","",IF($BJ28="","",IF($D28="founding",$BJ28,ROUND($BJ28*config!$B$28,2))))</f>
        <v/>
      </c>
      <c r="BW28" s="25">
        <f>IF($A28="","",IF(AND(N($BU28)&gt;=N($BV28),N($BV28)&gt;0,$H28&lt;&gt;"",AND($AB28&lt;&gt;"",IFERROR(IF(INDEX(brands!$G$2:$G$41,MATCH($C28,brands!$A$2:$A$41,0))="","",INDEX(brands!$G$2:$G$41,MATCH($C28,brands!$A$2:$A$41,0))),"")="Y"),LEFT(IFERROR(IF(INDEX(brands!$AG$2:$AG$41,MATCH($C28,brands!$A$2:$A$41,0))="","",INDEX(brands!$AG$2:$AG$41,MATCH($C28,brands!$A$2:$A$41,0))),""),1)="Y",$BG28&lt;&gt;"",$BQ28=0,$BO28&gt;0),"RELEASED "&amp;TEXT(MAX(IFERROR(1/(1/SUMPRODUCT(MAX((invoices!$B$2:$B$151=$A28)*(invoices!$R$2:$R$151="Y")*(invoices!$H$2:$H$151)))),""),$H28,$AB28,SUMPRODUCT(MAX((approvals!$A$2:$A$251=$A28)*(approvals!$P$2:$P$251="Y")*(approvals!$E$2:$E$251+(approvals!$E$2:$E$251=0)*approvals!$C$2:$C$251)))),"yyyy-mm-dd")&amp;": ship by "&amp;TEXT($BM28,"ddd yyyy-mm-dd")&amp;" (latest "&amp;TEXT($BL28,"ddd yyyy-mm-dd")&amp;")","HOLD: "&amp;IF(N($BU28)&lt;N($BV28),"payment ("&amp;TEXT(N($BU28),"0")&amp;" of "&amp;TEXT(N($BV28),"0")&amp;") ","")&amp;IF($H28="","agreement ","")&amp;IF(NOT(AND($AB28&lt;&gt;"",IFERROR(IF(INDEX(brands!$G$2:$G$41,MATCH($C28,brands!$A$2:$A$41,0))="","",INDEX(brands!$G$2:$G$41,MATCH($C28,brands!$A$2:$A$41,0))),"")="Y")),"certificate ","")&amp;IF(NOT(LEFT(IFERROR(IF(INDEX(brands!$AG$2:$AG$41,MATCH($C28,brands!$A$2:$A$41,0))="","",INDEX(brands!$AG$2:$AG$41,MATCH($C28,brands!$A$2:$A$41,0))),""),1)="Y"),"qualification ","")&amp;IF($BG28="","drop date ","")&amp;IF($BQ28&gt;0,"approvals ("&amp;$BQ28&amp;" pending) ","")&amp;IF($BO28=0,"no office approved ","")))</f>
        <v/>
      </c>
      <c r="BX28" s="25">
        <f>IF($A28="","",SUMIFS(inventory!$G$2:$G$801,inventory!$C$2:$C$801,$A28,inventory!$E$2:$E$801,"received"))</f>
        <v/>
      </c>
      <c r="BY28" s="25">
        <f>IF($A28="","",SUMIFS(inventory!$G$2:$G$801,inventory!$C$2:$C$801,$A28,inventory!$E$2:$E$801,"rejected"))</f>
        <v/>
      </c>
      <c r="BZ28" s="25">
        <f>IF($A28="","",SUMIFS(inventory!$M$2:$M$801,inventory!$C$2:$C$801,$A28))</f>
        <v/>
      </c>
      <c r="CA28" s="25">
        <f>IF($A28="","",SUMIFS(inventory!$O$2:$O$801,inventory!$C$2:$C$801,$A28))</f>
        <v/>
      </c>
      <c r="CB28" s="25">
        <f>IF($A28="","",SUMIFS(approvals!$U$2:$U$251,approvals!$A$2:$A$251,$A28))</f>
        <v/>
      </c>
      <c r="CC28" s="25">
        <f>IF($A28="","",SUMIFS(approvals!$AA$2:$AA$251,approvals!$A$2:$A$251,$A28))</f>
        <v/>
      </c>
      <c r="CD28" s="25">
        <f>IF($A28="","",SUMIFS(approvals!$AA$2:$AA$251,approvals!$A$2:$A$251,$A28,approvals!$AB$2:$AB$251,"Y"))</f>
        <v/>
      </c>
      <c r="CE28" s="29">
        <f>IF($A28="","",IF(N($CB28)=0,"",$CD28/$CB28))</f>
        <v/>
      </c>
      <c r="CF28" s="25">
        <f>IF($A28="","",SUMIFS(approvals!$AD$2:$AD$251,approvals!$A$2:$A$251,$A28))</f>
        <v/>
      </c>
      <c r="CG28" s="25">
        <f>IF($A28="","",IF(COUNTIFS(approvals!$A$2:$A$251,$A28,approvals!$Q$2:$Q$251,"Y",approvals!$AG$2:$AG$251,"")&gt;0,"",SUMIFS(approvals!$AG$2:$AG$251,approvals!$A$2:$A$251,$A28,approvals!$Q$2:$Q$251,"Y")))</f>
        <v/>
      </c>
      <c r="CH28" s="25">
        <f>IF($A28="","",SUMIFS(approvals!$AL$2:$AL$251,approvals!$A$2:$A$251,$A28))</f>
        <v/>
      </c>
      <c r="CI28" s="25">
        <f>IF($A28="","",IF(N($BP28)=0,"",SUMPRODUCT(MIN(approvals!$BB$2:$BB$251+(approvals!$A$2:$A$251&lt;&gt;$A28)*1000000))))</f>
        <v/>
      </c>
      <c r="CJ28" s="25">
        <f>IF($A28="","",COUNTIFS(approvals!$A$2:$A$251,$A28,approvals!$Q$2:$Q$251,"Y",approvals!$AL$2:$AL$251,"&lt;"&amp;config!$B$30))</f>
        <v/>
      </c>
      <c r="CK28" s="25">
        <f>IF($A28="","",SUMIFS(approvals!$AM$2:$AM$251,approvals!$A$2:$A$251,$A28))</f>
        <v/>
      </c>
      <c r="CL28" s="25">
        <f>IF($A28="","",SUMIFS(approvals!$AQ$2:$AQ$251,approvals!$A$2:$A$251,$A28))</f>
        <v/>
      </c>
      <c r="CM28" s="25">
        <f>IF($A28="","",SUMIFS(approvals!$AR$2:$AR$251,approvals!$A$2:$A$251,$A28))</f>
        <v/>
      </c>
      <c r="CN28" s="25">
        <f>IF($A28="","",SUMIFS(approvals!$AS$2:$AS$251,approvals!$A$2:$A$251,$A28))</f>
        <v/>
      </c>
      <c r="CO28" s="25">
        <f>IF($A28="","",SUMIFS(approvals!$AT$2:$AT$251,approvals!$A$2:$A$251,$A28))</f>
        <v/>
      </c>
      <c r="CP28" s="28">
        <f>IF($A28="","",IF(N($CO28)=0,"",ROUND(SUMIFS(approvals!$AU$2:$AU$251,approvals!$A$2:$A$251,$A28)/$CO28,1)))</f>
        <v/>
      </c>
      <c r="CQ28" s="25">
        <f>IF($A28="","",SUMIFS(approvals!$AV$2:$AV$251,approvals!$A$2:$A$251,$A28))</f>
        <v/>
      </c>
      <c r="CR28" s="25">
        <f>IF($A28="","",SUMIFS(approvals!$AW$2:$AW$251,approvals!$A$2:$A$251,$A28))</f>
        <v/>
      </c>
      <c r="CS28" s="25">
        <f>IF($A28="","",SUMIFS(approvals!$AX$2:$AX$251,approvals!$A$2:$A$251,$A28))</f>
        <v/>
      </c>
      <c r="CT28" s="25">
        <f>IF($A28="","",SUMIFS(approvals!$AY$2:$AY$251,approvals!$A$2:$A$251,$A28))</f>
        <v/>
      </c>
      <c r="CU28" s="25">
        <f>IF($A28="","",IF(OR($BG28="",$BC28&lt;&gt;""),"",IFERROR(COUNT(INDIRECT("'"&amp;$A28&amp;"'!$A$2:$A$501")),0)-IFERROR(COUNTIFS(INDIRECT("'"&amp;$A28&amp;"'!$A$2:$A$501"),"&gt;="&amp;$BG28,INDIRECT("'"&amp;$A28&amp;"'!$A$2:$A$501"),"&lt;"&amp;(IFERROR(IF(INDEX(drops!$R$2:$R$21,MATCH($B28,drops!$A$2:$A$21,0))="","",INDEX(drops!$R$2:$R$21,MATCH($B28,drops!$A$2:$A$21,0))),"")+1)),0)))</f>
        <v/>
      </c>
      <c r="CV28" s="25">
        <f>IF($A28="","",IF(OR($BG28="",$BC28&lt;&gt;""),"",IFERROR(COUNTIFS(INDIRECT("'"&amp;$A28&amp;"'!$A$2:$A$501"),"&gt;="&amp;$BG28,INDIRECT("'"&amp;$A28&amp;"'!$A$2:$A$501"),"&lt;"&amp;(IFERROR(IF(INDEX(drops!$R$2:$R$21,MATCH($B28,drops!$A$2:$A$21,0))="","",INDEX(drops!$R$2:$R$21,MATCH($B28,drops!$A$2:$A$21,0))),"")+1)),0)-N($CH28)))</f>
        <v/>
      </c>
      <c r="CW28" s="25">
        <f>IF($A28="","",SUMIFS(approvals!$AN$2:$AN$251,approvals!$A$2:$A$251,$A28))</f>
        <v/>
      </c>
      <c r="CX28" s="25">
        <f>IF($A28="","",SUMIFS(approvals!$AO$2:$AO$251,approvals!$A$2:$A$251,$A28))</f>
        <v/>
      </c>
      <c r="CY28" s="25">
        <f>IF($A28="","",IF($CZ28="","",SUMIFS(redemptions!$C$2:$C$121,redemptions!$A$2:$A$121,$A28,redemptions!$B$2:$B$121,$CZ28)))</f>
        <v/>
      </c>
      <c r="CZ28" s="26">
        <f>IF($A28="","",IFERROR(1/(1/SUMPRODUCT(MAX((redemptions!$A$2:$A$121=$A28)*redemptions!$B$2:$B$121))),""))</f>
        <v/>
      </c>
      <c r="DA28" s="25">
        <f>IF($A28="","",IF(COUNTIFS(redemptions!$A$2:$A$121,$A28,redemptions!$H$2:$H$121,"Y")=0,"",SUMIFS(redemptions!$C$2:$C$121,redemptions!$A$2:$A$121,$A28,redemptions!$B$2:$B$121,SUMPRODUCT(MIN((redemptions!$A$2:$A$121=$A28)*(redemptions!$H$2:$H$121="Y")*redemptions!$B$2:$B$121+((redemptions!$A$2:$A$121&lt;&gt;$A28)+(redemptions!$H$2:$H$121&lt;&gt;"Y")&gt;0)*1000000)))))</f>
        <v/>
      </c>
      <c r="DB28" s="27">
        <f>IF($A28="","",SUMIFS(invoices!$E$2:$E$151,invoices!$B$2:$B$151,$A28))</f>
        <v/>
      </c>
      <c r="DC28" s="27">
        <f>IF($A28="","",IF(COUNTIFS(invoices!$B$2:$B$151,$A28,invoices!$C$2:$C$151,"standard_deposit",invoices!$H$2:$H$151,"&gt;0")=0,"",SUMIFS(invoices!$I$2:$I$151,invoices!$B$2:$B$151,$A28,invoices!$C$2:$C$151,"standard_deposit")))</f>
        <v/>
      </c>
      <c r="DD28" s="26">
        <f>IF($A28="","",IFERROR(1/(1/SUMPRODUCT(MAX((invoices!$B$2:$B$151=$A28)*(invoices!$C$2:$C$151="standard_deposit")*invoices!$H$2:$H$151))),""))</f>
        <v/>
      </c>
      <c r="DE28" s="26">
        <f>IF($A28="","",IFERROR(1/(1/SUMPRODUCT(MAX((invoices!$B$2:$B$151=$A28)*((invoices!$C$2:$C$151="founding_full")+(invoices!$C$2:$C$151="standard_balance"))*invoices!$H$2:$H$151))),""))</f>
        <v/>
      </c>
      <c r="DF28" s="27">
        <f>IF($A28="","",SUMIFS(invoices!$L$2:$L$151,invoices!$B$2:$B$151,$A28))</f>
        <v/>
      </c>
      <c r="DG28" s="27">
        <f>IF($A28="","",SUMIFS(costs!$E$2:$E$301,costs!$C$2:$C$301,$A28))</f>
        <v/>
      </c>
      <c r="DH28" s="27">
        <f>IF($A28="","",ROUND(IF(SUMIFS(campaigns!$BO$2:$BO$51,campaigns!$B$2:$B$51,$B28)=0,0,$BO28/SUMIFS(campaigns!$BO$2:$BO$51,campaigns!$B$2:$B$51,$B28))*(SUMIFS(costs!$E$2:$E$301,costs!$B$2:$B$301,$B28)-SUMPRODUCT((costs!$B$2:$B$301=$B28)*(LEN(costs!$C$2:$C$301)&gt;0)*costs!$E$2:$E$301)),2))</f>
        <v/>
      </c>
      <c r="DI28" s="28">
        <f>IF($A28="","",SUMIFS(hours!$E$2:$E$1501,hours!$C$2:$C$1501,$A28))</f>
        <v/>
      </c>
      <c r="DJ28" s="28">
        <f>IF($A28="","",ROUND(IF(SUMIFS(campaigns!$BO$2:$BO$51,campaigns!$B$2:$B$51,$B28)=0,0,$BO28/SUMIFS(campaigns!$BO$2:$BO$51,campaigns!$B$2:$B$51,$B28))*(SUMIFS(hours!$E$2:$E$1501,hours!$B$2:$B$1501,$B28)-SUMPRODUCT((hours!$B$2:$B$1501=$B28)*(LEN(hours!$C$2:$C$1501)&gt;0)*hours!$E$2:$E$1501)),2))</f>
        <v/>
      </c>
      <c r="DK28" s="27">
        <f>IF($A28="","",$DB28-$DF28-$DG28-$DH28)</f>
        <v/>
      </c>
      <c r="DL28" s="27">
        <f>IF($A28="","",IF(N($DI28)+N($DJ28)=0,"",ROUND($DK28/($DI28+$DJ28),2)))</f>
        <v/>
      </c>
      <c r="DM28" s="29">
        <f>IF($A28="","",IF(N($BP28)=0,"",COUNTIFS(approvals!$A$2:$A$251,$A28,approvals!$Q$2:$Q$251,"Y",approvals!$AK$2:$AK$251,"Y")/$BP28))</f>
        <v/>
      </c>
      <c r="DN28" s="28">
        <f>IF($A28="","",IF(COUNTIFS(approvals!$A$2:$A$251,$A28,approvals!$AC$2:$AC$251,"&gt;=0")=0,"",ROUND(SUMIFS(approvals!$AC$2:$AC$251,approvals!$A$2:$A$251,$A28)/COUNTIFS(approvals!$A$2:$A$251,$A28,approvals!$AC$2:$AC$251,"&gt;=0"),1)))</f>
        <v/>
      </c>
      <c r="DO28" s="26">
        <f>IF($A28="","",IFERROR(IF(INDEX(drops!$T$2:$T$21,MATCH($B28,drops!$A$2:$A$21,0))="","",INDEX(drops!$T$2:$T$21,MATCH($B28,drops!$A$2:$A$21,0))),""))</f>
        <v/>
      </c>
      <c r="DP28" s="26">
        <f>IF($A28="","",IFERROR(IF(INDEX(drops!$U$2:$U$21,MATCH($B28,drops!$A$2:$A$21,0))="","",INDEX(drops!$U$2:$U$21,MATCH($B28,drops!$A$2:$A$21,0))),""))</f>
        <v/>
      </c>
      <c r="DQ28" s="26">
        <f>IF($A28="","",IFERROR(IF(INDEX(drops!$W$2:$W$21,MATCH($B28,drops!$A$2:$A$21,0))="","",INDEX(drops!$W$2:$W$21,MATCH($B28,drops!$A$2:$A$21,0))),""))</f>
        <v/>
      </c>
      <c r="DR28" s="25">
        <f>IF($A28="","",IF($CE28="","",IF($CE28&gt;=config!$B$31,"pass","miss")))</f>
        <v/>
      </c>
      <c r="DS28" s="25">
        <f>IF($A28="","",IF($CI28="","",IF($CI28&gt;=config!$B$30,"pass","miss")))</f>
        <v/>
      </c>
      <c r="DT28" s="25">
        <f>IF($A28="","",IF($AT28="",IF($DO28="","",IF(IF(config!$B$37&lt;&gt;"",config!$B$37,TODAY())&gt;$DO28,"late","due")),IF($AT28&lt;=$DO28,"pass","late")))</f>
        <v/>
      </c>
      <c r="DU28" s="25">
        <f>IF($A28="","",IF(COUNTIF(drops!$A$2:$A$21,$B28)=0,"drop_id not on drops; ",IF($BG28="","drop date missing or refused; ",""))&amp;IF(AND($G28&lt;&gt;"",$G28&lt;&gt;$BI28),"price differs from the price list; ","")&amp;IF(AND(LEFT($BW28,4)="HOLD",$BL28&lt;&gt;"",IF(config!$B$37&lt;&gt;"",config!$B$37,TODAY())&gt;=WORKDAY(N($BL28),-3,calendar!$A$2:$A$80)),"SHIP HOLD within 3 business days of T-10; ","")&amp;IF(AND($BQ28&gt;0,$BL28&lt;&gt;"",IF(config!$B$37&lt;&gt;"",config!$B$37,TODAY())&gt;$BL28),"approvals still pending after T-10; ","")&amp;IF($BZ28&lt;0,"reserve below zero: check inventory; ","")&amp;IF(AND($BG28&lt;&gt;"",IF(config!$B$37&lt;&gt;"",config!$B$37,TODAY())&gt;WORKDAY(N($BG28),14,calendar!$A$2:$A$80),N($BZ28)+N($CA28)&lt;&gt;0),"units still on hand after T+14; ","")&amp;IF(N($CV28)&gt;0,"info: "&amp;$CV28&amp;" in-window responses with a card code that matches no office (not counted); ","")&amp;IF(AND($Z28="Y",$AK28=""),"newsletter form URL missing; ","")&amp;IF(AND($Z28="Y",$BG28&lt;&gt;"",IF(config!$B$37&lt;&gt;"",config!$B$37,TODAY())&gt;WORKDAY(N($BG28),5,calendar!$A$2:$A$80),$AY28=""),"newsletter list not yet passed on (due T+5); ","")&amp;IF(AND($AY28&lt;&gt;"",$BA28=""),"delete unticked emails; ","")&amp;IF(AND($AY28&lt;&gt;"",$BB28="",IF(config!$B$37&lt;&gt;"",config!$B$37,TODAY())&gt;$AY28+config!$B$32),"DELETE the consented emails (30 days after passing on); ","")&amp;IF(AND($BG28&lt;&gt;"",$AJ28="",IF(config!$B$37&lt;&gt;"",config!$B$37,TODAY())&gt;=WORKDAY(N($BG28),-4,calendar!$A$2:$A$80)),"survey prefill template missing (due T-4); ","")&amp;IF(AND($AJ28&lt;&gt;"",ISERROR(SEARCH("CARDCODE",$AJ28))),"prefill template has no CARDCODE; ","")&amp;IF(AND($AF28="",$BG28&lt;&gt;"",IF(config!$B$37&lt;&gt;"",config!$B$37,TODAY())&gt;=WORKDAY(N($BG28),-3,calendar!$A$2:$A$80)),"card text not yet sent to the brand; ","")&amp;IF(AND($DA28="",$DQ28&lt;&gt;"",IF(config!$B$37&lt;&gt;"",config!$B$37,TODAY())&gt;$DQ28),"day-30 redemption count due; ","")&amp;IF(AND(LEFT($BW28,8)="RELEASED",$AG28=""),"ship-date email due (template 02): send it, then log ship_email_sent_date and ship_email_units; ","")&amp;IF(AND($AH28&lt;&gt;"",N($BT28)&gt;0,N($BX28)=0,N($AH28)&lt;&gt;N($BT28)),"units changed since the ship-date email of "&amp;IF($AG28="","?",TEXT($AG28,"yyyy-mm-dd"))&amp;" ("&amp;$AH28&amp;", now "&amp;$BT28&amp;"): send the brand the revised numbers (template 02) and log them; ","")&amp;IF($DT28="late","report late; ","")&amp;IF(AND(N($F28)&gt;0,$BO28&lt;N($F28),$BQ28=0),"info: "&amp;(N($F28)-$BO28)&amp;" office(s) short of the contract: add a roster office or credit $"&amp;IF($D28="founding",config!$B$25,config!$B$24)&amp;" each; ","")&amp;IF($BC28&lt;&gt;"",IF(COUNTIF(survey_frozen!$A$2:$A$251,$A28)=0,"answers deleted but no frozen totals: the survey numbers now read 0 (tools/freeze_survey.py, SOP answers_delete); ",""),IF(AND($BG28&lt;&gt;"",IF(config!$B$37&lt;&gt;"",config!$B$37,TODAY())&gt;=$BG28,ISREF(INDIRECT("'"&amp;$A28&amp;"'!B1"))),IF(INDIRECT("'"&amp;$A28&amp;"'!B1")&lt;&gt;"Card code (filled in for you)","survey tab column B is not the card code: fix the form or the tab; ",""),IF(AND($BG28&lt;&gt;"",IF(config!$B$37&lt;&gt;"",config!$B$37,TODAY())&gt;=$BG28),"no survey tab named "&amp;$A28&amp;"; ","")))&amp;IF(COUNTIF(brands!$A$2:$A$41,$C28)=0,"brand_id not on brands; ",IF(LEFT(IFERROR(IF(INDEX(brands!$AG$2:$AG$41,MATCH($C28,brands!$A$2:$A$41,0))="","",INDEX(brands!$AG$2:$AG$41,MATCH($C28,brands!$A$2:$A$41,0))),""),1)&lt;&gt;"Y","brand not qualified ("&amp;IFERROR(IF(INDEX(brands!$AG$2:$AG$41,MATCH($C28,brands!$A$2:$A$41,0))="","",INDEX(brands!$AG$2:$AG$41,MATCH($C28,brands!$A$2:$A$41,0))),"")&amp;"): nothing ships until it is; ",""))&amp;IF(AND(COUNTIF(brands!$A$2:$A$41,$C28)&gt;0,OR(IFERROR(IF(INDEX(brands!$C$2:$C$41,MATCH($C28,brands!$A$2:$A$41,0))="","",INDEX(brands!$C$2:$C$41,MATCH($C28,brands!$A$2:$A$41,0))),"")="",IFERROR(IF(INDEX(brands!$D$2:$D$41,MATCH($C28,brands!$A$2:$A$41,0))="","",INDEX(brands!$D$2:$D$41,MATCH($C28,brands!$A$2:$A$41,0))),"")="",IFERROR(IF(INDEX(brands!$E$2:$E$41,MATCH($C28,brands!$A$2:$A$41,0))="","",INDEX(brands!$E$2:$E$41,MATCH($C28,brands!$A$2:$A$41,0))),"")="")),"brand billing details missing on brands (legal name, address, email): needed for the invoice; ","")&amp;IF(AND($D28="founding",$E28&lt;&gt;"Y",N(IFERROR(IF(INDEX(brands!$AI$2:$AI$41,MATCH($C28,brands!$A$2:$A$41,0))="","",INDEX(brands!$AI$2:$AI$41,MATCH($C28,brands!$A$2:$A$41,0))),""))&gt;3),"the founding tier is for the first three brands only (this is brand "&amp;IFERROR(IF(INDEX(brands!$AI$2:$AI$41,MATCH($C28,brands!$A$2:$A$41,0))="","",INDEX(brands!$AI$2:$AI$41,MATCH($C28,brands!$A$2:$A$41,0))),"")&amp;"): use standard; ","")&amp;IF(AND($D28="founding",$E28&lt;&gt;"Y",COUNTIFS(campaigns!$C$2:$C$51,$C28,campaigns!$D$2:$D$51,"founding",campaigns!$E$2:$E$51,"&lt;&gt;Y")&gt;1),"a brand has the founding price once; its next two campaigns are founding_lock = Y; ","")&amp;IF(AND($E28="Y",COUNTIFS(campaigns!$C$2:$C$51,$C28,campaigns!$D$2:$D$51,"founding",campaigns!$E$2:$E$51,"Y")&gt;2),"founding_lock is for the brand's next two campaigns only (this is a third): use standard; ","")&amp;IF(AND($E28="Y",COUNTIFS(campaigns!$C$2:$C$51,$C28,campaigns!$D$2:$D$51,"founding",campaigns!$E$2:$E$51,"&lt;&gt;Y")=0),"founding_lock without a first founding campaign for this brand; ","")&amp;IF(AND(N($BX28)&gt;0,$BG28&lt;&gt;"",IF(config!$B$37&lt;&gt;"",config!$B$37,TODAY())&gt;=WORKDAY(N($BG28),-5,calendar!$A$2:$A$80)),IF(N($BX28)-N($BY28)&lt;N($BR28),"received "&amp;(N($BX28)-N($BY28))&amp;" usable units for "&amp;$BR28&amp;" allocated: reduce units_override evenly (SOP section 4, short shipment); ","")&amp;IF(AND(N($BX28)&lt;N($BT28),COUNTIFS(issues!$E$2:$E$121,$A28,issues!$G$2:$G$121,"short_shipment")=0),"received "&amp;$BX28&amp;" of "&amp;$BT28&amp;" due: log a short_shipment issue and tell the brand today; ",""),"")&amp;IF(AND($BG28&lt;&gt;"",IF(config!$B$37&lt;&gt;"",config!$B$37,TODAY())&gt;=WORKDAY(N($BG28),1,calendar!$A$2:$A$80),N($F28)&gt;0,(-SUMIFS(invoices!$E$2:$E$151,invoices!$B$2:$B$151,$A28,invoices!$C$2:$C$151,"credit_note"))&lt;(IF($D28="founding",config!$B$25,config!$B$24)*MAX(0,N($F28)-COUNTIFS(approvals!$A$2:$A$251,$A28,approvals!$Q$2:$Q$251,"Y",approvals!$AB$2:$AB$251,"Y")))-0.005),"credit due from T+1: "&amp;MAX(0,N($F28)-COUNTIFS(approvals!$A$2:$A$251,$A28,approvals!$Q$2:$Q$251,"Y",approvals!$AB$2:$AB$251,"Y"))&amp;" of "&amp;$F28&amp;" contracted offices not placed by T+1, $"&amp;(IF($D28="founding",config!$B$25,config!$B$24)*MAX(0,N($F28)-COUNTIFS(approvals!$A$2:$A$251,$A28,approvals!$Q$2:$Q$251,"Y",approvals!$AB$2:$AB$251,"Y")))&amp;" due, $"&amp;(-SUMIFS(invoices!$E$2:$E$151,invoices!$B$2:$B$151,$A28,invoices!$C$2:$C$151,"credit_note"))&amp;" in credit notes so far (template 06, make_invoice.py); ","")&amp;IF(AND(IFERROR(IF(INDEX(brands!$H$2:$H$41,MATCH($C28,brands!$A$2:$A$41,0))="","",INDEX(brands!$H$2:$H$41,MATCH($C28,brands!$A$2:$A$41,0))),"")&lt;&gt;"",$BG28&lt;&gt;"",IFERROR(IF(INDEX(brands!$H$2:$H$41,MATCH($C28,brands!$A$2:$A$41,0))="","",INDEX(brands!$H$2:$H$41,MATCH($C28,brands!$A$2:$A$41,0))),"")&lt;EDATE(WORKDAY(N($BG28),4,calendar!$A$2:$A$80),12)),"info: brand insurance ends "&amp;TEXT(IFERROR(IF(INDEX(brands!$H$2:$H$41,MATCH($C28,brands!$A$2:$A$41,0))="","",INDEX(brands!$H$2:$H$41,MATCH($C28,brands!$A$2:$A$41,0))),""),"yyyy-mm-dd")&amp;": diary the renewal certificate; ",""))</f>
        <v/>
      </c>
    </row>
    <row r="29">
      <c r="G29" s="10" t="n"/>
      <c r="H29" s="9" t="n"/>
      <c r="AB29" s="9" t="n"/>
      <c r="AC29" s="9" t="n"/>
      <c r="AD29" s="9" t="n"/>
      <c r="AF29" s="9" t="n"/>
      <c r="AG29" s="9" t="n"/>
      <c r="AT29" s="9" t="n"/>
      <c r="AU29" s="9" t="n"/>
      <c r="AY29" s="9" t="n"/>
      <c r="BA29" s="9" t="n"/>
      <c r="BB29" s="9" t="n"/>
      <c r="BC29" s="9" t="n"/>
      <c r="BE29" s="25">
        <f>IF($A29="","",IFERROR(IF(INDEX(brands!$K$2:$K$41,MATCH($C29,brands!$A$2:$A$41,0))="","",INDEX(brands!$K$2:$K$41,MATCH($C29,brands!$A$2:$A$41,0))),""))</f>
        <v/>
      </c>
      <c r="BF29" s="25">
        <f>IF($A29="","",IFERROR(IF(INDEX(brands!$M$2:$M$41,MATCH($C29,brands!$A$2:$A$41,0))="","",INDEX(brands!$M$2:$M$41,MATCH($C29,brands!$A$2:$A$41,0))),""))</f>
        <v/>
      </c>
      <c r="BG29" s="26">
        <f>IF($A29="","",IF(IFERROR(IF(INDEX(drops!$I$2:$I$21,MATCH($B29,drops!$A$2:$A$21,0))="","",INDEX(drops!$I$2:$I$21,MATCH($B29,drops!$A$2:$A$21,0))),"")="OK",IFERROR(IF(INDEX(drops!$B$2:$B$21,MATCH($B29,drops!$A$2:$A$21,0))="","",INDEX(drops!$B$2:$B$21,MATCH($B29,drops!$A$2:$A$21,0))),""),""))</f>
        <v/>
      </c>
      <c r="BH29" s="25">
        <f>IF($A29="","",IFERROR(IF(INDEX(drops!$C$2:$C$21,MATCH($B29,drops!$A$2:$A$21,0))="","",INDEX(drops!$C$2:$C$21,MATCH($B29,drops!$A$2:$A$21,0))),""))</f>
        <v/>
      </c>
      <c r="BI29" s="27">
        <f>IF($A29="","",IF($F29="","",IF($D29="founding",IF($E29="Y",config!$B$25*MIN($F29,config!$B$26)+config!$B$24*MAX(0,$F29-config!$B$26),config!$B$20+config!$B$24*MAX(0,$F29-config!$B$21)),IF($D29="standard",config!$B$22+config!$B$24*MAX(0,$F29-config!$B$23),""))))</f>
        <v/>
      </c>
      <c r="BJ29" s="27">
        <f>IF($A29="","",IF($G29&lt;&gt;"",$G29,$BI29))</f>
        <v/>
      </c>
      <c r="BK29" s="25">
        <f>IF($A29="","",IF($D29="founding","100% within "&amp;config!$B$27&amp;" business days of the invoice, before shipping",IF($D29="standard","50% on signing; 50% at placement confirmation (T+1)","")))</f>
        <v/>
      </c>
      <c r="BL29" s="26">
        <f>IF($A29="","",IFERROR(IF(INDEX(drops!$K$2:$K$21,MATCH($B29,drops!$A$2:$A$21,0))="","",INDEX(drops!$K$2:$K$21,MATCH($B29,drops!$A$2:$A$21,0))),""))</f>
        <v/>
      </c>
      <c r="BM29" s="26">
        <f>IF($A29="","",IFERROR(IF(INDEX(drops!$L$2:$L$21,MATCH($B29,drops!$A$2:$A$21,0))="","",INDEX(drops!$L$2:$L$21,MATCH($B29,drops!$A$2:$A$21,0))),""))</f>
        <v/>
      </c>
      <c r="BN29" s="25">
        <f>IF($A29="","",COUNTIF(approvals!$A$2:$A$251,$A29))</f>
        <v/>
      </c>
      <c r="BO29" s="25">
        <f>IF($A29="","",COUNTIFS(approvals!$A$2:$A$251,$A29,approvals!$P$2:$P$251,"Y"))</f>
        <v/>
      </c>
      <c r="BP29" s="25">
        <f>IF($A29="","",COUNTIFS(approvals!$A$2:$A$251,$A29,approvals!$Q$2:$Q$251,"Y"))</f>
        <v/>
      </c>
      <c r="BQ29" s="25">
        <f>IF($A29="","",COUNTIFS(approvals!$A$2:$A$251,$A29,approvals!$P$2:$P$251,"pending"))</f>
        <v/>
      </c>
      <c r="BR29" s="25">
        <f>IF($A29="","",SUMIFS(approvals!$S$2:$S$251,approvals!$A$2:$A$251,$A29,approvals!$P$2:$P$251,"Y"))</f>
        <v/>
      </c>
      <c r="BS29" s="25">
        <f>IF($A29="","",ROUNDUP($BR29*config!$B$18,0))</f>
        <v/>
      </c>
      <c r="BT29" s="25">
        <f>IF($A29="","",$BR29+$BS29)</f>
        <v/>
      </c>
      <c r="BU29" s="27">
        <f>IF($A29="","",SUMIFS(invoices!$I$2:$I$151,invoices!$B$2:$B$151,$A29,invoices!$R$2:$R$151,"Y",invoices!$H$2:$H$151,"&gt;0"))</f>
        <v/>
      </c>
      <c r="BV29" s="27">
        <f>IF($A29="","",IF($BJ29="","",IF($D29="founding",$BJ29,ROUND($BJ29*config!$B$28,2))))</f>
        <v/>
      </c>
      <c r="BW29" s="25">
        <f>IF($A29="","",IF(AND(N($BU29)&gt;=N($BV29),N($BV29)&gt;0,$H29&lt;&gt;"",AND($AB29&lt;&gt;"",IFERROR(IF(INDEX(brands!$G$2:$G$41,MATCH($C29,brands!$A$2:$A$41,0))="","",INDEX(brands!$G$2:$G$41,MATCH($C29,brands!$A$2:$A$41,0))),"")="Y"),LEFT(IFERROR(IF(INDEX(brands!$AG$2:$AG$41,MATCH($C29,brands!$A$2:$A$41,0))="","",INDEX(brands!$AG$2:$AG$41,MATCH($C29,brands!$A$2:$A$41,0))),""),1)="Y",$BG29&lt;&gt;"",$BQ29=0,$BO29&gt;0),"RELEASED "&amp;TEXT(MAX(IFERROR(1/(1/SUMPRODUCT(MAX((invoices!$B$2:$B$151=$A29)*(invoices!$R$2:$R$151="Y")*(invoices!$H$2:$H$151)))),""),$H29,$AB29,SUMPRODUCT(MAX((approvals!$A$2:$A$251=$A29)*(approvals!$P$2:$P$251="Y")*(approvals!$E$2:$E$251+(approvals!$E$2:$E$251=0)*approvals!$C$2:$C$251)))),"yyyy-mm-dd")&amp;": ship by "&amp;TEXT($BM29,"ddd yyyy-mm-dd")&amp;" (latest "&amp;TEXT($BL29,"ddd yyyy-mm-dd")&amp;")","HOLD: "&amp;IF(N($BU29)&lt;N($BV29),"payment ("&amp;TEXT(N($BU29),"0")&amp;" of "&amp;TEXT(N($BV29),"0")&amp;") ","")&amp;IF($H29="","agreement ","")&amp;IF(NOT(AND($AB29&lt;&gt;"",IFERROR(IF(INDEX(brands!$G$2:$G$41,MATCH($C29,brands!$A$2:$A$41,0))="","",INDEX(brands!$G$2:$G$41,MATCH($C29,brands!$A$2:$A$41,0))),"")="Y")),"certificate ","")&amp;IF(NOT(LEFT(IFERROR(IF(INDEX(brands!$AG$2:$AG$41,MATCH($C29,brands!$A$2:$A$41,0))="","",INDEX(brands!$AG$2:$AG$41,MATCH($C29,brands!$A$2:$A$41,0))),""),1)="Y"),"qualification ","")&amp;IF($BG29="","drop date ","")&amp;IF($BQ29&gt;0,"approvals ("&amp;$BQ29&amp;" pending) ","")&amp;IF($BO29=0,"no office approved ","")))</f>
        <v/>
      </c>
      <c r="BX29" s="25">
        <f>IF($A29="","",SUMIFS(inventory!$G$2:$G$801,inventory!$C$2:$C$801,$A29,inventory!$E$2:$E$801,"received"))</f>
        <v/>
      </c>
      <c r="BY29" s="25">
        <f>IF($A29="","",SUMIFS(inventory!$G$2:$G$801,inventory!$C$2:$C$801,$A29,inventory!$E$2:$E$801,"rejected"))</f>
        <v/>
      </c>
      <c r="BZ29" s="25">
        <f>IF($A29="","",SUMIFS(inventory!$M$2:$M$801,inventory!$C$2:$C$801,$A29))</f>
        <v/>
      </c>
      <c r="CA29" s="25">
        <f>IF($A29="","",SUMIFS(inventory!$O$2:$O$801,inventory!$C$2:$C$801,$A29))</f>
        <v/>
      </c>
      <c r="CB29" s="25">
        <f>IF($A29="","",SUMIFS(approvals!$U$2:$U$251,approvals!$A$2:$A$251,$A29))</f>
        <v/>
      </c>
      <c r="CC29" s="25">
        <f>IF($A29="","",SUMIFS(approvals!$AA$2:$AA$251,approvals!$A$2:$A$251,$A29))</f>
        <v/>
      </c>
      <c r="CD29" s="25">
        <f>IF($A29="","",SUMIFS(approvals!$AA$2:$AA$251,approvals!$A$2:$A$251,$A29,approvals!$AB$2:$AB$251,"Y"))</f>
        <v/>
      </c>
      <c r="CE29" s="29">
        <f>IF($A29="","",IF(N($CB29)=0,"",$CD29/$CB29))</f>
        <v/>
      </c>
      <c r="CF29" s="25">
        <f>IF($A29="","",SUMIFS(approvals!$AD$2:$AD$251,approvals!$A$2:$A$251,$A29))</f>
        <v/>
      </c>
      <c r="CG29" s="25">
        <f>IF($A29="","",IF(COUNTIFS(approvals!$A$2:$A$251,$A29,approvals!$Q$2:$Q$251,"Y",approvals!$AG$2:$AG$251,"")&gt;0,"",SUMIFS(approvals!$AG$2:$AG$251,approvals!$A$2:$A$251,$A29,approvals!$Q$2:$Q$251,"Y")))</f>
        <v/>
      </c>
      <c r="CH29" s="25">
        <f>IF($A29="","",SUMIFS(approvals!$AL$2:$AL$251,approvals!$A$2:$A$251,$A29))</f>
        <v/>
      </c>
      <c r="CI29" s="25">
        <f>IF($A29="","",IF(N($BP29)=0,"",SUMPRODUCT(MIN(approvals!$BB$2:$BB$251+(approvals!$A$2:$A$251&lt;&gt;$A29)*1000000))))</f>
        <v/>
      </c>
      <c r="CJ29" s="25">
        <f>IF($A29="","",COUNTIFS(approvals!$A$2:$A$251,$A29,approvals!$Q$2:$Q$251,"Y",approvals!$AL$2:$AL$251,"&lt;"&amp;config!$B$30))</f>
        <v/>
      </c>
      <c r="CK29" s="25">
        <f>IF($A29="","",SUMIFS(approvals!$AM$2:$AM$251,approvals!$A$2:$A$251,$A29))</f>
        <v/>
      </c>
      <c r="CL29" s="25">
        <f>IF($A29="","",SUMIFS(approvals!$AQ$2:$AQ$251,approvals!$A$2:$A$251,$A29))</f>
        <v/>
      </c>
      <c r="CM29" s="25">
        <f>IF($A29="","",SUMIFS(approvals!$AR$2:$AR$251,approvals!$A$2:$A$251,$A29))</f>
        <v/>
      </c>
      <c r="CN29" s="25">
        <f>IF($A29="","",SUMIFS(approvals!$AS$2:$AS$251,approvals!$A$2:$A$251,$A29))</f>
        <v/>
      </c>
      <c r="CO29" s="25">
        <f>IF($A29="","",SUMIFS(approvals!$AT$2:$AT$251,approvals!$A$2:$A$251,$A29))</f>
        <v/>
      </c>
      <c r="CP29" s="28">
        <f>IF($A29="","",IF(N($CO29)=0,"",ROUND(SUMIFS(approvals!$AU$2:$AU$251,approvals!$A$2:$A$251,$A29)/$CO29,1)))</f>
        <v/>
      </c>
      <c r="CQ29" s="25">
        <f>IF($A29="","",SUMIFS(approvals!$AV$2:$AV$251,approvals!$A$2:$A$251,$A29))</f>
        <v/>
      </c>
      <c r="CR29" s="25">
        <f>IF($A29="","",SUMIFS(approvals!$AW$2:$AW$251,approvals!$A$2:$A$251,$A29))</f>
        <v/>
      </c>
      <c r="CS29" s="25">
        <f>IF($A29="","",SUMIFS(approvals!$AX$2:$AX$251,approvals!$A$2:$A$251,$A29))</f>
        <v/>
      </c>
      <c r="CT29" s="25">
        <f>IF($A29="","",SUMIFS(approvals!$AY$2:$AY$251,approvals!$A$2:$A$251,$A29))</f>
        <v/>
      </c>
      <c r="CU29" s="25">
        <f>IF($A29="","",IF(OR($BG29="",$BC29&lt;&gt;""),"",IFERROR(COUNT(INDIRECT("'"&amp;$A29&amp;"'!$A$2:$A$501")),0)-IFERROR(COUNTIFS(INDIRECT("'"&amp;$A29&amp;"'!$A$2:$A$501"),"&gt;="&amp;$BG29,INDIRECT("'"&amp;$A29&amp;"'!$A$2:$A$501"),"&lt;"&amp;(IFERROR(IF(INDEX(drops!$R$2:$R$21,MATCH($B29,drops!$A$2:$A$21,0))="","",INDEX(drops!$R$2:$R$21,MATCH($B29,drops!$A$2:$A$21,0))),"")+1)),0)))</f>
        <v/>
      </c>
      <c r="CV29" s="25">
        <f>IF($A29="","",IF(OR($BG29="",$BC29&lt;&gt;""),"",IFERROR(COUNTIFS(INDIRECT("'"&amp;$A29&amp;"'!$A$2:$A$501"),"&gt;="&amp;$BG29,INDIRECT("'"&amp;$A29&amp;"'!$A$2:$A$501"),"&lt;"&amp;(IFERROR(IF(INDEX(drops!$R$2:$R$21,MATCH($B29,drops!$A$2:$A$21,0))="","",INDEX(drops!$R$2:$R$21,MATCH($B29,drops!$A$2:$A$21,0))),"")+1)),0)-N($CH29)))</f>
        <v/>
      </c>
      <c r="CW29" s="25">
        <f>IF($A29="","",SUMIFS(approvals!$AN$2:$AN$251,approvals!$A$2:$A$251,$A29))</f>
        <v/>
      </c>
      <c r="CX29" s="25">
        <f>IF($A29="","",SUMIFS(approvals!$AO$2:$AO$251,approvals!$A$2:$A$251,$A29))</f>
        <v/>
      </c>
      <c r="CY29" s="25">
        <f>IF($A29="","",IF($CZ29="","",SUMIFS(redemptions!$C$2:$C$121,redemptions!$A$2:$A$121,$A29,redemptions!$B$2:$B$121,$CZ29)))</f>
        <v/>
      </c>
      <c r="CZ29" s="26">
        <f>IF($A29="","",IFERROR(1/(1/SUMPRODUCT(MAX((redemptions!$A$2:$A$121=$A29)*redemptions!$B$2:$B$121))),""))</f>
        <v/>
      </c>
      <c r="DA29" s="25">
        <f>IF($A29="","",IF(COUNTIFS(redemptions!$A$2:$A$121,$A29,redemptions!$H$2:$H$121,"Y")=0,"",SUMIFS(redemptions!$C$2:$C$121,redemptions!$A$2:$A$121,$A29,redemptions!$B$2:$B$121,SUMPRODUCT(MIN((redemptions!$A$2:$A$121=$A29)*(redemptions!$H$2:$H$121="Y")*redemptions!$B$2:$B$121+((redemptions!$A$2:$A$121&lt;&gt;$A29)+(redemptions!$H$2:$H$121&lt;&gt;"Y")&gt;0)*1000000)))))</f>
        <v/>
      </c>
      <c r="DB29" s="27">
        <f>IF($A29="","",SUMIFS(invoices!$E$2:$E$151,invoices!$B$2:$B$151,$A29))</f>
        <v/>
      </c>
      <c r="DC29" s="27">
        <f>IF($A29="","",IF(COUNTIFS(invoices!$B$2:$B$151,$A29,invoices!$C$2:$C$151,"standard_deposit",invoices!$H$2:$H$151,"&gt;0")=0,"",SUMIFS(invoices!$I$2:$I$151,invoices!$B$2:$B$151,$A29,invoices!$C$2:$C$151,"standard_deposit")))</f>
        <v/>
      </c>
      <c r="DD29" s="26">
        <f>IF($A29="","",IFERROR(1/(1/SUMPRODUCT(MAX((invoices!$B$2:$B$151=$A29)*(invoices!$C$2:$C$151="standard_deposit")*invoices!$H$2:$H$151))),""))</f>
        <v/>
      </c>
      <c r="DE29" s="26">
        <f>IF($A29="","",IFERROR(1/(1/SUMPRODUCT(MAX((invoices!$B$2:$B$151=$A29)*((invoices!$C$2:$C$151="founding_full")+(invoices!$C$2:$C$151="standard_balance"))*invoices!$H$2:$H$151))),""))</f>
        <v/>
      </c>
      <c r="DF29" s="27">
        <f>IF($A29="","",SUMIFS(invoices!$L$2:$L$151,invoices!$B$2:$B$151,$A29))</f>
        <v/>
      </c>
      <c r="DG29" s="27">
        <f>IF($A29="","",SUMIFS(costs!$E$2:$E$301,costs!$C$2:$C$301,$A29))</f>
        <v/>
      </c>
      <c r="DH29" s="27">
        <f>IF($A29="","",ROUND(IF(SUMIFS(campaigns!$BO$2:$BO$51,campaigns!$B$2:$B$51,$B29)=0,0,$BO29/SUMIFS(campaigns!$BO$2:$BO$51,campaigns!$B$2:$B$51,$B29))*(SUMIFS(costs!$E$2:$E$301,costs!$B$2:$B$301,$B29)-SUMPRODUCT((costs!$B$2:$B$301=$B29)*(LEN(costs!$C$2:$C$301)&gt;0)*costs!$E$2:$E$301)),2))</f>
        <v/>
      </c>
      <c r="DI29" s="28">
        <f>IF($A29="","",SUMIFS(hours!$E$2:$E$1501,hours!$C$2:$C$1501,$A29))</f>
        <v/>
      </c>
      <c r="DJ29" s="28">
        <f>IF($A29="","",ROUND(IF(SUMIFS(campaigns!$BO$2:$BO$51,campaigns!$B$2:$B$51,$B29)=0,0,$BO29/SUMIFS(campaigns!$BO$2:$BO$51,campaigns!$B$2:$B$51,$B29))*(SUMIFS(hours!$E$2:$E$1501,hours!$B$2:$B$1501,$B29)-SUMPRODUCT((hours!$B$2:$B$1501=$B29)*(LEN(hours!$C$2:$C$1501)&gt;0)*hours!$E$2:$E$1501)),2))</f>
        <v/>
      </c>
      <c r="DK29" s="27">
        <f>IF($A29="","",$DB29-$DF29-$DG29-$DH29)</f>
        <v/>
      </c>
      <c r="DL29" s="27">
        <f>IF($A29="","",IF(N($DI29)+N($DJ29)=0,"",ROUND($DK29/($DI29+$DJ29),2)))</f>
        <v/>
      </c>
      <c r="DM29" s="29">
        <f>IF($A29="","",IF(N($BP29)=0,"",COUNTIFS(approvals!$A$2:$A$251,$A29,approvals!$Q$2:$Q$251,"Y",approvals!$AK$2:$AK$251,"Y")/$BP29))</f>
        <v/>
      </c>
      <c r="DN29" s="28">
        <f>IF($A29="","",IF(COUNTIFS(approvals!$A$2:$A$251,$A29,approvals!$AC$2:$AC$251,"&gt;=0")=0,"",ROUND(SUMIFS(approvals!$AC$2:$AC$251,approvals!$A$2:$A$251,$A29)/COUNTIFS(approvals!$A$2:$A$251,$A29,approvals!$AC$2:$AC$251,"&gt;=0"),1)))</f>
        <v/>
      </c>
      <c r="DO29" s="26">
        <f>IF($A29="","",IFERROR(IF(INDEX(drops!$T$2:$T$21,MATCH($B29,drops!$A$2:$A$21,0))="","",INDEX(drops!$T$2:$T$21,MATCH($B29,drops!$A$2:$A$21,0))),""))</f>
        <v/>
      </c>
      <c r="DP29" s="26">
        <f>IF($A29="","",IFERROR(IF(INDEX(drops!$U$2:$U$21,MATCH($B29,drops!$A$2:$A$21,0))="","",INDEX(drops!$U$2:$U$21,MATCH($B29,drops!$A$2:$A$21,0))),""))</f>
        <v/>
      </c>
      <c r="DQ29" s="26">
        <f>IF($A29="","",IFERROR(IF(INDEX(drops!$W$2:$W$21,MATCH($B29,drops!$A$2:$A$21,0))="","",INDEX(drops!$W$2:$W$21,MATCH($B29,drops!$A$2:$A$21,0))),""))</f>
        <v/>
      </c>
      <c r="DR29" s="25">
        <f>IF($A29="","",IF($CE29="","",IF($CE29&gt;=config!$B$31,"pass","miss")))</f>
        <v/>
      </c>
      <c r="DS29" s="25">
        <f>IF($A29="","",IF($CI29="","",IF($CI29&gt;=config!$B$30,"pass","miss")))</f>
        <v/>
      </c>
      <c r="DT29" s="25">
        <f>IF($A29="","",IF($AT29="",IF($DO29="","",IF(IF(config!$B$37&lt;&gt;"",config!$B$37,TODAY())&gt;$DO29,"late","due")),IF($AT29&lt;=$DO29,"pass","late")))</f>
        <v/>
      </c>
      <c r="DU29" s="25">
        <f>IF($A29="","",IF(COUNTIF(drops!$A$2:$A$21,$B29)=0,"drop_id not on drops; ",IF($BG29="","drop date missing or refused; ",""))&amp;IF(AND($G29&lt;&gt;"",$G29&lt;&gt;$BI29),"price differs from the price list; ","")&amp;IF(AND(LEFT($BW29,4)="HOLD",$BL29&lt;&gt;"",IF(config!$B$37&lt;&gt;"",config!$B$37,TODAY())&gt;=WORKDAY(N($BL29),-3,calendar!$A$2:$A$80)),"SHIP HOLD within 3 business days of T-10; ","")&amp;IF(AND($BQ29&gt;0,$BL29&lt;&gt;"",IF(config!$B$37&lt;&gt;"",config!$B$37,TODAY())&gt;$BL29),"approvals still pending after T-10; ","")&amp;IF($BZ29&lt;0,"reserve below zero: check inventory; ","")&amp;IF(AND($BG29&lt;&gt;"",IF(config!$B$37&lt;&gt;"",config!$B$37,TODAY())&gt;WORKDAY(N($BG29),14,calendar!$A$2:$A$80),N($BZ29)+N($CA29)&lt;&gt;0),"units still on hand after T+14; ","")&amp;IF(N($CV29)&gt;0,"info: "&amp;$CV29&amp;" in-window responses with a card code that matches no office (not counted); ","")&amp;IF(AND($Z29="Y",$AK29=""),"newsletter form URL missing; ","")&amp;IF(AND($Z29="Y",$BG29&lt;&gt;"",IF(config!$B$37&lt;&gt;"",config!$B$37,TODAY())&gt;WORKDAY(N($BG29),5,calendar!$A$2:$A$80),$AY29=""),"newsletter list not yet passed on (due T+5); ","")&amp;IF(AND($AY29&lt;&gt;"",$BA29=""),"delete unticked emails; ","")&amp;IF(AND($AY29&lt;&gt;"",$BB29="",IF(config!$B$37&lt;&gt;"",config!$B$37,TODAY())&gt;$AY29+config!$B$32),"DELETE the consented emails (30 days after passing on); ","")&amp;IF(AND($BG29&lt;&gt;"",$AJ29="",IF(config!$B$37&lt;&gt;"",config!$B$37,TODAY())&gt;=WORKDAY(N($BG29),-4,calendar!$A$2:$A$80)),"survey prefill template missing (due T-4); ","")&amp;IF(AND($AJ29&lt;&gt;"",ISERROR(SEARCH("CARDCODE",$AJ29))),"prefill template has no CARDCODE; ","")&amp;IF(AND($AF29="",$BG29&lt;&gt;"",IF(config!$B$37&lt;&gt;"",config!$B$37,TODAY())&gt;=WORKDAY(N($BG29),-3,calendar!$A$2:$A$80)),"card text not yet sent to the brand; ","")&amp;IF(AND($DA29="",$DQ29&lt;&gt;"",IF(config!$B$37&lt;&gt;"",config!$B$37,TODAY())&gt;$DQ29),"day-30 redemption count due; ","")&amp;IF(AND(LEFT($BW29,8)="RELEASED",$AG29=""),"ship-date email due (template 02): send it, then log ship_email_sent_date and ship_email_units; ","")&amp;IF(AND($AH29&lt;&gt;"",N($BT29)&gt;0,N($BX29)=0,N($AH29)&lt;&gt;N($BT29)),"units changed since the ship-date email of "&amp;IF($AG29="","?",TEXT($AG29,"yyyy-mm-dd"))&amp;" ("&amp;$AH29&amp;", now "&amp;$BT29&amp;"): send the brand the revised numbers (template 02) and log them; ","")&amp;IF($DT29="late","report late; ","")&amp;IF(AND(N($F29)&gt;0,$BO29&lt;N($F29),$BQ29=0),"info: "&amp;(N($F29)-$BO29)&amp;" office(s) short of the contract: add a roster office or credit $"&amp;IF($D29="founding",config!$B$25,config!$B$24)&amp;" each; ","")&amp;IF($BC29&lt;&gt;"",IF(COUNTIF(survey_frozen!$A$2:$A$251,$A29)=0,"answers deleted but no frozen totals: the survey numbers now read 0 (tools/freeze_survey.py, SOP answers_delete); ",""),IF(AND($BG29&lt;&gt;"",IF(config!$B$37&lt;&gt;"",config!$B$37,TODAY())&gt;=$BG29,ISREF(INDIRECT("'"&amp;$A29&amp;"'!B1"))),IF(INDIRECT("'"&amp;$A29&amp;"'!B1")&lt;&gt;"Card code (filled in for you)","survey tab column B is not the card code: fix the form or the tab; ",""),IF(AND($BG29&lt;&gt;"",IF(config!$B$37&lt;&gt;"",config!$B$37,TODAY())&gt;=$BG29),"no survey tab named "&amp;$A29&amp;"; ","")))&amp;IF(COUNTIF(brands!$A$2:$A$41,$C29)=0,"brand_id not on brands; ",IF(LEFT(IFERROR(IF(INDEX(brands!$AG$2:$AG$41,MATCH($C29,brands!$A$2:$A$41,0))="","",INDEX(brands!$AG$2:$AG$41,MATCH($C29,brands!$A$2:$A$41,0))),""),1)&lt;&gt;"Y","brand not qualified ("&amp;IFERROR(IF(INDEX(brands!$AG$2:$AG$41,MATCH($C29,brands!$A$2:$A$41,0))="","",INDEX(brands!$AG$2:$AG$41,MATCH($C29,brands!$A$2:$A$41,0))),"")&amp;"): nothing ships until it is; ",""))&amp;IF(AND(COUNTIF(brands!$A$2:$A$41,$C29)&gt;0,OR(IFERROR(IF(INDEX(brands!$C$2:$C$41,MATCH($C29,brands!$A$2:$A$41,0))="","",INDEX(brands!$C$2:$C$41,MATCH($C29,brands!$A$2:$A$41,0))),"")="",IFERROR(IF(INDEX(brands!$D$2:$D$41,MATCH($C29,brands!$A$2:$A$41,0))="","",INDEX(brands!$D$2:$D$41,MATCH($C29,brands!$A$2:$A$41,0))),"")="",IFERROR(IF(INDEX(brands!$E$2:$E$41,MATCH($C29,brands!$A$2:$A$41,0))="","",INDEX(brands!$E$2:$E$41,MATCH($C29,brands!$A$2:$A$41,0))),"")="")),"brand billing details missing on brands (legal name, address, email): needed for the invoice; ","")&amp;IF(AND($D29="founding",$E29&lt;&gt;"Y",N(IFERROR(IF(INDEX(brands!$AI$2:$AI$41,MATCH($C29,brands!$A$2:$A$41,0))="","",INDEX(brands!$AI$2:$AI$41,MATCH($C29,brands!$A$2:$A$41,0))),""))&gt;3),"the founding tier is for the first three brands only (this is brand "&amp;IFERROR(IF(INDEX(brands!$AI$2:$AI$41,MATCH($C29,brands!$A$2:$A$41,0))="","",INDEX(brands!$AI$2:$AI$41,MATCH($C29,brands!$A$2:$A$41,0))),"")&amp;"): use standard; ","")&amp;IF(AND($D29="founding",$E29&lt;&gt;"Y",COUNTIFS(campaigns!$C$2:$C$51,$C29,campaigns!$D$2:$D$51,"founding",campaigns!$E$2:$E$51,"&lt;&gt;Y")&gt;1),"a brand has the founding price once; its next two campaigns are founding_lock = Y; ","")&amp;IF(AND($E29="Y",COUNTIFS(campaigns!$C$2:$C$51,$C29,campaigns!$D$2:$D$51,"founding",campaigns!$E$2:$E$51,"Y")&gt;2),"founding_lock is for the brand's next two campaigns only (this is a third): use standard; ","")&amp;IF(AND($E29="Y",COUNTIFS(campaigns!$C$2:$C$51,$C29,campaigns!$D$2:$D$51,"founding",campaigns!$E$2:$E$51,"&lt;&gt;Y")=0),"founding_lock without a first founding campaign for this brand; ","")&amp;IF(AND(N($BX29)&gt;0,$BG29&lt;&gt;"",IF(config!$B$37&lt;&gt;"",config!$B$37,TODAY())&gt;=WORKDAY(N($BG29),-5,calendar!$A$2:$A$80)),IF(N($BX29)-N($BY29)&lt;N($BR29),"received "&amp;(N($BX29)-N($BY29))&amp;" usable units for "&amp;$BR29&amp;" allocated: reduce units_override evenly (SOP section 4, short shipment); ","")&amp;IF(AND(N($BX29)&lt;N($BT29),COUNTIFS(issues!$E$2:$E$121,$A29,issues!$G$2:$G$121,"short_shipment")=0),"received "&amp;$BX29&amp;" of "&amp;$BT29&amp;" due: log a short_shipment issue and tell the brand today; ",""),"")&amp;IF(AND($BG29&lt;&gt;"",IF(config!$B$37&lt;&gt;"",config!$B$37,TODAY())&gt;=WORKDAY(N($BG29),1,calendar!$A$2:$A$80),N($F29)&gt;0,(-SUMIFS(invoices!$E$2:$E$151,invoices!$B$2:$B$151,$A29,invoices!$C$2:$C$151,"credit_note"))&lt;(IF($D29="founding",config!$B$25,config!$B$24)*MAX(0,N($F29)-COUNTIFS(approvals!$A$2:$A$251,$A29,approvals!$Q$2:$Q$251,"Y",approvals!$AB$2:$AB$251,"Y")))-0.005),"credit due from T+1: "&amp;MAX(0,N($F29)-COUNTIFS(approvals!$A$2:$A$251,$A29,approvals!$Q$2:$Q$251,"Y",approvals!$AB$2:$AB$251,"Y"))&amp;" of "&amp;$F29&amp;" contracted offices not placed by T+1, $"&amp;(IF($D29="founding",config!$B$25,config!$B$24)*MAX(0,N($F29)-COUNTIFS(approvals!$A$2:$A$251,$A29,approvals!$Q$2:$Q$251,"Y",approvals!$AB$2:$AB$251,"Y")))&amp;" due, $"&amp;(-SUMIFS(invoices!$E$2:$E$151,invoices!$B$2:$B$151,$A29,invoices!$C$2:$C$151,"credit_note"))&amp;" in credit notes so far (template 06, make_invoice.py); ","")&amp;IF(AND(IFERROR(IF(INDEX(brands!$H$2:$H$41,MATCH($C29,brands!$A$2:$A$41,0))="","",INDEX(brands!$H$2:$H$41,MATCH($C29,brands!$A$2:$A$41,0))),"")&lt;&gt;"",$BG29&lt;&gt;"",IFERROR(IF(INDEX(brands!$H$2:$H$41,MATCH($C29,brands!$A$2:$A$41,0))="","",INDEX(brands!$H$2:$H$41,MATCH($C29,brands!$A$2:$A$41,0))),"")&lt;EDATE(WORKDAY(N($BG29),4,calendar!$A$2:$A$80),12)),"info: brand insurance ends "&amp;TEXT(IFERROR(IF(INDEX(brands!$H$2:$H$41,MATCH($C29,brands!$A$2:$A$41,0))="","",INDEX(brands!$H$2:$H$41,MATCH($C29,brands!$A$2:$A$41,0))),""),"yyyy-mm-dd")&amp;": diary the renewal certificate; ",""))</f>
        <v/>
      </c>
    </row>
    <row r="30">
      <c r="G30" s="10" t="n"/>
      <c r="H30" s="9" t="n"/>
      <c r="AB30" s="9" t="n"/>
      <c r="AC30" s="9" t="n"/>
      <c r="AD30" s="9" t="n"/>
      <c r="AF30" s="9" t="n"/>
      <c r="AG30" s="9" t="n"/>
      <c r="AT30" s="9" t="n"/>
      <c r="AU30" s="9" t="n"/>
      <c r="AY30" s="9" t="n"/>
      <c r="BA30" s="9" t="n"/>
      <c r="BB30" s="9" t="n"/>
      <c r="BC30" s="9" t="n"/>
      <c r="BE30" s="25">
        <f>IF($A30="","",IFERROR(IF(INDEX(brands!$K$2:$K$41,MATCH($C30,brands!$A$2:$A$41,0))="","",INDEX(brands!$K$2:$K$41,MATCH($C30,brands!$A$2:$A$41,0))),""))</f>
        <v/>
      </c>
      <c r="BF30" s="25">
        <f>IF($A30="","",IFERROR(IF(INDEX(brands!$M$2:$M$41,MATCH($C30,brands!$A$2:$A$41,0))="","",INDEX(brands!$M$2:$M$41,MATCH($C30,brands!$A$2:$A$41,0))),""))</f>
        <v/>
      </c>
      <c r="BG30" s="26">
        <f>IF($A30="","",IF(IFERROR(IF(INDEX(drops!$I$2:$I$21,MATCH($B30,drops!$A$2:$A$21,0))="","",INDEX(drops!$I$2:$I$21,MATCH($B30,drops!$A$2:$A$21,0))),"")="OK",IFERROR(IF(INDEX(drops!$B$2:$B$21,MATCH($B30,drops!$A$2:$A$21,0))="","",INDEX(drops!$B$2:$B$21,MATCH($B30,drops!$A$2:$A$21,0))),""),""))</f>
        <v/>
      </c>
      <c r="BH30" s="25">
        <f>IF($A30="","",IFERROR(IF(INDEX(drops!$C$2:$C$21,MATCH($B30,drops!$A$2:$A$21,0))="","",INDEX(drops!$C$2:$C$21,MATCH($B30,drops!$A$2:$A$21,0))),""))</f>
        <v/>
      </c>
      <c r="BI30" s="27">
        <f>IF($A30="","",IF($F30="","",IF($D30="founding",IF($E30="Y",config!$B$25*MIN($F30,config!$B$26)+config!$B$24*MAX(0,$F30-config!$B$26),config!$B$20+config!$B$24*MAX(0,$F30-config!$B$21)),IF($D30="standard",config!$B$22+config!$B$24*MAX(0,$F30-config!$B$23),""))))</f>
        <v/>
      </c>
      <c r="BJ30" s="27">
        <f>IF($A30="","",IF($G30&lt;&gt;"",$G30,$BI30))</f>
        <v/>
      </c>
      <c r="BK30" s="25">
        <f>IF($A30="","",IF($D30="founding","100% within "&amp;config!$B$27&amp;" business days of the invoice, before shipping",IF($D30="standard","50% on signing; 50% at placement confirmation (T+1)","")))</f>
        <v/>
      </c>
      <c r="BL30" s="26">
        <f>IF($A30="","",IFERROR(IF(INDEX(drops!$K$2:$K$21,MATCH($B30,drops!$A$2:$A$21,0))="","",INDEX(drops!$K$2:$K$21,MATCH($B30,drops!$A$2:$A$21,0))),""))</f>
        <v/>
      </c>
      <c r="BM30" s="26">
        <f>IF($A30="","",IFERROR(IF(INDEX(drops!$L$2:$L$21,MATCH($B30,drops!$A$2:$A$21,0))="","",INDEX(drops!$L$2:$L$21,MATCH($B30,drops!$A$2:$A$21,0))),""))</f>
        <v/>
      </c>
      <c r="BN30" s="25">
        <f>IF($A30="","",COUNTIF(approvals!$A$2:$A$251,$A30))</f>
        <v/>
      </c>
      <c r="BO30" s="25">
        <f>IF($A30="","",COUNTIFS(approvals!$A$2:$A$251,$A30,approvals!$P$2:$P$251,"Y"))</f>
        <v/>
      </c>
      <c r="BP30" s="25">
        <f>IF($A30="","",COUNTIFS(approvals!$A$2:$A$251,$A30,approvals!$Q$2:$Q$251,"Y"))</f>
        <v/>
      </c>
      <c r="BQ30" s="25">
        <f>IF($A30="","",COUNTIFS(approvals!$A$2:$A$251,$A30,approvals!$P$2:$P$251,"pending"))</f>
        <v/>
      </c>
      <c r="BR30" s="25">
        <f>IF($A30="","",SUMIFS(approvals!$S$2:$S$251,approvals!$A$2:$A$251,$A30,approvals!$P$2:$P$251,"Y"))</f>
        <v/>
      </c>
      <c r="BS30" s="25">
        <f>IF($A30="","",ROUNDUP($BR30*config!$B$18,0))</f>
        <v/>
      </c>
      <c r="BT30" s="25">
        <f>IF($A30="","",$BR30+$BS30)</f>
        <v/>
      </c>
      <c r="BU30" s="27">
        <f>IF($A30="","",SUMIFS(invoices!$I$2:$I$151,invoices!$B$2:$B$151,$A30,invoices!$R$2:$R$151,"Y",invoices!$H$2:$H$151,"&gt;0"))</f>
        <v/>
      </c>
      <c r="BV30" s="27">
        <f>IF($A30="","",IF($BJ30="","",IF($D30="founding",$BJ30,ROUND($BJ30*config!$B$28,2))))</f>
        <v/>
      </c>
      <c r="BW30" s="25">
        <f>IF($A30="","",IF(AND(N($BU30)&gt;=N($BV30),N($BV30)&gt;0,$H30&lt;&gt;"",AND($AB30&lt;&gt;"",IFERROR(IF(INDEX(brands!$G$2:$G$41,MATCH($C30,brands!$A$2:$A$41,0))="","",INDEX(brands!$G$2:$G$41,MATCH($C30,brands!$A$2:$A$41,0))),"")="Y"),LEFT(IFERROR(IF(INDEX(brands!$AG$2:$AG$41,MATCH($C30,brands!$A$2:$A$41,0))="","",INDEX(brands!$AG$2:$AG$41,MATCH($C30,brands!$A$2:$A$41,0))),""),1)="Y",$BG30&lt;&gt;"",$BQ30=0,$BO30&gt;0),"RELEASED "&amp;TEXT(MAX(IFERROR(1/(1/SUMPRODUCT(MAX((invoices!$B$2:$B$151=$A30)*(invoices!$R$2:$R$151="Y")*(invoices!$H$2:$H$151)))),""),$H30,$AB30,SUMPRODUCT(MAX((approvals!$A$2:$A$251=$A30)*(approvals!$P$2:$P$251="Y")*(approvals!$E$2:$E$251+(approvals!$E$2:$E$251=0)*approvals!$C$2:$C$251)))),"yyyy-mm-dd")&amp;": ship by "&amp;TEXT($BM30,"ddd yyyy-mm-dd")&amp;" (latest "&amp;TEXT($BL30,"ddd yyyy-mm-dd")&amp;")","HOLD: "&amp;IF(N($BU30)&lt;N($BV30),"payment ("&amp;TEXT(N($BU30),"0")&amp;" of "&amp;TEXT(N($BV30),"0")&amp;") ","")&amp;IF($H30="","agreement ","")&amp;IF(NOT(AND($AB30&lt;&gt;"",IFERROR(IF(INDEX(brands!$G$2:$G$41,MATCH($C30,brands!$A$2:$A$41,0))="","",INDEX(brands!$G$2:$G$41,MATCH($C30,brands!$A$2:$A$41,0))),"")="Y")),"certificate ","")&amp;IF(NOT(LEFT(IFERROR(IF(INDEX(brands!$AG$2:$AG$41,MATCH($C30,brands!$A$2:$A$41,0))="","",INDEX(brands!$AG$2:$AG$41,MATCH($C30,brands!$A$2:$A$41,0))),""),1)="Y"),"qualification ","")&amp;IF($BG30="","drop date ","")&amp;IF($BQ30&gt;0,"approvals ("&amp;$BQ30&amp;" pending) ","")&amp;IF($BO30=0,"no office approved ","")))</f>
        <v/>
      </c>
      <c r="BX30" s="25">
        <f>IF($A30="","",SUMIFS(inventory!$G$2:$G$801,inventory!$C$2:$C$801,$A30,inventory!$E$2:$E$801,"received"))</f>
        <v/>
      </c>
      <c r="BY30" s="25">
        <f>IF($A30="","",SUMIFS(inventory!$G$2:$G$801,inventory!$C$2:$C$801,$A30,inventory!$E$2:$E$801,"rejected"))</f>
        <v/>
      </c>
      <c r="BZ30" s="25">
        <f>IF($A30="","",SUMIFS(inventory!$M$2:$M$801,inventory!$C$2:$C$801,$A30))</f>
        <v/>
      </c>
      <c r="CA30" s="25">
        <f>IF($A30="","",SUMIFS(inventory!$O$2:$O$801,inventory!$C$2:$C$801,$A30))</f>
        <v/>
      </c>
      <c r="CB30" s="25">
        <f>IF($A30="","",SUMIFS(approvals!$U$2:$U$251,approvals!$A$2:$A$251,$A30))</f>
        <v/>
      </c>
      <c r="CC30" s="25">
        <f>IF($A30="","",SUMIFS(approvals!$AA$2:$AA$251,approvals!$A$2:$A$251,$A30))</f>
        <v/>
      </c>
      <c r="CD30" s="25">
        <f>IF($A30="","",SUMIFS(approvals!$AA$2:$AA$251,approvals!$A$2:$A$251,$A30,approvals!$AB$2:$AB$251,"Y"))</f>
        <v/>
      </c>
      <c r="CE30" s="29">
        <f>IF($A30="","",IF(N($CB30)=0,"",$CD30/$CB30))</f>
        <v/>
      </c>
      <c r="CF30" s="25">
        <f>IF($A30="","",SUMIFS(approvals!$AD$2:$AD$251,approvals!$A$2:$A$251,$A30))</f>
        <v/>
      </c>
      <c r="CG30" s="25">
        <f>IF($A30="","",IF(COUNTIFS(approvals!$A$2:$A$251,$A30,approvals!$Q$2:$Q$251,"Y",approvals!$AG$2:$AG$251,"")&gt;0,"",SUMIFS(approvals!$AG$2:$AG$251,approvals!$A$2:$A$251,$A30,approvals!$Q$2:$Q$251,"Y")))</f>
        <v/>
      </c>
      <c r="CH30" s="25">
        <f>IF($A30="","",SUMIFS(approvals!$AL$2:$AL$251,approvals!$A$2:$A$251,$A30))</f>
        <v/>
      </c>
      <c r="CI30" s="25">
        <f>IF($A30="","",IF(N($BP30)=0,"",SUMPRODUCT(MIN(approvals!$BB$2:$BB$251+(approvals!$A$2:$A$251&lt;&gt;$A30)*1000000))))</f>
        <v/>
      </c>
      <c r="CJ30" s="25">
        <f>IF($A30="","",COUNTIFS(approvals!$A$2:$A$251,$A30,approvals!$Q$2:$Q$251,"Y",approvals!$AL$2:$AL$251,"&lt;"&amp;config!$B$30))</f>
        <v/>
      </c>
      <c r="CK30" s="25">
        <f>IF($A30="","",SUMIFS(approvals!$AM$2:$AM$251,approvals!$A$2:$A$251,$A30))</f>
        <v/>
      </c>
      <c r="CL30" s="25">
        <f>IF($A30="","",SUMIFS(approvals!$AQ$2:$AQ$251,approvals!$A$2:$A$251,$A30))</f>
        <v/>
      </c>
      <c r="CM30" s="25">
        <f>IF($A30="","",SUMIFS(approvals!$AR$2:$AR$251,approvals!$A$2:$A$251,$A30))</f>
        <v/>
      </c>
      <c r="CN30" s="25">
        <f>IF($A30="","",SUMIFS(approvals!$AS$2:$AS$251,approvals!$A$2:$A$251,$A30))</f>
        <v/>
      </c>
      <c r="CO30" s="25">
        <f>IF($A30="","",SUMIFS(approvals!$AT$2:$AT$251,approvals!$A$2:$A$251,$A30))</f>
        <v/>
      </c>
      <c r="CP30" s="28">
        <f>IF($A30="","",IF(N($CO30)=0,"",ROUND(SUMIFS(approvals!$AU$2:$AU$251,approvals!$A$2:$A$251,$A30)/$CO30,1)))</f>
        <v/>
      </c>
      <c r="CQ30" s="25">
        <f>IF($A30="","",SUMIFS(approvals!$AV$2:$AV$251,approvals!$A$2:$A$251,$A30))</f>
        <v/>
      </c>
      <c r="CR30" s="25">
        <f>IF($A30="","",SUMIFS(approvals!$AW$2:$AW$251,approvals!$A$2:$A$251,$A30))</f>
        <v/>
      </c>
      <c r="CS30" s="25">
        <f>IF($A30="","",SUMIFS(approvals!$AX$2:$AX$251,approvals!$A$2:$A$251,$A30))</f>
        <v/>
      </c>
      <c r="CT30" s="25">
        <f>IF($A30="","",SUMIFS(approvals!$AY$2:$AY$251,approvals!$A$2:$A$251,$A30))</f>
        <v/>
      </c>
      <c r="CU30" s="25">
        <f>IF($A30="","",IF(OR($BG30="",$BC30&lt;&gt;""),"",IFERROR(COUNT(INDIRECT("'"&amp;$A30&amp;"'!$A$2:$A$501")),0)-IFERROR(COUNTIFS(INDIRECT("'"&amp;$A30&amp;"'!$A$2:$A$501"),"&gt;="&amp;$BG30,INDIRECT("'"&amp;$A30&amp;"'!$A$2:$A$501"),"&lt;"&amp;(IFERROR(IF(INDEX(drops!$R$2:$R$21,MATCH($B30,drops!$A$2:$A$21,0))="","",INDEX(drops!$R$2:$R$21,MATCH($B30,drops!$A$2:$A$21,0))),"")+1)),0)))</f>
        <v/>
      </c>
      <c r="CV30" s="25">
        <f>IF($A30="","",IF(OR($BG30="",$BC30&lt;&gt;""),"",IFERROR(COUNTIFS(INDIRECT("'"&amp;$A30&amp;"'!$A$2:$A$501"),"&gt;="&amp;$BG30,INDIRECT("'"&amp;$A30&amp;"'!$A$2:$A$501"),"&lt;"&amp;(IFERROR(IF(INDEX(drops!$R$2:$R$21,MATCH($B30,drops!$A$2:$A$21,0))="","",INDEX(drops!$R$2:$R$21,MATCH($B30,drops!$A$2:$A$21,0))),"")+1)),0)-N($CH30)))</f>
        <v/>
      </c>
      <c r="CW30" s="25">
        <f>IF($A30="","",SUMIFS(approvals!$AN$2:$AN$251,approvals!$A$2:$A$251,$A30))</f>
        <v/>
      </c>
      <c r="CX30" s="25">
        <f>IF($A30="","",SUMIFS(approvals!$AO$2:$AO$251,approvals!$A$2:$A$251,$A30))</f>
        <v/>
      </c>
      <c r="CY30" s="25">
        <f>IF($A30="","",IF($CZ30="","",SUMIFS(redemptions!$C$2:$C$121,redemptions!$A$2:$A$121,$A30,redemptions!$B$2:$B$121,$CZ30)))</f>
        <v/>
      </c>
      <c r="CZ30" s="26">
        <f>IF($A30="","",IFERROR(1/(1/SUMPRODUCT(MAX((redemptions!$A$2:$A$121=$A30)*redemptions!$B$2:$B$121))),""))</f>
        <v/>
      </c>
      <c r="DA30" s="25">
        <f>IF($A30="","",IF(COUNTIFS(redemptions!$A$2:$A$121,$A30,redemptions!$H$2:$H$121,"Y")=0,"",SUMIFS(redemptions!$C$2:$C$121,redemptions!$A$2:$A$121,$A30,redemptions!$B$2:$B$121,SUMPRODUCT(MIN((redemptions!$A$2:$A$121=$A30)*(redemptions!$H$2:$H$121="Y")*redemptions!$B$2:$B$121+((redemptions!$A$2:$A$121&lt;&gt;$A30)+(redemptions!$H$2:$H$121&lt;&gt;"Y")&gt;0)*1000000)))))</f>
        <v/>
      </c>
      <c r="DB30" s="27">
        <f>IF($A30="","",SUMIFS(invoices!$E$2:$E$151,invoices!$B$2:$B$151,$A30))</f>
        <v/>
      </c>
      <c r="DC30" s="27">
        <f>IF($A30="","",IF(COUNTIFS(invoices!$B$2:$B$151,$A30,invoices!$C$2:$C$151,"standard_deposit",invoices!$H$2:$H$151,"&gt;0")=0,"",SUMIFS(invoices!$I$2:$I$151,invoices!$B$2:$B$151,$A30,invoices!$C$2:$C$151,"standard_deposit")))</f>
        <v/>
      </c>
      <c r="DD30" s="26">
        <f>IF($A30="","",IFERROR(1/(1/SUMPRODUCT(MAX((invoices!$B$2:$B$151=$A30)*(invoices!$C$2:$C$151="standard_deposit")*invoices!$H$2:$H$151))),""))</f>
        <v/>
      </c>
      <c r="DE30" s="26">
        <f>IF($A30="","",IFERROR(1/(1/SUMPRODUCT(MAX((invoices!$B$2:$B$151=$A30)*((invoices!$C$2:$C$151="founding_full")+(invoices!$C$2:$C$151="standard_balance"))*invoices!$H$2:$H$151))),""))</f>
        <v/>
      </c>
      <c r="DF30" s="27">
        <f>IF($A30="","",SUMIFS(invoices!$L$2:$L$151,invoices!$B$2:$B$151,$A30))</f>
        <v/>
      </c>
      <c r="DG30" s="27">
        <f>IF($A30="","",SUMIFS(costs!$E$2:$E$301,costs!$C$2:$C$301,$A30))</f>
        <v/>
      </c>
      <c r="DH30" s="27">
        <f>IF($A30="","",ROUND(IF(SUMIFS(campaigns!$BO$2:$BO$51,campaigns!$B$2:$B$51,$B30)=0,0,$BO30/SUMIFS(campaigns!$BO$2:$BO$51,campaigns!$B$2:$B$51,$B30))*(SUMIFS(costs!$E$2:$E$301,costs!$B$2:$B$301,$B30)-SUMPRODUCT((costs!$B$2:$B$301=$B30)*(LEN(costs!$C$2:$C$301)&gt;0)*costs!$E$2:$E$301)),2))</f>
        <v/>
      </c>
      <c r="DI30" s="28">
        <f>IF($A30="","",SUMIFS(hours!$E$2:$E$1501,hours!$C$2:$C$1501,$A30))</f>
        <v/>
      </c>
      <c r="DJ30" s="28">
        <f>IF($A30="","",ROUND(IF(SUMIFS(campaigns!$BO$2:$BO$51,campaigns!$B$2:$B$51,$B30)=0,0,$BO30/SUMIFS(campaigns!$BO$2:$BO$51,campaigns!$B$2:$B$51,$B30))*(SUMIFS(hours!$E$2:$E$1501,hours!$B$2:$B$1501,$B30)-SUMPRODUCT((hours!$B$2:$B$1501=$B30)*(LEN(hours!$C$2:$C$1501)&gt;0)*hours!$E$2:$E$1501)),2))</f>
        <v/>
      </c>
      <c r="DK30" s="27">
        <f>IF($A30="","",$DB30-$DF30-$DG30-$DH30)</f>
        <v/>
      </c>
      <c r="DL30" s="27">
        <f>IF($A30="","",IF(N($DI30)+N($DJ30)=0,"",ROUND($DK30/($DI30+$DJ30),2)))</f>
        <v/>
      </c>
      <c r="DM30" s="29">
        <f>IF($A30="","",IF(N($BP30)=0,"",COUNTIFS(approvals!$A$2:$A$251,$A30,approvals!$Q$2:$Q$251,"Y",approvals!$AK$2:$AK$251,"Y")/$BP30))</f>
        <v/>
      </c>
      <c r="DN30" s="28">
        <f>IF($A30="","",IF(COUNTIFS(approvals!$A$2:$A$251,$A30,approvals!$AC$2:$AC$251,"&gt;=0")=0,"",ROUND(SUMIFS(approvals!$AC$2:$AC$251,approvals!$A$2:$A$251,$A30)/COUNTIFS(approvals!$A$2:$A$251,$A30,approvals!$AC$2:$AC$251,"&gt;=0"),1)))</f>
        <v/>
      </c>
      <c r="DO30" s="26">
        <f>IF($A30="","",IFERROR(IF(INDEX(drops!$T$2:$T$21,MATCH($B30,drops!$A$2:$A$21,0))="","",INDEX(drops!$T$2:$T$21,MATCH($B30,drops!$A$2:$A$21,0))),""))</f>
        <v/>
      </c>
      <c r="DP30" s="26">
        <f>IF($A30="","",IFERROR(IF(INDEX(drops!$U$2:$U$21,MATCH($B30,drops!$A$2:$A$21,0))="","",INDEX(drops!$U$2:$U$21,MATCH($B30,drops!$A$2:$A$21,0))),""))</f>
        <v/>
      </c>
      <c r="DQ30" s="26">
        <f>IF($A30="","",IFERROR(IF(INDEX(drops!$W$2:$W$21,MATCH($B30,drops!$A$2:$A$21,0))="","",INDEX(drops!$W$2:$W$21,MATCH($B30,drops!$A$2:$A$21,0))),""))</f>
        <v/>
      </c>
      <c r="DR30" s="25">
        <f>IF($A30="","",IF($CE30="","",IF($CE30&gt;=config!$B$31,"pass","miss")))</f>
        <v/>
      </c>
      <c r="DS30" s="25">
        <f>IF($A30="","",IF($CI30="","",IF($CI30&gt;=config!$B$30,"pass","miss")))</f>
        <v/>
      </c>
      <c r="DT30" s="25">
        <f>IF($A30="","",IF($AT30="",IF($DO30="","",IF(IF(config!$B$37&lt;&gt;"",config!$B$37,TODAY())&gt;$DO30,"late","due")),IF($AT30&lt;=$DO30,"pass","late")))</f>
        <v/>
      </c>
      <c r="DU30" s="25">
        <f>IF($A30="","",IF(COUNTIF(drops!$A$2:$A$21,$B30)=0,"drop_id not on drops; ",IF($BG30="","drop date missing or refused; ",""))&amp;IF(AND($G30&lt;&gt;"",$G30&lt;&gt;$BI30),"price differs from the price list; ","")&amp;IF(AND(LEFT($BW30,4)="HOLD",$BL30&lt;&gt;"",IF(config!$B$37&lt;&gt;"",config!$B$37,TODAY())&gt;=WORKDAY(N($BL30),-3,calendar!$A$2:$A$80)),"SHIP HOLD within 3 business days of T-10; ","")&amp;IF(AND($BQ30&gt;0,$BL30&lt;&gt;"",IF(config!$B$37&lt;&gt;"",config!$B$37,TODAY())&gt;$BL30),"approvals still pending after T-10; ","")&amp;IF($BZ30&lt;0,"reserve below zero: check inventory; ","")&amp;IF(AND($BG30&lt;&gt;"",IF(config!$B$37&lt;&gt;"",config!$B$37,TODAY())&gt;WORKDAY(N($BG30),14,calendar!$A$2:$A$80),N($BZ30)+N($CA30)&lt;&gt;0),"units still on hand after T+14; ","")&amp;IF(N($CV30)&gt;0,"info: "&amp;$CV30&amp;" in-window responses with a card code that matches no office (not counted); ","")&amp;IF(AND($Z30="Y",$AK30=""),"newsletter form URL missing; ","")&amp;IF(AND($Z30="Y",$BG30&lt;&gt;"",IF(config!$B$37&lt;&gt;"",config!$B$37,TODAY())&gt;WORKDAY(N($BG30),5,calendar!$A$2:$A$80),$AY30=""),"newsletter list not yet passed on (due T+5); ","")&amp;IF(AND($AY30&lt;&gt;"",$BA30=""),"delete unticked emails; ","")&amp;IF(AND($AY30&lt;&gt;"",$BB30="",IF(config!$B$37&lt;&gt;"",config!$B$37,TODAY())&gt;$AY30+config!$B$32),"DELETE the consented emails (30 days after passing on); ","")&amp;IF(AND($BG30&lt;&gt;"",$AJ30="",IF(config!$B$37&lt;&gt;"",config!$B$37,TODAY())&gt;=WORKDAY(N($BG30),-4,calendar!$A$2:$A$80)),"survey prefill template missing (due T-4); ","")&amp;IF(AND($AJ30&lt;&gt;"",ISERROR(SEARCH("CARDCODE",$AJ30))),"prefill template has no CARDCODE; ","")&amp;IF(AND($AF30="",$BG30&lt;&gt;"",IF(config!$B$37&lt;&gt;"",config!$B$37,TODAY())&gt;=WORKDAY(N($BG30),-3,calendar!$A$2:$A$80)),"card text not yet sent to the brand; ","")&amp;IF(AND($DA30="",$DQ30&lt;&gt;"",IF(config!$B$37&lt;&gt;"",config!$B$37,TODAY())&gt;$DQ30),"day-30 redemption count due; ","")&amp;IF(AND(LEFT($BW30,8)="RELEASED",$AG30=""),"ship-date email due (template 02): send it, then log ship_email_sent_date and ship_email_units; ","")&amp;IF(AND($AH30&lt;&gt;"",N($BT30)&gt;0,N($BX30)=0,N($AH30)&lt;&gt;N($BT30)),"units changed since the ship-date email of "&amp;IF($AG30="","?",TEXT($AG30,"yyyy-mm-dd"))&amp;" ("&amp;$AH30&amp;", now "&amp;$BT30&amp;"): send the brand the revised numbers (template 02) and log them; ","")&amp;IF($DT30="late","report late; ","")&amp;IF(AND(N($F30)&gt;0,$BO30&lt;N($F30),$BQ30=0),"info: "&amp;(N($F30)-$BO30)&amp;" office(s) short of the contract: add a roster office or credit $"&amp;IF($D30="founding",config!$B$25,config!$B$24)&amp;" each; ","")&amp;IF($BC30&lt;&gt;"",IF(COUNTIF(survey_frozen!$A$2:$A$251,$A30)=0,"answers deleted but no frozen totals: the survey numbers now read 0 (tools/freeze_survey.py, SOP answers_delete); ",""),IF(AND($BG30&lt;&gt;"",IF(config!$B$37&lt;&gt;"",config!$B$37,TODAY())&gt;=$BG30,ISREF(INDIRECT("'"&amp;$A30&amp;"'!B1"))),IF(INDIRECT("'"&amp;$A30&amp;"'!B1")&lt;&gt;"Card code (filled in for you)","survey tab column B is not the card code: fix the form or the tab; ",""),IF(AND($BG30&lt;&gt;"",IF(config!$B$37&lt;&gt;"",config!$B$37,TODAY())&gt;=$BG30),"no survey tab named "&amp;$A30&amp;"; ","")))&amp;IF(COUNTIF(brands!$A$2:$A$41,$C30)=0,"brand_id not on brands; ",IF(LEFT(IFERROR(IF(INDEX(brands!$AG$2:$AG$41,MATCH($C30,brands!$A$2:$A$41,0))="","",INDEX(brands!$AG$2:$AG$41,MATCH($C30,brands!$A$2:$A$41,0))),""),1)&lt;&gt;"Y","brand not qualified ("&amp;IFERROR(IF(INDEX(brands!$AG$2:$AG$41,MATCH($C30,brands!$A$2:$A$41,0))="","",INDEX(brands!$AG$2:$AG$41,MATCH($C30,brands!$A$2:$A$41,0))),"")&amp;"): nothing ships until it is; ",""))&amp;IF(AND(COUNTIF(brands!$A$2:$A$41,$C30)&gt;0,OR(IFERROR(IF(INDEX(brands!$C$2:$C$41,MATCH($C30,brands!$A$2:$A$41,0))="","",INDEX(brands!$C$2:$C$41,MATCH($C30,brands!$A$2:$A$41,0))),"")="",IFERROR(IF(INDEX(brands!$D$2:$D$41,MATCH($C30,brands!$A$2:$A$41,0))="","",INDEX(brands!$D$2:$D$41,MATCH($C30,brands!$A$2:$A$41,0))),"")="",IFERROR(IF(INDEX(brands!$E$2:$E$41,MATCH($C30,brands!$A$2:$A$41,0))="","",INDEX(brands!$E$2:$E$41,MATCH($C30,brands!$A$2:$A$41,0))),"")="")),"brand billing details missing on brands (legal name, address, email): needed for the invoice; ","")&amp;IF(AND($D30="founding",$E30&lt;&gt;"Y",N(IFERROR(IF(INDEX(brands!$AI$2:$AI$41,MATCH($C30,brands!$A$2:$A$41,0))="","",INDEX(brands!$AI$2:$AI$41,MATCH($C30,brands!$A$2:$A$41,0))),""))&gt;3),"the founding tier is for the first three brands only (this is brand "&amp;IFERROR(IF(INDEX(brands!$AI$2:$AI$41,MATCH($C30,brands!$A$2:$A$41,0))="","",INDEX(brands!$AI$2:$AI$41,MATCH($C30,brands!$A$2:$A$41,0))),"")&amp;"): use standard; ","")&amp;IF(AND($D30="founding",$E30&lt;&gt;"Y",COUNTIFS(campaigns!$C$2:$C$51,$C30,campaigns!$D$2:$D$51,"founding",campaigns!$E$2:$E$51,"&lt;&gt;Y")&gt;1),"a brand has the founding price once; its next two campaigns are founding_lock = Y; ","")&amp;IF(AND($E30="Y",COUNTIFS(campaigns!$C$2:$C$51,$C30,campaigns!$D$2:$D$51,"founding",campaigns!$E$2:$E$51,"Y")&gt;2),"founding_lock is for the brand's next two campaigns only (this is a third): use standard; ","")&amp;IF(AND($E30="Y",COUNTIFS(campaigns!$C$2:$C$51,$C30,campaigns!$D$2:$D$51,"founding",campaigns!$E$2:$E$51,"&lt;&gt;Y")=0),"founding_lock without a first founding campaign for this brand; ","")&amp;IF(AND(N($BX30)&gt;0,$BG30&lt;&gt;"",IF(config!$B$37&lt;&gt;"",config!$B$37,TODAY())&gt;=WORKDAY(N($BG30),-5,calendar!$A$2:$A$80)),IF(N($BX30)-N($BY30)&lt;N($BR30),"received "&amp;(N($BX30)-N($BY30))&amp;" usable units for "&amp;$BR30&amp;" allocated: reduce units_override evenly (SOP section 4, short shipment); ","")&amp;IF(AND(N($BX30)&lt;N($BT30),COUNTIFS(issues!$E$2:$E$121,$A30,issues!$G$2:$G$121,"short_shipment")=0),"received "&amp;$BX30&amp;" of "&amp;$BT30&amp;" due: log a short_shipment issue and tell the brand today; ",""),"")&amp;IF(AND($BG30&lt;&gt;"",IF(config!$B$37&lt;&gt;"",config!$B$37,TODAY())&gt;=WORKDAY(N($BG30),1,calendar!$A$2:$A$80),N($F30)&gt;0,(-SUMIFS(invoices!$E$2:$E$151,invoices!$B$2:$B$151,$A30,invoices!$C$2:$C$151,"credit_note"))&lt;(IF($D30="founding",config!$B$25,config!$B$24)*MAX(0,N($F30)-COUNTIFS(approvals!$A$2:$A$251,$A30,approvals!$Q$2:$Q$251,"Y",approvals!$AB$2:$AB$251,"Y")))-0.005),"credit due from T+1: "&amp;MAX(0,N($F30)-COUNTIFS(approvals!$A$2:$A$251,$A30,approvals!$Q$2:$Q$251,"Y",approvals!$AB$2:$AB$251,"Y"))&amp;" of "&amp;$F30&amp;" contracted offices not placed by T+1, $"&amp;(IF($D30="founding",config!$B$25,config!$B$24)*MAX(0,N($F30)-COUNTIFS(approvals!$A$2:$A$251,$A30,approvals!$Q$2:$Q$251,"Y",approvals!$AB$2:$AB$251,"Y")))&amp;" due, $"&amp;(-SUMIFS(invoices!$E$2:$E$151,invoices!$B$2:$B$151,$A30,invoices!$C$2:$C$151,"credit_note"))&amp;" in credit notes so far (template 06, make_invoice.py); ","")&amp;IF(AND(IFERROR(IF(INDEX(brands!$H$2:$H$41,MATCH($C30,brands!$A$2:$A$41,0))="","",INDEX(brands!$H$2:$H$41,MATCH($C30,brands!$A$2:$A$41,0))),"")&lt;&gt;"",$BG30&lt;&gt;"",IFERROR(IF(INDEX(brands!$H$2:$H$41,MATCH($C30,brands!$A$2:$A$41,0))="","",INDEX(brands!$H$2:$H$41,MATCH($C30,brands!$A$2:$A$41,0))),"")&lt;EDATE(WORKDAY(N($BG30),4,calendar!$A$2:$A$80),12)),"info: brand insurance ends "&amp;TEXT(IFERROR(IF(INDEX(brands!$H$2:$H$41,MATCH($C30,brands!$A$2:$A$41,0))="","",INDEX(brands!$H$2:$H$41,MATCH($C30,brands!$A$2:$A$41,0))),""),"yyyy-mm-dd")&amp;": diary the renewal certificate; ",""))</f>
        <v/>
      </c>
    </row>
    <row r="31">
      <c r="G31" s="10" t="n"/>
      <c r="H31" s="9" t="n"/>
      <c r="AB31" s="9" t="n"/>
      <c r="AC31" s="9" t="n"/>
      <c r="AD31" s="9" t="n"/>
      <c r="AF31" s="9" t="n"/>
      <c r="AG31" s="9" t="n"/>
      <c r="AT31" s="9" t="n"/>
      <c r="AU31" s="9" t="n"/>
      <c r="AY31" s="9" t="n"/>
      <c r="BA31" s="9" t="n"/>
      <c r="BB31" s="9" t="n"/>
      <c r="BC31" s="9" t="n"/>
      <c r="BE31" s="25">
        <f>IF($A31="","",IFERROR(IF(INDEX(brands!$K$2:$K$41,MATCH($C31,brands!$A$2:$A$41,0))="","",INDEX(brands!$K$2:$K$41,MATCH($C31,brands!$A$2:$A$41,0))),""))</f>
        <v/>
      </c>
      <c r="BF31" s="25">
        <f>IF($A31="","",IFERROR(IF(INDEX(brands!$M$2:$M$41,MATCH($C31,brands!$A$2:$A$41,0))="","",INDEX(brands!$M$2:$M$41,MATCH($C31,brands!$A$2:$A$41,0))),""))</f>
        <v/>
      </c>
      <c r="BG31" s="26">
        <f>IF($A31="","",IF(IFERROR(IF(INDEX(drops!$I$2:$I$21,MATCH($B31,drops!$A$2:$A$21,0))="","",INDEX(drops!$I$2:$I$21,MATCH($B31,drops!$A$2:$A$21,0))),"")="OK",IFERROR(IF(INDEX(drops!$B$2:$B$21,MATCH($B31,drops!$A$2:$A$21,0))="","",INDEX(drops!$B$2:$B$21,MATCH($B31,drops!$A$2:$A$21,0))),""),""))</f>
        <v/>
      </c>
      <c r="BH31" s="25">
        <f>IF($A31="","",IFERROR(IF(INDEX(drops!$C$2:$C$21,MATCH($B31,drops!$A$2:$A$21,0))="","",INDEX(drops!$C$2:$C$21,MATCH($B31,drops!$A$2:$A$21,0))),""))</f>
        <v/>
      </c>
      <c r="BI31" s="27">
        <f>IF($A31="","",IF($F31="","",IF($D31="founding",IF($E31="Y",config!$B$25*MIN($F31,config!$B$26)+config!$B$24*MAX(0,$F31-config!$B$26),config!$B$20+config!$B$24*MAX(0,$F31-config!$B$21)),IF($D31="standard",config!$B$22+config!$B$24*MAX(0,$F31-config!$B$23),""))))</f>
        <v/>
      </c>
      <c r="BJ31" s="27">
        <f>IF($A31="","",IF($G31&lt;&gt;"",$G31,$BI31))</f>
        <v/>
      </c>
      <c r="BK31" s="25">
        <f>IF($A31="","",IF($D31="founding","100% within "&amp;config!$B$27&amp;" business days of the invoice, before shipping",IF($D31="standard","50% on signing; 50% at placement confirmation (T+1)","")))</f>
        <v/>
      </c>
      <c r="BL31" s="26">
        <f>IF($A31="","",IFERROR(IF(INDEX(drops!$K$2:$K$21,MATCH($B31,drops!$A$2:$A$21,0))="","",INDEX(drops!$K$2:$K$21,MATCH($B31,drops!$A$2:$A$21,0))),""))</f>
        <v/>
      </c>
      <c r="BM31" s="26">
        <f>IF($A31="","",IFERROR(IF(INDEX(drops!$L$2:$L$21,MATCH($B31,drops!$A$2:$A$21,0))="","",INDEX(drops!$L$2:$L$21,MATCH($B31,drops!$A$2:$A$21,0))),""))</f>
        <v/>
      </c>
      <c r="BN31" s="25">
        <f>IF($A31="","",COUNTIF(approvals!$A$2:$A$251,$A31))</f>
        <v/>
      </c>
      <c r="BO31" s="25">
        <f>IF($A31="","",COUNTIFS(approvals!$A$2:$A$251,$A31,approvals!$P$2:$P$251,"Y"))</f>
        <v/>
      </c>
      <c r="BP31" s="25">
        <f>IF($A31="","",COUNTIFS(approvals!$A$2:$A$251,$A31,approvals!$Q$2:$Q$251,"Y"))</f>
        <v/>
      </c>
      <c r="BQ31" s="25">
        <f>IF($A31="","",COUNTIFS(approvals!$A$2:$A$251,$A31,approvals!$P$2:$P$251,"pending"))</f>
        <v/>
      </c>
      <c r="BR31" s="25">
        <f>IF($A31="","",SUMIFS(approvals!$S$2:$S$251,approvals!$A$2:$A$251,$A31,approvals!$P$2:$P$251,"Y"))</f>
        <v/>
      </c>
      <c r="BS31" s="25">
        <f>IF($A31="","",ROUNDUP($BR31*config!$B$18,0))</f>
        <v/>
      </c>
      <c r="BT31" s="25">
        <f>IF($A31="","",$BR31+$BS31)</f>
        <v/>
      </c>
      <c r="BU31" s="27">
        <f>IF($A31="","",SUMIFS(invoices!$I$2:$I$151,invoices!$B$2:$B$151,$A31,invoices!$R$2:$R$151,"Y",invoices!$H$2:$H$151,"&gt;0"))</f>
        <v/>
      </c>
      <c r="BV31" s="27">
        <f>IF($A31="","",IF($BJ31="","",IF($D31="founding",$BJ31,ROUND($BJ31*config!$B$28,2))))</f>
        <v/>
      </c>
      <c r="BW31" s="25">
        <f>IF($A31="","",IF(AND(N($BU31)&gt;=N($BV31),N($BV31)&gt;0,$H31&lt;&gt;"",AND($AB31&lt;&gt;"",IFERROR(IF(INDEX(brands!$G$2:$G$41,MATCH($C31,brands!$A$2:$A$41,0))="","",INDEX(brands!$G$2:$G$41,MATCH($C31,brands!$A$2:$A$41,0))),"")="Y"),LEFT(IFERROR(IF(INDEX(brands!$AG$2:$AG$41,MATCH($C31,brands!$A$2:$A$41,0))="","",INDEX(brands!$AG$2:$AG$41,MATCH($C31,brands!$A$2:$A$41,0))),""),1)="Y",$BG31&lt;&gt;"",$BQ31=0,$BO31&gt;0),"RELEASED "&amp;TEXT(MAX(IFERROR(1/(1/SUMPRODUCT(MAX((invoices!$B$2:$B$151=$A31)*(invoices!$R$2:$R$151="Y")*(invoices!$H$2:$H$151)))),""),$H31,$AB31,SUMPRODUCT(MAX((approvals!$A$2:$A$251=$A31)*(approvals!$P$2:$P$251="Y")*(approvals!$E$2:$E$251+(approvals!$E$2:$E$251=0)*approvals!$C$2:$C$251)))),"yyyy-mm-dd")&amp;": ship by "&amp;TEXT($BM31,"ddd yyyy-mm-dd")&amp;" (latest "&amp;TEXT($BL31,"ddd yyyy-mm-dd")&amp;")","HOLD: "&amp;IF(N($BU31)&lt;N($BV31),"payment ("&amp;TEXT(N($BU31),"0")&amp;" of "&amp;TEXT(N($BV31),"0")&amp;") ","")&amp;IF($H31="","agreement ","")&amp;IF(NOT(AND($AB31&lt;&gt;"",IFERROR(IF(INDEX(brands!$G$2:$G$41,MATCH($C31,brands!$A$2:$A$41,0))="","",INDEX(brands!$G$2:$G$41,MATCH($C31,brands!$A$2:$A$41,0))),"")="Y")),"certificate ","")&amp;IF(NOT(LEFT(IFERROR(IF(INDEX(brands!$AG$2:$AG$41,MATCH($C31,brands!$A$2:$A$41,0))="","",INDEX(brands!$AG$2:$AG$41,MATCH($C31,brands!$A$2:$A$41,0))),""),1)="Y"),"qualification ","")&amp;IF($BG31="","drop date ","")&amp;IF($BQ31&gt;0,"approvals ("&amp;$BQ31&amp;" pending) ","")&amp;IF($BO31=0,"no office approved ","")))</f>
        <v/>
      </c>
      <c r="BX31" s="25">
        <f>IF($A31="","",SUMIFS(inventory!$G$2:$G$801,inventory!$C$2:$C$801,$A31,inventory!$E$2:$E$801,"received"))</f>
        <v/>
      </c>
      <c r="BY31" s="25">
        <f>IF($A31="","",SUMIFS(inventory!$G$2:$G$801,inventory!$C$2:$C$801,$A31,inventory!$E$2:$E$801,"rejected"))</f>
        <v/>
      </c>
      <c r="BZ31" s="25">
        <f>IF($A31="","",SUMIFS(inventory!$M$2:$M$801,inventory!$C$2:$C$801,$A31))</f>
        <v/>
      </c>
      <c r="CA31" s="25">
        <f>IF($A31="","",SUMIFS(inventory!$O$2:$O$801,inventory!$C$2:$C$801,$A31))</f>
        <v/>
      </c>
      <c r="CB31" s="25">
        <f>IF($A31="","",SUMIFS(approvals!$U$2:$U$251,approvals!$A$2:$A$251,$A31))</f>
        <v/>
      </c>
      <c r="CC31" s="25">
        <f>IF($A31="","",SUMIFS(approvals!$AA$2:$AA$251,approvals!$A$2:$A$251,$A31))</f>
        <v/>
      </c>
      <c r="CD31" s="25">
        <f>IF($A31="","",SUMIFS(approvals!$AA$2:$AA$251,approvals!$A$2:$A$251,$A31,approvals!$AB$2:$AB$251,"Y"))</f>
        <v/>
      </c>
      <c r="CE31" s="29">
        <f>IF($A31="","",IF(N($CB31)=0,"",$CD31/$CB31))</f>
        <v/>
      </c>
      <c r="CF31" s="25">
        <f>IF($A31="","",SUMIFS(approvals!$AD$2:$AD$251,approvals!$A$2:$A$251,$A31))</f>
        <v/>
      </c>
      <c r="CG31" s="25">
        <f>IF($A31="","",IF(COUNTIFS(approvals!$A$2:$A$251,$A31,approvals!$Q$2:$Q$251,"Y",approvals!$AG$2:$AG$251,"")&gt;0,"",SUMIFS(approvals!$AG$2:$AG$251,approvals!$A$2:$A$251,$A31,approvals!$Q$2:$Q$251,"Y")))</f>
        <v/>
      </c>
      <c r="CH31" s="25">
        <f>IF($A31="","",SUMIFS(approvals!$AL$2:$AL$251,approvals!$A$2:$A$251,$A31))</f>
        <v/>
      </c>
      <c r="CI31" s="25">
        <f>IF($A31="","",IF(N($BP31)=0,"",SUMPRODUCT(MIN(approvals!$BB$2:$BB$251+(approvals!$A$2:$A$251&lt;&gt;$A31)*1000000))))</f>
        <v/>
      </c>
      <c r="CJ31" s="25">
        <f>IF($A31="","",COUNTIFS(approvals!$A$2:$A$251,$A31,approvals!$Q$2:$Q$251,"Y",approvals!$AL$2:$AL$251,"&lt;"&amp;config!$B$30))</f>
        <v/>
      </c>
      <c r="CK31" s="25">
        <f>IF($A31="","",SUMIFS(approvals!$AM$2:$AM$251,approvals!$A$2:$A$251,$A31))</f>
        <v/>
      </c>
      <c r="CL31" s="25">
        <f>IF($A31="","",SUMIFS(approvals!$AQ$2:$AQ$251,approvals!$A$2:$A$251,$A31))</f>
        <v/>
      </c>
      <c r="CM31" s="25">
        <f>IF($A31="","",SUMIFS(approvals!$AR$2:$AR$251,approvals!$A$2:$A$251,$A31))</f>
        <v/>
      </c>
      <c r="CN31" s="25">
        <f>IF($A31="","",SUMIFS(approvals!$AS$2:$AS$251,approvals!$A$2:$A$251,$A31))</f>
        <v/>
      </c>
      <c r="CO31" s="25">
        <f>IF($A31="","",SUMIFS(approvals!$AT$2:$AT$251,approvals!$A$2:$A$251,$A31))</f>
        <v/>
      </c>
      <c r="CP31" s="28">
        <f>IF($A31="","",IF(N($CO31)=0,"",ROUND(SUMIFS(approvals!$AU$2:$AU$251,approvals!$A$2:$A$251,$A31)/$CO31,1)))</f>
        <v/>
      </c>
      <c r="CQ31" s="25">
        <f>IF($A31="","",SUMIFS(approvals!$AV$2:$AV$251,approvals!$A$2:$A$251,$A31))</f>
        <v/>
      </c>
      <c r="CR31" s="25">
        <f>IF($A31="","",SUMIFS(approvals!$AW$2:$AW$251,approvals!$A$2:$A$251,$A31))</f>
        <v/>
      </c>
      <c r="CS31" s="25">
        <f>IF($A31="","",SUMIFS(approvals!$AX$2:$AX$251,approvals!$A$2:$A$251,$A31))</f>
        <v/>
      </c>
      <c r="CT31" s="25">
        <f>IF($A31="","",SUMIFS(approvals!$AY$2:$AY$251,approvals!$A$2:$A$251,$A31))</f>
        <v/>
      </c>
      <c r="CU31" s="25">
        <f>IF($A31="","",IF(OR($BG31="",$BC31&lt;&gt;""),"",IFERROR(COUNT(INDIRECT("'"&amp;$A31&amp;"'!$A$2:$A$501")),0)-IFERROR(COUNTIFS(INDIRECT("'"&amp;$A31&amp;"'!$A$2:$A$501"),"&gt;="&amp;$BG31,INDIRECT("'"&amp;$A31&amp;"'!$A$2:$A$501"),"&lt;"&amp;(IFERROR(IF(INDEX(drops!$R$2:$R$21,MATCH($B31,drops!$A$2:$A$21,0))="","",INDEX(drops!$R$2:$R$21,MATCH($B31,drops!$A$2:$A$21,0))),"")+1)),0)))</f>
        <v/>
      </c>
      <c r="CV31" s="25">
        <f>IF($A31="","",IF(OR($BG31="",$BC31&lt;&gt;""),"",IFERROR(COUNTIFS(INDIRECT("'"&amp;$A31&amp;"'!$A$2:$A$501"),"&gt;="&amp;$BG31,INDIRECT("'"&amp;$A31&amp;"'!$A$2:$A$501"),"&lt;"&amp;(IFERROR(IF(INDEX(drops!$R$2:$R$21,MATCH($B31,drops!$A$2:$A$21,0))="","",INDEX(drops!$R$2:$R$21,MATCH($B31,drops!$A$2:$A$21,0))),"")+1)),0)-N($CH31)))</f>
        <v/>
      </c>
      <c r="CW31" s="25">
        <f>IF($A31="","",SUMIFS(approvals!$AN$2:$AN$251,approvals!$A$2:$A$251,$A31))</f>
        <v/>
      </c>
      <c r="CX31" s="25">
        <f>IF($A31="","",SUMIFS(approvals!$AO$2:$AO$251,approvals!$A$2:$A$251,$A31))</f>
        <v/>
      </c>
      <c r="CY31" s="25">
        <f>IF($A31="","",IF($CZ31="","",SUMIFS(redemptions!$C$2:$C$121,redemptions!$A$2:$A$121,$A31,redemptions!$B$2:$B$121,$CZ31)))</f>
        <v/>
      </c>
      <c r="CZ31" s="26">
        <f>IF($A31="","",IFERROR(1/(1/SUMPRODUCT(MAX((redemptions!$A$2:$A$121=$A31)*redemptions!$B$2:$B$121))),""))</f>
        <v/>
      </c>
      <c r="DA31" s="25">
        <f>IF($A31="","",IF(COUNTIFS(redemptions!$A$2:$A$121,$A31,redemptions!$H$2:$H$121,"Y")=0,"",SUMIFS(redemptions!$C$2:$C$121,redemptions!$A$2:$A$121,$A31,redemptions!$B$2:$B$121,SUMPRODUCT(MIN((redemptions!$A$2:$A$121=$A31)*(redemptions!$H$2:$H$121="Y")*redemptions!$B$2:$B$121+((redemptions!$A$2:$A$121&lt;&gt;$A31)+(redemptions!$H$2:$H$121&lt;&gt;"Y")&gt;0)*1000000)))))</f>
        <v/>
      </c>
      <c r="DB31" s="27">
        <f>IF($A31="","",SUMIFS(invoices!$E$2:$E$151,invoices!$B$2:$B$151,$A31))</f>
        <v/>
      </c>
      <c r="DC31" s="27">
        <f>IF($A31="","",IF(COUNTIFS(invoices!$B$2:$B$151,$A31,invoices!$C$2:$C$151,"standard_deposit",invoices!$H$2:$H$151,"&gt;0")=0,"",SUMIFS(invoices!$I$2:$I$151,invoices!$B$2:$B$151,$A31,invoices!$C$2:$C$151,"standard_deposit")))</f>
        <v/>
      </c>
      <c r="DD31" s="26">
        <f>IF($A31="","",IFERROR(1/(1/SUMPRODUCT(MAX((invoices!$B$2:$B$151=$A31)*(invoices!$C$2:$C$151="standard_deposit")*invoices!$H$2:$H$151))),""))</f>
        <v/>
      </c>
      <c r="DE31" s="26">
        <f>IF($A31="","",IFERROR(1/(1/SUMPRODUCT(MAX((invoices!$B$2:$B$151=$A31)*((invoices!$C$2:$C$151="founding_full")+(invoices!$C$2:$C$151="standard_balance"))*invoices!$H$2:$H$151))),""))</f>
        <v/>
      </c>
      <c r="DF31" s="27">
        <f>IF($A31="","",SUMIFS(invoices!$L$2:$L$151,invoices!$B$2:$B$151,$A31))</f>
        <v/>
      </c>
      <c r="DG31" s="27">
        <f>IF($A31="","",SUMIFS(costs!$E$2:$E$301,costs!$C$2:$C$301,$A31))</f>
        <v/>
      </c>
      <c r="DH31" s="27">
        <f>IF($A31="","",ROUND(IF(SUMIFS(campaigns!$BO$2:$BO$51,campaigns!$B$2:$B$51,$B31)=0,0,$BO31/SUMIFS(campaigns!$BO$2:$BO$51,campaigns!$B$2:$B$51,$B31))*(SUMIFS(costs!$E$2:$E$301,costs!$B$2:$B$301,$B31)-SUMPRODUCT((costs!$B$2:$B$301=$B31)*(LEN(costs!$C$2:$C$301)&gt;0)*costs!$E$2:$E$301)),2))</f>
        <v/>
      </c>
      <c r="DI31" s="28">
        <f>IF($A31="","",SUMIFS(hours!$E$2:$E$1501,hours!$C$2:$C$1501,$A31))</f>
        <v/>
      </c>
      <c r="DJ31" s="28">
        <f>IF($A31="","",ROUND(IF(SUMIFS(campaigns!$BO$2:$BO$51,campaigns!$B$2:$B$51,$B31)=0,0,$BO31/SUMIFS(campaigns!$BO$2:$BO$51,campaigns!$B$2:$B$51,$B31))*(SUMIFS(hours!$E$2:$E$1501,hours!$B$2:$B$1501,$B31)-SUMPRODUCT((hours!$B$2:$B$1501=$B31)*(LEN(hours!$C$2:$C$1501)&gt;0)*hours!$E$2:$E$1501)),2))</f>
        <v/>
      </c>
      <c r="DK31" s="27">
        <f>IF($A31="","",$DB31-$DF31-$DG31-$DH31)</f>
        <v/>
      </c>
      <c r="DL31" s="27">
        <f>IF($A31="","",IF(N($DI31)+N($DJ31)=0,"",ROUND($DK31/($DI31+$DJ31),2)))</f>
        <v/>
      </c>
      <c r="DM31" s="29">
        <f>IF($A31="","",IF(N($BP31)=0,"",COUNTIFS(approvals!$A$2:$A$251,$A31,approvals!$Q$2:$Q$251,"Y",approvals!$AK$2:$AK$251,"Y")/$BP31))</f>
        <v/>
      </c>
      <c r="DN31" s="28">
        <f>IF($A31="","",IF(COUNTIFS(approvals!$A$2:$A$251,$A31,approvals!$AC$2:$AC$251,"&gt;=0")=0,"",ROUND(SUMIFS(approvals!$AC$2:$AC$251,approvals!$A$2:$A$251,$A31)/COUNTIFS(approvals!$A$2:$A$251,$A31,approvals!$AC$2:$AC$251,"&gt;=0"),1)))</f>
        <v/>
      </c>
      <c r="DO31" s="26">
        <f>IF($A31="","",IFERROR(IF(INDEX(drops!$T$2:$T$21,MATCH($B31,drops!$A$2:$A$21,0))="","",INDEX(drops!$T$2:$T$21,MATCH($B31,drops!$A$2:$A$21,0))),""))</f>
        <v/>
      </c>
      <c r="DP31" s="26">
        <f>IF($A31="","",IFERROR(IF(INDEX(drops!$U$2:$U$21,MATCH($B31,drops!$A$2:$A$21,0))="","",INDEX(drops!$U$2:$U$21,MATCH($B31,drops!$A$2:$A$21,0))),""))</f>
        <v/>
      </c>
      <c r="DQ31" s="26">
        <f>IF($A31="","",IFERROR(IF(INDEX(drops!$W$2:$W$21,MATCH($B31,drops!$A$2:$A$21,0))="","",INDEX(drops!$W$2:$W$21,MATCH($B31,drops!$A$2:$A$21,0))),""))</f>
        <v/>
      </c>
      <c r="DR31" s="25">
        <f>IF($A31="","",IF($CE31="","",IF($CE31&gt;=config!$B$31,"pass","miss")))</f>
        <v/>
      </c>
      <c r="DS31" s="25">
        <f>IF($A31="","",IF($CI31="","",IF($CI31&gt;=config!$B$30,"pass","miss")))</f>
        <v/>
      </c>
      <c r="DT31" s="25">
        <f>IF($A31="","",IF($AT31="",IF($DO31="","",IF(IF(config!$B$37&lt;&gt;"",config!$B$37,TODAY())&gt;$DO31,"late","due")),IF($AT31&lt;=$DO31,"pass","late")))</f>
        <v/>
      </c>
      <c r="DU31" s="25">
        <f>IF($A31="","",IF(COUNTIF(drops!$A$2:$A$21,$B31)=0,"drop_id not on drops; ",IF($BG31="","drop date missing or refused; ",""))&amp;IF(AND($G31&lt;&gt;"",$G31&lt;&gt;$BI31),"price differs from the price list; ","")&amp;IF(AND(LEFT($BW31,4)="HOLD",$BL31&lt;&gt;"",IF(config!$B$37&lt;&gt;"",config!$B$37,TODAY())&gt;=WORKDAY(N($BL31),-3,calendar!$A$2:$A$80)),"SHIP HOLD within 3 business days of T-10; ","")&amp;IF(AND($BQ31&gt;0,$BL31&lt;&gt;"",IF(config!$B$37&lt;&gt;"",config!$B$37,TODAY())&gt;$BL31),"approvals still pending after T-10; ","")&amp;IF($BZ31&lt;0,"reserve below zero: check inventory; ","")&amp;IF(AND($BG31&lt;&gt;"",IF(config!$B$37&lt;&gt;"",config!$B$37,TODAY())&gt;WORKDAY(N($BG31),14,calendar!$A$2:$A$80),N($BZ31)+N($CA31)&lt;&gt;0),"units still on hand after T+14; ","")&amp;IF(N($CV31)&gt;0,"info: "&amp;$CV31&amp;" in-window responses with a card code that matches no office (not counted); ","")&amp;IF(AND($Z31="Y",$AK31=""),"newsletter form URL missing; ","")&amp;IF(AND($Z31="Y",$BG31&lt;&gt;"",IF(config!$B$37&lt;&gt;"",config!$B$37,TODAY())&gt;WORKDAY(N($BG31),5,calendar!$A$2:$A$80),$AY31=""),"newsletter list not yet passed on (due T+5); ","")&amp;IF(AND($AY31&lt;&gt;"",$BA31=""),"delete unticked emails; ","")&amp;IF(AND($AY31&lt;&gt;"",$BB31="",IF(config!$B$37&lt;&gt;"",config!$B$37,TODAY())&gt;$AY31+config!$B$32),"DELETE the consented emails (30 days after passing on); ","")&amp;IF(AND($BG31&lt;&gt;"",$AJ31="",IF(config!$B$37&lt;&gt;"",config!$B$37,TODAY())&gt;=WORKDAY(N($BG31),-4,calendar!$A$2:$A$80)),"survey prefill template missing (due T-4); ","")&amp;IF(AND($AJ31&lt;&gt;"",ISERROR(SEARCH("CARDCODE",$AJ31))),"prefill template has no CARDCODE; ","")&amp;IF(AND($AF31="",$BG31&lt;&gt;"",IF(config!$B$37&lt;&gt;"",config!$B$37,TODAY())&gt;=WORKDAY(N($BG31),-3,calendar!$A$2:$A$80)),"card text not yet sent to the brand; ","")&amp;IF(AND($DA31="",$DQ31&lt;&gt;"",IF(config!$B$37&lt;&gt;"",config!$B$37,TODAY())&gt;$DQ31),"day-30 redemption count due; ","")&amp;IF(AND(LEFT($BW31,8)="RELEASED",$AG31=""),"ship-date email due (template 02): send it, then log ship_email_sent_date and ship_email_units; ","")&amp;IF(AND($AH31&lt;&gt;"",N($BT31)&gt;0,N($BX31)=0,N($AH31)&lt;&gt;N($BT31)),"units changed since the ship-date email of "&amp;IF($AG31="","?",TEXT($AG31,"yyyy-mm-dd"))&amp;" ("&amp;$AH31&amp;", now "&amp;$BT31&amp;"): send the brand the revised numbers (template 02) and log them; ","")&amp;IF($DT31="late","report late; ","")&amp;IF(AND(N($F31)&gt;0,$BO31&lt;N($F31),$BQ31=0),"info: "&amp;(N($F31)-$BO31)&amp;" office(s) short of the contract: add a roster office or credit $"&amp;IF($D31="founding",config!$B$25,config!$B$24)&amp;" each; ","")&amp;IF($BC31&lt;&gt;"",IF(COUNTIF(survey_frozen!$A$2:$A$251,$A31)=0,"answers deleted but no frozen totals: the survey numbers now read 0 (tools/freeze_survey.py, SOP answers_delete); ",""),IF(AND($BG31&lt;&gt;"",IF(config!$B$37&lt;&gt;"",config!$B$37,TODAY())&gt;=$BG31,ISREF(INDIRECT("'"&amp;$A31&amp;"'!B1"))),IF(INDIRECT("'"&amp;$A31&amp;"'!B1")&lt;&gt;"Card code (filled in for you)","survey tab column B is not the card code: fix the form or the tab; ",""),IF(AND($BG31&lt;&gt;"",IF(config!$B$37&lt;&gt;"",config!$B$37,TODAY())&gt;=$BG31),"no survey tab named "&amp;$A31&amp;"; ","")))&amp;IF(COUNTIF(brands!$A$2:$A$41,$C31)=0,"brand_id not on brands; ",IF(LEFT(IFERROR(IF(INDEX(brands!$AG$2:$AG$41,MATCH($C31,brands!$A$2:$A$41,0))="","",INDEX(brands!$AG$2:$AG$41,MATCH($C31,brands!$A$2:$A$41,0))),""),1)&lt;&gt;"Y","brand not qualified ("&amp;IFERROR(IF(INDEX(brands!$AG$2:$AG$41,MATCH($C31,brands!$A$2:$A$41,0))="","",INDEX(brands!$AG$2:$AG$41,MATCH($C31,brands!$A$2:$A$41,0))),"")&amp;"): nothing ships until it is; ",""))&amp;IF(AND(COUNTIF(brands!$A$2:$A$41,$C31)&gt;0,OR(IFERROR(IF(INDEX(brands!$C$2:$C$41,MATCH($C31,brands!$A$2:$A$41,0))="","",INDEX(brands!$C$2:$C$41,MATCH($C31,brands!$A$2:$A$41,0))),"")="",IFERROR(IF(INDEX(brands!$D$2:$D$41,MATCH($C31,brands!$A$2:$A$41,0))="","",INDEX(brands!$D$2:$D$41,MATCH($C31,brands!$A$2:$A$41,0))),"")="",IFERROR(IF(INDEX(brands!$E$2:$E$41,MATCH($C31,brands!$A$2:$A$41,0))="","",INDEX(brands!$E$2:$E$41,MATCH($C31,brands!$A$2:$A$41,0))),"")="")),"brand billing details missing on brands (legal name, address, email): needed for the invoice; ","")&amp;IF(AND($D31="founding",$E31&lt;&gt;"Y",N(IFERROR(IF(INDEX(brands!$AI$2:$AI$41,MATCH($C31,brands!$A$2:$A$41,0))="","",INDEX(brands!$AI$2:$AI$41,MATCH($C31,brands!$A$2:$A$41,0))),""))&gt;3),"the founding tier is for the first three brands only (this is brand "&amp;IFERROR(IF(INDEX(brands!$AI$2:$AI$41,MATCH($C31,brands!$A$2:$A$41,0))="","",INDEX(brands!$AI$2:$AI$41,MATCH($C31,brands!$A$2:$A$41,0))),"")&amp;"): use standard; ","")&amp;IF(AND($D31="founding",$E31&lt;&gt;"Y",COUNTIFS(campaigns!$C$2:$C$51,$C31,campaigns!$D$2:$D$51,"founding",campaigns!$E$2:$E$51,"&lt;&gt;Y")&gt;1),"a brand has the founding price once; its next two campaigns are founding_lock = Y; ","")&amp;IF(AND($E31="Y",COUNTIFS(campaigns!$C$2:$C$51,$C31,campaigns!$D$2:$D$51,"founding",campaigns!$E$2:$E$51,"Y")&gt;2),"founding_lock is for the brand's next two campaigns only (this is a third): use standard; ","")&amp;IF(AND($E31="Y",COUNTIFS(campaigns!$C$2:$C$51,$C31,campaigns!$D$2:$D$51,"founding",campaigns!$E$2:$E$51,"&lt;&gt;Y")=0),"founding_lock without a first founding campaign for this brand; ","")&amp;IF(AND(N($BX31)&gt;0,$BG31&lt;&gt;"",IF(config!$B$37&lt;&gt;"",config!$B$37,TODAY())&gt;=WORKDAY(N($BG31),-5,calendar!$A$2:$A$80)),IF(N($BX31)-N($BY31)&lt;N($BR31),"received "&amp;(N($BX31)-N($BY31))&amp;" usable units for "&amp;$BR31&amp;" allocated: reduce units_override evenly (SOP section 4, short shipment); ","")&amp;IF(AND(N($BX31)&lt;N($BT31),COUNTIFS(issues!$E$2:$E$121,$A31,issues!$G$2:$G$121,"short_shipment")=0),"received "&amp;$BX31&amp;" of "&amp;$BT31&amp;" due: log a short_shipment issue and tell the brand today; ",""),"")&amp;IF(AND($BG31&lt;&gt;"",IF(config!$B$37&lt;&gt;"",config!$B$37,TODAY())&gt;=WORKDAY(N($BG31),1,calendar!$A$2:$A$80),N($F31)&gt;0,(-SUMIFS(invoices!$E$2:$E$151,invoices!$B$2:$B$151,$A31,invoices!$C$2:$C$151,"credit_note"))&lt;(IF($D31="founding",config!$B$25,config!$B$24)*MAX(0,N($F31)-COUNTIFS(approvals!$A$2:$A$251,$A31,approvals!$Q$2:$Q$251,"Y",approvals!$AB$2:$AB$251,"Y")))-0.005),"credit due from T+1: "&amp;MAX(0,N($F31)-COUNTIFS(approvals!$A$2:$A$251,$A31,approvals!$Q$2:$Q$251,"Y",approvals!$AB$2:$AB$251,"Y"))&amp;" of "&amp;$F31&amp;" contracted offices not placed by T+1, $"&amp;(IF($D31="founding",config!$B$25,config!$B$24)*MAX(0,N($F31)-COUNTIFS(approvals!$A$2:$A$251,$A31,approvals!$Q$2:$Q$251,"Y",approvals!$AB$2:$AB$251,"Y")))&amp;" due, $"&amp;(-SUMIFS(invoices!$E$2:$E$151,invoices!$B$2:$B$151,$A31,invoices!$C$2:$C$151,"credit_note"))&amp;" in credit notes so far (template 06, make_invoice.py); ","")&amp;IF(AND(IFERROR(IF(INDEX(brands!$H$2:$H$41,MATCH($C31,brands!$A$2:$A$41,0))="","",INDEX(brands!$H$2:$H$41,MATCH($C31,brands!$A$2:$A$41,0))),"")&lt;&gt;"",$BG31&lt;&gt;"",IFERROR(IF(INDEX(brands!$H$2:$H$41,MATCH($C31,brands!$A$2:$A$41,0))="","",INDEX(brands!$H$2:$H$41,MATCH($C31,brands!$A$2:$A$41,0))),"")&lt;EDATE(WORKDAY(N($BG31),4,calendar!$A$2:$A$80),12)),"info: brand insurance ends "&amp;TEXT(IFERROR(IF(INDEX(brands!$H$2:$H$41,MATCH($C31,brands!$A$2:$A$41,0))="","",INDEX(brands!$H$2:$H$41,MATCH($C31,brands!$A$2:$A$41,0))),""),"yyyy-mm-dd")&amp;": diary the renewal certificate; ",""))</f>
        <v/>
      </c>
    </row>
    <row r="32">
      <c r="G32" s="10" t="n"/>
      <c r="H32" s="9" t="n"/>
      <c r="AB32" s="9" t="n"/>
      <c r="AC32" s="9" t="n"/>
      <c r="AD32" s="9" t="n"/>
      <c r="AF32" s="9" t="n"/>
      <c r="AG32" s="9" t="n"/>
      <c r="AT32" s="9" t="n"/>
      <c r="AU32" s="9" t="n"/>
      <c r="AY32" s="9" t="n"/>
      <c r="BA32" s="9" t="n"/>
      <c r="BB32" s="9" t="n"/>
      <c r="BC32" s="9" t="n"/>
      <c r="BE32" s="25">
        <f>IF($A32="","",IFERROR(IF(INDEX(brands!$K$2:$K$41,MATCH($C32,brands!$A$2:$A$41,0))="","",INDEX(brands!$K$2:$K$41,MATCH($C32,brands!$A$2:$A$41,0))),""))</f>
        <v/>
      </c>
      <c r="BF32" s="25">
        <f>IF($A32="","",IFERROR(IF(INDEX(brands!$M$2:$M$41,MATCH($C32,brands!$A$2:$A$41,0))="","",INDEX(brands!$M$2:$M$41,MATCH($C32,brands!$A$2:$A$41,0))),""))</f>
        <v/>
      </c>
      <c r="BG32" s="26">
        <f>IF($A32="","",IF(IFERROR(IF(INDEX(drops!$I$2:$I$21,MATCH($B32,drops!$A$2:$A$21,0))="","",INDEX(drops!$I$2:$I$21,MATCH($B32,drops!$A$2:$A$21,0))),"")="OK",IFERROR(IF(INDEX(drops!$B$2:$B$21,MATCH($B32,drops!$A$2:$A$21,0))="","",INDEX(drops!$B$2:$B$21,MATCH($B32,drops!$A$2:$A$21,0))),""),""))</f>
        <v/>
      </c>
      <c r="BH32" s="25">
        <f>IF($A32="","",IFERROR(IF(INDEX(drops!$C$2:$C$21,MATCH($B32,drops!$A$2:$A$21,0))="","",INDEX(drops!$C$2:$C$21,MATCH($B32,drops!$A$2:$A$21,0))),""))</f>
        <v/>
      </c>
      <c r="BI32" s="27">
        <f>IF($A32="","",IF($F32="","",IF($D32="founding",IF($E32="Y",config!$B$25*MIN($F32,config!$B$26)+config!$B$24*MAX(0,$F32-config!$B$26),config!$B$20+config!$B$24*MAX(0,$F32-config!$B$21)),IF($D32="standard",config!$B$22+config!$B$24*MAX(0,$F32-config!$B$23),""))))</f>
        <v/>
      </c>
      <c r="BJ32" s="27">
        <f>IF($A32="","",IF($G32&lt;&gt;"",$G32,$BI32))</f>
        <v/>
      </c>
      <c r="BK32" s="25">
        <f>IF($A32="","",IF($D32="founding","100% within "&amp;config!$B$27&amp;" business days of the invoice, before shipping",IF($D32="standard","50% on signing; 50% at placement confirmation (T+1)","")))</f>
        <v/>
      </c>
      <c r="BL32" s="26">
        <f>IF($A32="","",IFERROR(IF(INDEX(drops!$K$2:$K$21,MATCH($B32,drops!$A$2:$A$21,0))="","",INDEX(drops!$K$2:$K$21,MATCH($B32,drops!$A$2:$A$21,0))),""))</f>
        <v/>
      </c>
      <c r="BM32" s="26">
        <f>IF($A32="","",IFERROR(IF(INDEX(drops!$L$2:$L$21,MATCH($B32,drops!$A$2:$A$21,0))="","",INDEX(drops!$L$2:$L$21,MATCH($B32,drops!$A$2:$A$21,0))),""))</f>
        <v/>
      </c>
      <c r="BN32" s="25">
        <f>IF($A32="","",COUNTIF(approvals!$A$2:$A$251,$A32))</f>
        <v/>
      </c>
      <c r="BO32" s="25">
        <f>IF($A32="","",COUNTIFS(approvals!$A$2:$A$251,$A32,approvals!$P$2:$P$251,"Y"))</f>
        <v/>
      </c>
      <c r="BP32" s="25">
        <f>IF($A32="","",COUNTIFS(approvals!$A$2:$A$251,$A32,approvals!$Q$2:$Q$251,"Y"))</f>
        <v/>
      </c>
      <c r="BQ32" s="25">
        <f>IF($A32="","",COUNTIFS(approvals!$A$2:$A$251,$A32,approvals!$P$2:$P$251,"pending"))</f>
        <v/>
      </c>
      <c r="BR32" s="25">
        <f>IF($A32="","",SUMIFS(approvals!$S$2:$S$251,approvals!$A$2:$A$251,$A32,approvals!$P$2:$P$251,"Y"))</f>
        <v/>
      </c>
      <c r="BS32" s="25">
        <f>IF($A32="","",ROUNDUP($BR32*config!$B$18,0))</f>
        <v/>
      </c>
      <c r="BT32" s="25">
        <f>IF($A32="","",$BR32+$BS32)</f>
        <v/>
      </c>
      <c r="BU32" s="27">
        <f>IF($A32="","",SUMIFS(invoices!$I$2:$I$151,invoices!$B$2:$B$151,$A32,invoices!$R$2:$R$151,"Y",invoices!$H$2:$H$151,"&gt;0"))</f>
        <v/>
      </c>
      <c r="BV32" s="27">
        <f>IF($A32="","",IF($BJ32="","",IF($D32="founding",$BJ32,ROUND($BJ32*config!$B$28,2))))</f>
        <v/>
      </c>
      <c r="BW32" s="25">
        <f>IF($A32="","",IF(AND(N($BU32)&gt;=N($BV32),N($BV32)&gt;0,$H32&lt;&gt;"",AND($AB32&lt;&gt;"",IFERROR(IF(INDEX(brands!$G$2:$G$41,MATCH($C32,brands!$A$2:$A$41,0))="","",INDEX(brands!$G$2:$G$41,MATCH($C32,brands!$A$2:$A$41,0))),"")="Y"),LEFT(IFERROR(IF(INDEX(brands!$AG$2:$AG$41,MATCH($C32,brands!$A$2:$A$41,0))="","",INDEX(brands!$AG$2:$AG$41,MATCH($C32,brands!$A$2:$A$41,0))),""),1)="Y",$BG32&lt;&gt;"",$BQ32=0,$BO32&gt;0),"RELEASED "&amp;TEXT(MAX(IFERROR(1/(1/SUMPRODUCT(MAX((invoices!$B$2:$B$151=$A32)*(invoices!$R$2:$R$151="Y")*(invoices!$H$2:$H$151)))),""),$H32,$AB32,SUMPRODUCT(MAX((approvals!$A$2:$A$251=$A32)*(approvals!$P$2:$P$251="Y")*(approvals!$E$2:$E$251+(approvals!$E$2:$E$251=0)*approvals!$C$2:$C$251)))),"yyyy-mm-dd")&amp;": ship by "&amp;TEXT($BM32,"ddd yyyy-mm-dd")&amp;" (latest "&amp;TEXT($BL32,"ddd yyyy-mm-dd")&amp;")","HOLD: "&amp;IF(N($BU32)&lt;N($BV32),"payment ("&amp;TEXT(N($BU32),"0")&amp;" of "&amp;TEXT(N($BV32),"0")&amp;") ","")&amp;IF($H32="","agreement ","")&amp;IF(NOT(AND($AB32&lt;&gt;"",IFERROR(IF(INDEX(brands!$G$2:$G$41,MATCH($C32,brands!$A$2:$A$41,0))="","",INDEX(brands!$G$2:$G$41,MATCH($C32,brands!$A$2:$A$41,0))),"")="Y")),"certificate ","")&amp;IF(NOT(LEFT(IFERROR(IF(INDEX(brands!$AG$2:$AG$41,MATCH($C32,brands!$A$2:$A$41,0))="","",INDEX(brands!$AG$2:$AG$41,MATCH($C32,brands!$A$2:$A$41,0))),""),1)="Y"),"qualification ","")&amp;IF($BG32="","drop date ","")&amp;IF($BQ32&gt;0,"approvals ("&amp;$BQ32&amp;" pending) ","")&amp;IF($BO32=0,"no office approved ","")))</f>
        <v/>
      </c>
      <c r="BX32" s="25">
        <f>IF($A32="","",SUMIFS(inventory!$G$2:$G$801,inventory!$C$2:$C$801,$A32,inventory!$E$2:$E$801,"received"))</f>
        <v/>
      </c>
      <c r="BY32" s="25">
        <f>IF($A32="","",SUMIFS(inventory!$G$2:$G$801,inventory!$C$2:$C$801,$A32,inventory!$E$2:$E$801,"rejected"))</f>
        <v/>
      </c>
      <c r="BZ32" s="25">
        <f>IF($A32="","",SUMIFS(inventory!$M$2:$M$801,inventory!$C$2:$C$801,$A32))</f>
        <v/>
      </c>
      <c r="CA32" s="25">
        <f>IF($A32="","",SUMIFS(inventory!$O$2:$O$801,inventory!$C$2:$C$801,$A32))</f>
        <v/>
      </c>
      <c r="CB32" s="25">
        <f>IF($A32="","",SUMIFS(approvals!$U$2:$U$251,approvals!$A$2:$A$251,$A32))</f>
        <v/>
      </c>
      <c r="CC32" s="25">
        <f>IF($A32="","",SUMIFS(approvals!$AA$2:$AA$251,approvals!$A$2:$A$251,$A32))</f>
        <v/>
      </c>
      <c r="CD32" s="25">
        <f>IF($A32="","",SUMIFS(approvals!$AA$2:$AA$251,approvals!$A$2:$A$251,$A32,approvals!$AB$2:$AB$251,"Y"))</f>
        <v/>
      </c>
      <c r="CE32" s="29">
        <f>IF($A32="","",IF(N($CB32)=0,"",$CD32/$CB32))</f>
        <v/>
      </c>
      <c r="CF32" s="25">
        <f>IF($A32="","",SUMIFS(approvals!$AD$2:$AD$251,approvals!$A$2:$A$251,$A32))</f>
        <v/>
      </c>
      <c r="CG32" s="25">
        <f>IF($A32="","",IF(COUNTIFS(approvals!$A$2:$A$251,$A32,approvals!$Q$2:$Q$251,"Y",approvals!$AG$2:$AG$251,"")&gt;0,"",SUMIFS(approvals!$AG$2:$AG$251,approvals!$A$2:$A$251,$A32,approvals!$Q$2:$Q$251,"Y")))</f>
        <v/>
      </c>
      <c r="CH32" s="25">
        <f>IF($A32="","",SUMIFS(approvals!$AL$2:$AL$251,approvals!$A$2:$A$251,$A32))</f>
        <v/>
      </c>
      <c r="CI32" s="25">
        <f>IF($A32="","",IF(N($BP32)=0,"",SUMPRODUCT(MIN(approvals!$BB$2:$BB$251+(approvals!$A$2:$A$251&lt;&gt;$A32)*1000000))))</f>
        <v/>
      </c>
      <c r="CJ32" s="25">
        <f>IF($A32="","",COUNTIFS(approvals!$A$2:$A$251,$A32,approvals!$Q$2:$Q$251,"Y",approvals!$AL$2:$AL$251,"&lt;"&amp;config!$B$30))</f>
        <v/>
      </c>
      <c r="CK32" s="25">
        <f>IF($A32="","",SUMIFS(approvals!$AM$2:$AM$251,approvals!$A$2:$A$251,$A32))</f>
        <v/>
      </c>
      <c r="CL32" s="25">
        <f>IF($A32="","",SUMIFS(approvals!$AQ$2:$AQ$251,approvals!$A$2:$A$251,$A32))</f>
        <v/>
      </c>
      <c r="CM32" s="25">
        <f>IF($A32="","",SUMIFS(approvals!$AR$2:$AR$251,approvals!$A$2:$A$251,$A32))</f>
        <v/>
      </c>
      <c r="CN32" s="25">
        <f>IF($A32="","",SUMIFS(approvals!$AS$2:$AS$251,approvals!$A$2:$A$251,$A32))</f>
        <v/>
      </c>
      <c r="CO32" s="25">
        <f>IF($A32="","",SUMIFS(approvals!$AT$2:$AT$251,approvals!$A$2:$A$251,$A32))</f>
        <v/>
      </c>
      <c r="CP32" s="28">
        <f>IF($A32="","",IF(N($CO32)=0,"",ROUND(SUMIFS(approvals!$AU$2:$AU$251,approvals!$A$2:$A$251,$A32)/$CO32,1)))</f>
        <v/>
      </c>
      <c r="CQ32" s="25">
        <f>IF($A32="","",SUMIFS(approvals!$AV$2:$AV$251,approvals!$A$2:$A$251,$A32))</f>
        <v/>
      </c>
      <c r="CR32" s="25">
        <f>IF($A32="","",SUMIFS(approvals!$AW$2:$AW$251,approvals!$A$2:$A$251,$A32))</f>
        <v/>
      </c>
      <c r="CS32" s="25">
        <f>IF($A32="","",SUMIFS(approvals!$AX$2:$AX$251,approvals!$A$2:$A$251,$A32))</f>
        <v/>
      </c>
      <c r="CT32" s="25">
        <f>IF($A32="","",SUMIFS(approvals!$AY$2:$AY$251,approvals!$A$2:$A$251,$A32))</f>
        <v/>
      </c>
      <c r="CU32" s="25">
        <f>IF($A32="","",IF(OR($BG32="",$BC32&lt;&gt;""),"",IFERROR(COUNT(INDIRECT("'"&amp;$A32&amp;"'!$A$2:$A$501")),0)-IFERROR(COUNTIFS(INDIRECT("'"&amp;$A32&amp;"'!$A$2:$A$501"),"&gt;="&amp;$BG32,INDIRECT("'"&amp;$A32&amp;"'!$A$2:$A$501"),"&lt;"&amp;(IFERROR(IF(INDEX(drops!$R$2:$R$21,MATCH($B32,drops!$A$2:$A$21,0))="","",INDEX(drops!$R$2:$R$21,MATCH($B32,drops!$A$2:$A$21,0))),"")+1)),0)))</f>
        <v/>
      </c>
      <c r="CV32" s="25">
        <f>IF($A32="","",IF(OR($BG32="",$BC32&lt;&gt;""),"",IFERROR(COUNTIFS(INDIRECT("'"&amp;$A32&amp;"'!$A$2:$A$501"),"&gt;="&amp;$BG32,INDIRECT("'"&amp;$A32&amp;"'!$A$2:$A$501"),"&lt;"&amp;(IFERROR(IF(INDEX(drops!$R$2:$R$21,MATCH($B32,drops!$A$2:$A$21,0))="","",INDEX(drops!$R$2:$R$21,MATCH($B32,drops!$A$2:$A$21,0))),"")+1)),0)-N($CH32)))</f>
        <v/>
      </c>
      <c r="CW32" s="25">
        <f>IF($A32="","",SUMIFS(approvals!$AN$2:$AN$251,approvals!$A$2:$A$251,$A32))</f>
        <v/>
      </c>
      <c r="CX32" s="25">
        <f>IF($A32="","",SUMIFS(approvals!$AO$2:$AO$251,approvals!$A$2:$A$251,$A32))</f>
        <v/>
      </c>
      <c r="CY32" s="25">
        <f>IF($A32="","",IF($CZ32="","",SUMIFS(redemptions!$C$2:$C$121,redemptions!$A$2:$A$121,$A32,redemptions!$B$2:$B$121,$CZ32)))</f>
        <v/>
      </c>
      <c r="CZ32" s="26">
        <f>IF($A32="","",IFERROR(1/(1/SUMPRODUCT(MAX((redemptions!$A$2:$A$121=$A32)*redemptions!$B$2:$B$121))),""))</f>
        <v/>
      </c>
      <c r="DA32" s="25">
        <f>IF($A32="","",IF(COUNTIFS(redemptions!$A$2:$A$121,$A32,redemptions!$H$2:$H$121,"Y")=0,"",SUMIFS(redemptions!$C$2:$C$121,redemptions!$A$2:$A$121,$A32,redemptions!$B$2:$B$121,SUMPRODUCT(MIN((redemptions!$A$2:$A$121=$A32)*(redemptions!$H$2:$H$121="Y")*redemptions!$B$2:$B$121+((redemptions!$A$2:$A$121&lt;&gt;$A32)+(redemptions!$H$2:$H$121&lt;&gt;"Y")&gt;0)*1000000)))))</f>
        <v/>
      </c>
      <c r="DB32" s="27">
        <f>IF($A32="","",SUMIFS(invoices!$E$2:$E$151,invoices!$B$2:$B$151,$A32))</f>
        <v/>
      </c>
      <c r="DC32" s="27">
        <f>IF($A32="","",IF(COUNTIFS(invoices!$B$2:$B$151,$A32,invoices!$C$2:$C$151,"standard_deposit",invoices!$H$2:$H$151,"&gt;0")=0,"",SUMIFS(invoices!$I$2:$I$151,invoices!$B$2:$B$151,$A32,invoices!$C$2:$C$151,"standard_deposit")))</f>
        <v/>
      </c>
      <c r="DD32" s="26">
        <f>IF($A32="","",IFERROR(1/(1/SUMPRODUCT(MAX((invoices!$B$2:$B$151=$A32)*(invoices!$C$2:$C$151="standard_deposit")*invoices!$H$2:$H$151))),""))</f>
        <v/>
      </c>
      <c r="DE32" s="26">
        <f>IF($A32="","",IFERROR(1/(1/SUMPRODUCT(MAX((invoices!$B$2:$B$151=$A32)*((invoices!$C$2:$C$151="founding_full")+(invoices!$C$2:$C$151="standard_balance"))*invoices!$H$2:$H$151))),""))</f>
        <v/>
      </c>
      <c r="DF32" s="27">
        <f>IF($A32="","",SUMIFS(invoices!$L$2:$L$151,invoices!$B$2:$B$151,$A32))</f>
        <v/>
      </c>
      <c r="DG32" s="27">
        <f>IF($A32="","",SUMIFS(costs!$E$2:$E$301,costs!$C$2:$C$301,$A32))</f>
        <v/>
      </c>
      <c r="DH32" s="27">
        <f>IF($A32="","",ROUND(IF(SUMIFS(campaigns!$BO$2:$BO$51,campaigns!$B$2:$B$51,$B32)=0,0,$BO32/SUMIFS(campaigns!$BO$2:$BO$51,campaigns!$B$2:$B$51,$B32))*(SUMIFS(costs!$E$2:$E$301,costs!$B$2:$B$301,$B32)-SUMPRODUCT((costs!$B$2:$B$301=$B32)*(LEN(costs!$C$2:$C$301)&gt;0)*costs!$E$2:$E$301)),2))</f>
        <v/>
      </c>
      <c r="DI32" s="28">
        <f>IF($A32="","",SUMIFS(hours!$E$2:$E$1501,hours!$C$2:$C$1501,$A32))</f>
        <v/>
      </c>
      <c r="DJ32" s="28">
        <f>IF($A32="","",ROUND(IF(SUMIFS(campaigns!$BO$2:$BO$51,campaigns!$B$2:$B$51,$B32)=0,0,$BO32/SUMIFS(campaigns!$BO$2:$BO$51,campaigns!$B$2:$B$51,$B32))*(SUMIFS(hours!$E$2:$E$1501,hours!$B$2:$B$1501,$B32)-SUMPRODUCT((hours!$B$2:$B$1501=$B32)*(LEN(hours!$C$2:$C$1501)&gt;0)*hours!$E$2:$E$1501)),2))</f>
        <v/>
      </c>
      <c r="DK32" s="27">
        <f>IF($A32="","",$DB32-$DF32-$DG32-$DH32)</f>
        <v/>
      </c>
      <c r="DL32" s="27">
        <f>IF($A32="","",IF(N($DI32)+N($DJ32)=0,"",ROUND($DK32/($DI32+$DJ32),2)))</f>
        <v/>
      </c>
      <c r="DM32" s="29">
        <f>IF($A32="","",IF(N($BP32)=0,"",COUNTIFS(approvals!$A$2:$A$251,$A32,approvals!$Q$2:$Q$251,"Y",approvals!$AK$2:$AK$251,"Y")/$BP32))</f>
        <v/>
      </c>
      <c r="DN32" s="28">
        <f>IF($A32="","",IF(COUNTIFS(approvals!$A$2:$A$251,$A32,approvals!$AC$2:$AC$251,"&gt;=0")=0,"",ROUND(SUMIFS(approvals!$AC$2:$AC$251,approvals!$A$2:$A$251,$A32)/COUNTIFS(approvals!$A$2:$A$251,$A32,approvals!$AC$2:$AC$251,"&gt;=0"),1)))</f>
        <v/>
      </c>
      <c r="DO32" s="26">
        <f>IF($A32="","",IFERROR(IF(INDEX(drops!$T$2:$T$21,MATCH($B32,drops!$A$2:$A$21,0))="","",INDEX(drops!$T$2:$T$21,MATCH($B32,drops!$A$2:$A$21,0))),""))</f>
        <v/>
      </c>
      <c r="DP32" s="26">
        <f>IF($A32="","",IFERROR(IF(INDEX(drops!$U$2:$U$21,MATCH($B32,drops!$A$2:$A$21,0))="","",INDEX(drops!$U$2:$U$21,MATCH($B32,drops!$A$2:$A$21,0))),""))</f>
        <v/>
      </c>
      <c r="DQ32" s="26">
        <f>IF($A32="","",IFERROR(IF(INDEX(drops!$W$2:$W$21,MATCH($B32,drops!$A$2:$A$21,0))="","",INDEX(drops!$W$2:$W$21,MATCH($B32,drops!$A$2:$A$21,0))),""))</f>
        <v/>
      </c>
      <c r="DR32" s="25">
        <f>IF($A32="","",IF($CE32="","",IF($CE32&gt;=config!$B$31,"pass","miss")))</f>
        <v/>
      </c>
      <c r="DS32" s="25">
        <f>IF($A32="","",IF($CI32="","",IF($CI32&gt;=config!$B$30,"pass","miss")))</f>
        <v/>
      </c>
      <c r="DT32" s="25">
        <f>IF($A32="","",IF($AT32="",IF($DO32="","",IF(IF(config!$B$37&lt;&gt;"",config!$B$37,TODAY())&gt;$DO32,"late","due")),IF($AT32&lt;=$DO32,"pass","late")))</f>
        <v/>
      </c>
      <c r="DU32" s="25">
        <f>IF($A32="","",IF(COUNTIF(drops!$A$2:$A$21,$B32)=0,"drop_id not on drops; ",IF($BG32="","drop date missing or refused; ",""))&amp;IF(AND($G32&lt;&gt;"",$G32&lt;&gt;$BI32),"price differs from the price list; ","")&amp;IF(AND(LEFT($BW32,4)="HOLD",$BL32&lt;&gt;"",IF(config!$B$37&lt;&gt;"",config!$B$37,TODAY())&gt;=WORKDAY(N($BL32),-3,calendar!$A$2:$A$80)),"SHIP HOLD within 3 business days of T-10; ","")&amp;IF(AND($BQ32&gt;0,$BL32&lt;&gt;"",IF(config!$B$37&lt;&gt;"",config!$B$37,TODAY())&gt;$BL32),"approvals still pending after T-10; ","")&amp;IF($BZ32&lt;0,"reserve below zero: check inventory; ","")&amp;IF(AND($BG32&lt;&gt;"",IF(config!$B$37&lt;&gt;"",config!$B$37,TODAY())&gt;WORKDAY(N($BG32),14,calendar!$A$2:$A$80),N($BZ32)+N($CA32)&lt;&gt;0),"units still on hand after T+14; ","")&amp;IF(N($CV32)&gt;0,"info: "&amp;$CV32&amp;" in-window responses with a card code that matches no office (not counted); ","")&amp;IF(AND($Z32="Y",$AK32=""),"newsletter form URL missing; ","")&amp;IF(AND($Z32="Y",$BG32&lt;&gt;"",IF(config!$B$37&lt;&gt;"",config!$B$37,TODAY())&gt;WORKDAY(N($BG32),5,calendar!$A$2:$A$80),$AY32=""),"newsletter list not yet passed on (due T+5); ","")&amp;IF(AND($AY32&lt;&gt;"",$BA32=""),"delete unticked emails; ","")&amp;IF(AND($AY32&lt;&gt;"",$BB32="",IF(config!$B$37&lt;&gt;"",config!$B$37,TODAY())&gt;$AY32+config!$B$32),"DELETE the consented emails (30 days after passing on); ","")&amp;IF(AND($BG32&lt;&gt;"",$AJ32="",IF(config!$B$37&lt;&gt;"",config!$B$37,TODAY())&gt;=WORKDAY(N($BG32),-4,calendar!$A$2:$A$80)),"survey prefill template missing (due T-4); ","")&amp;IF(AND($AJ32&lt;&gt;"",ISERROR(SEARCH("CARDCODE",$AJ32))),"prefill template has no CARDCODE; ","")&amp;IF(AND($AF32="",$BG32&lt;&gt;"",IF(config!$B$37&lt;&gt;"",config!$B$37,TODAY())&gt;=WORKDAY(N($BG32),-3,calendar!$A$2:$A$80)),"card text not yet sent to the brand; ","")&amp;IF(AND($DA32="",$DQ32&lt;&gt;"",IF(config!$B$37&lt;&gt;"",config!$B$37,TODAY())&gt;$DQ32),"day-30 redemption count due; ","")&amp;IF(AND(LEFT($BW32,8)="RELEASED",$AG32=""),"ship-date email due (template 02): send it, then log ship_email_sent_date and ship_email_units; ","")&amp;IF(AND($AH32&lt;&gt;"",N($BT32)&gt;0,N($BX32)=0,N($AH32)&lt;&gt;N($BT32)),"units changed since the ship-date email of "&amp;IF($AG32="","?",TEXT($AG32,"yyyy-mm-dd"))&amp;" ("&amp;$AH32&amp;", now "&amp;$BT32&amp;"): send the brand the revised numbers (template 02) and log them; ","")&amp;IF($DT32="late","report late; ","")&amp;IF(AND(N($F32)&gt;0,$BO32&lt;N($F32),$BQ32=0),"info: "&amp;(N($F32)-$BO32)&amp;" office(s) short of the contract: add a roster office or credit $"&amp;IF($D32="founding",config!$B$25,config!$B$24)&amp;" each; ","")&amp;IF($BC32&lt;&gt;"",IF(COUNTIF(survey_frozen!$A$2:$A$251,$A32)=0,"answers deleted but no frozen totals: the survey numbers now read 0 (tools/freeze_survey.py, SOP answers_delete); ",""),IF(AND($BG32&lt;&gt;"",IF(config!$B$37&lt;&gt;"",config!$B$37,TODAY())&gt;=$BG32,ISREF(INDIRECT("'"&amp;$A32&amp;"'!B1"))),IF(INDIRECT("'"&amp;$A32&amp;"'!B1")&lt;&gt;"Card code (filled in for you)","survey tab column B is not the card code: fix the form or the tab; ",""),IF(AND($BG32&lt;&gt;"",IF(config!$B$37&lt;&gt;"",config!$B$37,TODAY())&gt;=$BG32),"no survey tab named "&amp;$A32&amp;"; ","")))&amp;IF(COUNTIF(brands!$A$2:$A$41,$C32)=0,"brand_id not on brands; ",IF(LEFT(IFERROR(IF(INDEX(brands!$AG$2:$AG$41,MATCH($C32,brands!$A$2:$A$41,0))="","",INDEX(brands!$AG$2:$AG$41,MATCH($C32,brands!$A$2:$A$41,0))),""),1)&lt;&gt;"Y","brand not qualified ("&amp;IFERROR(IF(INDEX(brands!$AG$2:$AG$41,MATCH($C32,brands!$A$2:$A$41,0))="","",INDEX(brands!$AG$2:$AG$41,MATCH($C32,brands!$A$2:$A$41,0))),"")&amp;"): nothing ships until it is; ",""))&amp;IF(AND(COUNTIF(brands!$A$2:$A$41,$C32)&gt;0,OR(IFERROR(IF(INDEX(brands!$C$2:$C$41,MATCH($C32,brands!$A$2:$A$41,0))="","",INDEX(brands!$C$2:$C$41,MATCH($C32,brands!$A$2:$A$41,0))),"")="",IFERROR(IF(INDEX(brands!$D$2:$D$41,MATCH($C32,brands!$A$2:$A$41,0))="","",INDEX(brands!$D$2:$D$41,MATCH($C32,brands!$A$2:$A$41,0))),"")="",IFERROR(IF(INDEX(brands!$E$2:$E$41,MATCH($C32,brands!$A$2:$A$41,0))="","",INDEX(brands!$E$2:$E$41,MATCH($C32,brands!$A$2:$A$41,0))),"")="")),"brand billing details missing on brands (legal name, address, email): needed for the invoice; ","")&amp;IF(AND($D32="founding",$E32&lt;&gt;"Y",N(IFERROR(IF(INDEX(brands!$AI$2:$AI$41,MATCH($C32,brands!$A$2:$A$41,0))="","",INDEX(brands!$AI$2:$AI$41,MATCH($C32,brands!$A$2:$A$41,0))),""))&gt;3),"the founding tier is for the first three brands only (this is brand "&amp;IFERROR(IF(INDEX(brands!$AI$2:$AI$41,MATCH($C32,brands!$A$2:$A$41,0))="","",INDEX(brands!$AI$2:$AI$41,MATCH($C32,brands!$A$2:$A$41,0))),"")&amp;"): use standard; ","")&amp;IF(AND($D32="founding",$E32&lt;&gt;"Y",COUNTIFS(campaigns!$C$2:$C$51,$C32,campaigns!$D$2:$D$51,"founding",campaigns!$E$2:$E$51,"&lt;&gt;Y")&gt;1),"a brand has the founding price once; its next two campaigns are founding_lock = Y; ","")&amp;IF(AND($E32="Y",COUNTIFS(campaigns!$C$2:$C$51,$C32,campaigns!$D$2:$D$51,"founding",campaigns!$E$2:$E$51,"Y")&gt;2),"founding_lock is for the brand's next two campaigns only (this is a third): use standard; ","")&amp;IF(AND($E32="Y",COUNTIFS(campaigns!$C$2:$C$51,$C32,campaigns!$D$2:$D$51,"founding",campaigns!$E$2:$E$51,"&lt;&gt;Y")=0),"founding_lock without a first founding campaign for this brand; ","")&amp;IF(AND(N($BX32)&gt;0,$BG32&lt;&gt;"",IF(config!$B$37&lt;&gt;"",config!$B$37,TODAY())&gt;=WORKDAY(N($BG32),-5,calendar!$A$2:$A$80)),IF(N($BX32)-N($BY32)&lt;N($BR32),"received "&amp;(N($BX32)-N($BY32))&amp;" usable units for "&amp;$BR32&amp;" allocated: reduce units_override evenly (SOP section 4, short shipment); ","")&amp;IF(AND(N($BX32)&lt;N($BT32),COUNTIFS(issues!$E$2:$E$121,$A32,issues!$G$2:$G$121,"short_shipment")=0),"received "&amp;$BX32&amp;" of "&amp;$BT32&amp;" due: log a short_shipment issue and tell the brand today; ",""),"")&amp;IF(AND($BG32&lt;&gt;"",IF(config!$B$37&lt;&gt;"",config!$B$37,TODAY())&gt;=WORKDAY(N($BG32),1,calendar!$A$2:$A$80),N($F32)&gt;0,(-SUMIFS(invoices!$E$2:$E$151,invoices!$B$2:$B$151,$A32,invoices!$C$2:$C$151,"credit_note"))&lt;(IF($D32="founding",config!$B$25,config!$B$24)*MAX(0,N($F32)-COUNTIFS(approvals!$A$2:$A$251,$A32,approvals!$Q$2:$Q$251,"Y",approvals!$AB$2:$AB$251,"Y")))-0.005),"credit due from T+1: "&amp;MAX(0,N($F32)-COUNTIFS(approvals!$A$2:$A$251,$A32,approvals!$Q$2:$Q$251,"Y",approvals!$AB$2:$AB$251,"Y"))&amp;" of "&amp;$F32&amp;" contracted offices not placed by T+1, $"&amp;(IF($D32="founding",config!$B$25,config!$B$24)*MAX(0,N($F32)-COUNTIFS(approvals!$A$2:$A$251,$A32,approvals!$Q$2:$Q$251,"Y",approvals!$AB$2:$AB$251,"Y")))&amp;" due, $"&amp;(-SUMIFS(invoices!$E$2:$E$151,invoices!$B$2:$B$151,$A32,invoices!$C$2:$C$151,"credit_note"))&amp;" in credit notes so far (template 06, make_invoice.py); ","")&amp;IF(AND(IFERROR(IF(INDEX(brands!$H$2:$H$41,MATCH($C32,brands!$A$2:$A$41,0))="","",INDEX(brands!$H$2:$H$41,MATCH($C32,brands!$A$2:$A$41,0))),"")&lt;&gt;"",$BG32&lt;&gt;"",IFERROR(IF(INDEX(brands!$H$2:$H$41,MATCH($C32,brands!$A$2:$A$41,0))="","",INDEX(brands!$H$2:$H$41,MATCH($C32,brands!$A$2:$A$41,0))),"")&lt;EDATE(WORKDAY(N($BG32),4,calendar!$A$2:$A$80),12)),"info: brand insurance ends "&amp;TEXT(IFERROR(IF(INDEX(brands!$H$2:$H$41,MATCH($C32,brands!$A$2:$A$41,0))="","",INDEX(brands!$H$2:$H$41,MATCH($C32,brands!$A$2:$A$41,0))),""),"yyyy-mm-dd")&amp;": diary the renewal certificate; ",""))</f>
        <v/>
      </c>
    </row>
    <row r="33">
      <c r="G33" s="10" t="n"/>
      <c r="H33" s="9" t="n"/>
      <c r="AB33" s="9" t="n"/>
      <c r="AC33" s="9" t="n"/>
      <c r="AD33" s="9" t="n"/>
      <c r="AF33" s="9" t="n"/>
      <c r="AG33" s="9" t="n"/>
      <c r="AT33" s="9" t="n"/>
      <c r="AU33" s="9" t="n"/>
      <c r="AY33" s="9" t="n"/>
      <c r="BA33" s="9" t="n"/>
      <c r="BB33" s="9" t="n"/>
      <c r="BC33" s="9" t="n"/>
      <c r="BE33" s="25">
        <f>IF($A33="","",IFERROR(IF(INDEX(brands!$K$2:$K$41,MATCH($C33,brands!$A$2:$A$41,0))="","",INDEX(brands!$K$2:$K$41,MATCH($C33,brands!$A$2:$A$41,0))),""))</f>
        <v/>
      </c>
      <c r="BF33" s="25">
        <f>IF($A33="","",IFERROR(IF(INDEX(brands!$M$2:$M$41,MATCH($C33,brands!$A$2:$A$41,0))="","",INDEX(brands!$M$2:$M$41,MATCH($C33,brands!$A$2:$A$41,0))),""))</f>
        <v/>
      </c>
      <c r="BG33" s="26">
        <f>IF($A33="","",IF(IFERROR(IF(INDEX(drops!$I$2:$I$21,MATCH($B33,drops!$A$2:$A$21,0))="","",INDEX(drops!$I$2:$I$21,MATCH($B33,drops!$A$2:$A$21,0))),"")="OK",IFERROR(IF(INDEX(drops!$B$2:$B$21,MATCH($B33,drops!$A$2:$A$21,0))="","",INDEX(drops!$B$2:$B$21,MATCH($B33,drops!$A$2:$A$21,0))),""),""))</f>
        <v/>
      </c>
      <c r="BH33" s="25">
        <f>IF($A33="","",IFERROR(IF(INDEX(drops!$C$2:$C$21,MATCH($B33,drops!$A$2:$A$21,0))="","",INDEX(drops!$C$2:$C$21,MATCH($B33,drops!$A$2:$A$21,0))),""))</f>
        <v/>
      </c>
      <c r="BI33" s="27">
        <f>IF($A33="","",IF($F33="","",IF($D33="founding",IF($E33="Y",config!$B$25*MIN($F33,config!$B$26)+config!$B$24*MAX(0,$F33-config!$B$26),config!$B$20+config!$B$24*MAX(0,$F33-config!$B$21)),IF($D33="standard",config!$B$22+config!$B$24*MAX(0,$F33-config!$B$23),""))))</f>
        <v/>
      </c>
      <c r="BJ33" s="27">
        <f>IF($A33="","",IF($G33&lt;&gt;"",$G33,$BI33))</f>
        <v/>
      </c>
      <c r="BK33" s="25">
        <f>IF($A33="","",IF($D33="founding","100% within "&amp;config!$B$27&amp;" business days of the invoice, before shipping",IF($D33="standard","50% on signing; 50% at placement confirmation (T+1)","")))</f>
        <v/>
      </c>
      <c r="BL33" s="26">
        <f>IF($A33="","",IFERROR(IF(INDEX(drops!$K$2:$K$21,MATCH($B33,drops!$A$2:$A$21,0))="","",INDEX(drops!$K$2:$K$21,MATCH($B33,drops!$A$2:$A$21,0))),""))</f>
        <v/>
      </c>
      <c r="BM33" s="26">
        <f>IF($A33="","",IFERROR(IF(INDEX(drops!$L$2:$L$21,MATCH($B33,drops!$A$2:$A$21,0))="","",INDEX(drops!$L$2:$L$21,MATCH($B33,drops!$A$2:$A$21,0))),""))</f>
        <v/>
      </c>
      <c r="BN33" s="25">
        <f>IF($A33="","",COUNTIF(approvals!$A$2:$A$251,$A33))</f>
        <v/>
      </c>
      <c r="BO33" s="25">
        <f>IF($A33="","",COUNTIFS(approvals!$A$2:$A$251,$A33,approvals!$P$2:$P$251,"Y"))</f>
        <v/>
      </c>
      <c r="BP33" s="25">
        <f>IF($A33="","",COUNTIFS(approvals!$A$2:$A$251,$A33,approvals!$Q$2:$Q$251,"Y"))</f>
        <v/>
      </c>
      <c r="BQ33" s="25">
        <f>IF($A33="","",COUNTIFS(approvals!$A$2:$A$251,$A33,approvals!$P$2:$P$251,"pending"))</f>
        <v/>
      </c>
      <c r="BR33" s="25">
        <f>IF($A33="","",SUMIFS(approvals!$S$2:$S$251,approvals!$A$2:$A$251,$A33,approvals!$P$2:$P$251,"Y"))</f>
        <v/>
      </c>
      <c r="BS33" s="25">
        <f>IF($A33="","",ROUNDUP($BR33*config!$B$18,0))</f>
        <v/>
      </c>
      <c r="BT33" s="25">
        <f>IF($A33="","",$BR33+$BS33)</f>
        <v/>
      </c>
      <c r="BU33" s="27">
        <f>IF($A33="","",SUMIFS(invoices!$I$2:$I$151,invoices!$B$2:$B$151,$A33,invoices!$R$2:$R$151,"Y",invoices!$H$2:$H$151,"&gt;0"))</f>
        <v/>
      </c>
      <c r="BV33" s="27">
        <f>IF($A33="","",IF($BJ33="","",IF($D33="founding",$BJ33,ROUND($BJ33*config!$B$28,2))))</f>
        <v/>
      </c>
      <c r="BW33" s="25">
        <f>IF($A33="","",IF(AND(N($BU33)&gt;=N($BV33),N($BV33)&gt;0,$H33&lt;&gt;"",AND($AB33&lt;&gt;"",IFERROR(IF(INDEX(brands!$G$2:$G$41,MATCH($C33,brands!$A$2:$A$41,0))="","",INDEX(brands!$G$2:$G$41,MATCH($C33,brands!$A$2:$A$41,0))),"")="Y"),LEFT(IFERROR(IF(INDEX(brands!$AG$2:$AG$41,MATCH($C33,brands!$A$2:$A$41,0))="","",INDEX(brands!$AG$2:$AG$41,MATCH($C33,brands!$A$2:$A$41,0))),""),1)="Y",$BG33&lt;&gt;"",$BQ33=0,$BO33&gt;0),"RELEASED "&amp;TEXT(MAX(IFERROR(1/(1/SUMPRODUCT(MAX((invoices!$B$2:$B$151=$A33)*(invoices!$R$2:$R$151="Y")*(invoices!$H$2:$H$151)))),""),$H33,$AB33,SUMPRODUCT(MAX((approvals!$A$2:$A$251=$A33)*(approvals!$P$2:$P$251="Y")*(approvals!$E$2:$E$251+(approvals!$E$2:$E$251=0)*approvals!$C$2:$C$251)))),"yyyy-mm-dd")&amp;": ship by "&amp;TEXT($BM33,"ddd yyyy-mm-dd")&amp;" (latest "&amp;TEXT($BL33,"ddd yyyy-mm-dd")&amp;")","HOLD: "&amp;IF(N($BU33)&lt;N($BV33),"payment ("&amp;TEXT(N($BU33),"0")&amp;" of "&amp;TEXT(N($BV33),"0")&amp;") ","")&amp;IF($H33="","agreement ","")&amp;IF(NOT(AND($AB33&lt;&gt;"",IFERROR(IF(INDEX(brands!$G$2:$G$41,MATCH($C33,brands!$A$2:$A$41,0))="","",INDEX(brands!$G$2:$G$41,MATCH($C33,brands!$A$2:$A$41,0))),"")="Y")),"certificate ","")&amp;IF(NOT(LEFT(IFERROR(IF(INDEX(brands!$AG$2:$AG$41,MATCH($C33,brands!$A$2:$A$41,0))="","",INDEX(brands!$AG$2:$AG$41,MATCH($C33,brands!$A$2:$A$41,0))),""),1)="Y"),"qualification ","")&amp;IF($BG33="","drop date ","")&amp;IF($BQ33&gt;0,"approvals ("&amp;$BQ33&amp;" pending) ","")&amp;IF($BO33=0,"no office approved ","")))</f>
        <v/>
      </c>
      <c r="BX33" s="25">
        <f>IF($A33="","",SUMIFS(inventory!$G$2:$G$801,inventory!$C$2:$C$801,$A33,inventory!$E$2:$E$801,"received"))</f>
        <v/>
      </c>
      <c r="BY33" s="25">
        <f>IF($A33="","",SUMIFS(inventory!$G$2:$G$801,inventory!$C$2:$C$801,$A33,inventory!$E$2:$E$801,"rejected"))</f>
        <v/>
      </c>
      <c r="BZ33" s="25">
        <f>IF($A33="","",SUMIFS(inventory!$M$2:$M$801,inventory!$C$2:$C$801,$A33))</f>
        <v/>
      </c>
      <c r="CA33" s="25">
        <f>IF($A33="","",SUMIFS(inventory!$O$2:$O$801,inventory!$C$2:$C$801,$A33))</f>
        <v/>
      </c>
      <c r="CB33" s="25">
        <f>IF($A33="","",SUMIFS(approvals!$U$2:$U$251,approvals!$A$2:$A$251,$A33))</f>
        <v/>
      </c>
      <c r="CC33" s="25">
        <f>IF($A33="","",SUMIFS(approvals!$AA$2:$AA$251,approvals!$A$2:$A$251,$A33))</f>
        <v/>
      </c>
      <c r="CD33" s="25">
        <f>IF($A33="","",SUMIFS(approvals!$AA$2:$AA$251,approvals!$A$2:$A$251,$A33,approvals!$AB$2:$AB$251,"Y"))</f>
        <v/>
      </c>
      <c r="CE33" s="29">
        <f>IF($A33="","",IF(N($CB33)=0,"",$CD33/$CB33))</f>
        <v/>
      </c>
      <c r="CF33" s="25">
        <f>IF($A33="","",SUMIFS(approvals!$AD$2:$AD$251,approvals!$A$2:$A$251,$A33))</f>
        <v/>
      </c>
      <c r="CG33" s="25">
        <f>IF($A33="","",IF(COUNTIFS(approvals!$A$2:$A$251,$A33,approvals!$Q$2:$Q$251,"Y",approvals!$AG$2:$AG$251,"")&gt;0,"",SUMIFS(approvals!$AG$2:$AG$251,approvals!$A$2:$A$251,$A33,approvals!$Q$2:$Q$251,"Y")))</f>
        <v/>
      </c>
      <c r="CH33" s="25">
        <f>IF($A33="","",SUMIFS(approvals!$AL$2:$AL$251,approvals!$A$2:$A$251,$A33))</f>
        <v/>
      </c>
      <c r="CI33" s="25">
        <f>IF($A33="","",IF(N($BP33)=0,"",SUMPRODUCT(MIN(approvals!$BB$2:$BB$251+(approvals!$A$2:$A$251&lt;&gt;$A33)*1000000))))</f>
        <v/>
      </c>
      <c r="CJ33" s="25">
        <f>IF($A33="","",COUNTIFS(approvals!$A$2:$A$251,$A33,approvals!$Q$2:$Q$251,"Y",approvals!$AL$2:$AL$251,"&lt;"&amp;config!$B$30))</f>
        <v/>
      </c>
      <c r="CK33" s="25">
        <f>IF($A33="","",SUMIFS(approvals!$AM$2:$AM$251,approvals!$A$2:$A$251,$A33))</f>
        <v/>
      </c>
      <c r="CL33" s="25">
        <f>IF($A33="","",SUMIFS(approvals!$AQ$2:$AQ$251,approvals!$A$2:$A$251,$A33))</f>
        <v/>
      </c>
      <c r="CM33" s="25">
        <f>IF($A33="","",SUMIFS(approvals!$AR$2:$AR$251,approvals!$A$2:$A$251,$A33))</f>
        <v/>
      </c>
      <c r="CN33" s="25">
        <f>IF($A33="","",SUMIFS(approvals!$AS$2:$AS$251,approvals!$A$2:$A$251,$A33))</f>
        <v/>
      </c>
      <c r="CO33" s="25">
        <f>IF($A33="","",SUMIFS(approvals!$AT$2:$AT$251,approvals!$A$2:$A$251,$A33))</f>
        <v/>
      </c>
      <c r="CP33" s="28">
        <f>IF($A33="","",IF(N($CO33)=0,"",ROUND(SUMIFS(approvals!$AU$2:$AU$251,approvals!$A$2:$A$251,$A33)/$CO33,1)))</f>
        <v/>
      </c>
      <c r="CQ33" s="25">
        <f>IF($A33="","",SUMIFS(approvals!$AV$2:$AV$251,approvals!$A$2:$A$251,$A33))</f>
        <v/>
      </c>
      <c r="CR33" s="25">
        <f>IF($A33="","",SUMIFS(approvals!$AW$2:$AW$251,approvals!$A$2:$A$251,$A33))</f>
        <v/>
      </c>
      <c r="CS33" s="25">
        <f>IF($A33="","",SUMIFS(approvals!$AX$2:$AX$251,approvals!$A$2:$A$251,$A33))</f>
        <v/>
      </c>
      <c r="CT33" s="25">
        <f>IF($A33="","",SUMIFS(approvals!$AY$2:$AY$251,approvals!$A$2:$A$251,$A33))</f>
        <v/>
      </c>
      <c r="CU33" s="25">
        <f>IF($A33="","",IF(OR($BG33="",$BC33&lt;&gt;""),"",IFERROR(COUNT(INDIRECT("'"&amp;$A33&amp;"'!$A$2:$A$501")),0)-IFERROR(COUNTIFS(INDIRECT("'"&amp;$A33&amp;"'!$A$2:$A$501"),"&gt;="&amp;$BG33,INDIRECT("'"&amp;$A33&amp;"'!$A$2:$A$501"),"&lt;"&amp;(IFERROR(IF(INDEX(drops!$R$2:$R$21,MATCH($B33,drops!$A$2:$A$21,0))="","",INDEX(drops!$R$2:$R$21,MATCH($B33,drops!$A$2:$A$21,0))),"")+1)),0)))</f>
        <v/>
      </c>
      <c r="CV33" s="25">
        <f>IF($A33="","",IF(OR($BG33="",$BC33&lt;&gt;""),"",IFERROR(COUNTIFS(INDIRECT("'"&amp;$A33&amp;"'!$A$2:$A$501"),"&gt;="&amp;$BG33,INDIRECT("'"&amp;$A33&amp;"'!$A$2:$A$501"),"&lt;"&amp;(IFERROR(IF(INDEX(drops!$R$2:$R$21,MATCH($B33,drops!$A$2:$A$21,0))="","",INDEX(drops!$R$2:$R$21,MATCH($B33,drops!$A$2:$A$21,0))),"")+1)),0)-N($CH33)))</f>
        <v/>
      </c>
      <c r="CW33" s="25">
        <f>IF($A33="","",SUMIFS(approvals!$AN$2:$AN$251,approvals!$A$2:$A$251,$A33))</f>
        <v/>
      </c>
      <c r="CX33" s="25">
        <f>IF($A33="","",SUMIFS(approvals!$AO$2:$AO$251,approvals!$A$2:$A$251,$A33))</f>
        <v/>
      </c>
      <c r="CY33" s="25">
        <f>IF($A33="","",IF($CZ33="","",SUMIFS(redemptions!$C$2:$C$121,redemptions!$A$2:$A$121,$A33,redemptions!$B$2:$B$121,$CZ33)))</f>
        <v/>
      </c>
      <c r="CZ33" s="26">
        <f>IF($A33="","",IFERROR(1/(1/SUMPRODUCT(MAX((redemptions!$A$2:$A$121=$A33)*redemptions!$B$2:$B$121))),""))</f>
        <v/>
      </c>
      <c r="DA33" s="25">
        <f>IF($A33="","",IF(COUNTIFS(redemptions!$A$2:$A$121,$A33,redemptions!$H$2:$H$121,"Y")=0,"",SUMIFS(redemptions!$C$2:$C$121,redemptions!$A$2:$A$121,$A33,redemptions!$B$2:$B$121,SUMPRODUCT(MIN((redemptions!$A$2:$A$121=$A33)*(redemptions!$H$2:$H$121="Y")*redemptions!$B$2:$B$121+((redemptions!$A$2:$A$121&lt;&gt;$A33)+(redemptions!$H$2:$H$121&lt;&gt;"Y")&gt;0)*1000000)))))</f>
        <v/>
      </c>
      <c r="DB33" s="27">
        <f>IF($A33="","",SUMIFS(invoices!$E$2:$E$151,invoices!$B$2:$B$151,$A33))</f>
        <v/>
      </c>
      <c r="DC33" s="27">
        <f>IF($A33="","",IF(COUNTIFS(invoices!$B$2:$B$151,$A33,invoices!$C$2:$C$151,"standard_deposit",invoices!$H$2:$H$151,"&gt;0")=0,"",SUMIFS(invoices!$I$2:$I$151,invoices!$B$2:$B$151,$A33,invoices!$C$2:$C$151,"standard_deposit")))</f>
        <v/>
      </c>
      <c r="DD33" s="26">
        <f>IF($A33="","",IFERROR(1/(1/SUMPRODUCT(MAX((invoices!$B$2:$B$151=$A33)*(invoices!$C$2:$C$151="standard_deposit")*invoices!$H$2:$H$151))),""))</f>
        <v/>
      </c>
      <c r="DE33" s="26">
        <f>IF($A33="","",IFERROR(1/(1/SUMPRODUCT(MAX((invoices!$B$2:$B$151=$A33)*((invoices!$C$2:$C$151="founding_full")+(invoices!$C$2:$C$151="standard_balance"))*invoices!$H$2:$H$151))),""))</f>
        <v/>
      </c>
      <c r="DF33" s="27">
        <f>IF($A33="","",SUMIFS(invoices!$L$2:$L$151,invoices!$B$2:$B$151,$A33))</f>
        <v/>
      </c>
      <c r="DG33" s="27">
        <f>IF($A33="","",SUMIFS(costs!$E$2:$E$301,costs!$C$2:$C$301,$A33))</f>
        <v/>
      </c>
      <c r="DH33" s="27">
        <f>IF($A33="","",ROUND(IF(SUMIFS(campaigns!$BO$2:$BO$51,campaigns!$B$2:$B$51,$B33)=0,0,$BO33/SUMIFS(campaigns!$BO$2:$BO$51,campaigns!$B$2:$B$51,$B33))*(SUMIFS(costs!$E$2:$E$301,costs!$B$2:$B$301,$B33)-SUMPRODUCT((costs!$B$2:$B$301=$B33)*(LEN(costs!$C$2:$C$301)&gt;0)*costs!$E$2:$E$301)),2))</f>
        <v/>
      </c>
      <c r="DI33" s="28">
        <f>IF($A33="","",SUMIFS(hours!$E$2:$E$1501,hours!$C$2:$C$1501,$A33))</f>
        <v/>
      </c>
      <c r="DJ33" s="28">
        <f>IF($A33="","",ROUND(IF(SUMIFS(campaigns!$BO$2:$BO$51,campaigns!$B$2:$B$51,$B33)=0,0,$BO33/SUMIFS(campaigns!$BO$2:$BO$51,campaigns!$B$2:$B$51,$B33))*(SUMIFS(hours!$E$2:$E$1501,hours!$B$2:$B$1501,$B33)-SUMPRODUCT((hours!$B$2:$B$1501=$B33)*(LEN(hours!$C$2:$C$1501)&gt;0)*hours!$E$2:$E$1501)),2))</f>
        <v/>
      </c>
      <c r="DK33" s="27">
        <f>IF($A33="","",$DB33-$DF33-$DG33-$DH33)</f>
        <v/>
      </c>
      <c r="DL33" s="27">
        <f>IF($A33="","",IF(N($DI33)+N($DJ33)=0,"",ROUND($DK33/($DI33+$DJ33),2)))</f>
        <v/>
      </c>
      <c r="DM33" s="29">
        <f>IF($A33="","",IF(N($BP33)=0,"",COUNTIFS(approvals!$A$2:$A$251,$A33,approvals!$Q$2:$Q$251,"Y",approvals!$AK$2:$AK$251,"Y")/$BP33))</f>
        <v/>
      </c>
      <c r="DN33" s="28">
        <f>IF($A33="","",IF(COUNTIFS(approvals!$A$2:$A$251,$A33,approvals!$AC$2:$AC$251,"&gt;=0")=0,"",ROUND(SUMIFS(approvals!$AC$2:$AC$251,approvals!$A$2:$A$251,$A33)/COUNTIFS(approvals!$A$2:$A$251,$A33,approvals!$AC$2:$AC$251,"&gt;=0"),1)))</f>
        <v/>
      </c>
      <c r="DO33" s="26">
        <f>IF($A33="","",IFERROR(IF(INDEX(drops!$T$2:$T$21,MATCH($B33,drops!$A$2:$A$21,0))="","",INDEX(drops!$T$2:$T$21,MATCH($B33,drops!$A$2:$A$21,0))),""))</f>
        <v/>
      </c>
      <c r="DP33" s="26">
        <f>IF($A33="","",IFERROR(IF(INDEX(drops!$U$2:$U$21,MATCH($B33,drops!$A$2:$A$21,0))="","",INDEX(drops!$U$2:$U$21,MATCH($B33,drops!$A$2:$A$21,0))),""))</f>
        <v/>
      </c>
      <c r="DQ33" s="26">
        <f>IF($A33="","",IFERROR(IF(INDEX(drops!$W$2:$W$21,MATCH($B33,drops!$A$2:$A$21,0))="","",INDEX(drops!$W$2:$W$21,MATCH($B33,drops!$A$2:$A$21,0))),""))</f>
        <v/>
      </c>
      <c r="DR33" s="25">
        <f>IF($A33="","",IF($CE33="","",IF($CE33&gt;=config!$B$31,"pass","miss")))</f>
        <v/>
      </c>
      <c r="DS33" s="25">
        <f>IF($A33="","",IF($CI33="","",IF($CI33&gt;=config!$B$30,"pass","miss")))</f>
        <v/>
      </c>
      <c r="DT33" s="25">
        <f>IF($A33="","",IF($AT33="",IF($DO33="","",IF(IF(config!$B$37&lt;&gt;"",config!$B$37,TODAY())&gt;$DO33,"late","due")),IF($AT33&lt;=$DO33,"pass","late")))</f>
        <v/>
      </c>
      <c r="DU33" s="25">
        <f>IF($A33="","",IF(COUNTIF(drops!$A$2:$A$21,$B33)=0,"drop_id not on drops; ",IF($BG33="","drop date missing or refused; ",""))&amp;IF(AND($G33&lt;&gt;"",$G33&lt;&gt;$BI33),"price differs from the price list; ","")&amp;IF(AND(LEFT($BW33,4)="HOLD",$BL33&lt;&gt;"",IF(config!$B$37&lt;&gt;"",config!$B$37,TODAY())&gt;=WORKDAY(N($BL33),-3,calendar!$A$2:$A$80)),"SHIP HOLD within 3 business days of T-10; ","")&amp;IF(AND($BQ33&gt;0,$BL33&lt;&gt;"",IF(config!$B$37&lt;&gt;"",config!$B$37,TODAY())&gt;$BL33),"approvals still pending after T-10; ","")&amp;IF($BZ33&lt;0,"reserve below zero: check inventory; ","")&amp;IF(AND($BG33&lt;&gt;"",IF(config!$B$37&lt;&gt;"",config!$B$37,TODAY())&gt;WORKDAY(N($BG33),14,calendar!$A$2:$A$80),N($BZ33)+N($CA33)&lt;&gt;0),"units still on hand after T+14; ","")&amp;IF(N($CV33)&gt;0,"info: "&amp;$CV33&amp;" in-window responses with a card code that matches no office (not counted); ","")&amp;IF(AND($Z33="Y",$AK33=""),"newsletter form URL missing; ","")&amp;IF(AND($Z33="Y",$BG33&lt;&gt;"",IF(config!$B$37&lt;&gt;"",config!$B$37,TODAY())&gt;WORKDAY(N($BG33),5,calendar!$A$2:$A$80),$AY33=""),"newsletter list not yet passed on (due T+5); ","")&amp;IF(AND($AY33&lt;&gt;"",$BA33=""),"delete unticked emails; ","")&amp;IF(AND($AY33&lt;&gt;"",$BB33="",IF(config!$B$37&lt;&gt;"",config!$B$37,TODAY())&gt;$AY33+config!$B$32),"DELETE the consented emails (30 days after passing on); ","")&amp;IF(AND($BG33&lt;&gt;"",$AJ33="",IF(config!$B$37&lt;&gt;"",config!$B$37,TODAY())&gt;=WORKDAY(N($BG33),-4,calendar!$A$2:$A$80)),"survey prefill template missing (due T-4); ","")&amp;IF(AND($AJ33&lt;&gt;"",ISERROR(SEARCH("CARDCODE",$AJ33))),"prefill template has no CARDCODE; ","")&amp;IF(AND($AF33="",$BG33&lt;&gt;"",IF(config!$B$37&lt;&gt;"",config!$B$37,TODAY())&gt;=WORKDAY(N($BG33),-3,calendar!$A$2:$A$80)),"card text not yet sent to the brand; ","")&amp;IF(AND($DA33="",$DQ33&lt;&gt;"",IF(config!$B$37&lt;&gt;"",config!$B$37,TODAY())&gt;$DQ33),"day-30 redemption count due; ","")&amp;IF(AND(LEFT($BW33,8)="RELEASED",$AG33=""),"ship-date email due (template 02): send it, then log ship_email_sent_date and ship_email_units; ","")&amp;IF(AND($AH33&lt;&gt;"",N($BT33)&gt;0,N($BX33)=0,N($AH33)&lt;&gt;N($BT33)),"units changed since the ship-date email of "&amp;IF($AG33="","?",TEXT($AG33,"yyyy-mm-dd"))&amp;" ("&amp;$AH33&amp;", now "&amp;$BT33&amp;"): send the brand the revised numbers (template 02) and log them; ","")&amp;IF($DT33="late","report late; ","")&amp;IF(AND(N($F33)&gt;0,$BO33&lt;N($F33),$BQ33=0),"info: "&amp;(N($F33)-$BO33)&amp;" office(s) short of the contract: add a roster office or credit $"&amp;IF($D33="founding",config!$B$25,config!$B$24)&amp;" each; ","")&amp;IF($BC33&lt;&gt;"",IF(COUNTIF(survey_frozen!$A$2:$A$251,$A33)=0,"answers deleted but no frozen totals: the survey numbers now read 0 (tools/freeze_survey.py, SOP answers_delete); ",""),IF(AND($BG33&lt;&gt;"",IF(config!$B$37&lt;&gt;"",config!$B$37,TODAY())&gt;=$BG33,ISREF(INDIRECT("'"&amp;$A33&amp;"'!B1"))),IF(INDIRECT("'"&amp;$A33&amp;"'!B1")&lt;&gt;"Card code (filled in for you)","survey tab column B is not the card code: fix the form or the tab; ",""),IF(AND($BG33&lt;&gt;"",IF(config!$B$37&lt;&gt;"",config!$B$37,TODAY())&gt;=$BG33),"no survey tab named "&amp;$A33&amp;"; ","")))&amp;IF(COUNTIF(brands!$A$2:$A$41,$C33)=0,"brand_id not on brands; ",IF(LEFT(IFERROR(IF(INDEX(brands!$AG$2:$AG$41,MATCH($C33,brands!$A$2:$A$41,0))="","",INDEX(brands!$AG$2:$AG$41,MATCH($C33,brands!$A$2:$A$41,0))),""),1)&lt;&gt;"Y","brand not qualified ("&amp;IFERROR(IF(INDEX(brands!$AG$2:$AG$41,MATCH($C33,brands!$A$2:$A$41,0))="","",INDEX(brands!$AG$2:$AG$41,MATCH($C33,brands!$A$2:$A$41,0))),"")&amp;"): nothing ships until it is; ",""))&amp;IF(AND(COUNTIF(brands!$A$2:$A$41,$C33)&gt;0,OR(IFERROR(IF(INDEX(brands!$C$2:$C$41,MATCH($C33,brands!$A$2:$A$41,0))="","",INDEX(brands!$C$2:$C$41,MATCH($C33,brands!$A$2:$A$41,0))),"")="",IFERROR(IF(INDEX(brands!$D$2:$D$41,MATCH($C33,brands!$A$2:$A$41,0))="","",INDEX(brands!$D$2:$D$41,MATCH($C33,brands!$A$2:$A$41,0))),"")="",IFERROR(IF(INDEX(brands!$E$2:$E$41,MATCH($C33,brands!$A$2:$A$41,0))="","",INDEX(brands!$E$2:$E$41,MATCH($C33,brands!$A$2:$A$41,0))),"")="")),"brand billing details missing on brands (legal name, address, email): needed for the invoice; ","")&amp;IF(AND($D33="founding",$E33&lt;&gt;"Y",N(IFERROR(IF(INDEX(brands!$AI$2:$AI$41,MATCH($C33,brands!$A$2:$A$41,0))="","",INDEX(brands!$AI$2:$AI$41,MATCH($C33,brands!$A$2:$A$41,0))),""))&gt;3),"the founding tier is for the first three brands only (this is brand "&amp;IFERROR(IF(INDEX(brands!$AI$2:$AI$41,MATCH($C33,brands!$A$2:$A$41,0))="","",INDEX(brands!$AI$2:$AI$41,MATCH($C33,brands!$A$2:$A$41,0))),"")&amp;"): use standard; ","")&amp;IF(AND($D33="founding",$E33&lt;&gt;"Y",COUNTIFS(campaigns!$C$2:$C$51,$C33,campaigns!$D$2:$D$51,"founding",campaigns!$E$2:$E$51,"&lt;&gt;Y")&gt;1),"a brand has the founding price once; its next two campaigns are founding_lock = Y; ","")&amp;IF(AND($E33="Y",COUNTIFS(campaigns!$C$2:$C$51,$C33,campaigns!$D$2:$D$51,"founding",campaigns!$E$2:$E$51,"Y")&gt;2),"founding_lock is for the brand's next two campaigns only (this is a third): use standard; ","")&amp;IF(AND($E33="Y",COUNTIFS(campaigns!$C$2:$C$51,$C33,campaigns!$D$2:$D$51,"founding",campaigns!$E$2:$E$51,"&lt;&gt;Y")=0),"founding_lock without a first founding campaign for this brand; ","")&amp;IF(AND(N($BX33)&gt;0,$BG33&lt;&gt;"",IF(config!$B$37&lt;&gt;"",config!$B$37,TODAY())&gt;=WORKDAY(N($BG33),-5,calendar!$A$2:$A$80)),IF(N($BX33)-N($BY33)&lt;N($BR33),"received "&amp;(N($BX33)-N($BY33))&amp;" usable units for "&amp;$BR33&amp;" allocated: reduce units_override evenly (SOP section 4, short shipment); ","")&amp;IF(AND(N($BX33)&lt;N($BT33),COUNTIFS(issues!$E$2:$E$121,$A33,issues!$G$2:$G$121,"short_shipment")=0),"received "&amp;$BX33&amp;" of "&amp;$BT33&amp;" due: log a short_shipment issue and tell the brand today; ",""),"")&amp;IF(AND($BG33&lt;&gt;"",IF(config!$B$37&lt;&gt;"",config!$B$37,TODAY())&gt;=WORKDAY(N($BG33),1,calendar!$A$2:$A$80),N($F33)&gt;0,(-SUMIFS(invoices!$E$2:$E$151,invoices!$B$2:$B$151,$A33,invoices!$C$2:$C$151,"credit_note"))&lt;(IF($D33="founding",config!$B$25,config!$B$24)*MAX(0,N($F33)-COUNTIFS(approvals!$A$2:$A$251,$A33,approvals!$Q$2:$Q$251,"Y",approvals!$AB$2:$AB$251,"Y")))-0.005),"credit due from T+1: "&amp;MAX(0,N($F33)-COUNTIFS(approvals!$A$2:$A$251,$A33,approvals!$Q$2:$Q$251,"Y",approvals!$AB$2:$AB$251,"Y"))&amp;" of "&amp;$F33&amp;" contracted offices not placed by T+1, $"&amp;(IF($D33="founding",config!$B$25,config!$B$24)*MAX(0,N($F33)-COUNTIFS(approvals!$A$2:$A$251,$A33,approvals!$Q$2:$Q$251,"Y",approvals!$AB$2:$AB$251,"Y")))&amp;" due, $"&amp;(-SUMIFS(invoices!$E$2:$E$151,invoices!$B$2:$B$151,$A33,invoices!$C$2:$C$151,"credit_note"))&amp;" in credit notes so far (template 06, make_invoice.py); ","")&amp;IF(AND(IFERROR(IF(INDEX(brands!$H$2:$H$41,MATCH($C33,brands!$A$2:$A$41,0))="","",INDEX(brands!$H$2:$H$41,MATCH($C33,brands!$A$2:$A$41,0))),"")&lt;&gt;"",$BG33&lt;&gt;"",IFERROR(IF(INDEX(brands!$H$2:$H$41,MATCH($C33,brands!$A$2:$A$41,0))="","",INDEX(brands!$H$2:$H$41,MATCH($C33,brands!$A$2:$A$41,0))),"")&lt;EDATE(WORKDAY(N($BG33),4,calendar!$A$2:$A$80),12)),"info: brand insurance ends "&amp;TEXT(IFERROR(IF(INDEX(brands!$H$2:$H$41,MATCH($C33,brands!$A$2:$A$41,0))="","",INDEX(brands!$H$2:$H$41,MATCH($C33,brands!$A$2:$A$41,0))),""),"yyyy-mm-dd")&amp;": diary the renewal certificate; ",""))</f>
        <v/>
      </c>
    </row>
    <row r="34">
      <c r="G34" s="10" t="n"/>
      <c r="H34" s="9" t="n"/>
      <c r="AB34" s="9" t="n"/>
      <c r="AC34" s="9" t="n"/>
      <c r="AD34" s="9" t="n"/>
      <c r="AF34" s="9" t="n"/>
      <c r="AG34" s="9" t="n"/>
      <c r="AT34" s="9" t="n"/>
      <c r="AU34" s="9" t="n"/>
      <c r="AY34" s="9" t="n"/>
      <c r="BA34" s="9" t="n"/>
      <c r="BB34" s="9" t="n"/>
      <c r="BC34" s="9" t="n"/>
      <c r="BE34" s="25">
        <f>IF($A34="","",IFERROR(IF(INDEX(brands!$K$2:$K$41,MATCH($C34,brands!$A$2:$A$41,0))="","",INDEX(brands!$K$2:$K$41,MATCH($C34,brands!$A$2:$A$41,0))),""))</f>
        <v/>
      </c>
      <c r="BF34" s="25">
        <f>IF($A34="","",IFERROR(IF(INDEX(brands!$M$2:$M$41,MATCH($C34,brands!$A$2:$A$41,0))="","",INDEX(brands!$M$2:$M$41,MATCH($C34,brands!$A$2:$A$41,0))),""))</f>
        <v/>
      </c>
      <c r="BG34" s="26">
        <f>IF($A34="","",IF(IFERROR(IF(INDEX(drops!$I$2:$I$21,MATCH($B34,drops!$A$2:$A$21,0))="","",INDEX(drops!$I$2:$I$21,MATCH($B34,drops!$A$2:$A$21,0))),"")="OK",IFERROR(IF(INDEX(drops!$B$2:$B$21,MATCH($B34,drops!$A$2:$A$21,0))="","",INDEX(drops!$B$2:$B$21,MATCH($B34,drops!$A$2:$A$21,0))),""),""))</f>
        <v/>
      </c>
      <c r="BH34" s="25">
        <f>IF($A34="","",IFERROR(IF(INDEX(drops!$C$2:$C$21,MATCH($B34,drops!$A$2:$A$21,0))="","",INDEX(drops!$C$2:$C$21,MATCH($B34,drops!$A$2:$A$21,0))),""))</f>
        <v/>
      </c>
      <c r="BI34" s="27">
        <f>IF($A34="","",IF($F34="","",IF($D34="founding",IF($E34="Y",config!$B$25*MIN($F34,config!$B$26)+config!$B$24*MAX(0,$F34-config!$B$26),config!$B$20+config!$B$24*MAX(0,$F34-config!$B$21)),IF($D34="standard",config!$B$22+config!$B$24*MAX(0,$F34-config!$B$23),""))))</f>
        <v/>
      </c>
      <c r="BJ34" s="27">
        <f>IF($A34="","",IF($G34&lt;&gt;"",$G34,$BI34))</f>
        <v/>
      </c>
      <c r="BK34" s="25">
        <f>IF($A34="","",IF($D34="founding","100% within "&amp;config!$B$27&amp;" business days of the invoice, before shipping",IF($D34="standard","50% on signing; 50% at placement confirmation (T+1)","")))</f>
        <v/>
      </c>
      <c r="BL34" s="26">
        <f>IF($A34="","",IFERROR(IF(INDEX(drops!$K$2:$K$21,MATCH($B34,drops!$A$2:$A$21,0))="","",INDEX(drops!$K$2:$K$21,MATCH($B34,drops!$A$2:$A$21,0))),""))</f>
        <v/>
      </c>
      <c r="BM34" s="26">
        <f>IF($A34="","",IFERROR(IF(INDEX(drops!$L$2:$L$21,MATCH($B34,drops!$A$2:$A$21,0))="","",INDEX(drops!$L$2:$L$21,MATCH($B34,drops!$A$2:$A$21,0))),""))</f>
        <v/>
      </c>
      <c r="BN34" s="25">
        <f>IF($A34="","",COUNTIF(approvals!$A$2:$A$251,$A34))</f>
        <v/>
      </c>
      <c r="BO34" s="25">
        <f>IF($A34="","",COUNTIFS(approvals!$A$2:$A$251,$A34,approvals!$P$2:$P$251,"Y"))</f>
        <v/>
      </c>
      <c r="BP34" s="25">
        <f>IF($A34="","",COUNTIFS(approvals!$A$2:$A$251,$A34,approvals!$Q$2:$Q$251,"Y"))</f>
        <v/>
      </c>
      <c r="BQ34" s="25">
        <f>IF($A34="","",COUNTIFS(approvals!$A$2:$A$251,$A34,approvals!$P$2:$P$251,"pending"))</f>
        <v/>
      </c>
      <c r="BR34" s="25">
        <f>IF($A34="","",SUMIFS(approvals!$S$2:$S$251,approvals!$A$2:$A$251,$A34,approvals!$P$2:$P$251,"Y"))</f>
        <v/>
      </c>
      <c r="BS34" s="25">
        <f>IF($A34="","",ROUNDUP($BR34*config!$B$18,0))</f>
        <v/>
      </c>
      <c r="BT34" s="25">
        <f>IF($A34="","",$BR34+$BS34)</f>
        <v/>
      </c>
      <c r="BU34" s="27">
        <f>IF($A34="","",SUMIFS(invoices!$I$2:$I$151,invoices!$B$2:$B$151,$A34,invoices!$R$2:$R$151,"Y",invoices!$H$2:$H$151,"&gt;0"))</f>
        <v/>
      </c>
      <c r="BV34" s="27">
        <f>IF($A34="","",IF($BJ34="","",IF($D34="founding",$BJ34,ROUND($BJ34*config!$B$28,2))))</f>
        <v/>
      </c>
      <c r="BW34" s="25">
        <f>IF($A34="","",IF(AND(N($BU34)&gt;=N($BV34),N($BV34)&gt;0,$H34&lt;&gt;"",AND($AB34&lt;&gt;"",IFERROR(IF(INDEX(brands!$G$2:$G$41,MATCH($C34,brands!$A$2:$A$41,0))="","",INDEX(brands!$G$2:$G$41,MATCH($C34,brands!$A$2:$A$41,0))),"")="Y"),LEFT(IFERROR(IF(INDEX(brands!$AG$2:$AG$41,MATCH($C34,brands!$A$2:$A$41,0))="","",INDEX(brands!$AG$2:$AG$41,MATCH($C34,brands!$A$2:$A$41,0))),""),1)="Y",$BG34&lt;&gt;"",$BQ34=0,$BO34&gt;0),"RELEASED "&amp;TEXT(MAX(IFERROR(1/(1/SUMPRODUCT(MAX((invoices!$B$2:$B$151=$A34)*(invoices!$R$2:$R$151="Y")*(invoices!$H$2:$H$151)))),""),$H34,$AB34,SUMPRODUCT(MAX((approvals!$A$2:$A$251=$A34)*(approvals!$P$2:$P$251="Y")*(approvals!$E$2:$E$251+(approvals!$E$2:$E$251=0)*approvals!$C$2:$C$251)))),"yyyy-mm-dd")&amp;": ship by "&amp;TEXT($BM34,"ddd yyyy-mm-dd")&amp;" (latest "&amp;TEXT($BL34,"ddd yyyy-mm-dd")&amp;")","HOLD: "&amp;IF(N($BU34)&lt;N($BV34),"payment ("&amp;TEXT(N($BU34),"0")&amp;" of "&amp;TEXT(N($BV34),"0")&amp;") ","")&amp;IF($H34="","agreement ","")&amp;IF(NOT(AND($AB34&lt;&gt;"",IFERROR(IF(INDEX(brands!$G$2:$G$41,MATCH($C34,brands!$A$2:$A$41,0))="","",INDEX(brands!$G$2:$G$41,MATCH($C34,brands!$A$2:$A$41,0))),"")="Y")),"certificate ","")&amp;IF(NOT(LEFT(IFERROR(IF(INDEX(brands!$AG$2:$AG$41,MATCH($C34,brands!$A$2:$A$41,0))="","",INDEX(brands!$AG$2:$AG$41,MATCH($C34,brands!$A$2:$A$41,0))),""),1)="Y"),"qualification ","")&amp;IF($BG34="","drop date ","")&amp;IF($BQ34&gt;0,"approvals ("&amp;$BQ34&amp;" pending) ","")&amp;IF($BO34=0,"no office approved ","")))</f>
        <v/>
      </c>
      <c r="BX34" s="25">
        <f>IF($A34="","",SUMIFS(inventory!$G$2:$G$801,inventory!$C$2:$C$801,$A34,inventory!$E$2:$E$801,"received"))</f>
        <v/>
      </c>
      <c r="BY34" s="25">
        <f>IF($A34="","",SUMIFS(inventory!$G$2:$G$801,inventory!$C$2:$C$801,$A34,inventory!$E$2:$E$801,"rejected"))</f>
        <v/>
      </c>
      <c r="BZ34" s="25">
        <f>IF($A34="","",SUMIFS(inventory!$M$2:$M$801,inventory!$C$2:$C$801,$A34))</f>
        <v/>
      </c>
      <c r="CA34" s="25">
        <f>IF($A34="","",SUMIFS(inventory!$O$2:$O$801,inventory!$C$2:$C$801,$A34))</f>
        <v/>
      </c>
      <c r="CB34" s="25">
        <f>IF($A34="","",SUMIFS(approvals!$U$2:$U$251,approvals!$A$2:$A$251,$A34))</f>
        <v/>
      </c>
      <c r="CC34" s="25">
        <f>IF($A34="","",SUMIFS(approvals!$AA$2:$AA$251,approvals!$A$2:$A$251,$A34))</f>
        <v/>
      </c>
      <c r="CD34" s="25">
        <f>IF($A34="","",SUMIFS(approvals!$AA$2:$AA$251,approvals!$A$2:$A$251,$A34,approvals!$AB$2:$AB$251,"Y"))</f>
        <v/>
      </c>
      <c r="CE34" s="29">
        <f>IF($A34="","",IF(N($CB34)=0,"",$CD34/$CB34))</f>
        <v/>
      </c>
      <c r="CF34" s="25">
        <f>IF($A34="","",SUMIFS(approvals!$AD$2:$AD$251,approvals!$A$2:$A$251,$A34))</f>
        <v/>
      </c>
      <c r="CG34" s="25">
        <f>IF($A34="","",IF(COUNTIFS(approvals!$A$2:$A$251,$A34,approvals!$Q$2:$Q$251,"Y",approvals!$AG$2:$AG$251,"")&gt;0,"",SUMIFS(approvals!$AG$2:$AG$251,approvals!$A$2:$A$251,$A34,approvals!$Q$2:$Q$251,"Y")))</f>
        <v/>
      </c>
      <c r="CH34" s="25">
        <f>IF($A34="","",SUMIFS(approvals!$AL$2:$AL$251,approvals!$A$2:$A$251,$A34))</f>
        <v/>
      </c>
      <c r="CI34" s="25">
        <f>IF($A34="","",IF(N($BP34)=0,"",SUMPRODUCT(MIN(approvals!$BB$2:$BB$251+(approvals!$A$2:$A$251&lt;&gt;$A34)*1000000))))</f>
        <v/>
      </c>
      <c r="CJ34" s="25">
        <f>IF($A34="","",COUNTIFS(approvals!$A$2:$A$251,$A34,approvals!$Q$2:$Q$251,"Y",approvals!$AL$2:$AL$251,"&lt;"&amp;config!$B$30))</f>
        <v/>
      </c>
      <c r="CK34" s="25">
        <f>IF($A34="","",SUMIFS(approvals!$AM$2:$AM$251,approvals!$A$2:$A$251,$A34))</f>
        <v/>
      </c>
      <c r="CL34" s="25">
        <f>IF($A34="","",SUMIFS(approvals!$AQ$2:$AQ$251,approvals!$A$2:$A$251,$A34))</f>
        <v/>
      </c>
      <c r="CM34" s="25">
        <f>IF($A34="","",SUMIFS(approvals!$AR$2:$AR$251,approvals!$A$2:$A$251,$A34))</f>
        <v/>
      </c>
      <c r="CN34" s="25">
        <f>IF($A34="","",SUMIFS(approvals!$AS$2:$AS$251,approvals!$A$2:$A$251,$A34))</f>
        <v/>
      </c>
      <c r="CO34" s="25">
        <f>IF($A34="","",SUMIFS(approvals!$AT$2:$AT$251,approvals!$A$2:$A$251,$A34))</f>
        <v/>
      </c>
      <c r="CP34" s="28">
        <f>IF($A34="","",IF(N($CO34)=0,"",ROUND(SUMIFS(approvals!$AU$2:$AU$251,approvals!$A$2:$A$251,$A34)/$CO34,1)))</f>
        <v/>
      </c>
      <c r="CQ34" s="25">
        <f>IF($A34="","",SUMIFS(approvals!$AV$2:$AV$251,approvals!$A$2:$A$251,$A34))</f>
        <v/>
      </c>
      <c r="CR34" s="25">
        <f>IF($A34="","",SUMIFS(approvals!$AW$2:$AW$251,approvals!$A$2:$A$251,$A34))</f>
        <v/>
      </c>
      <c r="CS34" s="25">
        <f>IF($A34="","",SUMIFS(approvals!$AX$2:$AX$251,approvals!$A$2:$A$251,$A34))</f>
        <v/>
      </c>
      <c r="CT34" s="25">
        <f>IF($A34="","",SUMIFS(approvals!$AY$2:$AY$251,approvals!$A$2:$A$251,$A34))</f>
        <v/>
      </c>
      <c r="CU34" s="25">
        <f>IF($A34="","",IF(OR($BG34="",$BC34&lt;&gt;""),"",IFERROR(COUNT(INDIRECT("'"&amp;$A34&amp;"'!$A$2:$A$501")),0)-IFERROR(COUNTIFS(INDIRECT("'"&amp;$A34&amp;"'!$A$2:$A$501"),"&gt;="&amp;$BG34,INDIRECT("'"&amp;$A34&amp;"'!$A$2:$A$501"),"&lt;"&amp;(IFERROR(IF(INDEX(drops!$R$2:$R$21,MATCH($B34,drops!$A$2:$A$21,0))="","",INDEX(drops!$R$2:$R$21,MATCH($B34,drops!$A$2:$A$21,0))),"")+1)),0)))</f>
        <v/>
      </c>
      <c r="CV34" s="25">
        <f>IF($A34="","",IF(OR($BG34="",$BC34&lt;&gt;""),"",IFERROR(COUNTIFS(INDIRECT("'"&amp;$A34&amp;"'!$A$2:$A$501"),"&gt;="&amp;$BG34,INDIRECT("'"&amp;$A34&amp;"'!$A$2:$A$501"),"&lt;"&amp;(IFERROR(IF(INDEX(drops!$R$2:$R$21,MATCH($B34,drops!$A$2:$A$21,0))="","",INDEX(drops!$R$2:$R$21,MATCH($B34,drops!$A$2:$A$21,0))),"")+1)),0)-N($CH34)))</f>
        <v/>
      </c>
      <c r="CW34" s="25">
        <f>IF($A34="","",SUMIFS(approvals!$AN$2:$AN$251,approvals!$A$2:$A$251,$A34))</f>
        <v/>
      </c>
      <c r="CX34" s="25">
        <f>IF($A34="","",SUMIFS(approvals!$AO$2:$AO$251,approvals!$A$2:$A$251,$A34))</f>
        <v/>
      </c>
      <c r="CY34" s="25">
        <f>IF($A34="","",IF($CZ34="","",SUMIFS(redemptions!$C$2:$C$121,redemptions!$A$2:$A$121,$A34,redemptions!$B$2:$B$121,$CZ34)))</f>
        <v/>
      </c>
      <c r="CZ34" s="26">
        <f>IF($A34="","",IFERROR(1/(1/SUMPRODUCT(MAX((redemptions!$A$2:$A$121=$A34)*redemptions!$B$2:$B$121))),""))</f>
        <v/>
      </c>
      <c r="DA34" s="25">
        <f>IF($A34="","",IF(COUNTIFS(redemptions!$A$2:$A$121,$A34,redemptions!$H$2:$H$121,"Y")=0,"",SUMIFS(redemptions!$C$2:$C$121,redemptions!$A$2:$A$121,$A34,redemptions!$B$2:$B$121,SUMPRODUCT(MIN((redemptions!$A$2:$A$121=$A34)*(redemptions!$H$2:$H$121="Y")*redemptions!$B$2:$B$121+((redemptions!$A$2:$A$121&lt;&gt;$A34)+(redemptions!$H$2:$H$121&lt;&gt;"Y")&gt;0)*1000000)))))</f>
        <v/>
      </c>
      <c r="DB34" s="27">
        <f>IF($A34="","",SUMIFS(invoices!$E$2:$E$151,invoices!$B$2:$B$151,$A34))</f>
        <v/>
      </c>
      <c r="DC34" s="27">
        <f>IF($A34="","",IF(COUNTIFS(invoices!$B$2:$B$151,$A34,invoices!$C$2:$C$151,"standard_deposit",invoices!$H$2:$H$151,"&gt;0")=0,"",SUMIFS(invoices!$I$2:$I$151,invoices!$B$2:$B$151,$A34,invoices!$C$2:$C$151,"standard_deposit")))</f>
        <v/>
      </c>
      <c r="DD34" s="26">
        <f>IF($A34="","",IFERROR(1/(1/SUMPRODUCT(MAX((invoices!$B$2:$B$151=$A34)*(invoices!$C$2:$C$151="standard_deposit")*invoices!$H$2:$H$151))),""))</f>
        <v/>
      </c>
      <c r="DE34" s="26">
        <f>IF($A34="","",IFERROR(1/(1/SUMPRODUCT(MAX((invoices!$B$2:$B$151=$A34)*((invoices!$C$2:$C$151="founding_full")+(invoices!$C$2:$C$151="standard_balance"))*invoices!$H$2:$H$151))),""))</f>
        <v/>
      </c>
      <c r="DF34" s="27">
        <f>IF($A34="","",SUMIFS(invoices!$L$2:$L$151,invoices!$B$2:$B$151,$A34))</f>
        <v/>
      </c>
      <c r="DG34" s="27">
        <f>IF($A34="","",SUMIFS(costs!$E$2:$E$301,costs!$C$2:$C$301,$A34))</f>
        <v/>
      </c>
      <c r="DH34" s="27">
        <f>IF($A34="","",ROUND(IF(SUMIFS(campaigns!$BO$2:$BO$51,campaigns!$B$2:$B$51,$B34)=0,0,$BO34/SUMIFS(campaigns!$BO$2:$BO$51,campaigns!$B$2:$B$51,$B34))*(SUMIFS(costs!$E$2:$E$301,costs!$B$2:$B$301,$B34)-SUMPRODUCT((costs!$B$2:$B$301=$B34)*(LEN(costs!$C$2:$C$301)&gt;0)*costs!$E$2:$E$301)),2))</f>
        <v/>
      </c>
      <c r="DI34" s="28">
        <f>IF($A34="","",SUMIFS(hours!$E$2:$E$1501,hours!$C$2:$C$1501,$A34))</f>
        <v/>
      </c>
      <c r="DJ34" s="28">
        <f>IF($A34="","",ROUND(IF(SUMIFS(campaigns!$BO$2:$BO$51,campaigns!$B$2:$B$51,$B34)=0,0,$BO34/SUMIFS(campaigns!$BO$2:$BO$51,campaigns!$B$2:$B$51,$B34))*(SUMIFS(hours!$E$2:$E$1501,hours!$B$2:$B$1501,$B34)-SUMPRODUCT((hours!$B$2:$B$1501=$B34)*(LEN(hours!$C$2:$C$1501)&gt;0)*hours!$E$2:$E$1501)),2))</f>
        <v/>
      </c>
      <c r="DK34" s="27">
        <f>IF($A34="","",$DB34-$DF34-$DG34-$DH34)</f>
        <v/>
      </c>
      <c r="DL34" s="27">
        <f>IF($A34="","",IF(N($DI34)+N($DJ34)=0,"",ROUND($DK34/($DI34+$DJ34),2)))</f>
        <v/>
      </c>
      <c r="DM34" s="29">
        <f>IF($A34="","",IF(N($BP34)=0,"",COUNTIFS(approvals!$A$2:$A$251,$A34,approvals!$Q$2:$Q$251,"Y",approvals!$AK$2:$AK$251,"Y")/$BP34))</f>
        <v/>
      </c>
      <c r="DN34" s="28">
        <f>IF($A34="","",IF(COUNTIFS(approvals!$A$2:$A$251,$A34,approvals!$AC$2:$AC$251,"&gt;=0")=0,"",ROUND(SUMIFS(approvals!$AC$2:$AC$251,approvals!$A$2:$A$251,$A34)/COUNTIFS(approvals!$A$2:$A$251,$A34,approvals!$AC$2:$AC$251,"&gt;=0"),1)))</f>
        <v/>
      </c>
      <c r="DO34" s="26">
        <f>IF($A34="","",IFERROR(IF(INDEX(drops!$T$2:$T$21,MATCH($B34,drops!$A$2:$A$21,0))="","",INDEX(drops!$T$2:$T$21,MATCH($B34,drops!$A$2:$A$21,0))),""))</f>
        <v/>
      </c>
      <c r="DP34" s="26">
        <f>IF($A34="","",IFERROR(IF(INDEX(drops!$U$2:$U$21,MATCH($B34,drops!$A$2:$A$21,0))="","",INDEX(drops!$U$2:$U$21,MATCH($B34,drops!$A$2:$A$21,0))),""))</f>
        <v/>
      </c>
      <c r="DQ34" s="26">
        <f>IF($A34="","",IFERROR(IF(INDEX(drops!$W$2:$W$21,MATCH($B34,drops!$A$2:$A$21,0))="","",INDEX(drops!$W$2:$W$21,MATCH($B34,drops!$A$2:$A$21,0))),""))</f>
        <v/>
      </c>
      <c r="DR34" s="25">
        <f>IF($A34="","",IF($CE34="","",IF($CE34&gt;=config!$B$31,"pass","miss")))</f>
        <v/>
      </c>
      <c r="DS34" s="25">
        <f>IF($A34="","",IF($CI34="","",IF($CI34&gt;=config!$B$30,"pass","miss")))</f>
        <v/>
      </c>
      <c r="DT34" s="25">
        <f>IF($A34="","",IF($AT34="",IF($DO34="","",IF(IF(config!$B$37&lt;&gt;"",config!$B$37,TODAY())&gt;$DO34,"late","due")),IF($AT34&lt;=$DO34,"pass","late")))</f>
        <v/>
      </c>
      <c r="DU34" s="25">
        <f>IF($A34="","",IF(COUNTIF(drops!$A$2:$A$21,$B34)=0,"drop_id not on drops; ",IF($BG34="","drop date missing or refused; ",""))&amp;IF(AND($G34&lt;&gt;"",$G34&lt;&gt;$BI34),"price differs from the price list; ","")&amp;IF(AND(LEFT($BW34,4)="HOLD",$BL34&lt;&gt;"",IF(config!$B$37&lt;&gt;"",config!$B$37,TODAY())&gt;=WORKDAY(N($BL34),-3,calendar!$A$2:$A$80)),"SHIP HOLD within 3 business days of T-10; ","")&amp;IF(AND($BQ34&gt;0,$BL34&lt;&gt;"",IF(config!$B$37&lt;&gt;"",config!$B$37,TODAY())&gt;$BL34),"approvals still pending after T-10; ","")&amp;IF($BZ34&lt;0,"reserve below zero: check inventory; ","")&amp;IF(AND($BG34&lt;&gt;"",IF(config!$B$37&lt;&gt;"",config!$B$37,TODAY())&gt;WORKDAY(N($BG34),14,calendar!$A$2:$A$80),N($BZ34)+N($CA34)&lt;&gt;0),"units still on hand after T+14; ","")&amp;IF(N($CV34)&gt;0,"info: "&amp;$CV34&amp;" in-window responses with a card code that matches no office (not counted); ","")&amp;IF(AND($Z34="Y",$AK34=""),"newsletter form URL missing; ","")&amp;IF(AND($Z34="Y",$BG34&lt;&gt;"",IF(config!$B$37&lt;&gt;"",config!$B$37,TODAY())&gt;WORKDAY(N($BG34),5,calendar!$A$2:$A$80),$AY34=""),"newsletter list not yet passed on (due T+5); ","")&amp;IF(AND($AY34&lt;&gt;"",$BA34=""),"delete unticked emails; ","")&amp;IF(AND($AY34&lt;&gt;"",$BB34="",IF(config!$B$37&lt;&gt;"",config!$B$37,TODAY())&gt;$AY34+config!$B$32),"DELETE the consented emails (30 days after passing on); ","")&amp;IF(AND($BG34&lt;&gt;"",$AJ34="",IF(config!$B$37&lt;&gt;"",config!$B$37,TODAY())&gt;=WORKDAY(N($BG34),-4,calendar!$A$2:$A$80)),"survey prefill template missing (due T-4); ","")&amp;IF(AND($AJ34&lt;&gt;"",ISERROR(SEARCH("CARDCODE",$AJ34))),"prefill template has no CARDCODE; ","")&amp;IF(AND($AF34="",$BG34&lt;&gt;"",IF(config!$B$37&lt;&gt;"",config!$B$37,TODAY())&gt;=WORKDAY(N($BG34),-3,calendar!$A$2:$A$80)),"card text not yet sent to the brand; ","")&amp;IF(AND($DA34="",$DQ34&lt;&gt;"",IF(config!$B$37&lt;&gt;"",config!$B$37,TODAY())&gt;$DQ34),"day-30 redemption count due; ","")&amp;IF(AND(LEFT($BW34,8)="RELEASED",$AG34=""),"ship-date email due (template 02): send it, then log ship_email_sent_date and ship_email_units; ","")&amp;IF(AND($AH34&lt;&gt;"",N($BT34)&gt;0,N($BX34)=0,N($AH34)&lt;&gt;N($BT34)),"units changed since the ship-date email of "&amp;IF($AG34="","?",TEXT($AG34,"yyyy-mm-dd"))&amp;" ("&amp;$AH34&amp;", now "&amp;$BT34&amp;"): send the brand the revised numbers (template 02) and log them; ","")&amp;IF($DT34="late","report late; ","")&amp;IF(AND(N($F34)&gt;0,$BO34&lt;N($F34),$BQ34=0),"info: "&amp;(N($F34)-$BO34)&amp;" office(s) short of the contract: add a roster office or credit $"&amp;IF($D34="founding",config!$B$25,config!$B$24)&amp;" each; ","")&amp;IF($BC34&lt;&gt;"",IF(COUNTIF(survey_frozen!$A$2:$A$251,$A34)=0,"answers deleted but no frozen totals: the survey numbers now read 0 (tools/freeze_survey.py, SOP answers_delete); ",""),IF(AND($BG34&lt;&gt;"",IF(config!$B$37&lt;&gt;"",config!$B$37,TODAY())&gt;=$BG34,ISREF(INDIRECT("'"&amp;$A34&amp;"'!B1"))),IF(INDIRECT("'"&amp;$A34&amp;"'!B1")&lt;&gt;"Card code (filled in for you)","survey tab column B is not the card code: fix the form or the tab; ",""),IF(AND($BG34&lt;&gt;"",IF(config!$B$37&lt;&gt;"",config!$B$37,TODAY())&gt;=$BG34),"no survey tab named "&amp;$A34&amp;"; ","")))&amp;IF(COUNTIF(brands!$A$2:$A$41,$C34)=0,"brand_id not on brands; ",IF(LEFT(IFERROR(IF(INDEX(brands!$AG$2:$AG$41,MATCH($C34,brands!$A$2:$A$41,0))="","",INDEX(brands!$AG$2:$AG$41,MATCH($C34,brands!$A$2:$A$41,0))),""),1)&lt;&gt;"Y","brand not qualified ("&amp;IFERROR(IF(INDEX(brands!$AG$2:$AG$41,MATCH($C34,brands!$A$2:$A$41,0))="","",INDEX(brands!$AG$2:$AG$41,MATCH($C34,brands!$A$2:$A$41,0))),"")&amp;"): nothing ships until it is; ",""))&amp;IF(AND(COUNTIF(brands!$A$2:$A$41,$C34)&gt;0,OR(IFERROR(IF(INDEX(brands!$C$2:$C$41,MATCH($C34,brands!$A$2:$A$41,0))="","",INDEX(brands!$C$2:$C$41,MATCH($C34,brands!$A$2:$A$41,0))),"")="",IFERROR(IF(INDEX(brands!$D$2:$D$41,MATCH($C34,brands!$A$2:$A$41,0))="","",INDEX(brands!$D$2:$D$41,MATCH($C34,brands!$A$2:$A$41,0))),"")="",IFERROR(IF(INDEX(brands!$E$2:$E$41,MATCH($C34,brands!$A$2:$A$41,0))="","",INDEX(brands!$E$2:$E$41,MATCH($C34,brands!$A$2:$A$41,0))),"")="")),"brand billing details missing on brands (legal name, address, email): needed for the invoice; ","")&amp;IF(AND($D34="founding",$E34&lt;&gt;"Y",N(IFERROR(IF(INDEX(brands!$AI$2:$AI$41,MATCH($C34,brands!$A$2:$A$41,0))="","",INDEX(brands!$AI$2:$AI$41,MATCH($C34,brands!$A$2:$A$41,0))),""))&gt;3),"the founding tier is for the first three brands only (this is brand "&amp;IFERROR(IF(INDEX(brands!$AI$2:$AI$41,MATCH($C34,brands!$A$2:$A$41,0))="","",INDEX(brands!$AI$2:$AI$41,MATCH($C34,brands!$A$2:$A$41,0))),"")&amp;"): use standard; ","")&amp;IF(AND($D34="founding",$E34&lt;&gt;"Y",COUNTIFS(campaigns!$C$2:$C$51,$C34,campaigns!$D$2:$D$51,"founding",campaigns!$E$2:$E$51,"&lt;&gt;Y")&gt;1),"a brand has the founding price once; its next two campaigns are founding_lock = Y; ","")&amp;IF(AND($E34="Y",COUNTIFS(campaigns!$C$2:$C$51,$C34,campaigns!$D$2:$D$51,"founding",campaigns!$E$2:$E$51,"Y")&gt;2),"founding_lock is for the brand's next two campaigns only (this is a third): use standard; ","")&amp;IF(AND($E34="Y",COUNTIFS(campaigns!$C$2:$C$51,$C34,campaigns!$D$2:$D$51,"founding",campaigns!$E$2:$E$51,"&lt;&gt;Y")=0),"founding_lock without a first founding campaign for this brand; ","")&amp;IF(AND(N($BX34)&gt;0,$BG34&lt;&gt;"",IF(config!$B$37&lt;&gt;"",config!$B$37,TODAY())&gt;=WORKDAY(N($BG34),-5,calendar!$A$2:$A$80)),IF(N($BX34)-N($BY34)&lt;N($BR34),"received "&amp;(N($BX34)-N($BY34))&amp;" usable units for "&amp;$BR34&amp;" allocated: reduce units_override evenly (SOP section 4, short shipment); ","")&amp;IF(AND(N($BX34)&lt;N($BT34),COUNTIFS(issues!$E$2:$E$121,$A34,issues!$G$2:$G$121,"short_shipment")=0),"received "&amp;$BX34&amp;" of "&amp;$BT34&amp;" due: log a short_shipment issue and tell the brand today; ",""),"")&amp;IF(AND($BG34&lt;&gt;"",IF(config!$B$37&lt;&gt;"",config!$B$37,TODAY())&gt;=WORKDAY(N($BG34),1,calendar!$A$2:$A$80),N($F34)&gt;0,(-SUMIFS(invoices!$E$2:$E$151,invoices!$B$2:$B$151,$A34,invoices!$C$2:$C$151,"credit_note"))&lt;(IF($D34="founding",config!$B$25,config!$B$24)*MAX(0,N($F34)-COUNTIFS(approvals!$A$2:$A$251,$A34,approvals!$Q$2:$Q$251,"Y",approvals!$AB$2:$AB$251,"Y")))-0.005),"credit due from T+1: "&amp;MAX(0,N($F34)-COUNTIFS(approvals!$A$2:$A$251,$A34,approvals!$Q$2:$Q$251,"Y",approvals!$AB$2:$AB$251,"Y"))&amp;" of "&amp;$F34&amp;" contracted offices not placed by T+1, $"&amp;(IF($D34="founding",config!$B$25,config!$B$24)*MAX(0,N($F34)-COUNTIFS(approvals!$A$2:$A$251,$A34,approvals!$Q$2:$Q$251,"Y",approvals!$AB$2:$AB$251,"Y")))&amp;" due, $"&amp;(-SUMIFS(invoices!$E$2:$E$151,invoices!$B$2:$B$151,$A34,invoices!$C$2:$C$151,"credit_note"))&amp;" in credit notes so far (template 06, make_invoice.py); ","")&amp;IF(AND(IFERROR(IF(INDEX(brands!$H$2:$H$41,MATCH($C34,brands!$A$2:$A$41,0))="","",INDEX(brands!$H$2:$H$41,MATCH($C34,brands!$A$2:$A$41,0))),"")&lt;&gt;"",$BG34&lt;&gt;"",IFERROR(IF(INDEX(brands!$H$2:$H$41,MATCH($C34,brands!$A$2:$A$41,0))="","",INDEX(brands!$H$2:$H$41,MATCH($C34,brands!$A$2:$A$41,0))),"")&lt;EDATE(WORKDAY(N($BG34),4,calendar!$A$2:$A$80),12)),"info: brand insurance ends "&amp;TEXT(IFERROR(IF(INDEX(brands!$H$2:$H$41,MATCH($C34,brands!$A$2:$A$41,0))="","",INDEX(brands!$H$2:$H$41,MATCH($C34,brands!$A$2:$A$41,0))),""),"yyyy-mm-dd")&amp;": diary the renewal certificate; ",""))</f>
        <v/>
      </c>
    </row>
    <row r="35">
      <c r="G35" s="10" t="n"/>
      <c r="H35" s="9" t="n"/>
      <c r="AB35" s="9" t="n"/>
      <c r="AC35" s="9" t="n"/>
      <c r="AD35" s="9" t="n"/>
      <c r="AF35" s="9" t="n"/>
      <c r="AG35" s="9" t="n"/>
      <c r="AT35" s="9" t="n"/>
      <c r="AU35" s="9" t="n"/>
      <c r="AY35" s="9" t="n"/>
      <c r="BA35" s="9" t="n"/>
      <c r="BB35" s="9" t="n"/>
      <c r="BC35" s="9" t="n"/>
      <c r="BE35" s="25">
        <f>IF($A35="","",IFERROR(IF(INDEX(brands!$K$2:$K$41,MATCH($C35,brands!$A$2:$A$41,0))="","",INDEX(brands!$K$2:$K$41,MATCH($C35,brands!$A$2:$A$41,0))),""))</f>
        <v/>
      </c>
      <c r="BF35" s="25">
        <f>IF($A35="","",IFERROR(IF(INDEX(brands!$M$2:$M$41,MATCH($C35,brands!$A$2:$A$41,0))="","",INDEX(brands!$M$2:$M$41,MATCH($C35,brands!$A$2:$A$41,0))),""))</f>
        <v/>
      </c>
      <c r="BG35" s="26">
        <f>IF($A35="","",IF(IFERROR(IF(INDEX(drops!$I$2:$I$21,MATCH($B35,drops!$A$2:$A$21,0))="","",INDEX(drops!$I$2:$I$21,MATCH($B35,drops!$A$2:$A$21,0))),"")="OK",IFERROR(IF(INDEX(drops!$B$2:$B$21,MATCH($B35,drops!$A$2:$A$21,0))="","",INDEX(drops!$B$2:$B$21,MATCH($B35,drops!$A$2:$A$21,0))),""),""))</f>
        <v/>
      </c>
      <c r="BH35" s="25">
        <f>IF($A35="","",IFERROR(IF(INDEX(drops!$C$2:$C$21,MATCH($B35,drops!$A$2:$A$21,0))="","",INDEX(drops!$C$2:$C$21,MATCH($B35,drops!$A$2:$A$21,0))),""))</f>
        <v/>
      </c>
      <c r="BI35" s="27">
        <f>IF($A35="","",IF($F35="","",IF($D35="founding",IF($E35="Y",config!$B$25*MIN($F35,config!$B$26)+config!$B$24*MAX(0,$F35-config!$B$26),config!$B$20+config!$B$24*MAX(0,$F35-config!$B$21)),IF($D35="standard",config!$B$22+config!$B$24*MAX(0,$F35-config!$B$23),""))))</f>
        <v/>
      </c>
      <c r="BJ35" s="27">
        <f>IF($A35="","",IF($G35&lt;&gt;"",$G35,$BI35))</f>
        <v/>
      </c>
      <c r="BK35" s="25">
        <f>IF($A35="","",IF($D35="founding","100% within "&amp;config!$B$27&amp;" business days of the invoice, before shipping",IF($D35="standard","50% on signing; 50% at placement confirmation (T+1)","")))</f>
        <v/>
      </c>
      <c r="BL35" s="26">
        <f>IF($A35="","",IFERROR(IF(INDEX(drops!$K$2:$K$21,MATCH($B35,drops!$A$2:$A$21,0))="","",INDEX(drops!$K$2:$K$21,MATCH($B35,drops!$A$2:$A$21,0))),""))</f>
        <v/>
      </c>
      <c r="BM35" s="26">
        <f>IF($A35="","",IFERROR(IF(INDEX(drops!$L$2:$L$21,MATCH($B35,drops!$A$2:$A$21,0))="","",INDEX(drops!$L$2:$L$21,MATCH($B35,drops!$A$2:$A$21,0))),""))</f>
        <v/>
      </c>
      <c r="BN35" s="25">
        <f>IF($A35="","",COUNTIF(approvals!$A$2:$A$251,$A35))</f>
        <v/>
      </c>
      <c r="BO35" s="25">
        <f>IF($A35="","",COUNTIFS(approvals!$A$2:$A$251,$A35,approvals!$P$2:$P$251,"Y"))</f>
        <v/>
      </c>
      <c r="BP35" s="25">
        <f>IF($A35="","",COUNTIFS(approvals!$A$2:$A$251,$A35,approvals!$Q$2:$Q$251,"Y"))</f>
        <v/>
      </c>
      <c r="BQ35" s="25">
        <f>IF($A35="","",COUNTIFS(approvals!$A$2:$A$251,$A35,approvals!$P$2:$P$251,"pending"))</f>
        <v/>
      </c>
      <c r="BR35" s="25">
        <f>IF($A35="","",SUMIFS(approvals!$S$2:$S$251,approvals!$A$2:$A$251,$A35,approvals!$P$2:$P$251,"Y"))</f>
        <v/>
      </c>
      <c r="BS35" s="25">
        <f>IF($A35="","",ROUNDUP($BR35*config!$B$18,0))</f>
        <v/>
      </c>
      <c r="BT35" s="25">
        <f>IF($A35="","",$BR35+$BS35)</f>
        <v/>
      </c>
      <c r="BU35" s="27">
        <f>IF($A35="","",SUMIFS(invoices!$I$2:$I$151,invoices!$B$2:$B$151,$A35,invoices!$R$2:$R$151,"Y",invoices!$H$2:$H$151,"&gt;0"))</f>
        <v/>
      </c>
      <c r="BV35" s="27">
        <f>IF($A35="","",IF($BJ35="","",IF($D35="founding",$BJ35,ROUND($BJ35*config!$B$28,2))))</f>
        <v/>
      </c>
      <c r="BW35" s="25">
        <f>IF($A35="","",IF(AND(N($BU35)&gt;=N($BV35),N($BV35)&gt;0,$H35&lt;&gt;"",AND($AB35&lt;&gt;"",IFERROR(IF(INDEX(brands!$G$2:$G$41,MATCH($C35,brands!$A$2:$A$41,0))="","",INDEX(brands!$G$2:$G$41,MATCH($C35,brands!$A$2:$A$41,0))),"")="Y"),LEFT(IFERROR(IF(INDEX(brands!$AG$2:$AG$41,MATCH($C35,brands!$A$2:$A$41,0))="","",INDEX(brands!$AG$2:$AG$41,MATCH($C35,brands!$A$2:$A$41,0))),""),1)="Y",$BG35&lt;&gt;"",$BQ35=0,$BO35&gt;0),"RELEASED "&amp;TEXT(MAX(IFERROR(1/(1/SUMPRODUCT(MAX((invoices!$B$2:$B$151=$A35)*(invoices!$R$2:$R$151="Y")*(invoices!$H$2:$H$151)))),""),$H35,$AB35,SUMPRODUCT(MAX((approvals!$A$2:$A$251=$A35)*(approvals!$P$2:$P$251="Y")*(approvals!$E$2:$E$251+(approvals!$E$2:$E$251=0)*approvals!$C$2:$C$251)))),"yyyy-mm-dd")&amp;": ship by "&amp;TEXT($BM35,"ddd yyyy-mm-dd")&amp;" (latest "&amp;TEXT($BL35,"ddd yyyy-mm-dd")&amp;")","HOLD: "&amp;IF(N($BU35)&lt;N($BV35),"payment ("&amp;TEXT(N($BU35),"0")&amp;" of "&amp;TEXT(N($BV35),"0")&amp;") ","")&amp;IF($H35="","agreement ","")&amp;IF(NOT(AND($AB35&lt;&gt;"",IFERROR(IF(INDEX(brands!$G$2:$G$41,MATCH($C35,brands!$A$2:$A$41,0))="","",INDEX(brands!$G$2:$G$41,MATCH($C35,brands!$A$2:$A$41,0))),"")="Y")),"certificate ","")&amp;IF(NOT(LEFT(IFERROR(IF(INDEX(brands!$AG$2:$AG$41,MATCH($C35,brands!$A$2:$A$41,0))="","",INDEX(brands!$AG$2:$AG$41,MATCH($C35,brands!$A$2:$A$41,0))),""),1)="Y"),"qualification ","")&amp;IF($BG35="","drop date ","")&amp;IF($BQ35&gt;0,"approvals ("&amp;$BQ35&amp;" pending) ","")&amp;IF($BO35=0,"no office approved ","")))</f>
        <v/>
      </c>
      <c r="BX35" s="25">
        <f>IF($A35="","",SUMIFS(inventory!$G$2:$G$801,inventory!$C$2:$C$801,$A35,inventory!$E$2:$E$801,"received"))</f>
        <v/>
      </c>
      <c r="BY35" s="25">
        <f>IF($A35="","",SUMIFS(inventory!$G$2:$G$801,inventory!$C$2:$C$801,$A35,inventory!$E$2:$E$801,"rejected"))</f>
        <v/>
      </c>
      <c r="BZ35" s="25">
        <f>IF($A35="","",SUMIFS(inventory!$M$2:$M$801,inventory!$C$2:$C$801,$A35))</f>
        <v/>
      </c>
      <c r="CA35" s="25">
        <f>IF($A35="","",SUMIFS(inventory!$O$2:$O$801,inventory!$C$2:$C$801,$A35))</f>
        <v/>
      </c>
      <c r="CB35" s="25">
        <f>IF($A35="","",SUMIFS(approvals!$U$2:$U$251,approvals!$A$2:$A$251,$A35))</f>
        <v/>
      </c>
      <c r="CC35" s="25">
        <f>IF($A35="","",SUMIFS(approvals!$AA$2:$AA$251,approvals!$A$2:$A$251,$A35))</f>
        <v/>
      </c>
      <c r="CD35" s="25">
        <f>IF($A35="","",SUMIFS(approvals!$AA$2:$AA$251,approvals!$A$2:$A$251,$A35,approvals!$AB$2:$AB$251,"Y"))</f>
        <v/>
      </c>
      <c r="CE35" s="29">
        <f>IF($A35="","",IF(N($CB35)=0,"",$CD35/$CB35))</f>
        <v/>
      </c>
      <c r="CF35" s="25">
        <f>IF($A35="","",SUMIFS(approvals!$AD$2:$AD$251,approvals!$A$2:$A$251,$A35))</f>
        <v/>
      </c>
      <c r="CG35" s="25">
        <f>IF($A35="","",IF(COUNTIFS(approvals!$A$2:$A$251,$A35,approvals!$Q$2:$Q$251,"Y",approvals!$AG$2:$AG$251,"")&gt;0,"",SUMIFS(approvals!$AG$2:$AG$251,approvals!$A$2:$A$251,$A35,approvals!$Q$2:$Q$251,"Y")))</f>
        <v/>
      </c>
      <c r="CH35" s="25">
        <f>IF($A35="","",SUMIFS(approvals!$AL$2:$AL$251,approvals!$A$2:$A$251,$A35))</f>
        <v/>
      </c>
      <c r="CI35" s="25">
        <f>IF($A35="","",IF(N($BP35)=0,"",SUMPRODUCT(MIN(approvals!$BB$2:$BB$251+(approvals!$A$2:$A$251&lt;&gt;$A35)*1000000))))</f>
        <v/>
      </c>
      <c r="CJ35" s="25">
        <f>IF($A35="","",COUNTIFS(approvals!$A$2:$A$251,$A35,approvals!$Q$2:$Q$251,"Y",approvals!$AL$2:$AL$251,"&lt;"&amp;config!$B$30))</f>
        <v/>
      </c>
      <c r="CK35" s="25">
        <f>IF($A35="","",SUMIFS(approvals!$AM$2:$AM$251,approvals!$A$2:$A$251,$A35))</f>
        <v/>
      </c>
      <c r="CL35" s="25">
        <f>IF($A35="","",SUMIFS(approvals!$AQ$2:$AQ$251,approvals!$A$2:$A$251,$A35))</f>
        <v/>
      </c>
      <c r="CM35" s="25">
        <f>IF($A35="","",SUMIFS(approvals!$AR$2:$AR$251,approvals!$A$2:$A$251,$A35))</f>
        <v/>
      </c>
      <c r="CN35" s="25">
        <f>IF($A35="","",SUMIFS(approvals!$AS$2:$AS$251,approvals!$A$2:$A$251,$A35))</f>
        <v/>
      </c>
      <c r="CO35" s="25">
        <f>IF($A35="","",SUMIFS(approvals!$AT$2:$AT$251,approvals!$A$2:$A$251,$A35))</f>
        <v/>
      </c>
      <c r="CP35" s="28">
        <f>IF($A35="","",IF(N($CO35)=0,"",ROUND(SUMIFS(approvals!$AU$2:$AU$251,approvals!$A$2:$A$251,$A35)/$CO35,1)))</f>
        <v/>
      </c>
      <c r="CQ35" s="25">
        <f>IF($A35="","",SUMIFS(approvals!$AV$2:$AV$251,approvals!$A$2:$A$251,$A35))</f>
        <v/>
      </c>
      <c r="CR35" s="25">
        <f>IF($A35="","",SUMIFS(approvals!$AW$2:$AW$251,approvals!$A$2:$A$251,$A35))</f>
        <v/>
      </c>
      <c r="CS35" s="25">
        <f>IF($A35="","",SUMIFS(approvals!$AX$2:$AX$251,approvals!$A$2:$A$251,$A35))</f>
        <v/>
      </c>
      <c r="CT35" s="25">
        <f>IF($A35="","",SUMIFS(approvals!$AY$2:$AY$251,approvals!$A$2:$A$251,$A35))</f>
        <v/>
      </c>
      <c r="CU35" s="25">
        <f>IF($A35="","",IF(OR($BG35="",$BC35&lt;&gt;""),"",IFERROR(COUNT(INDIRECT("'"&amp;$A35&amp;"'!$A$2:$A$501")),0)-IFERROR(COUNTIFS(INDIRECT("'"&amp;$A35&amp;"'!$A$2:$A$501"),"&gt;="&amp;$BG35,INDIRECT("'"&amp;$A35&amp;"'!$A$2:$A$501"),"&lt;"&amp;(IFERROR(IF(INDEX(drops!$R$2:$R$21,MATCH($B35,drops!$A$2:$A$21,0))="","",INDEX(drops!$R$2:$R$21,MATCH($B35,drops!$A$2:$A$21,0))),"")+1)),0)))</f>
        <v/>
      </c>
      <c r="CV35" s="25">
        <f>IF($A35="","",IF(OR($BG35="",$BC35&lt;&gt;""),"",IFERROR(COUNTIFS(INDIRECT("'"&amp;$A35&amp;"'!$A$2:$A$501"),"&gt;="&amp;$BG35,INDIRECT("'"&amp;$A35&amp;"'!$A$2:$A$501"),"&lt;"&amp;(IFERROR(IF(INDEX(drops!$R$2:$R$21,MATCH($B35,drops!$A$2:$A$21,0))="","",INDEX(drops!$R$2:$R$21,MATCH($B35,drops!$A$2:$A$21,0))),"")+1)),0)-N($CH35)))</f>
        <v/>
      </c>
      <c r="CW35" s="25">
        <f>IF($A35="","",SUMIFS(approvals!$AN$2:$AN$251,approvals!$A$2:$A$251,$A35))</f>
        <v/>
      </c>
      <c r="CX35" s="25">
        <f>IF($A35="","",SUMIFS(approvals!$AO$2:$AO$251,approvals!$A$2:$A$251,$A35))</f>
        <v/>
      </c>
      <c r="CY35" s="25">
        <f>IF($A35="","",IF($CZ35="","",SUMIFS(redemptions!$C$2:$C$121,redemptions!$A$2:$A$121,$A35,redemptions!$B$2:$B$121,$CZ35)))</f>
        <v/>
      </c>
      <c r="CZ35" s="26">
        <f>IF($A35="","",IFERROR(1/(1/SUMPRODUCT(MAX((redemptions!$A$2:$A$121=$A35)*redemptions!$B$2:$B$121))),""))</f>
        <v/>
      </c>
      <c r="DA35" s="25">
        <f>IF($A35="","",IF(COUNTIFS(redemptions!$A$2:$A$121,$A35,redemptions!$H$2:$H$121,"Y")=0,"",SUMIFS(redemptions!$C$2:$C$121,redemptions!$A$2:$A$121,$A35,redemptions!$B$2:$B$121,SUMPRODUCT(MIN((redemptions!$A$2:$A$121=$A35)*(redemptions!$H$2:$H$121="Y")*redemptions!$B$2:$B$121+((redemptions!$A$2:$A$121&lt;&gt;$A35)+(redemptions!$H$2:$H$121&lt;&gt;"Y")&gt;0)*1000000)))))</f>
        <v/>
      </c>
      <c r="DB35" s="27">
        <f>IF($A35="","",SUMIFS(invoices!$E$2:$E$151,invoices!$B$2:$B$151,$A35))</f>
        <v/>
      </c>
      <c r="DC35" s="27">
        <f>IF($A35="","",IF(COUNTIFS(invoices!$B$2:$B$151,$A35,invoices!$C$2:$C$151,"standard_deposit",invoices!$H$2:$H$151,"&gt;0")=0,"",SUMIFS(invoices!$I$2:$I$151,invoices!$B$2:$B$151,$A35,invoices!$C$2:$C$151,"standard_deposit")))</f>
        <v/>
      </c>
      <c r="DD35" s="26">
        <f>IF($A35="","",IFERROR(1/(1/SUMPRODUCT(MAX((invoices!$B$2:$B$151=$A35)*(invoices!$C$2:$C$151="standard_deposit")*invoices!$H$2:$H$151))),""))</f>
        <v/>
      </c>
      <c r="DE35" s="26">
        <f>IF($A35="","",IFERROR(1/(1/SUMPRODUCT(MAX((invoices!$B$2:$B$151=$A35)*((invoices!$C$2:$C$151="founding_full")+(invoices!$C$2:$C$151="standard_balance"))*invoices!$H$2:$H$151))),""))</f>
        <v/>
      </c>
      <c r="DF35" s="27">
        <f>IF($A35="","",SUMIFS(invoices!$L$2:$L$151,invoices!$B$2:$B$151,$A35))</f>
        <v/>
      </c>
      <c r="DG35" s="27">
        <f>IF($A35="","",SUMIFS(costs!$E$2:$E$301,costs!$C$2:$C$301,$A35))</f>
        <v/>
      </c>
      <c r="DH35" s="27">
        <f>IF($A35="","",ROUND(IF(SUMIFS(campaigns!$BO$2:$BO$51,campaigns!$B$2:$B$51,$B35)=0,0,$BO35/SUMIFS(campaigns!$BO$2:$BO$51,campaigns!$B$2:$B$51,$B35))*(SUMIFS(costs!$E$2:$E$301,costs!$B$2:$B$301,$B35)-SUMPRODUCT((costs!$B$2:$B$301=$B35)*(LEN(costs!$C$2:$C$301)&gt;0)*costs!$E$2:$E$301)),2))</f>
        <v/>
      </c>
      <c r="DI35" s="28">
        <f>IF($A35="","",SUMIFS(hours!$E$2:$E$1501,hours!$C$2:$C$1501,$A35))</f>
        <v/>
      </c>
      <c r="DJ35" s="28">
        <f>IF($A35="","",ROUND(IF(SUMIFS(campaigns!$BO$2:$BO$51,campaigns!$B$2:$B$51,$B35)=0,0,$BO35/SUMIFS(campaigns!$BO$2:$BO$51,campaigns!$B$2:$B$51,$B35))*(SUMIFS(hours!$E$2:$E$1501,hours!$B$2:$B$1501,$B35)-SUMPRODUCT((hours!$B$2:$B$1501=$B35)*(LEN(hours!$C$2:$C$1501)&gt;0)*hours!$E$2:$E$1501)),2))</f>
        <v/>
      </c>
      <c r="DK35" s="27">
        <f>IF($A35="","",$DB35-$DF35-$DG35-$DH35)</f>
        <v/>
      </c>
      <c r="DL35" s="27">
        <f>IF($A35="","",IF(N($DI35)+N($DJ35)=0,"",ROUND($DK35/($DI35+$DJ35),2)))</f>
        <v/>
      </c>
      <c r="DM35" s="29">
        <f>IF($A35="","",IF(N($BP35)=0,"",COUNTIFS(approvals!$A$2:$A$251,$A35,approvals!$Q$2:$Q$251,"Y",approvals!$AK$2:$AK$251,"Y")/$BP35))</f>
        <v/>
      </c>
      <c r="DN35" s="28">
        <f>IF($A35="","",IF(COUNTIFS(approvals!$A$2:$A$251,$A35,approvals!$AC$2:$AC$251,"&gt;=0")=0,"",ROUND(SUMIFS(approvals!$AC$2:$AC$251,approvals!$A$2:$A$251,$A35)/COUNTIFS(approvals!$A$2:$A$251,$A35,approvals!$AC$2:$AC$251,"&gt;=0"),1)))</f>
        <v/>
      </c>
      <c r="DO35" s="26">
        <f>IF($A35="","",IFERROR(IF(INDEX(drops!$T$2:$T$21,MATCH($B35,drops!$A$2:$A$21,0))="","",INDEX(drops!$T$2:$T$21,MATCH($B35,drops!$A$2:$A$21,0))),""))</f>
        <v/>
      </c>
      <c r="DP35" s="26">
        <f>IF($A35="","",IFERROR(IF(INDEX(drops!$U$2:$U$21,MATCH($B35,drops!$A$2:$A$21,0))="","",INDEX(drops!$U$2:$U$21,MATCH($B35,drops!$A$2:$A$21,0))),""))</f>
        <v/>
      </c>
      <c r="DQ35" s="26">
        <f>IF($A35="","",IFERROR(IF(INDEX(drops!$W$2:$W$21,MATCH($B35,drops!$A$2:$A$21,0))="","",INDEX(drops!$W$2:$W$21,MATCH($B35,drops!$A$2:$A$21,0))),""))</f>
        <v/>
      </c>
      <c r="DR35" s="25">
        <f>IF($A35="","",IF($CE35="","",IF($CE35&gt;=config!$B$31,"pass","miss")))</f>
        <v/>
      </c>
      <c r="DS35" s="25">
        <f>IF($A35="","",IF($CI35="","",IF($CI35&gt;=config!$B$30,"pass","miss")))</f>
        <v/>
      </c>
      <c r="DT35" s="25">
        <f>IF($A35="","",IF($AT35="",IF($DO35="","",IF(IF(config!$B$37&lt;&gt;"",config!$B$37,TODAY())&gt;$DO35,"late","due")),IF($AT35&lt;=$DO35,"pass","late")))</f>
        <v/>
      </c>
      <c r="DU35" s="25">
        <f>IF($A35="","",IF(COUNTIF(drops!$A$2:$A$21,$B35)=0,"drop_id not on drops; ",IF($BG35="","drop date missing or refused; ",""))&amp;IF(AND($G35&lt;&gt;"",$G35&lt;&gt;$BI35),"price differs from the price list; ","")&amp;IF(AND(LEFT($BW35,4)="HOLD",$BL35&lt;&gt;"",IF(config!$B$37&lt;&gt;"",config!$B$37,TODAY())&gt;=WORKDAY(N($BL35),-3,calendar!$A$2:$A$80)),"SHIP HOLD within 3 business days of T-10; ","")&amp;IF(AND($BQ35&gt;0,$BL35&lt;&gt;"",IF(config!$B$37&lt;&gt;"",config!$B$37,TODAY())&gt;$BL35),"approvals still pending after T-10; ","")&amp;IF($BZ35&lt;0,"reserve below zero: check inventory; ","")&amp;IF(AND($BG35&lt;&gt;"",IF(config!$B$37&lt;&gt;"",config!$B$37,TODAY())&gt;WORKDAY(N($BG35),14,calendar!$A$2:$A$80),N($BZ35)+N($CA35)&lt;&gt;0),"units still on hand after T+14; ","")&amp;IF(N($CV35)&gt;0,"info: "&amp;$CV35&amp;" in-window responses with a card code that matches no office (not counted); ","")&amp;IF(AND($Z35="Y",$AK35=""),"newsletter form URL missing; ","")&amp;IF(AND($Z35="Y",$BG35&lt;&gt;"",IF(config!$B$37&lt;&gt;"",config!$B$37,TODAY())&gt;WORKDAY(N($BG35),5,calendar!$A$2:$A$80),$AY35=""),"newsletter list not yet passed on (due T+5); ","")&amp;IF(AND($AY35&lt;&gt;"",$BA35=""),"delete unticked emails; ","")&amp;IF(AND($AY35&lt;&gt;"",$BB35="",IF(config!$B$37&lt;&gt;"",config!$B$37,TODAY())&gt;$AY35+config!$B$32),"DELETE the consented emails (30 days after passing on); ","")&amp;IF(AND($BG35&lt;&gt;"",$AJ35="",IF(config!$B$37&lt;&gt;"",config!$B$37,TODAY())&gt;=WORKDAY(N($BG35),-4,calendar!$A$2:$A$80)),"survey prefill template missing (due T-4); ","")&amp;IF(AND($AJ35&lt;&gt;"",ISERROR(SEARCH("CARDCODE",$AJ35))),"prefill template has no CARDCODE; ","")&amp;IF(AND($AF35="",$BG35&lt;&gt;"",IF(config!$B$37&lt;&gt;"",config!$B$37,TODAY())&gt;=WORKDAY(N($BG35),-3,calendar!$A$2:$A$80)),"card text not yet sent to the brand; ","")&amp;IF(AND($DA35="",$DQ35&lt;&gt;"",IF(config!$B$37&lt;&gt;"",config!$B$37,TODAY())&gt;$DQ35),"day-30 redemption count due; ","")&amp;IF(AND(LEFT($BW35,8)="RELEASED",$AG35=""),"ship-date email due (template 02): send it, then log ship_email_sent_date and ship_email_units; ","")&amp;IF(AND($AH35&lt;&gt;"",N($BT35)&gt;0,N($BX35)=0,N($AH35)&lt;&gt;N($BT35)),"units changed since the ship-date email of "&amp;IF($AG35="","?",TEXT($AG35,"yyyy-mm-dd"))&amp;" ("&amp;$AH35&amp;", now "&amp;$BT35&amp;"): send the brand the revised numbers (template 02) and log them; ","")&amp;IF($DT35="late","report late; ","")&amp;IF(AND(N($F35)&gt;0,$BO35&lt;N($F35),$BQ35=0),"info: "&amp;(N($F35)-$BO35)&amp;" office(s) short of the contract: add a roster office or credit $"&amp;IF($D35="founding",config!$B$25,config!$B$24)&amp;" each; ","")&amp;IF($BC35&lt;&gt;"",IF(COUNTIF(survey_frozen!$A$2:$A$251,$A35)=0,"answers deleted but no frozen totals: the survey numbers now read 0 (tools/freeze_survey.py, SOP answers_delete); ",""),IF(AND($BG35&lt;&gt;"",IF(config!$B$37&lt;&gt;"",config!$B$37,TODAY())&gt;=$BG35,ISREF(INDIRECT("'"&amp;$A35&amp;"'!B1"))),IF(INDIRECT("'"&amp;$A35&amp;"'!B1")&lt;&gt;"Card code (filled in for you)","survey tab column B is not the card code: fix the form or the tab; ",""),IF(AND($BG35&lt;&gt;"",IF(config!$B$37&lt;&gt;"",config!$B$37,TODAY())&gt;=$BG35),"no survey tab named "&amp;$A35&amp;"; ","")))&amp;IF(COUNTIF(brands!$A$2:$A$41,$C35)=0,"brand_id not on brands; ",IF(LEFT(IFERROR(IF(INDEX(brands!$AG$2:$AG$41,MATCH($C35,brands!$A$2:$A$41,0))="","",INDEX(brands!$AG$2:$AG$41,MATCH($C35,brands!$A$2:$A$41,0))),""),1)&lt;&gt;"Y","brand not qualified ("&amp;IFERROR(IF(INDEX(brands!$AG$2:$AG$41,MATCH($C35,brands!$A$2:$A$41,0))="","",INDEX(brands!$AG$2:$AG$41,MATCH($C35,brands!$A$2:$A$41,0))),"")&amp;"): nothing ships until it is; ",""))&amp;IF(AND(COUNTIF(brands!$A$2:$A$41,$C35)&gt;0,OR(IFERROR(IF(INDEX(brands!$C$2:$C$41,MATCH($C35,brands!$A$2:$A$41,0))="","",INDEX(brands!$C$2:$C$41,MATCH($C35,brands!$A$2:$A$41,0))),"")="",IFERROR(IF(INDEX(brands!$D$2:$D$41,MATCH($C35,brands!$A$2:$A$41,0))="","",INDEX(brands!$D$2:$D$41,MATCH($C35,brands!$A$2:$A$41,0))),"")="",IFERROR(IF(INDEX(brands!$E$2:$E$41,MATCH($C35,brands!$A$2:$A$41,0))="","",INDEX(brands!$E$2:$E$41,MATCH($C35,brands!$A$2:$A$41,0))),"")="")),"brand billing details missing on brands (legal name, address, email): needed for the invoice; ","")&amp;IF(AND($D35="founding",$E35&lt;&gt;"Y",N(IFERROR(IF(INDEX(brands!$AI$2:$AI$41,MATCH($C35,brands!$A$2:$A$41,0))="","",INDEX(brands!$AI$2:$AI$41,MATCH($C35,brands!$A$2:$A$41,0))),""))&gt;3),"the founding tier is for the first three brands only (this is brand "&amp;IFERROR(IF(INDEX(brands!$AI$2:$AI$41,MATCH($C35,brands!$A$2:$A$41,0))="","",INDEX(brands!$AI$2:$AI$41,MATCH($C35,brands!$A$2:$A$41,0))),"")&amp;"): use standard; ","")&amp;IF(AND($D35="founding",$E35&lt;&gt;"Y",COUNTIFS(campaigns!$C$2:$C$51,$C35,campaigns!$D$2:$D$51,"founding",campaigns!$E$2:$E$51,"&lt;&gt;Y")&gt;1),"a brand has the founding price once; its next two campaigns are founding_lock = Y; ","")&amp;IF(AND($E35="Y",COUNTIFS(campaigns!$C$2:$C$51,$C35,campaigns!$D$2:$D$51,"founding",campaigns!$E$2:$E$51,"Y")&gt;2),"founding_lock is for the brand's next two campaigns only (this is a third): use standard; ","")&amp;IF(AND($E35="Y",COUNTIFS(campaigns!$C$2:$C$51,$C35,campaigns!$D$2:$D$51,"founding",campaigns!$E$2:$E$51,"&lt;&gt;Y")=0),"founding_lock without a first founding campaign for this brand; ","")&amp;IF(AND(N($BX35)&gt;0,$BG35&lt;&gt;"",IF(config!$B$37&lt;&gt;"",config!$B$37,TODAY())&gt;=WORKDAY(N($BG35),-5,calendar!$A$2:$A$80)),IF(N($BX35)-N($BY35)&lt;N($BR35),"received "&amp;(N($BX35)-N($BY35))&amp;" usable units for "&amp;$BR35&amp;" allocated: reduce units_override evenly (SOP section 4, short shipment); ","")&amp;IF(AND(N($BX35)&lt;N($BT35),COUNTIFS(issues!$E$2:$E$121,$A35,issues!$G$2:$G$121,"short_shipment")=0),"received "&amp;$BX35&amp;" of "&amp;$BT35&amp;" due: log a short_shipment issue and tell the brand today; ",""),"")&amp;IF(AND($BG35&lt;&gt;"",IF(config!$B$37&lt;&gt;"",config!$B$37,TODAY())&gt;=WORKDAY(N($BG35),1,calendar!$A$2:$A$80),N($F35)&gt;0,(-SUMIFS(invoices!$E$2:$E$151,invoices!$B$2:$B$151,$A35,invoices!$C$2:$C$151,"credit_note"))&lt;(IF($D35="founding",config!$B$25,config!$B$24)*MAX(0,N($F35)-COUNTIFS(approvals!$A$2:$A$251,$A35,approvals!$Q$2:$Q$251,"Y",approvals!$AB$2:$AB$251,"Y")))-0.005),"credit due from T+1: "&amp;MAX(0,N($F35)-COUNTIFS(approvals!$A$2:$A$251,$A35,approvals!$Q$2:$Q$251,"Y",approvals!$AB$2:$AB$251,"Y"))&amp;" of "&amp;$F35&amp;" contracted offices not placed by T+1, $"&amp;(IF($D35="founding",config!$B$25,config!$B$24)*MAX(0,N($F35)-COUNTIFS(approvals!$A$2:$A$251,$A35,approvals!$Q$2:$Q$251,"Y",approvals!$AB$2:$AB$251,"Y")))&amp;" due, $"&amp;(-SUMIFS(invoices!$E$2:$E$151,invoices!$B$2:$B$151,$A35,invoices!$C$2:$C$151,"credit_note"))&amp;" in credit notes so far (template 06, make_invoice.py); ","")&amp;IF(AND(IFERROR(IF(INDEX(brands!$H$2:$H$41,MATCH($C35,brands!$A$2:$A$41,0))="","",INDEX(brands!$H$2:$H$41,MATCH($C35,brands!$A$2:$A$41,0))),"")&lt;&gt;"",$BG35&lt;&gt;"",IFERROR(IF(INDEX(brands!$H$2:$H$41,MATCH($C35,brands!$A$2:$A$41,0))="","",INDEX(brands!$H$2:$H$41,MATCH($C35,brands!$A$2:$A$41,0))),"")&lt;EDATE(WORKDAY(N($BG35),4,calendar!$A$2:$A$80),12)),"info: brand insurance ends "&amp;TEXT(IFERROR(IF(INDEX(brands!$H$2:$H$41,MATCH($C35,brands!$A$2:$A$41,0))="","",INDEX(brands!$H$2:$H$41,MATCH($C35,brands!$A$2:$A$41,0))),""),"yyyy-mm-dd")&amp;": diary the renewal certificate; ",""))</f>
        <v/>
      </c>
    </row>
    <row r="36">
      <c r="G36" s="10" t="n"/>
      <c r="H36" s="9" t="n"/>
      <c r="AB36" s="9" t="n"/>
      <c r="AC36" s="9" t="n"/>
      <c r="AD36" s="9" t="n"/>
      <c r="AF36" s="9" t="n"/>
      <c r="AG36" s="9" t="n"/>
      <c r="AT36" s="9" t="n"/>
      <c r="AU36" s="9" t="n"/>
      <c r="AY36" s="9" t="n"/>
      <c r="BA36" s="9" t="n"/>
      <c r="BB36" s="9" t="n"/>
      <c r="BC36" s="9" t="n"/>
      <c r="BE36" s="25">
        <f>IF($A36="","",IFERROR(IF(INDEX(brands!$K$2:$K$41,MATCH($C36,brands!$A$2:$A$41,0))="","",INDEX(brands!$K$2:$K$41,MATCH($C36,brands!$A$2:$A$41,0))),""))</f>
        <v/>
      </c>
      <c r="BF36" s="25">
        <f>IF($A36="","",IFERROR(IF(INDEX(brands!$M$2:$M$41,MATCH($C36,brands!$A$2:$A$41,0))="","",INDEX(brands!$M$2:$M$41,MATCH($C36,brands!$A$2:$A$41,0))),""))</f>
        <v/>
      </c>
      <c r="BG36" s="26">
        <f>IF($A36="","",IF(IFERROR(IF(INDEX(drops!$I$2:$I$21,MATCH($B36,drops!$A$2:$A$21,0))="","",INDEX(drops!$I$2:$I$21,MATCH($B36,drops!$A$2:$A$21,0))),"")="OK",IFERROR(IF(INDEX(drops!$B$2:$B$21,MATCH($B36,drops!$A$2:$A$21,0))="","",INDEX(drops!$B$2:$B$21,MATCH($B36,drops!$A$2:$A$21,0))),""),""))</f>
        <v/>
      </c>
      <c r="BH36" s="25">
        <f>IF($A36="","",IFERROR(IF(INDEX(drops!$C$2:$C$21,MATCH($B36,drops!$A$2:$A$21,0))="","",INDEX(drops!$C$2:$C$21,MATCH($B36,drops!$A$2:$A$21,0))),""))</f>
        <v/>
      </c>
      <c r="BI36" s="27">
        <f>IF($A36="","",IF($F36="","",IF($D36="founding",IF($E36="Y",config!$B$25*MIN($F36,config!$B$26)+config!$B$24*MAX(0,$F36-config!$B$26),config!$B$20+config!$B$24*MAX(0,$F36-config!$B$21)),IF($D36="standard",config!$B$22+config!$B$24*MAX(0,$F36-config!$B$23),""))))</f>
        <v/>
      </c>
      <c r="BJ36" s="27">
        <f>IF($A36="","",IF($G36&lt;&gt;"",$G36,$BI36))</f>
        <v/>
      </c>
      <c r="BK36" s="25">
        <f>IF($A36="","",IF($D36="founding","100% within "&amp;config!$B$27&amp;" business days of the invoice, before shipping",IF($D36="standard","50% on signing; 50% at placement confirmation (T+1)","")))</f>
        <v/>
      </c>
      <c r="BL36" s="26">
        <f>IF($A36="","",IFERROR(IF(INDEX(drops!$K$2:$K$21,MATCH($B36,drops!$A$2:$A$21,0))="","",INDEX(drops!$K$2:$K$21,MATCH($B36,drops!$A$2:$A$21,0))),""))</f>
        <v/>
      </c>
      <c r="BM36" s="26">
        <f>IF($A36="","",IFERROR(IF(INDEX(drops!$L$2:$L$21,MATCH($B36,drops!$A$2:$A$21,0))="","",INDEX(drops!$L$2:$L$21,MATCH($B36,drops!$A$2:$A$21,0))),""))</f>
        <v/>
      </c>
      <c r="BN36" s="25">
        <f>IF($A36="","",COUNTIF(approvals!$A$2:$A$251,$A36))</f>
        <v/>
      </c>
      <c r="BO36" s="25">
        <f>IF($A36="","",COUNTIFS(approvals!$A$2:$A$251,$A36,approvals!$P$2:$P$251,"Y"))</f>
        <v/>
      </c>
      <c r="BP36" s="25">
        <f>IF($A36="","",COUNTIFS(approvals!$A$2:$A$251,$A36,approvals!$Q$2:$Q$251,"Y"))</f>
        <v/>
      </c>
      <c r="BQ36" s="25">
        <f>IF($A36="","",COUNTIFS(approvals!$A$2:$A$251,$A36,approvals!$P$2:$P$251,"pending"))</f>
        <v/>
      </c>
      <c r="BR36" s="25">
        <f>IF($A36="","",SUMIFS(approvals!$S$2:$S$251,approvals!$A$2:$A$251,$A36,approvals!$P$2:$P$251,"Y"))</f>
        <v/>
      </c>
      <c r="BS36" s="25">
        <f>IF($A36="","",ROUNDUP($BR36*config!$B$18,0))</f>
        <v/>
      </c>
      <c r="BT36" s="25">
        <f>IF($A36="","",$BR36+$BS36)</f>
        <v/>
      </c>
      <c r="BU36" s="27">
        <f>IF($A36="","",SUMIFS(invoices!$I$2:$I$151,invoices!$B$2:$B$151,$A36,invoices!$R$2:$R$151,"Y",invoices!$H$2:$H$151,"&gt;0"))</f>
        <v/>
      </c>
      <c r="BV36" s="27">
        <f>IF($A36="","",IF($BJ36="","",IF($D36="founding",$BJ36,ROUND($BJ36*config!$B$28,2))))</f>
        <v/>
      </c>
      <c r="BW36" s="25">
        <f>IF($A36="","",IF(AND(N($BU36)&gt;=N($BV36),N($BV36)&gt;0,$H36&lt;&gt;"",AND($AB36&lt;&gt;"",IFERROR(IF(INDEX(brands!$G$2:$G$41,MATCH($C36,brands!$A$2:$A$41,0))="","",INDEX(brands!$G$2:$G$41,MATCH($C36,brands!$A$2:$A$41,0))),"")="Y"),LEFT(IFERROR(IF(INDEX(brands!$AG$2:$AG$41,MATCH($C36,brands!$A$2:$A$41,0))="","",INDEX(brands!$AG$2:$AG$41,MATCH($C36,brands!$A$2:$A$41,0))),""),1)="Y",$BG36&lt;&gt;"",$BQ36=0,$BO36&gt;0),"RELEASED "&amp;TEXT(MAX(IFERROR(1/(1/SUMPRODUCT(MAX((invoices!$B$2:$B$151=$A36)*(invoices!$R$2:$R$151="Y")*(invoices!$H$2:$H$151)))),""),$H36,$AB36,SUMPRODUCT(MAX((approvals!$A$2:$A$251=$A36)*(approvals!$P$2:$P$251="Y")*(approvals!$E$2:$E$251+(approvals!$E$2:$E$251=0)*approvals!$C$2:$C$251)))),"yyyy-mm-dd")&amp;": ship by "&amp;TEXT($BM36,"ddd yyyy-mm-dd")&amp;" (latest "&amp;TEXT($BL36,"ddd yyyy-mm-dd")&amp;")","HOLD: "&amp;IF(N($BU36)&lt;N($BV36),"payment ("&amp;TEXT(N($BU36),"0")&amp;" of "&amp;TEXT(N($BV36),"0")&amp;") ","")&amp;IF($H36="","agreement ","")&amp;IF(NOT(AND($AB36&lt;&gt;"",IFERROR(IF(INDEX(brands!$G$2:$G$41,MATCH($C36,brands!$A$2:$A$41,0))="","",INDEX(brands!$G$2:$G$41,MATCH($C36,brands!$A$2:$A$41,0))),"")="Y")),"certificate ","")&amp;IF(NOT(LEFT(IFERROR(IF(INDEX(brands!$AG$2:$AG$41,MATCH($C36,brands!$A$2:$A$41,0))="","",INDEX(brands!$AG$2:$AG$41,MATCH($C36,brands!$A$2:$A$41,0))),""),1)="Y"),"qualification ","")&amp;IF($BG36="","drop date ","")&amp;IF($BQ36&gt;0,"approvals ("&amp;$BQ36&amp;" pending) ","")&amp;IF($BO36=0,"no office approved ","")))</f>
        <v/>
      </c>
      <c r="BX36" s="25">
        <f>IF($A36="","",SUMIFS(inventory!$G$2:$G$801,inventory!$C$2:$C$801,$A36,inventory!$E$2:$E$801,"received"))</f>
        <v/>
      </c>
      <c r="BY36" s="25">
        <f>IF($A36="","",SUMIFS(inventory!$G$2:$G$801,inventory!$C$2:$C$801,$A36,inventory!$E$2:$E$801,"rejected"))</f>
        <v/>
      </c>
      <c r="BZ36" s="25">
        <f>IF($A36="","",SUMIFS(inventory!$M$2:$M$801,inventory!$C$2:$C$801,$A36))</f>
        <v/>
      </c>
      <c r="CA36" s="25">
        <f>IF($A36="","",SUMIFS(inventory!$O$2:$O$801,inventory!$C$2:$C$801,$A36))</f>
        <v/>
      </c>
      <c r="CB36" s="25">
        <f>IF($A36="","",SUMIFS(approvals!$U$2:$U$251,approvals!$A$2:$A$251,$A36))</f>
        <v/>
      </c>
      <c r="CC36" s="25">
        <f>IF($A36="","",SUMIFS(approvals!$AA$2:$AA$251,approvals!$A$2:$A$251,$A36))</f>
        <v/>
      </c>
      <c r="CD36" s="25">
        <f>IF($A36="","",SUMIFS(approvals!$AA$2:$AA$251,approvals!$A$2:$A$251,$A36,approvals!$AB$2:$AB$251,"Y"))</f>
        <v/>
      </c>
      <c r="CE36" s="29">
        <f>IF($A36="","",IF(N($CB36)=0,"",$CD36/$CB36))</f>
        <v/>
      </c>
      <c r="CF36" s="25">
        <f>IF($A36="","",SUMIFS(approvals!$AD$2:$AD$251,approvals!$A$2:$A$251,$A36))</f>
        <v/>
      </c>
      <c r="CG36" s="25">
        <f>IF($A36="","",IF(COUNTIFS(approvals!$A$2:$A$251,$A36,approvals!$Q$2:$Q$251,"Y",approvals!$AG$2:$AG$251,"")&gt;0,"",SUMIFS(approvals!$AG$2:$AG$251,approvals!$A$2:$A$251,$A36,approvals!$Q$2:$Q$251,"Y")))</f>
        <v/>
      </c>
      <c r="CH36" s="25">
        <f>IF($A36="","",SUMIFS(approvals!$AL$2:$AL$251,approvals!$A$2:$A$251,$A36))</f>
        <v/>
      </c>
      <c r="CI36" s="25">
        <f>IF($A36="","",IF(N($BP36)=0,"",SUMPRODUCT(MIN(approvals!$BB$2:$BB$251+(approvals!$A$2:$A$251&lt;&gt;$A36)*1000000))))</f>
        <v/>
      </c>
      <c r="CJ36" s="25">
        <f>IF($A36="","",COUNTIFS(approvals!$A$2:$A$251,$A36,approvals!$Q$2:$Q$251,"Y",approvals!$AL$2:$AL$251,"&lt;"&amp;config!$B$30))</f>
        <v/>
      </c>
      <c r="CK36" s="25">
        <f>IF($A36="","",SUMIFS(approvals!$AM$2:$AM$251,approvals!$A$2:$A$251,$A36))</f>
        <v/>
      </c>
      <c r="CL36" s="25">
        <f>IF($A36="","",SUMIFS(approvals!$AQ$2:$AQ$251,approvals!$A$2:$A$251,$A36))</f>
        <v/>
      </c>
      <c r="CM36" s="25">
        <f>IF($A36="","",SUMIFS(approvals!$AR$2:$AR$251,approvals!$A$2:$A$251,$A36))</f>
        <v/>
      </c>
      <c r="CN36" s="25">
        <f>IF($A36="","",SUMIFS(approvals!$AS$2:$AS$251,approvals!$A$2:$A$251,$A36))</f>
        <v/>
      </c>
      <c r="CO36" s="25">
        <f>IF($A36="","",SUMIFS(approvals!$AT$2:$AT$251,approvals!$A$2:$A$251,$A36))</f>
        <v/>
      </c>
      <c r="CP36" s="28">
        <f>IF($A36="","",IF(N($CO36)=0,"",ROUND(SUMIFS(approvals!$AU$2:$AU$251,approvals!$A$2:$A$251,$A36)/$CO36,1)))</f>
        <v/>
      </c>
      <c r="CQ36" s="25">
        <f>IF($A36="","",SUMIFS(approvals!$AV$2:$AV$251,approvals!$A$2:$A$251,$A36))</f>
        <v/>
      </c>
      <c r="CR36" s="25">
        <f>IF($A36="","",SUMIFS(approvals!$AW$2:$AW$251,approvals!$A$2:$A$251,$A36))</f>
        <v/>
      </c>
      <c r="CS36" s="25">
        <f>IF($A36="","",SUMIFS(approvals!$AX$2:$AX$251,approvals!$A$2:$A$251,$A36))</f>
        <v/>
      </c>
      <c r="CT36" s="25">
        <f>IF($A36="","",SUMIFS(approvals!$AY$2:$AY$251,approvals!$A$2:$A$251,$A36))</f>
        <v/>
      </c>
      <c r="CU36" s="25">
        <f>IF($A36="","",IF(OR($BG36="",$BC36&lt;&gt;""),"",IFERROR(COUNT(INDIRECT("'"&amp;$A36&amp;"'!$A$2:$A$501")),0)-IFERROR(COUNTIFS(INDIRECT("'"&amp;$A36&amp;"'!$A$2:$A$501"),"&gt;="&amp;$BG36,INDIRECT("'"&amp;$A36&amp;"'!$A$2:$A$501"),"&lt;"&amp;(IFERROR(IF(INDEX(drops!$R$2:$R$21,MATCH($B36,drops!$A$2:$A$21,0))="","",INDEX(drops!$R$2:$R$21,MATCH($B36,drops!$A$2:$A$21,0))),"")+1)),0)))</f>
        <v/>
      </c>
      <c r="CV36" s="25">
        <f>IF($A36="","",IF(OR($BG36="",$BC36&lt;&gt;""),"",IFERROR(COUNTIFS(INDIRECT("'"&amp;$A36&amp;"'!$A$2:$A$501"),"&gt;="&amp;$BG36,INDIRECT("'"&amp;$A36&amp;"'!$A$2:$A$501"),"&lt;"&amp;(IFERROR(IF(INDEX(drops!$R$2:$R$21,MATCH($B36,drops!$A$2:$A$21,0))="","",INDEX(drops!$R$2:$R$21,MATCH($B36,drops!$A$2:$A$21,0))),"")+1)),0)-N($CH36)))</f>
        <v/>
      </c>
      <c r="CW36" s="25">
        <f>IF($A36="","",SUMIFS(approvals!$AN$2:$AN$251,approvals!$A$2:$A$251,$A36))</f>
        <v/>
      </c>
      <c r="CX36" s="25">
        <f>IF($A36="","",SUMIFS(approvals!$AO$2:$AO$251,approvals!$A$2:$A$251,$A36))</f>
        <v/>
      </c>
      <c r="CY36" s="25">
        <f>IF($A36="","",IF($CZ36="","",SUMIFS(redemptions!$C$2:$C$121,redemptions!$A$2:$A$121,$A36,redemptions!$B$2:$B$121,$CZ36)))</f>
        <v/>
      </c>
      <c r="CZ36" s="26">
        <f>IF($A36="","",IFERROR(1/(1/SUMPRODUCT(MAX((redemptions!$A$2:$A$121=$A36)*redemptions!$B$2:$B$121))),""))</f>
        <v/>
      </c>
      <c r="DA36" s="25">
        <f>IF($A36="","",IF(COUNTIFS(redemptions!$A$2:$A$121,$A36,redemptions!$H$2:$H$121,"Y")=0,"",SUMIFS(redemptions!$C$2:$C$121,redemptions!$A$2:$A$121,$A36,redemptions!$B$2:$B$121,SUMPRODUCT(MIN((redemptions!$A$2:$A$121=$A36)*(redemptions!$H$2:$H$121="Y")*redemptions!$B$2:$B$121+((redemptions!$A$2:$A$121&lt;&gt;$A36)+(redemptions!$H$2:$H$121&lt;&gt;"Y")&gt;0)*1000000)))))</f>
        <v/>
      </c>
      <c r="DB36" s="27">
        <f>IF($A36="","",SUMIFS(invoices!$E$2:$E$151,invoices!$B$2:$B$151,$A36))</f>
        <v/>
      </c>
      <c r="DC36" s="27">
        <f>IF($A36="","",IF(COUNTIFS(invoices!$B$2:$B$151,$A36,invoices!$C$2:$C$151,"standard_deposit",invoices!$H$2:$H$151,"&gt;0")=0,"",SUMIFS(invoices!$I$2:$I$151,invoices!$B$2:$B$151,$A36,invoices!$C$2:$C$151,"standard_deposit")))</f>
        <v/>
      </c>
      <c r="DD36" s="26">
        <f>IF($A36="","",IFERROR(1/(1/SUMPRODUCT(MAX((invoices!$B$2:$B$151=$A36)*(invoices!$C$2:$C$151="standard_deposit")*invoices!$H$2:$H$151))),""))</f>
        <v/>
      </c>
      <c r="DE36" s="26">
        <f>IF($A36="","",IFERROR(1/(1/SUMPRODUCT(MAX((invoices!$B$2:$B$151=$A36)*((invoices!$C$2:$C$151="founding_full")+(invoices!$C$2:$C$151="standard_balance"))*invoices!$H$2:$H$151))),""))</f>
        <v/>
      </c>
      <c r="DF36" s="27">
        <f>IF($A36="","",SUMIFS(invoices!$L$2:$L$151,invoices!$B$2:$B$151,$A36))</f>
        <v/>
      </c>
      <c r="DG36" s="27">
        <f>IF($A36="","",SUMIFS(costs!$E$2:$E$301,costs!$C$2:$C$301,$A36))</f>
        <v/>
      </c>
      <c r="DH36" s="27">
        <f>IF($A36="","",ROUND(IF(SUMIFS(campaigns!$BO$2:$BO$51,campaigns!$B$2:$B$51,$B36)=0,0,$BO36/SUMIFS(campaigns!$BO$2:$BO$51,campaigns!$B$2:$B$51,$B36))*(SUMIFS(costs!$E$2:$E$301,costs!$B$2:$B$301,$B36)-SUMPRODUCT((costs!$B$2:$B$301=$B36)*(LEN(costs!$C$2:$C$301)&gt;0)*costs!$E$2:$E$301)),2))</f>
        <v/>
      </c>
      <c r="DI36" s="28">
        <f>IF($A36="","",SUMIFS(hours!$E$2:$E$1501,hours!$C$2:$C$1501,$A36))</f>
        <v/>
      </c>
      <c r="DJ36" s="28">
        <f>IF($A36="","",ROUND(IF(SUMIFS(campaigns!$BO$2:$BO$51,campaigns!$B$2:$B$51,$B36)=0,0,$BO36/SUMIFS(campaigns!$BO$2:$BO$51,campaigns!$B$2:$B$51,$B36))*(SUMIFS(hours!$E$2:$E$1501,hours!$B$2:$B$1501,$B36)-SUMPRODUCT((hours!$B$2:$B$1501=$B36)*(LEN(hours!$C$2:$C$1501)&gt;0)*hours!$E$2:$E$1501)),2))</f>
        <v/>
      </c>
      <c r="DK36" s="27">
        <f>IF($A36="","",$DB36-$DF36-$DG36-$DH36)</f>
        <v/>
      </c>
      <c r="DL36" s="27">
        <f>IF($A36="","",IF(N($DI36)+N($DJ36)=0,"",ROUND($DK36/($DI36+$DJ36),2)))</f>
        <v/>
      </c>
      <c r="DM36" s="29">
        <f>IF($A36="","",IF(N($BP36)=0,"",COUNTIFS(approvals!$A$2:$A$251,$A36,approvals!$Q$2:$Q$251,"Y",approvals!$AK$2:$AK$251,"Y")/$BP36))</f>
        <v/>
      </c>
      <c r="DN36" s="28">
        <f>IF($A36="","",IF(COUNTIFS(approvals!$A$2:$A$251,$A36,approvals!$AC$2:$AC$251,"&gt;=0")=0,"",ROUND(SUMIFS(approvals!$AC$2:$AC$251,approvals!$A$2:$A$251,$A36)/COUNTIFS(approvals!$A$2:$A$251,$A36,approvals!$AC$2:$AC$251,"&gt;=0"),1)))</f>
        <v/>
      </c>
      <c r="DO36" s="26">
        <f>IF($A36="","",IFERROR(IF(INDEX(drops!$T$2:$T$21,MATCH($B36,drops!$A$2:$A$21,0))="","",INDEX(drops!$T$2:$T$21,MATCH($B36,drops!$A$2:$A$21,0))),""))</f>
        <v/>
      </c>
      <c r="DP36" s="26">
        <f>IF($A36="","",IFERROR(IF(INDEX(drops!$U$2:$U$21,MATCH($B36,drops!$A$2:$A$21,0))="","",INDEX(drops!$U$2:$U$21,MATCH($B36,drops!$A$2:$A$21,0))),""))</f>
        <v/>
      </c>
      <c r="DQ36" s="26">
        <f>IF($A36="","",IFERROR(IF(INDEX(drops!$W$2:$W$21,MATCH($B36,drops!$A$2:$A$21,0))="","",INDEX(drops!$W$2:$W$21,MATCH($B36,drops!$A$2:$A$21,0))),""))</f>
        <v/>
      </c>
      <c r="DR36" s="25">
        <f>IF($A36="","",IF($CE36="","",IF($CE36&gt;=config!$B$31,"pass","miss")))</f>
        <v/>
      </c>
      <c r="DS36" s="25">
        <f>IF($A36="","",IF($CI36="","",IF($CI36&gt;=config!$B$30,"pass","miss")))</f>
        <v/>
      </c>
      <c r="DT36" s="25">
        <f>IF($A36="","",IF($AT36="",IF($DO36="","",IF(IF(config!$B$37&lt;&gt;"",config!$B$37,TODAY())&gt;$DO36,"late","due")),IF($AT36&lt;=$DO36,"pass","late")))</f>
        <v/>
      </c>
      <c r="DU36" s="25">
        <f>IF($A36="","",IF(COUNTIF(drops!$A$2:$A$21,$B36)=0,"drop_id not on drops; ",IF($BG36="","drop date missing or refused; ",""))&amp;IF(AND($G36&lt;&gt;"",$G36&lt;&gt;$BI36),"price differs from the price list; ","")&amp;IF(AND(LEFT($BW36,4)="HOLD",$BL36&lt;&gt;"",IF(config!$B$37&lt;&gt;"",config!$B$37,TODAY())&gt;=WORKDAY(N($BL36),-3,calendar!$A$2:$A$80)),"SHIP HOLD within 3 business days of T-10; ","")&amp;IF(AND($BQ36&gt;0,$BL36&lt;&gt;"",IF(config!$B$37&lt;&gt;"",config!$B$37,TODAY())&gt;$BL36),"approvals still pending after T-10; ","")&amp;IF($BZ36&lt;0,"reserve below zero: check inventory; ","")&amp;IF(AND($BG36&lt;&gt;"",IF(config!$B$37&lt;&gt;"",config!$B$37,TODAY())&gt;WORKDAY(N($BG36),14,calendar!$A$2:$A$80),N($BZ36)+N($CA36)&lt;&gt;0),"units still on hand after T+14; ","")&amp;IF(N($CV36)&gt;0,"info: "&amp;$CV36&amp;" in-window responses with a card code that matches no office (not counted); ","")&amp;IF(AND($Z36="Y",$AK36=""),"newsletter form URL missing; ","")&amp;IF(AND($Z36="Y",$BG36&lt;&gt;"",IF(config!$B$37&lt;&gt;"",config!$B$37,TODAY())&gt;WORKDAY(N($BG36),5,calendar!$A$2:$A$80),$AY36=""),"newsletter list not yet passed on (due T+5); ","")&amp;IF(AND($AY36&lt;&gt;"",$BA36=""),"delete unticked emails; ","")&amp;IF(AND($AY36&lt;&gt;"",$BB36="",IF(config!$B$37&lt;&gt;"",config!$B$37,TODAY())&gt;$AY36+config!$B$32),"DELETE the consented emails (30 days after passing on); ","")&amp;IF(AND($BG36&lt;&gt;"",$AJ36="",IF(config!$B$37&lt;&gt;"",config!$B$37,TODAY())&gt;=WORKDAY(N($BG36),-4,calendar!$A$2:$A$80)),"survey prefill template missing (due T-4); ","")&amp;IF(AND($AJ36&lt;&gt;"",ISERROR(SEARCH("CARDCODE",$AJ36))),"prefill template has no CARDCODE; ","")&amp;IF(AND($AF36="",$BG36&lt;&gt;"",IF(config!$B$37&lt;&gt;"",config!$B$37,TODAY())&gt;=WORKDAY(N($BG36),-3,calendar!$A$2:$A$80)),"card text not yet sent to the brand; ","")&amp;IF(AND($DA36="",$DQ36&lt;&gt;"",IF(config!$B$37&lt;&gt;"",config!$B$37,TODAY())&gt;$DQ36),"day-30 redemption count due; ","")&amp;IF(AND(LEFT($BW36,8)="RELEASED",$AG36=""),"ship-date email due (template 02): send it, then log ship_email_sent_date and ship_email_units; ","")&amp;IF(AND($AH36&lt;&gt;"",N($BT36)&gt;0,N($BX36)=0,N($AH36)&lt;&gt;N($BT36)),"units changed since the ship-date email of "&amp;IF($AG36="","?",TEXT($AG36,"yyyy-mm-dd"))&amp;" ("&amp;$AH36&amp;", now "&amp;$BT36&amp;"): send the brand the revised numbers (template 02) and log them; ","")&amp;IF($DT36="late","report late; ","")&amp;IF(AND(N($F36)&gt;0,$BO36&lt;N($F36),$BQ36=0),"info: "&amp;(N($F36)-$BO36)&amp;" office(s) short of the contract: add a roster office or credit $"&amp;IF($D36="founding",config!$B$25,config!$B$24)&amp;" each; ","")&amp;IF($BC36&lt;&gt;"",IF(COUNTIF(survey_frozen!$A$2:$A$251,$A36)=0,"answers deleted but no frozen totals: the survey numbers now read 0 (tools/freeze_survey.py, SOP answers_delete); ",""),IF(AND($BG36&lt;&gt;"",IF(config!$B$37&lt;&gt;"",config!$B$37,TODAY())&gt;=$BG36,ISREF(INDIRECT("'"&amp;$A36&amp;"'!B1"))),IF(INDIRECT("'"&amp;$A36&amp;"'!B1")&lt;&gt;"Card code (filled in for you)","survey tab column B is not the card code: fix the form or the tab; ",""),IF(AND($BG36&lt;&gt;"",IF(config!$B$37&lt;&gt;"",config!$B$37,TODAY())&gt;=$BG36),"no survey tab named "&amp;$A36&amp;"; ","")))&amp;IF(COUNTIF(brands!$A$2:$A$41,$C36)=0,"brand_id not on brands; ",IF(LEFT(IFERROR(IF(INDEX(brands!$AG$2:$AG$41,MATCH($C36,brands!$A$2:$A$41,0))="","",INDEX(brands!$AG$2:$AG$41,MATCH($C36,brands!$A$2:$A$41,0))),""),1)&lt;&gt;"Y","brand not qualified ("&amp;IFERROR(IF(INDEX(brands!$AG$2:$AG$41,MATCH($C36,brands!$A$2:$A$41,0))="","",INDEX(brands!$AG$2:$AG$41,MATCH($C36,brands!$A$2:$A$41,0))),"")&amp;"): nothing ships until it is; ",""))&amp;IF(AND(COUNTIF(brands!$A$2:$A$41,$C36)&gt;0,OR(IFERROR(IF(INDEX(brands!$C$2:$C$41,MATCH($C36,brands!$A$2:$A$41,0))="","",INDEX(brands!$C$2:$C$41,MATCH($C36,brands!$A$2:$A$41,0))),"")="",IFERROR(IF(INDEX(brands!$D$2:$D$41,MATCH($C36,brands!$A$2:$A$41,0))="","",INDEX(brands!$D$2:$D$41,MATCH($C36,brands!$A$2:$A$41,0))),"")="",IFERROR(IF(INDEX(brands!$E$2:$E$41,MATCH($C36,brands!$A$2:$A$41,0))="","",INDEX(brands!$E$2:$E$41,MATCH($C36,brands!$A$2:$A$41,0))),"")="")),"brand billing details missing on brands (legal name, address, email): needed for the invoice; ","")&amp;IF(AND($D36="founding",$E36&lt;&gt;"Y",N(IFERROR(IF(INDEX(brands!$AI$2:$AI$41,MATCH($C36,brands!$A$2:$A$41,0))="","",INDEX(brands!$AI$2:$AI$41,MATCH($C36,brands!$A$2:$A$41,0))),""))&gt;3),"the founding tier is for the first three brands only (this is brand "&amp;IFERROR(IF(INDEX(brands!$AI$2:$AI$41,MATCH($C36,brands!$A$2:$A$41,0))="","",INDEX(brands!$AI$2:$AI$41,MATCH($C36,brands!$A$2:$A$41,0))),"")&amp;"): use standard; ","")&amp;IF(AND($D36="founding",$E36&lt;&gt;"Y",COUNTIFS(campaigns!$C$2:$C$51,$C36,campaigns!$D$2:$D$51,"founding",campaigns!$E$2:$E$51,"&lt;&gt;Y")&gt;1),"a brand has the founding price once; its next two campaigns are founding_lock = Y; ","")&amp;IF(AND($E36="Y",COUNTIFS(campaigns!$C$2:$C$51,$C36,campaigns!$D$2:$D$51,"founding",campaigns!$E$2:$E$51,"Y")&gt;2),"founding_lock is for the brand's next two campaigns only (this is a third): use standard; ","")&amp;IF(AND($E36="Y",COUNTIFS(campaigns!$C$2:$C$51,$C36,campaigns!$D$2:$D$51,"founding",campaigns!$E$2:$E$51,"&lt;&gt;Y")=0),"founding_lock without a first founding campaign for this brand; ","")&amp;IF(AND(N($BX36)&gt;0,$BG36&lt;&gt;"",IF(config!$B$37&lt;&gt;"",config!$B$37,TODAY())&gt;=WORKDAY(N($BG36),-5,calendar!$A$2:$A$80)),IF(N($BX36)-N($BY36)&lt;N($BR36),"received "&amp;(N($BX36)-N($BY36))&amp;" usable units for "&amp;$BR36&amp;" allocated: reduce units_override evenly (SOP section 4, short shipment); ","")&amp;IF(AND(N($BX36)&lt;N($BT36),COUNTIFS(issues!$E$2:$E$121,$A36,issues!$G$2:$G$121,"short_shipment")=0),"received "&amp;$BX36&amp;" of "&amp;$BT36&amp;" due: log a short_shipment issue and tell the brand today; ",""),"")&amp;IF(AND($BG36&lt;&gt;"",IF(config!$B$37&lt;&gt;"",config!$B$37,TODAY())&gt;=WORKDAY(N($BG36),1,calendar!$A$2:$A$80),N($F36)&gt;0,(-SUMIFS(invoices!$E$2:$E$151,invoices!$B$2:$B$151,$A36,invoices!$C$2:$C$151,"credit_note"))&lt;(IF($D36="founding",config!$B$25,config!$B$24)*MAX(0,N($F36)-COUNTIFS(approvals!$A$2:$A$251,$A36,approvals!$Q$2:$Q$251,"Y",approvals!$AB$2:$AB$251,"Y")))-0.005),"credit due from T+1: "&amp;MAX(0,N($F36)-COUNTIFS(approvals!$A$2:$A$251,$A36,approvals!$Q$2:$Q$251,"Y",approvals!$AB$2:$AB$251,"Y"))&amp;" of "&amp;$F36&amp;" contracted offices not placed by T+1, $"&amp;(IF($D36="founding",config!$B$25,config!$B$24)*MAX(0,N($F36)-COUNTIFS(approvals!$A$2:$A$251,$A36,approvals!$Q$2:$Q$251,"Y",approvals!$AB$2:$AB$251,"Y")))&amp;" due, $"&amp;(-SUMIFS(invoices!$E$2:$E$151,invoices!$B$2:$B$151,$A36,invoices!$C$2:$C$151,"credit_note"))&amp;" in credit notes so far (template 06, make_invoice.py); ","")&amp;IF(AND(IFERROR(IF(INDEX(brands!$H$2:$H$41,MATCH($C36,brands!$A$2:$A$41,0))="","",INDEX(brands!$H$2:$H$41,MATCH($C36,brands!$A$2:$A$41,0))),"")&lt;&gt;"",$BG36&lt;&gt;"",IFERROR(IF(INDEX(brands!$H$2:$H$41,MATCH($C36,brands!$A$2:$A$41,0))="","",INDEX(brands!$H$2:$H$41,MATCH($C36,brands!$A$2:$A$41,0))),"")&lt;EDATE(WORKDAY(N($BG36),4,calendar!$A$2:$A$80),12)),"info: brand insurance ends "&amp;TEXT(IFERROR(IF(INDEX(brands!$H$2:$H$41,MATCH($C36,brands!$A$2:$A$41,0))="","",INDEX(brands!$H$2:$H$41,MATCH($C36,brands!$A$2:$A$41,0))),""),"yyyy-mm-dd")&amp;": diary the renewal certificate; ",""))</f>
        <v/>
      </c>
    </row>
    <row r="37">
      <c r="G37" s="10" t="n"/>
      <c r="H37" s="9" t="n"/>
      <c r="AB37" s="9" t="n"/>
      <c r="AC37" s="9" t="n"/>
      <c r="AD37" s="9" t="n"/>
      <c r="AF37" s="9" t="n"/>
      <c r="AG37" s="9" t="n"/>
      <c r="AT37" s="9" t="n"/>
      <c r="AU37" s="9" t="n"/>
      <c r="AY37" s="9" t="n"/>
      <c r="BA37" s="9" t="n"/>
      <c r="BB37" s="9" t="n"/>
      <c r="BC37" s="9" t="n"/>
      <c r="BE37" s="25">
        <f>IF($A37="","",IFERROR(IF(INDEX(brands!$K$2:$K$41,MATCH($C37,brands!$A$2:$A$41,0))="","",INDEX(brands!$K$2:$K$41,MATCH($C37,brands!$A$2:$A$41,0))),""))</f>
        <v/>
      </c>
      <c r="BF37" s="25">
        <f>IF($A37="","",IFERROR(IF(INDEX(brands!$M$2:$M$41,MATCH($C37,brands!$A$2:$A$41,0))="","",INDEX(brands!$M$2:$M$41,MATCH($C37,brands!$A$2:$A$41,0))),""))</f>
        <v/>
      </c>
      <c r="BG37" s="26">
        <f>IF($A37="","",IF(IFERROR(IF(INDEX(drops!$I$2:$I$21,MATCH($B37,drops!$A$2:$A$21,0))="","",INDEX(drops!$I$2:$I$21,MATCH($B37,drops!$A$2:$A$21,0))),"")="OK",IFERROR(IF(INDEX(drops!$B$2:$B$21,MATCH($B37,drops!$A$2:$A$21,0))="","",INDEX(drops!$B$2:$B$21,MATCH($B37,drops!$A$2:$A$21,0))),""),""))</f>
        <v/>
      </c>
      <c r="BH37" s="25">
        <f>IF($A37="","",IFERROR(IF(INDEX(drops!$C$2:$C$21,MATCH($B37,drops!$A$2:$A$21,0))="","",INDEX(drops!$C$2:$C$21,MATCH($B37,drops!$A$2:$A$21,0))),""))</f>
        <v/>
      </c>
      <c r="BI37" s="27">
        <f>IF($A37="","",IF($F37="","",IF($D37="founding",IF($E37="Y",config!$B$25*MIN($F37,config!$B$26)+config!$B$24*MAX(0,$F37-config!$B$26),config!$B$20+config!$B$24*MAX(0,$F37-config!$B$21)),IF($D37="standard",config!$B$22+config!$B$24*MAX(0,$F37-config!$B$23),""))))</f>
        <v/>
      </c>
      <c r="BJ37" s="27">
        <f>IF($A37="","",IF($G37&lt;&gt;"",$G37,$BI37))</f>
        <v/>
      </c>
      <c r="BK37" s="25">
        <f>IF($A37="","",IF($D37="founding","100% within "&amp;config!$B$27&amp;" business days of the invoice, before shipping",IF($D37="standard","50% on signing; 50% at placement confirmation (T+1)","")))</f>
        <v/>
      </c>
      <c r="BL37" s="26">
        <f>IF($A37="","",IFERROR(IF(INDEX(drops!$K$2:$K$21,MATCH($B37,drops!$A$2:$A$21,0))="","",INDEX(drops!$K$2:$K$21,MATCH($B37,drops!$A$2:$A$21,0))),""))</f>
        <v/>
      </c>
      <c r="BM37" s="26">
        <f>IF($A37="","",IFERROR(IF(INDEX(drops!$L$2:$L$21,MATCH($B37,drops!$A$2:$A$21,0))="","",INDEX(drops!$L$2:$L$21,MATCH($B37,drops!$A$2:$A$21,0))),""))</f>
        <v/>
      </c>
      <c r="BN37" s="25">
        <f>IF($A37="","",COUNTIF(approvals!$A$2:$A$251,$A37))</f>
        <v/>
      </c>
      <c r="BO37" s="25">
        <f>IF($A37="","",COUNTIFS(approvals!$A$2:$A$251,$A37,approvals!$P$2:$P$251,"Y"))</f>
        <v/>
      </c>
      <c r="BP37" s="25">
        <f>IF($A37="","",COUNTIFS(approvals!$A$2:$A$251,$A37,approvals!$Q$2:$Q$251,"Y"))</f>
        <v/>
      </c>
      <c r="BQ37" s="25">
        <f>IF($A37="","",COUNTIFS(approvals!$A$2:$A$251,$A37,approvals!$P$2:$P$251,"pending"))</f>
        <v/>
      </c>
      <c r="BR37" s="25">
        <f>IF($A37="","",SUMIFS(approvals!$S$2:$S$251,approvals!$A$2:$A$251,$A37,approvals!$P$2:$P$251,"Y"))</f>
        <v/>
      </c>
      <c r="BS37" s="25">
        <f>IF($A37="","",ROUNDUP($BR37*config!$B$18,0))</f>
        <v/>
      </c>
      <c r="BT37" s="25">
        <f>IF($A37="","",$BR37+$BS37)</f>
        <v/>
      </c>
      <c r="BU37" s="27">
        <f>IF($A37="","",SUMIFS(invoices!$I$2:$I$151,invoices!$B$2:$B$151,$A37,invoices!$R$2:$R$151,"Y",invoices!$H$2:$H$151,"&gt;0"))</f>
        <v/>
      </c>
      <c r="BV37" s="27">
        <f>IF($A37="","",IF($BJ37="","",IF($D37="founding",$BJ37,ROUND($BJ37*config!$B$28,2))))</f>
        <v/>
      </c>
      <c r="BW37" s="25">
        <f>IF($A37="","",IF(AND(N($BU37)&gt;=N($BV37),N($BV37)&gt;0,$H37&lt;&gt;"",AND($AB37&lt;&gt;"",IFERROR(IF(INDEX(brands!$G$2:$G$41,MATCH($C37,brands!$A$2:$A$41,0))="","",INDEX(brands!$G$2:$G$41,MATCH($C37,brands!$A$2:$A$41,0))),"")="Y"),LEFT(IFERROR(IF(INDEX(brands!$AG$2:$AG$41,MATCH($C37,brands!$A$2:$A$41,0))="","",INDEX(brands!$AG$2:$AG$41,MATCH($C37,brands!$A$2:$A$41,0))),""),1)="Y",$BG37&lt;&gt;"",$BQ37=0,$BO37&gt;0),"RELEASED "&amp;TEXT(MAX(IFERROR(1/(1/SUMPRODUCT(MAX((invoices!$B$2:$B$151=$A37)*(invoices!$R$2:$R$151="Y")*(invoices!$H$2:$H$151)))),""),$H37,$AB37,SUMPRODUCT(MAX((approvals!$A$2:$A$251=$A37)*(approvals!$P$2:$P$251="Y")*(approvals!$E$2:$E$251+(approvals!$E$2:$E$251=0)*approvals!$C$2:$C$251)))),"yyyy-mm-dd")&amp;": ship by "&amp;TEXT($BM37,"ddd yyyy-mm-dd")&amp;" (latest "&amp;TEXT($BL37,"ddd yyyy-mm-dd")&amp;")","HOLD: "&amp;IF(N($BU37)&lt;N($BV37),"payment ("&amp;TEXT(N($BU37),"0")&amp;" of "&amp;TEXT(N($BV37),"0")&amp;") ","")&amp;IF($H37="","agreement ","")&amp;IF(NOT(AND($AB37&lt;&gt;"",IFERROR(IF(INDEX(brands!$G$2:$G$41,MATCH($C37,brands!$A$2:$A$41,0))="","",INDEX(brands!$G$2:$G$41,MATCH($C37,brands!$A$2:$A$41,0))),"")="Y")),"certificate ","")&amp;IF(NOT(LEFT(IFERROR(IF(INDEX(brands!$AG$2:$AG$41,MATCH($C37,brands!$A$2:$A$41,0))="","",INDEX(brands!$AG$2:$AG$41,MATCH($C37,brands!$A$2:$A$41,0))),""),1)="Y"),"qualification ","")&amp;IF($BG37="","drop date ","")&amp;IF($BQ37&gt;0,"approvals ("&amp;$BQ37&amp;" pending) ","")&amp;IF($BO37=0,"no office approved ","")))</f>
        <v/>
      </c>
      <c r="BX37" s="25">
        <f>IF($A37="","",SUMIFS(inventory!$G$2:$G$801,inventory!$C$2:$C$801,$A37,inventory!$E$2:$E$801,"received"))</f>
        <v/>
      </c>
      <c r="BY37" s="25">
        <f>IF($A37="","",SUMIFS(inventory!$G$2:$G$801,inventory!$C$2:$C$801,$A37,inventory!$E$2:$E$801,"rejected"))</f>
        <v/>
      </c>
      <c r="BZ37" s="25">
        <f>IF($A37="","",SUMIFS(inventory!$M$2:$M$801,inventory!$C$2:$C$801,$A37))</f>
        <v/>
      </c>
      <c r="CA37" s="25">
        <f>IF($A37="","",SUMIFS(inventory!$O$2:$O$801,inventory!$C$2:$C$801,$A37))</f>
        <v/>
      </c>
      <c r="CB37" s="25">
        <f>IF($A37="","",SUMIFS(approvals!$U$2:$U$251,approvals!$A$2:$A$251,$A37))</f>
        <v/>
      </c>
      <c r="CC37" s="25">
        <f>IF($A37="","",SUMIFS(approvals!$AA$2:$AA$251,approvals!$A$2:$A$251,$A37))</f>
        <v/>
      </c>
      <c r="CD37" s="25">
        <f>IF($A37="","",SUMIFS(approvals!$AA$2:$AA$251,approvals!$A$2:$A$251,$A37,approvals!$AB$2:$AB$251,"Y"))</f>
        <v/>
      </c>
      <c r="CE37" s="29">
        <f>IF($A37="","",IF(N($CB37)=0,"",$CD37/$CB37))</f>
        <v/>
      </c>
      <c r="CF37" s="25">
        <f>IF($A37="","",SUMIFS(approvals!$AD$2:$AD$251,approvals!$A$2:$A$251,$A37))</f>
        <v/>
      </c>
      <c r="CG37" s="25">
        <f>IF($A37="","",IF(COUNTIFS(approvals!$A$2:$A$251,$A37,approvals!$Q$2:$Q$251,"Y",approvals!$AG$2:$AG$251,"")&gt;0,"",SUMIFS(approvals!$AG$2:$AG$251,approvals!$A$2:$A$251,$A37,approvals!$Q$2:$Q$251,"Y")))</f>
        <v/>
      </c>
      <c r="CH37" s="25">
        <f>IF($A37="","",SUMIFS(approvals!$AL$2:$AL$251,approvals!$A$2:$A$251,$A37))</f>
        <v/>
      </c>
      <c r="CI37" s="25">
        <f>IF($A37="","",IF(N($BP37)=0,"",SUMPRODUCT(MIN(approvals!$BB$2:$BB$251+(approvals!$A$2:$A$251&lt;&gt;$A37)*1000000))))</f>
        <v/>
      </c>
      <c r="CJ37" s="25">
        <f>IF($A37="","",COUNTIFS(approvals!$A$2:$A$251,$A37,approvals!$Q$2:$Q$251,"Y",approvals!$AL$2:$AL$251,"&lt;"&amp;config!$B$30))</f>
        <v/>
      </c>
      <c r="CK37" s="25">
        <f>IF($A37="","",SUMIFS(approvals!$AM$2:$AM$251,approvals!$A$2:$A$251,$A37))</f>
        <v/>
      </c>
      <c r="CL37" s="25">
        <f>IF($A37="","",SUMIFS(approvals!$AQ$2:$AQ$251,approvals!$A$2:$A$251,$A37))</f>
        <v/>
      </c>
      <c r="CM37" s="25">
        <f>IF($A37="","",SUMIFS(approvals!$AR$2:$AR$251,approvals!$A$2:$A$251,$A37))</f>
        <v/>
      </c>
      <c r="CN37" s="25">
        <f>IF($A37="","",SUMIFS(approvals!$AS$2:$AS$251,approvals!$A$2:$A$251,$A37))</f>
        <v/>
      </c>
      <c r="CO37" s="25">
        <f>IF($A37="","",SUMIFS(approvals!$AT$2:$AT$251,approvals!$A$2:$A$251,$A37))</f>
        <v/>
      </c>
      <c r="CP37" s="28">
        <f>IF($A37="","",IF(N($CO37)=0,"",ROUND(SUMIFS(approvals!$AU$2:$AU$251,approvals!$A$2:$A$251,$A37)/$CO37,1)))</f>
        <v/>
      </c>
      <c r="CQ37" s="25">
        <f>IF($A37="","",SUMIFS(approvals!$AV$2:$AV$251,approvals!$A$2:$A$251,$A37))</f>
        <v/>
      </c>
      <c r="CR37" s="25">
        <f>IF($A37="","",SUMIFS(approvals!$AW$2:$AW$251,approvals!$A$2:$A$251,$A37))</f>
        <v/>
      </c>
      <c r="CS37" s="25">
        <f>IF($A37="","",SUMIFS(approvals!$AX$2:$AX$251,approvals!$A$2:$A$251,$A37))</f>
        <v/>
      </c>
      <c r="CT37" s="25">
        <f>IF($A37="","",SUMIFS(approvals!$AY$2:$AY$251,approvals!$A$2:$A$251,$A37))</f>
        <v/>
      </c>
      <c r="CU37" s="25">
        <f>IF($A37="","",IF(OR($BG37="",$BC37&lt;&gt;""),"",IFERROR(COUNT(INDIRECT("'"&amp;$A37&amp;"'!$A$2:$A$501")),0)-IFERROR(COUNTIFS(INDIRECT("'"&amp;$A37&amp;"'!$A$2:$A$501"),"&gt;="&amp;$BG37,INDIRECT("'"&amp;$A37&amp;"'!$A$2:$A$501"),"&lt;"&amp;(IFERROR(IF(INDEX(drops!$R$2:$R$21,MATCH($B37,drops!$A$2:$A$21,0))="","",INDEX(drops!$R$2:$R$21,MATCH($B37,drops!$A$2:$A$21,0))),"")+1)),0)))</f>
        <v/>
      </c>
      <c r="CV37" s="25">
        <f>IF($A37="","",IF(OR($BG37="",$BC37&lt;&gt;""),"",IFERROR(COUNTIFS(INDIRECT("'"&amp;$A37&amp;"'!$A$2:$A$501"),"&gt;="&amp;$BG37,INDIRECT("'"&amp;$A37&amp;"'!$A$2:$A$501"),"&lt;"&amp;(IFERROR(IF(INDEX(drops!$R$2:$R$21,MATCH($B37,drops!$A$2:$A$21,0))="","",INDEX(drops!$R$2:$R$21,MATCH($B37,drops!$A$2:$A$21,0))),"")+1)),0)-N($CH37)))</f>
        <v/>
      </c>
      <c r="CW37" s="25">
        <f>IF($A37="","",SUMIFS(approvals!$AN$2:$AN$251,approvals!$A$2:$A$251,$A37))</f>
        <v/>
      </c>
      <c r="CX37" s="25">
        <f>IF($A37="","",SUMIFS(approvals!$AO$2:$AO$251,approvals!$A$2:$A$251,$A37))</f>
        <v/>
      </c>
      <c r="CY37" s="25">
        <f>IF($A37="","",IF($CZ37="","",SUMIFS(redemptions!$C$2:$C$121,redemptions!$A$2:$A$121,$A37,redemptions!$B$2:$B$121,$CZ37)))</f>
        <v/>
      </c>
      <c r="CZ37" s="26">
        <f>IF($A37="","",IFERROR(1/(1/SUMPRODUCT(MAX((redemptions!$A$2:$A$121=$A37)*redemptions!$B$2:$B$121))),""))</f>
        <v/>
      </c>
      <c r="DA37" s="25">
        <f>IF($A37="","",IF(COUNTIFS(redemptions!$A$2:$A$121,$A37,redemptions!$H$2:$H$121,"Y")=0,"",SUMIFS(redemptions!$C$2:$C$121,redemptions!$A$2:$A$121,$A37,redemptions!$B$2:$B$121,SUMPRODUCT(MIN((redemptions!$A$2:$A$121=$A37)*(redemptions!$H$2:$H$121="Y")*redemptions!$B$2:$B$121+((redemptions!$A$2:$A$121&lt;&gt;$A37)+(redemptions!$H$2:$H$121&lt;&gt;"Y")&gt;0)*1000000)))))</f>
        <v/>
      </c>
      <c r="DB37" s="27">
        <f>IF($A37="","",SUMIFS(invoices!$E$2:$E$151,invoices!$B$2:$B$151,$A37))</f>
        <v/>
      </c>
      <c r="DC37" s="27">
        <f>IF($A37="","",IF(COUNTIFS(invoices!$B$2:$B$151,$A37,invoices!$C$2:$C$151,"standard_deposit",invoices!$H$2:$H$151,"&gt;0")=0,"",SUMIFS(invoices!$I$2:$I$151,invoices!$B$2:$B$151,$A37,invoices!$C$2:$C$151,"standard_deposit")))</f>
        <v/>
      </c>
      <c r="DD37" s="26">
        <f>IF($A37="","",IFERROR(1/(1/SUMPRODUCT(MAX((invoices!$B$2:$B$151=$A37)*(invoices!$C$2:$C$151="standard_deposit")*invoices!$H$2:$H$151))),""))</f>
        <v/>
      </c>
      <c r="DE37" s="26">
        <f>IF($A37="","",IFERROR(1/(1/SUMPRODUCT(MAX((invoices!$B$2:$B$151=$A37)*((invoices!$C$2:$C$151="founding_full")+(invoices!$C$2:$C$151="standard_balance"))*invoices!$H$2:$H$151))),""))</f>
        <v/>
      </c>
      <c r="DF37" s="27">
        <f>IF($A37="","",SUMIFS(invoices!$L$2:$L$151,invoices!$B$2:$B$151,$A37))</f>
        <v/>
      </c>
      <c r="DG37" s="27">
        <f>IF($A37="","",SUMIFS(costs!$E$2:$E$301,costs!$C$2:$C$301,$A37))</f>
        <v/>
      </c>
      <c r="DH37" s="27">
        <f>IF($A37="","",ROUND(IF(SUMIFS(campaigns!$BO$2:$BO$51,campaigns!$B$2:$B$51,$B37)=0,0,$BO37/SUMIFS(campaigns!$BO$2:$BO$51,campaigns!$B$2:$B$51,$B37))*(SUMIFS(costs!$E$2:$E$301,costs!$B$2:$B$301,$B37)-SUMPRODUCT((costs!$B$2:$B$301=$B37)*(LEN(costs!$C$2:$C$301)&gt;0)*costs!$E$2:$E$301)),2))</f>
        <v/>
      </c>
      <c r="DI37" s="28">
        <f>IF($A37="","",SUMIFS(hours!$E$2:$E$1501,hours!$C$2:$C$1501,$A37))</f>
        <v/>
      </c>
      <c r="DJ37" s="28">
        <f>IF($A37="","",ROUND(IF(SUMIFS(campaigns!$BO$2:$BO$51,campaigns!$B$2:$B$51,$B37)=0,0,$BO37/SUMIFS(campaigns!$BO$2:$BO$51,campaigns!$B$2:$B$51,$B37))*(SUMIFS(hours!$E$2:$E$1501,hours!$B$2:$B$1501,$B37)-SUMPRODUCT((hours!$B$2:$B$1501=$B37)*(LEN(hours!$C$2:$C$1501)&gt;0)*hours!$E$2:$E$1501)),2))</f>
        <v/>
      </c>
      <c r="DK37" s="27">
        <f>IF($A37="","",$DB37-$DF37-$DG37-$DH37)</f>
        <v/>
      </c>
      <c r="DL37" s="27">
        <f>IF($A37="","",IF(N($DI37)+N($DJ37)=0,"",ROUND($DK37/($DI37+$DJ37),2)))</f>
        <v/>
      </c>
      <c r="DM37" s="29">
        <f>IF($A37="","",IF(N($BP37)=0,"",COUNTIFS(approvals!$A$2:$A$251,$A37,approvals!$Q$2:$Q$251,"Y",approvals!$AK$2:$AK$251,"Y")/$BP37))</f>
        <v/>
      </c>
      <c r="DN37" s="28">
        <f>IF($A37="","",IF(COUNTIFS(approvals!$A$2:$A$251,$A37,approvals!$AC$2:$AC$251,"&gt;=0")=0,"",ROUND(SUMIFS(approvals!$AC$2:$AC$251,approvals!$A$2:$A$251,$A37)/COUNTIFS(approvals!$A$2:$A$251,$A37,approvals!$AC$2:$AC$251,"&gt;=0"),1)))</f>
        <v/>
      </c>
      <c r="DO37" s="26">
        <f>IF($A37="","",IFERROR(IF(INDEX(drops!$T$2:$T$21,MATCH($B37,drops!$A$2:$A$21,0))="","",INDEX(drops!$T$2:$T$21,MATCH($B37,drops!$A$2:$A$21,0))),""))</f>
        <v/>
      </c>
      <c r="DP37" s="26">
        <f>IF($A37="","",IFERROR(IF(INDEX(drops!$U$2:$U$21,MATCH($B37,drops!$A$2:$A$21,0))="","",INDEX(drops!$U$2:$U$21,MATCH($B37,drops!$A$2:$A$21,0))),""))</f>
        <v/>
      </c>
      <c r="DQ37" s="26">
        <f>IF($A37="","",IFERROR(IF(INDEX(drops!$W$2:$W$21,MATCH($B37,drops!$A$2:$A$21,0))="","",INDEX(drops!$W$2:$W$21,MATCH($B37,drops!$A$2:$A$21,0))),""))</f>
        <v/>
      </c>
      <c r="DR37" s="25">
        <f>IF($A37="","",IF($CE37="","",IF($CE37&gt;=config!$B$31,"pass","miss")))</f>
        <v/>
      </c>
      <c r="DS37" s="25">
        <f>IF($A37="","",IF($CI37="","",IF($CI37&gt;=config!$B$30,"pass","miss")))</f>
        <v/>
      </c>
      <c r="DT37" s="25">
        <f>IF($A37="","",IF($AT37="",IF($DO37="","",IF(IF(config!$B$37&lt;&gt;"",config!$B$37,TODAY())&gt;$DO37,"late","due")),IF($AT37&lt;=$DO37,"pass","late")))</f>
        <v/>
      </c>
      <c r="DU37" s="25">
        <f>IF($A37="","",IF(COUNTIF(drops!$A$2:$A$21,$B37)=0,"drop_id not on drops; ",IF($BG37="","drop date missing or refused; ",""))&amp;IF(AND($G37&lt;&gt;"",$G37&lt;&gt;$BI37),"price differs from the price list; ","")&amp;IF(AND(LEFT($BW37,4)="HOLD",$BL37&lt;&gt;"",IF(config!$B$37&lt;&gt;"",config!$B$37,TODAY())&gt;=WORKDAY(N($BL37),-3,calendar!$A$2:$A$80)),"SHIP HOLD within 3 business days of T-10; ","")&amp;IF(AND($BQ37&gt;0,$BL37&lt;&gt;"",IF(config!$B$37&lt;&gt;"",config!$B$37,TODAY())&gt;$BL37),"approvals still pending after T-10; ","")&amp;IF($BZ37&lt;0,"reserve below zero: check inventory; ","")&amp;IF(AND($BG37&lt;&gt;"",IF(config!$B$37&lt;&gt;"",config!$B$37,TODAY())&gt;WORKDAY(N($BG37),14,calendar!$A$2:$A$80),N($BZ37)+N($CA37)&lt;&gt;0),"units still on hand after T+14; ","")&amp;IF(N($CV37)&gt;0,"info: "&amp;$CV37&amp;" in-window responses with a card code that matches no office (not counted); ","")&amp;IF(AND($Z37="Y",$AK37=""),"newsletter form URL missing; ","")&amp;IF(AND($Z37="Y",$BG37&lt;&gt;"",IF(config!$B$37&lt;&gt;"",config!$B$37,TODAY())&gt;WORKDAY(N($BG37),5,calendar!$A$2:$A$80),$AY37=""),"newsletter list not yet passed on (due T+5); ","")&amp;IF(AND($AY37&lt;&gt;"",$BA37=""),"delete unticked emails; ","")&amp;IF(AND($AY37&lt;&gt;"",$BB37="",IF(config!$B$37&lt;&gt;"",config!$B$37,TODAY())&gt;$AY37+config!$B$32),"DELETE the consented emails (30 days after passing on); ","")&amp;IF(AND($BG37&lt;&gt;"",$AJ37="",IF(config!$B$37&lt;&gt;"",config!$B$37,TODAY())&gt;=WORKDAY(N($BG37),-4,calendar!$A$2:$A$80)),"survey prefill template missing (due T-4); ","")&amp;IF(AND($AJ37&lt;&gt;"",ISERROR(SEARCH("CARDCODE",$AJ37))),"prefill template has no CARDCODE; ","")&amp;IF(AND($AF37="",$BG37&lt;&gt;"",IF(config!$B$37&lt;&gt;"",config!$B$37,TODAY())&gt;=WORKDAY(N($BG37),-3,calendar!$A$2:$A$80)),"card text not yet sent to the brand; ","")&amp;IF(AND($DA37="",$DQ37&lt;&gt;"",IF(config!$B$37&lt;&gt;"",config!$B$37,TODAY())&gt;$DQ37),"day-30 redemption count due; ","")&amp;IF(AND(LEFT($BW37,8)="RELEASED",$AG37=""),"ship-date email due (template 02): send it, then log ship_email_sent_date and ship_email_units; ","")&amp;IF(AND($AH37&lt;&gt;"",N($BT37)&gt;0,N($BX37)=0,N($AH37)&lt;&gt;N($BT37)),"units changed since the ship-date email of "&amp;IF($AG37="","?",TEXT($AG37,"yyyy-mm-dd"))&amp;" ("&amp;$AH37&amp;", now "&amp;$BT37&amp;"): send the brand the revised numbers (template 02) and log them; ","")&amp;IF($DT37="late","report late; ","")&amp;IF(AND(N($F37)&gt;0,$BO37&lt;N($F37),$BQ37=0),"info: "&amp;(N($F37)-$BO37)&amp;" office(s) short of the contract: add a roster office or credit $"&amp;IF($D37="founding",config!$B$25,config!$B$24)&amp;" each; ","")&amp;IF($BC37&lt;&gt;"",IF(COUNTIF(survey_frozen!$A$2:$A$251,$A37)=0,"answers deleted but no frozen totals: the survey numbers now read 0 (tools/freeze_survey.py, SOP answers_delete); ",""),IF(AND($BG37&lt;&gt;"",IF(config!$B$37&lt;&gt;"",config!$B$37,TODAY())&gt;=$BG37,ISREF(INDIRECT("'"&amp;$A37&amp;"'!B1"))),IF(INDIRECT("'"&amp;$A37&amp;"'!B1")&lt;&gt;"Card code (filled in for you)","survey tab column B is not the card code: fix the form or the tab; ",""),IF(AND($BG37&lt;&gt;"",IF(config!$B$37&lt;&gt;"",config!$B$37,TODAY())&gt;=$BG37),"no survey tab named "&amp;$A37&amp;"; ","")))&amp;IF(COUNTIF(brands!$A$2:$A$41,$C37)=0,"brand_id not on brands; ",IF(LEFT(IFERROR(IF(INDEX(brands!$AG$2:$AG$41,MATCH($C37,brands!$A$2:$A$41,0))="","",INDEX(brands!$AG$2:$AG$41,MATCH($C37,brands!$A$2:$A$41,0))),""),1)&lt;&gt;"Y","brand not qualified ("&amp;IFERROR(IF(INDEX(brands!$AG$2:$AG$41,MATCH($C37,brands!$A$2:$A$41,0))="","",INDEX(brands!$AG$2:$AG$41,MATCH($C37,brands!$A$2:$A$41,0))),"")&amp;"): nothing ships until it is; ",""))&amp;IF(AND(COUNTIF(brands!$A$2:$A$41,$C37)&gt;0,OR(IFERROR(IF(INDEX(brands!$C$2:$C$41,MATCH($C37,brands!$A$2:$A$41,0))="","",INDEX(brands!$C$2:$C$41,MATCH($C37,brands!$A$2:$A$41,0))),"")="",IFERROR(IF(INDEX(brands!$D$2:$D$41,MATCH($C37,brands!$A$2:$A$41,0))="","",INDEX(brands!$D$2:$D$41,MATCH($C37,brands!$A$2:$A$41,0))),"")="",IFERROR(IF(INDEX(brands!$E$2:$E$41,MATCH($C37,brands!$A$2:$A$41,0))="","",INDEX(brands!$E$2:$E$41,MATCH($C37,brands!$A$2:$A$41,0))),"")="")),"brand billing details missing on brands (legal name, address, email): needed for the invoice; ","")&amp;IF(AND($D37="founding",$E37&lt;&gt;"Y",N(IFERROR(IF(INDEX(brands!$AI$2:$AI$41,MATCH($C37,brands!$A$2:$A$41,0))="","",INDEX(brands!$AI$2:$AI$41,MATCH($C37,brands!$A$2:$A$41,0))),""))&gt;3),"the founding tier is for the first three brands only (this is brand "&amp;IFERROR(IF(INDEX(brands!$AI$2:$AI$41,MATCH($C37,brands!$A$2:$A$41,0))="","",INDEX(brands!$AI$2:$AI$41,MATCH($C37,brands!$A$2:$A$41,0))),"")&amp;"): use standard; ","")&amp;IF(AND($D37="founding",$E37&lt;&gt;"Y",COUNTIFS(campaigns!$C$2:$C$51,$C37,campaigns!$D$2:$D$51,"founding",campaigns!$E$2:$E$51,"&lt;&gt;Y")&gt;1),"a brand has the founding price once; its next two campaigns are founding_lock = Y; ","")&amp;IF(AND($E37="Y",COUNTIFS(campaigns!$C$2:$C$51,$C37,campaigns!$D$2:$D$51,"founding",campaigns!$E$2:$E$51,"Y")&gt;2),"founding_lock is for the brand's next two campaigns only (this is a third): use standard; ","")&amp;IF(AND($E37="Y",COUNTIFS(campaigns!$C$2:$C$51,$C37,campaigns!$D$2:$D$51,"founding",campaigns!$E$2:$E$51,"&lt;&gt;Y")=0),"founding_lock without a first founding campaign for this brand; ","")&amp;IF(AND(N($BX37)&gt;0,$BG37&lt;&gt;"",IF(config!$B$37&lt;&gt;"",config!$B$37,TODAY())&gt;=WORKDAY(N($BG37),-5,calendar!$A$2:$A$80)),IF(N($BX37)-N($BY37)&lt;N($BR37),"received "&amp;(N($BX37)-N($BY37))&amp;" usable units for "&amp;$BR37&amp;" allocated: reduce units_override evenly (SOP section 4, short shipment); ","")&amp;IF(AND(N($BX37)&lt;N($BT37),COUNTIFS(issues!$E$2:$E$121,$A37,issues!$G$2:$G$121,"short_shipment")=0),"received "&amp;$BX37&amp;" of "&amp;$BT37&amp;" due: log a short_shipment issue and tell the brand today; ",""),"")&amp;IF(AND($BG37&lt;&gt;"",IF(config!$B$37&lt;&gt;"",config!$B$37,TODAY())&gt;=WORKDAY(N($BG37),1,calendar!$A$2:$A$80),N($F37)&gt;0,(-SUMIFS(invoices!$E$2:$E$151,invoices!$B$2:$B$151,$A37,invoices!$C$2:$C$151,"credit_note"))&lt;(IF($D37="founding",config!$B$25,config!$B$24)*MAX(0,N($F37)-COUNTIFS(approvals!$A$2:$A$251,$A37,approvals!$Q$2:$Q$251,"Y",approvals!$AB$2:$AB$251,"Y")))-0.005),"credit due from T+1: "&amp;MAX(0,N($F37)-COUNTIFS(approvals!$A$2:$A$251,$A37,approvals!$Q$2:$Q$251,"Y",approvals!$AB$2:$AB$251,"Y"))&amp;" of "&amp;$F37&amp;" contracted offices not placed by T+1, $"&amp;(IF($D37="founding",config!$B$25,config!$B$24)*MAX(0,N($F37)-COUNTIFS(approvals!$A$2:$A$251,$A37,approvals!$Q$2:$Q$251,"Y",approvals!$AB$2:$AB$251,"Y")))&amp;" due, $"&amp;(-SUMIFS(invoices!$E$2:$E$151,invoices!$B$2:$B$151,$A37,invoices!$C$2:$C$151,"credit_note"))&amp;" in credit notes so far (template 06, make_invoice.py); ","")&amp;IF(AND(IFERROR(IF(INDEX(brands!$H$2:$H$41,MATCH($C37,brands!$A$2:$A$41,0))="","",INDEX(brands!$H$2:$H$41,MATCH($C37,brands!$A$2:$A$41,0))),"")&lt;&gt;"",$BG37&lt;&gt;"",IFERROR(IF(INDEX(brands!$H$2:$H$41,MATCH($C37,brands!$A$2:$A$41,0))="","",INDEX(brands!$H$2:$H$41,MATCH($C37,brands!$A$2:$A$41,0))),"")&lt;EDATE(WORKDAY(N($BG37),4,calendar!$A$2:$A$80),12)),"info: brand insurance ends "&amp;TEXT(IFERROR(IF(INDEX(brands!$H$2:$H$41,MATCH($C37,brands!$A$2:$A$41,0))="","",INDEX(brands!$H$2:$H$41,MATCH($C37,brands!$A$2:$A$41,0))),""),"yyyy-mm-dd")&amp;": diary the renewal certificate; ",""))</f>
        <v/>
      </c>
    </row>
    <row r="38">
      <c r="G38" s="10" t="n"/>
      <c r="H38" s="9" t="n"/>
      <c r="AB38" s="9" t="n"/>
      <c r="AC38" s="9" t="n"/>
      <c r="AD38" s="9" t="n"/>
      <c r="AF38" s="9" t="n"/>
      <c r="AG38" s="9" t="n"/>
      <c r="AT38" s="9" t="n"/>
      <c r="AU38" s="9" t="n"/>
      <c r="AY38" s="9" t="n"/>
      <c r="BA38" s="9" t="n"/>
      <c r="BB38" s="9" t="n"/>
      <c r="BC38" s="9" t="n"/>
      <c r="BE38" s="25">
        <f>IF($A38="","",IFERROR(IF(INDEX(brands!$K$2:$K$41,MATCH($C38,brands!$A$2:$A$41,0))="","",INDEX(brands!$K$2:$K$41,MATCH($C38,brands!$A$2:$A$41,0))),""))</f>
        <v/>
      </c>
      <c r="BF38" s="25">
        <f>IF($A38="","",IFERROR(IF(INDEX(brands!$M$2:$M$41,MATCH($C38,brands!$A$2:$A$41,0))="","",INDEX(brands!$M$2:$M$41,MATCH($C38,brands!$A$2:$A$41,0))),""))</f>
        <v/>
      </c>
      <c r="BG38" s="26">
        <f>IF($A38="","",IF(IFERROR(IF(INDEX(drops!$I$2:$I$21,MATCH($B38,drops!$A$2:$A$21,0))="","",INDEX(drops!$I$2:$I$21,MATCH($B38,drops!$A$2:$A$21,0))),"")="OK",IFERROR(IF(INDEX(drops!$B$2:$B$21,MATCH($B38,drops!$A$2:$A$21,0))="","",INDEX(drops!$B$2:$B$21,MATCH($B38,drops!$A$2:$A$21,0))),""),""))</f>
        <v/>
      </c>
      <c r="BH38" s="25">
        <f>IF($A38="","",IFERROR(IF(INDEX(drops!$C$2:$C$21,MATCH($B38,drops!$A$2:$A$21,0))="","",INDEX(drops!$C$2:$C$21,MATCH($B38,drops!$A$2:$A$21,0))),""))</f>
        <v/>
      </c>
      <c r="BI38" s="27">
        <f>IF($A38="","",IF($F38="","",IF($D38="founding",IF($E38="Y",config!$B$25*MIN($F38,config!$B$26)+config!$B$24*MAX(0,$F38-config!$B$26),config!$B$20+config!$B$24*MAX(0,$F38-config!$B$21)),IF($D38="standard",config!$B$22+config!$B$24*MAX(0,$F38-config!$B$23),""))))</f>
        <v/>
      </c>
      <c r="BJ38" s="27">
        <f>IF($A38="","",IF($G38&lt;&gt;"",$G38,$BI38))</f>
        <v/>
      </c>
      <c r="BK38" s="25">
        <f>IF($A38="","",IF($D38="founding","100% within "&amp;config!$B$27&amp;" business days of the invoice, before shipping",IF($D38="standard","50% on signing; 50% at placement confirmation (T+1)","")))</f>
        <v/>
      </c>
      <c r="BL38" s="26">
        <f>IF($A38="","",IFERROR(IF(INDEX(drops!$K$2:$K$21,MATCH($B38,drops!$A$2:$A$21,0))="","",INDEX(drops!$K$2:$K$21,MATCH($B38,drops!$A$2:$A$21,0))),""))</f>
        <v/>
      </c>
      <c r="BM38" s="26">
        <f>IF($A38="","",IFERROR(IF(INDEX(drops!$L$2:$L$21,MATCH($B38,drops!$A$2:$A$21,0))="","",INDEX(drops!$L$2:$L$21,MATCH($B38,drops!$A$2:$A$21,0))),""))</f>
        <v/>
      </c>
      <c r="BN38" s="25">
        <f>IF($A38="","",COUNTIF(approvals!$A$2:$A$251,$A38))</f>
        <v/>
      </c>
      <c r="BO38" s="25">
        <f>IF($A38="","",COUNTIFS(approvals!$A$2:$A$251,$A38,approvals!$P$2:$P$251,"Y"))</f>
        <v/>
      </c>
      <c r="BP38" s="25">
        <f>IF($A38="","",COUNTIFS(approvals!$A$2:$A$251,$A38,approvals!$Q$2:$Q$251,"Y"))</f>
        <v/>
      </c>
      <c r="BQ38" s="25">
        <f>IF($A38="","",COUNTIFS(approvals!$A$2:$A$251,$A38,approvals!$P$2:$P$251,"pending"))</f>
        <v/>
      </c>
      <c r="BR38" s="25">
        <f>IF($A38="","",SUMIFS(approvals!$S$2:$S$251,approvals!$A$2:$A$251,$A38,approvals!$P$2:$P$251,"Y"))</f>
        <v/>
      </c>
      <c r="BS38" s="25">
        <f>IF($A38="","",ROUNDUP($BR38*config!$B$18,0))</f>
        <v/>
      </c>
      <c r="BT38" s="25">
        <f>IF($A38="","",$BR38+$BS38)</f>
        <v/>
      </c>
      <c r="BU38" s="27">
        <f>IF($A38="","",SUMIFS(invoices!$I$2:$I$151,invoices!$B$2:$B$151,$A38,invoices!$R$2:$R$151,"Y",invoices!$H$2:$H$151,"&gt;0"))</f>
        <v/>
      </c>
      <c r="BV38" s="27">
        <f>IF($A38="","",IF($BJ38="","",IF($D38="founding",$BJ38,ROUND($BJ38*config!$B$28,2))))</f>
        <v/>
      </c>
      <c r="BW38" s="25">
        <f>IF($A38="","",IF(AND(N($BU38)&gt;=N($BV38),N($BV38)&gt;0,$H38&lt;&gt;"",AND($AB38&lt;&gt;"",IFERROR(IF(INDEX(brands!$G$2:$G$41,MATCH($C38,brands!$A$2:$A$41,0))="","",INDEX(brands!$G$2:$G$41,MATCH($C38,brands!$A$2:$A$41,0))),"")="Y"),LEFT(IFERROR(IF(INDEX(brands!$AG$2:$AG$41,MATCH($C38,brands!$A$2:$A$41,0))="","",INDEX(brands!$AG$2:$AG$41,MATCH($C38,brands!$A$2:$A$41,0))),""),1)="Y",$BG38&lt;&gt;"",$BQ38=0,$BO38&gt;0),"RELEASED "&amp;TEXT(MAX(IFERROR(1/(1/SUMPRODUCT(MAX((invoices!$B$2:$B$151=$A38)*(invoices!$R$2:$R$151="Y")*(invoices!$H$2:$H$151)))),""),$H38,$AB38,SUMPRODUCT(MAX((approvals!$A$2:$A$251=$A38)*(approvals!$P$2:$P$251="Y")*(approvals!$E$2:$E$251+(approvals!$E$2:$E$251=0)*approvals!$C$2:$C$251)))),"yyyy-mm-dd")&amp;": ship by "&amp;TEXT($BM38,"ddd yyyy-mm-dd")&amp;" (latest "&amp;TEXT($BL38,"ddd yyyy-mm-dd")&amp;")","HOLD: "&amp;IF(N($BU38)&lt;N($BV38),"payment ("&amp;TEXT(N($BU38),"0")&amp;" of "&amp;TEXT(N($BV38),"0")&amp;") ","")&amp;IF($H38="","agreement ","")&amp;IF(NOT(AND($AB38&lt;&gt;"",IFERROR(IF(INDEX(brands!$G$2:$G$41,MATCH($C38,brands!$A$2:$A$41,0))="","",INDEX(brands!$G$2:$G$41,MATCH($C38,brands!$A$2:$A$41,0))),"")="Y")),"certificate ","")&amp;IF(NOT(LEFT(IFERROR(IF(INDEX(brands!$AG$2:$AG$41,MATCH($C38,brands!$A$2:$A$41,0))="","",INDEX(brands!$AG$2:$AG$41,MATCH($C38,brands!$A$2:$A$41,0))),""),1)="Y"),"qualification ","")&amp;IF($BG38="","drop date ","")&amp;IF($BQ38&gt;0,"approvals ("&amp;$BQ38&amp;" pending) ","")&amp;IF($BO38=0,"no office approved ","")))</f>
        <v/>
      </c>
      <c r="BX38" s="25">
        <f>IF($A38="","",SUMIFS(inventory!$G$2:$G$801,inventory!$C$2:$C$801,$A38,inventory!$E$2:$E$801,"received"))</f>
        <v/>
      </c>
      <c r="BY38" s="25">
        <f>IF($A38="","",SUMIFS(inventory!$G$2:$G$801,inventory!$C$2:$C$801,$A38,inventory!$E$2:$E$801,"rejected"))</f>
        <v/>
      </c>
      <c r="BZ38" s="25">
        <f>IF($A38="","",SUMIFS(inventory!$M$2:$M$801,inventory!$C$2:$C$801,$A38))</f>
        <v/>
      </c>
      <c r="CA38" s="25">
        <f>IF($A38="","",SUMIFS(inventory!$O$2:$O$801,inventory!$C$2:$C$801,$A38))</f>
        <v/>
      </c>
      <c r="CB38" s="25">
        <f>IF($A38="","",SUMIFS(approvals!$U$2:$U$251,approvals!$A$2:$A$251,$A38))</f>
        <v/>
      </c>
      <c r="CC38" s="25">
        <f>IF($A38="","",SUMIFS(approvals!$AA$2:$AA$251,approvals!$A$2:$A$251,$A38))</f>
        <v/>
      </c>
      <c r="CD38" s="25">
        <f>IF($A38="","",SUMIFS(approvals!$AA$2:$AA$251,approvals!$A$2:$A$251,$A38,approvals!$AB$2:$AB$251,"Y"))</f>
        <v/>
      </c>
      <c r="CE38" s="29">
        <f>IF($A38="","",IF(N($CB38)=0,"",$CD38/$CB38))</f>
        <v/>
      </c>
      <c r="CF38" s="25">
        <f>IF($A38="","",SUMIFS(approvals!$AD$2:$AD$251,approvals!$A$2:$A$251,$A38))</f>
        <v/>
      </c>
      <c r="CG38" s="25">
        <f>IF($A38="","",IF(COUNTIFS(approvals!$A$2:$A$251,$A38,approvals!$Q$2:$Q$251,"Y",approvals!$AG$2:$AG$251,"")&gt;0,"",SUMIFS(approvals!$AG$2:$AG$251,approvals!$A$2:$A$251,$A38,approvals!$Q$2:$Q$251,"Y")))</f>
        <v/>
      </c>
      <c r="CH38" s="25">
        <f>IF($A38="","",SUMIFS(approvals!$AL$2:$AL$251,approvals!$A$2:$A$251,$A38))</f>
        <v/>
      </c>
      <c r="CI38" s="25">
        <f>IF($A38="","",IF(N($BP38)=0,"",SUMPRODUCT(MIN(approvals!$BB$2:$BB$251+(approvals!$A$2:$A$251&lt;&gt;$A38)*1000000))))</f>
        <v/>
      </c>
      <c r="CJ38" s="25">
        <f>IF($A38="","",COUNTIFS(approvals!$A$2:$A$251,$A38,approvals!$Q$2:$Q$251,"Y",approvals!$AL$2:$AL$251,"&lt;"&amp;config!$B$30))</f>
        <v/>
      </c>
      <c r="CK38" s="25">
        <f>IF($A38="","",SUMIFS(approvals!$AM$2:$AM$251,approvals!$A$2:$A$251,$A38))</f>
        <v/>
      </c>
      <c r="CL38" s="25">
        <f>IF($A38="","",SUMIFS(approvals!$AQ$2:$AQ$251,approvals!$A$2:$A$251,$A38))</f>
        <v/>
      </c>
      <c r="CM38" s="25">
        <f>IF($A38="","",SUMIFS(approvals!$AR$2:$AR$251,approvals!$A$2:$A$251,$A38))</f>
        <v/>
      </c>
      <c r="CN38" s="25">
        <f>IF($A38="","",SUMIFS(approvals!$AS$2:$AS$251,approvals!$A$2:$A$251,$A38))</f>
        <v/>
      </c>
      <c r="CO38" s="25">
        <f>IF($A38="","",SUMIFS(approvals!$AT$2:$AT$251,approvals!$A$2:$A$251,$A38))</f>
        <v/>
      </c>
      <c r="CP38" s="28">
        <f>IF($A38="","",IF(N($CO38)=0,"",ROUND(SUMIFS(approvals!$AU$2:$AU$251,approvals!$A$2:$A$251,$A38)/$CO38,1)))</f>
        <v/>
      </c>
      <c r="CQ38" s="25">
        <f>IF($A38="","",SUMIFS(approvals!$AV$2:$AV$251,approvals!$A$2:$A$251,$A38))</f>
        <v/>
      </c>
      <c r="CR38" s="25">
        <f>IF($A38="","",SUMIFS(approvals!$AW$2:$AW$251,approvals!$A$2:$A$251,$A38))</f>
        <v/>
      </c>
      <c r="CS38" s="25">
        <f>IF($A38="","",SUMIFS(approvals!$AX$2:$AX$251,approvals!$A$2:$A$251,$A38))</f>
        <v/>
      </c>
      <c r="CT38" s="25">
        <f>IF($A38="","",SUMIFS(approvals!$AY$2:$AY$251,approvals!$A$2:$A$251,$A38))</f>
        <v/>
      </c>
      <c r="CU38" s="25">
        <f>IF($A38="","",IF(OR($BG38="",$BC38&lt;&gt;""),"",IFERROR(COUNT(INDIRECT("'"&amp;$A38&amp;"'!$A$2:$A$501")),0)-IFERROR(COUNTIFS(INDIRECT("'"&amp;$A38&amp;"'!$A$2:$A$501"),"&gt;="&amp;$BG38,INDIRECT("'"&amp;$A38&amp;"'!$A$2:$A$501"),"&lt;"&amp;(IFERROR(IF(INDEX(drops!$R$2:$R$21,MATCH($B38,drops!$A$2:$A$21,0))="","",INDEX(drops!$R$2:$R$21,MATCH($B38,drops!$A$2:$A$21,0))),"")+1)),0)))</f>
        <v/>
      </c>
      <c r="CV38" s="25">
        <f>IF($A38="","",IF(OR($BG38="",$BC38&lt;&gt;""),"",IFERROR(COUNTIFS(INDIRECT("'"&amp;$A38&amp;"'!$A$2:$A$501"),"&gt;="&amp;$BG38,INDIRECT("'"&amp;$A38&amp;"'!$A$2:$A$501"),"&lt;"&amp;(IFERROR(IF(INDEX(drops!$R$2:$R$21,MATCH($B38,drops!$A$2:$A$21,0))="","",INDEX(drops!$R$2:$R$21,MATCH($B38,drops!$A$2:$A$21,0))),"")+1)),0)-N($CH38)))</f>
        <v/>
      </c>
      <c r="CW38" s="25">
        <f>IF($A38="","",SUMIFS(approvals!$AN$2:$AN$251,approvals!$A$2:$A$251,$A38))</f>
        <v/>
      </c>
      <c r="CX38" s="25">
        <f>IF($A38="","",SUMIFS(approvals!$AO$2:$AO$251,approvals!$A$2:$A$251,$A38))</f>
        <v/>
      </c>
      <c r="CY38" s="25">
        <f>IF($A38="","",IF($CZ38="","",SUMIFS(redemptions!$C$2:$C$121,redemptions!$A$2:$A$121,$A38,redemptions!$B$2:$B$121,$CZ38)))</f>
        <v/>
      </c>
      <c r="CZ38" s="26">
        <f>IF($A38="","",IFERROR(1/(1/SUMPRODUCT(MAX((redemptions!$A$2:$A$121=$A38)*redemptions!$B$2:$B$121))),""))</f>
        <v/>
      </c>
      <c r="DA38" s="25">
        <f>IF($A38="","",IF(COUNTIFS(redemptions!$A$2:$A$121,$A38,redemptions!$H$2:$H$121,"Y")=0,"",SUMIFS(redemptions!$C$2:$C$121,redemptions!$A$2:$A$121,$A38,redemptions!$B$2:$B$121,SUMPRODUCT(MIN((redemptions!$A$2:$A$121=$A38)*(redemptions!$H$2:$H$121="Y")*redemptions!$B$2:$B$121+((redemptions!$A$2:$A$121&lt;&gt;$A38)+(redemptions!$H$2:$H$121&lt;&gt;"Y")&gt;0)*1000000)))))</f>
        <v/>
      </c>
      <c r="DB38" s="27">
        <f>IF($A38="","",SUMIFS(invoices!$E$2:$E$151,invoices!$B$2:$B$151,$A38))</f>
        <v/>
      </c>
      <c r="DC38" s="27">
        <f>IF($A38="","",IF(COUNTIFS(invoices!$B$2:$B$151,$A38,invoices!$C$2:$C$151,"standard_deposit",invoices!$H$2:$H$151,"&gt;0")=0,"",SUMIFS(invoices!$I$2:$I$151,invoices!$B$2:$B$151,$A38,invoices!$C$2:$C$151,"standard_deposit")))</f>
        <v/>
      </c>
      <c r="DD38" s="26">
        <f>IF($A38="","",IFERROR(1/(1/SUMPRODUCT(MAX((invoices!$B$2:$B$151=$A38)*(invoices!$C$2:$C$151="standard_deposit")*invoices!$H$2:$H$151))),""))</f>
        <v/>
      </c>
      <c r="DE38" s="26">
        <f>IF($A38="","",IFERROR(1/(1/SUMPRODUCT(MAX((invoices!$B$2:$B$151=$A38)*((invoices!$C$2:$C$151="founding_full")+(invoices!$C$2:$C$151="standard_balance"))*invoices!$H$2:$H$151))),""))</f>
        <v/>
      </c>
      <c r="DF38" s="27">
        <f>IF($A38="","",SUMIFS(invoices!$L$2:$L$151,invoices!$B$2:$B$151,$A38))</f>
        <v/>
      </c>
      <c r="DG38" s="27">
        <f>IF($A38="","",SUMIFS(costs!$E$2:$E$301,costs!$C$2:$C$301,$A38))</f>
        <v/>
      </c>
      <c r="DH38" s="27">
        <f>IF($A38="","",ROUND(IF(SUMIFS(campaigns!$BO$2:$BO$51,campaigns!$B$2:$B$51,$B38)=0,0,$BO38/SUMIFS(campaigns!$BO$2:$BO$51,campaigns!$B$2:$B$51,$B38))*(SUMIFS(costs!$E$2:$E$301,costs!$B$2:$B$301,$B38)-SUMPRODUCT((costs!$B$2:$B$301=$B38)*(LEN(costs!$C$2:$C$301)&gt;0)*costs!$E$2:$E$301)),2))</f>
        <v/>
      </c>
      <c r="DI38" s="28">
        <f>IF($A38="","",SUMIFS(hours!$E$2:$E$1501,hours!$C$2:$C$1501,$A38))</f>
        <v/>
      </c>
      <c r="DJ38" s="28">
        <f>IF($A38="","",ROUND(IF(SUMIFS(campaigns!$BO$2:$BO$51,campaigns!$B$2:$B$51,$B38)=0,0,$BO38/SUMIFS(campaigns!$BO$2:$BO$51,campaigns!$B$2:$B$51,$B38))*(SUMIFS(hours!$E$2:$E$1501,hours!$B$2:$B$1501,$B38)-SUMPRODUCT((hours!$B$2:$B$1501=$B38)*(LEN(hours!$C$2:$C$1501)&gt;0)*hours!$E$2:$E$1501)),2))</f>
        <v/>
      </c>
      <c r="DK38" s="27">
        <f>IF($A38="","",$DB38-$DF38-$DG38-$DH38)</f>
        <v/>
      </c>
      <c r="DL38" s="27">
        <f>IF($A38="","",IF(N($DI38)+N($DJ38)=0,"",ROUND($DK38/($DI38+$DJ38),2)))</f>
        <v/>
      </c>
      <c r="DM38" s="29">
        <f>IF($A38="","",IF(N($BP38)=0,"",COUNTIFS(approvals!$A$2:$A$251,$A38,approvals!$Q$2:$Q$251,"Y",approvals!$AK$2:$AK$251,"Y")/$BP38))</f>
        <v/>
      </c>
      <c r="DN38" s="28">
        <f>IF($A38="","",IF(COUNTIFS(approvals!$A$2:$A$251,$A38,approvals!$AC$2:$AC$251,"&gt;=0")=0,"",ROUND(SUMIFS(approvals!$AC$2:$AC$251,approvals!$A$2:$A$251,$A38)/COUNTIFS(approvals!$A$2:$A$251,$A38,approvals!$AC$2:$AC$251,"&gt;=0"),1)))</f>
        <v/>
      </c>
      <c r="DO38" s="26">
        <f>IF($A38="","",IFERROR(IF(INDEX(drops!$T$2:$T$21,MATCH($B38,drops!$A$2:$A$21,0))="","",INDEX(drops!$T$2:$T$21,MATCH($B38,drops!$A$2:$A$21,0))),""))</f>
        <v/>
      </c>
      <c r="DP38" s="26">
        <f>IF($A38="","",IFERROR(IF(INDEX(drops!$U$2:$U$21,MATCH($B38,drops!$A$2:$A$21,0))="","",INDEX(drops!$U$2:$U$21,MATCH($B38,drops!$A$2:$A$21,0))),""))</f>
        <v/>
      </c>
      <c r="DQ38" s="26">
        <f>IF($A38="","",IFERROR(IF(INDEX(drops!$W$2:$W$21,MATCH($B38,drops!$A$2:$A$21,0))="","",INDEX(drops!$W$2:$W$21,MATCH($B38,drops!$A$2:$A$21,0))),""))</f>
        <v/>
      </c>
      <c r="DR38" s="25">
        <f>IF($A38="","",IF($CE38="","",IF($CE38&gt;=config!$B$31,"pass","miss")))</f>
        <v/>
      </c>
      <c r="DS38" s="25">
        <f>IF($A38="","",IF($CI38="","",IF($CI38&gt;=config!$B$30,"pass","miss")))</f>
        <v/>
      </c>
      <c r="DT38" s="25">
        <f>IF($A38="","",IF($AT38="",IF($DO38="","",IF(IF(config!$B$37&lt;&gt;"",config!$B$37,TODAY())&gt;$DO38,"late","due")),IF($AT38&lt;=$DO38,"pass","late")))</f>
        <v/>
      </c>
      <c r="DU38" s="25">
        <f>IF($A38="","",IF(COUNTIF(drops!$A$2:$A$21,$B38)=0,"drop_id not on drops; ",IF($BG38="","drop date missing or refused; ",""))&amp;IF(AND($G38&lt;&gt;"",$G38&lt;&gt;$BI38),"price differs from the price list; ","")&amp;IF(AND(LEFT($BW38,4)="HOLD",$BL38&lt;&gt;"",IF(config!$B$37&lt;&gt;"",config!$B$37,TODAY())&gt;=WORKDAY(N($BL38),-3,calendar!$A$2:$A$80)),"SHIP HOLD within 3 business days of T-10; ","")&amp;IF(AND($BQ38&gt;0,$BL38&lt;&gt;"",IF(config!$B$37&lt;&gt;"",config!$B$37,TODAY())&gt;$BL38),"approvals still pending after T-10; ","")&amp;IF($BZ38&lt;0,"reserve below zero: check inventory; ","")&amp;IF(AND($BG38&lt;&gt;"",IF(config!$B$37&lt;&gt;"",config!$B$37,TODAY())&gt;WORKDAY(N($BG38),14,calendar!$A$2:$A$80),N($BZ38)+N($CA38)&lt;&gt;0),"units still on hand after T+14; ","")&amp;IF(N($CV38)&gt;0,"info: "&amp;$CV38&amp;" in-window responses with a card code that matches no office (not counted); ","")&amp;IF(AND($Z38="Y",$AK38=""),"newsletter form URL missing; ","")&amp;IF(AND($Z38="Y",$BG38&lt;&gt;"",IF(config!$B$37&lt;&gt;"",config!$B$37,TODAY())&gt;WORKDAY(N($BG38),5,calendar!$A$2:$A$80),$AY38=""),"newsletter list not yet passed on (due T+5); ","")&amp;IF(AND($AY38&lt;&gt;"",$BA38=""),"delete unticked emails; ","")&amp;IF(AND($AY38&lt;&gt;"",$BB38="",IF(config!$B$37&lt;&gt;"",config!$B$37,TODAY())&gt;$AY38+config!$B$32),"DELETE the consented emails (30 days after passing on); ","")&amp;IF(AND($BG38&lt;&gt;"",$AJ38="",IF(config!$B$37&lt;&gt;"",config!$B$37,TODAY())&gt;=WORKDAY(N($BG38),-4,calendar!$A$2:$A$80)),"survey prefill template missing (due T-4); ","")&amp;IF(AND($AJ38&lt;&gt;"",ISERROR(SEARCH("CARDCODE",$AJ38))),"prefill template has no CARDCODE; ","")&amp;IF(AND($AF38="",$BG38&lt;&gt;"",IF(config!$B$37&lt;&gt;"",config!$B$37,TODAY())&gt;=WORKDAY(N($BG38),-3,calendar!$A$2:$A$80)),"card text not yet sent to the brand; ","")&amp;IF(AND($DA38="",$DQ38&lt;&gt;"",IF(config!$B$37&lt;&gt;"",config!$B$37,TODAY())&gt;$DQ38),"day-30 redemption count due; ","")&amp;IF(AND(LEFT($BW38,8)="RELEASED",$AG38=""),"ship-date email due (template 02): send it, then log ship_email_sent_date and ship_email_units; ","")&amp;IF(AND($AH38&lt;&gt;"",N($BT38)&gt;0,N($BX38)=0,N($AH38)&lt;&gt;N($BT38)),"units changed since the ship-date email of "&amp;IF($AG38="","?",TEXT($AG38,"yyyy-mm-dd"))&amp;" ("&amp;$AH38&amp;", now "&amp;$BT38&amp;"): send the brand the revised numbers (template 02) and log them; ","")&amp;IF($DT38="late","report late; ","")&amp;IF(AND(N($F38)&gt;0,$BO38&lt;N($F38),$BQ38=0),"info: "&amp;(N($F38)-$BO38)&amp;" office(s) short of the contract: add a roster office or credit $"&amp;IF($D38="founding",config!$B$25,config!$B$24)&amp;" each; ","")&amp;IF($BC38&lt;&gt;"",IF(COUNTIF(survey_frozen!$A$2:$A$251,$A38)=0,"answers deleted but no frozen totals: the survey numbers now read 0 (tools/freeze_survey.py, SOP answers_delete); ",""),IF(AND($BG38&lt;&gt;"",IF(config!$B$37&lt;&gt;"",config!$B$37,TODAY())&gt;=$BG38,ISREF(INDIRECT("'"&amp;$A38&amp;"'!B1"))),IF(INDIRECT("'"&amp;$A38&amp;"'!B1")&lt;&gt;"Card code (filled in for you)","survey tab column B is not the card code: fix the form or the tab; ",""),IF(AND($BG38&lt;&gt;"",IF(config!$B$37&lt;&gt;"",config!$B$37,TODAY())&gt;=$BG38),"no survey tab named "&amp;$A38&amp;"; ","")))&amp;IF(COUNTIF(brands!$A$2:$A$41,$C38)=0,"brand_id not on brands; ",IF(LEFT(IFERROR(IF(INDEX(brands!$AG$2:$AG$41,MATCH($C38,brands!$A$2:$A$41,0))="","",INDEX(brands!$AG$2:$AG$41,MATCH($C38,brands!$A$2:$A$41,0))),""),1)&lt;&gt;"Y","brand not qualified ("&amp;IFERROR(IF(INDEX(brands!$AG$2:$AG$41,MATCH($C38,brands!$A$2:$A$41,0))="","",INDEX(brands!$AG$2:$AG$41,MATCH($C38,brands!$A$2:$A$41,0))),"")&amp;"): nothing ships until it is; ",""))&amp;IF(AND(COUNTIF(brands!$A$2:$A$41,$C38)&gt;0,OR(IFERROR(IF(INDEX(brands!$C$2:$C$41,MATCH($C38,brands!$A$2:$A$41,0))="","",INDEX(brands!$C$2:$C$41,MATCH($C38,brands!$A$2:$A$41,0))),"")="",IFERROR(IF(INDEX(brands!$D$2:$D$41,MATCH($C38,brands!$A$2:$A$41,0))="","",INDEX(brands!$D$2:$D$41,MATCH($C38,brands!$A$2:$A$41,0))),"")="",IFERROR(IF(INDEX(brands!$E$2:$E$41,MATCH($C38,brands!$A$2:$A$41,0))="","",INDEX(brands!$E$2:$E$41,MATCH($C38,brands!$A$2:$A$41,0))),"")="")),"brand billing details missing on brands (legal name, address, email): needed for the invoice; ","")&amp;IF(AND($D38="founding",$E38&lt;&gt;"Y",N(IFERROR(IF(INDEX(brands!$AI$2:$AI$41,MATCH($C38,brands!$A$2:$A$41,0))="","",INDEX(brands!$AI$2:$AI$41,MATCH($C38,brands!$A$2:$A$41,0))),""))&gt;3),"the founding tier is for the first three brands only (this is brand "&amp;IFERROR(IF(INDEX(brands!$AI$2:$AI$41,MATCH($C38,brands!$A$2:$A$41,0))="","",INDEX(brands!$AI$2:$AI$41,MATCH($C38,brands!$A$2:$A$41,0))),"")&amp;"): use standard; ","")&amp;IF(AND($D38="founding",$E38&lt;&gt;"Y",COUNTIFS(campaigns!$C$2:$C$51,$C38,campaigns!$D$2:$D$51,"founding",campaigns!$E$2:$E$51,"&lt;&gt;Y")&gt;1),"a brand has the founding price once; its next two campaigns are founding_lock = Y; ","")&amp;IF(AND($E38="Y",COUNTIFS(campaigns!$C$2:$C$51,$C38,campaigns!$D$2:$D$51,"founding",campaigns!$E$2:$E$51,"Y")&gt;2),"founding_lock is for the brand's next two campaigns only (this is a third): use standard; ","")&amp;IF(AND($E38="Y",COUNTIFS(campaigns!$C$2:$C$51,$C38,campaigns!$D$2:$D$51,"founding",campaigns!$E$2:$E$51,"&lt;&gt;Y")=0),"founding_lock without a first founding campaign for this brand; ","")&amp;IF(AND(N($BX38)&gt;0,$BG38&lt;&gt;"",IF(config!$B$37&lt;&gt;"",config!$B$37,TODAY())&gt;=WORKDAY(N($BG38),-5,calendar!$A$2:$A$80)),IF(N($BX38)-N($BY38)&lt;N($BR38),"received "&amp;(N($BX38)-N($BY38))&amp;" usable units for "&amp;$BR38&amp;" allocated: reduce units_override evenly (SOP section 4, short shipment); ","")&amp;IF(AND(N($BX38)&lt;N($BT38),COUNTIFS(issues!$E$2:$E$121,$A38,issues!$G$2:$G$121,"short_shipment")=0),"received "&amp;$BX38&amp;" of "&amp;$BT38&amp;" due: log a short_shipment issue and tell the brand today; ",""),"")&amp;IF(AND($BG38&lt;&gt;"",IF(config!$B$37&lt;&gt;"",config!$B$37,TODAY())&gt;=WORKDAY(N($BG38),1,calendar!$A$2:$A$80),N($F38)&gt;0,(-SUMIFS(invoices!$E$2:$E$151,invoices!$B$2:$B$151,$A38,invoices!$C$2:$C$151,"credit_note"))&lt;(IF($D38="founding",config!$B$25,config!$B$24)*MAX(0,N($F38)-COUNTIFS(approvals!$A$2:$A$251,$A38,approvals!$Q$2:$Q$251,"Y",approvals!$AB$2:$AB$251,"Y")))-0.005),"credit due from T+1: "&amp;MAX(0,N($F38)-COUNTIFS(approvals!$A$2:$A$251,$A38,approvals!$Q$2:$Q$251,"Y",approvals!$AB$2:$AB$251,"Y"))&amp;" of "&amp;$F38&amp;" contracted offices not placed by T+1, $"&amp;(IF($D38="founding",config!$B$25,config!$B$24)*MAX(0,N($F38)-COUNTIFS(approvals!$A$2:$A$251,$A38,approvals!$Q$2:$Q$251,"Y",approvals!$AB$2:$AB$251,"Y")))&amp;" due, $"&amp;(-SUMIFS(invoices!$E$2:$E$151,invoices!$B$2:$B$151,$A38,invoices!$C$2:$C$151,"credit_note"))&amp;" in credit notes so far (template 06, make_invoice.py); ","")&amp;IF(AND(IFERROR(IF(INDEX(brands!$H$2:$H$41,MATCH($C38,brands!$A$2:$A$41,0))="","",INDEX(brands!$H$2:$H$41,MATCH($C38,brands!$A$2:$A$41,0))),"")&lt;&gt;"",$BG38&lt;&gt;"",IFERROR(IF(INDEX(brands!$H$2:$H$41,MATCH($C38,brands!$A$2:$A$41,0))="","",INDEX(brands!$H$2:$H$41,MATCH($C38,brands!$A$2:$A$41,0))),"")&lt;EDATE(WORKDAY(N($BG38),4,calendar!$A$2:$A$80),12)),"info: brand insurance ends "&amp;TEXT(IFERROR(IF(INDEX(brands!$H$2:$H$41,MATCH($C38,brands!$A$2:$A$41,0))="","",INDEX(brands!$H$2:$H$41,MATCH($C38,brands!$A$2:$A$41,0))),""),"yyyy-mm-dd")&amp;": diary the renewal certificate; ",""))</f>
        <v/>
      </c>
    </row>
    <row r="39">
      <c r="G39" s="10" t="n"/>
      <c r="H39" s="9" t="n"/>
      <c r="AB39" s="9" t="n"/>
      <c r="AC39" s="9" t="n"/>
      <c r="AD39" s="9" t="n"/>
      <c r="AF39" s="9" t="n"/>
      <c r="AG39" s="9" t="n"/>
      <c r="AT39" s="9" t="n"/>
      <c r="AU39" s="9" t="n"/>
      <c r="AY39" s="9" t="n"/>
      <c r="BA39" s="9" t="n"/>
      <c r="BB39" s="9" t="n"/>
      <c r="BC39" s="9" t="n"/>
      <c r="BE39" s="25">
        <f>IF($A39="","",IFERROR(IF(INDEX(brands!$K$2:$K$41,MATCH($C39,brands!$A$2:$A$41,0))="","",INDEX(brands!$K$2:$K$41,MATCH($C39,brands!$A$2:$A$41,0))),""))</f>
        <v/>
      </c>
      <c r="BF39" s="25">
        <f>IF($A39="","",IFERROR(IF(INDEX(brands!$M$2:$M$41,MATCH($C39,brands!$A$2:$A$41,0))="","",INDEX(brands!$M$2:$M$41,MATCH($C39,brands!$A$2:$A$41,0))),""))</f>
        <v/>
      </c>
      <c r="BG39" s="26">
        <f>IF($A39="","",IF(IFERROR(IF(INDEX(drops!$I$2:$I$21,MATCH($B39,drops!$A$2:$A$21,0))="","",INDEX(drops!$I$2:$I$21,MATCH($B39,drops!$A$2:$A$21,0))),"")="OK",IFERROR(IF(INDEX(drops!$B$2:$B$21,MATCH($B39,drops!$A$2:$A$21,0))="","",INDEX(drops!$B$2:$B$21,MATCH($B39,drops!$A$2:$A$21,0))),""),""))</f>
        <v/>
      </c>
      <c r="BH39" s="25">
        <f>IF($A39="","",IFERROR(IF(INDEX(drops!$C$2:$C$21,MATCH($B39,drops!$A$2:$A$21,0))="","",INDEX(drops!$C$2:$C$21,MATCH($B39,drops!$A$2:$A$21,0))),""))</f>
        <v/>
      </c>
      <c r="BI39" s="27">
        <f>IF($A39="","",IF($F39="","",IF($D39="founding",IF($E39="Y",config!$B$25*MIN($F39,config!$B$26)+config!$B$24*MAX(0,$F39-config!$B$26),config!$B$20+config!$B$24*MAX(0,$F39-config!$B$21)),IF($D39="standard",config!$B$22+config!$B$24*MAX(0,$F39-config!$B$23),""))))</f>
        <v/>
      </c>
      <c r="BJ39" s="27">
        <f>IF($A39="","",IF($G39&lt;&gt;"",$G39,$BI39))</f>
        <v/>
      </c>
      <c r="BK39" s="25">
        <f>IF($A39="","",IF($D39="founding","100% within "&amp;config!$B$27&amp;" business days of the invoice, before shipping",IF($D39="standard","50% on signing; 50% at placement confirmation (T+1)","")))</f>
        <v/>
      </c>
      <c r="BL39" s="26">
        <f>IF($A39="","",IFERROR(IF(INDEX(drops!$K$2:$K$21,MATCH($B39,drops!$A$2:$A$21,0))="","",INDEX(drops!$K$2:$K$21,MATCH($B39,drops!$A$2:$A$21,0))),""))</f>
        <v/>
      </c>
      <c r="BM39" s="26">
        <f>IF($A39="","",IFERROR(IF(INDEX(drops!$L$2:$L$21,MATCH($B39,drops!$A$2:$A$21,0))="","",INDEX(drops!$L$2:$L$21,MATCH($B39,drops!$A$2:$A$21,0))),""))</f>
        <v/>
      </c>
      <c r="BN39" s="25">
        <f>IF($A39="","",COUNTIF(approvals!$A$2:$A$251,$A39))</f>
        <v/>
      </c>
      <c r="BO39" s="25">
        <f>IF($A39="","",COUNTIFS(approvals!$A$2:$A$251,$A39,approvals!$P$2:$P$251,"Y"))</f>
        <v/>
      </c>
      <c r="BP39" s="25">
        <f>IF($A39="","",COUNTIFS(approvals!$A$2:$A$251,$A39,approvals!$Q$2:$Q$251,"Y"))</f>
        <v/>
      </c>
      <c r="BQ39" s="25">
        <f>IF($A39="","",COUNTIFS(approvals!$A$2:$A$251,$A39,approvals!$P$2:$P$251,"pending"))</f>
        <v/>
      </c>
      <c r="BR39" s="25">
        <f>IF($A39="","",SUMIFS(approvals!$S$2:$S$251,approvals!$A$2:$A$251,$A39,approvals!$P$2:$P$251,"Y"))</f>
        <v/>
      </c>
      <c r="BS39" s="25">
        <f>IF($A39="","",ROUNDUP($BR39*config!$B$18,0))</f>
        <v/>
      </c>
      <c r="BT39" s="25">
        <f>IF($A39="","",$BR39+$BS39)</f>
        <v/>
      </c>
      <c r="BU39" s="27">
        <f>IF($A39="","",SUMIFS(invoices!$I$2:$I$151,invoices!$B$2:$B$151,$A39,invoices!$R$2:$R$151,"Y",invoices!$H$2:$H$151,"&gt;0"))</f>
        <v/>
      </c>
      <c r="BV39" s="27">
        <f>IF($A39="","",IF($BJ39="","",IF($D39="founding",$BJ39,ROUND($BJ39*config!$B$28,2))))</f>
        <v/>
      </c>
      <c r="BW39" s="25">
        <f>IF($A39="","",IF(AND(N($BU39)&gt;=N($BV39),N($BV39)&gt;0,$H39&lt;&gt;"",AND($AB39&lt;&gt;"",IFERROR(IF(INDEX(brands!$G$2:$G$41,MATCH($C39,brands!$A$2:$A$41,0))="","",INDEX(brands!$G$2:$G$41,MATCH($C39,brands!$A$2:$A$41,0))),"")="Y"),LEFT(IFERROR(IF(INDEX(brands!$AG$2:$AG$41,MATCH($C39,brands!$A$2:$A$41,0))="","",INDEX(brands!$AG$2:$AG$41,MATCH($C39,brands!$A$2:$A$41,0))),""),1)="Y",$BG39&lt;&gt;"",$BQ39=0,$BO39&gt;0),"RELEASED "&amp;TEXT(MAX(IFERROR(1/(1/SUMPRODUCT(MAX((invoices!$B$2:$B$151=$A39)*(invoices!$R$2:$R$151="Y")*(invoices!$H$2:$H$151)))),""),$H39,$AB39,SUMPRODUCT(MAX((approvals!$A$2:$A$251=$A39)*(approvals!$P$2:$P$251="Y")*(approvals!$E$2:$E$251+(approvals!$E$2:$E$251=0)*approvals!$C$2:$C$251)))),"yyyy-mm-dd")&amp;": ship by "&amp;TEXT($BM39,"ddd yyyy-mm-dd")&amp;" (latest "&amp;TEXT($BL39,"ddd yyyy-mm-dd")&amp;")","HOLD: "&amp;IF(N($BU39)&lt;N($BV39),"payment ("&amp;TEXT(N($BU39),"0")&amp;" of "&amp;TEXT(N($BV39),"0")&amp;") ","")&amp;IF($H39="","agreement ","")&amp;IF(NOT(AND($AB39&lt;&gt;"",IFERROR(IF(INDEX(brands!$G$2:$G$41,MATCH($C39,brands!$A$2:$A$41,0))="","",INDEX(brands!$G$2:$G$41,MATCH($C39,brands!$A$2:$A$41,0))),"")="Y")),"certificate ","")&amp;IF(NOT(LEFT(IFERROR(IF(INDEX(brands!$AG$2:$AG$41,MATCH($C39,brands!$A$2:$A$41,0))="","",INDEX(brands!$AG$2:$AG$41,MATCH($C39,brands!$A$2:$A$41,0))),""),1)="Y"),"qualification ","")&amp;IF($BG39="","drop date ","")&amp;IF($BQ39&gt;0,"approvals ("&amp;$BQ39&amp;" pending) ","")&amp;IF($BO39=0,"no office approved ","")))</f>
        <v/>
      </c>
      <c r="BX39" s="25">
        <f>IF($A39="","",SUMIFS(inventory!$G$2:$G$801,inventory!$C$2:$C$801,$A39,inventory!$E$2:$E$801,"received"))</f>
        <v/>
      </c>
      <c r="BY39" s="25">
        <f>IF($A39="","",SUMIFS(inventory!$G$2:$G$801,inventory!$C$2:$C$801,$A39,inventory!$E$2:$E$801,"rejected"))</f>
        <v/>
      </c>
      <c r="BZ39" s="25">
        <f>IF($A39="","",SUMIFS(inventory!$M$2:$M$801,inventory!$C$2:$C$801,$A39))</f>
        <v/>
      </c>
      <c r="CA39" s="25">
        <f>IF($A39="","",SUMIFS(inventory!$O$2:$O$801,inventory!$C$2:$C$801,$A39))</f>
        <v/>
      </c>
      <c r="CB39" s="25">
        <f>IF($A39="","",SUMIFS(approvals!$U$2:$U$251,approvals!$A$2:$A$251,$A39))</f>
        <v/>
      </c>
      <c r="CC39" s="25">
        <f>IF($A39="","",SUMIFS(approvals!$AA$2:$AA$251,approvals!$A$2:$A$251,$A39))</f>
        <v/>
      </c>
      <c r="CD39" s="25">
        <f>IF($A39="","",SUMIFS(approvals!$AA$2:$AA$251,approvals!$A$2:$A$251,$A39,approvals!$AB$2:$AB$251,"Y"))</f>
        <v/>
      </c>
      <c r="CE39" s="29">
        <f>IF($A39="","",IF(N($CB39)=0,"",$CD39/$CB39))</f>
        <v/>
      </c>
      <c r="CF39" s="25">
        <f>IF($A39="","",SUMIFS(approvals!$AD$2:$AD$251,approvals!$A$2:$A$251,$A39))</f>
        <v/>
      </c>
      <c r="CG39" s="25">
        <f>IF($A39="","",IF(COUNTIFS(approvals!$A$2:$A$251,$A39,approvals!$Q$2:$Q$251,"Y",approvals!$AG$2:$AG$251,"")&gt;0,"",SUMIFS(approvals!$AG$2:$AG$251,approvals!$A$2:$A$251,$A39,approvals!$Q$2:$Q$251,"Y")))</f>
        <v/>
      </c>
      <c r="CH39" s="25">
        <f>IF($A39="","",SUMIFS(approvals!$AL$2:$AL$251,approvals!$A$2:$A$251,$A39))</f>
        <v/>
      </c>
      <c r="CI39" s="25">
        <f>IF($A39="","",IF(N($BP39)=0,"",SUMPRODUCT(MIN(approvals!$BB$2:$BB$251+(approvals!$A$2:$A$251&lt;&gt;$A39)*1000000))))</f>
        <v/>
      </c>
      <c r="CJ39" s="25">
        <f>IF($A39="","",COUNTIFS(approvals!$A$2:$A$251,$A39,approvals!$Q$2:$Q$251,"Y",approvals!$AL$2:$AL$251,"&lt;"&amp;config!$B$30))</f>
        <v/>
      </c>
      <c r="CK39" s="25">
        <f>IF($A39="","",SUMIFS(approvals!$AM$2:$AM$251,approvals!$A$2:$A$251,$A39))</f>
        <v/>
      </c>
      <c r="CL39" s="25">
        <f>IF($A39="","",SUMIFS(approvals!$AQ$2:$AQ$251,approvals!$A$2:$A$251,$A39))</f>
        <v/>
      </c>
      <c r="CM39" s="25">
        <f>IF($A39="","",SUMIFS(approvals!$AR$2:$AR$251,approvals!$A$2:$A$251,$A39))</f>
        <v/>
      </c>
      <c r="CN39" s="25">
        <f>IF($A39="","",SUMIFS(approvals!$AS$2:$AS$251,approvals!$A$2:$A$251,$A39))</f>
        <v/>
      </c>
      <c r="CO39" s="25">
        <f>IF($A39="","",SUMIFS(approvals!$AT$2:$AT$251,approvals!$A$2:$A$251,$A39))</f>
        <v/>
      </c>
      <c r="CP39" s="28">
        <f>IF($A39="","",IF(N($CO39)=0,"",ROUND(SUMIFS(approvals!$AU$2:$AU$251,approvals!$A$2:$A$251,$A39)/$CO39,1)))</f>
        <v/>
      </c>
      <c r="CQ39" s="25">
        <f>IF($A39="","",SUMIFS(approvals!$AV$2:$AV$251,approvals!$A$2:$A$251,$A39))</f>
        <v/>
      </c>
      <c r="CR39" s="25">
        <f>IF($A39="","",SUMIFS(approvals!$AW$2:$AW$251,approvals!$A$2:$A$251,$A39))</f>
        <v/>
      </c>
      <c r="CS39" s="25">
        <f>IF($A39="","",SUMIFS(approvals!$AX$2:$AX$251,approvals!$A$2:$A$251,$A39))</f>
        <v/>
      </c>
      <c r="CT39" s="25">
        <f>IF($A39="","",SUMIFS(approvals!$AY$2:$AY$251,approvals!$A$2:$A$251,$A39))</f>
        <v/>
      </c>
      <c r="CU39" s="25">
        <f>IF($A39="","",IF(OR($BG39="",$BC39&lt;&gt;""),"",IFERROR(COUNT(INDIRECT("'"&amp;$A39&amp;"'!$A$2:$A$501")),0)-IFERROR(COUNTIFS(INDIRECT("'"&amp;$A39&amp;"'!$A$2:$A$501"),"&gt;="&amp;$BG39,INDIRECT("'"&amp;$A39&amp;"'!$A$2:$A$501"),"&lt;"&amp;(IFERROR(IF(INDEX(drops!$R$2:$R$21,MATCH($B39,drops!$A$2:$A$21,0))="","",INDEX(drops!$R$2:$R$21,MATCH($B39,drops!$A$2:$A$21,0))),"")+1)),0)))</f>
        <v/>
      </c>
      <c r="CV39" s="25">
        <f>IF($A39="","",IF(OR($BG39="",$BC39&lt;&gt;""),"",IFERROR(COUNTIFS(INDIRECT("'"&amp;$A39&amp;"'!$A$2:$A$501"),"&gt;="&amp;$BG39,INDIRECT("'"&amp;$A39&amp;"'!$A$2:$A$501"),"&lt;"&amp;(IFERROR(IF(INDEX(drops!$R$2:$R$21,MATCH($B39,drops!$A$2:$A$21,0))="","",INDEX(drops!$R$2:$R$21,MATCH($B39,drops!$A$2:$A$21,0))),"")+1)),0)-N($CH39)))</f>
        <v/>
      </c>
      <c r="CW39" s="25">
        <f>IF($A39="","",SUMIFS(approvals!$AN$2:$AN$251,approvals!$A$2:$A$251,$A39))</f>
        <v/>
      </c>
      <c r="CX39" s="25">
        <f>IF($A39="","",SUMIFS(approvals!$AO$2:$AO$251,approvals!$A$2:$A$251,$A39))</f>
        <v/>
      </c>
      <c r="CY39" s="25">
        <f>IF($A39="","",IF($CZ39="","",SUMIFS(redemptions!$C$2:$C$121,redemptions!$A$2:$A$121,$A39,redemptions!$B$2:$B$121,$CZ39)))</f>
        <v/>
      </c>
      <c r="CZ39" s="26">
        <f>IF($A39="","",IFERROR(1/(1/SUMPRODUCT(MAX((redemptions!$A$2:$A$121=$A39)*redemptions!$B$2:$B$121))),""))</f>
        <v/>
      </c>
      <c r="DA39" s="25">
        <f>IF($A39="","",IF(COUNTIFS(redemptions!$A$2:$A$121,$A39,redemptions!$H$2:$H$121,"Y")=0,"",SUMIFS(redemptions!$C$2:$C$121,redemptions!$A$2:$A$121,$A39,redemptions!$B$2:$B$121,SUMPRODUCT(MIN((redemptions!$A$2:$A$121=$A39)*(redemptions!$H$2:$H$121="Y")*redemptions!$B$2:$B$121+((redemptions!$A$2:$A$121&lt;&gt;$A39)+(redemptions!$H$2:$H$121&lt;&gt;"Y")&gt;0)*1000000)))))</f>
        <v/>
      </c>
      <c r="DB39" s="27">
        <f>IF($A39="","",SUMIFS(invoices!$E$2:$E$151,invoices!$B$2:$B$151,$A39))</f>
        <v/>
      </c>
      <c r="DC39" s="27">
        <f>IF($A39="","",IF(COUNTIFS(invoices!$B$2:$B$151,$A39,invoices!$C$2:$C$151,"standard_deposit",invoices!$H$2:$H$151,"&gt;0")=0,"",SUMIFS(invoices!$I$2:$I$151,invoices!$B$2:$B$151,$A39,invoices!$C$2:$C$151,"standard_deposit")))</f>
        <v/>
      </c>
      <c r="DD39" s="26">
        <f>IF($A39="","",IFERROR(1/(1/SUMPRODUCT(MAX((invoices!$B$2:$B$151=$A39)*(invoices!$C$2:$C$151="standard_deposit")*invoices!$H$2:$H$151))),""))</f>
        <v/>
      </c>
      <c r="DE39" s="26">
        <f>IF($A39="","",IFERROR(1/(1/SUMPRODUCT(MAX((invoices!$B$2:$B$151=$A39)*((invoices!$C$2:$C$151="founding_full")+(invoices!$C$2:$C$151="standard_balance"))*invoices!$H$2:$H$151))),""))</f>
        <v/>
      </c>
      <c r="DF39" s="27">
        <f>IF($A39="","",SUMIFS(invoices!$L$2:$L$151,invoices!$B$2:$B$151,$A39))</f>
        <v/>
      </c>
      <c r="DG39" s="27">
        <f>IF($A39="","",SUMIFS(costs!$E$2:$E$301,costs!$C$2:$C$301,$A39))</f>
        <v/>
      </c>
      <c r="DH39" s="27">
        <f>IF($A39="","",ROUND(IF(SUMIFS(campaigns!$BO$2:$BO$51,campaigns!$B$2:$B$51,$B39)=0,0,$BO39/SUMIFS(campaigns!$BO$2:$BO$51,campaigns!$B$2:$B$51,$B39))*(SUMIFS(costs!$E$2:$E$301,costs!$B$2:$B$301,$B39)-SUMPRODUCT((costs!$B$2:$B$301=$B39)*(LEN(costs!$C$2:$C$301)&gt;0)*costs!$E$2:$E$301)),2))</f>
        <v/>
      </c>
      <c r="DI39" s="28">
        <f>IF($A39="","",SUMIFS(hours!$E$2:$E$1501,hours!$C$2:$C$1501,$A39))</f>
        <v/>
      </c>
      <c r="DJ39" s="28">
        <f>IF($A39="","",ROUND(IF(SUMIFS(campaigns!$BO$2:$BO$51,campaigns!$B$2:$B$51,$B39)=0,0,$BO39/SUMIFS(campaigns!$BO$2:$BO$51,campaigns!$B$2:$B$51,$B39))*(SUMIFS(hours!$E$2:$E$1501,hours!$B$2:$B$1501,$B39)-SUMPRODUCT((hours!$B$2:$B$1501=$B39)*(LEN(hours!$C$2:$C$1501)&gt;0)*hours!$E$2:$E$1501)),2))</f>
        <v/>
      </c>
      <c r="DK39" s="27">
        <f>IF($A39="","",$DB39-$DF39-$DG39-$DH39)</f>
        <v/>
      </c>
      <c r="DL39" s="27">
        <f>IF($A39="","",IF(N($DI39)+N($DJ39)=0,"",ROUND($DK39/($DI39+$DJ39),2)))</f>
        <v/>
      </c>
      <c r="DM39" s="29">
        <f>IF($A39="","",IF(N($BP39)=0,"",COUNTIFS(approvals!$A$2:$A$251,$A39,approvals!$Q$2:$Q$251,"Y",approvals!$AK$2:$AK$251,"Y")/$BP39))</f>
        <v/>
      </c>
      <c r="DN39" s="28">
        <f>IF($A39="","",IF(COUNTIFS(approvals!$A$2:$A$251,$A39,approvals!$AC$2:$AC$251,"&gt;=0")=0,"",ROUND(SUMIFS(approvals!$AC$2:$AC$251,approvals!$A$2:$A$251,$A39)/COUNTIFS(approvals!$A$2:$A$251,$A39,approvals!$AC$2:$AC$251,"&gt;=0"),1)))</f>
        <v/>
      </c>
      <c r="DO39" s="26">
        <f>IF($A39="","",IFERROR(IF(INDEX(drops!$T$2:$T$21,MATCH($B39,drops!$A$2:$A$21,0))="","",INDEX(drops!$T$2:$T$21,MATCH($B39,drops!$A$2:$A$21,0))),""))</f>
        <v/>
      </c>
      <c r="DP39" s="26">
        <f>IF($A39="","",IFERROR(IF(INDEX(drops!$U$2:$U$21,MATCH($B39,drops!$A$2:$A$21,0))="","",INDEX(drops!$U$2:$U$21,MATCH($B39,drops!$A$2:$A$21,0))),""))</f>
        <v/>
      </c>
      <c r="DQ39" s="26">
        <f>IF($A39="","",IFERROR(IF(INDEX(drops!$W$2:$W$21,MATCH($B39,drops!$A$2:$A$21,0))="","",INDEX(drops!$W$2:$W$21,MATCH($B39,drops!$A$2:$A$21,0))),""))</f>
        <v/>
      </c>
      <c r="DR39" s="25">
        <f>IF($A39="","",IF($CE39="","",IF($CE39&gt;=config!$B$31,"pass","miss")))</f>
        <v/>
      </c>
      <c r="DS39" s="25">
        <f>IF($A39="","",IF($CI39="","",IF($CI39&gt;=config!$B$30,"pass","miss")))</f>
        <v/>
      </c>
      <c r="DT39" s="25">
        <f>IF($A39="","",IF($AT39="",IF($DO39="","",IF(IF(config!$B$37&lt;&gt;"",config!$B$37,TODAY())&gt;$DO39,"late","due")),IF($AT39&lt;=$DO39,"pass","late")))</f>
        <v/>
      </c>
      <c r="DU39" s="25">
        <f>IF($A39="","",IF(COUNTIF(drops!$A$2:$A$21,$B39)=0,"drop_id not on drops; ",IF($BG39="","drop date missing or refused; ",""))&amp;IF(AND($G39&lt;&gt;"",$G39&lt;&gt;$BI39),"price differs from the price list; ","")&amp;IF(AND(LEFT($BW39,4)="HOLD",$BL39&lt;&gt;"",IF(config!$B$37&lt;&gt;"",config!$B$37,TODAY())&gt;=WORKDAY(N($BL39),-3,calendar!$A$2:$A$80)),"SHIP HOLD within 3 business days of T-10; ","")&amp;IF(AND($BQ39&gt;0,$BL39&lt;&gt;"",IF(config!$B$37&lt;&gt;"",config!$B$37,TODAY())&gt;$BL39),"approvals still pending after T-10; ","")&amp;IF($BZ39&lt;0,"reserve below zero: check inventory; ","")&amp;IF(AND($BG39&lt;&gt;"",IF(config!$B$37&lt;&gt;"",config!$B$37,TODAY())&gt;WORKDAY(N($BG39),14,calendar!$A$2:$A$80),N($BZ39)+N($CA39)&lt;&gt;0),"units still on hand after T+14; ","")&amp;IF(N($CV39)&gt;0,"info: "&amp;$CV39&amp;" in-window responses with a card code that matches no office (not counted); ","")&amp;IF(AND($Z39="Y",$AK39=""),"newsletter form URL missing; ","")&amp;IF(AND($Z39="Y",$BG39&lt;&gt;"",IF(config!$B$37&lt;&gt;"",config!$B$37,TODAY())&gt;WORKDAY(N($BG39),5,calendar!$A$2:$A$80),$AY39=""),"newsletter list not yet passed on (due T+5); ","")&amp;IF(AND($AY39&lt;&gt;"",$BA39=""),"delete unticked emails; ","")&amp;IF(AND($AY39&lt;&gt;"",$BB39="",IF(config!$B$37&lt;&gt;"",config!$B$37,TODAY())&gt;$AY39+config!$B$32),"DELETE the consented emails (30 days after passing on); ","")&amp;IF(AND($BG39&lt;&gt;"",$AJ39="",IF(config!$B$37&lt;&gt;"",config!$B$37,TODAY())&gt;=WORKDAY(N($BG39),-4,calendar!$A$2:$A$80)),"survey prefill template missing (due T-4); ","")&amp;IF(AND($AJ39&lt;&gt;"",ISERROR(SEARCH("CARDCODE",$AJ39))),"prefill template has no CARDCODE; ","")&amp;IF(AND($AF39="",$BG39&lt;&gt;"",IF(config!$B$37&lt;&gt;"",config!$B$37,TODAY())&gt;=WORKDAY(N($BG39),-3,calendar!$A$2:$A$80)),"card text not yet sent to the brand; ","")&amp;IF(AND($DA39="",$DQ39&lt;&gt;"",IF(config!$B$37&lt;&gt;"",config!$B$37,TODAY())&gt;$DQ39),"day-30 redemption count due; ","")&amp;IF(AND(LEFT($BW39,8)="RELEASED",$AG39=""),"ship-date email due (template 02): send it, then log ship_email_sent_date and ship_email_units; ","")&amp;IF(AND($AH39&lt;&gt;"",N($BT39)&gt;0,N($BX39)=0,N($AH39)&lt;&gt;N($BT39)),"units changed since the ship-date email of "&amp;IF($AG39="","?",TEXT($AG39,"yyyy-mm-dd"))&amp;" ("&amp;$AH39&amp;", now "&amp;$BT39&amp;"): send the brand the revised numbers (template 02) and log them; ","")&amp;IF($DT39="late","report late; ","")&amp;IF(AND(N($F39)&gt;0,$BO39&lt;N($F39),$BQ39=0),"info: "&amp;(N($F39)-$BO39)&amp;" office(s) short of the contract: add a roster office or credit $"&amp;IF($D39="founding",config!$B$25,config!$B$24)&amp;" each; ","")&amp;IF($BC39&lt;&gt;"",IF(COUNTIF(survey_frozen!$A$2:$A$251,$A39)=0,"answers deleted but no frozen totals: the survey numbers now read 0 (tools/freeze_survey.py, SOP answers_delete); ",""),IF(AND($BG39&lt;&gt;"",IF(config!$B$37&lt;&gt;"",config!$B$37,TODAY())&gt;=$BG39,ISREF(INDIRECT("'"&amp;$A39&amp;"'!B1"))),IF(INDIRECT("'"&amp;$A39&amp;"'!B1")&lt;&gt;"Card code (filled in for you)","survey tab column B is not the card code: fix the form or the tab; ",""),IF(AND($BG39&lt;&gt;"",IF(config!$B$37&lt;&gt;"",config!$B$37,TODAY())&gt;=$BG39),"no survey tab named "&amp;$A39&amp;"; ","")))&amp;IF(COUNTIF(brands!$A$2:$A$41,$C39)=0,"brand_id not on brands; ",IF(LEFT(IFERROR(IF(INDEX(brands!$AG$2:$AG$41,MATCH($C39,brands!$A$2:$A$41,0))="","",INDEX(brands!$AG$2:$AG$41,MATCH($C39,brands!$A$2:$A$41,0))),""),1)&lt;&gt;"Y","brand not qualified ("&amp;IFERROR(IF(INDEX(brands!$AG$2:$AG$41,MATCH($C39,brands!$A$2:$A$41,0))="","",INDEX(brands!$AG$2:$AG$41,MATCH($C39,brands!$A$2:$A$41,0))),"")&amp;"): nothing ships until it is; ",""))&amp;IF(AND(COUNTIF(brands!$A$2:$A$41,$C39)&gt;0,OR(IFERROR(IF(INDEX(brands!$C$2:$C$41,MATCH($C39,brands!$A$2:$A$41,0))="","",INDEX(brands!$C$2:$C$41,MATCH($C39,brands!$A$2:$A$41,0))),"")="",IFERROR(IF(INDEX(brands!$D$2:$D$41,MATCH($C39,brands!$A$2:$A$41,0))="","",INDEX(brands!$D$2:$D$41,MATCH($C39,brands!$A$2:$A$41,0))),"")="",IFERROR(IF(INDEX(brands!$E$2:$E$41,MATCH($C39,brands!$A$2:$A$41,0))="","",INDEX(brands!$E$2:$E$41,MATCH($C39,brands!$A$2:$A$41,0))),"")="")),"brand billing details missing on brands (legal name, address, email): needed for the invoice; ","")&amp;IF(AND($D39="founding",$E39&lt;&gt;"Y",N(IFERROR(IF(INDEX(brands!$AI$2:$AI$41,MATCH($C39,brands!$A$2:$A$41,0))="","",INDEX(brands!$AI$2:$AI$41,MATCH($C39,brands!$A$2:$A$41,0))),""))&gt;3),"the founding tier is for the first three brands only (this is brand "&amp;IFERROR(IF(INDEX(brands!$AI$2:$AI$41,MATCH($C39,brands!$A$2:$A$41,0))="","",INDEX(brands!$AI$2:$AI$41,MATCH($C39,brands!$A$2:$A$41,0))),"")&amp;"): use standard; ","")&amp;IF(AND($D39="founding",$E39&lt;&gt;"Y",COUNTIFS(campaigns!$C$2:$C$51,$C39,campaigns!$D$2:$D$51,"founding",campaigns!$E$2:$E$51,"&lt;&gt;Y")&gt;1),"a brand has the founding price once; its next two campaigns are founding_lock = Y; ","")&amp;IF(AND($E39="Y",COUNTIFS(campaigns!$C$2:$C$51,$C39,campaigns!$D$2:$D$51,"founding",campaigns!$E$2:$E$51,"Y")&gt;2),"founding_lock is for the brand's next two campaigns only (this is a third): use standard; ","")&amp;IF(AND($E39="Y",COUNTIFS(campaigns!$C$2:$C$51,$C39,campaigns!$D$2:$D$51,"founding",campaigns!$E$2:$E$51,"&lt;&gt;Y")=0),"founding_lock without a first founding campaign for this brand; ","")&amp;IF(AND(N($BX39)&gt;0,$BG39&lt;&gt;"",IF(config!$B$37&lt;&gt;"",config!$B$37,TODAY())&gt;=WORKDAY(N($BG39),-5,calendar!$A$2:$A$80)),IF(N($BX39)-N($BY39)&lt;N($BR39),"received "&amp;(N($BX39)-N($BY39))&amp;" usable units for "&amp;$BR39&amp;" allocated: reduce units_override evenly (SOP section 4, short shipment); ","")&amp;IF(AND(N($BX39)&lt;N($BT39),COUNTIFS(issues!$E$2:$E$121,$A39,issues!$G$2:$G$121,"short_shipment")=0),"received "&amp;$BX39&amp;" of "&amp;$BT39&amp;" due: log a short_shipment issue and tell the brand today; ",""),"")&amp;IF(AND($BG39&lt;&gt;"",IF(config!$B$37&lt;&gt;"",config!$B$37,TODAY())&gt;=WORKDAY(N($BG39),1,calendar!$A$2:$A$80),N($F39)&gt;0,(-SUMIFS(invoices!$E$2:$E$151,invoices!$B$2:$B$151,$A39,invoices!$C$2:$C$151,"credit_note"))&lt;(IF($D39="founding",config!$B$25,config!$B$24)*MAX(0,N($F39)-COUNTIFS(approvals!$A$2:$A$251,$A39,approvals!$Q$2:$Q$251,"Y",approvals!$AB$2:$AB$251,"Y")))-0.005),"credit due from T+1: "&amp;MAX(0,N($F39)-COUNTIFS(approvals!$A$2:$A$251,$A39,approvals!$Q$2:$Q$251,"Y",approvals!$AB$2:$AB$251,"Y"))&amp;" of "&amp;$F39&amp;" contracted offices not placed by T+1, $"&amp;(IF($D39="founding",config!$B$25,config!$B$24)*MAX(0,N($F39)-COUNTIFS(approvals!$A$2:$A$251,$A39,approvals!$Q$2:$Q$251,"Y",approvals!$AB$2:$AB$251,"Y")))&amp;" due, $"&amp;(-SUMIFS(invoices!$E$2:$E$151,invoices!$B$2:$B$151,$A39,invoices!$C$2:$C$151,"credit_note"))&amp;" in credit notes so far (template 06, make_invoice.py); ","")&amp;IF(AND(IFERROR(IF(INDEX(brands!$H$2:$H$41,MATCH($C39,brands!$A$2:$A$41,0))="","",INDEX(brands!$H$2:$H$41,MATCH($C39,brands!$A$2:$A$41,0))),"")&lt;&gt;"",$BG39&lt;&gt;"",IFERROR(IF(INDEX(brands!$H$2:$H$41,MATCH($C39,brands!$A$2:$A$41,0))="","",INDEX(brands!$H$2:$H$41,MATCH($C39,brands!$A$2:$A$41,0))),"")&lt;EDATE(WORKDAY(N($BG39),4,calendar!$A$2:$A$80),12)),"info: brand insurance ends "&amp;TEXT(IFERROR(IF(INDEX(brands!$H$2:$H$41,MATCH($C39,brands!$A$2:$A$41,0))="","",INDEX(brands!$H$2:$H$41,MATCH($C39,brands!$A$2:$A$41,0))),""),"yyyy-mm-dd")&amp;": diary the renewal certificate; ",""))</f>
        <v/>
      </c>
    </row>
    <row r="40">
      <c r="G40" s="10" t="n"/>
      <c r="H40" s="9" t="n"/>
      <c r="AB40" s="9" t="n"/>
      <c r="AC40" s="9" t="n"/>
      <c r="AD40" s="9" t="n"/>
      <c r="AF40" s="9" t="n"/>
      <c r="AG40" s="9" t="n"/>
      <c r="AT40" s="9" t="n"/>
      <c r="AU40" s="9" t="n"/>
      <c r="AY40" s="9" t="n"/>
      <c r="BA40" s="9" t="n"/>
      <c r="BB40" s="9" t="n"/>
      <c r="BC40" s="9" t="n"/>
      <c r="BE40" s="25">
        <f>IF($A40="","",IFERROR(IF(INDEX(brands!$K$2:$K$41,MATCH($C40,brands!$A$2:$A$41,0))="","",INDEX(brands!$K$2:$K$41,MATCH($C40,brands!$A$2:$A$41,0))),""))</f>
        <v/>
      </c>
      <c r="BF40" s="25">
        <f>IF($A40="","",IFERROR(IF(INDEX(brands!$M$2:$M$41,MATCH($C40,brands!$A$2:$A$41,0))="","",INDEX(brands!$M$2:$M$41,MATCH($C40,brands!$A$2:$A$41,0))),""))</f>
        <v/>
      </c>
      <c r="BG40" s="26">
        <f>IF($A40="","",IF(IFERROR(IF(INDEX(drops!$I$2:$I$21,MATCH($B40,drops!$A$2:$A$21,0))="","",INDEX(drops!$I$2:$I$21,MATCH($B40,drops!$A$2:$A$21,0))),"")="OK",IFERROR(IF(INDEX(drops!$B$2:$B$21,MATCH($B40,drops!$A$2:$A$21,0))="","",INDEX(drops!$B$2:$B$21,MATCH($B40,drops!$A$2:$A$21,0))),""),""))</f>
        <v/>
      </c>
      <c r="BH40" s="25">
        <f>IF($A40="","",IFERROR(IF(INDEX(drops!$C$2:$C$21,MATCH($B40,drops!$A$2:$A$21,0))="","",INDEX(drops!$C$2:$C$21,MATCH($B40,drops!$A$2:$A$21,0))),""))</f>
        <v/>
      </c>
      <c r="BI40" s="27">
        <f>IF($A40="","",IF($F40="","",IF($D40="founding",IF($E40="Y",config!$B$25*MIN($F40,config!$B$26)+config!$B$24*MAX(0,$F40-config!$B$26),config!$B$20+config!$B$24*MAX(0,$F40-config!$B$21)),IF($D40="standard",config!$B$22+config!$B$24*MAX(0,$F40-config!$B$23),""))))</f>
        <v/>
      </c>
      <c r="BJ40" s="27">
        <f>IF($A40="","",IF($G40&lt;&gt;"",$G40,$BI40))</f>
        <v/>
      </c>
      <c r="BK40" s="25">
        <f>IF($A40="","",IF($D40="founding","100% within "&amp;config!$B$27&amp;" business days of the invoice, before shipping",IF($D40="standard","50% on signing; 50% at placement confirmation (T+1)","")))</f>
        <v/>
      </c>
      <c r="BL40" s="26">
        <f>IF($A40="","",IFERROR(IF(INDEX(drops!$K$2:$K$21,MATCH($B40,drops!$A$2:$A$21,0))="","",INDEX(drops!$K$2:$K$21,MATCH($B40,drops!$A$2:$A$21,0))),""))</f>
        <v/>
      </c>
      <c r="BM40" s="26">
        <f>IF($A40="","",IFERROR(IF(INDEX(drops!$L$2:$L$21,MATCH($B40,drops!$A$2:$A$21,0))="","",INDEX(drops!$L$2:$L$21,MATCH($B40,drops!$A$2:$A$21,0))),""))</f>
        <v/>
      </c>
      <c r="BN40" s="25">
        <f>IF($A40="","",COUNTIF(approvals!$A$2:$A$251,$A40))</f>
        <v/>
      </c>
      <c r="BO40" s="25">
        <f>IF($A40="","",COUNTIFS(approvals!$A$2:$A$251,$A40,approvals!$P$2:$P$251,"Y"))</f>
        <v/>
      </c>
      <c r="BP40" s="25">
        <f>IF($A40="","",COUNTIFS(approvals!$A$2:$A$251,$A40,approvals!$Q$2:$Q$251,"Y"))</f>
        <v/>
      </c>
      <c r="BQ40" s="25">
        <f>IF($A40="","",COUNTIFS(approvals!$A$2:$A$251,$A40,approvals!$P$2:$P$251,"pending"))</f>
        <v/>
      </c>
      <c r="BR40" s="25">
        <f>IF($A40="","",SUMIFS(approvals!$S$2:$S$251,approvals!$A$2:$A$251,$A40,approvals!$P$2:$P$251,"Y"))</f>
        <v/>
      </c>
      <c r="BS40" s="25">
        <f>IF($A40="","",ROUNDUP($BR40*config!$B$18,0))</f>
        <v/>
      </c>
      <c r="BT40" s="25">
        <f>IF($A40="","",$BR40+$BS40)</f>
        <v/>
      </c>
      <c r="BU40" s="27">
        <f>IF($A40="","",SUMIFS(invoices!$I$2:$I$151,invoices!$B$2:$B$151,$A40,invoices!$R$2:$R$151,"Y",invoices!$H$2:$H$151,"&gt;0"))</f>
        <v/>
      </c>
      <c r="BV40" s="27">
        <f>IF($A40="","",IF($BJ40="","",IF($D40="founding",$BJ40,ROUND($BJ40*config!$B$28,2))))</f>
        <v/>
      </c>
      <c r="BW40" s="25">
        <f>IF($A40="","",IF(AND(N($BU40)&gt;=N($BV40),N($BV40)&gt;0,$H40&lt;&gt;"",AND($AB40&lt;&gt;"",IFERROR(IF(INDEX(brands!$G$2:$G$41,MATCH($C40,brands!$A$2:$A$41,0))="","",INDEX(brands!$G$2:$G$41,MATCH($C40,brands!$A$2:$A$41,0))),"")="Y"),LEFT(IFERROR(IF(INDEX(brands!$AG$2:$AG$41,MATCH($C40,brands!$A$2:$A$41,0))="","",INDEX(brands!$AG$2:$AG$41,MATCH($C40,brands!$A$2:$A$41,0))),""),1)="Y",$BG40&lt;&gt;"",$BQ40=0,$BO40&gt;0),"RELEASED "&amp;TEXT(MAX(IFERROR(1/(1/SUMPRODUCT(MAX((invoices!$B$2:$B$151=$A40)*(invoices!$R$2:$R$151="Y")*(invoices!$H$2:$H$151)))),""),$H40,$AB40,SUMPRODUCT(MAX((approvals!$A$2:$A$251=$A40)*(approvals!$P$2:$P$251="Y")*(approvals!$E$2:$E$251+(approvals!$E$2:$E$251=0)*approvals!$C$2:$C$251)))),"yyyy-mm-dd")&amp;": ship by "&amp;TEXT($BM40,"ddd yyyy-mm-dd")&amp;" (latest "&amp;TEXT($BL40,"ddd yyyy-mm-dd")&amp;")","HOLD: "&amp;IF(N($BU40)&lt;N($BV40),"payment ("&amp;TEXT(N($BU40),"0")&amp;" of "&amp;TEXT(N($BV40),"0")&amp;") ","")&amp;IF($H40="","agreement ","")&amp;IF(NOT(AND($AB40&lt;&gt;"",IFERROR(IF(INDEX(brands!$G$2:$G$41,MATCH($C40,brands!$A$2:$A$41,0))="","",INDEX(brands!$G$2:$G$41,MATCH($C40,brands!$A$2:$A$41,0))),"")="Y")),"certificate ","")&amp;IF(NOT(LEFT(IFERROR(IF(INDEX(brands!$AG$2:$AG$41,MATCH($C40,brands!$A$2:$A$41,0))="","",INDEX(brands!$AG$2:$AG$41,MATCH($C40,brands!$A$2:$A$41,0))),""),1)="Y"),"qualification ","")&amp;IF($BG40="","drop date ","")&amp;IF($BQ40&gt;0,"approvals ("&amp;$BQ40&amp;" pending) ","")&amp;IF($BO40=0,"no office approved ","")))</f>
        <v/>
      </c>
      <c r="BX40" s="25">
        <f>IF($A40="","",SUMIFS(inventory!$G$2:$G$801,inventory!$C$2:$C$801,$A40,inventory!$E$2:$E$801,"received"))</f>
        <v/>
      </c>
      <c r="BY40" s="25">
        <f>IF($A40="","",SUMIFS(inventory!$G$2:$G$801,inventory!$C$2:$C$801,$A40,inventory!$E$2:$E$801,"rejected"))</f>
        <v/>
      </c>
      <c r="BZ40" s="25">
        <f>IF($A40="","",SUMIFS(inventory!$M$2:$M$801,inventory!$C$2:$C$801,$A40))</f>
        <v/>
      </c>
      <c r="CA40" s="25">
        <f>IF($A40="","",SUMIFS(inventory!$O$2:$O$801,inventory!$C$2:$C$801,$A40))</f>
        <v/>
      </c>
      <c r="CB40" s="25">
        <f>IF($A40="","",SUMIFS(approvals!$U$2:$U$251,approvals!$A$2:$A$251,$A40))</f>
        <v/>
      </c>
      <c r="CC40" s="25">
        <f>IF($A40="","",SUMIFS(approvals!$AA$2:$AA$251,approvals!$A$2:$A$251,$A40))</f>
        <v/>
      </c>
      <c r="CD40" s="25">
        <f>IF($A40="","",SUMIFS(approvals!$AA$2:$AA$251,approvals!$A$2:$A$251,$A40,approvals!$AB$2:$AB$251,"Y"))</f>
        <v/>
      </c>
      <c r="CE40" s="29">
        <f>IF($A40="","",IF(N($CB40)=0,"",$CD40/$CB40))</f>
        <v/>
      </c>
      <c r="CF40" s="25">
        <f>IF($A40="","",SUMIFS(approvals!$AD$2:$AD$251,approvals!$A$2:$A$251,$A40))</f>
        <v/>
      </c>
      <c r="CG40" s="25">
        <f>IF($A40="","",IF(COUNTIFS(approvals!$A$2:$A$251,$A40,approvals!$Q$2:$Q$251,"Y",approvals!$AG$2:$AG$251,"")&gt;0,"",SUMIFS(approvals!$AG$2:$AG$251,approvals!$A$2:$A$251,$A40,approvals!$Q$2:$Q$251,"Y")))</f>
        <v/>
      </c>
      <c r="CH40" s="25">
        <f>IF($A40="","",SUMIFS(approvals!$AL$2:$AL$251,approvals!$A$2:$A$251,$A40))</f>
        <v/>
      </c>
      <c r="CI40" s="25">
        <f>IF($A40="","",IF(N($BP40)=0,"",SUMPRODUCT(MIN(approvals!$BB$2:$BB$251+(approvals!$A$2:$A$251&lt;&gt;$A40)*1000000))))</f>
        <v/>
      </c>
      <c r="CJ40" s="25">
        <f>IF($A40="","",COUNTIFS(approvals!$A$2:$A$251,$A40,approvals!$Q$2:$Q$251,"Y",approvals!$AL$2:$AL$251,"&lt;"&amp;config!$B$30))</f>
        <v/>
      </c>
      <c r="CK40" s="25">
        <f>IF($A40="","",SUMIFS(approvals!$AM$2:$AM$251,approvals!$A$2:$A$251,$A40))</f>
        <v/>
      </c>
      <c r="CL40" s="25">
        <f>IF($A40="","",SUMIFS(approvals!$AQ$2:$AQ$251,approvals!$A$2:$A$251,$A40))</f>
        <v/>
      </c>
      <c r="CM40" s="25">
        <f>IF($A40="","",SUMIFS(approvals!$AR$2:$AR$251,approvals!$A$2:$A$251,$A40))</f>
        <v/>
      </c>
      <c r="CN40" s="25">
        <f>IF($A40="","",SUMIFS(approvals!$AS$2:$AS$251,approvals!$A$2:$A$251,$A40))</f>
        <v/>
      </c>
      <c r="CO40" s="25">
        <f>IF($A40="","",SUMIFS(approvals!$AT$2:$AT$251,approvals!$A$2:$A$251,$A40))</f>
        <v/>
      </c>
      <c r="CP40" s="28">
        <f>IF($A40="","",IF(N($CO40)=0,"",ROUND(SUMIFS(approvals!$AU$2:$AU$251,approvals!$A$2:$A$251,$A40)/$CO40,1)))</f>
        <v/>
      </c>
      <c r="CQ40" s="25">
        <f>IF($A40="","",SUMIFS(approvals!$AV$2:$AV$251,approvals!$A$2:$A$251,$A40))</f>
        <v/>
      </c>
      <c r="CR40" s="25">
        <f>IF($A40="","",SUMIFS(approvals!$AW$2:$AW$251,approvals!$A$2:$A$251,$A40))</f>
        <v/>
      </c>
      <c r="CS40" s="25">
        <f>IF($A40="","",SUMIFS(approvals!$AX$2:$AX$251,approvals!$A$2:$A$251,$A40))</f>
        <v/>
      </c>
      <c r="CT40" s="25">
        <f>IF($A40="","",SUMIFS(approvals!$AY$2:$AY$251,approvals!$A$2:$A$251,$A40))</f>
        <v/>
      </c>
      <c r="CU40" s="25">
        <f>IF($A40="","",IF(OR($BG40="",$BC40&lt;&gt;""),"",IFERROR(COUNT(INDIRECT("'"&amp;$A40&amp;"'!$A$2:$A$501")),0)-IFERROR(COUNTIFS(INDIRECT("'"&amp;$A40&amp;"'!$A$2:$A$501"),"&gt;="&amp;$BG40,INDIRECT("'"&amp;$A40&amp;"'!$A$2:$A$501"),"&lt;"&amp;(IFERROR(IF(INDEX(drops!$R$2:$R$21,MATCH($B40,drops!$A$2:$A$21,0))="","",INDEX(drops!$R$2:$R$21,MATCH($B40,drops!$A$2:$A$21,0))),"")+1)),0)))</f>
        <v/>
      </c>
      <c r="CV40" s="25">
        <f>IF($A40="","",IF(OR($BG40="",$BC40&lt;&gt;""),"",IFERROR(COUNTIFS(INDIRECT("'"&amp;$A40&amp;"'!$A$2:$A$501"),"&gt;="&amp;$BG40,INDIRECT("'"&amp;$A40&amp;"'!$A$2:$A$501"),"&lt;"&amp;(IFERROR(IF(INDEX(drops!$R$2:$R$21,MATCH($B40,drops!$A$2:$A$21,0))="","",INDEX(drops!$R$2:$R$21,MATCH($B40,drops!$A$2:$A$21,0))),"")+1)),0)-N($CH40)))</f>
        <v/>
      </c>
      <c r="CW40" s="25">
        <f>IF($A40="","",SUMIFS(approvals!$AN$2:$AN$251,approvals!$A$2:$A$251,$A40))</f>
        <v/>
      </c>
      <c r="CX40" s="25">
        <f>IF($A40="","",SUMIFS(approvals!$AO$2:$AO$251,approvals!$A$2:$A$251,$A40))</f>
        <v/>
      </c>
      <c r="CY40" s="25">
        <f>IF($A40="","",IF($CZ40="","",SUMIFS(redemptions!$C$2:$C$121,redemptions!$A$2:$A$121,$A40,redemptions!$B$2:$B$121,$CZ40)))</f>
        <v/>
      </c>
      <c r="CZ40" s="26">
        <f>IF($A40="","",IFERROR(1/(1/SUMPRODUCT(MAX((redemptions!$A$2:$A$121=$A40)*redemptions!$B$2:$B$121))),""))</f>
        <v/>
      </c>
      <c r="DA40" s="25">
        <f>IF($A40="","",IF(COUNTIFS(redemptions!$A$2:$A$121,$A40,redemptions!$H$2:$H$121,"Y")=0,"",SUMIFS(redemptions!$C$2:$C$121,redemptions!$A$2:$A$121,$A40,redemptions!$B$2:$B$121,SUMPRODUCT(MIN((redemptions!$A$2:$A$121=$A40)*(redemptions!$H$2:$H$121="Y")*redemptions!$B$2:$B$121+((redemptions!$A$2:$A$121&lt;&gt;$A40)+(redemptions!$H$2:$H$121&lt;&gt;"Y")&gt;0)*1000000)))))</f>
        <v/>
      </c>
      <c r="DB40" s="27">
        <f>IF($A40="","",SUMIFS(invoices!$E$2:$E$151,invoices!$B$2:$B$151,$A40))</f>
        <v/>
      </c>
      <c r="DC40" s="27">
        <f>IF($A40="","",IF(COUNTIFS(invoices!$B$2:$B$151,$A40,invoices!$C$2:$C$151,"standard_deposit",invoices!$H$2:$H$151,"&gt;0")=0,"",SUMIFS(invoices!$I$2:$I$151,invoices!$B$2:$B$151,$A40,invoices!$C$2:$C$151,"standard_deposit")))</f>
        <v/>
      </c>
      <c r="DD40" s="26">
        <f>IF($A40="","",IFERROR(1/(1/SUMPRODUCT(MAX((invoices!$B$2:$B$151=$A40)*(invoices!$C$2:$C$151="standard_deposit")*invoices!$H$2:$H$151))),""))</f>
        <v/>
      </c>
      <c r="DE40" s="26">
        <f>IF($A40="","",IFERROR(1/(1/SUMPRODUCT(MAX((invoices!$B$2:$B$151=$A40)*((invoices!$C$2:$C$151="founding_full")+(invoices!$C$2:$C$151="standard_balance"))*invoices!$H$2:$H$151))),""))</f>
        <v/>
      </c>
      <c r="DF40" s="27">
        <f>IF($A40="","",SUMIFS(invoices!$L$2:$L$151,invoices!$B$2:$B$151,$A40))</f>
        <v/>
      </c>
      <c r="DG40" s="27">
        <f>IF($A40="","",SUMIFS(costs!$E$2:$E$301,costs!$C$2:$C$301,$A40))</f>
        <v/>
      </c>
      <c r="DH40" s="27">
        <f>IF($A40="","",ROUND(IF(SUMIFS(campaigns!$BO$2:$BO$51,campaigns!$B$2:$B$51,$B40)=0,0,$BO40/SUMIFS(campaigns!$BO$2:$BO$51,campaigns!$B$2:$B$51,$B40))*(SUMIFS(costs!$E$2:$E$301,costs!$B$2:$B$301,$B40)-SUMPRODUCT((costs!$B$2:$B$301=$B40)*(LEN(costs!$C$2:$C$301)&gt;0)*costs!$E$2:$E$301)),2))</f>
        <v/>
      </c>
      <c r="DI40" s="28">
        <f>IF($A40="","",SUMIFS(hours!$E$2:$E$1501,hours!$C$2:$C$1501,$A40))</f>
        <v/>
      </c>
      <c r="DJ40" s="28">
        <f>IF($A40="","",ROUND(IF(SUMIFS(campaigns!$BO$2:$BO$51,campaigns!$B$2:$B$51,$B40)=0,0,$BO40/SUMIFS(campaigns!$BO$2:$BO$51,campaigns!$B$2:$B$51,$B40))*(SUMIFS(hours!$E$2:$E$1501,hours!$B$2:$B$1501,$B40)-SUMPRODUCT((hours!$B$2:$B$1501=$B40)*(LEN(hours!$C$2:$C$1501)&gt;0)*hours!$E$2:$E$1501)),2))</f>
        <v/>
      </c>
      <c r="DK40" s="27">
        <f>IF($A40="","",$DB40-$DF40-$DG40-$DH40)</f>
        <v/>
      </c>
      <c r="DL40" s="27">
        <f>IF($A40="","",IF(N($DI40)+N($DJ40)=0,"",ROUND($DK40/($DI40+$DJ40),2)))</f>
        <v/>
      </c>
      <c r="DM40" s="29">
        <f>IF($A40="","",IF(N($BP40)=0,"",COUNTIFS(approvals!$A$2:$A$251,$A40,approvals!$Q$2:$Q$251,"Y",approvals!$AK$2:$AK$251,"Y")/$BP40))</f>
        <v/>
      </c>
      <c r="DN40" s="28">
        <f>IF($A40="","",IF(COUNTIFS(approvals!$A$2:$A$251,$A40,approvals!$AC$2:$AC$251,"&gt;=0")=0,"",ROUND(SUMIFS(approvals!$AC$2:$AC$251,approvals!$A$2:$A$251,$A40)/COUNTIFS(approvals!$A$2:$A$251,$A40,approvals!$AC$2:$AC$251,"&gt;=0"),1)))</f>
        <v/>
      </c>
      <c r="DO40" s="26">
        <f>IF($A40="","",IFERROR(IF(INDEX(drops!$T$2:$T$21,MATCH($B40,drops!$A$2:$A$21,0))="","",INDEX(drops!$T$2:$T$21,MATCH($B40,drops!$A$2:$A$21,0))),""))</f>
        <v/>
      </c>
      <c r="DP40" s="26">
        <f>IF($A40="","",IFERROR(IF(INDEX(drops!$U$2:$U$21,MATCH($B40,drops!$A$2:$A$21,0))="","",INDEX(drops!$U$2:$U$21,MATCH($B40,drops!$A$2:$A$21,0))),""))</f>
        <v/>
      </c>
      <c r="DQ40" s="26">
        <f>IF($A40="","",IFERROR(IF(INDEX(drops!$W$2:$W$21,MATCH($B40,drops!$A$2:$A$21,0))="","",INDEX(drops!$W$2:$W$21,MATCH($B40,drops!$A$2:$A$21,0))),""))</f>
        <v/>
      </c>
      <c r="DR40" s="25">
        <f>IF($A40="","",IF($CE40="","",IF($CE40&gt;=config!$B$31,"pass","miss")))</f>
        <v/>
      </c>
      <c r="DS40" s="25">
        <f>IF($A40="","",IF($CI40="","",IF($CI40&gt;=config!$B$30,"pass","miss")))</f>
        <v/>
      </c>
      <c r="DT40" s="25">
        <f>IF($A40="","",IF($AT40="",IF($DO40="","",IF(IF(config!$B$37&lt;&gt;"",config!$B$37,TODAY())&gt;$DO40,"late","due")),IF($AT40&lt;=$DO40,"pass","late")))</f>
        <v/>
      </c>
      <c r="DU40" s="25">
        <f>IF($A40="","",IF(COUNTIF(drops!$A$2:$A$21,$B40)=0,"drop_id not on drops; ",IF($BG40="","drop date missing or refused; ",""))&amp;IF(AND($G40&lt;&gt;"",$G40&lt;&gt;$BI40),"price differs from the price list; ","")&amp;IF(AND(LEFT($BW40,4)="HOLD",$BL40&lt;&gt;"",IF(config!$B$37&lt;&gt;"",config!$B$37,TODAY())&gt;=WORKDAY(N($BL40),-3,calendar!$A$2:$A$80)),"SHIP HOLD within 3 business days of T-10; ","")&amp;IF(AND($BQ40&gt;0,$BL40&lt;&gt;"",IF(config!$B$37&lt;&gt;"",config!$B$37,TODAY())&gt;$BL40),"approvals still pending after T-10; ","")&amp;IF($BZ40&lt;0,"reserve below zero: check inventory; ","")&amp;IF(AND($BG40&lt;&gt;"",IF(config!$B$37&lt;&gt;"",config!$B$37,TODAY())&gt;WORKDAY(N($BG40),14,calendar!$A$2:$A$80),N($BZ40)+N($CA40)&lt;&gt;0),"units still on hand after T+14; ","")&amp;IF(N($CV40)&gt;0,"info: "&amp;$CV40&amp;" in-window responses with a card code that matches no office (not counted); ","")&amp;IF(AND($Z40="Y",$AK40=""),"newsletter form URL missing; ","")&amp;IF(AND($Z40="Y",$BG40&lt;&gt;"",IF(config!$B$37&lt;&gt;"",config!$B$37,TODAY())&gt;WORKDAY(N($BG40),5,calendar!$A$2:$A$80),$AY40=""),"newsletter list not yet passed on (due T+5); ","")&amp;IF(AND($AY40&lt;&gt;"",$BA40=""),"delete unticked emails; ","")&amp;IF(AND($AY40&lt;&gt;"",$BB40="",IF(config!$B$37&lt;&gt;"",config!$B$37,TODAY())&gt;$AY40+config!$B$32),"DELETE the consented emails (30 days after passing on); ","")&amp;IF(AND($BG40&lt;&gt;"",$AJ40="",IF(config!$B$37&lt;&gt;"",config!$B$37,TODAY())&gt;=WORKDAY(N($BG40),-4,calendar!$A$2:$A$80)),"survey prefill template missing (due T-4); ","")&amp;IF(AND($AJ40&lt;&gt;"",ISERROR(SEARCH("CARDCODE",$AJ40))),"prefill template has no CARDCODE; ","")&amp;IF(AND($AF40="",$BG40&lt;&gt;"",IF(config!$B$37&lt;&gt;"",config!$B$37,TODAY())&gt;=WORKDAY(N($BG40),-3,calendar!$A$2:$A$80)),"card text not yet sent to the brand; ","")&amp;IF(AND($DA40="",$DQ40&lt;&gt;"",IF(config!$B$37&lt;&gt;"",config!$B$37,TODAY())&gt;$DQ40),"day-30 redemption count due; ","")&amp;IF(AND(LEFT($BW40,8)="RELEASED",$AG40=""),"ship-date email due (template 02): send it, then log ship_email_sent_date and ship_email_units; ","")&amp;IF(AND($AH40&lt;&gt;"",N($BT40)&gt;0,N($BX40)=0,N($AH40)&lt;&gt;N($BT40)),"units changed since the ship-date email of "&amp;IF($AG40="","?",TEXT($AG40,"yyyy-mm-dd"))&amp;" ("&amp;$AH40&amp;", now "&amp;$BT40&amp;"): send the brand the revised numbers (template 02) and log them; ","")&amp;IF($DT40="late","report late; ","")&amp;IF(AND(N($F40)&gt;0,$BO40&lt;N($F40),$BQ40=0),"info: "&amp;(N($F40)-$BO40)&amp;" office(s) short of the contract: add a roster office or credit $"&amp;IF($D40="founding",config!$B$25,config!$B$24)&amp;" each; ","")&amp;IF($BC40&lt;&gt;"",IF(COUNTIF(survey_frozen!$A$2:$A$251,$A40)=0,"answers deleted but no frozen totals: the survey numbers now read 0 (tools/freeze_survey.py, SOP answers_delete); ",""),IF(AND($BG40&lt;&gt;"",IF(config!$B$37&lt;&gt;"",config!$B$37,TODAY())&gt;=$BG40,ISREF(INDIRECT("'"&amp;$A40&amp;"'!B1"))),IF(INDIRECT("'"&amp;$A40&amp;"'!B1")&lt;&gt;"Card code (filled in for you)","survey tab column B is not the card code: fix the form or the tab; ",""),IF(AND($BG40&lt;&gt;"",IF(config!$B$37&lt;&gt;"",config!$B$37,TODAY())&gt;=$BG40),"no survey tab named "&amp;$A40&amp;"; ","")))&amp;IF(COUNTIF(brands!$A$2:$A$41,$C40)=0,"brand_id not on brands; ",IF(LEFT(IFERROR(IF(INDEX(brands!$AG$2:$AG$41,MATCH($C40,brands!$A$2:$A$41,0))="","",INDEX(brands!$AG$2:$AG$41,MATCH($C40,brands!$A$2:$A$41,0))),""),1)&lt;&gt;"Y","brand not qualified ("&amp;IFERROR(IF(INDEX(brands!$AG$2:$AG$41,MATCH($C40,brands!$A$2:$A$41,0))="","",INDEX(brands!$AG$2:$AG$41,MATCH($C40,brands!$A$2:$A$41,0))),"")&amp;"): nothing ships until it is; ",""))&amp;IF(AND(COUNTIF(brands!$A$2:$A$41,$C40)&gt;0,OR(IFERROR(IF(INDEX(brands!$C$2:$C$41,MATCH($C40,brands!$A$2:$A$41,0))="","",INDEX(brands!$C$2:$C$41,MATCH($C40,brands!$A$2:$A$41,0))),"")="",IFERROR(IF(INDEX(brands!$D$2:$D$41,MATCH($C40,brands!$A$2:$A$41,0))="","",INDEX(brands!$D$2:$D$41,MATCH($C40,brands!$A$2:$A$41,0))),"")="",IFERROR(IF(INDEX(brands!$E$2:$E$41,MATCH($C40,brands!$A$2:$A$41,0))="","",INDEX(brands!$E$2:$E$41,MATCH($C40,brands!$A$2:$A$41,0))),"")="")),"brand billing details missing on brands (legal name, address, email): needed for the invoice; ","")&amp;IF(AND($D40="founding",$E40&lt;&gt;"Y",N(IFERROR(IF(INDEX(brands!$AI$2:$AI$41,MATCH($C40,brands!$A$2:$A$41,0))="","",INDEX(brands!$AI$2:$AI$41,MATCH($C40,brands!$A$2:$A$41,0))),""))&gt;3),"the founding tier is for the first three brands only (this is brand "&amp;IFERROR(IF(INDEX(brands!$AI$2:$AI$41,MATCH($C40,brands!$A$2:$A$41,0))="","",INDEX(brands!$AI$2:$AI$41,MATCH($C40,brands!$A$2:$A$41,0))),"")&amp;"): use standard; ","")&amp;IF(AND($D40="founding",$E40&lt;&gt;"Y",COUNTIFS(campaigns!$C$2:$C$51,$C40,campaigns!$D$2:$D$51,"founding",campaigns!$E$2:$E$51,"&lt;&gt;Y")&gt;1),"a brand has the founding price once; its next two campaigns are founding_lock = Y; ","")&amp;IF(AND($E40="Y",COUNTIFS(campaigns!$C$2:$C$51,$C40,campaigns!$D$2:$D$51,"founding",campaigns!$E$2:$E$51,"Y")&gt;2),"founding_lock is for the brand's next two campaigns only (this is a third): use standard; ","")&amp;IF(AND($E40="Y",COUNTIFS(campaigns!$C$2:$C$51,$C40,campaigns!$D$2:$D$51,"founding",campaigns!$E$2:$E$51,"&lt;&gt;Y")=0),"founding_lock without a first founding campaign for this brand; ","")&amp;IF(AND(N($BX40)&gt;0,$BG40&lt;&gt;"",IF(config!$B$37&lt;&gt;"",config!$B$37,TODAY())&gt;=WORKDAY(N($BG40),-5,calendar!$A$2:$A$80)),IF(N($BX40)-N($BY40)&lt;N($BR40),"received "&amp;(N($BX40)-N($BY40))&amp;" usable units for "&amp;$BR40&amp;" allocated: reduce units_override evenly (SOP section 4, short shipment); ","")&amp;IF(AND(N($BX40)&lt;N($BT40),COUNTIFS(issues!$E$2:$E$121,$A40,issues!$G$2:$G$121,"short_shipment")=0),"received "&amp;$BX40&amp;" of "&amp;$BT40&amp;" due: log a short_shipment issue and tell the brand today; ",""),"")&amp;IF(AND($BG40&lt;&gt;"",IF(config!$B$37&lt;&gt;"",config!$B$37,TODAY())&gt;=WORKDAY(N($BG40),1,calendar!$A$2:$A$80),N($F40)&gt;0,(-SUMIFS(invoices!$E$2:$E$151,invoices!$B$2:$B$151,$A40,invoices!$C$2:$C$151,"credit_note"))&lt;(IF($D40="founding",config!$B$25,config!$B$24)*MAX(0,N($F40)-COUNTIFS(approvals!$A$2:$A$251,$A40,approvals!$Q$2:$Q$251,"Y",approvals!$AB$2:$AB$251,"Y")))-0.005),"credit due from T+1: "&amp;MAX(0,N($F40)-COUNTIFS(approvals!$A$2:$A$251,$A40,approvals!$Q$2:$Q$251,"Y",approvals!$AB$2:$AB$251,"Y"))&amp;" of "&amp;$F40&amp;" contracted offices not placed by T+1, $"&amp;(IF($D40="founding",config!$B$25,config!$B$24)*MAX(0,N($F40)-COUNTIFS(approvals!$A$2:$A$251,$A40,approvals!$Q$2:$Q$251,"Y",approvals!$AB$2:$AB$251,"Y")))&amp;" due, $"&amp;(-SUMIFS(invoices!$E$2:$E$151,invoices!$B$2:$B$151,$A40,invoices!$C$2:$C$151,"credit_note"))&amp;" in credit notes so far (template 06, make_invoice.py); ","")&amp;IF(AND(IFERROR(IF(INDEX(brands!$H$2:$H$41,MATCH($C40,brands!$A$2:$A$41,0))="","",INDEX(brands!$H$2:$H$41,MATCH($C40,brands!$A$2:$A$41,0))),"")&lt;&gt;"",$BG40&lt;&gt;"",IFERROR(IF(INDEX(brands!$H$2:$H$41,MATCH($C40,brands!$A$2:$A$41,0))="","",INDEX(brands!$H$2:$H$41,MATCH($C40,brands!$A$2:$A$41,0))),"")&lt;EDATE(WORKDAY(N($BG40),4,calendar!$A$2:$A$80),12)),"info: brand insurance ends "&amp;TEXT(IFERROR(IF(INDEX(brands!$H$2:$H$41,MATCH($C40,brands!$A$2:$A$41,0))="","",INDEX(brands!$H$2:$H$41,MATCH($C40,brands!$A$2:$A$41,0))),""),"yyyy-mm-dd")&amp;": diary the renewal certificate; ",""))</f>
        <v/>
      </c>
    </row>
    <row r="41">
      <c r="G41" s="10" t="n"/>
      <c r="H41" s="9" t="n"/>
      <c r="AB41" s="9" t="n"/>
      <c r="AC41" s="9" t="n"/>
      <c r="AD41" s="9" t="n"/>
      <c r="AF41" s="9" t="n"/>
      <c r="AG41" s="9" t="n"/>
      <c r="AT41" s="9" t="n"/>
      <c r="AU41" s="9" t="n"/>
      <c r="AY41" s="9" t="n"/>
      <c r="BA41" s="9" t="n"/>
      <c r="BB41" s="9" t="n"/>
      <c r="BC41" s="9" t="n"/>
      <c r="BE41" s="25">
        <f>IF($A41="","",IFERROR(IF(INDEX(brands!$K$2:$K$41,MATCH($C41,brands!$A$2:$A$41,0))="","",INDEX(brands!$K$2:$K$41,MATCH($C41,brands!$A$2:$A$41,0))),""))</f>
        <v/>
      </c>
      <c r="BF41" s="25">
        <f>IF($A41="","",IFERROR(IF(INDEX(brands!$M$2:$M$41,MATCH($C41,brands!$A$2:$A$41,0))="","",INDEX(brands!$M$2:$M$41,MATCH($C41,brands!$A$2:$A$41,0))),""))</f>
        <v/>
      </c>
      <c r="BG41" s="26">
        <f>IF($A41="","",IF(IFERROR(IF(INDEX(drops!$I$2:$I$21,MATCH($B41,drops!$A$2:$A$21,0))="","",INDEX(drops!$I$2:$I$21,MATCH($B41,drops!$A$2:$A$21,0))),"")="OK",IFERROR(IF(INDEX(drops!$B$2:$B$21,MATCH($B41,drops!$A$2:$A$21,0))="","",INDEX(drops!$B$2:$B$21,MATCH($B41,drops!$A$2:$A$21,0))),""),""))</f>
        <v/>
      </c>
      <c r="BH41" s="25">
        <f>IF($A41="","",IFERROR(IF(INDEX(drops!$C$2:$C$21,MATCH($B41,drops!$A$2:$A$21,0))="","",INDEX(drops!$C$2:$C$21,MATCH($B41,drops!$A$2:$A$21,0))),""))</f>
        <v/>
      </c>
      <c r="BI41" s="27">
        <f>IF($A41="","",IF($F41="","",IF($D41="founding",IF($E41="Y",config!$B$25*MIN($F41,config!$B$26)+config!$B$24*MAX(0,$F41-config!$B$26),config!$B$20+config!$B$24*MAX(0,$F41-config!$B$21)),IF($D41="standard",config!$B$22+config!$B$24*MAX(0,$F41-config!$B$23),""))))</f>
        <v/>
      </c>
      <c r="BJ41" s="27">
        <f>IF($A41="","",IF($G41&lt;&gt;"",$G41,$BI41))</f>
        <v/>
      </c>
      <c r="BK41" s="25">
        <f>IF($A41="","",IF($D41="founding","100% within "&amp;config!$B$27&amp;" business days of the invoice, before shipping",IF($D41="standard","50% on signing; 50% at placement confirmation (T+1)","")))</f>
        <v/>
      </c>
      <c r="BL41" s="26">
        <f>IF($A41="","",IFERROR(IF(INDEX(drops!$K$2:$K$21,MATCH($B41,drops!$A$2:$A$21,0))="","",INDEX(drops!$K$2:$K$21,MATCH($B41,drops!$A$2:$A$21,0))),""))</f>
        <v/>
      </c>
      <c r="BM41" s="26">
        <f>IF($A41="","",IFERROR(IF(INDEX(drops!$L$2:$L$21,MATCH($B41,drops!$A$2:$A$21,0))="","",INDEX(drops!$L$2:$L$21,MATCH($B41,drops!$A$2:$A$21,0))),""))</f>
        <v/>
      </c>
      <c r="BN41" s="25">
        <f>IF($A41="","",COUNTIF(approvals!$A$2:$A$251,$A41))</f>
        <v/>
      </c>
      <c r="BO41" s="25">
        <f>IF($A41="","",COUNTIFS(approvals!$A$2:$A$251,$A41,approvals!$P$2:$P$251,"Y"))</f>
        <v/>
      </c>
      <c r="BP41" s="25">
        <f>IF($A41="","",COUNTIFS(approvals!$A$2:$A$251,$A41,approvals!$Q$2:$Q$251,"Y"))</f>
        <v/>
      </c>
      <c r="BQ41" s="25">
        <f>IF($A41="","",COUNTIFS(approvals!$A$2:$A$251,$A41,approvals!$P$2:$P$251,"pending"))</f>
        <v/>
      </c>
      <c r="BR41" s="25">
        <f>IF($A41="","",SUMIFS(approvals!$S$2:$S$251,approvals!$A$2:$A$251,$A41,approvals!$P$2:$P$251,"Y"))</f>
        <v/>
      </c>
      <c r="BS41" s="25">
        <f>IF($A41="","",ROUNDUP($BR41*config!$B$18,0))</f>
        <v/>
      </c>
      <c r="BT41" s="25">
        <f>IF($A41="","",$BR41+$BS41)</f>
        <v/>
      </c>
      <c r="BU41" s="27">
        <f>IF($A41="","",SUMIFS(invoices!$I$2:$I$151,invoices!$B$2:$B$151,$A41,invoices!$R$2:$R$151,"Y",invoices!$H$2:$H$151,"&gt;0"))</f>
        <v/>
      </c>
      <c r="BV41" s="27">
        <f>IF($A41="","",IF($BJ41="","",IF($D41="founding",$BJ41,ROUND($BJ41*config!$B$28,2))))</f>
        <v/>
      </c>
      <c r="BW41" s="25">
        <f>IF($A41="","",IF(AND(N($BU41)&gt;=N($BV41),N($BV41)&gt;0,$H41&lt;&gt;"",AND($AB41&lt;&gt;"",IFERROR(IF(INDEX(brands!$G$2:$G$41,MATCH($C41,brands!$A$2:$A$41,0))="","",INDEX(brands!$G$2:$G$41,MATCH($C41,brands!$A$2:$A$41,0))),"")="Y"),LEFT(IFERROR(IF(INDEX(brands!$AG$2:$AG$41,MATCH($C41,brands!$A$2:$A$41,0))="","",INDEX(brands!$AG$2:$AG$41,MATCH($C41,brands!$A$2:$A$41,0))),""),1)="Y",$BG41&lt;&gt;"",$BQ41=0,$BO41&gt;0),"RELEASED "&amp;TEXT(MAX(IFERROR(1/(1/SUMPRODUCT(MAX((invoices!$B$2:$B$151=$A41)*(invoices!$R$2:$R$151="Y")*(invoices!$H$2:$H$151)))),""),$H41,$AB41,SUMPRODUCT(MAX((approvals!$A$2:$A$251=$A41)*(approvals!$P$2:$P$251="Y")*(approvals!$E$2:$E$251+(approvals!$E$2:$E$251=0)*approvals!$C$2:$C$251)))),"yyyy-mm-dd")&amp;": ship by "&amp;TEXT($BM41,"ddd yyyy-mm-dd")&amp;" (latest "&amp;TEXT($BL41,"ddd yyyy-mm-dd")&amp;")","HOLD: "&amp;IF(N($BU41)&lt;N($BV41),"payment ("&amp;TEXT(N($BU41),"0")&amp;" of "&amp;TEXT(N($BV41),"0")&amp;") ","")&amp;IF($H41="","agreement ","")&amp;IF(NOT(AND($AB41&lt;&gt;"",IFERROR(IF(INDEX(brands!$G$2:$G$41,MATCH($C41,brands!$A$2:$A$41,0))="","",INDEX(brands!$G$2:$G$41,MATCH($C41,brands!$A$2:$A$41,0))),"")="Y")),"certificate ","")&amp;IF(NOT(LEFT(IFERROR(IF(INDEX(brands!$AG$2:$AG$41,MATCH($C41,brands!$A$2:$A$41,0))="","",INDEX(brands!$AG$2:$AG$41,MATCH($C41,brands!$A$2:$A$41,0))),""),1)="Y"),"qualification ","")&amp;IF($BG41="","drop date ","")&amp;IF($BQ41&gt;0,"approvals ("&amp;$BQ41&amp;" pending) ","")&amp;IF($BO41=0,"no office approved ","")))</f>
        <v/>
      </c>
      <c r="BX41" s="25">
        <f>IF($A41="","",SUMIFS(inventory!$G$2:$G$801,inventory!$C$2:$C$801,$A41,inventory!$E$2:$E$801,"received"))</f>
        <v/>
      </c>
      <c r="BY41" s="25">
        <f>IF($A41="","",SUMIFS(inventory!$G$2:$G$801,inventory!$C$2:$C$801,$A41,inventory!$E$2:$E$801,"rejected"))</f>
        <v/>
      </c>
      <c r="BZ41" s="25">
        <f>IF($A41="","",SUMIFS(inventory!$M$2:$M$801,inventory!$C$2:$C$801,$A41))</f>
        <v/>
      </c>
      <c r="CA41" s="25">
        <f>IF($A41="","",SUMIFS(inventory!$O$2:$O$801,inventory!$C$2:$C$801,$A41))</f>
        <v/>
      </c>
      <c r="CB41" s="25">
        <f>IF($A41="","",SUMIFS(approvals!$U$2:$U$251,approvals!$A$2:$A$251,$A41))</f>
        <v/>
      </c>
      <c r="CC41" s="25">
        <f>IF($A41="","",SUMIFS(approvals!$AA$2:$AA$251,approvals!$A$2:$A$251,$A41))</f>
        <v/>
      </c>
      <c r="CD41" s="25">
        <f>IF($A41="","",SUMIFS(approvals!$AA$2:$AA$251,approvals!$A$2:$A$251,$A41,approvals!$AB$2:$AB$251,"Y"))</f>
        <v/>
      </c>
      <c r="CE41" s="29">
        <f>IF($A41="","",IF(N($CB41)=0,"",$CD41/$CB41))</f>
        <v/>
      </c>
      <c r="CF41" s="25">
        <f>IF($A41="","",SUMIFS(approvals!$AD$2:$AD$251,approvals!$A$2:$A$251,$A41))</f>
        <v/>
      </c>
      <c r="CG41" s="25">
        <f>IF($A41="","",IF(COUNTIFS(approvals!$A$2:$A$251,$A41,approvals!$Q$2:$Q$251,"Y",approvals!$AG$2:$AG$251,"")&gt;0,"",SUMIFS(approvals!$AG$2:$AG$251,approvals!$A$2:$A$251,$A41,approvals!$Q$2:$Q$251,"Y")))</f>
        <v/>
      </c>
      <c r="CH41" s="25">
        <f>IF($A41="","",SUMIFS(approvals!$AL$2:$AL$251,approvals!$A$2:$A$251,$A41))</f>
        <v/>
      </c>
      <c r="CI41" s="25">
        <f>IF($A41="","",IF(N($BP41)=0,"",SUMPRODUCT(MIN(approvals!$BB$2:$BB$251+(approvals!$A$2:$A$251&lt;&gt;$A41)*1000000))))</f>
        <v/>
      </c>
      <c r="CJ41" s="25">
        <f>IF($A41="","",COUNTIFS(approvals!$A$2:$A$251,$A41,approvals!$Q$2:$Q$251,"Y",approvals!$AL$2:$AL$251,"&lt;"&amp;config!$B$30))</f>
        <v/>
      </c>
      <c r="CK41" s="25">
        <f>IF($A41="","",SUMIFS(approvals!$AM$2:$AM$251,approvals!$A$2:$A$251,$A41))</f>
        <v/>
      </c>
      <c r="CL41" s="25">
        <f>IF($A41="","",SUMIFS(approvals!$AQ$2:$AQ$251,approvals!$A$2:$A$251,$A41))</f>
        <v/>
      </c>
      <c r="CM41" s="25">
        <f>IF($A41="","",SUMIFS(approvals!$AR$2:$AR$251,approvals!$A$2:$A$251,$A41))</f>
        <v/>
      </c>
      <c r="CN41" s="25">
        <f>IF($A41="","",SUMIFS(approvals!$AS$2:$AS$251,approvals!$A$2:$A$251,$A41))</f>
        <v/>
      </c>
      <c r="CO41" s="25">
        <f>IF($A41="","",SUMIFS(approvals!$AT$2:$AT$251,approvals!$A$2:$A$251,$A41))</f>
        <v/>
      </c>
      <c r="CP41" s="28">
        <f>IF($A41="","",IF(N($CO41)=0,"",ROUND(SUMIFS(approvals!$AU$2:$AU$251,approvals!$A$2:$A$251,$A41)/$CO41,1)))</f>
        <v/>
      </c>
      <c r="CQ41" s="25">
        <f>IF($A41="","",SUMIFS(approvals!$AV$2:$AV$251,approvals!$A$2:$A$251,$A41))</f>
        <v/>
      </c>
      <c r="CR41" s="25">
        <f>IF($A41="","",SUMIFS(approvals!$AW$2:$AW$251,approvals!$A$2:$A$251,$A41))</f>
        <v/>
      </c>
      <c r="CS41" s="25">
        <f>IF($A41="","",SUMIFS(approvals!$AX$2:$AX$251,approvals!$A$2:$A$251,$A41))</f>
        <v/>
      </c>
      <c r="CT41" s="25">
        <f>IF($A41="","",SUMIFS(approvals!$AY$2:$AY$251,approvals!$A$2:$A$251,$A41))</f>
        <v/>
      </c>
      <c r="CU41" s="25">
        <f>IF($A41="","",IF(OR($BG41="",$BC41&lt;&gt;""),"",IFERROR(COUNT(INDIRECT("'"&amp;$A41&amp;"'!$A$2:$A$501")),0)-IFERROR(COUNTIFS(INDIRECT("'"&amp;$A41&amp;"'!$A$2:$A$501"),"&gt;="&amp;$BG41,INDIRECT("'"&amp;$A41&amp;"'!$A$2:$A$501"),"&lt;"&amp;(IFERROR(IF(INDEX(drops!$R$2:$R$21,MATCH($B41,drops!$A$2:$A$21,0))="","",INDEX(drops!$R$2:$R$21,MATCH($B41,drops!$A$2:$A$21,0))),"")+1)),0)))</f>
        <v/>
      </c>
      <c r="CV41" s="25">
        <f>IF($A41="","",IF(OR($BG41="",$BC41&lt;&gt;""),"",IFERROR(COUNTIFS(INDIRECT("'"&amp;$A41&amp;"'!$A$2:$A$501"),"&gt;="&amp;$BG41,INDIRECT("'"&amp;$A41&amp;"'!$A$2:$A$501"),"&lt;"&amp;(IFERROR(IF(INDEX(drops!$R$2:$R$21,MATCH($B41,drops!$A$2:$A$21,0))="","",INDEX(drops!$R$2:$R$21,MATCH($B41,drops!$A$2:$A$21,0))),"")+1)),0)-N($CH41)))</f>
        <v/>
      </c>
      <c r="CW41" s="25">
        <f>IF($A41="","",SUMIFS(approvals!$AN$2:$AN$251,approvals!$A$2:$A$251,$A41))</f>
        <v/>
      </c>
      <c r="CX41" s="25">
        <f>IF($A41="","",SUMIFS(approvals!$AO$2:$AO$251,approvals!$A$2:$A$251,$A41))</f>
        <v/>
      </c>
      <c r="CY41" s="25">
        <f>IF($A41="","",IF($CZ41="","",SUMIFS(redemptions!$C$2:$C$121,redemptions!$A$2:$A$121,$A41,redemptions!$B$2:$B$121,$CZ41)))</f>
        <v/>
      </c>
      <c r="CZ41" s="26">
        <f>IF($A41="","",IFERROR(1/(1/SUMPRODUCT(MAX((redemptions!$A$2:$A$121=$A41)*redemptions!$B$2:$B$121))),""))</f>
        <v/>
      </c>
      <c r="DA41" s="25">
        <f>IF($A41="","",IF(COUNTIFS(redemptions!$A$2:$A$121,$A41,redemptions!$H$2:$H$121,"Y")=0,"",SUMIFS(redemptions!$C$2:$C$121,redemptions!$A$2:$A$121,$A41,redemptions!$B$2:$B$121,SUMPRODUCT(MIN((redemptions!$A$2:$A$121=$A41)*(redemptions!$H$2:$H$121="Y")*redemptions!$B$2:$B$121+((redemptions!$A$2:$A$121&lt;&gt;$A41)+(redemptions!$H$2:$H$121&lt;&gt;"Y")&gt;0)*1000000)))))</f>
        <v/>
      </c>
      <c r="DB41" s="27">
        <f>IF($A41="","",SUMIFS(invoices!$E$2:$E$151,invoices!$B$2:$B$151,$A41))</f>
        <v/>
      </c>
      <c r="DC41" s="27">
        <f>IF($A41="","",IF(COUNTIFS(invoices!$B$2:$B$151,$A41,invoices!$C$2:$C$151,"standard_deposit",invoices!$H$2:$H$151,"&gt;0")=0,"",SUMIFS(invoices!$I$2:$I$151,invoices!$B$2:$B$151,$A41,invoices!$C$2:$C$151,"standard_deposit")))</f>
        <v/>
      </c>
      <c r="DD41" s="26">
        <f>IF($A41="","",IFERROR(1/(1/SUMPRODUCT(MAX((invoices!$B$2:$B$151=$A41)*(invoices!$C$2:$C$151="standard_deposit")*invoices!$H$2:$H$151))),""))</f>
        <v/>
      </c>
      <c r="DE41" s="26">
        <f>IF($A41="","",IFERROR(1/(1/SUMPRODUCT(MAX((invoices!$B$2:$B$151=$A41)*((invoices!$C$2:$C$151="founding_full")+(invoices!$C$2:$C$151="standard_balance"))*invoices!$H$2:$H$151))),""))</f>
        <v/>
      </c>
      <c r="DF41" s="27">
        <f>IF($A41="","",SUMIFS(invoices!$L$2:$L$151,invoices!$B$2:$B$151,$A41))</f>
        <v/>
      </c>
      <c r="DG41" s="27">
        <f>IF($A41="","",SUMIFS(costs!$E$2:$E$301,costs!$C$2:$C$301,$A41))</f>
        <v/>
      </c>
      <c r="DH41" s="27">
        <f>IF($A41="","",ROUND(IF(SUMIFS(campaigns!$BO$2:$BO$51,campaigns!$B$2:$B$51,$B41)=0,0,$BO41/SUMIFS(campaigns!$BO$2:$BO$51,campaigns!$B$2:$B$51,$B41))*(SUMIFS(costs!$E$2:$E$301,costs!$B$2:$B$301,$B41)-SUMPRODUCT((costs!$B$2:$B$301=$B41)*(LEN(costs!$C$2:$C$301)&gt;0)*costs!$E$2:$E$301)),2))</f>
        <v/>
      </c>
      <c r="DI41" s="28">
        <f>IF($A41="","",SUMIFS(hours!$E$2:$E$1501,hours!$C$2:$C$1501,$A41))</f>
        <v/>
      </c>
      <c r="DJ41" s="28">
        <f>IF($A41="","",ROUND(IF(SUMIFS(campaigns!$BO$2:$BO$51,campaigns!$B$2:$B$51,$B41)=0,0,$BO41/SUMIFS(campaigns!$BO$2:$BO$51,campaigns!$B$2:$B$51,$B41))*(SUMIFS(hours!$E$2:$E$1501,hours!$B$2:$B$1501,$B41)-SUMPRODUCT((hours!$B$2:$B$1501=$B41)*(LEN(hours!$C$2:$C$1501)&gt;0)*hours!$E$2:$E$1501)),2))</f>
        <v/>
      </c>
      <c r="DK41" s="27">
        <f>IF($A41="","",$DB41-$DF41-$DG41-$DH41)</f>
        <v/>
      </c>
      <c r="DL41" s="27">
        <f>IF($A41="","",IF(N($DI41)+N($DJ41)=0,"",ROUND($DK41/($DI41+$DJ41),2)))</f>
        <v/>
      </c>
      <c r="DM41" s="29">
        <f>IF($A41="","",IF(N($BP41)=0,"",COUNTIFS(approvals!$A$2:$A$251,$A41,approvals!$Q$2:$Q$251,"Y",approvals!$AK$2:$AK$251,"Y")/$BP41))</f>
        <v/>
      </c>
      <c r="DN41" s="28">
        <f>IF($A41="","",IF(COUNTIFS(approvals!$A$2:$A$251,$A41,approvals!$AC$2:$AC$251,"&gt;=0")=0,"",ROUND(SUMIFS(approvals!$AC$2:$AC$251,approvals!$A$2:$A$251,$A41)/COUNTIFS(approvals!$A$2:$A$251,$A41,approvals!$AC$2:$AC$251,"&gt;=0"),1)))</f>
        <v/>
      </c>
      <c r="DO41" s="26">
        <f>IF($A41="","",IFERROR(IF(INDEX(drops!$T$2:$T$21,MATCH($B41,drops!$A$2:$A$21,0))="","",INDEX(drops!$T$2:$T$21,MATCH($B41,drops!$A$2:$A$21,0))),""))</f>
        <v/>
      </c>
      <c r="DP41" s="26">
        <f>IF($A41="","",IFERROR(IF(INDEX(drops!$U$2:$U$21,MATCH($B41,drops!$A$2:$A$21,0))="","",INDEX(drops!$U$2:$U$21,MATCH($B41,drops!$A$2:$A$21,0))),""))</f>
        <v/>
      </c>
      <c r="DQ41" s="26">
        <f>IF($A41="","",IFERROR(IF(INDEX(drops!$W$2:$W$21,MATCH($B41,drops!$A$2:$A$21,0))="","",INDEX(drops!$W$2:$W$21,MATCH($B41,drops!$A$2:$A$21,0))),""))</f>
        <v/>
      </c>
      <c r="DR41" s="25">
        <f>IF($A41="","",IF($CE41="","",IF($CE41&gt;=config!$B$31,"pass","miss")))</f>
        <v/>
      </c>
      <c r="DS41" s="25">
        <f>IF($A41="","",IF($CI41="","",IF($CI41&gt;=config!$B$30,"pass","miss")))</f>
        <v/>
      </c>
      <c r="DT41" s="25">
        <f>IF($A41="","",IF($AT41="",IF($DO41="","",IF(IF(config!$B$37&lt;&gt;"",config!$B$37,TODAY())&gt;$DO41,"late","due")),IF($AT41&lt;=$DO41,"pass","late")))</f>
        <v/>
      </c>
      <c r="DU41" s="25">
        <f>IF($A41="","",IF(COUNTIF(drops!$A$2:$A$21,$B41)=0,"drop_id not on drops; ",IF($BG41="","drop date missing or refused; ",""))&amp;IF(AND($G41&lt;&gt;"",$G41&lt;&gt;$BI41),"price differs from the price list; ","")&amp;IF(AND(LEFT($BW41,4)="HOLD",$BL41&lt;&gt;"",IF(config!$B$37&lt;&gt;"",config!$B$37,TODAY())&gt;=WORKDAY(N($BL41),-3,calendar!$A$2:$A$80)),"SHIP HOLD within 3 business days of T-10; ","")&amp;IF(AND($BQ41&gt;0,$BL41&lt;&gt;"",IF(config!$B$37&lt;&gt;"",config!$B$37,TODAY())&gt;$BL41),"approvals still pending after T-10; ","")&amp;IF($BZ41&lt;0,"reserve below zero: check inventory; ","")&amp;IF(AND($BG41&lt;&gt;"",IF(config!$B$37&lt;&gt;"",config!$B$37,TODAY())&gt;WORKDAY(N($BG41),14,calendar!$A$2:$A$80),N($BZ41)+N($CA41)&lt;&gt;0),"units still on hand after T+14; ","")&amp;IF(N($CV41)&gt;0,"info: "&amp;$CV41&amp;" in-window responses with a card code that matches no office (not counted); ","")&amp;IF(AND($Z41="Y",$AK41=""),"newsletter form URL missing; ","")&amp;IF(AND($Z41="Y",$BG41&lt;&gt;"",IF(config!$B$37&lt;&gt;"",config!$B$37,TODAY())&gt;WORKDAY(N($BG41),5,calendar!$A$2:$A$80),$AY41=""),"newsletter list not yet passed on (due T+5); ","")&amp;IF(AND($AY41&lt;&gt;"",$BA41=""),"delete unticked emails; ","")&amp;IF(AND($AY41&lt;&gt;"",$BB41="",IF(config!$B$37&lt;&gt;"",config!$B$37,TODAY())&gt;$AY41+config!$B$32),"DELETE the consented emails (30 days after passing on); ","")&amp;IF(AND($BG41&lt;&gt;"",$AJ41="",IF(config!$B$37&lt;&gt;"",config!$B$37,TODAY())&gt;=WORKDAY(N($BG41),-4,calendar!$A$2:$A$80)),"survey prefill template missing (due T-4); ","")&amp;IF(AND($AJ41&lt;&gt;"",ISERROR(SEARCH("CARDCODE",$AJ41))),"prefill template has no CARDCODE; ","")&amp;IF(AND($AF41="",$BG41&lt;&gt;"",IF(config!$B$37&lt;&gt;"",config!$B$37,TODAY())&gt;=WORKDAY(N($BG41),-3,calendar!$A$2:$A$80)),"card text not yet sent to the brand; ","")&amp;IF(AND($DA41="",$DQ41&lt;&gt;"",IF(config!$B$37&lt;&gt;"",config!$B$37,TODAY())&gt;$DQ41),"day-30 redemption count due; ","")&amp;IF(AND(LEFT($BW41,8)="RELEASED",$AG41=""),"ship-date email due (template 02): send it, then log ship_email_sent_date and ship_email_units; ","")&amp;IF(AND($AH41&lt;&gt;"",N($BT41)&gt;0,N($BX41)=0,N($AH41)&lt;&gt;N($BT41)),"units changed since the ship-date email of "&amp;IF($AG41="","?",TEXT($AG41,"yyyy-mm-dd"))&amp;" ("&amp;$AH41&amp;", now "&amp;$BT41&amp;"): send the brand the revised numbers (template 02) and log them; ","")&amp;IF($DT41="late","report late; ","")&amp;IF(AND(N($F41)&gt;0,$BO41&lt;N($F41),$BQ41=0),"info: "&amp;(N($F41)-$BO41)&amp;" office(s) short of the contract: add a roster office or credit $"&amp;IF($D41="founding",config!$B$25,config!$B$24)&amp;" each; ","")&amp;IF($BC41&lt;&gt;"",IF(COUNTIF(survey_frozen!$A$2:$A$251,$A41)=0,"answers deleted but no frozen totals: the survey numbers now read 0 (tools/freeze_survey.py, SOP answers_delete); ",""),IF(AND($BG41&lt;&gt;"",IF(config!$B$37&lt;&gt;"",config!$B$37,TODAY())&gt;=$BG41,ISREF(INDIRECT("'"&amp;$A41&amp;"'!B1"))),IF(INDIRECT("'"&amp;$A41&amp;"'!B1")&lt;&gt;"Card code (filled in for you)","survey tab column B is not the card code: fix the form or the tab; ",""),IF(AND($BG41&lt;&gt;"",IF(config!$B$37&lt;&gt;"",config!$B$37,TODAY())&gt;=$BG41),"no survey tab named "&amp;$A41&amp;"; ","")))&amp;IF(COUNTIF(brands!$A$2:$A$41,$C41)=0,"brand_id not on brands; ",IF(LEFT(IFERROR(IF(INDEX(brands!$AG$2:$AG$41,MATCH($C41,brands!$A$2:$A$41,0))="","",INDEX(brands!$AG$2:$AG$41,MATCH($C41,brands!$A$2:$A$41,0))),""),1)&lt;&gt;"Y","brand not qualified ("&amp;IFERROR(IF(INDEX(brands!$AG$2:$AG$41,MATCH($C41,brands!$A$2:$A$41,0))="","",INDEX(brands!$AG$2:$AG$41,MATCH($C41,brands!$A$2:$A$41,0))),"")&amp;"): nothing ships until it is; ",""))&amp;IF(AND(COUNTIF(brands!$A$2:$A$41,$C41)&gt;0,OR(IFERROR(IF(INDEX(brands!$C$2:$C$41,MATCH($C41,brands!$A$2:$A$41,0))="","",INDEX(brands!$C$2:$C$41,MATCH($C41,brands!$A$2:$A$41,0))),"")="",IFERROR(IF(INDEX(brands!$D$2:$D$41,MATCH($C41,brands!$A$2:$A$41,0))="","",INDEX(brands!$D$2:$D$41,MATCH($C41,brands!$A$2:$A$41,0))),"")="",IFERROR(IF(INDEX(brands!$E$2:$E$41,MATCH($C41,brands!$A$2:$A$41,0))="","",INDEX(brands!$E$2:$E$41,MATCH($C41,brands!$A$2:$A$41,0))),"")="")),"brand billing details missing on brands (legal name, address, email): needed for the invoice; ","")&amp;IF(AND($D41="founding",$E41&lt;&gt;"Y",N(IFERROR(IF(INDEX(brands!$AI$2:$AI$41,MATCH($C41,brands!$A$2:$A$41,0))="","",INDEX(brands!$AI$2:$AI$41,MATCH($C41,brands!$A$2:$A$41,0))),""))&gt;3),"the founding tier is for the first three brands only (this is brand "&amp;IFERROR(IF(INDEX(brands!$AI$2:$AI$41,MATCH($C41,brands!$A$2:$A$41,0))="","",INDEX(brands!$AI$2:$AI$41,MATCH($C41,brands!$A$2:$A$41,0))),"")&amp;"): use standard; ","")&amp;IF(AND($D41="founding",$E41&lt;&gt;"Y",COUNTIFS(campaigns!$C$2:$C$51,$C41,campaigns!$D$2:$D$51,"founding",campaigns!$E$2:$E$51,"&lt;&gt;Y")&gt;1),"a brand has the founding price once; its next two campaigns are founding_lock = Y; ","")&amp;IF(AND($E41="Y",COUNTIFS(campaigns!$C$2:$C$51,$C41,campaigns!$D$2:$D$51,"founding",campaigns!$E$2:$E$51,"Y")&gt;2),"founding_lock is for the brand's next two campaigns only (this is a third): use standard; ","")&amp;IF(AND($E41="Y",COUNTIFS(campaigns!$C$2:$C$51,$C41,campaigns!$D$2:$D$51,"founding",campaigns!$E$2:$E$51,"&lt;&gt;Y")=0),"founding_lock without a first founding campaign for this brand; ","")&amp;IF(AND(N($BX41)&gt;0,$BG41&lt;&gt;"",IF(config!$B$37&lt;&gt;"",config!$B$37,TODAY())&gt;=WORKDAY(N($BG41),-5,calendar!$A$2:$A$80)),IF(N($BX41)-N($BY41)&lt;N($BR41),"received "&amp;(N($BX41)-N($BY41))&amp;" usable units for "&amp;$BR41&amp;" allocated: reduce units_override evenly (SOP section 4, short shipment); ","")&amp;IF(AND(N($BX41)&lt;N($BT41),COUNTIFS(issues!$E$2:$E$121,$A41,issues!$G$2:$G$121,"short_shipment")=0),"received "&amp;$BX41&amp;" of "&amp;$BT41&amp;" due: log a short_shipment issue and tell the brand today; ",""),"")&amp;IF(AND($BG41&lt;&gt;"",IF(config!$B$37&lt;&gt;"",config!$B$37,TODAY())&gt;=WORKDAY(N($BG41),1,calendar!$A$2:$A$80),N($F41)&gt;0,(-SUMIFS(invoices!$E$2:$E$151,invoices!$B$2:$B$151,$A41,invoices!$C$2:$C$151,"credit_note"))&lt;(IF($D41="founding",config!$B$25,config!$B$24)*MAX(0,N($F41)-COUNTIFS(approvals!$A$2:$A$251,$A41,approvals!$Q$2:$Q$251,"Y",approvals!$AB$2:$AB$251,"Y")))-0.005),"credit due from T+1: "&amp;MAX(0,N($F41)-COUNTIFS(approvals!$A$2:$A$251,$A41,approvals!$Q$2:$Q$251,"Y",approvals!$AB$2:$AB$251,"Y"))&amp;" of "&amp;$F41&amp;" contracted offices not placed by T+1, $"&amp;(IF($D41="founding",config!$B$25,config!$B$24)*MAX(0,N($F41)-COUNTIFS(approvals!$A$2:$A$251,$A41,approvals!$Q$2:$Q$251,"Y",approvals!$AB$2:$AB$251,"Y")))&amp;" due, $"&amp;(-SUMIFS(invoices!$E$2:$E$151,invoices!$B$2:$B$151,$A41,invoices!$C$2:$C$151,"credit_note"))&amp;" in credit notes so far (template 06, make_invoice.py); ","")&amp;IF(AND(IFERROR(IF(INDEX(brands!$H$2:$H$41,MATCH($C41,brands!$A$2:$A$41,0))="","",INDEX(brands!$H$2:$H$41,MATCH($C41,brands!$A$2:$A$41,0))),"")&lt;&gt;"",$BG41&lt;&gt;"",IFERROR(IF(INDEX(brands!$H$2:$H$41,MATCH($C41,brands!$A$2:$A$41,0))="","",INDEX(brands!$H$2:$H$41,MATCH($C41,brands!$A$2:$A$41,0))),"")&lt;EDATE(WORKDAY(N($BG41),4,calendar!$A$2:$A$80),12)),"info: brand insurance ends "&amp;TEXT(IFERROR(IF(INDEX(brands!$H$2:$H$41,MATCH($C41,brands!$A$2:$A$41,0))="","",INDEX(brands!$H$2:$H$41,MATCH($C41,brands!$A$2:$A$41,0))),""),"yyyy-mm-dd")&amp;": diary the renewal certificate; ",""))</f>
        <v/>
      </c>
    </row>
    <row r="42">
      <c r="G42" s="10" t="n"/>
      <c r="H42" s="9" t="n"/>
      <c r="AB42" s="9" t="n"/>
      <c r="AC42" s="9" t="n"/>
      <c r="AD42" s="9" t="n"/>
      <c r="AF42" s="9" t="n"/>
      <c r="AG42" s="9" t="n"/>
      <c r="AT42" s="9" t="n"/>
      <c r="AU42" s="9" t="n"/>
      <c r="AY42" s="9" t="n"/>
      <c r="BA42" s="9" t="n"/>
      <c r="BB42" s="9" t="n"/>
      <c r="BC42" s="9" t="n"/>
      <c r="BE42" s="25">
        <f>IF($A42="","",IFERROR(IF(INDEX(brands!$K$2:$K$41,MATCH($C42,brands!$A$2:$A$41,0))="","",INDEX(brands!$K$2:$K$41,MATCH($C42,brands!$A$2:$A$41,0))),""))</f>
        <v/>
      </c>
      <c r="BF42" s="25">
        <f>IF($A42="","",IFERROR(IF(INDEX(brands!$M$2:$M$41,MATCH($C42,brands!$A$2:$A$41,0))="","",INDEX(brands!$M$2:$M$41,MATCH($C42,brands!$A$2:$A$41,0))),""))</f>
        <v/>
      </c>
      <c r="BG42" s="26">
        <f>IF($A42="","",IF(IFERROR(IF(INDEX(drops!$I$2:$I$21,MATCH($B42,drops!$A$2:$A$21,0))="","",INDEX(drops!$I$2:$I$21,MATCH($B42,drops!$A$2:$A$21,0))),"")="OK",IFERROR(IF(INDEX(drops!$B$2:$B$21,MATCH($B42,drops!$A$2:$A$21,0))="","",INDEX(drops!$B$2:$B$21,MATCH($B42,drops!$A$2:$A$21,0))),""),""))</f>
        <v/>
      </c>
      <c r="BH42" s="25">
        <f>IF($A42="","",IFERROR(IF(INDEX(drops!$C$2:$C$21,MATCH($B42,drops!$A$2:$A$21,0))="","",INDEX(drops!$C$2:$C$21,MATCH($B42,drops!$A$2:$A$21,0))),""))</f>
        <v/>
      </c>
      <c r="BI42" s="27">
        <f>IF($A42="","",IF($F42="","",IF($D42="founding",IF($E42="Y",config!$B$25*MIN($F42,config!$B$26)+config!$B$24*MAX(0,$F42-config!$B$26),config!$B$20+config!$B$24*MAX(0,$F42-config!$B$21)),IF($D42="standard",config!$B$22+config!$B$24*MAX(0,$F42-config!$B$23),""))))</f>
        <v/>
      </c>
      <c r="BJ42" s="27">
        <f>IF($A42="","",IF($G42&lt;&gt;"",$G42,$BI42))</f>
        <v/>
      </c>
      <c r="BK42" s="25">
        <f>IF($A42="","",IF($D42="founding","100% within "&amp;config!$B$27&amp;" business days of the invoice, before shipping",IF($D42="standard","50% on signing; 50% at placement confirmation (T+1)","")))</f>
        <v/>
      </c>
      <c r="BL42" s="26">
        <f>IF($A42="","",IFERROR(IF(INDEX(drops!$K$2:$K$21,MATCH($B42,drops!$A$2:$A$21,0))="","",INDEX(drops!$K$2:$K$21,MATCH($B42,drops!$A$2:$A$21,0))),""))</f>
        <v/>
      </c>
      <c r="BM42" s="26">
        <f>IF($A42="","",IFERROR(IF(INDEX(drops!$L$2:$L$21,MATCH($B42,drops!$A$2:$A$21,0))="","",INDEX(drops!$L$2:$L$21,MATCH($B42,drops!$A$2:$A$21,0))),""))</f>
        <v/>
      </c>
      <c r="BN42" s="25">
        <f>IF($A42="","",COUNTIF(approvals!$A$2:$A$251,$A42))</f>
        <v/>
      </c>
      <c r="BO42" s="25">
        <f>IF($A42="","",COUNTIFS(approvals!$A$2:$A$251,$A42,approvals!$P$2:$P$251,"Y"))</f>
        <v/>
      </c>
      <c r="BP42" s="25">
        <f>IF($A42="","",COUNTIFS(approvals!$A$2:$A$251,$A42,approvals!$Q$2:$Q$251,"Y"))</f>
        <v/>
      </c>
      <c r="BQ42" s="25">
        <f>IF($A42="","",COUNTIFS(approvals!$A$2:$A$251,$A42,approvals!$P$2:$P$251,"pending"))</f>
        <v/>
      </c>
      <c r="BR42" s="25">
        <f>IF($A42="","",SUMIFS(approvals!$S$2:$S$251,approvals!$A$2:$A$251,$A42,approvals!$P$2:$P$251,"Y"))</f>
        <v/>
      </c>
      <c r="BS42" s="25">
        <f>IF($A42="","",ROUNDUP($BR42*config!$B$18,0))</f>
        <v/>
      </c>
      <c r="BT42" s="25">
        <f>IF($A42="","",$BR42+$BS42)</f>
        <v/>
      </c>
      <c r="BU42" s="27">
        <f>IF($A42="","",SUMIFS(invoices!$I$2:$I$151,invoices!$B$2:$B$151,$A42,invoices!$R$2:$R$151,"Y",invoices!$H$2:$H$151,"&gt;0"))</f>
        <v/>
      </c>
      <c r="BV42" s="27">
        <f>IF($A42="","",IF($BJ42="","",IF($D42="founding",$BJ42,ROUND($BJ42*config!$B$28,2))))</f>
        <v/>
      </c>
      <c r="BW42" s="25">
        <f>IF($A42="","",IF(AND(N($BU42)&gt;=N($BV42),N($BV42)&gt;0,$H42&lt;&gt;"",AND($AB42&lt;&gt;"",IFERROR(IF(INDEX(brands!$G$2:$G$41,MATCH($C42,brands!$A$2:$A$41,0))="","",INDEX(brands!$G$2:$G$41,MATCH($C42,brands!$A$2:$A$41,0))),"")="Y"),LEFT(IFERROR(IF(INDEX(brands!$AG$2:$AG$41,MATCH($C42,brands!$A$2:$A$41,0))="","",INDEX(brands!$AG$2:$AG$41,MATCH($C42,brands!$A$2:$A$41,0))),""),1)="Y",$BG42&lt;&gt;"",$BQ42=0,$BO42&gt;0),"RELEASED "&amp;TEXT(MAX(IFERROR(1/(1/SUMPRODUCT(MAX((invoices!$B$2:$B$151=$A42)*(invoices!$R$2:$R$151="Y")*(invoices!$H$2:$H$151)))),""),$H42,$AB42,SUMPRODUCT(MAX((approvals!$A$2:$A$251=$A42)*(approvals!$P$2:$P$251="Y")*(approvals!$E$2:$E$251+(approvals!$E$2:$E$251=0)*approvals!$C$2:$C$251)))),"yyyy-mm-dd")&amp;": ship by "&amp;TEXT($BM42,"ddd yyyy-mm-dd")&amp;" (latest "&amp;TEXT($BL42,"ddd yyyy-mm-dd")&amp;")","HOLD: "&amp;IF(N($BU42)&lt;N($BV42),"payment ("&amp;TEXT(N($BU42),"0")&amp;" of "&amp;TEXT(N($BV42),"0")&amp;") ","")&amp;IF($H42="","agreement ","")&amp;IF(NOT(AND($AB42&lt;&gt;"",IFERROR(IF(INDEX(brands!$G$2:$G$41,MATCH($C42,brands!$A$2:$A$41,0))="","",INDEX(brands!$G$2:$G$41,MATCH($C42,brands!$A$2:$A$41,0))),"")="Y")),"certificate ","")&amp;IF(NOT(LEFT(IFERROR(IF(INDEX(brands!$AG$2:$AG$41,MATCH($C42,brands!$A$2:$A$41,0))="","",INDEX(brands!$AG$2:$AG$41,MATCH($C42,brands!$A$2:$A$41,0))),""),1)="Y"),"qualification ","")&amp;IF($BG42="","drop date ","")&amp;IF($BQ42&gt;0,"approvals ("&amp;$BQ42&amp;" pending) ","")&amp;IF($BO42=0,"no office approved ","")))</f>
        <v/>
      </c>
      <c r="BX42" s="25">
        <f>IF($A42="","",SUMIFS(inventory!$G$2:$G$801,inventory!$C$2:$C$801,$A42,inventory!$E$2:$E$801,"received"))</f>
        <v/>
      </c>
      <c r="BY42" s="25">
        <f>IF($A42="","",SUMIFS(inventory!$G$2:$G$801,inventory!$C$2:$C$801,$A42,inventory!$E$2:$E$801,"rejected"))</f>
        <v/>
      </c>
      <c r="BZ42" s="25">
        <f>IF($A42="","",SUMIFS(inventory!$M$2:$M$801,inventory!$C$2:$C$801,$A42))</f>
        <v/>
      </c>
      <c r="CA42" s="25">
        <f>IF($A42="","",SUMIFS(inventory!$O$2:$O$801,inventory!$C$2:$C$801,$A42))</f>
        <v/>
      </c>
      <c r="CB42" s="25">
        <f>IF($A42="","",SUMIFS(approvals!$U$2:$U$251,approvals!$A$2:$A$251,$A42))</f>
        <v/>
      </c>
      <c r="CC42" s="25">
        <f>IF($A42="","",SUMIFS(approvals!$AA$2:$AA$251,approvals!$A$2:$A$251,$A42))</f>
        <v/>
      </c>
      <c r="CD42" s="25">
        <f>IF($A42="","",SUMIFS(approvals!$AA$2:$AA$251,approvals!$A$2:$A$251,$A42,approvals!$AB$2:$AB$251,"Y"))</f>
        <v/>
      </c>
      <c r="CE42" s="29">
        <f>IF($A42="","",IF(N($CB42)=0,"",$CD42/$CB42))</f>
        <v/>
      </c>
      <c r="CF42" s="25">
        <f>IF($A42="","",SUMIFS(approvals!$AD$2:$AD$251,approvals!$A$2:$A$251,$A42))</f>
        <v/>
      </c>
      <c r="CG42" s="25">
        <f>IF($A42="","",IF(COUNTIFS(approvals!$A$2:$A$251,$A42,approvals!$Q$2:$Q$251,"Y",approvals!$AG$2:$AG$251,"")&gt;0,"",SUMIFS(approvals!$AG$2:$AG$251,approvals!$A$2:$A$251,$A42,approvals!$Q$2:$Q$251,"Y")))</f>
        <v/>
      </c>
      <c r="CH42" s="25">
        <f>IF($A42="","",SUMIFS(approvals!$AL$2:$AL$251,approvals!$A$2:$A$251,$A42))</f>
        <v/>
      </c>
      <c r="CI42" s="25">
        <f>IF($A42="","",IF(N($BP42)=0,"",SUMPRODUCT(MIN(approvals!$BB$2:$BB$251+(approvals!$A$2:$A$251&lt;&gt;$A42)*1000000))))</f>
        <v/>
      </c>
      <c r="CJ42" s="25">
        <f>IF($A42="","",COUNTIFS(approvals!$A$2:$A$251,$A42,approvals!$Q$2:$Q$251,"Y",approvals!$AL$2:$AL$251,"&lt;"&amp;config!$B$30))</f>
        <v/>
      </c>
      <c r="CK42" s="25">
        <f>IF($A42="","",SUMIFS(approvals!$AM$2:$AM$251,approvals!$A$2:$A$251,$A42))</f>
        <v/>
      </c>
      <c r="CL42" s="25">
        <f>IF($A42="","",SUMIFS(approvals!$AQ$2:$AQ$251,approvals!$A$2:$A$251,$A42))</f>
        <v/>
      </c>
      <c r="CM42" s="25">
        <f>IF($A42="","",SUMIFS(approvals!$AR$2:$AR$251,approvals!$A$2:$A$251,$A42))</f>
        <v/>
      </c>
      <c r="CN42" s="25">
        <f>IF($A42="","",SUMIFS(approvals!$AS$2:$AS$251,approvals!$A$2:$A$251,$A42))</f>
        <v/>
      </c>
      <c r="CO42" s="25">
        <f>IF($A42="","",SUMIFS(approvals!$AT$2:$AT$251,approvals!$A$2:$A$251,$A42))</f>
        <v/>
      </c>
      <c r="CP42" s="28">
        <f>IF($A42="","",IF(N($CO42)=0,"",ROUND(SUMIFS(approvals!$AU$2:$AU$251,approvals!$A$2:$A$251,$A42)/$CO42,1)))</f>
        <v/>
      </c>
      <c r="CQ42" s="25">
        <f>IF($A42="","",SUMIFS(approvals!$AV$2:$AV$251,approvals!$A$2:$A$251,$A42))</f>
        <v/>
      </c>
      <c r="CR42" s="25">
        <f>IF($A42="","",SUMIFS(approvals!$AW$2:$AW$251,approvals!$A$2:$A$251,$A42))</f>
        <v/>
      </c>
      <c r="CS42" s="25">
        <f>IF($A42="","",SUMIFS(approvals!$AX$2:$AX$251,approvals!$A$2:$A$251,$A42))</f>
        <v/>
      </c>
      <c r="CT42" s="25">
        <f>IF($A42="","",SUMIFS(approvals!$AY$2:$AY$251,approvals!$A$2:$A$251,$A42))</f>
        <v/>
      </c>
      <c r="CU42" s="25">
        <f>IF($A42="","",IF(OR($BG42="",$BC42&lt;&gt;""),"",IFERROR(COUNT(INDIRECT("'"&amp;$A42&amp;"'!$A$2:$A$501")),0)-IFERROR(COUNTIFS(INDIRECT("'"&amp;$A42&amp;"'!$A$2:$A$501"),"&gt;="&amp;$BG42,INDIRECT("'"&amp;$A42&amp;"'!$A$2:$A$501"),"&lt;"&amp;(IFERROR(IF(INDEX(drops!$R$2:$R$21,MATCH($B42,drops!$A$2:$A$21,0))="","",INDEX(drops!$R$2:$R$21,MATCH($B42,drops!$A$2:$A$21,0))),"")+1)),0)))</f>
        <v/>
      </c>
      <c r="CV42" s="25">
        <f>IF($A42="","",IF(OR($BG42="",$BC42&lt;&gt;""),"",IFERROR(COUNTIFS(INDIRECT("'"&amp;$A42&amp;"'!$A$2:$A$501"),"&gt;="&amp;$BG42,INDIRECT("'"&amp;$A42&amp;"'!$A$2:$A$501"),"&lt;"&amp;(IFERROR(IF(INDEX(drops!$R$2:$R$21,MATCH($B42,drops!$A$2:$A$21,0))="","",INDEX(drops!$R$2:$R$21,MATCH($B42,drops!$A$2:$A$21,0))),"")+1)),0)-N($CH42)))</f>
        <v/>
      </c>
      <c r="CW42" s="25">
        <f>IF($A42="","",SUMIFS(approvals!$AN$2:$AN$251,approvals!$A$2:$A$251,$A42))</f>
        <v/>
      </c>
      <c r="CX42" s="25">
        <f>IF($A42="","",SUMIFS(approvals!$AO$2:$AO$251,approvals!$A$2:$A$251,$A42))</f>
        <v/>
      </c>
      <c r="CY42" s="25">
        <f>IF($A42="","",IF($CZ42="","",SUMIFS(redemptions!$C$2:$C$121,redemptions!$A$2:$A$121,$A42,redemptions!$B$2:$B$121,$CZ42)))</f>
        <v/>
      </c>
      <c r="CZ42" s="26">
        <f>IF($A42="","",IFERROR(1/(1/SUMPRODUCT(MAX((redemptions!$A$2:$A$121=$A42)*redemptions!$B$2:$B$121))),""))</f>
        <v/>
      </c>
      <c r="DA42" s="25">
        <f>IF($A42="","",IF(COUNTIFS(redemptions!$A$2:$A$121,$A42,redemptions!$H$2:$H$121,"Y")=0,"",SUMIFS(redemptions!$C$2:$C$121,redemptions!$A$2:$A$121,$A42,redemptions!$B$2:$B$121,SUMPRODUCT(MIN((redemptions!$A$2:$A$121=$A42)*(redemptions!$H$2:$H$121="Y")*redemptions!$B$2:$B$121+((redemptions!$A$2:$A$121&lt;&gt;$A42)+(redemptions!$H$2:$H$121&lt;&gt;"Y")&gt;0)*1000000)))))</f>
        <v/>
      </c>
      <c r="DB42" s="27">
        <f>IF($A42="","",SUMIFS(invoices!$E$2:$E$151,invoices!$B$2:$B$151,$A42))</f>
        <v/>
      </c>
      <c r="DC42" s="27">
        <f>IF($A42="","",IF(COUNTIFS(invoices!$B$2:$B$151,$A42,invoices!$C$2:$C$151,"standard_deposit",invoices!$H$2:$H$151,"&gt;0")=0,"",SUMIFS(invoices!$I$2:$I$151,invoices!$B$2:$B$151,$A42,invoices!$C$2:$C$151,"standard_deposit")))</f>
        <v/>
      </c>
      <c r="DD42" s="26">
        <f>IF($A42="","",IFERROR(1/(1/SUMPRODUCT(MAX((invoices!$B$2:$B$151=$A42)*(invoices!$C$2:$C$151="standard_deposit")*invoices!$H$2:$H$151))),""))</f>
        <v/>
      </c>
      <c r="DE42" s="26">
        <f>IF($A42="","",IFERROR(1/(1/SUMPRODUCT(MAX((invoices!$B$2:$B$151=$A42)*((invoices!$C$2:$C$151="founding_full")+(invoices!$C$2:$C$151="standard_balance"))*invoices!$H$2:$H$151))),""))</f>
        <v/>
      </c>
      <c r="DF42" s="27">
        <f>IF($A42="","",SUMIFS(invoices!$L$2:$L$151,invoices!$B$2:$B$151,$A42))</f>
        <v/>
      </c>
      <c r="DG42" s="27">
        <f>IF($A42="","",SUMIFS(costs!$E$2:$E$301,costs!$C$2:$C$301,$A42))</f>
        <v/>
      </c>
      <c r="DH42" s="27">
        <f>IF($A42="","",ROUND(IF(SUMIFS(campaigns!$BO$2:$BO$51,campaigns!$B$2:$B$51,$B42)=0,0,$BO42/SUMIFS(campaigns!$BO$2:$BO$51,campaigns!$B$2:$B$51,$B42))*(SUMIFS(costs!$E$2:$E$301,costs!$B$2:$B$301,$B42)-SUMPRODUCT((costs!$B$2:$B$301=$B42)*(LEN(costs!$C$2:$C$301)&gt;0)*costs!$E$2:$E$301)),2))</f>
        <v/>
      </c>
      <c r="DI42" s="28">
        <f>IF($A42="","",SUMIFS(hours!$E$2:$E$1501,hours!$C$2:$C$1501,$A42))</f>
        <v/>
      </c>
      <c r="DJ42" s="28">
        <f>IF($A42="","",ROUND(IF(SUMIFS(campaigns!$BO$2:$BO$51,campaigns!$B$2:$B$51,$B42)=0,0,$BO42/SUMIFS(campaigns!$BO$2:$BO$51,campaigns!$B$2:$B$51,$B42))*(SUMIFS(hours!$E$2:$E$1501,hours!$B$2:$B$1501,$B42)-SUMPRODUCT((hours!$B$2:$B$1501=$B42)*(LEN(hours!$C$2:$C$1501)&gt;0)*hours!$E$2:$E$1501)),2))</f>
        <v/>
      </c>
      <c r="DK42" s="27">
        <f>IF($A42="","",$DB42-$DF42-$DG42-$DH42)</f>
        <v/>
      </c>
      <c r="DL42" s="27">
        <f>IF($A42="","",IF(N($DI42)+N($DJ42)=0,"",ROUND($DK42/($DI42+$DJ42),2)))</f>
        <v/>
      </c>
      <c r="DM42" s="29">
        <f>IF($A42="","",IF(N($BP42)=0,"",COUNTIFS(approvals!$A$2:$A$251,$A42,approvals!$Q$2:$Q$251,"Y",approvals!$AK$2:$AK$251,"Y")/$BP42))</f>
        <v/>
      </c>
      <c r="DN42" s="28">
        <f>IF($A42="","",IF(COUNTIFS(approvals!$A$2:$A$251,$A42,approvals!$AC$2:$AC$251,"&gt;=0")=0,"",ROUND(SUMIFS(approvals!$AC$2:$AC$251,approvals!$A$2:$A$251,$A42)/COUNTIFS(approvals!$A$2:$A$251,$A42,approvals!$AC$2:$AC$251,"&gt;=0"),1)))</f>
        <v/>
      </c>
      <c r="DO42" s="26">
        <f>IF($A42="","",IFERROR(IF(INDEX(drops!$T$2:$T$21,MATCH($B42,drops!$A$2:$A$21,0))="","",INDEX(drops!$T$2:$T$21,MATCH($B42,drops!$A$2:$A$21,0))),""))</f>
        <v/>
      </c>
      <c r="DP42" s="26">
        <f>IF($A42="","",IFERROR(IF(INDEX(drops!$U$2:$U$21,MATCH($B42,drops!$A$2:$A$21,0))="","",INDEX(drops!$U$2:$U$21,MATCH($B42,drops!$A$2:$A$21,0))),""))</f>
        <v/>
      </c>
      <c r="DQ42" s="26">
        <f>IF($A42="","",IFERROR(IF(INDEX(drops!$W$2:$W$21,MATCH($B42,drops!$A$2:$A$21,0))="","",INDEX(drops!$W$2:$W$21,MATCH($B42,drops!$A$2:$A$21,0))),""))</f>
        <v/>
      </c>
      <c r="DR42" s="25">
        <f>IF($A42="","",IF($CE42="","",IF($CE42&gt;=config!$B$31,"pass","miss")))</f>
        <v/>
      </c>
      <c r="DS42" s="25">
        <f>IF($A42="","",IF($CI42="","",IF($CI42&gt;=config!$B$30,"pass","miss")))</f>
        <v/>
      </c>
      <c r="DT42" s="25">
        <f>IF($A42="","",IF($AT42="",IF($DO42="","",IF(IF(config!$B$37&lt;&gt;"",config!$B$37,TODAY())&gt;$DO42,"late","due")),IF($AT42&lt;=$DO42,"pass","late")))</f>
        <v/>
      </c>
      <c r="DU42" s="25">
        <f>IF($A42="","",IF(COUNTIF(drops!$A$2:$A$21,$B42)=0,"drop_id not on drops; ",IF($BG42="","drop date missing or refused; ",""))&amp;IF(AND($G42&lt;&gt;"",$G42&lt;&gt;$BI42),"price differs from the price list; ","")&amp;IF(AND(LEFT($BW42,4)="HOLD",$BL42&lt;&gt;"",IF(config!$B$37&lt;&gt;"",config!$B$37,TODAY())&gt;=WORKDAY(N($BL42),-3,calendar!$A$2:$A$80)),"SHIP HOLD within 3 business days of T-10; ","")&amp;IF(AND($BQ42&gt;0,$BL42&lt;&gt;"",IF(config!$B$37&lt;&gt;"",config!$B$37,TODAY())&gt;$BL42),"approvals still pending after T-10; ","")&amp;IF($BZ42&lt;0,"reserve below zero: check inventory; ","")&amp;IF(AND($BG42&lt;&gt;"",IF(config!$B$37&lt;&gt;"",config!$B$37,TODAY())&gt;WORKDAY(N($BG42),14,calendar!$A$2:$A$80),N($BZ42)+N($CA42)&lt;&gt;0),"units still on hand after T+14; ","")&amp;IF(N($CV42)&gt;0,"info: "&amp;$CV42&amp;" in-window responses with a card code that matches no office (not counted); ","")&amp;IF(AND($Z42="Y",$AK42=""),"newsletter form URL missing; ","")&amp;IF(AND($Z42="Y",$BG42&lt;&gt;"",IF(config!$B$37&lt;&gt;"",config!$B$37,TODAY())&gt;WORKDAY(N($BG42),5,calendar!$A$2:$A$80),$AY42=""),"newsletter list not yet passed on (due T+5); ","")&amp;IF(AND($AY42&lt;&gt;"",$BA42=""),"delete unticked emails; ","")&amp;IF(AND($AY42&lt;&gt;"",$BB42="",IF(config!$B$37&lt;&gt;"",config!$B$37,TODAY())&gt;$AY42+config!$B$32),"DELETE the consented emails (30 days after passing on); ","")&amp;IF(AND($BG42&lt;&gt;"",$AJ42="",IF(config!$B$37&lt;&gt;"",config!$B$37,TODAY())&gt;=WORKDAY(N($BG42),-4,calendar!$A$2:$A$80)),"survey prefill template missing (due T-4); ","")&amp;IF(AND($AJ42&lt;&gt;"",ISERROR(SEARCH("CARDCODE",$AJ42))),"prefill template has no CARDCODE; ","")&amp;IF(AND($AF42="",$BG42&lt;&gt;"",IF(config!$B$37&lt;&gt;"",config!$B$37,TODAY())&gt;=WORKDAY(N($BG42),-3,calendar!$A$2:$A$80)),"card text not yet sent to the brand; ","")&amp;IF(AND($DA42="",$DQ42&lt;&gt;"",IF(config!$B$37&lt;&gt;"",config!$B$37,TODAY())&gt;$DQ42),"day-30 redemption count due; ","")&amp;IF(AND(LEFT($BW42,8)="RELEASED",$AG42=""),"ship-date email due (template 02): send it, then log ship_email_sent_date and ship_email_units; ","")&amp;IF(AND($AH42&lt;&gt;"",N($BT42)&gt;0,N($BX42)=0,N($AH42)&lt;&gt;N($BT42)),"units changed since the ship-date email of "&amp;IF($AG42="","?",TEXT($AG42,"yyyy-mm-dd"))&amp;" ("&amp;$AH42&amp;", now "&amp;$BT42&amp;"): send the brand the revised numbers (template 02) and log them; ","")&amp;IF($DT42="late","report late; ","")&amp;IF(AND(N($F42)&gt;0,$BO42&lt;N($F42),$BQ42=0),"info: "&amp;(N($F42)-$BO42)&amp;" office(s) short of the contract: add a roster office or credit $"&amp;IF($D42="founding",config!$B$25,config!$B$24)&amp;" each; ","")&amp;IF($BC42&lt;&gt;"",IF(COUNTIF(survey_frozen!$A$2:$A$251,$A42)=0,"answers deleted but no frozen totals: the survey numbers now read 0 (tools/freeze_survey.py, SOP answers_delete); ",""),IF(AND($BG42&lt;&gt;"",IF(config!$B$37&lt;&gt;"",config!$B$37,TODAY())&gt;=$BG42,ISREF(INDIRECT("'"&amp;$A42&amp;"'!B1"))),IF(INDIRECT("'"&amp;$A42&amp;"'!B1")&lt;&gt;"Card code (filled in for you)","survey tab column B is not the card code: fix the form or the tab; ",""),IF(AND($BG42&lt;&gt;"",IF(config!$B$37&lt;&gt;"",config!$B$37,TODAY())&gt;=$BG42),"no survey tab named "&amp;$A42&amp;"; ","")))&amp;IF(COUNTIF(brands!$A$2:$A$41,$C42)=0,"brand_id not on brands; ",IF(LEFT(IFERROR(IF(INDEX(brands!$AG$2:$AG$41,MATCH($C42,brands!$A$2:$A$41,0))="","",INDEX(brands!$AG$2:$AG$41,MATCH($C42,brands!$A$2:$A$41,0))),""),1)&lt;&gt;"Y","brand not qualified ("&amp;IFERROR(IF(INDEX(brands!$AG$2:$AG$41,MATCH($C42,brands!$A$2:$A$41,0))="","",INDEX(brands!$AG$2:$AG$41,MATCH($C42,brands!$A$2:$A$41,0))),"")&amp;"): nothing ships until it is; ",""))&amp;IF(AND(COUNTIF(brands!$A$2:$A$41,$C42)&gt;0,OR(IFERROR(IF(INDEX(brands!$C$2:$C$41,MATCH($C42,brands!$A$2:$A$41,0))="","",INDEX(brands!$C$2:$C$41,MATCH($C42,brands!$A$2:$A$41,0))),"")="",IFERROR(IF(INDEX(brands!$D$2:$D$41,MATCH($C42,brands!$A$2:$A$41,0))="","",INDEX(brands!$D$2:$D$41,MATCH($C42,brands!$A$2:$A$41,0))),"")="",IFERROR(IF(INDEX(brands!$E$2:$E$41,MATCH($C42,brands!$A$2:$A$41,0))="","",INDEX(brands!$E$2:$E$41,MATCH($C42,brands!$A$2:$A$41,0))),"")="")),"brand billing details missing on brands (legal name, address, email): needed for the invoice; ","")&amp;IF(AND($D42="founding",$E42&lt;&gt;"Y",N(IFERROR(IF(INDEX(brands!$AI$2:$AI$41,MATCH($C42,brands!$A$2:$A$41,0))="","",INDEX(brands!$AI$2:$AI$41,MATCH($C42,brands!$A$2:$A$41,0))),""))&gt;3),"the founding tier is for the first three brands only (this is brand "&amp;IFERROR(IF(INDEX(brands!$AI$2:$AI$41,MATCH($C42,brands!$A$2:$A$41,0))="","",INDEX(brands!$AI$2:$AI$41,MATCH($C42,brands!$A$2:$A$41,0))),"")&amp;"): use standard; ","")&amp;IF(AND($D42="founding",$E42&lt;&gt;"Y",COUNTIFS(campaigns!$C$2:$C$51,$C42,campaigns!$D$2:$D$51,"founding",campaigns!$E$2:$E$51,"&lt;&gt;Y")&gt;1),"a brand has the founding price once; its next two campaigns are founding_lock = Y; ","")&amp;IF(AND($E42="Y",COUNTIFS(campaigns!$C$2:$C$51,$C42,campaigns!$D$2:$D$51,"founding",campaigns!$E$2:$E$51,"Y")&gt;2),"founding_lock is for the brand's next two campaigns only (this is a third): use standard; ","")&amp;IF(AND($E42="Y",COUNTIFS(campaigns!$C$2:$C$51,$C42,campaigns!$D$2:$D$51,"founding",campaigns!$E$2:$E$51,"&lt;&gt;Y")=0),"founding_lock without a first founding campaign for this brand; ","")&amp;IF(AND(N($BX42)&gt;0,$BG42&lt;&gt;"",IF(config!$B$37&lt;&gt;"",config!$B$37,TODAY())&gt;=WORKDAY(N($BG42),-5,calendar!$A$2:$A$80)),IF(N($BX42)-N($BY42)&lt;N($BR42),"received "&amp;(N($BX42)-N($BY42))&amp;" usable units for "&amp;$BR42&amp;" allocated: reduce units_override evenly (SOP section 4, short shipment); ","")&amp;IF(AND(N($BX42)&lt;N($BT42),COUNTIFS(issues!$E$2:$E$121,$A42,issues!$G$2:$G$121,"short_shipment")=0),"received "&amp;$BX42&amp;" of "&amp;$BT42&amp;" due: log a short_shipment issue and tell the brand today; ",""),"")&amp;IF(AND($BG42&lt;&gt;"",IF(config!$B$37&lt;&gt;"",config!$B$37,TODAY())&gt;=WORKDAY(N($BG42),1,calendar!$A$2:$A$80),N($F42)&gt;0,(-SUMIFS(invoices!$E$2:$E$151,invoices!$B$2:$B$151,$A42,invoices!$C$2:$C$151,"credit_note"))&lt;(IF($D42="founding",config!$B$25,config!$B$24)*MAX(0,N($F42)-COUNTIFS(approvals!$A$2:$A$251,$A42,approvals!$Q$2:$Q$251,"Y",approvals!$AB$2:$AB$251,"Y")))-0.005),"credit due from T+1: "&amp;MAX(0,N($F42)-COUNTIFS(approvals!$A$2:$A$251,$A42,approvals!$Q$2:$Q$251,"Y",approvals!$AB$2:$AB$251,"Y"))&amp;" of "&amp;$F42&amp;" contracted offices not placed by T+1, $"&amp;(IF($D42="founding",config!$B$25,config!$B$24)*MAX(0,N($F42)-COUNTIFS(approvals!$A$2:$A$251,$A42,approvals!$Q$2:$Q$251,"Y",approvals!$AB$2:$AB$251,"Y")))&amp;" due, $"&amp;(-SUMIFS(invoices!$E$2:$E$151,invoices!$B$2:$B$151,$A42,invoices!$C$2:$C$151,"credit_note"))&amp;" in credit notes so far (template 06, make_invoice.py); ","")&amp;IF(AND(IFERROR(IF(INDEX(brands!$H$2:$H$41,MATCH($C42,brands!$A$2:$A$41,0))="","",INDEX(brands!$H$2:$H$41,MATCH($C42,brands!$A$2:$A$41,0))),"")&lt;&gt;"",$BG42&lt;&gt;"",IFERROR(IF(INDEX(brands!$H$2:$H$41,MATCH($C42,brands!$A$2:$A$41,0))="","",INDEX(brands!$H$2:$H$41,MATCH($C42,brands!$A$2:$A$41,0))),"")&lt;EDATE(WORKDAY(N($BG42),4,calendar!$A$2:$A$80),12)),"info: brand insurance ends "&amp;TEXT(IFERROR(IF(INDEX(brands!$H$2:$H$41,MATCH($C42,brands!$A$2:$A$41,0))="","",INDEX(brands!$H$2:$H$41,MATCH($C42,brands!$A$2:$A$41,0))),""),"yyyy-mm-dd")&amp;": diary the renewal certificate; ",""))</f>
        <v/>
      </c>
    </row>
    <row r="43">
      <c r="G43" s="10" t="n"/>
      <c r="H43" s="9" t="n"/>
      <c r="AB43" s="9" t="n"/>
      <c r="AC43" s="9" t="n"/>
      <c r="AD43" s="9" t="n"/>
      <c r="AF43" s="9" t="n"/>
      <c r="AG43" s="9" t="n"/>
      <c r="AT43" s="9" t="n"/>
      <c r="AU43" s="9" t="n"/>
      <c r="AY43" s="9" t="n"/>
      <c r="BA43" s="9" t="n"/>
      <c r="BB43" s="9" t="n"/>
      <c r="BC43" s="9" t="n"/>
      <c r="BE43" s="25">
        <f>IF($A43="","",IFERROR(IF(INDEX(brands!$K$2:$K$41,MATCH($C43,brands!$A$2:$A$41,0))="","",INDEX(brands!$K$2:$K$41,MATCH($C43,brands!$A$2:$A$41,0))),""))</f>
        <v/>
      </c>
      <c r="BF43" s="25">
        <f>IF($A43="","",IFERROR(IF(INDEX(brands!$M$2:$M$41,MATCH($C43,brands!$A$2:$A$41,0))="","",INDEX(brands!$M$2:$M$41,MATCH($C43,brands!$A$2:$A$41,0))),""))</f>
        <v/>
      </c>
      <c r="BG43" s="26">
        <f>IF($A43="","",IF(IFERROR(IF(INDEX(drops!$I$2:$I$21,MATCH($B43,drops!$A$2:$A$21,0))="","",INDEX(drops!$I$2:$I$21,MATCH($B43,drops!$A$2:$A$21,0))),"")="OK",IFERROR(IF(INDEX(drops!$B$2:$B$21,MATCH($B43,drops!$A$2:$A$21,0))="","",INDEX(drops!$B$2:$B$21,MATCH($B43,drops!$A$2:$A$21,0))),""),""))</f>
        <v/>
      </c>
      <c r="BH43" s="25">
        <f>IF($A43="","",IFERROR(IF(INDEX(drops!$C$2:$C$21,MATCH($B43,drops!$A$2:$A$21,0))="","",INDEX(drops!$C$2:$C$21,MATCH($B43,drops!$A$2:$A$21,0))),""))</f>
        <v/>
      </c>
      <c r="BI43" s="27">
        <f>IF($A43="","",IF($F43="","",IF($D43="founding",IF($E43="Y",config!$B$25*MIN($F43,config!$B$26)+config!$B$24*MAX(0,$F43-config!$B$26),config!$B$20+config!$B$24*MAX(0,$F43-config!$B$21)),IF($D43="standard",config!$B$22+config!$B$24*MAX(0,$F43-config!$B$23),""))))</f>
        <v/>
      </c>
      <c r="BJ43" s="27">
        <f>IF($A43="","",IF($G43&lt;&gt;"",$G43,$BI43))</f>
        <v/>
      </c>
      <c r="BK43" s="25">
        <f>IF($A43="","",IF($D43="founding","100% within "&amp;config!$B$27&amp;" business days of the invoice, before shipping",IF($D43="standard","50% on signing; 50% at placement confirmation (T+1)","")))</f>
        <v/>
      </c>
      <c r="BL43" s="26">
        <f>IF($A43="","",IFERROR(IF(INDEX(drops!$K$2:$K$21,MATCH($B43,drops!$A$2:$A$21,0))="","",INDEX(drops!$K$2:$K$21,MATCH($B43,drops!$A$2:$A$21,0))),""))</f>
        <v/>
      </c>
      <c r="BM43" s="26">
        <f>IF($A43="","",IFERROR(IF(INDEX(drops!$L$2:$L$21,MATCH($B43,drops!$A$2:$A$21,0))="","",INDEX(drops!$L$2:$L$21,MATCH($B43,drops!$A$2:$A$21,0))),""))</f>
        <v/>
      </c>
      <c r="BN43" s="25">
        <f>IF($A43="","",COUNTIF(approvals!$A$2:$A$251,$A43))</f>
        <v/>
      </c>
      <c r="BO43" s="25">
        <f>IF($A43="","",COUNTIFS(approvals!$A$2:$A$251,$A43,approvals!$P$2:$P$251,"Y"))</f>
        <v/>
      </c>
      <c r="BP43" s="25">
        <f>IF($A43="","",COUNTIFS(approvals!$A$2:$A$251,$A43,approvals!$Q$2:$Q$251,"Y"))</f>
        <v/>
      </c>
      <c r="BQ43" s="25">
        <f>IF($A43="","",COUNTIFS(approvals!$A$2:$A$251,$A43,approvals!$P$2:$P$251,"pending"))</f>
        <v/>
      </c>
      <c r="BR43" s="25">
        <f>IF($A43="","",SUMIFS(approvals!$S$2:$S$251,approvals!$A$2:$A$251,$A43,approvals!$P$2:$P$251,"Y"))</f>
        <v/>
      </c>
      <c r="BS43" s="25">
        <f>IF($A43="","",ROUNDUP($BR43*config!$B$18,0))</f>
        <v/>
      </c>
      <c r="BT43" s="25">
        <f>IF($A43="","",$BR43+$BS43)</f>
        <v/>
      </c>
      <c r="BU43" s="27">
        <f>IF($A43="","",SUMIFS(invoices!$I$2:$I$151,invoices!$B$2:$B$151,$A43,invoices!$R$2:$R$151,"Y",invoices!$H$2:$H$151,"&gt;0"))</f>
        <v/>
      </c>
      <c r="BV43" s="27">
        <f>IF($A43="","",IF($BJ43="","",IF($D43="founding",$BJ43,ROUND($BJ43*config!$B$28,2))))</f>
        <v/>
      </c>
      <c r="BW43" s="25">
        <f>IF($A43="","",IF(AND(N($BU43)&gt;=N($BV43),N($BV43)&gt;0,$H43&lt;&gt;"",AND($AB43&lt;&gt;"",IFERROR(IF(INDEX(brands!$G$2:$G$41,MATCH($C43,brands!$A$2:$A$41,0))="","",INDEX(brands!$G$2:$G$41,MATCH($C43,brands!$A$2:$A$41,0))),"")="Y"),LEFT(IFERROR(IF(INDEX(brands!$AG$2:$AG$41,MATCH($C43,brands!$A$2:$A$41,0))="","",INDEX(brands!$AG$2:$AG$41,MATCH($C43,brands!$A$2:$A$41,0))),""),1)="Y",$BG43&lt;&gt;"",$BQ43=0,$BO43&gt;0),"RELEASED "&amp;TEXT(MAX(IFERROR(1/(1/SUMPRODUCT(MAX((invoices!$B$2:$B$151=$A43)*(invoices!$R$2:$R$151="Y")*(invoices!$H$2:$H$151)))),""),$H43,$AB43,SUMPRODUCT(MAX((approvals!$A$2:$A$251=$A43)*(approvals!$P$2:$P$251="Y")*(approvals!$E$2:$E$251+(approvals!$E$2:$E$251=0)*approvals!$C$2:$C$251)))),"yyyy-mm-dd")&amp;": ship by "&amp;TEXT($BM43,"ddd yyyy-mm-dd")&amp;" (latest "&amp;TEXT($BL43,"ddd yyyy-mm-dd")&amp;")","HOLD: "&amp;IF(N($BU43)&lt;N($BV43),"payment ("&amp;TEXT(N($BU43),"0")&amp;" of "&amp;TEXT(N($BV43),"0")&amp;") ","")&amp;IF($H43="","agreement ","")&amp;IF(NOT(AND($AB43&lt;&gt;"",IFERROR(IF(INDEX(brands!$G$2:$G$41,MATCH($C43,brands!$A$2:$A$41,0))="","",INDEX(brands!$G$2:$G$41,MATCH($C43,brands!$A$2:$A$41,0))),"")="Y")),"certificate ","")&amp;IF(NOT(LEFT(IFERROR(IF(INDEX(brands!$AG$2:$AG$41,MATCH($C43,brands!$A$2:$A$41,0))="","",INDEX(brands!$AG$2:$AG$41,MATCH($C43,brands!$A$2:$A$41,0))),""),1)="Y"),"qualification ","")&amp;IF($BG43="","drop date ","")&amp;IF($BQ43&gt;0,"approvals ("&amp;$BQ43&amp;" pending) ","")&amp;IF($BO43=0,"no office approved ","")))</f>
        <v/>
      </c>
      <c r="BX43" s="25">
        <f>IF($A43="","",SUMIFS(inventory!$G$2:$G$801,inventory!$C$2:$C$801,$A43,inventory!$E$2:$E$801,"received"))</f>
        <v/>
      </c>
      <c r="BY43" s="25">
        <f>IF($A43="","",SUMIFS(inventory!$G$2:$G$801,inventory!$C$2:$C$801,$A43,inventory!$E$2:$E$801,"rejected"))</f>
        <v/>
      </c>
      <c r="BZ43" s="25">
        <f>IF($A43="","",SUMIFS(inventory!$M$2:$M$801,inventory!$C$2:$C$801,$A43))</f>
        <v/>
      </c>
      <c r="CA43" s="25">
        <f>IF($A43="","",SUMIFS(inventory!$O$2:$O$801,inventory!$C$2:$C$801,$A43))</f>
        <v/>
      </c>
      <c r="CB43" s="25">
        <f>IF($A43="","",SUMIFS(approvals!$U$2:$U$251,approvals!$A$2:$A$251,$A43))</f>
        <v/>
      </c>
      <c r="CC43" s="25">
        <f>IF($A43="","",SUMIFS(approvals!$AA$2:$AA$251,approvals!$A$2:$A$251,$A43))</f>
        <v/>
      </c>
      <c r="CD43" s="25">
        <f>IF($A43="","",SUMIFS(approvals!$AA$2:$AA$251,approvals!$A$2:$A$251,$A43,approvals!$AB$2:$AB$251,"Y"))</f>
        <v/>
      </c>
      <c r="CE43" s="29">
        <f>IF($A43="","",IF(N($CB43)=0,"",$CD43/$CB43))</f>
        <v/>
      </c>
      <c r="CF43" s="25">
        <f>IF($A43="","",SUMIFS(approvals!$AD$2:$AD$251,approvals!$A$2:$A$251,$A43))</f>
        <v/>
      </c>
      <c r="CG43" s="25">
        <f>IF($A43="","",IF(COUNTIFS(approvals!$A$2:$A$251,$A43,approvals!$Q$2:$Q$251,"Y",approvals!$AG$2:$AG$251,"")&gt;0,"",SUMIFS(approvals!$AG$2:$AG$251,approvals!$A$2:$A$251,$A43,approvals!$Q$2:$Q$251,"Y")))</f>
        <v/>
      </c>
      <c r="CH43" s="25">
        <f>IF($A43="","",SUMIFS(approvals!$AL$2:$AL$251,approvals!$A$2:$A$251,$A43))</f>
        <v/>
      </c>
      <c r="CI43" s="25">
        <f>IF($A43="","",IF(N($BP43)=0,"",SUMPRODUCT(MIN(approvals!$BB$2:$BB$251+(approvals!$A$2:$A$251&lt;&gt;$A43)*1000000))))</f>
        <v/>
      </c>
      <c r="CJ43" s="25">
        <f>IF($A43="","",COUNTIFS(approvals!$A$2:$A$251,$A43,approvals!$Q$2:$Q$251,"Y",approvals!$AL$2:$AL$251,"&lt;"&amp;config!$B$30))</f>
        <v/>
      </c>
      <c r="CK43" s="25">
        <f>IF($A43="","",SUMIFS(approvals!$AM$2:$AM$251,approvals!$A$2:$A$251,$A43))</f>
        <v/>
      </c>
      <c r="CL43" s="25">
        <f>IF($A43="","",SUMIFS(approvals!$AQ$2:$AQ$251,approvals!$A$2:$A$251,$A43))</f>
        <v/>
      </c>
      <c r="CM43" s="25">
        <f>IF($A43="","",SUMIFS(approvals!$AR$2:$AR$251,approvals!$A$2:$A$251,$A43))</f>
        <v/>
      </c>
      <c r="CN43" s="25">
        <f>IF($A43="","",SUMIFS(approvals!$AS$2:$AS$251,approvals!$A$2:$A$251,$A43))</f>
        <v/>
      </c>
      <c r="CO43" s="25">
        <f>IF($A43="","",SUMIFS(approvals!$AT$2:$AT$251,approvals!$A$2:$A$251,$A43))</f>
        <v/>
      </c>
      <c r="CP43" s="28">
        <f>IF($A43="","",IF(N($CO43)=0,"",ROUND(SUMIFS(approvals!$AU$2:$AU$251,approvals!$A$2:$A$251,$A43)/$CO43,1)))</f>
        <v/>
      </c>
      <c r="CQ43" s="25">
        <f>IF($A43="","",SUMIFS(approvals!$AV$2:$AV$251,approvals!$A$2:$A$251,$A43))</f>
        <v/>
      </c>
      <c r="CR43" s="25">
        <f>IF($A43="","",SUMIFS(approvals!$AW$2:$AW$251,approvals!$A$2:$A$251,$A43))</f>
        <v/>
      </c>
      <c r="CS43" s="25">
        <f>IF($A43="","",SUMIFS(approvals!$AX$2:$AX$251,approvals!$A$2:$A$251,$A43))</f>
        <v/>
      </c>
      <c r="CT43" s="25">
        <f>IF($A43="","",SUMIFS(approvals!$AY$2:$AY$251,approvals!$A$2:$A$251,$A43))</f>
        <v/>
      </c>
      <c r="CU43" s="25">
        <f>IF($A43="","",IF(OR($BG43="",$BC43&lt;&gt;""),"",IFERROR(COUNT(INDIRECT("'"&amp;$A43&amp;"'!$A$2:$A$501")),0)-IFERROR(COUNTIFS(INDIRECT("'"&amp;$A43&amp;"'!$A$2:$A$501"),"&gt;="&amp;$BG43,INDIRECT("'"&amp;$A43&amp;"'!$A$2:$A$501"),"&lt;"&amp;(IFERROR(IF(INDEX(drops!$R$2:$R$21,MATCH($B43,drops!$A$2:$A$21,0))="","",INDEX(drops!$R$2:$R$21,MATCH($B43,drops!$A$2:$A$21,0))),"")+1)),0)))</f>
        <v/>
      </c>
      <c r="CV43" s="25">
        <f>IF($A43="","",IF(OR($BG43="",$BC43&lt;&gt;""),"",IFERROR(COUNTIFS(INDIRECT("'"&amp;$A43&amp;"'!$A$2:$A$501"),"&gt;="&amp;$BG43,INDIRECT("'"&amp;$A43&amp;"'!$A$2:$A$501"),"&lt;"&amp;(IFERROR(IF(INDEX(drops!$R$2:$R$21,MATCH($B43,drops!$A$2:$A$21,0))="","",INDEX(drops!$R$2:$R$21,MATCH($B43,drops!$A$2:$A$21,0))),"")+1)),0)-N($CH43)))</f>
        <v/>
      </c>
      <c r="CW43" s="25">
        <f>IF($A43="","",SUMIFS(approvals!$AN$2:$AN$251,approvals!$A$2:$A$251,$A43))</f>
        <v/>
      </c>
      <c r="CX43" s="25">
        <f>IF($A43="","",SUMIFS(approvals!$AO$2:$AO$251,approvals!$A$2:$A$251,$A43))</f>
        <v/>
      </c>
      <c r="CY43" s="25">
        <f>IF($A43="","",IF($CZ43="","",SUMIFS(redemptions!$C$2:$C$121,redemptions!$A$2:$A$121,$A43,redemptions!$B$2:$B$121,$CZ43)))</f>
        <v/>
      </c>
      <c r="CZ43" s="26">
        <f>IF($A43="","",IFERROR(1/(1/SUMPRODUCT(MAX((redemptions!$A$2:$A$121=$A43)*redemptions!$B$2:$B$121))),""))</f>
        <v/>
      </c>
      <c r="DA43" s="25">
        <f>IF($A43="","",IF(COUNTIFS(redemptions!$A$2:$A$121,$A43,redemptions!$H$2:$H$121,"Y")=0,"",SUMIFS(redemptions!$C$2:$C$121,redemptions!$A$2:$A$121,$A43,redemptions!$B$2:$B$121,SUMPRODUCT(MIN((redemptions!$A$2:$A$121=$A43)*(redemptions!$H$2:$H$121="Y")*redemptions!$B$2:$B$121+((redemptions!$A$2:$A$121&lt;&gt;$A43)+(redemptions!$H$2:$H$121&lt;&gt;"Y")&gt;0)*1000000)))))</f>
        <v/>
      </c>
      <c r="DB43" s="27">
        <f>IF($A43="","",SUMIFS(invoices!$E$2:$E$151,invoices!$B$2:$B$151,$A43))</f>
        <v/>
      </c>
      <c r="DC43" s="27">
        <f>IF($A43="","",IF(COUNTIFS(invoices!$B$2:$B$151,$A43,invoices!$C$2:$C$151,"standard_deposit",invoices!$H$2:$H$151,"&gt;0")=0,"",SUMIFS(invoices!$I$2:$I$151,invoices!$B$2:$B$151,$A43,invoices!$C$2:$C$151,"standard_deposit")))</f>
        <v/>
      </c>
      <c r="DD43" s="26">
        <f>IF($A43="","",IFERROR(1/(1/SUMPRODUCT(MAX((invoices!$B$2:$B$151=$A43)*(invoices!$C$2:$C$151="standard_deposit")*invoices!$H$2:$H$151))),""))</f>
        <v/>
      </c>
      <c r="DE43" s="26">
        <f>IF($A43="","",IFERROR(1/(1/SUMPRODUCT(MAX((invoices!$B$2:$B$151=$A43)*((invoices!$C$2:$C$151="founding_full")+(invoices!$C$2:$C$151="standard_balance"))*invoices!$H$2:$H$151))),""))</f>
        <v/>
      </c>
      <c r="DF43" s="27">
        <f>IF($A43="","",SUMIFS(invoices!$L$2:$L$151,invoices!$B$2:$B$151,$A43))</f>
        <v/>
      </c>
      <c r="DG43" s="27">
        <f>IF($A43="","",SUMIFS(costs!$E$2:$E$301,costs!$C$2:$C$301,$A43))</f>
        <v/>
      </c>
      <c r="DH43" s="27">
        <f>IF($A43="","",ROUND(IF(SUMIFS(campaigns!$BO$2:$BO$51,campaigns!$B$2:$B$51,$B43)=0,0,$BO43/SUMIFS(campaigns!$BO$2:$BO$51,campaigns!$B$2:$B$51,$B43))*(SUMIFS(costs!$E$2:$E$301,costs!$B$2:$B$301,$B43)-SUMPRODUCT((costs!$B$2:$B$301=$B43)*(LEN(costs!$C$2:$C$301)&gt;0)*costs!$E$2:$E$301)),2))</f>
        <v/>
      </c>
      <c r="DI43" s="28">
        <f>IF($A43="","",SUMIFS(hours!$E$2:$E$1501,hours!$C$2:$C$1501,$A43))</f>
        <v/>
      </c>
      <c r="DJ43" s="28">
        <f>IF($A43="","",ROUND(IF(SUMIFS(campaigns!$BO$2:$BO$51,campaigns!$B$2:$B$51,$B43)=0,0,$BO43/SUMIFS(campaigns!$BO$2:$BO$51,campaigns!$B$2:$B$51,$B43))*(SUMIFS(hours!$E$2:$E$1501,hours!$B$2:$B$1501,$B43)-SUMPRODUCT((hours!$B$2:$B$1501=$B43)*(LEN(hours!$C$2:$C$1501)&gt;0)*hours!$E$2:$E$1501)),2))</f>
        <v/>
      </c>
      <c r="DK43" s="27">
        <f>IF($A43="","",$DB43-$DF43-$DG43-$DH43)</f>
        <v/>
      </c>
      <c r="DL43" s="27">
        <f>IF($A43="","",IF(N($DI43)+N($DJ43)=0,"",ROUND($DK43/($DI43+$DJ43),2)))</f>
        <v/>
      </c>
      <c r="DM43" s="29">
        <f>IF($A43="","",IF(N($BP43)=0,"",COUNTIFS(approvals!$A$2:$A$251,$A43,approvals!$Q$2:$Q$251,"Y",approvals!$AK$2:$AK$251,"Y")/$BP43))</f>
        <v/>
      </c>
      <c r="DN43" s="28">
        <f>IF($A43="","",IF(COUNTIFS(approvals!$A$2:$A$251,$A43,approvals!$AC$2:$AC$251,"&gt;=0")=0,"",ROUND(SUMIFS(approvals!$AC$2:$AC$251,approvals!$A$2:$A$251,$A43)/COUNTIFS(approvals!$A$2:$A$251,$A43,approvals!$AC$2:$AC$251,"&gt;=0"),1)))</f>
        <v/>
      </c>
      <c r="DO43" s="26">
        <f>IF($A43="","",IFERROR(IF(INDEX(drops!$T$2:$T$21,MATCH($B43,drops!$A$2:$A$21,0))="","",INDEX(drops!$T$2:$T$21,MATCH($B43,drops!$A$2:$A$21,0))),""))</f>
        <v/>
      </c>
      <c r="DP43" s="26">
        <f>IF($A43="","",IFERROR(IF(INDEX(drops!$U$2:$U$21,MATCH($B43,drops!$A$2:$A$21,0))="","",INDEX(drops!$U$2:$U$21,MATCH($B43,drops!$A$2:$A$21,0))),""))</f>
        <v/>
      </c>
      <c r="DQ43" s="26">
        <f>IF($A43="","",IFERROR(IF(INDEX(drops!$W$2:$W$21,MATCH($B43,drops!$A$2:$A$21,0))="","",INDEX(drops!$W$2:$W$21,MATCH($B43,drops!$A$2:$A$21,0))),""))</f>
        <v/>
      </c>
      <c r="DR43" s="25">
        <f>IF($A43="","",IF($CE43="","",IF($CE43&gt;=config!$B$31,"pass","miss")))</f>
        <v/>
      </c>
      <c r="DS43" s="25">
        <f>IF($A43="","",IF($CI43="","",IF($CI43&gt;=config!$B$30,"pass","miss")))</f>
        <v/>
      </c>
      <c r="DT43" s="25">
        <f>IF($A43="","",IF($AT43="",IF($DO43="","",IF(IF(config!$B$37&lt;&gt;"",config!$B$37,TODAY())&gt;$DO43,"late","due")),IF($AT43&lt;=$DO43,"pass","late")))</f>
        <v/>
      </c>
      <c r="DU43" s="25">
        <f>IF($A43="","",IF(COUNTIF(drops!$A$2:$A$21,$B43)=0,"drop_id not on drops; ",IF($BG43="","drop date missing or refused; ",""))&amp;IF(AND($G43&lt;&gt;"",$G43&lt;&gt;$BI43),"price differs from the price list; ","")&amp;IF(AND(LEFT($BW43,4)="HOLD",$BL43&lt;&gt;"",IF(config!$B$37&lt;&gt;"",config!$B$37,TODAY())&gt;=WORKDAY(N($BL43),-3,calendar!$A$2:$A$80)),"SHIP HOLD within 3 business days of T-10; ","")&amp;IF(AND($BQ43&gt;0,$BL43&lt;&gt;"",IF(config!$B$37&lt;&gt;"",config!$B$37,TODAY())&gt;$BL43),"approvals still pending after T-10; ","")&amp;IF($BZ43&lt;0,"reserve below zero: check inventory; ","")&amp;IF(AND($BG43&lt;&gt;"",IF(config!$B$37&lt;&gt;"",config!$B$37,TODAY())&gt;WORKDAY(N($BG43),14,calendar!$A$2:$A$80),N($BZ43)+N($CA43)&lt;&gt;0),"units still on hand after T+14; ","")&amp;IF(N($CV43)&gt;0,"info: "&amp;$CV43&amp;" in-window responses with a card code that matches no office (not counted); ","")&amp;IF(AND($Z43="Y",$AK43=""),"newsletter form URL missing; ","")&amp;IF(AND($Z43="Y",$BG43&lt;&gt;"",IF(config!$B$37&lt;&gt;"",config!$B$37,TODAY())&gt;WORKDAY(N($BG43),5,calendar!$A$2:$A$80),$AY43=""),"newsletter list not yet passed on (due T+5); ","")&amp;IF(AND($AY43&lt;&gt;"",$BA43=""),"delete unticked emails; ","")&amp;IF(AND($AY43&lt;&gt;"",$BB43="",IF(config!$B$37&lt;&gt;"",config!$B$37,TODAY())&gt;$AY43+config!$B$32),"DELETE the consented emails (30 days after passing on); ","")&amp;IF(AND($BG43&lt;&gt;"",$AJ43="",IF(config!$B$37&lt;&gt;"",config!$B$37,TODAY())&gt;=WORKDAY(N($BG43),-4,calendar!$A$2:$A$80)),"survey prefill template missing (due T-4); ","")&amp;IF(AND($AJ43&lt;&gt;"",ISERROR(SEARCH("CARDCODE",$AJ43))),"prefill template has no CARDCODE; ","")&amp;IF(AND($AF43="",$BG43&lt;&gt;"",IF(config!$B$37&lt;&gt;"",config!$B$37,TODAY())&gt;=WORKDAY(N($BG43),-3,calendar!$A$2:$A$80)),"card text not yet sent to the brand; ","")&amp;IF(AND($DA43="",$DQ43&lt;&gt;"",IF(config!$B$37&lt;&gt;"",config!$B$37,TODAY())&gt;$DQ43),"day-30 redemption count due; ","")&amp;IF(AND(LEFT($BW43,8)="RELEASED",$AG43=""),"ship-date email due (template 02): send it, then log ship_email_sent_date and ship_email_units; ","")&amp;IF(AND($AH43&lt;&gt;"",N($BT43)&gt;0,N($BX43)=0,N($AH43)&lt;&gt;N($BT43)),"units changed since the ship-date email of "&amp;IF($AG43="","?",TEXT($AG43,"yyyy-mm-dd"))&amp;" ("&amp;$AH43&amp;", now "&amp;$BT43&amp;"): send the brand the revised numbers (template 02) and log them; ","")&amp;IF($DT43="late","report late; ","")&amp;IF(AND(N($F43)&gt;0,$BO43&lt;N($F43),$BQ43=0),"info: "&amp;(N($F43)-$BO43)&amp;" office(s) short of the contract: add a roster office or credit $"&amp;IF($D43="founding",config!$B$25,config!$B$24)&amp;" each; ","")&amp;IF($BC43&lt;&gt;"",IF(COUNTIF(survey_frozen!$A$2:$A$251,$A43)=0,"answers deleted but no frozen totals: the survey numbers now read 0 (tools/freeze_survey.py, SOP answers_delete); ",""),IF(AND($BG43&lt;&gt;"",IF(config!$B$37&lt;&gt;"",config!$B$37,TODAY())&gt;=$BG43,ISREF(INDIRECT("'"&amp;$A43&amp;"'!B1"))),IF(INDIRECT("'"&amp;$A43&amp;"'!B1")&lt;&gt;"Card code (filled in for you)","survey tab column B is not the card code: fix the form or the tab; ",""),IF(AND($BG43&lt;&gt;"",IF(config!$B$37&lt;&gt;"",config!$B$37,TODAY())&gt;=$BG43),"no survey tab named "&amp;$A43&amp;"; ","")))&amp;IF(COUNTIF(brands!$A$2:$A$41,$C43)=0,"brand_id not on brands; ",IF(LEFT(IFERROR(IF(INDEX(brands!$AG$2:$AG$41,MATCH($C43,brands!$A$2:$A$41,0))="","",INDEX(brands!$AG$2:$AG$41,MATCH($C43,brands!$A$2:$A$41,0))),""),1)&lt;&gt;"Y","brand not qualified ("&amp;IFERROR(IF(INDEX(brands!$AG$2:$AG$41,MATCH($C43,brands!$A$2:$A$41,0))="","",INDEX(brands!$AG$2:$AG$41,MATCH($C43,brands!$A$2:$A$41,0))),"")&amp;"): nothing ships until it is; ",""))&amp;IF(AND(COUNTIF(brands!$A$2:$A$41,$C43)&gt;0,OR(IFERROR(IF(INDEX(brands!$C$2:$C$41,MATCH($C43,brands!$A$2:$A$41,0))="","",INDEX(brands!$C$2:$C$41,MATCH($C43,brands!$A$2:$A$41,0))),"")="",IFERROR(IF(INDEX(brands!$D$2:$D$41,MATCH($C43,brands!$A$2:$A$41,0))="","",INDEX(brands!$D$2:$D$41,MATCH($C43,brands!$A$2:$A$41,0))),"")="",IFERROR(IF(INDEX(brands!$E$2:$E$41,MATCH($C43,brands!$A$2:$A$41,0))="","",INDEX(brands!$E$2:$E$41,MATCH($C43,brands!$A$2:$A$41,0))),"")="")),"brand billing details missing on brands (legal name, address, email): needed for the invoice; ","")&amp;IF(AND($D43="founding",$E43&lt;&gt;"Y",N(IFERROR(IF(INDEX(brands!$AI$2:$AI$41,MATCH($C43,brands!$A$2:$A$41,0))="","",INDEX(brands!$AI$2:$AI$41,MATCH($C43,brands!$A$2:$A$41,0))),""))&gt;3),"the founding tier is for the first three brands only (this is brand "&amp;IFERROR(IF(INDEX(brands!$AI$2:$AI$41,MATCH($C43,brands!$A$2:$A$41,0))="","",INDEX(brands!$AI$2:$AI$41,MATCH($C43,brands!$A$2:$A$41,0))),"")&amp;"): use standard; ","")&amp;IF(AND($D43="founding",$E43&lt;&gt;"Y",COUNTIFS(campaigns!$C$2:$C$51,$C43,campaigns!$D$2:$D$51,"founding",campaigns!$E$2:$E$51,"&lt;&gt;Y")&gt;1),"a brand has the founding price once; its next two campaigns are founding_lock = Y; ","")&amp;IF(AND($E43="Y",COUNTIFS(campaigns!$C$2:$C$51,$C43,campaigns!$D$2:$D$51,"founding",campaigns!$E$2:$E$51,"Y")&gt;2),"founding_lock is for the brand's next two campaigns only (this is a third): use standard; ","")&amp;IF(AND($E43="Y",COUNTIFS(campaigns!$C$2:$C$51,$C43,campaigns!$D$2:$D$51,"founding",campaigns!$E$2:$E$51,"&lt;&gt;Y")=0),"founding_lock without a first founding campaign for this brand; ","")&amp;IF(AND(N($BX43)&gt;0,$BG43&lt;&gt;"",IF(config!$B$37&lt;&gt;"",config!$B$37,TODAY())&gt;=WORKDAY(N($BG43),-5,calendar!$A$2:$A$80)),IF(N($BX43)-N($BY43)&lt;N($BR43),"received "&amp;(N($BX43)-N($BY43))&amp;" usable units for "&amp;$BR43&amp;" allocated: reduce units_override evenly (SOP section 4, short shipment); ","")&amp;IF(AND(N($BX43)&lt;N($BT43),COUNTIFS(issues!$E$2:$E$121,$A43,issues!$G$2:$G$121,"short_shipment")=0),"received "&amp;$BX43&amp;" of "&amp;$BT43&amp;" due: log a short_shipment issue and tell the brand today; ",""),"")&amp;IF(AND($BG43&lt;&gt;"",IF(config!$B$37&lt;&gt;"",config!$B$37,TODAY())&gt;=WORKDAY(N($BG43),1,calendar!$A$2:$A$80),N($F43)&gt;0,(-SUMIFS(invoices!$E$2:$E$151,invoices!$B$2:$B$151,$A43,invoices!$C$2:$C$151,"credit_note"))&lt;(IF($D43="founding",config!$B$25,config!$B$24)*MAX(0,N($F43)-COUNTIFS(approvals!$A$2:$A$251,$A43,approvals!$Q$2:$Q$251,"Y",approvals!$AB$2:$AB$251,"Y")))-0.005),"credit due from T+1: "&amp;MAX(0,N($F43)-COUNTIFS(approvals!$A$2:$A$251,$A43,approvals!$Q$2:$Q$251,"Y",approvals!$AB$2:$AB$251,"Y"))&amp;" of "&amp;$F43&amp;" contracted offices not placed by T+1, $"&amp;(IF($D43="founding",config!$B$25,config!$B$24)*MAX(0,N($F43)-COUNTIFS(approvals!$A$2:$A$251,$A43,approvals!$Q$2:$Q$251,"Y",approvals!$AB$2:$AB$251,"Y")))&amp;" due, $"&amp;(-SUMIFS(invoices!$E$2:$E$151,invoices!$B$2:$B$151,$A43,invoices!$C$2:$C$151,"credit_note"))&amp;" in credit notes so far (template 06, make_invoice.py); ","")&amp;IF(AND(IFERROR(IF(INDEX(brands!$H$2:$H$41,MATCH($C43,brands!$A$2:$A$41,0))="","",INDEX(brands!$H$2:$H$41,MATCH($C43,brands!$A$2:$A$41,0))),"")&lt;&gt;"",$BG43&lt;&gt;"",IFERROR(IF(INDEX(brands!$H$2:$H$41,MATCH($C43,brands!$A$2:$A$41,0))="","",INDEX(brands!$H$2:$H$41,MATCH($C43,brands!$A$2:$A$41,0))),"")&lt;EDATE(WORKDAY(N($BG43),4,calendar!$A$2:$A$80),12)),"info: brand insurance ends "&amp;TEXT(IFERROR(IF(INDEX(brands!$H$2:$H$41,MATCH($C43,brands!$A$2:$A$41,0))="","",INDEX(brands!$H$2:$H$41,MATCH($C43,brands!$A$2:$A$41,0))),""),"yyyy-mm-dd")&amp;": diary the renewal certificate; ",""))</f>
        <v/>
      </c>
    </row>
    <row r="44">
      <c r="G44" s="10" t="n"/>
      <c r="H44" s="9" t="n"/>
      <c r="AB44" s="9" t="n"/>
      <c r="AC44" s="9" t="n"/>
      <c r="AD44" s="9" t="n"/>
      <c r="AF44" s="9" t="n"/>
      <c r="AG44" s="9" t="n"/>
      <c r="AT44" s="9" t="n"/>
      <c r="AU44" s="9" t="n"/>
      <c r="AY44" s="9" t="n"/>
      <c r="BA44" s="9" t="n"/>
      <c r="BB44" s="9" t="n"/>
      <c r="BC44" s="9" t="n"/>
      <c r="BE44" s="25">
        <f>IF($A44="","",IFERROR(IF(INDEX(brands!$K$2:$K$41,MATCH($C44,brands!$A$2:$A$41,0))="","",INDEX(brands!$K$2:$K$41,MATCH($C44,brands!$A$2:$A$41,0))),""))</f>
        <v/>
      </c>
      <c r="BF44" s="25">
        <f>IF($A44="","",IFERROR(IF(INDEX(brands!$M$2:$M$41,MATCH($C44,brands!$A$2:$A$41,0))="","",INDEX(brands!$M$2:$M$41,MATCH($C44,brands!$A$2:$A$41,0))),""))</f>
        <v/>
      </c>
      <c r="BG44" s="26">
        <f>IF($A44="","",IF(IFERROR(IF(INDEX(drops!$I$2:$I$21,MATCH($B44,drops!$A$2:$A$21,0))="","",INDEX(drops!$I$2:$I$21,MATCH($B44,drops!$A$2:$A$21,0))),"")="OK",IFERROR(IF(INDEX(drops!$B$2:$B$21,MATCH($B44,drops!$A$2:$A$21,0))="","",INDEX(drops!$B$2:$B$21,MATCH($B44,drops!$A$2:$A$21,0))),""),""))</f>
        <v/>
      </c>
      <c r="BH44" s="25">
        <f>IF($A44="","",IFERROR(IF(INDEX(drops!$C$2:$C$21,MATCH($B44,drops!$A$2:$A$21,0))="","",INDEX(drops!$C$2:$C$21,MATCH($B44,drops!$A$2:$A$21,0))),""))</f>
        <v/>
      </c>
      <c r="BI44" s="27">
        <f>IF($A44="","",IF($F44="","",IF($D44="founding",IF($E44="Y",config!$B$25*MIN($F44,config!$B$26)+config!$B$24*MAX(0,$F44-config!$B$26),config!$B$20+config!$B$24*MAX(0,$F44-config!$B$21)),IF($D44="standard",config!$B$22+config!$B$24*MAX(0,$F44-config!$B$23),""))))</f>
        <v/>
      </c>
      <c r="BJ44" s="27">
        <f>IF($A44="","",IF($G44&lt;&gt;"",$G44,$BI44))</f>
        <v/>
      </c>
      <c r="BK44" s="25">
        <f>IF($A44="","",IF($D44="founding","100% within "&amp;config!$B$27&amp;" business days of the invoice, before shipping",IF($D44="standard","50% on signing; 50% at placement confirmation (T+1)","")))</f>
        <v/>
      </c>
      <c r="BL44" s="26">
        <f>IF($A44="","",IFERROR(IF(INDEX(drops!$K$2:$K$21,MATCH($B44,drops!$A$2:$A$21,0))="","",INDEX(drops!$K$2:$K$21,MATCH($B44,drops!$A$2:$A$21,0))),""))</f>
        <v/>
      </c>
      <c r="BM44" s="26">
        <f>IF($A44="","",IFERROR(IF(INDEX(drops!$L$2:$L$21,MATCH($B44,drops!$A$2:$A$21,0))="","",INDEX(drops!$L$2:$L$21,MATCH($B44,drops!$A$2:$A$21,0))),""))</f>
        <v/>
      </c>
      <c r="BN44" s="25">
        <f>IF($A44="","",COUNTIF(approvals!$A$2:$A$251,$A44))</f>
        <v/>
      </c>
      <c r="BO44" s="25">
        <f>IF($A44="","",COUNTIFS(approvals!$A$2:$A$251,$A44,approvals!$P$2:$P$251,"Y"))</f>
        <v/>
      </c>
      <c r="BP44" s="25">
        <f>IF($A44="","",COUNTIFS(approvals!$A$2:$A$251,$A44,approvals!$Q$2:$Q$251,"Y"))</f>
        <v/>
      </c>
      <c r="BQ44" s="25">
        <f>IF($A44="","",COUNTIFS(approvals!$A$2:$A$251,$A44,approvals!$P$2:$P$251,"pending"))</f>
        <v/>
      </c>
      <c r="BR44" s="25">
        <f>IF($A44="","",SUMIFS(approvals!$S$2:$S$251,approvals!$A$2:$A$251,$A44,approvals!$P$2:$P$251,"Y"))</f>
        <v/>
      </c>
      <c r="BS44" s="25">
        <f>IF($A44="","",ROUNDUP($BR44*config!$B$18,0))</f>
        <v/>
      </c>
      <c r="BT44" s="25">
        <f>IF($A44="","",$BR44+$BS44)</f>
        <v/>
      </c>
      <c r="BU44" s="27">
        <f>IF($A44="","",SUMIFS(invoices!$I$2:$I$151,invoices!$B$2:$B$151,$A44,invoices!$R$2:$R$151,"Y",invoices!$H$2:$H$151,"&gt;0"))</f>
        <v/>
      </c>
      <c r="BV44" s="27">
        <f>IF($A44="","",IF($BJ44="","",IF($D44="founding",$BJ44,ROUND($BJ44*config!$B$28,2))))</f>
        <v/>
      </c>
      <c r="BW44" s="25">
        <f>IF($A44="","",IF(AND(N($BU44)&gt;=N($BV44),N($BV44)&gt;0,$H44&lt;&gt;"",AND($AB44&lt;&gt;"",IFERROR(IF(INDEX(brands!$G$2:$G$41,MATCH($C44,brands!$A$2:$A$41,0))="","",INDEX(brands!$G$2:$G$41,MATCH($C44,brands!$A$2:$A$41,0))),"")="Y"),LEFT(IFERROR(IF(INDEX(brands!$AG$2:$AG$41,MATCH($C44,brands!$A$2:$A$41,0))="","",INDEX(brands!$AG$2:$AG$41,MATCH($C44,brands!$A$2:$A$41,0))),""),1)="Y",$BG44&lt;&gt;"",$BQ44=0,$BO44&gt;0),"RELEASED "&amp;TEXT(MAX(IFERROR(1/(1/SUMPRODUCT(MAX((invoices!$B$2:$B$151=$A44)*(invoices!$R$2:$R$151="Y")*(invoices!$H$2:$H$151)))),""),$H44,$AB44,SUMPRODUCT(MAX((approvals!$A$2:$A$251=$A44)*(approvals!$P$2:$P$251="Y")*(approvals!$E$2:$E$251+(approvals!$E$2:$E$251=0)*approvals!$C$2:$C$251)))),"yyyy-mm-dd")&amp;": ship by "&amp;TEXT($BM44,"ddd yyyy-mm-dd")&amp;" (latest "&amp;TEXT($BL44,"ddd yyyy-mm-dd")&amp;")","HOLD: "&amp;IF(N($BU44)&lt;N($BV44),"payment ("&amp;TEXT(N($BU44),"0")&amp;" of "&amp;TEXT(N($BV44),"0")&amp;") ","")&amp;IF($H44="","agreement ","")&amp;IF(NOT(AND($AB44&lt;&gt;"",IFERROR(IF(INDEX(brands!$G$2:$G$41,MATCH($C44,brands!$A$2:$A$41,0))="","",INDEX(brands!$G$2:$G$41,MATCH($C44,brands!$A$2:$A$41,0))),"")="Y")),"certificate ","")&amp;IF(NOT(LEFT(IFERROR(IF(INDEX(brands!$AG$2:$AG$41,MATCH($C44,brands!$A$2:$A$41,0))="","",INDEX(brands!$AG$2:$AG$41,MATCH($C44,brands!$A$2:$A$41,0))),""),1)="Y"),"qualification ","")&amp;IF($BG44="","drop date ","")&amp;IF($BQ44&gt;0,"approvals ("&amp;$BQ44&amp;" pending) ","")&amp;IF($BO44=0,"no office approved ","")))</f>
        <v/>
      </c>
      <c r="BX44" s="25">
        <f>IF($A44="","",SUMIFS(inventory!$G$2:$G$801,inventory!$C$2:$C$801,$A44,inventory!$E$2:$E$801,"received"))</f>
        <v/>
      </c>
      <c r="BY44" s="25">
        <f>IF($A44="","",SUMIFS(inventory!$G$2:$G$801,inventory!$C$2:$C$801,$A44,inventory!$E$2:$E$801,"rejected"))</f>
        <v/>
      </c>
      <c r="BZ44" s="25">
        <f>IF($A44="","",SUMIFS(inventory!$M$2:$M$801,inventory!$C$2:$C$801,$A44))</f>
        <v/>
      </c>
      <c r="CA44" s="25">
        <f>IF($A44="","",SUMIFS(inventory!$O$2:$O$801,inventory!$C$2:$C$801,$A44))</f>
        <v/>
      </c>
      <c r="CB44" s="25">
        <f>IF($A44="","",SUMIFS(approvals!$U$2:$U$251,approvals!$A$2:$A$251,$A44))</f>
        <v/>
      </c>
      <c r="CC44" s="25">
        <f>IF($A44="","",SUMIFS(approvals!$AA$2:$AA$251,approvals!$A$2:$A$251,$A44))</f>
        <v/>
      </c>
      <c r="CD44" s="25">
        <f>IF($A44="","",SUMIFS(approvals!$AA$2:$AA$251,approvals!$A$2:$A$251,$A44,approvals!$AB$2:$AB$251,"Y"))</f>
        <v/>
      </c>
      <c r="CE44" s="29">
        <f>IF($A44="","",IF(N($CB44)=0,"",$CD44/$CB44))</f>
        <v/>
      </c>
      <c r="CF44" s="25">
        <f>IF($A44="","",SUMIFS(approvals!$AD$2:$AD$251,approvals!$A$2:$A$251,$A44))</f>
        <v/>
      </c>
      <c r="CG44" s="25">
        <f>IF($A44="","",IF(COUNTIFS(approvals!$A$2:$A$251,$A44,approvals!$Q$2:$Q$251,"Y",approvals!$AG$2:$AG$251,"")&gt;0,"",SUMIFS(approvals!$AG$2:$AG$251,approvals!$A$2:$A$251,$A44,approvals!$Q$2:$Q$251,"Y")))</f>
        <v/>
      </c>
      <c r="CH44" s="25">
        <f>IF($A44="","",SUMIFS(approvals!$AL$2:$AL$251,approvals!$A$2:$A$251,$A44))</f>
        <v/>
      </c>
      <c r="CI44" s="25">
        <f>IF($A44="","",IF(N($BP44)=0,"",SUMPRODUCT(MIN(approvals!$BB$2:$BB$251+(approvals!$A$2:$A$251&lt;&gt;$A44)*1000000))))</f>
        <v/>
      </c>
      <c r="CJ44" s="25">
        <f>IF($A44="","",COUNTIFS(approvals!$A$2:$A$251,$A44,approvals!$Q$2:$Q$251,"Y",approvals!$AL$2:$AL$251,"&lt;"&amp;config!$B$30))</f>
        <v/>
      </c>
      <c r="CK44" s="25">
        <f>IF($A44="","",SUMIFS(approvals!$AM$2:$AM$251,approvals!$A$2:$A$251,$A44))</f>
        <v/>
      </c>
      <c r="CL44" s="25">
        <f>IF($A44="","",SUMIFS(approvals!$AQ$2:$AQ$251,approvals!$A$2:$A$251,$A44))</f>
        <v/>
      </c>
      <c r="CM44" s="25">
        <f>IF($A44="","",SUMIFS(approvals!$AR$2:$AR$251,approvals!$A$2:$A$251,$A44))</f>
        <v/>
      </c>
      <c r="CN44" s="25">
        <f>IF($A44="","",SUMIFS(approvals!$AS$2:$AS$251,approvals!$A$2:$A$251,$A44))</f>
        <v/>
      </c>
      <c r="CO44" s="25">
        <f>IF($A44="","",SUMIFS(approvals!$AT$2:$AT$251,approvals!$A$2:$A$251,$A44))</f>
        <v/>
      </c>
      <c r="CP44" s="28">
        <f>IF($A44="","",IF(N($CO44)=0,"",ROUND(SUMIFS(approvals!$AU$2:$AU$251,approvals!$A$2:$A$251,$A44)/$CO44,1)))</f>
        <v/>
      </c>
      <c r="CQ44" s="25">
        <f>IF($A44="","",SUMIFS(approvals!$AV$2:$AV$251,approvals!$A$2:$A$251,$A44))</f>
        <v/>
      </c>
      <c r="CR44" s="25">
        <f>IF($A44="","",SUMIFS(approvals!$AW$2:$AW$251,approvals!$A$2:$A$251,$A44))</f>
        <v/>
      </c>
      <c r="CS44" s="25">
        <f>IF($A44="","",SUMIFS(approvals!$AX$2:$AX$251,approvals!$A$2:$A$251,$A44))</f>
        <v/>
      </c>
      <c r="CT44" s="25">
        <f>IF($A44="","",SUMIFS(approvals!$AY$2:$AY$251,approvals!$A$2:$A$251,$A44))</f>
        <v/>
      </c>
      <c r="CU44" s="25">
        <f>IF($A44="","",IF(OR($BG44="",$BC44&lt;&gt;""),"",IFERROR(COUNT(INDIRECT("'"&amp;$A44&amp;"'!$A$2:$A$501")),0)-IFERROR(COUNTIFS(INDIRECT("'"&amp;$A44&amp;"'!$A$2:$A$501"),"&gt;="&amp;$BG44,INDIRECT("'"&amp;$A44&amp;"'!$A$2:$A$501"),"&lt;"&amp;(IFERROR(IF(INDEX(drops!$R$2:$R$21,MATCH($B44,drops!$A$2:$A$21,0))="","",INDEX(drops!$R$2:$R$21,MATCH($B44,drops!$A$2:$A$21,0))),"")+1)),0)))</f>
        <v/>
      </c>
      <c r="CV44" s="25">
        <f>IF($A44="","",IF(OR($BG44="",$BC44&lt;&gt;""),"",IFERROR(COUNTIFS(INDIRECT("'"&amp;$A44&amp;"'!$A$2:$A$501"),"&gt;="&amp;$BG44,INDIRECT("'"&amp;$A44&amp;"'!$A$2:$A$501"),"&lt;"&amp;(IFERROR(IF(INDEX(drops!$R$2:$R$21,MATCH($B44,drops!$A$2:$A$21,0))="","",INDEX(drops!$R$2:$R$21,MATCH($B44,drops!$A$2:$A$21,0))),"")+1)),0)-N($CH44)))</f>
        <v/>
      </c>
      <c r="CW44" s="25">
        <f>IF($A44="","",SUMIFS(approvals!$AN$2:$AN$251,approvals!$A$2:$A$251,$A44))</f>
        <v/>
      </c>
      <c r="CX44" s="25">
        <f>IF($A44="","",SUMIFS(approvals!$AO$2:$AO$251,approvals!$A$2:$A$251,$A44))</f>
        <v/>
      </c>
      <c r="CY44" s="25">
        <f>IF($A44="","",IF($CZ44="","",SUMIFS(redemptions!$C$2:$C$121,redemptions!$A$2:$A$121,$A44,redemptions!$B$2:$B$121,$CZ44)))</f>
        <v/>
      </c>
      <c r="CZ44" s="26">
        <f>IF($A44="","",IFERROR(1/(1/SUMPRODUCT(MAX((redemptions!$A$2:$A$121=$A44)*redemptions!$B$2:$B$121))),""))</f>
        <v/>
      </c>
      <c r="DA44" s="25">
        <f>IF($A44="","",IF(COUNTIFS(redemptions!$A$2:$A$121,$A44,redemptions!$H$2:$H$121,"Y")=0,"",SUMIFS(redemptions!$C$2:$C$121,redemptions!$A$2:$A$121,$A44,redemptions!$B$2:$B$121,SUMPRODUCT(MIN((redemptions!$A$2:$A$121=$A44)*(redemptions!$H$2:$H$121="Y")*redemptions!$B$2:$B$121+((redemptions!$A$2:$A$121&lt;&gt;$A44)+(redemptions!$H$2:$H$121&lt;&gt;"Y")&gt;0)*1000000)))))</f>
        <v/>
      </c>
      <c r="DB44" s="27">
        <f>IF($A44="","",SUMIFS(invoices!$E$2:$E$151,invoices!$B$2:$B$151,$A44))</f>
        <v/>
      </c>
      <c r="DC44" s="27">
        <f>IF($A44="","",IF(COUNTIFS(invoices!$B$2:$B$151,$A44,invoices!$C$2:$C$151,"standard_deposit",invoices!$H$2:$H$151,"&gt;0")=0,"",SUMIFS(invoices!$I$2:$I$151,invoices!$B$2:$B$151,$A44,invoices!$C$2:$C$151,"standard_deposit")))</f>
        <v/>
      </c>
      <c r="DD44" s="26">
        <f>IF($A44="","",IFERROR(1/(1/SUMPRODUCT(MAX((invoices!$B$2:$B$151=$A44)*(invoices!$C$2:$C$151="standard_deposit")*invoices!$H$2:$H$151))),""))</f>
        <v/>
      </c>
      <c r="DE44" s="26">
        <f>IF($A44="","",IFERROR(1/(1/SUMPRODUCT(MAX((invoices!$B$2:$B$151=$A44)*((invoices!$C$2:$C$151="founding_full")+(invoices!$C$2:$C$151="standard_balance"))*invoices!$H$2:$H$151))),""))</f>
        <v/>
      </c>
      <c r="DF44" s="27">
        <f>IF($A44="","",SUMIFS(invoices!$L$2:$L$151,invoices!$B$2:$B$151,$A44))</f>
        <v/>
      </c>
      <c r="DG44" s="27">
        <f>IF($A44="","",SUMIFS(costs!$E$2:$E$301,costs!$C$2:$C$301,$A44))</f>
        <v/>
      </c>
      <c r="DH44" s="27">
        <f>IF($A44="","",ROUND(IF(SUMIFS(campaigns!$BO$2:$BO$51,campaigns!$B$2:$B$51,$B44)=0,0,$BO44/SUMIFS(campaigns!$BO$2:$BO$51,campaigns!$B$2:$B$51,$B44))*(SUMIFS(costs!$E$2:$E$301,costs!$B$2:$B$301,$B44)-SUMPRODUCT((costs!$B$2:$B$301=$B44)*(LEN(costs!$C$2:$C$301)&gt;0)*costs!$E$2:$E$301)),2))</f>
        <v/>
      </c>
      <c r="DI44" s="28">
        <f>IF($A44="","",SUMIFS(hours!$E$2:$E$1501,hours!$C$2:$C$1501,$A44))</f>
        <v/>
      </c>
      <c r="DJ44" s="28">
        <f>IF($A44="","",ROUND(IF(SUMIFS(campaigns!$BO$2:$BO$51,campaigns!$B$2:$B$51,$B44)=0,0,$BO44/SUMIFS(campaigns!$BO$2:$BO$51,campaigns!$B$2:$B$51,$B44))*(SUMIFS(hours!$E$2:$E$1501,hours!$B$2:$B$1501,$B44)-SUMPRODUCT((hours!$B$2:$B$1501=$B44)*(LEN(hours!$C$2:$C$1501)&gt;0)*hours!$E$2:$E$1501)),2))</f>
        <v/>
      </c>
      <c r="DK44" s="27">
        <f>IF($A44="","",$DB44-$DF44-$DG44-$DH44)</f>
        <v/>
      </c>
      <c r="DL44" s="27">
        <f>IF($A44="","",IF(N($DI44)+N($DJ44)=0,"",ROUND($DK44/($DI44+$DJ44),2)))</f>
        <v/>
      </c>
      <c r="DM44" s="29">
        <f>IF($A44="","",IF(N($BP44)=0,"",COUNTIFS(approvals!$A$2:$A$251,$A44,approvals!$Q$2:$Q$251,"Y",approvals!$AK$2:$AK$251,"Y")/$BP44))</f>
        <v/>
      </c>
      <c r="DN44" s="28">
        <f>IF($A44="","",IF(COUNTIFS(approvals!$A$2:$A$251,$A44,approvals!$AC$2:$AC$251,"&gt;=0")=0,"",ROUND(SUMIFS(approvals!$AC$2:$AC$251,approvals!$A$2:$A$251,$A44)/COUNTIFS(approvals!$A$2:$A$251,$A44,approvals!$AC$2:$AC$251,"&gt;=0"),1)))</f>
        <v/>
      </c>
      <c r="DO44" s="26">
        <f>IF($A44="","",IFERROR(IF(INDEX(drops!$T$2:$T$21,MATCH($B44,drops!$A$2:$A$21,0))="","",INDEX(drops!$T$2:$T$21,MATCH($B44,drops!$A$2:$A$21,0))),""))</f>
        <v/>
      </c>
      <c r="DP44" s="26">
        <f>IF($A44="","",IFERROR(IF(INDEX(drops!$U$2:$U$21,MATCH($B44,drops!$A$2:$A$21,0))="","",INDEX(drops!$U$2:$U$21,MATCH($B44,drops!$A$2:$A$21,0))),""))</f>
        <v/>
      </c>
      <c r="DQ44" s="26">
        <f>IF($A44="","",IFERROR(IF(INDEX(drops!$W$2:$W$21,MATCH($B44,drops!$A$2:$A$21,0))="","",INDEX(drops!$W$2:$W$21,MATCH($B44,drops!$A$2:$A$21,0))),""))</f>
        <v/>
      </c>
      <c r="DR44" s="25">
        <f>IF($A44="","",IF($CE44="","",IF($CE44&gt;=config!$B$31,"pass","miss")))</f>
        <v/>
      </c>
      <c r="DS44" s="25">
        <f>IF($A44="","",IF($CI44="","",IF($CI44&gt;=config!$B$30,"pass","miss")))</f>
        <v/>
      </c>
      <c r="DT44" s="25">
        <f>IF($A44="","",IF($AT44="",IF($DO44="","",IF(IF(config!$B$37&lt;&gt;"",config!$B$37,TODAY())&gt;$DO44,"late","due")),IF($AT44&lt;=$DO44,"pass","late")))</f>
        <v/>
      </c>
      <c r="DU44" s="25">
        <f>IF($A44="","",IF(COUNTIF(drops!$A$2:$A$21,$B44)=0,"drop_id not on drops; ",IF($BG44="","drop date missing or refused; ",""))&amp;IF(AND($G44&lt;&gt;"",$G44&lt;&gt;$BI44),"price differs from the price list; ","")&amp;IF(AND(LEFT($BW44,4)="HOLD",$BL44&lt;&gt;"",IF(config!$B$37&lt;&gt;"",config!$B$37,TODAY())&gt;=WORKDAY(N($BL44),-3,calendar!$A$2:$A$80)),"SHIP HOLD within 3 business days of T-10; ","")&amp;IF(AND($BQ44&gt;0,$BL44&lt;&gt;"",IF(config!$B$37&lt;&gt;"",config!$B$37,TODAY())&gt;$BL44),"approvals still pending after T-10; ","")&amp;IF($BZ44&lt;0,"reserve below zero: check inventory; ","")&amp;IF(AND($BG44&lt;&gt;"",IF(config!$B$37&lt;&gt;"",config!$B$37,TODAY())&gt;WORKDAY(N($BG44),14,calendar!$A$2:$A$80),N($BZ44)+N($CA44)&lt;&gt;0),"units still on hand after T+14; ","")&amp;IF(N($CV44)&gt;0,"info: "&amp;$CV44&amp;" in-window responses with a card code that matches no office (not counted); ","")&amp;IF(AND($Z44="Y",$AK44=""),"newsletter form URL missing; ","")&amp;IF(AND($Z44="Y",$BG44&lt;&gt;"",IF(config!$B$37&lt;&gt;"",config!$B$37,TODAY())&gt;WORKDAY(N($BG44),5,calendar!$A$2:$A$80),$AY44=""),"newsletter list not yet passed on (due T+5); ","")&amp;IF(AND($AY44&lt;&gt;"",$BA44=""),"delete unticked emails; ","")&amp;IF(AND($AY44&lt;&gt;"",$BB44="",IF(config!$B$37&lt;&gt;"",config!$B$37,TODAY())&gt;$AY44+config!$B$32),"DELETE the consented emails (30 days after passing on); ","")&amp;IF(AND($BG44&lt;&gt;"",$AJ44="",IF(config!$B$37&lt;&gt;"",config!$B$37,TODAY())&gt;=WORKDAY(N($BG44),-4,calendar!$A$2:$A$80)),"survey prefill template missing (due T-4); ","")&amp;IF(AND($AJ44&lt;&gt;"",ISERROR(SEARCH("CARDCODE",$AJ44))),"prefill template has no CARDCODE; ","")&amp;IF(AND($AF44="",$BG44&lt;&gt;"",IF(config!$B$37&lt;&gt;"",config!$B$37,TODAY())&gt;=WORKDAY(N($BG44),-3,calendar!$A$2:$A$80)),"card text not yet sent to the brand; ","")&amp;IF(AND($DA44="",$DQ44&lt;&gt;"",IF(config!$B$37&lt;&gt;"",config!$B$37,TODAY())&gt;$DQ44),"day-30 redemption count due; ","")&amp;IF(AND(LEFT($BW44,8)="RELEASED",$AG44=""),"ship-date email due (template 02): send it, then log ship_email_sent_date and ship_email_units; ","")&amp;IF(AND($AH44&lt;&gt;"",N($BT44)&gt;0,N($BX44)=0,N($AH44)&lt;&gt;N($BT44)),"units changed since the ship-date email of "&amp;IF($AG44="","?",TEXT($AG44,"yyyy-mm-dd"))&amp;" ("&amp;$AH44&amp;", now "&amp;$BT44&amp;"): send the brand the revised numbers (template 02) and log them; ","")&amp;IF($DT44="late","report late; ","")&amp;IF(AND(N($F44)&gt;0,$BO44&lt;N($F44),$BQ44=0),"info: "&amp;(N($F44)-$BO44)&amp;" office(s) short of the contract: add a roster office or credit $"&amp;IF($D44="founding",config!$B$25,config!$B$24)&amp;" each; ","")&amp;IF($BC44&lt;&gt;"",IF(COUNTIF(survey_frozen!$A$2:$A$251,$A44)=0,"answers deleted but no frozen totals: the survey numbers now read 0 (tools/freeze_survey.py, SOP answers_delete); ",""),IF(AND($BG44&lt;&gt;"",IF(config!$B$37&lt;&gt;"",config!$B$37,TODAY())&gt;=$BG44,ISREF(INDIRECT("'"&amp;$A44&amp;"'!B1"))),IF(INDIRECT("'"&amp;$A44&amp;"'!B1")&lt;&gt;"Card code (filled in for you)","survey tab column B is not the card code: fix the form or the tab; ",""),IF(AND($BG44&lt;&gt;"",IF(config!$B$37&lt;&gt;"",config!$B$37,TODAY())&gt;=$BG44),"no survey tab named "&amp;$A44&amp;"; ","")))&amp;IF(COUNTIF(brands!$A$2:$A$41,$C44)=0,"brand_id not on brands; ",IF(LEFT(IFERROR(IF(INDEX(brands!$AG$2:$AG$41,MATCH($C44,brands!$A$2:$A$41,0))="","",INDEX(brands!$AG$2:$AG$41,MATCH($C44,brands!$A$2:$A$41,0))),""),1)&lt;&gt;"Y","brand not qualified ("&amp;IFERROR(IF(INDEX(brands!$AG$2:$AG$41,MATCH($C44,brands!$A$2:$A$41,0))="","",INDEX(brands!$AG$2:$AG$41,MATCH($C44,brands!$A$2:$A$41,0))),"")&amp;"): nothing ships until it is; ",""))&amp;IF(AND(COUNTIF(brands!$A$2:$A$41,$C44)&gt;0,OR(IFERROR(IF(INDEX(brands!$C$2:$C$41,MATCH($C44,brands!$A$2:$A$41,0))="","",INDEX(brands!$C$2:$C$41,MATCH($C44,brands!$A$2:$A$41,0))),"")="",IFERROR(IF(INDEX(brands!$D$2:$D$41,MATCH($C44,brands!$A$2:$A$41,0))="","",INDEX(brands!$D$2:$D$41,MATCH($C44,brands!$A$2:$A$41,0))),"")="",IFERROR(IF(INDEX(brands!$E$2:$E$41,MATCH($C44,brands!$A$2:$A$41,0))="","",INDEX(brands!$E$2:$E$41,MATCH($C44,brands!$A$2:$A$41,0))),"")="")),"brand billing details missing on brands (legal name, address, email): needed for the invoice; ","")&amp;IF(AND($D44="founding",$E44&lt;&gt;"Y",N(IFERROR(IF(INDEX(brands!$AI$2:$AI$41,MATCH($C44,brands!$A$2:$A$41,0))="","",INDEX(brands!$AI$2:$AI$41,MATCH($C44,brands!$A$2:$A$41,0))),""))&gt;3),"the founding tier is for the first three brands only (this is brand "&amp;IFERROR(IF(INDEX(brands!$AI$2:$AI$41,MATCH($C44,brands!$A$2:$A$41,0))="","",INDEX(brands!$AI$2:$AI$41,MATCH($C44,brands!$A$2:$A$41,0))),"")&amp;"): use standard; ","")&amp;IF(AND($D44="founding",$E44&lt;&gt;"Y",COUNTIFS(campaigns!$C$2:$C$51,$C44,campaigns!$D$2:$D$51,"founding",campaigns!$E$2:$E$51,"&lt;&gt;Y")&gt;1),"a brand has the founding price once; its next two campaigns are founding_lock = Y; ","")&amp;IF(AND($E44="Y",COUNTIFS(campaigns!$C$2:$C$51,$C44,campaigns!$D$2:$D$51,"founding",campaigns!$E$2:$E$51,"Y")&gt;2),"founding_lock is for the brand's next two campaigns only (this is a third): use standard; ","")&amp;IF(AND($E44="Y",COUNTIFS(campaigns!$C$2:$C$51,$C44,campaigns!$D$2:$D$51,"founding",campaigns!$E$2:$E$51,"&lt;&gt;Y")=0),"founding_lock without a first founding campaign for this brand; ","")&amp;IF(AND(N($BX44)&gt;0,$BG44&lt;&gt;"",IF(config!$B$37&lt;&gt;"",config!$B$37,TODAY())&gt;=WORKDAY(N($BG44),-5,calendar!$A$2:$A$80)),IF(N($BX44)-N($BY44)&lt;N($BR44),"received "&amp;(N($BX44)-N($BY44))&amp;" usable units for "&amp;$BR44&amp;" allocated: reduce units_override evenly (SOP section 4, short shipment); ","")&amp;IF(AND(N($BX44)&lt;N($BT44),COUNTIFS(issues!$E$2:$E$121,$A44,issues!$G$2:$G$121,"short_shipment")=0),"received "&amp;$BX44&amp;" of "&amp;$BT44&amp;" due: log a short_shipment issue and tell the brand today; ",""),"")&amp;IF(AND($BG44&lt;&gt;"",IF(config!$B$37&lt;&gt;"",config!$B$37,TODAY())&gt;=WORKDAY(N($BG44),1,calendar!$A$2:$A$80),N($F44)&gt;0,(-SUMIFS(invoices!$E$2:$E$151,invoices!$B$2:$B$151,$A44,invoices!$C$2:$C$151,"credit_note"))&lt;(IF($D44="founding",config!$B$25,config!$B$24)*MAX(0,N($F44)-COUNTIFS(approvals!$A$2:$A$251,$A44,approvals!$Q$2:$Q$251,"Y",approvals!$AB$2:$AB$251,"Y")))-0.005),"credit due from T+1: "&amp;MAX(0,N($F44)-COUNTIFS(approvals!$A$2:$A$251,$A44,approvals!$Q$2:$Q$251,"Y",approvals!$AB$2:$AB$251,"Y"))&amp;" of "&amp;$F44&amp;" contracted offices not placed by T+1, $"&amp;(IF($D44="founding",config!$B$25,config!$B$24)*MAX(0,N($F44)-COUNTIFS(approvals!$A$2:$A$251,$A44,approvals!$Q$2:$Q$251,"Y",approvals!$AB$2:$AB$251,"Y")))&amp;" due, $"&amp;(-SUMIFS(invoices!$E$2:$E$151,invoices!$B$2:$B$151,$A44,invoices!$C$2:$C$151,"credit_note"))&amp;" in credit notes so far (template 06, make_invoice.py); ","")&amp;IF(AND(IFERROR(IF(INDEX(brands!$H$2:$H$41,MATCH($C44,brands!$A$2:$A$41,0))="","",INDEX(brands!$H$2:$H$41,MATCH($C44,brands!$A$2:$A$41,0))),"")&lt;&gt;"",$BG44&lt;&gt;"",IFERROR(IF(INDEX(brands!$H$2:$H$41,MATCH($C44,brands!$A$2:$A$41,0))="","",INDEX(brands!$H$2:$H$41,MATCH($C44,brands!$A$2:$A$41,0))),"")&lt;EDATE(WORKDAY(N($BG44),4,calendar!$A$2:$A$80),12)),"info: brand insurance ends "&amp;TEXT(IFERROR(IF(INDEX(brands!$H$2:$H$41,MATCH($C44,brands!$A$2:$A$41,0))="","",INDEX(brands!$H$2:$H$41,MATCH($C44,brands!$A$2:$A$41,0))),""),"yyyy-mm-dd")&amp;": diary the renewal certificate; ",""))</f>
        <v/>
      </c>
    </row>
    <row r="45">
      <c r="G45" s="10" t="n"/>
      <c r="H45" s="9" t="n"/>
      <c r="AB45" s="9" t="n"/>
      <c r="AC45" s="9" t="n"/>
      <c r="AD45" s="9" t="n"/>
      <c r="AF45" s="9" t="n"/>
      <c r="AG45" s="9" t="n"/>
      <c r="AT45" s="9" t="n"/>
      <c r="AU45" s="9" t="n"/>
      <c r="AY45" s="9" t="n"/>
      <c r="BA45" s="9" t="n"/>
      <c r="BB45" s="9" t="n"/>
      <c r="BC45" s="9" t="n"/>
      <c r="BE45" s="25">
        <f>IF($A45="","",IFERROR(IF(INDEX(brands!$K$2:$K$41,MATCH($C45,brands!$A$2:$A$41,0))="","",INDEX(brands!$K$2:$K$41,MATCH($C45,brands!$A$2:$A$41,0))),""))</f>
        <v/>
      </c>
      <c r="BF45" s="25">
        <f>IF($A45="","",IFERROR(IF(INDEX(brands!$M$2:$M$41,MATCH($C45,brands!$A$2:$A$41,0))="","",INDEX(brands!$M$2:$M$41,MATCH($C45,brands!$A$2:$A$41,0))),""))</f>
        <v/>
      </c>
      <c r="BG45" s="26">
        <f>IF($A45="","",IF(IFERROR(IF(INDEX(drops!$I$2:$I$21,MATCH($B45,drops!$A$2:$A$21,0))="","",INDEX(drops!$I$2:$I$21,MATCH($B45,drops!$A$2:$A$21,0))),"")="OK",IFERROR(IF(INDEX(drops!$B$2:$B$21,MATCH($B45,drops!$A$2:$A$21,0))="","",INDEX(drops!$B$2:$B$21,MATCH($B45,drops!$A$2:$A$21,0))),""),""))</f>
        <v/>
      </c>
      <c r="BH45" s="25">
        <f>IF($A45="","",IFERROR(IF(INDEX(drops!$C$2:$C$21,MATCH($B45,drops!$A$2:$A$21,0))="","",INDEX(drops!$C$2:$C$21,MATCH($B45,drops!$A$2:$A$21,0))),""))</f>
        <v/>
      </c>
      <c r="BI45" s="27">
        <f>IF($A45="","",IF($F45="","",IF($D45="founding",IF($E45="Y",config!$B$25*MIN($F45,config!$B$26)+config!$B$24*MAX(0,$F45-config!$B$26),config!$B$20+config!$B$24*MAX(0,$F45-config!$B$21)),IF($D45="standard",config!$B$22+config!$B$24*MAX(0,$F45-config!$B$23),""))))</f>
        <v/>
      </c>
      <c r="BJ45" s="27">
        <f>IF($A45="","",IF($G45&lt;&gt;"",$G45,$BI45))</f>
        <v/>
      </c>
      <c r="BK45" s="25">
        <f>IF($A45="","",IF($D45="founding","100% within "&amp;config!$B$27&amp;" business days of the invoice, before shipping",IF($D45="standard","50% on signing; 50% at placement confirmation (T+1)","")))</f>
        <v/>
      </c>
      <c r="BL45" s="26">
        <f>IF($A45="","",IFERROR(IF(INDEX(drops!$K$2:$K$21,MATCH($B45,drops!$A$2:$A$21,0))="","",INDEX(drops!$K$2:$K$21,MATCH($B45,drops!$A$2:$A$21,0))),""))</f>
        <v/>
      </c>
      <c r="BM45" s="26">
        <f>IF($A45="","",IFERROR(IF(INDEX(drops!$L$2:$L$21,MATCH($B45,drops!$A$2:$A$21,0))="","",INDEX(drops!$L$2:$L$21,MATCH($B45,drops!$A$2:$A$21,0))),""))</f>
        <v/>
      </c>
      <c r="BN45" s="25">
        <f>IF($A45="","",COUNTIF(approvals!$A$2:$A$251,$A45))</f>
        <v/>
      </c>
      <c r="BO45" s="25">
        <f>IF($A45="","",COUNTIFS(approvals!$A$2:$A$251,$A45,approvals!$P$2:$P$251,"Y"))</f>
        <v/>
      </c>
      <c r="BP45" s="25">
        <f>IF($A45="","",COUNTIFS(approvals!$A$2:$A$251,$A45,approvals!$Q$2:$Q$251,"Y"))</f>
        <v/>
      </c>
      <c r="BQ45" s="25">
        <f>IF($A45="","",COUNTIFS(approvals!$A$2:$A$251,$A45,approvals!$P$2:$P$251,"pending"))</f>
        <v/>
      </c>
      <c r="BR45" s="25">
        <f>IF($A45="","",SUMIFS(approvals!$S$2:$S$251,approvals!$A$2:$A$251,$A45,approvals!$P$2:$P$251,"Y"))</f>
        <v/>
      </c>
      <c r="BS45" s="25">
        <f>IF($A45="","",ROUNDUP($BR45*config!$B$18,0))</f>
        <v/>
      </c>
      <c r="BT45" s="25">
        <f>IF($A45="","",$BR45+$BS45)</f>
        <v/>
      </c>
      <c r="BU45" s="27">
        <f>IF($A45="","",SUMIFS(invoices!$I$2:$I$151,invoices!$B$2:$B$151,$A45,invoices!$R$2:$R$151,"Y",invoices!$H$2:$H$151,"&gt;0"))</f>
        <v/>
      </c>
      <c r="BV45" s="27">
        <f>IF($A45="","",IF($BJ45="","",IF($D45="founding",$BJ45,ROUND($BJ45*config!$B$28,2))))</f>
        <v/>
      </c>
      <c r="BW45" s="25">
        <f>IF($A45="","",IF(AND(N($BU45)&gt;=N($BV45),N($BV45)&gt;0,$H45&lt;&gt;"",AND($AB45&lt;&gt;"",IFERROR(IF(INDEX(brands!$G$2:$G$41,MATCH($C45,brands!$A$2:$A$41,0))="","",INDEX(brands!$G$2:$G$41,MATCH($C45,brands!$A$2:$A$41,0))),"")="Y"),LEFT(IFERROR(IF(INDEX(brands!$AG$2:$AG$41,MATCH($C45,brands!$A$2:$A$41,0))="","",INDEX(brands!$AG$2:$AG$41,MATCH($C45,brands!$A$2:$A$41,0))),""),1)="Y",$BG45&lt;&gt;"",$BQ45=0,$BO45&gt;0),"RELEASED "&amp;TEXT(MAX(IFERROR(1/(1/SUMPRODUCT(MAX((invoices!$B$2:$B$151=$A45)*(invoices!$R$2:$R$151="Y")*(invoices!$H$2:$H$151)))),""),$H45,$AB45,SUMPRODUCT(MAX((approvals!$A$2:$A$251=$A45)*(approvals!$P$2:$P$251="Y")*(approvals!$E$2:$E$251+(approvals!$E$2:$E$251=0)*approvals!$C$2:$C$251)))),"yyyy-mm-dd")&amp;": ship by "&amp;TEXT($BM45,"ddd yyyy-mm-dd")&amp;" (latest "&amp;TEXT($BL45,"ddd yyyy-mm-dd")&amp;")","HOLD: "&amp;IF(N($BU45)&lt;N($BV45),"payment ("&amp;TEXT(N($BU45),"0")&amp;" of "&amp;TEXT(N($BV45),"0")&amp;") ","")&amp;IF($H45="","agreement ","")&amp;IF(NOT(AND($AB45&lt;&gt;"",IFERROR(IF(INDEX(brands!$G$2:$G$41,MATCH($C45,brands!$A$2:$A$41,0))="","",INDEX(brands!$G$2:$G$41,MATCH($C45,brands!$A$2:$A$41,0))),"")="Y")),"certificate ","")&amp;IF(NOT(LEFT(IFERROR(IF(INDEX(brands!$AG$2:$AG$41,MATCH($C45,brands!$A$2:$A$41,0))="","",INDEX(brands!$AG$2:$AG$41,MATCH($C45,brands!$A$2:$A$41,0))),""),1)="Y"),"qualification ","")&amp;IF($BG45="","drop date ","")&amp;IF($BQ45&gt;0,"approvals ("&amp;$BQ45&amp;" pending) ","")&amp;IF($BO45=0,"no office approved ","")))</f>
        <v/>
      </c>
      <c r="BX45" s="25">
        <f>IF($A45="","",SUMIFS(inventory!$G$2:$G$801,inventory!$C$2:$C$801,$A45,inventory!$E$2:$E$801,"received"))</f>
        <v/>
      </c>
      <c r="BY45" s="25">
        <f>IF($A45="","",SUMIFS(inventory!$G$2:$G$801,inventory!$C$2:$C$801,$A45,inventory!$E$2:$E$801,"rejected"))</f>
        <v/>
      </c>
      <c r="BZ45" s="25">
        <f>IF($A45="","",SUMIFS(inventory!$M$2:$M$801,inventory!$C$2:$C$801,$A45))</f>
        <v/>
      </c>
      <c r="CA45" s="25">
        <f>IF($A45="","",SUMIFS(inventory!$O$2:$O$801,inventory!$C$2:$C$801,$A45))</f>
        <v/>
      </c>
      <c r="CB45" s="25">
        <f>IF($A45="","",SUMIFS(approvals!$U$2:$U$251,approvals!$A$2:$A$251,$A45))</f>
        <v/>
      </c>
      <c r="CC45" s="25">
        <f>IF($A45="","",SUMIFS(approvals!$AA$2:$AA$251,approvals!$A$2:$A$251,$A45))</f>
        <v/>
      </c>
      <c r="CD45" s="25">
        <f>IF($A45="","",SUMIFS(approvals!$AA$2:$AA$251,approvals!$A$2:$A$251,$A45,approvals!$AB$2:$AB$251,"Y"))</f>
        <v/>
      </c>
      <c r="CE45" s="29">
        <f>IF($A45="","",IF(N($CB45)=0,"",$CD45/$CB45))</f>
        <v/>
      </c>
      <c r="CF45" s="25">
        <f>IF($A45="","",SUMIFS(approvals!$AD$2:$AD$251,approvals!$A$2:$A$251,$A45))</f>
        <v/>
      </c>
      <c r="CG45" s="25">
        <f>IF($A45="","",IF(COUNTIFS(approvals!$A$2:$A$251,$A45,approvals!$Q$2:$Q$251,"Y",approvals!$AG$2:$AG$251,"")&gt;0,"",SUMIFS(approvals!$AG$2:$AG$251,approvals!$A$2:$A$251,$A45,approvals!$Q$2:$Q$251,"Y")))</f>
        <v/>
      </c>
      <c r="CH45" s="25">
        <f>IF($A45="","",SUMIFS(approvals!$AL$2:$AL$251,approvals!$A$2:$A$251,$A45))</f>
        <v/>
      </c>
      <c r="CI45" s="25">
        <f>IF($A45="","",IF(N($BP45)=0,"",SUMPRODUCT(MIN(approvals!$BB$2:$BB$251+(approvals!$A$2:$A$251&lt;&gt;$A45)*1000000))))</f>
        <v/>
      </c>
      <c r="CJ45" s="25">
        <f>IF($A45="","",COUNTIFS(approvals!$A$2:$A$251,$A45,approvals!$Q$2:$Q$251,"Y",approvals!$AL$2:$AL$251,"&lt;"&amp;config!$B$30))</f>
        <v/>
      </c>
      <c r="CK45" s="25">
        <f>IF($A45="","",SUMIFS(approvals!$AM$2:$AM$251,approvals!$A$2:$A$251,$A45))</f>
        <v/>
      </c>
      <c r="CL45" s="25">
        <f>IF($A45="","",SUMIFS(approvals!$AQ$2:$AQ$251,approvals!$A$2:$A$251,$A45))</f>
        <v/>
      </c>
      <c r="CM45" s="25">
        <f>IF($A45="","",SUMIFS(approvals!$AR$2:$AR$251,approvals!$A$2:$A$251,$A45))</f>
        <v/>
      </c>
      <c r="CN45" s="25">
        <f>IF($A45="","",SUMIFS(approvals!$AS$2:$AS$251,approvals!$A$2:$A$251,$A45))</f>
        <v/>
      </c>
      <c r="CO45" s="25">
        <f>IF($A45="","",SUMIFS(approvals!$AT$2:$AT$251,approvals!$A$2:$A$251,$A45))</f>
        <v/>
      </c>
      <c r="CP45" s="28">
        <f>IF($A45="","",IF(N($CO45)=0,"",ROUND(SUMIFS(approvals!$AU$2:$AU$251,approvals!$A$2:$A$251,$A45)/$CO45,1)))</f>
        <v/>
      </c>
      <c r="CQ45" s="25">
        <f>IF($A45="","",SUMIFS(approvals!$AV$2:$AV$251,approvals!$A$2:$A$251,$A45))</f>
        <v/>
      </c>
      <c r="CR45" s="25">
        <f>IF($A45="","",SUMIFS(approvals!$AW$2:$AW$251,approvals!$A$2:$A$251,$A45))</f>
        <v/>
      </c>
      <c r="CS45" s="25">
        <f>IF($A45="","",SUMIFS(approvals!$AX$2:$AX$251,approvals!$A$2:$A$251,$A45))</f>
        <v/>
      </c>
      <c r="CT45" s="25">
        <f>IF($A45="","",SUMIFS(approvals!$AY$2:$AY$251,approvals!$A$2:$A$251,$A45))</f>
        <v/>
      </c>
      <c r="CU45" s="25">
        <f>IF($A45="","",IF(OR($BG45="",$BC45&lt;&gt;""),"",IFERROR(COUNT(INDIRECT("'"&amp;$A45&amp;"'!$A$2:$A$501")),0)-IFERROR(COUNTIFS(INDIRECT("'"&amp;$A45&amp;"'!$A$2:$A$501"),"&gt;="&amp;$BG45,INDIRECT("'"&amp;$A45&amp;"'!$A$2:$A$501"),"&lt;"&amp;(IFERROR(IF(INDEX(drops!$R$2:$R$21,MATCH($B45,drops!$A$2:$A$21,0))="","",INDEX(drops!$R$2:$R$21,MATCH($B45,drops!$A$2:$A$21,0))),"")+1)),0)))</f>
        <v/>
      </c>
      <c r="CV45" s="25">
        <f>IF($A45="","",IF(OR($BG45="",$BC45&lt;&gt;""),"",IFERROR(COUNTIFS(INDIRECT("'"&amp;$A45&amp;"'!$A$2:$A$501"),"&gt;="&amp;$BG45,INDIRECT("'"&amp;$A45&amp;"'!$A$2:$A$501"),"&lt;"&amp;(IFERROR(IF(INDEX(drops!$R$2:$R$21,MATCH($B45,drops!$A$2:$A$21,0))="","",INDEX(drops!$R$2:$R$21,MATCH($B45,drops!$A$2:$A$21,0))),"")+1)),0)-N($CH45)))</f>
        <v/>
      </c>
      <c r="CW45" s="25">
        <f>IF($A45="","",SUMIFS(approvals!$AN$2:$AN$251,approvals!$A$2:$A$251,$A45))</f>
        <v/>
      </c>
      <c r="CX45" s="25">
        <f>IF($A45="","",SUMIFS(approvals!$AO$2:$AO$251,approvals!$A$2:$A$251,$A45))</f>
        <v/>
      </c>
      <c r="CY45" s="25">
        <f>IF($A45="","",IF($CZ45="","",SUMIFS(redemptions!$C$2:$C$121,redemptions!$A$2:$A$121,$A45,redemptions!$B$2:$B$121,$CZ45)))</f>
        <v/>
      </c>
      <c r="CZ45" s="26">
        <f>IF($A45="","",IFERROR(1/(1/SUMPRODUCT(MAX((redemptions!$A$2:$A$121=$A45)*redemptions!$B$2:$B$121))),""))</f>
        <v/>
      </c>
      <c r="DA45" s="25">
        <f>IF($A45="","",IF(COUNTIFS(redemptions!$A$2:$A$121,$A45,redemptions!$H$2:$H$121,"Y")=0,"",SUMIFS(redemptions!$C$2:$C$121,redemptions!$A$2:$A$121,$A45,redemptions!$B$2:$B$121,SUMPRODUCT(MIN((redemptions!$A$2:$A$121=$A45)*(redemptions!$H$2:$H$121="Y")*redemptions!$B$2:$B$121+((redemptions!$A$2:$A$121&lt;&gt;$A45)+(redemptions!$H$2:$H$121&lt;&gt;"Y")&gt;0)*1000000)))))</f>
        <v/>
      </c>
      <c r="DB45" s="27">
        <f>IF($A45="","",SUMIFS(invoices!$E$2:$E$151,invoices!$B$2:$B$151,$A45))</f>
        <v/>
      </c>
      <c r="DC45" s="27">
        <f>IF($A45="","",IF(COUNTIFS(invoices!$B$2:$B$151,$A45,invoices!$C$2:$C$151,"standard_deposit",invoices!$H$2:$H$151,"&gt;0")=0,"",SUMIFS(invoices!$I$2:$I$151,invoices!$B$2:$B$151,$A45,invoices!$C$2:$C$151,"standard_deposit")))</f>
        <v/>
      </c>
      <c r="DD45" s="26">
        <f>IF($A45="","",IFERROR(1/(1/SUMPRODUCT(MAX((invoices!$B$2:$B$151=$A45)*(invoices!$C$2:$C$151="standard_deposit")*invoices!$H$2:$H$151))),""))</f>
        <v/>
      </c>
      <c r="DE45" s="26">
        <f>IF($A45="","",IFERROR(1/(1/SUMPRODUCT(MAX((invoices!$B$2:$B$151=$A45)*((invoices!$C$2:$C$151="founding_full")+(invoices!$C$2:$C$151="standard_balance"))*invoices!$H$2:$H$151))),""))</f>
        <v/>
      </c>
      <c r="DF45" s="27">
        <f>IF($A45="","",SUMIFS(invoices!$L$2:$L$151,invoices!$B$2:$B$151,$A45))</f>
        <v/>
      </c>
      <c r="DG45" s="27">
        <f>IF($A45="","",SUMIFS(costs!$E$2:$E$301,costs!$C$2:$C$301,$A45))</f>
        <v/>
      </c>
      <c r="DH45" s="27">
        <f>IF($A45="","",ROUND(IF(SUMIFS(campaigns!$BO$2:$BO$51,campaigns!$B$2:$B$51,$B45)=0,0,$BO45/SUMIFS(campaigns!$BO$2:$BO$51,campaigns!$B$2:$B$51,$B45))*(SUMIFS(costs!$E$2:$E$301,costs!$B$2:$B$301,$B45)-SUMPRODUCT((costs!$B$2:$B$301=$B45)*(LEN(costs!$C$2:$C$301)&gt;0)*costs!$E$2:$E$301)),2))</f>
        <v/>
      </c>
      <c r="DI45" s="28">
        <f>IF($A45="","",SUMIFS(hours!$E$2:$E$1501,hours!$C$2:$C$1501,$A45))</f>
        <v/>
      </c>
      <c r="DJ45" s="28">
        <f>IF($A45="","",ROUND(IF(SUMIFS(campaigns!$BO$2:$BO$51,campaigns!$B$2:$B$51,$B45)=0,0,$BO45/SUMIFS(campaigns!$BO$2:$BO$51,campaigns!$B$2:$B$51,$B45))*(SUMIFS(hours!$E$2:$E$1501,hours!$B$2:$B$1501,$B45)-SUMPRODUCT((hours!$B$2:$B$1501=$B45)*(LEN(hours!$C$2:$C$1501)&gt;0)*hours!$E$2:$E$1501)),2))</f>
        <v/>
      </c>
      <c r="DK45" s="27">
        <f>IF($A45="","",$DB45-$DF45-$DG45-$DH45)</f>
        <v/>
      </c>
      <c r="DL45" s="27">
        <f>IF($A45="","",IF(N($DI45)+N($DJ45)=0,"",ROUND($DK45/($DI45+$DJ45),2)))</f>
        <v/>
      </c>
      <c r="DM45" s="29">
        <f>IF($A45="","",IF(N($BP45)=0,"",COUNTIFS(approvals!$A$2:$A$251,$A45,approvals!$Q$2:$Q$251,"Y",approvals!$AK$2:$AK$251,"Y")/$BP45))</f>
        <v/>
      </c>
      <c r="DN45" s="28">
        <f>IF($A45="","",IF(COUNTIFS(approvals!$A$2:$A$251,$A45,approvals!$AC$2:$AC$251,"&gt;=0")=0,"",ROUND(SUMIFS(approvals!$AC$2:$AC$251,approvals!$A$2:$A$251,$A45)/COUNTIFS(approvals!$A$2:$A$251,$A45,approvals!$AC$2:$AC$251,"&gt;=0"),1)))</f>
        <v/>
      </c>
      <c r="DO45" s="26">
        <f>IF($A45="","",IFERROR(IF(INDEX(drops!$T$2:$T$21,MATCH($B45,drops!$A$2:$A$21,0))="","",INDEX(drops!$T$2:$T$21,MATCH($B45,drops!$A$2:$A$21,0))),""))</f>
        <v/>
      </c>
      <c r="DP45" s="26">
        <f>IF($A45="","",IFERROR(IF(INDEX(drops!$U$2:$U$21,MATCH($B45,drops!$A$2:$A$21,0))="","",INDEX(drops!$U$2:$U$21,MATCH($B45,drops!$A$2:$A$21,0))),""))</f>
        <v/>
      </c>
      <c r="DQ45" s="26">
        <f>IF($A45="","",IFERROR(IF(INDEX(drops!$W$2:$W$21,MATCH($B45,drops!$A$2:$A$21,0))="","",INDEX(drops!$W$2:$W$21,MATCH($B45,drops!$A$2:$A$21,0))),""))</f>
        <v/>
      </c>
      <c r="DR45" s="25">
        <f>IF($A45="","",IF($CE45="","",IF($CE45&gt;=config!$B$31,"pass","miss")))</f>
        <v/>
      </c>
      <c r="DS45" s="25">
        <f>IF($A45="","",IF($CI45="","",IF($CI45&gt;=config!$B$30,"pass","miss")))</f>
        <v/>
      </c>
      <c r="DT45" s="25">
        <f>IF($A45="","",IF($AT45="",IF($DO45="","",IF(IF(config!$B$37&lt;&gt;"",config!$B$37,TODAY())&gt;$DO45,"late","due")),IF($AT45&lt;=$DO45,"pass","late")))</f>
        <v/>
      </c>
      <c r="DU45" s="25">
        <f>IF($A45="","",IF(COUNTIF(drops!$A$2:$A$21,$B45)=0,"drop_id not on drops; ",IF($BG45="","drop date missing or refused; ",""))&amp;IF(AND($G45&lt;&gt;"",$G45&lt;&gt;$BI45),"price differs from the price list; ","")&amp;IF(AND(LEFT($BW45,4)="HOLD",$BL45&lt;&gt;"",IF(config!$B$37&lt;&gt;"",config!$B$37,TODAY())&gt;=WORKDAY(N($BL45),-3,calendar!$A$2:$A$80)),"SHIP HOLD within 3 business days of T-10; ","")&amp;IF(AND($BQ45&gt;0,$BL45&lt;&gt;"",IF(config!$B$37&lt;&gt;"",config!$B$37,TODAY())&gt;$BL45),"approvals still pending after T-10; ","")&amp;IF($BZ45&lt;0,"reserve below zero: check inventory; ","")&amp;IF(AND($BG45&lt;&gt;"",IF(config!$B$37&lt;&gt;"",config!$B$37,TODAY())&gt;WORKDAY(N($BG45),14,calendar!$A$2:$A$80),N($BZ45)+N($CA45)&lt;&gt;0),"units still on hand after T+14; ","")&amp;IF(N($CV45)&gt;0,"info: "&amp;$CV45&amp;" in-window responses with a card code that matches no office (not counted); ","")&amp;IF(AND($Z45="Y",$AK45=""),"newsletter form URL missing; ","")&amp;IF(AND($Z45="Y",$BG45&lt;&gt;"",IF(config!$B$37&lt;&gt;"",config!$B$37,TODAY())&gt;WORKDAY(N($BG45),5,calendar!$A$2:$A$80),$AY45=""),"newsletter list not yet passed on (due T+5); ","")&amp;IF(AND($AY45&lt;&gt;"",$BA45=""),"delete unticked emails; ","")&amp;IF(AND($AY45&lt;&gt;"",$BB45="",IF(config!$B$37&lt;&gt;"",config!$B$37,TODAY())&gt;$AY45+config!$B$32),"DELETE the consented emails (30 days after passing on); ","")&amp;IF(AND($BG45&lt;&gt;"",$AJ45="",IF(config!$B$37&lt;&gt;"",config!$B$37,TODAY())&gt;=WORKDAY(N($BG45),-4,calendar!$A$2:$A$80)),"survey prefill template missing (due T-4); ","")&amp;IF(AND($AJ45&lt;&gt;"",ISERROR(SEARCH("CARDCODE",$AJ45))),"prefill template has no CARDCODE; ","")&amp;IF(AND($AF45="",$BG45&lt;&gt;"",IF(config!$B$37&lt;&gt;"",config!$B$37,TODAY())&gt;=WORKDAY(N($BG45),-3,calendar!$A$2:$A$80)),"card text not yet sent to the brand; ","")&amp;IF(AND($DA45="",$DQ45&lt;&gt;"",IF(config!$B$37&lt;&gt;"",config!$B$37,TODAY())&gt;$DQ45),"day-30 redemption count due; ","")&amp;IF(AND(LEFT($BW45,8)="RELEASED",$AG45=""),"ship-date email due (template 02): send it, then log ship_email_sent_date and ship_email_units; ","")&amp;IF(AND($AH45&lt;&gt;"",N($BT45)&gt;0,N($BX45)=0,N($AH45)&lt;&gt;N($BT45)),"units changed since the ship-date email of "&amp;IF($AG45="","?",TEXT($AG45,"yyyy-mm-dd"))&amp;" ("&amp;$AH45&amp;", now "&amp;$BT45&amp;"): send the brand the revised numbers (template 02) and log them; ","")&amp;IF($DT45="late","report late; ","")&amp;IF(AND(N($F45)&gt;0,$BO45&lt;N($F45),$BQ45=0),"info: "&amp;(N($F45)-$BO45)&amp;" office(s) short of the contract: add a roster office or credit $"&amp;IF($D45="founding",config!$B$25,config!$B$24)&amp;" each; ","")&amp;IF($BC45&lt;&gt;"",IF(COUNTIF(survey_frozen!$A$2:$A$251,$A45)=0,"answers deleted but no frozen totals: the survey numbers now read 0 (tools/freeze_survey.py, SOP answers_delete); ",""),IF(AND($BG45&lt;&gt;"",IF(config!$B$37&lt;&gt;"",config!$B$37,TODAY())&gt;=$BG45,ISREF(INDIRECT("'"&amp;$A45&amp;"'!B1"))),IF(INDIRECT("'"&amp;$A45&amp;"'!B1")&lt;&gt;"Card code (filled in for you)","survey tab column B is not the card code: fix the form or the tab; ",""),IF(AND($BG45&lt;&gt;"",IF(config!$B$37&lt;&gt;"",config!$B$37,TODAY())&gt;=$BG45),"no survey tab named "&amp;$A45&amp;"; ","")))&amp;IF(COUNTIF(brands!$A$2:$A$41,$C45)=0,"brand_id not on brands; ",IF(LEFT(IFERROR(IF(INDEX(brands!$AG$2:$AG$41,MATCH($C45,brands!$A$2:$A$41,0))="","",INDEX(brands!$AG$2:$AG$41,MATCH($C45,brands!$A$2:$A$41,0))),""),1)&lt;&gt;"Y","brand not qualified ("&amp;IFERROR(IF(INDEX(brands!$AG$2:$AG$41,MATCH($C45,brands!$A$2:$A$41,0))="","",INDEX(brands!$AG$2:$AG$41,MATCH($C45,brands!$A$2:$A$41,0))),"")&amp;"): nothing ships until it is; ",""))&amp;IF(AND(COUNTIF(brands!$A$2:$A$41,$C45)&gt;0,OR(IFERROR(IF(INDEX(brands!$C$2:$C$41,MATCH($C45,brands!$A$2:$A$41,0))="","",INDEX(brands!$C$2:$C$41,MATCH($C45,brands!$A$2:$A$41,0))),"")="",IFERROR(IF(INDEX(brands!$D$2:$D$41,MATCH($C45,brands!$A$2:$A$41,0))="","",INDEX(brands!$D$2:$D$41,MATCH($C45,brands!$A$2:$A$41,0))),"")="",IFERROR(IF(INDEX(brands!$E$2:$E$41,MATCH($C45,brands!$A$2:$A$41,0))="","",INDEX(brands!$E$2:$E$41,MATCH($C45,brands!$A$2:$A$41,0))),"")="")),"brand billing details missing on brands (legal name, address, email): needed for the invoice; ","")&amp;IF(AND($D45="founding",$E45&lt;&gt;"Y",N(IFERROR(IF(INDEX(brands!$AI$2:$AI$41,MATCH($C45,brands!$A$2:$A$41,0))="","",INDEX(brands!$AI$2:$AI$41,MATCH($C45,brands!$A$2:$A$41,0))),""))&gt;3),"the founding tier is for the first three brands only (this is brand "&amp;IFERROR(IF(INDEX(brands!$AI$2:$AI$41,MATCH($C45,brands!$A$2:$A$41,0))="","",INDEX(brands!$AI$2:$AI$41,MATCH($C45,brands!$A$2:$A$41,0))),"")&amp;"): use standard; ","")&amp;IF(AND($D45="founding",$E45&lt;&gt;"Y",COUNTIFS(campaigns!$C$2:$C$51,$C45,campaigns!$D$2:$D$51,"founding",campaigns!$E$2:$E$51,"&lt;&gt;Y")&gt;1),"a brand has the founding price once; its next two campaigns are founding_lock = Y; ","")&amp;IF(AND($E45="Y",COUNTIFS(campaigns!$C$2:$C$51,$C45,campaigns!$D$2:$D$51,"founding",campaigns!$E$2:$E$51,"Y")&gt;2),"founding_lock is for the brand's next two campaigns only (this is a third): use standard; ","")&amp;IF(AND($E45="Y",COUNTIFS(campaigns!$C$2:$C$51,$C45,campaigns!$D$2:$D$51,"founding",campaigns!$E$2:$E$51,"&lt;&gt;Y")=0),"founding_lock without a first founding campaign for this brand; ","")&amp;IF(AND(N($BX45)&gt;0,$BG45&lt;&gt;"",IF(config!$B$37&lt;&gt;"",config!$B$37,TODAY())&gt;=WORKDAY(N($BG45),-5,calendar!$A$2:$A$80)),IF(N($BX45)-N($BY45)&lt;N($BR45),"received "&amp;(N($BX45)-N($BY45))&amp;" usable units for "&amp;$BR45&amp;" allocated: reduce units_override evenly (SOP section 4, short shipment); ","")&amp;IF(AND(N($BX45)&lt;N($BT45),COUNTIFS(issues!$E$2:$E$121,$A45,issues!$G$2:$G$121,"short_shipment")=0),"received "&amp;$BX45&amp;" of "&amp;$BT45&amp;" due: log a short_shipment issue and tell the brand today; ",""),"")&amp;IF(AND($BG45&lt;&gt;"",IF(config!$B$37&lt;&gt;"",config!$B$37,TODAY())&gt;=WORKDAY(N($BG45),1,calendar!$A$2:$A$80),N($F45)&gt;0,(-SUMIFS(invoices!$E$2:$E$151,invoices!$B$2:$B$151,$A45,invoices!$C$2:$C$151,"credit_note"))&lt;(IF($D45="founding",config!$B$25,config!$B$24)*MAX(0,N($F45)-COUNTIFS(approvals!$A$2:$A$251,$A45,approvals!$Q$2:$Q$251,"Y",approvals!$AB$2:$AB$251,"Y")))-0.005),"credit due from T+1: "&amp;MAX(0,N($F45)-COUNTIFS(approvals!$A$2:$A$251,$A45,approvals!$Q$2:$Q$251,"Y",approvals!$AB$2:$AB$251,"Y"))&amp;" of "&amp;$F45&amp;" contracted offices not placed by T+1, $"&amp;(IF($D45="founding",config!$B$25,config!$B$24)*MAX(0,N($F45)-COUNTIFS(approvals!$A$2:$A$251,$A45,approvals!$Q$2:$Q$251,"Y",approvals!$AB$2:$AB$251,"Y")))&amp;" due, $"&amp;(-SUMIFS(invoices!$E$2:$E$151,invoices!$B$2:$B$151,$A45,invoices!$C$2:$C$151,"credit_note"))&amp;" in credit notes so far (template 06, make_invoice.py); ","")&amp;IF(AND(IFERROR(IF(INDEX(brands!$H$2:$H$41,MATCH($C45,brands!$A$2:$A$41,0))="","",INDEX(brands!$H$2:$H$41,MATCH($C45,brands!$A$2:$A$41,0))),"")&lt;&gt;"",$BG45&lt;&gt;"",IFERROR(IF(INDEX(brands!$H$2:$H$41,MATCH($C45,brands!$A$2:$A$41,0))="","",INDEX(brands!$H$2:$H$41,MATCH($C45,brands!$A$2:$A$41,0))),"")&lt;EDATE(WORKDAY(N($BG45),4,calendar!$A$2:$A$80),12)),"info: brand insurance ends "&amp;TEXT(IFERROR(IF(INDEX(brands!$H$2:$H$41,MATCH($C45,brands!$A$2:$A$41,0))="","",INDEX(brands!$H$2:$H$41,MATCH($C45,brands!$A$2:$A$41,0))),""),"yyyy-mm-dd")&amp;": diary the renewal certificate; ",""))</f>
        <v/>
      </c>
    </row>
    <row r="46">
      <c r="G46" s="10" t="n"/>
      <c r="H46" s="9" t="n"/>
      <c r="AB46" s="9" t="n"/>
      <c r="AC46" s="9" t="n"/>
      <c r="AD46" s="9" t="n"/>
      <c r="AF46" s="9" t="n"/>
      <c r="AG46" s="9" t="n"/>
      <c r="AT46" s="9" t="n"/>
      <c r="AU46" s="9" t="n"/>
      <c r="AY46" s="9" t="n"/>
      <c r="BA46" s="9" t="n"/>
      <c r="BB46" s="9" t="n"/>
      <c r="BC46" s="9" t="n"/>
      <c r="BE46" s="25">
        <f>IF($A46="","",IFERROR(IF(INDEX(brands!$K$2:$K$41,MATCH($C46,brands!$A$2:$A$41,0))="","",INDEX(brands!$K$2:$K$41,MATCH($C46,brands!$A$2:$A$41,0))),""))</f>
        <v/>
      </c>
      <c r="BF46" s="25">
        <f>IF($A46="","",IFERROR(IF(INDEX(brands!$M$2:$M$41,MATCH($C46,brands!$A$2:$A$41,0))="","",INDEX(brands!$M$2:$M$41,MATCH($C46,brands!$A$2:$A$41,0))),""))</f>
        <v/>
      </c>
      <c r="BG46" s="26">
        <f>IF($A46="","",IF(IFERROR(IF(INDEX(drops!$I$2:$I$21,MATCH($B46,drops!$A$2:$A$21,0))="","",INDEX(drops!$I$2:$I$21,MATCH($B46,drops!$A$2:$A$21,0))),"")="OK",IFERROR(IF(INDEX(drops!$B$2:$B$21,MATCH($B46,drops!$A$2:$A$21,0))="","",INDEX(drops!$B$2:$B$21,MATCH($B46,drops!$A$2:$A$21,0))),""),""))</f>
        <v/>
      </c>
      <c r="BH46" s="25">
        <f>IF($A46="","",IFERROR(IF(INDEX(drops!$C$2:$C$21,MATCH($B46,drops!$A$2:$A$21,0))="","",INDEX(drops!$C$2:$C$21,MATCH($B46,drops!$A$2:$A$21,0))),""))</f>
        <v/>
      </c>
      <c r="BI46" s="27">
        <f>IF($A46="","",IF($F46="","",IF($D46="founding",IF($E46="Y",config!$B$25*MIN($F46,config!$B$26)+config!$B$24*MAX(0,$F46-config!$B$26),config!$B$20+config!$B$24*MAX(0,$F46-config!$B$21)),IF($D46="standard",config!$B$22+config!$B$24*MAX(0,$F46-config!$B$23),""))))</f>
        <v/>
      </c>
      <c r="BJ46" s="27">
        <f>IF($A46="","",IF($G46&lt;&gt;"",$G46,$BI46))</f>
        <v/>
      </c>
      <c r="BK46" s="25">
        <f>IF($A46="","",IF($D46="founding","100% within "&amp;config!$B$27&amp;" business days of the invoice, before shipping",IF($D46="standard","50% on signing; 50% at placement confirmation (T+1)","")))</f>
        <v/>
      </c>
      <c r="BL46" s="26">
        <f>IF($A46="","",IFERROR(IF(INDEX(drops!$K$2:$K$21,MATCH($B46,drops!$A$2:$A$21,0))="","",INDEX(drops!$K$2:$K$21,MATCH($B46,drops!$A$2:$A$21,0))),""))</f>
        <v/>
      </c>
      <c r="BM46" s="26">
        <f>IF($A46="","",IFERROR(IF(INDEX(drops!$L$2:$L$21,MATCH($B46,drops!$A$2:$A$21,0))="","",INDEX(drops!$L$2:$L$21,MATCH($B46,drops!$A$2:$A$21,0))),""))</f>
        <v/>
      </c>
      <c r="BN46" s="25">
        <f>IF($A46="","",COUNTIF(approvals!$A$2:$A$251,$A46))</f>
        <v/>
      </c>
      <c r="BO46" s="25">
        <f>IF($A46="","",COUNTIFS(approvals!$A$2:$A$251,$A46,approvals!$P$2:$P$251,"Y"))</f>
        <v/>
      </c>
      <c r="BP46" s="25">
        <f>IF($A46="","",COUNTIFS(approvals!$A$2:$A$251,$A46,approvals!$Q$2:$Q$251,"Y"))</f>
        <v/>
      </c>
      <c r="BQ46" s="25">
        <f>IF($A46="","",COUNTIFS(approvals!$A$2:$A$251,$A46,approvals!$P$2:$P$251,"pending"))</f>
        <v/>
      </c>
      <c r="BR46" s="25">
        <f>IF($A46="","",SUMIFS(approvals!$S$2:$S$251,approvals!$A$2:$A$251,$A46,approvals!$P$2:$P$251,"Y"))</f>
        <v/>
      </c>
      <c r="BS46" s="25">
        <f>IF($A46="","",ROUNDUP($BR46*config!$B$18,0))</f>
        <v/>
      </c>
      <c r="BT46" s="25">
        <f>IF($A46="","",$BR46+$BS46)</f>
        <v/>
      </c>
      <c r="BU46" s="27">
        <f>IF($A46="","",SUMIFS(invoices!$I$2:$I$151,invoices!$B$2:$B$151,$A46,invoices!$R$2:$R$151,"Y",invoices!$H$2:$H$151,"&gt;0"))</f>
        <v/>
      </c>
      <c r="BV46" s="27">
        <f>IF($A46="","",IF($BJ46="","",IF($D46="founding",$BJ46,ROUND($BJ46*config!$B$28,2))))</f>
        <v/>
      </c>
      <c r="BW46" s="25">
        <f>IF($A46="","",IF(AND(N($BU46)&gt;=N($BV46),N($BV46)&gt;0,$H46&lt;&gt;"",AND($AB46&lt;&gt;"",IFERROR(IF(INDEX(brands!$G$2:$G$41,MATCH($C46,brands!$A$2:$A$41,0))="","",INDEX(brands!$G$2:$G$41,MATCH($C46,brands!$A$2:$A$41,0))),"")="Y"),LEFT(IFERROR(IF(INDEX(brands!$AG$2:$AG$41,MATCH($C46,brands!$A$2:$A$41,0))="","",INDEX(brands!$AG$2:$AG$41,MATCH($C46,brands!$A$2:$A$41,0))),""),1)="Y",$BG46&lt;&gt;"",$BQ46=0,$BO46&gt;0),"RELEASED "&amp;TEXT(MAX(IFERROR(1/(1/SUMPRODUCT(MAX((invoices!$B$2:$B$151=$A46)*(invoices!$R$2:$R$151="Y")*(invoices!$H$2:$H$151)))),""),$H46,$AB46,SUMPRODUCT(MAX((approvals!$A$2:$A$251=$A46)*(approvals!$P$2:$P$251="Y")*(approvals!$E$2:$E$251+(approvals!$E$2:$E$251=0)*approvals!$C$2:$C$251)))),"yyyy-mm-dd")&amp;": ship by "&amp;TEXT($BM46,"ddd yyyy-mm-dd")&amp;" (latest "&amp;TEXT($BL46,"ddd yyyy-mm-dd")&amp;")","HOLD: "&amp;IF(N($BU46)&lt;N($BV46),"payment ("&amp;TEXT(N($BU46),"0")&amp;" of "&amp;TEXT(N($BV46),"0")&amp;") ","")&amp;IF($H46="","agreement ","")&amp;IF(NOT(AND($AB46&lt;&gt;"",IFERROR(IF(INDEX(brands!$G$2:$G$41,MATCH($C46,brands!$A$2:$A$41,0))="","",INDEX(brands!$G$2:$G$41,MATCH($C46,brands!$A$2:$A$41,0))),"")="Y")),"certificate ","")&amp;IF(NOT(LEFT(IFERROR(IF(INDEX(brands!$AG$2:$AG$41,MATCH($C46,brands!$A$2:$A$41,0))="","",INDEX(brands!$AG$2:$AG$41,MATCH($C46,brands!$A$2:$A$41,0))),""),1)="Y"),"qualification ","")&amp;IF($BG46="","drop date ","")&amp;IF($BQ46&gt;0,"approvals ("&amp;$BQ46&amp;" pending) ","")&amp;IF($BO46=0,"no office approved ","")))</f>
        <v/>
      </c>
      <c r="BX46" s="25">
        <f>IF($A46="","",SUMIFS(inventory!$G$2:$G$801,inventory!$C$2:$C$801,$A46,inventory!$E$2:$E$801,"received"))</f>
        <v/>
      </c>
      <c r="BY46" s="25">
        <f>IF($A46="","",SUMIFS(inventory!$G$2:$G$801,inventory!$C$2:$C$801,$A46,inventory!$E$2:$E$801,"rejected"))</f>
        <v/>
      </c>
      <c r="BZ46" s="25">
        <f>IF($A46="","",SUMIFS(inventory!$M$2:$M$801,inventory!$C$2:$C$801,$A46))</f>
        <v/>
      </c>
      <c r="CA46" s="25">
        <f>IF($A46="","",SUMIFS(inventory!$O$2:$O$801,inventory!$C$2:$C$801,$A46))</f>
        <v/>
      </c>
      <c r="CB46" s="25">
        <f>IF($A46="","",SUMIFS(approvals!$U$2:$U$251,approvals!$A$2:$A$251,$A46))</f>
        <v/>
      </c>
      <c r="CC46" s="25">
        <f>IF($A46="","",SUMIFS(approvals!$AA$2:$AA$251,approvals!$A$2:$A$251,$A46))</f>
        <v/>
      </c>
      <c r="CD46" s="25">
        <f>IF($A46="","",SUMIFS(approvals!$AA$2:$AA$251,approvals!$A$2:$A$251,$A46,approvals!$AB$2:$AB$251,"Y"))</f>
        <v/>
      </c>
      <c r="CE46" s="29">
        <f>IF($A46="","",IF(N($CB46)=0,"",$CD46/$CB46))</f>
        <v/>
      </c>
      <c r="CF46" s="25">
        <f>IF($A46="","",SUMIFS(approvals!$AD$2:$AD$251,approvals!$A$2:$A$251,$A46))</f>
        <v/>
      </c>
      <c r="CG46" s="25">
        <f>IF($A46="","",IF(COUNTIFS(approvals!$A$2:$A$251,$A46,approvals!$Q$2:$Q$251,"Y",approvals!$AG$2:$AG$251,"")&gt;0,"",SUMIFS(approvals!$AG$2:$AG$251,approvals!$A$2:$A$251,$A46,approvals!$Q$2:$Q$251,"Y")))</f>
        <v/>
      </c>
      <c r="CH46" s="25">
        <f>IF($A46="","",SUMIFS(approvals!$AL$2:$AL$251,approvals!$A$2:$A$251,$A46))</f>
        <v/>
      </c>
      <c r="CI46" s="25">
        <f>IF($A46="","",IF(N($BP46)=0,"",SUMPRODUCT(MIN(approvals!$BB$2:$BB$251+(approvals!$A$2:$A$251&lt;&gt;$A46)*1000000))))</f>
        <v/>
      </c>
      <c r="CJ46" s="25">
        <f>IF($A46="","",COUNTIFS(approvals!$A$2:$A$251,$A46,approvals!$Q$2:$Q$251,"Y",approvals!$AL$2:$AL$251,"&lt;"&amp;config!$B$30))</f>
        <v/>
      </c>
      <c r="CK46" s="25">
        <f>IF($A46="","",SUMIFS(approvals!$AM$2:$AM$251,approvals!$A$2:$A$251,$A46))</f>
        <v/>
      </c>
      <c r="CL46" s="25">
        <f>IF($A46="","",SUMIFS(approvals!$AQ$2:$AQ$251,approvals!$A$2:$A$251,$A46))</f>
        <v/>
      </c>
      <c r="CM46" s="25">
        <f>IF($A46="","",SUMIFS(approvals!$AR$2:$AR$251,approvals!$A$2:$A$251,$A46))</f>
        <v/>
      </c>
      <c r="CN46" s="25">
        <f>IF($A46="","",SUMIFS(approvals!$AS$2:$AS$251,approvals!$A$2:$A$251,$A46))</f>
        <v/>
      </c>
      <c r="CO46" s="25">
        <f>IF($A46="","",SUMIFS(approvals!$AT$2:$AT$251,approvals!$A$2:$A$251,$A46))</f>
        <v/>
      </c>
      <c r="CP46" s="28">
        <f>IF($A46="","",IF(N($CO46)=0,"",ROUND(SUMIFS(approvals!$AU$2:$AU$251,approvals!$A$2:$A$251,$A46)/$CO46,1)))</f>
        <v/>
      </c>
      <c r="CQ46" s="25">
        <f>IF($A46="","",SUMIFS(approvals!$AV$2:$AV$251,approvals!$A$2:$A$251,$A46))</f>
        <v/>
      </c>
      <c r="CR46" s="25">
        <f>IF($A46="","",SUMIFS(approvals!$AW$2:$AW$251,approvals!$A$2:$A$251,$A46))</f>
        <v/>
      </c>
      <c r="CS46" s="25">
        <f>IF($A46="","",SUMIFS(approvals!$AX$2:$AX$251,approvals!$A$2:$A$251,$A46))</f>
        <v/>
      </c>
      <c r="CT46" s="25">
        <f>IF($A46="","",SUMIFS(approvals!$AY$2:$AY$251,approvals!$A$2:$A$251,$A46))</f>
        <v/>
      </c>
      <c r="CU46" s="25">
        <f>IF($A46="","",IF(OR($BG46="",$BC46&lt;&gt;""),"",IFERROR(COUNT(INDIRECT("'"&amp;$A46&amp;"'!$A$2:$A$501")),0)-IFERROR(COUNTIFS(INDIRECT("'"&amp;$A46&amp;"'!$A$2:$A$501"),"&gt;="&amp;$BG46,INDIRECT("'"&amp;$A46&amp;"'!$A$2:$A$501"),"&lt;"&amp;(IFERROR(IF(INDEX(drops!$R$2:$R$21,MATCH($B46,drops!$A$2:$A$21,0))="","",INDEX(drops!$R$2:$R$21,MATCH($B46,drops!$A$2:$A$21,0))),"")+1)),0)))</f>
        <v/>
      </c>
      <c r="CV46" s="25">
        <f>IF($A46="","",IF(OR($BG46="",$BC46&lt;&gt;""),"",IFERROR(COUNTIFS(INDIRECT("'"&amp;$A46&amp;"'!$A$2:$A$501"),"&gt;="&amp;$BG46,INDIRECT("'"&amp;$A46&amp;"'!$A$2:$A$501"),"&lt;"&amp;(IFERROR(IF(INDEX(drops!$R$2:$R$21,MATCH($B46,drops!$A$2:$A$21,0))="","",INDEX(drops!$R$2:$R$21,MATCH($B46,drops!$A$2:$A$21,0))),"")+1)),0)-N($CH46)))</f>
        <v/>
      </c>
      <c r="CW46" s="25">
        <f>IF($A46="","",SUMIFS(approvals!$AN$2:$AN$251,approvals!$A$2:$A$251,$A46))</f>
        <v/>
      </c>
      <c r="CX46" s="25">
        <f>IF($A46="","",SUMIFS(approvals!$AO$2:$AO$251,approvals!$A$2:$A$251,$A46))</f>
        <v/>
      </c>
      <c r="CY46" s="25">
        <f>IF($A46="","",IF($CZ46="","",SUMIFS(redemptions!$C$2:$C$121,redemptions!$A$2:$A$121,$A46,redemptions!$B$2:$B$121,$CZ46)))</f>
        <v/>
      </c>
      <c r="CZ46" s="26">
        <f>IF($A46="","",IFERROR(1/(1/SUMPRODUCT(MAX((redemptions!$A$2:$A$121=$A46)*redemptions!$B$2:$B$121))),""))</f>
        <v/>
      </c>
      <c r="DA46" s="25">
        <f>IF($A46="","",IF(COUNTIFS(redemptions!$A$2:$A$121,$A46,redemptions!$H$2:$H$121,"Y")=0,"",SUMIFS(redemptions!$C$2:$C$121,redemptions!$A$2:$A$121,$A46,redemptions!$B$2:$B$121,SUMPRODUCT(MIN((redemptions!$A$2:$A$121=$A46)*(redemptions!$H$2:$H$121="Y")*redemptions!$B$2:$B$121+((redemptions!$A$2:$A$121&lt;&gt;$A46)+(redemptions!$H$2:$H$121&lt;&gt;"Y")&gt;0)*1000000)))))</f>
        <v/>
      </c>
      <c r="DB46" s="27">
        <f>IF($A46="","",SUMIFS(invoices!$E$2:$E$151,invoices!$B$2:$B$151,$A46))</f>
        <v/>
      </c>
      <c r="DC46" s="27">
        <f>IF($A46="","",IF(COUNTIFS(invoices!$B$2:$B$151,$A46,invoices!$C$2:$C$151,"standard_deposit",invoices!$H$2:$H$151,"&gt;0")=0,"",SUMIFS(invoices!$I$2:$I$151,invoices!$B$2:$B$151,$A46,invoices!$C$2:$C$151,"standard_deposit")))</f>
        <v/>
      </c>
      <c r="DD46" s="26">
        <f>IF($A46="","",IFERROR(1/(1/SUMPRODUCT(MAX((invoices!$B$2:$B$151=$A46)*(invoices!$C$2:$C$151="standard_deposit")*invoices!$H$2:$H$151))),""))</f>
        <v/>
      </c>
      <c r="DE46" s="26">
        <f>IF($A46="","",IFERROR(1/(1/SUMPRODUCT(MAX((invoices!$B$2:$B$151=$A46)*((invoices!$C$2:$C$151="founding_full")+(invoices!$C$2:$C$151="standard_balance"))*invoices!$H$2:$H$151))),""))</f>
        <v/>
      </c>
      <c r="DF46" s="27">
        <f>IF($A46="","",SUMIFS(invoices!$L$2:$L$151,invoices!$B$2:$B$151,$A46))</f>
        <v/>
      </c>
      <c r="DG46" s="27">
        <f>IF($A46="","",SUMIFS(costs!$E$2:$E$301,costs!$C$2:$C$301,$A46))</f>
        <v/>
      </c>
      <c r="DH46" s="27">
        <f>IF($A46="","",ROUND(IF(SUMIFS(campaigns!$BO$2:$BO$51,campaigns!$B$2:$B$51,$B46)=0,0,$BO46/SUMIFS(campaigns!$BO$2:$BO$51,campaigns!$B$2:$B$51,$B46))*(SUMIFS(costs!$E$2:$E$301,costs!$B$2:$B$301,$B46)-SUMPRODUCT((costs!$B$2:$B$301=$B46)*(LEN(costs!$C$2:$C$301)&gt;0)*costs!$E$2:$E$301)),2))</f>
        <v/>
      </c>
      <c r="DI46" s="28">
        <f>IF($A46="","",SUMIFS(hours!$E$2:$E$1501,hours!$C$2:$C$1501,$A46))</f>
        <v/>
      </c>
      <c r="DJ46" s="28">
        <f>IF($A46="","",ROUND(IF(SUMIFS(campaigns!$BO$2:$BO$51,campaigns!$B$2:$B$51,$B46)=0,0,$BO46/SUMIFS(campaigns!$BO$2:$BO$51,campaigns!$B$2:$B$51,$B46))*(SUMIFS(hours!$E$2:$E$1501,hours!$B$2:$B$1501,$B46)-SUMPRODUCT((hours!$B$2:$B$1501=$B46)*(LEN(hours!$C$2:$C$1501)&gt;0)*hours!$E$2:$E$1501)),2))</f>
        <v/>
      </c>
      <c r="DK46" s="27">
        <f>IF($A46="","",$DB46-$DF46-$DG46-$DH46)</f>
        <v/>
      </c>
      <c r="DL46" s="27">
        <f>IF($A46="","",IF(N($DI46)+N($DJ46)=0,"",ROUND($DK46/($DI46+$DJ46),2)))</f>
        <v/>
      </c>
      <c r="DM46" s="29">
        <f>IF($A46="","",IF(N($BP46)=0,"",COUNTIFS(approvals!$A$2:$A$251,$A46,approvals!$Q$2:$Q$251,"Y",approvals!$AK$2:$AK$251,"Y")/$BP46))</f>
        <v/>
      </c>
      <c r="DN46" s="28">
        <f>IF($A46="","",IF(COUNTIFS(approvals!$A$2:$A$251,$A46,approvals!$AC$2:$AC$251,"&gt;=0")=0,"",ROUND(SUMIFS(approvals!$AC$2:$AC$251,approvals!$A$2:$A$251,$A46)/COUNTIFS(approvals!$A$2:$A$251,$A46,approvals!$AC$2:$AC$251,"&gt;=0"),1)))</f>
        <v/>
      </c>
      <c r="DO46" s="26">
        <f>IF($A46="","",IFERROR(IF(INDEX(drops!$T$2:$T$21,MATCH($B46,drops!$A$2:$A$21,0))="","",INDEX(drops!$T$2:$T$21,MATCH($B46,drops!$A$2:$A$21,0))),""))</f>
        <v/>
      </c>
      <c r="DP46" s="26">
        <f>IF($A46="","",IFERROR(IF(INDEX(drops!$U$2:$U$21,MATCH($B46,drops!$A$2:$A$21,0))="","",INDEX(drops!$U$2:$U$21,MATCH($B46,drops!$A$2:$A$21,0))),""))</f>
        <v/>
      </c>
      <c r="DQ46" s="26">
        <f>IF($A46="","",IFERROR(IF(INDEX(drops!$W$2:$W$21,MATCH($B46,drops!$A$2:$A$21,0))="","",INDEX(drops!$W$2:$W$21,MATCH($B46,drops!$A$2:$A$21,0))),""))</f>
        <v/>
      </c>
      <c r="DR46" s="25">
        <f>IF($A46="","",IF($CE46="","",IF($CE46&gt;=config!$B$31,"pass","miss")))</f>
        <v/>
      </c>
      <c r="DS46" s="25">
        <f>IF($A46="","",IF($CI46="","",IF($CI46&gt;=config!$B$30,"pass","miss")))</f>
        <v/>
      </c>
      <c r="DT46" s="25">
        <f>IF($A46="","",IF($AT46="",IF($DO46="","",IF(IF(config!$B$37&lt;&gt;"",config!$B$37,TODAY())&gt;$DO46,"late","due")),IF($AT46&lt;=$DO46,"pass","late")))</f>
        <v/>
      </c>
      <c r="DU46" s="25">
        <f>IF($A46="","",IF(COUNTIF(drops!$A$2:$A$21,$B46)=0,"drop_id not on drops; ",IF($BG46="","drop date missing or refused; ",""))&amp;IF(AND($G46&lt;&gt;"",$G46&lt;&gt;$BI46),"price differs from the price list; ","")&amp;IF(AND(LEFT($BW46,4)="HOLD",$BL46&lt;&gt;"",IF(config!$B$37&lt;&gt;"",config!$B$37,TODAY())&gt;=WORKDAY(N($BL46),-3,calendar!$A$2:$A$80)),"SHIP HOLD within 3 business days of T-10; ","")&amp;IF(AND($BQ46&gt;0,$BL46&lt;&gt;"",IF(config!$B$37&lt;&gt;"",config!$B$37,TODAY())&gt;$BL46),"approvals still pending after T-10; ","")&amp;IF($BZ46&lt;0,"reserve below zero: check inventory; ","")&amp;IF(AND($BG46&lt;&gt;"",IF(config!$B$37&lt;&gt;"",config!$B$37,TODAY())&gt;WORKDAY(N($BG46),14,calendar!$A$2:$A$80),N($BZ46)+N($CA46)&lt;&gt;0),"units still on hand after T+14; ","")&amp;IF(N($CV46)&gt;0,"info: "&amp;$CV46&amp;" in-window responses with a card code that matches no office (not counted); ","")&amp;IF(AND($Z46="Y",$AK46=""),"newsletter form URL missing; ","")&amp;IF(AND($Z46="Y",$BG46&lt;&gt;"",IF(config!$B$37&lt;&gt;"",config!$B$37,TODAY())&gt;WORKDAY(N($BG46),5,calendar!$A$2:$A$80),$AY46=""),"newsletter list not yet passed on (due T+5); ","")&amp;IF(AND($AY46&lt;&gt;"",$BA46=""),"delete unticked emails; ","")&amp;IF(AND($AY46&lt;&gt;"",$BB46="",IF(config!$B$37&lt;&gt;"",config!$B$37,TODAY())&gt;$AY46+config!$B$32),"DELETE the consented emails (30 days after passing on); ","")&amp;IF(AND($BG46&lt;&gt;"",$AJ46="",IF(config!$B$37&lt;&gt;"",config!$B$37,TODAY())&gt;=WORKDAY(N($BG46),-4,calendar!$A$2:$A$80)),"survey prefill template missing (due T-4); ","")&amp;IF(AND($AJ46&lt;&gt;"",ISERROR(SEARCH("CARDCODE",$AJ46))),"prefill template has no CARDCODE; ","")&amp;IF(AND($AF46="",$BG46&lt;&gt;"",IF(config!$B$37&lt;&gt;"",config!$B$37,TODAY())&gt;=WORKDAY(N($BG46),-3,calendar!$A$2:$A$80)),"card text not yet sent to the brand; ","")&amp;IF(AND($DA46="",$DQ46&lt;&gt;"",IF(config!$B$37&lt;&gt;"",config!$B$37,TODAY())&gt;$DQ46),"day-30 redemption count due; ","")&amp;IF(AND(LEFT($BW46,8)="RELEASED",$AG46=""),"ship-date email due (template 02): send it, then log ship_email_sent_date and ship_email_units; ","")&amp;IF(AND($AH46&lt;&gt;"",N($BT46)&gt;0,N($BX46)=0,N($AH46)&lt;&gt;N($BT46)),"units changed since the ship-date email of "&amp;IF($AG46="","?",TEXT($AG46,"yyyy-mm-dd"))&amp;" ("&amp;$AH46&amp;", now "&amp;$BT46&amp;"): send the brand the revised numbers (template 02) and log them; ","")&amp;IF($DT46="late","report late; ","")&amp;IF(AND(N($F46)&gt;0,$BO46&lt;N($F46),$BQ46=0),"info: "&amp;(N($F46)-$BO46)&amp;" office(s) short of the contract: add a roster office or credit $"&amp;IF($D46="founding",config!$B$25,config!$B$24)&amp;" each; ","")&amp;IF($BC46&lt;&gt;"",IF(COUNTIF(survey_frozen!$A$2:$A$251,$A46)=0,"answers deleted but no frozen totals: the survey numbers now read 0 (tools/freeze_survey.py, SOP answers_delete); ",""),IF(AND($BG46&lt;&gt;"",IF(config!$B$37&lt;&gt;"",config!$B$37,TODAY())&gt;=$BG46,ISREF(INDIRECT("'"&amp;$A46&amp;"'!B1"))),IF(INDIRECT("'"&amp;$A46&amp;"'!B1")&lt;&gt;"Card code (filled in for you)","survey tab column B is not the card code: fix the form or the tab; ",""),IF(AND($BG46&lt;&gt;"",IF(config!$B$37&lt;&gt;"",config!$B$37,TODAY())&gt;=$BG46),"no survey tab named "&amp;$A46&amp;"; ","")))&amp;IF(COUNTIF(brands!$A$2:$A$41,$C46)=0,"brand_id not on brands; ",IF(LEFT(IFERROR(IF(INDEX(brands!$AG$2:$AG$41,MATCH($C46,brands!$A$2:$A$41,0))="","",INDEX(brands!$AG$2:$AG$41,MATCH($C46,brands!$A$2:$A$41,0))),""),1)&lt;&gt;"Y","brand not qualified ("&amp;IFERROR(IF(INDEX(brands!$AG$2:$AG$41,MATCH($C46,brands!$A$2:$A$41,0))="","",INDEX(brands!$AG$2:$AG$41,MATCH($C46,brands!$A$2:$A$41,0))),"")&amp;"): nothing ships until it is; ",""))&amp;IF(AND(COUNTIF(brands!$A$2:$A$41,$C46)&gt;0,OR(IFERROR(IF(INDEX(brands!$C$2:$C$41,MATCH($C46,brands!$A$2:$A$41,0))="","",INDEX(brands!$C$2:$C$41,MATCH($C46,brands!$A$2:$A$41,0))),"")="",IFERROR(IF(INDEX(brands!$D$2:$D$41,MATCH($C46,brands!$A$2:$A$41,0))="","",INDEX(brands!$D$2:$D$41,MATCH($C46,brands!$A$2:$A$41,0))),"")="",IFERROR(IF(INDEX(brands!$E$2:$E$41,MATCH($C46,brands!$A$2:$A$41,0))="","",INDEX(brands!$E$2:$E$41,MATCH($C46,brands!$A$2:$A$41,0))),"")="")),"brand billing details missing on brands (legal name, address, email): needed for the invoice; ","")&amp;IF(AND($D46="founding",$E46&lt;&gt;"Y",N(IFERROR(IF(INDEX(brands!$AI$2:$AI$41,MATCH($C46,brands!$A$2:$A$41,0))="","",INDEX(brands!$AI$2:$AI$41,MATCH($C46,brands!$A$2:$A$41,0))),""))&gt;3),"the founding tier is for the first three brands only (this is brand "&amp;IFERROR(IF(INDEX(brands!$AI$2:$AI$41,MATCH($C46,brands!$A$2:$A$41,0))="","",INDEX(brands!$AI$2:$AI$41,MATCH($C46,brands!$A$2:$A$41,0))),"")&amp;"): use standard; ","")&amp;IF(AND($D46="founding",$E46&lt;&gt;"Y",COUNTIFS(campaigns!$C$2:$C$51,$C46,campaigns!$D$2:$D$51,"founding",campaigns!$E$2:$E$51,"&lt;&gt;Y")&gt;1),"a brand has the founding price once; its next two campaigns are founding_lock = Y; ","")&amp;IF(AND($E46="Y",COUNTIFS(campaigns!$C$2:$C$51,$C46,campaigns!$D$2:$D$51,"founding",campaigns!$E$2:$E$51,"Y")&gt;2),"founding_lock is for the brand's next two campaigns only (this is a third): use standard; ","")&amp;IF(AND($E46="Y",COUNTIFS(campaigns!$C$2:$C$51,$C46,campaigns!$D$2:$D$51,"founding",campaigns!$E$2:$E$51,"&lt;&gt;Y")=0),"founding_lock without a first founding campaign for this brand; ","")&amp;IF(AND(N($BX46)&gt;0,$BG46&lt;&gt;"",IF(config!$B$37&lt;&gt;"",config!$B$37,TODAY())&gt;=WORKDAY(N($BG46),-5,calendar!$A$2:$A$80)),IF(N($BX46)-N($BY46)&lt;N($BR46),"received "&amp;(N($BX46)-N($BY46))&amp;" usable units for "&amp;$BR46&amp;" allocated: reduce units_override evenly (SOP section 4, short shipment); ","")&amp;IF(AND(N($BX46)&lt;N($BT46),COUNTIFS(issues!$E$2:$E$121,$A46,issues!$G$2:$G$121,"short_shipment")=0),"received "&amp;$BX46&amp;" of "&amp;$BT46&amp;" due: log a short_shipment issue and tell the brand today; ",""),"")&amp;IF(AND($BG46&lt;&gt;"",IF(config!$B$37&lt;&gt;"",config!$B$37,TODAY())&gt;=WORKDAY(N($BG46),1,calendar!$A$2:$A$80),N($F46)&gt;0,(-SUMIFS(invoices!$E$2:$E$151,invoices!$B$2:$B$151,$A46,invoices!$C$2:$C$151,"credit_note"))&lt;(IF($D46="founding",config!$B$25,config!$B$24)*MAX(0,N($F46)-COUNTIFS(approvals!$A$2:$A$251,$A46,approvals!$Q$2:$Q$251,"Y",approvals!$AB$2:$AB$251,"Y")))-0.005),"credit due from T+1: "&amp;MAX(0,N($F46)-COUNTIFS(approvals!$A$2:$A$251,$A46,approvals!$Q$2:$Q$251,"Y",approvals!$AB$2:$AB$251,"Y"))&amp;" of "&amp;$F46&amp;" contracted offices not placed by T+1, $"&amp;(IF($D46="founding",config!$B$25,config!$B$24)*MAX(0,N($F46)-COUNTIFS(approvals!$A$2:$A$251,$A46,approvals!$Q$2:$Q$251,"Y",approvals!$AB$2:$AB$251,"Y")))&amp;" due, $"&amp;(-SUMIFS(invoices!$E$2:$E$151,invoices!$B$2:$B$151,$A46,invoices!$C$2:$C$151,"credit_note"))&amp;" in credit notes so far (template 06, make_invoice.py); ","")&amp;IF(AND(IFERROR(IF(INDEX(brands!$H$2:$H$41,MATCH($C46,brands!$A$2:$A$41,0))="","",INDEX(brands!$H$2:$H$41,MATCH($C46,brands!$A$2:$A$41,0))),"")&lt;&gt;"",$BG46&lt;&gt;"",IFERROR(IF(INDEX(brands!$H$2:$H$41,MATCH($C46,brands!$A$2:$A$41,0))="","",INDEX(brands!$H$2:$H$41,MATCH($C46,brands!$A$2:$A$41,0))),"")&lt;EDATE(WORKDAY(N($BG46),4,calendar!$A$2:$A$80),12)),"info: brand insurance ends "&amp;TEXT(IFERROR(IF(INDEX(brands!$H$2:$H$41,MATCH($C46,brands!$A$2:$A$41,0))="","",INDEX(brands!$H$2:$H$41,MATCH($C46,brands!$A$2:$A$41,0))),""),"yyyy-mm-dd")&amp;": diary the renewal certificate; ",""))</f>
        <v/>
      </c>
    </row>
    <row r="47">
      <c r="G47" s="10" t="n"/>
      <c r="H47" s="9" t="n"/>
      <c r="AB47" s="9" t="n"/>
      <c r="AC47" s="9" t="n"/>
      <c r="AD47" s="9" t="n"/>
      <c r="AF47" s="9" t="n"/>
      <c r="AG47" s="9" t="n"/>
      <c r="AT47" s="9" t="n"/>
      <c r="AU47" s="9" t="n"/>
      <c r="AY47" s="9" t="n"/>
      <c r="BA47" s="9" t="n"/>
      <c r="BB47" s="9" t="n"/>
      <c r="BC47" s="9" t="n"/>
      <c r="BE47" s="25">
        <f>IF($A47="","",IFERROR(IF(INDEX(brands!$K$2:$K$41,MATCH($C47,brands!$A$2:$A$41,0))="","",INDEX(brands!$K$2:$K$41,MATCH($C47,brands!$A$2:$A$41,0))),""))</f>
        <v/>
      </c>
      <c r="BF47" s="25">
        <f>IF($A47="","",IFERROR(IF(INDEX(brands!$M$2:$M$41,MATCH($C47,brands!$A$2:$A$41,0))="","",INDEX(brands!$M$2:$M$41,MATCH($C47,brands!$A$2:$A$41,0))),""))</f>
        <v/>
      </c>
      <c r="BG47" s="26">
        <f>IF($A47="","",IF(IFERROR(IF(INDEX(drops!$I$2:$I$21,MATCH($B47,drops!$A$2:$A$21,0))="","",INDEX(drops!$I$2:$I$21,MATCH($B47,drops!$A$2:$A$21,0))),"")="OK",IFERROR(IF(INDEX(drops!$B$2:$B$21,MATCH($B47,drops!$A$2:$A$21,0))="","",INDEX(drops!$B$2:$B$21,MATCH($B47,drops!$A$2:$A$21,0))),""),""))</f>
        <v/>
      </c>
      <c r="BH47" s="25">
        <f>IF($A47="","",IFERROR(IF(INDEX(drops!$C$2:$C$21,MATCH($B47,drops!$A$2:$A$21,0))="","",INDEX(drops!$C$2:$C$21,MATCH($B47,drops!$A$2:$A$21,0))),""))</f>
        <v/>
      </c>
      <c r="BI47" s="27">
        <f>IF($A47="","",IF($F47="","",IF($D47="founding",IF($E47="Y",config!$B$25*MIN($F47,config!$B$26)+config!$B$24*MAX(0,$F47-config!$B$26),config!$B$20+config!$B$24*MAX(0,$F47-config!$B$21)),IF($D47="standard",config!$B$22+config!$B$24*MAX(0,$F47-config!$B$23),""))))</f>
        <v/>
      </c>
      <c r="BJ47" s="27">
        <f>IF($A47="","",IF($G47&lt;&gt;"",$G47,$BI47))</f>
        <v/>
      </c>
      <c r="BK47" s="25">
        <f>IF($A47="","",IF($D47="founding","100% within "&amp;config!$B$27&amp;" business days of the invoice, before shipping",IF($D47="standard","50% on signing; 50% at placement confirmation (T+1)","")))</f>
        <v/>
      </c>
      <c r="BL47" s="26">
        <f>IF($A47="","",IFERROR(IF(INDEX(drops!$K$2:$K$21,MATCH($B47,drops!$A$2:$A$21,0))="","",INDEX(drops!$K$2:$K$21,MATCH($B47,drops!$A$2:$A$21,0))),""))</f>
        <v/>
      </c>
      <c r="BM47" s="26">
        <f>IF($A47="","",IFERROR(IF(INDEX(drops!$L$2:$L$21,MATCH($B47,drops!$A$2:$A$21,0))="","",INDEX(drops!$L$2:$L$21,MATCH($B47,drops!$A$2:$A$21,0))),""))</f>
        <v/>
      </c>
      <c r="BN47" s="25">
        <f>IF($A47="","",COUNTIF(approvals!$A$2:$A$251,$A47))</f>
        <v/>
      </c>
      <c r="BO47" s="25">
        <f>IF($A47="","",COUNTIFS(approvals!$A$2:$A$251,$A47,approvals!$P$2:$P$251,"Y"))</f>
        <v/>
      </c>
      <c r="BP47" s="25">
        <f>IF($A47="","",COUNTIFS(approvals!$A$2:$A$251,$A47,approvals!$Q$2:$Q$251,"Y"))</f>
        <v/>
      </c>
      <c r="BQ47" s="25">
        <f>IF($A47="","",COUNTIFS(approvals!$A$2:$A$251,$A47,approvals!$P$2:$P$251,"pending"))</f>
        <v/>
      </c>
      <c r="BR47" s="25">
        <f>IF($A47="","",SUMIFS(approvals!$S$2:$S$251,approvals!$A$2:$A$251,$A47,approvals!$P$2:$P$251,"Y"))</f>
        <v/>
      </c>
      <c r="BS47" s="25">
        <f>IF($A47="","",ROUNDUP($BR47*config!$B$18,0))</f>
        <v/>
      </c>
      <c r="BT47" s="25">
        <f>IF($A47="","",$BR47+$BS47)</f>
        <v/>
      </c>
      <c r="BU47" s="27">
        <f>IF($A47="","",SUMIFS(invoices!$I$2:$I$151,invoices!$B$2:$B$151,$A47,invoices!$R$2:$R$151,"Y",invoices!$H$2:$H$151,"&gt;0"))</f>
        <v/>
      </c>
      <c r="BV47" s="27">
        <f>IF($A47="","",IF($BJ47="","",IF($D47="founding",$BJ47,ROUND($BJ47*config!$B$28,2))))</f>
        <v/>
      </c>
      <c r="BW47" s="25">
        <f>IF($A47="","",IF(AND(N($BU47)&gt;=N($BV47),N($BV47)&gt;0,$H47&lt;&gt;"",AND($AB47&lt;&gt;"",IFERROR(IF(INDEX(brands!$G$2:$G$41,MATCH($C47,brands!$A$2:$A$41,0))="","",INDEX(brands!$G$2:$G$41,MATCH($C47,brands!$A$2:$A$41,0))),"")="Y"),LEFT(IFERROR(IF(INDEX(brands!$AG$2:$AG$41,MATCH($C47,brands!$A$2:$A$41,0))="","",INDEX(brands!$AG$2:$AG$41,MATCH($C47,brands!$A$2:$A$41,0))),""),1)="Y",$BG47&lt;&gt;"",$BQ47=0,$BO47&gt;0),"RELEASED "&amp;TEXT(MAX(IFERROR(1/(1/SUMPRODUCT(MAX((invoices!$B$2:$B$151=$A47)*(invoices!$R$2:$R$151="Y")*(invoices!$H$2:$H$151)))),""),$H47,$AB47,SUMPRODUCT(MAX((approvals!$A$2:$A$251=$A47)*(approvals!$P$2:$P$251="Y")*(approvals!$E$2:$E$251+(approvals!$E$2:$E$251=0)*approvals!$C$2:$C$251)))),"yyyy-mm-dd")&amp;": ship by "&amp;TEXT($BM47,"ddd yyyy-mm-dd")&amp;" (latest "&amp;TEXT($BL47,"ddd yyyy-mm-dd")&amp;")","HOLD: "&amp;IF(N($BU47)&lt;N($BV47),"payment ("&amp;TEXT(N($BU47),"0")&amp;" of "&amp;TEXT(N($BV47),"0")&amp;") ","")&amp;IF($H47="","agreement ","")&amp;IF(NOT(AND($AB47&lt;&gt;"",IFERROR(IF(INDEX(brands!$G$2:$G$41,MATCH($C47,brands!$A$2:$A$41,0))="","",INDEX(brands!$G$2:$G$41,MATCH($C47,brands!$A$2:$A$41,0))),"")="Y")),"certificate ","")&amp;IF(NOT(LEFT(IFERROR(IF(INDEX(brands!$AG$2:$AG$41,MATCH($C47,brands!$A$2:$A$41,0))="","",INDEX(brands!$AG$2:$AG$41,MATCH($C47,brands!$A$2:$A$41,0))),""),1)="Y"),"qualification ","")&amp;IF($BG47="","drop date ","")&amp;IF($BQ47&gt;0,"approvals ("&amp;$BQ47&amp;" pending) ","")&amp;IF($BO47=0,"no office approved ","")))</f>
        <v/>
      </c>
      <c r="BX47" s="25">
        <f>IF($A47="","",SUMIFS(inventory!$G$2:$G$801,inventory!$C$2:$C$801,$A47,inventory!$E$2:$E$801,"received"))</f>
        <v/>
      </c>
      <c r="BY47" s="25">
        <f>IF($A47="","",SUMIFS(inventory!$G$2:$G$801,inventory!$C$2:$C$801,$A47,inventory!$E$2:$E$801,"rejected"))</f>
        <v/>
      </c>
      <c r="BZ47" s="25">
        <f>IF($A47="","",SUMIFS(inventory!$M$2:$M$801,inventory!$C$2:$C$801,$A47))</f>
        <v/>
      </c>
      <c r="CA47" s="25">
        <f>IF($A47="","",SUMIFS(inventory!$O$2:$O$801,inventory!$C$2:$C$801,$A47))</f>
        <v/>
      </c>
      <c r="CB47" s="25">
        <f>IF($A47="","",SUMIFS(approvals!$U$2:$U$251,approvals!$A$2:$A$251,$A47))</f>
        <v/>
      </c>
      <c r="CC47" s="25">
        <f>IF($A47="","",SUMIFS(approvals!$AA$2:$AA$251,approvals!$A$2:$A$251,$A47))</f>
        <v/>
      </c>
      <c r="CD47" s="25">
        <f>IF($A47="","",SUMIFS(approvals!$AA$2:$AA$251,approvals!$A$2:$A$251,$A47,approvals!$AB$2:$AB$251,"Y"))</f>
        <v/>
      </c>
      <c r="CE47" s="29">
        <f>IF($A47="","",IF(N($CB47)=0,"",$CD47/$CB47))</f>
        <v/>
      </c>
      <c r="CF47" s="25">
        <f>IF($A47="","",SUMIFS(approvals!$AD$2:$AD$251,approvals!$A$2:$A$251,$A47))</f>
        <v/>
      </c>
      <c r="CG47" s="25">
        <f>IF($A47="","",IF(COUNTIFS(approvals!$A$2:$A$251,$A47,approvals!$Q$2:$Q$251,"Y",approvals!$AG$2:$AG$251,"")&gt;0,"",SUMIFS(approvals!$AG$2:$AG$251,approvals!$A$2:$A$251,$A47,approvals!$Q$2:$Q$251,"Y")))</f>
        <v/>
      </c>
      <c r="CH47" s="25">
        <f>IF($A47="","",SUMIFS(approvals!$AL$2:$AL$251,approvals!$A$2:$A$251,$A47))</f>
        <v/>
      </c>
      <c r="CI47" s="25">
        <f>IF($A47="","",IF(N($BP47)=0,"",SUMPRODUCT(MIN(approvals!$BB$2:$BB$251+(approvals!$A$2:$A$251&lt;&gt;$A47)*1000000))))</f>
        <v/>
      </c>
      <c r="CJ47" s="25">
        <f>IF($A47="","",COUNTIFS(approvals!$A$2:$A$251,$A47,approvals!$Q$2:$Q$251,"Y",approvals!$AL$2:$AL$251,"&lt;"&amp;config!$B$30))</f>
        <v/>
      </c>
      <c r="CK47" s="25">
        <f>IF($A47="","",SUMIFS(approvals!$AM$2:$AM$251,approvals!$A$2:$A$251,$A47))</f>
        <v/>
      </c>
      <c r="CL47" s="25">
        <f>IF($A47="","",SUMIFS(approvals!$AQ$2:$AQ$251,approvals!$A$2:$A$251,$A47))</f>
        <v/>
      </c>
      <c r="CM47" s="25">
        <f>IF($A47="","",SUMIFS(approvals!$AR$2:$AR$251,approvals!$A$2:$A$251,$A47))</f>
        <v/>
      </c>
      <c r="CN47" s="25">
        <f>IF($A47="","",SUMIFS(approvals!$AS$2:$AS$251,approvals!$A$2:$A$251,$A47))</f>
        <v/>
      </c>
      <c r="CO47" s="25">
        <f>IF($A47="","",SUMIFS(approvals!$AT$2:$AT$251,approvals!$A$2:$A$251,$A47))</f>
        <v/>
      </c>
      <c r="CP47" s="28">
        <f>IF($A47="","",IF(N($CO47)=0,"",ROUND(SUMIFS(approvals!$AU$2:$AU$251,approvals!$A$2:$A$251,$A47)/$CO47,1)))</f>
        <v/>
      </c>
      <c r="CQ47" s="25">
        <f>IF($A47="","",SUMIFS(approvals!$AV$2:$AV$251,approvals!$A$2:$A$251,$A47))</f>
        <v/>
      </c>
      <c r="CR47" s="25">
        <f>IF($A47="","",SUMIFS(approvals!$AW$2:$AW$251,approvals!$A$2:$A$251,$A47))</f>
        <v/>
      </c>
      <c r="CS47" s="25">
        <f>IF($A47="","",SUMIFS(approvals!$AX$2:$AX$251,approvals!$A$2:$A$251,$A47))</f>
        <v/>
      </c>
      <c r="CT47" s="25">
        <f>IF($A47="","",SUMIFS(approvals!$AY$2:$AY$251,approvals!$A$2:$A$251,$A47))</f>
        <v/>
      </c>
      <c r="CU47" s="25">
        <f>IF($A47="","",IF(OR($BG47="",$BC47&lt;&gt;""),"",IFERROR(COUNT(INDIRECT("'"&amp;$A47&amp;"'!$A$2:$A$501")),0)-IFERROR(COUNTIFS(INDIRECT("'"&amp;$A47&amp;"'!$A$2:$A$501"),"&gt;="&amp;$BG47,INDIRECT("'"&amp;$A47&amp;"'!$A$2:$A$501"),"&lt;"&amp;(IFERROR(IF(INDEX(drops!$R$2:$R$21,MATCH($B47,drops!$A$2:$A$21,0))="","",INDEX(drops!$R$2:$R$21,MATCH($B47,drops!$A$2:$A$21,0))),"")+1)),0)))</f>
        <v/>
      </c>
      <c r="CV47" s="25">
        <f>IF($A47="","",IF(OR($BG47="",$BC47&lt;&gt;""),"",IFERROR(COUNTIFS(INDIRECT("'"&amp;$A47&amp;"'!$A$2:$A$501"),"&gt;="&amp;$BG47,INDIRECT("'"&amp;$A47&amp;"'!$A$2:$A$501"),"&lt;"&amp;(IFERROR(IF(INDEX(drops!$R$2:$R$21,MATCH($B47,drops!$A$2:$A$21,0))="","",INDEX(drops!$R$2:$R$21,MATCH($B47,drops!$A$2:$A$21,0))),"")+1)),0)-N($CH47)))</f>
        <v/>
      </c>
      <c r="CW47" s="25">
        <f>IF($A47="","",SUMIFS(approvals!$AN$2:$AN$251,approvals!$A$2:$A$251,$A47))</f>
        <v/>
      </c>
      <c r="CX47" s="25">
        <f>IF($A47="","",SUMIFS(approvals!$AO$2:$AO$251,approvals!$A$2:$A$251,$A47))</f>
        <v/>
      </c>
      <c r="CY47" s="25">
        <f>IF($A47="","",IF($CZ47="","",SUMIFS(redemptions!$C$2:$C$121,redemptions!$A$2:$A$121,$A47,redemptions!$B$2:$B$121,$CZ47)))</f>
        <v/>
      </c>
      <c r="CZ47" s="26">
        <f>IF($A47="","",IFERROR(1/(1/SUMPRODUCT(MAX((redemptions!$A$2:$A$121=$A47)*redemptions!$B$2:$B$121))),""))</f>
        <v/>
      </c>
      <c r="DA47" s="25">
        <f>IF($A47="","",IF(COUNTIFS(redemptions!$A$2:$A$121,$A47,redemptions!$H$2:$H$121,"Y")=0,"",SUMIFS(redemptions!$C$2:$C$121,redemptions!$A$2:$A$121,$A47,redemptions!$B$2:$B$121,SUMPRODUCT(MIN((redemptions!$A$2:$A$121=$A47)*(redemptions!$H$2:$H$121="Y")*redemptions!$B$2:$B$121+((redemptions!$A$2:$A$121&lt;&gt;$A47)+(redemptions!$H$2:$H$121&lt;&gt;"Y")&gt;0)*1000000)))))</f>
        <v/>
      </c>
      <c r="DB47" s="27">
        <f>IF($A47="","",SUMIFS(invoices!$E$2:$E$151,invoices!$B$2:$B$151,$A47))</f>
        <v/>
      </c>
      <c r="DC47" s="27">
        <f>IF($A47="","",IF(COUNTIFS(invoices!$B$2:$B$151,$A47,invoices!$C$2:$C$151,"standard_deposit",invoices!$H$2:$H$151,"&gt;0")=0,"",SUMIFS(invoices!$I$2:$I$151,invoices!$B$2:$B$151,$A47,invoices!$C$2:$C$151,"standard_deposit")))</f>
        <v/>
      </c>
      <c r="DD47" s="26">
        <f>IF($A47="","",IFERROR(1/(1/SUMPRODUCT(MAX((invoices!$B$2:$B$151=$A47)*(invoices!$C$2:$C$151="standard_deposit")*invoices!$H$2:$H$151))),""))</f>
        <v/>
      </c>
      <c r="DE47" s="26">
        <f>IF($A47="","",IFERROR(1/(1/SUMPRODUCT(MAX((invoices!$B$2:$B$151=$A47)*((invoices!$C$2:$C$151="founding_full")+(invoices!$C$2:$C$151="standard_balance"))*invoices!$H$2:$H$151))),""))</f>
        <v/>
      </c>
      <c r="DF47" s="27">
        <f>IF($A47="","",SUMIFS(invoices!$L$2:$L$151,invoices!$B$2:$B$151,$A47))</f>
        <v/>
      </c>
      <c r="DG47" s="27">
        <f>IF($A47="","",SUMIFS(costs!$E$2:$E$301,costs!$C$2:$C$301,$A47))</f>
        <v/>
      </c>
      <c r="DH47" s="27">
        <f>IF($A47="","",ROUND(IF(SUMIFS(campaigns!$BO$2:$BO$51,campaigns!$B$2:$B$51,$B47)=0,0,$BO47/SUMIFS(campaigns!$BO$2:$BO$51,campaigns!$B$2:$B$51,$B47))*(SUMIFS(costs!$E$2:$E$301,costs!$B$2:$B$301,$B47)-SUMPRODUCT((costs!$B$2:$B$301=$B47)*(LEN(costs!$C$2:$C$301)&gt;0)*costs!$E$2:$E$301)),2))</f>
        <v/>
      </c>
      <c r="DI47" s="28">
        <f>IF($A47="","",SUMIFS(hours!$E$2:$E$1501,hours!$C$2:$C$1501,$A47))</f>
        <v/>
      </c>
      <c r="DJ47" s="28">
        <f>IF($A47="","",ROUND(IF(SUMIFS(campaigns!$BO$2:$BO$51,campaigns!$B$2:$B$51,$B47)=0,0,$BO47/SUMIFS(campaigns!$BO$2:$BO$51,campaigns!$B$2:$B$51,$B47))*(SUMIFS(hours!$E$2:$E$1501,hours!$B$2:$B$1501,$B47)-SUMPRODUCT((hours!$B$2:$B$1501=$B47)*(LEN(hours!$C$2:$C$1501)&gt;0)*hours!$E$2:$E$1501)),2))</f>
        <v/>
      </c>
      <c r="DK47" s="27">
        <f>IF($A47="","",$DB47-$DF47-$DG47-$DH47)</f>
        <v/>
      </c>
      <c r="DL47" s="27">
        <f>IF($A47="","",IF(N($DI47)+N($DJ47)=0,"",ROUND($DK47/($DI47+$DJ47),2)))</f>
        <v/>
      </c>
      <c r="DM47" s="29">
        <f>IF($A47="","",IF(N($BP47)=0,"",COUNTIFS(approvals!$A$2:$A$251,$A47,approvals!$Q$2:$Q$251,"Y",approvals!$AK$2:$AK$251,"Y")/$BP47))</f>
        <v/>
      </c>
      <c r="DN47" s="28">
        <f>IF($A47="","",IF(COUNTIFS(approvals!$A$2:$A$251,$A47,approvals!$AC$2:$AC$251,"&gt;=0")=0,"",ROUND(SUMIFS(approvals!$AC$2:$AC$251,approvals!$A$2:$A$251,$A47)/COUNTIFS(approvals!$A$2:$A$251,$A47,approvals!$AC$2:$AC$251,"&gt;=0"),1)))</f>
        <v/>
      </c>
      <c r="DO47" s="26">
        <f>IF($A47="","",IFERROR(IF(INDEX(drops!$T$2:$T$21,MATCH($B47,drops!$A$2:$A$21,0))="","",INDEX(drops!$T$2:$T$21,MATCH($B47,drops!$A$2:$A$21,0))),""))</f>
        <v/>
      </c>
      <c r="DP47" s="26">
        <f>IF($A47="","",IFERROR(IF(INDEX(drops!$U$2:$U$21,MATCH($B47,drops!$A$2:$A$21,0))="","",INDEX(drops!$U$2:$U$21,MATCH($B47,drops!$A$2:$A$21,0))),""))</f>
        <v/>
      </c>
      <c r="DQ47" s="26">
        <f>IF($A47="","",IFERROR(IF(INDEX(drops!$W$2:$W$21,MATCH($B47,drops!$A$2:$A$21,0))="","",INDEX(drops!$W$2:$W$21,MATCH($B47,drops!$A$2:$A$21,0))),""))</f>
        <v/>
      </c>
      <c r="DR47" s="25">
        <f>IF($A47="","",IF($CE47="","",IF($CE47&gt;=config!$B$31,"pass","miss")))</f>
        <v/>
      </c>
      <c r="DS47" s="25">
        <f>IF($A47="","",IF($CI47="","",IF($CI47&gt;=config!$B$30,"pass","miss")))</f>
        <v/>
      </c>
      <c r="DT47" s="25">
        <f>IF($A47="","",IF($AT47="",IF($DO47="","",IF(IF(config!$B$37&lt;&gt;"",config!$B$37,TODAY())&gt;$DO47,"late","due")),IF($AT47&lt;=$DO47,"pass","late")))</f>
        <v/>
      </c>
      <c r="DU47" s="25">
        <f>IF($A47="","",IF(COUNTIF(drops!$A$2:$A$21,$B47)=0,"drop_id not on drops; ",IF($BG47="","drop date missing or refused; ",""))&amp;IF(AND($G47&lt;&gt;"",$G47&lt;&gt;$BI47),"price differs from the price list; ","")&amp;IF(AND(LEFT($BW47,4)="HOLD",$BL47&lt;&gt;"",IF(config!$B$37&lt;&gt;"",config!$B$37,TODAY())&gt;=WORKDAY(N($BL47),-3,calendar!$A$2:$A$80)),"SHIP HOLD within 3 business days of T-10; ","")&amp;IF(AND($BQ47&gt;0,$BL47&lt;&gt;"",IF(config!$B$37&lt;&gt;"",config!$B$37,TODAY())&gt;$BL47),"approvals still pending after T-10; ","")&amp;IF($BZ47&lt;0,"reserve below zero: check inventory; ","")&amp;IF(AND($BG47&lt;&gt;"",IF(config!$B$37&lt;&gt;"",config!$B$37,TODAY())&gt;WORKDAY(N($BG47),14,calendar!$A$2:$A$80),N($BZ47)+N($CA47)&lt;&gt;0),"units still on hand after T+14; ","")&amp;IF(N($CV47)&gt;0,"info: "&amp;$CV47&amp;" in-window responses with a card code that matches no office (not counted); ","")&amp;IF(AND($Z47="Y",$AK47=""),"newsletter form URL missing; ","")&amp;IF(AND($Z47="Y",$BG47&lt;&gt;"",IF(config!$B$37&lt;&gt;"",config!$B$37,TODAY())&gt;WORKDAY(N($BG47),5,calendar!$A$2:$A$80),$AY47=""),"newsletter list not yet passed on (due T+5); ","")&amp;IF(AND($AY47&lt;&gt;"",$BA47=""),"delete unticked emails; ","")&amp;IF(AND($AY47&lt;&gt;"",$BB47="",IF(config!$B$37&lt;&gt;"",config!$B$37,TODAY())&gt;$AY47+config!$B$32),"DELETE the consented emails (30 days after passing on); ","")&amp;IF(AND($BG47&lt;&gt;"",$AJ47="",IF(config!$B$37&lt;&gt;"",config!$B$37,TODAY())&gt;=WORKDAY(N($BG47),-4,calendar!$A$2:$A$80)),"survey prefill template missing (due T-4); ","")&amp;IF(AND($AJ47&lt;&gt;"",ISERROR(SEARCH("CARDCODE",$AJ47))),"prefill template has no CARDCODE; ","")&amp;IF(AND($AF47="",$BG47&lt;&gt;"",IF(config!$B$37&lt;&gt;"",config!$B$37,TODAY())&gt;=WORKDAY(N($BG47),-3,calendar!$A$2:$A$80)),"card text not yet sent to the brand; ","")&amp;IF(AND($DA47="",$DQ47&lt;&gt;"",IF(config!$B$37&lt;&gt;"",config!$B$37,TODAY())&gt;$DQ47),"day-30 redemption count due; ","")&amp;IF(AND(LEFT($BW47,8)="RELEASED",$AG47=""),"ship-date email due (template 02): send it, then log ship_email_sent_date and ship_email_units; ","")&amp;IF(AND($AH47&lt;&gt;"",N($BT47)&gt;0,N($BX47)=0,N($AH47)&lt;&gt;N($BT47)),"units changed since the ship-date email of "&amp;IF($AG47="","?",TEXT($AG47,"yyyy-mm-dd"))&amp;" ("&amp;$AH47&amp;", now "&amp;$BT47&amp;"): send the brand the revised numbers (template 02) and log them; ","")&amp;IF($DT47="late","report late; ","")&amp;IF(AND(N($F47)&gt;0,$BO47&lt;N($F47),$BQ47=0),"info: "&amp;(N($F47)-$BO47)&amp;" office(s) short of the contract: add a roster office or credit $"&amp;IF($D47="founding",config!$B$25,config!$B$24)&amp;" each; ","")&amp;IF($BC47&lt;&gt;"",IF(COUNTIF(survey_frozen!$A$2:$A$251,$A47)=0,"answers deleted but no frozen totals: the survey numbers now read 0 (tools/freeze_survey.py, SOP answers_delete); ",""),IF(AND($BG47&lt;&gt;"",IF(config!$B$37&lt;&gt;"",config!$B$37,TODAY())&gt;=$BG47,ISREF(INDIRECT("'"&amp;$A47&amp;"'!B1"))),IF(INDIRECT("'"&amp;$A47&amp;"'!B1")&lt;&gt;"Card code (filled in for you)","survey tab column B is not the card code: fix the form or the tab; ",""),IF(AND($BG47&lt;&gt;"",IF(config!$B$37&lt;&gt;"",config!$B$37,TODAY())&gt;=$BG47),"no survey tab named "&amp;$A47&amp;"; ","")))&amp;IF(COUNTIF(brands!$A$2:$A$41,$C47)=0,"brand_id not on brands; ",IF(LEFT(IFERROR(IF(INDEX(brands!$AG$2:$AG$41,MATCH($C47,brands!$A$2:$A$41,0))="","",INDEX(brands!$AG$2:$AG$41,MATCH($C47,brands!$A$2:$A$41,0))),""),1)&lt;&gt;"Y","brand not qualified ("&amp;IFERROR(IF(INDEX(brands!$AG$2:$AG$41,MATCH($C47,brands!$A$2:$A$41,0))="","",INDEX(brands!$AG$2:$AG$41,MATCH($C47,brands!$A$2:$A$41,0))),"")&amp;"): nothing ships until it is; ",""))&amp;IF(AND(COUNTIF(brands!$A$2:$A$41,$C47)&gt;0,OR(IFERROR(IF(INDEX(brands!$C$2:$C$41,MATCH($C47,brands!$A$2:$A$41,0))="","",INDEX(brands!$C$2:$C$41,MATCH($C47,brands!$A$2:$A$41,0))),"")="",IFERROR(IF(INDEX(brands!$D$2:$D$41,MATCH($C47,brands!$A$2:$A$41,0))="","",INDEX(brands!$D$2:$D$41,MATCH($C47,brands!$A$2:$A$41,0))),"")="",IFERROR(IF(INDEX(brands!$E$2:$E$41,MATCH($C47,brands!$A$2:$A$41,0))="","",INDEX(brands!$E$2:$E$41,MATCH($C47,brands!$A$2:$A$41,0))),"")="")),"brand billing details missing on brands (legal name, address, email): needed for the invoice; ","")&amp;IF(AND($D47="founding",$E47&lt;&gt;"Y",N(IFERROR(IF(INDEX(brands!$AI$2:$AI$41,MATCH($C47,brands!$A$2:$A$41,0))="","",INDEX(brands!$AI$2:$AI$41,MATCH($C47,brands!$A$2:$A$41,0))),""))&gt;3),"the founding tier is for the first three brands only (this is brand "&amp;IFERROR(IF(INDEX(brands!$AI$2:$AI$41,MATCH($C47,brands!$A$2:$A$41,0))="","",INDEX(brands!$AI$2:$AI$41,MATCH($C47,brands!$A$2:$A$41,0))),"")&amp;"): use standard; ","")&amp;IF(AND($D47="founding",$E47&lt;&gt;"Y",COUNTIFS(campaigns!$C$2:$C$51,$C47,campaigns!$D$2:$D$51,"founding",campaigns!$E$2:$E$51,"&lt;&gt;Y")&gt;1),"a brand has the founding price once; its next two campaigns are founding_lock = Y; ","")&amp;IF(AND($E47="Y",COUNTIFS(campaigns!$C$2:$C$51,$C47,campaigns!$D$2:$D$51,"founding",campaigns!$E$2:$E$51,"Y")&gt;2),"founding_lock is for the brand's next two campaigns only (this is a third): use standard; ","")&amp;IF(AND($E47="Y",COUNTIFS(campaigns!$C$2:$C$51,$C47,campaigns!$D$2:$D$51,"founding",campaigns!$E$2:$E$51,"&lt;&gt;Y")=0),"founding_lock without a first founding campaign for this brand; ","")&amp;IF(AND(N($BX47)&gt;0,$BG47&lt;&gt;"",IF(config!$B$37&lt;&gt;"",config!$B$37,TODAY())&gt;=WORKDAY(N($BG47),-5,calendar!$A$2:$A$80)),IF(N($BX47)-N($BY47)&lt;N($BR47),"received "&amp;(N($BX47)-N($BY47))&amp;" usable units for "&amp;$BR47&amp;" allocated: reduce units_override evenly (SOP section 4, short shipment); ","")&amp;IF(AND(N($BX47)&lt;N($BT47),COUNTIFS(issues!$E$2:$E$121,$A47,issues!$G$2:$G$121,"short_shipment")=0),"received "&amp;$BX47&amp;" of "&amp;$BT47&amp;" due: log a short_shipment issue and tell the brand today; ",""),"")&amp;IF(AND($BG47&lt;&gt;"",IF(config!$B$37&lt;&gt;"",config!$B$37,TODAY())&gt;=WORKDAY(N($BG47),1,calendar!$A$2:$A$80),N($F47)&gt;0,(-SUMIFS(invoices!$E$2:$E$151,invoices!$B$2:$B$151,$A47,invoices!$C$2:$C$151,"credit_note"))&lt;(IF($D47="founding",config!$B$25,config!$B$24)*MAX(0,N($F47)-COUNTIFS(approvals!$A$2:$A$251,$A47,approvals!$Q$2:$Q$251,"Y",approvals!$AB$2:$AB$251,"Y")))-0.005),"credit due from T+1: "&amp;MAX(0,N($F47)-COUNTIFS(approvals!$A$2:$A$251,$A47,approvals!$Q$2:$Q$251,"Y",approvals!$AB$2:$AB$251,"Y"))&amp;" of "&amp;$F47&amp;" contracted offices not placed by T+1, $"&amp;(IF($D47="founding",config!$B$25,config!$B$24)*MAX(0,N($F47)-COUNTIFS(approvals!$A$2:$A$251,$A47,approvals!$Q$2:$Q$251,"Y",approvals!$AB$2:$AB$251,"Y")))&amp;" due, $"&amp;(-SUMIFS(invoices!$E$2:$E$151,invoices!$B$2:$B$151,$A47,invoices!$C$2:$C$151,"credit_note"))&amp;" in credit notes so far (template 06, make_invoice.py); ","")&amp;IF(AND(IFERROR(IF(INDEX(brands!$H$2:$H$41,MATCH($C47,brands!$A$2:$A$41,0))="","",INDEX(brands!$H$2:$H$41,MATCH($C47,brands!$A$2:$A$41,0))),"")&lt;&gt;"",$BG47&lt;&gt;"",IFERROR(IF(INDEX(brands!$H$2:$H$41,MATCH($C47,brands!$A$2:$A$41,0))="","",INDEX(brands!$H$2:$H$41,MATCH($C47,brands!$A$2:$A$41,0))),"")&lt;EDATE(WORKDAY(N($BG47),4,calendar!$A$2:$A$80),12)),"info: brand insurance ends "&amp;TEXT(IFERROR(IF(INDEX(brands!$H$2:$H$41,MATCH($C47,brands!$A$2:$A$41,0))="","",INDEX(brands!$H$2:$H$41,MATCH($C47,brands!$A$2:$A$41,0))),""),"yyyy-mm-dd")&amp;": diary the renewal certificate; ",""))</f>
        <v/>
      </c>
    </row>
    <row r="48">
      <c r="G48" s="10" t="n"/>
      <c r="H48" s="9" t="n"/>
      <c r="AB48" s="9" t="n"/>
      <c r="AC48" s="9" t="n"/>
      <c r="AD48" s="9" t="n"/>
      <c r="AF48" s="9" t="n"/>
      <c r="AG48" s="9" t="n"/>
      <c r="AT48" s="9" t="n"/>
      <c r="AU48" s="9" t="n"/>
      <c r="AY48" s="9" t="n"/>
      <c r="BA48" s="9" t="n"/>
      <c r="BB48" s="9" t="n"/>
      <c r="BC48" s="9" t="n"/>
      <c r="BE48" s="25">
        <f>IF($A48="","",IFERROR(IF(INDEX(brands!$K$2:$K$41,MATCH($C48,brands!$A$2:$A$41,0))="","",INDEX(brands!$K$2:$K$41,MATCH($C48,brands!$A$2:$A$41,0))),""))</f>
        <v/>
      </c>
      <c r="BF48" s="25">
        <f>IF($A48="","",IFERROR(IF(INDEX(brands!$M$2:$M$41,MATCH($C48,brands!$A$2:$A$41,0))="","",INDEX(brands!$M$2:$M$41,MATCH($C48,brands!$A$2:$A$41,0))),""))</f>
        <v/>
      </c>
      <c r="BG48" s="26">
        <f>IF($A48="","",IF(IFERROR(IF(INDEX(drops!$I$2:$I$21,MATCH($B48,drops!$A$2:$A$21,0))="","",INDEX(drops!$I$2:$I$21,MATCH($B48,drops!$A$2:$A$21,0))),"")="OK",IFERROR(IF(INDEX(drops!$B$2:$B$21,MATCH($B48,drops!$A$2:$A$21,0))="","",INDEX(drops!$B$2:$B$21,MATCH($B48,drops!$A$2:$A$21,0))),""),""))</f>
        <v/>
      </c>
      <c r="BH48" s="25">
        <f>IF($A48="","",IFERROR(IF(INDEX(drops!$C$2:$C$21,MATCH($B48,drops!$A$2:$A$21,0))="","",INDEX(drops!$C$2:$C$21,MATCH($B48,drops!$A$2:$A$21,0))),""))</f>
        <v/>
      </c>
      <c r="BI48" s="27">
        <f>IF($A48="","",IF($F48="","",IF($D48="founding",IF($E48="Y",config!$B$25*MIN($F48,config!$B$26)+config!$B$24*MAX(0,$F48-config!$B$26),config!$B$20+config!$B$24*MAX(0,$F48-config!$B$21)),IF($D48="standard",config!$B$22+config!$B$24*MAX(0,$F48-config!$B$23),""))))</f>
        <v/>
      </c>
      <c r="BJ48" s="27">
        <f>IF($A48="","",IF($G48&lt;&gt;"",$G48,$BI48))</f>
        <v/>
      </c>
      <c r="BK48" s="25">
        <f>IF($A48="","",IF($D48="founding","100% within "&amp;config!$B$27&amp;" business days of the invoice, before shipping",IF($D48="standard","50% on signing; 50% at placement confirmation (T+1)","")))</f>
        <v/>
      </c>
      <c r="BL48" s="26">
        <f>IF($A48="","",IFERROR(IF(INDEX(drops!$K$2:$K$21,MATCH($B48,drops!$A$2:$A$21,0))="","",INDEX(drops!$K$2:$K$21,MATCH($B48,drops!$A$2:$A$21,0))),""))</f>
        <v/>
      </c>
      <c r="BM48" s="26">
        <f>IF($A48="","",IFERROR(IF(INDEX(drops!$L$2:$L$21,MATCH($B48,drops!$A$2:$A$21,0))="","",INDEX(drops!$L$2:$L$21,MATCH($B48,drops!$A$2:$A$21,0))),""))</f>
        <v/>
      </c>
      <c r="BN48" s="25">
        <f>IF($A48="","",COUNTIF(approvals!$A$2:$A$251,$A48))</f>
        <v/>
      </c>
      <c r="BO48" s="25">
        <f>IF($A48="","",COUNTIFS(approvals!$A$2:$A$251,$A48,approvals!$P$2:$P$251,"Y"))</f>
        <v/>
      </c>
      <c r="BP48" s="25">
        <f>IF($A48="","",COUNTIFS(approvals!$A$2:$A$251,$A48,approvals!$Q$2:$Q$251,"Y"))</f>
        <v/>
      </c>
      <c r="BQ48" s="25">
        <f>IF($A48="","",COUNTIFS(approvals!$A$2:$A$251,$A48,approvals!$P$2:$P$251,"pending"))</f>
        <v/>
      </c>
      <c r="BR48" s="25">
        <f>IF($A48="","",SUMIFS(approvals!$S$2:$S$251,approvals!$A$2:$A$251,$A48,approvals!$P$2:$P$251,"Y"))</f>
        <v/>
      </c>
      <c r="BS48" s="25">
        <f>IF($A48="","",ROUNDUP($BR48*config!$B$18,0))</f>
        <v/>
      </c>
      <c r="BT48" s="25">
        <f>IF($A48="","",$BR48+$BS48)</f>
        <v/>
      </c>
      <c r="BU48" s="27">
        <f>IF($A48="","",SUMIFS(invoices!$I$2:$I$151,invoices!$B$2:$B$151,$A48,invoices!$R$2:$R$151,"Y",invoices!$H$2:$H$151,"&gt;0"))</f>
        <v/>
      </c>
      <c r="BV48" s="27">
        <f>IF($A48="","",IF($BJ48="","",IF($D48="founding",$BJ48,ROUND($BJ48*config!$B$28,2))))</f>
        <v/>
      </c>
      <c r="BW48" s="25">
        <f>IF($A48="","",IF(AND(N($BU48)&gt;=N($BV48),N($BV48)&gt;0,$H48&lt;&gt;"",AND($AB48&lt;&gt;"",IFERROR(IF(INDEX(brands!$G$2:$G$41,MATCH($C48,brands!$A$2:$A$41,0))="","",INDEX(brands!$G$2:$G$41,MATCH($C48,brands!$A$2:$A$41,0))),"")="Y"),LEFT(IFERROR(IF(INDEX(brands!$AG$2:$AG$41,MATCH($C48,brands!$A$2:$A$41,0))="","",INDEX(brands!$AG$2:$AG$41,MATCH($C48,brands!$A$2:$A$41,0))),""),1)="Y",$BG48&lt;&gt;"",$BQ48=0,$BO48&gt;0),"RELEASED "&amp;TEXT(MAX(IFERROR(1/(1/SUMPRODUCT(MAX((invoices!$B$2:$B$151=$A48)*(invoices!$R$2:$R$151="Y")*(invoices!$H$2:$H$151)))),""),$H48,$AB48,SUMPRODUCT(MAX((approvals!$A$2:$A$251=$A48)*(approvals!$P$2:$P$251="Y")*(approvals!$E$2:$E$251+(approvals!$E$2:$E$251=0)*approvals!$C$2:$C$251)))),"yyyy-mm-dd")&amp;": ship by "&amp;TEXT($BM48,"ddd yyyy-mm-dd")&amp;" (latest "&amp;TEXT($BL48,"ddd yyyy-mm-dd")&amp;")","HOLD: "&amp;IF(N($BU48)&lt;N($BV48),"payment ("&amp;TEXT(N($BU48),"0")&amp;" of "&amp;TEXT(N($BV48),"0")&amp;") ","")&amp;IF($H48="","agreement ","")&amp;IF(NOT(AND($AB48&lt;&gt;"",IFERROR(IF(INDEX(brands!$G$2:$G$41,MATCH($C48,brands!$A$2:$A$41,0))="","",INDEX(brands!$G$2:$G$41,MATCH($C48,brands!$A$2:$A$41,0))),"")="Y")),"certificate ","")&amp;IF(NOT(LEFT(IFERROR(IF(INDEX(brands!$AG$2:$AG$41,MATCH($C48,brands!$A$2:$A$41,0))="","",INDEX(brands!$AG$2:$AG$41,MATCH($C48,brands!$A$2:$A$41,0))),""),1)="Y"),"qualification ","")&amp;IF($BG48="","drop date ","")&amp;IF($BQ48&gt;0,"approvals ("&amp;$BQ48&amp;" pending) ","")&amp;IF($BO48=0,"no office approved ","")))</f>
        <v/>
      </c>
      <c r="BX48" s="25">
        <f>IF($A48="","",SUMIFS(inventory!$G$2:$G$801,inventory!$C$2:$C$801,$A48,inventory!$E$2:$E$801,"received"))</f>
        <v/>
      </c>
      <c r="BY48" s="25">
        <f>IF($A48="","",SUMIFS(inventory!$G$2:$G$801,inventory!$C$2:$C$801,$A48,inventory!$E$2:$E$801,"rejected"))</f>
        <v/>
      </c>
      <c r="BZ48" s="25">
        <f>IF($A48="","",SUMIFS(inventory!$M$2:$M$801,inventory!$C$2:$C$801,$A48))</f>
        <v/>
      </c>
      <c r="CA48" s="25">
        <f>IF($A48="","",SUMIFS(inventory!$O$2:$O$801,inventory!$C$2:$C$801,$A48))</f>
        <v/>
      </c>
      <c r="CB48" s="25">
        <f>IF($A48="","",SUMIFS(approvals!$U$2:$U$251,approvals!$A$2:$A$251,$A48))</f>
        <v/>
      </c>
      <c r="CC48" s="25">
        <f>IF($A48="","",SUMIFS(approvals!$AA$2:$AA$251,approvals!$A$2:$A$251,$A48))</f>
        <v/>
      </c>
      <c r="CD48" s="25">
        <f>IF($A48="","",SUMIFS(approvals!$AA$2:$AA$251,approvals!$A$2:$A$251,$A48,approvals!$AB$2:$AB$251,"Y"))</f>
        <v/>
      </c>
      <c r="CE48" s="29">
        <f>IF($A48="","",IF(N($CB48)=0,"",$CD48/$CB48))</f>
        <v/>
      </c>
      <c r="CF48" s="25">
        <f>IF($A48="","",SUMIFS(approvals!$AD$2:$AD$251,approvals!$A$2:$A$251,$A48))</f>
        <v/>
      </c>
      <c r="CG48" s="25">
        <f>IF($A48="","",IF(COUNTIFS(approvals!$A$2:$A$251,$A48,approvals!$Q$2:$Q$251,"Y",approvals!$AG$2:$AG$251,"")&gt;0,"",SUMIFS(approvals!$AG$2:$AG$251,approvals!$A$2:$A$251,$A48,approvals!$Q$2:$Q$251,"Y")))</f>
        <v/>
      </c>
      <c r="CH48" s="25">
        <f>IF($A48="","",SUMIFS(approvals!$AL$2:$AL$251,approvals!$A$2:$A$251,$A48))</f>
        <v/>
      </c>
      <c r="CI48" s="25">
        <f>IF($A48="","",IF(N($BP48)=0,"",SUMPRODUCT(MIN(approvals!$BB$2:$BB$251+(approvals!$A$2:$A$251&lt;&gt;$A48)*1000000))))</f>
        <v/>
      </c>
      <c r="CJ48" s="25">
        <f>IF($A48="","",COUNTIFS(approvals!$A$2:$A$251,$A48,approvals!$Q$2:$Q$251,"Y",approvals!$AL$2:$AL$251,"&lt;"&amp;config!$B$30))</f>
        <v/>
      </c>
      <c r="CK48" s="25">
        <f>IF($A48="","",SUMIFS(approvals!$AM$2:$AM$251,approvals!$A$2:$A$251,$A48))</f>
        <v/>
      </c>
      <c r="CL48" s="25">
        <f>IF($A48="","",SUMIFS(approvals!$AQ$2:$AQ$251,approvals!$A$2:$A$251,$A48))</f>
        <v/>
      </c>
      <c r="CM48" s="25">
        <f>IF($A48="","",SUMIFS(approvals!$AR$2:$AR$251,approvals!$A$2:$A$251,$A48))</f>
        <v/>
      </c>
      <c r="CN48" s="25">
        <f>IF($A48="","",SUMIFS(approvals!$AS$2:$AS$251,approvals!$A$2:$A$251,$A48))</f>
        <v/>
      </c>
      <c r="CO48" s="25">
        <f>IF($A48="","",SUMIFS(approvals!$AT$2:$AT$251,approvals!$A$2:$A$251,$A48))</f>
        <v/>
      </c>
      <c r="CP48" s="28">
        <f>IF($A48="","",IF(N($CO48)=0,"",ROUND(SUMIFS(approvals!$AU$2:$AU$251,approvals!$A$2:$A$251,$A48)/$CO48,1)))</f>
        <v/>
      </c>
      <c r="CQ48" s="25">
        <f>IF($A48="","",SUMIFS(approvals!$AV$2:$AV$251,approvals!$A$2:$A$251,$A48))</f>
        <v/>
      </c>
      <c r="CR48" s="25">
        <f>IF($A48="","",SUMIFS(approvals!$AW$2:$AW$251,approvals!$A$2:$A$251,$A48))</f>
        <v/>
      </c>
      <c r="CS48" s="25">
        <f>IF($A48="","",SUMIFS(approvals!$AX$2:$AX$251,approvals!$A$2:$A$251,$A48))</f>
        <v/>
      </c>
      <c r="CT48" s="25">
        <f>IF($A48="","",SUMIFS(approvals!$AY$2:$AY$251,approvals!$A$2:$A$251,$A48))</f>
        <v/>
      </c>
      <c r="CU48" s="25">
        <f>IF($A48="","",IF(OR($BG48="",$BC48&lt;&gt;""),"",IFERROR(COUNT(INDIRECT("'"&amp;$A48&amp;"'!$A$2:$A$501")),0)-IFERROR(COUNTIFS(INDIRECT("'"&amp;$A48&amp;"'!$A$2:$A$501"),"&gt;="&amp;$BG48,INDIRECT("'"&amp;$A48&amp;"'!$A$2:$A$501"),"&lt;"&amp;(IFERROR(IF(INDEX(drops!$R$2:$R$21,MATCH($B48,drops!$A$2:$A$21,0))="","",INDEX(drops!$R$2:$R$21,MATCH($B48,drops!$A$2:$A$21,0))),"")+1)),0)))</f>
        <v/>
      </c>
      <c r="CV48" s="25">
        <f>IF($A48="","",IF(OR($BG48="",$BC48&lt;&gt;""),"",IFERROR(COUNTIFS(INDIRECT("'"&amp;$A48&amp;"'!$A$2:$A$501"),"&gt;="&amp;$BG48,INDIRECT("'"&amp;$A48&amp;"'!$A$2:$A$501"),"&lt;"&amp;(IFERROR(IF(INDEX(drops!$R$2:$R$21,MATCH($B48,drops!$A$2:$A$21,0))="","",INDEX(drops!$R$2:$R$21,MATCH($B48,drops!$A$2:$A$21,0))),"")+1)),0)-N($CH48)))</f>
        <v/>
      </c>
      <c r="CW48" s="25">
        <f>IF($A48="","",SUMIFS(approvals!$AN$2:$AN$251,approvals!$A$2:$A$251,$A48))</f>
        <v/>
      </c>
      <c r="CX48" s="25">
        <f>IF($A48="","",SUMIFS(approvals!$AO$2:$AO$251,approvals!$A$2:$A$251,$A48))</f>
        <v/>
      </c>
      <c r="CY48" s="25">
        <f>IF($A48="","",IF($CZ48="","",SUMIFS(redemptions!$C$2:$C$121,redemptions!$A$2:$A$121,$A48,redemptions!$B$2:$B$121,$CZ48)))</f>
        <v/>
      </c>
      <c r="CZ48" s="26">
        <f>IF($A48="","",IFERROR(1/(1/SUMPRODUCT(MAX((redemptions!$A$2:$A$121=$A48)*redemptions!$B$2:$B$121))),""))</f>
        <v/>
      </c>
      <c r="DA48" s="25">
        <f>IF($A48="","",IF(COUNTIFS(redemptions!$A$2:$A$121,$A48,redemptions!$H$2:$H$121,"Y")=0,"",SUMIFS(redemptions!$C$2:$C$121,redemptions!$A$2:$A$121,$A48,redemptions!$B$2:$B$121,SUMPRODUCT(MIN((redemptions!$A$2:$A$121=$A48)*(redemptions!$H$2:$H$121="Y")*redemptions!$B$2:$B$121+((redemptions!$A$2:$A$121&lt;&gt;$A48)+(redemptions!$H$2:$H$121&lt;&gt;"Y")&gt;0)*1000000)))))</f>
        <v/>
      </c>
      <c r="DB48" s="27">
        <f>IF($A48="","",SUMIFS(invoices!$E$2:$E$151,invoices!$B$2:$B$151,$A48))</f>
        <v/>
      </c>
      <c r="DC48" s="27">
        <f>IF($A48="","",IF(COUNTIFS(invoices!$B$2:$B$151,$A48,invoices!$C$2:$C$151,"standard_deposit",invoices!$H$2:$H$151,"&gt;0")=0,"",SUMIFS(invoices!$I$2:$I$151,invoices!$B$2:$B$151,$A48,invoices!$C$2:$C$151,"standard_deposit")))</f>
        <v/>
      </c>
      <c r="DD48" s="26">
        <f>IF($A48="","",IFERROR(1/(1/SUMPRODUCT(MAX((invoices!$B$2:$B$151=$A48)*(invoices!$C$2:$C$151="standard_deposit")*invoices!$H$2:$H$151))),""))</f>
        <v/>
      </c>
      <c r="DE48" s="26">
        <f>IF($A48="","",IFERROR(1/(1/SUMPRODUCT(MAX((invoices!$B$2:$B$151=$A48)*((invoices!$C$2:$C$151="founding_full")+(invoices!$C$2:$C$151="standard_balance"))*invoices!$H$2:$H$151))),""))</f>
        <v/>
      </c>
      <c r="DF48" s="27">
        <f>IF($A48="","",SUMIFS(invoices!$L$2:$L$151,invoices!$B$2:$B$151,$A48))</f>
        <v/>
      </c>
      <c r="DG48" s="27">
        <f>IF($A48="","",SUMIFS(costs!$E$2:$E$301,costs!$C$2:$C$301,$A48))</f>
        <v/>
      </c>
      <c r="DH48" s="27">
        <f>IF($A48="","",ROUND(IF(SUMIFS(campaigns!$BO$2:$BO$51,campaigns!$B$2:$B$51,$B48)=0,0,$BO48/SUMIFS(campaigns!$BO$2:$BO$51,campaigns!$B$2:$B$51,$B48))*(SUMIFS(costs!$E$2:$E$301,costs!$B$2:$B$301,$B48)-SUMPRODUCT((costs!$B$2:$B$301=$B48)*(LEN(costs!$C$2:$C$301)&gt;0)*costs!$E$2:$E$301)),2))</f>
        <v/>
      </c>
      <c r="DI48" s="28">
        <f>IF($A48="","",SUMIFS(hours!$E$2:$E$1501,hours!$C$2:$C$1501,$A48))</f>
        <v/>
      </c>
      <c r="DJ48" s="28">
        <f>IF($A48="","",ROUND(IF(SUMIFS(campaigns!$BO$2:$BO$51,campaigns!$B$2:$B$51,$B48)=0,0,$BO48/SUMIFS(campaigns!$BO$2:$BO$51,campaigns!$B$2:$B$51,$B48))*(SUMIFS(hours!$E$2:$E$1501,hours!$B$2:$B$1501,$B48)-SUMPRODUCT((hours!$B$2:$B$1501=$B48)*(LEN(hours!$C$2:$C$1501)&gt;0)*hours!$E$2:$E$1501)),2))</f>
        <v/>
      </c>
      <c r="DK48" s="27">
        <f>IF($A48="","",$DB48-$DF48-$DG48-$DH48)</f>
        <v/>
      </c>
      <c r="DL48" s="27">
        <f>IF($A48="","",IF(N($DI48)+N($DJ48)=0,"",ROUND($DK48/($DI48+$DJ48),2)))</f>
        <v/>
      </c>
      <c r="DM48" s="29">
        <f>IF($A48="","",IF(N($BP48)=0,"",COUNTIFS(approvals!$A$2:$A$251,$A48,approvals!$Q$2:$Q$251,"Y",approvals!$AK$2:$AK$251,"Y")/$BP48))</f>
        <v/>
      </c>
      <c r="DN48" s="28">
        <f>IF($A48="","",IF(COUNTIFS(approvals!$A$2:$A$251,$A48,approvals!$AC$2:$AC$251,"&gt;=0")=0,"",ROUND(SUMIFS(approvals!$AC$2:$AC$251,approvals!$A$2:$A$251,$A48)/COUNTIFS(approvals!$A$2:$A$251,$A48,approvals!$AC$2:$AC$251,"&gt;=0"),1)))</f>
        <v/>
      </c>
      <c r="DO48" s="26">
        <f>IF($A48="","",IFERROR(IF(INDEX(drops!$T$2:$T$21,MATCH($B48,drops!$A$2:$A$21,0))="","",INDEX(drops!$T$2:$T$21,MATCH($B48,drops!$A$2:$A$21,0))),""))</f>
        <v/>
      </c>
      <c r="DP48" s="26">
        <f>IF($A48="","",IFERROR(IF(INDEX(drops!$U$2:$U$21,MATCH($B48,drops!$A$2:$A$21,0))="","",INDEX(drops!$U$2:$U$21,MATCH($B48,drops!$A$2:$A$21,0))),""))</f>
        <v/>
      </c>
      <c r="DQ48" s="26">
        <f>IF($A48="","",IFERROR(IF(INDEX(drops!$W$2:$W$21,MATCH($B48,drops!$A$2:$A$21,0))="","",INDEX(drops!$W$2:$W$21,MATCH($B48,drops!$A$2:$A$21,0))),""))</f>
        <v/>
      </c>
      <c r="DR48" s="25">
        <f>IF($A48="","",IF($CE48="","",IF($CE48&gt;=config!$B$31,"pass","miss")))</f>
        <v/>
      </c>
      <c r="DS48" s="25">
        <f>IF($A48="","",IF($CI48="","",IF($CI48&gt;=config!$B$30,"pass","miss")))</f>
        <v/>
      </c>
      <c r="DT48" s="25">
        <f>IF($A48="","",IF($AT48="",IF($DO48="","",IF(IF(config!$B$37&lt;&gt;"",config!$B$37,TODAY())&gt;$DO48,"late","due")),IF($AT48&lt;=$DO48,"pass","late")))</f>
        <v/>
      </c>
      <c r="DU48" s="25">
        <f>IF($A48="","",IF(COUNTIF(drops!$A$2:$A$21,$B48)=0,"drop_id not on drops; ",IF($BG48="","drop date missing or refused; ",""))&amp;IF(AND($G48&lt;&gt;"",$G48&lt;&gt;$BI48),"price differs from the price list; ","")&amp;IF(AND(LEFT($BW48,4)="HOLD",$BL48&lt;&gt;"",IF(config!$B$37&lt;&gt;"",config!$B$37,TODAY())&gt;=WORKDAY(N($BL48),-3,calendar!$A$2:$A$80)),"SHIP HOLD within 3 business days of T-10; ","")&amp;IF(AND($BQ48&gt;0,$BL48&lt;&gt;"",IF(config!$B$37&lt;&gt;"",config!$B$37,TODAY())&gt;$BL48),"approvals still pending after T-10; ","")&amp;IF($BZ48&lt;0,"reserve below zero: check inventory; ","")&amp;IF(AND($BG48&lt;&gt;"",IF(config!$B$37&lt;&gt;"",config!$B$37,TODAY())&gt;WORKDAY(N($BG48),14,calendar!$A$2:$A$80),N($BZ48)+N($CA48)&lt;&gt;0),"units still on hand after T+14; ","")&amp;IF(N($CV48)&gt;0,"info: "&amp;$CV48&amp;" in-window responses with a card code that matches no office (not counted); ","")&amp;IF(AND($Z48="Y",$AK48=""),"newsletter form URL missing; ","")&amp;IF(AND($Z48="Y",$BG48&lt;&gt;"",IF(config!$B$37&lt;&gt;"",config!$B$37,TODAY())&gt;WORKDAY(N($BG48),5,calendar!$A$2:$A$80),$AY48=""),"newsletter list not yet passed on (due T+5); ","")&amp;IF(AND($AY48&lt;&gt;"",$BA48=""),"delete unticked emails; ","")&amp;IF(AND($AY48&lt;&gt;"",$BB48="",IF(config!$B$37&lt;&gt;"",config!$B$37,TODAY())&gt;$AY48+config!$B$32),"DELETE the consented emails (30 days after passing on); ","")&amp;IF(AND($BG48&lt;&gt;"",$AJ48="",IF(config!$B$37&lt;&gt;"",config!$B$37,TODAY())&gt;=WORKDAY(N($BG48),-4,calendar!$A$2:$A$80)),"survey prefill template missing (due T-4); ","")&amp;IF(AND($AJ48&lt;&gt;"",ISERROR(SEARCH("CARDCODE",$AJ48))),"prefill template has no CARDCODE; ","")&amp;IF(AND($AF48="",$BG48&lt;&gt;"",IF(config!$B$37&lt;&gt;"",config!$B$37,TODAY())&gt;=WORKDAY(N($BG48),-3,calendar!$A$2:$A$80)),"card text not yet sent to the brand; ","")&amp;IF(AND($DA48="",$DQ48&lt;&gt;"",IF(config!$B$37&lt;&gt;"",config!$B$37,TODAY())&gt;$DQ48),"day-30 redemption count due; ","")&amp;IF(AND(LEFT($BW48,8)="RELEASED",$AG48=""),"ship-date email due (template 02): send it, then log ship_email_sent_date and ship_email_units; ","")&amp;IF(AND($AH48&lt;&gt;"",N($BT48)&gt;0,N($BX48)=0,N($AH48)&lt;&gt;N($BT48)),"units changed since the ship-date email of "&amp;IF($AG48="","?",TEXT($AG48,"yyyy-mm-dd"))&amp;" ("&amp;$AH48&amp;", now "&amp;$BT48&amp;"): send the brand the revised numbers (template 02) and log them; ","")&amp;IF($DT48="late","report late; ","")&amp;IF(AND(N($F48)&gt;0,$BO48&lt;N($F48),$BQ48=0),"info: "&amp;(N($F48)-$BO48)&amp;" office(s) short of the contract: add a roster office or credit $"&amp;IF($D48="founding",config!$B$25,config!$B$24)&amp;" each; ","")&amp;IF($BC48&lt;&gt;"",IF(COUNTIF(survey_frozen!$A$2:$A$251,$A48)=0,"answers deleted but no frozen totals: the survey numbers now read 0 (tools/freeze_survey.py, SOP answers_delete); ",""),IF(AND($BG48&lt;&gt;"",IF(config!$B$37&lt;&gt;"",config!$B$37,TODAY())&gt;=$BG48,ISREF(INDIRECT("'"&amp;$A48&amp;"'!B1"))),IF(INDIRECT("'"&amp;$A48&amp;"'!B1")&lt;&gt;"Card code (filled in for you)","survey tab column B is not the card code: fix the form or the tab; ",""),IF(AND($BG48&lt;&gt;"",IF(config!$B$37&lt;&gt;"",config!$B$37,TODAY())&gt;=$BG48),"no survey tab named "&amp;$A48&amp;"; ","")))&amp;IF(COUNTIF(brands!$A$2:$A$41,$C48)=0,"brand_id not on brands; ",IF(LEFT(IFERROR(IF(INDEX(brands!$AG$2:$AG$41,MATCH($C48,brands!$A$2:$A$41,0))="","",INDEX(brands!$AG$2:$AG$41,MATCH($C48,brands!$A$2:$A$41,0))),""),1)&lt;&gt;"Y","brand not qualified ("&amp;IFERROR(IF(INDEX(brands!$AG$2:$AG$41,MATCH($C48,brands!$A$2:$A$41,0))="","",INDEX(brands!$AG$2:$AG$41,MATCH($C48,brands!$A$2:$A$41,0))),"")&amp;"): nothing ships until it is; ",""))&amp;IF(AND(COUNTIF(brands!$A$2:$A$41,$C48)&gt;0,OR(IFERROR(IF(INDEX(brands!$C$2:$C$41,MATCH($C48,brands!$A$2:$A$41,0))="","",INDEX(brands!$C$2:$C$41,MATCH($C48,brands!$A$2:$A$41,0))),"")="",IFERROR(IF(INDEX(brands!$D$2:$D$41,MATCH($C48,brands!$A$2:$A$41,0))="","",INDEX(brands!$D$2:$D$41,MATCH($C48,brands!$A$2:$A$41,0))),"")="",IFERROR(IF(INDEX(brands!$E$2:$E$41,MATCH($C48,brands!$A$2:$A$41,0))="","",INDEX(brands!$E$2:$E$41,MATCH($C48,brands!$A$2:$A$41,0))),"")="")),"brand billing details missing on brands (legal name, address, email): needed for the invoice; ","")&amp;IF(AND($D48="founding",$E48&lt;&gt;"Y",N(IFERROR(IF(INDEX(brands!$AI$2:$AI$41,MATCH($C48,brands!$A$2:$A$41,0))="","",INDEX(brands!$AI$2:$AI$41,MATCH($C48,brands!$A$2:$A$41,0))),""))&gt;3),"the founding tier is for the first three brands only (this is brand "&amp;IFERROR(IF(INDEX(brands!$AI$2:$AI$41,MATCH($C48,brands!$A$2:$A$41,0))="","",INDEX(brands!$AI$2:$AI$41,MATCH($C48,brands!$A$2:$A$41,0))),"")&amp;"): use standard; ","")&amp;IF(AND($D48="founding",$E48&lt;&gt;"Y",COUNTIFS(campaigns!$C$2:$C$51,$C48,campaigns!$D$2:$D$51,"founding",campaigns!$E$2:$E$51,"&lt;&gt;Y")&gt;1),"a brand has the founding price once; its next two campaigns are founding_lock = Y; ","")&amp;IF(AND($E48="Y",COUNTIFS(campaigns!$C$2:$C$51,$C48,campaigns!$D$2:$D$51,"founding",campaigns!$E$2:$E$51,"Y")&gt;2),"founding_lock is for the brand's next two campaigns only (this is a third): use standard; ","")&amp;IF(AND($E48="Y",COUNTIFS(campaigns!$C$2:$C$51,$C48,campaigns!$D$2:$D$51,"founding",campaigns!$E$2:$E$51,"&lt;&gt;Y")=0),"founding_lock without a first founding campaign for this brand; ","")&amp;IF(AND(N($BX48)&gt;0,$BG48&lt;&gt;"",IF(config!$B$37&lt;&gt;"",config!$B$37,TODAY())&gt;=WORKDAY(N($BG48),-5,calendar!$A$2:$A$80)),IF(N($BX48)-N($BY48)&lt;N($BR48),"received "&amp;(N($BX48)-N($BY48))&amp;" usable units for "&amp;$BR48&amp;" allocated: reduce units_override evenly (SOP section 4, short shipment); ","")&amp;IF(AND(N($BX48)&lt;N($BT48),COUNTIFS(issues!$E$2:$E$121,$A48,issues!$G$2:$G$121,"short_shipment")=0),"received "&amp;$BX48&amp;" of "&amp;$BT48&amp;" due: log a short_shipment issue and tell the brand today; ",""),"")&amp;IF(AND($BG48&lt;&gt;"",IF(config!$B$37&lt;&gt;"",config!$B$37,TODAY())&gt;=WORKDAY(N($BG48),1,calendar!$A$2:$A$80),N($F48)&gt;0,(-SUMIFS(invoices!$E$2:$E$151,invoices!$B$2:$B$151,$A48,invoices!$C$2:$C$151,"credit_note"))&lt;(IF($D48="founding",config!$B$25,config!$B$24)*MAX(0,N($F48)-COUNTIFS(approvals!$A$2:$A$251,$A48,approvals!$Q$2:$Q$251,"Y",approvals!$AB$2:$AB$251,"Y")))-0.005),"credit due from T+1: "&amp;MAX(0,N($F48)-COUNTIFS(approvals!$A$2:$A$251,$A48,approvals!$Q$2:$Q$251,"Y",approvals!$AB$2:$AB$251,"Y"))&amp;" of "&amp;$F48&amp;" contracted offices not placed by T+1, $"&amp;(IF($D48="founding",config!$B$25,config!$B$24)*MAX(0,N($F48)-COUNTIFS(approvals!$A$2:$A$251,$A48,approvals!$Q$2:$Q$251,"Y",approvals!$AB$2:$AB$251,"Y")))&amp;" due, $"&amp;(-SUMIFS(invoices!$E$2:$E$151,invoices!$B$2:$B$151,$A48,invoices!$C$2:$C$151,"credit_note"))&amp;" in credit notes so far (template 06, make_invoice.py); ","")&amp;IF(AND(IFERROR(IF(INDEX(brands!$H$2:$H$41,MATCH($C48,brands!$A$2:$A$41,0))="","",INDEX(brands!$H$2:$H$41,MATCH($C48,brands!$A$2:$A$41,0))),"")&lt;&gt;"",$BG48&lt;&gt;"",IFERROR(IF(INDEX(brands!$H$2:$H$41,MATCH($C48,brands!$A$2:$A$41,0))="","",INDEX(brands!$H$2:$H$41,MATCH($C48,brands!$A$2:$A$41,0))),"")&lt;EDATE(WORKDAY(N($BG48),4,calendar!$A$2:$A$80),12)),"info: brand insurance ends "&amp;TEXT(IFERROR(IF(INDEX(brands!$H$2:$H$41,MATCH($C48,brands!$A$2:$A$41,0))="","",INDEX(brands!$H$2:$H$41,MATCH($C48,brands!$A$2:$A$41,0))),""),"yyyy-mm-dd")&amp;": diary the renewal certificate; ",""))</f>
        <v/>
      </c>
    </row>
    <row r="49">
      <c r="G49" s="10" t="n"/>
      <c r="H49" s="9" t="n"/>
      <c r="AB49" s="9" t="n"/>
      <c r="AC49" s="9" t="n"/>
      <c r="AD49" s="9" t="n"/>
      <c r="AF49" s="9" t="n"/>
      <c r="AG49" s="9" t="n"/>
      <c r="AT49" s="9" t="n"/>
      <c r="AU49" s="9" t="n"/>
      <c r="AY49" s="9" t="n"/>
      <c r="BA49" s="9" t="n"/>
      <c r="BB49" s="9" t="n"/>
      <c r="BC49" s="9" t="n"/>
      <c r="BE49" s="25">
        <f>IF($A49="","",IFERROR(IF(INDEX(brands!$K$2:$K$41,MATCH($C49,brands!$A$2:$A$41,0))="","",INDEX(brands!$K$2:$K$41,MATCH($C49,brands!$A$2:$A$41,0))),""))</f>
        <v/>
      </c>
      <c r="BF49" s="25">
        <f>IF($A49="","",IFERROR(IF(INDEX(brands!$M$2:$M$41,MATCH($C49,brands!$A$2:$A$41,0))="","",INDEX(brands!$M$2:$M$41,MATCH($C49,brands!$A$2:$A$41,0))),""))</f>
        <v/>
      </c>
      <c r="BG49" s="26">
        <f>IF($A49="","",IF(IFERROR(IF(INDEX(drops!$I$2:$I$21,MATCH($B49,drops!$A$2:$A$21,0))="","",INDEX(drops!$I$2:$I$21,MATCH($B49,drops!$A$2:$A$21,0))),"")="OK",IFERROR(IF(INDEX(drops!$B$2:$B$21,MATCH($B49,drops!$A$2:$A$21,0))="","",INDEX(drops!$B$2:$B$21,MATCH($B49,drops!$A$2:$A$21,0))),""),""))</f>
        <v/>
      </c>
      <c r="BH49" s="25">
        <f>IF($A49="","",IFERROR(IF(INDEX(drops!$C$2:$C$21,MATCH($B49,drops!$A$2:$A$21,0))="","",INDEX(drops!$C$2:$C$21,MATCH($B49,drops!$A$2:$A$21,0))),""))</f>
        <v/>
      </c>
      <c r="BI49" s="27">
        <f>IF($A49="","",IF($F49="","",IF($D49="founding",IF($E49="Y",config!$B$25*MIN($F49,config!$B$26)+config!$B$24*MAX(0,$F49-config!$B$26),config!$B$20+config!$B$24*MAX(0,$F49-config!$B$21)),IF($D49="standard",config!$B$22+config!$B$24*MAX(0,$F49-config!$B$23),""))))</f>
        <v/>
      </c>
      <c r="BJ49" s="27">
        <f>IF($A49="","",IF($G49&lt;&gt;"",$G49,$BI49))</f>
        <v/>
      </c>
      <c r="BK49" s="25">
        <f>IF($A49="","",IF($D49="founding","100% within "&amp;config!$B$27&amp;" business days of the invoice, before shipping",IF($D49="standard","50% on signing; 50% at placement confirmation (T+1)","")))</f>
        <v/>
      </c>
      <c r="BL49" s="26">
        <f>IF($A49="","",IFERROR(IF(INDEX(drops!$K$2:$K$21,MATCH($B49,drops!$A$2:$A$21,0))="","",INDEX(drops!$K$2:$K$21,MATCH($B49,drops!$A$2:$A$21,0))),""))</f>
        <v/>
      </c>
      <c r="BM49" s="26">
        <f>IF($A49="","",IFERROR(IF(INDEX(drops!$L$2:$L$21,MATCH($B49,drops!$A$2:$A$21,0))="","",INDEX(drops!$L$2:$L$21,MATCH($B49,drops!$A$2:$A$21,0))),""))</f>
        <v/>
      </c>
      <c r="BN49" s="25">
        <f>IF($A49="","",COUNTIF(approvals!$A$2:$A$251,$A49))</f>
        <v/>
      </c>
      <c r="BO49" s="25">
        <f>IF($A49="","",COUNTIFS(approvals!$A$2:$A$251,$A49,approvals!$P$2:$P$251,"Y"))</f>
        <v/>
      </c>
      <c r="BP49" s="25">
        <f>IF($A49="","",COUNTIFS(approvals!$A$2:$A$251,$A49,approvals!$Q$2:$Q$251,"Y"))</f>
        <v/>
      </c>
      <c r="BQ49" s="25">
        <f>IF($A49="","",COUNTIFS(approvals!$A$2:$A$251,$A49,approvals!$P$2:$P$251,"pending"))</f>
        <v/>
      </c>
      <c r="BR49" s="25">
        <f>IF($A49="","",SUMIFS(approvals!$S$2:$S$251,approvals!$A$2:$A$251,$A49,approvals!$P$2:$P$251,"Y"))</f>
        <v/>
      </c>
      <c r="BS49" s="25">
        <f>IF($A49="","",ROUNDUP($BR49*config!$B$18,0))</f>
        <v/>
      </c>
      <c r="BT49" s="25">
        <f>IF($A49="","",$BR49+$BS49)</f>
        <v/>
      </c>
      <c r="BU49" s="27">
        <f>IF($A49="","",SUMIFS(invoices!$I$2:$I$151,invoices!$B$2:$B$151,$A49,invoices!$R$2:$R$151,"Y",invoices!$H$2:$H$151,"&gt;0"))</f>
        <v/>
      </c>
      <c r="BV49" s="27">
        <f>IF($A49="","",IF($BJ49="","",IF($D49="founding",$BJ49,ROUND($BJ49*config!$B$28,2))))</f>
        <v/>
      </c>
      <c r="BW49" s="25">
        <f>IF($A49="","",IF(AND(N($BU49)&gt;=N($BV49),N($BV49)&gt;0,$H49&lt;&gt;"",AND($AB49&lt;&gt;"",IFERROR(IF(INDEX(brands!$G$2:$G$41,MATCH($C49,brands!$A$2:$A$41,0))="","",INDEX(brands!$G$2:$G$41,MATCH($C49,brands!$A$2:$A$41,0))),"")="Y"),LEFT(IFERROR(IF(INDEX(brands!$AG$2:$AG$41,MATCH($C49,brands!$A$2:$A$41,0))="","",INDEX(brands!$AG$2:$AG$41,MATCH($C49,brands!$A$2:$A$41,0))),""),1)="Y",$BG49&lt;&gt;"",$BQ49=0,$BO49&gt;0),"RELEASED "&amp;TEXT(MAX(IFERROR(1/(1/SUMPRODUCT(MAX((invoices!$B$2:$B$151=$A49)*(invoices!$R$2:$R$151="Y")*(invoices!$H$2:$H$151)))),""),$H49,$AB49,SUMPRODUCT(MAX((approvals!$A$2:$A$251=$A49)*(approvals!$P$2:$P$251="Y")*(approvals!$E$2:$E$251+(approvals!$E$2:$E$251=0)*approvals!$C$2:$C$251)))),"yyyy-mm-dd")&amp;": ship by "&amp;TEXT($BM49,"ddd yyyy-mm-dd")&amp;" (latest "&amp;TEXT($BL49,"ddd yyyy-mm-dd")&amp;")","HOLD: "&amp;IF(N($BU49)&lt;N($BV49),"payment ("&amp;TEXT(N($BU49),"0")&amp;" of "&amp;TEXT(N($BV49),"0")&amp;") ","")&amp;IF($H49="","agreement ","")&amp;IF(NOT(AND($AB49&lt;&gt;"",IFERROR(IF(INDEX(brands!$G$2:$G$41,MATCH($C49,brands!$A$2:$A$41,0))="","",INDEX(brands!$G$2:$G$41,MATCH($C49,brands!$A$2:$A$41,0))),"")="Y")),"certificate ","")&amp;IF(NOT(LEFT(IFERROR(IF(INDEX(brands!$AG$2:$AG$41,MATCH($C49,brands!$A$2:$A$41,0))="","",INDEX(brands!$AG$2:$AG$41,MATCH($C49,brands!$A$2:$A$41,0))),""),1)="Y"),"qualification ","")&amp;IF($BG49="","drop date ","")&amp;IF($BQ49&gt;0,"approvals ("&amp;$BQ49&amp;" pending) ","")&amp;IF($BO49=0,"no office approved ","")))</f>
        <v/>
      </c>
      <c r="BX49" s="25">
        <f>IF($A49="","",SUMIFS(inventory!$G$2:$G$801,inventory!$C$2:$C$801,$A49,inventory!$E$2:$E$801,"received"))</f>
        <v/>
      </c>
      <c r="BY49" s="25">
        <f>IF($A49="","",SUMIFS(inventory!$G$2:$G$801,inventory!$C$2:$C$801,$A49,inventory!$E$2:$E$801,"rejected"))</f>
        <v/>
      </c>
      <c r="BZ49" s="25">
        <f>IF($A49="","",SUMIFS(inventory!$M$2:$M$801,inventory!$C$2:$C$801,$A49))</f>
        <v/>
      </c>
      <c r="CA49" s="25">
        <f>IF($A49="","",SUMIFS(inventory!$O$2:$O$801,inventory!$C$2:$C$801,$A49))</f>
        <v/>
      </c>
      <c r="CB49" s="25">
        <f>IF($A49="","",SUMIFS(approvals!$U$2:$U$251,approvals!$A$2:$A$251,$A49))</f>
        <v/>
      </c>
      <c r="CC49" s="25">
        <f>IF($A49="","",SUMIFS(approvals!$AA$2:$AA$251,approvals!$A$2:$A$251,$A49))</f>
        <v/>
      </c>
      <c r="CD49" s="25">
        <f>IF($A49="","",SUMIFS(approvals!$AA$2:$AA$251,approvals!$A$2:$A$251,$A49,approvals!$AB$2:$AB$251,"Y"))</f>
        <v/>
      </c>
      <c r="CE49" s="29">
        <f>IF($A49="","",IF(N($CB49)=0,"",$CD49/$CB49))</f>
        <v/>
      </c>
      <c r="CF49" s="25">
        <f>IF($A49="","",SUMIFS(approvals!$AD$2:$AD$251,approvals!$A$2:$A$251,$A49))</f>
        <v/>
      </c>
      <c r="CG49" s="25">
        <f>IF($A49="","",IF(COUNTIFS(approvals!$A$2:$A$251,$A49,approvals!$Q$2:$Q$251,"Y",approvals!$AG$2:$AG$251,"")&gt;0,"",SUMIFS(approvals!$AG$2:$AG$251,approvals!$A$2:$A$251,$A49,approvals!$Q$2:$Q$251,"Y")))</f>
        <v/>
      </c>
      <c r="CH49" s="25">
        <f>IF($A49="","",SUMIFS(approvals!$AL$2:$AL$251,approvals!$A$2:$A$251,$A49))</f>
        <v/>
      </c>
      <c r="CI49" s="25">
        <f>IF($A49="","",IF(N($BP49)=0,"",SUMPRODUCT(MIN(approvals!$BB$2:$BB$251+(approvals!$A$2:$A$251&lt;&gt;$A49)*1000000))))</f>
        <v/>
      </c>
      <c r="CJ49" s="25">
        <f>IF($A49="","",COUNTIFS(approvals!$A$2:$A$251,$A49,approvals!$Q$2:$Q$251,"Y",approvals!$AL$2:$AL$251,"&lt;"&amp;config!$B$30))</f>
        <v/>
      </c>
      <c r="CK49" s="25">
        <f>IF($A49="","",SUMIFS(approvals!$AM$2:$AM$251,approvals!$A$2:$A$251,$A49))</f>
        <v/>
      </c>
      <c r="CL49" s="25">
        <f>IF($A49="","",SUMIFS(approvals!$AQ$2:$AQ$251,approvals!$A$2:$A$251,$A49))</f>
        <v/>
      </c>
      <c r="CM49" s="25">
        <f>IF($A49="","",SUMIFS(approvals!$AR$2:$AR$251,approvals!$A$2:$A$251,$A49))</f>
        <v/>
      </c>
      <c r="CN49" s="25">
        <f>IF($A49="","",SUMIFS(approvals!$AS$2:$AS$251,approvals!$A$2:$A$251,$A49))</f>
        <v/>
      </c>
      <c r="CO49" s="25">
        <f>IF($A49="","",SUMIFS(approvals!$AT$2:$AT$251,approvals!$A$2:$A$251,$A49))</f>
        <v/>
      </c>
      <c r="CP49" s="28">
        <f>IF($A49="","",IF(N($CO49)=0,"",ROUND(SUMIFS(approvals!$AU$2:$AU$251,approvals!$A$2:$A$251,$A49)/$CO49,1)))</f>
        <v/>
      </c>
      <c r="CQ49" s="25">
        <f>IF($A49="","",SUMIFS(approvals!$AV$2:$AV$251,approvals!$A$2:$A$251,$A49))</f>
        <v/>
      </c>
      <c r="CR49" s="25">
        <f>IF($A49="","",SUMIFS(approvals!$AW$2:$AW$251,approvals!$A$2:$A$251,$A49))</f>
        <v/>
      </c>
      <c r="CS49" s="25">
        <f>IF($A49="","",SUMIFS(approvals!$AX$2:$AX$251,approvals!$A$2:$A$251,$A49))</f>
        <v/>
      </c>
      <c r="CT49" s="25">
        <f>IF($A49="","",SUMIFS(approvals!$AY$2:$AY$251,approvals!$A$2:$A$251,$A49))</f>
        <v/>
      </c>
      <c r="CU49" s="25">
        <f>IF($A49="","",IF(OR($BG49="",$BC49&lt;&gt;""),"",IFERROR(COUNT(INDIRECT("'"&amp;$A49&amp;"'!$A$2:$A$501")),0)-IFERROR(COUNTIFS(INDIRECT("'"&amp;$A49&amp;"'!$A$2:$A$501"),"&gt;="&amp;$BG49,INDIRECT("'"&amp;$A49&amp;"'!$A$2:$A$501"),"&lt;"&amp;(IFERROR(IF(INDEX(drops!$R$2:$R$21,MATCH($B49,drops!$A$2:$A$21,0))="","",INDEX(drops!$R$2:$R$21,MATCH($B49,drops!$A$2:$A$21,0))),"")+1)),0)))</f>
        <v/>
      </c>
      <c r="CV49" s="25">
        <f>IF($A49="","",IF(OR($BG49="",$BC49&lt;&gt;""),"",IFERROR(COUNTIFS(INDIRECT("'"&amp;$A49&amp;"'!$A$2:$A$501"),"&gt;="&amp;$BG49,INDIRECT("'"&amp;$A49&amp;"'!$A$2:$A$501"),"&lt;"&amp;(IFERROR(IF(INDEX(drops!$R$2:$R$21,MATCH($B49,drops!$A$2:$A$21,0))="","",INDEX(drops!$R$2:$R$21,MATCH($B49,drops!$A$2:$A$21,0))),"")+1)),0)-N($CH49)))</f>
        <v/>
      </c>
      <c r="CW49" s="25">
        <f>IF($A49="","",SUMIFS(approvals!$AN$2:$AN$251,approvals!$A$2:$A$251,$A49))</f>
        <v/>
      </c>
      <c r="CX49" s="25">
        <f>IF($A49="","",SUMIFS(approvals!$AO$2:$AO$251,approvals!$A$2:$A$251,$A49))</f>
        <v/>
      </c>
      <c r="CY49" s="25">
        <f>IF($A49="","",IF($CZ49="","",SUMIFS(redemptions!$C$2:$C$121,redemptions!$A$2:$A$121,$A49,redemptions!$B$2:$B$121,$CZ49)))</f>
        <v/>
      </c>
      <c r="CZ49" s="26">
        <f>IF($A49="","",IFERROR(1/(1/SUMPRODUCT(MAX((redemptions!$A$2:$A$121=$A49)*redemptions!$B$2:$B$121))),""))</f>
        <v/>
      </c>
      <c r="DA49" s="25">
        <f>IF($A49="","",IF(COUNTIFS(redemptions!$A$2:$A$121,$A49,redemptions!$H$2:$H$121,"Y")=0,"",SUMIFS(redemptions!$C$2:$C$121,redemptions!$A$2:$A$121,$A49,redemptions!$B$2:$B$121,SUMPRODUCT(MIN((redemptions!$A$2:$A$121=$A49)*(redemptions!$H$2:$H$121="Y")*redemptions!$B$2:$B$121+((redemptions!$A$2:$A$121&lt;&gt;$A49)+(redemptions!$H$2:$H$121&lt;&gt;"Y")&gt;0)*1000000)))))</f>
        <v/>
      </c>
      <c r="DB49" s="27">
        <f>IF($A49="","",SUMIFS(invoices!$E$2:$E$151,invoices!$B$2:$B$151,$A49))</f>
        <v/>
      </c>
      <c r="DC49" s="27">
        <f>IF($A49="","",IF(COUNTIFS(invoices!$B$2:$B$151,$A49,invoices!$C$2:$C$151,"standard_deposit",invoices!$H$2:$H$151,"&gt;0")=0,"",SUMIFS(invoices!$I$2:$I$151,invoices!$B$2:$B$151,$A49,invoices!$C$2:$C$151,"standard_deposit")))</f>
        <v/>
      </c>
      <c r="DD49" s="26">
        <f>IF($A49="","",IFERROR(1/(1/SUMPRODUCT(MAX((invoices!$B$2:$B$151=$A49)*(invoices!$C$2:$C$151="standard_deposit")*invoices!$H$2:$H$151))),""))</f>
        <v/>
      </c>
      <c r="DE49" s="26">
        <f>IF($A49="","",IFERROR(1/(1/SUMPRODUCT(MAX((invoices!$B$2:$B$151=$A49)*((invoices!$C$2:$C$151="founding_full")+(invoices!$C$2:$C$151="standard_balance"))*invoices!$H$2:$H$151))),""))</f>
        <v/>
      </c>
      <c r="DF49" s="27">
        <f>IF($A49="","",SUMIFS(invoices!$L$2:$L$151,invoices!$B$2:$B$151,$A49))</f>
        <v/>
      </c>
      <c r="DG49" s="27">
        <f>IF($A49="","",SUMIFS(costs!$E$2:$E$301,costs!$C$2:$C$301,$A49))</f>
        <v/>
      </c>
      <c r="DH49" s="27">
        <f>IF($A49="","",ROUND(IF(SUMIFS(campaigns!$BO$2:$BO$51,campaigns!$B$2:$B$51,$B49)=0,0,$BO49/SUMIFS(campaigns!$BO$2:$BO$51,campaigns!$B$2:$B$51,$B49))*(SUMIFS(costs!$E$2:$E$301,costs!$B$2:$B$301,$B49)-SUMPRODUCT((costs!$B$2:$B$301=$B49)*(LEN(costs!$C$2:$C$301)&gt;0)*costs!$E$2:$E$301)),2))</f>
        <v/>
      </c>
      <c r="DI49" s="28">
        <f>IF($A49="","",SUMIFS(hours!$E$2:$E$1501,hours!$C$2:$C$1501,$A49))</f>
        <v/>
      </c>
      <c r="DJ49" s="28">
        <f>IF($A49="","",ROUND(IF(SUMIFS(campaigns!$BO$2:$BO$51,campaigns!$B$2:$B$51,$B49)=0,0,$BO49/SUMIFS(campaigns!$BO$2:$BO$51,campaigns!$B$2:$B$51,$B49))*(SUMIFS(hours!$E$2:$E$1501,hours!$B$2:$B$1501,$B49)-SUMPRODUCT((hours!$B$2:$B$1501=$B49)*(LEN(hours!$C$2:$C$1501)&gt;0)*hours!$E$2:$E$1501)),2))</f>
        <v/>
      </c>
      <c r="DK49" s="27">
        <f>IF($A49="","",$DB49-$DF49-$DG49-$DH49)</f>
        <v/>
      </c>
      <c r="DL49" s="27">
        <f>IF($A49="","",IF(N($DI49)+N($DJ49)=0,"",ROUND($DK49/($DI49+$DJ49),2)))</f>
        <v/>
      </c>
      <c r="DM49" s="29">
        <f>IF($A49="","",IF(N($BP49)=0,"",COUNTIFS(approvals!$A$2:$A$251,$A49,approvals!$Q$2:$Q$251,"Y",approvals!$AK$2:$AK$251,"Y")/$BP49))</f>
        <v/>
      </c>
      <c r="DN49" s="28">
        <f>IF($A49="","",IF(COUNTIFS(approvals!$A$2:$A$251,$A49,approvals!$AC$2:$AC$251,"&gt;=0")=0,"",ROUND(SUMIFS(approvals!$AC$2:$AC$251,approvals!$A$2:$A$251,$A49)/COUNTIFS(approvals!$A$2:$A$251,$A49,approvals!$AC$2:$AC$251,"&gt;=0"),1)))</f>
        <v/>
      </c>
      <c r="DO49" s="26">
        <f>IF($A49="","",IFERROR(IF(INDEX(drops!$T$2:$T$21,MATCH($B49,drops!$A$2:$A$21,0))="","",INDEX(drops!$T$2:$T$21,MATCH($B49,drops!$A$2:$A$21,0))),""))</f>
        <v/>
      </c>
      <c r="DP49" s="26">
        <f>IF($A49="","",IFERROR(IF(INDEX(drops!$U$2:$U$21,MATCH($B49,drops!$A$2:$A$21,0))="","",INDEX(drops!$U$2:$U$21,MATCH($B49,drops!$A$2:$A$21,0))),""))</f>
        <v/>
      </c>
      <c r="DQ49" s="26">
        <f>IF($A49="","",IFERROR(IF(INDEX(drops!$W$2:$W$21,MATCH($B49,drops!$A$2:$A$21,0))="","",INDEX(drops!$W$2:$W$21,MATCH($B49,drops!$A$2:$A$21,0))),""))</f>
        <v/>
      </c>
      <c r="DR49" s="25">
        <f>IF($A49="","",IF($CE49="","",IF($CE49&gt;=config!$B$31,"pass","miss")))</f>
        <v/>
      </c>
      <c r="DS49" s="25">
        <f>IF($A49="","",IF($CI49="","",IF($CI49&gt;=config!$B$30,"pass","miss")))</f>
        <v/>
      </c>
      <c r="DT49" s="25">
        <f>IF($A49="","",IF($AT49="",IF($DO49="","",IF(IF(config!$B$37&lt;&gt;"",config!$B$37,TODAY())&gt;$DO49,"late","due")),IF($AT49&lt;=$DO49,"pass","late")))</f>
        <v/>
      </c>
      <c r="DU49" s="25">
        <f>IF($A49="","",IF(COUNTIF(drops!$A$2:$A$21,$B49)=0,"drop_id not on drops; ",IF($BG49="","drop date missing or refused; ",""))&amp;IF(AND($G49&lt;&gt;"",$G49&lt;&gt;$BI49),"price differs from the price list; ","")&amp;IF(AND(LEFT($BW49,4)="HOLD",$BL49&lt;&gt;"",IF(config!$B$37&lt;&gt;"",config!$B$37,TODAY())&gt;=WORKDAY(N($BL49),-3,calendar!$A$2:$A$80)),"SHIP HOLD within 3 business days of T-10; ","")&amp;IF(AND($BQ49&gt;0,$BL49&lt;&gt;"",IF(config!$B$37&lt;&gt;"",config!$B$37,TODAY())&gt;$BL49),"approvals still pending after T-10; ","")&amp;IF($BZ49&lt;0,"reserve below zero: check inventory; ","")&amp;IF(AND($BG49&lt;&gt;"",IF(config!$B$37&lt;&gt;"",config!$B$37,TODAY())&gt;WORKDAY(N($BG49),14,calendar!$A$2:$A$80),N($BZ49)+N($CA49)&lt;&gt;0),"units still on hand after T+14; ","")&amp;IF(N($CV49)&gt;0,"info: "&amp;$CV49&amp;" in-window responses with a card code that matches no office (not counted); ","")&amp;IF(AND($Z49="Y",$AK49=""),"newsletter form URL missing; ","")&amp;IF(AND($Z49="Y",$BG49&lt;&gt;"",IF(config!$B$37&lt;&gt;"",config!$B$37,TODAY())&gt;WORKDAY(N($BG49),5,calendar!$A$2:$A$80),$AY49=""),"newsletter list not yet passed on (due T+5); ","")&amp;IF(AND($AY49&lt;&gt;"",$BA49=""),"delete unticked emails; ","")&amp;IF(AND($AY49&lt;&gt;"",$BB49="",IF(config!$B$37&lt;&gt;"",config!$B$37,TODAY())&gt;$AY49+config!$B$32),"DELETE the consented emails (30 days after passing on); ","")&amp;IF(AND($BG49&lt;&gt;"",$AJ49="",IF(config!$B$37&lt;&gt;"",config!$B$37,TODAY())&gt;=WORKDAY(N($BG49),-4,calendar!$A$2:$A$80)),"survey prefill template missing (due T-4); ","")&amp;IF(AND($AJ49&lt;&gt;"",ISERROR(SEARCH("CARDCODE",$AJ49))),"prefill template has no CARDCODE; ","")&amp;IF(AND($AF49="",$BG49&lt;&gt;"",IF(config!$B$37&lt;&gt;"",config!$B$37,TODAY())&gt;=WORKDAY(N($BG49),-3,calendar!$A$2:$A$80)),"card text not yet sent to the brand; ","")&amp;IF(AND($DA49="",$DQ49&lt;&gt;"",IF(config!$B$37&lt;&gt;"",config!$B$37,TODAY())&gt;$DQ49),"day-30 redemption count due; ","")&amp;IF(AND(LEFT($BW49,8)="RELEASED",$AG49=""),"ship-date email due (template 02): send it, then log ship_email_sent_date and ship_email_units; ","")&amp;IF(AND($AH49&lt;&gt;"",N($BT49)&gt;0,N($BX49)=0,N($AH49)&lt;&gt;N($BT49)),"units changed since the ship-date email of "&amp;IF($AG49="","?",TEXT($AG49,"yyyy-mm-dd"))&amp;" ("&amp;$AH49&amp;", now "&amp;$BT49&amp;"): send the brand the revised numbers (template 02) and log them; ","")&amp;IF($DT49="late","report late; ","")&amp;IF(AND(N($F49)&gt;0,$BO49&lt;N($F49),$BQ49=0),"info: "&amp;(N($F49)-$BO49)&amp;" office(s) short of the contract: add a roster office or credit $"&amp;IF($D49="founding",config!$B$25,config!$B$24)&amp;" each; ","")&amp;IF($BC49&lt;&gt;"",IF(COUNTIF(survey_frozen!$A$2:$A$251,$A49)=0,"answers deleted but no frozen totals: the survey numbers now read 0 (tools/freeze_survey.py, SOP answers_delete); ",""),IF(AND($BG49&lt;&gt;"",IF(config!$B$37&lt;&gt;"",config!$B$37,TODAY())&gt;=$BG49,ISREF(INDIRECT("'"&amp;$A49&amp;"'!B1"))),IF(INDIRECT("'"&amp;$A49&amp;"'!B1")&lt;&gt;"Card code (filled in for you)","survey tab column B is not the card code: fix the form or the tab; ",""),IF(AND($BG49&lt;&gt;"",IF(config!$B$37&lt;&gt;"",config!$B$37,TODAY())&gt;=$BG49),"no survey tab named "&amp;$A49&amp;"; ","")))&amp;IF(COUNTIF(brands!$A$2:$A$41,$C49)=0,"brand_id not on brands; ",IF(LEFT(IFERROR(IF(INDEX(brands!$AG$2:$AG$41,MATCH($C49,brands!$A$2:$A$41,0))="","",INDEX(brands!$AG$2:$AG$41,MATCH($C49,brands!$A$2:$A$41,0))),""),1)&lt;&gt;"Y","brand not qualified ("&amp;IFERROR(IF(INDEX(brands!$AG$2:$AG$41,MATCH($C49,brands!$A$2:$A$41,0))="","",INDEX(brands!$AG$2:$AG$41,MATCH($C49,brands!$A$2:$A$41,0))),"")&amp;"): nothing ships until it is; ",""))&amp;IF(AND(COUNTIF(brands!$A$2:$A$41,$C49)&gt;0,OR(IFERROR(IF(INDEX(brands!$C$2:$C$41,MATCH($C49,brands!$A$2:$A$41,0))="","",INDEX(brands!$C$2:$C$41,MATCH($C49,brands!$A$2:$A$41,0))),"")="",IFERROR(IF(INDEX(brands!$D$2:$D$41,MATCH($C49,brands!$A$2:$A$41,0))="","",INDEX(brands!$D$2:$D$41,MATCH($C49,brands!$A$2:$A$41,0))),"")="",IFERROR(IF(INDEX(brands!$E$2:$E$41,MATCH($C49,brands!$A$2:$A$41,0))="","",INDEX(brands!$E$2:$E$41,MATCH($C49,brands!$A$2:$A$41,0))),"")="")),"brand billing details missing on brands (legal name, address, email): needed for the invoice; ","")&amp;IF(AND($D49="founding",$E49&lt;&gt;"Y",N(IFERROR(IF(INDEX(brands!$AI$2:$AI$41,MATCH($C49,brands!$A$2:$A$41,0))="","",INDEX(brands!$AI$2:$AI$41,MATCH($C49,brands!$A$2:$A$41,0))),""))&gt;3),"the founding tier is for the first three brands only (this is brand "&amp;IFERROR(IF(INDEX(brands!$AI$2:$AI$41,MATCH($C49,brands!$A$2:$A$41,0))="","",INDEX(brands!$AI$2:$AI$41,MATCH($C49,brands!$A$2:$A$41,0))),"")&amp;"): use standard; ","")&amp;IF(AND($D49="founding",$E49&lt;&gt;"Y",COUNTIFS(campaigns!$C$2:$C$51,$C49,campaigns!$D$2:$D$51,"founding",campaigns!$E$2:$E$51,"&lt;&gt;Y")&gt;1),"a brand has the founding price once; its next two campaigns are founding_lock = Y; ","")&amp;IF(AND($E49="Y",COUNTIFS(campaigns!$C$2:$C$51,$C49,campaigns!$D$2:$D$51,"founding",campaigns!$E$2:$E$51,"Y")&gt;2),"founding_lock is for the brand's next two campaigns only (this is a third): use standard; ","")&amp;IF(AND($E49="Y",COUNTIFS(campaigns!$C$2:$C$51,$C49,campaigns!$D$2:$D$51,"founding",campaigns!$E$2:$E$51,"&lt;&gt;Y")=0),"founding_lock without a first founding campaign for this brand; ","")&amp;IF(AND(N($BX49)&gt;0,$BG49&lt;&gt;"",IF(config!$B$37&lt;&gt;"",config!$B$37,TODAY())&gt;=WORKDAY(N($BG49),-5,calendar!$A$2:$A$80)),IF(N($BX49)-N($BY49)&lt;N($BR49),"received "&amp;(N($BX49)-N($BY49))&amp;" usable units for "&amp;$BR49&amp;" allocated: reduce units_override evenly (SOP section 4, short shipment); ","")&amp;IF(AND(N($BX49)&lt;N($BT49),COUNTIFS(issues!$E$2:$E$121,$A49,issues!$G$2:$G$121,"short_shipment")=0),"received "&amp;$BX49&amp;" of "&amp;$BT49&amp;" due: log a short_shipment issue and tell the brand today; ",""),"")&amp;IF(AND($BG49&lt;&gt;"",IF(config!$B$37&lt;&gt;"",config!$B$37,TODAY())&gt;=WORKDAY(N($BG49),1,calendar!$A$2:$A$80),N($F49)&gt;0,(-SUMIFS(invoices!$E$2:$E$151,invoices!$B$2:$B$151,$A49,invoices!$C$2:$C$151,"credit_note"))&lt;(IF($D49="founding",config!$B$25,config!$B$24)*MAX(0,N($F49)-COUNTIFS(approvals!$A$2:$A$251,$A49,approvals!$Q$2:$Q$251,"Y",approvals!$AB$2:$AB$251,"Y")))-0.005),"credit due from T+1: "&amp;MAX(0,N($F49)-COUNTIFS(approvals!$A$2:$A$251,$A49,approvals!$Q$2:$Q$251,"Y",approvals!$AB$2:$AB$251,"Y"))&amp;" of "&amp;$F49&amp;" contracted offices not placed by T+1, $"&amp;(IF($D49="founding",config!$B$25,config!$B$24)*MAX(0,N($F49)-COUNTIFS(approvals!$A$2:$A$251,$A49,approvals!$Q$2:$Q$251,"Y",approvals!$AB$2:$AB$251,"Y")))&amp;" due, $"&amp;(-SUMIFS(invoices!$E$2:$E$151,invoices!$B$2:$B$151,$A49,invoices!$C$2:$C$151,"credit_note"))&amp;" in credit notes so far (template 06, make_invoice.py); ","")&amp;IF(AND(IFERROR(IF(INDEX(brands!$H$2:$H$41,MATCH($C49,brands!$A$2:$A$41,0))="","",INDEX(brands!$H$2:$H$41,MATCH($C49,brands!$A$2:$A$41,0))),"")&lt;&gt;"",$BG49&lt;&gt;"",IFERROR(IF(INDEX(brands!$H$2:$H$41,MATCH($C49,brands!$A$2:$A$41,0))="","",INDEX(brands!$H$2:$H$41,MATCH($C49,brands!$A$2:$A$41,0))),"")&lt;EDATE(WORKDAY(N($BG49),4,calendar!$A$2:$A$80),12)),"info: brand insurance ends "&amp;TEXT(IFERROR(IF(INDEX(brands!$H$2:$H$41,MATCH($C49,brands!$A$2:$A$41,0))="","",INDEX(brands!$H$2:$H$41,MATCH($C49,brands!$A$2:$A$41,0))),""),"yyyy-mm-dd")&amp;": diary the renewal certificate; ",""))</f>
        <v/>
      </c>
    </row>
    <row r="50">
      <c r="G50" s="10" t="n"/>
      <c r="H50" s="9" t="n"/>
      <c r="AB50" s="9" t="n"/>
      <c r="AC50" s="9" t="n"/>
      <c r="AD50" s="9" t="n"/>
      <c r="AF50" s="9" t="n"/>
      <c r="AG50" s="9" t="n"/>
      <c r="AT50" s="9" t="n"/>
      <c r="AU50" s="9" t="n"/>
      <c r="AY50" s="9" t="n"/>
      <c r="BA50" s="9" t="n"/>
      <c r="BB50" s="9" t="n"/>
      <c r="BC50" s="9" t="n"/>
      <c r="BE50" s="25">
        <f>IF($A50="","",IFERROR(IF(INDEX(brands!$K$2:$K$41,MATCH($C50,brands!$A$2:$A$41,0))="","",INDEX(brands!$K$2:$K$41,MATCH($C50,brands!$A$2:$A$41,0))),""))</f>
        <v/>
      </c>
      <c r="BF50" s="25">
        <f>IF($A50="","",IFERROR(IF(INDEX(brands!$M$2:$M$41,MATCH($C50,brands!$A$2:$A$41,0))="","",INDEX(brands!$M$2:$M$41,MATCH($C50,brands!$A$2:$A$41,0))),""))</f>
        <v/>
      </c>
      <c r="BG50" s="26">
        <f>IF($A50="","",IF(IFERROR(IF(INDEX(drops!$I$2:$I$21,MATCH($B50,drops!$A$2:$A$21,0))="","",INDEX(drops!$I$2:$I$21,MATCH($B50,drops!$A$2:$A$21,0))),"")="OK",IFERROR(IF(INDEX(drops!$B$2:$B$21,MATCH($B50,drops!$A$2:$A$21,0))="","",INDEX(drops!$B$2:$B$21,MATCH($B50,drops!$A$2:$A$21,0))),""),""))</f>
        <v/>
      </c>
      <c r="BH50" s="25">
        <f>IF($A50="","",IFERROR(IF(INDEX(drops!$C$2:$C$21,MATCH($B50,drops!$A$2:$A$21,0))="","",INDEX(drops!$C$2:$C$21,MATCH($B50,drops!$A$2:$A$21,0))),""))</f>
        <v/>
      </c>
      <c r="BI50" s="27">
        <f>IF($A50="","",IF($F50="","",IF($D50="founding",IF($E50="Y",config!$B$25*MIN($F50,config!$B$26)+config!$B$24*MAX(0,$F50-config!$B$26),config!$B$20+config!$B$24*MAX(0,$F50-config!$B$21)),IF($D50="standard",config!$B$22+config!$B$24*MAX(0,$F50-config!$B$23),""))))</f>
        <v/>
      </c>
      <c r="BJ50" s="27">
        <f>IF($A50="","",IF($G50&lt;&gt;"",$G50,$BI50))</f>
        <v/>
      </c>
      <c r="BK50" s="25">
        <f>IF($A50="","",IF($D50="founding","100% within "&amp;config!$B$27&amp;" business days of the invoice, before shipping",IF($D50="standard","50% on signing; 50% at placement confirmation (T+1)","")))</f>
        <v/>
      </c>
      <c r="BL50" s="26">
        <f>IF($A50="","",IFERROR(IF(INDEX(drops!$K$2:$K$21,MATCH($B50,drops!$A$2:$A$21,0))="","",INDEX(drops!$K$2:$K$21,MATCH($B50,drops!$A$2:$A$21,0))),""))</f>
        <v/>
      </c>
      <c r="BM50" s="26">
        <f>IF($A50="","",IFERROR(IF(INDEX(drops!$L$2:$L$21,MATCH($B50,drops!$A$2:$A$21,0))="","",INDEX(drops!$L$2:$L$21,MATCH($B50,drops!$A$2:$A$21,0))),""))</f>
        <v/>
      </c>
      <c r="BN50" s="25">
        <f>IF($A50="","",COUNTIF(approvals!$A$2:$A$251,$A50))</f>
        <v/>
      </c>
      <c r="BO50" s="25">
        <f>IF($A50="","",COUNTIFS(approvals!$A$2:$A$251,$A50,approvals!$P$2:$P$251,"Y"))</f>
        <v/>
      </c>
      <c r="BP50" s="25">
        <f>IF($A50="","",COUNTIFS(approvals!$A$2:$A$251,$A50,approvals!$Q$2:$Q$251,"Y"))</f>
        <v/>
      </c>
      <c r="BQ50" s="25">
        <f>IF($A50="","",COUNTIFS(approvals!$A$2:$A$251,$A50,approvals!$P$2:$P$251,"pending"))</f>
        <v/>
      </c>
      <c r="BR50" s="25">
        <f>IF($A50="","",SUMIFS(approvals!$S$2:$S$251,approvals!$A$2:$A$251,$A50,approvals!$P$2:$P$251,"Y"))</f>
        <v/>
      </c>
      <c r="BS50" s="25">
        <f>IF($A50="","",ROUNDUP($BR50*config!$B$18,0))</f>
        <v/>
      </c>
      <c r="BT50" s="25">
        <f>IF($A50="","",$BR50+$BS50)</f>
        <v/>
      </c>
      <c r="BU50" s="27">
        <f>IF($A50="","",SUMIFS(invoices!$I$2:$I$151,invoices!$B$2:$B$151,$A50,invoices!$R$2:$R$151,"Y",invoices!$H$2:$H$151,"&gt;0"))</f>
        <v/>
      </c>
      <c r="BV50" s="27">
        <f>IF($A50="","",IF($BJ50="","",IF($D50="founding",$BJ50,ROUND($BJ50*config!$B$28,2))))</f>
        <v/>
      </c>
      <c r="BW50" s="25">
        <f>IF($A50="","",IF(AND(N($BU50)&gt;=N($BV50),N($BV50)&gt;0,$H50&lt;&gt;"",AND($AB50&lt;&gt;"",IFERROR(IF(INDEX(brands!$G$2:$G$41,MATCH($C50,brands!$A$2:$A$41,0))="","",INDEX(brands!$G$2:$G$41,MATCH($C50,brands!$A$2:$A$41,0))),"")="Y"),LEFT(IFERROR(IF(INDEX(brands!$AG$2:$AG$41,MATCH($C50,brands!$A$2:$A$41,0))="","",INDEX(brands!$AG$2:$AG$41,MATCH($C50,brands!$A$2:$A$41,0))),""),1)="Y",$BG50&lt;&gt;"",$BQ50=0,$BO50&gt;0),"RELEASED "&amp;TEXT(MAX(IFERROR(1/(1/SUMPRODUCT(MAX((invoices!$B$2:$B$151=$A50)*(invoices!$R$2:$R$151="Y")*(invoices!$H$2:$H$151)))),""),$H50,$AB50,SUMPRODUCT(MAX((approvals!$A$2:$A$251=$A50)*(approvals!$P$2:$P$251="Y")*(approvals!$E$2:$E$251+(approvals!$E$2:$E$251=0)*approvals!$C$2:$C$251)))),"yyyy-mm-dd")&amp;": ship by "&amp;TEXT($BM50,"ddd yyyy-mm-dd")&amp;" (latest "&amp;TEXT($BL50,"ddd yyyy-mm-dd")&amp;")","HOLD: "&amp;IF(N($BU50)&lt;N($BV50),"payment ("&amp;TEXT(N($BU50),"0")&amp;" of "&amp;TEXT(N($BV50),"0")&amp;") ","")&amp;IF($H50="","agreement ","")&amp;IF(NOT(AND($AB50&lt;&gt;"",IFERROR(IF(INDEX(brands!$G$2:$G$41,MATCH($C50,brands!$A$2:$A$41,0))="","",INDEX(brands!$G$2:$G$41,MATCH($C50,brands!$A$2:$A$41,0))),"")="Y")),"certificate ","")&amp;IF(NOT(LEFT(IFERROR(IF(INDEX(brands!$AG$2:$AG$41,MATCH($C50,brands!$A$2:$A$41,0))="","",INDEX(brands!$AG$2:$AG$41,MATCH($C50,brands!$A$2:$A$41,0))),""),1)="Y"),"qualification ","")&amp;IF($BG50="","drop date ","")&amp;IF($BQ50&gt;0,"approvals ("&amp;$BQ50&amp;" pending) ","")&amp;IF($BO50=0,"no office approved ","")))</f>
        <v/>
      </c>
      <c r="BX50" s="25">
        <f>IF($A50="","",SUMIFS(inventory!$G$2:$G$801,inventory!$C$2:$C$801,$A50,inventory!$E$2:$E$801,"received"))</f>
        <v/>
      </c>
      <c r="BY50" s="25">
        <f>IF($A50="","",SUMIFS(inventory!$G$2:$G$801,inventory!$C$2:$C$801,$A50,inventory!$E$2:$E$801,"rejected"))</f>
        <v/>
      </c>
      <c r="BZ50" s="25">
        <f>IF($A50="","",SUMIFS(inventory!$M$2:$M$801,inventory!$C$2:$C$801,$A50))</f>
        <v/>
      </c>
      <c r="CA50" s="25">
        <f>IF($A50="","",SUMIFS(inventory!$O$2:$O$801,inventory!$C$2:$C$801,$A50))</f>
        <v/>
      </c>
      <c r="CB50" s="25">
        <f>IF($A50="","",SUMIFS(approvals!$U$2:$U$251,approvals!$A$2:$A$251,$A50))</f>
        <v/>
      </c>
      <c r="CC50" s="25">
        <f>IF($A50="","",SUMIFS(approvals!$AA$2:$AA$251,approvals!$A$2:$A$251,$A50))</f>
        <v/>
      </c>
      <c r="CD50" s="25">
        <f>IF($A50="","",SUMIFS(approvals!$AA$2:$AA$251,approvals!$A$2:$A$251,$A50,approvals!$AB$2:$AB$251,"Y"))</f>
        <v/>
      </c>
      <c r="CE50" s="29">
        <f>IF($A50="","",IF(N($CB50)=0,"",$CD50/$CB50))</f>
        <v/>
      </c>
      <c r="CF50" s="25">
        <f>IF($A50="","",SUMIFS(approvals!$AD$2:$AD$251,approvals!$A$2:$A$251,$A50))</f>
        <v/>
      </c>
      <c r="CG50" s="25">
        <f>IF($A50="","",IF(COUNTIFS(approvals!$A$2:$A$251,$A50,approvals!$Q$2:$Q$251,"Y",approvals!$AG$2:$AG$251,"")&gt;0,"",SUMIFS(approvals!$AG$2:$AG$251,approvals!$A$2:$A$251,$A50,approvals!$Q$2:$Q$251,"Y")))</f>
        <v/>
      </c>
      <c r="CH50" s="25">
        <f>IF($A50="","",SUMIFS(approvals!$AL$2:$AL$251,approvals!$A$2:$A$251,$A50))</f>
        <v/>
      </c>
      <c r="CI50" s="25">
        <f>IF($A50="","",IF(N($BP50)=0,"",SUMPRODUCT(MIN(approvals!$BB$2:$BB$251+(approvals!$A$2:$A$251&lt;&gt;$A50)*1000000))))</f>
        <v/>
      </c>
      <c r="CJ50" s="25">
        <f>IF($A50="","",COUNTIFS(approvals!$A$2:$A$251,$A50,approvals!$Q$2:$Q$251,"Y",approvals!$AL$2:$AL$251,"&lt;"&amp;config!$B$30))</f>
        <v/>
      </c>
      <c r="CK50" s="25">
        <f>IF($A50="","",SUMIFS(approvals!$AM$2:$AM$251,approvals!$A$2:$A$251,$A50))</f>
        <v/>
      </c>
      <c r="CL50" s="25">
        <f>IF($A50="","",SUMIFS(approvals!$AQ$2:$AQ$251,approvals!$A$2:$A$251,$A50))</f>
        <v/>
      </c>
      <c r="CM50" s="25">
        <f>IF($A50="","",SUMIFS(approvals!$AR$2:$AR$251,approvals!$A$2:$A$251,$A50))</f>
        <v/>
      </c>
      <c r="CN50" s="25">
        <f>IF($A50="","",SUMIFS(approvals!$AS$2:$AS$251,approvals!$A$2:$A$251,$A50))</f>
        <v/>
      </c>
      <c r="CO50" s="25">
        <f>IF($A50="","",SUMIFS(approvals!$AT$2:$AT$251,approvals!$A$2:$A$251,$A50))</f>
        <v/>
      </c>
      <c r="CP50" s="28">
        <f>IF($A50="","",IF(N($CO50)=0,"",ROUND(SUMIFS(approvals!$AU$2:$AU$251,approvals!$A$2:$A$251,$A50)/$CO50,1)))</f>
        <v/>
      </c>
      <c r="CQ50" s="25">
        <f>IF($A50="","",SUMIFS(approvals!$AV$2:$AV$251,approvals!$A$2:$A$251,$A50))</f>
        <v/>
      </c>
      <c r="CR50" s="25">
        <f>IF($A50="","",SUMIFS(approvals!$AW$2:$AW$251,approvals!$A$2:$A$251,$A50))</f>
        <v/>
      </c>
      <c r="CS50" s="25">
        <f>IF($A50="","",SUMIFS(approvals!$AX$2:$AX$251,approvals!$A$2:$A$251,$A50))</f>
        <v/>
      </c>
      <c r="CT50" s="25">
        <f>IF($A50="","",SUMIFS(approvals!$AY$2:$AY$251,approvals!$A$2:$A$251,$A50))</f>
        <v/>
      </c>
      <c r="CU50" s="25">
        <f>IF($A50="","",IF(OR($BG50="",$BC50&lt;&gt;""),"",IFERROR(COUNT(INDIRECT("'"&amp;$A50&amp;"'!$A$2:$A$501")),0)-IFERROR(COUNTIFS(INDIRECT("'"&amp;$A50&amp;"'!$A$2:$A$501"),"&gt;="&amp;$BG50,INDIRECT("'"&amp;$A50&amp;"'!$A$2:$A$501"),"&lt;"&amp;(IFERROR(IF(INDEX(drops!$R$2:$R$21,MATCH($B50,drops!$A$2:$A$21,0))="","",INDEX(drops!$R$2:$R$21,MATCH($B50,drops!$A$2:$A$21,0))),"")+1)),0)))</f>
        <v/>
      </c>
      <c r="CV50" s="25">
        <f>IF($A50="","",IF(OR($BG50="",$BC50&lt;&gt;""),"",IFERROR(COUNTIFS(INDIRECT("'"&amp;$A50&amp;"'!$A$2:$A$501"),"&gt;="&amp;$BG50,INDIRECT("'"&amp;$A50&amp;"'!$A$2:$A$501"),"&lt;"&amp;(IFERROR(IF(INDEX(drops!$R$2:$R$21,MATCH($B50,drops!$A$2:$A$21,0))="","",INDEX(drops!$R$2:$R$21,MATCH($B50,drops!$A$2:$A$21,0))),"")+1)),0)-N($CH50)))</f>
        <v/>
      </c>
      <c r="CW50" s="25">
        <f>IF($A50="","",SUMIFS(approvals!$AN$2:$AN$251,approvals!$A$2:$A$251,$A50))</f>
        <v/>
      </c>
      <c r="CX50" s="25">
        <f>IF($A50="","",SUMIFS(approvals!$AO$2:$AO$251,approvals!$A$2:$A$251,$A50))</f>
        <v/>
      </c>
      <c r="CY50" s="25">
        <f>IF($A50="","",IF($CZ50="","",SUMIFS(redemptions!$C$2:$C$121,redemptions!$A$2:$A$121,$A50,redemptions!$B$2:$B$121,$CZ50)))</f>
        <v/>
      </c>
      <c r="CZ50" s="26">
        <f>IF($A50="","",IFERROR(1/(1/SUMPRODUCT(MAX((redemptions!$A$2:$A$121=$A50)*redemptions!$B$2:$B$121))),""))</f>
        <v/>
      </c>
      <c r="DA50" s="25">
        <f>IF($A50="","",IF(COUNTIFS(redemptions!$A$2:$A$121,$A50,redemptions!$H$2:$H$121,"Y")=0,"",SUMIFS(redemptions!$C$2:$C$121,redemptions!$A$2:$A$121,$A50,redemptions!$B$2:$B$121,SUMPRODUCT(MIN((redemptions!$A$2:$A$121=$A50)*(redemptions!$H$2:$H$121="Y")*redemptions!$B$2:$B$121+((redemptions!$A$2:$A$121&lt;&gt;$A50)+(redemptions!$H$2:$H$121&lt;&gt;"Y")&gt;0)*1000000)))))</f>
        <v/>
      </c>
      <c r="DB50" s="27">
        <f>IF($A50="","",SUMIFS(invoices!$E$2:$E$151,invoices!$B$2:$B$151,$A50))</f>
        <v/>
      </c>
      <c r="DC50" s="27">
        <f>IF($A50="","",IF(COUNTIFS(invoices!$B$2:$B$151,$A50,invoices!$C$2:$C$151,"standard_deposit",invoices!$H$2:$H$151,"&gt;0")=0,"",SUMIFS(invoices!$I$2:$I$151,invoices!$B$2:$B$151,$A50,invoices!$C$2:$C$151,"standard_deposit")))</f>
        <v/>
      </c>
      <c r="DD50" s="26">
        <f>IF($A50="","",IFERROR(1/(1/SUMPRODUCT(MAX((invoices!$B$2:$B$151=$A50)*(invoices!$C$2:$C$151="standard_deposit")*invoices!$H$2:$H$151))),""))</f>
        <v/>
      </c>
      <c r="DE50" s="26">
        <f>IF($A50="","",IFERROR(1/(1/SUMPRODUCT(MAX((invoices!$B$2:$B$151=$A50)*((invoices!$C$2:$C$151="founding_full")+(invoices!$C$2:$C$151="standard_balance"))*invoices!$H$2:$H$151))),""))</f>
        <v/>
      </c>
      <c r="DF50" s="27">
        <f>IF($A50="","",SUMIFS(invoices!$L$2:$L$151,invoices!$B$2:$B$151,$A50))</f>
        <v/>
      </c>
      <c r="DG50" s="27">
        <f>IF($A50="","",SUMIFS(costs!$E$2:$E$301,costs!$C$2:$C$301,$A50))</f>
        <v/>
      </c>
      <c r="DH50" s="27">
        <f>IF($A50="","",ROUND(IF(SUMIFS(campaigns!$BO$2:$BO$51,campaigns!$B$2:$B$51,$B50)=0,0,$BO50/SUMIFS(campaigns!$BO$2:$BO$51,campaigns!$B$2:$B$51,$B50))*(SUMIFS(costs!$E$2:$E$301,costs!$B$2:$B$301,$B50)-SUMPRODUCT((costs!$B$2:$B$301=$B50)*(LEN(costs!$C$2:$C$301)&gt;0)*costs!$E$2:$E$301)),2))</f>
        <v/>
      </c>
      <c r="DI50" s="28">
        <f>IF($A50="","",SUMIFS(hours!$E$2:$E$1501,hours!$C$2:$C$1501,$A50))</f>
        <v/>
      </c>
      <c r="DJ50" s="28">
        <f>IF($A50="","",ROUND(IF(SUMIFS(campaigns!$BO$2:$BO$51,campaigns!$B$2:$B$51,$B50)=0,0,$BO50/SUMIFS(campaigns!$BO$2:$BO$51,campaigns!$B$2:$B$51,$B50))*(SUMIFS(hours!$E$2:$E$1501,hours!$B$2:$B$1501,$B50)-SUMPRODUCT((hours!$B$2:$B$1501=$B50)*(LEN(hours!$C$2:$C$1501)&gt;0)*hours!$E$2:$E$1501)),2))</f>
        <v/>
      </c>
      <c r="DK50" s="27">
        <f>IF($A50="","",$DB50-$DF50-$DG50-$DH50)</f>
        <v/>
      </c>
      <c r="DL50" s="27">
        <f>IF($A50="","",IF(N($DI50)+N($DJ50)=0,"",ROUND($DK50/($DI50+$DJ50),2)))</f>
        <v/>
      </c>
      <c r="DM50" s="29">
        <f>IF($A50="","",IF(N($BP50)=0,"",COUNTIFS(approvals!$A$2:$A$251,$A50,approvals!$Q$2:$Q$251,"Y",approvals!$AK$2:$AK$251,"Y")/$BP50))</f>
        <v/>
      </c>
      <c r="DN50" s="28">
        <f>IF($A50="","",IF(COUNTIFS(approvals!$A$2:$A$251,$A50,approvals!$AC$2:$AC$251,"&gt;=0")=0,"",ROUND(SUMIFS(approvals!$AC$2:$AC$251,approvals!$A$2:$A$251,$A50)/COUNTIFS(approvals!$A$2:$A$251,$A50,approvals!$AC$2:$AC$251,"&gt;=0"),1)))</f>
        <v/>
      </c>
      <c r="DO50" s="26">
        <f>IF($A50="","",IFERROR(IF(INDEX(drops!$T$2:$T$21,MATCH($B50,drops!$A$2:$A$21,0))="","",INDEX(drops!$T$2:$T$21,MATCH($B50,drops!$A$2:$A$21,0))),""))</f>
        <v/>
      </c>
      <c r="DP50" s="26">
        <f>IF($A50="","",IFERROR(IF(INDEX(drops!$U$2:$U$21,MATCH($B50,drops!$A$2:$A$21,0))="","",INDEX(drops!$U$2:$U$21,MATCH($B50,drops!$A$2:$A$21,0))),""))</f>
        <v/>
      </c>
      <c r="DQ50" s="26">
        <f>IF($A50="","",IFERROR(IF(INDEX(drops!$W$2:$W$21,MATCH($B50,drops!$A$2:$A$21,0))="","",INDEX(drops!$W$2:$W$21,MATCH($B50,drops!$A$2:$A$21,0))),""))</f>
        <v/>
      </c>
      <c r="DR50" s="25">
        <f>IF($A50="","",IF($CE50="","",IF($CE50&gt;=config!$B$31,"pass","miss")))</f>
        <v/>
      </c>
      <c r="DS50" s="25">
        <f>IF($A50="","",IF($CI50="","",IF($CI50&gt;=config!$B$30,"pass","miss")))</f>
        <v/>
      </c>
      <c r="DT50" s="25">
        <f>IF($A50="","",IF($AT50="",IF($DO50="","",IF(IF(config!$B$37&lt;&gt;"",config!$B$37,TODAY())&gt;$DO50,"late","due")),IF($AT50&lt;=$DO50,"pass","late")))</f>
        <v/>
      </c>
      <c r="DU50" s="25">
        <f>IF($A50="","",IF(COUNTIF(drops!$A$2:$A$21,$B50)=0,"drop_id not on drops; ",IF($BG50="","drop date missing or refused; ",""))&amp;IF(AND($G50&lt;&gt;"",$G50&lt;&gt;$BI50),"price differs from the price list; ","")&amp;IF(AND(LEFT($BW50,4)="HOLD",$BL50&lt;&gt;"",IF(config!$B$37&lt;&gt;"",config!$B$37,TODAY())&gt;=WORKDAY(N($BL50),-3,calendar!$A$2:$A$80)),"SHIP HOLD within 3 business days of T-10; ","")&amp;IF(AND($BQ50&gt;0,$BL50&lt;&gt;"",IF(config!$B$37&lt;&gt;"",config!$B$37,TODAY())&gt;$BL50),"approvals still pending after T-10; ","")&amp;IF($BZ50&lt;0,"reserve below zero: check inventory; ","")&amp;IF(AND($BG50&lt;&gt;"",IF(config!$B$37&lt;&gt;"",config!$B$37,TODAY())&gt;WORKDAY(N($BG50),14,calendar!$A$2:$A$80),N($BZ50)+N($CA50)&lt;&gt;0),"units still on hand after T+14; ","")&amp;IF(N($CV50)&gt;0,"info: "&amp;$CV50&amp;" in-window responses with a card code that matches no office (not counted); ","")&amp;IF(AND($Z50="Y",$AK50=""),"newsletter form URL missing; ","")&amp;IF(AND($Z50="Y",$BG50&lt;&gt;"",IF(config!$B$37&lt;&gt;"",config!$B$37,TODAY())&gt;WORKDAY(N($BG50),5,calendar!$A$2:$A$80),$AY50=""),"newsletter list not yet passed on (due T+5); ","")&amp;IF(AND($AY50&lt;&gt;"",$BA50=""),"delete unticked emails; ","")&amp;IF(AND($AY50&lt;&gt;"",$BB50="",IF(config!$B$37&lt;&gt;"",config!$B$37,TODAY())&gt;$AY50+config!$B$32),"DELETE the consented emails (30 days after passing on); ","")&amp;IF(AND($BG50&lt;&gt;"",$AJ50="",IF(config!$B$37&lt;&gt;"",config!$B$37,TODAY())&gt;=WORKDAY(N($BG50),-4,calendar!$A$2:$A$80)),"survey prefill template missing (due T-4); ","")&amp;IF(AND($AJ50&lt;&gt;"",ISERROR(SEARCH("CARDCODE",$AJ50))),"prefill template has no CARDCODE; ","")&amp;IF(AND($AF50="",$BG50&lt;&gt;"",IF(config!$B$37&lt;&gt;"",config!$B$37,TODAY())&gt;=WORKDAY(N($BG50),-3,calendar!$A$2:$A$80)),"card text not yet sent to the brand; ","")&amp;IF(AND($DA50="",$DQ50&lt;&gt;"",IF(config!$B$37&lt;&gt;"",config!$B$37,TODAY())&gt;$DQ50),"day-30 redemption count due; ","")&amp;IF(AND(LEFT($BW50,8)="RELEASED",$AG50=""),"ship-date email due (template 02): send it, then log ship_email_sent_date and ship_email_units; ","")&amp;IF(AND($AH50&lt;&gt;"",N($BT50)&gt;0,N($BX50)=0,N($AH50)&lt;&gt;N($BT50)),"units changed since the ship-date email of "&amp;IF($AG50="","?",TEXT($AG50,"yyyy-mm-dd"))&amp;" ("&amp;$AH50&amp;", now "&amp;$BT50&amp;"): send the brand the revised numbers (template 02) and log them; ","")&amp;IF($DT50="late","report late; ","")&amp;IF(AND(N($F50)&gt;0,$BO50&lt;N($F50),$BQ50=0),"info: "&amp;(N($F50)-$BO50)&amp;" office(s) short of the contract: add a roster office or credit $"&amp;IF($D50="founding",config!$B$25,config!$B$24)&amp;" each; ","")&amp;IF($BC50&lt;&gt;"",IF(COUNTIF(survey_frozen!$A$2:$A$251,$A50)=0,"answers deleted but no frozen totals: the survey numbers now read 0 (tools/freeze_survey.py, SOP answers_delete); ",""),IF(AND($BG50&lt;&gt;"",IF(config!$B$37&lt;&gt;"",config!$B$37,TODAY())&gt;=$BG50,ISREF(INDIRECT("'"&amp;$A50&amp;"'!B1"))),IF(INDIRECT("'"&amp;$A50&amp;"'!B1")&lt;&gt;"Card code (filled in for you)","survey tab column B is not the card code: fix the form or the tab; ",""),IF(AND($BG50&lt;&gt;"",IF(config!$B$37&lt;&gt;"",config!$B$37,TODAY())&gt;=$BG50),"no survey tab named "&amp;$A50&amp;"; ","")))&amp;IF(COUNTIF(brands!$A$2:$A$41,$C50)=0,"brand_id not on brands; ",IF(LEFT(IFERROR(IF(INDEX(brands!$AG$2:$AG$41,MATCH($C50,brands!$A$2:$A$41,0))="","",INDEX(brands!$AG$2:$AG$41,MATCH($C50,brands!$A$2:$A$41,0))),""),1)&lt;&gt;"Y","brand not qualified ("&amp;IFERROR(IF(INDEX(brands!$AG$2:$AG$41,MATCH($C50,brands!$A$2:$A$41,0))="","",INDEX(brands!$AG$2:$AG$41,MATCH($C50,brands!$A$2:$A$41,0))),"")&amp;"): nothing ships until it is; ",""))&amp;IF(AND(COUNTIF(brands!$A$2:$A$41,$C50)&gt;0,OR(IFERROR(IF(INDEX(brands!$C$2:$C$41,MATCH($C50,brands!$A$2:$A$41,0))="","",INDEX(brands!$C$2:$C$41,MATCH($C50,brands!$A$2:$A$41,0))),"")="",IFERROR(IF(INDEX(brands!$D$2:$D$41,MATCH($C50,brands!$A$2:$A$41,0))="","",INDEX(brands!$D$2:$D$41,MATCH($C50,brands!$A$2:$A$41,0))),"")="",IFERROR(IF(INDEX(brands!$E$2:$E$41,MATCH($C50,brands!$A$2:$A$41,0))="","",INDEX(brands!$E$2:$E$41,MATCH($C50,brands!$A$2:$A$41,0))),"")="")),"brand billing details missing on brands (legal name, address, email): needed for the invoice; ","")&amp;IF(AND($D50="founding",$E50&lt;&gt;"Y",N(IFERROR(IF(INDEX(brands!$AI$2:$AI$41,MATCH($C50,brands!$A$2:$A$41,0))="","",INDEX(brands!$AI$2:$AI$41,MATCH($C50,brands!$A$2:$A$41,0))),""))&gt;3),"the founding tier is for the first three brands only (this is brand "&amp;IFERROR(IF(INDEX(brands!$AI$2:$AI$41,MATCH($C50,brands!$A$2:$A$41,0))="","",INDEX(brands!$AI$2:$AI$41,MATCH($C50,brands!$A$2:$A$41,0))),"")&amp;"): use standard; ","")&amp;IF(AND($D50="founding",$E50&lt;&gt;"Y",COUNTIFS(campaigns!$C$2:$C$51,$C50,campaigns!$D$2:$D$51,"founding",campaigns!$E$2:$E$51,"&lt;&gt;Y")&gt;1),"a brand has the founding price once; its next two campaigns are founding_lock = Y; ","")&amp;IF(AND($E50="Y",COUNTIFS(campaigns!$C$2:$C$51,$C50,campaigns!$D$2:$D$51,"founding",campaigns!$E$2:$E$51,"Y")&gt;2),"founding_lock is for the brand's next two campaigns only (this is a third): use standard; ","")&amp;IF(AND($E50="Y",COUNTIFS(campaigns!$C$2:$C$51,$C50,campaigns!$D$2:$D$51,"founding",campaigns!$E$2:$E$51,"&lt;&gt;Y")=0),"founding_lock without a first founding campaign for this brand; ","")&amp;IF(AND(N($BX50)&gt;0,$BG50&lt;&gt;"",IF(config!$B$37&lt;&gt;"",config!$B$37,TODAY())&gt;=WORKDAY(N($BG50),-5,calendar!$A$2:$A$80)),IF(N($BX50)-N($BY50)&lt;N($BR50),"received "&amp;(N($BX50)-N($BY50))&amp;" usable units for "&amp;$BR50&amp;" allocated: reduce units_override evenly (SOP section 4, short shipment); ","")&amp;IF(AND(N($BX50)&lt;N($BT50),COUNTIFS(issues!$E$2:$E$121,$A50,issues!$G$2:$G$121,"short_shipment")=0),"received "&amp;$BX50&amp;" of "&amp;$BT50&amp;" due: log a short_shipment issue and tell the brand today; ",""),"")&amp;IF(AND($BG50&lt;&gt;"",IF(config!$B$37&lt;&gt;"",config!$B$37,TODAY())&gt;=WORKDAY(N($BG50),1,calendar!$A$2:$A$80),N($F50)&gt;0,(-SUMIFS(invoices!$E$2:$E$151,invoices!$B$2:$B$151,$A50,invoices!$C$2:$C$151,"credit_note"))&lt;(IF($D50="founding",config!$B$25,config!$B$24)*MAX(0,N($F50)-COUNTIFS(approvals!$A$2:$A$251,$A50,approvals!$Q$2:$Q$251,"Y",approvals!$AB$2:$AB$251,"Y")))-0.005),"credit due from T+1: "&amp;MAX(0,N($F50)-COUNTIFS(approvals!$A$2:$A$251,$A50,approvals!$Q$2:$Q$251,"Y",approvals!$AB$2:$AB$251,"Y"))&amp;" of "&amp;$F50&amp;" contracted offices not placed by T+1, $"&amp;(IF($D50="founding",config!$B$25,config!$B$24)*MAX(0,N($F50)-COUNTIFS(approvals!$A$2:$A$251,$A50,approvals!$Q$2:$Q$251,"Y",approvals!$AB$2:$AB$251,"Y")))&amp;" due, $"&amp;(-SUMIFS(invoices!$E$2:$E$151,invoices!$B$2:$B$151,$A50,invoices!$C$2:$C$151,"credit_note"))&amp;" in credit notes so far (template 06, make_invoice.py); ","")&amp;IF(AND(IFERROR(IF(INDEX(brands!$H$2:$H$41,MATCH($C50,brands!$A$2:$A$41,0))="","",INDEX(brands!$H$2:$H$41,MATCH($C50,brands!$A$2:$A$41,0))),"")&lt;&gt;"",$BG50&lt;&gt;"",IFERROR(IF(INDEX(brands!$H$2:$H$41,MATCH($C50,brands!$A$2:$A$41,0))="","",INDEX(brands!$H$2:$H$41,MATCH($C50,brands!$A$2:$A$41,0))),"")&lt;EDATE(WORKDAY(N($BG50),4,calendar!$A$2:$A$80),12)),"info: brand insurance ends "&amp;TEXT(IFERROR(IF(INDEX(brands!$H$2:$H$41,MATCH($C50,brands!$A$2:$A$41,0))="","",INDEX(brands!$H$2:$H$41,MATCH($C50,brands!$A$2:$A$41,0))),""),"yyyy-mm-dd")&amp;": diary the renewal certificate; ",""))</f>
        <v/>
      </c>
    </row>
    <row r="51">
      <c r="G51" s="10" t="n"/>
      <c r="H51" s="9" t="n"/>
      <c r="AB51" s="9" t="n"/>
      <c r="AC51" s="9" t="n"/>
      <c r="AD51" s="9" t="n"/>
      <c r="AF51" s="9" t="n"/>
      <c r="AG51" s="9" t="n"/>
      <c r="AT51" s="9" t="n"/>
      <c r="AU51" s="9" t="n"/>
      <c r="AY51" s="9" t="n"/>
      <c r="BA51" s="9" t="n"/>
      <c r="BB51" s="9" t="n"/>
      <c r="BC51" s="9" t="n"/>
      <c r="BE51" s="25">
        <f>IF($A51="","",IFERROR(IF(INDEX(brands!$K$2:$K$41,MATCH($C51,brands!$A$2:$A$41,0))="","",INDEX(brands!$K$2:$K$41,MATCH($C51,brands!$A$2:$A$41,0))),""))</f>
        <v/>
      </c>
      <c r="BF51" s="25">
        <f>IF($A51="","",IFERROR(IF(INDEX(brands!$M$2:$M$41,MATCH($C51,brands!$A$2:$A$41,0))="","",INDEX(brands!$M$2:$M$41,MATCH($C51,brands!$A$2:$A$41,0))),""))</f>
        <v/>
      </c>
      <c r="BG51" s="26">
        <f>IF($A51="","",IF(IFERROR(IF(INDEX(drops!$I$2:$I$21,MATCH($B51,drops!$A$2:$A$21,0))="","",INDEX(drops!$I$2:$I$21,MATCH($B51,drops!$A$2:$A$21,0))),"")="OK",IFERROR(IF(INDEX(drops!$B$2:$B$21,MATCH($B51,drops!$A$2:$A$21,0))="","",INDEX(drops!$B$2:$B$21,MATCH($B51,drops!$A$2:$A$21,0))),""),""))</f>
        <v/>
      </c>
      <c r="BH51" s="25">
        <f>IF($A51="","",IFERROR(IF(INDEX(drops!$C$2:$C$21,MATCH($B51,drops!$A$2:$A$21,0))="","",INDEX(drops!$C$2:$C$21,MATCH($B51,drops!$A$2:$A$21,0))),""))</f>
        <v/>
      </c>
      <c r="BI51" s="27">
        <f>IF($A51="","",IF($F51="","",IF($D51="founding",IF($E51="Y",config!$B$25*MIN($F51,config!$B$26)+config!$B$24*MAX(0,$F51-config!$B$26),config!$B$20+config!$B$24*MAX(0,$F51-config!$B$21)),IF($D51="standard",config!$B$22+config!$B$24*MAX(0,$F51-config!$B$23),""))))</f>
        <v/>
      </c>
      <c r="BJ51" s="27">
        <f>IF($A51="","",IF($G51&lt;&gt;"",$G51,$BI51))</f>
        <v/>
      </c>
      <c r="BK51" s="25">
        <f>IF($A51="","",IF($D51="founding","100% within "&amp;config!$B$27&amp;" business days of the invoice, before shipping",IF($D51="standard","50% on signing; 50% at placement confirmation (T+1)","")))</f>
        <v/>
      </c>
      <c r="BL51" s="26">
        <f>IF($A51="","",IFERROR(IF(INDEX(drops!$K$2:$K$21,MATCH($B51,drops!$A$2:$A$21,0))="","",INDEX(drops!$K$2:$K$21,MATCH($B51,drops!$A$2:$A$21,0))),""))</f>
        <v/>
      </c>
      <c r="BM51" s="26">
        <f>IF($A51="","",IFERROR(IF(INDEX(drops!$L$2:$L$21,MATCH($B51,drops!$A$2:$A$21,0))="","",INDEX(drops!$L$2:$L$21,MATCH($B51,drops!$A$2:$A$21,0))),""))</f>
        <v/>
      </c>
      <c r="BN51" s="25">
        <f>IF($A51="","",COUNTIF(approvals!$A$2:$A$251,$A51))</f>
        <v/>
      </c>
      <c r="BO51" s="25">
        <f>IF($A51="","",COUNTIFS(approvals!$A$2:$A$251,$A51,approvals!$P$2:$P$251,"Y"))</f>
        <v/>
      </c>
      <c r="BP51" s="25">
        <f>IF($A51="","",COUNTIFS(approvals!$A$2:$A$251,$A51,approvals!$Q$2:$Q$251,"Y"))</f>
        <v/>
      </c>
      <c r="BQ51" s="25">
        <f>IF($A51="","",COUNTIFS(approvals!$A$2:$A$251,$A51,approvals!$P$2:$P$251,"pending"))</f>
        <v/>
      </c>
      <c r="BR51" s="25">
        <f>IF($A51="","",SUMIFS(approvals!$S$2:$S$251,approvals!$A$2:$A$251,$A51,approvals!$P$2:$P$251,"Y"))</f>
        <v/>
      </c>
      <c r="BS51" s="25">
        <f>IF($A51="","",ROUNDUP($BR51*config!$B$18,0))</f>
        <v/>
      </c>
      <c r="BT51" s="25">
        <f>IF($A51="","",$BR51+$BS51)</f>
        <v/>
      </c>
      <c r="BU51" s="27">
        <f>IF($A51="","",SUMIFS(invoices!$I$2:$I$151,invoices!$B$2:$B$151,$A51,invoices!$R$2:$R$151,"Y",invoices!$H$2:$H$151,"&gt;0"))</f>
        <v/>
      </c>
      <c r="BV51" s="27">
        <f>IF($A51="","",IF($BJ51="","",IF($D51="founding",$BJ51,ROUND($BJ51*config!$B$28,2))))</f>
        <v/>
      </c>
      <c r="BW51" s="25">
        <f>IF($A51="","",IF(AND(N($BU51)&gt;=N($BV51),N($BV51)&gt;0,$H51&lt;&gt;"",AND($AB51&lt;&gt;"",IFERROR(IF(INDEX(brands!$G$2:$G$41,MATCH($C51,brands!$A$2:$A$41,0))="","",INDEX(brands!$G$2:$G$41,MATCH($C51,brands!$A$2:$A$41,0))),"")="Y"),LEFT(IFERROR(IF(INDEX(brands!$AG$2:$AG$41,MATCH($C51,brands!$A$2:$A$41,0))="","",INDEX(brands!$AG$2:$AG$41,MATCH($C51,brands!$A$2:$A$41,0))),""),1)="Y",$BG51&lt;&gt;"",$BQ51=0,$BO51&gt;0),"RELEASED "&amp;TEXT(MAX(IFERROR(1/(1/SUMPRODUCT(MAX((invoices!$B$2:$B$151=$A51)*(invoices!$R$2:$R$151="Y")*(invoices!$H$2:$H$151)))),""),$H51,$AB51,SUMPRODUCT(MAX((approvals!$A$2:$A$251=$A51)*(approvals!$P$2:$P$251="Y")*(approvals!$E$2:$E$251+(approvals!$E$2:$E$251=0)*approvals!$C$2:$C$251)))),"yyyy-mm-dd")&amp;": ship by "&amp;TEXT($BM51,"ddd yyyy-mm-dd")&amp;" (latest "&amp;TEXT($BL51,"ddd yyyy-mm-dd")&amp;")","HOLD: "&amp;IF(N($BU51)&lt;N($BV51),"payment ("&amp;TEXT(N($BU51),"0")&amp;" of "&amp;TEXT(N($BV51),"0")&amp;") ","")&amp;IF($H51="","agreement ","")&amp;IF(NOT(AND($AB51&lt;&gt;"",IFERROR(IF(INDEX(brands!$G$2:$G$41,MATCH($C51,brands!$A$2:$A$41,0))="","",INDEX(brands!$G$2:$G$41,MATCH($C51,brands!$A$2:$A$41,0))),"")="Y")),"certificate ","")&amp;IF(NOT(LEFT(IFERROR(IF(INDEX(brands!$AG$2:$AG$41,MATCH($C51,brands!$A$2:$A$41,0))="","",INDEX(brands!$AG$2:$AG$41,MATCH($C51,brands!$A$2:$A$41,0))),""),1)="Y"),"qualification ","")&amp;IF($BG51="","drop date ","")&amp;IF($BQ51&gt;0,"approvals ("&amp;$BQ51&amp;" pending) ","")&amp;IF($BO51=0,"no office approved ","")))</f>
        <v/>
      </c>
      <c r="BX51" s="25">
        <f>IF($A51="","",SUMIFS(inventory!$G$2:$G$801,inventory!$C$2:$C$801,$A51,inventory!$E$2:$E$801,"received"))</f>
        <v/>
      </c>
      <c r="BY51" s="25">
        <f>IF($A51="","",SUMIFS(inventory!$G$2:$G$801,inventory!$C$2:$C$801,$A51,inventory!$E$2:$E$801,"rejected"))</f>
        <v/>
      </c>
      <c r="BZ51" s="25">
        <f>IF($A51="","",SUMIFS(inventory!$M$2:$M$801,inventory!$C$2:$C$801,$A51))</f>
        <v/>
      </c>
      <c r="CA51" s="25">
        <f>IF($A51="","",SUMIFS(inventory!$O$2:$O$801,inventory!$C$2:$C$801,$A51))</f>
        <v/>
      </c>
      <c r="CB51" s="25">
        <f>IF($A51="","",SUMIFS(approvals!$U$2:$U$251,approvals!$A$2:$A$251,$A51))</f>
        <v/>
      </c>
      <c r="CC51" s="25">
        <f>IF($A51="","",SUMIFS(approvals!$AA$2:$AA$251,approvals!$A$2:$A$251,$A51))</f>
        <v/>
      </c>
      <c r="CD51" s="25">
        <f>IF($A51="","",SUMIFS(approvals!$AA$2:$AA$251,approvals!$A$2:$A$251,$A51,approvals!$AB$2:$AB$251,"Y"))</f>
        <v/>
      </c>
      <c r="CE51" s="29">
        <f>IF($A51="","",IF(N($CB51)=0,"",$CD51/$CB51))</f>
        <v/>
      </c>
      <c r="CF51" s="25">
        <f>IF($A51="","",SUMIFS(approvals!$AD$2:$AD$251,approvals!$A$2:$A$251,$A51))</f>
        <v/>
      </c>
      <c r="CG51" s="25">
        <f>IF($A51="","",IF(COUNTIFS(approvals!$A$2:$A$251,$A51,approvals!$Q$2:$Q$251,"Y",approvals!$AG$2:$AG$251,"")&gt;0,"",SUMIFS(approvals!$AG$2:$AG$251,approvals!$A$2:$A$251,$A51,approvals!$Q$2:$Q$251,"Y")))</f>
        <v/>
      </c>
      <c r="CH51" s="25">
        <f>IF($A51="","",SUMIFS(approvals!$AL$2:$AL$251,approvals!$A$2:$A$251,$A51))</f>
        <v/>
      </c>
      <c r="CI51" s="25">
        <f>IF($A51="","",IF(N($BP51)=0,"",SUMPRODUCT(MIN(approvals!$BB$2:$BB$251+(approvals!$A$2:$A$251&lt;&gt;$A51)*1000000))))</f>
        <v/>
      </c>
      <c r="CJ51" s="25">
        <f>IF($A51="","",COUNTIFS(approvals!$A$2:$A$251,$A51,approvals!$Q$2:$Q$251,"Y",approvals!$AL$2:$AL$251,"&lt;"&amp;config!$B$30))</f>
        <v/>
      </c>
      <c r="CK51" s="25">
        <f>IF($A51="","",SUMIFS(approvals!$AM$2:$AM$251,approvals!$A$2:$A$251,$A51))</f>
        <v/>
      </c>
      <c r="CL51" s="25">
        <f>IF($A51="","",SUMIFS(approvals!$AQ$2:$AQ$251,approvals!$A$2:$A$251,$A51))</f>
        <v/>
      </c>
      <c r="CM51" s="25">
        <f>IF($A51="","",SUMIFS(approvals!$AR$2:$AR$251,approvals!$A$2:$A$251,$A51))</f>
        <v/>
      </c>
      <c r="CN51" s="25">
        <f>IF($A51="","",SUMIFS(approvals!$AS$2:$AS$251,approvals!$A$2:$A$251,$A51))</f>
        <v/>
      </c>
      <c r="CO51" s="25">
        <f>IF($A51="","",SUMIFS(approvals!$AT$2:$AT$251,approvals!$A$2:$A$251,$A51))</f>
        <v/>
      </c>
      <c r="CP51" s="28">
        <f>IF($A51="","",IF(N($CO51)=0,"",ROUND(SUMIFS(approvals!$AU$2:$AU$251,approvals!$A$2:$A$251,$A51)/$CO51,1)))</f>
        <v/>
      </c>
      <c r="CQ51" s="25">
        <f>IF($A51="","",SUMIFS(approvals!$AV$2:$AV$251,approvals!$A$2:$A$251,$A51))</f>
        <v/>
      </c>
      <c r="CR51" s="25">
        <f>IF($A51="","",SUMIFS(approvals!$AW$2:$AW$251,approvals!$A$2:$A$251,$A51))</f>
        <v/>
      </c>
      <c r="CS51" s="25">
        <f>IF($A51="","",SUMIFS(approvals!$AX$2:$AX$251,approvals!$A$2:$A$251,$A51))</f>
        <v/>
      </c>
      <c r="CT51" s="25">
        <f>IF($A51="","",SUMIFS(approvals!$AY$2:$AY$251,approvals!$A$2:$A$251,$A51))</f>
        <v/>
      </c>
      <c r="CU51" s="25">
        <f>IF($A51="","",IF(OR($BG51="",$BC51&lt;&gt;""),"",IFERROR(COUNT(INDIRECT("'"&amp;$A51&amp;"'!$A$2:$A$501")),0)-IFERROR(COUNTIFS(INDIRECT("'"&amp;$A51&amp;"'!$A$2:$A$501"),"&gt;="&amp;$BG51,INDIRECT("'"&amp;$A51&amp;"'!$A$2:$A$501"),"&lt;"&amp;(IFERROR(IF(INDEX(drops!$R$2:$R$21,MATCH($B51,drops!$A$2:$A$21,0))="","",INDEX(drops!$R$2:$R$21,MATCH($B51,drops!$A$2:$A$21,0))),"")+1)),0)))</f>
        <v/>
      </c>
      <c r="CV51" s="25">
        <f>IF($A51="","",IF(OR($BG51="",$BC51&lt;&gt;""),"",IFERROR(COUNTIFS(INDIRECT("'"&amp;$A51&amp;"'!$A$2:$A$501"),"&gt;="&amp;$BG51,INDIRECT("'"&amp;$A51&amp;"'!$A$2:$A$501"),"&lt;"&amp;(IFERROR(IF(INDEX(drops!$R$2:$R$21,MATCH($B51,drops!$A$2:$A$21,0))="","",INDEX(drops!$R$2:$R$21,MATCH($B51,drops!$A$2:$A$21,0))),"")+1)),0)-N($CH51)))</f>
        <v/>
      </c>
      <c r="CW51" s="25">
        <f>IF($A51="","",SUMIFS(approvals!$AN$2:$AN$251,approvals!$A$2:$A$251,$A51))</f>
        <v/>
      </c>
      <c r="CX51" s="25">
        <f>IF($A51="","",SUMIFS(approvals!$AO$2:$AO$251,approvals!$A$2:$A$251,$A51))</f>
        <v/>
      </c>
      <c r="CY51" s="25">
        <f>IF($A51="","",IF($CZ51="","",SUMIFS(redemptions!$C$2:$C$121,redemptions!$A$2:$A$121,$A51,redemptions!$B$2:$B$121,$CZ51)))</f>
        <v/>
      </c>
      <c r="CZ51" s="26">
        <f>IF($A51="","",IFERROR(1/(1/SUMPRODUCT(MAX((redemptions!$A$2:$A$121=$A51)*redemptions!$B$2:$B$121))),""))</f>
        <v/>
      </c>
      <c r="DA51" s="25">
        <f>IF($A51="","",IF(COUNTIFS(redemptions!$A$2:$A$121,$A51,redemptions!$H$2:$H$121,"Y")=0,"",SUMIFS(redemptions!$C$2:$C$121,redemptions!$A$2:$A$121,$A51,redemptions!$B$2:$B$121,SUMPRODUCT(MIN((redemptions!$A$2:$A$121=$A51)*(redemptions!$H$2:$H$121="Y")*redemptions!$B$2:$B$121+((redemptions!$A$2:$A$121&lt;&gt;$A51)+(redemptions!$H$2:$H$121&lt;&gt;"Y")&gt;0)*1000000)))))</f>
        <v/>
      </c>
      <c r="DB51" s="27">
        <f>IF($A51="","",SUMIFS(invoices!$E$2:$E$151,invoices!$B$2:$B$151,$A51))</f>
        <v/>
      </c>
      <c r="DC51" s="27">
        <f>IF($A51="","",IF(COUNTIFS(invoices!$B$2:$B$151,$A51,invoices!$C$2:$C$151,"standard_deposit",invoices!$H$2:$H$151,"&gt;0")=0,"",SUMIFS(invoices!$I$2:$I$151,invoices!$B$2:$B$151,$A51,invoices!$C$2:$C$151,"standard_deposit")))</f>
        <v/>
      </c>
      <c r="DD51" s="26">
        <f>IF($A51="","",IFERROR(1/(1/SUMPRODUCT(MAX((invoices!$B$2:$B$151=$A51)*(invoices!$C$2:$C$151="standard_deposit")*invoices!$H$2:$H$151))),""))</f>
        <v/>
      </c>
      <c r="DE51" s="26">
        <f>IF($A51="","",IFERROR(1/(1/SUMPRODUCT(MAX((invoices!$B$2:$B$151=$A51)*((invoices!$C$2:$C$151="founding_full")+(invoices!$C$2:$C$151="standard_balance"))*invoices!$H$2:$H$151))),""))</f>
        <v/>
      </c>
      <c r="DF51" s="27">
        <f>IF($A51="","",SUMIFS(invoices!$L$2:$L$151,invoices!$B$2:$B$151,$A51))</f>
        <v/>
      </c>
      <c r="DG51" s="27">
        <f>IF($A51="","",SUMIFS(costs!$E$2:$E$301,costs!$C$2:$C$301,$A51))</f>
        <v/>
      </c>
      <c r="DH51" s="27">
        <f>IF($A51="","",ROUND(IF(SUMIFS(campaigns!$BO$2:$BO$51,campaigns!$B$2:$B$51,$B51)=0,0,$BO51/SUMIFS(campaigns!$BO$2:$BO$51,campaigns!$B$2:$B$51,$B51))*(SUMIFS(costs!$E$2:$E$301,costs!$B$2:$B$301,$B51)-SUMPRODUCT((costs!$B$2:$B$301=$B51)*(LEN(costs!$C$2:$C$301)&gt;0)*costs!$E$2:$E$301)),2))</f>
        <v/>
      </c>
      <c r="DI51" s="28">
        <f>IF($A51="","",SUMIFS(hours!$E$2:$E$1501,hours!$C$2:$C$1501,$A51))</f>
        <v/>
      </c>
      <c r="DJ51" s="28">
        <f>IF($A51="","",ROUND(IF(SUMIFS(campaigns!$BO$2:$BO$51,campaigns!$B$2:$B$51,$B51)=0,0,$BO51/SUMIFS(campaigns!$BO$2:$BO$51,campaigns!$B$2:$B$51,$B51))*(SUMIFS(hours!$E$2:$E$1501,hours!$B$2:$B$1501,$B51)-SUMPRODUCT((hours!$B$2:$B$1501=$B51)*(LEN(hours!$C$2:$C$1501)&gt;0)*hours!$E$2:$E$1501)),2))</f>
        <v/>
      </c>
      <c r="DK51" s="27">
        <f>IF($A51="","",$DB51-$DF51-$DG51-$DH51)</f>
        <v/>
      </c>
      <c r="DL51" s="27">
        <f>IF($A51="","",IF(N($DI51)+N($DJ51)=0,"",ROUND($DK51/($DI51+$DJ51),2)))</f>
        <v/>
      </c>
      <c r="DM51" s="29">
        <f>IF($A51="","",IF(N($BP51)=0,"",COUNTIFS(approvals!$A$2:$A$251,$A51,approvals!$Q$2:$Q$251,"Y",approvals!$AK$2:$AK$251,"Y")/$BP51))</f>
        <v/>
      </c>
      <c r="DN51" s="28">
        <f>IF($A51="","",IF(COUNTIFS(approvals!$A$2:$A$251,$A51,approvals!$AC$2:$AC$251,"&gt;=0")=0,"",ROUND(SUMIFS(approvals!$AC$2:$AC$251,approvals!$A$2:$A$251,$A51)/COUNTIFS(approvals!$A$2:$A$251,$A51,approvals!$AC$2:$AC$251,"&gt;=0"),1)))</f>
        <v/>
      </c>
      <c r="DO51" s="26">
        <f>IF($A51="","",IFERROR(IF(INDEX(drops!$T$2:$T$21,MATCH($B51,drops!$A$2:$A$21,0))="","",INDEX(drops!$T$2:$T$21,MATCH($B51,drops!$A$2:$A$21,0))),""))</f>
        <v/>
      </c>
      <c r="DP51" s="26">
        <f>IF($A51="","",IFERROR(IF(INDEX(drops!$U$2:$U$21,MATCH($B51,drops!$A$2:$A$21,0))="","",INDEX(drops!$U$2:$U$21,MATCH($B51,drops!$A$2:$A$21,0))),""))</f>
        <v/>
      </c>
      <c r="DQ51" s="26">
        <f>IF($A51="","",IFERROR(IF(INDEX(drops!$W$2:$W$21,MATCH($B51,drops!$A$2:$A$21,0))="","",INDEX(drops!$W$2:$W$21,MATCH($B51,drops!$A$2:$A$21,0))),""))</f>
        <v/>
      </c>
      <c r="DR51" s="25">
        <f>IF($A51="","",IF($CE51="","",IF($CE51&gt;=config!$B$31,"pass","miss")))</f>
        <v/>
      </c>
      <c r="DS51" s="25">
        <f>IF($A51="","",IF($CI51="","",IF($CI51&gt;=config!$B$30,"pass","miss")))</f>
        <v/>
      </c>
      <c r="DT51" s="25">
        <f>IF($A51="","",IF($AT51="",IF($DO51="","",IF(IF(config!$B$37&lt;&gt;"",config!$B$37,TODAY())&gt;$DO51,"late","due")),IF($AT51&lt;=$DO51,"pass","late")))</f>
        <v/>
      </c>
      <c r="DU51" s="25">
        <f>IF($A51="","",IF(COUNTIF(drops!$A$2:$A$21,$B51)=0,"drop_id not on drops; ",IF($BG51="","drop date missing or refused; ",""))&amp;IF(AND($G51&lt;&gt;"",$G51&lt;&gt;$BI51),"price differs from the price list; ","")&amp;IF(AND(LEFT($BW51,4)="HOLD",$BL51&lt;&gt;"",IF(config!$B$37&lt;&gt;"",config!$B$37,TODAY())&gt;=WORKDAY(N($BL51),-3,calendar!$A$2:$A$80)),"SHIP HOLD within 3 business days of T-10; ","")&amp;IF(AND($BQ51&gt;0,$BL51&lt;&gt;"",IF(config!$B$37&lt;&gt;"",config!$B$37,TODAY())&gt;$BL51),"approvals still pending after T-10; ","")&amp;IF($BZ51&lt;0,"reserve below zero: check inventory; ","")&amp;IF(AND($BG51&lt;&gt;"",IF(config!$B$37&lt;&gt;"",config!$B$37,TODAY())&gt;WORKDAY(N($BG51),14,calendar!$A$2:$A$80),N($BZ51)+N($CA51)&lt;&gt;0),"units still on hand after T+14; ","")&amp;IF(N($CV51)&gt;0,"info: "&amp;$CV51&amp;" in-window responses with a card code that matches no office (not counted); ","")&amp;IF(AND($Z51="Y",$AK51=""),"newsletter form URL missing; ","")&amp;IF(AND($Z51="Y",$BG51&lt;&gt;"",IF(config!$B$37&lt;&gt;"",config!$B$37,TODAY())&gt;WORKDAY(N($BG51),5,calendar!$A$2:$A$80),$AY51=""),"newsletter list not yet passed on (due T+5); ","")&amp;IF(AND($AY51&lt;&gt;"",$BA51=""),"delete unticked emails; ","")&amp;IF(AND($AY51&lt;&gt;"",$BB51="",IF(config!$B$37&lt;&gt;"",config!$B$37,TODAY())&gt;$AY51+config!$B$32),"DELETE the consented emails (30 days after passing on); ","")&amp;IF(AND($BG51&lt;&gt;"",$AJ51="",IF(config!$B$37&lt;&gt;"",config!$B$37,TODAY())&gt;=WORKDAY(N($BG51),-4,calendar!$A$2:$A$80)),"survey prefill template missing (due T-4); ","")&amp;IF(AND($AJ51&lt;&gt;"",ISERROR(SEARCH("CARDCODE",$AJ51))),"prefill template has no CARDCODE; ","")&amp;IF(AND($AF51="",$BG51&lt;&gt;"",IF(config!$B$37&lt;&gt;"",config!$B$37,TODAY())&gt;=WORKDAY(N($BG51),-3,calendar!$A$2:$A$80)),"card text not yet sent to the brand; ","")&amp;IF(AND($DA51="",$DQ51&lt;&gt;"",IF(config!$B$37&lt;&gt;"",config!$B$37,TODAY())&gt;$DQ51),"day-30 redemption count due; ","")&amp;IF(AND(LEFT($BW51,8)="RELEASED",$AG51=""),"ship-date email due (template 02): send it, then log ship_email_sent_date and ship_email_units; ","")&amp;IF(AND($AH51&lt;&gt;"",N($BT51)&gt;0,N($BX51)=0,N($AH51)&lt;&gt;N($BT51)),"units changed since the ship-date email of "&amp;IF($AG51="","?",TEXT($AG51,"yyyy-mm-dd"))&amp;" ("&amp;$AH51&amp;", now "&amp;$BT51&amp;"): send the brand the revised numbers (template 02) and log them; ","")&amp;IF($DT51="late","report late; ","")&amp;IF(AND(N($F51)&gt;0,$BO51&lt;N($F51),$BQ51=0),"info: "&amp;(N($F51)-$BO51)&amp;" office(s) short of the contract: add a roster office or credit $"&amp;IF($D51="founding",config!$B$25,config!$B$24)&amp;" each; ","")&amp;IF($BC51&lt;&gt;"",IF(COUNTIF(survey_frozen!$A$2:$A$251,$A51)=0,"answers deleted but no frozen totals: the survey numbers now read 0 (tools/freeze_survey.py, SOP answers_delete); ",""),IF(AND($BG51&lt;&gt;"",IF(config!$B$37&lt;&gt;"",config!$B$37,TODAY())&gt;=$BG51,ISREF(INDIRECT("'"&amp;$A51&amp;"'!B1"))),IF(INDIRECT("'"&amp;$A51&amp;"'!B1")&lt;&gt;"Card code (filled in for you)","survey tab column B is not the card code: fix the form or the tab; ",""),IF(AND($BG51&lt;&gt;"",IF(config!$B$37&lt;&gt;"",config!$B$37,TODAY())&gt;=$BG51),"no survey tab named "&amp;$A51&amp;"; ","")))&amp;IF(COUNTIF(brands!$A$2:$A$41,$C51)=0,"brand_id not on brands; ",IF(LEFT(IFERROR(IF(INDEX(brands!$AG$2:$AG$41,MATCH($C51,brands!$A$2:$A$41,0))="","",INDEX(brands!$AG$2:$AG$41,MATCH($C51,brands!$A$2:$A$41,0))),""),1)&lt;&gt;"Y","brand not qualified ("&amp;IFERROR(IF(INDEX(brands!$AG$2:$AG$41,MATCH($C51,brands!$A$2:$A$41,0))="","",INDEX(brands!$AG$2:$AG$41,MATCH($C51,brands!$A$2:$A$41,0))),"")&amp;"): nothing ships until it is; ",""))&amp;IF(AND(COUNTIF(brands!$A$2:$A$41,$C51)&gt;0,OR(IFERROR(IF(INDEX(brands!$C$2:$C$41,MATCH($C51,brands!$A$2:$A$41,0))="","",INDEX(brands!$C$2:$C$41,MATCH($C51,brands!$A$2:$A$41,0))),"")="",IFERROR(IF(INDEX(brands!$D$2:$D$41,MATCH($C51,brands!$A$2:$A$41,0))="","",INDEX(brands!$D$2:$D$41,MATCH($C51,brands!$A$2:$A$41,0))),"")="",IFERROR(IF(INDEX(brands!$E$2:$E$41,MATCH($C51,brands!$A$2:$A$41,0))="","",INDEX(brands!$E$2:$E$41,MATCH($C51,brands!$A$2:$A$41,0))),"")="")),"brand billing details missing on brands (legal name, address, email): needed for the invoice; ","")&amp;IF(AND($D51="founding",$E51&lt;&gt;"Y",N(IFERROR(IF(INDEX(brands!$AI$2:$AI$41,MATCH($C51,brands!$A$2:$A$41,0))="","",INDEX(brands!$AI$2:$AI$41,MATCH($C51,brands!$A$2:$A$41,0))),""))&gt;3),"the founding tier is for the first three brands only (this is brand "&amp;IFERROR(IF(INDEX(brands!$AI$2:$AI$41,MATCH($C51,brands!$A$2:$A$41,0))="","",INDEX(brands!$AI$2:$AI$41,MATCH($C51,brands!$A$2:$A$41,0))),"")&amp;"): use standard; ","")&amp;IF(AND($D51="founding",$E51&lt;&gt;"Y",COUNTIFS(campaigns!$C$2:$C$51,$C51,campaigns!$D$2:$D$51,"founding",campaigns!$E$2:$E$51,"&lt;&gt;Y")&gt;1),"a brand has the founding price once; its next two campaigns are founding_lock = Y; ","")&amp;IF(AND($E51="Y",COUNTIFS(campaigns!$C$2:$C$51,$C51,campaigns!$D$2:$D$51,"founding",campaigns!$E$2:$E$51,"Y")&gt;2),"founding_lock is for the brand's next two campaigns only (this is a third): use standard; ","")&amp;IF(AND($E51="Y",COUNTIFS(campaigns!$C$2:$C$51,$C51,campaigns!$D$2:$D$51,"founding",campaigns!$E$2:$E$51,"&lt;&gt;Y")=0),"founding_lock without a first founding campaign for this brand; ","")&amp;IF(AND(N($BX51)&gt;0,$BG51&lt;&gt;"",IF(config!$B$37&lt;&gt;"",config!$B$37,TODAY())&gt;=WORKDAY(N($BG51),-5,calendar!$A$2:$A$80)),IF(N($BX51)-N($BY51)&lt;N($BR51),"received "&amp;(N($BX51)-N($BY51))&amp;" usable units for "&amp;$BR51&amp;" allocated: reduce units_override evenly (SOP section 4, short shipment); ","")&amp;IF(AND(N($BX51)&lt;N($BT51),COUNTIFS(issues!$E$2:$E$121,$A51,issues!$G$2:$G$121,"short_shipment")=0),"received "&amp;$BX51&amp;" of "&amp;$BT51&amp;" due: log a short_shipment issue and tell the brand today; ",""),"")&amp;IF(AND($BG51&lt;&gt;"",IF(config!$B$37&lt;&gt;"",config!$B$37,TODAY())&gt;=WORKDAY(N($BG51),1,calendar!$A$2:$A$80),N($F51)&gt;0,(-SUMIFS(invoices!$E$2:$E$151,invoices!$B$2:$B$151,$A51,invoices!$C$2:$C$151,"credit_note"))&lt;(IF($D51="founding",config!$B$25,config!$B$24)*MAX(0,N($F51)-COUNTIFS(approvals!$A$2:$A$251,$A51,approvals!$Q$2:$Q$251,"Y",approvals!$AB$2:$AB$251,"Y")))-0.005),"credit due from T+1: "&amp;MAX(0,N($F51)-COUNTIFS(approvals!$A$2:$A$251,$A51,approvals!$Q$2:$Q$251,"Y",approvals!$AB$2:$AB$251,"Y"))&amp;" of "&amp;$F51&amp;" contracted offices not placed by T+1, $"&amp;(IF($D51="founding",config!$B$25,config!$B$24)*MAX(0,N($F51)-COUNTIFS(approvals!$A$2:$A$251,$A51,approvals!$Q$2:$Q$251,"Y",approvals!$AB$2:$AB$251,"Y")))&amp;" due, $"&amp;(-SUMIFS(invoices!$E$2:$E$151,invoices!$B$2:$B$151,$A51,invoices!$C$2:$C$151,"credit_note"))&amp;" in credit notes so far (template 06, make_invoice.py); ","")&amp;IF(AND(IFERROR(IF(INDEX(brands!$H$2:$H$41,MATCH($C51,brands!$A$2:$A$41,0))="","",INDEX(brands!$H$2:$H$41,MATCH($C51,brands!$A$2:$A$41,0))),"")&lt;&gt;"",$BG51&lt;&gt;"",IFERROR(IF(INDEX(brands!$H$2:$H$41,MATCH($C51,brands!$A$2:$A$41,0))="","",INDEX(brands!$H$2:$H$41,MATCH($C51,brands!$A$2:$A$41,0))),"")&lt;EDATE(WORKDAY(N($BG51),4,calendar!$A$2:$A$80),12)),"info: brand insurance ends "&amp;TEXT(IFERROR(IF(INDEX(brands!$H$2:$H$41,MATCH($C51,brands!$A$2:$A$41,0))="","",INDEX(brands!$H$2:$H$41,MATCH($C51,brands!$A$2:$A$41,0))),""),"yyyy-mm-dd")&amp;": diary the renewal certificate; ",""))</f>
        <v/>
      </c>
    </row>
  </sheetData>
  <conditionalFormatting sqref="DU2:DU51">
    <cfRule type="expression" priority="1" dxfId="1">
      <formula>LEN(DU2)&gt;0</formula>
    </cfRule>
  </conditionalFormatting>
  <dataValidations count="9">
    <dataValidation sqref="D2:D51" showDropDown="0" showInputMessage="0" showErrorMessage="1" allowBlank="1" errorTitle="Not on the list" error="Pick a value from the list." type="list">
      <formula1>"founding,standard"</formula1>
    </dataValidation>
    <dataValidation sqref="E2:E51" showDropDown="0" showInputMessage="0" showErrorMessage="1" allowBlank="1" errorTitle="Not on the list" error="Pick a value from the list." type="list">
      <formula1>"Y,N"</formula1>
    </dataValidation>
    <dataValidation sqref="M2:M51" showDropDown="0" showInputMessage="0" showErrorMessage="1" allowBlank="1" errorTitle="Not on the list" error="Pick a value from the list." type="list">
      <formula1>"contains_statement,ingredient_list,single_ingredient"</formula1>
    </dataValidation>
    <dataValidation sqref="R2:R51" showDropDown="0" showInputMessage="0" showErrorMessage="1" allowBlank="1" errorTitle="Not on the list" error="Pick a value from the list." type="list">
      <formula1>"contains_statement,ingredient_list,single_ingredient"</formula1>
    </dataValidation>
    <dataValidation sqref="Y2:Y51" showDropDown="0" showInputMessage="0" showErrorMessage="1" allowBlank="1" errorTitle="Not on the list" error="Pick a value from the list." type="list">
      <formula1>"return,release"</formula1>
    </dataValidation>
    <dataValidation sqref="Z2:Z51" showDropDown="0" showInputMessage="0" showErrorMessage="1" allowBlank="1" errorTitle="Not on the list" error="Pick a value from the list." type="list">
      <formula1>"Y,N"</formula1>
    </dataValidation>
    <dataValidation sqref="AR2:AR51" showDropDown="0" showInputMessage="0" showErrorMessage="1" allowBlank="1" errorTitle="Not on the list" error="Pick a value from the list." type="list">
      <formula1>"Y,N"</formula1>
    </dataValidation>
    <dataValidation sqref="AV2:AV51" showDropDown="0" showInputMessage="0" showErrorMessage="1" allowBlank="1" errorTitle="Not on the list" error="Pick a value from the list." type="list">
      <formula1>"yes,maybe,no"</formula1>
    </dataValidation>
    <dataValidation sqref="AW2:AW51" showDropDown="0" showInputMessage="0" showErrorMessage="1" allowBlank="1" errorTitle="Not on the list" error="Pick a value from the list." type="list">
      <formula1>"Y,N,pending"</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DDEBF7"/>
    <outlinePr summaryBelow="1" summaryRight="1"/>
    <pageSetUpPr/>
  </sheetPr>
  <dimension ref="A1:AJ4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2" customWidth="1" min="2" max="2"/>
    <col width="20" customWidth="1" min="3" max="3"/>
    <col width="24" customWidth="1" min="4" max="4"/>
    <col width="22" customWidth="1" min="5" max="5"/>
    <col width="14" customWidth="1" min="6" max="6"/>
    <col width="14" customWidth="1" min="7" max="7"/>
    <col width="14" customWidth="1" min="8" max="8"/>
    <col width="14" customWidth="1" min="9" max="9"/>
    <col width="24" customWidth="1" min="10" max="10"/>
    <col width="18" customWidth="1" min="11" max="11"/>
    <col width="18" customWidth="1" min="12" max="12"/>
    <col width="14" customWidth="1" min="13" max="13"/>
    <col width="22" customWidth="1" min="14" max="14"/>
    <col width="14" customWidth="1" min="15" max="15"/>
    <col width="14" customWidth="1" min="16" max="16"/>
    <col width="14" customWidth="1" min="17" max="17"/>
    <col width="20" customWidth="1" min="18" max="18"/>
    <col width="14" customWidth="1" min="19" max="19"/>
    <col width="18" customWidth="1" min="20" max="20"/>
    <col width="22" customWidth="1" min="21" max="21"/>
    <col width="14" customWidth="1" min="22" max="22"/>
    <col width="18" customWidth="1" min="23" max="23"/>
    <col width="14" customWidth="1" min="24" max="24"/>
    <col width="14" customWidth="1" min="25" max="25"/>
    <col width="14" customWidth="1" min="26" max="26"/>
    <col width="14" customWidth="1" min="27" max="27"/>
    <col width="14" customWidth="1" min="28" max="28"/>
    <col width="14" customWidth="1" min="29" max="29"/>
    <col width="22" customWidth="1" min="30" max="30"/>
    <col width="14" customWidth="1" min="31" max="31"/>
    <col width="8" customWidth="1" min="32" max="32"/>
    <col width="10" customWidth="1" min="33" max="33"/>
    <col width="8" customWidth="1" min="34" max="34"/>
    <col width="8" customWidth="1" min="35" max="35"/>
    <col width="34" customWidth="1" min="36" max="36"/>
  </cols>
  <sheetData>
    <row r="1">
      <c r="A1" s="23" t="inlineStr">
        <is>
          <t>brand_id</t>
        </is>
      </c>
      <c r="B1" s="23" t="inlineStr">
        <is>
          <t>intake_key</t>
        </is>
      </c>
      <c r="C1" s="23" t="inlineStr">
        <is>
          <t>brand_legal_name</t>
        </is>
      </c>
      <c r="D1" s="23" t="inlineStr">
        <is>
          <t>billing_address</t>
        </is>
      </c>
      <c r="E1" s="23" t="inlineStr">
        <is>
          <t>billing_email</t>
        </is>
      </c>
      <c r="F1" s="23" t="inlineStr">
        <is>
          <t>retailer_evidence_grade</t>
        </is>
      </c>
      <c r="G1" s="23" t="inlineStr">
        <is>
          <t>coi_check_ok</t>
        </is>
      </c>
      <c r="H1" s="23" t="inlineStr">
        <is>
          <t>coi_policy_end_date</t>
        </is>
      </c>
      <c r="I1" s="23" t="inlineStr">
        <is>
          <t>status</t>
        </is>
      </c>
      <c r="J1" s="23" t="inlineStr">
        <is>
          <t>notes</t>
        </is>
      </c>
      <c r="K1" s="24" t="inlineStr">
        <is>
          <t>brand_name</t>
        </is>
      </c>
      <c r="L1" s="24" t="inlineStr">
        <is>
          <t>website</t>
        </is>
      </c>
      <c r="M1" s="24" t="inlineStr">
        <is>
          <t>category</t>
        </is>
      </c>
      <c r="N1" s="24" t="inlineStr">
        <is>
          <t>product_sku</t>
        </is>
      </c>
      <c r="O1" s="24" t="inlineStr">
        <is>
          <t>hq_city</t>
        </is>
      </c>
      <c r="P1" s="24" t="inlineStr">
        <is>
          <t>contact_name</t>
        </is>
      </c>
      <c r="Q1" s="24" t="inlineStr">
        <is>
          <t>contact_title</t>
        </is>
      </c>
      <c r="R1" s="24" t="inlineStr">
        <is>
          <t>contact_email</t>
        </is>
      </c>
      <c r="S1" s="24" t="inlineStr">
        <is>
          <t>contact_phone</t>
        </is>
      </c>
      <c r="T1" s="24" t="inlineStr">
        <is>
          <t>online_store_url</t>
        </is>
      </c>
      <c r="U1" s="24" t="inlineStr">
        <is>
          <t>nyc_retailers</t>
        </is>
      </c>
      <c r="V1" s="24" t="inlineStr">
        <is>
          <t>can_issue_discount_code</t>
        </is>
      </c>
      <c r="W1" s="24" t="inlineStr">
        <is>
          <t>budget_approver_name_title</t>
        </is>
      </c>
      <c r="X1" s="24" t="inlineStr">
        <is>
          <t>q1_sealed_shelf_stable_60d</t>
        </is>
      </c>
      <c r="Y1" s="24" t="inlineStr">
        <is>
          <t>q2_labeled_ingredients_allergens</t>
        </is>
      </c>
      <c r="Z1" s="24" t="inlineStr">
        <is>
          <t>q3_buy_path_near_cluster</t>
        </is>
      </c>
      <c r="AA1" s="24" t="inlineStr">
        <is>
          <t>q4_can_ship_275_in_10bd</t>
        </is>
      </c>
      <c r="AB1" s="24" t="inlineStr">
        <is>
          <t>q5_product_liability_insurance</t>
        </is>
      </c>
      <c r="AC1" s="24" t="inlineStr">
        <is>
          <t>q6_contact_can_approve_600</t>
        </is>
      </c>
      <c r="AD1" s="24" t="inlineStr">
        <is>
          <t>q7_why_now</t>
        </is>
      </c>
      <c r="AE1" s="24" t="inlineStr">
        <is>
          <t>excluded_category_confirmed</t>
        </is>
      </c>
      <c r="AF1" s="24" t="inlineStr">
        <is>
          <t>checks_yes</t>
        </is>
      </c>
      <c r="AG1" s="24" t="inlineStr">
        <is>
          <t>qualified</t>
        </is>
      </c>
      <c r="AH1" s="24" t="inlineStr">
        <is>
          <t>campaigns</t>
        </is>
      </c>
      <c r="AI1" s="24" t="inlineStr">
        <is>
          <t>founding_rank</t>
        </is>
      </c>
      <c r="AJ1" s="24" t="inlineStr">
        <is>
          <t>e_payment_check</t>
        </is>
      </c>
    </row>
    <row r="2">
      <c r="A2" t="inlineStr">
        <is>
          <t>SAMPLE-BR-001</t>
        </is>
      </c>
      <c r="B2" s="30" t="inlineStr">
        <is>
          <t>2026-11-10T09:14:08-05:00</t>
        </is>
      </c>
      <c r="C2" t="inlineStr">
        <is>
          <t>SAMPLE Brightside Foods LLC</t>
        </is>
      </c>
      <c r="D2" t="inlineStr">
        <is>
          <t>SAMPLE 1 Example Plaza, Example City</t>
        </is>
      </c>
      <c r="E2" t="inlineStr">
        <is>
          <t>SAMPLE-ap-001@example.com</t>
        </is>
      </c>
      <c r="F2" t="inlineStr">
        <is>
          <t>brand_claim</t>
        </is>
      </c>
      <c r="G2" t="inlineStr">
        <is>
          <t>Y</t>
        </is>
      </c>
      <c r="H2" s="9" t="n">
        <v>46568</v>
      </c>
      <c r="I2" t="inlineStr">
        <is>
          <t>active</t>
        </is>
      </c>
      <c r="K2" s="25">
        <f>IF($B2="","",IF(COUNTIF(brand_intake!$A$2:$A$401,$B2)&gt;0,IFERROR(IF(INDEX(brand_intake!$C$2:$C$401,MATCH($B2,brand_intake!$A$2:$A$401,0))="","",INDEX(brand_intake!$C$2:$C$401,MATCH($B2,brand_intake!$A$2:$A$401,0))),""),IFERROR(IF(INDEX(brand_intake_founder!$C$2:$C$81,MATCH($B2,brand_intake_founder!$A$2:$A$81,0))="","",INDEX(brand_intake_founder!$C$2:$C$81,MATCH($B2,brand_intake_founder!$A$2:$A$81,0))),"")))</f>
        <v/>
      </c>
      <c r="L2" s="25">
        <f>IF($B2="","",IF(COUNTIF(brand_intake!$A$2:$A$401,$B2)&gt;0,IFERROR(IF(INDEX(brand_intake!$D$2:$D$401,MATCH($B2,brand_intake!$A$2:$A$401,0))="","",INDEX(brand_intake!$D$2:$D$401,MATCH($B2,brand_intake!$A$2:$A$401,0))),""),IFERROR(IF(INDEX(brand_intake_founder!$D$2:$D$81,MATCH($B2,brand_intake_founder!$A$2:$A$81,0))="","",INDEX(brand_intake_founder!$D$2:$D$81,MATCH($B2,brand_intake_founder!$A$2:$A$81,0))),"")))</f>
        <v/>
      </c>
      <c r="M2" s="25">
        <f>IF($B2="","",IF(COUNTIF(brand_intake!$A$2:$A$401,$B2)&gt;0,IFERROR(IF(INDEX(brand_intake!$J$2:$J$401,MATCH($B2,brand_intake!$A$2:$A$401,0))="","",INDEX(brand_intake!$J$2:$J$401,MATCH($B2,brand_intake!$A$2:$A$401,0))),""),IFERROR(IF(INDEX(brand_intake_founder!$J$2:$J$81,MATCH($B2,brand_intake_founder!$A$2:$A$81,0))="","",INDEX(brand_intake_founder!$J$2:$J$81,MATCH($B2,brand_intake_founder!$A$2:$A$81,0))),"")))</f>
        <v/>
      </c>
      <c r="N2" s="25">
        <f>IF($B2="","",IF(COUNTIF(brand_intake!$A$2:$A$401,$B2)&gt;0,IFERROR(IF(INDEX(brand_intake!$I$2:$I$401,MATCH($B2,brand_intake!$A$2:$A$401,0))="","",INDEX(brand_intake!$I$2:$I$401,MATCH($B2,brand_intake!$A$2:$A$401,0))),""),IFERROR(IF(INDEX(brand_intake_founder!$I$2:$I$81,MATCH($B2,brand_intake_founder!$A$2:$A$81,0))="","",INDEX(brand_intake_founder!$I$2:$I$81,MATCH($B2,brand_intake_founder!$A$2:$A$81,0))),"")))</f>
        <v/>
      </c>
      <c r="O2" s="25">
        <f>IF($B2="","",IF(COUNTIF(brand_intake!$A$2:$A$401,$B2)&gt;0,IFERROR(IF(INDEX(brand_intake!$K$2:$K$401,MATCH($B2,brand_intake!$A$2:$A$401,0))="","",INDEX(brand_intake!$K$2:$K$401,MATCH($B2,brand_intake!$A$2:$A$401,0))),""),IFERROR(IF(INDEX(brand_intake_founder!$K$2:$K$81,MATCH($B2,brand_intake_founder!$A$2:$A$81,0))="","",INDEX(brand_intake_founder!$K$2:$K$81,MATCH($B2,brand_intake_founder!$A$2:$A$81,0))),"")))</f>
        <v/>
      </c>
      <c r="P2" s="25">
        <f>IF($B2="","",IF(COUNTIF(brand_intake!$A$2:$A$401,$B2)&gt;0,IFERROR(IF(INDEX(brand_intake!$E$2:$E$401,MATCH($B2,brand_intake!$A$2:$A$401,0))="","",INDEX(brand_intake!$E$2:$E$401,MATCH($B2,brand_intake!$A$2:$A$401,0))),""),IFERROR(IF(INDEX(brand_intake_founder!$E$2:$E$81,MATCH($B2,brand_intake_founder!$A$2:$A$81,0))="","",INDEX(brand_intake_founder!$E$2:$E$81,MATCH($B2,brand_intake_founder!$A$2:$A$81,0))),"")))</f>
        <v/>
      </c>
      <c r="Q2" s="25">
        <f>IF($B2="","",IF(COUNTIF(brand_intake!$A$2:$A$401,$B2)&gt;0,IFERROR(IF(INDEX(brand_intake!$F$2:$F$401,MATCH($B2,brand_intake!$A$2:$A$401,0))="","",INDEX(brand_intake!$F$2:$F$401,MATCH($B2,brand_intake!$A$2:$A$401,0))),""),IFERROR(IF(INDEX(brand_intake_founder!$F$2:$F$81,MATCH($B2,brand_intake_founder!$A$2:$A$81,0))="","",INDEX(brand_intake_founder!$F$2:$F$81,MATCH($B2,brand_intake_founder!$A$2:$A$81,0))),"")))</f>
        <v/>
      </c>
      <c r="R2" s="25">
        <f>IF($B2="","",IF(COUNTIF(brand_intake!$A$2:$A$401,$B2)&gt;0,IFERROR(IF(INDEX(brand_intake!$G$2:$G$401,MATCH($B2,brand_intake!$A$2:$A$401,0))="","",INDEX(brand_intake!$G$2:$G$401,MATCH($B2,brand_intake!$A$2:$A$401,0))),""),IFERROR(IF(INDEX(brand_intake_founder!$G$2:$G$81,MATCH($B2,brand_intake_founder!$A$2:$A$81,0))="","",INDEX(brand_intake_founder!$G$2:$G$81,MATCH($B2,brand_intake_founder!$A$2:$A$81,0))),"")))</f>
        <v/>
      </c>
      <c r="S2" s="25">
        <f>IF($B2="","",IF(COUNTIF(brand_intake!$A$2:$A$401,$B2)&gt;0,IFERROR(IF(INDEX(brand_intake!$H$2:$H$401,MATCH($B2,brand_intake!$A$2:$A$401,0))="","",INDEX(brand_intake!$H$2:$H$401,MATCH($B2,brand_intake!$A$2:$A$401,0))),""),IFERROR(IF(INDEX(brand_intake_founder!$H$2:$H$81,MATCH($B2,brand_intake_founder!$A$2:$A$81,0))="","",INDEX(brand_intake_founder!$H$2:$H$81,MATCH($B2,brand_intake_founder!$A$2:$A$81,0))),"")))</f>
        <v/>
      </c>
      <c r="T2" s="25">
        <f>IF($B2="","",IF(COUNTIF(brand_intake!$A$2:$A$401,$B2)&gt;0,IFERROR(IF(INDEX(brand_intake!$M$2:$M$401,MATCH($B2,brand_intake!$A$2:$A$401,0))="","",INDEX(brand_intake!$M$2:$M$401,MATCH($B2,brand_intake!$A$2:$A$401,0))),""),IFERROR(IF(INDEX(brand_intake_founder!$M$2:$M$81,MATCH($B2,brand_intake_founder!$A$2:$A$81,0))="","",INDEX(brand_intake_founder!$M$2:$M$81,MATCH($B2,brand_intake_founder!$A$2:$A$81,0))),"")))</f>
        <v/>
      </c>
      <c r="U2" s="25">
        <f>IF($B2="","",IF(COUNTIF(brand_intake!$A$2:$A$401,$B2)&gt;0,IFERROR(IF(INDEX(brand_intake!$L$2:$L$401,MATCH($B2,brand_intake!$A$2:$A$401,0))="","",INDEX(brand_intake!$L$2:$L$401,MATCH($B2,brand_intake!$A$2:$A$401,0))),""),IFERROR(IF(INDEX(brand_intake_founder!$L$2:$L$81,MATCH($B2,brand_intake_founder!$A$2:$A$81,0))="","",INDEX(brand_intake_founder!$L$2:$L$81,MATCH($B2,brand_intake_founder!$A$2:$A$81,0))),"")))</f>
        <v/>
      </c>
      <c r="V2" s="25">
        <f>IF($B2="","",IF(COUNTIF(brand_intake!$A$2:$A$401,$B2)&gt;0,IFERROR(IF(INDEX(brand_intake!$N$2:$N$401,MATCH($B2,brand_intake!$A$2:$A$401,0))="","",INDEX(brand_intake!$N$2:$N$401,MATCH($B2,brand_intake!$A$2:$A$401,0))),""),IFERROR(IF(INDEX(brand_intake_founder!$N$2:$N$81,MATCH($B2,brand_intake_founder!$A$2:$A$81,0))="","",INDEX(brand_intake_founder!$N$2:$N$81,MATCH($B2,brand_intake_founder!$A$2:$A$81,0))),"")))</f>
        <v/>
      </c>
      <c r="W2" s="25">
        <f>IF($B2="","",IF(COUNTIF(brand_intake!$A$2:$A$401,$B2)&gt;0,IFERROR(IF(INDEX(brand_intake!$Q$2:$Q$401,MATCH($B2,brand_intake!$A$2:$A$401,0))="","",INDEX(brand_intake!$Q$2:$Q$401,MATCH($B2,brand_intake!$A$2:$A$401,0))),""),IFERROR(IF(INDEX(brand_intake_founder!$Q$2:$Q$81,MATCH($B2,brand_intake_founder!$A$2:$A$81,0))="","",INDEX(brand_intake_founder!$Q$2:$Q$81,MATCH($B2,brand_intake_founder!$A$2:$A$81,0))),"")))</f>
        <v/>
      </c>
      <c r="X2" s="25">
        <f>IF($B2="","",IF(COUNTIF(brand_intake!$A$2:$A$401,$B2)&gt;0,IFERROR(IF(INDEX(brand_intake!$R$2:$R$401,MATCH($B2,brand_intake!$A$2:$A$401,0))="","",INDEX(brand_intake!$R$2:$R$401,MATCH($B2,brand_intake!$A$2:$A$401,0))),""),IFERROR(IF(INDEX(brand_intake_founder!$R$2:$R$81,MATCH($B2,brand_intake_founder!$A$2:$A$81,0))="","",INDEX(brand_intake_founder!$R$2:$R$81,MATCH($B2,brand_intake_founder!$A$2:$A$81,0))),"")))</f>
        <v/>
      </c>
      <c r="Y2" s="25">
        <f>IF($B2="","",IF(COUNTIF(brand_intake!$A$2:$A$401,$B2)&gt;0,IFERROR(IF(INDEX(brand_intake!$S$2:$S$401,MATCH($B2,brand_intake!$A$2:$A$401,0))="","",INDEX(brand_intake!$S$2:$S$401,MATCH($B2,brand_intake!$A$2:$A$401,0))),""),IFERROR(IF(INDEX(brand_intake_founder!$S$2:$S$81,MATCH($B2,brand_intake_founder!$A$2:$A$81,0))="","",INDEX(brand_intake_founder!$S$2:$S$81,MATCH($B2,brand_intake_founder!$A$2:$A$81,0))),"")))</f>
        <v/>
      </c>
      <c r="Z2" s="25">
        <f>IF($B2="","",IF(COUNTIF(brand_intake!$A$2:$A$401,$B2)&gt;0,IFERROR(IF(INDEX(brand_intake!$T$2:$T$401,MATCH($B2,brand_intake!$A$2:$A$401,0))="","",INDEX(brand_intake!$T$2:$T$401,MATCH($B2,brand_intake!$A$2:$A$401,0))),""),IFERROR(IF(INDEX(brand_intake_founder!$T$2:$T$81,MATCH($B2,brand_intake_founder!$A$2:$A$81,0))="","",INDEX(brand_intake_founder!$T$2:$T$81,MATCH($B2,brand_intake_founder!$A$2:$A$81,0))),"")))</f>
        <v/>
      </c>
      <c r="AA2" s="25">
        <f>IF($B2="","",IF(COUNTIF(brand_intake!$A$2:$A$401,$B2)&gt;0,IFERROR(IF(INDEX(brand_intake!$U$2:$U$401,MATCH($B2,brand_intake!$A$2:$A$401,0))="","",INDEX(brand_intake!$U$2:$U$401,MATCH($B2,brand_intake!$A$2:$A$401,0))),""),IFERROR(IF(INDEX(brand_intake_founder!$U$2:$U$81,MATCH($B2,brand_intake_founder!$A$2:$A$81,0))="","",INDEX(brand_intake_founder!$U$2:$U$81,MATCH($B2,brand_intake_founder!$A$2:$A$81,0))),"")))</f>
        <v/>
      </c>
      <c r="AB2" s="25">
        <f>IF($B2="","",IF(COUNTIF(brand_intake!$A$2:$A$401,$B2)&gt;0,IFERROR(IF(INDEX(brand_intake!$V$2:$V$401,MATCH($B2,brand_intake!$A$2:$A$401,0))="","",INDEX(brand_intake!$V$2:$V$401,MATCH($B2,brand_intake!$A$2:$A$401,0))),""),IFERROR(IF(INDEX(brand_intake_founder!$V$2:$V$81,MATCH($B2,brand_intake_founder!$A$2:$A$81,0))="","",INDEX(brand_intake_founder!$V$2:$V$81,MATCH($B2,brand_intake_founder!$A$2:$A$81,0))),"")))</f>
        <v/>
      </c>
      <c r="AC2" s="25">
        <f>IF($B2="","",IF(COUNTIF(brand_intake!$A$2:$A$401,$B2)&gt;0,IFERROR(IF(INDEX(brand_intake!$W$2:$W$401,MATCH($B2,brand_intake!$A$2:$A$401,0))="","",INDEX(brand_intake!$W$2:$W$401,MATCH($B2,brand_intake!$A$2:$A$401,0))),""),IFERROR(IF(INDEX(brand_intake_founder!$W$2:$W$81,MATCH($B2,brand_intake_founder!$A$2:$A$81,0))="","",INDEX(brand_intake_founder!$W$2:$W$81,MATCH($B2,brand_intake_founder!$A$2:$A$81,0))),"")))</f>
        <v/>
      </c>
      <c r="AD2" s="25">
        <f>IF($B2="","",IF(COUNTIF(brand_intake!$A$2:$A$401,$B2)&gt;0,IFERROR(IF(INDEX(brand_intake!$X$2:$X$401,MATCH($B2,brand_intake!$A$2:$A$401,0))="","",INDEX(brand_intake!$X$2:$X$401,MATCH($B2,brand_intake!$A$2:$A$401,0))),""),IFERROR(IF(INDEX(brand_intake_founder!$X$2:$X$81,MATCH($B2,brand_intake_founder!$A$2:$A$81,0))="","",INDEX(brand_intake_founder!$X$2:$X$81,MATCH($B2,brand_intake_founder!$A$2:$A$81,0))),"")))</f>
        <v/>
      </c>
      <c r="AE2" s="25">
        <f>IF($B2="","",IF(COUNTIF(brand_intake!$A$2:$A$401,$B2)&gt;0,IFERROR(IF(INDEX(brand_intake!$Y$2:$Y$401,MATCH($B2,brand_intake!$A$2:$A$401,0))="","",INDEX(brand_intake!$Y$2:$Y$401,MATCH($B2,brand_intake!$A$2:$A$401,0))),""),IFERROR(IF(INDEX(brand_intake_founder!$Y$2:$Y$81,MATCH($B2,brand_intake_founder!$A$2:$A$81,0))="","",INDEX(brand_intake_founder!$Y$2:$Y$81,MATCH($B2,brand_intake_founder!$A$2:$A$81,0))),"")))</f>
        <v/>
      </c>
      <c r="AF2" s="25">
        <f>IF($B2="","",($X2="Y")+($Y2="Y")+($Z2="Y")+($AA2="Y")+($AB2="Y")+($AC2="Y")+(LEN($AD2)&gt;0))</f>
        <v/>
      </c>
      <c r="AG2" s="25">
        <f>IF($B2="","",IF(AND($AF2=7,$AE2="Y"),"Y (as answered)","N: check "&amp;IF($X2&lt;&gt;"Y","1 ","")&amp;IF($Y2&lt;&gt;"Y","2 ","")&amp;IF($Z2&lt;&gt;"Y","3 ","")&amp;IF($AA2&lt;&gt;"Y","4 ","")&amp;IF($AB2&lt;&gt;"Y","5 ","")&amp;IF($AC2&lt;&gt;"Y","6 ","")&amp;IF(LEN($AD2)=0,"7 ","")&amp;IF($AE2&lt;&gt;"Y","excluded? ","")))</f>
        <v/>
      </c>
      <c r="AH2" s="25">
        <f>IF($A2="","",COUNTIF(campaigns!$C$2:$C$51,$A2))</f>
        <v/>
      </c>
      <c r="AI2" s="25">
        <f>IF(OR($A2="",SUMIFS(campaigns!$H$2:$H$51,campaigns!$C$2:$C$51,$A2,campaigns!$D$2:$D$51,"founding",campaigns!$E$2:$E$51,"&lt;&gt;Y")=0),"",COUNTIFS(campaigns!$D$2:$D$51,"founding",campaigns!$E$2:$E$51,"&lt;&gt;Y",campaigns!$H$2:$H$51,"&lt;="&amp;SUMIFS(campaigns!$H$2:$H$51,campaigns!$C$2:$C$51,$A2,campaigns!$D$2:$D$51,"founding",campaigns!$E$2:$E$51,"&lt;&gt;Y"),campaigns!$H$2:$H$51,"&gt;0"))</f>
        <v/>
      </c>
      <c r="AJ2" s="25">
        <f>IF(OR($A2="",NOT(IFERROR(COUNTIF(INDEX(in_paid_brands!$A$2:$BZ$81,0,MATCH("brand_id",in_paid_brands!$A$1:$BZ$1,0)),$A2),0)&gt;0)),"",IF(IFERROR(IF(INDEX(in_paid_brands!$A$2:$BZ$81,MATCH($A2,INDEX(in_paid_brands!$A$2:$BZ$81,0,MATCH("brand_id",in_paid_brands!$A$1:$BZ$1,0)),0),MATCH("campaign_id",in_paid_brands!$A$1:$BZ$1,0))="","",INDEX(in_paid_brands!$A$2:$BZ$81,MATCH($A2,INDEX(in_paid_brands!$A$2:$BZ$81,0,MATCH("brand_id",in_paid_brands!$A$1:$BZ$1,0)),0),MATCH("campaign_id",in_paid_brands!$A$1:$BZ$1,0))),"")="","E's paid_brands row has no campaign_id: type the CMP-### there; ",IF(OR(ABS(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gt;0.005,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payment 1 differs: E "&amp;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amp;" on "&amp;IF(N(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0,"none",TEXT(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yyyy-mm-dd"))&amp;"; ","")&amp;IF(OR(ABS(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gt;0.005,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payment 2 differs: E "&amp;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amp;" on "&amp;IF(N(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0,"none",TEXT(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yyyy-mm-dd"))&amp;"; ","")))</f>
        <v/>
      </c>
    </row>
    <row r="3">
      <c r="A3" t="inlineStr">
        <is>
          <t>SAMPLE-BR-002</t>
        </is>
      </c>
      <c r="B3" s="30" t="inlineStr">
        <is>
          <t>2026-11-19T14:05:00</t>
        </is>
      </c>
      <c r="C3" t="inlineStr">
        <is>
          <t>SAMPLE Northbound Foods LLC</t>
        </is>
      </c>
      <c r="D3" t="inlineStr">
        <is>
          <t>SAMPLE 1 Example Plaza, Example City</t>
        </is>
      </c>
      <c r="E3" t="inlineStr">
        <is>
          <t>SAMPLE-ap-002@example.com</t>
        </is>
      </c>
      <c r="F3" t="inlineStr">
        <is>
          <t>brand_claim</t>
        </is>
      </c>
      <c r="G3" t="inlineStr">
        <is>
          <t>Y</t>
        </is>
      </c>
      <c r="H3" s="9" t="n">
        <v>46843</v>
      </c>
      <c r="I3" t="inlineStr">
        <is>
          <t>active</t>
        </is>
      </c>
      <c r="K3" s="25">
        <f>IF($B3="","",IF(COUNTIF(brand_intake!$A$2:$A$401,$B3)&gt;0,IFERROR(IF(INDEX(brand_intake!$C$2:$C$401,MATCH($B3,brand_intake!$A$2:$A$401,0))="","",INDEX(brand_intake!$C$2:$C$401,MATCH($B3,brand_intake!$A$2:$A$401,0))),""),IFERROR(IF(INDEX(brand_intake_founder!$C$2:$C$81,MATCH($B3,brand_intake_founder!$A$2:$A$81,0))="","",INDEX(brand_intake_founder!$C$2:$C$81,MATCH($B3,brand_intake_founder!$A$2:$A$81,0))),"")))</f>
        <v/>
      </c>
      <c r="L3" s="25">
        <f>IF($B3="","",IF(COUNTIF(brand_intake!$A$2:$A$401,$B3)&gt;0,IFERROR(IF(INDEX(brand_intake!$D$2:$D$401,MATCH($B3,brand_intake!$A$2:$A$401,0))="","",INDEX(brand_intake!$D$2:$D$401,MATCH($B3,brand_intake!$A$2:$A$401,0))),""),IFERROR(IF(INDEX(brand_intake_founder!$D$2:$D$81,MATCH($B3,brand_intake_founder!$A$2:$A$81,0))="","",INDEX(brand_intake_founder!$D$2:$D$81,MATCH($B3,brand_intake_founder!$A$2:$A$81,0))),"")))</f>
        <v/>
      </c>
      <c r="M3" s="25">
        <f>IF($B3="","",IF(COUNTIF(brand_intake!$A$2:$A$401,$B3)&gt;0,IFERROR(IF(INDEX(brand_intake!$J$2:$J$401,MATCH($B3,brand_intake!$A$2:$A$401,0))="","",INDEX(brand_intake!$J$2:$J$401,MATCH($B3,brand_intake!$A$2:$A$401,0))),""),IFERROR(IF(INDEX(brand_intake_founder!$J$2:$J$81,MATCH($B3,brand_intake_founder!$A$2:$A$81,0))="","",INDEX(brand_intake_founder!$J$2:$J$81,MATCH($B3,brand_intake_founder!$A$2:$A$81,0))),"")))</f>
        <v/>
      </c>
      <c r="N3" s="25">
        <f>IF($B3="","",IF(COUNTIF(brand_intake!$A$2:$A$401,$B3)&gt;0,IFERROR(IF(INDEX(brand_intake!$I$2:$I$401,MATCH($B3,brand_intake!$A$2:$A$401,0))="","",INDEX(brand_intake!$I$2:$I$401,MATCH($B3,brand_intake!$A$2:$A$401,0))),""),IFERROR(IF(INDEX(brand_intake_founder!$I$2:$I$81,MATCH($B3,brand_intake_founder!$A$2:$A$81,0))="","",INDEX(brand_intake_founder!$I$2:$I$81,MATCH($B3,brand_intake_founder!$A$2:$A$81,0))),"")))</f>
        <v/>
      </c>
      <c r="O3" s="25">
        <f>IF($B3="","",IF(COUNTIF(brand_intake!$A$2:$A$401,$B3)&gt;0,IFERROR(IF(INDEX(brand_intake!$K$2:$K$401,MATCH($B3,brand_intake!$A$2:$A$401,0))="","",INDEX(brand_intake!$K$2:$K$401,MATCH($B3,brand_intake!$A$2:$A$401,0))),""),IFERROR(IF(INDEX(brand_intake_founder!$K$2:$K$81,MATCH($B3,brand_intake_founder!$A$2:$A$81,0))="","",INDEX(brand_intake_founder!$K$2:$K$81,MATCH($B3,brand_intake_founder!$A$2:$A$81,0))),"")))</f>
        <v/>
      </c>
      <c r="P3" s="25">
        <f>IF($B3="","",IF(COUNTIF(brand_intake!$A$2:$A$401,$B3)&gt;0,IFERROR(IF(INDEX(brand_intake!$E$2:$E$401,MATCH($B3,brand_intake!$A$2:$A$401,0))="","",INDEX(brand_intake!$E$2:$E$401,MATCH($B3,brand_intake!$A$2:$A$401,0))),""),IFERROR(IF(INDEX(brand_intake_founder!$E$2:$E$81,MATCH($B3,brand_intake_founder!$A$2:$A$81,0))="","",INDEX(brand_intake_founder!$E$2:$E$81,MATCH($B3,brand_intake_founder!$A$2:$A$81,0))),"")))</f>
        <v/>
      </c>
      <c r="Q3" s="25">
        <f>IF($B3="","",IF(COUNTIF(brand_intake!$A$2:$A$401,$B3)&gt;0,IFERROR(IF(INDEX(brand_intake!$F$2:$F$401,MATCH($B3,brand_intake!$A$2:$A$401,0))="","",INDEX(brand_intake!$F$2:$F$401,MATCH($B3,brand_intake!$A$2:$A$401,0))),""),IFERROR(IF(INDEX(brand_intake_founder!$F$2:$F$81,MATCH($B3,brand_intake_founder!$A$2:$A$81,0))="","",INDEX(brand_intake_founder!$F$2:$F$81,MATCH($B3,brand_intake_founder!$A$2:$A$81,0))),"")))</f>
        <v/>
      </c>
      <c r="R3" s="25">
        <f>IF($B3="","",IF(COUNTIF(brand_intake!$A$2:$A$401,$B3)&gt;0,IFERROR(IF(INDEX(brand_intake!$G$2:$G$401,MATCH($B3,brand_intake!$A$2:$A$401,0))="","",INDEX(brand_intake!$G$2:$G$401,MATCH($B3,brand_intake!$A$2:$A$401,0))),""),IFERROR(IF(INDEX(brand_intake_founder!$G$2:$G$81,MATCH($B3,brand_intake_founder!$A$2:$A$81,0))="","",INDEX(brand_intake_founder!$G$2:$G$81,MATCH($B3,brand_intake_founder!$A$2:$A$81,0))),"")))</f>
        <v/>
      </c>
      <c r="S3" s="25">
        <f>IF($B3="","",IF(COUNTIF(brand_intake!$A$2:$A$401,$B3)&gt;0,IFERROR(IF(INDEX(brand_intake!$H$2:$H$401,MATCH($B3,brand_intake!$A$2:$A$401,0))="","",INDEX(brand_intake!$H$2:$H$401,MATCH($B3,brand_intake!$A$2:$A$401,0))),""),IFERROR(IF(INDEX(brand_intake_founder!$H$2:$H$81,MATCH($B3,brand_intake_founder!$A$2:$A$81,0))="","",INDEX(brand_intake_founder!$H$2:$H$81,MATCH($B3,brand_intake_founder!$A$2:$A$81,0))),"")))</f>
        <v/>
      </c>
      <c r="T3" s="25">
        <f>IF($B3="","",IF(COUNTIF(brand_intake!$A$2:$A$401,$B3)&gt;0,IFERROR(IF(INDEX(brand_intake!$M$2:$M$401,MATCH($B3,brand_intake!$A$2:$A$401,0))="","",INDEX(brand_intake!$M$2:$M$401,MATCH($B3,brand_intake!$A$2:$A$401,0))),""),IFERROR(IF(INDEX(brand_intake_founder!$M$2:$M$81,MATCH($B3,brand_intake_founder!$A$2:$A$81,0))="","",INDEX(brand_intake_founder!$M$2:$M$81,MATCH($B3,brand_intake_founder!$A$2:$A$81,0))),"")))</f>
        <v/>
      </c>
      <c r="U3" s="25">
        <f>IF($B3="","",IF(COUNTIF(brand_intake!$A$2:$A$401,$B3)&gt;0,IFERROR(IF(INDEX(brand_intake!$L$2:$L$401,MATCH($B3,brand_intake!$A$2:$A$401,0))="","",INDEX(brand_intake!$L$2:$L$401,MATCH($B3,brand_intake!$A$2:$A$401,0))),""),IFERROR(IF(INDEX(brand_intake_founder!$L$2:$L$81,MATCH($B3,brand_intake_founder!$A$2:$A$81,0))="","",INDEX(brand_intake_founder!$L$2:$L$81,MATCH($B3,brand_intake_founder!$A$2:$A$81,0))),"")))</f>
        <v/>
      </c>
      <c r="V3" s="25">
        <f>IF($B3="","",IF(COUNTIF(brand_intake!$A$2:$A$401,$B3)&gt;0,IFERROR(IF(INDEX(brand_intake!$N$2:$N$401,MATCH($B3,brand_intake!$A$2:$A$401,0))="","",INDEX(brand_intake!$N$2:$N$401,MATCH($B3,brand_intake!$A$2:$A$401,0))),""),IFERROR(IF(INDEX(brand_intake_founder!$N$2:$N$81,MATCH($B3,brand_intake_founder!$A$2:$A$81,0))="","",INDEX(brand_intake_founder!$N$2:$N$81,MATCH($B3,brand_intake_founder!$A$2:$A$81,0))),"")))</f>
        <v/>
      </c>
      <c r="W3" s="25">
        <f>IF($B3="","",IF(COUNTIF(brand_intake!$A$2:$A$401,$B3)&gt;0,IFERROR(IF(INDEX(brand_intake!$Q$2:$Q$401,MATCH($B3,brand_intake!$A$2:$A$401,0))="","",INDEX(brand_intake!$Q$2:$Q$401,MATCH($B3,brand_intake!$A$2:$A$401,0))),""),IFERROR(IF(INDEX(brand_intake_founder!$Q$2:$Q$81,MATCH($B3,brand_intake_founder!$A$2:$A$81,0))="","",INDEX(brand_intake_founder!$Q$2:$Q$81,MATCH($B3,brand_intake_founder!$A$2:$A$81,0))),"")))</f>
        <v/>
      </c>
      <c r="X3" s="25">
        <f>IF($B3="","",IF(COUNTIF(brand_intake!$A$2:$A$401,$B3)&gt;0,IFERROR(IF(INDEX(brand_intake!$R$2:$R$401,MATCH($B3,brand_intake!$A$2:$A$401,0))="","",INDEX(brand_intake!$R$2:$R$401,MATCH($B3,brand_intake!$A$2:$A$401,0))),""),IFERROR(IF(INDEX(brand_intake_founder!$R$2:$R$81,MATCH($B3,brand_intake_founder!$A$2:$A$81,0))="","",INDEX(brand_intake_founder!$R$2:$R$81,MATCH($B3,brand_intake_founder!$A$2:$A$81,0))),"")))</f>
        <v/>
      </c>
      <c r="Y3" s="25">
        <f>IF($B3="","",IF(COUNTIF(brand_intake!$A$2:$A$401,$B3)&gt;0,IFERROR(IF(INDEX(brand_intake!$S$2:$S$401,MATCH($B3,brand_intake!$A$2:$A$401,0))="","",INDEX(brand_intake!$S$2:$S$401,MATCH($B3,brand_intake!$A$2:$A$401,0))),""),IFERROR(IF(INDEX(brand_intake_founder!$S$2:$S$81,MATCH($B3,brand_intake_founder!$A$2:$A$81,0))="","",INDEX(brand_intake_founder!$S$2:$S$81,MATCH($B3,brand_intake_founder!$A$2:$A$81,0))),"")))</f>
        <v/>
      </c>
      <c r="Z3" s="25">
        <f>IF($B3="","",IF(COUNTIF(brand_intake!$A$2:$A$401,$B3)&gt;0,IFERROR(IF(INDEX(brand_intake!$T$2:$T$401,MATCH($B3,brand_intake!$A$2:$A$401,0))="","",INDEX(brand_intake!$T$2:$T$401,MATCH($B3,brand_intake!$A$2:$A$401,0))),""),IFERROR(IF(INDEX(brand_intake_founder!$T$2:$T$81,MATCH($B3,brand_intake_founder!$A$2:$A$81,0))="","",INDEX(brand_intake_founder!$T$2:$T$81,MATCH($B3,brand_intake_founder!$A$2:$A$81,0))),"")))</f>
        <v/>
      </c>
      <c r="AA3" s="25">
        <f>IF($B3="","",IF(COUNTIF(brand_intake!$A$2:$A$401,$B3)&gt;0,IFERROR(IF(INDEX(brand_intake!$U$2:$U$401,MATCH($B3,brand_intake!$A$2:$A$401,0))="","",INDEX(brand_intake!$U$2:$U$401,MATCH($B3,brand_intake!$A$2:$A$401,0))),""),IFERROR(IF(INDEX(brand_intake_founder!$U$2:$U$81,MATCH($B3,brand_intake_founder!$A$2:$A$81,0))="","",INDEX(brand_intake_founder!$U$2:$U$81,MATCH($B3,brand_intake_founder!$A$2:$A$81,0))),"")))</f>
        <v/>
      </c>
      <c r="AB3" s="25">
        <f>IF($B3="","",IF(COUNTIF(brand_intake!$A$2:$A$401,$B3)&gt;0,IFERROR(IF(INDEX(brand_intake!$V$2:$V$401,MATCH($B3,brand_intake!$A$2:$A$401,0))="","",INDEX(brand_intake!$V$2:$V$401,MATCH($B3,brand_intake!$A$2:$A$401,0))),""),IFERROR(IF(INDEX(brand_intake_founder!$V$2:$V$81,MATCH($B3,brand_intake_founder!$A$2:$A$81,0))="","",INDEX(brand_intake_founder!$V$2:$V$81,MATCH($B3,brand_intake_founder!$A$2:$A$81,0))),"")))</f>
        <v/>
      </c>
      <c r="AC3" s="25">
        <f>IF($B3="","",IF(COUNTIF(brand_intake!$A$2:$A$401,$B3)&gt;0,IFERROR(IF(INDEX(brand_intake!$W$2:$W$401,MATCH($B3,brand_intake!$A$2:$A$401,0))="","",INDEX(brand_intake!$W$2:$W$401,MATCH($B3,brand_intake!$A$2:$A$401,0))),""),IFERROR(IF(INDEX(brand_intake_founder!$W$2:$W$81,MATCH($B3,brand_intake_founder!$A$2:$A$81,0))="","",INDEX(brand_intake_founder!$W$2:$W$81,MATCH($B3,brand_intake_founder!$A$2:$A$81,0))),"")))</f>
        <v/>
      </c>
      <c r="AD3" s="25">
        <f>IF($B3="","",IF(COUNTIF(brand_intake!$A$2:$A$401,$B3)&gt;0,IFERROR(IF(INDEX(brand_intake!$X$2:$X$401,MATCH($B3,brand_intake!$A$2:$A$401,0))="","",INDEX(brand_intake!$X$2:$X$401,MATCH($B3,brand_intake!$A$2:$A$401,0))),""),IFERROR(IF(INDEX(brand_intake_founder!$X$2:$X$81,MATCH($B3,brand_intake_founder!$A$2:$A$81,0))="","",INDEX(brand_intake_founder!$X$2:$X$81,MATCH($B3,brand_intake_founder!$A$2:$A$81,0))),"")))</f>
        <v/>
      </c>
      <c r="AE3" s="25">
        <f>IF($B3="","",IF(COUNTIF(brand_intake!$A$2:$A$401,$B3)&gt;0,IFERROR(IF(INDEX(brand_intake!$Y$2:$Y$401,MATCH($B3,brand_intake!$A$2:$A$401,0))="","",INDEX(brand_intake!$Y$2:$Y$401,MATCH($B3,brand_intake!$A$2:$A$401,0))),""),IFERROR(IF(INDEX(brand_intake_founder!$Y$2:$Y$81,MATCH($B3,brand_intake_founder!$A$2:$A$81,0))="","",INDEX(brand_intake_founder!$Y$2:$Y$81,MATCH($B3,brand_intake_founder!$A$2:$A$81,0))),"")))</f>
        <v/>
      </c>
      <c r="AF3" s="25">
        <f>IF($B3="","",($X3="Y")+($Y3="Y")+($Z3="Y")+($AA3="Y")+($AB3="Y")+($AC3="Y")+(LEN($AD3)&gt;0))</f>
        <v/>
      </c>
      <c r="AG3" s="25">
        <f>IF($B3="","",IF(AND($AF3=7,$AE3="Y"),"Y (as answered)","N: check "&amp;IF($X3&lt;&gt;"Y","1 ","")&amp;IF($Y3&lt;&gt;"Y","2 ","")&amp;IF($Z3&lt;&gt;"Y","3 ","")&amp;IF($AA3&lt;&gt;"Y","4 ","")&amp;IF($AB3&lt;&gt;"Y","5 ","")&amp;IF($AC3&lt;&gt;"Y","6 ","")&amp;IF(LEN($AD3)=0,"7 ","")&amp;IF($AE3&lt;&gt;"Y","excluded? ","")))</f>
        <v/>
      </c>
      <c r="AH3" s="25">
        <f>IF($A3="","",COUNTIF(campaigns!$C$2:$C$51,$A3))</f>
        <v/>
      </c>
      <c r="AI3" s="25">
        <f>IF(OR($A3="",SUMIFS(campaigns!$H$2:$H$51,campaigns!$C$2:$C$51,$A3,campaigns!$D$2:$D$51,"founding",campaigns!$E$2:$E$51,"&lt;&gt;Y")=0),"",COUNTIFS(campaigns!$D$2:$D$51,"founding",campaigns!$E$2:$E$51,"&lt;&gt;Y",campaigns!$H$2:$H$51,"&lt;="&amp;SUMIFS(campaigns!$H$2:$H$51,campaigns!$C$2:$C$51,$A3,campaigns!$D$2:$D$51,"founding",campaigns!$E$2:$E$51,"&lt;&gt;Y"),campaigns!$H$2:$H$51,"&gt;0"))</f>
        <v/>
      </c>
      <c r="AJ3" s="25">
        <f>IF(OR($A3="",NOT(IFERROR(COUNTIF(INDEX(in_paid_brands!$A$2:$BZ$81,0,MATCH("brand_id",in_paid_brands!$A$1:$BZ$1,0)),$A3),0)&gt;0)),"",IF(IFERROR(IF(INDEX(in_paid_brands!$A$2:$BZ$81,MATCH($A3,INDEX(in_paid_brands!$A$2:$BZ$81,0,MATCH("brand_id",in_paid_brands!$A$1:$BZ$1,0)),0),MATCH("campaign_id",in_paid_brands!$A$1:$BZ$1,0))="","",INDEX(in_paid_brands!$A$2:$BZ$81,MATCH($A3,INDEX(in_paid_brands!$A$2:$BZ$81,0,MATCH("brand_id",in_paid_brands!$A$1:$BZ$1,0)),0),MATCH("campaign_id",in_paid_brands!$A$1:$BZ$1,0))),"")="","E's paid_brands row has no campaign_id: type the CMP-### there; ",IF(OR(ABS(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gt;0.005,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payment 1 differs: E "&amp;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amp;" on "&amp;IF(N(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0,"none",TEXT(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yyyy-mm-dd"))&amp;"; ","")&amp;IF(OR(ABS(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gt;0.005,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payment 2 differs: E "&amp;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amp;" on "&amp;IF(N(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0,"none",TEXT(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yyyy-mm-dd"))&amp;"; ","")))</f>
        <v/>
      </c>
    </row>
    <row r="4">
      <c r="A4" t="inlineStr">
        <is>
          <t>SAMPLE-BR-003</t>
        </is>
      </c>
      <c r="B4" s="30" t="inlineStr">
        <is>
          <t>2026-12-15T11:30:00-05:00</t>
        </is>
      </c>
      <c r="C4" t="inlineStr">
        <is>
          <t>SAMPLE Tallgrass Foods LLC</t>
        </is>
      </c>
      <c r="D4" t="inlineStr">
        <is>
          <t>SAMPLE 1 Example Plaza, Example City</t>
        </is>
      </c>
      <c r="E4" t="inlineStr">
        <is>
          <t>SAMPLE-ap-003@example.com</t>
        </is>
      </c>
      <c r="F4" t="inlineStr">
        <is>
          <t>brand_claim</t>
        </is>
      </c>
      <c r="G4" t="inlineStr">
        <is>
          <t>Y</t>
        </is>
      </c>
      <c r="H4" s="9" t="n">
        <v>46843</v>
      </c>
      <c r="I4" t="inlineStr">
        <is>
          <t>active</t>
        </is>
      </c>
      <c r="K4" s="25">
        <f>IF($B4="","",IF(COUNTIF(brand_intake!$A$2:$A$401,$B4)&gt;0,IFERROR(IF(INDEX(brand_intake!$C$2:$C$401,MATCH($B4,brand_intake!$A$2:$A$401,0))="","",INDEX(brand_intake!$C$2:$C$401,MATCH($B4,brand_intake!$A$2:$A$401,0))),""),IFERROR(IF(INDEX(brand_intake_founder!$C$2:$C$81,MATCH($B4,brand_intake_founder!$A$2:$A$81,0))="","",INDEX(brand_intake_founder!$C$2:$C$81,MATCH($B4,brand_intake_founder!$A$2:$A$81,0))),"")))</f>
        <v/>
      </c>
      <c r="L4" s="25">
        <f>IF($B4="","",IF(COUNTIF(brand_intake!$A$2:$A$401,$B4)&gt;0,IFERROR(IF(INDEX(brand_intake!$D$2:$D$401,MATCH($B4,brand_intake!$A$2:$A$401,0))="","",INDEX(brand_intake!$D$2:$D$401,MATCH($B4,brand_intake!$A$2:$A$401,0))),""),IFERROR(IF(INDEX(brand_intake_founder!$D$2:$D$81,MATCH($B4,brand_intake_founder!$A$2:$A$81,0))="","",INDEX(brand_intake_founder!$D$2:$D$81,MATCH($B4,brand_intake_founder!$A$2:$A$81,0))),"")))</f>
        <v/>
      </c>
      <c r="M4" s="25">
        <f>IF($B4="","",IF(COUNTIF(brand_intake!$A$2:$A$401,$B4)&gt;0,IFERROR(IF(INDEX(brand_intake!$J$2:$J$401,MATCH($B4,brand_intake!$A$2:$A$401,0))="","",INDEX(brand_intake!$J$2:$J$401,MATCH($B4,brand_intake!$A$2:$A$401,0))),""),IFERROR(IF(INDEX(brand_intake_founder!$J$2:$J$81,MATCH($B4,brand_intake_founder!$A$2:$A$81,0))="","",INDEX(brand_intake_founder!$J$2:$J$81,MATCH($B4,brand_intake_founder!$A$2:$A$81,0))),"")))</f>
        <v/>
      </c>
      <c r="N4" s="25">
        <f>IF($B4="","",IF(COUNTIF(brand_intake!$A$2:$A$401,$B4)&gt;0,IFERROR(IF(INDEX(brand_intake!$I$2:$I$401,MATCH($B4,brand_intake!$A$2:$A$401,0))="","",INDEX(brand_intake!$I$2:$I$401,MATCH($B4,brand_intake!$A$2:$A$401,0))),""),IFERROR(IF(INDEX(brand_intake_founder!$I$2:$I$81,MATCH($B4,brand_intake_founder!$A$2:$A$81,0))="","",INDEX(brand_intake_founder!$I$2:$I$81,MATCH($B4,brand_intake_founder!$A$2:$A$81,0))),"")))</f>
        <v/>
      </c>
      <c r="O4" s="25">
        <f>IF($B4="","",IF(COUNTIF(brand_intake!$A$2:$A$401,$B4)&gt;0,IFERROR(IF(INDEX(brand_intake!$K$2:$K$401,MATCH($B4,brand_intake!$A$2:$A$401,0))="","",INDEX(brand_intake!$K$2:$K$401,MATCH($B4,brand_intake!$A$2:$A$401,0))),""),IFERROR(IF(INDEX(brand_intake_founder!$K$2:$K$81,MATCH($B4,brand_intake_founder!$A$2:$A$81,0))="","",INDEX(brand_intake_founder!$K$2:$K$81,MATCH($B4,brand_intake_founder!$A$2:$A$81,0))),"")))</f>
        <v/>
      </c>
      <c r="P4" s="25">
        <f>IF($B4="","",IF(COUNTIF(brand_intake!$A$2:$A$401,$B4)&gt;0,IFERROR(IF(INDEX(brand_intake!$E$2:$E$401,MATCH($B4,brand_intake!$A$2:$A$401,0))="","",INDEX(brand_intake!$E$2:$E$401,MATCH($B4,brand_intake!$A$2:$A$401,0))),""),IFERROR(IF(INDEX(brand_intake_founder!$E$2:$E$81,MATCH($B4,brand_intake_founder!$A$2:$A$81,0))="","",INDEX(brand_intake_founder!$E$2:$E$81,MATCH($B4,brand_intake_founder!$A$2:$A$81,0))),"")))</f>
        <v/>
      </c>
      <c r="Q4" s="25">
        <f>IF($B4="","",IF(COUNTIF(brand_intake!$A$2:$A$401,$B4)&gt;0,IFERROR(IF(INDEX(brand_intake!$F$2:$F$401,MATCH($B4,brand_intake!$A$2:$A$401,0))="","",INDEX(brand_intake!$F$2:$F$401,MATCH($B4,brand_intake!$A$2:$A$401,0))),""),IFERROR(IF(INDEX(brand_intake_founder!$F$2:$F$81,MATCH($B4,brand_intake_founder!$A$2:$A$81,0))="","",INDEX(brand_intake_founder!$F$2:$F$81,MATCH($B4,brand_intake_founder!$A$2:$A$81,0))),"")))</f>
        <v/>
      </c>
      <c r="R4" s="25">
        <f>IF($B4="","",IF(COUNTIF(brand_intake!$A$2:$A$401,$B4)&gt;0,IFERROR(IF(INDEX(brand_intake!$G$2:$G$401,MATCH($B4,brand_intake!$A$2:$A$401,0))="","",INDEX(brand_intake!$G$2:$G$401,MATCH($B4,brand_intake!$A$2:$A$401,0))),""),IFERROR(IF(INDEX(brand_intake_founder!$G$2:$G$81,MATCH($B4,brand_intake_founder!$A$2:$A$81,0))="","",INDEX(brand_intake_founder!$G$2:$G$81,MATCH($B4,brand_intake_founder!$A$2:$A$81,0))),"")))</f>
        <v/>
      </c>
      <c r="S4" s="25">
        <f>IF($B4="","",IF(COUNTIF(brand_intake!$A$2:$A$401,$B4)&gt;0,IFERROR(IF(INDEX(brand_intake!$H$2:$H$401,MATCH($B4,brand_intake!$A$2:$A$401,0))="","",INDEX(brand_intake!$H$2:$H$401,MATCH($B4,brand_intake!$A$2:$A$401,0))),""),IFERROR(IF(INDEX(brand_intake_founder!$H$2:$H$81,MATCH($B4,brand_intake_founder!$A$2:$A$81,0))="","",INDEX(brand_intake_founder!$H$2:$H$81,MATCH($B4,brand_intake_founder!$A$2:$A$81,0))),"")))</f>
        <v/>
      </c>
      <c r="T4" s="25">
        <f>IF($B4="","",IF(COUNTIF(brand_intake!$A$2:$A$401,$B4)&gt;0,IFERROR(IF(INDEX(brand_intake!$M$2:$M$401,MATCH($B4,brand_intake!$A$2:$A$401,0))="","",INDEX(brand_intake!$M$2:$M$401,MATCH($B4,brand_intake!$A$2:$A$401,0))),""),IFERROR(IF(INDEX(brand_intake_founder!$M$2:$M$81,MATCH($B4,brand_intake_founder!$A$2:$A$81,0))="","",INDEX(brand_intake_founder!$M$2:$M$81,MATCH($B4,brand_intake_founder!$A$2:$A$81,0))),"")))</f>
        <v/>
      </c>
      <c r="U4" s="25">
        <f>IF($B4="","",IF(COUNTIF(brand_intake!$A$2:$A$401,$B4)&gt;0,IFERROR(IF(INDEX(brand_intake!$L$2:$L$401,MATCH($B4,brand_intake!$A$2:$A$401,0))="","",INDEX(brand_intake!$L$2:$L$401,MATCH($B4,brand_intake!$A$2:$A$401,0))),""),IFERROR(IF(INDEX(brand_intake_founder!$L$2:$L$81,MATCH($B4,brand_intake_founder!$A$2:$A$81,0))="","",INDEX(brand_intake_founder!$L$2:$L$81,MATCH($B4,brand_intake_founder!$A$2:$A$81,0))),"")))</f>
        <v/>
      </c>
      <c r="V4" s="25">
        <f>IF($B4="","",IF(COUNTIF(brand_intake!$A$2:$A$401,$B4)&gt;0,IFERROR(IF(INDEX(brand_intake!$N$2:$N$401,MATCH($B4,brand_intake!$A$2:$A$401,0))="","",INDEX(brand_intake!$N$2:$N$401,MATCH($B4,brand_intake!$A$2:$A$401,0))),""),IFERROR(IF(INDEX(brand_intake_founder!$N$2:$N$81,MATCH($B4,brand_intake_founder!$A$2:$A$81,0))="","",INDEX(brand_intake_founder!$N$2:$N$81,MATCH($B4,brand_intake_founder!$A$2:$A$81,0))),"")))</f>
        <v/>
      </c>
      <c r="W4" s="25">
        <f>IF($B4="","",IF(COUNTIF(brand_intake!$A$2:$A$401,$B4)&gt;0,IFERROR(IF(INDEX(brand_intake!$Q$2:$Q$401,MATCH($B4,brand_intake!$A$2:$A$401,0))="","",INDEX(brand_intake!$Q$2:$Q$401,MATCH($B4,brand_intake!$A$2:$A$401,0))),""),IFERROR(IF(INDEX(brand_intake_founder!$Q$2:$Q$81,MATCH($B4,brand_intake_founder!$A$2:$A$81,0))="","",INDEX(brand_intake_founder!$Q$2:$Q$81,MATCH($B4,brand_intake_founder!$A$2:$A$81,0))),"")))</f>
        <v/>
      </c>
      <c r="X4" s="25">
        <f>IF($B4="","",IF(COUNTIF(brand_intake!$A$2:$A$401,$B4)&gt;0,IFERROR(IF(INDEX(brand_intake!$R$2:$R$401,MATCH($B4,brand_intake!$A$2:$A$401,0))="","",INDEX(brand_intake!$R$2:$R$401,MATCH($B4,brand_intake!$A$2:$A$401,0))),""),IFERROR(IF(INDEX(brand_intake_founder!$R$2:$R$81,MATCH($B4,brand_intake_founder!$A$2:$A$81,0))="","",INDEX(brand_intake_founder!$R$2:$R$81,MATCH($B4,brand_intake_founder!$A$2:$A$81,0))),"")))</f>
        <v/>
      </c>
      <c r="Y4" s="25">
        <f>IF($B4="","",IF(COUNTIF(brand_intake!$A$2:$A$401,$B4)&gt;0,IFERROR(IF(INDEX(brand_intake!$S$2:$S$401,MATCH($B4,brand_intake!$A$2:$A$401,0))="","",INDEX(brand_intake!$S$2:$S$401,MATCH($B4,brand_intake!$A$2:$A$401,0))),""),IFERROR(IF(INDEX(brand_intake_founder!$S$2:$S$81,MATCH($B4,brand_intake_founder!$A$2:$A$81,0))="","",INDEX(brand_intake_founder!$S$2:$S$81,MATCH($B4,brand_intake_founder!$A$2:$A$81,0))),"")))</f>
        <v/>
      </c>
      <c r="Z4" s="25">
        <f>IF($B4="","",IF(COUNTIF(brand_intake!$A$2:$A$401,$B4)&gt;0,IFERROR(IF(INDEX(brand_intake!$T$2:$T$401,MATCH($B4,brand_intake!$A$2:$A$401,0))="","",INDEX(brand_intake!$T$2:$T$401,MATCH($B4,brand_intake!$A$2:$A$401,0))),""),IFERROR(IF(INDEX(brand_intake_founder!$T$2:$T$81,MATCH($B4,brand_intake_founder!$A$2:$A$81,0))="","",INDEX(brand_intake_founder!$T$2:$T$81,MATCH($B4,brand_intake_founder!$A$2:$A$81,0))),"")))</f>
        <v/>
      </c>
      <c r="AA4" s="25">
        <f>IF($B4="","",IF(COUNTIF(brand_intake!$A$2:$A$401,$B4)&gt;0,IFERROR(IF(INDEX(brand_intake!$U$2:$U$401,MATCH($B4,brand_intake!$A$2:$A$401,0))="","",INDEX(brand_intake!$U$2:$U$401,MATCH($B4,brand_intake!$A$2:$A$401,0))),""),IFERROR(IF(INDEX(brand_intake_founder!$U$2:$U$81,MATCH($B4,brand_intake_founder!$A$2:$A$81,0))="","",INDEX(brand_intake_founder!$U$2:$U$81,MATCH($B4,brand_intake_founder!$A$2:$A$81,0))),"")))</f>
        <v/>
      </c>
      <c r="AB4" s="25">
        <f>IF($B4="","",IF(COUNTIF(brand_intake!$A$2:$A$401,$B4)&gt;0,IFERROR(IF(INDEX(brand_intake!$V$2:$V$401,MATCH($B4,brand_intake!$A$2:$A$401,0))="","",INDEX(brand_intake!$V$2:$V$401,MATCH($B4,brand_intake!$A$2:$A$401,0))),""),IFERROR(IF(INDEX(brand_intake_founder!$V$2:$V$81,MATCH($B4,brand_intake_founder!$A$2:$A$81,0))="","",INDEX(brand_intake_founder!$V$2:$V$81,MATCH($B4,brand_intake_founder!$A$2:$A$81,0))),"")))</f>
        <v/>
      </c>
      <c r="AC4" s="25">
        <f>IF($B4="","",IF(COUNTIF(brand_intake!$A$2:$A$401,$B4)&gt;0,IFERROR(IF(INDEX(brand_intake!$W$2:$W$401,MATCH($B4,brand_intake!$A$2:$A$401,0))="","",INDEX(brand_intake!$W$2:$W$401,MATCH($B4,brand_intake!$A$2:$A$401,0))),""),IFERROR(IF(INDEX(brand_intake_founder!$W$2:$W$81,MATCH($B4,brand_intake_founder!$A$2:$A$81,0))="","",INDEX(brand_intake_founder!$W$2:$W$81,MATCH($B4,brand_intake_founder!$A$2:$A$81,0))),"")))</f>
        <v/>
      </c>
      <c r="AD4" s="25">
        <f>IF($B4="","",IF(COUNTIF(brand_intake!$A$2:$A$401,$B4)&gt;0,IFERROR(IF(INDEX(brand_intake!$X$2:$X$401,MATCH($B4,brand_intake!$A$2:$A$401,0))="","",INDEX(brand_intake!$X$2:$X$401,MATCH($B4,brand_intake!$A$2:$A$401,0))),""),IFERROR(IF(INDEX(brand_intake_founder!$X$2:$X$81,MATCH($B4,brand_intake_founder!$A$2:$A$81,0))="","",INDEX(brand_intake_founder!$X$2:$X$81,MATCH($B4,brand_intake_founder!$A$2:$A$81,0))),"")))</f>
        <v/>
      </c>
      <c r="AE4" s="25">
        <f>IF($B4="","",IF(COUNTIF(brand_intake!$A$2:$A$401,$B4)&gt;0,IFERROR(IF(INDEX(brand_intake!$Y$2:$Y$401,MATCH($B4,brand_intake!$A$2:$A$401,0))="","",INDEX(brand_intake!$Y$2:$Y$401,MATCH($B4,brand_intake!$A$2:$A$401,0))),""),IFERROR(IF(INDEX(brand_intake_founder!$Y$2:$Y$81,MATCH($B4,brand_intake_founder!$A$2:$A$81,0))="","",INDEX(brand_intake_founder!$Y$2:$Y$81,MATCH($B4,brand_intake_founder!$A$2:$A$81,0))),"")))</f>
        <v/>
      </c>
      <c r="AF4" s="25">
        <f>IF($B4="","",($X4="Y")+($Y4="Y")+($Z4="Y")+($AA4="Y")+($AB4="Y")+($AC4="Y")+(LEN($AD4)&gt;0))</f>
        <v/>
      </c>
      <c r="AG4" s="25">
        <f>IF($B4="","",IF(AND($AF4=7,$AE4="Y"),"Y (as answered)","N: check "&amp;IF($X4&lt;&gt;"Y","1 ","")&amp;IF($Y4&lt;&gt;"Y","2 ","")&amp;IF($Z4&lt;&gt;"Y","3 ","")&amp;IF($AA4&lt;&gt;"Y","4 ","")&amp;IF($AB4&lt;&gt;"Y","5 ","")&amp;IF($AC4&lt;&gt;"Y","6 ","")&amp;IF(LEN($AD4)=0,"7 ","")&amp;IF($AE4&lt;&gt;"Y","excluded? ","")))</f>
        <v/>
      </c>
      <c r="AH4" s="25">
        <f>IF($A4="","",COUNTIF(campaigns!$C$2:$C$51,$A4))</f>
        <v/>
      </c>
      <c r="AI4" s="25">
        <f>IF(OR($A4="",SUMIFS(campaigns!$H$2:$H$51,campaigns!$C$2:$C$51,$A4,campaigns!$D$2:$D$51,"founding",campaigns!$E$2:$E$51,"&lt;&gt;Y")=0),"",COUNTIFS(campaigns!$D$2:$D$51,"founding",campaigns!$E$2:$E$51,"&lt;&gt;Y",campaigns!$H$2:$H$51,"&lt;="&amp;SUMIFS(campaigns!$H$2:$H$51,campaigns!$C$2:$C$51,$A4,campaigns!$D$2:$D$51,"founding",campaigns!$E$2:$E$51,"&lt;&gt;Y"),campaigns!$H$2:$H$51,"&gt;0"))</f>
        <v/>
      </c>
      <c r="AJ4" s="25">
        <f>IF(OR($A4="",NOT(IFERROR(COUNTIF(INDEX(in_paid_brands!$A$2:$BZ$81,0,MATCH("brand_id",in_paid_brands!$A$1:$BZ$1,0)),$A4),0)&gt;0)),"",IF(IFERROR(IF(INDEX(in_paid_brands!$A$2:$BZ$81,MATCH($A4,INDEX(in_paid_brands!$A$2:$BZ$81,0,MATCH("brand_id",in_paid_brands!$A$1:$BZ$1,0)),0),MATCH("campaign_id",in_paid_brands!$A$1:$BZ$1,0))="","",INDEX(in_paid_brands!$A$2:$BZ$81,MATCH($A4,INDEX(in_paid_brands!$A$2:$BZ$81,0,MATCH("brand_id",in_paid_brands!$A$1:$BZ$1,0)),0),MATCH("campaign_id",in_paid_brands!$A$1:$BZ$1,0))),"")="","E's paid_brands row has no campaign_id: type the CMP-### there; ",IF(OR(ABS(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gt;0.005,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payment 1 differs: E "&amp;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amp;" on "&amp;IF(N(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0,"none",TEXT(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yyyy-mm-dd"))&amp;"; ","")&amp;IF(OR(ABS(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gt;0.005,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payment 2 differs: E "&amp;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amp;" on "&amp;IF(N(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0,"none",TEXT(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yyyy-mm-dd"))&amp;"; ","")))</f>
        <v/>
      </c>
    </row>
    <row r="5">
      <c r="A5" t="inlineStr">
        <is>
          <t>SAMPLE-BR-004</t>
        </is>
      </c>
      <c r="B5" s="30" t="inlineStr">
        <is>
          <t>2026-12-21T16:45:00-05:00</t>
        </is>
      </c>
      <c r="C5" t="inlineStr">
        <is>
          <t>SAMPLE Orchard Row Foods LLC</t>
        </is>
      </c>
      <c r="D5" t="inlineStr">
        <is>
          <t>SAMPLE 1 Example Plaza, Example City</t>
        </is>
      </c>
      <c r="E5" t="inlineStr">
        <is>
          <t>SAMPLE-ap-004@example.com</t>
        </is>
      </c>
      <c r="F5" t="inlineStr">
        <is>
          <t>brand_claim</t>
        </is>
      </c>
      <c r="G5" t="inlineStr">
        <is>
          <t>Y</t>
        </is>
      </c>
      <c r="H5" s="9" t="n">
        <v>46843</v>
      </c>
      <c r="I5" t="inlineStr">
        <is>
          <t>active</t>
        </is>
      </c>
      <c r="K5" s="25">
        <f>IF($B5="","",IF(COUNTIF(brand_intake!$A$2:$A$401,$B5)&gt;0,IFERROR(IF(INDEX(brand_intake!$C$2:$C$401,MATCH($B5,brand_intake!$A$2:$A$401,0))="","",INDEX(brand_intake!$C$2:$C$401,MATCH($B5,brand_intake!$A$2:$A$401,0))),""),IFERROR(IF(INDEX(brand_intake_founder!$C$2:$C$81,MATCH($B5,brand_intake_founder!$A$2:$A$81,0))="","",INDEX(brand_intake_founder!$C$2:$C$81,MATCH($B5,brand_intake_founder!$A$2:$A$81,0))),"")))</f>
        <v/>
      </c>
      <c r="L5" s="25">
        <f>IF($B5="","",IF(COUNTIF(brand_intake!$A$2:$A$401,$B5)&gt;0,IFERROR(IF(INDEX(brand_intake!$D$2:$D$401,MATCH($B5,brand_intake!$A$2:$A$401,0))="","",INDEX(brand_intake!$D$2:$D$401,MATCH($B5,brand_intake!$A$2:$A$401,0))),""),IFERROR(IF(INDEX(brand_intake_founder!$D$2:$D$81,MATCH($B5,brand_intake_founder!$A$2:$A$81,0))="","",INDEX(brand_intake_founder!$D$2:$D$81,MATCH($B5,brand_intake_founder!$A$2:$A$81,0))),"")))</f>
        <v/>
      </c>
      <c r="M5" s="25">
        <f>IF($B5="","",IF(COUNTIF(brand_intake!$A$2:$A$401,$B5)&gt;0,IFERROR(IF(INDEX(brand_intake!$J$2:$J$401,MATCH($B5,brand_intake!$A$2:$A$401,0))="","",INDEX(brand_intake!$J$2:$J$401,MATCH($B5,brand_intake!$A$2:$A$401,0))),""),IFERROR(IF(INDEX(brand_intake_founder!$J$2:$J$81,MATCH($B5,brand_intake_founder!$A$2:$A$81,0))="","",INDEX(brand_intake_founder!$J$2:$J$81,MATCH($B5,brand_intake_founder!$A$2:$A$81,0))),"")))</f>
        <v/>
      </c>
      <c r="N5" s="25">
        <f>IF($B5="","",IF(COUNTIF(brand_intake!$A$2:$A$401,$B5)&gt;0,IFERROR(IF(INDEX(brand_intake!$I$2:$I$401,MATCH($B5,brand_intake!$A$2:$A$401,0))="","",INDEX(brand_intake!$I$2:$I$401,MATCH($B5,brand_intake!$A$2:$A$401,0))),""),IFERROR(IF(INDEX(brand_intake_founder!$I$2:$I$81,MATCH($B5,brand_intake_founder!$A$2:$A$81,0))="","",INDEX(brand_intake_founder!$I$2:$I$81,MATCH($B5,brand_intake_founder!$A$2:$A$81,0))),"")))</f>
        <v/>
      </c>
      <c r="O5" s="25">
        <f>IF($B5="","",IF(COUNTIF(brand_intake!$A$2:$A$401,$B5)&gt;0,IFERROR(IF(INDEX(brand_intake!$K$2:$K$401,MATCH($B5,brand_intake!$A$2:$A$401,0))="","",INDEX(brand_intake!$K$2:$K$401,MATCH($B5,brand_intake!$A$2:$A$401,0))),""),IFERROR(IF(INDEX(brand_intake_founder!$K$2:$K$81,MATCH($B5,brand_intake_founder!$A$2:$A$81,0))="","",INDEX(brand_intake_founder!$K$2:$K$81,MATCH($B5,brand_intake_founder!$A$2:$A$81,0))),"")))</f>
        <v/>
      </c>
      <c r="P5" s="25">
        <f>IF($B5="","",IF(COUNTIF(brand_intake!$A$2:$A$401,$B5)&gt;0,IFERROR(IF(INDEX(brand_intake!$E$2:$E$401,MATCH($B5,brand_intake!$A$2:$A$401,0))="","",INDEX(brand_intake!$E$2:$E$401,MATCH($B5,brand_intake!$A$2:$A$401,0))),""),IFERROR(IF(INDEX(brand_intake_founder!$E$2:$E$81,MATCH($B5,brand_intake_founder!$A$2:$A$81,0))="","",INDEX(brand_intake_founder!$E$2:$E$81,MATCH($B5,brand_intake_founder!$A$2:$A$81,0))),"")))</f>
        <v/>
      </c>
      <c r="Q5" s="25">
        <f>IF($B5="","",IF(COUNTIF(brand_intake!$A$2:$A$401,$B5)&gt;0,IFERROR(IF(INDEX(brand_intake!$F$2:$F$401,MATCH($B5,brand_intake!$A$2:$A$401,0))="","",INDEX(brand_intake!$F$2:$F$401,MATCH($B5,brand_intake!$A$2:$A$401,0))),""),IFERROR(IF(INDEX(brand_intake_founder!$F$2:$F$81,MATCH($B5,brand_intake_founder!$A$2:$A$81,0))="","",INDEX(brand_intake_founder!$F$2:$F$81,MATCH($B5,brand_intake_founder!$A$2:$A$81,0))),"")))</f>
        <v/>
      </c>
      <c r="R5" s="25">
        <f>IF($B5="","",IF(COUNTIF(brand_intake!$A$2:$A$401,$B5)&gt;0,IFERROR(IF(INDEX(brand_intake!$G$2:$G$401,MATCH($B5,brand_intake!$A$2:$A$401,0))="","",INDEX(brand_intake!$G$2:$G$401,MATCH($B5,brand_intake!$A$2:$A$401,0))),""),IFERROR(IF(INDEX(brand_intake_founder!$G$2:$G$81,MATCH($B5,brand_intake_founder!$A$2:$A$81,0))="","",INDEX(brand_intake_founder!$G$2:$G$81,MATCH($B5,brand_intake_founder!$A$2:$A$81,0))),"")))</f>
        <v/>
      </c>
      <c r="S5" s="25">
        <f>IF($B5="","",IF(COUNTIF(brand_intake!$A$2:$A$401,$B5)&gt;0,IFERROR(IF(INDEX(brand_intake!$H$2:$H$401,MATCH($B5,brand_intake!$A$2:$A$401,0))="","",INDEX(brand_intake!$H$2:$H$401,MATCH($B5,brand_intake!$A$2:$A$401,0))),""),IFERROR(IF(INDEX(brand_intake_founder!$H$2:$H$81,MATCH($B5,brand_intake_founder!$A$2:$A$81,0))="","",INDEX(brand_intake_founder!$H$2:$H$81,MATCH($B5,brand_intake_founder!$A$2:$A$81,0))),"")))</f>
        <v/>
      </c>
      <c r="T5" s="25">
        <f>IF($B5="","",IF(COUNTIF(brand_intake!$A$2:$A$401,$B5)&gt;0,IFERROR(IF(INDEX(brand_intake!$M$2:$M$401,MATCH($B5,brand_intake!$A$2:$A$401,0))="","",INDEX(brand_intake!$M$2:$M$401,MATCH($B5,brand_intake!$A$2:$A$401,0))),""),IFERROR(IF(INDEX(brand_intake_founder!$M$2:$M$81,MATCH($B5,brand_intake_founder!$A$2:$A$81,0))="","",INDEX(brand_intake_founder!$M$2:$M$81,MATCH($B5,brand_intake_founder!$A$2:$A$81,0))),"")))</f>
        <v/>
      </c>
      <c r="U5" s="25">
        <f>IF($B5="","",IF(COUNTIF(brand_intake!$A$2:$A$401,$B5)&gt;0,IFERROR(IF(INDEX(brand_intake!$L$2:$L$401,MATCH($B5,brand_intake!$A$2:$A$401,0))="","",INDEX(brand_intake!$L$2:$L$401,MATCH($B5,brand_intake!$A$2:$A$401,0))),""),IFERROR(IF(INDEX(brand_intake_founder!$L$2:$L$81,MATCH($B5,brand_intake_founder!$A$2:$A$81,0))="","",INDEX(brand_intake_founder!$L$2:$L$81,MATCH($B5,brand_intake_founder!$A$2:$A$81,0))),"")))</f>
        <v/>
      </c>
      <c r="V5" s="25">
        <f>IF($B5="","",IF(COUNTIF(brand_intake!$A$2:$A$401,$B5)&gt;0,IFERROR(IF(INDEX(brand_intake!$N$2:$N$401,MATCH($B5,brand_intake!$A$2:$A$401,0))="","",INDEX(brand_intake!$N$2:$N$401,MATCH($B5,brand_intake!$A$2:$A$401,0))),""),IFERROR(IF(INDEX(brand_intake_founder!$N$2:$N$81,MATCH($B5,brand_intake_founder!$A$2:$A$81,0))="","",INDEX(brand_intake_founder!$N$2:$N$81,MATCH($B5,brand_intake_founder!$A$2:$A$81,0))),"")))</f>
        <v/>
      </c>
      <c r="W5" s="25">
        <f>IF($B5="","",IF(COUNTIF(brand_intake!$A$2:$A$401,$B5)&gt;0,IFERROR(IF(INDEX(brand_intake!$Q$2:$Q$401,MATCH($B5,brand_intake!$A$2:$A$401,0))="","",INDEX(brand_intake!$Q$2:$Q$401,MATCH($B5,brand_intake!$A$2:$A$401,0))),""),IFERROR(IF(INDEX(brand_intake_founder!$Q$2:$Q$81,MATCH($B5,brand_intake_founder!$A$2:$A$81,0))="","",INDEX(brand_intake_founder!$Q$2:$Q$81,MATCH($B5,brand_intake_founder!$A$2:$A$81,0))),"")))</f>
        <v/>
      </c>
      <c r="X5" s="25">
        <f>IF($B5="","",IF(COUNTIF(brand_intake!$A$2:$A$401,$B5)&gt;0,IFERROR(IF(INDEX(brand_intake!$R$2:$R$401,MATCH($B5,brand_intake!$A$2:$A$401,0))="","",INDEX(brand_intake!$R$2:$R$401,MATCH($B5,brand_intake!$A$2:$A$401,0))),""),IFERROR(IF(INDEX(brand_intake_founder!$R$2:$R$81,MATCH($B5,brand_intake_founder!$A$2:$A$81,0))="","",INDEX(brand_intake_founder!$R$2:$R$81,MATCH($B5,brand_intake_founder!$A$2:$A$81,0))),"")))</f>
        <v/>
      </c>
      <c r="Y5" s="25">
        <f>IF($B5="","",IF(COUNTIF(brand_intake!$A$2:$A$401,$B5)&gt;0,IFERROR(IF(INDEX(brand_intake!$S$2:$S$401,MATCH($B5,brand_intake!$A$2:$A$401,0))="","",INDEX(brand_intake!$S$2:$S$401,MATCH($B5,brand_intake!$A$2:$A$401,0))),""),IFERROR(IF(INDEX(brand_intake_founder!$S$2:$S$81,MATCH($B5,brand_intake_founder!$A$2:$A$81,0))="","",INDEX(brand_intake_founder!$S$2:$S$81,MATCH($B5,brand_intake_founder!$A$2:$A$81,0))),"")))</f>
        <v/>
      </c>
      <c r="Z5" s="25">
        <f>IF($B5="","",IF(COUNTIF(brand_intake!$A$2:$A$401,$B5)&gt;0,IFERROR(IF(INDEX(brand_intake!$T$2:$T$401,MATCH($B5,brand_intake!$A$2:$A$401,0))="","",INDEX(brand_intake!$T$2:$T$401,MATCH($B5,brand_intake!$A$2:$A$401,0))),""),IFERROR(IF(INDEX(brand_intake_founder!$T$2:$T$81,MATCH($B5,brand_intake_founder!$A$2:$A$81,0))="","",INDEX(brand_intake_founder!$T$2:$T$81,MATCH($B5,brand_intake_founder!$A$2:$A$81,0))),"")))</f>
        <v/>
      </c>
      <c r="AA5" s="25">
        <f>IF($B5="","",IF(COUNTIF(brand_intake!$A$2:$A$401,$B5)&gt;0,IFERROR(IF(INDEX(brand_intake!$U$2:$U$401,MATCH($B5,brand_intake!$A$2:$A$401,0))="","",INDEX(brand_intake!$U$2:$U$401,MATCH($B5,brand_intake!$A$2:$A$401,0))),""),IFERROR(IF(INDEX(brand_intake_founder!$U$2:$U$81,MATCH($B5,brand_intake_founder!$A$2:$A$81,0))="","",INDEX(brand_intake_founder!$U$2:$U$81,MATCH($B5,brand_intake_founder!$A$2:$A$81,0))),"")))</f>
        <v/>
      </c>
      <c r="AB5" s="25">
        <f>IF($B5="","",IF(COUNTIF(brand_intake!$A$2:$A$401,$B5)&gt;0,IFERROR(IF(INDEX(brand_intake!$V$2:$V$401,MATCH($B5,brand_intake!$A$2:$A$401,0))="","",INDEX(brand_intake!$V$2:$V$401,MATCH($B5,brand_intake!$A$2:$A$401,0))),""),IFERROR(IF(INDEX(brand_intake_founder!$V$2:$V$81,MATCH($B5,brand_intake_founder!$A$2:$A$81,0))="","",INDEX(brand_intake_founder!$V$2:$V$81,MATCH($B5,brand_intake_founder!$A$2:$A$81,0))),"")))</f>
        <v/>
      </c>
      <c r="AC5" s="25">
        <f>IF($B5="","",IF(COUNTIF(brand_intake!$A$2:$A$401,$B5)&gt;0,IFERROR(IF(INDEX(brand_intake!$W$2:$W$401,MATCH($B5,brand_intake!$A$2:$A$401,0))="","",INDEX(brand_intake!$W$2:$W$401,MATCH($B5,brand_intake!$A$2:$A$401,0))),""),IFERROR(IF(INDEX(brand_intake_founder!$W$2:$W$81,MATCH($B5,brand_intake_founder!$A$2:$A$81,0))="","",INDEX(brand_intake_founder!$W$2:$W$81,MATCH($B5,brand_intake_founder!$A$2:$A$81,0))),"")))</f>
        <v/>
      </c>
      <c r="AD5" s="25">
        <f>IF($B5="","",IF(COUNTIF(brand_intake!$A$2:$A$401,$B5)&gt;0,IFERROR(IF(INDEX(brand_intake!$X$2:$X$401,MATCH($B5,brand_intake!$A$2:$A$401,0))="","",INDEX(brand_intake!$X$2:$X$401,MATCH($B5,brand_intake!$A$2:$A$401,0))),""),IFERROR(IF(INDEX(brand_intake_founder!$X$2:$X$81,MATCH($B5,brand_intake_founder!$A$2:$A$81,0))="","",INDEX(brand_intake_founder!$X$2:$X$81,MATCH($B5,brand_intake_founder!$A$2:$A$81,0))),"")))</f>
        <v/>
      </c>
      <c r="AE5" s="25">
        <f>IF($B5="","",IF(COUNTIF(brand_intake!$A$2:$A$401,$B5)&gt;0,IFERROR(IF(INDEX(brand_intake!$Y$2:$Y$401,MATCH($B5,brand_intake!$A$2:$A$401,0))="","",INDEX(brand_intake!$Y$2:$Y$401,MATCH($B5,brand_intake!$A$2:$A$401,0))),""),IFERROR(IF(INDEX(brand_intake_founder!$Y$2:$Y$81,MATCH($B5,brand_intake_founder!$A$2:$A$81,0))="","",INDEX(brand_intake_founder!$Y$2:$Y$81,MATCH($B5,brand_intake_founder!$A$2:$A$81,0))),"")))</f>
        <v/>
      </c>
      <c r="AF5" s="25">
        <f>IF($B5="","",($X5="Y")+($Y5="Y")+($Z5="Y")+($AA5="Y")+($AB5="Y")+($AC5="Y")+(LEN($AD5)&gt;0))</f>
        <v/>
      </c>
      <c r="AG5" s="25">
        <f>IF($B5="","",IF(AND($AF5=7,$AE5="Y"),"Y (as answered)","N: check "&amp;IF($X5&lt;&gt;"Y","1 ","")&amp;IF($Y5&lt;&gt;"Y","2 ","")&amp;IF($Z5&lt;&gt;"Y","3 ","")&amp;IF($AA5&lt;&gt;"Y","4 ","")&amp;IF($AB5&lt;&gt;"Y","5 ","")&amp;IF($AC5&lt;&gt;"Y","6 ","")&amp;IF(LEN($AD5)=0,"7 ","")&amp;IF($AE5&lt;&gt;"Y","excluded? ","")))</f>
        <v/>
      </c>
      <c r="AH5" s="25">
        <f>IF($A5="","",COUNTIF(campaigns!$C$2:$C$51,$A5))</f>
        <v/>
      </c>
      <c r="AI5" s="25">
        <f>IF(OR($A5="",SUMIFS(campaigns!$H$2:$H$51,campaigns!$C$2:$C$51,$A5,campaigns!$D$2:$D$51,"founding",campaigns!$E$2:$E$51,"&lt;&gt;Y")=0),"",COUNTIFS(campaigns!$D$2:$D$51,"founding",campaigns!$E$2:$E$51,"&lt;&gt;Y",campaigns!$H$2:$H$51,"&lt;="&amp;SUMIFS(campaigns!$H$2:$H$51,campaigns!$C$2:$C$51,$A5,campaigns!$D$2:$D$51,"founding",campaigns!$E$2:$E$51,"&lt;&gt;Y"),campaigns!$H$2:$H$51,"&gt;0"))</f>
        <v/>
      </c>
      <c r="AJ5" s="25">
        <f>IF(OR($A5="",NOT(IFERROR(COUNTIF(INDEX(in_paid_brands!$A$2:$BZ$81,0,MATCH("brand_id",in_paid_brands!$A$1:$BZ$1,0)),$A5),0)&gt;0)),"",IF(IFERROR(IF(INDEX(in_paid_brands!$A$2:$BZ$81,MATCH($A5,INDEX(in_paid_brands!$A$2:$BZ$81,0,MATCH("brand_id",in_paid_brands!$A$1:$BZ$1,0)),0),MATCH("campaign_id",in_paid_brands!$A$1:$BZ$1,0))="","",INDEX(in_paid_brands!$A$2:$BZ$81,MATCH($A5,INDEX(in_paid_brands!$A$2:$BZ$81,0,MATCH("brand_id",in_paid_brands!$A$1:$BZ$1,0)),0),MATCH("campaign_id",in_paid_brands!$A$1:$BZ$1,0))),"")="","E's paid_brands row has no campaign_id: type the CMP-### there; ",IF(OR(ABS(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gt;0.005,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payment 1 differs: E "&amp;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amp;" on "&amp;IF(N(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0,"none",TEXT(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yyyy-mm-dd"))&amp;"; ","")&amp;IF(OR(ABS(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gt;0.005,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payment 2 differs: E "&amp;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amp;" on "&amp;IF(N(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0,"none",TEXT(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yyyy-mm-dd"))&amp;"; ","")))</f>
        <v/>
      </c>
    </row>
    <row r="6">
      <c r="A6" t="inlineStr">
        <is>
          <t>SAMPLE-BR-005</t>
        </is>
      </c>
      <c r="B6" s="30" t="inlineStr">
        <is>
          <t>2026-12-28T10:20:00-05:00</t>
        </is>
      </c>
      <c r="C6" t="inlineStr">
        <is>
          <t>SAMPLE Kettle Ridge Foods LLC</t>
        </is>
      </c>
      <c r="D6" t="inlineStr">
        <is>
          <t>SAMPLE 1 Example Plaza, Example City</t>
        </is>
      </c>
      <c r="E6" t="inlineStr">
        <is>
          <t>SAMPLE-ap-005@example.com</t>
        </is>
      </c>
      <c r="F6" t="inlineStr">
        <is>
          <t>brand_claim</t>
        </is>
      </c>
      <c r="G6" t="inlineStr">
        <is>
          <t>Y</t>
        </is>
      </c>
      <c r="H6" s="9" t="n">
        <v>46843</v>
      </c>
      <c r="I6" t="inlineStr">
        <is>
          <t>active</t>
        </is>
      </c>
      <c r="K6" s="25">
        <f>IF($B6="","",IF(COUNTIF(brand_intake!$A$2:$A$401,$B6)&gt;0,IFERROR(IF(INDEX(brand_intake!$C$2:$C$401,MATCH($B6,brand_intake!$A$2:$A$401,0))="","",INDEX(brand_intake!$C$2:$C$401,MATCH($B6,brand_intake!$A$2:$A$401,0))),""),IFERROR(IF(INDEX(brand_intake_founder!$C$2:$C$81,MATCH($B6,brand_intake_founder!$A$2:$A$81,0))="","",INDEX(brand_intake_founder!$C$2:$C$81,MATCH($B6,brand_intake_founder!$A$2:$A$81,0))),"")))</f>
        <v/>
      </c>
      <c r="L6" s="25">
        <f>IF($B6="","",IF(COUNTIF(brand_intake!$A$2:$A$401,$B6)&gt;0,IFERROR(IF(INDEX(brand_intake!$D$2:$D$401,MATCH($B6,brand_intake!$A$2:$A$401,0))="","",INDEX(brand_intake!$D$2:$D$401,MATCH($B6,brand_intake!$A$2:$A$401,0))),""),IFERROR(IF(INDEX(brand_intake_founder!$D$2:$D$81,MATCH($B6,brand_intake_founder!$A$2:$A$81,0))="","",INDEX(brand_intake_founder!$D$2:$D$81,MATCH($B6,brand_intake_founder!$A$2:$A$81,0))),"")))</f>
        <v/>
      </c>
      <c r="M6" s="25">
        <f>IF($B6="","",IF(COUNTIF(brand_intake!$A$2:$A$401,$B6)&gt;0,IFERROR(IF(INDEX(brand_intake!$J$2:$J$401,MATCH($B6,brand_intake!$A$2:$A$401,0))="","",INDEX(brand_intake!$J$2:$J$401,MATCH($B6,brand_intake!$A$2:$A$401,0))),""),IFERROR(IF(INDEX(brand_intake_founder!$J$2:$J$81,MATCH($B6,brand_intake_founder!$A$2:$A$81,0))="","",INDEX(brand_intake_founder!$J$2:$J$81,MATCH($B6,brand_intake_founder!$A$2:$A$81,0))),"")))</f>
        <v/>
      </c>
      <c r="N6" s="25">
        <f>IF($B6="","",IF(COUNTIF(brand_intake!$A$2:$A$401,$B6)&gt;0,IFERROR(IF(INDEX(brand_intake!$I$2:$I$401,MATCH($B6,brand_intake!$A$2:$A$401,0))="","",INDEX(brand_intake!$I$2:$I$401,MATCH($B6,brand_intake!$A$2:$A$401,0))),""),IFERROR(IF(INDEX(brand_intake_founder!$I$2:$I$81,MATCH($B6,brand_intake_founder!$A$2:$A$81,0))="","",INDEX(brand_intake_founder!$I$2:$I$81,MATCH($B6,brand_intake_founder!$A$2:$A$81,0))),"")))</f>
        <v/>
      </c>
      <c r="O6" s="25">
        <f>IF($B6="","",IF(COUNTIF(brand_intake!$A$2:$A$401,$B6)&gt;0,IFERROR(IF(INDEX(brand_intake!$K$2:$K$401,MATCH($B6,brand_intake!$A$2:$A$401,0))="","",INDEX(brand_intake!$K$2:$K$401,MATCH($B6,brand_intake!$A$2:$A$401,0))),""),IFERROR(IF(INDEX(brand_intake_founder!$K$2:$K$81,MATCH($B6,brand_intake_founder!$A$2:$A$81,0))="","",INDEX(brand_intake_founder!$K$2:$K$81,MATCH($B6,brand_intake_founder!$A$2:$A$81,0))),"")))</f>
        <v/>
      </c>
      <c r="P6" s="25">
        <f>IF($B6="","",IF(COUNTIF(brand_intake!$A$2:$A$401,$B6)&gt;0,IFERROR(IF(INDEX(brand_intake!$E$2:$E$401,MATCH($B6,brand_intake!$A$2:$A$401,0))="","",INDEX(brand_intake!$E$2:$E$401,MATCH($B6,brand_intake!$A$2:$A$401,0))),""),IFERROR(IF(INDEX(brand_intake_founder!$E$2:$E$81,MATCH($B6,brand_intake_founder!$A$2:$A$81,0))="","",INDEX(brand_intake_founder!$E$2:$E$81,MATCH($B6,brand_intake_founder!$A$2:$A$81,0))),"")))</f>
        <v/>
      </c>
      <c r="Q6" s="25">
        <f>IF($B6="","",IF(COUNTIF(brand_intake!$A$2:$A$401,$B6)&gt;0,IFERROR(IF(INDEX(brand_intake!$F$2:$F$401,MATCH($B6,brand_intake!$A$2:$A$401,0))="","",INDEX(brand_intake!$F$2:$F$401,MATCH($B6,brand_intake!$A$2:$A$401,0))),""),IFERROR(IF(INDEX(brand_intake_founder!$F$2:$F$81,MATCH($B6,brand_intake_founder!$A$2:$A$81,0))="","",INDEX(brand_intake_founder!$F$2:$F$81,MATCH($B6,brand_intake_founder!$A$2:$A$81,0))),"")))</f>
        <v/>
      </c>
      <c r="R6" s="25">
        <f>IF($B6="","",IF(COUNTIF(brand_intake!$A$2:$A$401,$B6)&gt;0,IFERROR(IF(INDEX(brand_intake!$G$2:$G$401,MATCH($B6,brand_intake!$A$2:$A$401,0))="","",INDEX(brand_intake!$G$2:$G$401,MATCH($B6,brand_intake!$A$2:$A$401,0))),""),IFERROR(IF(INDEX(brand_intake_founder!$G$2:$G$81,MATCH($B6,brand_intake_founder!$A$2:$A$81,0))="","",INDEX(brand_intake_founder!$G$2:$G$81,MATCH($B6,brand_intake_founder!$A$2:$A$81,0))),"")))</f>
        <v/>
      </c>
      <c r="S6" s="25">
        <f>IF($B6="","",IF(COUNTIF(brand_intake!$A$2:$A$401,$B6)&gt;0,IFERROR(IF(INDEX(brand_intake!$H$2:$H$401,MATCH($B6,brand_intake!$A$2:$A$401,0))="","",INDEX(brand_intake!$H$2:$H$401,MATCH($B6,brand_intake!$A$2:$A$401,0))),""),IFERROR(IF(INDEX(brand_intake_founder!$H$2:$H$81,MATCH($B6,brand_intake_founder!$A$2:$A$81,0))="","",INDEX(brand_intake_founder!$H$2:$H$81,MATCH($B6,brand_intake_founder!$A$2:$A$81,0))),"")))</f>
        <v/>
      </c>
      <c r="T6" s="25">
        <f>IF($B6="","",IF(COUNTIF(brand_intake!$A$2:$A$401,$B6)&gt;0,IFERROR(IF(INDEX(brand_intake!$M$2:$M$401,MATCH($B6,brand_intake!$A$2:$A$401,0))="","",INDEX(brand_intake!$M$2:$M$401,MATCH($B6,brand_intake!$A$2:$A$401,0))),""),IFERROR(IF(INDEX(brand_intake_founder!$M$2:$M$81,MATCH($B6,brand_intake_founder!$A$2:$A$81,0))="","",INDEX(brand_intake_founder!$M$2:$M$81,MATCH($B6,brand_intake_founder!$A$2:$A$81,0))),"")))</f>
        <v/>
      </c>
      <c r="U6" s="25">
        <f>IF($B6="","",IF(COUNTIF(brand_intake!$A$2:$A$401,$B6)&gt;0,IFERROR(IF(INDEX(brand_intake!$L$2:$L$401,MATCH($B6,brand_intake!$A$2:$A$401,0))="","",INDEX(brand_intake!$L$2:$L$401,MATCH($B6,brand_intake!$A$2:$A$401,0))),""),IFERROR(IF(INDEX(brand_intake_founder!$L$2:$L$81,MATCH($B6,brand_intake_founder!$A$2:$A$81,0))="","",INDEX(brand_intake_founder!$L$2:$L$81,MATCH($B6,brand_intake_founder!$A$2:$A$81,0))),"")))</f>
        <v/>
      </c>
      <c r="V6" s="25">
        <f>IF($B6="","",IF(COUNTIF(brand_intake!$A$2:$A$401,$B6)&gt;0,IFERROR(IF(INDEX(brand_intake!$N$2:$N$401,MATCH($B6,brand_intake!$A$2:$A$401,0))="","",INDEX(brand_intake!$N$2:$N$401,MATCH($B6,brand_intake!$A$2:$A$401,0))),""),IFERROR(IF(INDEX(brand_intake_founder!$N$2:$N$81,MATCH($B6,brand_intake_founder!$A$2:$A$81,0))="","",INDEX(brand_intake_founder!$N$2:$N$81,MATCH($B6,brand_intake_founder!$A$2:$A$81,0))),"")))</f>
        <v/>
      </c>
      <c r="W6" s="25">
        <f>IF($B6="","",IF(COUNTIF(brand_intake!$A$2:$A$401,$B6)&gt;0,IFERROR(IF(INDEX(brand_intake!$Q$2:$Q$401,MATCH($B6,brand_intake!$A$2:$A$401,0))="","",INDEX(brand_intake!$Q$2:$Q$401,MATCH($B6,brand_intake!$A$2:$A$401,0))),""),IFERROR(IF(INDEX(brand_intake_founder!$Q$2:$Q$81,MATCH($B6,brand_intake_founder!$A$2:$A$81,0))="","",INDEX(brand_intake_founder!$Q$2:$Q$81,MATCH($B6,brand_intake_founder!$A$2:$A$81,0))),"")))</f>
        <v/>
      </c>
      <c r="X6" s="25">
        <f>IF($B6="","",IF(COUNTIF(brand_intake!$A$2:$A$401,$B6)&gt;0,IFERROR(IF(INDEX(brand_intake!$R$2:$R$401,MATCH($B6,brand_intake!$A$2:$A$401,0))="","",INDEX(brand_intake!$R$2:$R$401,MATCH($B6,brand_intake!$A$2:$A$401,0))),""),IFERROR(IF(INDEX(brand_intake_founder!$R$2:$R$81,MATCH($B6,brand_intake_founder!$A$2:$A$81,0))="","",INDEX(brand_intake_founder!$R$2:$R$81,MATCH($B6,brand_intake_founder!$A$2:$A$81,0))),"")))</f>
        <v/>
      </c>
      <c r="Y6" s="25">
        <f>IF($B6="","",IF(COUNTIF(brand_intake!$A$2:$A$401,$B6)&gt;0,IFERROR(IF(INDEX(brand_intake!$S$2:$S$401,MATCH($B6,brand_intake!$A$2:$A$401,0))="","",INDEX(brand_intake!$S$2:$S$401,MATCH($B6,brand_intake!$A$2:$A$401,0))),""),IFERROR(IF(INDEX(brand_intake_founder!$S$2:$S$81,MATCH($B6,brand_intake_founder!$A$2:$A$81,0))="","",INDEX(brand_intake_founder!$S$2:$S$81,MATCH($B6,brand_intake_founder!$A$2:$A$81,0))),"")))</f>
        <v/>
      </c>
      <c r="Z6" s="25">
        <f>IF($B6="","",IF(COUNTIF(brand_intake!$A$2:$A$401,$B6)&gt;0,IFERROR(IF(INDEX(brand_intake!$T$2:$T$401,MATCH($B6,brand_intake!$A$2:$A$401,0))="","",INDEX(brand_intake!$T$2:$T$401,MATCH($B6,brand_intake!$A$2:$A$401,0))),""),IFERROR(IF(INDEX(brand_intake_founder!$T$2:$T$81,MATCH($B6,brand_intake_founder!$A$2:$A$81,0))="","",INDEX(brand_intake_founder!$T$2:$T$81,MATCH($B6,brand_intake_founder!$A$2:$A$81,0))),"")))</f>
        <v/>
      </c>
      <c r="AA6" s="25">
        <f>IF($B6="","",IF(COUNTIF(brand_intake!$A$2:$A$401,$B6)&gt;0,IFERROR(IF(INDEX(brand_intake!$U$2:$U$401,MATCH($B6,brand_intake!$A$2:$A$401,0))="","",INDEX(brand_intake!$U$2:$U$401,MATCH($B6,brand_intake!$A$2:$A$401,0))),""),IFERROR(IF(INDEX(brand_intake_founder!$U$2:$U$81,MATCH($B6,brand_intake_founder!$A$2:$A$81,0))="","",INDEX(brand_intake_founder!$U$2:$U$81,MATCH($B6,brand_intake_founder!$A$2:$A$81,0))),"")))</f>
        <v/>
      </c>
      <c r="AB6" s="25">
        <f>IF($B6="","",IF(COUNTIF(brand_intake!$A$2:$A$401,$B6)&gt;0,IFERROR(IF(INDEX(brand_intake!$V$2:$V$401,MATCH($B6,brand_intake!$A$2:$A$401,0))="","",INDEX(brand_intake!$V$2:$V$401,MATCH($B6,brand_intake!$A$2:$A$401,0))),""),IFERROR(IF(INDEX(brand_intake_founder!$V$2:$V$81,MATCH($B6,brand_intake_founder!$A$2:$A$81,0))="","",INDEX(brand_intake_founder!$V$2:$V$81,MATCH($B6,brand_intake_founder!$A$2:$A$81,0))),"")))</f>
        <v/>
      </c>
      <c r="AC6" s="25">
        <f>IF($B6="","",IF(COUNTIF(brand_intake!$A$2:$A$401,$B6)&gt;0,IFERROR(IF(INDEX(brand_intake!$W$2:$W$401,MATCH($B6,brand_intake!$A$2:$A$401,0))="","",INDEX(brand_intake!$W$2:$W$401,MATCH($B6,brand_intake!$A$2:$A$401,0))),""),IFERROR(IF(INDEX(brand_intake_founder!$W$2:$W$81,MATCH($B6,brand_intake_founder!$A$2:$A$81,0))="","",INDEX(brand_intake_founder!$W$2:$W$81,MATCH($B6,brand_intake_founder!$A$2:$A$81,0))),"")))</f>
        <v/>
      </c>
      <c r="AD6" s="25">
        <f>IF($B6="","",IF(COUNTIF(brand_intake!$A$2:$A$401,$B6)&gt;0,IFERROR(IF(INDEX(brand_intake!$X$2:$X$401,MATCH($B6,brand_intake!$A$2:$A$401,0))="","",INDEX(brand_intake!$X$2:$X$401,MATCH($B6,brand_intake!$A$2:$A$401,0))),""),IFERROR(IF(INDEX(brand_intake_founder!$X$2:$X$81,MATCH($B6,brand_intake_founder!$A$2:$A$81,0))="","",INDEX(brand_intake_founder!$X$2:$X$81,MATCH($B6,brand_intake_founder!$A$2:$A$81,0))),"")))</f>
        <v/>
      </c>
      <c r="AE6" s="25">
        <f>IF($B6="","",IF(COUNTIF(brand_intake!$A$2:$A$401,$B6)&gt;0,IFERROR(IF(INDEX(brand_intake!$Y$2:$Y$401,MATCH($B6,brand_intake!$A$2:$A$401,0))="","",INDEX(brand_intake!$Y$2:$Y$401,MATCH($B6,brand_intake!$A$2:$A$401,0))),""),IFERROR(IF(INDEX(brand_intake_founder!$Y$2:$Y$81,MATCH($B6,brand_intake_founder!$A$2:$A$81,0))="","",INDEX(brand_intake_founder!$Y$2:$Y$81,MATCH($B6,brand_intake_founder!$A$2:$A$81,0))),"")))</f>
        <v/>
      </c>
      <c r="AF6" s="25">
        <f>IF($B6="","",($X6="Y")+($Y6="Y")+($Z6="Y")+($AA6="Y")+($AB6="Y")+($AC6="Y")+(LEN($AD6)&gt;0))</f>
        <v/>
      </c>
      <c r="AG6" s="25">
        <f>IF($B6="","",IF(AND($AF6=7,$AE6="Y"),"Y (as answered)","N: check "&amp;IF($X6&lt;&gt;"Y","1 ","")&amp;IF($Y6&lt;&gt;"Y","2 ","")&amp;IF($Z6&lt;&gt;"Y","3 ","")&amp;IF($AA6&lt;&gt;"Y","4 ","")&amp;IF($AB6&lt;&gt;"Y","5 ","")&amp;IF($AC6&lt;&gt;"Y","6 ","")&amp;IF(LEN($AD6)=0,"7 ","")&amp;IF($AE6&lt;&gt;"Y","excluded? ","")))</f>
        <v/>
      </c>
      <c r="AH6" s="25">
        <f>IF($A6="","",COUNTIF(campaigns!$C$2:$C$51,$A6))</f>
        <v/>
      </c>
      <c r="AI6" s="25">
        <f>IF(OR($A6="",SUMIFS(campaigns!$H$2:$H$51,campaigns!$C$2:$C$51,$A6,campaigns!$D$2:$D$51,"founding",campaigns!$E$2:$E$51,"&lt;&gt;Y")=0),"",COUNTIFS(campaigns!$D$2:$D$51,"founding",campaigns!$E$2:$E$51,"&lt;&gt;Y",campaigns!$H$2:$H$51,"&lt;="&amp;SUMIFS(campaigns!$H$2:$H$51,campaigns!$C$2:$C$51,$A6,campaigns!$D$2:$D$51,"founding",campaigns!$E$2:$E$51,"&lt;&gt;Y"),campaigns!$H$2:$H$51,"&gt;0"))</f>
        <v/>
      </c>
      <c r="AJ6" s="25">
        <f>IF(OR($A6="",NOT(IFERROR(COUNTIF(INDEX(in_paid_brands!$A$2:$BZ$81,0,MATCH("brand_id",in_paid_brands!$A$1:$BZ$1,0)),$A6),0)&gt;0)),"",IF(IFERROR(IF(INDEX(in_paid_brands!$A$2:$BZ$81,MATCH($A6,INDEX(in_paid_brands!$A$2:$BZ$81,0,MATCH("brand_id",in_paid_brands!$A$1:$BZ$1,0)),0),MATCH("campaign_id",in_paid_brands!$A$1:$BZ$1,0))="","",INDEX(in_paid_brands!$A$2:$BZ$81,MATCH($A6,INDEX(in_paid_brands!$A$2:$BZ$81,0,MATCH("brand_id",in_paid_brands!$A$1:$BZ$1,0)),0),MATCH("campaign_id",in_paid_brands!$A$1:$BZ$1,0))),"")="","E's paid_brands row has no campaign_id: type the CMP-### there; ",IF(OR(ABS(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gt;0.005,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payment 1 differs: E "&amp;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amp;" on "&amp;IF(N(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0,"none",TEXT(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yyyy-mm-dd"))&amp;"; ","")&amp;IF(OR(ABS(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gt;0.005,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payment 2 differs: E "&amp;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amp;" on "&amp;IF(N(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0,"none",TEXT(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yyyy-mm-dd"))&amp;"; ","")))</f>
        <v/>
      </c>
    </row>
    <row r="7">
      <c r="B7" s="30" t="n"/>
      <c r="H7" s="9" t="n"/>
      <c r="K7" s="25">
        <f>IF($B7="","",IF(COUNTIF(brand_intake!$A$2:$A$401,$B7)&gt;0,IFERROR(IF(INDEX(brand_intake!$C$2:$C$401,MATCH($B7,brand_intake!$A$2:$A$401,0))="","",INDEX(brand_intake!$C$2:$C$401,MATCH($B7,brand_intake!$A$2:$A$401,0))),""),IFERROR(IF(INDEX(brand_intake_founder!$C$2:$C$81,MATCH($B7,brand_intake_founder!$A$2:$A$81,0))="","",INDEX(brand_intake_founder!$C$2:$C$81,MATCH($B7,brand_intake_founder!$A$2:$A$81,0))),"")))</f>
        <v/>
      </c>
      <c r="L7" s="25">
        <f>IF($B7="","",IF(COUNTIF(brand_intake!$A$2:$A$401,$B7)&gt;0,IFERROR(IF(INDEX(brand_intake!$D$2:$D$401,MATCH($B7,brand_intake!$A$2:$A$401,0))="","",INDEX(brand_intake!$D$2:$D$401,MATCH($B7,brand_intake!$A$2:$A$401,0))),""),IFERROR(IF(INDEX(brand_intake_founder!$D$2:$D$81,MATCH($B7,brand_intake_founder!$A$2:$A$81,0))="","",INDEX(brand_intake_founder!$D$2:$D$81,MATCH($B7,brand_intake_founder!$A$2:$A$81,0))),"")))</f>
        <v/>
      </c>
      <c r="M7" s="25">
        <f>IF($B7="","",IF(COUNTIF(brand_intake!$A$2:$A$401,$B7)&gt;0,IFERROR(IF(INDEX(brand_intake!$J$2:$J$401,MATCH($B7,brand_intake!$A$2:$A$401,0))="","",INDEX(brand_intake!$J$2:$J$401,MATCH($B7,brand_intake!$A$2:$A$401,0))),""),IFERROR(IF(INDEX(brand_intake_founder!$J$2:$J$81,MATCH($B7,brand_intake_founder!$A$2:$A$81,0))="","",INDEX(brand_intake_founder!$J$2:$J$81,MATCH($B7,brand_intake_founder!$A$2:$A$81,0))),"")))</f>
        <v/>
      </c>
      <c r="N7" s="25">
        <f>IF($B7="","",IF(COUNTIF(brand_intake!$A$2:$A$401,$B7)&gt;0,IFERROR(IF(INDEX(brand_intake!$I$2:$I$401,MATCH($B7,brand_intake!$A$2:$A$401,0))="","",INDEX(brand_intake!$I$2:$I$401,MATCH($B7,brand_intake!$A$2:$A$401,0))),""),IFERROR(IF(INDEX(brand_intake_founder!$I$2:$I$81,MATCH($B7,brand_intake_founder!$A$2:$A$81,0))="","",INDEX(brand_intake_founder!$I$2:$I$81,MATCH($B7,brand_intake_founder!$A$2:$A$81,0))),"")))</f>
        <v/>
      </c>
      <c r="O7" s="25">
        <f>IF($B7="","",IF(COUNTIF(brand_intake!$A$2:$A$401,$B7)&gt;0,IFERROR(IF(INDEX(brand_intake!$K$2:$K$401,MATCH($B7,brand_intake!$A$2:$A$401,0))="","",INDEX(brand_intake!$K$2:$K$401,MATCH($B7,brand_intake!$A$2:$A$401,0))),""),IFERROR(IF(INDEX(brand_intake_founder!$K$2:$K$81,MATCH($B7,brand_intake_founder!$A$2:$A$81,0))="","",INDEX(brand_intake_founder!$K$2:$K$81,MATCH($B7,brand_intake_founder!$A$2:$A$81,0))),"")))</f>
        <v/>
      </c>
      <c r="P7" s="25">
        <f>IF($B7="","",IF(COUNTIF(brand_intake!$A$2:$A$401,$B7)&gt;0,IFERROR(IF(INDEX(brand_intake!$E$2:$E$401,MATCH($B7,brand_intake!$A$2:$A$401,0))="","",INDEX(brand_intake!$E$2:$E$401,MATCH($B7,brand_intake!$A$2:$A$401,0))),""),IFERROR(IF(INDEX(brand_intake_founder!$E$2:$E$81,MATCH($B7,brand_intake_founder!$A$2:$A$81,0))="","",INDEX(brand_intake_founder!$E$2:$E$81,MATCH($B7,brand_intake_founder!$A$2:$A$81,0))),"")))</f>
        <v/>
      </c>
      <c r="Q7" s="25">
        <f>IF($B7="","",IF(COUNTIF(brand_intake!$A$2:$A$401,$B7)&gt;0,IFERROR(IF(INDEX(brand_intake!$F$2:$F$401,MATCH($B7,brand_intake!$A$2:$A$401,0))="","",INDEX(brand_intake!$F$2:$F$401,MATCH($B7,brand_intake!$A$2:$A$401,0))),""),IFERROR(IF(INDEX(brand_intake_founder!$F$2:$F$81,MATCH($B7,brand_intake_founder!$A$2:$A$81,0))="","",INDEX(brand_intake_founder!$F$2:$F$81,MATCH($B7,brand_intake_founder!$A$2:$A$81,0))),"")))</f>
        <v/>
      </c>
      <c r="R7" s="25">
        <f>IF($B7="","",IF(COUNTIF(brand_intake!$A$2:$A$401,$B7)&gt;0,IFERROR(IF(INDEX(brand_intake!$G$2:$G$401,MATCH($B7,brand_intake!$A$2:$A$401,0))="","",INDEX(brand_intake!$G$2:$G$401,MATCH($B7,brand_intake!$A$2:$A$401,0))),""),IFERROR(IF(INDEX(brand_intake_founder!$G$2:$G$81,MATCH($B7,brand_intake_founder!$A$2:$A$81,0))="","",INDEX(brand_intake_founder!$G$2:$G$81,MATCH($B7,brand_intake_founder!$A$2:$A$81,0))),"")))</f>
        <v/>
      </c>
      <c r="S7" s="25">
        <f>IF($B7="","",IF(COUNTIF(brand_intake!$A$2:$A$401,$B7)&gt;0,IFERROR(IF(INDEX(brand_intake!$H$2:$H$401,MATCH($B7,brand_intake!$A$2:$A$401,0))="","",INDEX(brand_intake!$H$2:$H$401,MATCH($B7,brand_intake!$A$2:$A$401,0))),""),IFERROR(IF(INDEX(brand_intake_founder!$H$2:$H$81,MATCH($B7,brand_intake_founder!$A$2:$A$81,0))="","",INDEX(brand_intake_founder!$H$2:$H$81,MATCH($B7,brand_intake_founder!$A$2:$A$81,0))),"")))</f>
        <v/>
      </c>
      <c r="T7" s="25">
        <f>IF($B7="","",IF(COUNTIF(brand_intake!$A$2:$A$401,$B7)&gt;0,IFERROR(IF(INDEX(brand_intake!$M$2:$M$401,MATCH($B7,brand_intake!$A$2:$A$401,0))="","",INDEX(brand_intake!$M$2:$M$401,MATCH($B7,brand_intake!$A$2:$A$401,0))),""),IFERROR(IF(INDEX(brand_intake_founder!$M$2:$M$81,MATCH($B7,brand_intake_founder!$A$2:$A$81,0))="","",INDEX(brand_intake_founder!$M$2:$M$81,MATCH($B7,brand_intake_founder!$A$2:$A$81,0))),"")))</f>
        <v/>
      </c>
      <c r="U7" s="25">
        <f>IF($B7="","",IF(COUNTIF(brand_intake!$A$2:$A$401,$B7)&gt;0,IFERROR(IF(INDEX(brand_intake!$L$2:$L$401,MATCH($B7,brand_intake!$A$2:$A$401,0))="","",INDEX(brand_intake!$L$2:$L$401,MATCH($B7,brand_intake!$A$2:$A$401,0))),""),IFERROR(IF(INDEX(brand_intake_founder!$L$2:$L$81,MATCH($B7,brand_intake_founder!$A$2:$A$81,0))="","",INDEX(brand_intake_founder!$L$2:$L$81,MATCH($B7,brand_intake_founder!$A$2:$A$81,0))),"")))</f>
        <v/>
      </c>
      <c r="V7" s="25">
        <f>IF($B7="","",IF(COUNTIF(brand_intake!$A$2:$A$401,$B7)&gt;0,IFERROR(IF(INDEX(brand_intake!$N$2:$N$401,MATCH($B7,brand_intake!$A$2:$A$401,0))="","",INDEX(brand_intake!$N$2:$N$401,MATCH($B7,brand_intake!$A$2:$A$401,0))),""),IFERROR(IF(INDEX(brand_intake_founder!$N$2:$N$81,MATCH($B7,brand_intake_founder!$A$2:$A$81,0))="","",INDEX(brand_intake_founder!$N$2:$N$81,MATCH($B7,brand_intake_founder!$A$2:$A$81,0))),"")))</f>
        <v/>
      </c>
      <c r="W7" s="25">
        <f>IF($B7="","",IF(COUNTIF(brand_intake!$A$2:$A$401,$B7)&gt;0,IFERROR(IF(INDEX(brand_intake!$Q$2:$Q$401,MATCH($B7,brand_intake!$A$2:$A$401,0))="","",INDEX(brand_intake!$Q$2:$Q$401,MATCH($B7,brand_intake!$A$2:$A$401,0))),""),IFERROR(IF(INDEX(brand_intake_founder!$Q$2:$Q$81,MATCH($B7,brand_intake_founder!$A$2:$A$81,0))="","",INDEX(brand_intake_founder!$Q$2:$Q$81,MATCH($B7,brand_intake_founder!$A$2:$A$81,0))),"")))</f>
        <v/>
      </c>
      <c r="X7" s="25">
        <f>IF($B7="","",IF(COUNTIF(brand_intake!$A$2:$A$401,$B7)&gt;0,IFERROR(IF(INDEX(brand_intake!$R$2:$R$401,MATCH($B7,brand_intake!$A$2:$A$401,0))="","",INDEX(brand_intake!$R$2:$R$401,MATCH($B7,brand_intake!$A$2:$A$401,0))),""),IFERROR(IF(INDEX(brand_intake_founder!$R$2:$R$81,MATCH($B7,brand_intake_founder!$A$2:$A$81,0))="","",INDEX(brand_intake_founder!$R$2:$R$81,MATCH($B7,brand_intake_founder!$A$2:$A$81,0))),"")))</f>
        <v/>
      </c>
      <c r="Y7" s="25">
        <f>IF($B7="","",IF(COUNTIF(brand_intake!$A$2:$A$401,$B7)&gt;0,IFERROR(IF(INDEX(brand_intake!$S$2:$S$401,MATCH($B7,brand_intake!$A$2:$A$401,0))="","",INDEX(brand_intake!$S$2:$S$401,MATCH($B7,brand_intake!$A$2:$A$401,0))),""),IFERROR(IF(INDEX(brand_intake_founder!$S$2:$S$81,MATCH($B7,brand_intake_founder!$A$2:$A$81,0))="","",INDEX(brand_intake_founder!$S$2:$S$81,MATCH($B7,brand_intake_founder!$A$2:$A$81,0))),"")))</f>
        <v/>
      </c>
      <c r="Z7" s="25">
        <f>IF($B7="","",IF(COUNTIF(brand_intake!$A$2:$A$401,$B7)&gt;0,IFERROR(IF(INDEX(brand_intake!$T$2:$T$401,MATCH($B7,brand_intake!$A$2:$A$401,0))="","",INDEX(brand_intake!$T$2:$T$401,MATCH($B7,brand_intake!$A$2:$A$401,0))),""),IFERROR(IF(INDEX(brand_intake_founder!$T$2:$T$81,MATCH($B7,brand_intake_founder!$A$2:$A$81,0))="","",INDEX(brand_intake_founder!$T$2:$T$81,MATCH($B7,brand_intake_founder!$A$2:$A$81,0))),"")))</f>
        <v/>
      </c>
      <c r="AA7" s="25">
        <f>IF($B7="","",IF(COUNTIF(brand_intake!$A$2:$A$401,$B7)&gt;0,IFERROR(IF(INDEX(brand_intake!$U$2:$U$401,MATCH($B7,brand_intake!$A$2:$A$401,0))="","",INDEX(brand_intake!$U$2:$U$401,MATCH($B7,brand_intake!$A$2:$A$401,0))),""),IFERROR(IF(INDEX(brand_intake_founder!$U$2:$U$81,MATCH($B7,brand_intake_founder!$A$2:$A$81,0))="","",INDEX(brand_intake_founder!$U$2:$U$81,MATCH($B7,brand_intake_founder!$A$2:$A$81,0))),"")))</f>
        <v/>
      </c>
      <c r="AB7" s="25">
        <f>IF($B7="","",IF(COUNTIF(brand_intake!$A$2:$A$401,$B7)&gt;0,IFERROR(IF(INDEX(brand_intake!$V$2:$V$401,MATCH($B7,brand_intake!$A$2:$A$401,0))="","",INDEX(brand_intake!$V$2:$V$401,MATCH($B7,brand_intake!$A$2:$A$401,0))),""),IFERROR(IF(INDEX(brand_intake_founder!$V$2:$V$81,MATCH($B7,brand_intake_founder!$A$2:$A$81,0))="","",INDEX(brand_intake_founder!$V$2:$V$81,MATCH($B7,brand_intake_founder!$A$2:$A$81,0))),"")))</f>
        <v/>
      </c>
      <c r="AC7" s="25">
        <f>IF($B7="","",IF(COUNTIF(brand_intake!$A$2:$A$401,$B7)&gt;0,IFERROR(IF(INDEX(brand_intake!$W$2:$W$401,MATCH($B7,brand_intake!$A$2:$A$401,0))="","",INDEX(brand_intake!$W$2:$W$401,MATCH($B7,brand_intake!$A$2:$A$401,0))),""),IFERROR(IF(INDEX(brand_intake_founder!$W$2:$W$81,MATCH($B7,brand_intake_founder!$A$2:$A$81,0))="","",INDEX(brand_intake_founder!$W$2:$W$81,MATCH($B7,brand_intake_founder!$A$2:$A$81,0))),"")))</f>
        <v/>
      </c>
      <c r="AD7" s="25">
        <f>IF($B7="","",IF(COUNTIF(brand_intake!$A$2:$A$401,$B7)&gt;0,IFERROR(IF(INDEX(brand_intake!$X$2:$X$401,MATCH($B7,brand_intake!$A$2:$A$401,0))="","",INDEX(brand_intake!$X$2:$X$401,MATCH($B7,brand_intake!$A$2:$A$401,0))),""),IFERROR(IF(INDEX(brand_intake_founder!$X$2:$X$81,MATCH($B7,brand_intake_founder!$A$2:$A$81,0))="","",INDEX(brand_intake_founder!$X$2:$X$81,MATCH($B7,brand_intake_founder!$A$2:$A$81,0))),"")))</f>
        <v/>
      </c>
      <c r="AE7" s="25">
        <f>IF($B7="","",IF(COUNTIF(brand_intake!$A$2:$A$401,$B7)&gt;0,IFERROR(IF(INDEX(brand_intake!$Y$2:$Y$401,MATCH($B7,brand_intake!$A$2:$A$401,0))="","",INDEX(brand_intake!$Y$2:$Y$401,MATCH($B7,brand_intake!$A$2:$A$401,0))),""),IFERROR(IF(INDEX(brand_intake_founder!$Y$2:$Y$81,MATCH($B7,brand_intake_founder!$A$2:$A$81,0))="","",INDEX(brand_intake_founder!$Y$2:$Y$81,MATCH($B7,brand_intake_founder!$A$2:$A$81,0))),"")))</f>
        <v/>
      </c>
      <c r="AF7" s="25">
        <f>IF($B7="","",($X7="Y")+($Y7="Y")+($Z7="Y")+($AA7="Y")+($AB7="Y")+($AC7="Y")+(LEN($AD7)&gt;0))</f>
        <v/>
      </c>
      <c r="AG7" s="25">
        <f>IF($B7="","",IF(AND($AF7=7,$AE7="Y"),"Y (as answered)","N: check "&amp;IF($X7&lt;&gt;"Y","1 ","")&amp;IF($Y7&lt;&gt;"Y","2 ","")&amp;IF($Z7&lt;&gt;"Y","3 ","")&amp;IF($AA7&lt;&gt;"Y","4 ","")&amp;IF($AB7&lt;&gt;"Y","5 ","")&amp;IF($AC7&lt;&gt;"Y","6 ","")&amp;IF(LEN($AD7)=0,"7 ","")&amp;IF($AE7&lt;&gt;"Y","excluded? ","")))</f>
        <v/>
      </c>
      <c r="AH7" s="25">
        <f>IF($A7="","",COUNTIF(campaigns!$C$2:$C$51,$A7))</f>
        <v/>
      </c>
      <c r="AI7" s="25">
        <f>IF(OR($A7="",SUMIFS(campaigns!$H$2:$H$51,campaigns!$C$2:$C$51,$A7,campaigns!$D$2:$D$51,"founding",campaigns!$E$2:$E$51,"&lt;&gt;Y")=0),"",COUNTIFS(campaigns!$D$2:$D$51,"founding",campaigns!$E$2:$E$51,"&lt;&gt;Y",campaigns!$H$2:$H$51,"&lt;="&amp;SUMIFS(campaigns!$H$2:$H$51,campaigns!$C$2:$C$51,$A7,campaigns!$D$2:$D$51,"founding",campaigns!$E$2:$E$51,"&lt;&gt;Y"),campaigns!$H$2:$H$51,"&gt;0"))</f>
        <v/>
      </c>
      <c r="AJ7" s="25">
        <f>IF(OR($A7="",NOT(IFERROR(COUNTIF(INDEX(in_paid_brands!$A$2:$BZ$81,0,MATCH("brand_id",in_paid_brands!$A$1:$BZ$1,0)),$A7),0)&gt;0)),"",IF(IFERROR(IF(INDEX(in_paid_brands!$A$2:$BZ$81,MATCH($A7,INDEX(in_paid_brands!$A$2:$BZ$81,0,MATCH("brand_id",in_paid_brands!$A$1:$BZ$1,0)),0),MATCH("campaign_id",in_paid_brands!$A$1:$BZ$1,0))="","",INDEX(in_paid_brands!$A$2:$BZ$81,MATCH($A7,INDEX(in_paid_brands!$A$2:$BZ$81,0,MATCH("brand_id",in_paid_brands!$A$1:$BZ$1,0)),0),MATCH("campaign_id",in_paid_brands!$A$1:$BZ$1,0))),"")="","E's paid_brands row has no campaign_id: type the CMP-### there; ",IF(OR(ABS(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gt;0.005,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payment 1 differs: E "&amp;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amp;" on "&amp;IF(N(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0,"none",TEXT(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yyyy-mm-dd"))&amp;"; ","")&amp;IF(OR(ABS(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gt;0.005,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payment 2 differs: E "&amp;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amp;" on "&amp;IF(N(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0,"none",TEXT(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yyyy-mm-dd"))&amp;"; ","")))</f>
        <v/>
      </c>
    </row>
    <row r="8">
      <c r="B8" s="30" t="n"/>
      <c r="H8" s="9" t="n"/>
      <c r="K8" s="25">
        <f>IF($B8="","",IF(COUNTIF(brand_intake!$A$2:$A$401,$B8)&gt;0,IFERROR(IF(INDEX(brand_intake!$C$2:$C$401,MATCH($B8,brand_intake!$A$2:$A$401,0))="","",INDEX(brand_intake!$C$2:$C$401,MATCH($B8,brand_intake!$A$2:$A$401,0))),""),IFERROR(IF(INDEX(brand_intake_founder!$C$2:$C$81,MATCH($B8,brand_intake_founder!$A$2:$A$81,0))="","",INDEX(brand_intake_founder!$C$2:$C$81,MATCH($B8,brand_intake_founder!$A$2:$A$81,0))),"")))</f>
        <v/>
      </c>
      <c r="L8" s="25">
        <f>IF($B8="","",IF(COUNTIF(brand_intake!$A$2:$A$401,$B8)&gt;0,IFERROR(IF(INDEX(brand_intake!$D$2:$D$401,MATCH($B8,brand_intake!$A$2:$A$401,0))="","",INDEX(brand_intake!$D$2:$D$401,MATCH($B8,brand_intake!$A$2:$A$401,0))),""),IFERROR(IF(INDEX(brand_intake_founder!$D$2:$D$81,MATCH($B8,brand_intake_founder!$A$2:$A$81,0))="","",INDEX(brand_intake_founder!$D$2:$D$81,MATCH($B8,brand_intake_founder!$A$2:$A$81,0))),"")))</f>
        <v/>
      </c>
      <c r="M8" s="25">
        <f>IF($B8="","",IF(COUNTIF(brand_intake!$A$2:$A$401,$B8)&gt;0,IFERROR(IF(INDEX(brand_intake!$J$2:$J$401,MATCH($B8,brand_intake!$A$2:$A$401,0))="","",INDEX(brand_intake!$J$2:$J$401,MATCH($B8,brand_intake!$A$2:$A$401,0))),""),IFERROR(IF(INDEX(brand_intake_founder!$J$2:$J$81,MATCH($B8,brand_intake_founder!$A$2:$A$81,0))="","",INDEX(brand_intake_founder!$J$2:$J$81,MATCH($B8,brand_intake_founder!$A$2:$A$81,0))),"")))</f>
        <v/>
      </c>
      <c r="N8" s="25">
        <f>IF($B8="","",IF(COUNTIF(brand_intake!$A$2:$A$401,$B8)&gt;0,IFERROR(IF(INDEX(brand_intake!$I$2:$I$401,MATCH($B8,brand_intake!$A$2:$A$401,0))="","",INDEX(brand_intake!$I$2:$I$401,MATCH($B8,brand_intake!$A$2:$A$401,0))),""),IFERROR(IF(INDEX(brand_intake_founder!$I$2:$I$81,MATCH($B8,brand_intake_founder!$A$2:$A$81,0))="","",INDEX(brand_intake_founder!$I$2:$I$81,MATCH($B8,brand_intake_founder!$A$2:$A$81,0))),"")))</f>
        <v/>
      </c>
      <c r="O8" s="25">
        <f>IF($B8="","",IF(COUNTIF(brand_intake!$A$2:$A$401,$B8)&gt;0,IFERROR(IF(INDEX(brand_intake!$K$2:$K$401,MATCH($B8,brand_intake!$A$2:$A$401,0))="","",INDEX(brand_intake!$K$2:$K$401,MATCH($B8,brand_intake!$A$2:$A$401,0))),""),IFERROR(IF(INDEX(brand_intake_founder!$K$2:$K$81,MATCH($B8,brand_intake_founder!$A$2:$A$81,0))="","",INDEX(brand_intake_founder!$K$2:$K$81,MATCH($B8,brand_intake_founder!$A$2:$A$81,0))),"")))</f>
        <v/>
      </c>
      <c r="P8" s="25">
        <f>IF($B8="","",IF(COUNTIF(brand_intake!$A$2:$A$401,$B8)&gt;0,IFERROR(IF(INDEX(brand_intake!$E$2:$E$401,MATCH($B8,brand_intake!$A$2:$A$401,0))="","",INDEX(brand_intake!$E$2:$E$401,MATCH($B8,brand_intake!$A$2:$A$401,0))),""),IFERROR(IF(INDEX(brand_intake_founder!$E$2:$E$81,MATCH($B8,brand_intake_founder!$A$2:$A$81,0))="","",INDEX(brand_intake_founder!$E$2:$E$81,MATCH($B8,brand_intake_founder!$A$2:$A$81,0))),"")))</f>
        <v/>
      </c>
      <c r="Q8" s="25">
        <f>IF($B8="","",IF(COUNTIF(brand_intake!$A$2:$A$401,$B8)&gt;0,IFERROR(IF(INDEX(brand_intake!$F$2:$F$401,MATCH($B8,brand_intake!$A$2:$A$401,0))="","",INDEX(brand_intake!$F$2:$F$401,MATCH($B8,brand_intake!$A$2:$A$401,0))),""),IFERROR(IF(INDEX(brand_intake_founder!$F$2:$F$81,MATCH($B8,brand_intake_founder!$A$2:$A$81,0))="","",INDEX(brand_intake_founder!$F$2:$F$81,MATCH($B8,brand_intake_founder!$A$2:$A$81,0))),"")))</f>
        <v/>
      </c>
      <c r="R8" s="25">
        <f>IF($B8="","",IF(COUNTIF(brand_intake!$A$2:$A$401,$B8)&gt;0,IFERROR(IF(INDEX(brand_intake!$G$2:$G$401,MATCH($B8,brand_intake!$A$2:$A$401,0))="","",INDEX(brand_intake!$G$2:$G$401,MATCH($B8,brand_intake!$A$2:$A$401,0))),""),IFERROR(IF(INDEX(brand_intake_founder!$G$2:$G$81,MATCH($B8,brand_intake_founder!$A$2:$A$81,0))="","",INDEX(brand_intake_founder!$G$2:$G$81,MATCH($B8,brand_intake_founder!$A$2:$A$81,0))),"")))</f>
        <v/>
      </c>
      <c r="S8" s="25">
        <f>IF($B8="","",IF(COUNTIF(brand_intake!$A$2:$A$401,$B8)&gt;0,IFERROR(IF(INDEX(brand_intake!$H$2:$H$401,MATCH($B8,brand_intake!$A$2:$A$401,0))="","",INDEX(brand_intake!$H$2:$H$401,MATCH($B8,brand_intake!$A$2:$A$401,0))),""),IFERROR(IF(INDEX(brand_intake_founder!$H$2:$H$81,MATCH($B8,brand_intake_founder!$A$2:$A$81,0))="","",INDEX(brand_intake_founder!$H$2:$H$81,MATCH($B8,brand_intake_founder!$A$2:$A$81,0))),"")))</f>
        <v/>
      </c>
      <c r="T8" s="25">
        <f>IF($B8="","",IF(COUNTIF(brand_intake!$A$2:$A$401,$B8)&gt;0,IFERROR(IF(INDEX(brand_intake!$M$2:$M$401,MATCH($B8,brand_intake!$A$2:$A$401,0))="","",INDEX(brand_intake!$M$2:$M$401,MATCH($B8,brand_intake!$A$2:$A$401,0))),""),IFERROR(IF(INDEX(brand_intake_founder!$M$2:$M$81,MATCH($B8,brand_intake_founder!$A$2:$A$81,0))="","",INDEX(brand_intake_founder!$M$2:$M$81,MATCH($B8,brand_intake_founder!$A$2:$A$81,0))),"")))</f>
        <v/>
      </c>
      <c r="U8" s="25">
        <f>IF($B8="","",IF(COUNTIF(brand_intake!$A$2:$A$401,$B8)&gt;0,IFERROR(IF(INDEX(brand_intake!$L$2:$L$401,MATCH($B8,brand_intake!$A$2:$A$401,0))="","",INDEX(brand_intake!$L$2:$L$401,MATCH($B8,brand_intake!$A$2:$A$401,0))),""),IFERROR(IF(INDEX(brand_intake_founder!$L$2:$L$81,MATCH($B8,brand_intake_founder!$A$2:$A$81,0))="","",INDEX(brand_intake_founder!$L$2:$L$81,MATCH($B8,brand_intake_founder!$A$2:$A$81,0))),"")))</f>
        <v/>
      </c>
      <c r="V8" s="25">
        <f>IF($B8="","",IF(COUNTIF(brand_intake!$A$2:$A$401,$B8)&gt;0,IFERROR(IF(INDEX(brand_intake!$N$2:$N$401,MATCH($B8,brand_intake!$A$2:$A$401,0))="","",INDEX(brand_intake!$N$2:$N$401,MATCH($B8,brand_intake!$A$2:$A$401,0))),""),IFERROR(IF(INDEX(brand_intake_founder!$N$2:$N$81,MATCH($B8,brand_intake_founder!$A$2:$A$81,0))="","",INDEX(brand_intake_founder!$N$2:$N$81,MATCH($B8,brand_intake_founder!$A$2:$A$81,0))),"")))</f>
        <v/>
      </c>
      <c r="W8" s="25">
        <f>IF($B8="","",IF(COUNTIF(brand_intake!$A$2:$A$401,$B8)&gt;0,IFERROR(IF(INDEX(brand_intake!$Q$2:$Q$401,MATCH($B8,brand_intake!$A$2:$A$401,0))="","",INDEX(brand_intake!$Q$2:$Q$401,MATCH($B8,brand_intake!$A$2:$A$401,0))),""),IFERROR(IF(INDEX(brand_intake_founder!$Q$2:$Q$81,MATCH($B8,brand_intake_founder!$A$2:$A$81,0))="","",INDEX(brand_intake_founder!$Q$2:$Q$81,MATCH($B8,brand_intake_founder!$A$2:$A$81,0))),"")))</f>
        <v/>
      </c>
      <c r="X8" s="25">
        <f>IF($B8="","",IF(COUNTIF(brand_intake!$A$2:$A$401,$B8)&gt;0,IFERROR(IF(INDEX(brand_intake!$R$2:$R$401,MATCH($B8,brand_intake!$A$2:$A$401,0))="","",INDEX(brand_intake!$R$2:$R$401,MATCH($B8,brand_intake!$A$2:$A$401,0))),""),IFERROR(IF(INDEX(brand_intake_founder!$R$2:$R$81,MATCH($B8,brand_intake_founder!$A$2:$A$81,0))="","",INDEX(brand_intake_founder!$R$2:$R$81,MATCH($B8,brand_intake_founder!$A$2:$A$81,0))),"")))</f>
        <v/>
      </c>
      <c r="Y8" s="25">
        <f>IF($B8="","",IF(COUNTIF(brand_intake!$A$2:$A$401,$B8)&gt;0,IFERROR(IF(INDEX(brand_intake!$S$2:$S$401,MATCH($B8,brand_intake!$A$2:$A$401,0))="","",INDEX(brand_intake!$S$2:$S$401,MATCH($B8,brand_intake!$A$2:$A$401,0))),""),IFERROR(IF(INDEX(brand_intake_founder!$S$2:$S$81,MATCH($B8,brand_intake_founder!$A$2:$A$81,0))="","",INDEX(brand_intake_founder!$S$2:$S$81,MATCH($B8,brand_intake_founder!$A$2:$A$81,0))),"")))</f>
        <v/>
      </c>
      <c r="Z8" s="25">
        <f>IF($B8="","",IF(COUNTIF(brand_intake!$A$2:$A$401,$B8)&gt;0,IFERROR(IF(INDEX(brand_intake!$T$2:$T$401,MATCH($B8,brand_intake!$A$2:$A$401,0))="","",INDEX(brand_intake!$T$2:$T$401,MATCH($B8,brand_intake!$A$2:$A$401,0))),""),IFERROR(IF(INDEX(brand_intake_founder!$T$2:$T$81,MATCH($B8,brand_intake_founder!$A$2:$A$81,0))="","",INDEX(brand_intake_founder!$T$2:$T$81,MATCH($B8,brand_intake_founder!$A$2:$A$81,0))),"")))</f>
        <v/>
      </c>
      <c r="AA8" s="25">
        <f>IF($B8="","",IF(COUNTIF(brand_intake!$A$2:$A$401,$B8)&gt;0,IFERROR(IF(INDEX(brand_intake!$U$2:$U$401,MATCH($B8,brand_intake!$A$2:$A$401,0))="","",INDEX(brand_intake!$U$2:$U$401,MATCH($B8,brand_intake!$A$2:$A$401,0))),""),IFERROR(IF(INDEX(brand_intake_founder!$U$2:$U$81,MATCH($B8,brand_intake_founder!$A$2:$A$81,0))="","",INDEX(brand_intake_founder!$U$2:$U$81,MATCH($B8,brand_intake_founder!$A$2:$A$81,0))),"")))</f>
        <v/>
      </c>
      <c r="AB8" s="25">
        <f>IF($B8="","",IF(COUNTIF(brand_intake!$A$2:$A$401,$B8)&gt;0,IFERROR(IF(INDEX(brand_intake!$V$2:$V$401,MATCH($B8,brand_intake!$A$2:$A$401,0))="","",INDEX(brand_intake!$V$2:$V$401,MATCH($B8,brand_intake!$A$2:$A$401,0))),""),IFERROR(IF(INDEX(brand_intake_founder!$V$2:$V$81,MATCH($B8,brand_intake_founder!$A$2:$A$81,0))="","",INDEX(brand_intake_founder!$V$2:$V$81,MATCH($B8,brand_intake_founder!$A$2:$A$81,0))),"")))</f>
        <v/>
      </c>
      <c r="AC8" s="25">
        <f>IF($B8="","",IF(COUNTIF(brand_intake!$A$2:$A$401,$B8)&gt;0,IFERROR(IF(INDEX(brand_intake!$W$2:$W$401,MATCH($B8,brand_intake!$A$2:$A$401,0))="","",INDEX(brand_intake!$W$2:$W$401,MATCH($B8,brand_intake!$A$2:$A$401,0))),""),IFERROR(IF(INDEX(brand_intake_founder!$W$2:$W$81,MATCH($B8,brand_intake_founder!$A$2:$A$81,0))="","",INDEX(brand_intake_founder!$W$2:$W$81,MATCH($B8,brand_intake_founder!$A$2:$A$81,0))),"")))</f>
        <v/>
      </c>
      <c r="AD8" s="25">
        <f>IF($B8="","",IF(COUNTIF(brand_intake!$A$2:$A$401,$B8)&gt;0,IFERROR(IF(INDEX(brand_intake!$X$2:$X$401,MATCH($B8,brand_intake!$A$2:$A$401,0))="","",INDEX(brand_intake!$X$2:$X$401,MATCH($B8,brand_intake!$A$2:$A$401,0))),""),IFERROR(IF(INDEX(brand_intake_founder!$X$2:$X$81,MATCH($B8,brand_intake_founder!$A$2:$A$81,0))="","",INDEX(brand_intake_founder!$X$2:$X$81,MATCH($B8,brand_intake_founder!$A$2:$A$81,0))),"")))</f>
        <v/>
      </c>
      <c r="AE8" s="25">
        <f>IF($B8="","",IF(COUNTIF(brand_intake!$A$2:$A$401,$B8)&gt;0,IFERROR(IF(INDEX(brand_intake!$Y$2:$Y$401,MATCH($B8,brand_intake!$A$2:$A$401,0))="","",INDEX(brand_intake!$Y$2:$Y$401,MATCH($B8,brand_intake!$A$2:$A$401,0))),""),IFERROR(IF(INDEX(brand_intake_founder!$Y$2:$Y$81,MATCH($B8,brand_intake_founder!$A$2:$A$81,0))="","",INDEX(brand_intake_founder!$Y$2:$Y$81,MATCH($B8,brand_intake_founder!$A$2:$A$81,0))),"")))</f>
        <v/>
      </c>
      <c r="AF8" s="25">
        <f>IF($B8="","",($X8="Y")+($Y8="Y")+($Z8="Y")+($AA8="Y")+($AB8="Y")+($AC8="Y")+(LEN($AD8)&gt;0))</f>
        <v/>
      </c>
      <c r="AG8" s="25">
        <f>IF($B8="","",IF(AND($AF8=7,$AE8="Y"),"Y (as answered)","N: check "&amp;IF($X8&lt;&gt;"Y","1 ","")&amp;IF($Y8&lt;&gt;"Y","2 ","")&amp;IF($Z8&lt;&gt;"Y","3 ","")&amp;IF($AA8&lt;&gt;"Y","4 ","")&amp;IF($AB8&lt;&gt;"Y","5 ","")&amp;IF($AC8&lt;&gt;"Y","6 ","")&amp;IF(LEN($AD8)=0,"7 ","")&amp;IF($AE8&lt;&gt;"Y","excluded? ","")))</f>
        <v/>
      </c>
      <c r="AH8" s="25">
        <f>IF($A8="","",COUNTIF(campaigns!$C$2:$C$51,$A8))</f>
        <v/>
      </c>
      <c r="AI8" s="25">
        <f>IF(OR($A8="",SUMIFS(campaigns!$H$2:$H$51,campaigns!$C$2:$C$51,$A8,campaigns!$D$2:$D$51,"founding",campaigns!$E$2:$E$51,"&lt;&gt;Y")=0),"",COUNTIFS(campaigns!$D$2:$D$51,"founding",campaigns!$E$2:$E$51,"&lt;&gt;Y",campaigns!$H$2:$H$51,"&lt;="&amp;SUMIFS(campaigns!$H$2:$H$51,campaigns!$C$2:$C$51,$A8,campaigns!$D$2:$D$51,"founding",campaigns!$E$2:$E$51,"&lt;&gt;Y"),campaigns!$H$2:$H$51,"&gt;0"))</f>
        <v/>
      </c>
      <c r="AJ8" s="25">
        <f>IF(OR($A8="",NOT(IFERROR(COUNTIF(INDEX(in_paid_brands!$A$2:$BZ$81,0,MATCH("brand_id",in_paid_brands!$A$1:$BZ$1,0)),$A8),0)&gt;0)),"",IF(IFERROR(IF(INDEX(in_paid_brands!$A$2:$BZ$81,MATCH($A8,INDEX(in_paid_brands!$A$2:$BZ$81,0,MATCH("brand_id",in_paid_brands!$A$1:$BZ$1,0)),0),MATCH("campaign_id",in_paid_brands!$A$1:$BZ$1,0))="","",INDEX(in_paid_brands!$A$2:$BZ$81,MATCH($A8,INDEX(in_paid_brands!$A$2:$BZ$81,0,MATCH("brand_id",in_paid_brands!$A$1:$BZ$1,0)),0),MATCH("campaign_id",in_paid_brands!$A$1:$BZ$1,0))),"")="","E's paid_brands row has no campaign_id: type the CMP-### there; ",IF(OR(ABS(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gt;0.005,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payment 1 differs: E "&amp;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amp;" on "&amp;IF(N(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0,"none",TEXT(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yyyy-mm-dd"))&amp;"; ","")&amp;IF(OR(ABS(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gt;0.005,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payment 2 differs: E "&amp;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amp;" on "&amp;IF(N(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0,"none",TEXT(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yyyy-mm-dd"))&amp;"; ","")))</f>
        <v/>
      </c>
    </row>
    <row r="9">
      <c r="B9" s="30" t="n"/>
      <c r="H9" s="9" t="n"/>
      <c r="K9" s="25">
        <f>IF($B9="","",IF(COUNTIF(brand_intake!$A$2:$A$401,$B9)&gt;0,IFERROR(IF(INDEX(brand_intake!$C$2:$C$401,MATCH($B9,brand_intake!$A$2:$A$401,0))="","",INDEX(brand_intake!$C$2:$C$401,MATCH($B9,brand_intake!$A$2:$A$401,0))),""),IFERROR(IF(INDEX(brand_intake_founder!$C$2:$C$81,MATCH($B9,brand_intake_founder!$A$2:$A$81,0))="","",INDEX(brand_intake_founder!$C$2:$C$81,MATCH($B9,brand_intake_founder!$A$2:$A$81,0))),"")))</f>
        <v/>
      </c>
      <c r="L9" s="25">
        <f>IF($B9="","",IF(COUNTIF(brand_intake!$A$2:$A$401,$B9)&gt;0,IFERROR(IF(INDEX(brand_intake!$D$2:$D$401,MATCH($B9,brand_intake!$A$2:$A$401,0))="","",INDEX(brand_intake!$D$2:$D$401,MATCH($B9,brand_intake!$A$2:$A$401,0))),""),IFERROR(IF(INDEX(brand_intake_founder!$D$2:$D$81,MATCH($B9,brand_intake_founder!$A$2:$A$81,0))="","",INDEX(brand_intake_founder!$D$2:$D$81,MATCH($B9,brand_intake_founder!$A$2:$A$81,0))),"")))</f>
        <v/>
      </c>
      <c r="M9" s="25">
        <f>IF($B9="","",IF(COUNTIF(brand_intake!$A$2:$A$401,$B9)&gt;0,IFERROR(IF(INDEX(brand_intake!$J$2:$J$401,MATCH($B9,brand_intake!$A$2:$A$401,0))="","",INDEX(brand_intake!$J$2:$J$401,MATCH($B9,brand_intake!$A$2:$A$401,0))),""),IFERROR(IF(INDEX(brand_intake_founder!$J$2:$J$81,MATCH($B9,brand_intake_founder!$A$2:$A$81,0))="","",INDEX(brand_intake_founder!$J$2:$J$81,MATCH($B9,brand_intake_founder!$A$2:$A$81,0))),"")))</f>
        <v/>
      </c>
      <c r="N9" s="25">
        <f>IF($B9="","",IF(COUNTIF(brand_intake!$A$2:$A$401,$B9)&gt;0,IFERROR(IF(INDEX(brand_intake!$I$2:$I$401,MATCH($B9,brand_intake!$A$2:$A$401,0))="","",INDEX(brand_intake!$I$2:$I$401,MATCH($B9,brand_intake!$A$2:$A$401,0))),""),IFERROR(IF(INDEX(brand_intake_founder!$I$2:$I$81,MATCH($B9,brand_intake_founder!$A$2:$A$81,0))="","",INDEX(brand_intake_founder!$I$2:$I$81,MATCH($B9,brand_intake_founder!$A$2:$A$81,0))),"")))</f>
        <v/>
      </c>
      <c r="O9" s="25">
        <f>IF($B9="","",IF(COUNTIF(brand_intake!$A$2:$A$401,$B9)&gt;0,IFERROR(IF(INDEX(brand_intake!$K$2:$K$401,MATCH($B9,brand_intake!$A$2:$A$401,0))="","",INDEX(brand_intake!$K$2:$K$401,MATCH($B9,brand_intake!$A$2:$A$401,0))),""),IFERROR(IF(INDEX(brand_intake_founder!$K$2:$K$81,MATCH($B9,brand_intake_founder!$A$2:$A$81,0))="","",INDEX(brand_intake_founder!$K$2:$K$81,MATCH($B9,brand_intake_founder!$A$2:$A$81,0))),"")))</f>
        <v/>
      </c>
      <c r="P9" s="25">
        <f>IF($B9="","",IF(COUNTIF(brand_intake!$A$2:$A$401,$B9)&gt;0,IFERROR(IF(INDEX(brand_intake!$E$2:$E$401,MATCH($B9,brand_intake!$A$2:$A$401,0))="","",INDEX(brand_intake!$E$2:$E$401,MATCH($B9,brand_intake!$A$2:$A$401,0))),""),IFERROR(IF(INDEX(brand_intake_founder!$E$2:$E$81,MATCH($B9,brand_intake_founder!$A$2:$A$81,0))="","",INDEX(brand_intake_founder!$E$2:$E$81,MATCH($B9,brand_intake_founder!$A$2:$A$81,0))),"")))</f>
        <v/>
      </c>
      <c r="Q9" s="25">
        <f>IF($B9="","",IF(COUNTIF(brand_intake!$A$2:$A$401,$B9)&gt;0,IFERROR(IF(INDEX(brand_intake!$F$2:$F$401,MATCH($B9,brand_intake!$A$2:$A$401,0))="","",INDEX(brand_intake!$F$2:$F$401,MATCH($B9,brand_intake!$A$2:$A$401,0))),""),IFERROR(IF(INDEX(brand_intake_founder!$F$2:$F$81,MATCH($B9,brand_intake_founder!$A$2:$A$81,0))="","",INDEX(brand_intake_founder!$F$2:$F$81,MATCH($B9,brand_intake_founder!$A$2:$A$81,0))),"")))</f>
        <v/>
      </c>
      <c r="R9" s="25">
        <f>IF($B9="","",IF(COUNTIF(brand_intake!$A$2:$A$401,$B9)&gt;0,IFERROR(IF(INDEX(brand_intake!$G$2:$G$401,MATCH($B9,brand_intake!$A$2:$A$401,0))="","",INDEX(brand_intake!$G$2:$G$401,MATCH($B9,brand_intake!$A$2:$A$401,0))),""),IFERROR(IF(INDEX(brand_intake_founder!$G$2:$G$81,MATCH($B9,brand_intake_founder!$A$2:$A$81,0))="","",INDEX(brand_intake_founder!$G$2:$G$81,MATCH($B9,brand_intake_founder!$A$2:$A$81,0))),"")))</f>
        <v/>
      </c>
      <c r="S9" s="25">
        <f>IF($B9="","",IF(COUNTIF(brand_intake!$A$2:$A$401,$B9)&gt;0,IFERROR(IF(INDEX(brand_intake!$H$2:$H$401,MATCH($B9,brand_intake!$A$2:$A$401,0))="","",INDEX(brand_intake!$H$2:$H$401,MATCH($B9,brand_intake!$A$2:$A$401,0))),""),IFERROR(IF(INDEX(brand_intake_founder!$H$2:$H$81,MATCH($B9,brand_intake_founder!$A$2:$A$81,0))="","",INDEX(brand_intake_founder!$H$2:$H$81,MATCH($B9,brand_intake_founder!$A$2:$A$81,0))),"")))</f>
        <v/>
      </c>
      <c r="T9" s="25">
        <f>IF($B9="","",IF(COUNTIF(brand_intake!$A$2:$A$401,$B9)&gt;0,IFERROR(IF(INDEX(brand_intake!$M$2:$M$401,MATCH($B9,brand_intake!$A$2:$A$401,0))="","",INDEX(brand_intake!$M$2:$M$401,MATCH($B9,brand_intake!$A$2:$A$401,0))),""),IFERROR(IF(INDEX(brand_intake_founder!$M$2:$M$81,MATCH($B9,brand_intake_founder!$A$2:$A$81,0))="","",INDEX(brand_intake_founder!$M$2:$M$81,MATCH($B9,brand_intake_founder!$A$2:$A$81,0))),"")))</f>
        <v/>
      </c>
      <c r="U9" s="25">
        <f>IF($B9="","",IF(COUNTIF(brand_intake!$A$2:$A$401,$B9)&gt;0,IFERROR(IF(INDEX(brand_intake!$L$2:$L$401,MATCH($B9,brand_intake!$A$2:$A$401,0))="","",INDEX(brand_intake!$L$2:$L$401,MATCH($B9,brand_intake!$A$2:$A$401,0))),""),IFERROR(IF(INDEX(brand_intake_founder!$L$2:$L$81,MATCH($B9,brand_intake_founder!$A$2:$A$81,0))="","",INDEX(brand_intake_founder!$L$2:$L$81,MATCH($B9,brand_intake_founder!$A$2:$A$81,0))),"")))</f>
        <v/>
      </c>
      <c r="V9" s="25">
        <f>IF($B9="","",IF(COUNTIF(brand_intake!$A$2:$A$401,$B9)&gt;0,IFERROR(IF(INDEX(brand_intake!$N$2:$N$401,MATCH($B9,brand_intake!$A$2:$A$401,0))="","",INDEX(brand_intake!$N$2:$N$401,MATCH($B9,brand_intake!$A$2:$A$401,0))),""),IFERROR(IF(INDEX(brand_intake_founder!$N$2:$N$81,MATCH($B9,brand_intake_founder!$A$2:$A$81,0))="","",INDEX(brand_intake_founder!$N$2:$N$81,MATCH($B9,brand_intake_founder!$A$2:$A$81,0))),"")))</f>
        <v/>
      </c>
      <c r="W9" s="25">
        <f>IF($B9="","",IF(COUNTIF(brand_intake!$A$2:$A$401,$B9)&gt;0,IFERROR(IF(INDEX(brand_intake!$Q$2:$Q$401,MATCH($B9,brand_intake!$A$2:$A$401,0))="","",INDEX(brand_intake!$Q$2:$Q$401,MATCH($B9,brand_intake!$A$2:$A$401,0))),""),IFERROR(IF(INDEX(brand_intake_founder!$Q$2:$Q$81,MATCH($B9,brand_intake_founder!$A$2:$A$81,0))="","",INDEX(brand_intake_founder!$Q$2:$Q$81,MATCH($B9,brand_intake_founder!$A$2:$A$81,0))),"")))</f>
        <v/>
      </c>
      <c r="X9" s="25">
        <f>IF($B9="","",IF(COUNTIF(brand_intake!$A$2:$A$401,$B9)&gt;0,IFERROR(IF(INDEX(brand_intake!$R$2:$R$401,MATCH($B9,brand_intake!$A$2:$A$401,0))="","",INDEX(brand_intake!$R$2:$R$401,MATCH($B9,brand_intake!$A$2:$A$401,0))),""),IFERROR(IF(INDEX(brand_intake_founder!$R$2:$R$81,MATCH($B9,brand_intake_founder!$A$2:$A$81,0))="","",INDEX(brand_intake_founder!$R$2:$R$81,MATCH($B9,brand_intake_founder!$A$2:$A$81,0))),"")))</f>
        <v/>
      </c>
      <c r="Y9" s="25">
        <f>IF($B9="","",IF(COUNTIF(brand_intake!$A$2:$A$401,$B9)&gt;0,IFERROR(IF(INDEX(brand_intake!$S$2:$S$401,MATCH($B9,brand_intake!$A$2:$A$401,0))="","",INDEX(brand_intake!$S$2:$S$401,MATCH($B9,brand_intake!$A$2:$A$401,0))),""),IFERROR(IF(INDEX(brand_intake_founder!$S$2:$S$81,MATCH($B9,brand_intake_founder!$A$2:$A$81,0))="","",INDEX(brand_intake_founder!$S$2:$S$81,MATCH($B9,brand_intake_founder!$A$2:$A$81,0))),"")))</f>
        <v/>
      </c>
      <c r="Z9" s="25">
        <f>IF($B9="","",IF(COUNTIF(brand_intake!$A$2:$A$401,$B9)&gt;0,IFERROR(IF(INDEX(brand_intake!$T$2:$T$401,MATCH($B9,brand_intake!$A$2:$A$401,0))="","",INDEX(brand_intake!$T$2:$T$401,MATCH($B9,brand_intake!$A$2:$A$401,0))),""),IFERROR(IF(INDEX(brand_intake_founder!$T$2:$T$81,MATCH($B9,brand_intake_founder!$A$2:$A$81,0))="","",INDEX(brand_intake_founder!$T$2:$T$81,MATCH($B9,brand_intake_founder!$A$2:$A$81,0))),"")))</f>
        <v/>
      </c>
      <c r="AA9" s="25">
        <f>IF($B9="","",IF(COUNTIF(brand_intake!$A$2:$A$401,$B9)&gt;0,IFERROR(IF(INDEX(brand_intake!$U$2:$U$401,MATCH($B9,brand_intake!$A$2:$A$401,0))="","",INDEX(brand_intake!$U$2:$U$401,MATCH($B9,brand_intake!$A$2:$A$401,0))),""),IFERROR(IF(INDEX(brand_intake_founder!$U$2:$U$81,MATCH($B9,brand_intake_founder!$A$2:$A$81,0))="","",INDEX(brand_intake_founder!$U$2:$U$81,MATCH($B9,brand_intake_founder!$A$2:$A$81,0))),"")))</f>
        <v/>
      </c>
      <c r="AB9" s="25">
        <f>IF($B9="","",IF(COUNTIF(brand_intake!$A$2:$A$401,$B9)&gt;0,IFERROR(IF(INDEX(brand_intake!$V$2:$V$401,MATCH($B9,brand_intake!$A$2:$A$401,0))="","",INDEX(brand_intake!$V$2:$V$401,MATCH($B9,brand_intake!$A$2:$A$401,0))),""),IFERROR(IF(INDEX(brand_intake_founder!$V$2:$V$81,MATCH($B9,brand_intake_founder!$A$2:$A$81,0))="","",INDEX(brand_intake_founder!$V$2:$V$81,MATCH($B9,brand_intake_founder!$A$2:$A$81,0))),"")))</f>
        <v/>
      </c>
      <c r="AC9" s="25">
        <f>IF($B9="","",IF(COUNTIF(brand_intake!$A$2:$A$401,$B9)&gt;0,IFERROR(IF(INDEX(brand_intake!$W$2:$W$401,MATCH($B9,brand_intake!$A$2:$A$401,0))="","",INDEX(brand_intake!$W$2:$W$401,MATCH($B9,brand_intake!$A$2:$A$401,0))),""),IFERROR(IF(INDEX(brand_intake_founder!$W$2:$W$81,MATCH($B9,brand_intake_founder!$A$2:$A$81,0))="","",INDEX(brand_intake_founder!$W$2:$W$81,MATCH($B9,brand_intake_founder!$A$2:$A$81,0))),"")))</f>
        <v/>
      </c>
      <c r="AD9" s="25">
        <f>IF($B9="","",IF(COUNTIF(brand_intake!$A$2:$A$401,$B9)&gt;0,IFERROR(IF(INDEX(brand_intake!$X$2:$X$401,MATCH($B9,brand_intake!$A$2:$A$401,0))="","",INDEX(brand_intake!$X$2:$X$401,MATCH($B9,brand_intake!$A$2:$A$401,0))),""),IFERROR(IF(INDEX(brand_intake_founder!$X$2:$X$81,MATCH($B9,brand_intake_founder!$A$2:$A$81,0))="","",INDEX(brand_intake_founder!$X$2:$X$81,MATCH($B9,brand_intake_founder!$A$2:$A$81,0))),"")))</f>
        <v/>
      </c>
      <c r="AE9" s="25">
        <f>IF($B9="","",IF(COUNTIF(brand_intake!$A$2:$A$401,$B9)&gt;0,IFERROR(IF(INDEX(brand_intake!$Y$2:$Y$401,MATCH($B9,brand_intake!$A$2:$A$401,0))="","",INDEX(brand_intake!$Y$2:$Y$401,MATCH($B9,brand_intake!$A$2:$A$401,0))),""),IFERROR(IF(INDEX(brand_intake_founder!$Y$2:$Y$81,MATCH($B9,brand_intake_founder!$A$2:$A$81,0))="","",INDEX(brand_intake_founder!$Y$2:$Y$81,MATCH($B9,brand_intake_founder!$A$2:$A$81,0))),"")))</f>
        <v/>
      </c>
      <c r="AF9" s="25">
        <f>IF($B9="","",($X9="Y")+($Y9="Y")+($Z9="Y")+($AA9="Y")+($AB9="Y")+($AC9="Y")+(LEN($AD9)&gt;0))</f>
        <v/>
      </c>
      <c r="AG9" s="25">
        <f>IF($B9="","",IF(AND($AF9=7,$AE9="Y"),"Y (as answered)","N: check "&amp;IF($X9&lt;&gt;"Y","1 ","")&amp;IF($Y9&lt;&gt;"Y","2 ","")&amp;IF($Z9&lt;&gt;"Y","3 ","")&amp;IF($AA9&lt;&gt;"Y","4 ","")&amp;IF($AB9&lt;&gt;"Y","5 ","")&amp;IF($AC9&lt;&gt;"Y","6 ","")&amp;IF(LEN($AD9)=0,"7 ","")&amp;IF($AE9&lt;&gt;"Y","excluded? ","")))</f>
        <v/>
      </c>
      <c r="AH9" s="25">
        <f>IF($A9="","",COUNTIF(campaigns!$C$2:$C$51,$A9))</f>
        <v/>
      </c>
      <c r="AI9" s="25">
        <f>IF(OR($A9="",SUMIFS(campaigns!$H$2:$H$51,campaigns!$C$2:$C$51,$A9,campaigns!$D$2:$D$51,"founding",campaigns!$E$2:$E$51,"&lt;&gt;Y")=0),"",COUNTIFS(campaigns!$D$2:$D$51,"founding",campaigns!$E$2:$E$51,"&lt;&gt;Y",campaigns!$H$2:$H$51,"&lt;="&amp;SUMIFS(campaigns!$H$2:$H$51,campaigns!$C$2:$C$51,$A9,campaigns!$D$2:$D$51,"founding",campaigns!$E$2:$E$51,"&lt;&gt;Y"),campaigns!$H$2:$H$51,"&gt;0"))</f>
        <v/>
      </c>
      <c r="AJ9" s="25">
        <f>IF(OR($A9="",NOT(IFERROR(COUNTIF(INDEX(in_paid_brands!$A$2:$BZ$81,0,MATCH("brand_id",in_paid_brands!$A$1:$BZ$1,0)),$A9),0)&gt;0)),"",IF(IFERROR(IF(INDEX(in_paid_brands!$A$2:$BZ$81,MATCH($A9,INDEX(in_paid_brands!$A$2:$BZ$81,0,MATCH("brand_id",in_paid_brands!$A$1:$BZ$1,0)),0),MATCH("campaign_id",in_paid_brands!$A$1:$BZ$1,0))="","",INDEX(in_paid_brands!$A$2:$BZ$81,MATCH($A9,INDEX(in_paid_brands!$A$2:$BZ$81,0,MATCH("brand_id",in_paid_brands!$A$1:$BZ$1,0)),0),MATCH("campaign_id",in_paid_brands!$A$1:$BZ$1,0))),"")="","E's paid_brands row has no campaign_id: type the CMP-### there; ",IF(OR(ABS(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gt;0.005,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payment 1 differs: E "&amp;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amp;" on "&amp;IF(N(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0,"none",TEXT(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yyyy-mm-dd"))&amp;"; ","")&amp;IF(OR(ABS(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gt;0.005,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payment 2 differs: E "&amp;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amp;" on "&amp;IF(N(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0,"none",TEXT(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yyyy-mm-dd"))&amp;"; ","")))</f>
        <v/>
      </c>
    </row>
    <row r="10">
      <c r="B10" s="30" t="n"/>
      <c r="H10" s="9" t="n"/>
      <c r="K10" s="25">
        <f>IF($B10="","",IF(COUNTIF(brand_intake!$A$2:$A$401,$B10)&gt;0,IFERROR(IF(INDEX(brand_intake!$C$2:$C$401,MATCH($B10,brand_intake!$A$2:$A$401,0))="","",INDEX(brand_intake!$C$2:$C$401,MATCH($B10,brand_intake!$A$2:$A$401,0))),""),IFERROR(IF(INDEX(brand_intake_founder!$C$2:$C$81,MATCH($B10,brand_intake_founder!$A$2:$A$81,0))="","",INDEX(brand_intake_founder!$C$2:$C$81,MATCH($B10,brand_intake_founder!$A$2:$A$81,0))),"")))</f>
        <v/>
      </c>
      <c r="L10" s="25">
        <f>IF($B10="","",IF(COUNTIF(brand_intake!$A$2:$A$401,$B10)&gt;0,IFERROR(IF(INDEX(brand_intake!$D$2:$D$401,MATCH($B10,brand_intake!$A$2:$A$401,0))="","",INDEX(brand_intake!$D$2:$D$401,MATCH($B10,brand_intake!$A$2:$A$401,0))),""),IFERROR(IF(INDEX(brand_intake_founder!$D$2:$D$81,MATCH($B10,brand_intake_founder!$A$2:$A$81,0))="","",INDEX(brand_intake_founder!$D$2:$D$81,MATCH($B10,brand_intake_founder!$A$2:$A$81,0))),"")))</f>
        <v/>
      </c>
      <c r="M10" s="25">
        <f>IF($B10="","",IF(COUNTIF(brand_intake!$A$2:$A$401,$B10)&gt;0,IFERROR(IF(INDEX(brand_intake!$J$2:$J$401,MATCH($B10,brand_intake!$A$2:$A$401,0))="","",INDEX(brand_intake!$J$2:$J$401,MATCH($B10,brand_intake!$A$2:$A$401,0))),""),IFERROR(IF(INDEX(brand_intake_founder!$J$2:$J$81,MATCH($B10,brand_intake_founder!$A$2:$A$81,0))="","",INDEX(brand_intake_founder!$J$2:$J$81,MATCH($B10,brand_intake_founder!$A$2:$A$81,0))),"")))</f>
        <v/>
      </c>
      <c r="N10" s="25">
        <f>IF($B10="","",IF(COUNTIF(brand_intake!$A$2:$A$401,$B10)&gt;0,IFERROR(IF(INDEX(brand_intake!$I$2:$I$401,MATCH($B10,brand_intake!$A$2:$A$401,0))="","",INDEX(brand_intake!$I$2:$I$401,MATCH($B10,brand_intake!$A$2:$A$401,0))),""),IFERROR(IF(INDEX(brand_intake_founder!$I$2:$I$81,MATCH($B10,brand_intake_founder!$A$2:$A$81,0))="","",INDEX(brand_intake_founder!$I$2:$I$81,MATCH($B10,brand_intake_founder!$A$2:$A$81,0))),"")))</f>
        <v/>
      </c>
      <c r="O10" s="25">
        <f>IF($B10="","",IF(COUNTIF(brand_intake!$A$2:$A$401,$B10)&gt;0,IFERROR(IF(INDEX(brand_intake!$K$2:$K$401,MATCH($B10,brand_intake!$A$2:$A$401,0))="","",INDEX(brand_intake!$K$2:$K$401,MATCH($B10,brand_intake!$A$2:$A$401,0))),""),IFERROR(IF(INDEX(brand_intake_founder!$K$2:$K$81,MATCH($B10,brand_intake_founder!$A$2:$A$81,0))="","",INDEX(brand_intake_founder!$K$2:$K$81,MATCH($B10,brand_intake_founder!$A$2:$A$81,0))),"")))</f>
        <v/>
      </c>
      <c r="P10" s="25">
        <f>IF($B10="","",IF(COUNTIF(brand_intake!$A$2:$A$401,$B10)&gt;0,IFERROR(IF(INDEX(brand_intake!$E$2:$E$401,MATCH($B10,brand_intake!$A$2:$A$401,0))="","",INDEX(brand_intake!$E$2:$E$401,MATCH($B10,brand_intake!$A$2:$A$401,0))),""),IFERROR(IF(INDEX(brand_intake_founder!$E$2:$E$81,MATCH($B10,brand_intake_founder!$A$2:$A$81,0))="","",INDEX(brand_intake_founder!$E$2:$E$81,MATCH($B10,brand_intake_founder!$A$2:$A$81,0))),"")))</f>
        <v/>
      </c>
      <c r="Q10" s="25">
        <f>IF($B10="","",IF(COUNTIF(brand_intake!$A$2:$A$401,$B10)&gt;0,IFERROR(IF(INDEX(brand_intake!$F$2:$F$401,MATCH($B10,brand_intake!$A$2:$A$401,0))="","",INDEX(brand_intake!$F$2:$F$401,MATCH($B10,brand_intake!$A$2:$A$401,0))),""),IFERROR(IF(INDEX(brand_intake_founder!$F$2:$F$81,MATCH($B10,brand_intake_founder!$A$2:$A$81,0))="","",INDEX(brand_intake_founder!$F$2:$F$81,MATCH($B10,brand_intake_founder!$A$2:$A$81,0))),"")))</f>
        <v/>
      </c>
      <c r="R10" s="25">
        <f>IF($B10="","",IF(COUNTIF(brand_intake!$A$2:$A$401,$B10)&gt;0,IFERROR(IF(INDEX(brand_intake!$G$2:$G$401,MATCH($B10,brand_intake!$A$2:$A$401,0))="","",INDEX(brand_intake!$G$2:$G$401,MATCH($B10,brand_intake!$A$2:$A$401,0))),""),IFERROR(IF(INDEX(brand_intake_founder!$G$2:$G$81,MATCH($B10,brand_intake_founder!$A$2:$A$81,0))="","",INDEX(brand_intake_founder!$G$2:$G$81,MATCH($B10,brand_intake_founder!$A$2:$A$81,0))),"")))</f>
        <v/>
      </c>
      <c r="S10" s="25">
        <f>IF($B10="","",IF(COUNTIF(brand_intake!$A$2:$A$401,$B10)&gt;0,IFERROR(IF(INDEX(brand_intake!$H$2:$H$401,MATCH($B10,brand_intake!$A$2:$A$401,0))="","",INDEX(brand_intake!$H$2:$H$401,MATCH($B10,brand_intake!$A$2:$A$401,0))),""),IFERROR(IF(INDEX(brand_intake_founder!$H$2:$H$81,MATCH($B10,brand_intake_founder!$A$2:$A$81,0))="","",INDEX(brand_intake_founder!$H$2:$H$81,MATCH($B10,brand_intake_founder!$A$2:$A$81,0))),"")))</f>
        <v/>
      </c>
      <c r="T10" s="25">
        <f>IF($B10="","",IF(COUNTIF(brand_intake!$A$2:$A$401,$B10)&gt;0,IFERROR(IF(INDEX(brand_intake!$M$2:$M$401,MATCH($B10,brand_intake!$A$2:$A$401,0))="","",INDEX(brand_intake!$M$2:$M$401,MATCH($B10,brand_intake!$A$2:$A$401,0))),""),IFERROR(IF(INDEX(brand_intake_founder!$M$2:$M$81,MATCH($B10,brand_intake_founder!$A$2:$A$81,0))="","",INDEX(brand_intake_founder!$M$2:$M$81,MATCH($B10,brand_intake_founder!$A$2:$A$81,0))),"")))</f>
        <v/>
      </c>
      <c r="U10" s="25">
        <f>IF($B10="","",IF(COUNTIF(brand_intake!$A$2:$A$401,$B10)&gt;0,IFERROR(IF(INDEX(brand_intake!$L$2:$L$401,MATCH($B10,brand_intake!$A$2:$A$401,0))="","",INDEX(brand_intake!$L$2:$L$401,MATCH($B10,brand_intake!$A$2:$A$401,0))),""),IFERROR(IF(INDEX(brand_intake_founder!$L$2:$L$81,MATCH($B10,brand_intake_founder!$A$2:$A$81,0))="","",INDEX(brand_intake_founder!$L$2:$L$81,MATCH($B10,brand_intake_founder!$A$2:$A$81,0))),"")))</f>
        <v/>
      </c>
      <c r="V10" s="25">
        <f>IF($B10="","",IF(COUNTIF(brand_intake!$A$2:$A$401,$B10)&gt;0,IFERROR(IF(INDEX(brand_intake!$N$2:$N$401,MATCH($B10,brand_intake!$A$2:$A$401,0))="","",INDEX(brand_intake!$N$2:$N$401,MATCH($B10,brand_intake!$A$2:$A$401,0))),""),IFERROR(IF(INDEX(brand_intake_founder!$N$2:$N$81,MATCH($B10,brand_intake_founder!$A$2:$A$81,0))="","",INDEX(brand_intake_founder!$N$2:$N$81,MATCH($B10,brand_intake_founder!$A$2:$A$81,0))),"")))</f>
        <v/>
      </c>
      <c r="W10" s="25">
        <f>IF($B10="","",IF(COUNTIF(brand_intake!$A$2:$A$401,$B10)&gt;0,IFERROR(IF(INDEX(brand_intake!$Q$2:$Q$401,MATCH($B10,brand_intake!$A$2:$A$401,0))="","",INDEX(brand_intake!$Q$2:$Q$401,MATCH($B10,brand_intake!$A$2:$A$401,0))),""),IFERROR(IF(INDEX(brand_intake_founder!$Q$2:$Q$81,MATCH($B10,brand_intake_founder!$A$2:$A$81,0))="","",INDEX(brand_intake_founder!$Q$2:$Q$81,MATCH($B10,brand_intake_founder!$A$2:$A$81,0))),"")))</f>
        <v/>
      </c>
      <c r="X10" s="25">
        <f>IF($B10="","",IF(COUNTIF(brand_intake!$A$2:$A$401,$B10)&gt;0,IFERROR(IF(INDEX(brand_intake!$R$2:$R$401,MATCH($B10,brand_intake!$A$2:$A$401,0))="","",INDEX(brand_intake!$R$2:$R$401,MATCH($B10,brand_intake!$A$2:$A$401,0))),""),IFERROR(IF(INDEX(brand_intake_founder!$R$2:$R$81,MATCH($B10,brand_intake_founder!$A$2:$A$81,0))="","",INDEX(brand_intake_founder!$R$2:$R$81,MATCH($B10,brand_intake_founder!$A$2:$A$81,0))),"")))</f>
        <v/>
      </c>
      <c r="Y10" s="25">
        <f>IF($B10="","",IF(COUNTIF(brand_intake!$A$2:$A$401,$B10)&gt;0,IFERROR(IF(INDEX(brand_intake!$S$2:$S$401,MATCH($B10,brand_intake!$A$2:$A$401,0))="","",INDEX(brand_intake!$S$2:$S$401,MATCH($B10,brand_intake!$A$2:$A$401,0))),""),IFERROR(IF(INDEX(brand_intake_founder!$S$2:$S$81,MATCH($B10,brand_intake_founder!$A$2:$A$81,0))="","",INDEX(brand_intake_founder!$S$2:$S$81,MATCH($B10,brand_intake_founder!$A$2:$A$81,0))),"")))</f>
        <v/>
      </c>
      <c r="Z10" s="25">
        <f>IF($B10="","",IF(COUNTIF(brand_intake!$A$2:$A$401,$B10)&gt;0,IFERROR(IF(INDEX(brand_intake!$T$2:$T$401,MATCH($B10,brand_intake!$A$2:$A$401,0))="","",INDEX(brand_intake!$T$2:$T$401,MATCH($B10,brand_intake!$A$2:$A$401,0))),""),IFERROR(IF(INDEX(brand_intake_founder!$T$2:$T$81,MATCH($B10,brand_intake_founder!$A$2:$A$81,0))="","",INDEX(brand_intake_founder!$T$2:$T$81,MATCH($B10,brand_intake_founder!$A$2:$A$81,0))),"")))</f>
        <v/>
      </c>
      <c r="AA10" s="25">
        <f>IF($B10="","",IF(COUNTIF(brand_intake!$A$2:$A$401,$B10)&gt;0,IFERROR(IF(INDEX(brand_intake!$U$2:$U$401,MATCH($B10,brand_intake!$A$2:$A$401,0))="","",INDEX(brand_intake!$U$2:$U$401,MATCH($B10,brand_intake!$A$2:$A$401,0))),""),IFERROR(IF(INDEX(brand_intake_founder!$U$2:$U$81,MATCH($B10,brand_intake_founder!$A$2:$A$81,0))="","",INDEX(brand_intake_founder!$U$2:$U$81,MATCH($B10,brand_intake_founder!$A$2:$A$81,0))),"")))</f>
        <v/>
      </c>
      <c r="AB10" s="25">
        <f>IF($B10="","",IF(COUNTIF(brand_intake!$A$2:$A$401,$B10)&gt;0,IFERROR(IF(INDEX(brand_intake!$V$2:$V$401,MATCH($B10,brand_intake!$A$2:$A$401,0))="","",INDEX(brand_intake!$V$2:$V$401,MATCH($B10,brand_intake!$A$2:$A$401,0))),""),IFERROR(IF(INDEX(brand_intake_founder!$V$2:$V$81,MATCH($B10,brand_intake_founder!$A$2:$A$81,0))="","",INDEX(brand_intake_founder!$V$2:$V$81,MATCH($B10,brand_intake_founder!$A$2:$A$81,0))),"")))</f>
        <v/>
      </c>
      <c r="AC10" s="25">
        <f>IF($B10="","",IF(COUNTIF(brand_intake!$A$2:$A$401,$B10)&gt;0,IFERROR(IF(INDEX(brand_intake!$W$2:$W$401,MATCH($B10,brand_intake!$A$2:$A$401,0))="","",INDEX(brand_intake!$W$2:$W$401,MATCH($B10,brand_intake!$A$2:$A$401,0))),""),IFERROR(IF(INDEX(brand_intake_founder!$W$2:$W$81,MATCH($B10,brand_intake_founder!$A$2:$A$81,0))="","",INDEX(brand_intake_founder!$W$2:$W$81,MATCH($B10,brand_intake_founder!$A$2:$A$81,0))),"")))</f>
        <v/>
      </c>
      <c r="AD10" s="25">
        <f>IF($B10="","",IF(COUNTIF(brand_intake!$A$2:$A$401,$B10)&gt;0,IFERROR(IF(INDEX(brand_intake!$X$2:$X$401,MATCH($B10,brand_intake!$A$2:$A$401,0))="","",INDEX(brand_intake!$X$2:$X$401,MATCH($B10,brand_intake!$A$2:$A$401,0))),""),IFERROR(IF(INDEX(brand_intake_founder!$X$2:$X$81,MATCH($B10,brand_intake_founder!$A$2:$A$81,0))="","",INDEX(brand_intake_founder!$X$2:$X$81,MATCH($B10,brand_intake_founder!$A$2:$A$81,0))),"")))</f>
        <v/>
      </c>
      <c r="AE10" s="25">
        <f>IF($B10="","",IF(COUNTIF(brand_intake!$A$2:$A$401,$B10)&gt;0,IFERROR(IF(INDEX(brand_intake!$Y$2:$Y$401,MATCH($B10,brand_intake!$A$2:$A$401,0))="","",INDEX(brand_intake!$Y$2:$Y$401,MATCH($B10,brand_intake!$A$2:$A$401,0))),""),IFERROR(IF(INDEX(brand_intake_founder!$Y$2:$Y$81,MATCH($B10,brand_intake_founder!$A$2:$A$81,0))="","",INDEX(brand_intake_founder!$Y$2:$Y$81,MATCH($B10,brand_intake_founder!$A$2:$A$81,0))),"")))</f>
        <v/>
      </c>
      <c r="AF10" s="25">
        <f>IF($B10="","",($X10="Y")+($Y10="Y")+($Z10="Y")+($AA10="Y")+($AB10="Y")+($AC10="Y")+(LEN($AD10)&gt;0))</f>
        <v/>
      </c>
      <c r="AG10" s="25">
        <f>IF($B10="","",IF(AND($AF10=7,$AE10="Y"),"Y (as answered)","N: check "&amp;IF($X10&lt;&gt;"Y","1 ","")&amp;IF($Y10&lt;&gt;"Y","2 ","")&amp;IF($Z10&lt;&gt;"Y","3 ","")&amp;IF($AA10&lt;&gt;"Y","4 ","")&amp;IF($AB10&lt;&gt;"Y","5 ","")&amp;IF($AC10&lt;&gt;"Y","6 ","")&amp;IF(LEN($AD10)=0,"7 ","")&amp;IF($AE10&lt;&gt;"Y","excluded? ","")))</f>
        <v/>
      </c>
      <c r="AH10" s="25">
        <f>IF($A10="","",COUNTIF(campaigns!$C$2:$C$51,$A10))</f>
        <v/>
      </c>
      <c r="AI10" s="25">
        <f>IF(OR($A10="",SUMIFS(campaigns!$H$2:$H$51,campaigns!$C$2:$C$51,$A10,campaigns!$D$2:$D$51,"founding",campaigns!$E$2:$E$51,"&lt;&gt;Y")=0),"",COUNTIFS(campaigns!$D$2:$D$51,"founding",campaigns!$E$2:$E$51,"&lt;&gt;Y",campaigns!$H$2:$H$51,"&lt;="&amp;SUMIFS(campaigns!$H$2:$H$51,campaigns!$C$2:$C$51,$A10,campaigns!$D$2:$D$51,"founding",campaigns!$E$2:$E$51,"&lt;&gt;Y"),campaigns!$H$2:$H$51,"&gt;0"))</f>
        <v/>
      </c>
      <c r="AJ10" s="25">
        <f>IF(OR($A10="",NOT(IFERROR(COUNTIF(INDEX(in_paid_brands!$A$2:$BZ$81,0,MATCH("brand_id",in_paid_brands!$A$1:$BZ$1,0)),$A10),0)&gt;0)),"",IF(IFERROR(IF(INDEX(in_paid_brands!$A$2:$BZ$81,MATCH($A10,INDEX(in_paid_brands!$A$2:$BZ$81,0,MATCH("brand_id",in_paid_brands!$A$1:$BZ$1,0)),0),MATCH("campaign_id",in_paid_brands!$A$1:$BZ$1,0))="","",INDEX(in_paid_brands!$A$2:$BZ$81,MATCH($A10,INDEX(in_paid_brands!$A$2:$BZ$81,0,MATCH("brand_id",in_paid_brands!$A$1:$BZ$1,0)),0),MATCH("campaign_id",in_paid_brands!$A$1:$BZ$1,0))),"")="","E's paid_brands row has no campaign_id: type the CMP-### there; ",IF(OR(ABS(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gt;0.005,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payment 1 differs: E "&amp;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amp;" on "&amp;IF(N(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0,"none",TEXT(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yyyy-mm-dd"))&amp;"; ","")&amp;IF(OR(ABS(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gt;0.005,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payment 2 differs: E "&amp;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amp;" on "&amp;IF(N(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0,"none",TEXT(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yyyy-mm-dd"))&amp;"; ","")))</f>
        <v/>
      </c>
    </row>
    <row r="11">
      <c r="B11" s="30" t="n"/>
      <c r="H11" s="9" t="n"/>
      <c r="K11" s="25">
        <f>IF($B11="","",IF(COUNTIF(brand_intake!$A$2:$A$401,$B11)&gt;0,IFERROR(IF(INDEX(brand_intake!$C$2:$C$401,MATCH($B11,brand_intake!$A$2:$A$401,0))="","",INDEX(brand_intake!$C$2:$C$401,MATCH($B11,brand_intake!$A$2:$A$401,0))),""),IFERROR(IF(INDEX(brand_intake_founder!$C$2:$C$81,MATCH($B11,brand_intake_founder!$A$2:$A$81,0))="","",INDEX(brand_intake_founder!$C$2:$C$81,MATCH($B11,brand_intake_founder!$A$2:$A$81,0))),"")))</f>
        <v/>
      </c>
      <c r="L11" s="25">
        <f>IF($B11="","",IF(COUNTIF(brand_intake!$A$2:$A$401,$B11)&gt;0,IFERROR(IF(INDEX(brand_intake!$D$2:$D$401,MATCH($B11,brand_intake!$A$2:$A$401,0))="","",INDEX(brand_intake!$D$2:$D$401,MATCH($B11,brand_intake!$A$2:$A$401,0))),""),IFERROR(IF(INDEX(brand_intake_founder!$D$2:$D$81,MATCH($B11,brand_intake_founder!$A$2:$A$81,0))="","",INDEX(brand_intake_founder!$D$2:$D$81,MATCH($B11,brand_intake_founder!$A$2:$A$81,0))),"")))</f>
        <v/>
      </c>
      <c r="M11" s="25">
        <f>IF($B11="","",IF(COUNTIF(brand_intake!$A$2:$A$401,$B11)&gt;0,IFERROR(IF(INDEX(brand_intake!$J$2:$J$401,MATCH($B11,brand_intake!$A$2:$A$401,0))="","",INDEX(brand_intake!$J$2:$J$401,MATCH($B11,brand_intake!$A$2:$A$401,0))),""),IFERROR(IF(INDEX(brand_intake_founder!$J$2:$J$81,MATCH($B11,brand_intake_founder!$A$2:$A$81,0))="","",INDEX(brand_intake_founder!$J$2:$J$81,MATCH($B11,brand_intake_founder!$A$2:$A$81,0))),"")))</f>
        <v/>
      </c>
      <c r="N11" s="25">
        <f>IF($B11="","",IF(COUNTIF(brand_intake!$A$2:$A$401,$B11)&gt;0,IFERROR(IF(INDEX(brand_intake!$I$2:$I$401,MATCH($B11,brand_intake!$A$2:$A$401,0))="","",INDEX(brand_intake!$I$2:$I$401,MATCH($B11,brand_intake!$A$2:$A$401,0))),""),IFERROR(IF(INDEX(brand_intake_founder!$I$2:$I$81,MATCH($B11,brand_intake_founder!$A$2:$A$81,0))="","",INDEX(brand_intake_founder!$I$2:$I$81,MATCH($B11,brand_intake_founder!$A$2:$A$81,0))),"")))</f>
        <v/>
      </c>
      <c r="O11" s="25">
        <f>IF($B11="","",IF(COUNTIF(brand_intake!$A$2:$A$401,$B11)&gt;0,IFERROR(IF(INDEX(brand_intake!$K$2:$K$401,MATCH($B11,brand_intake!$A$2:$A$401,0))="","",INDEX(brand_intake!$K$2:$K$401,MATCH($B11,brand_intake!$A$2:$A$401,0))),""),IFERROR(IF(INDEX(brand_intake_founder!$K$2:$K$81,MATCH($B11,brand_intake_founder!$A$2:$A$81,0))="","",INDEX(brand_intake_founder!$K$2:$K$81,MATCH($B11,brand_intake_founder!$A$2:$A$81,0))),"")))</f>
        <v/>
      </c>
      <c r="P11" s="25">
        <f>IF($B11="","",IF(COUNTIF(brand_intake!$A$2:$A$401,$B11)&gt;0,IFERROR(IF(INDEX(brand_intake!$E$2:$E$401,MATCH($B11,brand_intake!$A$2:$A$401,0))="","",INDEX(brand_intake!$E$2:$E$401,MATCH($B11,brand_intake!$A$2:$A$401,0))),""),IFERROR(IF(INDEX(brand_intake_founder!$E$2:$E$81,MATCH($B11,brand_intake_founder!$A$2:$A$81,0))="","",INDEX(brand_intake_founder!$E$2:$E$81,MATCH($B11,brand_intake_founder!$A$2:$A$81,0))),"")))</f>
        <v/>
      </c>
      <c r="Q11" s="25">
        <f>IF($B11="","",IF(COUNTIF(brand_intake!$A$2:$A$401,$B11)&gt;0,IFERROR(IF(INDEX(brand_intake!$F$2:$F$401,MATCH($B11,brand_intake!$A$2:$A$401,0))="","",INDEX(brand_intake!$F$2:$F$401,MATCH($B11,brand_intake!$A$2:$A$401,0))),""),IFERROR(IF(INDEX(brand_intake_founder!$F$2:$F$81,MATCH($B11,brand_intake_founder!$A$2:$A$81,0))="","",INDEX(brand_intake_founder!$F$2:$F$81,MATCH($B11,brand_intake_founder!$A$2:$A$81,0))),"")))</f>
        <v/>
      </c>
      <c r="R11" s="25">
        <f>IF($B11="","",IF(COUNTIF(brand_intake!$A$2:$A$401,$B11)&gt;0,IFERROR(IF(INDEX(brand_intake!$G$2:$G$401,MATCH($B11,brand_intake!$A$2:$A$401,0))="","",INDEX(brand_intake!$G$2:$G$401,MATCH($B11,brand_intake!$A$2:$A$401,0))),""),IFERROR(IF(INDEX(brand_intake_founder!$G$2:$G$81,MATCH($B11,brand_intake_founder!$A$2:$A$81,0))="","",INDEX(brand_intake_founder!$G$2:$G$81,MATCH($B11,brand_intake_founder!$A$2:$A$81,0))),"")))</f>
        <v/>
      </c>
      <c r="S11" s="25">
        <f>IF($B11="","",IF(COUNTIF(brand_intake!$A$2:$A$401,$B11)&gt;0,IFERROR(IF(INDEX(brand_intake!$H$2:$H$401,MATCH($B11,brand_intake!$A$2:$A$401,0))="","",INDEX(brand_intake!$H$2:$H$401,MATCH($B11,brand_intake!$A$2:$A$401,0))),""),IFERROR(IF(INDEX(brand_intake_founder!$H$2:$H$81,MATCH($B11,brand_intake_founder!$A$2:$A$81,0))="","",INDEX(brand_intake_founder!$H$2:$H$81,MATCH($B11,brand_intake_founder!$A$2:$A$81,0))),"")))</f>
        <v/>
      </c>
      <c r="T11" s="25">
        <f>IF($B11="","",IF(COUNTIF(brand_intake!$A$2:$A$401,$B11)&gt;0,IFERROR(IF(INDEX(brand_intake!$M$2:$M$401,MATCH($B11,brand_intake!$A$2:$A$401,0))="","",INDEX(brand_intake!$M$2:$M$401,MATCH($B11,brand_intake!$A$2:$A$401,0))),""),IFERROR(IF(INDEX(brand_intake_founder!$M$2:$M$81,MATCH($B11,brand_intake_founder!$A$2:$A$81,0))="","",INDEX(brand_intake_founder!$M$2:$M$81,MATCH($B11,brand_intake_founder!$A$2:$A$81,0))),"")))</f>
        <v/>
      </c>
      <c r="U11" s="25">
        <f>IF($B11="","",IF(COUNTIF(brand_intake!$A$2:$A$401,$B11)&gt;0,IFERROR(IF(INDEX(brand_intake!$L$2:$L$401,MATCH($B11,brand_intake!$A$2:$A$401,0))="","",INDEX(brand_intake!$L$2:$L$401,MATCH($B11,brand_intake!$A$2:$A$401,0))),""),IFERROR(IF(INDEX(brand_intake_founder!$L$2:$L$81,MATCH($B11,brand_intake_founder!$A$2:$A$81,0))="","",INDEX(brand_intake_founder!$L$2:$L$81,MATCH($B11,brand_intake_founder!$A$2:$A$81,0))),"")))</f>
        <v/>
      </c>
      <c r="V11" s="25">
        <f>IF($B11="","",IF(COUNTIF(brand_intake!$A$2:$A$401,$B11)&gt;0,IFERROR(IF(INDEX(brand_intake!$N$2:$N$401,MATCH($B11,brand_intake!$A$2:$A$401,0))="","",INDEX(brand_intake!$N$2:$N$401,MATCH($B11,brand_intake!$A$2:$A$401,0))),""),IFERROR(IF(INDEX(brand_intake_founder!$N$2:$N$81,MATCH($B11,brand_intake_founder!$A$2:$A$81,0))="","",INDEX(brand_intake_founder!$N$2:$N$81,MATCH($B11,brand_intake_founder!$A$2:$A$81,0))),"")))</f>
        <v/>
      </c>
      <c r="W11" s="25">
        <f>IF($B11="","",IF(COUNTIF(brand_intake!$A$2:$A$401,$B11)&gt;0,IFERROR(IF(INDEX(brand_intake!$Q$2:$Q$401,MATCH($B11,brand_intake!$A$2:$A$401,0))="","",INDEX(brand_intake!$Q$2:$Q$401,MATCH($B11,brand_intake!$A$2:$A$401,0))),""),IFERROR(IF(INDEX(brand_intake_founder!$Q$2:$Q$81,MATCH($B11,brand_intake_founder!$A$2:$A$81,0))="","",INDEX(brand_intake_founder!$Q$2:$Q$81,MATCH($B11,brand_intake_founder!$A$2:$A$81,0))),"")))</f>
        <v/>
      </c>
      <c r="X11" s="25">
        <f>IF($B11="","",IF(COUNTIF(brand_intake!$A$2:$A$401,$B11)&gt;0,IFERROR(IF(INDEX(brand_intake!$R$2:$R$401,MATCH($B11,brand_intake!$A$2:$A$401,0))="","",INDEX(brand_intake!$R$2:$R$401,MATCH($B11,brand_intake!$A$2:$A$401,0))),""),IFERROR(IF(INDEX(brand_intake_founder!$R$2:$R$81,MATCH($B11,brand_intake_founder!$A$2:$A$81,0))="","",INDEX(brand_intake_founder!$R$2:$R$81,MATCH($B11,brand_intake_founder!$A$2:$A$81,0))),"")))</f>
        <v/>
      </c>
      <c r="Y11" s="25">
        <f>IF($B11="","",IF(COUNTIF(brand_intake!$A$2:$A$401,$B11)&gt;0,IFERROR(IF(INDEX(brand_intake!$S$2:$S$401,MATCH($B11,brand_intake!$A$2:$A$401,0))="","",INDEX(brand_intake!$S$2:$S$401,MATCH($B11,brand_intake!$A$2:$A$401,0))),""),IFERROR(IF(INDEX(brand_intake_founder!$S$2:$S$81,MATCH($B11,brand_intake_founder!$A$2:$A$81,0))="","",INDEX(brand_intake_founder!$S$2:$S$81,MATCH($B11,brand_intake_founder!$A$2:$A$81,0))),"")))</f>
        <v/>
      </c>
      <c r="Z11" s="25">
        <f>IF($B11="","",IF(COUNTIF(brand_intake!$A$2:$A$401,$B11)&gt;0,IFERROR(IF(INDEX(brand_intake!$T$2:$T$401,MATCH($B11,brand_intake!$A$2:$A$401,0))="","",INDEX(brand_intake!$T$2:$T$401,MATCH($B11,brand_intake!$A$2:$A$401,0))),""),IFERROR(IF(INDEX(brand_intake_founder!$T$2:$T$81,MATCH($B11,brand_intake_founder!$A$2:$A$81,0))="","",INDEX(brand_intake_founder!$T$2:$T$81,MATCH($B11,brand_intake_founder!$A$2:$A$81,0))),"")))</f>
        <v/>
      </c>
      <c r="AA11" s="25">
        <f>IF($B11="","",IF(COUNTIF(brand_intake!$A$2:$A$401,$B11)&gt;0,IFERROR(IF(INDEX(brand_intake!$U$2:$U$401,MATCH($B11,brand_intake!$A$2:$A$401,0))="","",INDEX(brand_intake!$U$2:$U$401,MATCH($B11,brand_intake!$A$2:$A$401,0))),""),IFERROR(IF(INDEX(brand_intake_founder!$U$2:$U$81,MATCH($B11,brand_intake_founder!$A$2:$A$81,0))="","",INDEX(brand_intake_founder!$U$2:$U$81,MATCH($B11,brand_intake_founder!$A$2:$A$81,0))),"")))</f>
        <v/>
      </c>
      <c r="AB11" s="25">
        <f>IF($B11="","",IF(COUNTIF(brand_intake!$A$2:$A$401,$B11)&gt;0,IFERROR(IF(INDEX(brand_intake!$V$2:$V$401,MATCH($B11,brand_intake!$A$2:$A$401,0))="","",INDEX(brand_intake!$V$2:$V$401,MATCH($B11,brand_intake!$A$2:$A$401,0))),""),IFERROR(IF(INDEX(brand_intake_founder!$V$2:$V$81,MATCH($B11,brand_intake_founder!$A$2:$A$81,0))="","",INDEX(brand_intake_founder!$V$2:$V$81,MATCH($B11,brand_intake_founder!$A$2:$A$81,0))),"")))</f>
        <v/>
      </c>
      <c r="AC11" s="25">
        <f>IF($B11="","",IF(COUNTIF(brand_intake!$A$2:$A$401,$B11)&gt;0,IFERROR(IF(INDEX(brand_intake!$W$2:$W$401,MATCH($B11,brand_intake!$A$2:$A$401,0))="","",INDEX(brand_intake!$W$2:$W$401,MATCH($B11,brand_intake!$A$2:$A$401,0))),""),IFERROR(IF(INDEX(brand_intake_founder!$W$2:$W$81,MATCH($B11,brand_intake_founder!$A$2:$A$81,0))="","",INDEX(brand_intake_founder!$W$2:$W$81,MATCH($B11,brand_intake_founder!$A$2:$A$81,0))),"")))</f>
        <v/>
      </c>
      <c r="AD11" s="25">
        <f>IF($B11="","",IF(COUNTIF(brand_intake!$A$2:$A$401,$B11)&gt;0,IFERROR(IF(INDEX(brand_intake!$X$2:$X$401,MATCH($B11,brand_intake!$A$2:$A$401,0))="","",INDEX(brand_intake!$X$2:$X$401,MATCH($B11,brand_intake!$A$2:$A$401,0))),""),IFERROR(IF(INDEX(brand_intake_founder!$X$2:$X$81,MATCH($B11,brand_intake_founder!$A$2:$A$81,0))="","",INDEX(brand_intake_founder!$X$2:$X$81,MATCH($B11,brand_intake_founder!$A$2:$A$81,0))),"")))</f>
        <v/>
      </c>
      <c r="AE11" s="25">
        <f>IF($B11="","",IF(COUNTIF(brand_intake!$A$2:$A$401,$B11)&gt;0,IFERROR(IF(INDEX(brand_intake!$Y$2:$Y$401,MATCH($B11,brand_intake!$A$2:$A$401,0))="","",INDEX(brand_intake!$Y$2:$Y$401,MATCH($B11,brand_intake!$A$2:$A$401,0))),""),IFERROR(IF(INDEX(brand_intake_founder!$Y$2:$Y$81,MATCH($B11,brand_intake_founder!$A$2:$A$81,0))="","",INDEX(brand_intake_founder!$Y$2:$Y$81,MATCH($B11,brand_intake_founder!$A$2:$A$81,0))),"")))</f>
        <v/>
      </c>
      <c r="AF11" s="25">
        <f>IF($B11="","",($X11="Y")+($Y11="Y")+($Z11="Y")+($AA11="Y")+($AB11="Y")+($AC11="Y")+(LEN($AD11)&gt;0))</f>
        <v/>
      </c>
      <c r="AG11" s="25">
        <f>IF($B11="","",IF(AND($AF11=7,$AE11="Y"),"Y (as answered)","N: check "&amp;IF($X11&lt;&gt;"Y","1 ","")&amp;IF($Y11&lt;&gt;"Y","2 ","")&amp;IF($Z11&lt;&gt;"Y","3 ","")&amp;IF($AA11&lt;&gt;"Y","4 ","")&amp;IF($AB11&lt;&gt;"Y","5 ","")&amp;IF($AC11&lt;&gt;"Y","6 ","")&amp;IF(LEN($AD11)=0,"7 ","")&amp;IF($AE11&lt;&gt;"Y","excluded? ","")))</f>
        <v/>
      </c>
      <c r="AH11" s="25">
        <f>IF($A11="","",COUNTIF(campaigns!$C$2:$C$51,$A11))</f>
        <v/>
      </c>
      <c r="AI11" s="25">
        <f>IF(OR($A11="",SUMIFS(campaigns!$H$2:$H$51,campaigns!$C$2:$C$51,$A11,campaigns!$D$2:$D$51,"founding",campaigns!$E$2:$E$51,"&lt;&gt;Y")=0),"",COUNTIFS(campaigns!$D$2:$D$51,"founding",campaigns!$E$2:$E$51,"&lt;&gt;Y",campaigns!$H$2:$H$51,"&lt;="&amp;SUMIFS(campaigns!$H$2:$H$51,campaigns!$C$2:$C$51,$A11,campaigns!$D$2:$D$51,"founding",campaigns!$E$2:$E$51,"&lt;&gt;Y"),campaigns!$H$2:$H$51,"&gt;0"))</f>
        <v/>
      </c>
      <c r="AJ11" s="25">
        <f>IF(OR($A11="",NOT(IFERROR(COUNTIF(INDEX(in_paid_brands!$A$2:$BZ$81,0,MATCH("brand_id",in_paid_brands!$A$1:$BZ$1,0)),$A11),0)&gt;0)),"",IF(IFERROR(IF(INDEX(in_paid_brands!$A$2:$BZ$81,MATCH($A11,INDEX(in_paid_brands!$A$2:$BZ$81,0,MATCH("brand_id",in_paid_brands!$A$1:$BZ$1,0)),0),MATCH("campaign_id",in_paid_brands!$A$1:$BZ$1,0))="","",INDEX(in_paid_brands!$A$2:$BZ$81,MATCH($A11,INDEX(in_paid_brands!$A$2:$BZ$81,0,MATCH("brand_id",in_paid_brands!$A$1:$BZ$1,0)),0),MATCH("campaign_id",in_paid_brands!$A$1:$BZ$1,0))),"")="","E's paid_brands row has no campaign_id: type the CMP-### there; ",IF(OR(ABS(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gt;0.005,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payment 1 differs: E "&amp;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amp;" on "&amp;IF(N(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0,"none",TEXT(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yyyy-mm-dd"))&amp;"; ","")&amp;IF(OR(ABS(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gt;0.005,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payment 2 differs: E "&amp;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amp;" on "&amp;IF(N(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0,"none",TEXT(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yyyy-mm-dd"))&amp;"; ","")))</f>
        <v/>
      </c>
    </row>
    <row r="12">
      <c r="B12" s="30" t="n"/>
      <c r="H12" s="9" t="n"/>
      <c r="K12" s="25">
        <f>IF($B12="","",IF(COUNTIF(brand_intake!$A$2:$A$401,$B12)&gt;0,IFERROR(IF(INDEX(brand_intake!$C$2:$C$401,MATCH($B12,brand_intake!$A$2:$A$401,0))="","",INDEX(brand_intake!$C$2:$C$401,MATCH($B12,brand_intake!$A$2:$A$401,0))),""),IFERROR(IF(INDEX(brand_intake_founder!$C$2:$C$81,MATCH($B12,brand_intake_founder!$A$2:$A$81,0))="","",INDEX(brand_intake_founder!$C$2:$C$81,MATCH($B12,brand_intake_founder!$A$2:$A$81,0))),"")))</f>
        <v/>
      </c>
      <c r="L12" s="25">
        <f>IF($B12="","",IF(COUNTIF(brand_intake!$A$2:$A$401,$B12)&gt;0,IFERROR(IF(INDEX(brand_intake!$D$2:$D$401,MATCH($B12,brand_intake!$A$2:$A$401,0))="","",INDEX(brand_intake!$D$2:$D$401,MATCH($B12,brand_intake!$A$2:$A$401,0))),""),IFERROR(IF(INDEX(brand_intake_founder!$D$2:$D$81,MATCH($B12,brand_intake_founder!$A$2:$A$81,0))="","",INDEX(brand_intake_founder!$D$2:$D$81,MATCH($B12,brand_intake_founder!$A$2:$A$81,0))),"")))</f>
        <v/>
      </c>
      <c r="M12" s="25">
        <f>IF($B12="","",IF(COUNTIF(brand_intake!$A$2:$A$401,$B12)&gt;0,IFERROR(IF(INDEX(brand_intake!$J$2:$J$401,MATCH($B12,brand_intake!$A$2:$A$401,0))="","",INDEX(brand_intake!$J$2:$J$401,MATCH($B12,brand_intake!$A$2:$A$401,0))),""),IFERROR(IF(INDEX(brand_intake_founder!$J$2:$J$81,MATCH($B12,brand_intake_founder!$A$2:$A$81,0))="","",INDEX(brand_intake_founder!$J$2:$J$81,MATCH($B12,brand_intake_founder!$A$2:$A$81,0))),"")))</f>
        <v/>
      </c>
      <c r="N12" s="25">
        <f>IF($B12="","",IF(COUNTIF(brand_intake!$A$2:$A$401,$B12)&gt;0,IFERROR(IF(INDEX(brand_intake!$I$2:$I$401,MATCH($B12,brand_intake!$A$2:$A$401,0))="","",INDEX(brand_intake!$I$2:$I$401,MATCH($B12,brand_intake!$A$2:$A$401,0))),""),IFERROR(IF(INDEX(brand_intake_founder!$I$2:$I$81,MATCH($B12,brand_intake_founder!$A$2:$A$81,0))="","",INDEX(brand_intake_founder!$I$2:$I$81,MATCH($B12,brand_intake_founder!$A$2:$A$81,0))),"")))</f>
        <v/>
      </c>
      <c r="O12" s="25">
        <f>IF($B12="","",IF(COUNTIF(brand_intake!$A$2:$A$401,$B12)&gt;0,IFERROR(IF(INDEX(brand_intake!$K$2:$K$401,MATCH($B12,brand_intake!$A$2:$A$401,0))="","",INDEX(brand_intake!$K$2:$K$401,MATCH($B12,brand_intake!$A$2:$A$401,0))),""),IFERROR(IF(INDEX(brand_intake_founder!$K$2:$K$81,MATCH($B12,brand_intake_founder!$A$2:$A$81,0))="","",INDEX(brand_intake_founder!$K$2:$K$81,MATCH($B12,brand_intake_founder!$A$2:$A$81,0))),"")))</f>
        <v/>
      </c>
      <c r="P12" s="25">
        <f>IF($B12="","",IF(COUNTIF(brand_intake!$A$2:$A$401,$B12)&gt;0,IFERROR(IF(INDEX(brand_intake!$E$2:$E$401,MATCH($B12,brand_intake!$A$2:$A$401,0))="","",INDEX(brand_intake!$E$2:$E$401,MATCH($B12,brand_intake!$A$2:$A$401,0))),""),IFERROR(IF(INDEX(brand_intake_founder!$E$2:$E$81,MATCH($B12,brand_intake_founder!$A$2:$A$81,0))="","",INDEX(brand_intake_founder!$E$2:$E$81,MATCH($B12,brand_intake_founder!$A$2:$A$81,0))),"")))</f>
        <v/>
      </c>
      <c r="Q12" s="25">
        <f>IF($B12="","",IF(COUNTIF(brand_intake!$A$2:$A$401,$B12)&gt;0,IFERROR(IF(INDEX(brand_intake!$F$2:$F$401,MATCH($B12,brand_intake!$A$2:$A$401,0))="","",INDEX(brand_intake!$F$2:$F$401,MATCH($B12,brand_intake!$A$2:$A$401,0))),""),IFERROR(IF(INDEX(brand_intake_founder!$F$2:$F$81,MATCH($B12,brand_intake_founder!$A$2:$A$81,0))="","",INDEX(brand_intake_founder!$F$2:$F$81,MATCH($B12,brand_intake_founder!$A$2:$A$81,0))),"")))</f>
        <v/>
      </c>
      <c r="R12" s="25">
        <f>IF($B12="","",IF(COUNTIF(brand_intake!$A$2:$A$401,$B12)&gt;0,IFERROR(IF(INDEX(brand_intake!$G$2:$G$401,MATCH($B12,brand_intake!$A$2:$A$401,0))="","",INDEX(brand_intake!$G$2:$G$401,MATCH($B12,brand_intake!$A$2:$A$401,0))),""),IFERROR(IF(INDEX(brand_intake_founder!$G$2:$G$81,MATCH($B12,brand_intake_founder!$A$2:$A$81,0))="","",INDEX(brand_intake_founder!$G$2:$G$81,MATCH($B12,brand_intake_founder!$A$2:$A$81,0))),"")))</f>
        <v/>
      </c>
      <c r="S12" s="25">
        <f>IF($B12="","",IF(COUNTIF(brand_intake!$A$2:$A$401,$B12)&gt;0,IFERROR(IF(INDEX(brand_intake!$H$2:$H$401,MATCH($B12,brand_intake!$A$2:$A$401,0))="","",INDEX(brand_intake!$H$2:$H$401,MATCH($B12,brand_intake!$A$2:$A$401,0))),""),IFERROR(IF(INDEX(brand_intake_founder!$H$2:$H$81,MATCH($B12,brand_intake_founder!$A$2:$A$81,0))="","",INDEX(brand_intake_founder!$H$2:$H$81,MATCH($B12,brand_intake_founder!$A$2:$A$81,0))),"")))</f>
        <v/>
      </c>
      <c r="T12" s="25">
        <f>IF($B12="","",IF(COUNTIF(brand_intake!$A$2:$A$401,$B12)&gt;0,IFERROR(IF(INDEX(brand_intake!$M$2:$M$401,MATCH($B12,brand_intake!$A$2:$A$401,0))="","",INDEX(brand_intake!$M$2:$M$401,MATCH($B12,brand_intake!$A$2:$A$401,0))),""),IFERROR(IF(INDEX(brand_intake_founder!$M$2:$M$81,MATCH($B12,brand_intake_founder!$A$2:$A$81,0))="","",INDEX(brand_intake_founder!$M$2:$M$81,MATCH($B12,brand_intake_founder!$A$2:$A$81,0))),"")))</f>
        <v/>
      </c>
      <c r="U12" s="25">
        <f>IF($B12="","",IF(COUNTIF(brand_intake!$A$2:$A$401,$B12)&gt;0,IFERROR(IF(INDEX(brand_intake!$L$2:$L$401,MATCH($B12,brand_intake!$A$2:$A$401,0))="","",INDEX(brand_intake!$L$2:$L$401,MATCH($B12,brand_intake!$A$2:$A$401,0))),""),IFERROR(IF(INDEX(brand_intake_founder!$L$2:$L$81,MATCH($B12,brand_intake_founder!$A$2:$A$81,0))="","",INDEX(brand_intake_founder!$L$2:$L$81,MATCH($B12,brand_intake_founder!$A$2:$A$81,0))),"")))</f>
        <v/>
      </c>
      <c r="V12" s="25">
        <f>IF($B12="","",IF(COUNTIF(brand_intake!$A$2:$A$401,$B12)&gt;0,IFERROR(IF(INDEX(brand_intake!$N$2:$N$401,MATCH($B12,brand_intake!$A$2:$A$401,0))="","",INDEX(brand_intake!$N$2:$N$401,MATCH($B12,brand_intake!$A$2:$A$401,0))),""),IFERROR(IF(INDEX(brand_intake_founder!$N$2:$N$81,MATCH($B12,brand_intake_founder!$A$2:$A$81,0))="","",INDEX(brand_intake_founder!$N$2:$N$81,MATCH($B12,brand_intake_founder!$A$2:$A$81,0))),"")))</f>
        <v/>
      </c>
      <c r="W12" s="25">
        <f>IF($B12="","",IF(COUNTIF(brand_intake!$A$2:$A$401,$B12)&gt;0,IFERROR(IF(INDEX(brand_intake!$Q$2:$Q$401,MATCH($B12,brand_intake!$A$2:$A$401,0))="","",INDEX(brand_intake!$Q$2:$Q$401,MATCH($B12,brand_intake!$A$2:$A$401,0))),""),IFERROR(IF(INDEX(brand_intake_founder!$Q$2:$Q$81,MATCH($B12,brand_intake_founder!$A$2:$A$81,0))="","",INDEX(brand_intake_founder!$Q$2:$Q$81,MATCH($B12,brand_intake_founder!$A$2:$A$81,0))),"")))</f>
        <v/>
      </c>
      <c r="X12" s="25">
        <f>IF($B12="","",IF(COUNTIF(brand_intake!$A$2:$A$401,$B12)&gt;0,IFERROR(IF(INDEX(brand_intake!$R$2:$R$401,MATCH($B12,brand_intake!$A$2:$A$401,0))="","",INDEX(brand_intake!$R$2:$R$401,MATCH($B12,brand_intake!$A$2:$A$401,0))),""),IFERROR(IF(INDEX(brand_intake_founder!$R$2:$R$81,MATCH($B12,brand_intake_founder!$A$2:$A$81,0))="","",INDEX(brand_intake_founder!$R$2:$R$81,MATCH($B12,brand_intake_founder!$A$2:$A$81,0))),"")))</f>
        <v/>
      </c>
      <c r="Y12" s="25">
        <f>IF($B12="","",IF(COUNTIF(brand_intake!$A$2:$A$401,$B12)&gt;0,IFERROR(IF(INDEX(brand_intake!$S$2:$S$401,MATCH($B12,brand_intake!$A$2:$A$401,0))="","",INDEX(brand_intake!$S$2:$S$401,MATCH($B12,brand_intake!$A$2:$A$401,0))),""),IFERROR(IF(INDEX(brand_intake_founder!$S$2:$S$81,MATCH($B12,brand_intake_founder!$A$2:$A$81,0))="","",INDEX(brand_intake_founder!$S$2:$S$81,MATCH($B12,brand_intake_founder!$A$2:$A$81,0))),"")))</f>
        <v/>
      </c>
      <c r="Z12" s="25">
        <f>IF($B12="","",IF(COUNTIF(brand_intake!$A$2:$A$401,$B12)&gt;0,IFERROR(IF(INDEX(brand_intake!$T$2:$T$401,MATCH($B12,brand_intake!$A$2:$A$401,0))="","",INDEX(brand_intake!$T$2:$T$401,MATCH($B12,brand_intake!$A$2:$A$401,0))),""),IFERROR(IF(INDEX(brand_intake_founder!$T$2:$T$81,MATCH($B12,brand_intake_founder!$A$2:$A$81,0))="","",INDEX(brand_intake_founder!$T$2:$T$81,MATCH($B12,brand_intake_founder!$A$2:$A$81,0))),"")))</f>
        <v/>
      </c>
      <c r="AA12" s="25">
        <f>IF($B12="","",IF(COUNTIF(brand_intake!$A$2:$A$401,$B12)&gt;0,IFERROR(IF(INDEX(brand_intake!$U$2:$U$401,MATCH($B12,brand_intake!$A$2:$A$401,0))="","",INDEX(brand_intake!$U$2:$U$401,MATCH($B12,brand_intake!$A$2:$A$401,0))),""),IFERROR(IF(INDEX(brand_intake_founder!$U$2:$U$81,MATCH($B12,brand_intake_founder!$A$2:$A$81,0))="","",INDEX(brand_intake_founder!$U$2:$U$81,MATCH($B12,brand_intake_founder!$A$2:$A$81,0))),"")))</f>
        <v/>
      </c>
      <c r="AB12" s="25">
        <f>IF($B12="","",IF(COUNTIF(brand_intake!$A$2:$A$401,$B12)&gt;0,IFERROR(IF(INDEX(brand_intake!$V$2:$V$401,MATCH($B12,brand_intake!$A$2:$A$401,0))="","",INDEX(brand_intake!$V$2:$V$401,MATCH($B12,brand_intake!$A$2:$A$401,0))),""),IFERROR(IF(INDEX(brand_intake_founder!$V$2:$V$81,MATCH($B12,brand_intake_founder!$A$2:$A$81,0))="","",INDEX(brand_intake_founder!$V$2:$V$81,MATCH($B12,brand_intake_founder!$A$2:$A$81,0))),"")))</f>
        <v/>
      </c>
      <c r="AC12" s="25">
        <f>IF($B12="","",IF(COUNTIF(brand_intake!$A$2:$A$401,$B12)&gt;0,IFERROR(IF(INDEX(brand_intake!$W$2:$W$401,MATCH($B12,brand_intake!$A$2:$A$401,0))="","",INDEX(brand_intake!$W$2:$W$401,MATCH($B12,brand_intake!$A$2:$A$401,0))),""),IFERROR(IF(INDEX(brand_intake_founder!$W$2:$W$81,MATCH($B12,brand_intake_founder!$A$2:$A$81,0))="","",INDEX(brand_intake_founder!$W$2:$W$81,MATCH($B12,brand_intake_founder!$A$2:$A$81,0))),"")))</f>
        <v/>
      </c>
      <c r="AD12" s="25">
        <f>IF($B12="","",IF(COUNTIF(brand_intake!$A$2:$A$401,$B12)&gt;0,IFERROR(IF(INDEX(brand_intake!$X$2:$X$401,MATCH($B12,brand_intake!$A$2:$A$401,0))="","",INDEX(brand_intake!$X$2:$X$401,MATCH($B12,brand_intake!$A$2:$A$401,0))),""),IFERROR(IF(INDEX(brand_intake_founder!$X$2:$X$81,MATCH($B12,brand_intake_founder!$A$2:$A$81,0))="","",INDEX(brand_intake_founder!$X$2:$X$81,MATCH($B12,brand_intake_founder!$A$2:$A$81,0))),"")))</f>
        <v/>
      </c>
      <c r="AE12" s="25">
        <f>IF($B12="","",IF(COUNTIF(brand_intake!$A$2:$A$401,$B12)&gt;0,IFERROR(IF(INDEX(brand_intake!$Y$2:$Y$401,MATCH($B12,brand_intake!$A$2:$A$401,0))="","",INDEX(brand_intake!$Y$2:$Y$401,MATCH($B12,brand_intake!$A$2:$A$401,0))),""),IFERROR(IF(INDEX(brand_intake_founder!$Y$2:$Y$81,MATCH($B12,brand_intake_founder!$A$2:$A$81,0))="","",INDEX(brand_intake_founder!$Y$2:$Y$81,MATCH($B12,brand_intake_founder!$A$2:$A$81,0))),"")))</f>
        <v/>
      </c>
      <c r="AF12" s="25">
        <f>IF($B12="","",($X12="Y")+($Y12="Y")+($Z12="Y")+($AA12="Y")+($AB12="Y")+($AC12="Y")+(LEN($AD12)&gt;0))</f>
        <v/>
      </c>
      <c r="AG12" s="25">
        <f>IF($B12="","",IF(AND($AF12=7,$AE12="Y"),"Y (as answered)","N: check "&amp;IF($X12&lt;&gt;"Y","1 ","")&amp;IF($Y12&lt;&gt;"Y","2 ","")&amp;IF($Z12&lt;&gt;"Y","3 ","")&amp;IF($AA12&lt;&gt;"Y","4 ","")&amp;IF($AB12&lt;&gt;"Y","5 ","")&amp;IF($AC12&lt;&gt;"Y","6 ","")&amp;IF(LEN($AD12)=0,"7 ","")&amp;IF($AE12&lt;&gt;"Y","excluded? ","")))</f>
        <v/>
      </c>
      <c r="AH12" s="25">
        <f>IF($A12="","",COUNTIF(campaigns!$C$2:$C$51,$A12))</f>
        <v/>
      </c>
      <c r="AI12" s="25">
        <f>IF(OR($A12="",SUMIFS(campaigns!$H$2:$H$51,campaigns!$C$2:$C$51,$A12,campaigns!$D$2:$D$51,"founding",campaigns!$E$2:$E$51,"&lt;&gt;Y")=0),"",COUNTIFS(campaigns!$D$2:$D$51,"founding",campaigns!$E$2:$E$51,"&lt;&gt;Y",campaigns!$H$2:$H$51,"&lt;="&amp;SUMIFS(campaigns!$H$2:$H$51,campaigns!$C$2:$C$51,$A12,campaigns!$D$2:$D$51,"founding",campaigns!$E$2:$E$51,"&lt;&gt;Y"),campaigns!$H$2:$H$51,"&gt;0"))</f>
        <v/>
      </c>
      <c r="AJ12" s="25">
        <f>IF(OR($A12="",NOT(IFERROR(COUNTIF(INDEX(in_paid_brands!$A$2:$BZ$81,0,MATCH("brand_id",in_paid_brands!$A$1:$BZ$1,0)),$A12),0)&gt;0)),"",IF(IFERROR(IF(INDEX(in_paid_brands!$A$2:$BZ$81,MATCH($A12,INDEX(in_paid_brands!$A$2:$BZ$81,0,MATCH("brand_id",in_paid_brands!$A$1:$BZ$1,0)),0),MATCH("campaign_id",in_paid_brands!$A$1:$BZ$1,0))="","",INDEX(in_paid_brands!$A$2:$BZ$81,MATCH($A12,INDEX(in_paid_brands!$A$2:$BZ$81,0,MATCH("brand_id",in_paid_brands!$A$1:$BZ$1,0)),0),MATCH("campaign_id",in_paid_brands!$A$1:$BZ$1,0))),"")="","E's paid_brands row has no campaign_id: type the CMP-### there; ",IF(OR(ABS(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gt;0.005,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payment 1 differs: E "&amp;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amp;" on "&amp;IF(N(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0,"none",TEXT(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yyyy-mm-dd"))&amp;"; ","")&amp;IF(OR(ABS(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gt;0.005,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payment 2 differs: E "&amp;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amp;" on "&amp;IF(N(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0,"none",TEXT(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yyyy-mm-dd"))&amp;"; ","")))</f>
        <v/>
      </c>
    </row>
    <row r="13">
      <c r="B13" s="30" t="n"/>
      <c r="H13" s="9" t="n"/>
      <c r="K13" s="25">
        <f>IF($B13="","",IF(COUNTIF(brand_intake!$A$2:$A$401,$B13)&gt;0,IFERROR(IF(INDEX(brand_intake!$C$2:$C$401,MATCH($B13,brand_intake!$A$2:$A$401,0))="","",INDEX(brand_intake!$C$2:$C$401,MATCH($B13,brand_intake!$A$2:$A$401,0))),""),IFERROR(IF(INDEX(brand_intake_founder!$C$2:$C$81,MATCH($B13,brand_intake_founder!$A$2:$A$81,0))="","",INDEX(brand_intake_founder!$C$2:$C$81,MATCH($B13,brand_intake_founder!$A$2:$A$81,0))),"")))</f>
        <v/>
      </c>
      <c r="L13" s="25">
        <f>IF($B13="","",IF(COUNTIF(brand_intake!$A$2:$A$401,$B13)&gt;0,IFERROR(IF(INDEX(brand_intake!$D$2:$D$401,MATCH($B13,brand_intake!$A$2:$A$401,0))="","",INDEX(brand_intake!$D$2:$D$401,MATCH($B13,brand_intake!$A$2:$A$401,0))),""),IFERROR(IF(INDEX(brand_intake_founder!$D$2:$D$81,MATCH($B13,brand_intake_founder!$A$2:$A$81,0))="","",INDEX(brand_intake_founder!$D$2:$D$81,MATCH($B13,brand_intake_founder!$A$2:$A$81,0))),"")))</f>
        <v/>
      </c>
      <c r="M13" s="25">
        <f>IF($B13="","",IF(COUNTIF(brand_intake!$A$2:$A$401,$B13)&gt;0,IFERROR(IF(INDEX(brand_intake!$J$2:$J$401,MATCH($B13,brand_intake!$A$2:$A$401,0))="","",INDEX(brand_intake!$J$2:$J$401,MATCH($B13,brand_intake!$A$2:$A$401,0))),""),IFERROR(IF(INDEX(brand_intake_founder!$J$2:$J$81,MATCH($B13,brand_intake_founder!$A$2:$A$81,0))="","",INDEX(brand_intake_founder!$J$2:$J$81,MATCH($B13,brand_intake_founder!$A$2:$A$81,0))),"")))</f>
        <v/>
      </c>
      <c r="N13" s="25">
        <f>IF($B13="","",IF(COUNTIF(brand_intake!$A$2:$A$401,$B13)&gt;0,IFERROR(IF(INDEX(brand_intake!$I$2:$I$401,MATCH($B13,brand_intake!$A$2:$A$401,0))="","",INDEX(brand_intake!$I$2:$I$401,MATCH($B13,brand_intake!$A$2:$A$401,0))),""),IFERROR(IF(INDEX(brand_intake_founder!$I$2:$I$81,MATCH($B13,brand_intake_founder!$A$2:$A$81,0))="","",INDEX(brand_intake_founder!$I$2:$I$81,MATCH($B13,brand_intake_founder!$A$2:$A$81,0))),"")))</f>
        <v/>
      </c>
      <c r="O13" s="25">
        <f>IF($B13="","",IF(COUNTIF(brand_intake!$A$2:$A$401,$B13)&gt;0,IFERROR(IF(INDEX(brand_intake!$K$2:$K$401,MATCH($B13,brand_intake!$A$2:$A$401,0))="","",INDEX(brand_intake!$K$2:$K$401,MATCH($B13,brand_intake!$A$2:$A$401,0))),""),IFERROR(IF(INDEX(brand_intake_founder!$K$2:$K$81,MATCH($B13,brand_intake_founder!$A$2:$A$81,0))="","",INDEX(brand_intake_founder!$K$2:$K$81,MATCH($B13,brand_intake_founder!$A$2:$A$81,0))),"")))</f>
        <v/>
      </c>
      <c r="P13" s="25">
        <f>IF($B13="","",IF(COUNTIF(brand_intake!$A$2:$A$401,$B13)&gt;0,IFERROR(IF(INDEX(brand_intake!$E$2:$E$401,MATCH($B13,brand_intake!$A$2:$A$401,0))="","",INDEX(brand_intake!$E$2:$E$401,MATCH($B13,brand_intake!$A$2:$A$401,0))),""),IFERROR(IF(INDEX(brand_intake_founder!$E$2:$E$81,MATCH($B13,brand_intake_founder!$A$2:$A$81,0))="","",INDEX(brand_intake_founder!$E$2:$E$81,MATCH($B13,brand_intake_founder!$A$2:$A$81,0))),"")))</f>
        <v/>
      </c>
      <c r="Q13" s="25">
        <f>IF($B13="","",IF(COUNTIF(brand_intake!$A$2:$A$401,$B13)&gt;0,IFERROR(IF(INDEX(brand_intake!$F$2:$F$401,MATCH($B13,brand_intake!$A$2:$A$401,0))="","",INDEX(brand_intake!$F$2:$F$401,MATCH($B13,brand_intake!$A$2:$A$401,0))),""),IFERROR(IF(INDEX(brand_intake_founder!$F$2:$F$81,MATCH($B13,brand_intake_founder!$A$2:$A$81,0))="","",INDEX(brand_intake_founder!$F$2:$F$81,MATCH($B13,brand_intake_founder!$A$2:$A$81,0))),"")))</f>
        <v/>
      </c>
      <c r="R13" s="25">
        <f>IF($B13="","",IF(COUNTIF(brand_intake!$A$2:$A$401,$B13)&gt;0,IFERROR(IF(INDEX(brand_intake!$G$2:$G$401,MATCH($B13,brand_intake!$A$2:$A$401,0))="","",INDEX(brand_intake!$G$2:$G$401,MATCH($B13,brand_intake!$A$2:$A$401,0))),""),IFERROR(IF(INDEX(brand_intake_founder!$G$2:$G$81,MATCH($B13,brand_intake_founder!$A$2:$A$81,0))="","",INDEX(brand_intake_founder!$G$2:$G$81,MATCH($B13,brand_intake_founder!$A$2:$A$81,0))),"")))</f>
        <v/>
      </c>
      <c r="S13" s="25">
        <f>IF($B13="","",IF(COUNTIF(brand_intake!$A$2:$A$401,$B13)&gt;0,IFERROR(IF(INDEX(brand_intake!$H$2:$H$401,MATCH($B13,brand_intake!$A$2:$A$401,0))="","",INDEX(brand_intake!$H$2:$H$401,MATCH($B13,brand_intake!$A$2:$A$401,0))),""),IFERROR(IF(INDEX(brand_intake_founder!$H$2:$H$81,MATCH($B13,brand_intake_founder!$A$2:$A$81,0))="","",INDEX(brand_intake_founder!$H$2:$H$81,MATCH($B13,brand_intake_founder!$A$2:$A$81,0))),"")))</f>
        <v/>
      </c>
      <c r="T13" s="25">
        <f>IF($B13="","",IF(COUNTIF(brand_intake!$A$2:$A$401,$B13)&gt;0,IFERROR(IF(INDEX(brand_intake!$M$2:$M$401,MATCH($B13,brand_intake!$A$2:$A$401,0))="","",INDEX(brand_intake!$M$2:$M$401,MATCH($B13,brand_intake!$A$2:$A$401,0))),""),IFERROR(IF(INDEX(brand_intake_founder!$M$2:$M$81,MATCH($B13,brand_intake_founder!$A$2:$A$81,0))="","",INDEX(brand_intake_founder!$M$2:$M$81,MATCH($B13,brand_intake_founder!$A$2:$A$81,0))),"")))</f>
        <v/>
      </c>
      <c r="U13" s="25">
        <f>IF($B13="","",IF(COUNTIF(brand_intake!$A$2:$A$401,$B13)&gt;0,IFERROR(IF(INDEX(brand_intake!$L$2:$L$401,MATCH($B13,brand_intake!$A$2:$A$401,0))="","",INDEX(brand_intake!$L$2:$L$401,MATCH($B13,brand_intake!$A$2:$A$401,0))),""),IFERROR(IF(INDEX(brand_intake_founder!$L$2:$L$81,MATCH($B13,brand_intake_founder!$A$2:$A$81,0))="","",INDEX(brand_intake_founder!$L$2:$L$81,MATCH($B13,brand_intake_founder!$A$2:$A$81,0))),"")))</f>
        <v/>
      </c>
      <c r="V13" s="25">
        <f>IF($B13="","",IF(COUNTIF(brand_intake!$A$2:$A$401,$B13)&gt;0,IFERROR(IF(INDEX(brand_intake!$N$2:$N$401,MATCH($B13,brand_intake!$A$2:$A$401,0))="","",INDEX(brand_intake!$N$2:$N$401,MATCH($B13,brand_intake!$A$2:$A$401,0))),""),IFERROR(IF(INDEX(brand_intake_founder!$N$2:$N$81,MATCH($B13,brand_intake_founder!$A$2:$A$81,0))="","",INDEX(brand_intake_founder!$N$2:$N$81,MATCH($B13,brand_intake_founder!$A$2:$A$81,0))),"")))</f>
        <v/>
      </c>
      <c r="W13" s="25">
        <f>IF($B13="","",IF(COUNTIF(brand_intake!$A$2:$A$401,$B13)&gt;0,IFERROR(IF(INDEX(brand_intake!$Q$2:$Q$401,MATCH($B13,brand_intake!$A$2:$A$401,0))="","",INDEX(brand_intake!$Q$2:$Q$401,MATCH($B13,brand_intake!$A$2:$A$401,0))),""),IFERROR(IF(INDEX(brand_intake_founder!$Q$2:$Q$81,MATCH($B13,brand_intake_founder!$A$2:$A$81,0))="","",INDEX(brand_intake_founder!$Q$2:$Q$81,MATCH($B13,brand_intake_founder!$A$2:$A$81,0))),"")))</f>
        <v/>
      </c>
      <c r="X13" s="25">
        <f>IF($B13="","",IF(COUNTIF(brand_intake!$A$2:$A$401,$B13)&gt;0,IFERROR(IF(INDEX(brand_intake!$R$2:$R$401,MATCH($B13,brand_intake!$A$2:$A$401,0))="","",INDEX(brand_intake!$R$2:$R$401,MATCH($B13,brand_intake!$A$2:$A$401,0))),""),IFERROR(IF(INDEX(brand_intake_founder!$R$2:$R$81,MATCH($B13,brand_intake_founder!$A$2:$A$81,0))="","",INDEX(brand_intake_founder!$R$2:$R$81,MATCH($B13,brand_intake_founder!$A$2:$A$81,0))),"")))</f>
        <v/>
      </c>
      <c r="Y13" s="25">
        <f>IF($B13="","",IF(COUNTIF(brand_intake!$A$2:$A$401,$B13)&gt;0,IFERROR(IF(INDEX(brand_intake!$S$2:$S$401,MATCH($B13,brand_intake!$A$2:$A$401,0))="","",INDEX(brand_intake!$S$2:$S$401,MATCH($B13,brand_intake!$A$2:$A$401,0))),""),IFERROR(IF(INDEX(brand_intake_founder!$S$2:$S$81,MATCH($B13,brand_intake_founder!$A$2:$A$81,0))="","",INDEX(brand_intake_founder!$S$2:$S$81,MATCH($B13,brand_intake_founder!$A$2:$A$81,0))),"")))</f>
        <v/>
      </c>
      <c r="Z13" s="25">
        <f>IF($B13="","",IF(COUNTIF(brand_intake!$A$2:$A$401,$B13)&gt;0,IFERROR(IF(INDEX(brand_intake!$T$2:$T$401,MATCH($B13,brand_intake!$A$2:$A$401,0))="","",INDEX(brand_intake!$T$2:$T$401,MATCH($B13,brand_intake!$A$2:$A$401,0))),""),IFERROR(IF(INDEX(brand_intake_founder!$T$2:$T$81,MATCH($B13,brand_intake_founder!$A$2:$A$81,0))="","",INDEX(brand_intake_founder!$T$2:$T$81,MATCH($B13,brand_intake_founder!$A$2:$A$81,0))),"")))</f>
        <v/>
      </c>
      <c r="AA13" s="25">
        <f>IF($B13="","",IF(COUNTIF(brand_intake!$A$2:$A$401,$B13)&gt;0,IFERROR(IF(INDEX(brand_intake!$U$2:$U$401,MATCH($B13,brand_intake!$A$2:$A$401,0))="","",INDEX(brand_intake!$U$2:$U$401,MATCH($B13,brand_intake!$A$2:$A$401,0))),""),IFERROR(IF(INDEX(brand_intake_founder!$U$2:$U$81,MATCH($B13,brand_intake_founder!$A$2:$A$81,0))="","",INDEX(brand_intake_founder!$U$2:$U$81,MATCH($B13,brand_intake_founder!$A$2:$A$81,0))),"")))</f>
        <v/>
      </c>
      <c r="AB13" s="25">
        <f>IF($B13="","",IF(COUNTIF(brand_intake!$A$2:$A$401,$B13)&gt;0,IFERROR(IF(INDEX(brand_intake!$V$2:$V$401,MATCH($B13,brand_intake!$A$2:$A$401,0))="","",INDEX(brand_intake!$V$2:$V$401,MATCH($B13,brand_intake!$A$2:$A$401,0))),""),IFERROR(IF(INDEX(brand_intake_founder!$V$2:$V$81,MATCH($B13,brand_intake_founder!$A$2:$A$81,0))="","",INDEX(brand_intake_founder!$V$2:$V$81,MATCH($B13,brand_intake_founder!$A$2:$A$81,0))),"")))</f>
        <v/>
      </c>
      <c r="AC13" s="25">
        <f>IF($B13="","",IF(COUNTIF(brand_intake!$A$2:$A$401,$B13)&gt;0,IFERROR(IF(INDEX(brand_intake!$W$2:$W$401,MATCH($B13,brand_intake!$A$2:$A$401,0))="","",INDEX(brand_intake!$W$2:$W$401,MATCH($B13,brand_intake!$A$2:$A$401,0))),""),IFERROR(IF(INDEX(brand_intake_founder!$W$2:$W$81,MATCH($B13,brand_intake_founder!$A$2:$A$81,0))="","",INDEX(brand_intake_founder!$W$2:$W$81,MATCH($B13,brand_intake_founder!$A$2:$A$81,0))),"")))</f>
        <v/>
      </c>
      <c r="AD13" s="25">
        <f>IF($B13="","",IF(COUNTIF(brand_intake!$A$2:$A$401,$B13)&gt;0,IFERROR(IF(INDEX(brand_intake!$X$2:$X$401,MATCH($B13,brand_intake!$A$2:$A$401,0))="","",INDEX(brand_intake!$X$2:$X$401,MATCH($B13,brand_intake!$A$2:$A$401,0))),""),IFERROR(IF(INDEX(brand_intake_founder!$X$2:$X$81,MATCH($B13,brand_intake_founder!$A$2:$A$81,0))="","",INDEX(brand_intake_founder!$X$2:$X$81,MATCH($B13,brand_intake_founder!$A$2:$A$81,0))),"")))</f>
        <v/>
      </c>
      <c r="AE13" s="25">
        <f>IF($B13="","",IF(COUNTIF(brand_intake!$A$2:$A$401,$B13)&gt;0,IFERROR(IF(INDEX(brand_intake!$Y$2:$Y$401,MATCH($B13,brand_intake!$A$2:$A$401,0))="","",INDEX(brand_intake!$Y$2:$Y$401,MATCH($B13,brand_intake!$A$2:$A$401,0))),""),IFERROR(IF(INDEX(brand_intake_founder!$Y$2:$Y$81,MATCH($B13,brand_intake_founder!$A$2:$A$81,0))="","",INDEX(brand_intake_founder!$Y$2:$Y$81,MATCH($B13,brand_intake_founder!$A$2:$A$81,0))),"")))</f>
        <v/>
      </c>
      <c r="AF13" s="25">
        <f>IF($B13="","",($X13="Y")+($Y13="Y")+($Z13="Y")+($AA13="Y")+($AB13="Y")+($AC13="Y")+(LEN($AD13)&gt;0))</f>
        <v/>
      </c>
      <c r="AG13" s="25">
        <f>IF($B13="","",IF(AND($AF13=7,$AE13="Y"),"Y (as answered)","N: check "&amp;IF($X13&lt;&gt;"Y","1 ","")&amp;IF($Y13&lt;&gt;"Y","2 ","")&amp;IF($Z13&lt;&gt;"Y","3 ","")&amp;IF($AA13&lt;&gt;"Y","4 ","")&amp;IF($AB13&lt;&gt;"Y","5 ","")&amp;IF($AC13&lt;&gt;"Y","6 ","")&amp;IF(LEN($AD13)=0,"7 ","")&amp;IF($AE13&lt;&gt;"Y","excluded? ","")))</f>
        <v/>
      </c>
      <c r="AH13" s="25">
        <f>IF($A13="","",COUNTIF(campaigns!$C$2:$C$51,$A13))</f>
        <v/>
      </c>
      <c r="AI13" s="25">
        <f>IF(OR($A13="",SUMIFS(campaigns!$H$2:$H$51,campaigns!$C$2:$C$51,$A13,campaigns!$D$2:$D$51,"founding",campaigns!$E$2:$E$51,"&lt;&gt;Y")=0),"",COUNTIFS(campaigns!$D$2:$D$51,"founding",campaigns!$E$2:$E$51,"&lt;&gt;Y",campaigns!$H$2:$H$51,"&lt;="&amp;SUMIFS(campaigns!$H$2:$H$51,campaigns!$C$2:$C$51,$A13,campaigns!$D$2:$D$51,"founding",campaigns!$E$2:$E$51,"&lt;&gt;Y"),campaigns!$H$2:$H$51,"&gt;0"))</f>
        <v/>
      </c>
      <c r="AJ13" s="25">
        <f>IF(OR($A13="",NOT(IFERROR(COUNTIF(INDEX(in_paid_brands!$A$2:$BZ$81,0,MATCH("brand_id",in_paid_brands!$A$1:$BZ$1,0)),$A13),0)&gt;0)),"",IF(IFERROR(IF(INDEX(in_paid_brands!$A$2:$BZ$81,MATCH($A13,INDEX(in_paid_brands!$A$2:$BZ$81,0,MATCH("brand_id",in_paid_brands!$A$1:$BZ$1,0)),0),MATCH("campaign_id",in_paid_brands!$A$1:$BZ$1,0))="","",INDEX(in_paid_brands!$A$2:$BZ$81,MATCH($A13,INDEX(in_paid_brands!$A$2:$BZ$81,0,MATCH("brand_id",in_paid_brands!$A$1:$BZ$1,0)),0),MATCH("campaign_id",in_paid_brands!$A$1:$BZ$1,0))),"")="","E's paid_brands row has no campaign_id: type the CMP-### there; ",IF(OR(ABS(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gt;0.005,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payment 1 differs: E "&amp;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amp;" on "&amp;IF(N(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0,"none",TEXT(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yyyy-mm-dd"))&amp;"; ","")&amp;IF(OR(ABS(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gt;0.005,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payment 2 differs: E "&amp;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amp;" on "&amp;IF(N(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0,"none",TEXT(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yyyy-mm-dd"))&amp;"; ","")))</f>
        <v/>
      </c>
    </row>
    <row r="14">
      <c r="B14" s="30" t="n"/>
      <c r="H14" s="9" t="n"/>
      <c r="K14" s="25">
        <f>IF($B14="","",IF(COUNTIF(brand_intake!$A$2:$A$401,$B14)&gt;0,IFERROR(IF(INDEX(brand_intake!$C$2:$C$401,MATCH($B14,brand_intake!$A$2:$A$401,0))="","",INDEX(brand_intake!$C$2:$C$401,MATCH($B14,brand_intake!$A$2:$A$401,0))),""),IFERROR(IF(INDEX(brand_intake_founder!$C$2:$C$81,MATCH($B14,brand_intake_founder!$A$2:$A$81,0))="","",INDEX(brand_intake_founder!$C$2:$C$81,MATCH($B14,brand_intake_founder!$A$2:$A$81,0))),"")))</f>
        <v/>
      </c>
      <c r="L14" s="25">
        <f>IF($B14="","",IF(COUNTIF(brand_intake!$A$2:$A$401,$B14)&gt;0,IFERROR(IF(INDEX(brand_intake!$D$2:$D$401,MATCH($B14,brand_intake!$A$2:$A$401,0))="","",INDEX(brand_intake!$D$2:$D$401,MATCH($B14,brand_intake!$A$2:$A$401,0))),""),IFERROR(IF(INDEX(brand_intake_founder!$D$2:$D$81,MATCH($B14,brand_intake_founder!$A$2:$A$81,0))="","",INDEX(brand_intake_founder!$D$2:$D$81,MATCH($B14,brand_intake_founder!$A$2:$A$81,0))),"")))</f>
        <v/>
      </c>
      <c r="M14" s="25">
        <f>IF($B14="","",IF(COUNTIF(brand_intake!$A$2:$A$401,$B14)&gt;0,IFERROR(IF(INDEX(brand_intake!$J$2:$J$401,MATCH($B14,brand_intake!$A$2:$A$401,0))="","",INDEX(brand_intake!$J$2:$J$401,MATCH($B14,brand_intake!$A$2:$A$401,0))),""),IFERROR(IF(INDEX(brand_intake_founder!$J$2:$J$81,MATCH($B14,brand_intake_founder!$A$2:$A$81,0))="","",INDEX(brand_intake_founder!$J$2:$J$81,MATCH($B14,brand_intake_founder!$A$2:$A$81,0))),"")))</f>
        <v/>
      </c>
      <c r="N14" s="25">
        <f>IF($B14="","",IF(COUNTIF(brand_intake!$A$2:$A$401,$B14)&gt;0,IFERROR(IF(INDEX(brand_intake!$I$2:$I$401,MATCH($B14,brand_intake!$A$2:$A$401,0))="","",INDEX(brand_intake!$I$2:$I$401,MATCH($B14,brand_intake!$A$2:$A$401,0))),""),IFERROR(IF(INDEX(brand_intake_founder!$I$2:$I$81,MATCH($B14,brand_intake_founder!$A$2:$A$81,0))="","",INDEX(brand_intake_founder!$I$2:$I$81,MATCH($B14,brand_intake_founder!$A$2:$A$81,0))),"")))</f>
        <v/>
      </c>
      <c r="O14" s="25">
        <f>IF($B14="","",IF(COUNTIF(brand_intake!$A$2:$A$401,$B14)&gt;0,IFERROR(IF(INDEX(brand_intake!$K$2:$K$401,MATCH($B14,brand_intake!$A$2:$A$401,0))="","",INDEX(brand_intake!$K$2:$K$401,MATCH($B14,brand_intake!$A$2:$A$401,0))),""),IFERROR(IF(INDEX(brand_intake_founder!$K$2:$K$81,MATCH($B14,brand_intake_founder!$A$2:$A$81,0))="","",INDEX(brand_intake_founder!$K$2:$K$81,MATCH($B14,brand_intake_founder!$A$2:$A$81,0))),"")))</f>
        <v/>
      </c>
      <c r="P14" s="25">
        <f>IF($B14="","",IF(COUNTIF(brand_intake!$A$2:$A$401,$B14)&gt;0,IFERROR(IF(INDEX(brand_intake!$E$2:$E$401,MATCH($B14,brand_intake!$A$2:$A$401,0))="","",INDEX(brand_intake!$E$2:$E$401,MATCH($B14,brand_intake!$A$2:$A$401,0))),""),IFERROR(IF(INDEX(brand_intake_founder!$E$2:$E$81,MATCH($B14,brand_intake_founder!$A$2:$A$81,0))="","",INDEX(brand_intake_founder!$E$2:$E$81,MATCH($B14,brand_intake_founder!$A$2:$A$81,0))),"")))</f>
        <v/>
      </c>
      <c r="Q14" s="25">
        <f>IF($B14="","",IF(COUNTIF(brand_intake!$A$2:$A$401,$B14)&gt;0,IFERROR(IF(INDEX(brand_intake!$F$2:$F$401,MATCH($B14,brand_intake!$A$2:$A$401,0))="","",INDEX(brand_intake!$F$2:$F$401,MATCH($B14,brand_intake!$A$2:$A$401,0))),""),IFERROR(IF(INDEX(brand_intake_founder!$F$2:$F$81,MATCH($B14,brand_intake_founder!$A$2:$A$81,0))="","",INDEX(brand_intake_founder!$F$2:$F$81,MATCH($B14,brand_intake_founder!$A$2:$A$81,0))),"")))</f>
        <v/>
      </c>
      <c r="R14" s="25">
        <f>IF($B14="","",IF(COUNTIF(brand_intake!$A$2:$A$401,$B14)&gt;0,IFERROR(IF(INDEX(brand_intake!$G$2:$G$401,MATCH($B14,brand_intake!$A$2:$A$401,0))="","",INDEX(brand_intake!$G$2:$G$401,MATCH($B14,brand_intake!$A$2:$A$401,0))),""),IFERROR(IF(INDEX(brand_intake_founder!$G$2:$G$81,MATCH($B14,brand_intake_founder!$A$2:$A$81,0))="","",INDEX(brand_intake_founder!$G$2:$G$81,MATCH($B14,brand_intake_founder!$A$2:$A$81,0))),"")))</f>
        <v/>
      </c>
      <c r="S14" s="25">
        <f>IF($B14="","",IF(COUNTIF(brand_intake!$A$2:$A$401,$B14)&gt;0,IFERROR(IF(INDEX(brand_intake!$H$2:$H$401,MATCH($B14,brand_intake!$A$2:$A$401,0))="","",INDEX(brand_intake!$H$2:$H$401,MATCH($B14,brand_intake!$A$2:$A$401,0))),""),IFERROR(IF(INDEX(brand_intake_founder!$H$2:$H$81,MATCH($B14,brand_intake_founder!$A$2:$A$81,0))="","",INDEX(brand_intake_founder!$H$2:$H$81,MATCH($B14,brand_intake_founder!$A$2:$A$81,0))),"")))</f>
        <v/>
      </c>
      <c r="T14" s="25">
        <f>IF($B14="","",IF(COUNTIF(brand_intake!$A$2:$A$401,$B14)&gt;0,IFERROR(IF(INDEX(brand_intake!$M$2:$M$401,MATCH($B14,brand_intake!$A$2:$A$401,0))="","",INDEX(brand_intake!$M$2:$M$401,MATCH($B14,brand_intake!$A$2:$A$401,0))),""),IFERROR(IF(INDEX(brand_intake_founder!$M$2:$M$81,MATCH($B14,brand_intake_founder!$A$2:$A$81,0))="","",INDEX(brand_intake_founder!$M$2:$M$81,MATCH($B14,brand_intake_founder!$A$2:$A$81,0))),"")))</f>
        <v/>
      </c>
      <c r="U14" s="25">
        <f>IF($B14="","",IF(COUNTIF(brand_intake!$A$2:$A$401,$B14)&gt;0,IFERROR(IF(INDEX(brand_intake!$L$2:$L$401,MATCH($B14,brand_intake!$A$2:$A$401,0))="","",INDEX(brand_intake!$L$2:$L$401,MATCH($B14,brand_intake!$A$2:$A$401,0))),""),IFERROR(IF(INDEX(brand_intake_founder!$L$2:$L$81,MATCH($B14,brand_intake_founder!$A$2:$A$81,0))="","",INDEX(brand_intake_founder!$L$2:$L$81,MATCH($B14,brand_intake_founder!$A$2:$A$81,0))),"")))</f>
        <v/>
      </c>
      <c r="V14" s="25">
        <f>IF($B14="","",IF(COUNTIF(brand_intake!$A$2:$A$401,$B14)&gt;0,IFERROR(IF(INDEX(brand_intake!$N$2:$N$401,MATCH($B14,brand_intake!$A$2:$A$401,0))="","",INDEX(brand_intake!$N$2:$N$401,MATCH($B14,brand_intake!$A$2:$A$401,0))),""),IFERROR(IF(INDEX(brand_intake_founder!$N$2:$N$81,MATCH($B14,brand_intake_founder!$A$2:$A$81,0))="","",INDEX(brand_intake_founder!$N$2:$N$81,MATCH($B14,brand_intake_founder!$A$2:$A$81,0))),"")))</f>
        <v/>
      </c>
      <c r="W14" s="25">
        <f>IF($B14="","",IF(COUNTIF(brand_intake!$A$2:$A$401,$B14)&gt;0,IFERROR(IF(INDEX(brand_intake!$Q$2:$Q$401,MATCH($B14,brand_intake!$A$2:$A$401,0))="","",INDEX(brand_intake!$Q$2:$Q$401,MATCH($B14,brand_intake!$A$2:$A$401,0))),""),IFERROR(IF(INDEX(brand_intake_founder!$Q$2:$Q$81,MATCH($B14,brand_intake_founder!$A$2:$A$81,0))="","",INDEX(brand_intake_founder!$Q$2:$Q$81,MATCH($B14,brand_intake_founder!$A$2:$A$81,0))),"")))</f>
        <v/>
      </c>
      <c r="X14" s="25">
        <f>IF($B14="","",IF(COUNTIF(brand_intake!$A$2:$A$401,$B14)&gt;0,IFERROR(IF(INDEX(brand_intake!$R$2:$R$401,MATCH($B14,brand_intake!$A$2:$A$401,0))="","",INDEX(brand_intake!$R$2:$R$401,MATCH($B14,brand_intake!$A$2:$A$401,0))),""),IFERROR(IF(INDEX(brand_intake_founder!$R$2:$R$81,MATCH($B14,brand_intake_founder!$A$2:$A$81,0))="","",INDEX(brand_intake_founder!$R$2:$R$81,MATCH($B14,brand_intake_founder!$A$2:$A$81,0))),"")))</f>
        <v/>
      </c>
      <c r="Y14" s="25">
        <f>IF($B14="","",IF(COUNTIF(brand_intake!$A$2:$A$401,$B14)&gt;0,IFERROR(IF(INDEX(brand_intake!$S$2:$S$401,MATCH($B14,brand_intake!$A$2:$A$401,0))="","",INDEX(brand_intake!$S$2:$S$401,MATCH($B14,brand_intake!$A$2:$A$401,0))),""),IFERROR(IF(INDEX(brand_intake_founder!$S$2:$S$81,MATCH($B14,brand_intake_founder!$A$2:$A$81,0))="","",INDEX(brand_intake_founder!$S$2:$S$81,MATCH($B14,brand_intake_founder!$A$2:$A$81,0))),"")))</f>
        <v/>
      </c>
      <c r="Z14" s="25">
        <f>IF($B14="","",IF(COUNTIF(brand_intake!$A$2:$A$401,$B14)&gt;0,IFERROR(IF(INDEX(brand_intake!$T$2:$T$401,MATCH($B14,brand_intake!$A$2:$A$401,0))="","",INDEX(brand_intake!$T$2:$T$401,MATCH($B14,brand_intake!$A$2:$A$401,0))),""),IFERROR(IF(INDEX(brand_intake_founder!$T$2:$T$81,MATCH($B14,brand_intake_founder!$A$2:$A$81,0))="","",INDEX(brand_intake_founder!$T$2:$T$81,MATCH($B14,brand_intake_founder!$A$2:$A$81,0))),"")))</f>
        <v/>
      </c>
      <c r="AA14" s="25">
        <f>IF($B14="","",IF(COUNTIF(brand_intake!$A$2:$A$401,$B14)&gt;0,IFERROR(IF(INDEX(brand_intake!$U$2:$U$401,MATCH($B14,brand_intake!$A$2:$A$401,0))="","",INDEX(brand_intake!$U$2:$U$401,MATCH($B14,brand_intake!$A$2:$A$401,0))),""),IFERROR(IF(INDEX(brand_intake_founder!$U$2:$U$81,MATCH($B14,brand_intake_founder!$A$2:$A$81,0))="","",INDEX(brand_intake_founder!$U$2:$U$81,MATCH($B14,brand_intake_founder!$A$2:$A$81,0))),"")))</f>
        <v/>
      </c>
      <c r="AB14" s="25">
        <f>IF($B14="","",IF(COUNTIF(brand_intake!$A$2:$A$401,$B14)&gt;0,IFERROR(IF(INDEX(brand_intake!$V$2:$V$401,MATCH($B14,brand_intake!$A$2:$A$401,0))="","",INDEX(brand_intake!$V$2:$V$401,MATCH($B14,brand_intake!$A$2:$A$401,0))),""),IFERROR(IF(INDEX(brand_intake_founder!$V$2:$V$81,MATCH($B14,brand_intake_founder!$A$2:$A$81,0))="","",INDEX(brand_intake_founder!$V$2:$V$81,MATCH($B14,brand_intake_founder!$A$2:$A$81,0))),"")))</f>
        <v/>
      </c>
      <c r="AC14" s="25">
        <f>IF($B14="","",IF(COUNTIF(brand_intake!$A$2:$A$401,$B14)&gt;0,IFERROR(IF(INDEX(brand_intake!$W$2:$W$401,MATCH($B14,brand_intake!$A$2:$A$401,0))="","",INDEX(brand_intake!$W$2:$W$401,MATCH($B14,brand_intake!$A$2:$A$401,0))),""),IFERROR(IF(INDEX(brand_intake_founder!$W$2:$W$81,MATCH($B14,brand_intake_founder!$A$2:$A$81,0))="","",INDEX(brand_intake_founder!$W$2:$W$81,MATCH($B14,brand_intake_founder!$A$2:$A$81,0))),"")))</f>
        <v/>
      </c>
      <c r="AD14" s="25">
        <f>IF($B14="","",IF(COUNTIF(brand_intake!$A$2:$A$401,$B14)&gt;0,IFERROR(IF(INDEX(brand_intake!$X$2:$X$401,MATCH($B14,brand_intake!$A$2:$A$401,0))="","",INDEX(brand_intake!$X$2:$X$401,MATCH($B14,brand_intake!$A$2:$A$401,0))),""),IFERROR(IF(INDEX(brand_intake_founder!$X$2:$X$81,MATCH($B14,brand_intake_founder!$A$2:$A$81,0))="","",INDEX(brand_intake_founder!$X$2:$X$81,MATCH($B14,brand_intake_founder!$A$2:$A$81,0))),"")))</f>
        <v/>
      </c>
      <c r="AE14" s="25">
        <f>IF($B14="","",IF(COUNTIF(brand_intake!$A$2:$A$401,$B14)&gt;0,IFERROR(IF(INDEX(brand_intake!$Y$2:$Y$401,MATCH($B14,brand_intake!$A$2:$A$401,0))="","",INDEX(brand_intake!$Y$2:$Y$401,MATCH($B14,brand_intake!$A$2:$A$401,0))),""),IFERROR(IF(INDEX(brand_intake_founder!$Y$2:$Y$81,MATCH($B14,brand_intake_founder!$A$2:$A$81,0))="","",INDEX(brand_intake_founder!$Y$2:$Y$81,MATCH($B14,brand_intake_founder!$A$2:$A$81,0))),"")))</f>
        <v/>
      </c>
      <c r="AF14" s="25">
        <f>IF($B14="","",($X14="Y")+($Y14="Y")+($Z14="Y")+($AA14="Y")+($AB14="Y")+($AC14="Y")+(LEN($AD14)&gt;0))</f>
        <v/>
      </c>
      <c r="AG14" s="25">
        <f>IF($B14="","",IF(AND($AF14=7,$AE14="Y"),"Y (as answered)","N: check "&amp;IF($X14&lt;&gt;"Y","1 ","")&amp;IF($Y14&lt;&gt;"Y","2 ","")&amp;IF($Z14&lt;&gt;"Y","3 ","")&amp;IF($AA14&lt;&gt;"Y","4 ","")&amp;IF($AB14&lt;&gt;"Y","5 ","")&amp;IF($AC14&lt;&gt;"Y","6 ","")&amp;IF(LEN($AD14)=0,"7 ","")&amp;IF($AE14&lt;&gt;"Y","excluded? ","")))</f>
        <v/>
      </c>
      <c r="AH14" s="25">
        <f>IF($A14="","",COUNTIF(campaigns!$C$2:$C$51,$A14))</f>
        <v/>
      </c>
      <c r="AI14" s="25">
        <f>IF(OR($A14="",SUMIFS(campaigns!$H$2:$H$51,campaigns!$C$2:$C$51,$A14,campaigns!$D$2:$D$51,"founding",campaigns!$E$2:$E$51,"&lt;&gt;Y")=0),"",COUNTIFS(campaigns!$D$2:$D$51,"founding",campaigns!$E$2:$E$51,"&lt;&gt;Y",campaigns!$H$2:$H$51,"&lt;="&amp;SUMIFS(campaigns!$H$2:$H$51,campaigns!$C$2:$C$51,$A14,campaigns!$D$2:$D$51,"founding",campaigns!$E$2:$E$51,"&lt;&gt;Y"),campaigns!$H$2:$H$51,"&gt;0"))</f>
        <v/>
      </c>
      <c r="AJ14" s="25">
        <f>IF(OR($A14="",NOT(IFERROR(COUNTIF(INDEX(in_paid_brands!$A$2:$BZ$81,0,MATCH("brand_id",in_paid_brands!$A$1:$BZ$1,0)),$A14),0)&gt;0)),"",IF(IFERROR(IF(INDEX(in_paid_brands!$A$2:$BZ$81,MATCH($A14,INDEX(in_paid_brands!$A$2:$BZ$81,0,MATCH("brand_id",in_paid_brands!$A$1:$BZ$1,0)),0),MATCH("campaign_id",in_paid_brands!$A$1:$BZ$1,0))="","",INDEX(in_paid_brands!$A$2:$BZ$81,MATCH($A14,INDEX(in_paid_brands!$A$2:$BZ$81,0,MATCH("brand_id",in_paid_brands!$A$1:$BZ$1,0)),0),MATCH("campaign_id",in_paid_brands!$A$1:$BZ$1,0))),"")="","E's paid_brands row has no campaign_id: type the CMP-### there; ",IF(OR(ABS(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gt;0.005,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payment 1 differs: E "&amp;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amp;" on "&amp;IF(N(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0,"none",TEXT(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yyyy-mm-dd"))&amp;"; ","")&amp;IF(OR(ABS(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gt;0.005,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payment 2 differs: E "&amp;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amp;" on "&amp;IF(N(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0,"none",TEXT(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yyyy-mm-dd"))&amp;"; ","")))</f>
        <v/>
      </c>
    </row>
    <row r="15">
      <c r="B15" s="30" t="n"/>
      <c r="H15" s="9" t="n"/>
      <c r="K15" s="25">
        <f>IF($B15="","",IF(COUNTIF(brand_intake!$A$2:$A$401,$B15)&gt;0,IFERROR(IF(INDEX(brand_intake!$C$2:$C$401,MATCH($B15,brand_intake!$A$2:$A$401,0))="","",INDEX(brand_intake!$C$2:$C$401,MATCH($B15,brand_intake!$A$2:$A$401,0))),""),IFERROR(IF(INDEX(brand_intake_founder!$C$2:$C$81,MATCH($B15,brand_intake_founder!$A$2:$A$81,0))="","",INDEX(brand_intake_founder!$C$2:$C$81,MATCH($B15,brand_intake_founder!$A$2:$A$81,0))),"")))</f>
        <v/>
      </c>
      <c r="L15" s="25">
        <f>IF($B15="","",IF(COUNTIF(brand_intake!$A$2:$A$401,$B15)&gt;0,IFERROR(IF(INDEX(brand_intake!$D$2:$D$401,MATCH($B15,brand_intake!$A$2:$A$401,0))="","",INDEX(brand_intake!$D$2:$D$401,MATCH($B15,brand_intake!$A$2:$A$401,0))),""),IFERROR(IF(INDEX(brand_intake_founder!$D$2:$D$81,MATCH($B15,brand_intake_founder!$A$2:$A$81,0))="","",INDEX(brand_intake_founder!$D$2:$D$81,MATCH($B15,brand_intake_founder!$A$2:$A$81,0))),"")))</f>
        <v/>
      </c>
      <c r="M15" s="25">
        <f>IF($B15="","",IF(COUNTIF(brand_intake!$A$2:$A$401,$B15)&gt;0,IFERROR(IF(INDEX(brand_intake!$J$2:$J$401,MATCH($B15,brand_intake!$A$2:$A$401,0))="","",INDEX(brand_intake!$J$2:$J$401,MATCH($B15,brand_intake!$A$2:$A$401,0))),""),IFERROR(IF(INDEX(brand_intake_founder!$J$2:$J$81,MATCH($B15,brand_intake_founder!$A$2:$A$81,0))="","",INDEX(brand_intake_founder!$J$2:$J$81,MATCH($B15,brand_intake_founder!$A$2:$A$81,0))),"")))</f>
        <v/>
      </c>
      <c r="N15" s="25">
        <f>IF($B15="","",IF(COUNTIF(brand_intake!$A$2:$A$401,$B15)&gt;0,IFERROR(IF(INDEX(brand_intake!$I$2:$I$401,MATCH($B15,brand_intake!$A$2:$A$401,0))="","",INDEX(brand_intake!$I$2:$I$401,MATCH($B15,brand_intake!$A$2:$A$401,0))),""),IFERROR(IF(INDEX(brand_intake_founder!$I$2:$I$81,MATCH($B15,brand_intake_founder!$A$2:$A$81,0))="","",INDEX(brand_intake_founder!$I$2:$I$81,MATCH($B15,brand_intake_founder!$A$2:$A$81,0))),"")))</f>
        <v/>
      </c>
      <c r="O15" s="25">
        <f>IF($B15="","",IF(COUNTIF(brand_intake!$A$2:$A$401,$B15)&gt;0,IFERROR(IF(INDEX(brand_intake!$K$2:$K$401,MATCH($B15,brand_intake!$A$2:$A$401,0))="","",INDEX(brand_intake!$K$2:$K$401,MATCH($B15,brand_intake!$A$2:$A$401,0))),""),IFERROR(IF(INDEX(brand_intake_founder!$K$2:$K$81,MATCH($B15,brand_intake_founder!$A$2:$A$81,0))="","",INDEX(brand_intake_founder!$K$2:$K$81,MATCH($B15,brand_intake_founder!$A$2:$A$81,0))),"")))</f>
        <v/>
      </c>
      <c r="P15" s="25">
        <f>IF($B15="","",IF(COUNTIF(brand_intake!$A$2:$A$401,$B15)&gt;0,IFERROR(IF(INDEX(brand_intake!$E$2:$E$401,MATCH($B15,brand_intake!$A$2:$A$401,0))="","",INDEX(brand_intake!$E$2:$E$401,MATCH($B15,brand_intake!$A$2:$A$401,0))),""),IFERROR(IF(INDEX(brand_intake_founder!$E$2:$E$81,MATCH($B15,brand_intake_founder!$A$2:$A$81,0))="","",INDEX(brand_intake_founder!$E$2:$E$81,MATCH($B15,brand_intake_founder!$A$2:$A$81,0))),"")))</f>
        <v/>
      </c>
      <c r="Q15" s="25">
        <f>IF($B15="","",IF(COUNTIF(brand_intake!$A$2:$A$401,$B15)&gt;0,IFERROR(IF(INDEX(brand_intake!$F$2:$F$401,MATCH($B15,brand_intake!$A$2:$A$401,0))="","",INDEX(brand_intake!$F$2:$F$401,MATCH($B15,brand_intake!$A$2:$A$401,0))),""),IFERROR(IF(INDEX(brand_intake_founder!$F$2:$F$81,MATCH($B15,brand_intake_founder!$A$2:$A$81,0))="","",INDEX(brand_intake_founder!$F$2:$F$81,MATCH($B15,brand_intake_founder!$A$2:$A$81,0))),"")))</f>
        <v/>
      </c>
      <c r="R15" s="25">
        <f>IF($B15="","",IF(COUNTIF(brand_intake!$A$2:$A$401,$B15)&gt;0,IFERROR(IF(INDEX(brand_intake!$G$2:$G$401,MATCH($B15,brand_intake!$A$2:$A$401,0))="","",INDEX(brand_intake!$G$2:$G$401,MATCH($B15,brand_intake!$A$2:$A$401,0))),""),IFERROR(IF(INDEX(brand_intake_founder!$G$2:$G$81,MATCH($B15,brand_intake_founder!$A$2:$A$81,0))="","",INDEX(brand_intake_founder!$G$2:$G$81,MATCH($B15,brand_intake_founder!$A$2:$A$81,0))),"")))</f>
        <v/>
      </c>
      <c r="S15" s="25">
        <f>IF($B15="","",IF(COUNTIF(brand_intake!$A$2:$A$401,$B15)&gt;0,IFERROR(IF(INDEX(brand_intake!$H$2:$H$401,MATCH($B15,brand_intake!$A$2:$A$401,0))="","",INDEX(brand_intake!$H$2:$H$401,MATCH($B15,brand_intake!$A$2:$A$401,0))),""),IFERROR(IF(INDEX(brand_intake_founder!$H$2:$H$81,MATCH($B15,brand_intake_founder!$A$2:$A$81,0))="","",INDEX(brand_intake_founder!$H$2:$H$81,MATCH($B15,brand_intake_founder!$A$2:$A$81,0))),"")))</f>
        <v/>
      </c>
      <c r="T15" s="25">
        <f>IF($B15="","",IF(COUNTIF(brand_intake!$A$2:$A$401,$B15)&gt;0,IFERROR(IF(INDEX(brand_intake!$M$2:$M$401,MATCH($B15,brand_intake!$A$2:$A$401,0))="","",INDEX(brand_intake!$M$2:$M$401,MATCH($B15,brand_intake!$A$2:$A$401,0))),""),IFERROR(IF(INDEX(brand_intake_founder!$M$2:$M$81,MATCH($B15,brand_intake_founder!$A$2:$A$81,0))="","",INDEX(brand_intake_founder!$M$2:$M$81,MATCH($B15,brand_intake_founder!$A$2:$A$81,0))),"")))</f>
        <v/>
      </c>
      <c r="U15" s="25">
        <f>IF($B15="","",IF(COUNTIF(brand_intake!$A$2:$A$401,$B15)&gt;0,IFERROR(IF(INDEX(brand_intake!$L$2:$L$401,MATCH($B15,brand_intake!$A$2:$A$401,0))="","",INDEX(brand_intake!$L$2:$L$401,MATCH($B15,brand_intake!$A$2:$A$401,0))),""),IFERROR(IF(INDEX(brand_intake_founder!$L$2:$L$81,MATCH($B15,brand_intake_founder!$A$2:$A$81,0))="","",INDEX(brand_intake_founder!$L$2:$L$81,MATCH($B15,brand_intake_founder!$A$2:$A$81,0))),"")))</f>
        <v/>
      </c>
      <c r="V15" s="25">
        <f>IF($B15="","",IF(COUNTIF(brand_intake!$A$2:$A$401,$B15)&gt;0,IFERROR(IF(INDEX(brand_intake!$N$2:$N$401,MATCH($B15,brand_intake!$A$2:$A$401,0))="","",INDEX(brand_intake!$N$2:$N$401,MATCH($B15,brand_intake!$A$2:$A$401,0))),""),IFERROR(IF(INDEX(brand_intake_founder!$N$2:$N$81,MATCH($B15,brand_intake_founder!$A$2:$A$81,0))="","",INDEX(brand_intake_founder!$N$2:$N$81,MATCH($B15,brand_intake_founder!$A$2:$A$81,0))),"")))</f>
        <v/>
      </c>
      <c r="W15" s="25">
        <f>IF($B15="","",IF(COUNTIF(brand_intake!$A$2:$A$401,$B15)&gt;0,IFERROR(IF(INDEX(brand_intake!$Q$2:$Q$401,MATCH($B15,brand_intake!$A$2:$A$401,0))="","",INDEX(brand_intake!$Q$2:$Q$401,MATCH($B15,brand_intake!$A$2:$A$401,0))),""),IFERROR(IF(INDEX(brand_intake_founder!$Q$2:$Q$81,MATCH($B15,brand_intake_founder!$A$2:$A$81,0))="","",INDEX(brand_intake_founder!$Q$2:$Q$81,MATCH($B15,brand_intake_founder!$A$2:$A$81,0))),"")))</f>
        <v/>
      </c>
      <c r="X15" s="25">
        <f>IF($B15="","",IF(COUNTIF(brand_intake!$A$2:$A$401,$B15)&gt;0,IFERROR(IF(INDEX(brand_intake!$R$2:$R$401,MATCH($B15,brand_intake!$A$2:$A$401,0))="","",INDEX(brand_intake!$R$2:$R$401,MATCH($B15,brand_intake!$A$2:$A$401,0))),""),IFERROR(IF(INDEX(brand_intake_founder!$R$2:$R$81,MATCH($B15,brand_intake_founder!$A$2:$A$81,0))="","",INDEX(brand_intake_founder!$R$2:$R$81,MATCH($B15,brand_intake_founder!$A$2:$A$81,0))),"")))</f>
        <v/>
      </c>
      <c r="Y15" s="25">
        <f>IF($B15="","",IF(COUNTIF(brand_intake!$A$2:$A$401,$B15)&gt;0,IFERROR(IF(INDEX(brand_intake!$S$2:$S$401,MATCH($B15,brand_intake!$A$2:$A$401,0))="","",INDEX(brand_intake!$S$2:$S$401,MATCH($B15,brand_intake!$A$2:$A$401,0))),""),IFERROR(IF(INDEX(brand_intake_founder!$S$2:$S$81,MATCH($B15,brand_intake_founder!$A$2:$A$81,0))="","",INDEX(brand_intake_founder!$S$2:$S$81,MATCH($B15,brand_intake_founder!$A$2:$A$81,0))),"")))</f>
        <v/>
      </c>
      <c r="Z15" s="25">
        <f>IF($B15="","",IF(COUNTIF(brand_intake!$A$2:$A$401,$B15)&gt;0,IFERROR(IF(INDEX(brand_intake!$T$2:$T$401,MATCH($B15,brand_intake!$A$2:$A$401,0))="","",INDEX(brand_intake!$T$2:$T$401,MATCH($B15,brand_intake!$A$2:$A$401,0))),""),IFERROR(IF(INDEX(brand_intake_founder!$T$2:$T$81,MATCH($B15,brand_intake_founder!$A$2:$A$81,0))="","",INDEX(brand_intake_founder!$T$2:$T$81,MATCH($B15,brand_intake_founder!$A$2:$A$81,0))),"")))</f>
        <v/>
      </c>
      <c r="AA15" s="25">
        <f>IF($B15="","",IF(COUNTIF(brand_intake!$A$2:$A$401,$B15)&gt;0,IFERROR(IF(INDEX(brand_intake!$U$2:$U$401,MATCH($B15,brand_intake!$A$2:$A$401,0))="","",INDEX(brand_intake!$U$2:$U$401,MATCH($B15,brand_intake!$A$2:$A$401,0))),""),IFERROR(IF(INDEX(brand_intake_founder!$U$2:$U$81,MATCH($B15,brand_intake_founder!$A$2:$A$81,0))="","",INDEX(brand_intake_founder!$U$2:$U$81,MATCH($B15,brand_intake_founder!$A$2:$A$81,0))),"")))</f>
        <v/>
      </c>
      <c r="AB15" s="25">
        <f>IF($B15="","",IF(COUNTIF(brand_intake!$A$2:$A$401,$B15)&gt;0,IFERROR(IF(INDEX(brand_intake!$V$2:$V$401,MATCH($B15,brand_intake!$A$2:$A$401,0))="","",INDEX(brand_intake!$V$2:$V$401,MATCH($B15,brand_intake!$A$2:$A$401,0))),""),IFERROR(IF(INDEX(brand_intake_founder!$V$2:$V$81,MATCH($B15,brand_intake_founder!$A$2:$A$81,0))="","",INDEX(brand_intake_founder!$V$2:$V$81,MATCH($B15,brand_intake_founder!$A$2:$A$81,0))),"")))</f>
        <v/>
      </c>
      <c r="AC15" s="25">
        <f>IF($B15="","",IF(COUNTIF(brand_intake!$A$2:$A$401,$B15)&gt;0,IFERROR(IF(INDEX(brand_intake!$W$2:$W$401,MATCH($B15,brand_intake!$A$2:$A$401,0))="","",INDEX(brand_intake!$W$2:$W$401,MATCH($B15,brand_intake!$A$2:$A$401,0))),""),IFERROR(IF(INDEX(brand_intake_founder!$W$2:$W$81,MATCH($B15,brand_intake_founder!$A$2:$A$81,0))="","",INDEX(brand_intake_founder!$W$2:$W$81,MATCH($B15,brand_intake_founder!$A$2:$A$81,0))),"")))</f>
        <v/>
      </c>
      <c r="AD15" s="25">
        <f>IF($B15="","",IF(COUNTIF(brand_intake!$A$2:$A$401,$B15)&gt;0,IFERROR(IF(INDEX(brand_intake!$X$2:$X$401,MATCH($B15,brand_intake!$A$2:$A$401,0))="","",INDEX(brand_intake!$X$2:$X$401,MATCH($B15,brand_intake!$A$2:$A$401,0))),""),IFERROR(IF(INDEX(brand_intake_founder!$X$2:$X$81,MATCH($B15,brand_intake_founder!$A$2:$A$81,0))="","",INDEX(brand_intake_founder!$X$2:$X$81,MATCH($B15,brand_intake_founder!$A$2:$A$81,0))),"")))</f>
        <v/>
      </c>
      <c r="AE15" s="25">
        <f>IF($B15="","",IF(COUNTIF(brand_intake!$A$2:$A$401,$B15)&gt;0,IFERROR(IF(INDEX(brand_intake!$Y$2:$Y$401,MATCH($B15,brand_intake!$A$2:$A$401,0))="","",INDEX(brand_intake!$Y$2:$Y$401,MATCH($B15,brand_intake!$A$2:$A$401,0))),""),IFERROR(IF(INDEX(brand_intake_founder!$Y$2:$Y$81,MATCH($B15,brand_intake_founder!$A$2:$A$81,0))="","",INDEX(brand_intake_founder!$Y$2:$Y$81,MATCH($B15,brand_intake_founder!$A$2:$A$81,0))),"")))</f>
        <v/>
      </c>
      <c r="AF15" s="25">
        <f>IF($B15="","",($X15="Y")+($Y15="Y")+($Z15="Y")+($AA15="Y")+($AB15="Y")+($AC15="Y")+(LEN($AD15)&gt;0))</f>
        <v/>
      </c>
      <c r="AG15" s="25">
        <f>IF($B15="","",IF(AND($AF15=7,$AE15="Y"),"Y (as answered)","N: check "&amp;IF($X15&lt;&gt;"Y","1 ","")&amp;IF($Y15&lt;&gt;"Y","2 ","")&amp;IF($Z15&lt;&gt;"Y","3 ","")&amp;IF($AA15&lt;&gt;"Y","4 ","")&amp;IF($AB15&lt;&gt;"Y","5 ","")&amp;IF($AC15&lt;&gt;"Y","6 ","")&amp;IF(LEN($AD15)=0,"7 ","")&amp;IF($AE15&lt;&gt;"Y","excluded? ","")))</f>
        <v/>
      </c>
      <c r="AH15" s="25">
        <f>IF($A15="","",COUNTIF(campaigns!$C$2:$C$51,$A15))</f>
        <v/>
      </c>
      <c r="AI15" s="25">
        <f>IF(OR($A15="",SUMIFS(campaigns!$H$2:$H$51,campaigns!$C$2:$C$51,$A15,campaigns!$D$2:$D$51,"founding",campaigns!$E$2:$E$51,"&lt;&gt;Y")=0),"",COUNTIFS(campaigns!$D$2:$D$51,"founding",campaigns!$E$2:$E$51,"&lt;&gt;Y",campaigns!$H$2:$H$51,"&lt;="&amp;SUMIFS(campaigns!$H$2:$H$51,campaigns!$C$2:$C$51,$A15,campaigns!$D$2:$D$51,"founding",campaigns!$E$2:$E$51,"&lt;&gt;Y"),campaigns!$H$2:$H$51,"&gt;0"))</f>
        <v/>
      </c>
      <c r="AJ15" s="25">
        <f>IF(OR($A15="",NOT(IFERROR(COUNTIF(INDEX(in_paid_brands!$A$2:$BZ$81,0,MATCH("brand_id",in_paid_brands!$A$1:$BZ$1,0)),$A15),0)&gt;0)),"",IF(IFERROR(IF(INDEX(in_paid_brands!$A$2:$BZ$81,MATCH($A15,INDEX(in_paid_brands!$A$2:$BZ$81,0,MATCH("brand_id",in_paid_brands!$A$1:$BZ$1,0)),0),MATCH("campaign_id",in_paid_brands!$A$1:$BZ$1,0))="","",INDEX(in_paid_brands!$A$2:$BZ$81,MATCH($A15,INDEX(in_paid_brands!$A$2:$BZ$81,0,MATCH("brand_id",in_paid_brands!$A$1:$BZ$1,0)),0),MATCH("campaign_id",in_paid_brands!$A$1:$BZ$1,0))),"")="","E's paid_brands row has no campaign_id: type the CMP-### there; ",IF(OR(ABS(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gt;0.005,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payment 1 differs: E "&amp;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amp;" on "&amp;IF(N(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0,"none",TEXT(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yyyy-mm-dd"))&amp;"; ","")&amp;IF(OR(ABS(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gt;0.005,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payment 2 differs: E "&amp;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amp;" on "&amp;IF(N(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0,"none",TEXT(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yyyy-mm-dd"))&amp;"; ","")))</f>
        <v/>
      </c>
    </row>
    <row r="16">
      <c r="B16" s="30" t="n"/>
      <c r="H16" s="9" t="n"/>
      <c r="K16" s="25">
        <f>IF($B16="","",IF(COUNTIF(brand_intake!$A$2:$A$401,$B16)&gt;0,IFERROR(IF(INDEX(brand_intake!$C$2:$C$401,MATCH($B16,brand_intake!$A$2:$A$401,0))="","",INDEX(brand_intake!$C$2:$C$401,MATCH($B16,brand_intake!$A$2:$A$401,0))),""),IFERROR(IF(INDEX(brand_intake_founder!$C$2:$C$81,MATCH($B16,brand_intake_founder!$A$2:$A$81,0))="","",INDEX(brand_intake_founder!$C$2:$C$81,MATCH($B16,brand_intake_founder!$A$2:$A$81,0))),"")))</f>
        <v/>
      </c>
      <c r="L16" s="25">
        <f>IF($B16="","",IF(COUNTIF(brand_intake!$A$2:$A$401,$B16)&gt;0,IFERROR(IF(INDEX(brand_intake!$D$2:$D$401,MATCH($B16,brand_intake!$A$2:$A$401,0))="","",INDEX(brand_intake!$D$2:$D$401,MATCH($B16,brand_intake!$A$2:$A$401,0))),""),IFERROR(IF(INDEX(brand_intake_founder!$D$2:$D$81,MATCH($B16,brand_intake_founder!$A$2:$A$81,0))="","",INDEX(brand_intake_founder!$D$2:$D$81,MATCH($B16,brand_intake_founder!$A$2:$A$81,0))),"")))</f>
        <v/>
      </c>
      <c r="M16" s="25">
        <f>IF($B16="","",IF(COUNTIF(brand_intake!$A$2:$A$401,$B16)&gt;0,IFERROR(IF(INDEX(brand_intake!$J$2:$J$401,MATCH($B16,brand_intake!$A$2:$A$401,0))="","",INDEX(brand_intake!$J$2:$J$401,MATCH($B16,brand_intake!$A$2:$A$401,0))),""),IFERROR(IF(INDEX(brand_intake_founder!$J$2:$J$81,MATCH($B16,brand_intake_founder!$A$2:$A$81,0))="","",INDEX(brand_intake_founder!$J$2:$J$81,MATCH($B16,brand_intake_founder!$A$2:$A$81,0))),"")))</f>
        <v/>
      </c>
      <c r="N16" s="25">
        <f>IF($B16="","",IF(COUNTIF(brand_intake!$A$2:$A$401,$B16)&gt;0,IFERROR(IF(INDEX(brand_intake!$I$2:$I$401,MATCH($B16,brand_intake!$A$2:$A$401,0))="","",INDEX(brand_intake!$I$2:$I$401,MATCH($B16,brand_intake!$A$2:$A$401,0))),""),IFERROR(IF(INDEX(brand_intake_founder!$I$2:$I$81,MATCH($B16,brand_intake_founder!$A$2:$A$81,0))="","",INDEX(brand_intake_founder!$I$2:$I$81,MATCH($B16,brand_intake_founder!$A$2:$A$81,0))),"")))</f>
        <v/>
      </c>
      <c r="O16" s="25">
        <f>IF($B16="","",IF(COUNTIF(brand_intake!$A$2:$A$401,$B16)&gt;0,IFERROR(IF(INDEX(brand_intake!$K$2:$K$401,MATCH($B16,brand_intake!$A$2:$A$401,0))="","",INDEX(brand_intake!$K$2:$K$401,MATCH($B16,brand_intake!$A$2:$A$401,0))),""),IFERROR(IF(INDEX(brand_intake_founder!$K$2:$K$81,MATCH($B16,brand_intake_founder!$A$2:$A$81,0))="","",INDEX(brand_intake_founder!$K$2:$K$81,MATCH($B16,brand_intake_founder!$A$2:$A$81,0))),"")))</f>
        <v/>
      </c>
      <c r="P16" s="25">
        <f>IF($B16="","",IF(COUNTIF(brand_intake!$A$2:$A$401,$B16)&gt;0,IFERROR(IF(INDEX(brand_intake!$E$2:$E$401,MATCH($B16,brand_intake!$A$2:$A$401,0))="","",INDEX(brand_intake!$E$2:$E$401,MATCH($B16,brand_intake!$A$2:$A$401,0))),""),IFERROR(IF(INDEX(brand_intake_founder!$E$2:$E$81,MATCH($B16,brand_intake_founder!$A$2:$A$81,0))="","",INDEX(brand_intake_founder!$E$2:$E$81,MATCH($B16,brand_intake_founder!$A$2:$A$81,0))),"")))</f>
        <v/>
      </c>
      <c r="Q16" s="25">
        <f>IF($B16="","",IF(COUNTIF(brand_intake!$A$2:$A$401,$B16)&gt;0,IFERROR(IF(INDEX(brand_intake!$F$2:$F$401,MATCH($B16,brand_intake!$A$2:$A$401,0))="","",INDEX(brand_intake!$F$2:$F$401,MATCH($B16,brand_intake!$A$2:$A$401,0))),""),IFERROR(IF(INDEX(brand_intake_founder!$F$2:$F$81,MATCH($B16,brand_intake_founder!$A$2:$A$81,0))="","",INDEX(brand_intake_founder!$F$2:$F$81,MATCH($B16,brand_intake_founder!$A$2:$A$81,0))),"")))</f>
        <v/>
      </c>
      <c r="R16" s="25">
        <f>IF($B16="","",IF(COUNTIF(brand_intake!$A$2:$A$401,$B16)&gt;0,IFERROR(IF(INDEX(brand_intake!$G$2:$G$401,MATCH($B16,brand_intake!$A$2:$A$401,0))="","",INDEX(brand_intake!$G$2:$G$401,MATCH($B16,brand_intake!$A$2:$A$401,0))),""),IFERROR(IF(INDEX(brand_intake_founder!$G$2:$G$81,MATCH($B16,brand_intake_founder!$A$2:$A$81,0))="","",INDEX(brand_intake_founder!$G$2:$G$81,MATCH($B16,brand_intake_founder!$A$2:$A$81,0))),"")))</f>
        <v/>
      </c>
      <c r="S16" s="25">
        <f>IF($B16="","",IF(COUNTIF(brand_intake!$A$2:$A$401,$B16)&gt;0,IFERROR(IF(INDEX(brand_intake!$H$2:$H$401,MATCH($B16,brand_intake!$A$2:$A$401,0))="","",INDEX(brand_intake!$H$2:$H$401,MATCH($B16,brand_intake!$A$2:$A$401,0))),""),IFERROR(IF(INDEX(brand_intake_founder!$H$2:$H$81,MATCH($B16,brand_intake_founder!$A$2:$A$81,0))="","",INDEX(brand_intake_founder!$H$2:$H$81,MATCH($B16,brand_intake_founder!$A$2:$A$81,0))),"")))</f>
        <v/>
      </c>
      <c r="T16" s="25">
        <f>IF($B16="","",IF(COUNTIF(brand_intake!$A$2:$A$401,$B16)&gt;0,IFERROR(IF(INDEX(brand_intake!$M$2:$M$401,MATCH($B16,brand_intake!$A$2:$A$401,0))="","",INDEX(brand_intake!$M$2:$M$401,MATCH($B16,brand_intake!$A$2:$A$401,0))),""),IFERROR(IF(INDEX(brand_intake_founder!$M$2:$M$81,MATCH($B16,brand_intake_founder!$A$2:$A$81,0))="","",INDEX(brand_intake_founder!$M$2:$M$81,MATCH($B16,brand_intake_founder!$A$2:$A$81,0))),"")))</f>
        <v/>
      </c>
      <c r="U16" s="25">
        <f>IF($B16="","",IF(COUNTIF(brand_intake!$A$2:$A$401,$B16)&gt;0,IFERROR(IF(INDEX(brand_intake!$L$2:$L$401,MATCH($B16,brand_intake!$A$2:$A$401,0))="","",INDEX(brand_intake!$L$2:$L$401,MATCH($B16,brand_intake!$A$2:$A$401,0))),""),IFERROR(IF(INDEX(brand_intake_founder!$L$2:$L$81,MATCH($B16,brand_intake_founder!$A$2:$A$81,0))="","",INDEX(brand_intake_founder!$L$2:$L$81,MATCH($B16,brand_intake_founder!$A$2:$A$81,0))),"")))</f>
        <v/>
      </c>
      <c r="V16" s="25">
        <f>IF($B16="","",IF(COUNTIF(brand_intake!$A$2:$A$401,$B16)&gt;0,IFERROR(IF(INDEX(brand_intake!$N$2:$N$401,MATCH($B16,brand_intake!$A$2:$A$401,0))="","",INDEX(brand_intake!$N$2:$N$401,MATCH($B16,brand_intake!$A$2:$A$401,0))),""),IFERROR(IF(INDEX(brand_intake_founder!$N$2:$N$81,MATCH($B16,brand_intake_founder!$A$2:$A$81,0))="","",INDEX(brand_intake_founder!$N$2:$N$81,MATCH($B16,brand_intake_founder!$A$2:$A$81,0))),"")))</f>
        <v/>
      </c>
      <c r="W16" s="25">
        <f>IF($B16="","",IF(COUNTIF(brand_intake!$A$2:$A$401,$B16)&gt;0,IFERROR(IF(INDEX(brand_intake!$Q$2:$Q$401,MATCH($B16,brand_intake!$A$2:$A$401,0))="","",INDEX(brand_intake!$Q$2:$Q$401,MATCH($B16,brand_intake!$A$2:$A$401,0))),""),IFERROR(IF(INDEX(brand_intake_founder!$Q$2:$Q$81,MATCH($B16,brand_intake_founder!$A$2:$A$81,0))="","",INDEX(brand_intake_founder!$Q$2:$Q$81,MATCH($B16,brand_intake_founder!$A$2:$A$81,0))),"")))</f>
        <v/>
      </c>
      <c r="X16" s="25">
        <f>IF($B16="","",IF(COUNTIF(brand_intake!$A$2:$A$401,$B16)&gt;0,IFERROR(IF(INDEX(brand_intake!$R$2:$R$401,MATCH($B16,brand_intake!$A$2:$A$401,0))="","",INDEX(brand_intake!$R$2:$R$401,MATCH($B16,brand_intake!$A$2:$A$401,0))),""),IFERROR(IF(INDEX(brand_intake_founder!$R$2:$R$81,MATCH($B16,brand_intake_founder!$A$2:$A$81,0))="","",INDEX(brand_intake_founder!$R$2:$R$81,MATCH($B16,brand_intake_founder!$A$2:$A$81,0))),"")))</f>
        <v/>
      </c>
      <c r="Y16" s="25">
        <f>IF($B16="","",IF(COUNTIF(brand_intake!$A$2:$A$401,$B16)&gt;0,IFERROR(IF(INDEX(brand_intake!$S$2:$S$401,MATCH($B16,brand_intake!$A$2:$A$401,0))="","",INDEX(brand_intake!$S$2:$S$401,MATCH($B16,brand_intake!$A$2:$A$401,0))),""),IFERROR(IF(INDEX(brand_intake_founder!$S$2:$S$81,MATCH($B16,brand_intake_founder!$A$2:$A$81,0))="","",INDEX(brand_intake_founder!$S$2:$S$81,MATCH($B16,brand_intake_founder!$A$2:$A$81,0))),"")))</f>
        <v/>
      </c>
      <c r="Z16" s="25">
        <f>IF($B16="","",IF(COUNTIF(brand_intake!$A$2:$A$401,$B16)&gt;0,IFERROR(IF(INDEX(brand_intake!$T$2:$T$401,MATCH($B16,brand_intake!$A$2:$A$401,0))="","",INDEX(brand_intake!$T$2:$T$401,MATCH($B16,brand_intake!$A$2:$A$401,0))),""),IFERROR(IF(INDEX(brand_intake_founder!$T$2:$T$81,MATCH($B16,brand_intake_founder!$A$2:$A$81,0))="","",INDEX(brand_intake_founder!$T$2:$T$81,MATCH($B16,brand_intake_founder!$A$2:$A$81,0))),"")))</f>
        <v/>
      </c>
      <c r="AA16" s="25">
        <f>IF($B16="","",IF(COUNTIF(brand_intake!$A$2:$A$401,$B16)&gt;0,IFERROR(IF(INDEX(brand_intake!$U$2:$U$401,MATCH($B16,brand_intake!$A$2:$A$401,0))="","",INDEX(brand_intake!$U$2:$U$401,MATCH($B16,brand_intake!$A$2:$A$401,0))),""),IFERROR(IF(INDEX(brand_intake_founder!$U$2:$U$81,MATCH($B16,brand_intake_founder!$A$2:$A$81,0))="","",INDEX(brand_intake_founder!$U$2:$U$81,MATCH($B16,brand_intake_founder!$A$2:$A$81,0))),"")))</f>
        <v/>
      </c>
      <c r="AB16" s="25">
        <f>IF($B16="","",IF(COUNTIF(brand_intake!$A$2:$A$401,$B16)&gt;0,IFERROR(IF(INDEX(brand_intake!$V$2:$V$401,MATCH($B16,brand_intake!$A$2:$A$401,0))="","",INDEX(brand_intake!$V$2:$V$401,MATCH($B16,brand_intake!$A$2:$A$401,0))),""),IFERROR(IF(INDEX(brand_intake_founder!$V$2:$V$81,MATCH($B16,brand_intake_founder!$A$2:$A$81,0))="","",INDEX(brand_intake_founder!$V$2:$V$81,MATCH($B16,brand_intake_founder!$A$2:$A$81,0))),"")))</f>
        <v/>
      </c>
      <c r="AC16" s="25">
        <f>IF($B16="","",IF(COUNTIF(brand_intake!$A$2:$A$401,$B16)&gt;0,IFERROR(IF(INDEX(brand_intake!$W$2:$W$401,MATCH($B16,brand_intake!$A$2:$A$401,0))="","",INDEX(brand_intake!$W$2:$W$401,MATCH($B16,brand_intake!$A$2:$A$401,0))),""),IFERROR(IF(INDEX(brand_intake_founder!$W$2:$W$81,MATCH($B16,brand_intake_founder!$A$2:$A$81,0))="","",INDEX(brand_intake_founder!$W$2:$W$81,MATCH($B16,brand_intake_founder!$A$2:$A$81,0))),"")))</f>
        <v/>
      </c>
      <c r="AD16" s="25">
        <f>IF($B16="","",IF(COUNTIF(brand_intake!$A$2:$A$401,$B16)&gt;0,IFERROR(IF(INDEX(brand_intake!$X$2:$X$401,MATCH($B16,brand_intake!$A$2:$A$401,0))="","",INDEX(brand_intake!$X$2:$X$401,MATCH($B16,brand_intake!$A$2:$A$401,0))),""),IFERROR(IF(INDEX(brand_intake_founder!$X$2:$X$81,MATCH($B16,brand_intake_founder!$A$2:$A$81,0))="","",INDEX(brand_intake_founder!$X$2:$X$81,MATCH($B16,brand_intake_founder!$A$2:$A$81,0))),"")))</f>
        <v/>
      </c>
      <c r="AE16" s="25">
        <f>IF($B16="","",IF(COUNTIF(brand_intake!$A$2:$A$401,$B16)&gt;0,IFERROR(IF(INDEX(brand_intake!$Y$2:$Y$401,MATCH($B16,brand_intake!$A$2:$A$401,0))="","",INDEX(brand_intake!$Y$2:$Y$401,MATCH($B16,brand_intake!$A$2:$A$401,0))),""),IFERROR(IF(INDEX(brand_intake_founder!$Y$2:$Y$81,MATCH($B16,brand_intake_founder!$A$2:$A$81,0))="","",INDEX(brand_intake_founder!$Y$2:$Y$81,MATCH($B16,brand_intake_founder!$A$2:$A$81,0))),"")))</f>
        <v/>
      </c>
      <c r="AF16" s="25">
        <f>IF($B16="","",($X16="Y")+($Y16="Y")+($Z16="Y")+($AA16="Y")+($AB16="Y")+($AC16="Y")+(LEN($AD16)&gt;0))</f>
        <v/>
      </c>
      <c r="AG16" s="25">
        <f>IF($B16="","",IF(AND($AF16=7,$AE16="Y"),"Y (as answered)","N: check "&amp;IF($X16&lt;&gt;"Y","1 ","")&amp;IF($Y16&lt;&gt;"Y","2 ","")&amp;IF($Z16&lt;&gt;"Y","3 ","")&amp;IF($AA16&lt;&gt;"Y","4 ","")&amp;IF($AB16&lt;&gt;"Y","5 ","")&amp;IF($AC16&lt;&gt;"Y","6 ","")&amp;IF(LEN($AD16)=0,"7 ","")&amp;IF($AE16&lt;&gt;"Y","excluded? ","")))</f>
        <v/>
      </c>
      <c r="AH16" s="25">
        <f>IF($A16="","",COUNTIF(campaigns!$C$2:$C$51,$A16))</f>
        <v/>
      </c>
      <c r="AI16" s="25">
        <f>IF(OR($A16="",SUMIFS(campaigns!$H$2:$H$51,campaigns!$C$2:$C$51,$A16,campaigns!$D$2:$D$51,"founding",campaigns!$E$2:$E$51,"&lt;&gt;Y")=0),"",COUNTIFS(campaigns!$D$2:$D$51,"founding",campaigns!$E$2:$E$51,"&lt;&gt;Y",campaigns!$H$2:$H$51,"&lt;="&amp;SUMIFS(campaigns!$H$2:$H$51,campaigns!$C$2:$C$51,$A16,campaigns!$D$2:$D$51,"founding",campaigns!$E$2:$E$51,"&lt;&gt;Y"),campaigns!$H$2:$H$51,"&gt;0"))</f>
        <v/>
      </c>
      <c r="AJ16" s="25">
        <f>IF(OR($A16="",NOT(IFERROR(COUNTIF(INDEX(in_paid_brands!$A$2:$BZ$81,0,MATCH("brand_id",in_paid_brands!$A$1:$BZ$1,0)),$A16),0)&gt;0)),"",IF(IFERROR(IF(INDEX(in_paid_brands!$A$2:$BZ$81,MATCH($A16,INDEX(in_paid_brands!$A$2:$BZ$81,0,MATCH("brand_id",in_paid_brands!$A$1:$BZ$1,0)),0),MATCH("campaign_id",in_paid_brands!$A$1:$BZ$1,0))="","",INDEX(in_paid_brands!$A$2:$BZ$81,MATCH($A16,INDEX(in_paid_brands!$A$2:$BZ$81,0,MATCH("brand_id",in_paid_brands!$A$1:$BZ$1,0)),0),MATCH("campaign_id",in_paid_brands!$A$1:$BZ$1,0))),"")="","E's paid_brands row has no campaign_id: type the CMP-### there; ",IF(OR(ABS(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gt;0.005,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payment 1 differs: E "&amp;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amp;" on "&amp;IF(N(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0,"none",TEXT(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yyyy-mm-dd"))&amp;"; ","")&amp;IF(OR(ABS(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gt;0.005,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payment 2 differs: E "&amp;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amp;" on "&amp;IF(N(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0,"none",TEXT(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yyyy-mm-dd"))&amp;"; ","")))</f>
        <v/>
      </c>
    </row>
    <row r="17">
      <c r="B17" s="30" t="n"/>
      <c r="H17" s="9" t="n"/>
      <c r="K17" s="25">
        <f>IF($B17="","",IF(COUNTIF(brand_intake!$A$2:$A$401,$B17)&gt;0,IFERROR(IF(INDEX(brand_intake!$C$2:$C$401,MATCH($B17,brand_intake!$A$2:$A$401,0))="","",INDEX(brand_intake!$C$2:$C$401,MATCH($B17,brand_intake!$A$2:$A$401,0))),""),IFERROR(IF(INDEX(brand_intake_founder!$C$2:$C$81,MATCH($B17,brand_intake_founder!$A$2:$A$81,0))="","",INDEX(brand_intake_founder!$C$2:$C$81,MATCH($B17,brand_intake_founder!$A$2:$A$81,0))),"")))</f>
        <v/>
      </c>
      <c r="L17" s="25">
        <f>IF($B17="","",IF(COUNTIF(brand_intake!$A$2:$A$401,$B17)&gt;0,IFERROR(IF(INDEX(brand_intake!$D$2:$D$401,MATCH($B17,brand_intake!$A$2:$A$401,0))="","",INDEX(brand_intake!$D$2:$D$401,MATCH($B17,brand_intake!$A$2:$A$401,0))),""),IFERROR(IF(INDEX(brand_intake_founder!$D$2:$D$81,MATCH($B17,brand_intake_founder!$A$2:$A$81,0))="","",INDEX(brand_intake_founder!$D$2:$D$81,MATCH($B17,brand_intake_founder!$A$2:$A$81,0))),"")))</f>
        <v/>
      </c>
      <c r="M17" s="25">
        <f>IF($B17="","",IF(COUNTIF(brand_intake!$A$2:$A$401,$B17)&gt;0,IFERROR(IF(INDEX(brand_intake!$J$2:$J$401,MATCH($B17,brand_intake!$A$2:$A$401,0))="","",INDEX(brand_intake!$J$2:$J$401,MATCH($B17,brand_intake!$A$2:$A$401,0))),""),IFERROR(IF(INDEX(brand_intake_founder!$J$2:$J$81,MATCH($B17,brand_intake_founder!$A$2:$A$81,0))="","",INDEX(brand_intake_founder!$J$2:$J$81,MATCH($B17,brand_intake_founder!$A$2:$A$81,0))),"")))</f>
        <v/>
      </c>
      <c r="N17" s="25">
        <f>IF($B17="","",IF(COUNTIF(brand_intake!$A$2:$A$401,$B17)&gt;0,IFERROR(IF(INDEX(brand_intake!$I$2:$I$401,MATCH($B17,brand_intake!$A$2:$A$401,0))="","",INDEX(brand_intake!$I$2:$I$401,MATCH($B17,brand_intake!$A$2:$A$401,0))),""),IFERROR(IF(INDEX(brand_intake_founder!$I$2:$I$81,MATCH($B17,brand_intake_founder!$A$2:$A$81,0))="","",INDEX(brand_intake_founder!$I$2:$I$81,MATCH($B17,brand_intake_founder!$A$2:$A$81,0))),"")))</f>
        <v/>
      </c>
      <c r="O17" s="25">
        <f>IF($B17="","",IF(COUNTIF(brand_intake!$A$2:$A$401,$B17)&gt;0,IFERROR(IF(INDEX(brand_intake!$K$2:$K$401,MATCH($B17,brand_intake!$A$2:$A$401,0))="","",INDEX(brand_intake!$K$2:$K$401,MATCH($B17,brand_intake!$A$2:$A$401,0))),""),IFERROR(IF(INDEX(brand_intake_founder!$K$2:$K$81,MATCH($B17,brand_intake_founder!$A$2:$A$81,0))="","",INDEX(brand_intake_founder!$K$2:$K$81,MATCH($B17,brand_intake_founder!$A$2:$A$81,0))),"")))</f>
        <v/>
      </c>
      <c r="P17" s="25">
        <f>IF($B17="","",IF(COUNTIF(brand_intake!$A$2:$A$401,$B17)&gt;0,IFERROR(IF(INDEX(brand_intake!$E$2:$E$401,MATCH($B17,brand_intake!$A$2:$A$401,0))="","",INDEX(brand_intake!$E$2:$E$401,MATCH($B17,brand_intake!$A$2:$A$401,0))),""),IFERROR(IF(INDEX(brand_intake_founder!$E$2:$E$81,MATCH($B17,brand_intake_founder!$A$2:$A$81,0))="","",INDEX(brand_intake_founder!$E$2:$E$81,MATCH($B17,brand_intake_founder!$A$2:$A$81,0))),"")))</f>
        <v/>
      </c>
      <c r="Q17" s="25">
        <f>IF($B17="","",IF(COUNTIF(brand_intake!$A$2:$A$401,$B17)&gt;0,IFERROR(IF(INDEX(brand_intake!$F$2:$F$401,MATCH($B17,brand_intake!$A$2:$A$401,0))="","",INDEX(brand_intake!$F$2:$F$401,MATCH($B17,brand_intake!$A$2:$A$401,0))),""),IFERROR(IF(INDEX(brand_intake_founder!$F$2:$F$81,MATCH($B17,brand_intake_founder!$A$2:$A$81,0))="","",INDEX(brand_intake_founder!$F$2:$F$81,MATCH($B17,brand_intake_founder!$A$2:$A$81,0))),"")))</f>
        <v/>
      </c>
      <c r="R17" s="25">
        <f>IF($B17="","",IF(COUNTIF(brand_intake!$A$2:$A$401,$B17)&gt;0,IFERROR(IF(INDEX(brand_intake!$G$2:$G$401,MATCH($B17,brand_intake!$A$2:$A$401,0))="","",INDEX(brand_intake!$G$2:$G$401,MATCH($B17,brand_intake!$A$2:$A$401,0))),""),IFERROR(IF(INDEX(brand_intake_founder!$G$2:$G$81,MATCH($B17,brand_intake_founder!$A$2:$A$81,0))="","",INDEX(brand_intake_founder!$G$2:$G$81,MATCH($B17,brand_intake_founder!$A$2:$A$81,0))),"")))</f>
        <v/>
      </c>
      <c r="S17" s="25">
        <f>IF($B17="","",IF(COUNTIF(brand_intake!$A$2:$A$401,$B17)&gt;0,IFERROR(IF(INDEX(brand_intake!$H$2:$H$401,MATCH($B17,brand_intake!$A$2:$A$401,0))="","",INDEX(brand_intake!$H$2:$H$401,MATCH($B17,brand_intake!$A$2:$A$401,0))),""),IFERROR(IF(INDEX(brand_intake_founder!$H$2:$H$81,MATCH($B17,brand_intake_founder!$A$2:$A$81,0))="","",INDEX(brand_intake_founder!$H$2:$H$81,MATCH($B17,brand_intake_founder!$A$2:$A$81,0))),"")))</f>
        <v/>
      </c>
      <c r="T17" s="25">
        <f>IF($B17="","",IF(COUNTIF(brand_intake!$A$2:$A$401,$B17)&gt;0,IFERROR(IF(INDEX(brand_intake!$M$2:$M$401,MATCH($B17,brand_intake!$A$2:$A$401,0))="","",INDEX(brand_intake!$M$2:$M$401,MATCH($B17,brand_intake!$A$2:$A$401,0))),""),IFERROR(IF(INDEX(brand_intake_founder!$M$2:$M$81,MATCH($B17,brand_intake_founder!$A$2:$A$81,0))="","",INDEX(brand_intake_founder!$M$2:$M$81,MATCH($B17,brand_intake_founder!$A$2:$A$81,0))),"")))</f>
        <v/>
      </c>
      <c r="U17" s="25">
        <f>IF($B17="","",IF(COUNTIF(brand_intake!$A$2:$A$401,$B17)&gt;0,IFERROR(IF(INDEX(brand_intake!$L$2:$L$401,MATCH($B17,brand_intake!$A$2:$A$401,0))="","",INDEX(brand_intake!$L$2:$L$401,MATCH($B17,brand_intake!$A$2:$A$401,0))),""),IFERROR(IF(INDEX(brand_intake_founder!$L$2:$L$81,MATCH($B17,brand_intake_founder!$A$2:$A$81,0))="","",INDEX(brand_intake_founder!$L$2:$L$81,MATCH($B17,brand_intake_founder!$A$2:$A$81,0))),"")))</f>
        <v/>
      </c>
      <c r="V17" s="25">
        <f>IF($B17="","",IF(COUNTIF(brand_intake!$A$2:$A$401,$B17)&gt;0,IFERROR(IF(INDEX(brand_intake!$N$2:$N$401,MATCH($B17,brand_intake!$A$2:$A$401,0))="","",INDEX(brand_intake!$N$2:$N$401,MATCH($B17,brand_intake!$A$2:$A$401,0))),""),IFERROR(IF(INDEX(brand_intake_founder!$N$2:$N$81,MATCH($B17,brand_intake_founder!$A$2:$A$81,0))="","",INDEX(brand_intake_founder!$N$2:$N$81,MATCH($B17,brand_intake_founder!$A$2:$A$81,0))),"")))</f>
        <v/>
      </c>
      <c r="W17" s="25">
        <f>IF($B17="","",IF(COUNTIF(brand_intake!$A$2:$A$401,$B17)&gt;0,IFERROR(IF(INDEX(brand_intake!$Q$2:$Q$401,MATCH($B17,brand_intake!$A$2:$A$401,0))="","",INDEX(brand_intake!$Q$2:$Q$401,MATCH($B17,brand_intake!$A$2:$A$401,0))),""),IFERROR(IF(INDEX(brand_intake_founder!$Q$2:$Q$81,MATCH($B17,brand_intake_founder!$A$2:$A$81,0))="","",INDEX(brand_intake_founder!$Q$2:$Q$81,MATCH($B17,brand_intake_founder!$A$2:$A$81,0))),"")))</f>
        <v/>
      </c>
      <c r="X17" s="25">
        <f>IF($B17="","",IF(COUNTIF(brand_intake!$A$2:$A$401,$B17)&gt;0,IFERROR(IF(INDEX(brand_intake!$R$2:$R$401,MATCH($B17,brand_intake!$A$2:$A$401,0))="","",INDEX(brand_intake!$R$2:$R$401,MATCH($B17,brand_intake!$A$2:$A$401,0))),""),IFERROR(IF(INDEX(brand_intake_founder!$R$2:$R$81,MATCH($B17,brand_intake_founder!$A$2:$A$81,0))="","",INDEX(brand_intake_founder!$R$2:$R$81,MATCH($B17,brand_intake_founder!$A$2:$A$81,0))),"")))</f>
        <v/>
      </c>
      <c r="Y17" s="25">
        <f>IF($B17="","",IF(COUNTIF(brand_intake!$A$2:$A$401,$B17)&gt;0,IFERROR(IF(INDEX(brand_intake!$S$2:$S$401,MATCH($B17,brand_intake!$A$2:$A$401,0))="","",INDEX(brand_intake!$S$2:$S$401,MATCH($B17,brand_intake!$A$2:$A$401,0))),""),IFERROR(IF(INDEX(brand_intake_founder!$S$2:$S$81,MATCH($B17,brand_intake_founder!$A$2:$A$81,0))="","",INDEX(brand_intake_founder!$S$2:$S$81,MATCH($B17,brand_intake_founder!$A$2:$A$81,0))),"")))</f>
        <v/>
      </c>
      <c r="Z17" s="25">
        <f>IF($B17="","",IF(COUNTIF(brand_intake!$A$2:$A$401,$B17)&gt;0,IFERROR(IF(INDEX(brand_intake!$T$2:$T$401,MATCH($B17,brand_intake!$A$2:$A$401,0))="","",INDEX(brand_intake!$T$2:$T$401,MATCH($B17,brand_intake!$A$2:$A$401,0))),""),IFERROR(IF(INDEX(brand_intake_founder!$T$2:$T$81,MATCH($B17,brand_intake_founder!$A$2:$A$81,0))="","",INDEX(brand_intake_founder!$T$2:$T$81,MATCH($B17,brand_intake_founder!$A$2:$A$81,0))),"")))</f>
        <v/>
      </c>
      <c r="AA17" s="25">
        <f>IF($B17="","",IF(COUNTIF(brand_intake!$A$2:$A$401,$B17)&gt;0,IFERROR(IF(INDEX(brand_intake!$U$2:$U$401,MATCH($B17,brand_intake!$A$2:$A$401,0))="","",INDEX(brand_intake!$U$2:$U$401,MATCH($B17,brand_intake!$A$2:$A$401,0))),""),IFERROR(IF(INDEX(brand_intake_founder!$U$2:$U$81,MATCH($B17,brand_intake_founder!$A$2:$A$81,0))="","",INDEX(brand_intake_founder!$U$2:$U$81,MATCH($B17,brand_intake_founder!$A$2:$A$81,0))),"")))</f>
        <v/>
      </c>
      <c r="AB17" s="25">
        <f>IF($B17="","",IF(COUNTIF(brand_intake!$A$2:$A$401,$B17)&gt;0,IFERROR(IF(INDEX(brand_intake!$V$2:$V$401,MATCH($B17,brand_intake!$A$2:$A$401,0))="","",INDEX(brand_intake!$V$2:$V$401,MATCH($B17,brand_intake!$A$2:$A$401,0))),""),IFERROR(IF(INDEX(brand_intake_founder!$V$2:$V$81,MATCH($B17,brand_intake_founder!$A$2:$A$81,0))="","",INDEX(brand_intake_founder!$V$2:$V$81,MATCH($B17,brand_intake_founder!$A$2:$A$81,0))),"")))</f>
        <v/>
      </c>
      <c r="AC17" s="25">
        <f>IF($B17="","",IF(COUNTIF(brand_intake!$A$2:$A$401,$B17)&gt;0,IFERROR(IF(INDEX(brand_intake!$W$2:$W$401,MATCH($B17,brand_intake!$A$2:$A$401,0))="","",INDEX(brand_intake!$W$2:$W$401,MATCH($B17,brand_intake!$A$2:$A$401,0))),""),IFERROR(IF(INDEX(brand_intake_founder!$W$2:$W$81,MATCH($B17,brand_intake_founder!$A$2:$A$81,0))="","",INDEX(brand_intake_founder!$W$2:$W$81,MATCH($B17,brand_intake_founder!$A$2:$A$81,0))),"")))</f>
        <v/>
      </c>
      <c r="AD17" s="25">
        <f>IF($B17="","",IF(COUNTIF(brand_intake!$A$2:$A$401,$B17)&gt;0,IFERROR(IF(INDEX(brand_intake!$X$2:$X$401,MATCH($B17,brand_intake!$A$2:$A$401,0))="","",INDEX(brand_intake!$X$2:$X$401,MATCH($B17,brand_intake!$A$2:$A$401,0))),""),IFERROR(IF(INDEX(brand_intake_founder!$X$2:$X$81,MATCH($B17,brand_intake_founder!$A$2:$A$81,0))="","",INDEX(brand_intake_founder!$X$2:$X$81,MATCH($B17,brand_intake_founder!$A$2:$A$81,0))),"")))</f>
        <v/>
      </c>
      <c r="AE17" s="25">
        <f>IF($B17="","",IF(COUNTIF(brand_intake!$A$2:$A$401,$B17)&gt;0,IFERROR(IF(INDEX(brand_intake!$Y$2:$Y$401,MATCH($B17,brand_intake!$A$2:$A$401,0))="","",INDEX(brand_intake!$Y$2:$Y$401,MATCH($B17,brand_intake!$A$2:$A$401,0))),""),IFERROR(IF(INDEX(brand_intake_founder!$Y$2:$Y$81,MATCH($B17,brand_intake_founder!$A$2:$A$81,0))="","",INDEX(brand_intake_founder!$Y$2:$Y$81,MATCH($B17,brand_intake_founder!$A$2:$A$81,0))),"")))</f>
        <v/>
      </c>
      <c r="AF17" s="25">
        <f>IF($B17="","",($X17="Y")+($Y17="Y")+($Z17="Y")+($AA17="Y")+($AB17="Y")+($AC17="Y")+(LEN($AD17)&gt;0))</f>
        <v/>
      </c>
      <c r="AG17" s="25">
        <f>IF($B17="","",IF(AND($AF17=7,$AE17="Y"),"Y (as answered)","N: check "&amp;IF($X17&lt;&gt;"Y","1 ","")&amp;IF($Y17&lt;&gt;"Y","2 ","")&amp;IF($Z17&lt;&gt;"Y","3 ","")&amp;IF($AA17&lt;&gt;"Y","4 ","")&amp;IF($AB17&lt;&gt;"Y","5 ","")&amp;IF($AC17&lt;&gt;"Y","6 ","")&amp;IF(LEN($AD17)=0,"7 ","")&amp;IF($AE17&lt;&gt;"Y","excluded? ","")))</f>
        <v/>
      </c>
      <c r="AH17" s="25">
        <f>IF($A17="","",COUNTIF(campaigns!$C$2:$C$51,$A17))</f>
        <v/>
      </c>
      <c r="AI17" s="25">
        <f>IF(OR($A17="",SUMIFS(campaigns!$H$2:$H$51,campaigns!$C$2:$C$51,$A17,campaigns!$D$2:$D$51,"founding",campaigns!$E$2:$E$51,"&lt;&gt;Y")=0),"",COUNTIFS(campaigns!$D$2:$D$51,"founding",campaigns!$E$2:$E$51,"&lt;&gt;Y",campaigns!$H$2:$H$51,"&lt;="&amp;SUMIFS(campaigns!$H$2:$H$51,campaigns!$C$2:$C$51,$A17,campaigns!$D$2:$D$51,"founding",campaigns!$E$2:$E$51,"&lt;&gt;Y"),campaigns!$H$2:$H$51,"&gt;0"))</f>
        <v/>
      </c>
      <c r="AJ17" s="25">
        <f>IF(OR($A17="",NOT(IFERROR(COUNTIF(INDEX(in_paid_brands!$A$2:$BZ$81,0,MATCH("brand_id",in_paid_brands!$A$1:$BZ$1,0)),$A17),0)&gt;0)),"",IF(IFERROR(IF(INDEX(in_paid_brands!$A$2:$BZ$81,MATCH($A17,INDEX(in_paid_brands!$A$2:$BZ$81,0,MATCH("brand_id",in_paid_brands!$A$1:$BZ$1,0)),0),MATCH("campaign_id",in_paid_brands!$A$1:$BZ$1,0))="","",INDEX(in_paid_brands!$A$2:$BZ$81,MATCH($A17,INDEX(in_paid_brands!$A$2:$BZ$81,0,MATCH("brand_id",in_paid_brands!$A$1:$BZ$1,0)),0),MATCH("campaign_id",in_paid_brands!$A$1:$BZ$1,0))),"")="","E's paid_brands row has no campaign_id: type the CMP-### there; ",IF(OR(ABS(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gt;0.005,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payment 1 differs: E "&amp;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amp;" on "&amp;IF(N(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0,"none",TEXT(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yyyy-mm-dd"))&amp;"; ","")&amp;IF(OR(ABS(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gt;0.005,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payment 2 differs: E "&amp;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amp;" on "&amp;IF(N(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0,"none",TEXT(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yyyy-mm-dd"))&amp;"; ","")))</f>
        <v/>
      </c>
    </row>
    <row r="18">
      <c r="B18" s="30" t="n"/>
      <c r="H18" s="9" t="n"/>
      <c r="K18" s="25">
        <f>IF($B18="","",IF(COUNTIF(brand_intake!$A$2:$A$401,$B18)&gt;0,IFERROR(IF(INDEX(brand_intake!$C$2:$C$401,MATCH($B18,brand_intake!$A$2:$A$401,0))="","",INDEX(brand_intake!$C$2:$C$401,MATCH($B18,brand_intake!$A$2:$A$401,0))),""),IFERROR(IF(INDEX(brand_intake_founder!$C$2:$C$81,MATCH($B18,brand_intake_founder!$A$2:$A$81,0))="","",INDEX(brand_intake_founder!$C$2:$C$81,MATCH($B18,brand_intake_founder!$A$2:$A$81,0))),"")))</f>
        <v/>
      </c>
      <c r="L18" s="25">
        <f>IF($B18="","",IF(COUNTIF(brand_intake!$A$2:$A$401,$B18)&gt;0,IFERROR(IF(INDEX(brand_intake!$D$2:$D$401,MATCH($B18,brand_intake!$A$2:$A$401,0))="","",INDEX(brand_intake!$D$2:$D$401,MATCH($B18,brand_intake!$A$2:$A$401,0))),""),IFERROR(IF(INDEX(brand_intake_founder!$D$2:$D$81,MATCH($B18,brand_intake_founder!$A$2:$A$81,0))="","",INDEX(brand_intake_founder!$D$2:$D$81,MATCH($B18,brand_intake_founder!$A$2:$A$81,0))),"")))</f>
        <v/>
      </c>
      <c r="M18" s="25">
        <f>IF($B18="","",IF(COUNTIF(brand_intake!$A$2:$A$401,$B18)&gt;0,IFERROR(IF(INDEX(brand_intake!$J$2:$J$401,MATCH($B18,brand_intake!$A$2:$A$401,0))="","",INDEX(brand_intake!$J$2:$J$401,MATCH($B18,brand_intake!$A$2:$A$401,0))),""),IFERROR(IF(INDEX(brand_intake_founder!$J$2:$J$81,MATCH($B18,brand_intake_founder!$A$2:$A$81,0))="","",INDEX(brand_intake_founder!$J$2:$J$81,MATCH($B18,brand_intake_founder!$A$2:$A$81,0))),"")))</f>
        <v/>
      </c>
      <c r="N18" s="25">
        <f>IF($B18="","",IF(COUNTIF(brand_intake!$A$2:$A$401,$B18)&gt;0,IFERROR(IF(INDEX(brand_intake!$I$2:$I$401,MATCH($B18,brand_intake!$A$2:$A$401,0))="","",INDEX(brand_intake!$I$2:$I$401,MATCH($B18,brand_intake!$A$2:$A$401,0))),""),IFERROR(IF(INDEX(brand_intake_founder!$I$2:$I$81,MATCH($B18,brand_intake_founder!$A$2:$A$81,0))="","",INDEX(brand_intake_founder!$I$2:$I$81,MATCH($B18,brand_intake_founder!$A$2:$A$81,0))),"")))</f>
        <v/>
      </c>
      <c r="O18" s="25">
        <f>IF($B18="","",IF(COUNTIF(brand_intake!$A$2:$A$401,$B18)&gt;0,IFERROR(IF(INDEX(brand_intake!$K$2:$K$401,MATCH($B18,brand_intake!$A$2:$A$401,0))="","",INDEX(brand_intake!$K$2:$K$401,MATCH($B18,brand_intake!$A$2:$A$401,0))),""),IFERROR(IF(INDEX(brand_intake_founder!$K$2:$K$81,MATCH($B18,brand_intake_founder!$A$2:$A$81,0))="","",INDEX(brand_intake_founder!$K$2:$K$81,MATCH($B18,brand_intake_founder!$A$2:$A$81,0))),"")))</f>
        <v/>
      </c>
      <c r="P18" s="25">
        <f>IF($B18="","",IF(COUNTIF(brand_intake!$A$2:$A$401,$B18)&gt;0,IFERROR(IF(INDEX(brand_intake!$E$2:$E$401,MATCH($B18,brand_intake!$A$2:$A$401,0))="","",INDEX(brand_intake!$E$2:$E$401,MATCH($B18,brand_intake!$A$2:$A$401,0))),""),IFERROR(IF(INDEX(brand_intake_founder!$E$2:$E$81,MATCH($B18,brand_intake_founder!$A$2:$A$81,0))="","",INDEX(brand_intake_founder!$E$2:$E$81,MATCH($B18,brand_intake_founder!$A$2:$A$81,0))),"")))</f>
        <v/>
      </c>
      <c r="Q18" s="25">
        <f>IF($B18="","",IF(COUNTIF(brand_intake!$A$2:$A$401,$B18)&gt;0,IFERROR(IF(INDEX(brand_intake!$F$2:$F$401,MATCH($B18,brand_intake!$A$2:$A$401,0))="","",INDEX(brand_intake!$F$2:$F$401,MATCH($B18,brand_intake!$A$2:$A$401,0))),""),IFERROR(IF(INDEX(brand_intake_founder!$F$2:$F$81,MATCH($B18,brand_intake_founder!$A$2:$A$81,0))="","",INDEX(brand_intake_founder!$F$2:$F$81,MATCH($B18,brand_intake_founder!$A$2:$A$81,0))),"")))</f>
        <v/>
      </c>
      <c r="R18" s="25">
        <f>IF($B18="","",IF(COUNTIF(brand_intake!$A$2:$A$401,$B18)&gt;0,IFERROR(IF(INDEX(brand_intake!$G$2:$G$401,MATCH($B18,brand_intake!$A$2:$A$401,0))="","",INDEX(brand_intake!$G$2:$G$401,MATCH($B18,brand_intake!$A$2:$A$401,0))),""),IFERROR(IF(INDEX(brand_intake_founder!$G$2:$G$81,MATCH($B18,brand_intake_founder!$A$2:$A$81,0))="","",INDEX(brand_intake_founder!$G$2:$G$81,MATCH($B18,brand_intake_founder!$A$2:$A$81,0))),"")))</f>
        <v/>
      </c>
      <c r="S18" s="25">
        <f>IF($B18="","",IF(COUNTIF(brand_intake!$A$2:$A$401,$B18)&gt;0,IFERROR(IF(INDEX(brand_intake!$H$2:$H$401,MATCH($B18,brand_intake!$A$2:$A$401,0))="","",INDEX(brand_intake!$H$2:$H$401,MATCH($B18,brand_intake!$A$2:$A$401,0))),""),IFERROR(IF(INDEX(brand_intake_founder!$H$2:$H$81,MATCH($B18,brand_intake_founder!$A$2:$A$81,0))="","",INDEX(brand_intake_founder!$H$2:$H$81,MATCH($B18,brand_intake_founder!$A$2:$A$81,0))),"")))</f>
        <v/>
      </c>
      <c r="T18" s="25">
        <f>IF($B18="","",IF(COUNTIF(brand_intake!$A$2:$A$401,$B18)&gt;0,IFERROR(IF(INDEX(brand_intake!$M$2:$M$401,MATCH($B18,brand_intake!$A$2:$A$401,0))="","",INDEX(brand_intake!$M$2:$M$401,MATCH($B18,brand_intake!$A$2:$A$401,0))),""),IFERROR(IF(INDEX(brand_intake_founder!$M$2:$M$81,MATCH($B18,brand_intake_founder!$A$2:$A$81,0))="","",INDEX(brand_intake_founder!$M$2:$M$81,MATCH($B18,brand_intake_founder!$A$2:$A$81,0))),"")))</f>
        <v/>
      </c>
      <c r="U18" s="25">
        <f>IF($B18="","",IF(COUNTIF(brand_intake!$A$2:$A$401,$B18)&gt;0,IFERROR(IF(INDEX(brand_intake!$L$2:$L$401,MATCH($B18,brand_intake!$A$2:$A$401,0))="","",INDEX(brand_intake!$L$2:$L$401,MATCH($B18,brand_intake!$A$2:$A$401,0))),""),IFERROR(IF(INDEX(brand_intake_founder!$L$2:$L$81,MATCH($B18,brand_intake_founder!$A$2:$A$81,0))="","",INDEX(brand_intake_founder!$L$2:$L$81,MATCH($B18,brand_intake_founder!$A$2:$A$81,0))),"")))</f>
        <v/>
      </c>
      <c r="V18" s="25">
        <f>IF($B18="","",IF(COUNTIF(brand_intake!$A$2:$A$401,$B18)&gt;0,IFERROR(IF(INDEX(brand_intake!$N$2:$N$401,MATCH($B18,brand_intake!$A$2:$A$401,0))="","",INDEX(brand_intake!$N$2:$N$401,MATCH($B18,brand_intake!$A$2:$A$401,0))),""),IFERROR(IF(INDEX(brand_intake_founder!$N$2:$N$81,MATCH($B18,brand_intake_founder!$A$2:$A$81,0))="","",INDEX(brand_intake_founder!$N$2:$N$81,MATCH($B18,brand_intake_founder!$A$2:$A$81,0))),"")))</f>
        <v/>
      </c>
      <c r="W18" s="25">
        <f>IF($B18="","",IF(COUNTIF(brand_intake!$A$2:$A$401,$B18)&gt;0,IFERROR(IF(INDEX(brand_intake!$Q$2:$Q$401,MATCH($B18,brand_intake!$A$2:$A$401,0))="","",INDEX(brand_intake!$Q$2:$Q$401,MATCH($B18,brand_intake!$A$2:$A$401,0))),""),IFERROR(IF(INDEX(brand_intake_founder!$Q$2:$Q$81,MATCH($B18,brand_intake_founder!$A$2:$A$81,0))="","",INDEX(brand_intake_founder!$Q$2:$Q$81,MATCH($B18,brand_intake_founder!$A$2:$A$81,0))),"")))</f>
        <v/>
      </c>
      <c r="X18" s="25">
        <f>IF($B18="","",IF(COUNTIF(brand_intake!$A$2:$A$401,$B18)&gt;0,IFERROR(IF(INDEX(brand_intake!$R$2:$R$401,MATCH($B18,brand_intake!$A$2:$A$401,0))="","",INDEX(brand_intake!$R$2:$R$401,MATCH($B18,brand_intake!$A$2:$A$401,0))),""),IFERROR(IF(INDEX(brand_intake_founder!$R$2:$R$81,MATCH($B18,brand_intake_founder!$A$2:$A$81,0))="","",INDEX(brand_intake_founder!$R$2:$R$81,MATCH($B18,brand_intake_founder!$A$2:$A$81,0))),"")))</f>
        <v/>
      </c>
      <c r="Y18" s="25">
        <f>IF($B18="","",IF(COUNTIF(brand_intake!$A$2:$A$401,$B18)&gt;0,IFERROR(IF(INDEX(brand_intake!$S$2:$S$401,MATCH($B18,brand_intake!$A$2:$A$401,0))="","",INDEX(brand_intake!$S$2:$S$401,MATCH($B18,brand_intake!$A$2:$A$401,0))),""),IFERROR(IF(INDEX(brand_intake_founder!$S$2:$S$81,MATCH($B18,brand_intake_founder!$A$2:$A$81,0))="","",INDEX(brand_intake_founder!$S$2:$S$81,MATCH($B18,brand_intake_founder!$A$2:$A$81,0))),"")))</f>
        <v/>
      </c>
      <c r="Z18" s="25">
        <f>IF($B18="","",IF(COUNTIF(brand_intake!$A$2:$A$401,$B18)&gt;0,IFERROR(IF(INDEX(brand_intake!$T$2:$T$401,MATCH($B18,brand_intake!$A$2:$A$401,0))="","",INDEX(brand_intake!$T$2:$T$401,MATCH($B18,brand_intake!$A$2:$A$401,0))),""),IFERROR(IF(INDEX(brand_intake_founder!$T$2:$T$81,MATCH($B18,brand_intake_founder!$A$2:$A$81,0))="","",INDEX(brand_intake_founder!$T$2:$T$81,MATCH($B18,brand_intake_founder!$A$2:$A$81,0))),"")))</f>
        <v/>
      </c>
      <c r="AA18" s="25">
        <f>IF($B18="","",IF(COUNTIF(brand_intake!$A$2:$A$401,$B18)&gt;0,IFERROR(IF(INDEX(brand_intake!$U$2:$U$401,MATCH($B18,brand_intake!$A$2:$A$401,0))="","",INDEX(brand_intake!$U$2:$U$401,MATCH($B18,brand_intake!$A$2:$A$401,0))),""),IFERROR(IF(INDEX(brand_intake_founder!$U$2:$U$81,MATCH($B18,brand_intake_founder!$A$2:$A$81,0))="","",INDEX(brand_intake_founder!$U$2:$U$81,MATCH($B18,brand_intake_founder!$A$2:$A$81,0))),"")))</f>
        <v/>
      </c>
      <c r="AB18" s="25">
        <f>IF($B18="","",IF(COUNTIF(brand_intake!$A$2:$A$401,$B18)&gt;0,IFERROR(IF(INDEX(brand_intake!$V$2:$V$401,MATCH($B18,brand_intake!$A$2:$A$401,0))="","",INDEX(brand_intake!$V$2:$V$401,MATCH($B18,brand_intake!$A$2:$A$401,0))),""),IFERROR(IF(INDEX(brand_intake_founder!$V$2:$V$81,MATCH($B18,brand_intake_founder!$A$2:$A$81,0))="","",INDEX(brand_intake_founder!$V$2:$V$81,MATCH($B18,brand_intake_founder!$A$2:$A$81,0))),"")))</f>
        <v/>
      </c>
      <c r="AC18" s="25">
        <f>IF($B18="","",IF(COUNTIF(brand_intake!$A$2:$A$401,$B18)&gt;0,IFERROR(IF(INDEX(brand_intake!$W$2:$W$401,MATCH($B18,brand_intake!$A$2:$A$401,0))="","",INDEX(brand_intake!$W$2:$W$401,MATCH($B18,brand_intake!$A$2:$A$401,0))),""),IFERROR(IF(INDEX(brand_intake_founder!$W$2:$W$81,MATCH($B18,brand_intake_founder!$A$2:$A$81,0))="","",INDEX(brand_intake_founder!$W$2:$W$81,MATCH($B18,brand_intake_founder!$A$2:$A$81,0))),"")))</f>
        <v/>
      </c>
      <c r="AD18" s="25">
        <f>IF($B18="","",IF(COUNTIF(brand_intake!$A$2:$A$401,$B18)&gt;0,IFERROR(IF(INDEX(brand_intake!$X$2:$X$401,MATCH($B18,brand_intake!$A$2:$A$401,0))="","",INDEX(brand_intake!$X$2:$X$401,MATCH($B18,brand_intake!$A$2:$A$401,0))),""),IFERROR(IF(INDEX(brand_intake_founder!$X$2:$X$81,MATCH($B18,brand_intake_founder!$A$2:$A$81,0))="","",INDEX(brand_intake_founder!$X$2:$X$81,MATCH($B18,brand_intake_founder!$A$2:$A$81,0))),"")))</f>
        <v/>
      </c>
      <c r="AE18" s="25">
        <f>IF($B18="","",IF(COUNTIF(brand_intake!$A$2:$A$401,$B18)&gt;0,IFERROR(IF(INDEX(brand_intake!$Y$2:$Y$401,MATCH($B18,brand_intake!$A$2:$A$401,0))="","",INDEX(brand_intake!$Y$2:$Y$401,MATCH($B18,brand_intake!$A$2:$A$401,0))),""),IFERROR(IF(INDEX(brand_intake_founder!$Y$2:$Y$81,MATCH($B18,brand_intake_founder!$A$2:$A$81,0))="","",INDEX(brand_intake_founder!$Y$2:$Y$81,MATCH($B18,brand_intake_founder!$A$2:$A$81,0))),"")))</f>
        <v/>
      </c>
      <c r="AF18" s="25">
        <f>IF($B18="","",($X18="Y")+($Y18="Y")+($Z18="Y")+($AA18="Y")+($AB18="Y")+($AC18="Y")+(LEN($AD18)&gt;0))</f>
        <v/>
      </c>
      <c r="AG18" s="25">
        <f>IF($B18="","",IF(AND($AF18=7,$AE18="Y"),"Y (as answered)","N: check "&amp;IF($X18&lt;&gt;"Y","1 ","")&amp;IF($Y18&lt;&gt;"Y","2 ","")&amp;IF($Z18&lt;&gt;"Y","3 ","")&amp;IF($AA18&lt;&gt;"Y","4 ","")&amp;IF($AB18&lt;&gt;"Y","5 ","")&amp;IF($AC18&lt;&gt;"Y","6 ","")&amp;IF(LEN($AD18)=0,"7 ","")&amp;IF($AE18&lt;&gt;"Y","excluded? ","")))</f>
        <v/>
      </c>
      <c r="AH18" s="25">
        <f>IF($A18="","",COUNTIF(campaigns!$C$2:$C$51,$A18))</f>
        <v/>
      </c>
      <c r="AI18" s="25">
        <f>IF(OR($A18="",SUMIFS(campaigns!$H$2:$H$51,campaigns!$C$2:$C$51,$A18,campaigns!$D$2:$D$51,"founding",campaigns!$E$2:$E$51,"&lt;&gt;Y")=0),"",COUNTIFS(campaigns!$D$2:$D$51,"founding",campaigns!$E$2:$E$51,"&lt;&gt;Y",campaigns!$H$2:$H$51,"&lt;="&amp;SUMIFS(campaigns!$H$2:$H$51,campaigns!$C$2:$C$51,$A18,campaigns!$D$2:$D$51,"founding",campaigns!$E$2:$E$51,"&lt;&gt;Y"),campaigns!$H$2:$H$51,"&gt;0"))</f>
        <v/>
      </c>
      <c r="AJ18" s="25">
        <f>IF(OR($A18="",NOT(IFERROR(COUNTIF(INDEX(in_paid_brands!$A$2:$BZ$81,0,MATCH("brand_id",in_paid_brands!$A$1:$BZ$1,0)),$A18),0)&gt;0)),"",IF(IFERROR(IF(INDEX(in_paid_brands!$A$2:$BZ$81,MATCH($A18,INDEX(in_paid_brands!$A$2:$BZ$81,0,MATCH("brand_id",in_paid_brands!$A$1:$BZ$1,0)),0),MATCH("campaign_id",in_paid_brands!$A$1:$BZ$1,0))="","",INDEX(in_paid_brands!$A$2:$BZ$81,MATCH($A18,INDEX(in_paid_brands!$A$2:$BZ$81,0,MATCH("brand_id",in_paid_brands!$A$1:$BZ$1,0)),0),MATCH("campaign_id",in_paid_brands!$A$1:$BZ$1,0))),"")="","E's paid_brands row has no campaign_id: type the CMP-### there; ",IF(OR(ABS(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gt;0.005,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payment 1 differs: E "&amp;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amp;" on "&amp;IF(N(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0,"none",TEXT(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yyyy-mm-dd"))&amp;"; ","")&amp;IF(OR(ABS(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gt;0.005,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payment 2 differs: E "&amp;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amp;" on "&amp;IF(N(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0,"none",TEXT(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yyyy-mm-dd"))&amp;"; ","")))</f>
        <v/>
      </c>
    </row>
    <row r="19">
      <c r="B19" s="30" t="n"/>
      <c r="H19" s="9" t="n"/>
      <c r="K19" s="25">
        <f>IF($B19="","",IF(COUNTIF(brand_intake!$A$2:$A$401,$B19)&gt;0,IFERROR(IF(INDEX(brand_intake!$C$2:$C$401,MATCH($B19,brand_intake!$A$2:$A$401,0))="","",INDEX(brand_intake!$C$2:$C$401,MATCH($B19,brand_intake!$A$2:$A$401,0))),""),IFERROR(IF(INDEX(brand_intake_founder!$C$2:$C$81,MATCH($B19,brand_intake_founder!$A$2:$A$81,0))="","",INDEX(brand_intake_founder!$C$2:$C$81,MATCH($B19,brand_intake_founder!$A$2:$A$81,0))),"")))</f>
        <v/>
      </c>
      <c r="L19" s="25">
        <f>IF($B19="","",IF(COUNTIF(brand_intake!$A$2:$A$401,$B19)&gt;0,IFERROR(IF(INDEX(brand_intake!$D$2:$D$401,MATCH($B19,brand_intake!$A$2:$A$401,0))="","",INDEX(brand_intake!$D$2:$D$401,MATCH($B19,brand_intake!$A$2:$A$401,0))),""),IFERROR(IF(INDEX(brand_intake_founder!$D$2:$D$81,MATCH($B19,brand_intake_founder!$A$2:$A$81,0))="","",INDEX(brand_intake_founder!$D$2:$D$81,MATCH($B19,brand_intake_founder!$A$2:$A$81,0))),"")))</f>
        <v/>
      </c>
      <c r="M19" s="25">
        <f>IF($B19="","",IF(COUNTIF(brand_intake!$A$2:$A$401,$B19)&gt;0,IFERROR(IF(INDEX(brand_intake!$J$2:$J$401,MATCH($B19,brand_intake!$A$2:$A$401,0))="","",INDEX(brand_intake!$J$2:$J$401,MATCH($B19,brand_intake!$A$2:$A$401,0))),""),IFERROR(IF(INDEX(brand_intake_founder!$J$2:$J$81,MATCH($B19,brand_intake_founder!$A$2:$A$81,0))="","",INDEX(brand_intake_founder!$J$2:$J$81,MATCH($B19,brand_intake_founder!$A$2:$A$81,0))),"")))</f>
        <v/>
      </c>
      <c r="N19" s="25">
        <f>IF($B19="","",IF(COUNTIF(brand_intake!$A$2:$A$401,$B19)&gt;0,IFERROR(IF(INDEX(brand_intake!$I$2:$I$401,MATCH($B19,brand_intake!$A$2:$A$401,0))="","",INDEX(brand_intake!$I$2:$I$401,MATCH($B19,brand_intake!$A$2:$A$401,0))),""),IFERROR(IF(INDEX(brand_intake_founder!$I$2:$I$81,MATCH($B19,brand_intake_founder!$A$2:$A$81,0))="","",INDEX(brand_intake_founder!$I$2:$I$81,MATCH($B19,brand_intake_founder!$A$2:$A$81,0))),"")))</f>
        <v/>
      </c>
      <c r="O19" s="25">
        <f>IF($B19="","",IF(COUNTIF(brand_intake!$A$2:$A$401,$B19)&gt;0,IFERROR(IF(INDEX(brand_intake!$K$2:$K$401,MATCH($B19,brand_intake!$A$2:$A$401,0))="","",INDEX(brand_intake!$K$2:$K$401,MATCH($B19,brand_intake!$A$2:$A$401,0))),""),IFERROR(IF(INDEX(brand_intake_founder!$K$2:$K$81,MATCH($B19,brand_intake_founder!$A$2:$A$81,0))="","",INDEX(brand_intake_founder!$K$2:$K$81,MATCH($B19,brand_intake_founder!$A$2:$A$81,0))),"")))</f>
        <v/>
      </c>
      <c r="P19" s="25">
        <f>IF($B19="","",IF(COUNTIF(brand_intake!$A$2:$A$401,$B19)&gt;0,IFERROR(IF(INDEX(brand_intake!$E$2:$E$401,MATCH($B19,brand_intake!$A$2:$A$401,0))="","",INDEX(brand_intake!$E$2:$E$401,MATCH($B19,brand_intake!$A$2:$A$401,0))),""),IFERROR(IF(INDEX(brand_intake_founder!$E$2:$E$81,MATCH($B19,brand_intake_founder!$A$2:$A$81,0))="","",INDEX(brand_intake_founder!$E$2:$E$81,MATCH($B19,brand_intake_founder!$A$2:$A$81,0))),"")))</f>
        <v/>
      </c>
      <c r="Q19" s="25">
        <f>IF($B19="","",IF(COUNTIF(brand_intake!$A$2:$A$401,$B19)&gt;0,IFERROR(IF(INDEX(brand_intake!$F$2:$F$401,MATCH($B19,brand_intake!$A$2:$A$401,0))="","",INDEX(brand_intake!$F$2:$F$401,MATCH($B19,brand_intake!$A$2:$A$401,0))),""),IFERROR(IF(INDEX(brand_intake_founder!$F$2:$F$81,MATCH($B19,brand_intake_founder!$A$2:$A$81,0))="","",INDEX(brand_intake_founder!$F$2:$F$81,MATCH($B19,brand_intake_founder!$A$2:$A$81,0))),"")))</f>
        <v/>
      </c>
      <c r="R19" s="25">
        <f>IF($B19="","",IF(COUNTIF(brand_intake!$A$2:$A$401,$B19)&gt;0,IFERROR(IF(INDEX(brand_intake!$G$2:$G$401,MATCH($B19,brand_intake!$A$2:$A$401,0))="","",INDEX(brand_intake!$G$2:$G$401,MATCH($B19,brand_intake!$A$2:$A$401,0))),""),IFERROR(IF(INDEX(brand_intake_founder!$G$2:$G$81,MATCH($B19,brand_intake_founder!$A$2:$A$81,0))="","",INDEX(brand_intake_founder!$G$2:$G$81,MATCH($B19,brand_intake_founder!$A$2:$A$81,0))),"")))</f>
        <v/>
      </c>
      <c r="S19" s="25">
        <f>IF($B19="","",IF(COUNTIF(brand_intake!$A$2:$A$401,$B19)&gt;0,IFERROR(IF(INDEX(brand_intake!$H$2:$H$401,MATCH($B19,brand_intake!$A$2:$A$401,0))="","",INDEX(brand_intake!$H$2:$H$401,MATCH($B19,brand_intake!$A$2:$A$401,0))),""),IFERROR(IF(INDEX(brand_intake_founder!$H$2:$H$81,MATCH($B19,brand_intake_founder!$A$2:$A$81,0))="","",INDEX(brand_intake_founder!$H$2:$H$81,MATCH($B19,brand_intake_founder!$A$2:$A$81,0))),"")))</f>
        <v/>
      </c>
      <c r="T19" s="25">
        <f>IF($B19="","",IF(COUNTIF(brand_intake!$A$2:$A$401,$B19)&gt;0,IFERROR(IF(INDEX(brand_intake!$M$2:$M$401,MATCH($B19,brand_intake!$A$2:$A$401,0))="","",INDEX(brand_intake!$M$2:$M$401,MATCH($B19,brand_intake!$A$2:$A$401,0))),""),IFERROR(IF(INDEX(brand_intake_founder!$M$2:$M$81,MATCH($B19,brand_intake_founder!$A$2:$A$81,0))="","",INDEX(brand_intake_founder!$M$2:$M$81,MATCH($B19,brand_intake_founder!$A$2:$A$81,0))),"")))</f>
        <v/>
      </c>
      <c r="U19" s="25">
        <f>IF($B19="","",IF(COUNTIF(brand_intake!$A$2:$A$401,$B19)&gt;0,IFERROR(IF(INDEX(brand_intake!$L$2:$L$401,MATCH($B19,brand_intake!$A$2:$A$401,0))="","",INDEX(brand_intake!$L$2:$L$401,MATCH($B19,brand_intake!$A$2:$A$401,0))),""),IFERROR(IF(INDEX(brand_intake_founder!$L$2:$L$81,MATCH($B19,brand_intake_founder!$A$2:$A$81,0))="","",INDEX(brand_intake_founder!$L$2:$L$81,MATCH($B19,brand_intake_founder!$A$2:$A$81,0))),"")))</f>
        <v/>
      </c>
      <c r="V19" s="25">
        <f>IF($B19="","",IF(COUNTIF(brand_intake!$A$2:$A$401,$B19)&gt;0,IFERROR(IF(INDEX(brand_intake!$N$2:$N$401,MATCH($B19,brand_intake!$A$2:$A$401,0))="","",INDEX(brand_intake!$N$2:$N$401,MATCH($B19,brand_intake!$A$2:$A$401,0))),""),IFERROR(IF(INDEX(brand_intake_founder!$N$2:$N$81,MATCH($B19,brand_intake_founder!$A$2:$A$81,0))="","",INDEX(brand_intake_founder!$N$2:$N$81,MATCH($B19,brand_intake_founder!$A$2:$A$81,0))),"")))</f>
        <v/>
      </c>
      <c r="W19" s="25">
        <f>IF($B19="","",IF(COUNTIF(brand_intake!$A$2:$A$401,$B19)&gt;0,IFERROR(IF(INDEX(brand_intake!$Q$2:$Q$401,MATCH($B19,brand_intake!$A$2:$A$401,0))="","",INDEX(brand_intake!$Q$2:$Q$401,MATCH($B19,brand_intake!$A$2:$A$401,0))),""),IFERROR(IF(INDEX(brand_intake_founder!$Q$2:$Q$81,MATCH($B19,brand_intake_founder!$A$2:$A$81,0))="","",INDEX(brand_intake_founder!$Q$2:$Q$81,MATCH($B19,brand_intake_founder!$A$2:$A$81,0))),"")))</f>
        <v/>
      </c>
      <c r="X19" s="25">
        <f>IF($B19="","",IF(COUNTIF(brand_intake!$A$2:$A$401,$B19)&gt;0,IFERROR(IF(INDEX(brand_intake!$R$2:$R$401,MATCH($B19,brand_intake!$A$2:$A$401,0))="","",INDEX(brand_intake!$R$2:$R$401,MATCH($B19,brand_intake!$A$2:$A$401,0))),""),IFERROR(IF(INDEX(brand_intake_founder!$R$2:$R$81,MATCH($B19,brand_intake_founder!$A$2:$A$81,0))="","",INDEX(brand_intake_founder!$R$2:$R$81,MATCH($B19,brand_intake_founder!$A$2:$A$81,0))),"")))</f>
        <v/>
      </c>
      <c r="Y19" s="25">
        <f>IF($B19="","",IF(COUNTIF(brand_intake!$A$2:$A$401,$B19)&gt;0,IFERROR(IF(INDEX(brand_intake!$S$2:$S$401,MATCH($B19,brand_intake!$A$2:$A$401,0))="","",INDEX(brand_intake!$S$2:$S$401,MATCH($B19,brand_intake!$A$2:$A$401,0))),""),IFERROR(IF(INDEX(brand_intake_founder!$S$2:$S$81,MATCH($B19,brand_intake_founder!$A$2:$A$81,0))="","",INDEX(brand_intake_founder!$S$2:$S$81,MATCH($B19,brand_intake_founder!$A$2:$A$81,0))),"")))</f>
        <v/>
      </c>
      <c r="Z19" s="25">
        <f>IF($B19="","",IF(COUNTIF(brand_intake!$A$2:$A$401,$B19)&gt;0,IFERROR(IF(INDEX(brand_intake!$T$2:$T$401,MATCH($B19,brand_intake!$A$2:$A$401,0))="","",INDEX(brand_intake!$T$2:$T$401,MATCH($B19,brand_intake!$A$2:$A$401,0))),""),IFERROR(IF(INDEX(brand_intake_founder!$T$2:$T$81,MATCH($B19,brand_intake_founder!$A$2:$A$81,0))="","",INDEX(brand_intake_founder!$T$2:$T$81,MATCH($B19,brand_intake_founder!$A$2:$A$81,0))),"")))</f>
        <v/>
      </c>
      <c r="AA19" s="25">
        <f>IF($B19="","",IF(COUNTIF(brand_intake!$A$2:$A$401,$B19)&gt;0,IFERROR(IF(INDEX(brand_intake!$U$2:$U$401,MATCH($B19,brand_intake!$A$2:$A$401,0))="","",INDEX(brand_intake!$U$2:$U$401,MATCH($B19,brand_intake!$A$2:$A$401,0))),""),IFERROR(IF(INDEX(brand_intake_founder!$U$2:$U$81,MATCH($B19,brand_intake_founder!$A$2:$A$81,0))="","",INDEX(brand_intake_founder!$U$2:$U$81,MATCH($B19,brand_intake_founder!$A$2:$A$81,0))),"")))</f>
        <v/>
      </c>
      <c r="AB19" s="25">
        <f>IF($B19="","",IF(COUNTIF(brand_intake!$A$2:$A$401,$B19)&gt;0,IFERROR(IF(INDEX(brand_intake!$V$2:$V$401,MATCH($B19,brand_intake!$A$2:$A$401,0))="","",INDEX(brand_intake!$V$2:$V$401,MATCH($B19,brand_intake!$A$2:$A$401,0))),""),IFERROR(IF(INDEX(brand_intake_founder!$V$2:$V$81,MATCH($B19,brand_intake_founder!$A$2:$A$81,0))="","",INDEX(brand_intake_founder!$V$2:$V$81,MATCH($B19,brand_intake_founder!$A$2:$A$81,0))),"")))</f>
        <v/>
      </c>
      <c r="AC19" s="25">
        <f>IF($B19="","",IF(COUNTIF(brand_intake!$A$2:$A$401,$B19)&gt;0,IFERROR(IF(INDEX(brand_intake!$W$2:$W$401,MATCH($B19,brand_intake!$A$2:$A$401,0))="","",INDEX(brand_intake!$W$2:$W$401,MATCH($B19,brand_intake!$A$2:$A$401,0))),""),IFERROR(IF(INDEX(brand_intake_founder!$W$2:$W$81,MATCH($B19,brand_intake_founder!$A$2:$A$81,0))="","",INDEX(brand_intake_founder!$W$2:$W$81,MATCH($B19,brand_intake_founder!$A$2:$A$81,0))),"")))</f>
        <v/>
      </c>
      <c r="AD19" s="25">
        <f>IF($B19="","",IF(COUNTIF(brand_intake!$A$2:$A$401,$B19)&gt;0,IFERROR(IF(INDEX(brand_intake!$X$2:$X$401,MATCH($B19,brand_intake!$A$2:$A$401,0))="","",INDEX(brand_intake!$X$2:$X$401,MATCH($B19,brand_intake!$A$2:$A$401,0))),""),IFERROR(IF(INDEX(brand_intake_founder!$X$2:$X$81,MATCH($B19,brand_intake_founder!$A$2:$A$81,0))="","",INDEX(brand_intake_founder!$X$2:$X$81,MATCH($B19,brand_intake_founder!$A$2:$A$81,0))),"")))</f>
        <v/>
      </c>
      <c r="AE19" s="25">
        <f>IF($B19="","",IF(COUNTIF(brand_intake!$A$2:$A$401,$B19)&gt;0,IFERROR(IF(INDEX(brand_intake!$Y$2:$Y$401,MATCH($B19,brand_intake!$A$2:$A$401,0))="","",INDEX(brand_intake!$Y$2:$Y$401,MATCH($B19,brand_intake!$A$2:$A$401,0))),""),IFERROR(IF(INDEX(brand_intake_founder!$Y$2:$Y$81,MATCH($B19,brand_intake_founder!$A$2:$A$81,0))="","",INDEX(brand_intake_founder!$Y$2:$Y$81,MATCH($B19,brand_intake_founder!$A$2:$A$81,0))),"")))</f>
        <v/>
      </c>
      <c r="AF19" s="25">
        <f>IF($B19="","",($X19="Y")+($Y19="Y")+($Z19="Y")+($AA19="Y")+($AB19="Y")+($AC19="Y")+(LEN($AD19)&gt;0))</f>
        <v/>
      </c>
      <c r="AG19" s="25">
        <f>IF($B19="","",IF(AND($AF19=7,$AE19="Y"),"Y (as answered)","N: check "&amp;IF($X19&lt;&gt;"Y","1 ","")&amp;IF($Y19&lt;&gt;"Y","2 ","")&amp;IF($Z19&lt;&gt;"Y","3 ","")&amp;IF($AA19&lt;&gt;"Y","4 ","")&amp;IF($AB19&lt;&gt;"Y","5 ","")&amp;IF($AC19&lt;&gt;"Y","6 ","")&amp;IF(LEN($AD19)=0,"7 ","")&amp;IF($AE19&lt;&gt;"Y","excluded? ","")))</f>
        <v/>
      </c>
      <c r="AH19" s="25">
        <f>IF($A19="","",COUNTIF(campaigns!$C$2:$C$51,$A19))</f>
        <v/>
      </c>
      <c r="AI19" s="25">
        <f>IF(OR($A19="",SUMIFS(campaigns!$H$2:$H$51,campaigns!$C$2:$C$51,$A19,campaigns!$D$2:$D$51,"founding",campaigns!$E$2:$E$51,"&lt;&gt;Y")=0),"",COUNTIFS(campaigns!$D$2:$D$51,"founding",campaigns!$E$2:$E$51,"&lt;&gt;Y",campaigns!$H$2:$H$51,"&lt;="&amp;SUMIFS(campaigns!$H$2:$H$51,campaigns!$C$2:$C$51,$A19,campaigns!$D$2:$D$51,"founding",campaigns!$E$2:$E$51,"&lt;&gt;Y"),campaigns!$H$2:$H$51,"&gt;0"))</f>
        <v/>
      </c>
      <c r="AJ19" s="25">
        <f>IF(OR($A19="",NOT(IFERROR(COUNTIF(INDEX(in_paid_brands!$A$2:$BZ$81,0,MATCH("brand_id",in_paid_brands!$A$1:$BZ$1,0)),$A19),0)&gt;0)),"",IF(IFERROR(IF(INDEX(in_paid_brands!$A$2:$BZ$81,MATCH($A19,INDEX(in_paid_brands!$A$2:$BZ$81,0,MATCH("brand_id",in_paid_brands!$A$1:$BZ$1,0)),0),MATCH("campaign_id",in_paid_brands!$A$1:$BZ$1,0))="","",INDEX(in_paid_brands!$A$2:$BZ$81,MATCH($A19,INDEX(in_paid_brands!$A$2:$BZ$81,0,MATCH("brand_id",in_paid_brands!$A$1:$BZ$1,0)),0),MATCH("campaign_id",in_paid_brands!$A$1:$BZ$1,0))),"")="","E's paid_brands row has no campaign_id: type the CMP-### there; ",IF(OR(ABS(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gt;0.005,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payment 1 differs: E "&amp;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amp;" on "&amp;IF(N(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0,"none",TEXT(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yyyy-mm-dd"))&amp;"; ","")&amp;IF(OR(ABS(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gt;0.005,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payment 2 differs: E "&amp;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amp;" on "&amp;IF(N(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0,"none",TEXT(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yyyy-mm-dd"))&amp;"; ","")))</f>
        <v/>
      </c>
    </row>
    <row r="20">
      <c r="B20" s="30" t="n"/>
      <c r="H20" s="9" t="n"/>
      <c r="K20" s="25">
        <f>IF($B20="","",IF(COUNTIF(brand_intake!$A$2:$A$401,$B20)&gt;0,IFERROR(IF(INDEX(brand_intake!$C$2:$C$401,MATCH($B20,brand_intake!$A$2:$A$401,0))="","",INDEX(brand_intake!$C$2:$C$401,MATCH($B20,brand_intake!$A$2:$A$401,0))),""),IFERROR(IF(INDEX(brand_intake_founder!$C$2:$C$81,MATCH($B20,brand_intake_founder!$A$2:$A$81,0))="","",INDEX(brand_intake_founder!$C$2:$C$81,MATCH($B20,brand_intake_founder!$A$2:$A$81,0))),"")))</f>
        <v/>
      </c>
      <c r="L20" s="25">
        <f>IF($B20="","",IF(COUNTIF(brand_intake!$A$2:$A$401,$B20)&gt;0,IFERROR(IF(INDEX(brand_intake!$D$2:$D$401,MATCH($B20,brand_intake!$A$2:$A$401,0))="","",INDEX(brand_intake!$D$2:$D$401,MATCH($B20,brand_intake!$A$2:$A$401,0))),""),IFERROR(IF(INDEX(brand_intake_founder!$D$2:$D$81,MATCH($B20,brand_intake_founder!$A$2:$A$81,0))="","",INDEX(brand_intake_founder!$D$2:$D$81,MATCH($B20,brand_intake_founder!$A$2:$A$81,0))),"")))</f>
        <v/>
      </c>
      <c r="M20" s="25">
        <f>IF($B20="","",IF(COUNTIF(brand_intake!$A$2:$A$401,$B20)&gt;0,IFERROR(IF(INDEX(brand_intake!$J$2:$J$401,MATCH($B20,brand_intake!$A$2:$A$401,0))="","",INDEX(brand_intake!$J$2:$J$401,MATCH($B20,brand_intake!$A$2:$A$401,0))),""),IFERROR(IF(INDEX(brand_intake_founder!$J$2:$J$81,MATCH($B20,brand_intake_founder!$A$2:$A$81,0))="","",INDEX(brand_intake_founder!$J$2:$J$81,MATCH($B20,brand_intake_founder!$A$2:$A$81,0))),"")))</f>
        <v/>
      </c>
      <c r="N20" s="25">
        <f>IF($B20="","",IF(COUNTIF(brand_intake!$A$2:$A$401,$B20)&gt;0,IFERROR(IF(INDEX(brand_intake!$I$2:$I$401,MATCH($B20,brand_intake!$A$2:$A$401,0))="","",INDEX(brand_intake!$I$2:$I$401,MATCH($B20,brand_intake!$A$2:$A$401,0))),""),IFERROR(IF(INDEX(brand_intake_founder!$I$2:$I$81,MATCH($B20,brand_intake_founder!$A$2:$A$81,0))="","",INDEX(brand_intake_founder!$I$2:$I$81,MATCH($B20,brand_intake_founder!$A$2:$A$81,0))),"")))</f>
        <v/>
      </c>
      <c r="O20" s="25">
        <f>IF($B20="","",IF(COUNTIF(brand_intake!$A$2:$A$401,$B20)&gt;0,IFERROR(IF(INDEX(brand_intake!$K$2:$K$401,MATCH($B20,brand_intake!$A$2:$A$401,0))="","",INDEX(brand_intake!$K$2:$K$401,MATCH($B20,brand_intake!$A$2:$A$401,0))),""),IFERROR(IF(INDEX(brand_intake_founder!$K$2:$K$81,MATCH($B20,brand_intake_founder!$A$2:$A$81,0))="","",INDEX(brand_intake_founder!$K$2:$K$81,MATCH($B20,brand_intake_founder!$A$2:$A$81,0))),"")))</f>
        <v/>
      </c>
      <c r="P20" s="25">
        <f>IF($B20="","",IF(COUNTIF(brand_intake!$A$2:$A$401,$B20)&gt;0,IFERROR(IF(INDEX(brand_intake!$E$2:$E$401,MATCH($B20,brand_intake!$A$2:$A$401,0))="","",INDEX(brand_intake!$E$2:$E$401,MATCH($B20,brand_intake!$A$2:$A$401,0))),""),IFERROR(IF(INDEX(brand_intake_founder!$E$2:$E$81,MATCH($B20,brand_intake_founder!$A$2:$A$81,0))="","",INDEX(brand_intake_founder!$E$2:$E$81,MATCH($B20,brand_intake_founder!$A$2:$A$81,0))),"")))</f>
        <v/>
      </c>
      <c r="Q20" s="25">
        <f>IF($B20="","",IF(COUNTIF(brand_intake!$A$2:$A$401,$B20)&gt;0,IFERROR(IF(INDEX(brand_intake!$F$2:$F$401,MATCH($B20,brand_intake!$A$2:$A$401,0))="","",INDEX(brand_intake!$F$2:$F$401,MATCH($B20,brand_intake!$A$2:$A$401,0))),""),IFERROR(IF(INDEX(brand_intake_founder!$F$2:$F$81,MATCH($B20,brand_intake_founder!$A$2:$A$81,0))="","",INDEX(brand_intake_founder!$F$2:$F$81,MATCH($B20,brand_intake_founder!$A$2:$A$81,0))),"")))</f>
        <v/>
      </c>
      <c r="R20" s="25">
        <f>IF($B20="","",IF(COUNTIF(brand_intake!$A$2:$A$401,$B20)&gt;0,IFERROR(IF(INDEX(brand_intake!$G$2:$G$401,MATCH($B20,brand_intake!$A$2:$A$401,0))="","",INDEX(brand_intake!$G$2:$G$401,MATCH($B20,brand_intake!$A$2:$A$401,0))),""),IFERROR(IF(INDEX(brand_intake_founder!$G$2:$G$81,MATCH($B20,brand_intake_founder!$A$2:$A$81,0))="","",INDEX(brand_intake_founder!$G$2:$G$81,MATCH($B20,brand_intake_founder!$A$2:$A$81,0))),"")))</f>
        <v/>
      </c>
      <c r="S20" s="25">
        <f>IF($B20="","",IF(COUNTIF(brand_intake!$A$2:$A$401,$B20)&gt;0,IFERROR(IF(INDEX(brand_intake!$H$2:$H$401,MATCH($B20,brand_intake!$A$2:$A$401,0))="","",INDEX(brand_intake!$H$2:$H$401,MATCH($B20,brand_intake!$A$2:$A$401,0))),""),IFERROR(IF(INDEX(brand_intake_founder!$H$2:$H$81,MATCH($B20,brand_intake_founder!$A$2:$A$81,0))="","",INDEX(brand_intake_founder!$H$2:$H$81,MATCH($B20,brand_intake_founder!$A$2:$A$81,0))),"")))</f>
        <v/>
      </c>
      <c r="T20" s="25">
        <f>IF($B20="","",IF(COUNTIF(brand_intake!$A$2:$A$401,$B20)&gt;0,IFERROR(IF(INDEX(brand_intake!$M$2:$M$401,MATCH($B20,brand_intake!$A$2:$A$401,0))="","",INDEX(brand_intake!$M$2:$M$401,MATCH($B20,brand_intake!$A$2:$A$401,0))),""),IFERROR(IF(INDEX(brand_intake_founder!$M$2:$M$81,MATCH($B20,brand_intake_founder!$A$2:$A$81,0))="","",INDEX(brand_intake_founder!$M$2:$M$81,MATCH($B20,brand_intake_founder!$A$2:$A$81,0))),"")))</f>
        <v/>
      </c>
      <c r="U20" s="25">
        <f>IF($B20="","",IF(COUNTIF(brand_intake!$A$2:$A$401,$B20)&gt;0,IFERROR(IF(INDEX(brand_intake!$L$2:$L$401,MATCH($B20,brand_intake!$A$2:$A$401,0))="","",INDEX(brand_intake!$L$2:$L$401,MATCH($B20,brand_intake!$A$2:$A$401,0))),""),IFERROR(IF(INDEX(brand_intake_founder!$L$2:$L$81,MATCH($B20,brand_intake_founder!$A$2:$A$81,0))="","",INDEX(brand_intake_founder!$L$2:$L$81,MATCH($B20,brand_intake_founder!$A$2:$A$81,0))),"")))</f>
        <v/>
      </c>
      <c r="V20" s="25">
        <f>IF($B20="","",IF(COUNTIF(brand_intake!$A$2:$A$401,$B20)&gt;0,IFERROR(IF(INDEX(brand_intake!$N$2:$N$401,MATCH($B20,brand_intake!$A$2:$A$401,0))="","",INDEX(brand_intake!$N$2:$N$401,MATCH($B20,brand_intake!$A$2:$A$401,0))),""),IFERROR(IF(INDEX(brand_intake_founder!$N$2:$N$81,MATCH($B20,brand_intake_founder!$A$2:$A$81,0))="","",INDEX(brand_intake_founder!$N$2:$N$81,MATCH($B20,brand_intake_founder!$A$2:$A$81,0))),"")))</f>
        <v/>
      </c>
      <c r="W20" s="25">
        <f>IF($B20="","",IF(COUNTIF(brand_intake!$A$2:$A$401,$B20)&gt;0,IFERROR(IF(INDEX(brand_intake!$Q$2:$Q$401,MATCH($B20,brand_intake!$A$2:$A$401,0))="","",INDEX(brand_intake!$Q$2:$Q$401,MATCH($B20,brand_intake!$A$2:$A$401,0))),""),IFERROR(IF(INDEX(brand_intake_founder!$Q$2:$Q$81,MATCH($B20,brand_intake_founder!$A$2:$A$81,0))="","",INDEX(brand_intake_founder!$Q$2:$Q$81,MATCH($B20,brand_intake_founder!$A$2:$A$81,0))),"")))</f>
        <v/>
      </c>
      <c r="X20" s="25">
        <f>IF($B20="","",IF(COUNTIF(brand_intake!$A$2:$A$401,$B20)&gt;0,IFERROR(IF(INDEX(brand_intake!$R$2:$R$401,MATCH($B20,brand_intake!$A$2:$A$401,0))="","",INDEX(brand_intake!$R$2:$R$401,MATCH($B20,brand_intake!$A$2:$A$401,0))),""),IFERROR(IF(INDEX(brand_intake_founder!$R$2:$R$81,MATCH($B20,brand_intake_founder!$A$2:$A$81,0))="","",INDEX(brand_intake_founder!$R$2:$R$81,MATCH($B20,brand_intake_founder!$A$2:$A$81,0))),"")))</f>
        <v/>
      </c>
      <c r="Y20" s="25">
        <f>IF($B20="","",IF(COUNTIF(brand_intake!$A$2:$A$401,$B20)&gt;0,IFERROR(IF(INDEX(brand_intake!$S$2:$S$401,MATCH($B20,brand_intake!$A$2:$A$401,0))="","",INDEX(brand_intake!$S$2:$S$401,MATCH($B20,brand_intake!$A$2:$A$401,0))),""),IFERROR(IF(INDEX(brand_intake_founder!$S$2:$S$81,MATCH($B20,brand_intake_founder!$A$2:$A$81,0))="","",INDEX(brand_intake_founder!$S$2:$S$81,MATCH($B20,brand_intake_founder!$A$2:$A$81,0))),"")))</f>
        <v/>
      </c>
      <c r="Z20" s="25">
        <f>IF($B20="","",IF(COUNTIF(brand_intake!$A$2:$A$401,$B20)&gt;0,IFERROR(IF(INDEX(brand_intake!$T$2:$T$401,MATCH($B20,brand_intake!$A$2:$A$401,0))="","",INDEX(brand_intake!$T$2:$T$401,MATCH($B20,brand_intake!$A$2:$A$401,0))),""),IFERROR(IF(INDEX(brand_intake_founder!$T$2:$T$81,MATCH($B20,brand_intake_founder!$A$2:$A$81,0))="","",INDEX(brand_intake_founder!$T$2:$T$81,MATCH($B20,brand_intake_founder!$A$2:$A$81,0))),"")))</f>
        <v/>
      </c>
      <c r="AA20" s="25">
        <f>IF($B20="","",IF(COUNTIF(brand_intake!$A$2:$A$401,$B20)&gt;0,IFERROR(IF(INDEX(brand_intake!$U$2:$U$401,MATCH($B20,brand_intake!$A$2:$A$401,0))="","",INDEX(brand_intake!$U$2:$U$401,MATCH($B20,brand_intake!$A$2:$A$401,0))),""),IFERROR(IF(INDEX(brand_intake_founder!$U$2:$U$81,MATCH($B20,brand_intake_founder!$A$2:$A$81,0))="","",INDEX(brand_intake_founder!$U$2:$U$81,MATCH($B20,brand_intake_founder!$A$2:$A$81,0))),"")))</f>
        <v/>
      </c>
      <c r="AB20" s="25">
        <f>IF($B20="","",IF(COUNTIF(brand_intake!$A$2:$A$401,$B20)&gt;0,IFERROR(IF(INDEX(brand_intake!$V$2:$V$401,MATCH($B20,brand_intake!$A$2:$A$401,0))="","",INDEX(brand_intake!$V$2:$V$401,MATCH($B20,brand_intake!$A$2:$A$401,0))),""),IFERROR(IF(INDEX(brand_intake_founder!$V$2:$V$81,MATCH($B20,brand_intake_founder!$A$2:$A$81,0))="","",INDEX(brand_intake_founder!$V$2:$V$81,MATCH($B20,brand_intake_founder!$A$2:$A$81,0))),"")))</f>
        <v/>
      </c>
      <c r="AC20" s="25">
        <f>IF($B20="","",IF(COUNTIF(brand_intake!$A$2:$A$401,$B20)&gt;0,IFERROR(IF(INDEX(brand_intake!$W$2:$W$401,MATCH($B20,brand_intake!$A$2:$A$401,0))="","",INDEX(brand_intake!$W$2:$W$401,MATCH($B20,brand_intake!$A$2:$A$401,0))),""),IFERROR(IF(INDEX(brand_intake_founder!$W$2:$W$81,MATCH($B20,brand_intake_founder!$A$2:$A$81,0))="","",INDEX(brand_intake_founder!$W$2:$W$81,MATCH($B20,brand_intake_founder!$A$2:$A$81,0))),"")))</f>
        <v/>
      </c>
      <c r="AD20" s="25">
        <f>IF($B20="","",IF(COUNTIF(brand_intake!$A$2:$A$401,$B20)&gt;0,IFERROR(IF(INDEX(brand_intake!$X$2:$X$401,MATCH($B20,brand_intake!$A$2:$A$401,0))="","",INDEX(brand_intake!$X$2:$X$401,MATCH($B20,brand_intake!$A$2:$A$401,0))),""),IFERROR(IF(INDEX(brand_intake_founder!$X$2:$X$81,MATCH($B20,brand_intake_founder!$A$2:$A$81,0))="","",INDEX(brand_intake_founder!$X$2:$X$81,MATCH($B20,brand_intake_founder!$A$2:$A$81,0))),"")))</f>
        <v/>
      </c>
      <c r="AE20" s="25">
        <f>IF($B20="","",IF(COUNTIF(brand_intake!$A$2:$A$401,$B20)&gt;0,IFERROR(IF(INDEX(brand_intake!$Y$2:$Y$401,MATCH($B20,brand_intake!$A$2:$A$401,0))="","",INDEX(brand_intake!$Y$2:$Y$401,MATCH($B20,brand_intake!$A$2:$A$401,0))),""),IFERROR(IF(INDEX(brand_intake_founder!$Y$2:$Y$81,MATCH($B20,brand_intake_founder!$A$2:$A$81,0))="","",INDEX(brand_intake_founder!$Y$2:$Y$81,MATCH($B20,brand_intake_founder!$A$2:$A$81,0))),"")))</f>
        <v/>
      </c>
      <c r="AF20" s="25">
        <f>IF($B20="","",($X20="Y")+($Y20="Y")+($Z20="Y")+($AA20="Y")+($AB20="Y")+($AC20="Y")+(LEN($AD20)&gt;0))</f>
        <v/>
      </c>
      <c r="AG20" s="25">
        <f>IF($B20="","",IF(AND($AF20=7,$AE20="Y"),"Y (as answered)","N: check "&amp;IF($X20&lt;&gt;"Y","1 ","")&amp;IF($Y20&lt;&gt;"Y","2 ","")&amp;IF($Z20&lt;&gt;"Y","3 ","")&amp;IF($AA20&lt;&gt;"Y","4 ","")&amp;IF($AB20&lt;&gt;"Y","5 ","")&amp;IF($AC20&lt;&gt;"Y","6 ","")&amp;IF(LEN($AD20)=0,"7 ","")&amp;IF($AE20&lt;&gt;"Y","excluded? ","")))</f>
        <v/>
      </c>
      <c r="AH20" s="25">
        <f>IF($A20="","",COUNTIF(campaigns!$C$2:$C$51,$A20))</f>
        <v/>
      </c>
      <c r="AI20" s="25">
        <f>IF(OR($A20="",SUMIFS(campaigns!$H$2:$H$51,campaigns!$C$2:$C$51,$A20,campaigns!$D$2:$D$51,"founding",campaigns!$E$2:$E$51,"&lt;&gt;Y")=0),"",COUNTIFS(campaigns!$D$2:$D$51,"founding",campaigns!$E$2:$E$51,"&lt;&gt;Y",campaigns!$H$2:$H$51,"&lt;="&amp;SUMIFS(campaigns!$H$2:$H$51,campaigns!$C$2:$C$51,$A20,campaigns!$D$2:$D$51,"founding",campaigns!$E$2:$E$51,"&lt;&gt;Y"),campaigns!$H$2:$H$51,"&gt;0"))</f>
        <v/>
      </c>
      <c r="AJ20" s="25">
        <f>IF(OR($A20="",NOT(IFERROR(COUNTIF(INDEX(in_paid_brands!$A$2:$BZ$81,0,MATCH("brand_id",in_paid_brands!$A$1:$BZ$1,0)),$A20),0)&gt;0)),"",IF(IFERROR(IF(INDEX(in_paid_brands!$A$2:$BZ$81,MATCH($A20,INDEX(in_paid_brands!$A$2:$BZ$81,0,MATCH("brand_id",in_paid_brands!$A$1:$BZ$1,0)),0),MATCH("campaign_id",in_paid_brands!$A$1:$BZ$1,0))="","",INDEX(in_paid_brands!$A$2:$BZ$81,MATCH($A20,INDEX(in_paid_brands!$A$2:$BZ$81,0,MATCH("brand_id",in_paid_brands!$A$1:$BZ$1,0)),0),MATCH("campaign_id",in_paid_brands!$A$1:$BZ$1,0))),"")="","E's paid_brands row has no campaign_id: type the CMP-### there; ",IF(OR(ABS(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gt;0.005,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payment 1 differs: E "&amp;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amp;" on "&amp;IF(N(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0,"none",TEXT(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yyyy-mm-dd"))&amp;"; ","")&amp;IF(OR(ABS(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gt;0.005,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payment 2 differs: E "&amp;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amp;" on "&amp;IF(N(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0,"none",TEXT(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yyyy-mm-dd"))&amp;"; ","")))</f>
        <v/>
      </c>
    </row>
    <row r="21">
      <c r="B21" s="30" t="n"/>
      <c r="H21" s="9" t="n"/>
      <c r="K21" s="25">
        <f>IF($B21="","",IF(COUNTIF(brand_intake!$A$2:$A$401,$B21)&gt;0,IFERROR(IF(INDEX(brand_intake!$C$2:$C$401,MATCH($B21,brand_intake!$A$2:$A$401,0))="","",INDEX(brand_intake!$C$2:$C$401,MATCH($B21,brand_intake!$A$2:$A$401,0))),""),IFERROR(IF(INDEX(brand_intake_founder!$C$2:$C$81,MATCH($B21,brand_intake_founder!$A$2:$A$81,0))="","",INDEX(brand_intake_founder!$C$2:$C$81,MATCH($B21,brand_intake_founder!$A$2:$A$81,0))),"")))</f>
        <v/>
      </c>
      <c r="L21" s="25">
        <f>IF($B21="","",IF(COUNTIF(brand_intake!$A$2:$A$401,$B21)&gt;0,IFERROR(IF(INDEX(brand_intake!$D$2:$D$401,MATCH($B21,brand_intake!$A$2:$A$401,0))="","",INDEX(brand_intake!$D$2:$D$401,MATCH($B21,brand_intake!$A$2:$A$401,0))),""),IFERROR(IF(INDEX(brand_intake_founder!$D$2:$D$81,MATCH($B21,brand_intake_founder!$A$2:$A$81,0))="","",INDEX(brand_intake_founder!$D$2:$D$81,MATCH($B21,brand_intake_founder!$A$2:$A$81,0))),"")))</f>
        <v/>
      </c>
      <c r="M21" s="25">
        <f>IF($B21="","",IF(COUNTIF(brand_intake!$A$2:$A$401,$B21)&gt;0,IFERROR(IF(INDEX(brand_intake!$J$2:$J$401,MATCH($B21,brand_intake!$A$2:$A$401,0))="","",INDEX(brand_intake!$J$2:$J$401,MATCH($B21,brand_intake!$A$2:$A$401,0))),""),IFERROR(IF(INDEX(brand_intake_founder!$J$2:$J$81,MATCH($B21,brand_intake_founder!$A$2:$A$81,0))="","",INDEX(brand_intake_founder!$J$2:$J$81,MATCH($B21,brand_intake_founder!$A$2:$A$81,0))),"")))</f>
        <v/>
      </c>
      <c r="N21" s="25">
        <f>IF($B21="","",IF(COUNTIF(brand_intake!$A$2:$A$401,$B21)&gt;0,IFERROR(IF(INDEX(brand_intake!$I$2:$I$401,MATCH($B21,brand_intake!$A$2:$A$401,0))="","",INDEX(brand_intake!$I$2:$I$401,MATCH($B21,brand_intake!$A$2:$A$401,0))),""),IFERROR(IF(INDEX(brand_intake_founder!$I$2:$I$81,MATCH($B21,brand_intake_founder!$A$2:$A$81,0))="","",INDEX(brand_intake_founder!$I$2:$I$81,MATCH($B21,brand_intake_founder!$A$2:$A$81,0))),"")))</f>
        <v/>
      </c>
      <c r="O21" s="25">
        <f>IF($B21="","",IF(COUNTIF(brand_intake!$A$2:$A$401,$B21)&gt;0,IFERROR(IF(INDEX(brand_intake!$K$2:$K$401,MATCH($B21,brand_intake!$A$2:$A$401,0))="","",INDEX(brand_intake!$K$2:$K$401,MATCH($B21,brand_intake!$A$2:$A$401,0))),""),IFERROR(IF(INDEX(brand_intake_founder!$K$2:$K$81,MATCH($B21,brand_intake_founder!$A$2:$A$81,0))="","",INDEX(brand_intake_founder!$K$2:$K$81,MATCH($B21,brand_intake_founder!$A$2:$A$81,0))),"")))</f>
        <v/>
      </c>
      <c r="P21" s="25">
        <f>IF($B21="","",IF(COUNTIF(brand_intake!$A$2:$A$401,$B21)&gt;0,IFERROR(IF(INDEX(brand_intake!$E$2:$E$401,MATCH($B21,brand_intake!$A$2:$A$401,0))="","",INDEX(brand_intake!$E$2:$E$401,MATCH($B21,brand_intake!$A$2:$A$401,0))),""),IFERROR(IF(INDEX(brand_intake_founder!$E$2:$E$81,MATCH($B21,brand_intake_founder!$A$2:$A$81,0))="","",INDEX(brand_intake_founder!$E$2:$E$81,MATCH($B21,brand_intake_founder!$A$2:$A$81,0))),"")))</f>
        <v/>
      </c>
      <c r="Q21" s="25">
        <f>IF($B21="","",IF(COUNTIF(brand_intake!$A$2:$A$401,$B21)&gt;0,IFERROR(IF(INDEX(brand_intake!$F$2:$F$401,MATCH($B21,brand_intake!$A$2:$A$401,0))="","",INDEX(brand_intake!$F$2:$F$401,MATCH($B21,brand_intake!$A$2:$A$401,0))),""),IFERROR(IF(INDEX(brand_intake_founder!$F$2:$F$81,MATCH($B21,brand_intake_founder!$A$2:$A$81,0))="","",INDEX(brand_intake_founder!$F$2:$F$81,MATCH($B21,brand_intake_founder!$A$2:$A$81,0))),"")))</f>
        <v/>
      </c>
      <c r="R21" s="25">
        <f>IF($B21="","",IF(COUNTIF(brand_intake!$A$2:$A$401,$B21)&gt;0,IFERROR(IF(INDEX(brand_intake!$G$2:$G$401,MATCH($B21,brand_intake!$A$2:$A$401,0))="","",INDEX(brand_intake!$G$2:$G$401,MATCH($B21,brand_intake!$A$2:$A$401,0))),""),IFERROR(IF(INDEX(brand_intake_founder!$G$2:$G$81,MATCH($B21,brand_intake_founder!$A$2:$A$81,0))="","",INDEX(brand_intake_founder!$G$2:$G$81,MATCH($B21,brand_intake_founder!$A$2:$A$81,0))),"")))</f>
        <v/>
      </c>
      <c r="S21" s="25">
        <f>IF($B21="","",IF(COUNTIF(brand_intake!$A$2:$A$401,$B21)&gt;0,IFERROR(IF(INDEX(brand_intake!$H$2:$H$401,MATCH($B21,brand_intake!$A$2:$A$401,0))="","",INDEX(brand_intake!$H$2:$H$401,MATCH($B21,brand_intake!$A$2:$A$401,0))),""),IFERROR(IF(INDEX(brand_intake_founder!$H$2:$H$81,MATCH($B21,brand_intake_founder!$A$2:$A$81,0))="","",INDEX(brand_intake_founder!$H$2:$H$81,MATCH($B21,brand_intake_founder!$A$2:$A$81,0))),"")))</f>
        <v/>
      </c>
      <c r="T21" s="25">
        <f>IF($B21="","",IF(COUNTIF(brand_intake!$A$2:$A$401,$B21)&gt;0,IFERROR(IF(INDEX(brand_intake!$M$2:$M$401,MATCH($B21,brand_intake!$A$2:$A$401,0))="","",INDEX(brand_intake!$M$2:$M$401,MATCH($B21,brand_intake!$A$2:$A$401,0))),""),IFERROR(IF(INDEX(brand_intake_founder!$M$2:$M$81,MATCH($B21,brand_intake_founder!$A$2:$A$81,0))="","",INDEX(brand_intake_founder!$M$2:$M$81,MATCH($B21,brand_intake_founder!$A$2:$A$81,0))),"")))</f>
        <v/>
      </c>
      <c r="U21" s="25">
        <f>IF($B21="","",IF(COUNTIF(brand_intake!$A$2:$A$401,$B21)&gt;0,IFERROR(IF(INDEX(brand_intake!$L$2:$L$401,MATCH($B21,brand_intake!$A$2:$A$401,0))="","",INDEX(brand_intake!$L$2:$L$401,MATCH($B21,brand_intake!$A$2:$A$401,0))),""),IFERROR(IF(INDEX(brand_intake_founder!$L$2:$L$81,MATCH($B21,brand_intake_founder!$A$2:$A$81,0))="","",INDEX(brand_intake_founder!$L$2:$L$81,MATCH($B21,brand_intake_founder!$A$2:$A$81,0))),"")))</f>
        <v/>
      </c>
      <c r="V21" s="25">
        <f>IF($B21="","",IF(COUNTIF(brand_intake!$A$2:$A$401,$B21)&gt;0,IFERROR(IF(INDEX(brand_intake!$N$2:$N$401,MATCH($B21,brand_intake!$A$2:$A$401,0))="","",INDEX(brand_intake!$N$2:$N$401,MATCH($B21,brand_intake!$A$2:$A$401,0))),""),IFERROR(IF(INDEX(brand_intake_founder!$N$2:$N$81,MATCH($B21,brand_intake_founder!$A$2:$A$81,0))="","",INDEX(brand_intake_founder!$N$2:$N$81,MATCH($B21,brand_intake_founder!$A$2:$A$81,0))),"")))</f>
        <v/>
      </c>
      <c r="W21" s="25">
        <f>IF($B21="","",IF(COUNTIF(brand_intake!$A$2:$A$401,$B21)&gt;0,IFERROR(IF(INDEX(brand_intake!$Q$2:$Q$401,MATCH($B21,brand_intake!$A$2:$A$401,0))="","",INDEX(brand_intake!$Q$2:$Q$401,MATCH($B21,brand_intake!$A$2:$A$401,0))),""),IFERROR(IF(INDEX(brand_intake_founder!$Q$2:$Q$81,MATCH($B21,brand_intake_founder!$A$2:$A$81,0))="","",INDEX(brand_intake_founder!$Q$2:$Q$81,MATCH($B21,brand_intake_founder!$A$2:$A$81,0))),"")))</f>
        <v/>
      </c>
      <c r="X21" s="25">
        <f>IF($B21="","",IF(COUNTIF(brand_intake!$A$2:$A$401,$B21)&gt;0,IFERROR(IF(INDEX(brand_intake!$R$2:$R$401,MATCH($B21,brand_intake!$A$2:$A$401,0))="","",INDEX(brand_intake!$R$2:$R$401,MATCH($B21,brand_intake!$A$2:$A$401,0))),""),IFERROR(IF(INDEX(brand_intake_founder!$R$2:$R$81,MATCH($B21,brand_intake_founder!$A$2:$A$81,0))="","",INDEX(brand_intake_founder!$R$2:$R$81,MATCH($B21,brand_intake_founder!$A$2:$A$81,0))),"")))</f>
        <v/>
      </c>
      <c r="Y21" s="25">
        <f>IF($B21="","",IF(COUNTIF(brand_intake!$A$2:$A$401,$B21)&gt;0,IFERROR(IF(INDEX(brand_intake!$S$2:$S$401,MATCH($B21,brand_intake!$A$2:$A$401,0))="","",INDEX(brand_intake!$S$2:$S$401,MATCH($B21,brand_intake!$A$2:$A$401,0))),""),IFERROR(IF(INDEX(brand_intake_founder!$S$2:$S$81,MATCH($B21,brand_intake_founder!$A$2:$A$81,0))="","",INDEX(brand_intake_founder!$S$2:$S$81,MATCH($B21,brand_intake_founder!$A$2:$A$81,0))),"")))</f>
        <v/>
      </c>
      <c r="Z21" s="25">
        <f>IF($B21="","",IF(COUNTIF(brand_intake!$A$2:$A$401,$B21)&gt;0,IFERROR(IF(INDEX(brand_intake!$T$2:$T$401,MATCH($B21,brand_intake!$A$2:$A$401,0))="","",INDEX(brand_intake!$T$2:$T$401,MATCH($B21,brand_intake!$A$2:$A$401,0))),""),IFERROR(IF(INDEX(brand_intake_founder!$T$2:$T$81,MATCH($B21,brand_intake_founder!$A$2:$A$81,0))="","",INDEX(brand_intake_founder!$T$2:$T$81,MATCH($B21,brand_intake_founder!$A$2:$A$81,0))),"")))</f>
        <v/>
      </c>
      <c r="AA21" s="25">
        <f>IF($B21="","",IF(COUNTIF(brand_intake!$A$2:$A$401,$B21)&gt;0,IFERROR(IF(INDEX(brand_intake!$U$2:$U$401,MATCH($B21,brand_intake!$A$2:$A$401,0))="","",INDEX(brand_intake!$U$2:$U$401,MATCH($B21,brand_intake!$A$2:$A$401,0))),""),IFERROR(IF(INDEX(brand_intake_founder!$U$2:$U$81,MATCH($B21,brand_intake_founder!$A$2:$A$81,0))="","",INDEX(brand_intake_founder!$U$2:$U$81,MATCH($B21,brand_intake_founder!$A$2:$A$81,0))),"")))</f>
        <v/>
      </c>
      <c r="AB21" s="25">
        <f>IF($B21="","",IF(COUNTIF(brand_intake!$A$2:$A$401,$B21)&gt;0,IFERROR(IF(INDEX(brand_intake!$V$2:$V$401,MATCH($B21,brand_intake!$A$2:$A$401,0))="","",INDEX(brand_intake!$V$2:$V$401,MATCH($B21,brand_intake!$A$2:$A$401,0))),""),IFERROR(IF(INDEX(brand_intake_founder!$V$2:$V$81,MATCH($B21,brand_intake_founder!$A$2:$A$81,0))="","",INDEX(brand_intake_founder!$V$2:$V$81,MATCH($B21,brand_intake_founder!$A$2:$A$81,0))),"")))</f>
        <v/>
      </c>
      <c r="AC21" s="25">
        <f>IF($B21="","",IF(COUNTIF(brand_intake!$A$2:$A$401,$B21)&gt;0,IFERROR(IF(INDEX(brand_intake!$W$2:$W$401,MATCH($B21,brand_intake!$A$2:$A$401,0))="","",INDEX(brand_intake!$W$2:$W$401,MATCH($B21,brand_intake!$A$2:$A$401,0))),""),IFERROR(IF(INDEX(brand_intake_founder!$W$2:$W$81,MATCH($B21,brand_intake_founder!$A$2:$A$81,0))="","",INDEX(brand_intake_founder!$W$2:$W$81,MATCH($B21,brand_intake_founder!$A$2:$A$81,0))),"")))</f>
        <v/>
      </c>
      <c r="AD21" s="25">
        <f>IF($B21="","",IF(COUNTIF(brand_intake!$A$2:$A$401,$B21)&gt;0,IFERROR(IF(INDEX(brand_intake!$X$2:$X$401,MATCH($B21,brand_intake!$A$2:$A$401,0))="","",INDEX(brand_intake!$X$2:$X$401,MATCH($B21,brand_intake!$A$2:$A$401,0))),""),IFERROR(IF(INDEX(brand_intake_founder!$X$2:$X$81,MATCH($B21,brand_intake_founder!$A$2:$A$81,0))="","",INDEX(brand_intake_founder!$X$2:$X$81,MATCH($B21,brand_intake_founder!$A$2:$A$81,0))),"")))</f>
        <v/>
      </c>
      <c r="AE21" s="25">
        <f>IF($B21="","",IF(COUNTIF(brand_intake!$A$2:$A$401,$B21)&gt;0,IFERROR(IF(INDEX(brand_intake!$Y$2:$Y$401,MATCH($B21,brand_intake!$A$2:$A$401,0))="","",INDEX(brand_intake!$Y$2:$Y$401,MATCH($B21,brand_intake!$A$2:$A$401,0))),""),IFERROR(IF(INDEX(brand_intake_founder!$Y$2:$Y$81,MATCH($B21,brand_intake_founder!$A$2:$A$81,0))="","",INDEX(brand_intake_founder!$Y$2:$Y$81,MATCH($B21,brand_intake_founder!$A$2:$A$81,0))),"")))</f>
        <v/>
      </c>
      <c r="AF21" s="25">
        <f>IF($B21="","",($X21="Y")+($Y21="Y")+($Z21="Y")+($AA21="Y")+($AB21="Y")+($AC21="Y")+(LEN($AD21)&gt;0))</f>
        <v/>
      </c>
      <c r="AG21" s="25">
        <f>IF($B21="","",IF(AND($AF21=7,$AE21="Y"),"Y (as answered)","N: check "&amp;IF($X21&lt;&gt;"Y","1 ","")&amp;IF($Y21&lt;&gt;"Y","2 ","")&amp;IF($Z21&lt;&gt;"Y","3 ","")&amp;IF($AA21&lt;&gt;"Y","4 ","")&amp;IF($AB21&lt;&gt;"Y","5 ","")&amp;IF($AC21&lt;&gt;"Y","6 ","")&amp;IF(LEN($AD21)=0,"7 ","")&amp;IF($AE21&lt;&gt;"Y","excluded? ","")))</f>
        <v/>
      </c>
      <c r="AH21" s="25">
        <f>IF($A21="","",COUNTIF(campaigns!$C$2:$C$51,$A21))</f>
        <v/>
      </c>
      <c r="AI21" s="25">
        <f>IF(OR($A21="",SUMIFS(campaigns!$H$2:$H$51,campaigns!$C$2:$C$51,$A21,campaigns!$D$2:$D$51,"founding",campaigns!$E$2:$E$51,"&lt;&gt;Y")=0),"",COUNTIFS(campaigns!$D$2:$D$51,"founding",campaigns!$E$2:$E$51,"&lt;&gt;Y",campaigns!$H$2:$H$51,"&lt;="&amp;SUMIFS(campaigns!$H$2:$H$51,campaigns!$C$2:$C$51,$A21,campaigns!$D$2:$D$51,"founding",campaigns!$E$2:$E$51,"&lt;&gt;Y"),campaigns!$H$2:$H$51,"&gt;0"))</f>
        <v/>
      </c>
      <c r="AJ21" s="25">
        <f>IF(OR($A21="",NOT(IFERROR(COUNTIF(INDEX(in_paid_brands!$A$2:$BZ$81,0,MATCH("brand_id",in_paid_brands!$A$1:$BZ$1,0)),$A21),0)&gt;0)),"",IF(IFERROR(IF(INDEX(in_paid_brands!$A$2:$BZ$81,MATCH($A21,INDEX(in_paid_brands!$A$2:$BZ$81,0,MATCH("brand_id",in_paid_brands!$A$1:$BZ$1,0)),0),MATCH("campaign_id",in_paid_brands!$A$1:$BZ$1,0))="","",INDEX(in_paid_brands!$A$2:$BZ$81,MATCH($A21,INDEX(in_paid_brands!$A$2:$BZ$81,0,MATCH("brand_id",in_paid_brands!$A$1:$BZ$1,0)),0),MATCH("campaign_id",in_paid_brands!$A$1:$BZ$1,0))),"")="","E's paid_brands row has no campaign_id: type the CMP-### there; ",IF(OR(ABS(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gt;0.005,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payment 1 differs: E "&amp;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amp;" on "&amp;IF(N(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0,"none",TEXT(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yyyy-mm-dd"))&amp;"; ","")&amp;IF(OR(ABS(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gt;0.005,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payment 2 differs: E "&amp;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amp;" on "&amp;IF(N(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0,"none",TEXT(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yyyy-mm-dd"))&amp;"; ","")))</f>
        <v/>
      </c>
    </row>
    <row r="22">
      <c r="B22" s="30" t="n"/>
      <c r="H22" s="9" t="n"/>
      <c r="K22" s="25">
        <f>IF($B22="","",IF(COUNTIF(brand_intake!$A$2:$A$401,$B22)&gt;0,IFERROR(IF(INDEX(brand_intake!$C$2:$C$401,MATCH($B22,brand_intake!$A$2:$A$401,0))="","",INDEX(brand_intake!$C$2:$C$401,MATCH($B22,brand_intake!$A$2:$A$401,0))),""),IFERROR(IF(INDEX(brand_intake_founder!$C$2:$C$81,MATCH($B22,brand_intake_founder!$A$2:$A$81,0))="","",INDEX(brand_intake_founder!$C$2:$C$81,MATCH($B22,brand_intake_founder!$A$2:$A$81,0))),"")))</f>
        <v/>
      </c>
      <c r="L22" s="25">
        <f>IF($B22="","",IF(COUNTIF(brand_intake!$A$2:$A$401,$B22)&gt;0,IFERROR(IF(INDEX(brand_intake!$D$2:$D$401,MATCH($B22,brand_intake!$A$2:$A$401,0))="","",INDEX(brand_intake!$D$2:$D$401,MATCH($B22,brand_intake!$A$2:$A$401,0))),""),IFERROR(IF(INDEX(brand_intake_founder!$D$2:$D$81,MATCH($B22,brand_intake_founder!$A$2:$A$81,0))="","",INDEX(brand_intake_founder!$D$2:$D$81,MATCH($B22,brand_intake_founder!$A$2:$A$81,0))),"")))</f>
        <v/>
      </c>
      <c r="M22" s="25">
        <f>IF($B22="","",IF(COUNTIF(brand_intake!$A$2:$A$401,$B22)&gt;0,IFERROR(IF(INDEX(brand_intake!$J$2:$J$401,MATCH($B22,brand_intake!$A$2:$A$401,0))="","",INDEX(brand_intake!$J$2:$J$401,MATCH($B22,brand_intake!$A$2:$A$401,0))),""),IFERROR(IF(INDEX(brand_intake_founder!$J$2:$J$81,MATCH($B22,brand_intake_founder!$A$2:$A$81,0))="","",INDEX(brand_intake_founder!$J$2:$J$81,MATCH($B22,brand_intake_founder!$A$2:$A$81,0))),"")))</f>
        <v/>
      </c>
      <c r="N22" s="25">
        <f>IF($B22="","",IF(COUNTIF(brand_intake!$A$2:$A$401,$B22)&gt;0,IFERROR(IF(INDEX(brand_intake!$I$2:$I$401,MATCH($B22,brand_intake!$A$2:$A$401,0))="","",INDEX(brand_intake!$I$2:$I$401,MATCH($B22,brand_intake!$A$2:$A$401,0))),""),IFERROR(IF(INDEX(brand_intake_founder!$I$2:$I$81,MATCH($B22,brand_intake_founder!$A$2:$A$81,0))="","",INDEX(brand_intake_founder!$I$2:$I$81,MATCH($B22,brand_intake_founder!$A$2:$A$81,0))),"")))</f>
        <v/>
      </c>
      <c r="O22" s="25">
        <f>IF($B22="","",IF(COUNTIF(brand_intake!$A$2:$A$401,$B22)&gt;0,IFERROR(IF(INDEX(brand_intake!$K$2:$K$401,MATCH($B22,brand_intake!$A$2:$A$401,0))="","",INDEX(brand_intake!$K$2:$K$401,MATCH($B22,brand_intake!$A$2:$A$401,0))),""),IFERROR(IF(INDEX(brand_intake_founder!$K$2:$K$81,MATCH($B22,brand_intake_founder!$A$2:$A$81,0))="","",INDEX(brand_intake_founder!$K$2:$K$81,MATCH($B22,brand_intake_founder!$A$2:$A$81,0))),"")))</f>
        <v/>
      </c>
      <c r="P22" s="25">
        <f>IF($B22="","",IF(COUNTIF(brand_intake!$A$2:$A$401,$B22)&gt;0,IFERROR(IF(INDEX(brand_intake!$E$2:$E$401,MATCH($B22,brand_intake!$A$2:$A$401,0))="","",INDEX(brand_intake!$E$2:$E$401,MATCH($B22,brand_intake!$A$2:$A$401,0))),""),IFERROR(IF(INDEX(brand_intake_founder!$E$2:$E$81,MATCH($B22,brand_intake_founder!$A$2:$A$81,0))="","",INDEX(brand_intake_founder!$E$2:$E$81,MATCH($B22,brand_intake_founder!$A$2:$A$81,0))),"")))</f>
        <v/>
      </c>
      <c r="Q22" s="25">
        <f>IF($B22="","",IF(COUNTIF(brand_intake!$A$2:$A$401,$B22)&gt;0,IFERROR(IF(INDEX(brand_intake!$F$2:$F$401,MATCH($B22,brand_intake!$A$2:$A$401,0))="","",INDEX(brand_intake!$F$2:$F$401,MATCH($B22,brand_intake!$A$2:$A$401,0))),""),IFERROR(IF(INDEX(brand_intake_founder!$F$2:$F$81,MATCH($B22,brand_intake_founder!$A$2:$A$81,0))="","",INDEX(brand_intake_founder!$F$2:$F$81,MATCH($B22,brand_intake_founder!$A$2:$A$81,0))),"")))</f>
        <v/>
      </c>
      <c r="R22" s="25">
        <f>IF($B22="","",IF(COUNTIF(brand_intake!$A$2:$A$401,$B22)&gt;0,IFERROR(IF(INDEX(brand_intake!$G$2:$G$401,MATCH($B22,brand_intake!$A$2:$A$401,0))="","",INDEX(brand_intake!$G$2:$G$401,MATCH($B22,brand_intake!$A$2:$A$401,0))),""),IFERROR(IF(INDEX(brand_intake_founder!$G$2:$G$81,MATCH($B22,brand_intake_founder!$A$2:$A$81,0))="","",INDEX(brand_intake_founder!$G$2:$G$81,MATCH($B22,brand_intake_founder!$A$2:$A$81,0))),"")))</f>
        <v/>
      </c>
      <c r="S22" s="25">
        <f>IF($B22="","",IF(COUNTIF(brand_intake!$A$2:$A$401,$B22)&gt;0,IFERROR(IF(INDEX(brand_intake!$H$2:$H$401,MATCH($B22,brand_intake!$A$2:$A$401,0))="","",INDEX(brand_intake!$H$2:$H$401,MATCH($B22,brand_intake!$A$2:$A$401,0))),""),IFERROR(IF(INDEX(brand_intake_founder!$H$2:$H$81,MATCH($B22,brand_intake_founder!$A$2:$A$81,0))="","",INDEX(brand_intake_founder!$H$2:$H$81,MATCH($B22,brand_intake_founder!$A$2:$A$81,0))),"")))</f>
        <v/>
      </c>
      <c r="T22" s="25">
        <f>IF($B22="","",IF(COUNTIF(brand_intake!$A$2:$A$401,$B22)&gt;0,IFERROR(IF(INDEX(brand_intake!$M$2:$M$401,MATCH($B22,brand_intake!$A$2:$A$401,0))="","",INDEX(brand_intake!$M$2:$M$401,MATCH($B22,brand_intake!$A$2:$A$401,0))),""),IFERROR(IF(INDEX(brand_intake_founder!$M$2:$M$81,MATCH($B22,brand_intake_founder!$A$2:$A$81,0))="","",INDEX(brand_intake_founder!$M$2:$M$81,MATCH($B22,brand_intake_founder!$A$2:$A$81,0))),"")))</f>
        <v/>
      </c>
      <c r="U22" s="25">
        <f>IF($B22="","",IF(COUNTIF(brand_intake!$A$2:$A$401,$B22)&gt;0,IFERROR(IF(INDEX(brand_intake!$L$2:$L$401,MATCH($B22,brand_intake!$A$2:$A$401,0))="","",INDEX(brand_intake!$L$2:$L$401,MATCH($B22,brand_intake!$A$2:$A$401,0))),""),IFERROR(IF(INDEX(brand_intake_founder!$L$2:$L$81,MATCH($B22,brand_intake_founder!$A$2:$A$81,0))="","",INDEX(brand_intake_founder!$L$2:$L$81,MATCH($B22,brand_intake_founder!$A$2:$A$81,0))),"")))</f>
        <v/>
      </c>
      <c r="V22" s="25">
        <f>IF($B22="","",IF(COUNTIF(brand_intake!$A$2:$A$401,$B22)&gt;0,IFERROR(IF(INDEX(brand_intake!$N$2:$N$401,MATCH($B22,brand_intake!$A$2:$A$401,0))="","",INDEX(brand_intake!$N$2:$N$401,MATCH($B22,brand_intake!$A$2:$A$401,0))),""),IFERROR(IF(INDEX(brand_intake_founder!$N$2:$N$81,MATCH($B22,brand_intake_founder!$A$2:$A$81,0))="","",INDEX(brand_intake_founder!$N$2:$N$81,MATCH($B22,brand_intake_founder!$A$2:$A$81,0))),"")))</f>
        <v/>
      </c>
      <c r="W22" s="25">
        <f>IF($B22="","",IF(COUNTIF(brand_intake!$A$2:$A$401,$B22)&gt;0,IFERROR(IF(INDEX(brand_intake!$Q$2:$Q$401,MATCH($B22,brand_intake!$A$2:$A$401,0))="","",INDEX(brand_intake!$Q$2:$Q$401,MATCH($B22,brand_intake!$A$2:$A$401,0))),""),IFERROR(IF(INDEX(brand_intake_founder!$Q$2:$Q$81,MATCH($B22,brand_intake_founder!$A$2:$A$81,0))="","",INDEX(brand_intake_founder!$Q$2:$Q$81,MATCH($B22,brand_intake_founder!$A$2:$A$81,0))),"")))</f>
        <v/>
      </c>
      <c r="X22" s="25">
        <f>IF($B22="","",IF(COUNTIF(brand_intake!$A$2:$A$401,$B22)&gt;0,IFERROR(IF(INDEX(brand_intake!$R$2:$R$401,MATCH($B22,brand_intake!$A$2:$A$401,0))="","",INDEX(brand_intake!$R$2:$R$401,MATCH($B22,brand_intake!$A$2:$A$401,0))),""),IFERROR(IF(INDEX(brand_intake_founder!$R$2:$R$81,MATCH($B22,brand_intake_founder!$A$2:$A$81,0))="","",INDEX(brand_intake_founder!$R$2:$R$81,MATCH($B22,brand_intake_founder!$A$2:$A$81,0))),"")))</f>
        <v/>
      </c>
      <c r="Y22" s="25">
        <f>IF($B22="","",IF(COUNTIF(brand_intake!$A$2:$A$401,$B22)&gt;0,IFERROR(IF(INDEX(brand_intake!$S$2:$S$401,MATCH($B22,brand_intake!$A$2:$A$401,0))="","",INDEX(brand_intake!$S$2:$S$401,MATCH($B22,brand_intake!$A$2:$A$401,0))),""),IFERROR(IF(INDEX(brand_intake_founder!$S$2:$S$81,MATCH($B22,brand_intake_founder!$A$2:$A$81,0))="","",INDEX(brand_intake_founder!$S$2:$S$81,MATCH($B22,brand_intake_founder!$A$2:$A$81,0))),"")))</f>
        <v/>
      </c>
      <c r="Z22" s="25">
        <f>IF($B22="","",IF(COUNTIF(brand_intake!$A$2:$A$401,$B22)&gt;0,IFERROR(IF(INDEX(brand_intake!$T$2:$T$401,MATCH($B22,brand_intake!$A$2:$A$401,0))="","",INDEX(brand_intake!$T$2:$T$401,MATCH($B22,brand_intake!$A$2:$A$401,0))),""),IFERROR(IF(INDEX(brand_intake_founder!$T$2:$T$81,MATCH($B22,brand_intake_founder!$A$2:$A$81,0))="","",INDEX(brand_intake_founder!$T$2:$T$81,MATCH($B22,brand_intake_founder!$A$2:$A$81,0))),"")))</f>
        <v/>
      </c>
      <c r="AA22" s="25">
        <f>IF($B22="","",IF(COUNTIF(brand_intake!$A$2:$A$401,$B22)&gt;0,IFERROR(IF(INDEX(brand_intake!$U$2:$U$401,MATCH($B22,brand_intake!$A$2:$A$401,0))="","",INDEX(brand_intake!$U$2:$U$401,MATCH($B22,brand_intake!$A$2:$A$401,0))),""),IFERROR(IF(INDEX(brand_intake_founder!$U$2:$U$81,MATCH($B22,brand_intake_founder!$A$2:$A$81,0))="","",INDEX(brand_intake_founder!$U$2:$U$81,MATCH($B22,brand_intake_founder!$A$2:$A$81,0))),"")))</f>
        <v/>
      </c>
      <c r="AB22" s="25">
        <f>IF($B22="","",IF(COUNTIF(brand_intake!$A$2:$A$401,$B22)&gt;0,IFERROR(IF(INDEX(brand_intake!$V$2:$V$401,MATCH($B22,brand_intake!$A$2:$A$401,0))="","",INDEX(brand_intake!$V$2:$V$401,MATCH($B22,brand_intake!$A$2:$A$401,0))),""),IFERROR(IF(INDEX(brand_intake_founder!$V$2:$V$81,MATCH($B22,brand_intake_founder!$A$2:$A$81,0))="","",INDEX(brand_intake_founder!$V$2:$V$81,MATCH($B22,brand_intake_founder!$A$2:$A$81,0))),"")))</f>
        <v/>
      </c>
      <c r="AC22" s="25">
        <f>IF($B22="","",IF(COUNTIF(brand_intake!$A$2:$A$401,$B22)&gt;0,IFERROR(IF(INDEX(brand_intake!$W$2:$W$401,MATCH($B22,brand_intake!$A$2:$A$401,0))="","",INDEX(brand_intake!$W$2:$W$401,MATCH($B22,brand_intake!$A$2:$A$401,0))),""),IFERROR(IF(INDEX(brand_intake_founder!$W$2:$W$81,MATCH($B22,brand_intake_founder!$A$2:$A$81,0))="","",INDEX(brand_intake_founder!$W$2:$W$81,MATCH($B22,brand_intake_founder!$A$2:$A$81,0))),"")))</f>
        <v/>
      </c>
      <c r="AD22" s="25">
        <f>IF($B22="","",IF(COUNTIF(brand_intake!$A$2:$A$401,$B22)&gt;0,IFERROR(IF(INDEX(brand_intake!$X$2:$X$401,MATCH($B22,brand_intake!$A$2:$A$401,0))="","",INDEX(brand_intake!$X$2:$X$401,MATCH($B22,brand_intake!$A$2:$A$401,0))),""),IFERROR(IF(INDEX(brand_intake_founder!$X$2:$X$81,MATCH($B22,brand_intake_founder!$A$2:$A$81,0))="","",INDEX(brand_intake_founder!$X$2:$X$81,MATCH($B22,brand_intake_founder!$A$2:$A$81,0))),"")))</f>
        <v/>
      </c>
      <c r="AE22" s="25">
        <f>IF($B22="","",IF(COUNTIF(brand_intake!$A$2:$A$401,$B22)&gt;0,IFERROR(IF(INDEX(brand_intake!$Y$2:$Y$401,MATCH($B22,brand_intake!$A$2:$A$401,0))="","",INDEX(brand_intake!$Y$2:$Y$401,MATCH($B22,brand_intake!$A$2:$A$401,0))),""),IFERROR(IF(INDEX(brand_intake_founder!$Y$2:$Y$81,MATCH($B22,brand_intake_founder!$A$2:$A$81,0))="","",INDEX(brand_intake_founder!$Y$2:$Y$81,MATCH($B22,brand_intake_founder!$A$2:$A$81,0))),"")))</f>
        <v/>
      </c>
      <c r="AF22" s="25">
        <f>IF($B22="","",($X22="Y")+($Y22="Y")+($Z22="Y")+($AA22="Y")+($AB22="Y")+($AC22="Y")+(LEN($AD22)&gt;0))</f>
        <v/>
      </c>
      <c r="AG22" s="25">
        <f>IF($B22="","",IF(AND($AF22=7,$AE22="Y"),"Y (as answered)","N: check "&amp;IF($X22&lt;&gt;"Y","1 ","")&amp;IF($Y22&lt;&gt;"Y","2 ","")&amp;IF($Z22&lt;&gt;"Y","3 ","")&amp;IF($AA22&lt;&gt;"Y","4 ","")&amp;IF($AB22&lt;&gt;"Y","5 ","")&amp;IF($AC22&lt;&gt;"Y","6 ","")&amp;IF(LEN($AD22)=0,"7 ","")&amp;IF($AE22&lt;&gt;"Y","excluded? ","")))</f>
        <v/>
      </c>
      <c r="AH22" s="25">
        <f>IF($A22="","",COUNTIF(campaigns!$C$2:$C$51,$A22))</f>
        <v/>
      </c>
      <c r="AI22" s="25">
        <f>IF(OR($A22="",SUMIFS(campaigns!$H$2:$H$51,campaigns!$C$2:$C$51,$A22,campaigns!$D$2:$D$51,"founding",campaigns!$E$2:$E$51,"&lt;&gt;Y")=0),"",COUNTIFS(campaigns!$D$2:$D$51,"founding",campaigns!$E$2:$E$51,"&lt;&gt;Y",campaigns!$H$2:$H$51,"&lt;="&amp;SUMIFS(campaigns!$H$2:$H$51,campaigns!$C$2:$C$51,$A22,campaigns!$D$2:$D$51,"founding",campaigns!$E$2:$E$51,"&lt;&gt;Y"),campaigns!$H$2:$H$51,"&gt;0"))</f>
        <v/>
      </c>
      <c r="AJ22" s="25">
        <f>IF(OR($A22="",NOT(IFERROR(COUNTIF(INDEX(in_paid_brands!$A$2:$BZ$81,0,MATCH("brand_id",in_paid_brands!$A$1:$BZ$1,0)),$A22),0)&gt;0)),"",IF(IFERROR(IF(INDEX(in_paid_brands!$A$2:$BZ$81,MATCH($A22,INDEX(in_paid_brands!$A$2:$BZ$81,0,MATCH("brand_id",in_paid_brands!$A$1:$BZ$1,0)),0),MATCH("campaign_id",in_paid_brands!$A$1:$BZ$1,0))="","",INDEX(in_paid_brands!$A$2:$BZ$81,MATCH($A22,INDEX(in_paid_brands!$A$2:$BZ$81,0,MATCH("brand_id",in_paid_brands!$A$1:$BZ$1,0)),0),MATCH("campaign_id",in_paid_brands!$A$1:$BZ$1,0))),"")="","E's paid_brands row has no campaign_id: type the CMP-### there; ",IF(OR(ABS(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gt;0.005,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payment 1 differs: E "&amp;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amp;" on "&amp;IF(N(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0,"none",TEXT(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yyyy-mm-dd"))&amp;"; ","")&amp;IF(OR(ABS(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gt;0.005,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payment 2 differs: E "&amp;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amp;" on "&amp;IF(N(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0,"none",TEXT(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yyyy-mm-dd"))&amp;"; ","")))</f>
        <v/>
      </c>
    </row>
    <row r="23">
      <c r="B23" s="30" t="n"/>
      <c r="H23" s="9" t="n"/>
      <c r="K23" s="25">
        <f>IF($B23="","",IF(COUNTIF(brand_intake!$A$2:$A$401,$B23)&gt;0,IFERROR(IF(INDEX(brand_intake!$C$2:$C$401,MATCH($B23,brand_intake!$A$2:$A$401,0))="","",INDEX(brand_intake!$C$2:$C$401,MATCH($B23,brand_intake!$A$2:$A$401,0))),""),IFERROR(IF(INDEX(brand_intake_founder!$C$2:$C$81,MATCH($B23,brand_intake_founder!$A$2:$A$81,0))="","",INDEX(brand_intake_founder!$C$2:$C$81,MATCH($B23,brand_intake_founder!$A$2:$A$81,0))),"")))</f>
        <v/>
      </c>
      <c r="L23" s="25">
        <f>IF($B23="","",IF(COUNTIF(brand_intake!$A$2:$A$401,$B23)&gt;0,IFERROR(IF(INDEX(brand_intake!$D$2:$D$401,MATCH($B23,brand_intake!$A$2:$A$401,0))="","",INDEX(brand_intake!$D$2:$D$401,MATCH($B23,brand_intake!$A$2:$A$401,0))),""),IFERROR(IF(INDEX(brand_intake_founder!$D$2:$D$81,MATCH($B23,brand_intake_founder!$A$2:$A$81,0))="","",INDEX(brand_intake_founder!$D$2:$D$81,MATCH($B23,brand_intake_founder!$A$2:$A$81,0))),"")))</f>
        <v/>
      </c>
      <c r="M23" s="25">
        <f>IF($B23="","",IF(COUNTIF(brand_intake!$A$2:$A$401,$B23)&gt;0,IFERROR(IF(INDEX(brand_intake!$J$2:$J$401,MATCH($B23,brand_intake!$A$2:$A$401,0))="","",INDEX(brand_intake!$J$2:$J$401,MATCH($B23,brand_intake!$A$2:$A$401,0))),""),IFERROR(IF(INDEX(brand_intake_founder!$J$2:$J$81,MATCH($B23,brand_intake_founder!$A$2:$A$81,0))="","",INDEX(brand_intake_founder!$J$2:$J$81,MATCH($B23,brand_intake_founder!$A$2:$A$81,0))),"")))</f>
        <v/>
      </c>
      <c r="N23" s="25">
        <f>IF($B23="","",IF(COUNTIF(brand_intake!$A$2:$A$401,$B23)&gt;0,IFERROR(IF(INDEX(brand_intake!$I$2:$I$401,MATCH($B23,brand_intake!$A$2:$A$401,0))="","",INDEX(brand_intake!$I$2:$I$401,MATCH($B23,brand_intake!$A$2:$A$401,0))),""),IFERROR(IF(INDEX(brand_intake_founder!$I$2:$I$81,MATCH($B23,brand_intake_founder!$A$2:$A$81,0))="","",INDEX(brand_intake_founder!$I$2:$I$81,MATCH($B23,brand_intake_founder!$A$2:$A$81,0))),"")))</f>
        <v/>
      </c>
      <c r="O23" s="25">
        <f>IF($B23="","",IF(COUNTIF(brand_intake!$A$2:$A$401,$B23)&gt;0,IFERROR(IF(INDEX(brand_intake!$K$2:$K$401,MATCH($B23,brand_intake!$A$2:$A$401,0))="","",INDEX(brand_intake!$K$2:$K$401,MATCH($B23,brand_intake!$A$2:$A$401,0))),""),IFERROR(IF(INDEX(brand_intake_founder!$K$2:$K$81,MATCH($B23,brand_intake_founder!$A$2:$A$81,0))="","",INDEX(brand_intake_founder!$K$2:$K$81,MATCH($B23,brand_intake_founder!$A$2:$A$81,0))),"")))</f>
        <v/>
      </c>
      <c r="P23" s="25">
        <f>IF($B23="","",IF(COUNTIF(brand_intake!$A$2:$A$401,$B23)&gt;0,IFERROR(IF(INDEX(brand_intake!$E$2:$E$401,MATCH($B23,brand_intake!$A$2:$A$401,0))="","",INDEX(brand_intake!$E$2:$E$401,MATCH($B23,brand_intake!$A$2:$A$401,0))),""),IFERROR(IF(INDEX(brand_intake_founder!$E$2:$E$81,MATCH($B23,brand_intake_founder!$A$2:$A$81,0))="","",INDEX(brand_intake_founder!$E$2:$E$81,MATCH($B23,brand_intake_founder!$A$2:$A$81,0))),"")))</f>
        <v/>
      </c>
      <c r="Q23" s="25">
        <f>IF($B23="","",IF(COUNTIF(brand_intake!$A$2:$A$401,$B23)&gt;0,IFERROR(IF(INDEX(brand_intake!$F$2:$F$401,MATCH($B23,brand_intake!$A$2:$A$401,0))="","",INDEX(brand_intake!$F$2:$F$401,MATCH($B23,brand_intake!$A$2:$A$401,0))),""),IFERROR(IF(INDEX(brand_intake_founder!$F$2:$F$81,MATCH($B23,brand_intake_founder!$A$2:$A$81,0))="","",INDEX(brand_intake_founder!$F$2:$F$81,MATCH($B23,brand_intake_founder!$A$2:$A$81,0))),"")))</f>
        <v/>
      </c>
      <c r="R23" s="25">
        <f>IF($B23="","",IF(COUNTIF(brand_intake!$A$2:$A$401,$B23)&gt;0,IFERROR(IF(INDEX(brand_intake!$G$2:$G$401,MATCH($B23,brand_intake!$A$2:$A$401,0))="","",INDEX(brand_intake!$G$2:$G$401,MATCH($B23,brand_intake!$A$2:$A$401,0))),""),IFERROR(IF(INDEX(brand_intake_founder!$G$2:$G$81,MATCH($B23,brand_intake_founder!$A$2:$A$81,0))="","",INDEX(brand_intake_founder!$G$2:$G$81,MATCH($B23,brand_intake_founder!$A$2:$A$81,0))),"")))</f>
        <v/>
      </c>
      <c r="S23" s="25">
        <f>IF($B23="","",IF(COUNTIF(brand_intake!$A$2:$A$401,$B23)&gt;0,IFERROR(IF(INDEX(brand_intake!$H$2:$H$401,MATCH($B23,brand_intake!$A$2:$A$401,0))="","",INDEX(brand_intake!$H$2:$H$401,MATCH($B23,brand_intake!$A$2:$A$401,0))),""),IFERROR(IF(INDEX(brand_intake_founder!$H$2:$H$81,MATCH($B23,brand_intake_founder!$A$2:$A$81,0))="","",INDEX(brand_intake_founder!$H$2:$H$81,MATCH($B23,brand_intake_founder!$A$2:$A$81,0))),"")))</f>
        <v/>
      </c>
      <c r="T23" s="25">
        <f>IF($B23="","",IF(COUNTIF(brand_intake!$A$2:$A$401,$B23)&gt;0,IFERROR(IF(INDEX(brand_intake!$M$2:$M$401,MATCH($B23,brand_intake!$A$2:$A$401,0))="","",INDEX(brand_intake!$M$2:$M$401,MATCH($B23,brand_intake!$A$2:$A$401,0))),""),IFERROR(IF(INDEX(brand_intake_founder!$M$2:$M$81,MATCH($B23,brand_intake_founder!$A$2:$A$81,0))="","",INDEX(brand_intake_founder!$M$2:$M$81,MATCH($B23,brand_intake_founder!$A$2:$A$81,0))),"")))</f>
        <v/>
      </c>
      <c r="U23" s="25">
        <f>IF($B23="","",IF(COUNTIF(brand_intake!$A$2:$A$401,$B23)&gt;0,IFERROR(IF(INDEX(brand_intake!$L$2:$L$401,MATCH($B23,brand_intake!$A$2:$A$401,0))="","",INDEX(brand_intake!$L$2:$L$401,MATCH($B23,brand_intake!$A$2:$A$401,0))),""),IFERROR(IF(INDEX(brand_intake_founder!$L$2:$L$81,MATCH($B23,brand_intake_founder!$A$2:$A$81,0))="","",INDEX(brand_intake_founder!$L$2:$L$81,MATCH($B23,brand_intake_founder!$A$2:$A$81,0))),"")))</f>
        <v/>
      </c>
      <c r="V23" s="25">
        <f>IF($B23="","",IF(COUNTIF(brand_intake!$A$2:$A$401,$B23)&gt;0,IFERROR(IF(INDEX(brand_intake!$N$2:$N$401,MATCH($B23,brand_intake!$A$2:$A$401,0))="","",INDEX(brand_intake!$N$2:$N$401,MATCH($B23,brand_intake!$A$2:$A$401,0))),""),IFERROR(IF(INDEX(brand_intake_founder!$N$2:$N$81,MATCH($B23,brand_intake_founder!$A$2:$A$81,0))="","",INDEX(brand_intake_founder!$N$2:$N$81,MATCH($B23,brand_intake_founder!$A$2:$A$81,0))),"")))</f>
        <v/>
      </c>
      <c r="W23" s="25">
        <f>IF($B23="","",IF(COUNTIF(brand_intake!$A$2:$A$401,$B23)&gt;0,IFERROR(IF(INDEX(brand_intake!$Q$2:$Q$401,MATCH($B23,brand_intake!$A$2:$A$401,0))="","",INDEX(brand_intake!$Q$2:$Q$401,MATCH($B23,brand_intake!$A$2:$A$401,0))),""),IFERROR(IF(INDEX(brand_intake_founder!$Q$2:$Q$81,MATCH($B23,brand_intake_founder!$A$2:$A$81,0))="","",INDEX(brand_intake_founder!$Q$2:$Q$81,MATCH($B23,brand_intake_founder!$A$2:$A$81,0))),"")))</f>
        <v/>
      </c>
      <c r="X23" s="25">
        <f>IF($B23="","",IF(COUNTIF(brand_intake!$A$2:$A$401,$B23)&gt;0,IFERROR(IF(INDEX(brand_intake!$R$2:$R$401,MATCH($B23,brand_intake!$A$2:$A$401,0))="","",INDEX(brand_intake!$R$2:$R$401,MATCH($B23,brand_intake!$A$2:$A$401,0))),""),IFERROR(IF(INDEX(brand_intake_founder!$R$2:$R$81,MATCH($B23,brand_intake_founder!$A$2:$A$81,0))="","",INDEX(brand_intake_founder!$R$2:$R$81,MATCH($B23,brand_intake_founder!$A$2:$A$81,0))),"")))</f>
        <v/>
      </c>
      <c r="Y23" s="25">
        <f>IF($B23="","",IF(COUNTIF(brand_intake!$A$2:$A$401,$B23)&gt;0,IFERROR(IF(INDEX(brand_intake!$S$2:$S$401,MATCH($B23,brand_intake!$A$2:$A$401,0))="","",INDEX(brand_intake!$S$2:$S$401,MATCH($B23,brand_intake!$A$2:$A$401,0))),""),IFERROR(IF(INDEX(brand_intake_founder!$S$2:$S$81,MATCH($B23,brand_intake_founder!$A$2:$A$81,0))="","",INDEX(brand_intake_founder!$S$2:$S$81,MATCH($B23,brand_intake_founder!$A$2:$A$81,0))),"")))</f>
        <v/>
      </c>
      <c r="Z23" s="25">
        <f>IF($B23="","",IF(COUNTIF(brand_intake!$A$2:$A$401,$B23)&gt;0,IFERROR(IF(INDEX(brand_intake!$T$2:$T$401,MATCH($B23,brand_intake!$A$2:$A$401,0))="","",INDEX(brand_intake!$T$2:$T$401,MATCH($B23,brand_intake!$A$2:$A$401,0))),""),IFERROR(IF(INDEX(brand_intake_founder!$T$2:$T$81,MATCH($B23,brand_intake_founder!$A$2:$A$81,0))="","",INDEX(brand_intake_founder!$T$2:$T$81,MATCH($B23,brand_intake_founder!$A$2:$A$81,0))),"")))</f>
        <v/>
      </c>
      <c r="AA23" s="25">
        <f>IF($B23="","",IF(COUNTIF(brand_intake!$A$2:$A$401,$B23)&gt;0,IFERROR(IF(INDEX(brand_intake!$U$2:$U$401,MATCH($B23,brand_intake!$A$2:$A$401,0))="","",INDEX(brand_intake!$U$2:$U$401,MATCH($B23,brand_intake!$A$2:$A$401,0))),""),IFERROR(IF(INDEX(brand_intake_founder!$U$2:$U$81,MATCH($B23,brand_intake_founder!$A$2:$A$81,0))="","",INDEX(brand_intake_founder!$U$2:$U$81,MATCH($B23,brand_intake_founder!$A$2:$A$81,0))),"")))</f>
        <v/>
      </c>
      <c r="AB23" s="25">
        <f>IF($B23="","",IF(COUNTIF(brand_intake!$A$2:$A$401,$B23)&gt;0,IFERROR(IF(INDEX(brand_intake!$V$2:$V$401,MATCH($B23,brand_intake!$A$2:$A$401,0))="","",INDEX(brand_intake!$V$2:$V$401,MATCH($B23,brand_intake!$A$2:$A$401,0))),""),IFERROR(IF(INDEX(brand_intake_founder!$V$2:$V$81,MATCH($B23,brand_intake_founder!$A$2:$A$81,0))="","",INDEX(brand_intake_founder!$V$2:$V$81,MATCH($B23,brand_intake_founder!$A$2:$A$81,0))),"")))</f>
        <v/>
      </c>
      <c r="AC23" s="25">
        <f>IF($B23="","",IF(COUNTIF(brand_intake!$A$2:$A$401,$B23)&gt;0,IFERROR(IF(INDEX(brand_intake!$W$2:$W$401,MATCH($B23,brand_intake!$A$2:$A$401,0))="","",INDEX(brand_intake!$W$2:$W$401,MATCH($B23,brand_intake!$A$2:$A$401,0))),""),IFERROR(IF(INDEX(brand_intake_founder!$W$2:$W$81,MATCH($B23,brand_intake_founder!$A$2:$A$81,0))="","",INDEX(brand_intake_founder!$W$2:$W$81,MATCH($B23,brand_intake_founder!$A$2:$A$81,0))),"")))</f>
        <v/>
      </c>
      <c r="AD23" s="25">
        <f>IF($B23="","",IF(COUNTIF(brand_intake!$A$2:$A$401,$B23)&gt;0,IFERROR(IF(INDEX(brand_intake!$X$2:$X$401,MATCH($B23,brand_intake!$A$2:$A$401,0))="","",INDEX(brand_intake!$X$2:$X$401,MATCH($B23,brand_intake!$A$2:$A$401,0))),""),IFERROR(IF(INDEX(brand_intake_founder!$X$2:$X$81,MATCH($B23,brand_intake_founder!$A$2:$A$81,0))="","",INDEX(brand_intake_founder!$X$2:$X$81,MATCH($B23,brand_intake_founder!$A$2:$A$81,0))),"")))</f>
        <v/>
      </c>
      <c r="AE23" s="25">
        <f>IF($B23="","",IF(COUNTIF(brand_intake!$A$2:$A$401,$B23)&gt;0,IFERROR(IF(INDEX(brand_intake!$Y$2:$Y$401,MATCH($B23,brand_intake!$A$2:$A$401,0))="","",INDEX(brand_intake!$Y$2:$Y$401,MATCH($B23,brand_intake!$A$2:$A$401,0))),""),IFERROR(IF(INDEX(brand_intake_founder!$Y$2:$Y$81,MATCH($B23,brand_intake_founder!$A$2:$A$81,0))="","",INDEX(brand_intake_founder!$Y$2:$Y$81,MATCH($B23,brand_intake_founder!$A$2:$A$81,0))),"")))</f>
        <v/>
      </c>
      <c r="AF23" s="25">
        <f>IF($B23="","",($X23="Y")+($Y23="Y")+($Z23="Y")+($AA23="Y")+($AB23="Y")+($AC23="Y")+(LEN($AD23)&gt;0))</f>
        <v/>
      </c>
      <c r="AG23" s="25">
        <f>IF($B23="","",IF(AND($AF23=7,$AE23="Y"),"Y (as answered)","N: check "&amp;IF($X23&lt;&gt;"Y","1 ","")&amp;IF($Y23&lt;&gt;"Y","2 ","")&amp;IF($Z23&lt;&gt;"Y","3 ","")&amp;IF($AA23&lt;&gt;"Y","4 ","")&amp;IF($AB23&lt;&gt;"Y","5 ","")&amp;IF($AC23&lt;&gt;"Y","6 ","")&amp;IF(LEN($AD23)=0,"7 ","")&amp;IF($AE23&lt;&gt;"Y","excluded? ","")))</f>
        <v/>
      </c>
      <c r="AH23" s="25">
        <f>IF($A23="","",COUNTIF(campaigns!$C$2:$C$51,$A23))</f>
        <v/>
      </c>
      <c r="AI23" s="25">
        <f>IF(OR($A23="",SUMIFS(campaigns!$H$2:$H$51,campaigns!$C$2:$C$51,$A23,campaigns!$D$2:$D$51,"founding",campaigns!$E$2:$E$51,"&lt;&gt;Y")=0),"",COUNTIFS(campaigns!$D$2:$D$51,"founding",campaigns!$E$2:$E$51,"&lt;&gt;Y",campaigns!$H$2:$H$51,"&lt;="&amp;SUMIFS(campaigns!$H$2:$H$51,campaigns!$C$2:$C$51,$A23,campaigns!$D$2:$D$51,"founding",campaigns!$E$2:$E$51,"&lt;&gt;Y"),campaigns!$H$2:$H$51,"&gt;0"))</f>
        <v/>
      </c>
      <c r="AJ23" s="25">
        <f>IF(OR($A23="",NOT(IFERROR(COUNTIF(INDEX(in_paid_brands!$A$2:$BZ$81,0,MATCH("brand_id",in_paid_brands!$A$1:$BZ$1,0)),$A23),0)&gt;0)),"",IF(IFERROR(IF(INDEX(in_paid_brands!$A$2:$BZ$81,MATCH($A23,INDEX(in_paid_brands!$A$2:$BZ$81,0,MATCH("brand_id",in_paid_brands!$A$1:$BZ$1,0)),0),MATCH("campaign_id",in_paid_brands!$A$1:$BZ$1,0))="","",INDEX(in_paid_brands!$A$2:$BZ$81,MATCH($A23,INDEX(in_paid_brands!$A$2:$BZ$81,0,MATCH("brand_id",in_paid_brands!$A$1:$BZ$1,0)),0),MATCH("campaign_id",in_paid_brands!$A$1:$BZ$1,0))),"")="","E's paid_brands row has no campaign_id: type the CMP-### there; ",IF(OR(ABS(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gt;0.005,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payment 1 differs: E "&amp;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amp;" on "&amp;IF(N(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0,"none",TEXT(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yyyy-mm-dd"))&amp;"; ","")&amp;IF(OR(ABS(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gt;0.005,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payment 2 differs: E "&amp;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amp;" on "&amp;IF(N(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0,"none",TEXT(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yyyy-mm-dd"))&amp;"; ","")))</f>
        <v/>
      </c>
    </row>
    <row r="24">
      <c r="B24" s="30" t="n"/>
      <c r="H24" s="9" t="n"/>
      <c r="K24" s="25">
        <f>IF($B24="","",IF(COUNTIF(brand_intake!$A$2:$A$401,$B24)&gt;0,IFERROR(IF(INDEX(brand_intake!$C$2:$C$401,MATCH($B24,brand_intake!$A$2:$A$401,0))="","",INDEX(brand_intake!$C$2:$C$401,MATCH($B24,brand_intake!$A$2:$A$401,0))),""),IFERROR(IF(INDEX(brand_intake_founder!$C$2:$C$81,MATCH($B24,brand_intake_founder!$A$2:$A$81,0))="","",INDEX(brand_intake_founder!$C$2:$C$81,MATCH($B24,brand_intake_founder!$A$2:$A$81,0))),"")))</f>
        <v/>
      </c>
      <c r="L24" s="25">
        <f>IF($B24="","",IF(COUNTIF(brand_intake!$A$2:$A$401,$B24)&gt;0,IFERROR(IF(INDEX(brand_intake!$D$2:$D$401,MATCH($B24,brand_intake!$A$2:$A$401,0))="","",INDEX(brand_intake!$D$2:$D$401,MATCH($B24,brand_intake!$A$2:$A$401,0))),""),IFERROR(IF(INDEX(brand_intake_founder!$D$2:$D$81,MATCH($B24,brand_intake_founder!$A$2:$A$81,0))="","",INDEX(brand_intake_founder!$D$2:$D$81,MATCH($B24,brand_intake_founder!$A$2:$A$81,0))),"")))</f>
        <v/>
      </c>
      <c r="M24" s="25">
        <f>IF($B24="","",IF(COUNTIF(brand_intake!$A$2:$A$401,$B24)&gt;0,IFERROR(IF(INDEX(brand_intake!$J$2:$J$401,MATCH($B24,brand_intake!$A$2:$A$401,0))="","",INDEX(brand_intake!$J$2:$J$401,MATCH($B24,brand_intake!$A$2:$A$401,0))),""),IFERROR(IF(INDEX(brand_intake_founder!$J$2:$J$81,MATCH($B24,brand_intake_founder!$A$2:$A$81,0))="","",INDEX(brand_intake_founder!$J$2:$J$81,MATCH($B24,brand_intake_founder!$A$2:$A$81,0))),"")))</f>
        <v/>
      </c>
      <c r="N24" s="25">
        <f>IF($B24="","",IF(COUNTIF(brand_intake!$A$2:$A$401,$B24)&gt;0,IFERROR(IF(INDEX(brand_intake!$I$2:$I$401,MATCH($B24,brand_intake!$A$2:$A$401,0))="","",INDEX(brand_intake!$I$2:$I$401,MATCH($B24,brand_intake!$A$2:$A$401,0))),""),IFERROR(IF(INDEX(brand_intake_founder!$I$2:$I$81,MATCH($B24,brand_intake_founder!$A$2:$A$81,0))="","",INDEX(brand_intake_founder!$I$2:$I$81,MATCH($B24,brand_intake_founder!$A$2:$A$81,0))),"")))</f>
        <v/>
      </c>
      <c r="O24" s="25">
        <f>IF($B24="","",IF(COUNTIF(brand_intake!$A$2:$A$401,$B24)&gt;0,IFERROR(IF(INDEX(brand_intake!$K$2:$K$401,MATCH($B24,brand_intake!$A$2:$A$401,0))="","",INDEX(brand_intake!$K$2:$K$401,MATCH($B24,brand_intake!$A$2:$A$401,0))),""),IFERROR(IF(INDEX(brand_intake_founder!$K$2:$K$81,MATCH($B24,brand_intake_founder!$A$2:$A$81,0))="","",INDEX(brand_intake_founder!$K$2:$K$81,MATCH($B24,brand_intake_founder!$A$2:$A$81,0))),"")))</f>
        <v/>
      </c>
      <c r="P24" s="25">
        <f>IF($B24="","",IF(COUNTIF(brand_intake!$A$2:$A$401,$B24)&gt;0,IFERROR(IF(INDEX(brand_intake!$E$2:$E$401,MATCH($B24,brand_intake!$A$2:$A$401,0))="","",INDEX(brand_intake!$E$2:$E$401,MATCH($B24,brand_intake!$A$2:$A$401,0))),""),IFERROR(IF(INDEX(brand_intake_founder!$E$2:$E$81,MATCH($B24,brand_intake_founder!$A$2:$A$81,0))="","",INDEX(brand_intake_founder!$E$2:$E$81,MATCH($B24,brand_intake_founder!$A$2:$A$81,0))),"")))</f>
        <v/>
      </c>
      <c r="Q24" s="25">
        <f>IF($B24="","",IF(COUNTIF(brand_intake!$A$2:$A$401,$B24)&gt;0,IFERROR(IF(INDEX(brand_intake!$F$2:$F$401,MATCH($B24,brand_intake!$A$2:$A$401,0))="","",INDEX(brand_intake!$F$2:$F$401,MATCH($B24,brand_intake!$A$2:$A$401,0))),""),IFERROR(IF(INDEX(brand_intake_founder!$F$2:$F$81,MATCH($B24,brand_intake_founder!$A$2:$A$81,0))="","",INDEX(brand_intake_founder!$F$2:$F$81,MATCH($B24,brand_intake_founder!$A$2:$A$81,0))),"")))</f>
        <v/>
      </c>
      <c r="R24" s="25">
        <f>IF($B24="","",IF(COUNTIF(brand_intake!$A$2:$A$401,$B24)&gt;0,IFERROR(IF(INDEX(brand_intake!$G$2:$G$401,MATCH($B24,brand_intake!$A$2:$A$401,0))="","",INDEX(brand_intake!$G$2:$G$401,MATCH($B24,brand_intake!$A$2:$A$401,0))),""),IFERROR(IF(INDEX(brand_intake_founder!$G$2:$G$81,MATCH($B24,brand_intake_founder!$A$2:$A$81,0))="","",INDEX(brand_intake_founder!$G$2:$G$81,MATCH($B24,brand_intake_founder!$A$2:$A$81,0))),"")))</f>
        <v/>
      </c>
      <c r="S24" s="25">
        <f>IF($B24="","",IF(COUNTIF(brand_intake!$A$2:$A$401,$B24)&gt;0,IFERROR(IF(INDEX(brand_intake!$H$2:$H$401,MATCH($B24,brand_intake!$A$2:$A$401,0))="","",INDEX(brand_intake!$H$2:$H$401,MATCH($B24,brand_intake!$A$2:$A$401,0))),""),IFERROR(IF(INDEX(brand_intake_founder!$H$2:$H$81,MATCH($B24,brand_intake_founder!$A$2:$A$81,0))="","",INDEX(brand_intake_founder!$H$2:$H$81,MATCH($B24,brand_intake_founder!$A$2:$A$81,0))),"")))</f>
        <v/>
      </c>
      <c r="T24" s="25">
        <f>IF($B24="","",IF(COUNTIF(brand_intake!$A$2:$A$401,$B24)&gt;0,IFERROR(IF(INDEX(brand_intake!$M$2:$M$401,MATCH($B24,brand_intake!$A$2:$A$401,0))="","",INDEX(brand_intake!$M$2:$M$401,MATCH($B24,brand_intake!$A$2:$A$401,0))),""),IFERROR(IF(INDEX(brand_intake_founder!$M$2:$M$81,MATCH($B24,brand_intake_founder!$A$2:$A$81,0))="","",INDEX(brand_intake_founder!$M$2:$M$81,MATCH($B24,brand_intake_founder!$A$2:$A$81,0))),"")))</f>
        <v/>
      </c>
      <c r="U24" s="25">
        <f>IF($B24="","",IF(COUNTIF(brand_intake!$A$2:$A$401,$B24)&gt;0,IFERROR(IF(INDEX(brand_intake!$L$2:$L$401,MATCH($B24,brand_intake!$A$2:$A$401,0))="","",INDEX(brand_intake!$L$2:$L$401,MATCH($B24,brand_intake!$A$2:$A$401,0))),""),IFERROR(IF(INDEX(brand_intake_founder!$L$2:$L$81,MATCH($B24,brand_intake_founder!$A$2:$A$81,0))="","",INDEX(brand_intake_founder!$L$2:$L$81,MATCH($B24,brand_intake_founder!$A$2:$A$81,0))),"")))</f>
        <v/>
      </c>
      <c r="V24" s="25">
        <f>IF($B24="","",IF(COUNTIF(brand_intake!$A$2:$A$401,$B24)&gt;0,IFERROR(IF(INDEX(brand_intake!$N$2:$N$401,MATCH($B24,brand_intake!$A$2:$A$401,0))="","",INDEX(brand_intake!$N$2:$N$401,MATCH($B24,brand_intake!$A$2:$A$401,0))),""),IFERROR(IF(INDEX(brand_intake_founder!$N$2:$N$81,MATCH($B24,brand_intake_founder!$A$2:$A$81,0))="","",INDEX(brand_intake_founder!$N$2:$N$81,MATCH($B24,brand_intake_founder!$A$2:$A$81,0))),"")))</f>
        <v/>
      </c>
      <c r="W24" s="25">
        <f>IF($B24="","",IF(COUNTIF(brand_intake!$A$2:$A$401,$B24)&gt;0,IFERROR(IF(INDEX(brand_intake!$Q$2:$Q$401,MATCH($B24,brand_intake!$A$2:$A$401,0))="","",INDEX(brand_intake!$Q$2:$Q$401,MATCH($B24,brand_intake!$A$2:$A$401,0))),""),IFERROR(IF(INDEX(brand_intake_founder!$Q$2:$Q$81,MATCH($B24,brand_intake_founder!$A$2:$A$81,0))="","",INDEX(brand_intake_founder!$Q$2:$Q$81,MATCH($B24,brand_intake_founder!$A$2:$A$81,0))),"")))</f>
        <v/>
      </c>
      <c r="X24" s="25">
        <f>IF($B24="","",IF(COUNTIF(brand_intake!$A$2:$A$401,$B24)&gt;0,IFERROR(IF(INDEX(brand_intake!$R$2:$R$401,MATCH($B24,brand_intake!$A$2:$A$401,0))="","",INDEX(brand_intake!$R$2:$R$401,MATCH($B24,brand_intake!$A$2:$A$401,0))),""),IFERROR(IF(INDEX(brand_intake_founder!$R$2:$R$81,MATCH($B24,brand_intake_founder!$A$2:$A$81,0))="","",INDEX(brand_intake_founder!$R$2:$R$81,MATCH($B24,brand_intake_founder!$A$2:$A$81,0))),"")))</f>
        <v/>
      </c>
      <c r="Y24" s="25">
        <f>IF($B24="","",IF(COUNTIF(brand_intake!$A$2:$A$401,$B24)&gt;0,IFERROR(IF(INDEX(brand_intake!$S$2:$S$401,MATCH($B24,brand_intake!$A$2:$A$401,0))="","",INDEX(brand_intake!$S$2:$S$401,MATCH($B24,brand_intake!$A$2:$A$401,0))),""),IFERROR(IF(INDEX(brand_intake_founder!$S$2:$S$81,MATCH($B24,brand_intake_founder!$A$2:$A$81,0))="","",INDEX(brand_intake_founder!$S$2:$S$81,MATCH($B24,brand_intake_founder!$A$2:$A$81,0))),"")))</f>
        <v/>
      </c>
      <c r="Z24" s="25">
        <f>IF($B24="","",IF(COUNTIF(brand_intake!$A$2:$A$401,$B24)&gt;0,IFERROR(IF(INDEX(brand_intake!$T$2:$T$401,MATCH($B24,brand_intake!$A$2:$A$401,0))="","",INDEX(brand_intake!$T$2:$T$401,MATCH($B24,brand_intake!$A$2:$A$401,0))),""),IFERROR(IF(INDEX(brand_intake_founder!$T$2:$T$81,MATCH($B24,brand_intake_founder!$A$2:$A$81,0))="","",INDEX(brand_intake_founder!$T$2:$T$81,MATCH($B24,brand_intake_founder!$A$2:$A$81,0))),"")))</f>
        <v/>
      </c>
      <c r="AA24" s="25">
        <f>IF($B24="","",IF(COUNTIF(brand_intake!$A$2:$A$401,$B24)&gt;0,IFERROR(IF(INDEX(brand_intake!$U$2:$U$401,MATCH($B24,brand_intake!$A$2:$A$401,0))="","",INDEX(brand_intake!$U$2:$U$401,MATCH($B24,brand_intake!$A$2:$A$401,0))),""),IFERROR(IF(INDEX(brand_intake_founder!$U$2:$U$81,MATCH($B24,brand_intake_founder!$A$2:$A$81,0))="","",INDEX(brand_intake_founder!$U$2:$U$81,MATCH($B24,brand_intake_founder!$A$2:$A$81,0))),"")))</f>
        <v/>
      </c>
      <c r="AB24" s="25">
        <f>IF($B24="","",IF(COUNTIF(brand_intake!$A$2:$A$401,$B24)&gt;0,IFERROR(IF(INDEX(brand_intake!$V$2:$V$401,MATCH($B24,brand_intake!$A$2:$A$401,0))="","",INDEX(brand_intake!$V$2:$V$401,MATCH($B24,brand_intake!$A$2:$A$401,0))),""),IFERROR(IF(INDEX(brand_intake_founder!$V$2:$V$81,MATCH($B24,brand_intake_founder!$A$2:$A$81,0))="","",INDEX(brand_intake_founder!$V$2:$V$81,MATCH($B24,brand_intake_founder!$A$2:$A$81,0))),"")))</f>
        <v/>
      </c>
      <c r="AC24" s="25">
        <f>IF($B24="","",IF(COUNTIF(brand_intake!$A$2:$A$401,$B24)&gt;0,IFERROR(IF(INDEX(brand_intake!$W$2:$W$401,MATCH($B24,brand_intake!$A$2:$A$401,0))="","",INDEX(brand_intake!$W$2:$W$401,MATCH($B24,brand_intake!$A$2:$A$401,0))),""),IFERROR(IF(INDEX(brand_intake_founder!$W$2:$W$81,MATCH($B24,brand_intake_founder!$A$2:$A$81,0))="","",INDEX(brand_intake_founder!$W$2:$W$81,MATCH($B24,brand_intake_founder!$A$2:$A$81,0))),"")))</f>
        <v/>
      </c>
      <c r="AD24" s="25">
        <f>IF($B24="","",IF(COUNTIF(brand_intake!$A$2:$A$401,$B24)&gt;0,IFERROR(IF(INDEX(brand_intake!$X$2:$X$401,MATCH($B24,brand_intake!$A$2:$A$401,0))="","",INDEX(brand_intake!$X$2:$X$401,MATCH($B24,brand_intake!$A$2:$A$401,0))),""),IFERROR(IF(INDEX(brand_intake_founder!$X$2:$X$81,MATCH($B24,brand_intake_founder!$A$2:$A$81,0))="","",INDEX(brand_intake_founder!$X$2:$X$81,MATCH($B24,brand_intake_founder!$A$2:$A$81,0))),"")))</f>
        <v/>
      </c>
      <c r="AE24" s="25">
        <f>IF($B24="","",IF(COUNTIF(brand_intake!$A$2:$A$401,$B24)&gt;0,IFERROR(IF(INDEX(brand_intake!$Y$2:$Y$401,MATCH($B24,brand_intake!$A$2:$A$401,0))="","",INDEX(brand_intake!$Y$2:$Y$401,MATCH($B24,brand_intake!$A$2:$A$401,0))),""),IFERROR(IF(INDEX(brand_intake_founder!$Y$2:$Y$81,MATCH($B24,brand_intake_founder!$A$2:$A$81,0))="","",INDEX(brand_intake_founder!$Y$2:$Y$81,MATCH($B24,brand_intake_founder!$A$2:$A$81,0))),"")))</f>
        <v/>
      </c>
      <c r="AF24" s="25">
        <f>IF($B24="","",($X24="Y")+($Y24="Y")+($Z24="Y")+($AA24="Y")+($AB24="Y")+($AC24="Y")+(LEN($AD24)&gt;0))</f>
        <v/>
      </c>
      <c r="AG24" s="25">
        <f>IF($B24="","",IF(AND($AF24=7,$AE24="Y"),"Y (as answered)","N: check "&amp;IF($X24&lt;&gt;"Y","1 ","")&amp;IF($Y24&lt;&gt;"Y","2 ","")&amp;IF($Z24&lt;&gt;"Y","3 ","")&amp;IF($AA24&lt;&gt;"Y","4 ","")&amp;IF($AB24&lt;&gt;"Y","5 ","")&amp;IF($AC24&lt;&gt;"Y","6 ","")&amp;IF(LEN($AD24)=0,"7 ","")&amp;IF($AE24&lt;&gt;"Y","excluded? ","")))</f>
        <v/>
      </c>
      <c r="AH24" s="25">
        <f>IF($A24="","",COUNTIF(campaigns!$C$2:$C$51,$A24))</f>
        <v/>
      </c>
      <c r="AI24" s="25">
        <f>IF(OR($A24="",SUMIFS(campaigns!$H$2:$H$51,campaigns!$C$2:$C$51,$A24,campaigns!$D$2:$D$51,"founding",campaigns!$E$2:$E$51,"&lt;&gt;Y")=0),"",COUNTIFS(campaigns!$D$2:$D$51,"founding",campaigns!$E$2:$E$51,"&lt;&gt;Y",campaigns!$H$2:$H$51,"&lt;="&amp;SUMIFS(campaigns!$H$2:$H$51,campaigns!$C$2:$C$51,$A24,campaigns!$D$2:$D$51,"founding",campaigns!$E$2:$E$51,"&lt;&gt;Y"),campaigns!$H$2:$H$51,"&gt;0"))</f>
        <v/>
      </c>
      <c r="AJ24" s="25">
        <f>IF(OR($A24="",NOT(IFERROR(COUNTIF(INDEX(in_paid_brands!$A$2:$BZ$81,0,MATCH("brand_id",in_paid_brands!$A$1:$BZ$1,0)),$A24),0)&gt;0)),"",IF(IFERROR(IF(INDEX(in_paid_brands!$A$2:$BZ$81,MATCH($A24,INDEX(in_paid_brands!$A$2:$BZ$81,0,MATCH("brand_id",in_paid_brands!$A$1:$BZ$1,0)),0),MATCH("campaign_id",in_paid_brands!$A$1:$BZ$1,0))="","",INDEX(in_paid_brands!$A$2:$BZ$81,MATCH($A24,INDEX(in_paid_brands!$A$2:$BZ$81,0,MATCH("brand_id",in_paid_brands!$A$1:$BZ$1,0)),0),MATCH("campaign_id",in_paid_brands!$A$1:$BZ$1,0))),"")="","E's paid_brands row has no campaign_id: type the CMP-### there; ",IF(OR(ABS(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gt;0.005,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payment 1 differs: E "&amp;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amp;" on "&amp;IF(N(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0,"none",TEXT(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yyyy-mm-dd"))&amp;"; ","")&amp;IF(OR(ABS(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gt;0.005,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payment 2 differs: E "&amp;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amp;" on "&amp;IF(N(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0,"none",TEXT(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yyyy-mm-dd"))&amp;"; ","")))</f>
        <v/>
      </c>
    </row>
    <row r="25">
      <c r="B25" s="30" t="n"/>
      <c r="H25" s="9" t="n"/>
      <c r="K25" s="25">
        <f>IF($B25="","",IF(COUNTIF(brand_intake!$A$2:$A$401,$B25)&gt;0,IFERROR(IF(INDEX(brand_intake!$C$2:$C$401,MATCH($B25,brand_intake!$A$2:$A$401,0))="","",INDEX(brand_intake!$C$2:$C$401,MATCH($B25,brand_intake!$A$2:$A$401,0))),""),IFERROR(IF(INDEX(brand_intake_founder!$C$2:$C$81,MATCH($B25,brand_intake_founder!$A$2:$A$81,0))="","",INDEX(brand_intake_founder!$C$2:$C$81,MATCH($B25,brand_intake_founder!$A$2:$A$81,0))),"")))</f>
        <v/>
      </c>
      <c r="L25" s="25">
        <f>IF($B25="","",IF(COUNTIF(brand_intake!$A$2:$A$401,$B25)&gt;0,IFERROR(IF(INDEX(brand_intake!$D$2:$D$401,MATCH($B25,brand_intake!$A$2:$A$401,0))="","",INDEX(brand_intake!$D$2:$D$401,MATCH($B25,brand_intake!$A$2:$A$401,0))),""),IFERROR(IF(INDEX(brand_intake_founder!$D$2:$D$81,MATCH($B25,brand_intake_founder!$A$2:$A$81,0))="","",INDEX(brand_intake_founder!$D$2:$D$81,MATCH($B25,brand_intake_founder!$A$2:$A$81,0))),"")))</f>
        <v/>
      </c>
      <c r="M25" s="25">
        <f>IF($B25="","",IF(COUNTIF(brand_intake!$A$2:$A$401,$B25)&gt;0,IFERROR(IF(INDEX(brand_intake!$J$2:$J$401,MATCH($B25,brand_intake!$A$2:$A$401,0))="","",INDEX(brand_intake!$J$2:$J$401,MATCH($B25,brand_intake!$A$2:$A$401,0))),""),IFERROR(IF(INDEX(brand_intake_founder!$J$2:$J$81,MATCH($B25,brand_intake_founder!$A$2:$A$81,0))="","",INDEX(brand_intake_founder!$J$2:$J$81,MATCH($B25,brand_intake_founder!$A$2:$A$81,0))),"")))</f>
        <v/>
      </c>
      <c r="N25" s="25">
        <f>IF($B25="","",IF(COUNTIF(brand_intake!$A$2:$A$401,$B25)&gt;0,IFERROR(IF(INDEX(brand_intake!$I$2:$I$401,MATCH($B25,brand_intake!$A$2:$A$401,0))="","",INDEX(brand_intake!$I$2:$I$401,MATCH($B25,brand_intake!$A$2:$A$401,0))),""),IFERROR(IF(INDEX(brand_intake_founder!$I$2:$I$81,MATCH($B25,brand_intake_founder!$A$2:$A$81,0))="","",INDEX(brand_intake_founder!$I$2:$I$81,MATCH($B25,brand_intake_founder!$A$2:$A$81,0))),"")))</f>
        <v/>
      </c>
      <c r="O25" s="25">
        <f>IF($B25="","",IF(COUNTIF(brand_intake!$A$2:$A$401,$B25)&gt;0,IFERROR(IF(INDEX(brand_intake!$K$2:$K$401,MATCH($B25,brand_intake!$A$2:$A$401,0))="","",INDEX(brand_intake!$K$2:$K$401,MATCH($B25,brand_intake!$A$2:$A$401,0))),""),IFERROR(IF(INDEX(brand_intake_founder!$K$2:$K$81,MATCH($B25,brand_intake_founder!$A$2:$A$81,0))="","",INDEX(brand_intake_founder!$K$2:$K$81,MATCH($B25,brand_intake_founder!$A$2:$A$81,0))),"")))</f>
        <v/>
      </c>
      <c r="P25" s="25">
        <f>IF($B25="","",IF(COUNTIF(brand_intake!$A$2:$A$401,$B25)&gt;0,IFERROR(IF(INDEX(brand_intake!$E$2:$E$401,MATCH($B25,brand_intake!$A$2:$A$401,0))="","",INDEX(brand_intake!$E$2:$E$401,MATCH($B25,brand_intake!$A$2:$A$401,0))),""),IFERROR(IF(INDEX(brand_intake_founder!$E$2:$E$81,MATCH($B25,brand_intake_founder!$A$2:$A$81,0))="","",INDEX(brand_intake_founder!$E$2:$E$81,MATCH($B25,brand_intake_founder!$A$2:$A$81,0))),"")))</f>
        <v/>
      </c>
      <c r="Q25" s="25">
        <f>IF($B25="","",IF(COUNTIF(brand_intake!$A$2:$A$401,$B25)&gt;0,IFERROR(IF(INDEX(brand_intake!$F$2:$F$401,MATCH($B25,brand_intake!$A$2:$A$401,0))="","",INDEX(brand_intake!$F$2:$F$401,MATCH($B25,brand_intake!$A$2:$A$401,0))),""),IFERROR(IF(INDEX(brand_intake_founder!$F$2:$F$81,MATCH($B25,brand_intake_founder!$A$2:$A$81,0))="","",INDEX(brand_intake_founder!$F$2:$F$81,MATCH($B25,brand_intake_founder!$A$2:$A$81,0))),"")))</f>
        <v/>
      </c>
      <c r="R25" s="25">
        <f>IF($B25="","",IF(COUNTIF(brand_intake!$A$2:$A$401,$B25)&gt;0,IFERROR(IF(INDEX(brand_intake!$G$2:$G$401,MATCH($B25,brand_intake!$A$2:$A$401,0))="","",INDEX(brand_intake!$G$2:$G$401,MATCH($B25,brand_intake!$A$2:$A$401,0))),""),IFERROR(IF(INDEX(brand_intake_founder!$G$2:$G$81,MATCH($B25,brand_intake_founder!$A$2:$A$81,0))="","",INDEX(brand_intake_founder!$G$2:$G$81,MATCH($B25,brand_intake_founder!$A$2:$A$81,0))),"")))</f>
        <v/>
      </c>
      <c r="S25" s="25">
        <f>IF($B25="","",IF(COUNTIF(brand_intake!$A$2:$A$401,$B25)&gt;0,IFERROR(IF(INDEX(brand_intake!$H$2:$H$401,MATCH($B25,brand_intake!$A$2:$A$401,0))="","",INDEX(brand_intake!$H$2:$H$401,MATCH($B25,brand_intake!$A$2:$A$401,0))),""),IFERROR(IF(INDEX(brand_intake_founder!$H$2:$H$81,MATCH($B25,brand_intake_founder!$A$2:$A$81,0))="","",INDEX(brand_intake_founder!$H$2:$H$81,MATCH($B25,brand_intake_founder!$A$2:$A$81,0))),"")))</f>
        <v/>
      </c>
      <c r="T25" s="25">
        <f>IF($B25="","",IF(COUNTIF(brand_intake!$A$2:$A$401,$B25)&gt;0,IFERROR(IF(INDEX(brand_intake!$M$2:$M$401,MATCH($B25,brand_intake!$A$2:$A$401,0))="","",INDEX(brand_intake!$M$2:$M$401,MATCH($B25,brand_intake!$A$2:$A$401,0))),""),IFERROR(IF(INDEX(brand_intake_founder!$M$2:$M$81,MATCH($B25,brand_intake_founder!$A$2:$A$81,0))="","",INDEX(brand_intake_founder!$M$2:$M$81,MATCH($B25,brand_intake_founder!$A$2:$A$81,0))),"")))</f>
        <v/>
      </c>
      <c r="U25" s="25">
        <f>IF($B25="","",IF(COUNTIF(brand_intake!$A$2:$A$401,$B25)&gt;0,IFERROR(IF(INDEX(brand_intake!$L$2:$L$401,MATCH($B25,brand_intake!$A$2:$A$401,0))="","",INDEX(brand_intake!$L$2:$L$401,MATCH($B25,brand_intake!$A$2:$A$401,0))),""),IFERROR(IF(INDEX(brand_intake_founder!$L$2:$L$81,MATCH($B25,brand_intake_founder!$A$2:$A$81,0))="","",INDEX(brand_intake_founder!$L$2:$L$81,MATCH($B25,brand_intake_founder!$A$2:$A$81,0))),"")))</f>
        <v/>
      </c>
      <c r="V25" s="25">
        <f>IF($B25="","",IF(COUNTIF(brand_intake!$A$2:$A$401,$B25)&gt;0,IFERROR(IF(INDEX(brand_intake!$N$2:$N$401,MATCH($B25,brand_intake!$A$2:$A$401,0))="","",INDEX(brand_intake!$N$2:$N$401,MATCH($B25,brand_intake!$A$2:$A$401,0))),""),IFERROR(IF(INDEX(brand_intake_founder!$N$2:$N$81,MATCH($B25,brand_intake_founder!$A$2:$A$81,0))="","",INDEX(brand_intake_founder!$N$2:$N$81,MATCH($B25,brand_intake_founder!$A$2:$A$81,0))),"")))</f>
        <v/>
      </c>
      <c r="W25" s="25">
        <f>IF($B25="","",IF(COUNTIF(brand_intake!$A$2:$A$401,$B25)&gt;0,IFERROR(IF(INDEX(brand_intake!$Q$2:$Q$401,MATCH($B25,brand_intake!$A$2:$A$401,0))="","",INDEX(brand_intake!$Q$2:$Q$401,MATCH($B25,brand_intake!$A$2:$A$401,0))),""),IFERROR(IF(INDEX(brand_intake_founder!$Q$2:$Q$81,MATCH($B25,brand_intake_founder!$A$2:$A$81,0))="","",INDEX(brand_intake_founder!$Q$2:$Q$81,MATCH($B25,brand_intake_founder!$A$2:$A$81,0))),"")))</f>
        <v/>
      </c>
      <c r="X25" s="25">
        <f>IF($B25="","",IF(COUNTIF(brand_intake!$A$2:$A$401,$B25)&gt;0,IFERROR(IF(INDEX(brand_intake!$R$2:$R$401,MATCH($B25,brand_intake!$A$2:$A$401,0))="","",INDEX(brand_intake!$R$2:$R$401,MATCH($B25,brand_intake!$A$2:$A$401,0))),""),IFERROR(IF(INDEX(brand_intake_founder!$R$2:$R$81,MATCH($B25,brand_intake_founder!$A$2:$A$81,0))="","",INDEX(brand_intake_founder!$R$2:$R$81,MATCH($B25,brand_intake_founder!$A$2:$A$81,0))),"")))</f>
        <v/>
      </c>
      <c r="Y25" s="25">
        <f>IF($B25="","",IF(COUNTIF(brand_intake!$A$2:$A$401,$B25)&gt;0,IFERROR(IF(INDEX(brand_intake!$S$2:$S$401,MATCH($B25,brand_intake!$A$2:$A$401,0))="","",INDEX(brand_intake!$S$2:$S$401,MATCH($B25,brand_intake!$A$2:$A$401,0))),""),IFERROR(IF(INDEX(brand_intake_founder!$S$2:$S$81,MATCH($B25,brand_intake_founder!$A$2:$A$81,0))="","",INDEX(brand_intake_founder!$S$2:$S$81,MATCH($B25,brand_intake_founder!$A$2:$A$81,0))),"")))</f>
        <v/>
      </c>
      <c r="Z25" s="25">
        <f>IF($B25="","",IF(COUNTIF(brand_intake!$A$2:$A$401,$B25)&gt;0,IFERROR(IF(INDEX(brand_intake!$T$2:$T$401,MATCH($B25,brand_intake!$A$2:$A$401,0))="","",INDEX(brand_intake!$T$2:$T$401,MATCH($B25,brand_intake!$A$2:$A$401,0))),""),IFERROR(IF(INDEX(brand_intake_founder!$T$2:$T$81,MATCH($B25,brand_intake_founder!$A$2:$A$81,0))="","",INDEX(brand_intake_founder!$T$2:$T$81,MATCH($B25,brand_intake_founder!$A$2:$A$81,0))),"")))</f>
        <v/>
      </c>
      <c r="AA25" s="25">
        <f>IF($B25="","",IF(COUNTIF(brand_intake!$A$2:$A$401,$B25)&gt;0,IFERROR(IF(INDEX(brand_intake!$U$2:$U$401,MATCH($B25,brand_intake!$A$2:$A$401,0))="","",INDEX(brand_intake!$U$2:$U$401,MATCH($B25,brand_intake!$A$2:$A$401,0))),""),IFERROR(IF(INDEX(brand_intake_founder!$U$2:$U$81,MATCH($B25,brand_intake_founder!$A$2:$A$81,0))="","",INDEX(brand_intake_founder!$U$2:$U$81,MATCH($B25,brand_intake_founder!$A$2:$A$81,0))),"")))</f>
        <v/>
      </c>
      <c r="AB25" s="25">
        <f>IF($B25="","",IF(COUNTIF(brand_intake!$A$2:$A$401,$B25)&gt;0,IFERROR(IF(INDEX(brand_intake!$V$2:$V$401,MATCH($B25,brand_intake!$A$2:$A$401,0))="","",INDEX(brand_intake!$V$2:$V$401,MATCH($B25,brand_intake!$A$2:$A$401,0))),""),IFERROR(IF(INDEX(brand_intake_founder!$V$2:$V$81,MATCH($B25,brand_intake_founder!$A$2:$A$81,0))="","",INDEX(brand_intake_founder!$V$2:$V$81,MATCH($B25,brand_intake_founder!$A$2:$A$81,0))),"")))</f>
        <v/>
      </c>
      <c r="AC25" s="25">
        <f>IF($B25="","",IF(COUNTIF(brand_intake!$A$2:$A$401,$B25)&gt;0,IFERROR(IF(INDEX(brand_intake!$W$2:$W$401,MATCH($B25,brand_intake!$A$2:$A$401,0))="","",INDEX(brand_intake!$W$2:$W$401,MATCH($B25,brand_intake!$A$2:$A$401,0))),""),IFERROR(IF(INDEX(brand_intake_founder!$W$2:$W$81,MATCH($B25,brand_intake_founder!$A$2:$A$81,0))="","",INDEX(brand_intake_founder!$W$2:$W$81,MATCH($B25,brand_intake_founder!$A$2:$A$81,0))),"")))</f>
        <v/>
      </c>
      <c r="AD25" s="25">
        <f>IF($B25="","",IF(COUNTIF(brand_intake!$A$2:$A$401,$B25)&gt;0,IFERROR(IF(INDEX(brand_intake!$X$2:$X$401,MATCH($B25,brand_intake!$A$2:$A$401,0))="","",INDEX(brand_intake!$X$2:$X$401,MATCH($B25,brand_intake!$A$2:$A$401,0))),""),IFERROR(IF(INDEX(brand_intake_founder!$X$2:$X$81,MATCH($B25,brand_intake_founder!$A$2:$A$81,0))="","",INDEX(brand_intake_founder!$X$2:$X$81,MATCH($B25,brand_intake_founder!$A$2:$A$81,0))),"")))</f>
        <v/>
      </c>
      <c r="AE25" s="25">
        <f>IF($B25="","",IF(COUNTIF(brand_intake!$A$2:$A$401,$B25)&gt;0,IFERROR(IF(INDEX(brand_intake!$Y$2:$Y$401,MATCH($B25,brand_intake!$A$2:$A$401,0))="","",INDEX(brand_intake!$Y$2:$Y$401,MATCH($B25,brand_intake!$A$2:$A$401,0))),""),IFERROR(IF(INDEX(brand_intake_founder!$Y$2:$Y$81,MATCH($B25,brand_intake_founder!$A$2:$A$81,0))="","",INDEX(brand_intake_founder!$Y$2:$Y$81,MATCH($B25,brand_intake_founder!$A$2:$A$81,0))),"")))</f>
        <v/>
      </c>
      <c r="AF25" s="25">
        <f>IF($B25="","",($X25="Y")+($Y25="Y")+($Z25="Y")+($AA25="Y")+($AB25="Y")+($AC25="Y")+(LEN($AD25)&gt;0))</f>
        <v/>
      </c>
      <c r="AG25" s="25">
        <f>IF($B25="","",IF(AND($AF25=7,$AE25="Y"),"Y (as answered)","N: check "&amp;IF($X25&lt;&gt;"Y","1 ","")&amp;IF($Y25&lt;&gt;"Y","2 ","")&amp;IF($Z25&lt;&gt;"Y","3 ","")&amp;IF($AA25&lt;&gt;"Y","4 ","")&amp;IF($AB25&lt;&gt;"Y","5 ","")&amp;IF($AC25&lt;&gt;"Y","6 ","")&amp;IF(LEN($AD25)=0,"7 ","")&amp;IF($AE25&lt;&gt;"Y","excluded? ","")))</f>
        <v/>
      </c>
      <c r="AH25" s="25">
        <f>IF($A25="","",COUNTIF(campaigns!$C$2:$C$51,$A25))</f>
        <v/>
      </c>
      <c r="AI25" s="25">
        <f>IF(OR($A25="",SUMIFS(campaigns!$H$2:$H$51,campaigns!$C$2:$C$51,$A25,campaigns!$D$2:$D$51,"founding",campaigns!$E$2:$E$51,"&lt;&gt;Y")=0),"",COUNTIFS(campaigns!$D$2:$D$51,"founding",campaigns!$E$2:$E$51,"&lt;&gt;Y",campaigns!$H$2:$H$51,"&lt;="&amp;SUMIFS(campaigns!$H$2:$H$51,campaigns!$C$2:$C$51,$A25,campaigns!$D$2:$D$51,"founding",campaigns!$E$2:$E$51,"&lt;&gt;Y"),campaigns!$H$2:$H$51,"&gt;0"))</f>
        <v/>
      </c>
      <c r="AJ25" s="25">
        <f>IF(OR($A25="",NOT(IFERROR(COUNTIF(INDEX(in_paid_brands!$A$2:$BZ$81,0,MATCH("brand_id",in_paid_brands!$A$1:$BZ$1,0)),$A25),0)&gt;0)),"",IF(IFERROR(IF(INDEX(in_paid_brands!$A$2:$BZ$81,MATCH($A25,INDEX(in_paid_brands!$A$2:$BZ$81,0,MATCH("brand_id",in_paid_brands!$A$1:$BZ$1,0)),0),MATCH("campaign_id",in_paid_brands!$A$1:$BZ$1,0))="","",INDEX(in_paid_brands!$A$2:$BZ$81,MATCH($A25,INDEX(in_paid_brands!$A$2:$BZ$81,0,MATCH("brand_id",in_paid_brands!$A$1:$BZ$1,0)),0),MATCH("campaign_id",in_paid_brands!$A$1:$BZ$1,0))),"")="","E's paid_brands row has no campaign_id: type the CMP-### there; ",IF(OR(ABS(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gt;0.005,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payment 1 differs: E "&amp;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amp;" on "&amp;IF(N(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0,"none",TEXT(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yyyy-mm-dd"))&amp;"; ","")&amp;IF(OR(ABS(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gt;0.005,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payment 2 differs: E "&amp;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amp;" on "&amp;IF(N(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0,"none",TEXT(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yyyy-mm-dd"))&amp;"; ","")))</f>
        <v/>
      </c>
    </row>
    <row r="26">
      <c r="B26" s="30" t="n"/>
      <c r="H26" s="9" t="n"/>
      <c r="K26" s="25">
        <f>IF($B26="","",IF(COUNTIF(brand_intake!$A$2:$A$401,$B26)&gt;0,IFERROR(IF(INDEX(brand_intake!$C$2:$C$401,MATCH($B26,brand_intake!$A$2:$A$401,0))="","",INDEX(brand_intake!$C$2:$C$401,MATCH($B26,brand_intake!$A$2:$A$401,0))),""),IFERROR(IF(INDEX(brand_intake_founder!$C$2:$C$81,MATCH($B26,brand_intake_founder!$A$2:$A$81,0))="","",INDEX(brand_intake_founder!$C$2:$C$81,MATCH($B26,brand_intake_founder!$A$2:$A$81,0))),"")))</f>
        <v/>
      </c>
      <c r="L26" s="25">
        <f>IF($B26="","",IF(COUNTIF(brand_intake!$A$2:$A$401,$B26)&gt;0,IFERROR(IF(INDEX(brand_intake!$D$2:$D$401,MATCH($B26,brand_intake!$A$2:$A$401,0))="","",INDEX(brand_intake!$D$2:$D$401,MATCH($B26,brand_intake!$A$2:$A$401,0))),""),IFERROR(IF(INDEX(brand_intake_founder!$D$2:$D$81,MATCH($B26,brand_intake_founder!$A$2:$A$81,0))="","",INDEX(brand_intake_founder!$D$2:$D$81,MATCH($B26,brand_intake_founder!$A$2:$A$81,0))),"")))</f>
        <v/>
      </c>
      <c r="M26" s="25">
        <f>IF($B26="","",IF(COUNTIF(brand_intake!$A$2:$A$401,$B26)&gt;0,IFERROR(IF(INDEX(brand_intake!$J$2:$J$401,MATCH($B26,brand_intake!$A$2:$A$401,0))="","",INDEX(brand_intake!$J$2:$J$401,MATCH($B26,brand_intake!$A$2:$A$401,0))),""),IFERROR(IF(INDEX(brand_intake_founder!$J$2:$J$81,MATCH($B26,brand_intake_founder!$A$2:$A$81,0))="","",INDEX(brand_intake_founder!$J$2:$J$81,MATCH($B26,brand_intake_founder!$A$2:$A$81,0))),"")))</f>
        <v/>
      </c>
      <c r="N26" s="25">
        <f>IF($B26="","",IF(COUNTIF(brand_intake!$A$2:$A$401,$B26)&gt;0,IFERROR(IF(INDEX(brand_intake!$I$2:$I$401,MATCH($B26,brand_intake!$A$2:$A$401,0))="","",INDEX(brand_intake!$I$2:$I$401,MATCH($B26,brand_intake!$A$2:$A$401,0))),""),IFERROR(IF(INDEX(brand_intake_founder!$I$2:$I$81,MATCH($B26,brand_intake_founder!$A$2:$A$81,0))="","",INDEX(brand_intake_founder!$I$2:$I$81,MATCH($B26,brand_intake_founder!$A$2:$A$81,0))),"")))</f>
        <v/>
      </c>
      <c r="O26" s="25">
        <f>IF($B26="","",IF(COUNTIF(brand_intake!$A$2:$A$401,$B26)&gt;0,IFERROR(IF(INDEX(brand_intake!$K$2:$K$401,MATCH($B26,brand_intake!$A$2:$A$401,0))="","",INDEX(brand_intake!$K$2:$K$401,MATCH($B26,brand_intake!$A$2:$A$401,0))),""),IFERROR(IF(INDEX(brand_intake_founder!$K$2:$K$81,MATCH($B26,brand_intake_founder!$A$2:$A$81,0))="","",INDEX(brand_intake_founder!$K$2:$K$81,MATCH($B26,brand_intake_founder!$A$2:$A$81,0))),"")))</f>
        <v/>
      </c>
      <c r="P26" s="25">
        <f>IF($B26="","",IF(COUNTIF(brand_intake!$A$2:$A$401,$B26)&gt;0,IFERROR(IF(INDEX(brand_intake!$E$2:$E$401,MATCH($B26,brand_intake!$A$2:$A$401,0))="","",INDEX(brand_intake!$E$2:$E$401,MATCH($B26,brand_intake!$A$2:$A$401,0))),""),IFERROR(IF(INDEX(brand_intake_founder!$E$2:$E$81,MATCH($B26,brand_intake_founder!$A$2:$A$81,0))="","",INDEX(brand_intake_founder!$E$2:$E$81,MATCH($B26,brand_intake_founder!$A$2:$A$81,0))),"")))</f>
        <v/>
      </c>
      <c r="Q26" s="25">
        <f>IF($B26="","",IF(COUNTIF(brand_intake!$A$2:$A$401,$B26)&gt;0,IFERROR(IF(INDEX(brand_intake!$F$2:$F$401,MATCH($B26,brand_intake!$A$2:$A$401,0))="","",INDEX(brand_intake!$F$2:$F$401,MATCH($B26,brand_intake!$A$2:$A$401,0))),""),IFERROR(IF(INDEX(brand_intake_founder!$F$2:$F$81,MATCH($B26,brand_intake_founder!$A$2:$A$81,0))="","",INDEX(brand_intake_founder!$F$2:$F$81,MATCH($B26,brand_intake_founder!$A$2:$A$81,0))),"")))</f>
        <v/>
      </c>
      <c r="R26" s="25">
        <f>IF($B26="","",IF(COUNTIF(brand_intake!$A$2:$A$401,$B26)&gt;0,IFERROR(IF(INDEX(brand_intake!$G$2:$G$401,MATCH($B26,brand_intake!$A$2:$A$401,0))="","",INDEX(brand_intake!$G$2:$G$401,MATCH($B26,brand_intake!$A$2:$A$401,0))),""),IFERROR(IF(INDEX(brand_intake_founder!$G$2:$G$81,MATCH($B26,brand_intake_founder!$A$2:$A$81,0))="","",INDEX(brand_intake_founder!$G$2:$G$81,MATCH($B26,brand_intake_founder!$A$2:$A$81,0))),"")))</f>
        <v/>
      </c>
      <c r="S26" s="25">
        <f>IF($B26="","",IF(COUNTIF(brand_intake!$A$2:$A$401,$B26)&gt;0,IFERROR(IF(INDEX(brand_intake!$H$2:$H$401,MATCH($B26,brand_intake!$A$2:$A$401,0))="","",INDEX(brand_intake!$H$2:$H$401,MATCH($B26,brand_intake!$A$2:$A$401,0))),""),IFERROR(IF(INDEX(brand_intake_founder!$H$2:$H$81,MATCH($B26,brand_intake_founder!$A$2:$A$81,0))="","",INDEX(brand_intake_founder!$H$2:$H$81,MATCH($B26,brand_intake_founder!$A$2:$A$81,0))),"")))</f>
        <v/>
      </c>
      <c r="T26" s="25">
        <f>IF($B26="","",IF(COUNTIF(brand_intake!$A$2:$A$401,$B26)&gt;0,IFERROR(IF(INDEX(brand_intake!$M$2:$M$401,MATCH($B26,brand_intake!$A$2:$A$401,0))="","",INDEX(brand_intake!$M$2:$M$401,MATCH($B26,brand_intake!$A$2:$A$401,0))),""),IFERROR(IF(INDEX(brand_intake_founder!$M$2:$M$81,MATCH($B26,brand_intake_founder!$A$2:$A$81,0))="","",INDEX(brand_intake_founder!$M$2:$M$81,MATCH($B26,brand_intake_founder!$A$2:$A$81,0))),"")))</f>
        <v/>
      </c>
      <c r="U26" s="25">
        <f>IF($B26="","",IF(COUNTIF(brand_intake!$A$2:$A$401,$B26)&gt;0,IFERROR(IF(INDEX(brand_intake!$L$2:$L$401,MATCH($B26,brand_intake!$A$2:$A$401,0))="","",INDEX(brand_intake!$L$2:$L$401,MATCH($B26,brand_intake!$A$2:$A$401,0))),""),IFERROR(IF(INDEX(brand_intake_founder!$L$2:$L$81,MATCH($B26,brand_intake_founder!$A$2:$A$81,0))="","",INDEX(brand_intake_founder!$L$2:$L$81,MATCH($B26,brand_intake_founder!$A$2:$A$81,0))),"")))</f>
        <v/>
      </c>
      <c r="V26" s="25">
        <f>IF($B26="","",IF(COUNTIF(brand_intake!$A$2:$A$401,$B26)&gt;0,IFERROR(IF(INDEX(brand_intake!$N$2:$N$401,MATCH($B26,brand_intake!$A$2:$A$401,0))="","",INDEX(brand_intake!$N$2:$N$401,MATCH($B26,brand_intake!$A$2:$A$401,0))),""),IFERROR(IF(INDEX(brand_intake_founder!$N$2:$N$81,MATCH($B26,brand_intake_founder!$A$2:$A$81,0))="","",INDEX(brand_intake_founder!$N$2:$N$81,MATCH($B26,brand_intake_founder!$A$2:$A$81,0))),"")))</f>
        <v/>
      </c>
      <c r="W26" s="25">
        <f>IF($B26="","",IF(COUNTIF(brand_intake!$A$2:$A$401,$B26)&gt;0,IFERROR(IF(INDEX(brand_intake!$Q$2:$Q$401,MATCH($B26,brand_intake!$A$2:$A$401,0))="","",INDEX(brand_intake!$Q$2:$Q$401,MATCH($B26,brand_intake!$A$2:$A$401,0))),""),IFERROR(IF(INDEX(brand_intake_founder!$Q$2:$Q$81,MATCH($B26,brand_intake_founder!$A$2:$A$81,0))="","",INDEX(brand_intake_founder!$Q$2:$Q$81,MATCH($B26,brand_intake_founder!$A$2:$A$81,0))),"")))</f>
        <v/>
      </c>
      <c r="X26" s="25">
        <f>IF($B26="","",IF(COUNTIF(brand_intake!$A$2:$A$401,$B26)&gt;0,IFERROR(IF(INDEX(brand_intake!$R$2:$R$401,MATCH($B26,brand_intake!$A$2:$A$401,0))="","",INDEX(brand_intake!$R$2:$R$401,MATCH($B26,brand_intake!$A$2:$A$401,0))),""),IFERROR(IF(INDEX(brand_intake_founder!$R$2:$R$81,MATCH($B26,brand_intake_founder!$A$2:$A$81,0))="","",INDEX(brand_intake_founder!$R$2:$R$81,MATCH($B26,brand_intake_founder!$A$2:$A$81,0))),"")))</f>
        <v/>
      </c>
      <c r="Y26" s="25">
        <f>IF($B26="","",IF(COUNTIF(brand_intake!$A$2:$A$401,$B26)&gt;0,IFERROR(IF(INDEX(brand_intake!$S$2:$S$401,MATCH($B26,brand_intake!$A$2:$A$401,0))="","",INDEX(brand_intake!$S$2:$S$401,MATCH($B26,brand_intake!$A$2:$A$401,0))),""),IFERROR(IF(INDEX(brand_intake_founder!$S$2:$S$81,MATCH($B26,brand_intake_founder!$A$2:$A$81,0))="","",INDEX(brand_intake_founder!$S$2:$S$81,MATCH($B26,brand_intake_founder!$A$2:$A$81,0))),"")))</f>
        <v/>
      </c>
      <c r="Z26" s="25">
        <f>IF($B26="","",IF(COUNTIF(brand_intake!$A$2:$A$401,$B26)&gt;0,IFERROR(IF(INDEX(brand_intake!$T$2:$T$401,MATCH($B26,brand_intake!$A$2:$A$401,0))="","",INDEX(brand_intake!$T$2:$T$401,MATCH($B26,brand_intake!$A$2:$A$401,0))),""),IFERROR(IF(INDEX(brand_intake_founder!$T$2:$T$81,MATCH($B26,brand_intake_founder!$A$2:$A$81,0))="","",INDEX(brand_intake_founder!$T$2:$T$81,MATCH($B26,brand_intake_founder!$A$2:$A$81,0))),"")))</f>
        <v/>
      </c>
      <c r="AA26" s="25">
        <f>IF($B26="","",IF(COUNTIF(brand_intake!$A$2:$A$401,$B26)&gt;0,IFERROR(IF(INDEX(brand_intake!$U$2:$U$401,MATCH($B26,brand_intake!$A$2:$A$401,0))="","",INDEX(brand_intake!$U$2:$U$401,MATCH($B26,brand_intake!$A$2:$A$401,0))),""),IFERROR(IF(INDEX(brand_intake_founder!$U$2:$U$81,MATCH($B26,brand_intake_founder!$A$2:$A$81,0))="","",INDEX(brand_intake_founder!$U$2:$U$81,MATCH($B26,brand_intake_founder!$A$2:$A$81,0))),"")))</f>
        <v/>
      </c>
      <c r="AB26" s="25">
        <f>IF($B26="","",IF(COUNTIF(brand_intake!$A$2:$A$401,$B26)&gt;0,IFERROR(IF(INDEX(brand_intake!$V$2:$V$401,MATCH($B26,brand_intake!$A$2:$A$401,0))="","",INDEX(brand_intake!$V$2:$V$401,MATCH($B26,brand_intake!$A$2:$A$401,0))),""),IFERROR(IF(INDEX(brand_intake_founder!$V$2:$V$81,MATCH($B26,brand_intake_founder!$A$2:$A$81,0))="","",INDEX(brand_intake_founder!$V$2:$V$81,MATCH($B26,brand_intake_founder!$A$2:$A$81,0))),"")))</f>
        <v/>
      </c>
      <c r="AC26" s="25">
        <f>IF($B26="","",IF(COUNTIF(brand_intake!$A$2:$A$401,$B26)&gt;0,IFERROR(IF(INDEX(brand_intake!$W$2:$W$401,MATCH($B26,brand_intake!$A$2:$A$401,0))="","",INDEX(brand_intake!$W$2:$W$401,MATCH($B26,brand_intake!$A$2:$A$401,0))),""),IFERROR(IF(INDEX(brand_intake_founder!$W$2:$W$81,MATCH($B26,brand_intake_founder!$A$2:$A$81,0))="","",INDEX(brand_intake_founder!$W$2:$W$81,MATCH($B26,brand_intake_founder!$A$2:$A$81,0))),"")))</f>
        <v/>
      </c>
      <c r="AD26" s="25">
        <f>IF($B26="","",IF(COUNTIF(brand_intake!$A$2:$A$401,$B26)&gt;0,IFERROR(IF(INDEX(brand_intake!$X$2:$X$401,MATCH($B26,brand_intake!$A$2:$A$401,0))="","",INDEX(brand_intake!$X$2:$X$401,MATCH($B26,brand_intake!$A$2:$A$401,0))),""),IFERROR(IF(INDEX(brand_intake_founder!$X$2:$X$81,MATCH($B26,brand_intake_founder!$A$2:$A$81,0))="","",INDEX(brand_intake_founder!$X$2:$X$81,MATCH($B26,brand_intake_founder!$A$2:$A$81,0))),"")))</f>
        <v/>
      </c>
      <c r="AE26" s="25">
        <f>IF($B26="","",IF(COUNTIF(brand_intake!$A$2:$A$401,$B26)&gt;0,IFERROR(IF(INDEX(brand_intake!$Y$2:$Y$401,MATCH($B26,brand_intake!$A$2:$A$401,0))="","",INDEX(brand_intake!$Y$2:$Y$401,MATCH($B26,brand_intake!$A$2:$A$401,0))),""),IFERROR(IF(INDEX(brand_intake_founder!$Y$2:$Y$81,MATCH($B26,brand_intake_founder!$A$2:$A$81,0))="","",INDEX(brand_intake_founder!$Y$2:$Y$81,MATCH($B26,brand_intake_founder!$A$2:$A$81,0))),"")))</f>
        <v/>
      </c>
      <c r="AF26" s="25">
        <f>IF($B26="","",($X26="Y")+($Y26="Y")+($Z26="Y")+($AA26="Y")+($AB26="Y")+($AC26="Y")+(LEN($AD26)&gt;0))</f>
        <v/>
      </c>
      <c r="AG26" s="25">
        <f>IF($B26="","",IF(AND($AF26=7,$AE26="Y"),"Y (as answered)","N: check "&amp;IF($X26&lt;&gt;"Y","1 ","")&amp;IF($Y26&lt;&gt;"Y","2 ","")&amp;IF($Z26&lt;&gt;"Y","3 ","")&amp;IF($AA26&lt;&gt;"Y","4 ","")&amp;IF($AB26&lt;&gt;"Y","5 ","")&amp;IF($AC26&lt;&gt;"Y","6 ","")&amp;IF(LEN($AD26)=0,"7 ","")&amp;IF($AE26&lt;&gt;"Y","excluded? ","")))</f>
        <v/>
      </c>
      <c r="AH26" s="25">
        <f>IF($A26="","",COUNTIF(campaigns!$C$2:$C$51,$A26))</f>
        <v/>
      </c>
      <c r="AI26" s="25">
        <f>IF(OR($A26="",SUMIFS(campaigns!$H$2:$H$51,campaigns!$C$2:$C$51,$A26,campaigns!$D$2:$D$51,"founding",campaigns!$E$2:$E$51,"&lt;&gt;Y")=0),"",COUNTIFS(campaigns!$D$2:$D$51,"founding",campaigns!$E$2:$E$51,"&lt;&gt;Y",campaigns!$H$2:$H$51,"&lt;="&amp;SUMIFS(campaigns!$H$2:$H$51,campaigns!$C$2:$C$51,$A26,campaigns!$D$2:$D$51,"founding",campaigns!$E$2:$E$51,"&lt;&gt;Y"),campaigns!$H$2:$H$51,"&gt;0"))</f>
        <v/>
      </c>
      <c r="AJ26" s="25">
        <f>IF(OR($A26="",NOT(IFERROR(COUNTIF(INDEX(in_paid_brands!$A$2:$BZ$81,0,MATCH("brand_id",in_paid_brands!$A$1:$BZ$1,0)),$A26),0)&gt;0)),"",IF(IFERROR(IF(INDEX(in_paid_brands!$A$2:$BZ$81,MATCH($A26,INDEX(in_paid_brands!$A$2:$BZ$81,0,MATCH("brand_id",in_paid_brands!$A$1:$BZ$1,0)),0),MATCH("campaign_id",in_paid_brands!$A$1:$BZ$1,0))="","",INDEX(in_paid_brands!$A$2:$BZ$81,MATCH($A26,INDEX(in_paid_brands!$A$2:$BZ$81,0,MATCH("brand_id",in_paid_brands!$A$1:$BZ$1,0)),0),MATCH("campaign_id",in_paid_brands!$A$1:$BZ$1,0))),"")="","E's paid_brands row has no campaign_id: type the CMP-### there; ",IF(OR(ABS(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gt;0.005,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payment 1 differs: E "&amp;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amp;" on "&amp;IF(N(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0,"none",TEXT(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yyyy-mm-dd"))&amp;"; ","")&amp;IF(OR(ABS(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gt;0.005,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payment 2 differs: E "&amp;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amp;" on "&amp;IF(N(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0,"none",TEXT(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yyyy-mm-dd"))&amp;"; ","")))</f>
        <v/>
      </c>
    </row>
    <row r="27">
      <c r="B27" s="30" t="n"/>
      <c r="H27" s="9" t="n"/>
      <c r="K27" s="25">
        <f>IF($B27="","",IF(COUNTIF(brand_intake!$A$2:$A$401,$B27)&gt;0,IFERROR(IF(INDEX(brand_intake!$C$2:$C$401,MATCH($B27,brand_intake!$A$2:$A$401,0))="","",INDEX(brand_intake!$C$2:$C$401,MATCH($B27,brand_intake!$A$2:$A$401,0))),""),IFERROR(IF(INDEX(brand_intake_founder!$C$2:$C$81,MATCH($B27,brand_intake_founder!$A$2:$A$81,0))="","",INDEX(brand_intake_founder!$C$2:$C$81,MATCH($B27,brand_intake_founder!$A$2:$A$81,0))),"")))</f>
        <v/>
      </c>
      <c r="L27" s="25">
        <f>IF($B27="","",IF(COUNTIF(brand_intake!$A$2:$A$401,$B27)&gt;0,IFERROR(IF(INDEX(brand_intake!$D$2:$D$401,MATCH($B27,brand_intake!$A$2:$A$401,0))="","",INDEX(brand_intake!$D$2:$D$401,MATCH($B27,brand_intake!$A$2:$A$401,0))),""),IFERROR(IF(INDEX(brand_intake_founder!$D$2:$D$81,MATCH($B27,brand_intake_founder!$A$2:$A$81,0))="","",INDEX(brand_intake_founder!$D$2:$D$81,MATCH($B27,brand_intake_founder!$A$2:$A$81,0))),"")))</f>
        <v/>
      </c>
      <c r="M27" s="25">
        <f>IF($B27="","",IF(COUNTIF(brand_intake!$A$2:$A$401,$B27)&gt;0,IFERROR(IF(INDEX(brand_intake!$J$2:$J$401,MATCH($B27,brand_intake!$A$2:$A$401,0))="","",INDEX(brand_intake!$J$2:$J$401,MATCH($B27,brand_intake!$A$2:$A$401,0))),""),IFERROR(IF(INDEX(brand_intake_founder!$J$2:$J$81,MATCH($B27,brand_intake_founder!$A$2:$A$81,0))="","",INDEX(brand_intake_founder!$J$2:$J$81,MATCH($B27,brand_intake_founder!$A$2:$A$81,0))),"")))</f>
        <v/>
      </c>
      <c r="N27" s="25">
        <f>IF($B27="","",IF(COUNTIF(brand_intake!$A$2:$A$401,$B27)&gt;0,IFERROR(IF(INDEX(brand_intake!$I$2:$I$401,MATCH($B27,brand_intake!$A$2:$A$401,0))="","",INDEX(brand_intake!$I$2:$I$401,MATCH($B27,brand_intake!$A$2:$A$401,0))),""),IFERROR(IF(INDEX(brand_intake_founder!$I$2:$I$81,MATCH($B27,brand_intake_founder!$A$2:$A$81,0))="","",INDEX(brand_intake_founder!$I$2:$I$81,MATCH($B27,brand_intake_founder!$A$2:$A$81,0))),"")))</f>
        <v/>
      </c>
      <c r="O27" s="25">
        <f>IF($B27="","",IF(COUNTIF(brand_intake!$A$2:$A$401,$B27)&gt;0,IFERROR(IF(INDEX(brand_intake!$K$2:$K$401,MATCH($B27,brand_intake!$A$2:$A$401,0))="","",INDEX(brand_intake!$K$2:$K$401,MATCH($B27,brand_intake!$A$2:$A$401,0))),""),IFERROR(IF(INDEX(brand_intake_founder!$K$2:$K$81,MATCH($B27,brand_intake_founder!$A$2:$A$81,0))="","",INDEX(brand_intake_founder!$K$2:$K$81,MATCH($B27,brand_intake_founder!$A$2:$A$81,0))),"")))</f>
        <v/>
      </c>
      <c r="P27" s="25">
        <f>IF($B27="","",IF(COUNTIF(brand_intake!$A$2:$A$401,$B27)&gt;0,IFERROR(IF(INDEX(brand_intake!$E$2:$E$401,MATCH($B27,brand_intake!$A$2:$A$401,0))="","",INDEX(brand_intake!$E$2:$E$401,MATCH($B27,brand_intake!$A$2:$A$401,0))),""),IFERROR(IF(INDEX(brand_intake_founder!$E$2:$E$81,MATCH($B27,brand_intake_founder!$A$2:$A$81,0))="","",INDEX(brand_intake_founder!$E$2:$E$81,MATCH($B27,brand_intake_founder!$A$2:$A$81,0))),"")))</f>
        <v/>
      </c>
      <c r="Q27" s="25">
        <f>IF($B27="","",IF(COUNTIF(brand_intake!$A$2:$A$401,$B27)&gt;0,IFERROR(IF(INDEX(brand_intake!$F$2:$F$401,MATCH($B27,brand_intake!$A$2:$A$401,0))="","",INDEX(brand_intake!$F$2:$F$401,MATCH($B27,brand_intake!$A$2:$A$401,0))),""),IFERROR(IF(INDEX(brand_intake_founder!$F$2:$F$81,MATCH($B27,brand_intake_founder!$A$2:$A$81,0))="","",INDEX(brand_intake_founder!$F$2:$F$81,MATCH($B27,brand_intake_founder!$A$2:$A$81,0))),"")))</f>
        <v/>
      </c>
      <c r="R27" s="25">
        <f>IF($B27="","",IF(COUNTIF(brand_intake!$A$2:$A$401,$B27)&gt;0,IFERROR(IF(INDEX(brand_intake!$G$2:$G$401,MATCH($B27,brand_intake!$A$2:$A$401,0))="","",INDEX(brand_intake!$G$2:$G$401,MATCH($B27,brand_intake!$A$2:$A$401,0))),""),IFERROR(IF(INDEX(brand_intake_founder!$G$2:$G$81,MATCH($B27,brand_intake_founder!$A$2:$A$81,0))="","",INDEX(brand_intake_founder!$G$2:$G$81,MATCH($B27,brand_intake_founder!$A$2:$A$81,0))),"")))</f>
        <v/>
      </c>
      <c r="S27" s="25">
        <f>IF($B27="","",IF(COUNTIF(brand_intake!$A$2:$A$401,$B27)&gt;0,IFERROR(IF(INDEX(brand_intake!$H$2:$H$401,MATCH($B27,brand_intake!$A$2:$A$401,0))="","",INDEX(brand_intake!$H$2:$H$401,MATCH($B27,brand_intake!$A$2:$A$401,0))),""),IFERROR(IF(INDEX(brand_intake_founder!$H$2:$H$81,MATCH($B27,brand_intake_founder!$A$2:$A$81,0))="","",INDEX(brand_intake_founder!$H$2:$H$81,MATCH($B27,brand_intake_founder!$A$2:$A$81,0))),"")))</f>
        <v/>
      </c>
      <c r="T27" s="25">
        <f>IF($B27="","",IF(COUNTIF(brand_intake!$A$2:$A$401,$B27)&gt;0,IFERROR(IF(INDEX(brand_intake!$M$2:$M$401,MATCH($B27,brand_intake!$A$2:$A$401,0))="","",INDEX(brand_intake!$M$2:$M$401,MATCH($B27,brand_intake!$A$2:$A$401,0))),""),IFERROR(IF(INDEX(brand_intake_founder!$M$2:$M$81,MATCH($B27,brand_intake_founder!$A$2:$A$81,0))="","",INDEX(brand_intake_founder!$M$2:$M$81,MATCH($B27,brand_intake_founder!$A$2:$A$81,0))),"")))</f>
        <v/>
      </c>
      <c r="U27" s="25">
        <f>IF($B27="","",IF(COUNTIF(brand_intake!$A$2:$A$401,$B27)&gt;0,IFERROR(IF(INDEX(brand_intake!$L$2:$L$401,MATCH($B27,brand_intake!$A$2:$A$401,0))="","",INDEX(brand_intake!$L$2:$L$401,MATCH($B27,brand_intake!$A$2:$A$401,0))),""),IFERROR(IF(INDEX(brand_intake_founder!$L$2:$L$81,MATCH($B27,brand_intake_founder!$A$2:$A$81,0))="","",INDEX(brand_intake_founder!$L$2:$L$81,MATCH($B27,brand_intake_founder!$A$2:$A$81,0))),"")))</f>
        <v/>
      </c>
      <c r="V27" s="25">
        <f>IF($B27="","",IF(COUNTIF(brand_intake!$A$2:$A$401,$B27)&gt;0,IFERROR(IF(INDEX(brand_intake!$N$2:$N$401,MATCH($B27,brand_intake!$A$2:$A$401,0))="","",INDEX(brand_intake!$N$2:$N$401,MATCH($B27,brand_intake!$A$2:$A$401,0))),""),IFERROR(IF(INDEX(brand_intake_founder!$N$2:$N$81,MATCH($B27,brand_intake_founder!$A$2:$A$81,0))="","",INDEX(brand_intake_founder!$N$2:$N$81,MATCH($B27,brand_intake_founder!$A$2:$A$81,0))),"")))</f>
        <v/>
      </c>
      <c r="W27" s="25">
        <f>IF($B27="","",IF(COUNTIF(brand_intake!$A$2:$A$401,$B27)&gt;0,IFERROR(IF(INDEX(brand_intake!$Q$2:$Q$401,MATCH($B27,brand_intake!$A$2:$A$401,0))="","",INDEX(brand_intake!$Q$2:$Q$401,MATCH($B27,brand_intake!$A$2:$A$401,0))),""),IFERROR(IF(INDEX(brand_intake_founder!$Q$2:$Q$81,MATCH($B27,brand_intake_founder!$A$2:$A$81,0))="","",INDEX(brand_intake_founder!$Q$2:$Q$81,MATCH($B27,brand_intake_founder!$A$2:$A$81,0))),"")))</f>
        <v/>
      </c>
      <c r="X27" s="25">
        <f>IF($B27="","",IF(COUNTIF(brand_intake!$A$2:$A$401,$B27)&gt;0,IFERROR(IF(INDEX(brand_intake!$R$2:$R$401,MATCH($B27,brand_intake!$A$2:$A$401,0))="","",INDEX(brand_intake!$R$2:$R$401,MATCH($B27,brand_intake!$A$2:$A$401,0))),""),IFERROR(IF(INDEX(brand_intake_founder!$R$2:$R$81,MATCH($B27,brand_intake_founder!$A$2:$A$81,0))="","",INDEX(brand_intake_founder!$R$2:$R$81,MATCH($B27,brand_intake_founder!$A$2:$A$81,0))),"")))</f>
        <v/>
      </c>
      <c r="Y27" s="25">
        <f>IF($B27="","",IF(COUNTIF(brand_intake!$A$2:$A$401,$B27)&gt;0,IFERROR(IF(INDEX(brand_intake!$S$2:$S$401,MATCH($B27,brand_intake!$A$2:$A$401,0))="","",INDEX(brand_intake!$S$2:$S$401,MATCH($B27,brand_intake!$A$2:$A$401,0))),""),IFERROR(IF(INDEX(brand_intake_founder!$S$2:$S$81,MATCH($B27,brand_intake_founder!$A$2:$A$81,0))="","",INDEX(brand_intake_founder!$S$2:$S$81,MATCH($B27,brand_intake_founder!$A$2:$A$81,0))),"")))</f>
        <v/>
      </c>
      <c r="Z27" s="25">
        <f>IF($B27="","",IF(COUNTIF(brand_intake!$A$2:$A$401,$B27)&gt;0,IFERROR(IF(INDEX(brand_intake!$T$2:$T$401,MATCH($B27,brand_intake!$A$2:$A$401,0))="","",INDEX(brand_intake!$T$2:$T$401,MATCH($B27,brand_intake!$A$2:$A$401,0))),""),IFERROR(IF(INDEX(brand_intake_founder!$T$2:$T$81,MATCH($B27,brand_intake_founder!$A$2:$A$81,0))="","",INDEX(brand_intake_founder!$T$2:$T$81,MATCH($B27,brand_intake_founder!$A$2:$A$81,0))),"")))</f>
        <v/>
      </c>
      <c r="AA27" s="25">
        <f>IF($B27="","",IF(COUNTIF(brand_intake!$A$2:$A$401,$B27)&gt;0,IFERROR(IF(INDEX(brand_intake!$U$2:$U$401,MATCH($B27,brand_intake!$A$2:$A$401,0))="","",INDEX(brand_intake!$U$2:$U$401,MATCH($B27,brand_intake!$A$2:$A$401,0))),""),IFERROR(IF(INDEX(brand_intake_founder!$U$2:$U$81,MATCH($B27,brand_intake_founder!$A$2:$A$81,0))="","",INDEX(brand_intake_founder!$U$2:$U$81,MATCH($B27,brand_intake_founder!$A$2:$A$81,0))),"")))</f>
        <v/>
      </c>
      <c r="AB27" s="25">
        <f>IF($B27="","",IF(COUNTIF(brand_intake!$A$2:$A$401,$B27)&gt;0,IFERROR(IF(INDEX(brand_intake!$V$2:$V$401,MATCH($B27,brand_intake!$A$2:$A$401,0))="","",INDEX(brand_intake!$V$2:$V$401,MATCH($B27,brand_intake!$A$2:$A$401,0))),""),IFERROR(IF(INDEX(brand_intake_founder!$V$2:$V$81,MATCH($B27,brand_intake_founder!$A$2:$A$81,0))="","",INDEX(brand_intake_founder!$V$2:$V$81,MATCH($B27,brand_intake_founder!$A$2:$A$81,0))),"")))</f>
        <v/>
      </c>
      <c r="AC27" s="25">
        <f>IF($B27="","",IF(COUNTIF(brand_intake!$A$2:$A$401,$B27)&gt;0,IFERROR(IF(INDEX(brand_intake!$W$2:$W$401,MATCH($B27,brand_intake!$A$2:$A$401,0))="","",INDEX(brand_intake!$W$2:$W$401,MATCH($B27,brand_intake!$A$2:$A$401,0))),""),IFERROR(IF(INDEX(brand_intake_founder!$W$2:$W$81,MATCH($B27,brand_intake_founder!$A$2:$A$81,0))="","",INDEX(brand_intake_founder!$W$2:$W$81,MATCH($B27,brand_intake_founder!$A$2:$A$81,0))),"")))</f>
        <v/>
      </c>
      <c r="AD27" s="25">
        <f>IF($B27="","",IF(COUNTIF(brand_intake!$A$2:$A$401,$B27)&gt;0,IFERROR(IF(INDEX(brand_intake!$X$2:$X$401,MATCH($B27,brand_intake!$A$2:$A$401,0))="","",INDEX(brand_intake!$X$2:$X$401,MATCH($B27,brand_intake!$A$2:$A$401,0))),""),IFERROR(IF(INDEX(brand_intake_founder!$X$2:$X$81,MATCH($B27,brand_intake_founder!$A$2:$A$81,0))="","",INDEX(brand_intake_founder!$X$2:$X$81,MATCH($B27,brand_intake_founder!$A$2:$A$81,0))),"")))</f>
        <v/>
      </c>
      <c r="AE27" s="25">
        <f>IF($B27="","",IF(COUNTIF(brand_intake!$A$2:$A$401,$B27)&gt;0,IFERROR(IF(INDEX(brand_intake!$Y$2:$Y$401,MATCH($B27,brand_intake!$A$2:$A$401,0))="","",INDEX(brand_intake!$Y$2:$Y$401,MATCH($B27,brand_intake!$A$2:$A$401,0))),""),IFERROR(IF(INDEX(brand_intake_founder!$Y$2:$Y$81,MATCH($B27,brand_intake_founder!$A$2:$A$81,0))="","",INDEX(brand_intake_founder!$Y$2:$Y$81,MATCH($B27,brand_intake_founder!$A$2:$A$81,0))),"")))</f>
        <v/>
      </c>
      <c r="AF27" s="25">
        <f>IF($B27="","",($X27="Y")+($Y27="Y")+($Z27="Y")+($AA27="Y")+($AB27="Y")+($AC27="Y")+(LEN($AD27)&gt;0))</f>
        <v/>
      </c>
      <c r="AG27" s="25">
        <f>IF($B27="","",IF(AND($AF27=7,$AE27="Y"),"Y (as answered)","N: check "&amp;IF($X27&lt;&gt;"Y","1 ","")&amp;IF($Y27&lt;&gt;"Y","2 ","")&amp;IF($Z27&lt;&gt;"Y","3 ","")&amp;IF($AA27&lt;&gt;"Y","4 ","")&amp;IF($AB27&lt;&gt;"Y","5 ","")&amp;IF($AC27&lt;&gt;"Y","6 ","")&amp;IF(LEN($AD27)=0,"7 ","")&amp;IF($AE27&lt;&gt;"Y","excluded? ","")))</f>
        <v/>
      </c>
      <c r="AH27" s="25">
        <f>IF($A27="","",COUNTIF(campaigns!$C$2:$C$51,$A27))</f>
        <v/>
      </c>
      <c r="AI27" s="25">
        <f>IF(OR($A27="",SUMIFS(campaigns!$H$2:$H$51,campaigns!$C$2:$C$51,$A27,campaigns!$D$2:$D$51,"founding",campaigns!$E$2:$E$51,"&lt;&gt;Y")=0),"",COUNTIFS(campaigns!$D$2:$D$51,"founding",campaigns!$E$2:$E$51,"&lt;&gt;Y",campaigns!$H$2:$H$51,"&lt;="&amp;SUMIFS(campaigns!$H$2:$H$51,campaigns!$C$2:$C$51,$A27,campaigns!$D$2:$D$51,"founding",campaigns!$E$2:$E$51,"&lt;&gt;Y"),campaigns!$H$2:$H$51,"&gt;0"))</f>
        <v/>
      </c>
      <c r="AJ27" s="25">
        <f>IF(OR($A27="",NOT(IFERROR(COUNTIF(INDEX(in_paid_brands!$A$2:$BZ$81,0,MATCH("brand_id",in_paid_brands!$A$1:$BZ$1,0)),$A27),0)&gt;0)),"",IF(IFERROR(IF(INDEX(in_paid_brands!$A$2:$BZ$81,MATCH($A27,INDEX(in_paid_brands!$A$2:$BZ$81,0,MATCH("brand_id",in_paid_brands!$A$1:$BZ$1,0)),0),MATCH("campaign_id",in_paid_brands!$A$1:$BZ$1,0))="","",INDEX(in_paid_brands!$A$2:$BZ$81,MATCH($A27,INDEX(in_paid_brands!$A$2:$BZ$81,0,MATCH("brand_id",in_paid_brands!$A$1:$BZ$1,0)),0),MATCH("campaign_id",in_paid_brands!$A$1:$BZ$1,0))),"")="","E's paid_brands row has no campaign_id: type the CMP-### there; ",IF(OR(ABS(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gt;0.005,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payment 1 differs: E "&amp;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amp;" on "&amp;IF(N(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0,"none",TEXT(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yyyy-mm-dd"))&amp;"; ","")&amp;IF(OR(ABS(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gt;0.005,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payment 2 differs: E "&amp;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amp;" on "&amp;IF(N(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0,"none",TEXT(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yyyy-mm-dd"))&amp;"; ","")))</f>
        <v/>
      </c>
    </row>
    <row r="28">
      <c r="B28" s="30" t="n"/>
      <c r="H28" s="9" t="n"/>
      <c r="K28" s="25">
        <f>IF($B28="","",IF(COUNTIF(brand_intake!$A$2:$A$401,$B28)&gt;0,IFERROR(IF(INDEX(brand_intake!$C$2:$C$401,MATCH($B28,brand_intake!$A$2:$A$401,0))="","",INDEX(brand_intake!$C$2:$C$401,MATCH($B28,brand_intake!$A$2:$A$401,0))),""),IFERROR(IF(INDEX(brand_intake_founder!$C$2:$C$81,MATCH($B28,brand_intake_founder!$A$2:$A$81,0))="","",INDEX(brand_intake_founder!$C$2:$C$81,MATCH($B28,brand_intake_founder!$A$2:$A$81,0))),"")))</f>
        <v/>
      </c>
      <c r="L28" s="25">
        <f>IF($B28="","",IF(COUNTIF(brand_intake!$A$2:$A$401,$B28)&gt;0,IFERROR(IF(INDEX(brand_intake!$D$2:$D$401,MATCH($B28,brand_intake!$A$2:$A$401,0))="","",INDEX(brand_intake!$D$2:$D$401,MATCH($B28,brand_intake!$A$2:$A$401,0))),""),IFERROR(IF(INDEX(brand_intake_founder!$D$2:$D$81,MATCH($B28,brand_intake_founder!$A$2:$A$81,0))="","",INDEX(brand_intake_founder!$D$2:$D$81,MATCH($B28,brand_intake_founder!$A$2:$A$81,0))),"")))</f>
        <v/>
      </c>
      <c r="M28" s="25">
        <f>IF($B28="","",IF(COUNTIF(brand_intake!$A$2:$A$401,$B28)&gt;0,IFERROR(IF(INDEX(brand_intake!$J$2:$J$401,MATCH($B28,brand_intake!$A$2:$A$401,0))="","",INDEX(brand_intake!$J$2:$J$401,MATCH($B28,brand_intake!$A$2:$A$401,0))),""),IFERROR(IF(INDEX(brand_intake_founder!$J$2:$J$81,MATCH($B28,brand_intake_founder!$A$2:$A$81,0))="","",INDEX(brand_intake_founder!$J$2:$J$81,MATCH($B28,brand_intake_founder!$A$2:$A$81,0))),"")))</f>
        <v/>
      </c>
      <c r="N28" s="25">
        <f>IF($B28="","",IF(COUNTIF(brand_intake!$A$2:$A$401,$B28)&gt;0,IFERROR(IF(INDEX(brand_intake!$I$2:$I$401,MATCH($B28,brand_intake!$A$2:$A$401,0))="","",INDEX(brand_intake!$I$2:$I$401,MATCH($B28,brand_intake!$A$2:$A$401,0))),""),IFERROR(IF(INDEX(brand_intake_founder!$I$2:$I$81,MATCH($B28,brand_intake_founder!$A$2:$A$81,0))="","",INDEX(brand_intake_founder!$I$2:$I$81,MATCH($B28,brand_intake_founder!$A$2:$A$81,0))),"")))</f>
        <v/>
      </c>
      <c r="O28" s="25">
        <f>IF($B28="","",IF(COUNTIF(brand_intake!$A$2:$A$401,$B28)&gt;0,IFERROR(IF(INDEX(brand_intake!$K$2:$K$401,MATCH($B28,brand_intake!$A$2:$A$401,0))="","",INDEX(brand_intake!$K$2:$K$401,MATCH($B28,brand_intake!$A$2:$A$401,0))),""),IFERROR(IF(INDEX(brand_intake_founder!$K$2:$K$81,MATCH($B28,brand_intake_founder!$A$2:$A$81,0))="","",INDEX(brand_intake_founder!$K$2:$K$81,MATCH($B28,brand_intake_founder!$A$2:$A$81,0))),"")))</f>
        <v/>
      </c>
      <c r="P28" s="25">
        <f>IF($B28="","",IF(COUNTIF(brand_intake!$A$2:$A$401,$B28)&gt;0,IFERROR(IF(INDEX(brand_intake!$E$2:$E$401,MATCH($B28,brand_intake!$A$2:$A$401,0))="","",INDEX(brand_intake!$E$2:$E$401,MATCH($B28,brand_intake!$A$2:$A$401,0))),""),IFERROR(IF(INDEX(brand_intake_founder!$E$2:$E$81,MATCH($B28,brand_intake_founder!$A$2:$A$81,0))="","",INDEX(brand_intake_founder!$E$2:$E$81,MATCH($B28,brand_intake_founder!$A$2:$A$81,0))),"")))</f>
        <v/>
      </c>
      <c r="Q28" s="25">
        <f>IF($B28="","",IF(COUNTIF(brand_intake!$A$2:$A$401,$B28)&gt;0,IFERROR(IF(INDEX(brand_intake!$F$2:$F$401,MATCH($B28,brand_intake!$A$2:$A$401,0))="","",INDEX(brand_intake!$F$2:$F$401,MATCH($B28,brand_intake!$A$2:$A$401,0))),""),IFERROR(IF(INDEX(brand_intake_founder!$F$2:$F$81,MATCH($B28,brand_intake_founder!$A$2:$A$81,0))="","",INDEX(brand_intake_founder!$F$2:$F$81,MATCH($B28,brand_intake_founder!$A$2:$A$81,0))),"")))</f>
        <v/>
      </c>
      <c r="R28" s="25">
        <f>IF($B28="","",IF(COUNTIF(brand_intake!$A$2:$A$401,$B28)&gt;0,IFERROR(IF(INDEX(brand_intake!$G$2:$G$401,MATCH($B28,brand_intake!$A$2:$A$401,0))="","",INDEX(brand_intake!$G$2:$G$401,MATCH($B28,brand_intake!$A$2:$A$401,0))),""),IFERROR(IF(INDEX(brand_intake_founder!$G$2:$G$81,MATCH($B28,brand_intake_founder!$A$2:$A$81,0))="","",INDEX(brand_intake_founder!$G$2:$G$81,MATCH($B28,brand_intake_founder!$A$2:$A$81,0))),"")))</f>
        <v/>
      </c>
      <c r="S28" s="25">
        <f>IF($B28="","",IF(COUNTIF(brand_intake!$A$2:$A$401,$B28)&gt;0,IFERROR(IF(INDEX(brand_intake!$H$2:$H$401,MATCH($B28,brand_intake!$A$2:$A$401,0))="","",INDEX(brand_intake!$H$2:$H$401,MATCH($B28,brand_intake!$A$2:$A$401,0))),""),IFERROR(IF(INDEX(brand_intake_founder!$H$2:$H$81,MATCH($B28,brand_intake_founder!$A$2:$A$81,0))="","",INDEX(brand_intake_founder!$H$2:$H$81,MATCH($B28,brand_intake_founder!$A$2:$A$81,0))),"")))</f>
        <v/>
      </c>
      <c r="T28" s="25">
        <f>IF($B28="","",IF(COUNTIF(brand_intake!$A$2:$A$401,$B28)&gt;0,IFERROR(IF(INDEX(brand_intake!$M$2:$M$401,MATCH($B28,brand_intake!$A$2:$A$401,0))="","",INDEX(brand_intake!$M$2:$M$401,MATCH($B28,brand_intake!$A$2:$A$401,0))),""),IFERROR(IF(INDEX(brand_intake_founder!$M$2:$M$81,MATCH($B28,brand_intake_founder!$A$2:$A$81,0))="","",INDEX(brand_intake_founder!$M$2:$M$81,MATCH($B28,brand_intake_founder!$A$2:$A$81,0))),"")))</f>
        <v/>
      </c>
      <c r="U28" s="25">
        <f>IF($B28="","",IF(COUNTIF(brand_intake!$A$2:$A$401,$B28)&gt;0,IFERROR(IF(INDEX(brand_intake!$L$2:$L$401,MATCH($B28,brand_intake!$A$2:$A$401,0))="","",INDEX(brand_intake!$L$2:$L$401,MATCH($B28,brand_intake!$A$2:$A$401,0))),""),IFERROR(IF(INDEX(brand_intake_founder!$L$2:$L$81,MATCH($B28,brand_intake_founder!$A$2:$A$81,0))="","",INDEX(brand_intake_founder!$L$2:$L$81,MATCH($B28,brand_intake_founder!$A$2:$A$81,0))),"")))</f>
        <v/>
      </c>
      <c r="V28" s="25">
        <f>IF($B28="","",IF(COUNTIF(brand_intake!$A$2:$A$401,$B28)&gt;0,IFERROR(IF(INDEX(brand_intake!$N$2:$N$401,MATCH($B28,brand_intake!$A$2:$A$401,0))="","",INDEX(brand_intake!$N$2:$N$401,MATCH($B28,brand_intake!$A$2:$A$401,0))),""),IFERROR(IF(INDEX(brand_intake_founder!$N$2:$N$81,MATCH($B28,brand_intake_founder!$A$2:$A$81,0))="","",INDEX(brand_intake_founder!$N$2:$N$81,MATCH($B28,brand_intake_founder!$A$2:$A$81,0))),"")))</f>
        <v/>
      </c>
      <c r="W28" s="25">
        <f>IF($B28="","",IF(COUNTIF(brand_intake!$A$2:$A$401,$B28)&gt;0,IFERROR(IF(INDEX(brand_intake!$Q$2:$Q$401,MATCH($B28,brand_intake!$A$2:$A$401,0))="","",INDEX(brand_intake!$Q$2:$Q$401,MATCH($B28,brand_intake!$A$2:$A$401,0))),""),IFERROR(IF(INDEX(brand_intake_founder!$Q$2:$Q$81,MATCH($B28,brand_intake_founder!$A$2:$A$81,0))="","",INDEX(brand_intake_founder!$Q$2:$Q$81,MATCH($B28,brand_intake_founder!$A$2:$A$81,0))),"")))</f>
        <v/>
      </c>
      <c r="X28" s="25">
        <f>IF($B28="","",IF(COUNTIF(brand_intake!$A$2:$A$401,$B28)&gt;0,IFERROR(IF(INDEX(brand_intake!$R$2:$R$401,MATCH($B28,brand_intake!$A$2:$A$401,0))="","",INDEX(brand_intake!$R$2:$R$401,MATCH($B28,brand_intake!$A$2:$A$401,0))),""),IFERROR(IF(INDEX(brand_intake_founder!$R$2:$R$81,MATCH($B28,brand_intake_founder!$A$2:$A$81,0))="","",INDEX(brand_intake_founder!$R$2:$R$81,MATCH($B28,brand_intake_founder!$A$2:$A$81,0))),"")))</f>
        <v/>
      </c>
      <c r="Y28" s="25">
        <f>IF($B28="","",IF(COUNTIF(brand_intake!$A$2:$A$401,$B28)&gt;0,IFERROR(IF(INDEX(brand_intake!$S$2:$S$401,MATCH($B28,brand_intake!$A$2:$A$401,0))="","",INDEX(brand_intake!$S$2:$S$401,MATCH($B28,brand_intake!$A$2:$A$401,0))),""),IFERROR(IF(INDEX(brand_intake_founder!$S$2:$S$81,MATCH($B28,brand_intake_founder!$A$2:$A$81,0))="","",INDEX(brand_intake_founder!$S$2:$S$81,MATCH($B28,brand_intake_founder!$A$2:$A$81,0))),"")))</f>
        <v/>
      </c>
      <c r="Z28" s="25">
        <f>IF($B28="","",IF(COUNTIF(brand_intake!$A$2:$A$401,$B28)&gt;0,IFERROR(IF(INDEX(brand_intake!$T$2:$T$401,MATCH($B28,brand_intake!$A$2:$A$401,0))="","",INDEX(brand_intake!$T$2:$T$401,MATCH($B28,brand_intake!$A$2:$A$401,0))),""),IFERROR(IF(INDEX(brand_intake_founder!$T$2:$T$81,MATCH($B28,brand_intake_founder!$A$2:$A$81,0))="","",INDEX(brand_intake_founder!$T$2:$T$81,MATCH($B28,brand_intake_founder!$A$2:$A$81,0))),"")))</f>
        <v/>
      </c>
      <c r="AA28" s="25">
        <f>IF($B28="","",IF(COUNTIF(brand_intake!$A$2:$A$401,$B28)&gt;0,IFERROR(IF(INDEX(brand_intake!$U$2:$U$401,MATCH($B28,brand_intake!$A$2:$A$401,0))="","",INDEX(brand_intake!$U$2:$U$401,MATCH($B28,brand_intake!$A$2:$A$401,0))),""),IFERROR(IF(INDEX(brand_intake_founder!$U$2:$U$81,MATCH($B28,brand_intake_founder!$A$2:$A$81,0))="","",INDEX(brand_intake_founder!$U$2:$U$81,MATCH($B28,brand_intake_founder!$A$2:$A$81,0))),"")))</f>
        <v/>
      </c>
      <c r="AB28" s="25">
        <f>IF($B28="","",IF(COUNTIF(brand_intake!$A$2:$A$401,$B28)&gt;0,IFERROR(IF(INDEX(brand_intake!$V$2:$V$401,MATCH($B28,brand_intake!$A$2:$A$401,0))="","",INDEX(brand_intake!$V$2:$V$401,MATCH($B28,brand_intake!$A$2:$A$401,0))),""),IFERROR(IF(INDEX(brand_intake_founder!$V$2:$V$81,MATCH($B28,brand_intake_founder!$A$2:$A$81,0))="","",INDEX(brand_intake_founder!$V$2:$V$81,MATCH($B28,brand_intake_founder!$A$2:$A$81,0))),"")))</f>
        <v/>
      </c>
      <c r="AC28" s="25">
        <f>IF($B28="","",IF(COUNTIF(brand_intake!$A$2:$A$401,$B28)&gt;0,IFERROR(IF(INDEX(brand_intake!$W$2:$W$401,MATCH($B28,brand_intake!$A$2:$A$401,0))="","",INDEX(brand_intake!$W$2:$W$401,MATCH($B28,brand_intake!$A$2:$A$401,0))),""),IFERROR(IF(INDEX(brand_intake_founder!$W$2:$W$81,MATCH($B28,brand_intake_founder!$A$2:$A$81,0))="","",INDEX(brand_intake_founder!$W$2:$W$81,MATCH($B28,brand_intake_founder!$A$2:$A$81,0))),"")))</f>
        <v/>
      </c>
      <c r="AD28" s="25">
        <f>IF($B28="","",IF(COUNTIF(brand_intake!$A$2:$A$401,$B28)&gt;0,IFERROR(IF(INDEX(brand_intake!$X$2:$X$401,MATCH($B28,brand_intake!$A$2:$A$401,0))="","",INDEX(brand_intake!$X$2:$X$401,MATCH($B28,brand_intake!$A$2:$A$401,0))),""),IFERROR(IF(INDEX(brand_intake_founder!$X$2:$X$81,MATCH($B28,brand_intake_founder!$A$2:$A$81,0))="","",INDEX(brand_intake_founder!$X$2:$X$81,MATCH($B28,brand_intake_founder!$A$2:$A$81,0))),"")))</f>
        <v/>
      </c>
      <c r="AE28" s="25">
        <f>IF($B28="","",IF(COUNTIF(brand_intake!$A$2:$A$401,$B28)&gt;0,IFERROR(IF(INDEX(brand_intake!$Y$2:$Y$401,MATCH($B28,brand_intake!$A$2:$A$401,0))="","",INDEX(brand_intake!$Y$2:$Y$401,MATCH($B28,brand_intake!$A$2:$A$401,0))),""),IFERROR(IF(INDEX(brand_intake_founder!$Y$2:$Y$81,MATCH($B28,brand_intake_founder!$A$2:$A$81,0))="","",INDEX(brand_intake_founder!$Y$2:$Y$81,MATCH($B28,brand_intake_founder!$A$2:$A$81,0))),"")))</f>
        <v/>
      </c>
      <c r="AF28" s="25">
        <f>IF($B28="","",($X28="Y")+($Y28="Y")+($Z28="Y")+($AA28="Y")+($AB28="Y")+($AC28="Y")+(LEN($AD28)&gt;0))</f>
        <v/>
      </c>
      <c r="AG28" s="25">
        <f>IF($B28="","",IF(AND($AF28=7,$AE28="Y"),"Y (as answered)","N: check "&amp;IF($X28&lt;&gt;"Y","1 ","")&amp;IF($Y28&lt;&gt;"Y","2 ","")&amp;IF($Z28&lt;&gt;"Y","3 ","")&amp;IF($AA28&lt;&gt;"Y","4 ","")&amp;IF($AB28&lt;&gt;"Y","5 ","")&amp;IF($AC28&lt;&gt;"Y","6 ","")&amp;IF(LEN($AD28)=0,"7 ","")&amp;IF($AE28&lt;&gt;"Y","excluded? ","")))</f>
        <v/>
      </c>
      <c r="AH28" s="25">
        <f>IF($A28="","",COUNTIF(campaigns!$C$2:$C$51,$A28))</f>
        <v/>
      </c>
      <c r="AI28" s="25">
        <f>IF(OR($A28="",SUMIFS(campaigns!$H$2:$H$51,campaigns!$C$2:$C$51,$A28,campaigns!$D$2:$D$51,"founding",campaigns!$E$2:$E$51,"&lt;&gt;Y")=0),"",COUNTIFS(campaigns!$D$2:$D$51,"founding",campaigns!$E$2:$E$51,"&lt;&gt;Y",campaigns!$H$2:$H$51,"&lt;="&amp;SUMIFS(campaigns!$H$2:$H$51,campaigns!$C$2:$C$51,$A28,campaigns!$D$2:$D$51,"founding",campaigns!$E$2:$E$51,"&lt;&gt;Y"),campaigns!$H$2:$H$51,"&gt;0"))</f>
        <v/>
      </c>
      <c r="AJ28" s="25">
        <f>IF(OR($A28="",NOT(IFERROR(COUNTIF(INDEX(in_paid_brands!$A$2:$BZ$81,0,MATCH("brand_id",in_paid_brands!$A$1:$BZ$1,0)),$A28),0)&gt;0)),"",IF(IFERROR(IF(INDEX(in_paid_brands!$A$2:$BZ$81,MATCH($A28,INDEX(in_paid_brands!$A$2:$BZ$81,0,MATCH("brand_id",in_paid_brands!$A$1:$BZ$1,0)),0),MATCH("campaign_id",in_paid_brands!$A$1:$BZ$1,0))="","",INDEX(in_paid_brands!$A$2:$BZ$81,MATCH($A28,INDEX(in_paid_brands!$A$2:$BZ$81,0,MATCH("brand_id",in_paid_brands!$A$1:$BZ$1,0)),0),MATCH("campaign_id",in_paid_brands!$A$1:$BZ$1,0))),"")="","E's paid_brands row has no campaign_id: type the CMP-### there; ",IF(OR(ABS(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gt;0.005,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payment 1 differs: E "&amp;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amp;" on "&amp;IF(N(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0,"none",TEXT(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yyyy-mm-dd"))&amp;"; ","")&amp;IF(OR(ABS(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gt;0.005,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payment 2 differs: E "&amp;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amp;" on "&amp;IF(N(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0,"none",TEXT(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yyyy-mm-dd"))&amp;"; ","")))</f>
        <v/>
      </c>
    </row>
    <row r="29">
      <c r="B29" s="30" t="n"/>
      <c r="H29" s="9" t="n"/>
      <c r="K29" s="25">
        <f>IF($B29="","",IF(COUNTIF(brand_intake!$A$2:$A$401,$B29)&gt;0,IFERROR(IF(INDEX(brand_intake!$C$2:$C$401,MATCH($B29,brand_intake!$A$2:$A$401,0))="","",INDEX(brand_intake!$C$2:$C$401,MATCH($B29,brand_intake!$A$2:$A$401,0))),""),IFERROR(IF(INDEX(brand_intake_founder!$C$2:$C$81,MATCH($B29,brand_intake_founder!$A$2:$A$81,0))="","",INDEX(brand_intake_founder!$C$2:$C$81,MATCH($B29,brand_intake_founder!$A$2:$A$81,0))),"")))</f>
        <v/>
      </c>
      <c r="L29" s="25">
        <f>IF($B29="","",IF(COUNTIF(brand_intake!$A$2:$A$401,$B29)&gt;0,IFERROR(IF(INDEX(brand_intake!$D$2:$D$401,MATCH($B29,brand_intake!$A$2:$A$401,0))="","",INDEX(brand_intake!$D$2:$D$401,MATCH($B29,brand_intake!$A$2:$A$401,0))),""),IFERROR(IF(INDEX(brand_intake_founder!$D$2:$D$81,MATCH($B29,brand_intake_founder!$A$2:$A$81,0))="","",INDEX(brand_intake_founder!$D$2:$D$81,MATCH($B29,brand_intake_founder!$A$2:$A$81,0))),"")))</f>
        <v/>
      </c>
      <c r="M29" s="25">
        <f>IF($B29="","",IF(COUNTIF(brand_intake!$A$2:$A$401,$B29)&gt;0,IFERROR(IF(INDEX(brand_intake!$J$2:$J$401,MATCH($B29,brand_intake!$A$2:$A$401,0))="","",INDEX(brand_intake!$J$2:$J$401,MATCH($B29,brand_intake!$A$2:$A$401,0))),""),IFERROR(IF(INDEX(brand_intake_founder!$J$2:$J$81,MATCH($B29,brand_intake_founder!$A$2:$A$81,0))="","",INDEX(brand_intake_founder!$J$2:$J$81,MATCH($B29,brand_intake_founder!$A$2:$A$81,0))),"")))</f>
        <v/>
      </c>
      <c r="N29" s="25">
        <f>IF($B29="","",IF(COUNTIF(brand_intake!$A$2:$A$401,$B29)&gt;0,IFERROR(IF(INDEX(brand_intake!$I$2:$I$401,MATCH($B29,brand_intake!$A$2:$A$401,0))="","",INDEX(brand_intake!$I$2:$I$401,MATCH($B29,brand_intake!$A$2:$A$401,0))),""),IFERROR(IF(INDEX(brand_intake_founder!$I$2:$I$81,MATCH($B29,brand_intake_founder!$A$2:$A$81,0))="","",INDEX(brand_intake_founder!$I$2:$I$81,MATCH($B29,brand_intake_founder!$A$2:$A$81,0))),"")))</f>
        <v/>
      </c>
      <c r="O29" s="25">
        <f>IF($B29="","",IF(COUNTIF(brand_intake!$A$2:$A$401,$B29)&gt;0,IFERROR(IF(INDEX(brand_intake!$K$2:$K$401,MATCH($B29,brand_intake!$A$2:$A$401,0))="","",INDEX(brand_intake!$K$2:$K$401,MATCH($B29,brand_intake!$A$2:$A$401,0))),""),IFERROR(IF(INDEX(brand_intake_founder!$K$2:$K$81,MATCH($B29,brand_intake_founder!$A$2:$A$81,0))="","",INDEX(brand_intake_founder!$K$2:$K$81,MATCH($B29,brand_intake_founder!$A$2:$A$81,0))),"")))</f>
        <v/>
      </c>
      <c r="P29" s="25">
        <f>IF($B29="","",IF(COUNTIF(brand_intake!$A$2:$A$401,$B29)&gt;0,IFERROR(IF(INDEX(brand_intake!$E$2:$E$401,MATCH($B29,brand_intake!$A$2:$A$401,0))="","",INDEX(brand_intake!$E$2:$E$401,MATCH($B29,brand_intake!$A$2:$A$401,0))),""),IFERROR(IF(INDEX(brand_intake_founder!$E$2:$E$81,MATCH($B29,brand_intake_founder!$A$2:$A$81,0))="","",INDEX(brand_intake_founder!$E$2:$E$81,MATCH($B29,brand_intake_founder!$A$2:$A$81,0))),"")))</f>
        <v/>
      </c>
      <c r="Q29" s="25">
        <f>IF($B29="","",IF(COUNTIF(brand_intake!$A$2:$A$401,$B29)&gt;0,IFERROR(IF(INDEX(brand_intake!$F$2:$F$401,MATCH($B29,brand_intake!$A$2:$A$401,0))="","",INDEX(brand_intake!$F$2:$F$401,MATCH($B29,brand_intake!$A$2:$A$401,0))),""),IFERROR(IF(INDEX(brand_intake_founder!$F$2:$F$81,MATCH($B29,brand_intake_founder!$A$2:$A$81,0))="","",INDEX(brand_intake_founder!$F$2:$F$81,MATCH($B29,brand_intake_founder!$A$2:$A$81,0))),"")))</f>
        <v/>
      </c>
      <c r="R29" s="25">
        <f>IF($B29="","",IF(COUNTIF(brand_intake!$A$2:$A$401,$B29)&gt;0,IFERROR(IF(INDEX(brand_intake!$G$2:$G$401,MATCH($B29,brand_intake!$A$2:$A$401,0))="","",INDEX(brand_intake!$G$2:$G$401,MATCH($B29,brand_intake!$A$2:$A$401,0))),""),IFERROR(IF(INDEX(brand_intake_founder!$G$2:$G$81,MATCH($B29,brand_intake_founder!$A$2:$A$81,0))="","",INDEX(brand_intake_founder!$G$2:$G$81,MATCH($B29,brand_intake_founder!$A$2:$A$81,0))),"")))</f>
        <v/>
      </c>
      <c r="S29" s="25">
        <f>IF($B29="","",IF(COUNTIF(brand_intake!$A$2:$A$401,$B29)&gt;0,IFERROR(IF(INDEX(brand_intake!$H$2:$H$401,MATCH($B29,brand_intake!$A$2:$A$401,0))="","",INDEX(brand_intake!$H$2:$H$401,MATCH($B29,brand_intake!$A$2:$A$401,0))),""),IFERROR(IF(INDEX(brand_intake_founder!$H$2:$H$81,MATCH($B29,brand_intake_founder!$A$2:$A$81,0))="","",INDEX(brand_intake_founder!$H$2:$H$81,MATCH($B29,brand_intake_founder!$A$2:$A$81,0))),"")))</f>
        <v/>
      </c>
      <c r="T29" s="25">
        <f>IF($B29="","",IF(COUNTIF(brand_intake!$A$2:$A$401,$B29)&gt;0,IFERROR(IF(INDEX(brand_intake!$M$2:$M$401,MATCH($B29,brand_intake!$A$2:$A$401,0))="","",INDEX(brand_intake!$M$2:$M$401,MATCH($B29,brand_intake!$A$2:$A$401,0))),""),IFERROR(IF(INDEX(brand_intake_founder!$M$2:$M$81,MATCH($B29,brand_intake_founder!$A$2:$A$81,0))="","",INDEX(brand_intake_founder!$M$2:$M$81,MATCH($B29,brand_intake_founder!$A$2:$A$81,0))),"")))</f>
        <v/>
      </c>
      <c r="U29" s="25">
        <f>IF($B29="","",IF(COUNTIF(brand_intake!$A$2:$A$401,$B29)&gt;0,IFERROR(IF(INDEX(brand_intake!$L$2:$L$401,MATCH($B29,brand_intake!$A$2:$A$401,0))="","",INDEX(brand_intake!$L$2:$L$401,MATCH($B29,brand_intake!$A$2:$A$401,0))),""),IFERROR(IF(INDEX(brand_intake_founder!$L$2:$L$81,MATCH($B29,brand_intake_founder!$A$2:$A$81,0))="","",INDEX(brand_intake_founder!$L$2:$L$81,MATCH($B29,brand_intake_founder!$A$2:$A$81,0))),"")))</f>
        <v/>
      </c>
      <c r="V29" s="25">
        <f>IF($B29="","",IF(COUNTIF(brand_intake!$A$2:$A$401,$B29)&gt;0,IFERROR(IF(INDEX(brand_intake!$N$2:$N$401,MATCH($B29,brand_intake!$A$2:$A$401,0))="","",INDEX(brand_intake!$N$2:$N$401,MATCH($B29,brand_intake!$A$2:$A$401,0))),""),IFERROR(IF(INDEX(brand_intake_founder!$N$2:$N$81,MATCH($B29,brand_intake_founder!$A$2:$A$81,0))="","",INDEX(brand_intake_founder!$N$2:$N$81,MATCH($B29,brand_intake_founder!$A$2:$A$81,0))),"")))</f>
        <v/>
      </c>
      <c r="W29" s="25">
        <f>IF($B29="","",IF(COUNTIF(brand_intake!$A$2:$A$401,$B29)&gt;0,IFERROR(IF(INDEX(brand_intake!$Q$2:$Q$401,MATCH($B29,brand_intake!$A$2:$A$401,0))="","",INDEX(brand_intake!$Q$2:$Q$401,MATCH($B29,brand_intake!$A$2:$A$401,0))),""),IFERROR(IF(INDEX(brand_intake_founder!$Q$2:$Q$81,MATCH($B29,brand_intake_founder!$A$2:$A$81,0))="","",INDEX(brand_intake_founder!$Q$2:$Q$81,MATCH($B29,brand_intake_founder!$A$2:$A$81,0))),"")))</f>
        <v/>
      </c>
      <c r="X29" s="25">
        <f>IF($B29="","",IF(COUNTIF(brand_intake!$A$2:$A$401,$B29)&gt;0,IFERROR(IF(INDEX(brand_intake!$R$2:$R$401,MATCH($B29,brand_intake!$A$2:$A$401,0))="","",INDEX(brand_intake!$R$2:$R$401,MATCH($B29,brand_intake!$A$2:$A$401,0))),""),IFERROR(IF(INDEX(brand_intake_founder!$R$2:$R$81,MATCH($B29,brand_intake_founder!$A$2:$A$81,0))="","",INDEX(brand_intake_founder!$R$2:$R$81,MATCH($B29,brand_intake_founder!$A$2:$A$81,0))),"")))</f>
        <v/>
      </c>
      <c r="Y29" s="25">
        <f>IF($B29="","",IF(COUNTIF(brand_intake!$A$2:$A$401,$B29)&gt;0,IFERROR(IF(INDEX(brand_intake!$S$2:$S$401,MATCH($B29,brand_intake!$A$2:$A$401,0))="","",INDEX(brand_intake!$S$2:$S$401,MATCH($B29,brand_intake!$A$2:$A$401,0))),""),IFERROR(IF(INDEX(brand_intake_founder!$S$2:$S$81,MATCH($B29,brand_intake_founder!$A$2:$A$81,0))="","",INDEX(brand_intake_founder!$S$2:$S$81,MATCH($B29,brand_intake_founder!$A$2:$A$81,0))),"")))</f>
        <v/>
      </c>
      <c r="Z29" s="25">
        <f>IF($B29="","",IF(COUNTIF(brand_intake!$A$2:$A$401,$B29)&gt;0,IFERROR(IF(INDEX(brand_intake!$T$2:$T$401,MATCH($B29,brand_intake!$A$2:$A$401,0))="","",INDEX(brand_intake!$T$2:$T$401,MATCH($B29,brand_intake!$A$2:$A$401,0))),""),IFERROR(IF(INDEX(brand_intake_founder!$T$2:$T$81,MATCH($B29,brand_intake_founder!$A$2:$A$81,0))="","",INDEX(brand_intake_founder!$T$2:$T$81,MATCH($B29,brand_intake_founder!$A$2:$A$81,0))),"")))</f>
        <v/>
      </c>
      <c r="AA29" s="25">
        <f>IF($B29="","",IF(COUNTIF(brand_intake!$A$2:$A$401,$B29)&gt;0,IFERROR(IF(INDEX(brand_intake!$U$2:$U$401,MATCH($B29,brand_intake!$A$2:$A$401,0))="","",INDEX(brand_intake!$U$2:$U$401,MATCH($B29,brand_intake!$A$2:$A$401,0))),""),IFERROR(IF(INDEX(brand_intake_founder!$U$2:$U$81,MATCH($B29,brand_intake_founder!$A$2:$A$81,0))="","",INDEX(brand_intake_founder!$U$2:$U$81,MATCH($B29,brand_intake_founder!$A$2:$A$81,0))),"")))</f>
        <v/>
      </c>
      <c r="AB29" s="25">
        <f>IF($B29="","",IF(COUNTIF(brand_intake!$A$2:$A$401,$B29)&gt;0,IFERROR(IF(INDEX(brand_intake!$V$2:$V$401,MATCH($B29,brand_intake!$A$2:$A$401,0))="","",INDEX(brand_intake!$V$2:$V$401,MATCH($B29,brand_intake!$A$2:$A$401,0))),""),IFERROR(IF(INDEX(brand_intake_founder!$V$2:$V$81,MATCH($B29,brand_intake_founder!$A$2:$A$81,0))="","",INDEX(brand_intake_founder!$V$2:$V$81,MATCH($B29,brand_intake_founder!$A$2:$A$81,0))),"")))</f>
        <v/>
      </c>
      <c r="AC29" s="25">
        <f>IF($B29="","",IF(COUNTIF(brand_intake!$A$2:$A$401,$B29)&gt;0,IFERROR(IF(INDEX(brand_intake!$W$2:$W$401,MATCH($B29,brand_intake!$A$2:$A$401,0))="","",INDEX(brand_intake!$W$2:$W$401,MATCH($B29,brand_intake!$A$2:$A$401,0))),""),IFERROR(IF(INDEX(brand_intake_founder!$W$2:$W$81,MATCH($B29,brand_intake_founder!$A$2:$A$81,0))="","",INDEX(brand_intake_founder!$W$2:$W$81,MATCH($B29,brand_intake_founder!$A$2:$A$81,0))),"")))</f>
        <v/>
      </c>
      <c r="AD29" s="25">
        <f>IF($B29="","",IF(COUNTIF(brand_intake!$A$2:$A$401,$B29)&gt;0,IFERROR(IF(INDEX(brand_intake!$X$2:$X$401,MATCH($B29,brand_intake!$A$2:$A$401,0))="","",INDEX(brand_intake!$X$2:$X$401,MATCH($B29,brand_intake!$A$2:$A$401,0))),""),IFERROR(IF(INDEX(brand_intake_founder!$X$2:$X$81,MATCH($B29,brand_intake_founder!$A$2:$A$81,0))="","",INDEX(brand_intake_founder!$X$2:$X$81,MATCH($B29,brand_intake_founder!$A$2:$A$81,0))),"")))</f>
        <v/>
      </c>
      <c r="AE29" s="25">
        <f>IF($B29="","",IF(COUNTIF(brand_intake!$A$2:$A$401,$B29)&gt;0,IFERROR(IF(INDEX(brand_intake!$Y$2:$Y$401,MATCH($B29,brand_intake!$A$2:$A$401,0))="","",INDEX(brand_intake!$Y$2:$Y$401,MATCH($B29,brand_intake!$A$2:$A$401,0))),""),IFERROR(IF(INDEX(brand_intake_founder!$Y$2:$Y$81,MATCH($B29,brand_intake_founder!$A$2:$A$81,0))="","",INDEX(brand_intake_founder!$Y$2:$Y$81,MATCH($B29,brand_intake_founder!$A$2:$A$81,0))),"")))</f>
        <v/>
      </c>
      <c r="AF29" s="25">
        <f>IF($B29="","",($X29="Y")+($Y29="Y")+($Z29="Y")+($AA29="Y")+($AB29="Y")+($AC29="Y")+(LEN($AD29)&gt;0))</f>
        <v/>
      </c>
      <c r="AG29" s="25">
        <f>IF($B29="","",IF(AND($AF29=7,$AE29="Y"),"Y (as answered)","N: check "&amp;IF($X29&lt;&gt;"Y","1 ","")&amp;IF($Y29&lt;&gt;"Y","2 ","")&amp;IF($Z29&lt;&gt;"Y","3 ","")&amp;IF($AA29&lt;&gt;"Y","4 ","")&amp;IF($AB29&lt;&gt;"Y","5 ","")&amp;IF($AC29&lt;&gt;"Y","6 ","")&amp;IF(LEN($AD29)=0,"7 ","")&amp;IF($AE29&lt;&gt;"Y","excluded? ","")))</f>
        <v/>
      </c>
      <c r="AH29" s="25">
        <f>IF($A29="","",COUNTIF(campaigns!$C$2:$C$51,$A29))</f>
        <v/>
      </c>
      <c r="AI29" s="25">
        <f>IF(OR($A29="",SUMIFS(campaigns!$H$2:$H$51,campaigns!$C$2:$C$51,$A29,campaigns!$D$2:$D$51,"founding",campaigns!$E$2:$E$51,"&lt;&gt;Y")=0),"",COUNTIFS(campaigns!$D$2:$D$51,"founding",campaigns!$E$2:$E$51,"&lt;&gt;Y",campaigns!$H$2:$H$51,"&lt;="&amp;SUMIFS(campaigns!$H$2:$H$51,campaigns!$C$2:$C$51,$A29,campaigns!$D$2:$D$51,"founding",campaigns!$E$2:$E$51,"&lt;&gt;Y"),campaigns!$H$2:$H$51,"&gt;0"))</f>
        <v/>
      </c>
      <c r="AJ29" s="25">
        <f>IF(OR($A29="",NOT(IFERROR(COUNTIF(INDEX(in_paid_brands!$A$2:$BZ$81,0,MATCH("brand_id",in_paid_brands!$A$1:$BZ$1,0)),$A29),0)&gt;0)),"",IF(IFERROR(IF(INDEX(in_paid_brands!$A$2:$BZ$81,MATCH($A29,INDEX(in_paid_brands!$A$2:$BZ$81,0,MATCH("brand_id",in_paid_brands!$A$1:$BZ$1,0)),0),MATCH("campaign_id",in_paid_brands!$A$1:$BZ$1,0))="","",INDEX(in_paid_brands!$A$2:$BZ$81,MATCH($A29,INDEX(in_paid_brands!$A$2:$BZ$81,0,MATCH("brand_id",in_paid_brands!$A$1:$BZ$1,0)),0),MATCH("campaign_id",in_paid_brands!$A$1:$BZ$1,0))),"")="","E's paid_brands row has no campaign_id: type the CMP-### there; ",IF(OR(ABS(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gt;0.005,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payment 1 differs: E "&amp;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amp;" on "&amp;IF(N(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0,"none",TEXT(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yyyy-mm-dd"))&amp;"; ","")&amp;IF(OR(ABS(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gt;0.005,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payment 2 differs: E "&amp;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amp;" on "&amp;IF(N(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0,"none",TEXT(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yyyy-mm-dd"))&amp;"; ","")))</f>
        <v/>
      </c>
    </row>
    <row r="30">
      <c r="B30" s="30" t="n"/>
      <c r="H30" s="9" t="n"/>
      <c r="K30" s="25">
        <f>IF($B30="","",IF(COUNTIF(brand_intake!$A$2:$A$401,$B30)&gt;0,IFERROR(IF(INDEX(brand_intake!$C$2:$C$401,MATCH($B30,brand_intake!$A$2:$A$401,0))="","",INDEX(brand_intake!$C$2:$C$401,MATCH($B30,brand_intake!$A$2:$A$401,0))),""),IFERROR(IF(INDEX(brand_intake_founder!$C$2:$C$81,MATCH($B30,brand_intake_founder!$A$2:$A$81,0))="","",INDEX(brand_intake_founder!$C$2:$C$81,MATCH($B30,brand_intake_founder!$A$2:$A$81,0))),"")))</f>
        <v/>
      </c>
      <c r="L30" s="25">
        <f>IF($B30="","",IF(COUNTIF(brand_intake!$A$2:$A$401,$B30)&gt;0,IFERROR(IF(INDEX(brand_intake!$D$2:$D$401,MATCH($B30,brand_intake!$A$2:$A$401,0))="","",INDEX(brand_intake!$D$2:$D$401,MATCH($B30,brand_intake!$A$2:$A$401,0))),""),IFERROR(IF(INDEX(brand_intake_founder!$D$2:$D$81,MATCH($B30,brand_intake_founder!$A$2:$A$81,0))="","",INDEX(brand_intake_founder!$D$2:$D$81,MATCH($B30,brand_intake_founder!$A$2:$A$81,0))),"")))</f>
        <v/>
      </c>
      <c r="M30" s="25">
        <f>IF($B30="","",IF(COUNTIF(brand_intake!$A$2:$A$401,$B30)&gt;0,IFERROR(IF(INDEX(brand_intake!$J$2:$J$401,MATCH($B30,brand_intake!$A$2:$A$401,0))="","",INDEX(brand_intake!$J$2:$J$401,MATCH($B30,brand_intake!$A$2:$A$401,0))),""),IFERROR(IF(INDEX(brand_intake_founder!$J$2:$J$81,MATCH($B30,brand_intake_founder!$A$2:$A$81,0))="","",INDEX(brand_intake_founder!$J$2:$J$81,MATCH($B30,brand_intake_founder!$A$2:$A$81,0))),"")))</f>
        <v/>
      </c>
      <c r="N30" s="25">
        <f>IF($B30="","",IF(COUNTIF(brand_intake!$A$2:$A$401,$B30)&gt;0,IFERROR(IF(INDEX(brand_intake!$I$2:$I$401,MATCH($B30,brand_intake!$A$2:$A$401,0))="","",INDEX(brand_intake!$I$2:$I$401,MATCH($B30,brand_intake!$A$2:$A$401,0))),""),IFERROR(IF(INDEX(brand_intake_founder!$I$2:$I$81,MATCH($B30,brand_intake_founder!$A$2:$A$81,0))="","",INDEX(brand_intake_founder!$I$2:$I$81,MATCH($B30,brand_intake_founder!$A$2:$A$81,0))),"")))</f>
        <v/>
      </c>
      <c r="O30" s="25">
        <f>IF($B30="","",IF(COUNTIF(brand_intake!$A$2:$A$401,$B30)&gt;0,IFERROR(IF(INDEX(brand_intake!$K$2:$K$401,MATCH($B30,brand_intake!$A$2:$A$401,0))="","",INDEX(brand_intake!$K$2:$K$401,MATCH($B30,brand_intake!$A$2:$A$401,0))),""),IFERROR(IF(INDEX(brand_intake_founder!$K$2:$K$81,MATCH($B30,brand_intake_founder!$A$2:$A$81,0))="","",INDEX(brand_intake_founder!$K$2:$K$81,MATCH($B30,brand_intake_founder!$A$2:$A$81,0))),"")))</f>
        <v/>
      </c>
      <c r="P30" s="25">
        <f>IF($B30="","",IF(COUNTIF(brand_intake!$A$2:$A$401,$B30)&gt;0,IFERROR(IF(INDEX(brand_intake!$E$2:$E$401,MATCH($B30,brand_intake!$A$2:$A$401,0))="","",INDEX(brand_intake!$E$2:$E$401,MATCH($B30,brand_intake!$A$2:$A$401,0))),""),IFERROR(IF(INDEX(brand_intake_founder!$E$2:$E$81,MATCH($B30,brand_intake_founder!$A$2:$A$81,0))="","",INDEX(brand_intake_founder!$E$2:$E$81,MATCH($B30,brand_intake_founder!$A$2:$A$81,0))),"")))</f>
        <v/>
      </c>
      <c r="Q30" s="25">
        <f>IF($B30="","",IF(COUNTIF(brand_intake!$A$2:$A$401,$B30)&gt;0,IFERROR(IF(INDEX(brand_intake!$F$2:$F$401,MATCH($B30,brand_intake!$A$2:$A$401,0))="","",INDEX(brand_intake!$F$2:$F$401,MATCH($B30,brand_intake!$A$2:$A$401,0))),""),IFERROR(IF(INDEX(brand_intake_founder!$F$2:$F$81,MATCH($B30,brand_intake_founder!$A$2:$A$81,0))="","",INDEX(brand_intake_founder!$F$2:$F$81,MATCH($B30,brand_intake_founder!$A$2:$A$81,0))),"")))</f>
        <v/>
      </c>
      <c r="R30" s="25">
        <f>IF($B30="","",IF(COUNTIF(brand_intake!$A$2:$A$401,$B30)&gt;0,IFERROR(IF(INDEX(brand_intake!$G$2:$G$401,MATCH($B30,brand_intake!$A$2:$A$401,0))="","",INDEX(brand_intake!$G$2:$G$401,MATCH($B30,brand_intake!$A$2:$A$401,0))),""),IFERROR(IF(INDEX(brand_intake_founder!$G$2:$G$81,MATCH($B30,brand_intake_founder!$A$2:$A$81,0))="","",INDEX(brand_intake_founder!$G$2:$G$81,MATCH($B30,brand_intake_founder!$A$2:$A$81,0))),"")))</f>
        <v/>
      </c>
      <c r="S30" s="25">
        <f>IF($B30="","",IF(COUNTIF(brand_intake!$A$2:$A$401,$B30)&gt;0,IFERROR(IF(INDEX(brand_intake!$H$2:$H$401,MATCH($B30,brand_intake!$A$2:$A$401,0))="","",INDEX(brand_intake!$H$2:$H$401,MATCH($B30,brand_intake!$A$2:$A$401,0))),""),IFERROR(IF(INDEX(brand_intake_founder!$H$2:$H$81,MATCH($B30,brand_intake_founder!$A$2:$A$81,0))="","",INDEX(brand_intake_founder!$H$2:$H$81,MATCH($B30,brand_intake_founder!$A$2:$A$81,0))),"")))</f>
        <v/>
      </c>
      <c r="T30" s="25">
        <f>IF($B30="","",IF(COUNTIF(brand_intake!$A$2:$A$401,$B30)&gt;0,IFERROR(IF(INDEX(brand_intake!$M$2:$M$401,MATCH($B30,brand_intake!$A$2:$A$401,0))="","",INDEX(brand_intake!$M$2:$M$401,MATCH($B30,brand_intake!$A$2:$A$401,0))),""),IFERROR(IF(INDEX(brand_intake_founder!$M$2:$M$81,MATCH($B30,brand_intake_founder!$A$2:$A$81,0))="","",INDEX(brand_intake_founder!$M$2:$M$81,MATCH($B30,brand_intake_founder!$A$2:$A$81,0))),"")))</f>
        <v/>
      </c>
      <c r="U30" s="25">
        <f>IF($B30="","",IF(COUNTIF(brand_intake!$A$2:$A$401,$B30)&gt;0,IFERROR(IF(INDEX(brand_intake!$L$2:$L$401,MATCH($B30,brand_intake!$A$2:$A$401,0))="","",INDEX(brand_intake!$L$2:$L$401,MATCH($B30,brand_intake!$A$2:$A$401,0))),""),IFERROR(IF(INDEX(brand_intake_founder!$L$2:$L$81,MATCH($B30,brand_intake_founder!$A$2:$A$81,0))="","",INDEX(brand_intake_founder!$L$2:$L$81,MATCH($B30,brand_intake_founder!$A$2:$A$81,0))),"")))</f>
        <v/>
      </c>
      <c r="V30" s="25">
        <f>IF($B30="","",IF(COUNTIF(brand_intake!$A$2:$A$401,$B30)&gt;0,IFERROR(IF(INDEX(brand_intake!$N$2:$N$401,MATCH($B30,brand_intake!$A$2:$A$401,0))="","",INDEX(brand_intake!$N$2:$N$401,MATCH($B30,brand_intake!$A$2:$A$401,0))),""),IFERROR(IF(INDEX(brand_intake_founder!$N$2:$N$81,MATCH($B30,brand_intake_founder!$A$2:$A$81,0))="","",INDEX(brand_intake_founder!$N$2:$N$81,MATCH($B30,brand_intake_founder!$A$2:$A$81,0))),"")))</f>
        <v/>
      </c>
      <c r="W30" s="25">
        <f>IF($B30="","",IF(COUNTIF(brand_intake!$A$2:$A$401,$B30)&gt;0,IFERROR(IF(INDEX(brand_intake!$Q$2:$Q$401,MATCH($B30,brand_intake!$A$2:$A$401,0))="","",INDEX(brand_intake!$Q$2:$Q$401,MATCH($B30,brand_intake!$A$2:$A$401,0))),""),IFERROR(IF(INDEX(brand_intake_founder!$Q$2:$Q$81,MATCH($B30,brand_intake_founder!$A$2:$A$81,0))="","",INDEX(brand_intake_founder!$Q$2:$Q$81,MATCH($B30,brand_intake_founder!$A$2:$A$81,0))),"")))</f>
        <v/>
      </c>
      <c r="X30" s="25">
        <f>IF($B30="","",IF(COUNTIF(brand_intake!$A$2:$A$401,$B30)&gt;0,IFERROR(IF(INDEX(brand_intake!$R$2:$R$401,MATCH($B30,brand_intake!$A$2:$A$401,0))="","",INDEX(brand_intake!$R$2:$R$401,MATCH($B30,brand_intake!$A$2:$A$401,0))),""),IFERROR(IF(INDEX(brand_intake_founder!$R$2:$R$81,MATCH($B30,brand_intake_founder!$A$2:$A$81,0))="","",INDEX(brand_intake_founder!$R$2:$R$81,MATCH($B30,brand_intake_founder!$A$2:$A$81,0))),"")))</f>
        <v/>
      </c>
      <c r="Y30" s="25">
        <f>IF($B30="","",IF(COUNTIF(brand_intake!$A$2:$A$401,$B30)&gt;0,IFERROR(IF(INDEX(brand_intake!$S$2:$S$401,MATCH($B30,brand_intake!$A$2:$A$401,0))="","",INDEX(brand_intake!$S$2:$S$401,MATCH($B30,brand_intake!$A$2:$A$401,0))),""),IFERROR(IF(INDEX(brand_intake_founder!$S$2:$S$81,MATCH($B30,brand_intake_founder!$A$2:$A$81,0))="","",INDEX(brand_intake_founder!$S$2:$S$81,MATCH($B30,brand_intake_founder!$A$2:$A$81,0))),"")))</f>
        <v/>
      </c>
      <c r="Z30" s="25">
        <f>IF($B30="","",IF(COUNTIF(brand_intake!$A$2:$A$401,$B30)&gt;0,IFERROR(IF(INDEX(brand_intake!$T$2:$T$401,MATCH($B30,brand_intake!$A$2:$A$401,0))="","",INDEX(brand_intake!$T$2:$T$401,MATCH($B30,brand_intake!$A$2:$A$401,0))),""),IFERROR(IF(INDEX(brand_intake_founder!$T$2:$T$81,MATCH($B30,brand_intake_founder!$A$2:$A$81,0))="","",INDEX(brand_intake_founder!$T$2:$T$81,MATCH($B30,brand_intake_founder!$A$2:$A$81,0))),"")))</f>
        <v/>
      </c>
      <c r="AA30" s="25">
        <f>IF($B30="","",IF(COUNTIF(brand_intake!$A$2:$A$401,$B30)&gt;0,IFERROR(IF(INDEX(brand_intake!$U$2:$U$401,MATCH($B30,brand_intake!$A$2:$A$401,0))="","",INDEX(brand_intake!$U$2:$U$401,MATCH($B30,brand_intake!$A$2:$A$401,0))),""),IFERROR(IF(INDEX(brand_intake_founder!$U$2:$U$81,MATCH($B30,brand_intake_founder!$A$2:$A$81,0))="","",INDEX(brand_intake_founder!$U$2:$U$81,MATCH($B30,brand_intake_founder!$A$2:$A$81,0))),"")))</f>
        <v/>
      </c>
      <c r="AB30" s="25">
        <f>IF($B30="","",IF(COUNTIF(brand_intake!$A$2:$A$401,$B30)&gt;0,IFERROR(IF(INDEX(brand_intake!$V$2:$V$401,MATCH($B30,brand_intake!$A$2:$A$401,0))="","",INDEX(brand_intake!$V$2:$V$401,MATCH($B30,brand_intake!$A$2:$A$401,0))),""),IFERROR(IF(INDEX(brand_intake_founder!$V$2:$V$81,MATCH($B30,brand_intake_founder!$A$2:$A$81,0))="","",INDEX(brand_intake_founder!$V$2:$V$81,MATCH($B30,brand_intake_founder!$A$2:$A$81,0))),"")))</f>
        <v/>
      </c>
      <c r="AC30" s="25">
        <f>IF($B30="","",IF(COUNTIF(brand_intake!$A$2:$A$401,$B30)&gt;0,IFERROR(IF(INDEX(brand_intake!$W$2:$W$401,MATCH($B30,brand_intake!$A$2:$A$401,0))="","",INDEX(brand_intake!$W$2:$W$401,MATCH($B30,brand_intake!$A$2:$A$401,0))),""),IFERROR(IF(INDEX(brand_intake_founder!$W$2:$W$81,MATCH($B30,brand_intake_founder!$A$2:$A$81,0))="","",INDEX(brand_intake_founder!$W$2:$W$81,MATCH($B30,brand_intake_founder!$A$2:$A$81,0))),"")))</f>
        <v/>
      </c>
      <c r="AD30" s="25">
        <f>IF($B30="","",IF(COUNTIF(brand_intake!$A$2:$A$401,$B30)&gt;0,IFERROR(IF(INDEX(brand_intake!$X$2:$X$401,MATCH($B30,brand_intake!$A$2:$A$401,0))="","",INDEX(brand_intake!$X$2:$X$401,MATCH($B30,brand_intake!$A$2:$A$401,0))),""),IFERROR(IF(INDEX(brand_intake_founder!$X$2:$X$81,MATCH($B30,brand_intake_founder!$A$2:$A$81,0))="","",INDEX(brand_intake_founder!$X$2:$X$81,MATCH($B30,brand_intake_founder!$A$2:$A$81,0))),"")))</f>
        <v/>
      </c>
      <c r="AE30" s="25">
        <f>IF($B30="","",IF(COUNTIF(brand_intake!$A$2:$A$401,$B30)&gt;0,IFERROR(IF(INDEX(brand_intake!$Y$2:$Y$401,MATCH($B30,brand_intake!$A$2:$A$401,0))="","",INDEX(brand_intake!$Y$2:$Y$401,MATCH($B30,brand_intake!$A$2:$A$401,0))),""),IFERROR(IF(INDEX(brand_intake_founder!$Y$2:$Y$81,MATCH($B30,brand_intake_founder!$A$2:$A$81,0))="","",INDEX(brand_intake_founder!$Y$2:$Y$81,MATCH($B30,brand_intake_founder!$A$2:$A$81,0))),"")))</f>
        <v/>
      </c>
      <c r="AF30" s="25">
        <f>IF($B30="","",($X30="Y")+($Y30="Y")+($Z30="Y")+($AA30="Y")+($AB30="Y")+($AC30="Y")+(LEN($AD30)&gt;0))</f>
        <v/>
      </c>
      <c r="AG30" s="25">
        <f>IF($B30="","",IF(AND($AF30=7,$AE30="Y"),"Y (as answered)","N: check "&amp;IF($X30&lt;&gt;"Y","1 ","")&amp;IF($Y30&lt;&gt;"Y","2 ","")&amp;IF($Z30&lt;&gt;"Y","3 ","")&amp;IF($AA30&lt;&gt;"Y","4 ","")&amp;IF($AB30&lt;&gt;"Y","5 ","")&amp;IF($AC30&lt;&gt;"Y","6 ","")&amp;IF(LEN($AD30)=0,"7 ","")&amp;IF($AE30&lt;&gt;"Y","excluded? ","")))</f>
        <v/>
      </c>
      <c r="AH30" s="25">
        <f>IF($A30="","",COUNTIF(campaigns!$C$2:$C$51,$A30))</f>
        <v/>
      </c>
      <c r="AI30" s="25">
        <f>IF(OR($A30="",SUMIFS(campaigns!$H$2:$H$51,campaigns!$C$2:$C$51,$A30,campaigns!$D$2:$D$51,"founding",campaigns!$E$2:$E$51,"&lt;&gt;Y")=0),"",COUNTIFS(campaigns!$D$2:$D$51,"founding",campaigns!$E$2:$E$51,"&lt;&gt;Y",campaigns!$H$2:$H$51,"&lt;="&amp;SUMIFS(campaigns!$H$2:$H$51,campaigns!$C$2:$C$51,$A30,campaigns!$D$2:$D$51,"founding",campaigns!$E$2:$E$51,"&lt;&gt;Y"),campaigns!$H$2:$H$51,"&gt;0"))</f>
        <v/>
      </c>
      <c r="AJ30" s="25">
        <f>IF(OR($A30="",NOT(IFERROR(COUNTIF(INDEX(in_paid_brands!$A$2:$BZ$81,0,MATCH("brand_id",in_paid_brands!$A$1:$BZ$1,0)),$A30),0)&gt;0)),"",IF(IFERROR(IF(INDEX(in_paid_brands!$A$2:$BZ$81,MATCH($A30,INDEX(in_paid_brands!$A$2:$BZ$81,0,MATCH("brand_id",in_paid_brands!$A$1:$BZ$1,0)),0),MATCH("campaign_id",in_paid_brands!$A$1:$BZ$1,0))="","",INDEX(in_paid_brands!$A$2:$BZ$81,MATCH($A30,INDEX(in_paid_brands!$A$2:$BZ$81,0,MATCH("brand_id",in_paid_brands!$A$1:$BZ$1,0)),0),MATCH("campaign_id",in_paid_brands!$A$1:$BZ$1,0))),"")="","E's paid_brands row has no campaign_id: type the CMP-### there; ",IF(OR(ABS(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gt;0.005,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payment 1 differs: E "&amp;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amp;" on "&amp;IF(N(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0,"none",TEXT(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yyyy-mm-dd"))&amp;"; ","")&amp;IF(OR(ABS(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gt;0.005,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payment 2 differs: E "&amp;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amp;" on "&amp;IF(N(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0,"none",TEXT(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yyyy-mm-dd"))&amp;"; ","")))</f>
        <v/>
      </c>
    </row>
    <row r="31">
      <c r="B31" s="30" t="n"/>
      <c r="H31" s="9" t="n"/>
      <c r="K31" s="25">
        <f>IF($B31="","",IF(COUNTIF(brand_intake!$A$2:$A$401,$B31)&gt;0,IFERROR(IF(INDEX(brand_intake!$C$2:$C$401,MATCH($B31,brand_intake!$A$2:$A$401,0))="","",INDEX(brand_intake!$C$2:$C$401,MATCH($B31,brand_intake!$A$2:$A$401,0))),""),IFERROR(IF(INDEX(brand_intake_founder!$C$2:$C$81,MATCH($B31,brand_intake_founder!$A$2:$A$81,0))="","",INDEX(brand_intake_founder!$C$2:$C$81,MATCH($B31,brand_intake_founder!$A$2:$A$81,0))),"")))</f>
        <v/>
      </c>
      <c r="L31" s="25">
        <f>IF($B31="","",IF(COUNTIF(brand_intake!$A$2:$A$401,$B31)&gt;0,IFERROR(IF(INDEX(brand_intake!$D$2:$D$401,MATCH($B31,brand_intake!$A$2:$A$401,0))="","",INDEX(brand_intake!$D$2:$D$401,MATCH($B31,brand_intake!$A$2:$A$401,0))),""),IFERROR(IF(INDEX(brand_intake_founder!$D$2:$D$81,MATCH($B31,brand_intake_founder!$A$2:$A$81,0))="","",INDEX(brand_intake_founder!$D$2:$D$81,MATCH($B31,brand_intake_founder!$A$2:$A$81,0))),"")))</f>
        <v/>
      </c>
      <c r="M31" s="25">
        <f>IF($B31="","",IF(COUNTIF(brand_intake!$A$2:$A$401,$B31)&gt;0,IFERROR(IF(INDEX(brand_intake!$J$2:$J$401,MATCH($B31,brand_intake!$A$2:$A$401,0))="","",INDEX(brand_intake!$J$2:$J$401,MATCH($B31,brand_intake!$A$2:$A$401,0))),""),IFERROR(IF(INDEX(brand_intake_founder!$J$2:$J$81,MATCH($B31,brand_intake_founder!$A$2:$A$81,0))="","",INDEX(brand_intake_founder!$J$2:$J$81,MATCH($B31,brand_intake_founder!$A$2:$A$81,0))),"")))</f>
        <v/>
      </c>
      <c r="N31" s="25">
        <f>IF($B31="","",IF(COUNTIF(brand_intake!$A$2:$A$401,$B31)&gt;0,IFERROR(IF(INDEX(brand_intake!$I$2:$I$401,MATCH($B31,brand_intake!$A$2:$A$401,0))="","",INDEX(brand_intake!$I$2:$I$401,MATCH($B31,brand_intake!$A$2:$A$401,0))),""),IFERROR(IF(INDEX(brand_intake_founder!$I$2:$I$81,MATCH($B31,brand_intake_founder!$A$2:$A$81,0))="","",INDEX(brand_intake_founder!$I$2:$I$81,MATCH($B31,brand_intake_founder!$A$2:$A$81,0))),"")))</f>
        <v/>
      </c>
      <c r="O31" s="25">
        <f>IF($B31="","",IF(COUNTIF(brand_intake!$A$2:$A$401,$B31)&gt;0,IFERROR(IF(INDEX(brand_intake!$K$2:$K$401,MATCH($B31,brand_intake!$A$2:$A$401,0))="","",INDEX(brand_intake!$K$2:$K$401,MATCH($B31,brand_intake!$A$2:$A$401,0))),""),IFERROR(IF(INDEX(brand_intake_founder!$K$2:$K$81,MATCH($B31,brand_intake_founder!$A$2:$A$81,0))="","",INDEX(brand_intake_founder!$K$2:$K$81,MATCH($B31,brand_intake_founder!$A$2:$A$81,0))),"")))</f>
        <v/>
      </c>
      <c r="P31" s="25">
        <f>IF($B31="","",IF(COUNTIF(brand_intake!$A$2:$A$401,$B31)&gt;0,IFERROR(IF(INDEX(brand_intake!$E$2:$E$401,MATCH($B31,brand_intake!$A$2:$A$401,0))="","",INDEX(brand_intake!$E$2:$E$401,MATCH($B31,brand_intake!$A$2:$A$401,0))),""),IFERROR(IF(INDEX(brand_intake_founder!$E$2:$E$81,MATCH($B31,brand_intake_founder!$A$2:$A$81,0))="","",INDEX(brand_intake_founder!$E$2:$E$81,MATCH($B31,brand_intake_founder!$A$2:$A$81,0))),"")))</f>
        <v/>
      </c>
      <c r="Q31" s="25">
        <f>IF($B31="","",IF(COUNTIF(brand_intake!$A$2:$A$401,$B31)&gt;0,IFERROR(IF(INDEX(brand_intake!$F$2:$F$401,MATCH($B31,brand_intake!$A$2:$A$401,0))="","",INDEX(brand_intake!$F$2:$F$401,MATCH($B31,brand_intake!$A$2:$A$401,0))),""),IFERROR(IF(INDEX(brand_intake_founder!$F$2:$F$81,MATCH($B31,brand_intake_founder!$A$2:$A$81,0))="","",INDEX(brand_intake_founder!$F$2:$F$81,MATCH($B31,brand_intake_founder!$A$2:$A$81,0))),"")))</f>
        <v/>
      </c>
      <c r="R31" s="25">
        <f>IF($B31="","",IF(COUNTIF(brand_intake!$A$2:$A$401,$B31)&gt;0,IFERROR(IF(INDEX(brand_intake!$G$2:$G$401,MATCH($B31,brand_intake!$A$2:$A$401,0))="","",INDEX(brand_intake!$G$2:$G$401,MATCH($B31,brand_intake!$A$2:$A$401,0))),""),IFERROR(IF(INDEX(brand_intake_founder!$G$2:$G$81,MATCH($B31,brand_intake_founder!$A$2:$A$81,0))="","",INDEX(brand_intake_founder!$G$2:$G$81,MATCH($B31,brand_intake_founder!$A$2:$A$81,0))),"")))</f>
        <v/>
      </c>
      <c r="S31" s="25">
        <f>IF($B31="","",IF(COUNTIF(brand_intake!$A$2:$A$401,$B31)&gt;0,IFERROR(IF(INDEX(brand_intake!$H$2:$H$401,MATCH($B31,brand_intake!$A$2:$A$401,0))="","",INDEX(brand_intake!$H$2:$H$401,MATCH($B31,brand_intake!$A$2:$A$401,0))),""),IFERROR(IF(INDEX(brand_intake_founder!$H$2:$H$81,MATCH($B31,brand_intake_founder!$A$2:$A$81,0))="","",INDEX(brand_intake_founder!$H$2:$H$81,MATCH($B31,brand_intake_founder!$A$2:$A$81,0))),"")))</f>
        <v/>
      </c>
      <c r="T31" s="25">
        <f>IF($B31="","",IF(COUNTIF(brand_intake!$A$2:$A$401,$B31)&gt;0,IFERROR(IF(INDEX(brand_intake!$M$2:$M$401,MATCH($B31,brand_intake!$A$2:$A$401,0))="","",INDEX(brand_intake!$M$2:$M$401,MATCH($B31,brand_intake!$A$2:$A$401,0))),""),IFERROR(IF(INDEX(brand_intake_founder!$M$2:$M$81,MATCH($B31,brand_intake_founder!$A$2:$A$81,0))="","",INDEX(brand_intake_founder!$M$2:$M$81,MATCH($B31,brand_intake_founder!$A$2:$A$81,0))),"")))</f>
        <v/>
      </c>
      <c r="U31" s="25">
        <f>IF($B31="","",IF(COUNTIF(brand_intake!$A$2:$A$401,$B31)&gt;0,IFERROR(IF(INDEX(brand_intake!$L$2:$L$401,MATCH($B31,brand_intake!$A$2:$A$401,0))="","",INDEX(brand_intake!$L$2:$L$401,MATCH($B31,brand_intake!$A$2:$A$401,0))),""),IFERROR(IF(INDEX(brand_intake_founder!$L$2:$L$81,MATCH($B31,brand_intake_founder!$A$2:$A$81,0))="","",INDEX(brand_intake_founder!$L$2:$L$81,MATCH($B31,brand_intake_founder!$A$2:$A$81,0))),"")))</f>
        <v/>
      </c>
      <c r="V31" s="25">
        <f>IF($B31="","",IF(COUNTIF(brand_intake!$A$2:$A$401,$B31)&gt;0,IFERROR(IF(INDEX(brand_intake!$N$2:$N$401,MATCH($B31,brand_intake!$A$2:$A$401,0))="","",INDEX(brand_intake!$N$2:$N$401,MATCH($B31,brand_intake!$A$2:$A$401,0))),""),IFERROR(IF(INDEX(brand_intake_founder!$N$2:$N$81,MATCH($B31,brand_intake_founder!$A$2:$A$81,0))="","",INDEX(brand_intake_founder!$N$2:$N$81,MATCH($B31,brand_intake_founder!$A$2:$A$81,0))),"")))</f>
        <v/>
      </c>
      <c r="W31" s="25">
        <f>IF($B31="","",IF(COUNTIF(brand_intake!$A$2:$A$401,$B31)&gt;0,IFERROR(IF(INDEX(brand_intake!$Q$2:$Q$401,MATCH($B31,brand_intake!$A$2:$A$401,0))="","",INDEX(brand_intake!$Q$2:$Q$401,MATCH($B31,brand_intake!$A$2:$A$401,0))),""),IFERROR(IF(INDEX(brand_intake_founder!$Q$2:$Q$81,MATCH($B31,brand_intake_founder!$A$2:$A$81,0))="","",INDEX(brand_intake_founder!$Q$2:$Q$81,MATCH($B31,brand_intake_founder!$A$2:$A$81,0))),"")))</f>
        <v/>
      </c>
      <c r="X31" s="25">
        <f>IF($B31="","",IF(COUNTIF(brand_intake!$A$2:$A$401,$B31)&gt;0,IFERROR(IF(INDEX(brand_intake!$R$2:$R$401,MATCH($B31,brand_intake!$A$2:$A$401,0))="","",INDEX(brand_intake!$R$2:$R$401,MATCH($B31,brand_intake!$A$2:$A$401,0))),""),IFERROR(IF(INDEX(brand_intake_founder!$R$2:$R$81,MATCH($B31,brand_intake_founder!$A$2:$A$81,0))="","",INDEX(brand_intake_founder!$R$2:$R$81,MATCH($B31,brand_intake_founder!$A$2:$A$81,0))),"")))</f>
        <v/>
      </c>
      <c r="Y31" s="25">
        <f>IF($B31="","",IF(COUNTIF(brand_intake!$A$2:$A$401,$B31)&gt;0,IFERROR(IF(INDEX(brand_intake!$S$2:$S$401,MATCH($B31,brand_intake!$A$2:$A$401,0))="","",INDEX(brand_intake!$S$2:$S$401,MATCH($B31,brand_intake!$A$2:$A$401,0))),""),IFERROR(IF(INDEX(brand_intake_founder!$S$2:$S$81,MATCH($B31,brand_intake_founder!$A$2:$A$81,0))="","",INDEX(brand_intake_founder!$S$2:$S$81,MATCH($B31,brand_intake_founder!$A$2:$A$81,0))),"")))</f>
        <v/>
      </c>
      <c r="Z31" s="25">
        <f>IF($B31="","",IF(COUNTIF(brand_intake!$A$2:$A$401,$B31)&gt;0,IFERROR(IF(INDEX(brand_intake!$T$2:$T$401,MATCH($B31,brand_intake!$A$2:$A$401,0))="","",INDEX(brand_intake!$T$2:$T$401,MATCH($B31,brand_intake!$A$2:$A$401,0))),""),IFERROR(IF(INDEX(brand_intake_founder!$T$2:$T$81,MATCH($B31,brand_intake_founder!$A$2:$A$81,0))="","",INDEX(brand_intake_founder!$T$2:$T$81,MATCH($B31,brand_intake_founder!$A$2:$A$81,0))),"")))</f>
        <v/>
      </c>
      <c r="AA31" s="25">
        <f>IF($B31="","",IF(COUNTIF(brand_intake!$A$2:$A$401,$B31)&gt;0,IFERROR(IF(INDEX(brand_intake!$U$2:$U$401,MATCH($B31,brand_intake!$A$2:$A$401,0))="","",INDEX(brand_intake!$U$2:$U$401,MATCH($B31,brand_intake!$A$2:$A$401,0))),""),IFERROR(IF(INDEX(brand_intake_founder!$U$2:$U$81,MATCH($B31,brand_intake_founder!$A$2:$A$81,0))="","",INDEX(brand_intake_founder!$U$2:$U$81,MATCH($B31,brand_intake_founder!$A$2:$A$81,0))),"")))</f>
        <v/>
      </c>
      <c r="AB31" s="25">
        <f>IF($B31="","",IF(COUNTIF(brand_intake!$A$2:$A$401,$B31)&gt;0,IFERROR(IF(INDEX(brand_intake!$V$2:$V$401,MATCH($B31,brand_intake!$A$2:$A$401,0))="","",INDEX(brand_intake!$V$2:$V$401,MATCH($B31,brand_intake!$A$2:$A$401,0))),""),IFERROR(IF(INDEX(brand_intake_founder!$V$2:$V$81,MATCH($B31,brand_intake_founder!$A$2:$A$81,0))="","",INDEX(brand_intake_founder!$V$2:$V$81,MATCH($B31,brand_intake_founder!$A$2:$A$81,0))),"")))</f>
        <v/>
      </c>
      <c r="AC31" s="25">
        <f>IF($B31="","",IF(COUNTIF(brand_intake!$A$2:$A$401,$B31)&gt;0,IFERROR(IF(INDEX(brand_intake!$W$2:$W$401,MATCH($B31,brand_intake!$A$2:$A$401,0))="","",INDEX(brand_intake!$W$2:$W$401,MATCH($B31,brand_intake!$A$2:$A$401,0))),""),IFERROR(IF(INDEX(brand_intake_founder!$W$2:$W$81,MATCH($B31,brand_intake_founder!$A$2:$A$81,0))="","",INDEX(brand_intake_founder!$W$2:$W$81,MATCH($B31,brand_intake_founder!$A$2:$A$81,0))),"")))</f>
        <v/>
      </c>
      <c r="AD31" s="25">
        <f>IF($B31="","",IF(COUNTIF(brand_intake!$A$2:$A$401,$B31)&gt;0,IFERROR(IF(INDEX(brand_intake!$X$2:$X$401,MATCH($B31,brand_intake!$A$2:$A$401,0))="","",INDEX(brand_intake!$X$2:$X$401,MATCH($B31,brand_intake!$A$2:$A$401,0))),""),IFERROR(IF(INDEX(brand_intake_founder!$X$2:$X$81,MATCH($B31,brand_intake_founder!$A$2:$A$81,0))="","",INDEX(brand_intake_founder!$X$2:$X$81,MATCH($B31,brand_intake_founder!$A$2:$A$81,0))),"")))</f>
        <v/>
      </c>
      <c r="AE31" s="25">
        <f>IF($B31="","",IF(COUNTIF(brand_intake!$A$2:$A$401,$B31)&gt;0,IFERROR(IF(INDEX(brand_intake!$Y$2:$Y$401,MATCH($B31,brand_intake!$A$2:$A$401,0))="","",INDEX(brand_intake!$Y$2:$Y$401,MATCH($B31,brand_intake!$A$2:$A$401,0))),""),IFERROR(IF(INDEX(brand_intake_founder!$Y$2:$Y$81,MATCH($B31,brand_intake_founder!$A$2:$A$81,0))="","",INDEX(brand_intake_founder!$Y$2:$Y$81,MATCH($B31,brand_intake_founder!$A$2:$A$81,0))),"")))</f>
        <v/>
      </c>
      <c r="AF31" s="25">
        <f>IF($B31="","",($X31="Y")+($Y31="Y")+($Z31="Y")+($AA31="Y")+($AB31="Y")+($AC31="Y")+(LEN($AD31)&gt;0))</f>
        <v/>
      </c>
      <c r="AG31" s="25">
        <f>IF($B31="","",IF(AND($AF31=7,$AE31="Y"),"Y (as answered)","N: check "&amp;IF($X31&lt;&gt;"Y","1 ","")&amp;IF($Y31&lt;&gt;"Y","2 ","")&amp;IF($Z31&lt;&gt;"Y","3 ","")&amp;IF($AA31&lt;&gt;"Y","4 ","")&amp;IF($AB31&lt;&gt;"Y","5 ","")&amp;IF($AC31&lt;&gt;"Y","6 ","")&amp;IF(LEN($AD31)=0,"7 ","")&amp;IF($AE31&lt;&gt;"Y","excluded? ","")))</f>
        <v/>
      </c>
      <c r="AH31" s="25">
        <f>IF($A31="","",COUNTIF(campaigns!$C$2:$C$51,$A31))</f>
        <v/>
      </c>
      <c r="AI31" s="25">
        <f>IF(OR($A31="",SUMIFS(campaigns!$H$2:$H$51,campaigns!$C$2:$C$51,$A31,campaigns!$D$2:$D$51,"founding",campaigns!$E$2:$E$51,"&lt;&gt;Y")=0),"",COUNTIFS(campaigns!$D$2:$D$51,"founding",campaigns!$E$2:$E$51,"&lt;&gt;Y",campaigns!$H$2:$H$51,"&lt;="&amp;SUMIFS(campaigns!$H$2:$H$51,campaigns!$C$2:$C$51,$A31,campaigns!$D$2:$D$51,"founding",campaigns!$E$2:$E$51,"&lt;&gt;Y"),campaigns!$H$2:$H$51,"&gt;0"))</f>
        <v/>
      </c>
      <c r="AJ31" s="25">
        <f>IF(OR($A31="",NOT(IFERROR(COUNTIF(INDEX(in_paid_brands!$A$2:$BZ$81,0,MATCH("brand_id",in_paid_brands!$A$1:$BZ$1,0)),$A31),0)&gt;0)),"",IF(IFERROR(IF(INDEX(in_paid_brands!$A$2:$BZ$81,MATCH($A31,INDEX(in_paid_brands!$A$2:$BZ$81,0,MATCH("brand_id",in_paid_brands!$A$1:$BZ$1,0)),0),MATCH("campaign_id",in_paid_brands!$A$1:$BZ$1,0))="","",INDEX(in_paid_brands!$A$2:$BZ$81,MATCH($A31,INDEX(in_paid_brands!$A$2:$BZ$81,0,MATCH("brand_id",in_paid_brands!$A$1:$BZ$1,0)),0),MATCH("campaign_id",in_paid_brands!$A$1:$BZ$1,0))),"")="","E's paid_brands row has no campaign_id: type the CMP-### there; ",IF(OR(ABS(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gt;0.005,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payment 1 differs: E "&amp;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amp;" on "&amp;IF(N(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0,"none",TEXT(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yyyy-mm-dd"))&amp;"; ","")&amp;IF(OR(ABS(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gt;0.005,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payment 2 differs: E "&amp;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amp;" on "&amp;IF(N(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0,"none",TEXT(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yyyy-mm-dd"))&amp;"; ","")))</f>
        <v/>
      </c>
    </row>
    <row r="32">
      <c r="B32" s="30" t="n"/>
      <c r="H32" s="9" t="n"/>
      <c r="K32" s="25">
        <f>IF($B32="","",IF(COUNTIF(brand_intake!$A$2:$A$401,$B32)&gt;0,IFERROR(IF(INDEX(brand_intake!$C$2:$C$401,MATCH($B32,brand_intake!$A$2:$A$401,0))="","",INDEX(brand_intake!$C$2:$C$401,MATCH($B32,brand_intake!$A$2:$A$401,0))),""),IFERROR(IF(INDEX(brand_intake_founder!$C$2:$C$81,MATCH($B32,brand_intake_founder!$A$2:$A$81,0))="","",INDEX(brand_intake_founder!$C$2:$C$81,MATCH($B32,brand_intake_founder!$A$2:$A$81,0))),"")))</f>
        <v/>
      </c>
      <c r="L32" s="25">
        <f>IF($B32="","",IF(COUNTIF(brand_intake!$A$2:$A$401,$B32)&gt;0,IFERROR(IF(INDEX(brand_intake!$D$2:$D$401,MATCH($B32,brand_intake!$A$2:$A$401,0))="","",INDEX(brand_intake!$D$2:$D$401,MATCH($B32,brand_intake!$A$2:$A$401,0))),""),IFERROR(IF(INDEX(brand_intake_founder!$D$2:$D$81,MATCH($B32,brand_intake_founder!$A$2:$A$81,0))="","",INDEX(brand_intake_founder!$D$2:$D$81,MATCH($B32,brand_intake_founder!$A$2:$A$81,0))),"")))</f>
        <v/>
      </c>
      <c r="M32" s="25">
        <f>IF($B32="","",IF(COUNTIF(brand_intake!$A$2:$A$401,$B32)&gt;0,IFERROR(IF(INDEX(brand_intake!$J$2:$J$401,MATCH($B32,brand_intake!$A$2:$A$401,0))="","",INDEX(brand_intake!$J$2:$J$401,MATCH($B32,brand_intake!$A$2:$A$401,0))),""),IFERROR(IF(INDEX(brand_intake_founder!$J$2:$J$81,MATCH($B32,brand_intake_founder!$A$2:$A$81,0))="","",INDEX(brand_intake_founder!$J$2:$J$81,MATCH($B32,brand_intake_founder!$A$2:$A$81,0))),"")))</f>
        <v/>
      </c>
      <c r="N32" s="25">
        <f>IF($B32="","",IF(COUNTIF(brand_intake!$A$2:$A$401,$B32)&gt;0,IFERROR(IF(INDEX(brand_intake!$I$2:$I$401,MATCH($B32,brand_intake!$A$2:$A$401,0))="","",INDEX(brand_intake!$I$2:$I$401,MATCH($B32,brand_intake!$A$2:$A$401,0))),""),IFERROR(IF(INDEX(brand_intake_founder!$I$2:$I$81,MATCH($B32,brand_intake_founder!$A$2:$A$81,0))="","",INDEX(brand_intake_founder!$I$2:$I$81,MATCH($B32,brand_intake_founder!$A$2:$A$81,0))),"")))</f>
        <v/>
      </c>
      <c r="O32" s="25">
        <f>IF($B32="","",IF(COUNTIF(brand_intake!$A$2:$A$401,$B32)&gt;0,IFERROR(IF(INDEX(brand_intake!$K$2:$K$401,MATCH($B32,brand_intake!$A$2:$A$401,0))="","",INDEX(brand_intake!$K$2:$K$401,MATCH($B32,brand_intake!$A$2:$A$401,0))),""),IFERROR(IF(INDEX(brand_intake_founder!$K$2:$K$81,MATCH($B32,brand_intake_founder!$A$2:$A$81,0))="","",INDEX(brand_intake_founder!$K$2:$K$81,MATCH($B32,brand_intake_founder!$A$2:$A$81,0))),"")))</f>
        <v/>
      </c>
      <c r="P32" s="25">
        <f>IF($B32="","",IF(COUNTIF(brand_intake!$A$2:$A$401,$B32)&gt;0,IFERROR(IF(INDEX(brand_intake!$E$2:$E$401,MATCH($B32,brand_intake!$A$2:$A$401,0))="","",INDEX(brand_intake!$E$2:$E$401,MATCH($B32,brand_intake!$A$2:$A$401,0))),""),IFERROR(IF(INDEX(brand_intake_founder!$E$2:$E$81,MATCH($B32,brand_intake_founder!$A$2:$A$81,0))="","",INDEX(brand_intake_founder!$E$2:$E$81,MATCH($B32,brand_intake_founder!$A$2:$A$81,0))),"")))</f>
        <v/>
      </c>
      <c r="Q32" s="25">
        <f>IF($B32="","",IF(COUNTIF(brand_intake!$A$2:$A$401,$B32)&gt;0,IFERROR(IF(INDEX(brand_intake!$F$2:$F$401,MATCH($B32,brand_intake!$A$2:$A$401,0))="","",INDEX(brand_intake!$F$2:$F$401,MATCH($B32,brand_intake!$A$2:$A$401,0))),""),IFERROR(IF(INDEX(brand_intake_founder!$F$2:$F$81,MATCH($B32,brand_intake_founder!$A$2:$A$81,0))="","",INDEX(brand_intake_founder!$F$2:$F$81,MATCH($B32,brand_intake_founder!$A$2:$A$81,0))),"")))</f>
        <v/>
      </c>
      <c r="R32" s="25">
        <f>IF($B32="","",IF(COUNTIF(brand_intake!$A$2:$A$401,$B32)&gt;0,IFERROR(IF(INDEX(brand_intake!$G$2:$G$401,MATCH($B32,brand_intake!$A$2:$A$401,0))="","",INDEX(brand_intake!$G$2:$G$401,MATCH($B32,brand_intake!$A$2:$A$401,0))),""),IFERROR(IF(INDEX(brand_intake_founder!$G$2:$G$81,MATCH($B32,brand_intake_founder!$A$2:$A$81,0))="","",INDEX(brand_intake_founder!$G$2:$G$81,MATCH($B32,brand_intake_founder!$A$2:$A$81,0))),"")))</f>
        <v/>
      </c>
      <c r="S32" s="25">
        <f>IF($B32="","",IF(COUNTIF(brand_intake!$A$2:$A$401,$B32)&gt;0,IFERROR(IF(INDEX(brand_intake!$H$2:$H$401,MATCH($B32,brand_intake!$A$2:$A$401,0))="","",INDEX(brand_intake!$H$2:$H$401,MATCH($B32,brand_intake!$A$2:$A$401,0))),""),IFERROR(IF(INDEX(brand_intake_founder!$H$2:$H$81,MATCH($B32,brand_intake_founder!$A$2:$A$81,0))="","",INDEX(brand_intake_founder!$H$2:$H$81,MATCH($B32,brand_intake_founder!$A$2:$A$81,0))),"")))</f>
        <v/>
      </c>
      <c r="T32" s="25">
        <f>IF($B32="","",IF(COUNTIF(brand_intake!$A$2:$A$401,$B32)&gt;0,IFERROR(IF(INDEX(brand_intake!$M$2:$M$401,MATCH($B32,brand_intake!$A$2:$A$401,0))="","",INDEX(brand_intake!$M$2:$M$401,MATCH($B32,brand_intake!$A$2:$A$401,0))),""),IFERROR(IF(INDEX(brand_intake_founder!$M$2:$M$81,MATCH($B32,brand_intake_founder!$A$2:$A$81,0))="","",INDEX(brand_intake_founder!$M$2:$M$81,MATCH($B32,brand_intake_founder!$A$2:$A$81,0))),"")))</f>
        <v/>
      </c>
      <c r="U32" s="25">
        <f>IF($B32="","",IF(COUNTIF(brand_intake!$A$2:$A$401,$B32)&gt;0,IFERROR(IF(INDEX(brand_intake!$L$2:$L$401,MATCH($B32,brand_intake!$A$2:$A$401,0))="","",INDEX(brand_intake!$L$2:$L$401,MATCH($B32,brand_intake!$A$2:$A$401,0))),""),IFERROR(IF(INDEX(brand_intake_founder!$L$2:$L$81,MATCH($B32,brand_intake_founder!$A$2:$A$81,0))="","",INDEX(brand_intake_founder!$L$2:$L$81,MATCH($B32,brand_intake_founder!$A$2:$A$81,0))),"")))</f>
        <v/>
      </c>
      <c r="V32" s="25">
        <f>IF($B32="","",IF(COUNTIF(brand_intake!$A$2:$A$401,$B32)&gt;0,IFERROR(IF(INDEX(brand_intake!$N$2:$N$401,MATCH($B32,brand_intake!$A$2:$A$401,0))="","",INDEX(brand_intake!$N$2:$N$401,MATCH($B32,brand_intake!$A$2:$A$401,0))),""),IFERROR(IF(INDEX(brand_intake_founder!$N$2:$N$81,MATCH($B32,brand_intake_founder!$A$2:$A$81,0))="","",INDEX(brand_intake_founder!$N$2:$N$81,MATCH($B32,brand_intake_founder!$A$2:$A$81,0))),"")))</f>
        <v/>
      </c>
      <c r="W32" s="25">
        <f>IF($B32="","",IF(COUNTIF(brand_intake!$A$2:$A$401,$B32)&gt;0,IFERROR(IF(INDEX(brand_intake!$Q$2:$Q$401,MATCH($B32,brand_intake!$A$2:$A$401,0))="","",INDEX(brand_intake!$Q$2:$Q$401,MATCH($B32,brand_intake!$A$2:$A$401,0))),""),IFERROR(IF(INDEX(brand_intake_founder!$Q$2:$Q$81,MATCH($B32,brand_intake_founder!$A$2:$A$81,0))="","",INDEX(brand_intake_founder!$Q$2:$Q$81,MATCH($B32,brand_intake_founder!$A$2:$A$81,0))),"")))</f>
        <v/>
      </c>
      <c r="X32" s="25">
        <f>IF($B32="","",IF(COUNTIF(brand_intake!$A$2:$A$401,$B32)&gt;0,IFERROR(IF(INDEX(brand_intake!$R$2:$R$401,MATCH($B32,brand_intake!$A$2:$A$401,0))="","",INDEX(brand_intake!$R$2:$R$401,MATCH($B32,brand_intake!$A$2:$A$401,0))),""),IFERROR(IF(INDEX(brand_intake_founder!$R$2:$R$81,MATCH($B32,brand_intake_founder!$A$2:$A$81,0))="","",INDEX(brand_intake_founder!$R$2:$R$81,MATCH($B32,brand_intake_founder!$A$2:$A$81,0))),"")))</f>
        <v/>
      </c>
      <c r="Y32" s="25">
        <f>IF($B32="","",IF(COUNTIF(brand_intake!$A$2:$A$401,$B32)&gt;0,IFERROR(IF(INDEX(brand_intake!$S$2:$S$401,MATCH($B32,brand_intake!$A$2:$A$401,0))="","",INDEX(brand_intake!$S$2:$S$401,MATCH($B32,brand_intake!$A$2:$A$401,0))),""),IFERROR(IF(INDEX(brand_intake_founder!$S$2:$S$81,MATCH($B32,brand_intake_founder!$A$2:$A$81,0))="","",INDEX(brand_intake_founder!$S$2:$S$81,MATCH($B32,brand_intake_founder!$A$2:$A$81,0))),"")))</f>
        <v/>
      </c>
      <c r="Z32" s="25">
        <f>IF($B32="","",IF(COUNTIF(brand_intake!$A$2:$A$401,$B32)&gt;0,IFERROR(IF(INDEX(brand_intake!$T$2:$T$401,MATCH($B32,brand_intake!$A$2:$A$401,0))="","",INDEX(brand_intake!$T$2:$T$401,MATCH($B32,brand_intake!$A$2:$A$401,0))),""),IFERROR(IF(INDEX(brand_intake_founder!$T$2:$T$81,MATCH($B32,brand_intake_founder!$A$2:$A$81,0))="","",INDEX(brand_intake_founder!$T$2:$T$81,MATCH($B32,brand_intake_founder!$A$2:$A$81,0))),"")))</f>
        <v/>
      </c>
      <c r="AA32" s="25">
        <f>IF($B32="","",IF(COUNTIF(brand_intake!$A$2:$A$401,$B32)&gt;0,IFERROR(IF(INDEX(brand_intake!$U$2:$U$401,MATCH($B32,brand_intake!$A$2:$A$401,0))="","",INDEX(brand_intake!$U$2:$U$401,MATCH($B32,brand_intake!$A$2:$A$401,0))),""),IFERROR(IF(INDEX(brand_intake_founder!$U$2:$U$81,MATCH($B32,brand_intake_founder!$A$2:$A$81,0))="","",INDEX(brand_intake_founder!$U$2:$U$81,MATCH($B32,brand_intake_founder!$A$2:$A$81,0))),"")))</f>
        <v/>
      </c>
      <c r="AB32" s="25">
        <f>IF($B32="","",IF(COUNTIF(brand_intake!$A$2:$A$401,$B32)&gt;0,IFERROR(IF(INDEX(brand_intake!$V$2:$V$401,MATCH($B32,brand_intake!$A$2:$A$401,0))="","",INDEX(brand_intake!$V$2:$V$401,MATCH($B32,brand_intake!$A$2:$A$401,0))),""),IFERROR(IF(INDEX(brand_intake_founder!$V$2:$V$81,MATCH($B32,brand_intake_founder!$A$2:$A$81,0))="","",INDEX(brand_intake_founder!$V$2:$V$81,MATCH($B32,brand_intake_founder!$A$2:$A$81,0))),"")))</f>
        <v/>
      </c>
      <c r="AC32" s="25">
        <f>IF($B32="","",IF(COUNTIF(brand_intake!$A$2:$A$401,$B32)&gt;0,IFERROR(IF(INDEX(brand_intake!$W$2:$W$401,MATCH($B32,brand_intake!$A$2:$A$401,0))="","",INDEX(brand_intake!$W$2:$W$401,MATCH($B32,brand_intake!$A$2:$A$401,0))),""),IFERROR(IF(INDEX(brand_intake_founder!$W$2:$W$81,MATCH($B32,brand_intake_founder!$A$2:$A$81,0))="","",INDEX(brand_intake_founder!$W$2:$W$81,MATCH($B32,brand_intake_founder!$A$2:$A$81,0))),"")))</f>
        <v/>
      </c>
      <c r="AD32" s="25">
        <f>IF($B32="","",IF(COUNTIF(brand_intake!$A$2:$A$401,$B32)&gt;0,IFERROR(IF(INDEX(brand_intake!$X$2:$X$401,MATCH($B32,brand_intake!$A$2:$A$401,0))="","",INDEX(brand_intake!$X$2:$X$401,MATCH($B32,brand_intake!$A$2:$A$401,0))),""),IFERROR(IF(INDEX(brand_intake_founder!$X$2:$X$81,MATCH($B32,brand_intake_founder!$A$2:$A$81,0))="","",INDEX(brand_intake_founder!$X$2:$X$81,MATCH($B32,brand_intake_founder!$A$2:$A$81,0))),"")))</f>
        <v/>
      </c>
      <c r="AE32" s="25">
        <f>IF($B32="","",IF(COUNTIF(brand_intake!$A$2:$A$401,$B32)&gt;0,IFERROR(IF(INDEX(brand_intake!$Y$2:$Y$401,MATCH($B32,brand_intake!$A$2:$A$401,0))="","",INDEX(brand_intake!$Y$2:$Y$401,MATCH($B32,brand_intake!$A$2:$A$401,0))),""),IFERROR(IF(INDEX(brand_intake_founder!$Y$2:$Y$81,MATCH($B32,brand_intake_founder!$A$2:$A$81,0))="","",INDEX(brand_intake_founder!$Y$2:$Y$81,MATCH($B32,brand_intake_founder!$A$2:$A$81,0))),"")))</f>
        <v/>
      </c>
      <c r="AF32" s="25">
        <f>IF($B32="","",($X32="Y")+($Y32="Y")+($Z32="Y")+($AA32="Y")+($AB32="Y")+($AC32="Y")+(LEN($AD32)&gt;0))</f>
        <v/>
      </c>
      <c r="AG32" s="25">
        <f>IF($B32="","",IF(AND($AF32=7,$AE32="Y"),"Y (as answered)","N: check "&amp;IF($X32&lt;&gt;"Y","1 ","")&amp;IF($Y32&lt;&gt;"Y","2 ","")&amp;IF($Z32&lt;&gt;"Y","3 ","")&amp;IF($AA32&lt;&gt;"Y","4 ","")&amp;IF($AB32&lt;&gt;"Y","5 ","")&amp;IF($AC32&lt;&gt;"Y","6 ","")&amp;IF(LEN($AD32)=0,"7 ","")&amp;IF($AE32&lt;&gt;"Y","excluded? ","")))</f>
        <v/>
      </c>
      <c r="AH32" s="25">
        <f>IF($A32="","",COUNTIF(campaigns!$C$2:$C$51,$A32))</f>
        <v/>
      </c>
      <c r="AI32" s="25">
        <f>IF(OR($A32="",SUMIFS(campaigns!$H$2:$H$51,campaigns!$C$2:$C$51,$A32,campaigns!$D$2:$D$51,"founding",campaigns!$E$2:$E$51,"&lt;&gt;Y")=0),"",COUNTIFS(campaigns!$D$2:$D$51,"founding",campaigns!$E$2:$E$51,"&lt;&gt;Y",campaigns!$H$2:$H$51,"&lt;="&amp;SUMIFS(campaigns!$H$2:$H$51,campaigns!$C$2:$C$51,$A32,campaigns!$D$2:$D$51,"founding",campaigns!$E$2:$E$51,"&lt;&gt;Y"),campaigns!$H$2:$H$51,"&gt;0"))</f>
        <v/>
      </c>
      <c r="AJ32" s="25">
        <f>IF(OR($A32="",NOT(IFERROR(COUNTIF(INDEX(in_paid_brands!$A$2:$BZ$81,0,MATCH("brand_id",in_paid_brands!$A$1:$BZ$1,0)),$A32),0)&gt;0)),"",IF(IFERROR(IF(INDEX(in_paid_brands!$A$2:$BZ$81,MATCH($A32,INDEX(in_paid_brands!$A$2:$BZ$81,0,MATCH("brand_id",in_paid_brands!$A$1:$BZ$1,0)),0),MATCH("campaign_id",in_paid_brands!$A$1:$BZ$1,0))="","",INDEX(in_paid_brands!$A$2:$BZ$81,MATCH($A32,INDEX(in_paid_brands!$A$2:$BZ$81,0,MATCH("brand_id",in_paid_brands!$A$1:$BZ$1,0)),0),MATCH("campaign_id",in_paid_brands!$A$1:$BZ$1,0))),"")="","E's paid_brands row has no campaign_id: type the CMP-### there; ",IF(OR(ABS(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gt;0.005,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payment 1 differs: E "&amp;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amp;" on "&amp;IF(N(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0,"none",TEXT(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yyyy-mm-dd"))&amp;"; ","")&amp;IF(OR(ABS(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gt;0.005,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payment 2 differs: E "&amp;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amp;" on "&amp;IF(N(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0,"none",TEXT(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yyyy-mm-dd"))&amp;"; ","")))</f>
        <v/>
      </c>
    </row>
    <row r="33">
      <c r="B33" s="30" t="n"/>
      <c r="H33" s="9" t="n"/>
      <c r="K33" s="25">
        <f>IF($B33="","",IF(COUNTIF(brand_intake!$A$2:$A$401,$B33)&gt;0,IFERROR(IF(INDEX(brand_intake!$C$2:$C$401,MATCH($B33,brand_intake!$A$2:$A$401,0))="","",INDEX(brand_intake!$C$2:$C$401,MATCH($B33,brand_intake!$A$2:$A$401,0))),""),IFERROR(IF(INDEX(brand_intake_founder!$C$2:$C$81,MATCH($B33,brand_intake_founder!$A$2:$A$81,0))="","",INDEX(brand_intake_founder!$C$2:$C$81,MATCH($B33,brand_intake_founder!$A$2:$A$81,0))),"")))</f>
        <v/>
      </c>
      <c r="L33" s="25">
        <f>IF($B33="","",IF(COUNTIF(brand_intake!$A$2:$A$401,$B33)&gt;0,IFERROR(IF(INDEX(brand_intake!$D$2:$D$401,MATCH($B33,brand_intake!$A$2:$A$401,0))="","",INDEX(brand_intake!$D$2:$D$401,MATCH($B33,brand_intake!$A$2:$A$401,0))),""),IFERROR(IF(INDEX(brand_intake_founder!$D$2:$D$81,MATCH($B33,brand_intake_founder!$A$2:$A$81,0))="","",INDEX(brand_intake_founder!$D$2:$D$81,MATCH($B33,brand_intake_founder!$A$2:$A$81,0))),"")))</f>
        <v/>
      </c>
      <c r="M33" s="25">
        <f>IF($B33="","",IF(COUNTIF(brand_intake!$A$2:$A$401,$B33)&gt;0,IFERROR(IF(INDEX(brand_intake!$J$2:$J$401,MATCH($B33,brand_intake!$A$2:$A$401,0))="","",INDEX(brand_intake!$J$2:$J$401,MATCH($B33,brand_intake!$A$2:$A$401,0))),""),IFERROR(IF(INDEX(brand_intake_founder!$J$2:$J$81,MATCH($B33,brand_intake_founder!$A$2:$A$81,0))="","",INDEX(brand_intake_founder!$J$2:$J$81,MATCH($B33,brand_intake_founder!$A$2:$A$81,0))),"")))</f>
        <v/>
      </c>
      <c r="N33" s="25">
        <f>IF($B33="","",IF(COUNTIF(brand_intake!$A$2:$A$401,$B33)&gt;0,IFERROR(IF(INDEX(brand_intake!$I$2:$I$401,MATCH($B33,brand_intake!$A$2:$A$401,0))="","",INDEX(brand_intake!$I$2:$I$401,MATCH($B33,brand_intake!$A$2:$A$401,0))),""),IFERROR(IF(INDEX(brand_intake_founder!$I$2:$I$81,MATCH($B33,brand_intake_founder!$A$2:$A$81,0))="","",INDEX(brand_intake_founder!$I$2:$I$81,MATCH($B33,brand_intake_founder!$A$2:$A$81,0))),"")))</f>
        <v/>
      </c>
      <c r="O33" s="25">
        <f>IF($B33="","",IF(COUNTIF(brand_intake!$A$2:$A$401,$B33)&gt;0,IFERROR(IF(INDEX(brand_intake!$K$2:$K$401,MATCH($B33,brand_intake!$A$2:$A$401,0))="","",INDEX(brand_intake!$K$2:$K$401,MATCH($B33,brand_intake!$A$2:$A$401,0))),""),IFERROR(IF(INDEX(brand_intake_founder!$K$2:$K$81,MATCH($B33,brand_intake_founder!$A$2:$A$81,0))="","",INDEX(brand_intake_founder!$K$2:$K$81,MATCH($B33,brand_intake_founder!$A$2:$A$81,0))),"")))</f>
        <v/>
      </c>
      <c r="P33" s="25">
        <f>IF($B33="","",IF(COUNTIF(brand_intake!$A$2:$A$401,$B33)&gt;0,IFERROR(IF(INDEX(brand_intake!$E$2:$E$401,MATCH($B33,brand_intake!$A$2:$A$401,0))="","",INDEX(brand_intake!$E$2:$E$401,MATCH($B33,brand_intake!$A$2:$A$401,0))),""),IFERROR(IF(INDEX(brand_intake_founder!$E$2:$E$81,MATCH($B33,brand_intake_founder!$A$2:$A$81,0))="","",INDEX(brand_intake_founder!$E$2:$E$81,MATCH($B33,brand_intake_founder!$A$2:$A$81,0))),"")))</f>
        <v/>
      </c>
      <c r="Q33" s="25">
        <f>IF($B33="","",IF(COUNTIF(brand_intake!$A$2:$A$401,$B33)&gt;0,IFERROR(IF(INDEX(brand_intake!$F$2:$F$401,MATCH($B33,brand_intake!$A$2:$A$401,0))="","",INDEX(brand_intake!$F$2:$F$401,MATCH($B33,brand_intake!$A$2:$A$401,0))),""),IFERROR(IF(INDEX(brand_intake_founder!$F$2:$F$81,MATCH($B33,brand_intake_founder!$A$2:$A$81,0))="","",INDEX(brand_intake_founder!$F$2:$F$81,MATCH($B33,brand_intake_founder!$A$2:$A$81,0))),"")))</f>
        <v/>
      </c>
      <c r="R33" s="25">
        <f>IF($B33="","",IF(COUNTIF(brand_intake!$A$2:$A$401,$B33)&gt;0,IFERROR(IF(INDEX(brand_intake!$G$2:$G$401,MATCH($B33,brand_intake!$A$2:$A$401,0))="","",INDEX(brand_intake!$G$2:$G$401,MATCH($B33,brand_intake!$A$2:$A$401,0))),""),IFERROR(IF(INDEX(brand_intake_founder!$G$2:$G$81,MATCH($B33,brand_intake_founder!$A$2:$A$81,0))="","",INDEX(brand_intake_founder!$G$2:$G$81,MATCH($B33,brand_intake_founder!$A$2:$A$81,0))),"")))</f>
        <v/>
      </c>
      <c r="S33" s="25">
        <f>IF($B33="","",IF(COUNTIF(brand_intake!$A$2:$A$401,$B33)&gt;0,IFERROR(IF(INDEX(brand_intake!$H$2:$H$401,MATCH($B33,brand_intake!$A$2:$A$401,0))="","",INDEX(brand_intake!$H$2:$H$401,MATCH($B33,brand_intake!$A$2:$A$401,0))),""),IFERROR(IF(INDEX(brand_intake_founder!$H$2:$H$81,MATCH($B33,brand_intake_founder!$A$2:$A$81,0))="","",INDEX(brand_intake_founder!$H$2:$H$81,MATCH($B33,brand_intake_founder!$A$2:$A$81,0))),"")))</f>
        <v/>
      </c>
      <c r="T33" s="25">
        <f>IF($B33="","",IF(COUNTIF(brand_intake!$A$2:$A$401,$B33)&gt;0,IFERROR(IF(INDEX(brand_intake!$M$2:$M$401,MATCH($B33,brand_intake!$A$2:$A$401,0))="","",INDEX(brand_intake!$M$2:$M$401,MATCH($B33,brand_intake!$A$2:$A$401,0))),""),IFERROR(IF(INDEX(brand_intake_founder!$M$2:$M$81,MATCH($B33,brand_intake_founder!$A$2:$A$81,0))="","",INDEX(brand_intake_founder!$M$2:$M$81,MATCH($B33,brand_intake_founder!$A$2:$A$81,0))),"")))</f>
        <v/>
      </c>
      <c r="U33" s="25">
        <f>IF($B33="","",IF(COUNTIF(brand_intake!$A$2:$A$401,$B33)&gt;0,IFERROR(IF(INDEX(brand_intake!$L$2:$L$401,MATCH($B33,brand_intake!$A$2:$A$401,0))="","",INDEX(brand_intake!$L$2:$L$401,MATCH($B33,brand_intake!$A$2:$A$401,0))),""),IFERROR(IF(INDEX(brand_intake_founder!$L$2:$L$81,MATCH($B33,brand_intake_founder!$A$2:$A$81,0))="","",INDEX(brand_intake_founder!$L$2:$L$81,MATCH($B33,brand_intake_founder!$A$2:$A$81,0))),"")))</f>
        <v/>
      </c>
      <c r="V33" s="25">
        <f>IF($B33="","",IF(COUNTIF(brand_intake!$A$2:$A$401,$B33)&gt;0,IFERROR(IF(INDEX(brand_intake!$N$2:$N$401,MATCH($B33,brand_intake!$A$2:$A$401,0))="","",INDEX(brand_intake!$N$2:$N$401,MATCH($B33,brand_intake!$A$2:$A$401,0))),""),IFERROR(IF(INDEX(brand_intake_founder!$N$2:$N$81,MATCH($B33,brand_intake_founder!$A$2:$A$81,0))="","",INDEX(brand_intake_founder!$N$2:$N$81,MATCH($B33,brand_intake_founder!$A$2:$A$81,0))),"")))</f>
        <v/>
      </c>
      <c r="W33" s="25">
        <f>IF($B33="","",IF(COUNTIF(brand_intake!$A$2:$A$401,$B33)&gt;0,IFERROR(IF(INDEX(brand_intake!$Q$2:$Q$401,MATCH($B33,brand_intake!$A$2:$A$401,0))="","",INDEX(brand_intake!$Q$2:$Q$401,MATCH($B33,brand_intake!$A$2:$A$401,0))),""),IFERROR(IF(INDEX(brand_intake_founder!$Q$2:$Q$81,MATCH($B33,brand_intake_founder!$A$2:$A$81,0))="","",INDEX(brand_intake_founder!$Q$2:$Q$81,MATCH($B33,brand_intake_founder!$A$2:$A$81,0))),"")))</f>
        <v/>
      </c>
      <c r="X33" s="25">
        <f>IF($B33="","",IF(COUNTIF(brand_intake!$A$2:$A$401,$B33)&gt;0,IFERROR(IF(INDEX(brand_intake!$R$2:$R$401,MATCH($B33,brand_intake!$A$2:$A$401,0))="","",INDEX(brand_intake!$R$2:$R$401,MATCH($B33,brand_intake!$A$2:$A$401,0))),""),IFERROR(IF(INDEX(brand_intake_founder!$R$2:$R$81,MATCH($B33,brand_intake_founder!$A$2:$A$81,0))="","",INDEX(brand_intake_founder!$R$2:$R$81,MATCH($B33,brand_intake_founder!$A$2:$A$81,0))),"")))</f>
        <v/>
      </c>
      <c r="Y33" s="25">
        <f>IF($B33="","",IF(COUNTIF(brand_intake!$A$2:$A$401,$B33)&gt;0,IFERROR(IF(INDEX(brand_intake!$S$2:$S$401,MATCH($B33,brand_intake!$A$2:$A$401,0))="","",INDEX(brand_intake!$S$2:$S$401,MATCH($B33,brand_intake!$A$2:$A$401,0))),""),IFERROR(IF(INDEX(brand_intake_founder!$S$2:$S$81,MATCH($B33,brand_intake_founder!$A$2:$A$81,0))="","",INDEX(brand_intake_founder!$S$2:$S$81,MATCH($B33,brand_intake_founder!$A$2:$A$81,0))),"")))</f>
        <v/>
      </c>
      <c r="Z33" s="25">
        <f>IF($B33="","",IF(COUNTIF(brand_intake!$A$2:$A$401,$B33)&gt;0,IFERROR(IF(INDEX(brand_intake!$T$2:$T$401,MATCH($B33,brand_intake!$A$2:$A$401,0))="","",INDEX(brand_intake!$T$2:$T$401,MATCH($B33,brand_intake!$A$2:$A$401,0))),""),IFERROR(IF(INDEX(brand_intake_founder!$T$2:$T$81,MATCH($B33,brand_intake_founder!$A$2:$A$81,0))="","",INDEX(brand_intake_founder!$T$2:$T$81,MATCH($B33,brand_intake_founder!$A$2:$A$81,0))),"")))</f>
        <v/>
      </c>
      <c r="AA33" s="25">
        <f>IF($B33="","",IF(COUNTIF(brand_intake!$A$2:$A$401,$B33)&gt;0,IFERROR(IF(INDEX(brand_intake!$U$2:$U$401,MATCH($B33,brand_intake!$A$2:$A$401,0))="","",INDEX(brand_intake!$U$2:$U$401,MATCH($B33,brand_intake!$A$2:$A$401,0))),""),IFERROR(IF(INDEX(brand_intake_founder!$U$2:$U$81,MATCH($B33,brand_intake_founder!$A$2:$A$81,0))="","",INDEX(brand_intake_founder!$U$2:$U$81,MATCH($B33,brand_intake_founder!$A$2:$A$81,0))),"")))</f>
        <v/>
      </c>
      <c r="AB33" s="25">
        <f>IF($B33="","",IF(COUNTIF(brand_intake!$A$2:$A$401,$B33)&gt;0,IFERROR(IF(INDEX(brand_intake!$V$2:$V$401,MATCH($B33,brand_intake!$A$2:$A$401,0))="","",INDEX(brand_intake!$V$2:$V$401,MATCH($B33,brand_intake!$A$2:$A$401,0))),""),IFERROR(IF(INDEX(brand_intake_founder!$V$2:$V$81,MATCH($B33,brand_intake_founder!$A$2:$A$81,0))="","",INDEX(brand_intake_founder!$V$2:$V$81,MATCH($B33,brand_intake_founder!$A$2:$A$81,0))),"")))</f>
        <v/>
      </c>
      <c r="AC33" s="25">
        <f>IF($B33="","",IF(COUNTIF(brand_intake!$A$2:$A$401,$B33)&gt;0,IFERROR(IF(INDEX(brand_intake!$W$2:$W$401,MATCH($B33,brand_intake!$A$2:$A$401,0))="","",INDEX(brand_intake!$W$2:$W$401,MATCH($B33,brand_intake!$A$2:$A$401,0))),""),IFERROR(IF(INDEX(brand_intake_founder!$W$2:$W$81,MATCH($B33,brand_intake_founder!$A$2:$A$81,0))="","",INDEX(brand_intake_founder!$W$2:$W$81,MATCH($B33,brand_intake_founder!$A$2:$A$81,0))),"")))</f>
        <v/>
      </c>
      <c r="AD33" s="25">
        <f>IF($B33="","",IF(COUNTIF(brand_intake!$A$2:$A$401,$B33)&gt;0,IFERROR(IF(INDEX(brand_intake!$X$2:$X$401,MATCH($B33,brand_intake!$A$2:$A$401,0))="","",INDEX(brand_intake!$X$2:$X$401,MATCH($B33,brand_intake!$A$2:$A$401,0))),""),IFERROR(IF(INDEX(brand_intake_founder!$X$2:$X$81,MATCH($B33,brand_intake_founder!$A$2:$A$81,0))="","",INDEX(brand_intake_founder!$X$2:$X$81,MATCH($B33,brand_intake_founder!$A$2:$A$81,0))),"")))</f>
        <v/>
      </c>
      <c r="AE33" s="25">
        <f>IF($B33="","",IF(COUNTIF(brand_intake!$A$2:$A$401,$B33)&gt;0,IFERROR(IF(INDEX(brand_intake!$Y$2:$Y$401,MATCH($B33,brand_intake!$A$2:$A$401,0))="","",INDEX(brand_intake!$Y$2:$Y$401,MATCH($B33,brand_intake!$A$2:$A$401,0))),""),IFERROR(IF(INDEX(brand_intake_founder!$Y$2:$Y$81,MATCH($B33,brand_intake_founder!$A$2:$A$81,0))="","",INDEX(brand_intake_founder!$Y$2:$Y$81,MATCH($B33,brand_intake_founder!$A$2:$A$81,0))),"")))</f>
        <v/>
      </c>
      <c r="AF33" s="25">
        <f>IF($B33="","",($X33="Y")+($Y33="Y")+($Z33="Y")+($AA33="Y")+($AB33="Y")+($AC33="Y")+(LEN($AD33)&gt;0))</f>
        <v/>
      </c>
      <c r="AG33" s="25">
        <f>IF($B33="","",IF(AND($AF33=7,$AE33="Y"),"Y (as answered)","N: check "&amp;IF($X33&lt;&gt;"Y","1 ","")&amp;IF($Y33&lt;&gt;"Y","2 ","")&amp;IF($Z33&lt;&gt;"Y","3 ","")&amp;IF($AA33&lt;&gt;"Y","4 ","")&amp;IF($AB33&lt;&gt;"Y","5 ","")&amp;IF($AC33&lt;&gt;"Y","6 ","")&amp;IF(LEN($AD33)=0,"7 ","")&amp;IF($AE33&lt;&gt;"Y","excluded? ","")))</f>
        <v/>
      </c>
      <c r="AH33" s="25">
        <f>IF($A33="","",COUNTIF(campaigns!$C$2:$C$51,$A33))</f>
        <v/>
      </c>
      <c r="AI33" s="25">
        <f>IF(OR($A33="",SUMIFS(campaigns!$H$2:$H$51,campaigns!$C$2:$C$51,$A33,campaigns!$D$2:$D$51,"founding",campaigns!$E$2:$E$51,"&lt;&gt;Y")=0),"",COUNTIFS(campaigns!$D$2:$D$51,"founding",campaigns!$E$2:$E$51,"&lt;&gt;Y",campaigns!$H$2:$H$51,"&lt;="&amp;SUMIFS(campaigns!$H$2:$H$51,campaigns!$C$2:$C$51,$A33,campaigns!$D$2:$D$51,"founding",campaigns!$E$2:$E$51,"&lt;&gt;Y"),campaigns!$H$2:$H$51,"&gt;0"))</f>
        <v/>
      </c>
      <c r="AJ33" s="25">
        <f>IF(OR($A33="",NOT(IFERROR(COUNTIF(INDEX(in_paid_brands!$A$2:$BZ$81,0,MATCH("brand_id",in_paid_brands!$A$1:$BZ$1,0)),$A33),0)&gt;0)),"",IF(IFERROR(IF(INDEX(in_paid_brands!$A$2:$BZ$81,MATCH($A33,INDEX(in_paid_brands!$A$2:$BZ$81,0,MATCH("brand_id",in_paid_brands!$A$1:$BZ$1,0)),0),MATCH("campaign_id",in_paid_brands!$A$1:$BZ$1,0))="","",INDEX(in_paid_brands!$A$2:$BZ$81,MATCH($A33,INDEX(in_paid_brands!$A$2:$BZ$81,0,MATCH("brand_id",in_paid_brands!$A$1:$BZ$1,0)),0),MATCH("campaign_id",in_paid_brands!$A$1:$BZ$1,0))),"")="","E's paid_brands row has no campaign_id: type the CMP-### there; ",IF(OR(ABS(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gt;0.005,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payment 1 differs: E "&amp;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amp;" on "&amp;IF(N(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0,"none",TEXT(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yyyy-mm-dd"))&amp;"; ","")&amp;IF(OR(ABS(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gt;0.005,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payment 2 differs: E "&amp;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amp;" on "&amp;IF(N(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0,"none",TEXT(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yyyy-mm-dd"))&amp;"; ","")))</f>
        <v/>
      </c>
    </row>
    <row r="34">
      <c r="B34" s="30" t="n"/>
      <c r="H34" s="9" t="n"/>
      <c r="K34" s="25">
        <f>IF($B34="","",IF(COUNTIF(brand_intake!$A$2:$A$401,$B34)&gt;0,IFERROR(IF(INDEX(brand_intake!$C$2:$C$401,MATCH($B34,brand_intake!$A$2:$A$401,0))="","",INDEX(brand_intake!$C$2:$C$401,MATCH($B34,brand_intake!$A$2:$A$401,0))),""),IFERROR(IF(INDEX(brand_intake_founder!$C$2:$C$81,MATCH($B34,brand_intake_founder!$A$2:$A$81,0))="","",INDEX(brand_intake_founder!$C$2:$C$81,MATCH($B34,brand_intake_founder!$A$2:$A$81,0))),"")))</f>
        <v/>
      </c>
      <c r="L34" s="25">
        <f>IF($B34="","",IF(COUNTIF(brand_intake!$A$2:$A$401,$B34)&gt;0,IFERROR(IF(INDEX(brand_intake!$D$2:$D$401,MATCH($B34,brand_intake!$A$2:$A$401,0))="","",INDEX(brand_intake!$D$2:$D$401,MATCH($B34,brand_intake!$A$2:$A$401,0))),""),IFERROR(IF(INDEX(brand_intake_founder!$D$2:$D$81,MATCH($B34,brand_intake_founder!$A$2:$A$81,0))="","",INDEX(brand_intake_founder!$D$2:$D$81,MATCH($B34,brand_intake_founder!$A$2:$A$81,0))),"")))</f>
        <v/>
      </c>
      <c r="M34" s="25">
        <f>IF($B34="","",IF(COUNTIF(brand_intake!$A$2:$A$401,$B34)&gt;0,IFERROR(IF(INDEX(brand_intake!$J$2:$J$401,MATCH($B34,brand_intake!$A$2:$A$401,0))="","",INDEX(brand_intake!$J$2:$J$401,MATCH($B34,brand_intake!$A$2:$A$401,0))),""),IFERROR(IF(INDEX(brand_intake_founder!$J$2:$J$81,MATCH($B34,brand_intake_founder!$A$2:$A$81,0))="","",INDEX(brand_intake_founder!$J$2:$J$81,MATCH($B34,brand_intake_founder!$A$2:$A$81,0))),"")))</f>
        <v/>
      </c>
      <c r="N34" s="25">
        <f>IF($B34="","",IF(COUNTIF(brand_intake!$A$2:$A$401,$B34)&gt;0,IFERROR(IF(INDEX(brand_intake!$I$2:$I$401,MATCH($B34,brand_intake!$A$2:$A$401,0))="","",INDEX(brand_intake!$I$2:$I$401,MATCH($B34,brand_intake!$A$2:$A$401,0))),""),IFERROR(IF(INDEX(brand_intake_founder!$I$2:$I$81,MATCH($B34,brand_intake_founder!$A$2:$A$81,0))="","",INDEX(brand_intake_founder!$I$2:$I$81,MATCH($B34,brand_intake_founder!$A$2:$A$81,0))),"")))</f>
        <v/>
      </c>
      <c r="O34" s="25">
        <f>IF($B34="","",IF(COUNTIF(brand_intake!$A$2:$A$401,$B34)&gt;0,IFERROR(IF(INDEX(brand_intake!$K$2:$K$401,MATCH($B34,brand_intake!$A$2:$A$401,0))="","",INDEX(brand_intake!$K$2:$K$401,MATCH($B34,brand_intake!$A$2:$A$401,0))),""),IFERROR(IF(INDEX(brand_intake_founder!$K$2:$K$81,MATCH($B34,brand_intake_founder!$A$2:$A$81,0))="","",INDEX(brand_intake_founder!$K$2:$K$81,MATCH($B34,brand_intake_founder!$A$2:$A$81,0))),"")))</f>
        <v/>
      </c>
      <c r="P34" s="25">
        <f>IF($B34="","",IF(COUNTIF(brand_intake!$A$2:$A$401,$B34)&gt;0,IFERROR(IF(INDEX(brand_intake!$E$2:$E$401,MATCH($B34,brand_intake!$A$2:$A$401,0))="","",INDEX(brand_intake!$E$2:$E$401,MATCH($B34,brand_intake!$A$2:$A$401,0))),""),IFERROR(IF(INDEX(brand_intake_founder!$E$2:$E$81,MATCH($B34,brand_intake_founder!$A$2:$A$81,0))="","",INDEX(brand_intake_founder!$E$2:$E$81,MATCH($B34,brand_intake_founder!$A$2:$A$81,0))),"")))</f>
        <v/>
      </c>
      <c r="Q34" s="25">
        <f>IF($B34="","",IF(COUNTIF(brand_intake!$A$2:$A$401,$B34)&gt;0,IFERROR(IF(INDEX(brand_intake!$F$2:$F$401,MATCH($B34,brand_intake!$A$2:$A$401,0))="","",INDEX(brand_intake!$F$2:$F$401,MATCH($B34,brand_intake!$A$2:$A$401,0))),""),IFERROR(IF(INDEX(brand_intake_founder!$F$2:$F$81,MATCH($B34,brand_intake_founder!$A$2:$A$81,0))="","",INDEX(brand_intake_founder!$F$2:$F$81,MATCH($B34,brand_intake_founder!$A$2:$A$81,0))),"")))</f>
        <v/>
      </c>
      <c r="R34" s="25">
        <f>IF($B34="","",IF(COUNTIF(brand_intake!$A$2:$A$401,$B34)&gt;0,IFERROR(IF(INDEX(brand_intake!$G$2:$G$401,MATCH($B34,brand_intake!$A$2:$A$401,0))="","",INDEX(brand_intake!$G$2:$G$401,MATCH($B34,brand_intake!$A$2:$A$401,0))),""),IFERROR(IF(INDEX(brand_intake_founder!$G$2:$G$81,MATCH($B34,brand_intake_founder!$A$2:$A$81,0))="","",INDEX(brand_intake_founder!$G$2:$G$81,MATCH($B34,brand_intake_founder!$A$2:$A$81,0))),"")))</f>
        <v/>
      </c>
      <c r="S34" s="25">
        <f>IF($B34="","",IF(COUNTIF(brand_intake!$A$2:$A$401,$B34)&gt;0,IFERROR(IF(INDEX(brand_intake!$H$2:$H$401,MATCH($B34,brand_intake!$A$2:$A$401,0))="","",INDEX(brand_intake!$H$2:$H$401,MATCH($B34,brand_intake!$A$2:$A$401,0))),""),IFERROR(IF(INDEX(brand_intake_founder!$H$2:$H$81,MATCH($B34,brand_intake_founder!$A$2:$A$81,0))="","",INDEX(brand_intake_founder!$H$2:$H$81,MATCH($B34,brand_intake_founder!$A$2:$A$81,0))),"")))</f>
        <v/>
      </c>
      <c r="T34" s="25">
        <f>IF($B34="","",IF(COUNTIF(brand_intake!$A$2:$A$401,$B34)&gt;0,IFERROR(IF(INDEX(brand_intake!$M$2:$M$401,MATCH($B34,brand_intake!$A$2:$A$401,0))="","",INDEX(brand_intake!$M$2:$M$401,MATCH($B34,brand_intake!$A$2:$A$401,0))),""),IFERROR(IF(INDEX(brand_intake_founder!$M$2:$M$81,MATCH($B34,brand_intake_founder!$A$2:$A$81,0))="","",INDEX(brand_intake_founder!$M$2:$M$81,MATCH($B34,brand_intake_founder!$A$2:$A$81,0))),"")))</f>
        <v/>
      </c>
      <c r="U34" s="25">
        <f>IF($B34="","",IF(COUNTIF(brand_intake!$A$2:$A$401,$B34)&gt;0,IFERROR(IF(INDEX(brand_intake!$L$2:$L$401,MATCH($B34,brand_intake!$A$2:$A$401,0))="","",INDEX(brand_intake!$L$2:$L$401,MATCH($B34,brand_intake!$A$2:$A$401,0))),""),IFERROR(IF(INDEX(brand_intake_founder!$L$2:$L$81,MATCH($B34,brand_intake_founder!$A$2:$A$81,0))="","",INDEX(brand_intake_founder!$L$2:$L$81,MATCH($B34,brand_intake_founder!$A$2:$A$81,0))),"")))</f>
        <v/>
      </c>
      <c r="V34" s="25">
        <f>IF($B34="","",IF(COUNTIF(brand_intake!$A$2:$A$401,$B34)&gt;0,IFERROR(IF(INDEX(brand_intake!$N$2:$N$401,MATCH($B34,brand_intake!$A$2:$A$401,0))="","",INDEX(brand_intake!$N$2:$N$401,MATCH($B34,brand_intake!$A$2:$A$401,0))),""),IFERROR(IF(INDEX(brand_intake_founder!$N$2:$N$81,MATCH($B34,brand_intake_founder!$A$2:$A$81,0))="","",INDEX(brand_intake_founder!$N$2:$N$81,MATCH($B34,brand_intake_founder!$A$2:$A$81,0))),"")))</f>
        <v/>
      </c>
      <c r="W34" s="25">
        <f>IF($B34="","",IF(COUNTIF(brand_intake!$A$2:$A$401,$B34)&gt;0,IFERROR(IF(INDEX(brand_intake!$Q$2:$Q$401,MATCH($B34,brand_intake!$A$2:$A$401,0))="","",INDEX(brand_intake!$Q$2:$Q$401,MATCH($B34,brand_intake!$A$2:$A$401,0))),""),IFERROR(IF(INDEX(brand_intake_founder!$Q$2:$Q$81,MATCH($B34,brand_intake_founder!$A$2:$A$81,0))="","",INDEX(brand_intake_founder!$Q$2:$Q$81,MATCH($B34,brand_intake_founder!$A$2:$A$81,0))),"")))</f>
        <v/>
      </c>
      <c r="X34" s="25">
        <f>IF($B34="","",IF(COUNTIF(brand_intake!$A$2:$A$401,$B34)&gt;0,IFERROR(IF(INDEX(brand_intake!$R$2:$R$401,MATCH($B34,brand_intake!$A$2:$A$401,0))="","",INDEX(brand_intake!$R$2:$R$401,MATCH($B34,brand_intake!$A$2:$A$401,0))),""),IFERROR(IF(INDEX(brand_intake_founder!$R$2:$R$81,MATCH($B34,brand_intake_founder!$A$2:$A$81,0))="","",INDEX(brand_intake_founder!$R$2:$R$81,MATCH($B34,brand_intake_founder!$A$2:$A$81,0))),"")))</f>
        <v/>
      </c>
      <c r="Y34" s="25">
        <f>IF($B34="","",IF(COUNTIF(brand_intake!$A$2:$A$401,$B34)&gt;0,IFERROR(IF(INDEX(brand_intake!$S$2:$S$401,MATCH($B34,brand_intake!$A$2:$A$401,0))="","",INDEX(brand_intake!$S$2:$S$401,MATCH($B34,brand_intake!$A$2:$A$401,0))),""),IFERROR(IF(INDEX(brand_intake_founder!$S$2:$S$81,MATCH($B34,brand_intake_founder!$A$2:$A$81,0))="","",INDEX(brand_intake_founder!$S$2:$S$81,MATCH($B34,brand_intake_founder!$A$2:$A$81,0))),"")))</f>
        <v/>
      </c>
      <c r="Z34" s="25">
        <f>IF($B34="","",IF(COUNTIF(brand_intake!$A$2:$A$401,$B34)&gt;0,IFERROR(IF(INDEX(brand_intake!$T$2:$T$401,MATCH($B34,brand_intake!$A$2:$A$401,0))="","",INDEX(brand_intake!$T$2:$T$401,MATCH($B34,brand_intake!$A$2:$A$401,0))),""),IFERROR(IF(INDEX(brand_intake_founder!$T$2:$T$81,MATCH($B34,brand_intake_founder!$A$2:$A$81,0))="","",INDEX(brand_intake_founder!$T$2:$T$81,MATCH($B34,brand_intake_founder!$A$2:$A$81,0))),"")))</f>
        <v/>
      </c>
      <c r="AA34" s="25">
        <f>IF($B34="","",IF(COUNTIF(brand_intake!$A$2:$A$401,$B34)&gt;0,IFERROR(IF(INDEX(brand_intake!$U$2:$U$401,MATCH($B34,brand_intake!$A$2:$A$401,0))="","",INDEX(brand_intake!$U$2:$U$401,MATCH($B34,brand_intake!$A$2:$A$401,0))),""),IFERROR(IF(INDEX(brand_intake_founder!$U$2:$U$81,MATCH($B34,brand_intake_founder!$A$2:$A$81,0))="","",INDEX(brand_intake_founder!$U$2:$U$81,MATCH($B34,brand_intake_founder!$A$2:$A$81,0))),"")))</f>
        <v/>
      </c>
      <c r="AB34" s="25">
        <f>IF($B34="","",IF(COUNTIF(brand_intake!$A$2:$A$401,$B34)&gt;0,IFERROR(IF(INDEX(brand_intake!$V$2:$V$401,MATCH($B34,brand_intake!$A$2:$A$401,0))="","",INDEX(brand_intake!$V$2:$V$401,MATCH($B34,brand_intake!$A$2:$A$401,0))),""),IFERROR(IF(INDEX(brand_intake_founder!$V$2:$V$81,MATCH($B34,brand_intake_founder!$A$2:$A$81,0))="","",INDEX(brand_intake_founder!$V$2:$V$81,MATCH($B34,brand_intake_founder!$A$2:$A$81,0))),"")))</f>
        <v/>
      </c>
      <c r="AC34" s="25">
        <f>IF($B34="","",IF(COUNTIF(brand_intake!$A$2:$A$401,$B34)&gt;0,IFERROR(IF(INDEX(brand_intake!$W$2:$W$401,MATCH($B34,brand_intake!$A$2:$A$401,0))="","",INDEX(brand_intake!$W$2:$W$401,MATCH($B34,brand_intake!$A$2:$A$401,0))),""),IFERROR(IF(INDEX(brand_intake_founder!$W$2:$W$81,MATCH($B34,brand_intake_founder!$A$2:$A$81,0))="","",INDEX(brand_intake_founder!$W$2:$W$81,MATCH($B34,brand_intake_founder!$A$2:$A$81,0))),"")))</f>
        <v/>
      </c>
      <c r="AD34" s="25">
        <f>IF($B34="","",IF(COUNTIF(brand_intake!$A$2:$A$401,$B34)&gt;0,IFERROR(IF(INDEX(brand_intake!$X$2:$X$401,MATCH($B34,brand_intake!$A$2:$A$401,0))="","",INDEX(brand_intake!$X$2:$X$401,MATCH($B34,brand_intake!$A$2:$A$401,0))),""),IFERROR(IF(INDEX(brand_intake_founder!$X$2:$X$81,MATCH($B34,brand_intake_founder!$A$2:$A$81,0))="","",INDEX(brand_intake_founder!$X$2:$X$81,MATCH($B34,brand_intake_founder!$A$2:$A$81,0))),"")))</f>
        <v/>
      </c>
      <c r="AE34" s="25">
        <f>IF($B34="","",IF(COUNTIF(brand_intake!$A$2:$A$401,$B34)&gt;0,IFERROR(IF(INDEX(brand_intake!$Y$2:$Y$401,MATCH($B34,brand_intake!$A$2:$A$401,0))="","",INDEX(brand_intake!$Y$2:$Y$401,MATCH($B34,brand_intake!$A$2:$A$401,0))),""),IFERROR(IF(INDEX(brand_intake_founder!$Y$2:$Y$81,MATCH($B34,brand_intake_founder!$A$2:$A$81,0))="","",INDEX(brand_intake_founder!$Y$2:$Y$81,MATCH($B34,brand_intake_founder!$A$2:$A$81,0))),"")))</f>
        <v/>
      </c>
      <c r="AF34" s="25">
        <f>IF($B34="","",($X34="Y")+($Y34="Y")+($Z34="Y")+($AA34="Y")+($AB34="Y")+($AC34="Y")+(LEN($AD34)&gt;0))</f>
        <v/>
      </c>
      <c r="AG34" s="25">
        <f>IF($B34="","",IF(AND($AF34=7,$AE34="Y"),"Y (as answered)","N: check "&amp;IF($X34&lt;&gt;"Y","1 ","")&amp;IF($Y34&lt;&gt;"Y","2 ","")&amp;IF($Z34&lt;&gt;"Y","3 ","")&amp;IF($AA34&lt;&gt;"Y","4 ","")&amp;IF($AB34&lt;&gt;"Y","5 ","")&amp;IF($AC34&lt;&gt;"Y","6 ","")&amp;IF(LEN($AD34)=0,"7 ","")&amp;IF($AE34&lt;&gt;"Y","excluded? ","")))</f>
        <v/>
      </c>
      <c r="AH34" s="25">
        <f>IF($A34="","",COUNTIF(campaigns!$C$2:$C$51,$A34))</f>
        <v/>
      </c>
      <c r="AI34" s="25">
        <f>IF(OR($A34="",SUMIFS(campaigns!$H$2:$H$51,campaigns!$C$2:$C$51,$A34,campaigns!$D$2:$D$51,"founding",campaigns!$E$2:$E$51,"&lt;&gt;Y")=0),"",COUNTIFS(campaigns!$D$2:$D$51,"founding",campaigns!$E$2:$E$51,"&lt;&gt;Y",campaigns!$H$2:$H$51,"&lt;="&amp;SUMIFS(campaigns!$H$2:$H$51,campaigns!$C$2:$C$51,$A34,campaigns!$D$2:$D$51,"founding",campaigns!$E$2:$E$51,"&lt;&gt;Y"),campaigns!$H$2:$H$51,"&gt;0"))</f>
        <v/>
      </c>
      <c r="AJ34" s="25">
        <f>IF(OR($A34="",NOT(IFERROR(COUNTIF(INDEX(in_paid_brands!$A$2:$BZ$81,0,MATCH("brand_id",in_paid_brands!$A$1:$BZ$1,0)),$A34),0)&gt;0)),"",IF(IFERROR(IF(INDEX(in_paid_brands!$A$2:$BZ$81,MATCH($A34,INDEX(in_paid_brands!$A$2:$BZ$81,0,MATCH("brand_id",in_paid_brands!$A$1:$BZ$1,0)),0),MATCH("campaign_id",in_paid_brands!$A$1:$BZ$1,0))="","",INDEX(in_paid_brands!$A$2:$BZ$81,MATCH($A34,INDEX(in_paid_brands!$A$2:$BZ$81,0,MATCH("brand_id",in_paid_brands!$A$1:$BZ$1,0)),0),MATCH("campaign_id",in_paid_brands!$A$1:$BZ$1,0))),"")="","E's paid_brands row has no campaign_id: type the CMP-### there; ",IF(OR(ABS(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gt;0.005,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payment 1 differs: E "&amp;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amp;" on "&amp;IF(N(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0,"none",TEXT(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yyyy-mm-dd"))&amp;"; ","")&amp;IF(OR(ABS(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gt;0.005,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payment 2 differs: E "&amp;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amp;" on "&amp;IF(N(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0,"none",TEXT(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yyyy-mm-dd"))&amp;"; ","")))</f>
        <v/>
      </c>
    </row>
    <row r="35">
      <c r="B35" s="30" t="n"/>
      <c r="H35" s="9" t="n"/>
      <c r="K35" s="25">
        <f>IF($B35="","",IF(COUNTIF(brand_intake!$A$2:$A$401,$B35)&gt;0,IFERROR(IF(INDEX(brand_intake!$C$2:$C$401,MATCH($B35,brand_intake!$A$2:$A$401,0))="","",INDEX(brand_intake!$C$2:$C$401,MATCH($B35,brand_intake!$A$2:$A$401,0))),""),IFERROR(IF(INDEX(brand_intake_founder!$C$2:$C$81,MATCH($B35,brand_intake_founder!$A$2:$A$81,0))="","",INDEX(brand_intake_founder!$C$2:$C$81,MATCH($B35,brand_intake_founder!$A$2:$A$81,0))),"")))</f>
        <v/>
      </c>
      <c r="L35" s="25">
        <f>IF($B35="","",IF(COUNTIF(brand_intake!$A$2:$A$401,$B35)&gt;0,IFERROR(IF(INDEX(brand_intake!$D$2:$D$401,MATCH($B35,brand_intake!$A$2:$A$401,0))="","",INDEX(brand_intake!$D$2:$D$401,MATCH($B35,brand_intake!$A$2:$A$401,0))),""),IFERROR(IF(INDEX(brand_intake_founder!$D$2:$D$81,MATCH($B35,brand_intake_founder!$A$2:$A$81,0))="","",INDEX(brand_intake_founder!$D$2:$D$81,MATCH($B35,brand_intake_founder!$A$2:$A$81,0))),"")))</f>
        <v/>
      </c>
      <c r="M35" s="25">
        <f>IF($B35="","",IF(COUNTIF(brand_intake!$A$2:$A$401,$B35)&gt;0,IFERROR(IF(INDEX(brand_intake!$J$2:$J$401,MATCH($B35,brand_intake!$A$2:$A$401,0))="","",INDEX(brand_intake!$J$2:$J$401,MATCH($B35,brand_intake!$A$2:$A$401,0))),""),IFERROR(IF(INDEX(brand_intake_founder!$J$2:$J$81,MATCH($B35,brand_intake_founder!$A$2:$A$81,0))="","",INDEX(brand_intake_founder!$J$2:$J$81,MATCH($B35,brand_intake_founder!$A$2:$A$81,0))),"")))</f>
        <v/>
      </c>
      <c r="N35" s="25">
        <f>IF($B35="","",IF(COUNTIF(brand_intake!$A$2:$A$401,$B35)&gt;0,IFERROR(IF(INDEX(brand_intake!$I$2:$I$401,MATCH($B35,brand_intake!$A$2:$A$401,0))="","",INDEX(brand_intake!$I$2:$I$401,MATCH($B35,brand_intake!$A$2:$A$401,0))),""),IFERROR(IF(INDEX(brand_intake_founder!$I$2:$I$81,MATCH($B35,brand_intake_founder!$A$2:$A$81,0))="","",INDEX(brand_intake_founder!$I$2:$I$81,MATCH($B35,brand_intake_founder!$A$2:$A$81,0))),"")))</f>
        <v/>
      </c>
      <c r="O35" s="25">
        <f>IF($B35="","",IF(COUNTIF(brand_intake!$A$2:$A$401,$B35)&gt;0,IFERROR(IF(INDEX(brand_intake!$K$2:$K$401,MATCH($B35,brand_intake!$A$2:$A$401,0))="","",INDEX(brand_intake!$K$2:$K$401,MATCH($B35,brand_intake!$A$2:$A$401,0))),""),IFERROR(IF(INDEX(brand_intake_founder!$K$2:$K$81,MATCH($B35,brand_intake_founder!$A$2:$A$81,0))="","",INDEX(brand_intake_founder!$K$2:$K$81,MATCH($B35,brand_intake_founder!$A$2:$A$81,0))),"")))</f>
        <v/>
      </c>
      <c r="P35" s="25">
        <f>IF($B35="","",IF(COUNTIF(brand_intake!$A$2:$A$401,$B35)&gt;0,IFERROR(IF(INDEX(brand_intake!$E$2:$E$401,MATCH($B35,brand_intake!$A$2:$A$401,0))="","",INDEX(brand_intake!$E$2:$E$401,MATCH($B35,brand_intake!$A$2:$A$401,0))),""),IFERROR(IF(INDEX(brand_intake_founder!$E$2:$E$81,MATCH($B35,brand_intake_founder!$A$2:$A$81,0))="","",INDEX(brand_intake_founder!$E$2:$E$81,MATCH($B35,brand_intake_founder!$A$2:$A$81,0))),"")))</f>
        <v/>
      </c>
      <c r="Q35" s="25">
        <f>IF($B35="","",IF(COUNTIF(brand_intake!$A$2:$A$401,$B35)&gt;0,IFERROR(IF(INDEX(brand_intake!$F$2:$F$401,MATCH($B35,brand_intake!$A$2:$A$401,0))="","",INDEX(brand_intake!$F$2:$F$401,MATCH($B35,brand_intake!$A$2:$A$401,0))),""),IFERROR(IF(INDEX(brand_intake_founder!$F$2:$F$81,MATCH($B35,brand_intake_founder!$A$2:$A$81,0))="","",INDEX(brand_intake_founder!$F$2:$F$81,MATCH($B35,brand_intake_founder!$A$2:$A$81,0))),"")))</f>
        <v/>
      </c>
      <c r="R35" s="25">
        <f>IF($B35="","",IF(COUNTIF(brand_intake!$A$2:$A$401,$B35)&gt;0,IFERROR(IF(INDEX(brand_intake!$G$2:$G$401,MATCH($B35,brand_intake!$A$2:$A$401,0))="","",INDEX(brand_intake!$G$2:$G$401,MATCH($B35,brand_intake!$A$2:$A$401,0))),""),IFERROR(IF(INDEX(brand_intake_founder!$G$2:$G$81,MATCH($B35,brand_intake_founder!$A$2:$A$81,0))="","",INDEX(brand_intake_founder!$G$2:$G$81,MATCH($B35,brand_intake_founder!$A$2:$A$81,0))),"")))</f>
        <v/>
      </c>
      <c r="S35" s="25">
        <f>IF($B35="","",IF(COUNTIF(brand_intake!$A$2:$A$401,$B35)&gt;0,IFERROR(IF(INDEX(brand_intake!$H$2:$H$401,MATCH($B35,brand_intake!$A$2:$A$401,0))="","",INDEX(brand_intake!$H$2:$H$401,MATCH($B35,brand_intake!$A$2:$A$401,0))),""),IFERROR(IF(INDEX(brand_intake_founder!$H$2:$H$81,MATCH($B35,brand_intake_founder!$A$2:$A$81,0))="","",INDEX(brand_intake_founder!$H$2:$H$81,MATCH($B35,brand_intake_founder!$A$2:$A$81,0))),"")))</f>
        <v/>
      </c>
      <c r="T35" s="25">
        <f>IF($B35="","",IF(COUNTIF(brand_intake!$A$2:$A$401,$B35)&gt;0,IFERROR(IF(INDEX(brand_intake!$M$2:$M$401,MATCH($B35,brand_intake!$A$2:$A$401,0))="","",INDEX(brand_intake!$M$2:$M$401,MATCH($B35,brand_intake!$A$2:$A$401,0))),""),IFERROR(IF(INDEX(brand_intake_founder!$M$2:$M$81,MATCH($B35,brand_intake_founder!$A$2:$A$81,0))="","",INDEX(brand_intake_founder!$M$2:$M$81,MATCH($B35,brand_intake_founder!$A$2:$A$81,0))),"")))</f>
        <v/>
      </c>
      <c r="U35" s="25">
        <f>IF($B35="","",IF(COUNTIF(brand_intake!$A$2:$A$401,$B35)&gt;0,IFERROR(IF(INDEX(brand_intake!$L$2:$L$401,MATCH($B35,brand_intake!$A$2:$A$401,0))="","",INDEX(brand_intake!$L$2:$L$401,MATCH($B35,brand_intake!$A$2:$A$401,0))),""),IFERROR(IF(INDEX(brand_intake_founder!$L$2:$L$81,MATCH($B35,brand_intake_founder!$A$2:$A$81,0))="","",INDEX(brand_intake_founder!$L$2:$L$81,MATCH($B35,brand_intake_founder!$A$2:$A$81,0))),"")))</f>
        <v/>
      </c>
      <c r="V35" s="25">
        <f>IF($B35="","",IF(COUNTIF(brand_intake!$A$2:$A$401,$B35)&gt;0,IFERROR(IF(INDEX(brand_intake!$N$2:$N$401,MATCH($B35,brand_intake!$A$2:$A$401,0))="","",INDEX(brand_intake!$N$2:$N$401,MATCH($B35,brand_intake!$A$2:$A$401,0))),""),IFERROR(IF(INDEX(brand_intake_founder!$N$2:$N$81,MATCH($B35,brand_intake_founder!$A$2:$A$81,0))="","",INDEX(brand_intake_founder!$N$2:$N$81,MATCH($B35,brand_intake_founder!$A$2:$A$81,0))),"")))</f>
        <v/>
      </c>
      <c r="W35" s="25">
        <f>IF($B35="","",IF(COUNTIF(brand_intake!$A$2:$A$401,$B35)&gt;0,IFERROR(IF(INDEX(brand_intake!$Q$2:$Q$401,MATCH($B35,brand_intake!$A$2:$A$401,0))="","",INDEX(brand_intake!$Q$2:$Q$401,MATCH($B35,brand_intake!$A$2:$A$401,0))),""),IFERROR(IF(INDEX(brand_intake_founder!$Q$2:$Q$81,MATCH($B35,brand_intake_founder!$A$2:$A$81,0))="","",INDEX(brand_intake_founder!$Q$2:$Q$81,MATCH($B35,brand_intake_founder!$A$2:$A$81,0))),"")))</f>
        <v/>
      </c>
      <c r="X35" s="25">
        <f>IF($B35="","",IF(COUNTIF(brand_intake!$A$2:$A$401,$B35)&gt;0,IFERROR(IF(INDEX(brand_intake!$R$2:$R$401,MATCH($B35,brand_intake!$A$2:$A$401,0))="","",INDEX(brand_intake!$R$2:$R$401,MATCH($B35,brand_intake!$A$2:$A$401,0))),""),IFERROR(IF(INDEX(brand_intake_founder!$R$2:$R$81,MATCH($B35,brand_intake_founder!$A$2:$A$81,0))="","",INDEX(brand_intake_founder!$R$2:$R$81,MATCH($B35,brand_intake_founder!$A$2:$A$81,0))),"")))</f>
        <v/>
      </c>
      <c r="Y35" s="25">
        <f>IF($B35="","",IF(COUNTIF(brand_intake!$A$2:$A$401,$B35)&gt;0,IFERROR(IF(INDEX(brand_intake!$S$2:$S$401,MATCH($B35,brand_intake!$A$2:$A$401,0))="","",INDEX(brand_intake!$S$2:$S$401,MATCH($B35,brand_intake!$A$2:$A$401,0))),""),IFERROR(IF(INDEX(brand_intake_founder!$S$2:$S$81,MATCH($B35,brand_intake_founder!$A$2:$A$81,0))="","",INDEX(brand_intake_founder!$S$2:$S$81,MATCH($B35,brand_intake_founder!$A$2:$A$81,0))),"")))</f>
        <v/>
      </c>
      <c r="Z35" s="25">
        <f>IF($B35="","",IF(COUNTIF(brand_intake!$A$2:$A$401,$B35)&gt;0,IFERROR(IF(INDEX(brand_intake!$T$2:$T$401,MATCH($B35,brand_intake!$A$2:$A$401,0))="","",INDEX(brand_intake!$T$2:$T$401,MATCH($B35,brand_intake!$A$2:$A$401,0))),""),IFERROR(IF(INDEX(brand_intake_founder!$T$2:$T$81,MATCH($B35,brand_intake_founder!$A$2:$A$81,0))="","",INDEX(brand_intake_founder!$T$2:$T$81,MATCH($B35,brand_intake_founder!$A$2:$A$81,0))),"")))</f>
        <v/>
      </c>
      <c r="AA35" s="25">
        <f>IF($B35="","",IF(COUNTIF(brand_intake!$A$2:$A$401,$B35)&gt;0,IFERROR(IF(INDEX(brand_intake!$U$2:$U$401,MATCH($B35,brand_intake!$A$2:$A$401,0))="","",INDEX(brand_intake!$U$2:$U$401,MATCH($B35,brand_intake!$A$2:$A$401,0))),""),IFERROR(IF(INDEX(brand_intake_founder!$U$2:$U$81,MATCH($B35,brand_intake_founder!$A$2:$A$81,0))="","",INDEX(brand_intake_founder!$U$2:$U$81,MATCH($B35,brand_intake_founder!$A$2:$A$81,0))),"")))</f>
        <v/>
      </c>
      <c r="AB35" s="25">
        <f>IF($B35="","",IF(COUNTIF(brand_intake!$A$2:$A$401,$B35)&gt;0,IFERROR(IF(INDEX(brand_intake!$V$2:$V$401,MATCH($B35,brand_intake!$A$2:$A$401,0))="","",INDEX(brand_intake!$V$2:$V$401,MATCH($B35,brand_intake!$A$2:$A$401,0))),""),IFERROR(IF(INDEX(brand_intake_founder!$V$2:$V$81,MATCH($B35,brand_intake_founder!$A$2:$A$81,0))="","",INDEX(brand_intake_founder!$V$2:$V$81,MATCH($B35,brand_intake_founder!$A$2:$A$81,0))),"")))</f>
        <v/>
      </c>
      <c r="AC35" s="25">
        <f>IF($B35="","",IF(COUNTIF(brand_intake!$A$2:$A$401,$B35)&gt;0,IFERROR(IF(INDEX(brand_intake!$W$2:$W$401,MATCH($B35,brand_intake!$A$2:$A$401,0))="","",INDEX(brand_intake!$W$2:$W$401,MATCH($B35,brand_intake!$A$2:$A$401,0))),""),IFERROR(IF(INDEX(brand_intake_founder!$W$2:$W$81,MATCH($B35,brand_intake_founder!$A$2:$A$81,0))="","",INDEX(brand_intake_founder!$W$2:$W$81,MATCH($B35,brand_intake_founder!$A$2:$A$81,0))),"")))</f>
        <v/>
      </c>
      <c r="AD35" s="25">
        <f>IF($B35="","",IF(COUNTIF(brand_intake!$A$2:$A$401,$B35)&gt;0,IFERROR(IF(INDEX(brand_intake!$X$2:$X$401,MATCH($B35,brand_intake!$A$2:$A$401,0))="","",INDEX(brand_intake!$X$2:$X$401,MATCH($B35,brand_intake!$A$2:$A$401,0))),""),IFERROR(IF(INDEX(brand_intake_founder!$X$2:$X$81,MATCH($B35,brand_intake_founder!$A$2:$A$81,0))="","",INDEX(brand_intake_founder!$X$2:$X$81,MATCH($B35,brand_intake_founder!$A$2:$A$81,0))),"")))</f>
        <v/>
      </c>
      <c r="AE35" s="25">
        <f>IF($B35="","",IF(COUNTIF(brand_intake!$A$2:$A$401,$B35)&gt;0,IFERROR(IF(INDEX(brand_intake!$Y$2:$Y$401,MATCH($B35,brand_intake!$A$2:$A$401,0))="","",INDEX(brand_intake!$Y$2:$Y$401,MATCH($B35,brand_intake!$A$2:$A$401,0))),""),IFERROR(IF(INDEX(brand_intake_founder!$Y$2:$Y$81,MATCH($B35,brand_intake_founder!$A$2:$A$81,0))="","",INDEX(brand_intake_founder!$Y$2:$Y$81,MATCH($B35,brand_intake_founder!$A$2:$A$81,0))),"")))</f>
        <v/>
      </c>
      <c r="AF35" s="25">
        <f>IF($B35="","",($X35="Y")+($Y35="Y")+($Z35="Y")+($AA35="Y")+($AB35="Y")+($AC35="Y")+(LEN($AD35)&gt;0))</f>
        <v/>
      </c>
      <c r="AG35" s="25">
        <f>IF($B35="","",IF(AND($AF35=7,$AE35="Y"),"Y (as answered)","N: check "&amp;IF($X35&lt;&gt;"Y","1 ","")&amp;IF($Y35&lt;&gt;"Y","2 ","")&amp;IF($Z35&lt;&gt;"Y","3 ","")&amp;IF($AA35&lt;&gt;"Y","4 ","")&amp;IF($AB35&lt;&gt;"Y","5 ","")&amp;IF($AC35&lt;&gt;"Y","6 ","")&amp;IF(LEN($AD35)=0,"7 ","")&amp;IF($AE35&lt;&gt;"Y","excluded? ","")))</f>
        <v/>
      </c>
      <c r="AH35" s="25">
        <f>IF($A35="","",COUNTIF(campaigns!$C$2:$C$51,$A35))</f>
        <v/>
      </c>
      <c r="AI35" s="25">
        <f>IF(OR($A35="",SUMIFS(campaigns!$H$2:$H$51,campaigns!$C$2:$C$51,$A35,campaigns!$D$2:$D$51,"founding",campaigns!$E$2:$E$51,"&lt;&gt;Y")=0),"",COUNTIFS(campaigns!$D$2:$D$51,"founding",campaigns!$E$2:$E$51,"&lt;&gt;Y",campaigns!$H$2:$H$51,"&lt;="&amp;SUMIFS(campaigns!$H$2:$H$51,campaigns!$C$2:$C$51,$A35,campaigns!$D$2:$D$51,"founding",campaigns!$E$2:$E$51,"&lt;&gt;Y"),campaigns!$H$2:$H$51,"&gt;0"))</f>
        <v/>
      </c>
      <c r="AJ35" s="25">
        <f>IF(OR($A35="",NOT(IFERROR(COUNTIF(INDEX(in_paid_brands!$A$2:$BZ$81,0,MATCH("brand_id",in_paid_brands!$A$1:$BZ$1,0)),$A35),0)&gt;0)),"",IF(IFERROR(IF(INDEX(in_paid_brands!$A$2:$BZ$81,MATCH($A35,INDEX(in_paid_brands!$A$2:$BZ$81,0,MATCH("brand_id",in_paid_brands!$A$1:$BZ$1,0)),0),MATCH("campaign_id",in_paid_brands!$A$1:$BZ$1,0))="","",INDEX(in_paid_brands!$A$2:$BZ$81,MATCH($A35,INDEX(in_paid_brands!$A$2:$BZ$81,0,MATCH("brand_id",in_paid_brands!$A$1:$BZ$1,0)),0),MATCH("campaign_id",in_paid_brands!$A$1:$BZ$1,0))),"")="","E's paid_brands row has no campaign_id: type the CMP-### there; ",IF(OR(ABS(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gt;0.005,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payment 1 differs: E "&amp;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amp;" on "&amp;IF(N(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0,"none",TEXT(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yyyy-mm-dd"))&amp;"; ","")&amp;IF(OR(ABS(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gt;0.005,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payment 2 differs: E "&amp;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amp;" on "&amp;IF(N(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0,"none",TEXT(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yyyy-mm-dd"))&amp;"; ","")))</f>
        <v/>
      </c>
    </row>
    <row r="36">
      <c r="B36" s="30" t="n"/>
      <c r="H36" s="9" t="n"/>
      <c r="K36" s="25">
        <f>IF($B36="","",IF(COUNTIF(brand_intake!$A$2:$A$401,$B36)&gt;0,IFERROR(IF(INDEX(brand_intake!$C$2:$C$401,MATCH($B36,brand_intake!$A$2:$A$401,0))="","",INDEX(brand_intake!$C$2:$C$401,MATCH($B36,brand_intake!$A$2:$A$401,0))),""),IFERROR(IF(INDEX(brand_intake_founder!$C$2:$C$81,MATCH($B36,brand_intake_founder!$A$2:$A$81,0))="","",INDEX(brand_intake_founder!$C$2:$C$81,MATCH($B36,brand_intake_founder!$A$2:$A$81,0))),"")))</f>
        <v/>
      </c>
      <c r="L36" s="25">
        <f>IF($B36="","",IF(COUNTIF(brand_intake!$A$2:$A$401,$B36)&gt;0,IFERROR(IF(INDEX(brand_intake!$D$2:$D$401,MATCH($B36,brand_intake!$A$2:$A$401,0))="","",INDEX(brand_intake!$D$2:$D$401,MATCH($B36,brand_intake!$A$2:$A$401,0))),""),IFERROR(IF(INDEX(brand_intake_founder!$D$2:$D$81,MATCH($B36,brand_intake_founder!$A$2:$A$81,0))="","",INDEX(brand_intake_founder!$D$2:$D$81,MATCH($B36,brand_intake_founder!$A$2:$A$81,0))),"")))</f>
        <v/>
      </c>
      <c r="M36" s="25">
        <f>IF($B36="","",IF(COUNTIF(brand_intake!$A$2:$A$401,$B36)&gt;0,IFERROR(IF(INDEX(brand_intake!$J$2:$J$401,MATCH($B36,brand_intake!$A$2:$A$401,0))="","",INDEX(brand_intake!$J$2:$J$401,MATCH($B36,brand_intake!$A$2:$A$401,0))),""),IFERROR(IF(INDEX(brand_intake_founder!$J$2:$J$81,MATCH($B36,brand_intake_founder!$A$2:$A$81,0))="","",INDEX(brand_intake_founder!$J$2:$J$81,MATCH($B36,brand_intake_founder!$A$2:$A$81,0))),"")))</f>
        <v/>
      </c>
      <c r="N36" s="25">
        <f>IF($B36="","",IF(COUNTIF(brand_intake!$A$2:$A$401,$B36)&gt;0,IFERROR(IF(INDEX(brand_intake!$I$2:$I$401,MATCH($B36,brand_intake!$A$2:$A$401,0))="","",INDEX(brand_intake!$I$2:$I$401,MATCH($B36,brand_intake!$A$2:$A$401,0))),""),IFERROR(IF(INDEX(brand_intake_founder!$I$2:$I$81,MATCH($B36,brand_intake_founder!$A$2:$A$81,0))="","",INDEX(brand_intake_founder!$I$2:$I$81,MATCH($B36,brand_intake_founder!$A$2:$A$81,0))),"")))</f>
        <v/>
      </c>
      <c r="O36" s="25">
        <f>IF($B36="","",IF(COUNTIF(brand_intake!$A$2:$A$401,$B36)&gt;0,IFERROR(IF(INDEX(brand_intake!$K$2:$K$401,MATCH($B36,brand_intake!$A$2:$A$401,0))="","",INDEX(brand_intake!$K$2:$K$401,MATCH($B36,brand_intake!$A$2:$A$401,0))),""),IFERROR(IF(INDEX(brand_intake_founder!$K$2:$K$81,MATCH($B36,brand_intake_founder!$A$2:$A$81,0))="","",INDEX(brand_intake_founder!$K$2:$K$81,MATCH($B36,brand_intake_founder!$A$2:$A$81,0))),"")))</f>
        <v/>
      </c>
      <c r="P36" s="25">
        <f>IF($B36="","",IF(COUNTIF(brand_intake!$A$2:$A$401,$B36)&gt;0,IFERROR(IF(INDEX(brand_intake!$E$2:$E$401,MATCH($B36,brand_intake!$A$2:$A$401,0))="","",INDEX(brand_intake!$E$2:$E$401,MATCH($B36,brand_intake!$A$2:$A$401,0))),""),IFERROR(IF(INDEX(brand_intake_founder!$E$2:$E$81,MATCH($B36,brand_intake_founder!$A$2:$A$81,0))="","",INDEX(brand_intake_founder!$E$2:$E$81,MATCH($B36,brand_intake_founder!$A$2:$A$81,0))),"")))</f>
        <v/>
      </c>
      <c r="Q36" s="25">
        <f>IF($B36="","",IF(COUNTIF(brand_intake!$A$2:$A$401,$B36)&gt;0,IFERROR(IF(INDEX(brand_intake!$F$2:$F$401,MATCH($B36,brand_intake!$A$2:$A$401,0))="","",INDEX(brand_intake!$F$2:$F$401,MATCH($B36,brand_intake!$A$2:$A$401,0))),""),IFERROR(IF(INDEX(brand_intake_founder!$F$2:$F$81,MATCH($B36,brand_intake_founder!$A$2:$A$81,0))="","",INDEX(brand_intake_founder!$F$2:$F$81,MATCH($B36,brand_intake_founder!$A$2:$A$81,0))),"")))</f>
        <v/>
      </c>
      <c r="R36" s="25">
        <f>IF($B36="","",IF(COUNTIF(brand_intake!$A$2:$A$401,$B36)&gt;0,IFERROR(IF(INDEX(brand_intake!$G$2:$G$401,MATCH($B36,brand_intake!$A$2:$A$401,0))="","",INDEX(brand_intake!$G$2:$G$401,MATCH($B36,brand_intake!$A$2:$A$401,0))),""),IFERROR(IF(INDEX(brand_intake_founder!$G$2:$G$81,MATCH($B36,brand_intake_founder!$A$2:$A$81,0))="","",INDEX(brand_intake_founder!$G$2:$G$81,MATCH($B36,brand_intake_founder!$A$2:$A$81,0))),"")))</f>
        <v/>
      </c>
      <c r="S36" s="25">
        <f>IF($B36="","",IF(COUNTIF(brand_intake!$A$2:$A$401,$B36)&gt;0,IFERROR(IF(INDEX(brand_intake!$H$2:$H$401,MATCH($B36,brand_intake!$A$2:$A$401,0))="","",INDEX(brand_intake!$H$2:$H$401,MATCH($B36,brand_intake!$A$2:$A$401,0))),""),IFERROR(IF(INDEX(brand_intake_founder!$H$2:$H$81,MATCH($B36,brand_intake_founder!$A$2:$A$81,0))="","",INDEX(brand_intake_founder!$H$2:$H$81,MATCH($B36,brand_intake_founder!$A$2:$A$81,0))),"")))</f>
        <v/>
      </c>
      <c r="T36" s="25">
        <f>IF($B36="","",IF(COUNTIF(brand_intake!$A$2:$A$401,$B36)&gt;0,IFERROR(IF(INDEX(brand_intake!$M$2:$M$401,MATCH($B36,brand_intake!$A$2:$A$401,0))="","",INDEX(brand_intake!$M$2:$M$401,MATCH($B36,brand_intake!$A$2:$A$401,0))),""),IFERROR(IF(INDEX(brand_intake_founder!$M$2:$M$81,MATCH($B36,brand_intake_founder!$A$2:$A$81,0))="","",INDEX(brand_intake_founder!$M$2:$M$81,MATCH($B36,brand_intake_founder!$A$2:$A$81,0))),"")))</f>
        <v/>
      </c>
      <c r="U36" s="25">
        <f>IF($B36="","",IF(COUNTIF(brand_intake!$A$2:$A$401,$B36)&gt;0,IFERROR(IF(INDEX(brand_intake!$L$2:$L$401,MATCH($B36,brand_intake!$A$2:$A$401,0))="","",INDEX(brand_intake!$L$2:$L$401,MATCH($B36,brand_intake!$A$2:$A$401,0))),""),IFERROR(IF(INDEX(brand_intake_founder!$L$2:$L$81,MATCH($B36,brand_intake_founder!$A$2:$A$81,0))="","",INDEX(brand_intake_founder!$L$2:$L$81,MATCH($B36,brand_intake_founder!$A$2:$A$81,0))),"")))</f>
        <v/>
      </c>
      <c r="V36" s="25">
        <f>IF($B36="","",IF(COUNTIF(brand_intake!$A$2:$A$401,$B36)&gt;0,IFERROR(IF(INDEX(brand_intake!$N$2:$N$401,MATCH($B36,brand_intake!$A$2:$A$401,0))="","",INDEX(brand_intake!$N$2:$N$401,MATCH($B36,brand_intake!$A$2:$A$401,0))),""),IFERROR(IF(INDEX(brand_intake_founder!$N$2:$N$81,MATCH($B36,brand_intake_founder!$A$2:$A$81,0))="","",INDEX(brand_intake_founder!$N$2:$N$81,MATCH($B36,brand_intake_founder!$A$2:$A$81,0))),"")))</f>
        <v/>
      </c>
      <c r="W36" s="25">
        <f>IF($B36="","",IF(COUNTIF(brand_intake!$A$2:$A$401,$B36)&gt;0,IFERROR(IF(INDEX(brand_intake!$Q$2:$Q$401,MATCH($B36,brand_intake!$A$2:$A$401,0))="","",INDEX(brand_intake!$Q$2:$Q$401,MATCH($B36,brand_intake!$A$2:$A$401,0))),""),IFERROR(IF(INDEX(brand_intake_founder!$Q$2:$Q$81,MATCH($B36,brand_intake_founder!$A$2:$A$81,0))="","",INDEX(brand_intake_founder!$Q$2:$Q$81,MATCH($B36,brand_intake_founder!$A$2:$A$81,0))),"")))</f>
        <v/>
      </c>
      <c r="X36" s="25">
        <f>IF($B36="","",IF(COUNTIF(brand_intake!$A$2:$A$401,$B36)&gt;0,IFERROR(IF(INDEX(brand_intake!$R$2:$R$401,MATCH($B36,brand_intake!$A$2:$A$401,0))="","",INDEX(brand_intake!$R$2:$R$401,MATCH($B36,brand_intake!$A$2:$A$401,0))),""),IFERROR(IF(INDEX(brand_intake_founder!$R$2:$R$81,MATCH($B36,brand_intake_founder!$A$2:$A$81,0))="","",INDEX(brand_intake_founder!$R$2:$R$81,MATCH($B36,brand_intake_founder!$A$2:$A$81,0))),"")))</f>
        <v/>
      </c>
      <c r="Y36" s="25">
        <f>IF($B36="","",IF(COUNTIF(brand_intake!$A$2:$A$401,$B36)&gt;0,IFERROR(IF(INDEX(brand_intake!$S$2:$S$401,MATCH($B36,brand_intake!$A$2:$A$401,0))="","",INDEX(brand_intake!$S$2:$S$401,MATCH($B36,brand_intake!$A$2:$A$401,0))),""),IFERROR(IF(INDEX(brand_intake_founder!$S$2:$S$81,MATCH($B36,brand_intake_founder!$A$2:$A$81,0))="","",INDEX(brand_intake_founder!$S$2:$S$81,MATCH($B36,brand_intake_founder!$A$2:$A$81,0))),"")))</f>
        <v/>
      </c>
      <c r="Z36" s="25">
        <f>IF($B36="","",IF(COUNTIF(brand_intake!$A$2:$A$401,$B36)&gt;0,IFERROR(IF(INDEX(brand_intake!$T$2:$T$401,MATCH($B36,brand_intake!$A$2:$A$401,0))="","",INDEX(brand_intake!$T$2:$T$401,MATCH($B36,brand_intake!$A$2:$A$401,0))),""),IFERROR(IF(INDEX(brand_intake_founder!$T$2:$T$81,MATCH($B36,brand_intake_founder!$A$2:$A$81,0))="","",INDEX(brand_intake_founder!$T$2:$T$81,MATCH($B36,brand_intake_founder!$A$2:$A$81,0))),"")))</f>
        <v/>
      </c>
      <c r="AA36" s="25">
        <f>IF($B36="","",IF(COUNTIF(brand_intake!$A$2:$A$401,$B36)&gt;0,IFERROR(IF(INDEX(brand_intake!$U$2:$U$401,MATCH($B36,brand_intake!$A$2:$A$401,0))="","",INDEX(brand_intake!$U$2:$U$401,MATCH($B36,brand_intake!$A$2:$A$401,0))),""),IFERROR(IF(INDEX(brand_intake_founder!$U$2:$U$81,MATCH($B36,brand_intake_founder!$A$2:$A$81,0))="","",INDEX(brand_intake_founder!$U$2:$U$81,MATCH($B36,brand_intake_founder!$A$2:$A$81,0))),"")))</f>
        <v/>
      </c>
      <c r="AB36" s="25">
        <f>IF($B36="","",IF(COUNTIF(brand_intake!$A$2:$A$401,$B36)&gt;0,IFERROR(IF(INDEX(brand_intake!$V$2:$V$401,MATCH($B36,brand_intake!$A$2:$A$401,0))="","",INDEX(brand_intake!$V$2:$V$401,MATCH($B36,brand_intake!$A$2:$A$401,0))),""),IFERROR(IF(INDEX(brand_intake_founder!$V$2:$V$81,MATCH($B36,brand_intake_founder!$A$2:$A$81,0))="","",INDEX(brand_intake_founder!$V$2:$V$81,MATCH($B36,brand_intake_founder!$A$2:$A$81,0))),"")))</f>
        <v/>
      </c>
      <c r="AC36" s="25">
        <f>IF($B36="","",IF(COUNTIF(brand_intake!$A$2:$A$401,$B36)&gt;0,IFERROR(IF(INDEX(brand_intake!$W$2:$W$401,MATCH($B36,brand_intake!$A$2:$A$401,0))="","",INDEX(brand_intake!$W$2:$W$401,MATCH($B36,brand_intake!$A$2:$A$401,0))),""),IFERROR(IF(INDEX(brand_intake_founder!$W$2:$W$81,MATCH($B36,brand_intake_founder!$A$2:$A$81,0))="","",INDEX(brand_intake_founder!$W$2:$W$81,MATCH($B36,brand_intake_founder!$A$2:$A$81,0))),"")))</f>
        <v/>
      </c>
      <c r="AD36" s="25">
        <f>IF($B36="","",IF(COUNTIF(brand_intake!$A$2:$A$401,$B36)&gt;0,IFERROR(IF(INDEX(brand_intake!$X$2:$X$401,MATCH($B36,brand_intake!$A$2:$A$401,0))="","",INDEX(brand_intake!$X$2:$X$401,MATCH($B36,brand_intake!$A$2:$A$401,0))),""),IFERROR(IF(INDEX(brand_intake_founder!$X$2:$X$81,MATCH($B36,brand_intake_founder!$A$2:$A$81,0))="","",INDEX(brand_intake_founder!$X$2:$X$81,MATCH($B36,brand_intake_founder!$A$2:$A$81,0))),"")))</f>
        <v/>
      </c>
      <c r="AE36" s="25">
        <f>IF($B36="","",IF(COUNTIF(brand_intake!$A$2:$A$401,$B36)&gt;0,IFERROR(IF(INDEX(brand_intake!$Y$2:$Y$401,MATCH($B36,brand_intake!$A$2:$A$401,0))="","",INDEX(brand_intake!$Y$2:$Y$401,MATCH($B36,brand_intake!$A$2:$A$401,0))),""),IFERROR(IF(INDEX(brand_intake_founder!$Y$2:$Y$81,MATCH($B36,brand_intake_founder!$A$2:$A$81,0))="","",INDEX(brand_intake_founder!$Y$2:$Y$81,MATCH($B36,brand_intake_founder!$A$2:$A$81,0))),"")))</f>
        <v/>
      </c>
      <c r="AF36" s="25">
        <f>IF($B36="","",($X36="Y")+($Y36="Y")+($Z36="Y")+($AA36="Y")+($AB36="Y")+($AC36="Y")+(LEN($AD36)&gt;0))</f>
        <v/>
      </c>
      <c r="AG36" s="25">
        <f>IF($B36="","",IF(AND($AF36=7,$AE36="Y"),"Y (as answered)","N: check "&amp;IF($X36&lt;&gt;"Y","1 ","")&amp;IF($Y36&lt;&gt;"Y","2 ","")&amp;IF($Z36&lt;&gt;"Y","3 ","")&amp;IF($AA36&lt;&gt;"Y","4 ","")&amp;IF($AB36&lt;&gt;"Y","5 ","")&amp;IF($AC36&lt;&gt;"Y","6 ","")&amp;IF(LEN($AD36)=0,"7 ","")&amp;IF($AE36&lt;&gt;"Y","excluded? ","")))</f>
        <v/>
      </c>
      <c r="AH36" s="25">
        <f>IF($A36="","",COUNTIF(campaigns!$C$2:$C$51,$A36))</f>
        <v/>
      </c>
      <c r="AI36" s="25">
        <f>IF(OR($A36="",SUMIFS(campaigns!$H$2:$H$51,campaigns!$C$2:$C$51,$A36,campaigns!$D$2:$D$51,"founding",campaigns!$E$2:$E$51,"&lt;&gt;Y")=0),"",COUNTIFS(campaigns!$D$2:$D$51,"founding",campaigns!$E$2:$E$51,"&lt;&gt;Y",campaigns!$H$2:$H$51,"&lt;="&amp;SUMIFS(campaigns!$H$2:$H$51,campaigns!$C$2:$C$51,$A36,campaigns!$D$2:$D$51,"founding",campaigns!$E$2:$E$51,"&lt;&gt;Y"),campaigns!$H$2:$H$51,"&gt;0"))</f>
        <v/>
      </c>
      <c r="AJ36" s="25">
        <f>IF(OR($A36="",NOT(IFERROR(COUNTIF(INDEX(in_paid_brands!$A$2:$BZ$81,0,MATCH("brand_id",in_paid_brands!$A$1:$BZ$1,0)),$A36),0)&gt;0)),"",IF(IFERROR(IF(INDEX(in_paid_brands!$A$2:$BZ$81,MATCH($A36,INDEX(in_paid_brands!$A$2:$BZ$81,0,MATCH("brand_id",in_paid_brands!$A$1:$BZ$1,0)),0),MATCH("campaign_id",in_paid_brands!$A$1:$BZ$1,0))="","",INDEX(in_paid_brands!$A$2:$BZ$81,MATCH($A36,INDEX(in_paid_brands!$A$2:$BZ$81,0,MATCH("brand_id",in_paid_brands!$A$1:$BZ$1,0)),0),MATCH("campaign_id",in_paid_brands!$A$1:$BZ$1,0))),"")="","E's paid_brands row has no campaign_id: type the CMP-### there; ",IF(OR(ABS(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gt;0.005,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payment 1 differs: E "&amp;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amp;" on "&amp;IF(N(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0,"none",TEXT(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yyyy-mm-dd"))&amp;"; ","")&amp;IF(OR(ABS(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gt;0.005,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payment 2 differs: E "&amp;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amp;" on "&amp;IF(N(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0,"none",TEXT(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yyyy-mm-dd"))&amp;"; ","")))</f>
        <v/>
      </c>
    </row>
    <row r="37">
      <c r="B37" s="30" t="n"/>
      <c r="H37" s="9" t="n"/>
      <c r="K37" s="25">
        <f>IF($B37="","",IF(COUNTIF(brand_intake!$A$2:$A$401,$B37)&gt;0,IFERROR(IF(INDEX(brand_intake!$C$2:$C$401,MATCH($B37,brand_intake!$A$2:$A$401,0))="","",INDEX(brand_intake!$C$2:$C$401,MATCH($B37,brand_intake!$A$2:$A$401,0))),""),IFERROR(IF(INDEX(brand_intake_founder!$C$2:$C$81,MATCH($B37,brand_intake_founder!$A$2:$A$81,0))="","",INDEX(brand_intake_founder!$C$2:$C$81,MATCH($B37,brand_intake_founder!$A$2:$A$81,0))),"")))</f>
        <v/>
      </c>
      <c r="L37" s="25">
        <f>IF($B37="","",IF(COUNTIF(brand_intake!$A$2:$A$401,$B37)&gt;0,IFERROR(IF(INDEX(brand_intake!$D$2:$D$401,MATCH($B37,brand_intake!$A$2:$A$401,0))="","",INDEX(brand_intake!$D$2:$D$401,MATCH($B37,brand_intake!$A$2:$A$401,0))),""),IFERROR(IF(INDEX(brand_intake_founder!$D$2:$D$81,MATCH($B37,brand_intake_founder!$A$2:$A$81,0))="","",INDEX(brand_intake_founder!$D$2:$D$81,MATCH($B37,brand_intake_founder!$A$2:$A$81,0))),"")))</f>
        <v/>
      </c>
      <c r="M37" s="25">
        <f>IF($B37="","",IF(COUNTIF(brand_intake!$A$2:$A$401,$B37)&gt;0,IFERROR(IF(INDEX(brand_intake!$J$2:$J$401,MATCH($B37,brand_intake!$A$2:$A$401,0))="","",INDEX(brand_intake!$J$2:$J$401,MATCH($B37,brand_intake!$A$2:$A$401,0))),""),IFERROR(IF(INDEX(brand_intake_founder!$J$2:$J$81,MATCH($B37,brand_intake_founder!$A$2:$A$81,0))="","",INDEX(brand_intake_founder!$J$2:$J$81,MATCH($B37,brand_intake_founder!$A$2:$A$81,0))),"")))</f>
        <v/>
      </c>
      <c r="N37" s="25">
        <f>IF($B37="","",IF(COUNTIF(brand_intake!$A$2:$A$401,$B37)&gt;0,IFERROR(IF(INDEX(brand_intake!$I$2:$I$401,MATCH($B37,brand_intake!$A$2:$A$401,0))="","",INDEX(brand_intake!$I$2:$I$401,MATCH($B37,brand_intake!$A$2:$A$401,0))),""),IFERROR(IF(INDEX(brand_intake_founder!$I$2:$I$81,MATCH($B37,brand_intake_founder!$A$2:$A$81,0))="","",INDEX(brand_intake_founder!$I$2:$I$81,MATCH($B37,brand_intake_founder!$A$2:$A$81,0))),"")))</f>
        <v/>
      </c>
      <c r="O37" s="25">
        <f>IF($B37="","",IF(COUNTIF(brand_intake!$A$2:$A$401,$B37)&gt;0,IFERROR(IF(INDEX(brand_intake!$K$2:$K$401,MATCH($B37,brand_intake!$A$2:$A$401,0))="","",INDEX(brand_intake!$K$2:$K$401,MATCH($B37,brand_intake!$A$2:$A$401,0))),""),IFERROR(IF(INDEX(brand_intake_founder!$K$2:$K$81,MATCH($B37,brand_intake_founder!$A$2:$A$81,0))="","",INDEX(brand_intake_founder!$K$2:$K$81,MATCH($B37,brand_intake_founder!$A$2:$A$81,0))),"")))</f>
        <v/>
      </c>
      <c r="P37" s="25">
        <f>IF($B37="","",IF(COUNTIF(brand_intake!$A$2:$A$401,$B37)&gt;0,IFERROR(IF(INDEX(brand_intake!$E$2:$E$401,MATCH($B37,brand_intake!$A$2:$A$401,0))="","",INDEX(brand_intake!$E$2:$E$401,MATCH($B37,brand_intake!$A$2:$A$401,0))),""),IFERROR(IF(INDEX(brand_intake_founder!$E$2:$E$81,MATCH($B37,brand_intake_founder!$A$2:$A$81,0))="","",INDEX(brand_intake_founder!$E$2:$E$81,MATCH($B37,brand_intake_founder!$A$2:$A$81,0))),"")))</f>
        <v/>
      </c>
      <c r="Q37" s="25">
        <f>IF($B37="","",IF(COUNTIF(brand_intake!$A$2:$A$401,$B37)&gt;0,IFERROR(IF(INDEX(brand_intake!$F$2:$F$401,MATCH($B37,brand_intake!$A$2:$A$401,0))="","",INDEX(brand_intake!$F$2:$F$401,MATCH($B37,brand_intake!$A$2:$A$401,0))),""),IFERROR(IF(INDEX(brand_intake_founder!$F$2:$F$81,MATCH($B37,brand_intake_founder!$A$2:$A$81,0))="","",INDEX(brand_intake_founder!$F$2:$F$81,MATCH($B37,brand_intake_founder!$A$2:$A$81,0))),"")))</f>
        <v/>
      </c>
      <c r="R37" s="25">
        <f>IF($B37="","",IF(COUNTIF(brand_intake!$A$2:$A$401,$B37)&gt;0,IFERROR(IF(INDEX(brand_intake!$G$2:$G$401,MATCH($B37,brand_intake!$A$2:$A$401,0))="","",INDEX(brand_intake!$G$2:$G$401,MATCH($B37,brand_intake!$A$2:$A$401,0))),""),IFERROR(IF(INDEX(brand_intake_founder!$G$2:$G$81,MATCH($B37,brand_intake_founder!$A$2:$A$81,0))="","",INDEX(brand_intake_founder!$G$2:$G$81,MATCH($B37,brand_intake_founder!$A$2:$A$81,0))),"")))</f>
        <v/>
      </c>
      <c r="S37" s="25">
        <f>IF($B37="","",IF(COUNTIF(brand_intake!$A$2:$A$401,$B37)&gt;0,IFERROR(IF(INDEX(brand_intake!$H$2:$H$401,MATCH($B37,brand_intake!$A$2:$A$401,0))="","",INDEX(brand_intake!$H$2:$H$401,MATCH($B37,brand_intake!$A$2:$A$401,0))),""),IFERROR(IF(INDEX(brand_intake_founder!$H$2:$H$81,MATCH($B37,brand_intake_founder!$A$2:$A$81,0))="","",INDEX(brand_intake_founder!$H$2:$H$81,MATCH($B37,brand_intake_founder!$A$2:$A$81,0))),"")))</f>
        <v/>
      </c>
      <c r="T37" s="25">
        <f>IF($B37="","",IF(COUNTIF(brand_intake!$A$2:$A$401,$B37)&gt;0,IFERROR(IF(INDEX(brand_intake!$M$2:$M$401,MATCH($B37,brand_intake!$A$2:$A$401,0))="","",INDEX(brand_intake!$M$2:$M$401,MATCH($B37,brand_intake!$A$2:$A$401,0))),""),IFERROR(IF(INDEX(brand_intake_founder!$M$2:$M$81,MATCH($B37,brand_intake_founder!$A$2:$A$81,0))="","",INDEX(brand_intake_founder!$M$2:$M$81,MATCH($B37,brand_intake_founder!$A$2:$A$81,0))),"")))</f>
        <v/>
      </c>
      <c r="U37" s="25">
        <f>IF($B37="","",IF(COUNTIF(brand_intake!$A$2:$A$401,$B37)&gt;0,IFERROR(IF(INDEX(brand_intake!$L$2:$L$401,MATCH($B37,brand_intake!$A$2:$A$401,0))="","",INDEX(brand_intake!$L$2:$L$401,MATCH($B37,brand_intake!$A$2:$A$401,0))),""),IFERROR(IF(INDEX(brand_intake_founder!$L$2:$L$81,MATCH($B37,brand_intake_founder!$A$2:$A$81,0))="","",INDEX(brand_intake_founder!$L$2:$L$81,MATCH($B37,brand_intake_founder!$A$2:$A$81,0))),"")))</f>
        <v/>
      </c>
      <c r="V37" s="25">
        <f>IF($B37="","",IF(COUNTIF(brand_intake!$A$2:$A$401,$B37)&gt;0,IFERROR(IF(INDEX(brand_intake!$N$2:$N$401,MATCH($B37,brand_intake!$A$2:$A$401,0))="","",INDEX(brand_intake!$N$2:$N$401,MATCH($B37,brand_intake!$A$2:$A$401,0))),""),IFERROR(IF(INDEX(brand_intake_founder!$N$2:$N$81,MATCH($B37,brand_intake_founder!$A$2:$A$81,0))="","",INDEX(brand_intake_founder!$N$2:$N$81,MATCH($B37,brand_intake_founder!$A$2:$A$81,0))),"")))</f>
        <v/>
      </c>
      <c r="W37" s="25">
        <f>IF($B37="","",IF(COUNTIF(brand_intake!$A$2:$A$401,$B37)&gt;0,IFERROR(IF(INDEX(brand_intake!$Q$2:$Q$401,MATCH($B37,brand_intake!$A$2:$A$401,0))="","",INDEX(brand_intake!$Q$2:$Q$401,MATCH($B37,brand_intake!$A$2:$A$401,0))),""),IFERROR(IF(INDEX(brand_intake_founder!$Q$2:$Q$81,MATCH($B37,brand_intake_founder!$A$2:$A$81,0))="","",INDEX(brand_intake_founder!$Q$2:$Q$81,MATCH($B37,brand_intake_founder!$A$2:$A$81,0))),"")))</f>
        <v/>
      </c>
      <c r="X37" s="25">
        <f>IF($B37="","",IF(COUNTIF(brand_intake!$A$2:$A$401,$B37)&gt;0,IFERROR(IF(INDEX(brand_intake!$R$2:$R$401,MATCH($B37,brand_intake!$A$2:$A$401,0))="","",INDEX(brand_intake!$R$2:$R$401,MATCH($B37,brand_intake!$A$2:$A$401,0))),""),IFERROR(IF(INDEX(brand_intake_founder!$R$2:$R$81,MATCH($B37,brand_intake_founder!$A$2:$A$81,0))="","",INDEX(brand_intake_founder!$R$2:$R$81,MATCH($B37,brand_intake_founder!$A$2:$A$81,0))),"")))</f>
        <v/>
      </c>
      <c r="Y37" s="25">
        <f>IF($B37="","",IF(COUNTIF(brand_intake!$A$2:$A$401,$B37)&gt;0,IFERROR(IF(INDEX(brand_intake!$S$2:$S$401,MATCH($B37,brand_intake!$A$2:$A$401,0))="","",INDEX(brand_intake!$S$2:$S$401,MATCH($B37,brand_intake!$A$2:$A$401,0))),""),IFERROR(IF(INDEX(brand_intake_founder!$S$2:$S$81,MATCH($B37,brand_intake_founder!$A$2:$A$81,0))="","",INDEX(brand_intake_founder!$S$2:$S$81,MATCH($B37,brand_intake_founder!$A$2:$A$81,0))),"")))</f>
        <v/>
      </c>
      <c r="Z37" s="25">
        <f>IF($B37="","",IF(COUNTIF(brand_intake!$A$2:$A$401,$B37)&gt;0,IFERROR(IF(INDEX(brand_intake!$T$2:$T$401,MATCH($B37,brand_intake!$A$2:$A$401,0))="","",INDEX(brand_intake!$T$2:$T$401,MATCH($B37,brand_intake!$A$2:$A$401,0))),""),IFERROR(IF(INDEX(brand_intake_founder!$T$2:$T$81,MATCH($B37,brand_intake_founder!$A$2:$A$81,0))="","",INDEX(brand_intake_founder!$T$2:$T$81,MATCH($B37,brand_intake_founder!$A$2:$A$81,0))),"")))</f>
        <v/>
      </c>
      <c r="AA37" s="25">
        <f>IF($B37="","",IF(COUNTIF(brand_intake!$A$2:$A$401,$B37)&gt;0,IFERROR(IF(INDEX(brand_intake!$U$2:$U$401,MATCH($B37,brand_intake!$A$2:$A$401,0))="","",INDEX(brand_intake!$U$2:$U$401,MATCH($B37,brand_intake!$A$2:$A$401,0))),""),IFERROR(IF(INDEX(brand_intake_founder!$U$2:$U$81,MATCH($B37,brand_intake_founder!$A$2:$A$81,0))="","",INDEX(brand_intake_founder!$U$2:$U$81,MATCH($B37,brand_intake_founder!$A$2:$A$81,0))),"")))</f>
        <v/>
      </c>
      <c r="AB37" s="25">
        <f>IF($B37="","",IF(COUNTIF(brand_intake!$A$2:$A$401,$B37)&gt;0,IFERROR(IF(INDEX(brand_intake!$V$2:$V$401,MATCH($B37,brand_intake!$A$2:$A$401,0))="","",INDEX(brand_intake!$V$2:$V$401,MATCH($B37,brand_intake!$A$2:$A$401,0))),""),IFERROR(IF(INDEX(brand_intake_founder!$V$2:$V$81,MATCH($B37,brand_intake_founder!$A$2:$A$81,0))="","",INDEX(brand_intake_founder!$V$2:$V$81,MATCH($B37,brand_intake_founder!$A$2:$A$81,0))),"")))</f>
        <v/>
      </c>
      <c r="AC37" s="25">
        <f>IF($B37="","",IF(COUNTIF(brand_intake!$A$2:$A$401,$B37)&gt;0,IFERROR(IF(INDEX(brand_intake!$W$2:$W$401,MATCH($B37,brand_intake!$A$2:$A$401,0))="","",INDEX(brand_intake!$W$2:$W$401,MATCH($B37,brand_intake!$A$2:$A$401,0))),""),IFERROR(IF(INDEX(brand_intake_founder!$W$2:$W$81,MATCH($B37,brand_intake_founder!$A$2:$A$81,0))="","",INDEX(brand_intake_founder!$W$2:$W$81,MATCH($B37,brand_intake_founder!$A$2:$A$81,0))),"")))</f>
        <v/>
      </c>
      <c r="AD37" s="25">
        <f>IF($B37="","",IF(COUNTIF(brand_intake!$A$2:$A$401,$B37)&gt;0,IFERROR(IF(INDEX(brand_intake!$X$2:$X$401,MATCH($B37,brand_intake!$A$2:$A$401,0))="","",INDEX(brand_intake!$X$2:$X$401,MATCH($B37,brand_intake!$A$2:$A$401,0))),""),IFERROR(IF(INDEX(brand_intake_founder!$X$2:$X$81,MATCH($B37,brand_intake_founder!$A$2:$A$81,0))="","",INDEX(brand_intake_founder!$X$2:$X$81,MATCH($B37,brand_intake_founder!$A$2:$A$81,0))),"")))</f>
        <v/>
      </c>
      <c r="AE37" s="25">
        <f>IF($B37="","",IF(COUNTIF(brand_intake!$A$2:$A$401,$B37)&gt;0,IFERROR(IF(INDEX(brand_intake!$Y$2:$Y$401,MATCH($B37,brand_intake!$A$2:$A$401,0))="","",INDEX(brand_intake!$Y$2:$Y$401,MATCH($B37,brand_intake!$A$2:$A$401,0))),""),IFERROR(IF(INDEX(brand_intake_founder!$Y$2:$Y$81,MATCH($B37,brand_intake_founder!$A$2:$A$81,0))="","",INDEX(brand_intake_founder!$Y$2:$Y$81,MATCH($B37,brand_intake_founder!$A$2:$A$81,0))),"")))</f>
        <v/>
      </c>
      <c r="AF37" s="25">
        <f>IF($B37="","",($X37="Y")+($Y37="Y")+($Z37="Y")+($AA37="Y")+($AB37="Y")+($AC37="Y")+(LEN($AD37)&gt;0))</f>
        <v/>
      </c>
      <c r="AG37" s="25">
        <f>IF($B37="","",IF(AND($AF37=7,$AE37="Y"),"Y (as answered)","N: check "&amp;IF($X37&lt;&gt;"Y","1 ","")&amp;IF($Y37&lt;&gt;"Y","2 ","")&amp;IF($Z37&lt;&gt;"Y","3 ","")&amp;IF($AA37&lt;&gt;"Y","4 ","")&amp;IF($AB37&lt;&gt;"Y","5 ","")&amp;IF($AC37&lt;&gt;"Y","6 ","")&amp;IF(LEN($AD37)=0,"7 ","")&amp;IF($AE37&lt;&gt;"Y","excluded? ","")))</f>
        <v/>
      </c>
      <c r="AH37" s="25">
        <f>IF($A37="","",COUNTIF(campaigns!$C$2:$C$51,$A37))</f>
        <v/>
      </c>
      <c r="AI37" s="25">
        <f>IF(OR($A37="",SUMIFS(campaigns!$H$2:$H$51,campaigns!$C$2:$C$51,$A37,campaigns!$D$2:$D$51,"founding",campaigns!$E$2:$E$51,"&lt;&gt;Y")=0),"",COUNTIFS(campaigns!$D$2:$D$51,"founding",campaigns!$E$2:$E$51,"&lt;&gt;Y",campaigns!$H$2:$H$51,"&lt;="&amp;SUMIFS(campaigns!$H$2:$H$51,campaigns!$C$2:$C$51,$A37,campaigns!$D$2:$D$51,"founding",campaigns!$E$2:$E$51,"&lt;&gt;Y"),campaigns!$H$2:$H$51,"&gt;0"))</f>
        <v/>
      </c>
      <c r="AJ37" s="25">
        <f>IF(OR($A37="",NOT(IFERROR(COUNTIF(INDEX(in_paid_brands!$A$2:$BZ$81,0,MATCH("brand_id",in_paid_brands!$A$1:$BZ$1,0)),$A37),0)&gt;0)),"",IF(IFERROR(IF(INDEX(in_paid_brands!$A$2:$BZ$81,MATCH($A37,INDEX(in_paid_brands!$A$2:$BZ$81,0,MATCH("brand_id",in_paid_brands!$A$1:$BZ$1,0)),0),MATCH("campaign_id",in_paid_brands!$A$1:$BZ$1,0))="","",INDEX(in_paid_brands!$A$2:$BZ$81,MATCH($A37,INDEX(in_paid_brands!$A$2:$BZ$81,0,MATCH("brand_id",in_paid_brands!$A$1:$BZ$1,0)),0),MATCH("campaign_id",in_paid_brands!$A$1:$BZ$1,0))),"")="","E's paid_brands row has no campaign_id: type the CMP-### there; ",IF(OR(ABS(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gt;0.005,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payment 1 differs: E "&amp;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amp;" on "&amp;IF(N(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0,"none",TEXT(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yyyy-mm-dd"))&amp;"; ","")&amp;IF(OR(ABS(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gt;0.005,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payment 2 differs: E "&amp;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amp;" on "&amp;IF(N(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0,"none",TEXT(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yyyy-mm-dd"))&amp;"; ","")))</f>
        <v/>
      </c>
    </row>
    <row r="38">
      <c r="B38" s="30" t="n"/>
      <c r="H38" s="9" t="n"/>
      <c r="K38" s="25">
        <f>IF($B38="","",IF(COUNTIF(brand_intake!$A$2:$A$401,$B38)&gt;0,IFERROR(IF(INDEX(brand_intake!$C$2:$C$401,MATCH($B38,brand_intake!$A$2:$A$401,0))="","",INDEX(brand_intake!$C$2:$C$401,MATCH($B38,brand_intake!$A$2:$A$401,0))),""),IFERROR(IF(INDEX(brand_intake_founder!$C$2:$C$81,MATCH($B38,brand_intake_founder!$A$2:$A$81,0))="","",INDEX(brand_intake_founder!$C$2:$C$81,MATCH($B38,brand_intake_founder!$A$2:$A$81,0))),"")))</f>
        <v/>
      </c>
      <c r="L38" s="25">
        <f>IF($B38="","",IF(COUNTIF(brand_intake!$A$2:$A$401,$B38)&gt;0,IFERROR(IF(INDEX(brand_intake!$D$2:$D$401,MATCH($B38,brand_intake!$A$2:$A$401,0))="","",INDEX(brand_intake!$D$2:$D$401,MATCH($B38,brand_intake!$A$2:$A$401,0))),""),IFERROR(IF(INDEX(brand_intake_founder!$D$2:$D$81,MATCH($B38,brand_intake_founder!$A$2:$A$81,0))="","",INDEX(brand_intake_founder!$D$2:$D$81,MATCH($B38,brand_intake_founder!$A$2:$A$81,0))),"")))</f>
        <v/>
      </c>
      <c r="M38" s="25">
        <f>IF($B38="","",IF(COUNTIF(brand_intake!$A$2:$A$401,$B38)&gt;0,IFERROR(IF(INDEX(brand_intake!$J$2:$J$401,MATCH($B38,brand_intake!$A$2:$A$401,0))="","",INDEX(brand_intake!$J$2:$J$401,MATCH($B38,brand_intake!$A$2:$A$401,0))),""),IFERROR(IF(INDEX(brand_intake_founder!$J$2:$J$81,MATCH($B38,brand_intake_founder!$A$2:$A$81,0))="","",INDEX(brand_intake_founder!$J$2:$J$81,MATCH($B38,brand_intake_founder!$A$2:$A$81,0))),"")))</f>
        <v/>
      </c>
      <c r="N38" s="25">
        <f>IF($B38="","",IF(COUNTIF(brand_intake!$A$2:$A$401,$B38)&gt;0,IFERROR(IF(INDEX(brand_intake!$I$2:$I$401,MATCH($B38,brand_intake!$A$2:$A$401,0))="","",INDEX(brand_intake!$I$2:$I$401,MATCH($B38,brand_intake!$A$2:$A$401,0))),""),IFERROR(IF(INDEX(brand_intake_founder!$I$2:$I$81,MATCH($B38,brand_intake_founder!$A$2:$A$81,0))="","",INDEX(brand_intake_founder!$I$2:$I$81,MATCH($B38,brand_intake_founder!$A$2:$A$81,0))),"")))</f>
        <v/>
      </c>
      <c r="O38" s="25">
        <f>IF($B38="","",IF(COUNTIF(brand_intake!$A$2:$A$401,$B38)&gt;0,IFERROR(IF(INDEX(brand_intake!$K$2:$K$401,MATCH($B38,brand_intake!$A$2:$A$401,0))="","",INDEX(brand_intake!$K$2:$K$401,MATCH($B38,brand_intake!$A$2:$A$401,0))),""),IFERROR(IF(INDEX(brand_intake_founder!$K$2:$K$81,MATCH($B38,brand_intake_founder!$A$2:$A$81,0))="","",INDEX(brand_intake_founder!$K$2:$K$81,MATCH($B38,brand_intake_founder!$A$2:$A$81,0))),"")))</f>
        <v/>
      </c>
      <c r="P38" s="25">
        <f>IF($B38="","",IF(COUNTIF(brand_intake!$A$2:$A$401,$B38)&gt;0,IFERROR(IF(INDEX(brand_intake!$E$2:$E$401,MATCH($B38,brand_intake!$A$2:$A$401,0))="","",INDEX(brand_intake!$E$2:$E$401,MATCH($B38,brand_intake!$A$2:$A$401,0))),""),IFERROR(IF(INDEX(brand_intake_founder!$E$2:$E$81,MATCH($B38,brand_intake_founder!$A$2:$A$81,0))="","",INDEX(brand_intake_founder!$E$2:$E$81,MATCH($B38,brand_intake_founder!$A$2:$A$81,0))),"")))</f>
        <v/>
      </c>
      <c r="Q38" s="25">
        <f>IF($B38="","",IF(COUNTIF(brand_intake!$A$2:$A$401,$B38)&gt;0,IFERROR(IF(INDEX(brand_intake!$F$2:$F$401,MATCH($B38,brand_intake!$A$2:$A$401,0))="","",INDEX(brand_intake!$F$2:$F$401,MATCH($B38,brand_intake!$A$2:$A$401,0))),""),IFERROR(IF(INDEX(brand_intake_founder!$F$2:$F$81,MATCH($B38,brand_intake_founder!$A$2:$A$81,0))="","",INDEX(brand_intake_founder!$F$2:$F$81,MATCH($B38,brand_intake_founder!$A$2:$A$81,0))),"")))</f>
        <v/>
      </c>
      <c r="R38" s="25">
        <f>IF($B38="","",IF(COUNTIF(brand_intake!$A$2:$A$401,$B38)&gt;0,IFERROR(IF(INDEX(brand_intake!$G$2:$G$401,MATCH($B38,brand_intake!$A$2:$A$401,0))="","",INDEX(brand_intake!$G$2:$G$401,MATCH($B38,brand_intake!$A$2:$A$401,0))),""),IFERROR(IF(INDEX(brand_intake_founder!$G$2:$G$81,MATCH($B38,brand_intake_founder!$A$2:$A$81,0))="","",INDEX(brand_intake_founder!$G$2:$G$81,MATCH($B38,brand_intake_founder!$A$2:$A$81,0))),"")))</f>
        <v/>
      </c>
      <c r="S38" s="25">
        <f>IF($B38="","",IF(COUNTIF(brand_intake!$A$2:$A$401,$B38)&gt;0,IFERROR(IF(INDEX(brand_intake!$H$2:$H$401,MATCH($B38,brand_intake!$A$2:$A$401,0))="","",INDEX(brand_intake!$H$2:$H$401,MATCH($B38,brand_intake!$A$2:$A$401,0))),""),IFERROR(IF(INDEX(brand_intake_founder!$H$2:$H$81,MATCH($B38,brand_intake_founder!$A$2:$A$81,0))="","",INDEX(brand_intake_founder!$H$2:$H$81,MATCH($B38,brand_intake_founder!$A$2:$A$81,0))),"")))</f>
        <v/>
      </c>
      <c r="T38" s="25">
        <f>IF($B38="","",IF(COUNTIF(brand_intake!$A$2:$A$401,$B38)&gt;0,IFERROR(IF(INDEX(brand_intake!$M$2:$M$401,MATCH($B38,brand_intake!$A$2:$A$401,0))="","",INDEX(brand_intake!$M$2:$M$401,MATCH($B38,brand_intake!$A$2:$A$401,0))),""),IFERROR(IF(INDEX(brand_intake_founder!$M$2:$M$81,MATCH($B38,brand_intake_founder!$A$2:$A$81,0))="","",INDEX(brand_intake_founder!$M$2:$M$81,MATCH($B38,brand_intake_founder!$A$2:$A$81,0))),"")))</f>
        <v/>
      </c>
      <c r="U38" s="25">
        <f>IF($B38="","",IF(COUNTIF(brand_intake!$A$2:$A$401,$B38)&gt;0,IFERROR(IF(INDEX(brand_intake!$L$2:$L$401,MATCH($B38,brand_intake!$A$2:$A$401,0))="","",INDEX(brand_intake!$L$2:$L$401,MATCH($B38,brand_intake!$A$2:$A$401,0))),""),IFERROR(IF(INDEX(brand_intake_founder!$L$2:$L$81,MATCH($B38,brand_intake_founder!$A$2:$A$81,0))="","",INDEX(brand_intake_founder!$L$2:$L$81,MATCH($B38,brand_intake_founder!$A$2:$A$81,0))),"")))</f>
        <v/>
      </c>
      <c r="V38" s="25">
        <f>IF($B38="","",IF(COUNTIF(brand_intake!$A$2:$A$401,$B38)&gt;0,IFERROR(IF(INDEX(brand_intake!$N$2:$N$401,MATCH($B38,brand_intake!$A$2:$A$401,0))="","",INDEX(brand_intake!$N$2:$N$401,MATCH($B38,brand_intake!$A$2:$A$401,0))),""),IFERROR(IF(INDEX(brand_intake_founder!$N$2:$N$81,MATCH($B38,brand_intake_founder!$A$2:$A$81,0))="","",INDEX(brand_intake_founder!$N$2:$N$81,MATCH($B38,brand_intake_founder!$A$2:$A$81,0))),"")))</f>
        <v/>
      </c>
      <c r="W38" s="25">
        <f>IF($B38="","",IF(COUNTIF(brand_intake!$A$2:$A$401,$B38)&gt;0,IFERROR(IF(INDEX(brand_intake!$Q$2:$Q$401,MATCH($B38,brand_intake!$A$2:$A$401,0))="","",INDEX(brand_intake!$Q$2:$Q$401,MATCH($B38,brand_intake!$A$2:$A$401,0))),""),IFERROR(IF(INDEX(brand_intake_founder!$Q$2:$Q$81,MATCH($B38,brand_intake_founder!$A$2:$A$81,0))="","",INDEX(brand_intake_founder!$Q$2:$Q$81,MATCH($B38,brand_intake_founder!$A$2:$A$81,0))),"")))</f>
        <v/>
      </c>
      <c r="X38" s="25">
        <f>IF($B38="","",IF(COUNTIF(brand_intake!$A$2:$A$401,$B38)&gt;0,IFERROR(IF(INDEX(brand_intake!$R$2:$R$401,MATCH($B38,brand_intake!$A$2:$A$401,0))="","",INDEX(brand_intake!$R$2:$R$401,MATCH($B38,brand_intake!$A$2:$A$401,0))),""),IFERROR(IF(INDEX(brand_intake_founder!$R$2:$R$81,MATCH($B38,brand_intake_founder!$A$2:$A$81,0))="","",INDEX(brand_intake_founder!$R$2:$R$81,MATCH($B38,brand_intake_founder!$A$2:$A$81,0))),"")))</f>
        <v/>
      </c>
      <c r="Y38" s="25">
        <f>IF($B38="","",IF(COUNTIF(brand_intake!$A$2:$A$401,$B38)&gt;0,IFERROR(IF(INDEX(brand_intake!$S$2:$S$401,MATCH($B38,brand_intake!$A$2:$A$401,0))="","",INDEX(brand_intake!$S$2:$S$401,MATCH($B38,brand_intake!$A$2:$A$401,0))),""),IFERROR(IF(INDEX(brand_intake_founder!$S$2:$S$81,MATCH($B38,brand_intake_founder!$A$2:$A$81,0))="","",INDEX(brand_intake_founder!$S$2:$S$81,MATCH($B38,brand_intake_founder!$A$2:$A$81,0))),"")))</f>
        <v/>
      </c>
      <c r="Z38" s="25">
        <f>IF($B38="","",IF(COUNTIF(brand_intake!$A$2:$A$401,$B38)&gt;0,IFERROR(IF(INDEX(brand_intake!$T$2:$T$401,MATCH($B38,brand_intake!$A$2:$A$401,0))="","",INDEX(brand_intake!$T$2:$T$401,MATCH($B38,brand_intake!$A$2:$A$401,0))),""),IFERROR(IF(INDEX(brand_intake_founder!$T$2:$T$81,MATCH($B38,brand_intake_founder!$A$2:$A$81,0))="","",INDEX(brand_intake_founder!$T$2:$T$81,MATCH($B38,brand_intake_founder!$A$2:$A$81,0))),"")))</f>
        <v/>
      </c>
      <c r="AA38" s="25">
        <f>IF($B38="","",IF(COUNTIF(brand_intake!$A$2:$A$401,$B38)&gt;0,IFERROR(IF(INDEX(brand_intake!$U$2:$U$401,MATCH($B38,brand_intake!$A$2:$A$401,0))="","",INDEX(brand_intake!$U$2:$U$401,MATCH($B38,brand_intake!$A$2:$A$401,0))),""),IFERROR(IF(INDEX(brand_intake_founder!$U$2:$U$81,MATCH($B38,brand_intake_founder!$A$2:$A$81,0))="","",INDEX(brand_intake_founder!$U$2:$U$81,MATCH($B38,brand_intake_founder!$A$2:$A$81,0))),"")))</f>
        <v/>
      </c>
      <c r="AB38" s="25">
        <f>IF($B38="","",IF(COUNTIF(brand_intake!$A$2:$A$401,$B38)&gt;0,IFERROR(IF(INDEX(brand_intake!$V$2:$V$401,MATCH($B38,brand_intake!$A$2:$A$401,0))="","",INDEX(brand_intake!$V$2:$V$401,MATCH($B38,brand_intake!$A$2:$A$401,0))),""),IFERROR(IF(INDEX(brand_intake_founder!$V$2:$V$81,MATCH($B38,brand_intake_founder!$A$2:$A$81,0))="","",INDEX(brand_intake_founder!$V$2:$V$81,MATCH($B38,brand_intake_founder!$A$2:$A$81,0))),"")))</f>
        <v/>
      </c>
      <c r="AC38" s="25">
        <f>IF($B38="","",IF(COUNTIF(brand_intake!$A$2:$A$401,$B38)&gt;0,IFERROR(IF(INDEX(brand_intake!$W$2:$W$401,MATCH($B38,brand_intake!$A$2:$A$401,0))="","",INDEX(brand_intake!$W$2:$W$401,MATCH($B38,brand_intake!$A$2:$A$401,0))),""),IFERROR(IF(INDEX(brand_intake_founder!$W$2:$W$81,MATCH($B38,brand_intake_founder!$A$2:$A$81,0))="","",INDEX(brand_intake_founder!$W$2:$W$81,MATCH($B38,brand_intake_founder!$A$2:$A$81,0))),"")))</f>
        <v/>
      </c>
      <c r="AD38" s="25">
        <f>IF($B38="","",IF(COUNTIF(brand_intake!$A$2:$A$401,$B38)&gt;0,IFERROR(IF(INDEX(brand_intake!$X$2:$X$401,MATCH($B38,brand_intake!$A$2:$A$401,0))="","",INDEX(brand_intake!$X$2:$X$401,MATCH($B38,brand_intake!$A$2:$A$401,0))),""),IFERROR(IF(INDEX(brand_intake_founder!$X$2:$X$81,MATCH($B38,brand_intake_founder!$A$2:$A$81,0))="","",INDEX(brand_intake_founder!$X$2:$X$81,MATCH($B38,brand_intake_founder!$A$2:$A$81,0))),"")))</f>
        <v/>
      </c>
      <c r="AE38" s="25">
        <f>IF($B38="","",IF(COUNTIF(brand_intake!$A$2:$A$401,$B38)&gt;0,IFERROR(IF(INDEX(brand_intake!$Y$2:$Y$401,MATCH($B38,brand_intake!$A$2:$A$401,0))="","",INDEX(brand_intake!$Y$2:$Y$401,MATCH($B38,brand_intake!$A$2:$A$401,0))),""),IFERROR(IF(INDEX(brand_intake_founder!$Y$2:$Y$81,MATCH($B38,brand_intake_founder!$A$2:$A$81,0))="","",INDEX(brand_intake_founder!$Y$2:$Y$81,MATCH($B38,brand_intake_founder!$A$2:$A$81,0))),"")))</f>
        <v/>
      </c>
      <c r="AF38" s="25">
        <f>IF($B38="","",($X38="Y")+($Y38="Y")+($Z38="Y")+($AA38="Y")+($AB38="Y")+($AC38="Y")+(LEN($AD38)&gt;0))</f>
        <v/>
      </c>
      <c r="AG38" s="25">
        <f>IF($B38="","",IF(AND($AF38=7,$AE38="Y"),"Y (as answered)","N: check "&amp;IF($X38&lt;&gt;"Y","1 ","")&amp;IF($Y38&lt;&gt;"Y","2 ","")&amp;IF($Z38&lt;&gt;"Y","3 ","")&amp;IF($AA38&lt;&gt;"Y","4 ","")&amp;IF($AB38&lt;&gt;"Y","5 ","")&amp;IF($AC38&lt;&gt;"Y","6 ","")&amp;IF(LEN($AD38)=0,"7 ","")&amp;IF($AE38&lt;&gt;"Y","excluded? ","")))</f>
        <v/>
      </c>
      <c r="AH38" s="25">
        <f>IF($A38="","",COUNTIF(campaigns!$C$2:$C$51,$A38))</f>
        <v/>
      </c>
      <c r="AI38" s="25">
        <f>IF(OR($A38="",SUMIFS(campaigns!$H$2:$H$51,campaigns!$C$2:$C$51,$A38,campaigns!$D$2:$D$51,"founding",campaigns!$E$2:$E$51,"&lt;&gt;Y")=0),"",COUNTIFS(campaigns!$D$2:$D$51,"founding",campaigns!$E$2:$E$51,"&lt;&gt;Y",campaigns!$H$2:$H$51,"&lt;="&amp;SUMIFS(campaigns!$H$2:$H$51,campaigns!$C$2:$C$51,$A38,campaigns!$D$2:$D$51,"founding",campaigns!$E$2:$E$51,"&lt;&gt;Y"),campaigns!$H$2:$H$51,"&gt;0"))</f>
        <v/>
      </c>
      <c r="AJ38" s="25">
        <f>IF(OR($A38="",NOT(IFERROR(COUNTIF(INDEX(in_paid_brands!$A$2:$BZ$81,0,MATCH("brand_id",in_paid_brands!$A$1:$BZ$1,0)),$A38),0)&gt;0)),"",IF(IFERROR(IF(INDEX(in_paid_brands!$A$2:$BZ$81,MATCH($A38,INDEX(in_paid_brands!$A$2:$BZ$81,0,MATCH("brand_id",in_paid_brands!$A$1:$BZ$1,0)),0),MATCH("campaign_id",in_paid_brands!$A$1:$BZ$1,0))="","",INDEX(in_paid_brands!$A$2:$BZ$81,MATCH($A38,INDEX(in_paid_brands!$A$2:$BZ$81,0,MATCH("brand_id",in_paid_brands!$A$1:$BZ$1,0)),0),MATCH("campaign_id",in_paid_brands!$A$1:$BZ$1,0))),"")="","E's paid_brands row has no campaign_id: type the CMP-### there; ",IF(OR(ABS(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gt;0.005,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payment 1 differs: E "&amp;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amp;" on "&amp;IF(N(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0,"none",TEXT(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yyyy-mm-dd"))&amp;"; ","")&amp;IF(OR(ABS(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gt;0.005,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payment 2 differs: E "&amp;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amp;" on "&amp;IF(N(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0,"none",TEXT(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yyyy-mm-dd"))&amp;"; ","")))</f>
        <v/>
      </c>
    </row>
    <row r="39">
      <c r="B39" s="30" t="n"/>
      <c r="H39" s="9" t="n"/>
      <c r="K39" s="25">
        <f>IF($B39="","",IF(COUNTIF(brand_intake!$A$2:$A$401,$B39)&gt;0,IFERROR(IF(INDEX(brand_intake!$C$2:$C$401,MATCH($B39,brand_intake!$A$2:$A$401,0))="","",INDEX(brand_intake!$C$2:$C$401,MATCH($B39,brand_intake!$A$2:$A$401,0))),""),IFERROR(IF(INDEX(brand_intake_founder!$C$2:$C$81,MATCH($B39,brand_intake_founder!$A$2:$A$81,0))="","",INDEX(brand_intake_founder!$C$2:$C$81,MATCH($B39,brand_intake_founder!$A$2:$A$81,0))),"")))</f>
        <v/>
      </c>
      <c r="L39" s="25">
        <f>IF($B39="","",IF(COUNTIF(brand_intake!$A$2:$A$401,$B39)&gt;0,IFERROR(IF(INDEX(brand_intake!$D$2:$D$401,MATCH($B39,brand_intake!$A$2:$A$401,0))="","",INDEX(brand_intake!$D$2:$D$401,MATCH($B39,brand_intake!$A$2:$A$401,0))),""),IFERROR(IF(INDEX(brand_intake_founder!$D$2:$D$81,MATCH($B39,brand_intake_founder!$A$2:$A$81,0))="","",INDEX(brand_intake_founder!$D$2:$D$81,MATCH($B39,brand_intake_founder!$A$2:$A$81,0))),"")))</f>
        <v/>
      </c>
      <c r="M39" s="25">
        <f>IF($B39="","",IF(COUNTIF(brand_intake!$A$2:$A$401,$B39)&gt;0,IFERROR(IF(INDEX(brand_intake!$J$2:$J$401,MATCH($B39,brand_intake!$A$2:$A$401,0))="","",INDEX(brand_intake!$J$2:$J$401,MATCH($B39,brand_intake!$A$2:$A$401,0))),""),IFERROR(IF(INDEX(brand_intake_founder!$J$2:$J$81,MATCH($B39,brand_intake_founder!$A$2:$A$81,0))="","",INDEX(brand_intake_founder!$J$2:$J$81,MATCH($B39,brand_intake_founder!$A$2:$A$81,0))),"")))</f>
        <v/>
      </c>
      <c r="N39" s="25">
        <f>IF($B39="","",IF(COUNTIF(brand_intake!$A$2:$A$401,$B39)&gt;0,IFERROR(IF(INDEX(brand_intake!$I$2:$I$401,MATCH($B39,brand_intake!$A$2:$A$401,0))="","",INDEX(brand_intake!$I$2:$I$401,MATCH($B39,brand_intake!$A$2:$A$401,0))),""),IFERROR(IF(INDEX(brand_intake_founder!$I$2:$I$81,MATCH($B39,brand_intake_founder!$A$2:$A$81,0))="","",INDEX(brand_intake_founder!$I$2:$I$81,MATCH($B39,brand_intake_founder!$A$2:$A$81,0))),"")))</f>
        <v/>
      </c>
      <c r="O39" s="25">
        <f>IF($B39="","",IF(COUNTIF(brand_intake!$A$2:$A$401,$B39)&gt;0,IFERROR(IF(INDEX(brand_intake!$K$2:$K$401,MATCH($B39,brand_intake!$A$2:$A$401,0))="","",INDEX(brand_intake!$K$2:$K$401,MATCH($B39,brand_intake!$A$2:$A$401,0))),""),IFERROR(IF(INDEX(brand_intake_founder!$K$2:$K$81,MATCH($B39,brand_intake_founder!$A$2:$A$81,0))="","",INDEX(brand_intake_founder!$K$2:$K$81,MATCH($B39,brand_intake_founder!$A$2:$A$81,0))),"")))</f>
        <v/>
      </c>
      <c r="P39" s="25">
        <f>IF($B39="","",IF(COUNTIF(brand_intake!$A$2:$A$401,$B39)&gt;0,IFERROR(IF(INDEX(brand_intake!$E$2:$E$401,MATCH($B39,brand_intake!$A$2:$A$401,0))="","",INDEX(brand_intake!$E$2:$E$401,MATCH($B39,brand_intake!$A$2:$A$401,0))),""),IFERROR(IF(INDEX(brand_intake_founder!$E$2:$E$81,MATCH($B39,brand_intake_founder!$A$2:$A$81,0))="","",INDEX(brand_intake_founder!$E$2:$E$81,MATCH($B39,brand_intake_founder!$A$2:$A$81,0))),"")))</f>
        <v/>
      </c>
      <c r="Q39" s="25">
        <f>IF($B39="","",IF(COUNTIF(brand_intake!$A$2:$A$401,$B39)&gt;0,IFERROR(IF(INDEX(brand_intake!$F$2:$F$401,MATCH($B39,brand_intake!$A$2:$A$401,0))="","",INDEX(brand_intake!$F$2:$F$401,MATCH($B39,brand_intake!$A$2:$A$401,0))),""),IFERROR(IF(INDEX(brand_intake_founder!$F$2:$F$81,MATCH($B39,brand_intake_founder!$A$2:$A$81,0))="","",INDEX(brand_intake_founder!$F$2:$F$81,MATCH($B39,brand_intake_founder!$A$2:$A$81,0))),"")))</f>
        <v/>
      </c>
      <c r="R39" s="25">
        <f>IF($B39="","",IF(COUNTIF(brand_intake!$A$2:$A$401,$B39)&gt;0,IFERROR(IF(INDEX(brand_intake!$G$2:$G$401,MATCH($B39,brand_intake!$A$2:$A$401,0))="","",INDEX(brand_intake!$G$2:$G$401,MATCH($B39,brand_intake!$A$2:$A$401,0))),""),IFERROR(IF(INDEX(brand_intake_founder!$G$2:$G$81,MATCH($B39,brand_intake_founder!$A$2:$A$81,0))="","",INDEX(brand_intake_founder!$G$2:$G$81,MATCH($B39,brand_intake_founder!$A$2:$A$81,0))),"")))</f>
        <v/>
      </c>
      <c r="S39" s="25">
        <f>IF($B39="","",IF(COUNTIF(brand_intake!$A$2:$A$401,$B39)&gt;0,IFERROR(IF(INDEX(brand_intake!$H$2:$H$401,MATCH($B39,brand_intake!$A$2:$A$401,0))="","",INDEX(brand_intake!$H$2:$H$401,MATCH($B39,brand_intake!$A$2:$A$401,0))),""),IFERROR(IF(INDEX(brand_intake_founder!$H$2:$H$81,MATCH($B39,brand_intake_founder!$A$2:$A$81,0))="","",INDEX(brand_intake_founder!$H$2:$H$81,MATCH($B39,brand_intake_founder!$A$2:$A$81,0))),"")))</f>
        <v/>
      </c>
      <c r="T39" s="25">
        <f>IF($B39="","",IF(COUNTIF(brand_intake!$A$2:$A$401,$B39)&gt;0,IFERROR(IF(INDEX(brand_intake!$M$2:$M$401,MATCH($B39,brand_intake!$A$2:$A$401,0))="","",INDEX(brand_intake!$M$2:$M$401,MATCH($B39,brand_intake!$A$2:$A$401,0))),""),IFERROR(IF(INDEX(brand_intake_founder!$M$2:$M$81,MATCH($B39,brand_intake_founder!$A$2:$A$81,0))="","",INDEX(brand_intake_founder!$M$2:$M$81,MATCH($B39,brand_intake_founder!$A$2:$A$81,0))),"")))</f>
        <v/>
      </c>
      <c r="U39" s="25">
        <f>IF($B39="","",IF(COUNTIF(brand_intake!$A$2:$A$401,$B39)&gt;0,IFERROR(IF(INDEX(brand_intake!$L$2:$L$401,MATCH($B39,brand_intake!$A$2:$A$401,0))="","",INDEX(brand_intake!$L$2:$L$401,MATCH($B39,brand_intake!$A$2:$A$401,0))),""),IFERROR(IF(INDEX(brand_intake_founder!$L$2:$L$81,MATCH($B39,brand_intake_founder!$A$2:$A$81,0))="","",INDEX(brand_intake_founder!$L$2:$L$81,MATCH($B39,brand_intake_founder!$A$2:$A$81,0))),"")))</f>
        <v/>
      </c>
      <c r="V39" s="25">
        <f>IF($B39="","",IF(COUNTIF(brand_intake!$A$2:$A$401,$B39)&gt;0,IFERROR(IF(INDEX(brand_intake!$N$2:$N$401,MATCH($B39,brand_intake!$A$2:$A$401,0))="","",INDEX(brand_intake!$N$2:$N$401,MATCH($B39,brand_intake!$A$2:$A$401,0))),""),IFERROR(IF(INDEX(brand_intake_founder!$N$2:$N$81,MATCH($B39,brand_intake_founder!$A$2:$A$81,0))="","",INDEX(brand_intake_founder!$N$2:$N$81,MATCH($B39,brand_intake_founder!$A$2:$A$81,0))),"")))</f>
        <v/>
      </c>
      <c r="W39" s="25">
        <f>IF($B39="","",IF(COUNTIF(brand_intake!$A$2:$A$401,$B39)&gt;0,IFERROR(IF(INDEX(brand_intake!$Q$2:$Q$401,MATCH($B39,brand_intake!$A$2:$A$401,0))="","",INDEX(brand_intake!$Q$2:$Q$401,MATCH($B39,brand_intake!$A$2:$A$401,0))),""),IFERROR(IF(INDEX(brand_intake_founder!$Q$2:$Q$81,MATCH($B39,brand_intake_founder!$A$2:$A$81,0))="","",INDEX(brand_intake_founder!$Q$2:$Q$81,MATCH($B39,brand_intake_founder!$A$2:$A$81,0))),"")))</f>
        <v/>
      </c>
      <c r="X39" s="25">
        <f>IF($B39="","",IF(COUNTIF(brand_intake!$A$2:$A$401,$B39)&gt;0,IFERROR(IF(INDEX(brand_intake!$R$2:$R$401,MATCH($B39,brand_intake!$A$2:$A$401,0))="","",INDEX(brand_intake!$R$2:$R$401,MATCH($B39,brand_intake!$A$2:$A$401,0))),""),IFERROR(IF(INDEX(brand_intake_founder!$R$2:$R$81,MATCH($B39,brand_intake_founder!$A$2:$A$81,0))="","",INDEX(brand_intake_founder!$R$2:$R$81,MATCH($B39,brand_intake_founder!$A$2:$A$81,0))),"")))</f>
        <v/>
      </c>
      <c r="Y39" s="25">
        <f>IF($B39="","",IF(COUNTIF(brand_intake!$A$2:$A$401,$B39)&gt;0,IFERROR(IF(INDEX(brand_intake!$S$2:$S$401,MATCH($B39,brand_intake!$A$2:$A$401,0))="","",INDEX(brand_intake!$S$2:$S$401,MATCH($B39,brand_intake!$A$2:$A$401,0))),""),IFERROR(IF(INDEX(brand_intake_founder!$S$2:$S$81,MATCH($B39,brand_intake_founder!$A$2:$A$81,0))="","",INDEX(brand_intake_founder!$S$2:$S$81,MATCH($B39,brand_intake_founder!$A$2:$A$81,0))),"")))</f>
        <v/>
      </c>
      <c r="Z39" s="25">
        <f>IF($B39="","",IF(COUNTIF(brand_intake!$A$2:$A$401,$B39)&gt;0,IFERROR(IF(INDEX(brand_intake!$T$2:$T$401,MATCH($B39,brand_intake!$A$2:$A$401,0))="","",INDEX(brand_intake!$T$2:$T$401,MATCH($B39,brand_intake!$A$2:$A$401,0))),""),IFERROR(IF(INDEX(brand_intake_founder!$T$2:$T$81,MATCH($B39,brand_intake_founder!$A$2:$A$81,0))="","",INDEX(brand_intake_founder!$T$2:$T$81,MATCH($B39,brand_intake_founder!$A$2:$A$81,0))),"")))</f>
        <v/>
      </c>
      <c r="AA39" s="25">
        <f>IF($B39="","",IF(COUNTIF(brand_intake!$A$2:$A$401,$B39)&gt;0,IFERROR(IF(INDEX(brand_intake!$U$2:$U$401,MATCH($B39,brand_intake!$A$2:$A$401,0))="","",INDEX(brand_intake!$U$2:$U$401,MATCH($B39,brand_intake!$A$2:$A$401,0))),""),IFERROR(IF(INDEX(brand_intake_founder!$U$2:$U$81,MATCH($B39,brand_intake_founder!$A$2:$A$81,0))="","",INDEX(brand_intake_founder!$U$2:$U$81,MATCH($B39,brand_intake_founder!$A$2:$A$81,0))),"")))</f>
        <v/>
      </c>
      <c r="AB39" s="25">
        <f>IF($B39="","",IF(COUNTIF(brand_intake!$A$2:$A$401,$B39)&gt;0,IFERROR(IF(INDEX(brand_intake!$V$2:$V$401,MATCH($B39,brand_intake!$A$2:$A$401,0))="","",INDEX(brand_intake!$V$2:$V$401,MATCH($B39,brand_intake!$A$2:$A$401,0))),""),IFERROR(IF(INDEX(brand_intake_founder!$V$2:$V$81,MATCH($B39,brand_intake_founder!$A$2:$A$81,0))="","",INDEX(brand_intake_founder!$V$2:$V$81,MATCH($B39,brand_intake_founder!$A$2:$A$81,0))),"")))</f>
        <v/>
      </c>
      <c r="AC39" s="25">
        <f>IF($B39="","",IF(COUNTIF(brand_intake!$A$2:$A$401,$B39)&gt;0,IFERROR(IF(INDEX(brand_intake!$W$2:$W$401,MATCH($B39,brand_intake!$A$2:$A$401,0))="","",INDEX(brand_intake!$W$2:$W$401,MATCH($B39,brand_intake!$A$2:$A$401,0))),""),IFERROR(IF(INDEX(brand_intake_founder!$W$2:$W$81,MATCH($B39,brand_intake_founder!$A$2:$A$81,0))="","",INDEX(brand_intake_founder!$W$2:$W$81,MATCH($B39,brand_intake_founder!$A$2:$A$81,0))),"")))</f>
        <v/>
      </c>
      <c r="AD39" s="25">
        <f>IF($B39="","",IF(COUNTIF(brand_intake!$A$2:$A$401,$B39)&gt;0,IFERROR(IF(INDEX(brand_intake!$X$2:$X$401,MATCH($B39,brand_intake!$A$2:$A$401,0))="","",INDEX(brand_intake!$X$2:$X$401,MATCH($B39,brand_intake!$A$2:$A$401,0))),""),IFERROR(IF(INDEX(brand_intake_founder!$X$2:$X$81,MATCH($B39,brand_intake_founder!$A$2:$A$81,0))="","",INDEX(brand_intake_founder!$X$2:$X$81,MATCH($B39,brand_intake_founder!$A$2:$A$81,0))),"")))</f>
        <v/>
      </c>
      <c r="AE39" s="25">
        <f>IF($B39="","",IF(COUNTIF(brand_intake!$A$2:$A$401,$B39)&gt;0,IFERROR(IF(INDEX(brand_intake!$Y$2:$Y$401,MATCH($B39,brand_intake!$A$2:$A$401,0))="","",INDEX(brand_intake!$Y$2:$Y$401,MATCH($B39,brand_intake!$A$2:$A$401,0))),""),IFERROR(IF(INDEX(brand_intake_founder!$Y$2:$Y$81,MATCH($B39,brand_intake_founder!$A$2:$A$81,0))="","",INDEX(brand_intake_founder!$Y$2:$Y$81,MATCH($B39,brand_intake_founder!$A$2:$A$81,0))),"")))</f>
        <v/>
      </c>
      <c r="AF39" s="25">
        <f>IF($B39="","",($X39="Y")+($Y39="Y")+($Z39="Y")+($AA39="Y")+($AB39="Y")+($AC39="Y")+(LEN($AD39)&gt;0))</f>
        <v/>
      </c>
      <c r="AG39" s="25">
        <f>IF($B39="","",IF(AND($AF39=7,$AE39="Y"),"Y (as answered)","N: check "&amp;IF($X39&lt;&gt;"Y","1 ","")&amp;IF($Y39&lt;&gt;"Y","2 ","")&amp;IF($Z39&lt;&gt;"Y","3 ","")&amp;IF($AA39&lt;&gt;"Y","4 ","")&amp;IF($AB39&lt;&gt;"Y","5 ","")&amp;IF($AC39&lt;&gt;"Y","6 ","")&amp;IF(LEN($AD39)=0,"7 ","")&amp;IF($AE39&lt;&gt;"Y","excluded? ","")))</f>
        <v/>
      </c>
      <c r="AH39" s="25">
        <f>IF($A39="","",COUNTIF(campaigns!$C$2:$C$51,$A39))</f>
        <v/>
      </c>
      <c r="AI39" s="25">
        <f>IF(OR($A39="",SUMIFS(campaigns!$H$2:$H$51,campaigns!$C$2:$C$51,$A39,campaigns!$D$2:$D$51,"founding",campaigns!$E$2:$E$51,"&lt;&gt;Y")=0),"",COUNTIFS(campaigns!$D$2:$D$51,"founding",campaigns!$E$2:$E$51,"&lt;&gt;Y",campaigns!$H$2:$H$51,"&lt;="&amp;SUMIFS(campaigns!$H$2:$H$51,campaigns!$C$2:$C$51,$A39,campaigns!$D$2:$D$51,"founding",campaigns!$E$2:$E$51,"&lt;&gt;Y"),campaigns!$H$2:$H$51,"&gt;0"))</f>
        <v/>
      </c>
      <c r="AJ39" s="25">
        <f>IF(OR($A39="",NOT(IFERROR(COUNTIF(INDEX(in_paid_brands!$A$2:$BZ$81,0,MATCH("brand_id",in_paid_brands!$A$1:$BZ$1,0)),$A39),0)&gt;0)),"",IF(IFERROR(IF(INDEX(in_paid_brands!$A$2:$BZ$81,MATCH($A39,INDEX(in_paid_brands!$A$2:$BZ$81,0,MATCH("brand_id",in_paid_brands!$A$1:$BZ$1,0)),0),MATCH("campaign_id",in_paid_brands!$A$1:$BZ$1,0))="","",INDEX(in_paid_brands!$A$2:$BZ$81,MATCH($A39,INDEX(in_paid_brands!$A$2:$BZ$81,0,MATCH("brand_id",in_paid_brands!$A$1:$BZ$1,0)),0),MATCH("campaign_id",in_paid_brands!$A$1:$BZ$1,0))),"")="","E's paid_brands row has no campaign_id: type the CMP-### there; ",IF(OR(ABS(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gt;0.005,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payment 1 differs: E "&amp;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amp;" on "&amp;IF(N(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0,"none",TEXT(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yyyy-mm-dd"))&amp;"; ","")&amp;IF(OR(ABS(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gt;0.005,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payment 2 differs: E "&amp;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amp;" on "&amp;IF(N(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0,"none",TEXT(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yyyy-mm-dd"))&amp;"; ","")))</f>
        <v/>
      </c>
    </row>
    <row r="40">
      <c r="B40" s="30" t="n"/>
      <c r="H40" s="9" t="n"/>
      <c r="K40" s="25">
        <f>IF($B40="","",IF(COUNTIF(brand_intake!$A$2:$A$401,$B40)&gt;0,IFERROR(IF(INDEX(brand_intake!$C$2:$C$401,MATCH($B40,brand_intake!$A$2:$A$401,0))="","",INDEX(brand_intake!$C$2:$C$401,MATCH($B40,brand_intake!$A$2:$A$401,0))),""),IFERROR(IF(INDEX(brand_intake_founder!$C$2:$C$81,MATCH($B40,brand_intake_founder!$A$2:$A$81,0))="","",INDEX(brand_intake_founder!$C$2:$C$81,MATCH($B40,brand_intake_founder!$A$2:$A$81,0))),"")))</f>
        <v/>
      </c>
      <c r="L40" s="25">
        <f>IF($B40="","",IF(COUNTIF(brand_intake!$A$2:$A$401,$B40)&gt;0,IFERROR(IF(INDEX(brand_intake!$D$2:$D$401,MATCH($B40,brand_intake!$A$2:$A$401,0))="","",INDEX(brand_intake!$D$2:$D$401,MATCH($B40,brand_intake!$A$2:$A$401,0))),""),IFERROR(IF(INDEX(brand_intake_founder!$D$2:$D$81,MATCH($B40,brand_intake_founder!$A$2:$A$81,0))="","",INDEX(brand_intake_founder!$D$2:$D$81,MATCH($B40,brand_intake_founder!$A$2:$A$81,0))),"")))</f>
        <v/>
      </c>
      <c r="M40" s="25">
        <f>IF($B40="","",IF(COUNTIF(brand_intake!$A$2:$A$401,$B40)&gt;0,IFERROR(IF(INDEX(brand_intake!$J$2:$J$401,MATCH($B40,brand_intake!$A$2:$A$401,0))="","",INDEX(brand_intake!$J$2:$J$401,MATCH($B40,brand_intake!$A$2:$A$401,0))),""),IFERROR(IF(INDEX(brand_intake_founder!$J$2:$J$81,MATCH($B40,brand_intake_founder!$A$2:$A$81,0))="","",INDEX(brand_intake_founder!$J$2:$J$81,MATCH($B40,brand_intake_founder!$A$2:$A$81,0))),"")))</f>
        <v/>
      </c>
      <c r="N40" s="25">
        <f>IF($B40="","",IF(COUNTIF(brand_intake!$A$2:$A$401,$B40)&gt;0,IFERROR(IF(INDEX(brand_intake!$I$2:$I$401,MATCH($B40,brand_intake!$A$2:$A$401,0))="","",INDEX(brand_intake!$I$2:$I$401,MATCH($B40,brand_intake!$A$2:$A$401,0))),""),IFERROR(IF(INDEX(brand_intake_founder!$I$2:$I$81,MATCH($B40,brand_intake_founder!$A$2:$A$81,0))="","",INDEX(brand_intake_founder!$I$2:$I$81,MATCH($B40,brand_intake_founder!$A$2:$A$81,0))),"")))</f>
        <v/>
      </c>
      <c r="O40" s="25">
        <f>IF($B40="","",IF(COUNTIF(brand_intake!$A$2:$A$401,$B40)&gt;0,IFERROR(IF(INDEX(brand_intake!$K$2:$K$401,MATCH($B40,brand_intake!$A$2:$A$401,0))="","",INDEX(brand_intake!$K$2:$K$401,MATCH($B40,brand_intake!$A$2:$A$401,0))),""),IFERROR(IF(INDEX(brand_intake_founder!$K$2:$K$81,MATCH($B40,brand_intake_founder!$A$2:$A$81,0))="","",INDEX(brand_intake_founder!$K$2:$K$81,MATCH($B40,brand_intake_founder!$A$2:$A$81,0))),"")))</f>
        <v/>
      </c>
      <c r="P40" s="25">
        <f>IF($B40="","",IF(COUNTIF(brand_intake!$A$2:$A$401,$B40)&gt;0,IFERROR(IF(INDEX(brand_intake!$E$2:$E$401,MATCH($B40,brand_intake!$A$2:$A$401,0))="","",INDEX(brand_intake!$E$2:$E$401,MATCH($B40,brand_intake!$A$2:$A$401,0))),""),IFERROR(IF(INDEX(brand_intake_founder!$E$2:$E$81,MATCH($B40,brand_intake_founder!$A$2:$A$81,0))="","",INDEX(brand_intake_founder!$E$2:$E$81,MATCH($B40,brand_intake_founder!$A$2:$A$81,0))),"")))</f>
        <v/>
      </c>
      <c r="Q40" s="25">
        <f>IF($B40="","",IF(COUNTIF(brand_intake!$A$2:$A$401,$B40)&gt;0,IFERROR(IF(INDEX(brand_intake!$F$2:$F$401,MATCH($B40,brand_intake!$A$2:$A$401,0))="","",INDEX(brand_intake!$F$2:$F$401,MATCH($B40,brand_intake!$A$2:$A$401,0))),""),IFERROR(IF(INDEX(brand_intake_founder!$F$2:$F$81,MATCH($B40,brand_intake_founder!$A$2:$A$81,0))="","",INDEX(brand_intake_founder!$F$2:$F$81,MATCH($B40,brand_intake_founder!$A$2:$A$81,0))),"")))</f>
        <v/>
      </c>
      <c r="R40" s="25">
        <f>IF($B40="","",IF(COUNTIF(brand_intake!$A$2:$A$401,$B40)&gt;0,IFERROR(IF(INDEX(brand_intake!$G$2:$G$401,MATCH($B40,brand_intake!$A$2:$A$401,0))="","",INDEX(brand_intake!$G$2:$G$401,MATCH($B40,brand_intake!$A$2:$A$401,0))),""),IFERROR(IF(INDEX(brand_intake_founder!$G$2:$G$81,MATCH($B40,brand_intake_founder!$A$2:$A$81,0))="","",INDEX(brand_intake_founder!$G$2:$G$81,MATCH($B40,brand_intake_founder!$A$2:$A$81,0))),"")))</f>
        <v/>
      </c>
      <c r="S40" s="25">
        <f>IF($B40="","",IF(COUNTIF(brand_intake!$A$2:$A$401,$B40)&gt;0,IFERROR(IF(INDEX(brand_intake!$H$2:$H$401,MATCH($B40,brand_intake!$A$2:$A$401,0))="","",INDEX(brand_intake!$H$2:$H$401,MATCH($B40,brand_intake!$A$2:$A$401,0))),""),IFERROR(IF(INDEX(brand_intake_founder!$H$2:$H$81,MATCH($B40,brand_intake_founder!$A$2:$A$81,0))="","",INDEX(brand_intake_founder!$H$2:$H$81,MATCH($B40,brand_intake_founder!$A$2:$A$81,0))),"")))</f>
        <v/>
      </c>
      <c r="T40" s="25">
        <f>IF($B40="","",IF(COUNTIF(brand_intake!$A$2:$A$401,$B40)&gt;0,IFERROR(IF(INDEX(brand_intake!$M$2:$M$401,MATCH($B40,brand_intake!$A$2:$A$401,0))="","",INDEX(brand_intake!$M$2:$M$401,MATCH($B40,brand_intake!$A$2:$A$401,0))),""),IFERROR(IF(INDEX(brand_intake_founder!$M$2:$M$81,MATCH($B40,brand_intake_founder!$A$2:$A$81,0))="","",INDEX(brand_intake_founder!$M$2:$M$81,MATCH($B40,brand_intake_founder!$A$2:$A$81,0))),"")))</f>
        <v/>
      </c>
      <c r="U40" s="25">
        <f>IF($B40="","",IF(COUNTIF(brand_intake!$A$2:$A$401,$B40)&gt;0,IFERROR(IF(INDEX(brand_intake!$L$2:$L$401,MATCH($B40,brand_intake!$A$2:$A$401,0))="","",INDEX(brand_intake!$L$2:$L$401,MATCH($B40,brand_intake!$A$2:$A$401,0))),""),IFERROR(IF(INDEX(brand_intake_founder!$L$2:$L$81,MATCH($B40,brand_intake_founder!$A$2:$A$81,0))="","",INDEX(brand_intake_founder!$L$2:$L$81,MATCH($B40,brand_intake_founder!$A$2:$A$81,0))),"")))</f>
        <v/>
      </c>
      <c r="V40" s="25">
        <f>IF($B40="","",IF(COUNTIF(brand_intake!$A$2:$A$401,$B40)&gt;0,IFERROR(IF(INDEX(brand_intake!$N$2:$N$401,MATCH($B40,brand_intake!$A$2:$A$401,0))="","",INDEX(brand_intake!$N$2:$N$401,MATCH($B40,brand_intake!$A$2:$A$401,0))),""),IFERROR(IF(INDEX(brand_intake_founder!$N$2:$N$81,MATCH($B40,brand_intake_founder!$A$2:$A$81,0))="","",INDEX(brand_intake_founder!$N$2:$N$81,MATCH($B40,brand_intake_founder!$A$2:$A$81,0))),"")))</f>
        <v/>
      </c>
      <c r="W40" s="25">
        <f>IF($B40="","",IF(COUNTIF(brand_intake!$A$2:$A$401,$B40)&gt;0,IFERROR(IF(INDEX(brand_intake!$Q$2:$Q$401,MATCH($B40,brand_intake!$A$2:$A$401,0))="","",INDEX(brand_intake!$Q$2:$Q$401,MATCH($B40,brand_intake!$A$2:$A$401,0))),""),IFERROR(IF(INDEX(brand_intake_founder!$Q$2:$Q$81,MATCH($B40,brand_intake_founder!$A$2:$A$81,0))="","",INDEX(brand_intake_founder!$Q$2:$Q$81,MATCH($B40,brand_intake_founder!$A$2:$A$81,0))),"")))</f>
        <v/>
      </c>
      <c r="X40" s="25">
        <f>IF($B40="","",IF(COUNTIF(brand_intake!$A$2:$A$401,$B40)&gt;0,IFERROR(IF(INDEX(brand_intake!$R$2:$R$401,MATCH($B40,brand_intake!$A$2:$A$401,0))="","",INDEX(brand_intake!$R$2:$R$401,MATCH($B40,brand_intake!$A$2:$A$401,0))),""),IFERROR(IF(INDEX(brand_intake_founder!$R$2:$R$81,MATCH($B40,brand_intake_founder!$A$2:$A$81,0))="","",INDEX(brand_intake_founder!$R$2:$R$81,MATCH($B40,brand_intake_founder!$A$2:$A$81,0))),"")))</f>
        <v/>
      </c>
      <c r="Y40" s="25">
        <f>IF($B40="","",IF(COUNTIF(brand_intake!$A$2:$A$401,$B40)&gt;0,IFERROR(IF(INDEX(brand_intake!$S$2:$S$401,MATCH($B40,brand_intake!$A$2:$A$401,0))="","",INDEX(brand_intake!$S$2:$S$401,MATCH($B40,brand_intake!$A$2:$A$401,0))),""),IFERROR(IF(INDEX(brand_intake_founder!$S$2:$S$81,MATCH($B40,brand_intake_founder!$A$2:$A$81,0))="","",INDEX(brand_intake_founder!$S$2:$S$81,MATCH($B40,brand_intake_founder!$A$2:$A$81,0))),"")))</f>
        <v/>
      </c>
      <c r="Z40" s="25">
        <f>IF($B40="","",IF(COUNTIF(brand_intake!$A$2:$A$401,$B40)&gt;0,IFERROR(IF(INDEX(brand_intake!$T$2:$T$401,MATCH($B40,brand_intake!$A$2:$A$401,0))="","",INDEX(brand_intake!$T$2:$T$401,MATCH($B40,brand_intake!$A$2:$A$401,0))),""),IFERROR(IF(INDEX(brand_intake_founder!$T$2:$T$81,MATCH($B40,brand_intake_founder!$A$2:$A$81,0))="","",INDEX(brand_intake_founder!$T$2:$T$81,MATCH($B40,brand_intake_founder!$A$2:$A$81,0))),"")))</f>
        <v/>
      </c>
      <c r="AA40" s="25">
        <f>IF($B40="","",IF(COUNTIF(brand_intake!$A$2:$A$401,$B40)&gt;0,IFERROR(IF(INDEX(brand_intake!$U$2:$U$401,MATCH($B40,brand_intake!$A$2:$A$401,0))="","",INDEX(brand_intake!$U$2:$U$401,MATCH($B40,brand_intake!$A$2:$A$401,0))),""),IFERROR(IF(INDEX(brand_intake_founder!$U$2:$U$81,MATCH($B40,brand_intake_founder!$A$2:$A$81,0))="","",INDEX(brand_intake_founder!$U$2:$U$81,MATCH($B40,brand_intake_founder!$A$2:$A$81,0))),"")))</f>
        <v/>
      </c>
      <c r="AB40" s="25">
        <f>IF($B40="","",IF(COUNTIF(brand_intake!$A$2:$A$401,$B40)&gt;0,IFERROR(IF(INDEX(brand_intake!$V$2:$V$401,MATCH($B40,brand_intake!$A$2:$A$401,0))="","",INDEX(brand_intake!$V$2:$V$401,MATCH($B40,brand_intake!$A$2:$A$401,0))),""),IFERROR(IF(INDEX(brand_intake_founder!$V$2:$V$81,MATCH($B40,brand_intake_founder!$A$2:$A$81,0))="","",INDEX(brand_intake_founder!$V$2:$V$81,MATCH($B40,brand_intake_founder!$A$2:$A$81,0))),"")))</f>
        <v/>
      </c>
      <c r="AC40" s="25">
        <f>IF($B40="","",IF(COUNTIF(brand_intake!$A$2:$A$401,$B40)&gt;0,IFERROR(IF(INDEX(brand_intake!$W$2:$W$401,MATCH($B40,brand_intake!$A$2:$A$401,0))="","",INDEX(brand_intake!$W$2:$W$401,MATCH($B40,brand_intake!$A$2:$A$401,0))),""),IFERROR(IF(INDEX(brand_intake_founder!$W$2:$W$81,MATCH($B40,brand_intake_founder!$A$2:$A$81,0))="","",INDEX(brand_intake_founder!$W$2:$W$81,MATCH($B40,brand_intake_founder!$A$2:$A$81,0))),"")))</f>
        <v/>
      </c>
      <c r="AD40" s="25">
        <f>IF($B40="","",IF(COUNTIF(brand_intake!$A$2:$A$401,$B40)&gt;0,IFERROR(IF(INDEX(brand_intake!$X$2:$X$401,MATCH($B40,brand_intake!$A$2:$A$401,0))="","",INDEX(brand_intake!$X$2:$X$401,MATCH($B40,brand_intake!$A$2:$A$401,0))),""),IFERROR(IF(INDEX(brand_intake_founder!$X$2:$X$81,MATCH($B40,brand_intake_founder!$A$2:$A$81,0))="","",INDEX(brand_intake_founder!$X$2:$X$81,MATCH($B40,brand_intake_founder!$A$2:$A$81,0))),"")))</f>
        <v/>
      </c>
      <c r="AE40" s="25">
        <f>IF($B40="","",IF(COUNTIF(brand_intake!$A$2:$A$401,$B40)&gt;0,IFERROR(IF(INDEX(brand_intake!$Y$2:$Y$401,MATCH($B40,brand_intake!$A$2:$A$401,0))="","",INDEX(brand_intake!$Y$2:$Y$401,MATCH($B40,brand_intake!$A$2:$A$401,0))),""),IFERROR(IF(INDEX(brand_intake_founder!$Y$2:$Y$81,MATCH($B40,brand_intake_founder!$A$2:$A$81,0))="","",INDEX(brand_intake_founder!$Y$2:$Y$81,MATCH($B40,brand_intake_founder!$A$2:$A$81,0))),"")))</f>
        <v/>
      </c>
      <c r="AF40" s="25">
        <f>IF($B40="","",($X40="Y")+($Y40="Y")+($Z40="Y")+($AA40="Y")+($AB40="Y")+($AC40="Y")+(LEN($AD40)&gt;0))</f>
        <v/>
      </c>
      <c r="AG40" s="25">
        <f>IF($B40="","",IF(AND($AF40=7,$AE40="Y"),"Y (as answered)","N: check "&amp;IF($X40&lt;&gt;"Y","1 ","")&amp;IF($Y40&lt;&gt;"Y","2 ","")&amp;IF($Z40&lt;&gt;"Y","3 ","")&amp;IF($AA40&lt;&gt;"Y","4 ","")&amp;IF($AB40&lt;&gt;"Y","5 ","")&amp;IF($AC40&lt;&gt;"Y","6 ","")&amp;IF(LEN($AD40)=0,"7 ","")&amp;IF($AE40&lt;&gt;"Y","excluded? ","")))</f>
        <v/>
      </c>
      <c r="AH40" s="25">
        <f>IF($A40="","",COUNTIF(campaigns!$C$2:$C$51,$A40))</f>
        <v/>
      </c>
      <c r="AI40" s="25">
        <f>IF(OR($A40="",SUMIFS(campaigns!$H$2:$H$51,campaigns!$C$2:$C$51,$A40,campaigns!$D$2:$D$51,"founding",campaigns!$E$2:$E$51,"&lt;&gt;Y")=0),"",COUNTIFS(campaigns!$D$2:$D$51,"founding",campaigns!$E$2:$E$51,"&lt;&gt;Y",campaigns!$H$2:$H$51,"&lt;="&amp;SUMIFS(campaigns!$H$2:$H$51,campaigns!$C$2:$C$51,$A40,campaigns!$D$2:$D$51,"founding",campaigns!$E$2:$E$51,"&lt;&gt;Y"),campaigns!$H$2:$H$51,"&gt;0"))</f>
        <v/>
      </c>
      <c r="AJ40" s="25">
        <f>IF(OR($A40="",NOT(IFERROR(COUNTIF(INDEX(in_paid_brands!$A$2:$BZ$81,0,MATCH("brand_id",in_paid_brands!$A$1:$BZ$1,0)),$A40),0)&gt;0)),"",IF(IFERROR(IF(INDEX(in_paid_brands!$A$2:$BZ$81,MATCH($A40,INDEX(in_paid_brands!$A$2:$BZ$81,0,MATCH("brand_id",in_paid_brands!$A$1:$BZ$1,0)),0),MATCH("campaign_id",in_paid_brands!$A$1:$BZ$1,0))="","",INDEX(in_paid_brands!$A$2:$BZ$81,MATCH($A40,INDEX(in_paid_brands!$A$2:$BZ$81,0,MATCH("brand_id",in_paid_brands!$A$1:$BZ$1,0)),0),MATCH("campaign_id",in_paid_brands!$A$1:$BZ$1,0))),"")="","E's paid_brands row has no campaign_id: type the CMP-### there; ",IF(OR(ABS(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gt;0.005,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payment 1 differs: E "&amp;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amp;" on "&amp;IF(N(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0,"none",TEXT(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yyyy-mm-dd"))&amp;"; ","")&amp;IF(OR(ABS(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gt;0.005,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payment 2 differs: E "&amp;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amp;" on "&amp;IF(N(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0,"none",TEXT(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yyyy-mm-dd"))&amp;"; ","")))</f>
        <v/>
      </c>
    </row>
    <row r="41">
      <c r="B41" s="30" t="n"/>
      <c r="H41" s="9" t="n"/>
      <c r="K41" s="25">
        <f>IF($B41="","",IF(COUNTIF(brand_intake!$A$2:$A$401,$B41)&gt;0,IFERROR(IF(INDEX(brand_intake!$C$2:$C$401,MATCH($B41,brand_intake!$A$2:$A$401,0))="","",INDEX(brand_intake!$C$2:$C$401,MATCH($B41,brand_intake!$A$2:$A$401,0))),""),IFERROR(IF(INDEX(brand_intake_founder!$C$2:$C$81,MATCH($B41,brand_intake_founder!$A$2:$A$81,0))="","",INDEX(brand_intake_founder!$C$2:$C$81,MATCH($B41,brand_intake_founder!$A$2:$A$81,0))),"")))</f>
        <v/>
      </c>
      <c r="L41" s="25">
        <f>IF($B41="","",IF(COUNTIF(brand_intake!$A$2:$A$401,$B41)&gt;0,IFERROR(IF(INDEX(brand_intake!$D$2:$D$401,MATCH($B41,brand_intake!$A$2:$A$401,0))="","",INDEX(brand_intake!$D$2:$D$401,MATCH($B41,brand_intake!$A$2:$A$401,0))),""),IFERROR(IF(INDEX(brand_intake_founder!$D$2:$D$81,MATCH($B41,brand_intake_founder!$A$2:$A$81,0))="","",INDEX(brand_intake_founder!$D$2:$D$81,MATCH($B41,brand_intake_founder!$A$2:$A$81,0))),"")))</f>
        <v/>
      </c>
      <c r="M41" s="25">
        <f>IF($B41="","",IF(COUNTIF(brand_intake!$A$2:$A$401,$B41)&gt;0,IFERROR(IF(INDEX(brand_intake!$J$2:$J$401,MATCH($B41,brand_intake!$A$2:$A$401,0))="","",INDEX(brand_intake!$J$2:$J$401,MATCH($B41,brand_intake!$A$2:$A$401,0))),""),IFERROR(IF(INDEX(brand_intake_founder!$J$2:$J$81,MATCH($B41,brand_intake_founder!$A$2:$A$81,0))="","",INDEX(brand_intake_founder!$J$2:$J$81,MATCH($B41,brand_intake_founder!$A$2:$A$81,0))),"")))</f>
        <v/>
      </c>
      <c r="N41" s="25">
        <f>IF($B41="","",IF(COUNTIF(brand_intake!$A$2:$A$401,$B41)&gt;0,IFERROR(IF(INDEX(brand_intake!$I$2:$I$401,MATCH($B41,brand_intake!$A$2:$A$401,0))="","",INDEX(brand_intake!$I$2:$I$401,MATCH($B41,brand_intake!$A$2:$A$401,0))),""),IFERROR(IF(INDEX(brand_intake_founder!$I$2:$I$81,MATCH($B41,brand_intake_founder!$A$2:$A$81,0))="","",INDEX(brand_intake_founder!$I$2:$I$81,MATCH($B41,brand_intake_founder!$A$2:$A$81,0))),"")))</f>
        <v/>
      </c>
      <c r="O41" s="25">
        <f>IF($B41="","",IF(COUNTIF(brand_intake!$A$2:$A$401,$B41)&gt;0,IFERROR(IF(INDEX(brand_intake!$K$2:$K$401,MATCH($B41,brand_intake!$A$2:$A$401,0))="","",INDEX(brand_intake!$K$2:$K$401,MATCH($B41,brand_intake!$A$2:$A$401,0))),""),IFERROR(IF(INDEX(brand_intake_founder!$K$2:$K$81,MATCH($B41,brand_intake_founder!$A$2:$A$81,0))="","",INDEX(brand_intake_founder!$K$2:$K$81,MATCH($B41,brand_intake_founder!$A$2:$A$81,0))),"")))</f>
        <v/>
      </c>
      <c r="P41" s="25">
        <f>IF($B41="","",IF(COUNTIF(brand_intake!$A$2:$A$401,$B41)&gt;0,IFERROR(IF(INDEX(brand_intake!$E$2:$E$401,MATCH($B41,brand_intake!$A$2:$A$401,0))="","",INDEX(brand_intake!$E$2:$E$401,MATCH($B41,brand_intake!$A$2:$A$401,0))),""),IFERROR(IF(INDEX(brand_intake_founder!$E$2:$E$81,MATCH($B41,brand_intake_founder!$A$2:$A$81,0))="","",INDEX(brand_intake_founder!$E$2:$E$81,MATCH($B41,brand_intake_founder!$A$2:$A$81,0))),"")))</f>
        <v/>
      </c>
      <c r="Q41" s="25">
        <f>IF($B41="","",IF(COUNTIF(brand_intake!$A$2:$A$401,$B41)&gt;0,IFERROR(IF(INDEX(brand_intake!$F$2:$F$401,MATCH($B41,brand_intake!$A$2:$A$401,0))="","",INDEX(brand_intake!$F$2:$F$401,MATCH($B41,brand_intake!$A$2:$A$401,0))),""),IFERROR(IF(INDEX(brand_intake_founder!$F$2:$F$81,MATCH($B41,brand_intake_founder!$A$2:$A$81,0))="","",INDEX(brand_intake_founder!$F$2:$F$81,MATCH($B41,brand_intake_founder!$A$2:$A$81,0))),"")))</f>
        <v/>
      </c>
      <c r="R41" s="25">
        <f>IF($B41="","",IF(COUNTIF(brand_intake!$A$2:$A$401,$B41)&gt;0,IFERROR(IF(INDEX(brand_intake!$G$2:$G$401,MATCH($B41,brand_intake!$A$2:$A$401,0))="","",INDEX(brand_intake!$G$2:$G$401,MATCH($B41,brand_intake!$A$2:$A$401,0))),""),IFERROR(IF(INDEX(brand_intake_founder!$G$2:$G$81,MATCH($B41,brand_intake_founder!$A$2:$A$81,0))="","",INDEX(brand_intake_founder!$G$2:$G$81,MATCH($B41,brand_intake_founder!$A$2:$A$81,0))),"")))</f>
        <v/>
      </c>
      <c r="S41" s="25">
        <f>IF($B41="","",IF(COUNTIF(brand_intake!$A$2:$A$401,$B41)&gt;0,IFERROR(IF(INDEX(brand_intake!$H$2:$H$401,MATCH($B41,brand_intake!$A$2:$A$401,0))="","",INDEX(brand_intake!$H$2:$H$401,MATCH($B41,brand_intake!$A$2:$A$401,0))),""),IFERROR(IF(INDEX(brand_intake_founder!$H$2:$H$81,MATCH($B41,brand_intake_founder!$A$2:$A$81,0))="","",INDEX(brand_intake_founder!$H$2:$H$81,MATCH($B41,brand_intake_founder!$A$2:$A$81,0))),"")))</f>
        <v/>
      </c>
      <c r="T41" s="25">
        <f>IF($B41="","",IF(COUNTIF(brand_intake!$A$2:$A$401,$B41)&gt;0,IFERROR(IF(INDEX(brand_intake!$M$2:$M$401,MATCH($B41,brand_intake!$A$2:$A$401,0))="","",INDEX(brand_intake!$M$2:$M$401,MATCH($B41,brand_intake!$A$2:$A$401,0))),""),IFERROR(IF(INDEX(brand_intake_founder!$M$2:$M$81,MATCH($B41,brand_intake_founder!$A$2:$A$81,0))="","",INDEX(brand_intake_founder!$M$2:$M$81,MATCH($B41,brand_intake_founder!$A$2:$A$81,0))),"")))</f>
        <v/>
      </c>
      <c r="U41" s="25">
        <f>IF($B41="","",IF(COUNTIF(brand_intake!$A$2:$A$401,$B41)&gt;0,IFERROR(IF(INDEX(brand_intake!$L$2:$L$401,MATCH($B41,brand_intake!$A$2:$A$401,0))="","",INDEX(brand_intake!$L$2:$L$401,MATCH($B41,brand_intake!$A$2:$A$401,0))),""),IFERROR(IF(INDEX(brand_intake_founder!$L$2:$L$81,MATCH($B41,brand_intake_founder!$A$2:$A$81,0))="","",INDEX(brand_intake_founder!$L$2:$L$81,MATCH($B41,brand_intake_founder!$A$2:$A$81,0))),"")))</f>
        <v/>
      </c>
      <c r="V41" s="25">
        <f>IF($B41="","",IF(COUNTIF(brand_intake!$A$2:$A$401,$B41)&gt;0,IFERROR(IF(INDEX(brand_intake!$N$2:$N$401,MATCH($B41,brand_intake!$A$2:$A$401,0))="","",INDEX(brand_intake!$N$2:$N$401,MATCH($B41,brand_intake!$A$2:$A$401,0))),""),IFERROR(IF(INDEX(brand_intake_founder!$N$2:$N$81,MATCH($B41,brand_intake_founder!$A$2:$A$81,0))="","",INDEX(brand_intake_founder!$N$2:$N$81,MATCH($B41,brand_intake_founder!$A$2:$A$81,0))),"")))</f>
        <v/>
      </c>
      <c r="W41" s="25">
        <f>IF($B41="","",IF(COUNTIF(brand_intake!$A$2:$A$401,$B41)&gt;0,IFERROR(IF(INDEX(brand_intake!$Q$2:$Q$401,MATCH($B41,brand_intake!$A$2:$A$401,0))="","",INDEX(brand_intake!$Q$2:$Q$401,MATCH($B41,brand_intake!$A$2:$A$401,0))),""),IFERROR(IF(INDEX(brand_intake_founder!$Q$2:$Q$81,MATCH($B41,brand_intake_founder!$A$2:$A$81,0))="","",INDEX(brand_intake_founder!$Q$2:$Q$81,MATCH($B41,brand_intake_founder!$A$2:$A$81,0))),"")))</f>
        <v/>
      </c>
      <c r="X41" s="25">
        <f>IF($B41="","",IF(COUNTIF(brand_intake!$A$2:$A$401,$B41)&gt;0,IFERROR(IF(INDEX(brand_intake!$R$2:$R$401,MATCH($B41,brand_intake!$A$2:$A$401,0))="","",INDEX(brand_intake!$R$2:$R$401,MATCH($B41,brand_intake!$A$2:$A$401,0))),""),IFERROR(IF(INDEX(brand_intake_founder!$R$2:$R$81,MATCH($B41,brand_intake_founder!$A$2:$A$81,0))="","",INDEX(brand_intake_founder!$R$2:$R$81,MATCH($B41,brand_intake_founder!$A$2:$A$81,0))),"")))</f>
        <v/>
      </c>
      <c r="Y41" s="25">
        <f>IF($B41="","",IF(COUNTIF(brand_intake!$A$2:$A$401,$B41)&gt;0,IFERROR(IF(INDEX(brand_intake!$S$2:$S$401,MATCH($B41,brand_intake!$A$2:$A$401,0))="","",INDEX(brand_intake!$S$2:$S$401,MATCH($B41,brand_intake!$A$2:$A$401,0))),""),IFERROR(IF(INDEX(brand_intake_founder!$S$2:$S$81,MATCH($B41,brand_intake_founder!$A$2:$A$81,0))="","",INDEX(brand_intake_founder!$S$2:$S$81,MATCH($B41,brand_intake_founder!$A$2:$A$81,0))),"")))</f>
        <v/>
      </c>
      <c r="Z41" s="25">
        <f>IF($B41="","",IF(COUNTIF(brand_intake!$A$2:$A$401,$B41)&gt;0,IFERROR(IF(INDEX(brand_intake!$T$2:$T$401,MATCH($B41,brand_intake!$A$2:$A$401,0))="","",INDEX(brand_intake!$T$2:$T$401,MATCH($B41,brand_intake!$A$2:$A$401,0))),""),IFERROR(IF(INDEX(brand_intake_founder!$T$2:$T$81,MATCH($B41,brand_intake_founder!$A$2:$A$81,0))="","",INDEX(brand_intake_founder!$T$2:$T$81,MATCH($B41,brand_intake_founder!$A$2:$A$81,0))),"")))</f>
        <v/>
      </c>
      <c r="AA41" s="25">
        <f>IF($B41="","",IF(COUNTIF(brand_intake!$A$2:$A$401,$B41)&gt;0,IFERROR(IF(INDEX(brand_intake!$U$2:$U$401,MATCH($B41,brand_intake!$A$2:$A$401,0))="","",INDEX(brand_intake!$U$2:$U$401,MATCH($B41,brand_intake!$A$2:$A$401,0))),""),IFERROR(IF(INDEX(brand_intake_founder!$U$2:$U$81,MATCH($B41,brand_intake_founder!$A$2:$A$81,0))="","",INDEX(brand_intake_founder!$U$2:$U$81,MATCH($B41,brand_intake_founder!$A$2:$A$81,0))),"")))</f>
        <v/>
      </c>
      <c r="AB41" s="25">
        <f>IF($B41="","",IF(COUNTIF(brand_intake!$A$2:$A$401,$B41)&gt;0,IFERROR(IF(INDEX(brand_intake!$V$2:$V$401,MATCH($B41,brand_intake!$A$2:$A$401,0))="","",INDEX(brand_intake!$V$2:$V$401,MATCH($B41,brand_intake!$A$2:$A$401,0))),""),IFERROR(IF(INDEX(brand_intake_founder!$V$2:$V$81,MATCH($B41,brand_intake_founder!$A$2:$A$81,0))="","",INDEX(brand_intake_founder!$V$2:$V$81,MATCH($B41,brand_intake_founder!$A$2:$A$81,0))),"")))</f>
        <v/>
      </c>
      <c r="AC41" s="25">
        <f>IF($B41="","",IF(COUNTIF(brand_intake!$A$2:$A$401,$B41)&gt;0,IFERROR(IF(INDEX(brand_intake!$W$2:$W$401,MATCH($B41,brand_intake!$A$2:$A$401,0))="","",INDEX(brand_intake!$W$2:$W$401,MATCH($B41,brand_intake!$A$2:$A$401,0))),""),IFERROR(IF(INDEX(brand_intake_founder!$W$2:$W$81,MATCH($B41,brand_intake_founder!$A$2:$A$81,0))="","",INDEX(brand_intake_founder!$W$2:$W$81,MATCH($B41,brand_intake_founder!$A$2:$A$81,0))),"")))</f>
        <v/>
      </c>
      <c r="AD41" s="25">
        <f>IF($B41="","",IF(COUNTIF(brand_intake!$A$2:$A$401,$B41)&gt;0,IFERROR(IF(INDEX(brand_intake!$X$2:$X$401,MATCH($B41,brand_intake!$A$2:$A$401,0))="","",INDEX(brand_intake!$X$2:$X$401,MATCH($B41,brand_intake!$A$2:$A$401,0))),""),IFERROR(IF(INDEX(brand_intake_founder!$X$2:$X$81,MATCH($B41,brand_intake_founder!$A$2:$A$81,0))="","",INDEX(brand_intake_founder!$X$2:$X$81,MATCH($B41,brand_intake_founder!$A$2:$A$81,0))),"")))</f>
        <v/>
      </c>
      <c r="AE41" s="25">
        <f>IF($B41="","",IF(COUNTIF(brand_intake!$A$2:$A$401,$B41)&gt;0,IFERROR(IF(INDEX(brand_intake!$Y$2:$Y$401,MATCH($B41,brand_intake!$A$2:$A$401,0))="","",INDEX(brand_intake!$Y$2:$Y$401,MATCH($B41,brand_intake!$A$2:$A$401,0))),""),IFERROR(IF(INDEX(brand_intake_founder!$Y$2:$Y$81,MATCH($B41,brand_intake_founder!$A$2:$A$81,0))="","",INDEX(brand_intake_founder!$Y$2:$Y$81,MATCH($B41,brand_intake_founder!$A$2:$A$81,0))),"")))</f>
        <v/>
      </c>
      <c r="AF41" s="25">
        <f>IF($B41="","",($X41="Y")+($Y41="Y")+($Z41="Y")+($AA41="Y")+($AB41="Y")+($AC41="Y")+(LEN($AD41)&gt;0))</f>
        <v/>
      </c>
      <c r="AG41" s="25">
        <f>IF($B41="","",IF(AND($AF41=7,$AE41="Y"),"Y (as answered)","N: check "&amp;IF($X41&lt;&gt;"Y","1 ","")&amp;IF($Y41&lt;&gt;"Y","2 ","")&amp;IF($Z41&lt;&gt;"Y","3 ","")&amp;IF($AA41&lt;&gt;"Y","4 ","")&amp;IF($AB41&lt;&gt;"Y","5 ","")&amp;IF($AC41&lt;&gt;"Y","6 ","")&amp;IF(LEN($AD41)=0,"7 ","")&amp;IF($AE41&lt;&gt;"Y","excluded? ","")))</f>
        <v/>
      </c>
      <c r="AH41" s="25">
        <f>IF($A41="","",COUNTIF(campaigns!$C$2:$C$51,$A41))</f>
        <v/>
      </c>
      <c r="AI41" s="25">
        <f>IF(OR($A41="",SUMIFS(campaigns!$H$2:$H$51,campaigns!$C$2:$C$51,$A41,campaigns!$D$2:$D$51,"founding",campaigns!$E$2:$E$51,"&lt;&gt;Y")=0),"",COUNTIFS(campaigns!$D$2:$D$51,"founding",campaigns!$E$2:$E$51,"&lt;&gt;Y",campaigns!$H$2:$H$51,"&lt;="&amp;SUMIFS(campaigns!$H$2:$H$51,campaigns!$C$2:$C$51,$A41,campaigns!$D$2:$D$51,"founding",campaigns!$E$2:$E$51,"&lt;&gt;Y"),campaigns!$H$2:$H$51,"&gt;0"))</f>
        <v/>
      </c>
      <c r="AJ41" s="25">
        <f>IF(OR($A41="",NOT(IFERROR(COUNTIF(INDEX(in_paid_brands!$A$2:$BZ$81,0,MATCH("brand_id",in_paid_brands!$A$1:$BZ$1,0)),$A41),0)&gt;0)),"",IF(IFERROR(IF(INDEX(in_paid_brands!$A$2:$BZ$81,MATCH($A41,INDEX(in_paid_brands!$A$2:$BZ$81,0,MATCH("brand_id",in_paid_brands!$A$1:$BZ$1,0)),0),MATCH("campaign_id",in_paid_brands!$A$1:$BZ$1,0))="","",INDEX(in_paid_brands!$A$2:$BZ$81,MATCH($A41,INDEX(in_paid_brands!$A$2:$BZ$81,0,MATCH("brand_id",in_paid_brands!$A$1:$BZ$1,0)),0),MATCH("campaign_id",in_paid_brands!$A$1:$BZ$1,0))),"")="","E's paid_brands row has no campaign_id: type the CMP-### there; ",IF(OR(ABS(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gt;0.005,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payment 1 differs: E "&amp;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amp;" on "&amp;IF(N(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0,"none",TEXT(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yyyy-mm-dd"))&amp;"; ","")&amp;IF(OR(ABS(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gt;0.005,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payment 2 differs: E "&amp;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amp;" on "&amp;IF(N(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0,"none",TEXT(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yyyy-mm-dd"))&amp;"; ","")))</f>
        <v/>
      </c>
    </row>
  </sheetData>
  <dataValidations count="3">
    <dataValidation sqref="F2:F41" showDropDown="0" showInputMessage="0" showErrorMessage="1" allowBlank="1" errorTitle="Not on the list" error="Pick a value from the list." type="list">
      <formula1>"seen_on_shelf,store_selector,brand_claim,unverified"</formula1>
    </dataValidation>
    <dataValidation sqref="G2:G41" showDropDown="0" showInputMessage="0" showErrorMessage="1" allowBlank="1" errorTitle="Not on the list" error="Pick a value from the list." type="list">
      <formula1>"Y,N"</formula1>
    </dataValidation>
    <dataValidation sqref="I2:I41" showDropDown="0" showInputMessage="0" showErrorMessage="1" allowBlank="1" errorTitle="Not on the list" error="Pick a value from the list." type="list">
      <formula1>"qualifying,qualified,active,paused,declined"</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DDEBF7"/>
    <outlinePr summaryBelow="1" summaryRight="1"/>
    <pageSetUpPr/>
  </sheetPr>
  <dimension ref="A1:AN6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26" customWidth="1" min="8" max="8"/>
    <col width="14" customWidth="1" min="9" max="9"/>
    <col width="14" customWidth="1" min="10" max="10"/>
    <col width="14" customWidth="1" min="11" max="11"/>
    <col width="14" customWidth="1" min="12" max="12"/>
    <col width="24" customWidth="1" min="13" max="13"/>
    <col width="20" customWidth="1" min="14" max="14"/>
    <col width="24" customWidth="1" min="15" max="15"/>
    <col width="14" customWidth="1" min="16" max="16"/>
    <col width="9" customWidth="1" min="17" max="17"/>
    <col width="14" customWidth="1" min="18" max="18"/>
    <col width="14" customWidth="1" min="19" max="19"/>
    <col width="20" customWidth="1" min="20" max="20"/>
    <col width="14" customWidth="1" min="21" max="21"/>
    <col width="14" customWidth="1" min="22" max="22"/>
    <col width="7" customWidth="1" min="23" max="23"/>
    <col width="14" customWidth="1" min="24" max="24"/>
    <col width="14" customWidth="1" min="25" max="25"/>
    <col width="7" customWidth="1" min="26" max="26"/>
    <col width="8" customWidth="1" min="27" max="27"/>
    <col width="24" customWidth="1" min="28" max="28"/>
    <col width="20" customWidth="1" min="29" max="29"/>
    <col width="14" customWidth="1" min="30" max="30"/>
    <col width="7" customWidth="1" min="31" max="31"/>
    <col width="7" customWidth="1" min="32" max="32"/>
    <col width="14" customWidth="1" min="33" max="33"/>
    <col width="14" customWidth="1" min="34" max="34"/>
    <col width="14" customWidth="1" min="35" max="35"/>
    <col width="9" customWidth="1" min="36" max="36"/>
    <col width="22" customWidth="1" min="37" max="37"/>
    <col width="8" customWidth="1" min="38" max="38"/>
    <col width="8" customWidth="1" min="39" max="39"/>
    <col width="8" customWidth="1" min="40" max="40"/>
  </cols>
  <sheetData>
    <row r="1">
      <c r="A1" s="23" t="inlineStr">
        <is>
          <t>office_id</t>
        </is>
      </c>
      <c r="B1" s="23" t="inlineStr">
        <is>
          <t>building_id</t>
        </is>
      </c>
      <c r="C1" s="23" t="inlineStr">
        <is>
          <t>lat</t>
        </is>
      </c>
      <c r="D1" s="23" t="inlineStr">
        <is>
          <t>lon</t>
        </is>
      </c>
      <c r="E1" s="23" t="inlineStr">
        <is>
          <t>industry_override</t>
        </is>
      </c>
      <c r="F1" s="23" t="inlineStr">
        <is>
          <t>pantry_owner_phone_override</t>
        </is>
      </c>
      <c r="G1" s="23" t="inlineStr">
        <is>
          <t>front_desk_fallback_ok</t>
        </is>
      </c>
      <c r="H1" s="23" t="inlineStr">
        <is>
          <t>delivery_point_note</t>
        </is>
      </c>
      <c r="I1" s="23" t="inlineStr">
        <is>
          <t>building_coi_status</t>
        </is>
      </c>
      <c r="J1" s="23" t="inlineStr">
        <is>
          <t>building_coi_date</t>
        </is>
      </c>
      <c r="K1" s="23" t="inlineStr">
        <is>
          <t>status</t>
        </is>
      </c>
      <c r="L1" s="23" t="inlineStr">
        <is>
          <t>left_date</t>
        </is>
      </c>
      <c r="M1" s="23" t="inlineStr">
        <is>
          <t>notes</t>
        </is>
      </c>
      <c r="N1" s="24" t="inlineStr">
        <is>
          <t>company</t>
        </is>
      </c>
      <c r="O1" s="24" t="inlineStr">
        <is>
          <t>office_address</t>
        </is>
      </c>
      <c r="P1" s="24" t="inlineStr">
        <is>
          <t>floor_suite</t>
        </is>
      </c>
      <c r="Q1" s="24" t="inlineStr">
        <is>
          <t>tuesday_headcount</t>
        </is>
      </c>
      <c r="R1" s="24" t="inlineStr">
        <is>
          <t>contact_name</t>
        </is>
      </c>
      <c r="S1" s="24" t="inlineStr">
        <is>
          <t>contact_phone</t>
        </is>
      </c>
      <c r="T1" s="24" t="inlineStr">
        <is>
          <t>contact_email</t>
        </is>
      </c>
      <c r="U1" s="24" t="inlineStr">
        <is>
          <t>pantry_owner_name</t>
        </is>
      </c>
      <c r="V1" s="24" t="inlineStr">
        <is>
          <t>pantry_owner_title</t>
        </is>
      </c>
      <c r="W1" s="24" t="inlineStr">
        <is>
          <t>pantry_owner_is_contact</t>
        </is>
      </c>
      <c r="X1" s="24" t="inlineStr">
        <is>
          <t>receiving_type</t>
        </is>
      </c>
      <c r="Y1" s="24" t="inlineStr">
        <is>
          <t>receiving_window</t>
        </is>
      </c>
      <c r="Z1" s="24" t="inlineStr">
        <is>
          <t>coi_required</t>
        </is>
      </c>
      <c r="AA1" s="24" t="inlineStr">
        <is>
          <t>survey_channel</t>
        </is>
      </c>
      <c r="AB1" s="24" t="inlineStr">
        <is>
          <t>categories_wanted</t>
        </is>
      </c>
      <c r="AC1" s="24" t="inlineStr">
        <is>
          <t>vetoes</t>
        </is>
      </c>
      <c r="AD1" s="24" t="inlineStr">
        <is>
          <t>agreement_signed_date</t>
        </is>
      </c>
      <c r="AE1" s="24" t="inlineStr">
        <is>
          <t>founding_roster_named</t>
        </is>
      </c>
      <c r="AF1" s="24" t="inlineStr">
        <is>
          <t>public_naming_ok</t>
        </is>
      </c>
      <c r="AG1" s="24" t="inlineStr">
        <is>
          <t>clay_row_id</t>
        </is>
      </c>
      <c r="AH1" s="24" t="inlineStr">
        <is>
          <t>industry</t>
        </is>
      </c>
      <c r="AI1" s="24" t="inlineStr">
        <is>
          <t>owner_phone</t>
        </is>
      </c>
      <c r="AJ1" s="24" t="inlineStr">
        <is>
          <t>headcount_band</t>
        </is>
      </c>
      <c r="AK1" s="24" t="inlineStr">
        <is>
          <t>size_check</t>
        </is>
      </c>
      <c r="AL1" s="24" t="inlineStr">
        <is>
          <t>default_units</t>
        </is>
      </c>
      <c r="AM1" s="24" t="inlineStr">
        <is>
          <t>drops_so_far</t>
        </is>
      </c>
      <c r="AN1" s="24" t="inlineStr">
        <is>
          <t>declines</t>
        </is>
      </c>
    </row>
    <row r="2">
      <c r="A2" t="inlineStr">
        <is>
          <t>SAMPLE-O-001</t>
        </is>
      </c>
      <c r="C2" s="31" t="n">
        <v>40.7398</v>
      </c>
      <c r="D2" s="31" t="n">
        <v>-73.9893</v>
      </c>
      <c r="G2" t="inlineStr">
        <is>
          <t>N</t>
        </is>
      </c>
      <c r="H2" t="inlineStr">
        <is>
          <t>SAMPLE 4th floor kitchen, left of the coffee machine</t>
        </is>
      </c>
      <c r="I2" t="inlineStr">
        <is>
          <t>not_needed</t>
        </is>
      </c>
      <c r="J2" s="9" t="n"/>
      <c r="K2" t="inlineStr">
        <is>
          <t>active</t>
        </is>
      </c>
      <c r="L2" s="9" t="n"/>
      <c r="N2" s="25">
        <f>IF($A2="","",IFERROR(IF(INDEX(in_signed_offices!$A$2:$BZ$81,MATCH($A2,INDEX(in_signed_offices!$A$2:$BZ$81,0,MATCH("office_id",in_signed_offices!$A$1:$BZ$1,0)),0),MATCH("company",in_signed_offices!$A$1:$BZ$1,0))="","",INDEX(in_signed_offices!$A$2:$BZ$81,MATCH($A2,INDEX(in_signed_offices!$A$2:$BZ$81,0,MATCH("office_id",in_signed_offices!$A$1:$BZ$1,0)),0),MATCH("company",in_signed_offices!$A$1:$BZ$1,0))),""))</f>
        <v/>
      </c>
      <c r="O2" s="25">
        <f>IF($A2="","",IFERROR(IF(INDEX(in_signed_offices!$A$2:$BZ$81,MATCH($A2,INDEX(in_signed_offices!$A$2:$BZ$81,0,MATCH("office_id",in_signed_offices!$A$1:$BZ$1,0)),0),MATCH("office_address",in_signed_offices!$A$1:$BZ$1,0))="","",INDEX(in_signed_offices!$A$2:$BZ$81,MATCH($A2,INDEX(in_signed_offices!$A$2:$BZ$81,0,MATCH("office_id",in_signed_offices!$A$1:$BZ$1,0)),0),MATCH("office_address",in_signed_offices!$A$1:$BZ$1,0))),""))</f>
        <v/>
      </c>
      <c r="P2" s="25">
        <f>IF($A2="","",IFERROR(IF(INDEX(in_signed_offices!$A$2:$BZ$81,MATCH($A2,INDEX(in_signed_offices!$A$2:$BZ$81,0,MATCH("office_id",in_signed_offices!$A$1:$BZ$1,0)),0),MATCH("floor_suite",in_signed_offices!$A$1:$BZ$1,0))="","",INDEX(in_signed_offices!$A$2:$BZ$81,MATCH($A2,INDEX(in_signed_offices!$A$2:$BZ$81,0,MATCH("office_id",in_signed_offices!$A$1:$BZ$1,0)),0),MATCH("floor_suite",in_signed_offices!$A$1:$BZ$1,0))),""))</f>
        <v/>
      </c>
      <c r="Q2" s="25">
        <f>IF($A2="","",IFERROR(IF(INDEX(in_signed_offices!$A$2:$BZ$81,MATCH($A2,INDEX(in_signed_offices!$A$2:$BZ$81,0,MATCH("office_id",in_signed_offices!$A$1:$BZ$1,0)),0),MATCH("tuesday_headcount",in_signed_offices!$A$1:$BZ$1,0))="","",INDEX(in_signed_offices!$A$2:$BZ$81,MATCH($A2,INDEX(in_signed_offices!$A$2:$BZ$81,0,MATCH("office_id",in_signed_offices!$A$1:$BZ$1,0)),0),MATCH("tuesday_headcount",in_signed_offices!$A$1:$BZ$1,0))),""))</f>
        <v/>
      </c>
      <c r="R2" s="25">
        <f>IF($A2="","",IFERROR(IF(INDEX(in_signed_offices!$A$2:$BZ$81,MATCH($A2,INDEX(in_signed_offices!$A$2:$BZ$81,0,MATCH("office_id",in_signed_offices!$A$1:$BZ$1,0)),0),MATCH("contact_name",in_signed_offices!$A$1:$BZ$1,0))="","",INDEX(in_signed_offices!$A$2:$BZ$81,MATCH($A2,INDEX(in_signed_offices!$A$2:$BZ$81,0,MATCH("office_id",in_signed_offices!$A$1:$BZ$1,0)),0),MATCH("contact_name",in_signed_offices!$A$1:$BZ$1,0))),""))</f>
        <v/>
      </c>
      <c r="S2" s="25">
        <f>IF($A2="","",IFERROR(IF(INDEX(in_signed_offices!$A$2:$BZ$81,MATCH($A2,INDEX(in_signed_offices!$A$2:$BZ$81,0,MATCH("office_id",in_signed_offices!$A$1:$BZ$1,0)),0),MATCH("contact_phone",in_signed_offices!$A$1:$BZ$1,0))="","",INDEX(in_signed_offices!$A$2:$BZ$81,MATCH($A2,INDEX(in_signed_offices!$A$2:$BZ$81,0,MATCH("office_id",in_signed_offices!$A$1:$BZ$1,0)),0),MATCH("contact_phone",in_signed_offices!$A$1:$BZ$1,0))),""))</f>
        <v/>
      </c>
      <c r="T2" s="25">
        <f>IF($A2="","",IFERROR(IF(INDEX(in_signed_offices!$A$2:$BZ$81,MATCH($A2,INDEX(in_signed_offices!$A$2:$BZ$81,0,MATCH("office_id",in_signed_offices!$A$1:$BZ$1,0)),0),MATCH("contact_email",in_signed_offices!$A$1:$BZ$1,0))="","",INDEX(in_signed_offices!$A$2:$BZ$81,MATCH($A2,INDEX(in_signed_offices!$A$2:$BZ$81,0,MATCH("office_id",in_signed_offices!$A$1:$BZ$1,0)),0),MATCH("contact_email",in_signed_offices!$A$1:$BZ$1,0))),""))</f>
        <v/>
      </c>
      <c r="U2" s="25">
        <f>IF($A2="","",IFERROR(IF(INDEX(in_signed_offices!$A$2:$BZ$81,MATCH($A2,INDEX(in_signed_offices!$A$2:$BZ$81,0,MATCH("office_id",in_signed_offices!$A$1:$BZ$1,0)),0),MATCH("pantry_owner_name",in_signed_offices!$A$1:$BZ$1,0))="","",INDEX(in_signed_offices!$A$2:$BZ$81,MATCH($A2,INDEX(in_signed_offices!$A$2:$BZ$81,0,MATCH("office_id",in_signed_offices!$A$1:$BZ$1,0)),0),MATCH("pantry_owner_name",in_signed_offices!$A$1:$BZ$1,0))),""))</f>
        <v/>
      </c>
      <c r="V2" s="25">
        <f>IF($A2="","",IFERROR(IF(INDEX(in_signed_offices!$A$2:$BZ$81,MATCH($A2,INDEX(in_signed_offices!$A$2:$BZ$81,0,MATCH("office_id",in_signed_offices!$A$1:$BZ$1,0)),0),MATCH("pantry_owner_title",in_signed_offices!$A$1:$BZ$1,0))="","",INDEX(in_signed_offices!$A$2:$BZ$81,MATCH($A2,INDEX(in_signed_offices!$A$2:$BZ$81,0,MATCH("office_id",in_signed_offices!$A$1:$BZ$1,0)),0),MATCH("pantry_owner_title",in_signed_offices!$A$1:$BZ$1,0))),""))</f>
        <v/>
      </c>
      <c r="W2" s="25">
        <f>IF($A2="","",IFERROR(IF(INDEX(in_signed_offices!$A$2:$BZ$81,MATCH($A2,INDEX(in_signed_offices!$A$2:$BZ$81,0,MATCH("office_id",in_signed_offices!$A$1:$BZ$1,0)),0),MATCH("pantry_owner_is_contact",in_signed_offices!$A$1:$BZ$1,0))="","",INDEX(in_signed_offices!$A$2:$BZ$81,MATCH($A2,INDEX(in_signed_offices!$A$2:$BZ$81,0,MATCH("office_id",in_signed_offices!$A$1:$BZ$1,0)),0),MATCH("pantry_owner_is_contact",in_signed_offices!$A$1:$BZ$1,0))),""))</f>
        <v/>
      </c>
      <c r="X2" s="25">
        <f>IF($A2="","",IFERROR(IF(INDEX(in_signed_offices!$A$2:$BZ$81,MATCH($A2,INDEX(in_signed_offices!$A$2:$BZ$81,0,MATCH("office_id",in_signed_offices!$A$1:$BZ$1,0)),0),MATCH("receiving_type",in_signed_offices!$A$1:$BZ$1,0))="","",INDEX(in_signed_offices!$A$2:$BZ$81,MATCH($A2,INDEX(in_signed_offices!$A$2:$BZ$81,0,MATCH("office_id",in_signed_offices!$A$1:$BZ$1,0)),0),MATCH("receiving_type",in_signed_offices!$A$1:$BZ$1,0))),""))</f>
        <v/>
      </c>
      <c r="Y2" s="25">
        <f>IF($A2="","",IFERROR(IF(INDEX(in_signed_offices!$A$2:$BZ$81,MATCH($A2,INDEX(in_signed_offices!$A$2:$BZ$81,0,MATCH("office_id",in_signed_offices!$A$1:$BZ$1,0)),0),MATCH("receiving_window",in_signed_offices!$A$1:$BZ$1,0))="","",INDEX(in_signed_offices!$A$2:$BZ$81,MATCH($A2,INDEX(in_signed_offices!$A$2:$BZ$81,0,MATCH("office_id",in_signed_offices!$A$1:$BZ$1,0)),0),MATCH("receiving_window",in_signed_offices!$A$1:$BZ$1,0))),""))</f>
        <v/>
      </c>
      <c r="Z2" s="25">
        <f>IF($A2="","",IFERROR(IF(INDEX(in_signed_offices!$A$2:$BZ$81,MATCH($A2,INDEX(in_signed_offices!$A$2:$BZ$81,0,MATCH("office_id",in_signed_offices!$A$1:$BZ$1,0)),0),MATCH("coi_required",in_signed_offices!$A$1:$BZ$1,0))="","",INDEX(in_signed_offices!$A$2:$BZ$81,MATCH($A2,INDEX(in_signed_offices!$A$2:$BZ$81,0,MATCH("office_id",in_signed_offices!$A$1:$BZ$1,0)),0),MATCH("coi_required",in_signed_offices!$A$1:$BZ$1,0))),""))</f>
        <v/>
      </c>
      <c r="AA2" s="25">
        <f>IF($A2="","",IFERROR(IF(INDEX(in_signed_offices!$A$2:$BZ$81,MATCH($A2,INDEX(in_signed_offices!$A$2:$BZ$81,0,MATCH("office_id",in_signed_offices!$A$1:$BZ$1,0)),0),MATCH("survey_channel",in_signed_offices!$A$1:$BZ$1,0))="","",INDEX(in_signed_offices!$A$2:$BZ$81,MATCH($A2,INDEX(in_signed_offices!$A$2:$BZ$81,0,MATCH("office_id",in_signed_offices!$A$1:$BZ$1,0)),0),MATCH("survey_channel",in_signed_offices!$A$1:$BZ$1,0))),""))</f>
        <v/>
      </c>
      <c r="AB2" s="25">
        <f>IF($A2="","",IFERROR(IF(INDEX(in_signed_offices!$A$2:$BZ$81,MATCH($A2,INDEX(in_signed_offices!$A$2:$BZ$81,0,MATCH("office_id",in_signed_offices!$A$1:$BZ$1,0)),0),MATCH("categories_wanted",in_signed_offices!$A$1:$BZ$1,0))="","",INDEX(in_signed_offices!$A$2:$BZ$81,MATCH($A2,INDEX(in_signed_offices!$A$2:$BZ$81,0,MATCH("office_id",in_signed_offices!$A$1:$BZ$1,0)),0),MATCH("categories_wanted",in_signed_offices!$A$1:$BZ$1,0))),""))</f>
        <v/>
      </c>
      <c r="AC2" s="25">
        <f>IF($A2="","",IFERROR(IF(INDEX(in_signed_offices!$A$2:$BZ$81,MATCH($A2,INDEX(in_signed_offices!$A$2:$BZ$81,0,MATCH("office_id",in_signed_offices!$A$1:$BZ$1,0)),0),MATCH("vetoes",in_signed_offices!$A$1:$BZ$1,0))="","",INDEX(in_signed_offices!$A$2:$BZ$81,MATCH($A2,INDEX(in_signed_offices!$A$2:$BZ$81,0,MATCH("office_id",in_signed_offices!$A$1:$BZ$1,0)),0),MATCH("vetoes",in_signed_offices!$A$1:$BZ$1,0))),""))</f>
        <v/>
      </c>
      <c r="AD2" s="26">
        <f>IF($A2="","",IFERROR(IF(INDEX(in_signed_offices!$A$2:$BZ$81,MATCH($A2,INDEX(in_signed_offices!$A$2:$BZ$81,0,MATCH("office_id",in_signed_offices!$A$1:$BZ$1,0)),0),MATCH("agreement_signed_date",in_signed_offices!$A$1:$BZ$1,0))="","",INDEX(in_signed_offices!$A$2:$BZ$81,MATCH($A2,INDEX(in_signed_offices!$A$2:$BZ$81,0,MATCH("office_id",in_signed_offices!$A$1:$BZ$1,0)),0),MATCH("agreement_signed_date",in_signed_offices!$A$1:$BZ$1,0))),""))</f>
        <v/>
      </c>
      <c r="AE2" s="25">
        <f>IF($A2="","",IFERROR(IF(INDEX(in_signed_offices!$A$2:$BZ$81,MATCH($A2,INDEX(in_signed_offices!$A$2:$BZ$81,0,MATCH("office_id",in_signed_offices!$A$1:$BZ$1,0)),0),MATCH("founding_roster_named",in_signed_offices!$A$1:$BZ$1,0))="","",INDEX(in_signed_offices!$A$2:$BZ$81,MATCH($A2,INDEX(in_signed_offices!$A$2:$BZ$81,0,MATCH("office_id",in_signed_offices!$A$1:$BZ$1,0)),0),MATCH("founding_roster_named",in_signed_offices!$A$1:$BZ$1,0))),""))</f>
        <v/>
      </c>
      <c r="AF2" s="25">
        <f>IF($A2="","",IFERROR(IF(INDEX(in_signed_offices!$A$2:$BZ$81,MATCH($A2,INDEX(in_signed_offices!$A$2:$BZ$81,0,MATCH("office_id",in_signed_offices!$A$1:$BZ$1,0)),0),MATCH("public_naming_ok",in_signed_offices!$A$1:$BZ$1,0))="","",INDEX(in_signed_offices!$A$2:$BZ$81,MATCH($A2,INDEX(in_signed_offices!$A$2:$BZ$81,0,MATCH("office_id",in_signed_offices!$A$1:$BZ$1,0)),0),MATCH("public_naming_ok",in_signed_offices!$A$1:$BZ$1,0))),""))</f>
        <v/>
      </c>
      <c r="AG2" s="25">
        <f>IF($A2="","",IFERROR(IF(INDEX(in_signed_offices!$A$2:$BZ$81,MATCH($A2,INDEX(in_signed_offices!$A$2:$BZ$81,0,MATCH("office_id",in_signed_offices!$A$1:$BZ$1,0)),0),MATCH("clay_row_id",in_signed_offices!$A$1:$BZ$1,0))="","",INDEX(in_signed_offices!$A$2:$BZ$81,MATCH($A2,INDEX(in_signed_offices!$A$2:$BZ$81,0,MATCH("office_id",in_signed_offices!$A$1:$BZ$1,0)),0),MATCH("clay_row_id",in_signed_offices!$A$1:$BZ$1,0))),""))</f>
        <v/>
      </c>
      <c r="AH2" s="25">
        <f>IF($A2="","",IF($E2&lt;&gt;"",$E2,IFERROR(IF(INDEX(in_signed_offices!$A$2:$BZ$81,MATCH($A2,INDEX(in_signed_offices!$A$2:$BZ$81,0,MATCH("office_id",in_signed_offices!$A$1:$BZ$1,0)),0),MATCH("industry",in_signed_offices!$A$1:$BZ$1,0))="","",INDEX(in_signed_offices!$A$2:$BZ$81,MATCH($A2,INDEX(in_signed_offices!$A$2:$BZ$81,0,MATCH("office_id",in_signed_offices!$A$1:$BZ$1,0)),0),MATCH("industry",in_signed_offices!$A$1:$BZ$1,0))),"")))</f>
        <v/>
      </c>
      <c r="AI2" s="25">
        <f>IF($A2="","",IF($F2&lt;&gt;"",$F2,IF(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lt;&gt;"",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IF($W2="Y",$S2,""))))</f>
        <v/>
      </c>
      <c r="AJ2" s="25">
        <f>IF($A2="","",IF($Q2="","unknown",IF($Q2&lt;40,"under-40",IF($Q2&lt;=75,"40-75",IF($Q2&lt;=150,"76-150",IF($Q2&lt;=250,"151-250",IF($Q2&lt;=500,"251-500","over-500")))))))</f>
        <v/>
      </c>
      <c r="AK2" s="25">
        <f>IF($A2="","",IF($N2="","not on in_signed_offices: paste the outreach file",IF($Q2="","no Tuesday headcount",IF($Q2&lt;30,"below the hard floor of 30",IF($Q2&lt;40,"30 to 39: founder's call",IF($Q2&gt;250,"over 250: outside the plan","OK"))))))</f>
        <v/>
      </c>
      <c r="AL2" s="25">
        <f>IF(OR($A2="",$Q2=""),"",MIN(config!$B$16,MAX(config!$B$15,MROUND(config!$B$13+config!$B$14*$Q2,config!$B$17))))</f>
        <v/>
      </c>
      <c r="AM2" s="25">
        <f>IF($A2="","",COUNTIFS(stops!$B$2:$B$151,$A2,stops!$P$2:$P$151,"&lt;="&amp;IF(config!$B$37&lt;&gt;"",config!$B$37,TODAY())))</f>
        <v/>
      </c>
      <c r="AN2" s="25">
        <f>IF($A2="","",COUNTIFS(stops!$B$2:$B$151,$A2,stops!$L$2:$L$151,"declined"))</f>
        <v/>
      </c>
    </row>
    <row r="3">
      <c r="A3" t="inlineStr">
        <is>
          <t>SAMPLE-O-002</t>
        </is>
      </c>
      <c r="C3" s="31" t="n">
        <v>40.7411</v>
      </c>
      <c r="D3" s="31" t="n">
        <v>-73.98739999999999</v>
      </c>
      <c r="G3" t="inlineStr">
        <is>
          <t>Y</t>
        </is>
      </c>
      <c r="H3" t="inlineStr">
        <is>
          <t>SAMPLE front desk calls up; owner meets you in the lobby</t>
        </is>
      </c>
      <c r="I3" t="inlineStr">
        <is>
          <t>not_needed</t>
        </is>
      </c>
      <c r="J3" s="9" t="n"/>
      <c r="K3" t="inlineStr">
        <is>
          <t>active</t>
        </is>
      </c>
      <c r="L3" s="9" t="n"/>
      <c r="N3" s="25">
        <f>IF($A3="","",IFERROR(IF(INDEX(in_signed_offices!$A$2:$BZ$81,MATCH($A3,INDEX(in_signed_offices!$A$2:$BZ$81,0,MATCH("office_id",in_signed_offices!$A$1:$BZ$1,0)),0),MATCH("company",in_signed_offices!$A$1:$BZ$1,0))="","",INDEX(in_signed_offices!$A$2:$BZ$81,MATCH($A3,INDEX(in_signed_offices!$A$2:$BZ$81,0,MATCH("office_id",in_signed_offices!$A$1:$BZ$1,0)),0),MATCH("company",in_signed_offices!$A$1:$BZ$1,0))),""))</f>
        <v/>
      </c>
      <c r="O3" s="25">
        <f>IF($A3="","",IFERROR(IF(INDEX(in_signed_offices!$A$2:$BZ$81,MATCH($A3,INDEX(in_signed_offices!$A$2:$BZ$81,0,MATCH("office_id",in_signed_offices!$A$1:$BZ$1,0)),0),MATCH("office_address",in_signed_offices!$A$1:$BZ$1,0))="","",INDEX(in_signed_offices!$A$2:$BZ$81,MATCH($A3,INDEX(in_signed_offices!$A$2:$BZ$81,0,MATCH("office_id",in_signed_offices!$A$1:$BZ$1,0)),0),MATCH("office_address",in_signed_offices!$A$1:$BZ$1,0))),""))</f>
        <v/>
      </c>
      <c r="P3" s="25">
        <f>IF($A3="","",IFERROR(IF(INDEX(in_signed_offices!$A$2:$BZ$81,MATCH($A3,INDEX(in_signed_offices!$A$2:$BZ$81,0,MATCH("office_id",in_signed_offices!$A$1:$BZ$1,0)),0),MATCH("floor_suite",in_signed_offices!$A$1:$BZ$1,0))="","",INDEX(in_signed_offices!$A$2:$BZ$81,MATCH($A3,INDEX(in_signed_offices!$A$2:$BZ$81,0,MATCH("office_id",in_signed_offices!$A$1:$BZ$1,0)),0),MATCH("floor_suite",in_signed_offices!$A$1:$BZ$1,0))),""))</f>
        <v/>
      </c>
      <c r="Q3" s="25">
        <f>IF($A3="","",IFERROR(IF(INDEX(in_signed_offices!$A$2:$BZ$81,MATCH($A3,INDEX(in_signed_offices!$A$2:$BZ$81,0,MATCH("office_id",in_signed_offices!$A$1:$BZ$1,0)),0),MATCH("tuesday_headcount",in_signed_offices!$A$1:$BZ$1,0))="","",INDEX(in_signed_offices!$A$2:$BZ$81,MATCH($A3,INDEX(in_signed_offices!$A$2:$BZ$81,0,MATCH("office_id",in_signed_offices!$A$1:$BZ$1,0)),0),MATCH("tuesday_headcount",in_signed_offices!$A$1:$BZ$1,0))),""))</f>
        <v/>
      </c>
      <c r="R3" s="25">
        <f>IF($A3="","",IFERROR(IF(INDEX(in_signed_offices!$A$2:$BZ$81,MATCH($A3,INDEX(in_signed_offices!$A$2:$BZ$81,0,MATCH("office_id",in_signed_offices!$A$1:$BZ$1,0)),0),MATCH("contact_name",in_signed_offices!$A$1:$BZ$1,0))="","",INDEX(in_signed_offices!$A$2:$BZ$81,MATCH($A3,INDEX(in_signed_offices!$A$2:$BZ$81,0,MATCH("office_id",in_signed_offices!$A$1:$BZ$1,0)),0),MATCH("contact_name",in_signed_offices!$A$1:$BZ$1,0))),""))</f>
        <v/>
      </c>
      <c r="S3" s="25">
        <f>IF($A3="","",IFERROR(IF(INDEX(in_signed_offices!$A$2:$BZ$81,MATCH($A3,INDEX(in_signed_offices!$A$2:$BZ$81,0,MATCH("office_id",in_signed_offices!$A$1:$BZ$1,0)),0),MATCH("contact_phone",in_signed_offices!$A$1:$BZ$1,0))="","",INDEX(in_signed_offices!$A$2:$BZ$81,MATCH($A3,INDEX(in_signed_offices!$A$2:$BZ$81,0,MATCH("office_id",in_signed_offices!$A$1:$BZ$1,0)),0),MATCH("contact_phone",in_signed_offices!$A$1:$BZ$1,0))),""))</f>
        <v/>
      </c>
      <c r="T3" s="25">
        <f>IF($A3="","",IFERROR(IF(INDEX(in_signed_offices!$A$2:$BZ$81,MATCH($A3,INDEX(in_signed_offices!$A$2:$BZ$81,0,MATCH("office_id",in_signed_offices!$A$1:$BZ$1,0)),0),MATCH("contact_email",in_signed_offices!$A$1:$BZ$1,0))="","",INDEX(in_signed_offices!$A$2:$BZ$81,MATCH($A3,INDEX(in_signed_offices!$A$2:$BZ$81,0,MATCH("office_id",in_signed_offices!$A$1:$BZ$1,0)),0),MATCH("contact_email",in_signed_offices!$A$1:$BZ$1,0))),""))</f>
        <v/>
      </c>
      <c r="U3" s="25">
        <f>IF($A3="","",IFERROR(IF(INDEX(in_signed_offices!$A$2:$BZ$81,MATCH($A3,INDEX(in_signed_offices!$A$2:$BZ$81,0,MATCH("office_id",in_signed_offices!$A$1:$BZ$1,0)),0),MATCH("pantry_owner_name",in_signed_offices!$A$1:$BZ$1,0))="","",INDEX(in_signed_offices!$A$2:$BZ$81,MATCH($A3,INDEX(in_signed_offices!$A$2:$BZ$81,0,MATCH("office_id",in_signed_offices!$A$1:$BZ$1,0)),0),MATCH("pantry_owner_name",in_signed_offices!$A$1:$BZ$1,0))),""))</f>
        <v/>
      </c>
      <c r="V3" s="25">
        <f>IF($A3="","",IFERROR(IF(INDEX(in_signed_offices!$A$2:$BZ$81,MATCH($A3,INDEX(in_signed_offices!$A$2:$BZ$81,0,MATCH("office_id",in_signed_offices!$A$1:$BZ$1,0)),0),MATCH("pantry_owner_title",in_signed_offices!$A$1:$BZ$1,0))="","",INDEX(in_signed_offices!$A$2:$BZ$81,MATCH($A3,INDEX(in_signed_offices!$A$2:$BZ$81,0,MATCH("office_id",in_signed_offices!$A$1:$BZ$1,0)),0),MATCH("pantry_owner_title",in_signed_offices!$A$1:$BZ$1,0))),""))</f>
        <v/>
      </c>
      <c r="W3" s="25">
        <f>IF($A3="","",IFERROR(IF(INDEX(in_signed_offices!$A$2:$BZ$81,MATCH($A3,INDEX(in_signed_offices!$A$2:$BZ$81,0,MATCH("office_id",in_signed_offices!$A$1:$BZ$1,0)),0),MATCH("pantry_owner_is_contact",in_signed_offices!$A$1:$BZ$1,0))="","",INDEX(in_signed_offices!$A$2:$BZ$81,MATCH($A3,INDEX(in_signed_offices!$A$2:$BZ$81,0,MATCH("office_id",in_signed_offices!$A$1:$BZ$1,0)),0),MATCH("pantry_owner_is_contact",in_signed_offices!$A$1:$BZ$1,0))),""))</f>
        <v/>
      </c>
      <c r="X3" s="25">
        <f>IF($A3="","",IFERROR(IF(INDEX(in_signed_offices!$A$2:$BZ$81,MATCH($A3,INDEX(in_signed_offices!$A$2:$BZ$81,0,MATCH("office_id",in_signed_offices!$A$1:$BZ$1,0)),0),MATCH("receiving_type",in_signed_offices!$A$1:$BZ$1,0))="","",INDEX(in_signed_offices!$A$2:$BZ$81,MATCH($A3,INDEX(in_signed_offices!$A$2:$BZ$81,0,MATCH("office_id",in_signed_offices!$A$1:$BZ$1,0)),0),MATCH("receiving_type",in_signed_offices!$A$1:$BZ$1,0))),""))</f>
        <v/>
      </c>
      <c r="Y3" s="25">
        <f>IF($A3="","",IFERROR(IF(INDEX(in_signed_offices!$A$2:$BZ$81,MATCH($A3,INDEX(in_signed_offices!$A$2:$BZ$81,0,MATCH("office_id",in_signed_offices!$A$1:$BZ$1,0)),0),MATCH("receiving_window",in_signed_offices!$A$1:$BZ$1,0))="","",INDEX(in_signed_offices!$A$2:$BZ$81,MATCH($A3,INDEX(in_signed_offices!$A$2:$BZ$81,0,MATCH("office_id",in_signed_offices!$A$1:$BZ$1,0)),0),MATCH("receiving_window",in_signed_offices!$A$1:$BZ$1,0))),""))</f>
        <v/>
      </c>
      <c r="Z3" s="25">
        <f>IF($A3="","",IFERROR(IF(INDEX(in_signed_offices!$A$2:$BZ$81,MATCH($A3,INDEX(in_signed_offices!$A$2:$BZ$81,0,MATCH("office_id",in_signed_offices!$A$1:$BZ$1,0)),0),MATCH("coi_required",in_signed_offices!$A$1:$BZ$1,0))="","",INDEX(in_signed_offices!$A$2:$BZ$81,MATCH($A3,INDEX(in_signed_offices!$A$2:$BZ$81,0,MATCH("office_id",in_signed_offices!$A$1:$BZ$1,0)),0),MATCH("coi_required",in_signed_offices!$A$1:$BZ$1,0))),""))</f>
        <v/>
      </c>
      <c r="AA3" s="25">
        <f>IF($A3="","",IFERROR(IF(INDEX(in_signed_offices!$A$2:$BZ$81,MATCH($A3,INDEX(in_signed_offices!$A$2:$BZ$81,0,MATCH("office_id",in_signed_offices!$A$1:$BZ$1,0)),0),MATCH("survey_channel",in_signed_offices!$A$1:$BZ$1,0))="","",INDEX(in_signed_offices!$A$2:$BZ$81,MATCH($A3,INDEX(in_signed_offices!$A$2:$BZ$81,0,MATCH("office_id",in_signed_offices!$A$1:$BZ$1,0)),0),MATCH("survey_channel",in_signed_offices!$A$1:$BZ$1,0))),""))</f>
        <v/>
      </c>
      <c r="AB3" s="25">
        <f>IF($A3="","",IFERROR(IF(INDEX(in_signed_offices!$A$2:$BZ$81,MATCH($A3,INDEX(in_signed_offices!$A$2:$BZ$81,0,MATCH("office_id",in_signed_offices!$A$1:$BZ$1,0)),0),MATCH("categories_wanted",in_signed_offices!$A$1:$BZ$1,0))="","",INDEX(in_signed_offices!$A$2:$BZ$81,MATCH($A3,INDEX(in_signed_offices!$A$2:$BZ$81,0,MATCH("office_id",in_signed_offices!$A$1:$BZ$1,0)),0),MATCH("categories_wanted",in_signed_offices!$A$1:$BZ$1,0))),""))</f>
        <v/>
      </c>
      <c r="AC3" s="25">
        <f>IF($A3="","",IFERROR(IF(INDEX(in_signed_offices!$A$2:$BZ$81,MATCH($A3,INDEX(in_signed_offices!$A$2:$BZ$81,0,MATCH("office_id",in_signed_offices!$A$1:$BZ$1,0)),0),MATCH("vetoes",in_signed_offices!$A$1:$BZ$1,0))="","",INDEX(in_signed_offices!$A$2:$BZ$81,MATCH($A3,INDEX(in_signed_offices!$A$2:$BZ$81,0,MATCH("office_id",in_signed_offices!$A$1:$BZ$1,0)),0),MATCH("vetoes",in_signed_offices!$A$1:$BZ$1,0))),""))</f>
        <v/>
      </c>
      <c r="AD3" s="26">
        <f>IF($A3="","",IFERROR(IF(INDEX(in_signed_offices!$A$2:$BZ$81,MATCH($A3,INDEX(in_signed_offices!$A$2:$BZ$81,0,MATCH("office_id",in_signed_offices!$A$1:$BZ$1,0)),0),MATCH("agreement_signed_date",in_signed_offices!$A$1:$BZ$1,0))="","",INDEX(in_signed_offices!$A$2:$BZ$81,MATCH($A3,INDEX(in_signed_offices!$A$2:$BZ$81,0,MATCH("office_id",in_signed_offices!$A$1:$BZ$1,0)),0),MATCH("agreement_signed_date",in_signed_offices!$A$1:$BZ$1,0))),""))</f>
        <v/>
      </c>
      <c r="AE3" s="25">
        <f>IF($A3="","",IFERROR(IF(INDEX(in_signed_offices!$A$2:$BZ$81,MATCH($A3,INDEX(in_signed_offices!$A$2:$BZ$81,0,MATCH("office_id",in_signed_offices!$A$1:$BZ$1,0)),0),MATCH("founding_roster_named",in_signed_offices!$A$1:$BZ$1,0))="","",INDEX(in_signed_offices!$A$2:$BZ$81,MATCH($A3,INDEX(in_signed_offices!$A$2:$BZ$81,0,MATCH("office_id",in_signed_offices!$A$1:$BZ$1,0)),0),MATCH("founding_roster_named",in_signed_offices!$A$1:$BZ$1,0))),""))</f>
        <v/>
      </c>
      <c r="AF3" s="25">
        <f>IF($A3="","",IFERROR(IF(INDEX(in_signed_offices!$A$2:$BZ$81,MATCH($A3,INDEX(in_signed_offices!$A$2:$BZ$81,0,MATCH("office_id",in_signed_offices!$A$1:$BZ$1,0)),0),MATCH("public_naming_ok",in_signed_offices!$A$1:$BZ$1,0))="","",INDEX(in_signed_offices!$A$2:$BZ$81,MATCH($A3,INDEX(in_signed_offices!$A$2:$BZ$81,0,MATCH("office_id",in_signed_offices!$A$1:$BZ$1,0)),0),MATCH("public_naming_ok",in_signed_offices!$A$1:$BZ$1,0))),""))</f>
        <v/>
      </c>
      <c r="AG3" s="25">
        <f>IF($A3="","",IFERROR(IF(INDEX(in_signed_offices!$A$2:$BZ$81,MATCH($A3,INDEX(in_signed_offices!$A$2:$BZ$81,0,MATCH("office_id",in_signed_offices!$A$1:$BZ$1,0)),0),MATCH("clay_row_id",in_signed_offices!$A$1:$BZ$1,0))="","",INDEX(in_signed_offices!$A$2:$BZ$81,MATCH($A3,INDEX(in_signed_offices!$A$2:$BZ$81,0,MATCH("office_id",in_signed_offices!$A$1:$BZ$1,0)),0),MATCH("clay_row_id",in_signed_offices!$A$1:$BZ$1,0))),""))</f>
        <v/>
      </c>
      <c r="AH3" s="25">
        <f>IF($A3="","",IF($E3&lt;&gt;"",$E3,IFERROR(IF(INDEX(in_signed_offices!$A$2:$BZ$81,MATCH($A3,INDEX(in_signed_offices!$A$2:$BZ$81,0,MATCH("office_id",in_signed_offices!$A$1:$BZ$1,0)),0),MATCH("industry",in_signed_offices!$A$1:$BZ$1,0))="","",INDEX(in_signed_offices!$A$2:$BZ$81,MATCH($A3,INDEX(in_signed_offices!$A$2:$BZ$81,0,MATCH("office_id",in_signed_offices!$A$1:$BZ$1,0)),0),MATCH("industry",in_signed_offices!$A$1:$BZ$1,0))),"")))</f>
        <v/>
      </c>
      <c r="AI3" s="25">
        <f>IF($A3="","",IF($F3&lt;&gt;"",$F3,IF(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lt;&gt;"",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IF($W3="Y",$S3,""))))</f>
        <v/>
      </c>
      <c r="AJ3" s="25">
        <f>IF($A3="","",IF($Q3="","unknown",IF($Q3&lt;40,"under-40",IF($Q3&lt;=75,"40-75",IF($Q3&lt;=150,"76-150",IF($Q3&lt;=250,"151-250",IF($Q3&lt;=500,"251-500","over-500")))))))</f>
        <v/>
      </c>
      <c r="AK3" s="25">
        <f>IF($A3="","",IF($N3="","not on in_signed_offices: paste the outreach file",IF($Q3="","no Tuesday headcount",IF($Q3&lt;30,"below the hard floor of 30",IF($Q3&lt;40,"30 to 39: founder's call",IF($Q3&gt;250,"over 250: outside the plan","OK"))))))</f>
        <v/>
      </c>
      <c r="AL3" s="25">
        <f>IF(OR($A3="",$Q3=""),"",MIN(config!$B$16,MAX(config!$B$15,MROUND(config!$B$13+config!$B$14*$Q3,config!$B$17))))</f>
        <v/>
      </c>
      <c r="AM3" s="25">
        <f>IF($A3="","",COUNTIFS(stops!$B$2:$B$151,$A3,stops!$P$2:$P$151,"&lt;="&amp;IF(config!$B$37&lt;&gt;"",config!$B$37,TODAY())))</f>
        <v/>
      </c>
      <c r="AN3" s="25">
        <f>IF($A3="","",COUNTIFS(stops!$B$2:$B$151,$A3,stops!$L$2:$L$151,"declined"))</f>
        <v/>
      </c>
    </row>
    <row r="4">
      <c r="A4" t="inlineStr">
        <is>
          <t>SAMPLE-O-003</t>
        </is>
      </c>
      <c r="C4" s="31" t="n">
        <v>40.7389</v>
      </c>
      <c r="D4" s="31" t="n">
        <v>-73.99169999999999</v>
      </c>
      <c r="G4" t="inlineStr">
        <is>
          <t>N</t>
        </is>
      </c>
      <c r="H4" t="inlineStr">
        <is>
          <t>SAMPLE 2nd floor pantry, shelf by the window</t>
        </is>
      </c>
      <c r="I4" t="inlineStr">
        <is>
          <t>received</t>
        </is>
      </c>
      <c r="J4" s="9" t="n">
        <v>46379</v>
      </c>
      <c r="K4" t="inlineStr">
        <is>
          <t>active</t>
        </is>
      </c>
      <c r="L4" s="9" t="n"/>
      <c r="N4" s="25">
        <f>IF($A4="","",IFERROR(IF(INDEX(in_signed_offices!$A$2:$BZ$81,MATCH($A4,INDEX(in_signed_offices!$A$2:$BZ$81,0,MATCH("office_id",in_signed_offices!$A$1:$BZ$1,0)),0),MATCH("company",in_signed_offices!$A$1:$BZ$1,0))="","",INDEX(in_signed_offices!$A$2:$BZ$81,MATCH($A4,INDEX(in_signed_offices!$A$2:$BZ$81,0,MATCH("office_id",in_signed_offices!$A$1:$BZ$1,0)),0),MATCH("company",in_signed_offices!$A$1:$BZ$1,0))),""))</f>
        <v/>
      </c>
      <c r="O4" s="25">
        <f>IF($A4="","",IFERROR(IF(INDEX(in_signed_offices!$A$2:$BZ$81,MATCH($A4,INDEX(in_signed_offices!$A$2:$BZ$81,0,MATCH("office_id",in_signed_offices!$A$1:$BZ$1,0)),0),MATCH("office_address",in_signed_offices!$A$1:$BZ$1,0))="","",INDEX(in_signed_offices!$A$2:$BZ$81,MATCH($A4,INDEX(in_signed_offices!$A$2:$BZ$81,0,MATCH("office_id",in_signed_offices!$A$1:$BZ$1,0)),0),MATCH("office_address",in_signed_offices!$A$1:$BZ$1,0))),""))</f>
        <v/>
      </c>
      <c r="P4" s="25">
        <f>IF($A4="","",IFERROR(IF(INDEX(in_signed_offices!$A$2:$BZ$81,MATCH($A4,INDEX(in_signed_offices!$A$2:$BZ$81,0,MATCH("office_id",in_signed_offices!$A$1:$BZ$1,0)),0),MATCH("floor_suite",in_signed_offices!$A$1:$BZ$1,0))="","",INDEX(in_signed_offices!$A$2:$BZ$81,MATCH($A4,INDEX(in_signed_offices!$A$2:$BZ$81,0,MATCH("office_id",in_signed_offices!$A$1:$BZ$1,0)),0),MATCH("floor_suite",in_signed_offices!$A$1:$BZ$1,0))),""))</f>
        <v/>
      </c>
      <c r="Q4" s="25">
        <f>IF($A4="","",IFERROR(IF(INDEX(in_signed_offices!$A$2:$BZ$81,MATCH($A4,INDEX(in_signed_offices!$A$2:$BZ$81,0,MATCH("office_id",in_signed_offices!$A$1:$BZ$1,0)),0),MATCH("tuesday_headcount",in_signed_offices!$A$1:$BZ$1,0))="","",INDEX(in_signed_offices!$A$2:$BZ$81,MATCH($A4,INDEX(in_signed_offices!$A$2:$BZ$81,0,MATCH("office_id",in_signed_offices!$A$1:$BZ$1,0)),0),MATCH("tuesday_headcount",in_signed_offices!$A$1:$BZ$1,0))),""))</f>
        <v/>
      </c>
      <c r="R4" s="25">
        <f>IF($A4="","",IFERROR(IF(INDEX(in_signed_offices!$A$2:$BZ$81,MATCH($A4,INDEX(in_signed_offices!$A$2:$BZ$81,0,MATCH("office_id",in_signed_offices!$A$1:$BZ$1,0)),0),MATCH("contact_name",in_signed_offices!$A$1:$BZ$1,0))="","",INDEX(in_signed_offices!$A$2:$BZ$81,MATCH($A4,INDEX(in_signed_offices!$A$2:$BZ$81,0,MATCH("office_id",in_signed_offices!$A$1:$BZ$1,0)),0),MATCH("contact_name",in_signed_offices!$A$1:$BZ$1,0))),""))</f>
        <v/>
      </c>
      <c r="S4" s="25">
        <f>IF($A4="","",IFERROR(IF(INDEX(in_signed_offices!$A$2:$BZ$81,MATCH($A4,INDEX(in_signed_offices!$A$2:$BZ$81,0,MATCH("office_id",in_signed_offices!$A$1:$BZ$1,0)),0),MATCH("contact_phone",in_signed_offices!$A$1:$BZ$1,0))="","",INDEX(in_signed_offices!$A$2:$BZ$81,MATCH($A4,INDEX(in_signed_offices!$A$2:$BZ$81,0,MATCH("office_id",in_signed_offices!$A$1:$BZ$1,0)),0),MATCH("contact_phone",in_signed_offices!$A$1:$BZ$1,0))),""))</f>
        <v/>
      </c>
      <c r="T4" s="25">
        <f>IF($A4="","",IFERROR(IF(INDEX(in_signed_offices!$A$2:$BZ$81,MATCH($A4,INDEX(in_signed_offices!$A$2:$BZ$81,0,MATCH("office_id",in_signed_offices!$A$1:$BZ$1,0)),0),MATCH("contact_email",in_signed_offices!$A$1:$BZ$1,0))="","",INDEX(in_signed_offices!$A$2:$BZ$81,MATCH($A4,INDEX(in_signed_offices!$A$2:$BZ$81,0,MATCH("office_id",in_signed_offices!$A$1:$BZ$1,0)),0),MATCH("contact_email",in_signed_offices!$A$1:$BZ$1,0))),""))</f>
        <v/>
      </c>
      <c r="U4" s="25">
        <f>IF($A4="","",IFERROR(IF(INDEX(in_signed_offices!$A$2:$BZ$81,MATCH($A4,INDEX(in_signed_offices!$A$2:$BZ$81,0,MATCH("office_id",in_signed_offices!$A$1:$BZ$1,0)),0),MATCH("pantry_owner_name",in_signed_offices!$A$1:$BZ$1,0))="","",INDEX(in_signed_offices!$A$2:$BZ$81,MATCH($A4,INDEX(in_signed_offices!$A$2:$BZ$81,0,MATCH("office_id",in_signed_offices!$A$1:$BZ$1,0)),0),MATCH("pantry_owner_name",in_signed_offices!$A$1:$BZ$1,0))),""))</f>
        <v/>
      </c>
      <c r="V4" s="25">
        <f>IF($A4="","",IFERROR(IF(INDEX(in_signed_offices!$A$2:$BZ$81,MATCH($A4,INDEX(in_signed_offices!$A$2:$BZ$81,0,MATCH("office_id",in_signed_offices!$A$1:$BZ$1,0)),0),MATCH("pantry_owner_title",in_signed_offices!$A$1:$BZ$1,0))="","",INDEX(in_signed_offices!$A$2:$BZ$81,MATCH($A4,INDEX(in_signed_offices!$A$2:$BZ$81,0,MATCH("office_id",in_signed_offices!$A$1:$BZ$1,0)),0),MATCH("pantry_owner_title",in_signed_offices!$A$1:$BZ$1,0))),""))</f>
        <v/>
      </c>
      <c r="W4" s="25">
        <f>IF($A4="","",IFERROR(IF(INDEX(in_signed_offices!$A$2:$BZ$81,MATCH($A4,INDEX(in_signed_offices!$A$2:$BZ$81,0,MATCH("office_id",in_signed_offices!$A$1:$BZ$1,0)),0),MATCH("pantry_owner_is_contact",in_signed_offices!$A$1:$BZ$1,0))="","",INDEX(in_signed_offices!$A$2:$BZ$81,MATCH($A4,INDEX(in_signed_offices!$A$2:$BZ$81,0,MATCH("office_id",in_signed_offices!$A$1:$BZ$1,0)),0),MATCH("pantry_owner_is_contact",in_signed_offices!$A$1:$BZ$1,0))),""))</f>
        <v/>
      </c>
      <c r="X4" s="25">
        <f>IF($A4="","",IFERROR(IF(INDEX(in_signed_offices!$A$2:$BZ$81,MATCH($A4,INDEX(in_signed_offices!$A$2:$BZ$81,0,MATCH("office_id",in_signed_offices!$A$1:$BZ$1,0)),0),MATCH("receiving_type",in_signed_offices!$A$1:$BZ$1,0))="","",INDEX(in_signed_offices!$A$2:$BZ$81,MATCH($A4,INDEX(in_signed_offices!$A$2:$BZ$81,0,MATCH("office_id",in_signed_offices!$A$1:$BZ$1,0)),0),MATCH("receiving_type",in_signed_offices!$A$1:$BZ$1,0))),""))</f>
        <v/>
      </c>
      <c r="Y4" s="25">
        <f>IF($A4="","",IFERROR(IF(INDEX(in_signed_offices!$A$2:$BZ$81,MATCH($A4,INDEX(in_signed_offices!$A$2:$BZ$81,0,MATCH("office_id",in_signed_offices!$A$1:$BZ$1,0)),0),MATCH("receiving_window",in_signed_offices!$A$1:$BZ$1,0))="","",INDEX(in_signed_offices!$A$2:$BZ$81,MATCH($A4,INDEX(in_signed_offices!$A$2:$BZ$81,0,MATCH("office_id",in_signed_offices!$A$1:$BZ$1,0)),0),MATCH("receiving_window",in_signed_offices!$A$1:$BZ$1,0))),""))</f>
        <v/>
      </c>
      <c r="Z4" s="25">
        <f>IF($A4="","",IFERROR(IF(INDEX(in_signed_offices!$A$2:$BZ$81,MATCH($A4,INDEX(in_signed_offices!$A$2:$BZ$81,0,MATCH("office_id",in_signed_offices!$A$1:$BZ$1,0)),0),MATCH("coi_required",in_signed_offices!$A$1:$BZ$1,0))="","",INDEX(in_signed_offices!$A$2:$BZ$81,MATCH($A4,INDEX(in_signed_offices!$A$2:$BZ$81,0,MATCH("office_id",in_signed_offices!$A$1:$BZ$1,0)),0),MATCH("coi_required",in_signed_offices!$A$1:$BZ$1,0))),""))</f>
        <v/>
      </c>
      <c r="AA4" s="25">
        <f>IF($A4="","",IFERROR(IF(INDEX(in_signed_offices!$A$2:$BZ$81,MATCH($A4,INDEX(in_signed_offices!$A$2:$BZ$81,0,MATCH("office_id",in_signed_offices!$A$1:$BZ$1,0)),0),MATCH("survey_channel",in_signed_offices!$A$1:$BZ$1,0))="","",INDEX(in_signed_offices!$A$2:$BZ$81,MATCH($A4,INDEX(in_signed_offices!$A$2:$BZ$81,0,MATCH("office_id",in_signed_offices!$A$1:$BZ$1,0)),0),MATCH("survey_channel",in_signed_offices!$A$1:$BZ$1,0))),""))</f>
        <v/>
      </c>
      <c r="AB4" s="25">
        <f>IF($A4="","",IFERROR(IF(INDEX(in_signed_offices!$A$2:$BZ$81,MATCH($A4,INDEX(in_signed_offices!$A$2:$BZ$81,0,MATCH("office_id",in_signed_offices!$A$1:$BZ$1,0)),0),MATCH("categories_wanted",in_signed_offices!$A$1:$BZ$1,0))="","",INDEX(in_signed_offices!$A$2:$BZ$81,MATCH($A4,INDEX(in_signed_offices!$A$2:$BZ$81,0,MATCH("office_id",in_signed_offices!$A$1:$BZ$1,0)),0),MATCH("categories_wanted",in_signed_offices!$A$1:$BZ$1,0))),""))</f>
        <v/>
      </c>
      <c r="AC4" s="25">
        <f>IF($A4="","",IFERROR(IF(INDEX(in_signed_offices!$A$2:$BZ$81,MATCH($A4,INDEX(in_signed_offices!$A$2:$BZ$81,0,MATCH("office_id",in_signed_offices!$A$1:$BZ$1,0)),0),MATCH("vetoes",in_signed_offices!$A$1:$BZ$1,0))="","",INDEX(in_signed_offices!$A$2:$BZ$81,MATCH($A4,INDEX(in_signed_offices!$A$2:$BZ$81,0,MATCH("office_id",in_signed_offices!$A$1:$BZ$1,0)),0),MATCH("vetoes",in_signed_offices!$A$1:$BZ$1,0))),""))</f>
        <v/>
      </c>
      <c r="AD4" s="26">
        <f>IF($A4="","",IFERROR(IF(INDEX(in_signed_offices!$A$2:$BZ$81,MATCH($A4,INDEX(in_signed_offices!$A$2:$BZ$81,0,MATCH("office_id",in_signed_offices!$A$1:$BZ$1,0)),0),MATCH("agreement_signed_date",in_signed_offices!$A$1:$BZ$1,0))="","",INDEX(in_signed_offices!$A$2:$BZ$81,MATCH($A4,INDEX(in_signed_offices!$A$2:$BZ$81,0,MATCH("office_id",in_signed_offices!$A$1:$BZ$1,0)),0),MATCH("agreement_signed_date",in_signed_offices!$A$1:$BZ$1,0))),""))</f>
        <v/>
      </c>
      <c r="AE4" s="25">
        <f>IF($A4="","",IFERROR(IF(INDEX(in_signed_offices!$A$2:$BZ$81,MATCH($A4,INDEX(in_signed_offices!$A$2:$BZ$81,0,MATCH("office_id",in_signed_offices!$A$1:$BZ$1,0)),0),MATCH("founding_roster_named",in_signed_offices!$A$1:$BZ$1,0))="","",INDEX(in_signed_offices!$A$2:$BZ$81,MATCH($A4,INDEX(in_signed_offices!$A$2:$BZ$81,0,MATCH("office_id",in_signed_offices!$A$1:$BZ$1,0)),0),MATCH("founding_roster_named",in_signed_offices!$A$1:$BZ$1,0))),""))</f>
        <v/>
      </c>
      <c r="AF4" s="25">
        <f>IF($A4="","",IFERROR(IF(INDEX(in_signed_offices!$A$2:$BZ$81,MATCH($A4,INDEX(in_signed_offices!$A$2:$BZ$81,0,MATCH("office_id",in_signed_offices!$A$1:$BZ$1,0)),0),MATCH("public_naming_ok",in_signed_offices!$A$1:$BZ$1,0))="","",INDEX(in_signed_offices!$A$2:$BZ$81,MATCH($A4,INDEX(in_signed_offices!$A$2:$BZ$81,0,MATCH("office_id",in_signed_offices!$A$1:$BZ$1,0)),0),MATCH("public_naming_ok",in_signed_offices!$A$1:$BZ$1,0))),""))</f>
        <v/>
      </c>
      <c r="AG4" s="25">
        <f>IF($A4="","",IFERROR(IF(INDEX(in_signed_offices!$A$2:$BZ$81,MATCH($A4,INDEX(in_signed_offices!$A$2:$BZ$81,0,MATCH("office_id",in_signed_offices!$A$1:$BZ$1,0)),0),MATCH("clay_row_id",in_signed_offices!$A$1:$BZ$1,0))="","",INDEX(in_signed_offices!$A$2:$BZ$81,MATCH($A4,INDEX(in_signed_offices!$A$2:$BZ$81,0,MATCH("office_id",in_signed_offices!$A$1:$BZ$1,0)),0),MATCH("clay_row_id",in_signed_offices!$A$1:$BZ$1,0))),""))</f>
        <v/>
      </c>
      <c r="AH4" s="25">
        <f>IF($A4="","",IF($E4&lt;&gt;"",$E4,IFERROR(IF(INDEX(in_signed_offices!$A$2:$BZ$81,MATCH($A4,INDEX(in_signed_offices!$A$2:$BZ$81,0,MATCH("office_id",in_signed_offices!$A$1:$BZ$1,0)),0),MATCH("industry",in_signed_offices!$A$1:$BZ$1,0))="","",INDEX(in_signed_offices!$A$2:$BZ$81,MATCH($A4,INDEX(in_signed_offices!$A$2:$BZ$81,0,MATCH("office_id",in_signed_offices!$A$1:$BZ$1,0)),0),MATCH("industry",in_signed_offices!$A$1:$BZ$1,0))),"")))</f>
        <v/>
      </c>
      <c r="AI4" s="25">
        <f>IF($A4="","",IF($F4&lt;&gt;"",$F4,IF(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lt;&gt;"",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IF($W4="Y",$S4,""))))</f>
        <v/>
      </c>
      <c r="AJ4" s="25">
        <f>IF($A4="","",IF($Q4="","unknown",IF($Q4&lt;40,"under-40",IF($Q4&lt;=75,"40-75",IF($Q4&lt;=150,"76-150",IF($Q4&lt;=250,"151-250",IF($Q4&lt;=500,"251-500","over-500")))))))</f>
        <v/>
      </c>
      <c r="AK4" s="25">
        <f>IF($A4="","",IF($N4="","not on in_signed_offices: paste the outreach file",IF($Q4="","no Tuesday headcount",IF($Q4&lt;30,"below the hard floor of 30",IF($Q4&lt;40,"30 to 39: founder's call",IF($Q4&gt;250,"over 250: outside the plan","OK"))))))</f>
        <v/>
      </c>
      <c r="AL4" s="25">
        <f>IF(OR($A4="",$Q4=""),"",MIN(config!$B$16,MAX(config!$B$15,MROUND(config!$B$13+config!$B$14*$Q4,config!$B$17))))</f>
        <v/>
      </c>
      <c r="AM4" s="25">
        <f>IF($A4="","",COUNTIFS(stops!$B$2:$B$151,$A4,stops!$P$2:$P$151,"&lt;="&amp;IF(config!$B$37&lt;&gt;"",config!$B$37,TODAY())))</f>
        <v/>
      </c>
      <c r="AN4" s="25">
        <f>IF($A4="","",COUNTIFS(stops!$B$2:$B$151,$A4,stops!$L$2:$L$151,"declined"))</f>
        <v/>
      </c>
    </row>
    <row r="5">
      <c r="A5" t="inlineStr">
        <is>
          <t>SAMPLE-O-004</t>
        </is>
      </c>
      <c r="C5" s="31" t="n">
        <v>40.7376</v>
      </c>
      <c r="D5" s="31" t="n">
        <v>-73.9879</v>
      </c>
      <c r="G5" t="inlineStr">
        <is>
          <t>Y</t>
        </is>
      </c>
      <c r="H5" t="inlineStr">
        <is>
          <t>SAMPLE loading dock on the side street; mailroom signs, owner collects</t>
        </is>
      </c>
      <c r="I5" t="inlineStr">
        <is>
          <t>not_needed</t>
        </is>
      </c>
      <c r="J5" s="9" t="n"/>
      <c r="K5" t="inlineStr">
        <is>
          <t>active</t>
        </is>
      </c>
      <c r="L5" s="9" t="n"/>
      <c r="N5" s="25">
        <f>IF($A5="","",IFERROR(IF(INDEX(in_signed_offices!$A$2:$BZ$81,MATCH($A5,INDEX(in_signed_offices!$A$2:$BZ$81,0,MATCH("office_id",in_signed_offices!$A$1:$BZ$1,0)),0),MATCH("company",in_signed_offices!$A$1:$BZ$1,0))="","",INDEX(in_signed_offices!$A$2:$BZ$81,MATCH($A5,INDEX(in_signed_offices!$A$2:$BZ$81,0,MATCH("office_id",in_signed_offices!$A$1:$BZ$1,0)),0),MATCH("company",in_signed_offices!$A$1:$BZ$1,0))),""))</f>
        <v/>
      </c>
      <c r="O5" s="25">
        <f>IF($A5="","",IFERROR(IF(INDEX(in_signed_offices!$A$2:$BZ$81,MATCH($A5,INDEX(in_signed_offices!$A$2:$BZ$81,0,MATCH("office_id",in_signed_offices!$A$1:$BZ$1,0)),0),MATCH("office_address",in_signed_offices!$A$1:$BZ$1,0))="","",INDEX(in_signed_offices!$A$2:$BZ$81,MATCH($A5,INDEX(in_signed_offices!$A$2:$BZ$81,0,MATCH("office_id",in_signed_offices!$A$1:$BZ$1,0)),0),MATCH("office_address",in_signed_offices!$A$1:$BZ$1,0))),""))</f>
        <v/>
      </c>
      <c r="P5" s="25">
        <f>IF($A5="","",IFERROR(IF(INDEX(in_signed_offices!$A$2:$BZ$81,MATCH($A5,INDEX(in_signed_offices!$A$2:$BZ$81,0,MATCH("office_id",in_signed_offices!$A$1:$BZ$1,0)),0),MATCH("floor_suite",in_signed_offices!$A$1:$BZ$1,0))="","",INDEX(in_signed_offices!$A$2:$BZ$81,MATCH($A5,INDEX(in_signed_offices!$A$2:$BZ$81,0,MATCH("office_id",in_signed_offices!$A$1:$BZ$1,0)),0),MATCH("floor_suite",in_signed_offices!$A$1:$BZ$1,0))),""))</f>
        <v/>
      </c>
      <c r="Q5" s="25">
        <f>IF($A5="","",IFERROR(IF(INDEX(in_signed_offices!$A$2:$BZ$81,MATCH($A5,INDEX(in_signed_offices!$A$2:$BZ$81,0,MATCH("office_id",in_signed_offices!$A$1:$BZ$1,0)),0),MATCH("tuesday_headcount",in_signed_offices!$A$1:$BZ$1,0))="","",INDEX(in_signed_offices!$A$2:$BZ$81,MATCH($A5,INDEX(in_signed_offices!$A$2:$BZ$81,0,MATCH("office_id",in_signed_offices!$A$1:$BZ$1,0)),0),MATCH("tuesday_headcount",in_signed_offices!$A$1:$BZ$1,0))),""))</f>
        <v/>
      </c>
      <c r="R5" s="25">
        <f>IF($A5="","",IFERROR(IF(INDEX(in_signed_offices!$A$2:$BZ$81,MATCH($A5,INDEX(in_signed_offices!$A$2:$BZ$81,0,MATCH("office_id",in_signed_offices!$A$1:$BZ$1,0)),0),MATCH("contact_name",in_signed_offices!$A$1:$BZ$1,0))="","",INDEX(in_signed_offices!$A$2:$BZ$81,MATCH($A5,INDEX(in_signed_offices!$A$2:$BZ$81,0,MATCH("office_id",in_signed_offices!$A$1:$BZ$1,0)),0),MATCH("contact_name",in_signed_offices!$A$1:$BZ$1,0))),""))</f>
        <v/>
      </c>
      <c r="S5" s="25">
        <f>IF($A5="","",IFERROR(IF(INDEX(in_signed_offices!$A$2:$BZ$81,MATCH($A5,INDEX(in_signed_offices!$A$2:$BZ$81,0,MATCH("office_id",in_signed_offices!$A$1:$BZ$1,0)),0),MATCH("contact_phone",in_signed_offices!$A$1:$BZ$1,0))="","",INDEX(in_signed_offices!$A$2:$BZ$81,MATCH($A5,INDEX(in_signed_offices!$A$2:$BZ$81,0,MATCH("office_id",in_signed_offices!$A$1:$BZ$1,0)),0),MATCH("contact_phone",in_signed_offices!$A$1:$BZ$1,0))),""))</f>
        <v/>
      </c>
      <c r="T5" s="25">
        <f>IF($A5="","",IFERROR(IF(INDEX(in_signed_offices!$A$2:$BZ$81,MATCH($A5,INDEX(in_signed_offices!$A$2:$BZ$81,0,MATCH("office_id",in_signed_offices!$A$1:$BZ$1,0)),0),MATCH("contact_email",in_signed_offices!$A$1:$BZ$1,0))="","",INDEX(in_signed_offices!$A$2:$BZ$81,MATCH($A5,INDEX(in_signed_offices!$A$2:$BZ$81,0,MATCH("office_id",in_signed_offices!$A$1:$BZ$1,0)),0),MATCH("contact_email",in_signed_offices!$A$1:$BZ$1,0))),""))</f>
        <v/>
      </c>
      <c r="U5" s="25">
        <f>IF($A5="","",IFERROR(IF(INDEX(in_signed_offices!$A$2:$BZ$81,MATCH($A5,INDEX(in_signed_offices!$A$2:$BZ$81,0,MATCH("office_id",in_signed_offices!$A$1:$BZ$1,0)),0),MATCH("pantry_owner_name",in_signed_offices!$A$1:$BZ$1,0))="","",INDEX(in_signed_offices!$A$2:$BZ$81,MATCH($A5,INDEX(in_signed_offices!$A$2:$BZ$81,0,MATCH("office_id",in_signed_offices!$A$1:$BZ$1,0)),0),MATCH("pantry_owner_name",in_signed_offices!$A$1:$BZ$1,0))),""))</f>
        <v/>
      </c>
      <c r="V5" s="25">
        <f>IF($A5="","",IFERROR(IF(INDEX(in_signed_offices!$A$2:$BZ$81,MATCH($A5,INDEX(in_signed_offices!$A$2:$BZ$81,0,MATCH("office_id",in_signed_offices!$A$1:$BZ$1,0)),0),MATCH("pantry_owner_title",in_signed_offices!$A$1:$BZ$1,0))="","",INDEX(in_signed_offices!$A$2:$BZ$81,MATCH($A5,INDEX(in_signed_offices!$A$2:$BZ$81,0,MATCH("office_id",in_signed_offices!$A$1:$BZ$1,0)),0),MATCH("pantry_owner_title",in_signed_offices!$A$1:$BZ$1,0))),""))</f>
        <v/>
      </c>
      <c r="W5" s="25">
        <f>IF($A5="","",IFERROR(IF(INDEX(in_signed_offices!$A$2:$BZ$81,MATCH($A5,INDEX(in_signed_offices!$A$2:$BZ$81,0,MATCH("office_id",in_signed_offices!$A$1:$BZ$1,0)),0),MATCH("pantry_owner_is_contact",in_signed_offices!$A$1:$BZ$1,0))="","",INDEX(in_signed_offices!$A$2:$BZ$81,MATCH($A5,INDEX(in_signed_offices!$A$2:$BZ$81,0,MATCH("office_id",in_signed_offices!$A$1:$BZ$1,0)),0),MATCH("pantry_owner_is_contact",in_signed_offices!$A$1:$BZ$1,0))),""))</f>
        <v/>
      </c>
      <c r="X5" s="25">
        <f>IF($A5="","",IFERROR(IF(INDEX(in_signed_offices!$A$2:$BZ$81,MATCH($A5,INDEX(in_signed_offices!$A$2:$BZ$81,0,MATCH("office_id",in_signed_offices!$A$1:$BZ$1,0)),0),MATCH("receiving_type",in_signed_offices!$A$1:$BZ$1,0))="","",INDEX(in_signed_offices!$A$2:$BZ$81,MATCH($A5,INDEX(in_signed_offices!$A$2:$BZ$81,0,MATCH("office_id",in_signed_offices!$A$1:$BZ$1,0)),0),MATCH("receiving_type",in_signed_offices!$A$1:$BZ$1,0))),""))</f>
        <v/>
      </c>
      <c r="Y5" s="25">
        <f>IF($A5="","",IFERROR(IF(INDEX(in_signed_offices!$A$2:$BZ$81,MATCH($A5,INDEX(in_signed_offices!$A$2:$BZ$81,0,MATCH("office_id",in_signed_offices!$A$1:$BZ$1,0)),0),MATCH("receiving_window",in_signed_offices!$A$1:$BZ$1,0))="","",INDEX(in_signed_offices!$A$2:$BZ$81,MATCH($A5,INDEX(in_signed_offices!$A$2:$BZ$81,0,MATCH("office_id",in_signed_offices!$A$1:$BZ$1,0)),0),MATCH("receiving_window",in_signed_offices!$A$1:$BZ$1,0))),""))</f>
        <v/>
      </c>
      <c r="Z5" s="25">
        <f>IF($A5="","",IFERROR(IF(INDEX(in_signed_offices!$A$2:$BZ$81,MATCH($A5,INDEX(in_signed_offices!$A$2:$BZ$81,0,MATCH("office_id",in_signed_offices!$A$1:$BZ$1,0)),0),MATCH("coi_required",in_signed_offices!$A$1:$BZ$1,0))="","",INDEX(in_signed_offices!$A$2:$BZ$81,MATCH($A5,INDEX(in_signed_offices!$A$2:$BZ$81,0,MATCH("office_id",in_signed_offices!$A$1:$BZ$1,0)),0),MATCH("coi_required",in_signed_offices!$A$1:$BZ$1,0))),""))</f>
        <v/>
      </c>
      <c r="AA5" s="25">
        <f>IF($A5="","",IFERROR(IF(INDEX(in_signed_offices!$A$2:$BZ$81,MATCH($A5,INDEX(in_signed_offices!$A$2:$BZ$81,0,MATCH("office_id",in_signed_offices!$A$1:$BZ$1,0)),0),MATCH("survey_channel",in_signed_offices!$A$1:$BZ$1,0))="","",INDEX(in_signed_offices!$A$2:$BZ$81,MATCH($A5,INDEX(in_signed_offices!$A$2:$BZ$81,0,MATCH("office_id",in_signed_offices!$A$1:$BZ$1,0)),0),MATCH("survey_channel",in_signed_offices!$A$1:$BZ$1,0))),""))</f>
        <v/>
      </c>
      <c r="AB5" s="25">
        <f>IF($A5="","",IFERROR(IF(INDEX(in_signed_offices!$A$2:$BZ$81,MATCH($A5,INDEX(in_signed_offices!$A$2:$BZ$81,0,MATCH("office_id",in_signed_offices!$A$1:$BZ$1,0)),0),MATCH("categories_wanted",in_signed_offices!$A$1:$BZ$1,0))="","",INDEX(in_signed_offices!$A$2:$BZ$81,MATCH($A5,INDEX(in_signed_offices!$A$2:$BZ$81,0,MATCH("office_id",in_signed_offices!$A$1:$BZ$1,0)),0),MATCH("categories_wanted",in_signed_offices!$A$1:$BZ$1,0))),""))</f>
        <v/>
      </c>
      <c r="AC5" s="25">
        <f>IF($A5="","",IFERROR(IF(INDEX(in_signed_offices!$A$2:$BZ$81,MATCH($A5,INDEX(in_signed_offices!$A$2:$BZ$81,0,MATCH("office_id",in_signed_offices!$A$1:$BZ$1,0)),0),MATCH("vetoes",in_signed_offices!$A$1:$BZ$1,0))="","",INDEX(in_signed_offices!$A$2:$BZ$81,MATCH($A5,INDEX(in_signed_offices!$A$2:$BZ$81,0,MATCH("office_id",in_signed_offices!$A$1:$BZ$1,0)),0),MATCH("vetoes",in_signed_offices!$A$1:$BZ$1,0))),""))</f>
        <v/>
      </c>
      <c r="AD5" s="26">
        <f>IF($A5="","",IFERROR(IF(INDEX(in_signed_offices!$A$2:$BZ$81,MATCH($A5,INDEX(in_signed_offices!$A$2:$BZ$81,0,MATCH("office_id",in_signed_offices!$A$1:$BZ$1,0)),0),MATCH("agreement_signed_date",in_signed_offices!$A$1:$BZ$1,0))="","",INDEX(in_signed_offices!$A$2:$BZ$81,MATCH($A5,INDEX(in_signed_offices!$A$2:$BZ$81,0,MATCH("office_id",in_signed_offices!$A$1:$BZ$1,0)),0),MATCH("agreement_signed_date",in_signed_offices!$A$1:$BZ$1,0))),""))</f>
        <v/>
      </c>
      <c r="AE5" s="25">
        <f>IF($A5="","",IFERROR(IF(INDEX(in_signed_offices!$A$2:$BZ$81,MATCH($A5,INDEX(in_signed_offices!$A$2:$BZ$81,0,MATCH("office_id",in_signed_offices!$A$1:$BZ$1,0)),0),MATCH("founding_roster_named",in_signed_offices!$A$1:$BZ$1,0))="","",INDEX(in_signed_offices!$A$2:$BZ$81,MATCH($A5,INDEX(in_signed_offices!$A$2:$BZ$81,0,MATCH("office_id",in_signed_offices!$A$1:$BZ$1,0)),0),MATCH("founding_roster_named",in_signed_offices!$A$1:$BZ$1,0))),""))</f>
        <v/>
      </c>
      <c r="AF5" s="25">
        <f>IF($A5="","",IFERROR(IF(INDEX(in_signed_offices!$A$2:$BZ$81,MATCH($A5,INDEX(in_signed_offices!$A$2:$BZ$81,0,MATCH("office_id",in_signed_offices!$A$1:$BZ$1,0)),0),MATCH("public_naming_ok",in_signed_offices!$A$1:$BZ$1,0))="","",INDEX(in_signed_offices!$A$2:$BZ$81,MATCH($A5,INDEX(in_signed_offices!$A$2:$BZ$81,0,MATCH("office_id",in_signed_offices!$A$1:$BZ$1,0)),0),MATCH("public_naming_ok",in_signed_offices!$A$1:$BZ$1,0))),""))</f>
        <v/>
      </c>
      <c r="AG5" s="25">
        <f>IF($A5="","",IFERROR(IF(INDEX(in_signed_offices!$A$2:$BZ$81,MATCH($A5,INDEX(in_signed_offices!$A$2:$BZ$81,0,MATCH("office_id",in_signed_offices!$A$1:$BZ$1,0)),0),MATCH("clay_row_id",in_signed_offices!$A$1:$BZ$1,0))="","",INDEX(in_signed_offices!$A$2:$BZ$81,MATCH($A5,INDEX(in_signed_offices!$A$2:$BZ$81,0,MATCH("office_id",in_signed_offices!$A$1:$BZ$1,0)),0),MATCH("clay_row_id",in_signed_offices!$A$1:$BZ$1,0))),""))</f>
        <v/>
      </c>
      <c r="AH5" s="25">
        <f>IF($A5="","",IF($E5&lt;&gt;"",$E5,IFERROR(IF(INDEX(in_signed_offices!$A$2:$BZ$81,MATCH($A5,INDEX(in_signed_offices!$A$2:$BZ$81,0,MATCH("office_id",in_signed_offices!$A$1:$BZ$1,0)),0),MATCH("industry",in_signed_offices!$A$1:$BZ$1,0))="","",INDEX(in_signed_offices!$A$2:$BZ$81,MATCH($A5,INDEX(in_signed_offices!$A$2:$BZ$81,0,MATCH("office_id",in_signed_offices!$A$1:$BZ$1,0)),0),MATCH("industry",in_signed_offices!$A$1:$BZ$1,0))),"")))</f>
        <v/>
      </c>
      <c r="AI5" s="25">
        <f>IF($A5="","",IF($F5&lt;&gt;"",$F5,IF(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lt;&gt;"",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IF($W5="Y",$S5,""))))</f>
        <v/>
      </c>
      <c r="AJ5" s="25">
        <f>IF($A5="","",IF($Q5="","unknown",IF($Q5&lt;40,"under-40",IF($Q5&lt;=75,"40-75",IF($Q5&lt;=150,"76-150",IF($Q5&lt;=250,"151-250",IF($Q5&lt;=500,"251-500","over-500")))))))</f>
        <v/>
      </c>
      <c r="AK5" s="25">
        <f>IF($A5="","",IF($N5="","not on in_signed_offices: paste the outreach file",IF($Q5="","no Tuesday headcount",IF($Q5&lt;30,"below the hard floor of 30",IF($Q5&lt;40,"30 to 39: founder's call",IF($Q5&gt;250,"over 250: outside the plan","OK"))))))</f>
        <v/>
      </c>
      <c r="AL5" s="25">
        <f>IF(OR($A5="",$Q5=""),"",MIN(config!$B$16,MAX(config!$B$15,MROUND(config!$B$13+config!$B$14*$Q5,config!$B$17))))</f>
        <v/>
      </c>
      <c r="AM5" s="25">
        <f>IF($A5="","",COUNTIFS(stops!$B$2:$B$151,$A5,stops!$P$2:$P$151,"&lt;="&amp;IF(config!$B$37&lt;&gt;"",config!$B$37,TODAY())))</f>
        <v/>
      </c>
      <c r="AN5" s="25">
        <f>IF($A5="","",COUNTIFS(stops!$B$2:$B$151,$A5,stops!$L$2:$L$151,"declined"))</f>
        <v/>
      </c>
    </row>
    <row r="6">
      <c r="A6" t="inlineStr">
        <is>
          <t>SAMPLE-O-005</t>
        </is>
      </c>
      <c r="C6" s="31" t="n">
        <v>40.7425</v>
      </c>
      <c r="D6" s="31" t="n">
        <v>-73.9901</v>
      </c>
      <c r="G6" t="inlineStr">
        <is>
          <t>Y</t>
        </is>
      </c>
      <c r="H6" t="inlineStr">
        <is>
          <t>SAMPLE show the certificate at the desk; 9th floor kitchen</t>
        </is>
      </c>
      <c r="I6" t="inlineStr">
        <is>
          <t>received</t>
        </is>
      </c>
      <c r="J6" s="9" t="n">
        <v>46379</v>
      </c>
      <c r="K6" t="inlineStr">
        <is>
          <t>active</t>
        </is>
      </c>
      <c r="L6" s="9" t="n"/>
      <c r="N6" s="25">
        <f>IF($A6="","",IFERROR(IF(INDEX(in_signed_offices!$A$2:$BZ$81,MATCH($A6,INDEX(in_signed_offices!$A$2:$BZ$81,0,MATCH("office_id",in_signed_offices!$A$1:$BZ$1,0)),0),MATCH("company",in_signed_offices!$A$1:$BZ$1,0))="","",INDEX(in_signed_offices!$A$2:$BZ$81,MATCH($A6,INDEX(in_signed_offices!$A$2:$BZ$81,0,MATCH("office_id",in_signed_offices!$A$1:$BZ$1,0)),0),MATCH("company",in_signed_offices!$A$1:$BZ$1,0))),""))</f>
        <v/>
      </c>
      <c r="O6" s="25">
        <f>IF($A6="","",IFERROR(IF(INDEX(in_signed_offices!$A$2:$BZ$81,MATCH($A6,INDEX(in_signed_offices!$A$2:$BZ$81,0,MATCH("office_id",in_signed_offices!$A$1:$BZ$1,0)),0),MATCH("office_address",in_signed_offices!$A$1:$BZ$1,0))="","",INDEX(in_signed_offices!$A$2:$BZ$81,MATCH($A6,INDEX(in_signed_offices!$A$2:$BZ$81,0,MATCH("office_id",in_signed_offices!$A$1:$BZ$1,0)),0),MATCH("office_address",in_signed_offices!$A$1:$BZ$1,0))),""))</f>
        <v/>
      </c>
      <c r="P6" s="25">
        <f>IF($A6="","",IFERROR(IF(INDEX(in_signed_offices!$A$2:$BZ$81,MATCH($A6,INDEX(in_signed_offices!$A$2:$BZ$81,0,MATCH("office_id",in_signed_offices!$A$1:$BZ$1,0)),0),MATCH("floor_suite",in_signed_offices!$A$1:$BZ$1,0))="","",INDEX(in_signed_offices!$A$2:$BZ$81,MATCH($A6,INDEX(in_signed_offices!$A$2:$BZ$81,0,MATCH("office_id",in_signed_offices!$A$1:$BZ$1,0)),0),MATCH("floor_suite",in_signed_offices!$A$1:$BZ$1,0))),""))</f>
        <v/>
      </c>
      <c r="Q6" s="25">
        <f>IF($A6="","",IFERROR(IF(INDEX(in_signed_offices!$A$2:$BZ$81,MATCH($A6,INDEX(in_signed_offices!$A$2:$BZ$81,0,MATCH("office_id",in_signed_offices!$A$1:$BZ$1,0)),0),MATCH("tuesday_headcount",in_signed_offices!$A$1:$BZ$1,0))="","",INDEX(in_signed_offices!$A$2:$BZ$81,MATCH($A6,INDEX(in_signed_offices!$A$2:$BZ$81,0,MATCH("office_id",in_signed_offices!$A$1:$BZ$1,0)),0),MATCH("tuesday_headcount",in_signed_offices!$A$1:$BZ$1,0))),""))</f>
        <v/>
      </c>
      <c r="R6" s="25">
        <f>IF($A6="","",IFERROR(IF(INDEX(in_signed_offices!$A$2:$BZ$81,MATCH($A6,INDEX(in_signed_offices!$A$2:$BZ$81,0,MATCH("office_id",in_signed_offices!$A$1:$BZ$1,0)),0),MATCH("contact_name",in_signed_offices!$A$1:$BZ$1,0))="","",INDEX(in_signed_offices!$A$2:$BZ$81,MATCH($A6,INDEX(in_signed_offices!$A$2:$BZ$81,0,MATCH("office_id",in_signed_offices!$A$1:$BZ$1,0)),0),MATCH("contact_name",in_signed_offices!$A$1:$BZ$1,0))),""))</f>
        <v/>
      </c>
      <c r="S6" s="25">
        <f>IF($A6="","",IFERROR(IF(INDEX(in_signed_offices!$A$2:$BZ$81,MATCH($A6,INDEX(in_signed_offices!$A$2:$BZ$81,0,MATCH("office_id",in_signed_offices!$A$1:$BZ$1,0)),0),MATCH("contact_phone",in_signed_offices!$A$1:$BZ$1,0))="","",INDEX(in_signed_offices!$A$2:$BZ$81,MATCH($A6,INDEX(in_signed_offices!$A$2:$BZ$81,0,MATCH("office_id",in_signed_offices!$A$1:$BZ$1,0)),0),MATCH("contact_phone",in_signed_offices!$A$1:$BZ$1,0))),""))</f>
        <v/>
      </c>
      <c r="T6" s="25">
        <f>IF($A6="","",IFERROR(IF(INDEX(in_signed_offices!$A$2:$BZ$81,MATCH($A6,INDEX(in_signed_offices!$A$2:$BZ$81,0,MATCH("office_id",in_signed_offices!$A$1:$BZ$1,0)),0),MATCH("contact_email",in_signed_offices!$A$1:$BZ$1,0))="","",INDEX(in_signed_offices!$A$2:$BZ$81,MATCH($A6,INDEX(in_signed_offices!$A$2:$BZ$81,0,MATCH("office_id",in_signed_offices!$A$1:$BZ$1,0)),0),MATCH("contact_email",in_signed_offices!$A$1:$BZ$1,0))),""))</f>
        <v/>
      </c>
      <c r="U6" s="25">
        <f>IF($A6="","",IFERROR(IF(INDEX(in_signed_offices!$A$2:$BZ$81,MATCH($A6,INDEX(in_signed_offices!$A$2:$BZ$81,0,MATCH("office_id",in_signed_offices!$A$1:$BZ$1,0)),0),MATCH("pantry_owner_name",in_signed_offices!$A$1:$BZ$1,0))="","",INDEX(in_signed_offices!$A$2:$BZ$81,MATCH($A6,INDEX(in_signed_offices!$A$2:$BZ$81,0,MATCH("office_id",in_signed_offices!$A$1:$BZ$1,0)),0),MATCH("pantry_owner_name",in_signed_offices!$A$1:$BZ$1,0))),""))</f>
        <v/>
      </c>
      <c r="V6" s="25">
        <f>IF($A6="","",IFERROR(IF(INDEX(in_signed_offices!$A$2:$BZ$81,MATCH($A6,INDEX(in_signed_offices!$A$2:$BZ$81,0,MATCH("office_id",in_signed_offices!$A$1:$BZ$1,0)),0),MATCH("pantry_owner_title",in_signed_offices!$A$1:$BZ$1,0))="","",INDEX(in_signed_offices!$A$2:$BZ$81,MATCH($A6,INDEX(in_signed_offices!$A$2:$BZ$81,0,MATCH("office_id",in_signed_offices!$A$1:$BZ$1,0)),0),MATCH("pantry_owner_title",in_signed_offices!$A$1:$BZ$1,0))),""))</f>
        <v/>
      </c>
      <c r="W6" s="25">
        <f>IF($A6="","",IFERROR(IF(INDEX(in_signed_offices!$A$2:$BZ$81,MATCH($A6,INDEX(in_signed_offices!$A$2:$BZ$81,0,MATCH("office_id",in_signed_offices!$A$1:$BZ$1,0)),0),MATCH("pantry_owner_is_contact",in_signed_offices!$A$1:$BZ$1,0))="","",INDEX(in_signed_offices!$A$2:$BZ$81,MATCH($A6,INDEX(in_signed_offices!$A$2:$BZ$81,0,MATCH("office_id",in_signed_offices!$A$1:$BZ$1,0)),0),MATCH("pantry_owner_is_contact",in_signed_offices!$A$1:$BZ$1,0))),""))</f>
        <v/>
      </c>
      <c r="X6" s="25">
        <f>IF($A6="","",IFERROR(IF(INDEX(in_signed_offices!$A$2:$BZ$81,MATCH($A6,INDEX(in_signed_offices!$A$2:$BZ$81,0,MATCH("office_id",in_signed_offices!$A$1:$BZ$1,0)),0),MATCH("receiving_type",in_signed_offices!$A$1:$BZ$1,0))="","",INDEX(in_signed_offices!$A$2:$BZ$81,MATCH($A6,INDEX(in_signed_offices!$A$2:$BZ$81,0,MATCH("office_id",in_signed_offices!$A$1:$BZ$1,0)),0),MATCH("receiving_type",in_signed_offices!$A$1:$BZ$1,0))),""))</f>
        <v/>
      </c>
      <c r="Y6" s="25">
        <f>IF($A6="","",IFERROR(IF(INDEX(in_signed_offices!$A$2:$BZ$81,MATCH($A6,INDEX(in_signed_offices!$A$2:$BZ$81,0,MATCH("office_id",in_signed_offices!$A$1:$BZ$1,0)),0),MATCH("receiving_window",in_signed_offices!$A$1:$BZ$1,0))="","",INDEX(in_signed_offices!$A$2:$BZ$81,MATCH($A6,INDEX(in_signed_offices!$A$2:$BZ$81,0,MATCH("office_id",in_signed_offices!$A$1:$BZ$1,0)),0),MATCH("receiving_window",in_signed_offices!$A$1:$BZ$1,0))),""))</f>
        <v/>
      </c>
      <c r="Z6" s="25">
        <f>IF($A6="","",IFERROR(IF(INDEX(in_signed_offices!$A$2:$BZ$81,MATCH($A6,INDEX(in_signed_offices!$A$2:$BZ$81,0,MATCH("office_id",in_signed_offices!$A$1:$BZ$1,0)),0),MATCH("coi_required",in_signed_offices!$A$1:$BZ$1,0))="","",INDEX(in_signed_offices!$A$2:$BZ$81,MATCH($A6,INDEX(in_signed_offices!$A$2:$BZ$81,0,MATCH("office_id",in_signed_offices!$A$1:$BZ$1,0)),0),MATCH("coi_required",in_signed_offices!$A$1:$BZ$1,0))),""))</f>
        <v/>
      </c>
      <c r="AA6" s="25">
        <f>IF($A6="","",IFERROR(IF(INDEX(in_signed_offices!$A$2:$BZ$81,MATCH($A6,INDEX(in_signed_offices!$A$2:$BZ$81,0,MATCH("office_id",in_signed_offices!$A$1:$BZ$1,0)),0),MATCH("survey_channel",in_signed_offices!$A$1:$BZ$1,0))="","",INDEX(in_signed_offices!$A$2:$BZ$81,MATCH($A6,INDEX(in_signed_offices!$A$2:$BZ$81,0,MATCH("office_id",in_signed_offices!$A$1:$BZ$1,0)),0),MATCH("survey_channel",in_signed_offices!$A$1:$BZ$1,0))),""))</f>
        <v/>
      </c>
      <c r="AB6" s="25">
        <f>IF($A6="","",IFERROR(IF(INDEX(in_signed_offices!$A$2:$BZ$81,MATCH($A6,INDEX(in_signed_offices!$A$2:$BZ$81,0,MATCH("office_id",in_signed_offices!$A$1:$BZ$1,0)),0),MATCH("categories_wanted",in_signed_offices!$A$1:$BZ$1,0))="","",INDEX(in_signed_offices!$A$2:$BZ$81,MATCH($A6,INDEX(in_signed_offices!$A$2:$BZ$81,0,MATCH("office_id",in_signed_offices!$A$1:$BZ$1,0)),0),MATCH("categories_wanted",in_signed_offices!$A$1:$BZ$1,0))),""))</f>
        <v/>
      </c>
      <c r="AC6" s="25">
        <f>IF($A6="","",IFERROR(IF(INDEX(in_signed_offices!$A$2:$BZ$81,MATCH($A6,INDEX(in_signed_offices!$A$2:$BZ$81,0,MATCH("office_id",in_signed_offices!$A$1:$BZ$1,0)),0),MATCH("vetoes",in_signed_offices!$A$1:$BZ$1,0))="","",INDEX(in_signed_offices!$A$2:$BZ$81,MATCH($A6,INDEX(in_signed_offices!$A$2:$BZ$81,0,MATCH("office_id",in_signed_offices!$A$1:$BZ$1,0)),0),MATCH("vetoes",in_signed_offices!$A$1:$BZ$1,0))),""))</f>
        <v/>
      </c>
      <c r="AD6" s="26">
        <f>IF($A6="","",IFERROR(IF(INDEX(in_signed_offices!$A$2:$BZ$81,MATCH($A6,INDEX(in_signed_offices!$A$2:$BZ$81,0,MATCH("office_id",in_signed_offices!$A$1:$BZ$1,0)),0),MATCH("agreement_signed_date",in_signed_offices!$A$1:$BZ$1,0))="","",INDEX(in_signed_offices!$A$2:$BZ$81,MATCH($A6,INDEX(in_signed_offices!$A$2:$BZ$81,0,MATCH("office_id",in_signed_offices!$A$1:$BZ$1,0)),0),MATCH("agreement_signed_date",in_signed_offices!$A$1:$BZ$1,0))),""))</f>
        <v/>
      </c>
      <c r="AE6" s="25">
        <f>IF($A6="","",IFERROR(IF(INDEX(in_signed_offices!$A$2:$BZ$81,MATCH($A6,INDEX(in_signed_offices!$A$2:$BZ$81,0,MATCH("office_id",in_signed_offices!$A$1:$BZ$1,0)),0),MATCH("founding_roster_named",in_signed_offices!$A$1:$BZ$1,0))="","",INDEX(in_signed_offices!$A$2:$BZ$81,MATCH($A6,INDEX(in_signed_offices!$A$2:$BZ$81,0,MATCH("office_id",in_signed_offices!$A$1:$BZ$1,0)),0),MATCH("founding_roster_named",in_signed_offices!$A$1:$BZ$1,0))),""))</f>
        <v/>
      </c>
      <c r="AF6" s="25">
        <f>IF($A6="","",IFERROR(IF(INDEX(in_signed_offices!$A$2:$BZ$81,MATCH($A6,INDEX(in_signed_offices!$A$2:$BZ$81,0,MATCH("office_id",in_signed_offices!$A$1:$BZ$1,0)),0),MATCH("public_naming_ok",in_signed_offices!$A$1:$BZ$1,0))="","",INDEX(in_signed_offices!$A$2:$BZ$81,MATCH($A6,INDEX(in_signed_offices!$A$2:$BZ$81,0,MATCH("office_id",in_signed_offices!$A$1:$BZ$1,0)),0),MATCH("public_naming_ok",in_signed_offices!$A$1:$BZ$1,0))),""))</f>
        <v/>
      </c>
      <c r="AG6" s="25">
        <f>IF($A6="","",IFERROR(IF(INDEX(in_signed_offices!$A$2:$BZ$81,MATCH($A6,INDEX(in_signed_offices!$A$2:$BZ$81,0,MATCH("office_id",in_signed_offices!$A$1:$BZ$1,0)),0),MATCH("clay_row_id",in_signed_offices!$A$1:$BZ$1,0))="","",INDEX(in_signed_offices!$A$2:$BZ$81,MATCH($A6,INDEX(in_signed_offices!$A$2:$BZ$81,0,MATCH("office_id",in_signed_offices!$A$1:$BZ$1,0)),0),MATCH("clay_row_id",in_signed_offices!$A$1:$BZ$1,0))),""))</f>
        <v/>
      </c>
      <c r="AH6" s="25">
        <f>IF($A6="","",IF($E6&lt;&gt;"",$E6,IFERROR(IF(INDEX(in_signed_offices!$A$2:$BZ$81,MATCH($A6,INDEX(in_signed_offices!$A$2:$BZ$81,0,MATCH("office_id",in_signed_offices!$A$1:$BZ$1,0)),0),MATCH("industry",in_signed_offices!$A$1:$BZ$1,0))="","",INDEX(in_signed_offices!$A$2:$BZ$81,MATCH($A6,INDEX(in_signed_offices!$A$2:$BZ$81,0,MATCH("office_id",in_signed_offices!$A$1:$BZ$1,0)),0),MATCH("industry",in_signed_offices!$A$1:$BZ$1,0))),"")))</f>
        <v/>
      </c>
      <c r="AI6" s="25">
        <f>IF($A6="","",IF($F6&lt;&gt;"",$F6,IF(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lt;&gt;"",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IF($W6="Y",$S6,""))))</f>
        <v/>
      </c>
      <c r="AJ6" s="25">
        <f>IF($A6="","",IF($Q6="","unknown",IF($Q6&lt;40,"under-40",IF($Q6&lt;=75,"40-75",IF($Q6&lt;=150,"76-150",IF($Q6&lt;=250,"151-250",IF($Q6&lt;=500,"251-500","over-500")))))))</f>
        <v/>
      </c>
      <c r="AK6" s="25">
        <f>IF($A6="","",IF($N6="","not on in_signed_offices: paste the outreach file",IF($Q6="","no Tuesday headcount",IF($Q6&lt;30,"below the hard floor of 30",IF($Q6&lt;40,"30 to 39: founder's call",IF($Q6&gt;250,"over 250: outside the plan","OK"))))))</f>
        <v/>
      </c>
      <c r="AL6" s="25">
        <f>IF(OR($A6="",$Q6=""),"",MIN(config!$B$16,MAX(config!$B$15,MROUND(config!$B$13+config!$B$14*$Q6,config!$B$17))))</f>
        <v/>
      </c>
      <c r="AM6" s="25">
        <f>IF($A6="","",COUNTIFS(stops!$B$2:$B$151,$A6,stops!$P$2:$P$151,"&lt;="&amp;IF(config!$B$37&lt;&gt;"",config!$B$37,TODAY())))</f>
        <v/>
      </c>
      <c r="AN6" s="25">
        <f>IF($A6="","",COUNTIFS(stops!$B$2:$B$151,$A6,stops!$L$2:$L$151,"declined"))</f>
        <v/>
      </c>
    </row>
    <row r="7">
      <c r="A7" t="inlineStr">
        <is>
          <t>SAMPLE-O-006</t>
        </is>
      </c>
      <c r="C7" s="31" t="n">
        <v>40.7433</v>
      </c>
      <c r="D7" s="31" t="n">
        <v>-73.98779999999999</v>
      </c>
      <c r="G7" t="inlineStr">
        <is>
          <t>N</t>
        </is>
      </c>
      <c r="H7" t="inlineStr">
        <is>
          <t>SAMPLE 3rd floor, ring the bell</t>
        </is>
      </c>
      <c r="I7" t="inlineStr">
        <is>
          <t>not_needed</t>
        </is>
      </c>
      <c r="J7" s="9" t="n"/>
      <c r="K7" t="inlineStr">
        <is>
          <t>active</t>
        </is>
      </c>
      <c r="L7" s="9" t="n"/>
      <c r="N7" s="25">
        <f>IF($A7="","",IFERROR(IF(INDEX(in_signed_offices!$A$2:$BZ$81,MATCH($A7,INDEX(in_signed_offices!$A$2:$BZ$81,0,MATCH("office_id",in_signed_offices!$A$1:$BZ$1,0)),0),MATCH("company",in_signed_offices!$A$1:$BZ$1,0))="","",INDEX(in_signed_offices!$A$2:$BZ$81,MATCH($A7,INDEX(in_signed_offices!$A$2:$BZ$81,0,MATCH("office_id",in_signed_offices!$A$1:$BZ$1,0)),0),MATCH("company",in_signed_offices!$A$1:$BZ$1,0))),""))</f>
        <v/>
      </c>
      <c r="O7" s="25">
        <f>IF($A7="","",IFERROR(IF(INDEX(in_signed_offices!$A$2:$BZ$81,MATCH($A7,INDEX(in_signed_offices!$A$2:$BZ$81,0,MATCH("office_id",in_signed_offices!$A$1:$BZ$1,0)),0),MATCH("office_address",in_signed_offices!$A$1:$BZ$1,0))="","",INDEX(in_signed_offices!$A$2:$BZ$81,MATCH($A7,INDEX(in_signed_offices!$A$2:$BZ$81,0,MATCH("office_id",in_signed_offices!$A$1:$BZ$1,0)),0),MATCH("office_address",in_signed_offices!$A$1:$BZ$1,0))),""))</f>
        <v/>
      </c>
      <c r="P7" s="25">
        <f>IF($A7="","",IFERROR(IF(INDEX(in_signed_offices!$A$2:$BZ$81,MATCH($A7,INDEX(in_signed_offices!$A$2:$BZ$81,0,MATCH("office_id",in_signed_offices!$A$1:$BZ$1,0)),0),MATCH("floor_suite",in_signed_offices!$A$1:$BZ$1,0))="","",INDEX(in_signed_offices!$A$2:$BZ$81,MATCH($A7,INDEX(in_signed_offices!$A$2:$BZ$81,0,MATCH("office_id",in_signed_offices!$A$1:$BZ$1,0)),0),MATCH("floor_suite",in_signed_offices!$A$1:$BZ$1,0))),""))</f>
        <v/>
      </c>
      <c r="Q7" s="25">
        <f>IF($A7="","",IFERROR(IF(INDEX(in_signed_offices!$A$2:$BZ$81,MATCH($A7,INDEX(in_signed_offices!$A$2:$BZ$81,0,MATCH("office_id",in_signed_offices!$A$1:$BZ$1,0)),0),MATCH("tuesday_headcount",in_signed_offices!$A$1:$BZ$1,0))="","",INDEX(in_signed_offices!$A$2:$BZ$81,MATCH($A7,INDEX(in_signed_offices!$A$2:$BZ$81,0,MATCH("office_id",in_signed_offices!$A$1:$BZ$1,0)),0),MATCH("tuesday_headcount",in_signed_offices!$A$1:$BZ$1,0))),""))</f>
        <v/>
      </c>
      <c r="R7" s="25">
        <f>IF($A7="","",IFERROR(IF(INDEX(in_signed_offices!$A$2:$BZ$81,MATCH($A7,INDEX(in_signed_offices!$A$2:$BZ$81,0,MATCH("office_id",in_signed_offices!$A$1:$BZ$1,0)),0),MATCH("contact_name",in_signed_offices!$A$1:$BZ$1,0))="","",INDEX(in_signed_offices!$A$2:$BZ$81,MATCH($A7,INDEX(in_signed_offices!$A$2:$BZ$81,0,MATCH("office_id",in_signed_offices!$A$1:$BZ$1,0)),0),MATCH("contact_name",in_signed_offices!$A$1:$BZ$1,0))),""))</f>
        <v/>
      </c>
      <c r="S7" s="25">
        <f>IF($A7="","",IFERROR(IF(INDEX(in_signed_offices!$A$2:$BZ$81,MATCH($A7,INDEX(in_signed_offices!$A$2:$BZ$81,0,MATCH("office_id",in_signed_offices!$A$1:$BZ$1,0)),0),MATCH("contact_phone",in_signed_offices!$A$1:$BZ$1,0))="","",INDEX(in_signed_offices!$A$2:$BZ$81,MATCH($A7,INDEX(in_signed_offices!$A$2:$BZ$81,0,MATCH("office_id",in_signed_offices!$A$1:$BZ$1,0)),0),MATCH("contact_phone",in_signed_offices!$A$1:$BZ$1,0))),""))</f>
        <v/>
      </c>
      <c r="T7" s="25">
        <f>IF($A7="","",IFERROR(IF(INDEX(in_signed_offices!$A$2:$BZ$81,MATCH($A7,INDEX(in_signed_offices!$A$2:$BZ$81,0,MATCH("office_id",in_signed_offices!$A$1:$BZ$1,0)),0),MATCH("contact_email",in_signed_offices!$A$1:$BZ$1,0))="","",INDEX(in_signed_offices!$A$2:$BZ$81,MATCH($A7,INDEX(in_signed_offices!$A$2:$BZ$81,0,MATCH("office_id",in_signed_offices!$A$1:$BZ$1,0)),0),MATCH("contact_email",in_signed_offices!$A$1:$BZ$1,0))),""))</f>
        <v/>
      </c>
      <c r="U7" s="25">
        <f>IF($A7="","",IFERROR(IF(INDEX(in_signed_offices!$A$2:$BZ$81,MATCH($A7,INDEX(in_signed_offices!$A$2:$BZ$81,0,MATCH("office_id",in_signed_offices!$A$1:$BZ$1,0)),0),MATCH("pantry_owner_name",in_signed_offices!$A$1:$BZ$1,0))="","",INDEX(in_signed_offices!$A$2:$BZ$81,MATCH($A7,INDEX(in_signed_offices!$A$2:$BZ$81,0,MATCH("office_id",in_signed_offices!$A$1:$BZ$1,0)),0),MATCH("pantry_owner_name",in_signed_offices!$A$1:$BZ$1,0))),""))</f>
        <v/>
      </c>
      <c r="V7" s="25">
        <f>IF($A7="","",IFERROR(IF(INDEX(in_signed_offices!$A$2:$BZ$81,MATCH($A7,INDEX(in_signed_offices!$A$2:$BZ$81,0,MATCH("office_id",in_signed_offices!$A$1:$BZ$1,0)),0),MATCH("pantry_owner_title",in_signed_offices!$A$1:$BZ$1,0))="","",INDEX(in_signed_offices!$A$2:$BZ$81,MATCH($A7,INDEX(in_signed_offices!$A$2:$BZ$81,0,MATCH("office_id",in_signed_offices!$A$1:$BZ$1,0)),0),MATCH("pantry_owner_title",in_signed_offices!$A$1:$BZ$1,0))),""))</f>
        <v/>
      </c>
      <c r="W7" s="25">
        <f>IF($A7="","",IFERROR(IF(INDEX(in_signed_offices!$A$2:$BZ$81,MATCH($A7,INDEX(in_signed_offices!$A$2:$BZ$81,0,MATCH("office_id",in_signed_offices!$A$1:$BZ$1,0)),0),MATCH("pantry_owner_is_contact",in_signed_offices!$A$1:$BZ$1,0))="","",INDEX(in_signed_offices!$A$2:$BZ$81,MATCH($A7,INDEX(in_signed_offices!$A$2:$BZ$81,0,MATCH("office_id",in_signed_offices!$A$1:$BZ$1,0)),0),MATCH("pantry_owner_is_contact",in_signed_offices!$A$1:$BZ$1,0))),""))</f>
        <v/>
      </c>
      <c r="X7" s="25">
        <f>IF($A7="","",IFERROR(IF(INDEX(in_signed_offices!$A$2:$BZ$81,MATCH($A7,INDEX(in_signed_offices!$A$2:$BZ$81,0,MATCH("office_id",in_signed_offices!$A$1:$BZ$1,0)),0),MATCH("receiving_type",in_signed_offices!$A$1:$BZ$1,0))="","",INDEX(in_signed_offices!$A$2:$BZ$81,MATCH($A7,INDEX(in_signed_offices!$A$2:$BZ$81,0,MATCH("office_id",in_signed_offices!$A$1:$BZ$1,0)),0),MATCH("receiving_type",in_signed_offices!$A$1:$BZ$1,0))),""))</f>
        <v/>
      </c>
      <c r="Y7" s="25">
        <f>IF($A7="","",IFERROR(IF(INDEX(in_signed_offices!$A$2:$BZ$81,MATCH($A7,INDEX(in_signed_offices!$A$2:$BZ$81,0,MATCH("office_id",in_signed_offices!$A$1:$BZ$1,0)),0),MATCH("receiving_window",in_signed_offices!$A$1:$BZ$1,0))="","",INDEX(in_signed_offices!$A$2:$BZ$81,MATCH($A7,INDEX(in_signed_offices!$A$2:$BZ$81,0,MATCH("office_id",in_signed_offices!$A$1:$BZ$1,0)),0),MATCH("receiving_window",in_signed_offices!$A$1:$BZ$1,0))),""))</f>
        <v/>
      </c>
      <c r="Z7" s="25">
        <f>IF($A7="","",IFERROR(IF(INDEX(in_signed_offices!$A$2:$BZ$81,MATCH($A7,INDEX(in_signed_offices!$A$2:$BZ$81,0,MATCH("office_id",in_signed_offices!$A$1:$BZ$1,0)),0),MATCH("coi_required",in_signed_offices!$A$1:$BZ$1,0))="","",INDEX(in_signed_offices!$A$2:$BZ$81,MATCH($A7,INDEX(in_signed_offices!$A$2:$BZ$81,0,MATCH("office_id",in_signed_offices!$A$1:$BZ$1,0)),0),MATCH("coi_required",in_signed_offices!$A$1:$BZ$1,0))),""))</f>
        <v/>
      </c>
      <c r="AA7" s="25">
        <f>IF($A7="","",IFERROR(IF(INDEX(in_signed_offices!$A$2:$BZ$81,MATCH($A7,INDEX(in_signed_offices!$A$2:$BZ$81,0,MATCH("office_id",in_signed_offices!$A$1:$BZ$1,0)),0),MATCH("survey_channel",in_signed_offices!$A$1:$BZ$1,0))="","",INDEX(in_signed_offices!$A$2:$BZ$81,MATCH($A7,INDEX(in_signed_offices!$A$2:$BZ$81,0,MATCH("office_id",in_signed_offices!$A$1:$BZ$1,0)),0),MATCH("survey_channel",in_signed_offices!$A$1:$BZ$1,0))),""))</f>
        <v/>
      </c>
      <c r="AB7" s="25">
        <f>IF($A7="","",IFERROR(IF(INDEX(in_signed_offices!$A$2:$BZ$81,MATCH($A7,INDEX(in_signed_offices!$A$2:$BZ$81,0,MATCH("office_id",in_signed_offices!$A$1:$BZ$1,0)),0),MATCH("categories_wanted",in_signed_offices!$A$1:$BZ$1,0))="","",INDEX(in_signed_offices!$A$2:$BZ$81,MATCH($A7,INDEX(in_signed_offices!$A$2:$BZ$81,0,MATCH("office_id",in_signed_offices!$A$1:$BZ$1,0)),0),MATCH("categories_wanted",in_signed_offices!$A$1:$BZ$1,0))),""))</f>
        <v/>
      </c>
      <c r="AC7" s="25">
        <f>IF($A7="","",IFERROR(IF(INDEX(in_signed_offices!$A$2:$BZ$81,MATCH($A7,INDEX(in_signed_offices!$A$2:$BZ$81,0,MATCH("office_id",in_signed_offices!$A$1:$BZ$1,0)),0),MATCH("vetoes",in_signed_offices!$A$1:$BZ$1,0))="","",INDEX(in_signed_offices!$A$2:$BZ$81,MATCH($A7,INDEX(in_signed_offices!$A$2:$BZ$81,0,MATCH("office_id",in_signed_offices!$A$1:$BZ$1,0)),0),MATCH("vetoes",in_signed_offices!$A$1:$BZ$1,0))),""))</f>
        <v/>
      </c>
      <c r="AD7" s="26">
        <f>IF($A7="","",IFERROR(IF(INDEX(in_signed_offices!$A$2:$BZ$81,MATCH($A7,INDEX(in_signed_offices!$A$2:$BZ$81,0,MATCH("office_id",in_signed_offices!$A$1:$BZ$1,0)),0),MATCH("agreement_signed_date",in_signed_offices!$A$1:$BZ$1,0))="","",INDEX(in_signed_offices!$A$2:$BZ$81,MATCH($A7,INDEX(in_signed_offices!$A$2:$BZ$81,0,MATCH("office_id",in_signed_offices!$A$1:$BZ$1,0)),0),MATCH("agreement_signed_date",in_signed_offices!$A$1:$BZ$1,0))),""))</f>
        <v/>
      </c>
      <c r="AE7" s="25">
        <f>IF($A7="","",IFERROR(IF(INDEX(in_signed_offices!$A$2:$BZ$81,MATCH($A7,INDEX(in_signed_offices!$A$2:$BZ$81,0,MATCH("office_id",in_signed_offices!$A$1:$BZ$1,0)),0),MATCH("founding_roster_named",in_signed_offices!$A$1:$BZ$1,0))="","",INDEX(in_signed_offices!$A$2:$BZ$81,MATCH($A7,INDEX(in_signed_offices!$A$2:$BZ$81,0,MATCH("office_id",in_signed_offices!$A$1:$BZ$1,0)),0),MATCH("founding_roster_named",in_signed_offices!$A$1:$BZ$1,0))),""))</f>
        <v/>
      </c>
      <c r="AF7" s="25">
        <f>IF($A7="","",IFERROR(IF(INDEX(in_signed_offices!$A$2:$BZ$81,MATCH($A7,INDEX(in_signed_offices!$A$2:$BZ$81,0,MATCH("office_id",in_signed_offices!$A$1:$BZ$1,0)),0),MATCH("public_naming_ok",in_signed_offices!$A$1:$BZ$1,0))="","",INDEX(in_signed_offices!$A$2:$BZ$81,MATCH($A7,INDEX(in_signed_offices!$A$2:$BZ$81,0,MATCH("office_id",in_signed_offices!$A$1:$BZ$1,0)),0),MATCH("public_naming_ok",in_signed_offices!$A$1:$BZ$1,0))),""))</f>
        <v/>
      </c>
      <c r="AG7" s="25">
        <f>IF($A7="","",IFERROR(IF(INDEX(in_signed_offices!$A$2:$BZ$81,MATCH($A7,INDEX(in_signed_offices!$A$2:$BZ$81,0,MATCH("office_id",in_signed_offices!$A$1:$BZ$1,0)),0),MATCH("clay_row_id",in_signed_offices!$A$1:$BZ$1,0))="","",INDEX(in_signed_offices!$A$2:$BZ$81,MATCH($A7,INDEX(in_signed_offices!$A$2:$BZ$81,0,MATCH("office_id",in_signed_offices!$A$1:$BZ$1,0)),0),MATCH("clay_row_id",in_signed_offices!$A$1:$BZ$1,0))),""))</f>
        <v/>
      </c>
      <c r="AH7" s="25">
        <f>IF($A7="","",IF($E7&lt;&gt;"",$E7,IFERROR(IF(INDEX(in_signed_offices!$A$2:$BZ$81,MATCH($A7,INDEX(in_signed_offices!$A$2:$BZ$81,0,MATCH("office_id",in_signed_offices!$A$1:$BZ$1,0)),0),MATCH("industry",in_signed_offices!$A$1:$BZ$1,0))="","",INDEX(in_signed_offices!$A$2:$BZ$81,MATCH($A7,INDEX(in_signed_offices!$A$2:$BZ$81,0,MATCH("office_id",in_signed_offices!$A$1:$BZ$1,0)),0),MATCH("industry",in_signed_offices!$A$1:$BZ$1,0))),"")))</f>
        <v/>
      </c>
      <c r="AI7" s="25">
        <f>IF($A7="","",IF($F7&lt;&gt;"",$F7,IF(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lt;&gt;"",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IF($W7="Y",$S7,""))))</f>
        <v/>
      </c>
      <c r="AJ7" s="25">
        <f>IF($A7="","",IF($Q7="","unknown",IF($Q7&lt;40,"under-40",IF($Q7&lt;=75,"40-75",IF($Q7&lt;=150,"76-150",IF($Q7&lt;=250,"151-250",IF($Q7&lt;=500,"251-500","over-500")))))))</f>
        <v/>
      </c>
      <c r="AK7" s="25">
        <f>IF($A7="","",IF($N7="","not on in_signed_offices: paste the outreach file",IF($Q7="","no Tuesday headcount",IF($Q7&lt;30,"below the hard floor of 30",IF($Q7&lt;40,"30 to 39: founder's call",IF($Q7&gt;250,"over 250: outside the plan","OK"))))))</f>
        <v/>
      </c>
      <c r="AL7" s="25">
        <f>IF(OR($A7="",$Q7=""),"",MIN(config!$B$16,MAX(config!$B$15,MROUND(config!$B$13+config!$B$14*$Q7,config!$B$17))))</f>
        <v/>
      </c>
      <c r="AM7" s="25">
        <f>IF($A7="","",COUNTIFS(stops!$B$2:$B$151,$A7,stops!$P$2:$P$151,"&lt;="&amp;IF(config!$B$37&lt;&gt;"",config!$B$37,TODAY())))</f>
        <v/>
      </c>
      <c r="AN7" s="25">
        <f>IF($A7="","",COUNTIFS(stops!$B$2:$B$151,$A7,stops!$L$2:$L$151,"declined"))</f>
        <v/>
      </c>
    </row>
    <row r="8">
      <c r="A8" t="inlineStr">
        <is>
          <t>SAMPLE-O-007</t>
        </is>
      </c>
      <c r="C8" s="31" t="n">
        <v>40.7402</v>
      </c>
      <c r="D8" s="31" t="n">
        <v>-73.9851</v>
      </c>
      <c r="G8" t="inlineStr">
        <is>
          <t>Y</t>
        </is>
      </c>
      <c r="H8" t="inlineStr">
        <is>
          <t>SAMPLE desk sends you up to 11; pantry at the end of the hall</t>
        </is>
      </c>
      <c r="I8" t="inlineStr">
        <is>
          <t>not_needed</t>
        </is>
      </c>
      <c r="J8" s="9" t="n"/>
      <c r="K8" t="inlineStr">
        <is>
          <t>active</t>
        </is>
      </c>
      <c r="L8" s="9" t="n"/>
      <c r="N8" s="25">
        <f>IF($A8="","",IFERROR(IF(INDEX(in_signed_offices!$A$2:$BZ$81,MATCH($A8,INDEX(in_signed_offices!$A$2:$BZ$81,0,MATCH("office_id",in_signed_offices!$A$1:$BZ$1,0)),0),MATCH("company",in_signed_offices!$A$1:$BZ$1,0))="","",INDEX(in_signed_offices!$A$2:$BZ$81,MATCH($A8,INDEX(in_signed_offices!$A$2:$BZ$81,0,MATCH("office_id",in_signed_offices!$A$1:$BZ$1,0)),0),MATCH("company",in_signed_offices!$A$1:$BZ$1,0))),""))</f>
        <v/>
      </c>
      <c r="O8" s="25">
        <f>IF($A8="","",IFERROR(IF(INDEX(in_signed_offices!$A$2:$BZ$81,MATCH($A8,INDEX(in_signed_offices!$A$2:$BZ$81,0,MATCH("office_id",in_signed_offices!$A$1:$BZ$1,0)),0),MATCH("office_address",in_signed_offices!$A$1:$BZ$1,0))="","",INDEX(in_signed_offices!$A$2:$BZ$81,MATCH($A8,INDEX(in_signed_offices!$A$2:$BZ$81,0,MATCH("office_id",in_signed_offices!$A$1:$BZ$1,0)),0),MATCH("office_address",in_signed_offices!$A$1:$BZ$1,0))),""))</f>
        <v/>
      </c>
      <c r="P8" s="25">
        <f>IF($A8="","",IFERROR(IF(INDEX(in_signed_offices!$A$2:$BZ$81,MATCH($A8,INDEX(in_signed_offices!$A$2:$BZ$81,0,MATCH("office_id",in_signed_offices!$A$1:$BZ$1,0)),0),MATCH("floor_suite",in_signed_offices!$A$1:$BZ$1,0))="","",INDEX(in_signed_offices!$A$2:$BZ$81,MATCH($A8,INDEX(in_signed_offices!$A$2:$BZ$81,0,MATCH("office_id",in_signed_offices!$A$1:$BZ$1,0)),0),MATCH("floor_suite",in_signed_offices!$A$1:$BZ$1,0))),""))</f>
        <v/>
      </c>
      <c r="Q8" s="25">
        <f>IF($A8="","",IFERROR(IF(INDEX(in_signed_offices!$A$2:$BZ$81,MATCH($A8,INDEX(in_signed_offices!$A$2:$BZ$81,0,MATCH("office_id",in_signed_offices!$A$1:$BZ$1,0)),0),MATCH("tuesday_headcount",in_signed_offices!$A$1:$BZ$1,0))="","",INDEX(in_signed_offices!$A$2:$BZ$81,MATCH($A8,INDEX(in_signed_offices!$A$2:$BZ$81,0,MATCH("office_id",in_signed_offices!$A$1:$BZ$1,0)),0),MATCH("tuesday_headcount",in_signed_offices!$A$1:$BZ$1,0))),""))</f>
        <v/>
      </c>
      <c r="R8" s="25">
        <f>IF($A8="","",IFERROR(IF(INDEX(in_signed_offices!$A$2:$BZ$81,MATCH($A8,INDEX(in_signed_offices!$A$2:$BZ$81,0,MATCH("office_id",in_signed_offices!$A$1:$BZ$1,0)),0),MATCH("contact_name",in_signed_offices!$A$1:$BZ$1,0))="","",INDEX(in_signed_offices!$A$2:$BZ$81,MATCH($A8,INDEX(in_signed_offices!$A$2:$BZ$81,0,MATCH("office_id",in_signed_offices!$A$1:$BZ$1,0)),0),MATCH("contact_name",in_signed_offices!$A$1:$BZ$1,0))),""))</f>
        <v/>
      </c>
      <c r="S8" s="25">
        <f>IF($A8="","",IFERROR(IF(INDEX(in_signed_offices!$A$2:$BZ$81,MATCH($A8,INDEX(in_signed_offices!$A$2:$BZ$81,0,MATCH("office_id",in_signed_offices!$A$1:$BZ$1,0)),0),MATCH("contact_phone",in_signed_offices!$A$1:$BZ$1,0))="","",INDEX(in_signed_offices!$A$2:$BZ$81,MATCH($A8,INDEX(in_signed_offices!$A$2:$BZ$81,0,MATCH("office_id",in_signed_offices!$A$1:$BZ$1,0)),0),MATCH("contact_phone",in_signed_offices!$A$1:$BZ$1,0))),""))</f>
        <v/>
      </c>
      <c r="T8" s="25">
        <f>IF($A8="","",IFERROR(IF(INDEX(in_signed_offices!$A$2:$BZ$81,MATCH($A8,INDEX(in_signed_offices!$A$2:$BZ$81,0,MATCH("office_id",in_signed_offices!$A$1:$BZ$1,0)),0),MATCH("contact_email",in_signed_offices!$A$1:$BZ$1,0))="","",INDEX(in_signed_offices!$A$2:$BZ$81,MATCH($A8,INDEX(in_signed_offices!$A$2:$BZ$81,0,MATCH("office_id",in_signed_offices!$A$1:$BZ$1,0)),0),MATCH("contact_email",in_signed_offices!$A$1:$BZ$1,0))),""))</f>
        <v/>
      </c>
      <c r="U8" s="25">
        <f>IF($A8="","",IFERROR(IF(INDEX(in_signed_offices!$A$2:$BZ$81,MATCH($A8,INDEX(in_signed_offices!$A$2:$BZ$81,0,MATCH("office_id",in_signed_offices!$A$1:$BZ$1,0)),0),MATCH("pantry_owner_name",in_signed_offices!$A$1:$BZ$1,0))="","",INDEX(in_signed_offices!$A$2:$BZ$81,MATCH($A8,INDEX(in_signed_offices!$A$2:$BZ$81,0,MATCH("office_id",in_signed_offices!$A$1:$BZ$1,0)),0),MATCH("pantry_owner_name",in_signed_offices!$A$1:$BZ$1,0))),""))</f>
        <v/>
      </c>
      <c r="V8" s="25">
        <f>IF($A8="","",IFERROR(IF(INDEX(in_signed_offices!$A$2:$BZ$81,MATCH($A8,INDEX(in_signed_offices!$A$2:$BZ$81,0,MATCH("office_id",in_signed_offices!$A$1:$BZ$1,0)),0),MATCH("pantry_owner_title",in_signed_offices!$A$1:$BZ$1,0))="","",INDEX(in_signed_offices!$A$2:$BZ$81,MATCH($A8,INDEX(in_signed_offices!$A$2:$BZ$81,0,MATCH("office_id",in_signed_offices!$A$1:$BZ$1,0)),0),MATCH("pantry_owner_title",in_signed_offices!$A$1:$BZ$1,0))),""))</f>
        <v/>
      </c>
      <c r="W8" s="25">
        <f>IF($A8="","",IFERROR(IF(INDEX(in_signed_offices!$A$2:$BZ$81,MATCH($A8,INDEX(in_signed_offices!$A$2:$BZ$81,0,MATCH("office_id",in_signed_offices!$A$1:$BZ$1,0)),0),MATCH("pantry_owner_is_contact",in_signed_offices!$A$1:$BZ$1,0))="","",INDEX(in_signed_offices!$A$2:$BZ$81,MATCH($A8,INDEX(in_signed_offices!$A$2:$BZ$81,0,MATCH("office_id",in_signed_offices!$A$1:$BZ$1,0)),0),MATCH("pantry_owner_is_contact",in_signed_offices!$A$1:$BZ$1,0))),""))</f>
        <v/>
      </c>
      <c r="X8" s="25">
        <f>IF($A8="","",IFERROR(IF(INDEX(in_signed_offices!$A$2:$BZ$81,MATCH($A8,INDEX(in_signed_offices!$A$2:$BZ$81,0,MATCH("office_id",in_signed_offices!$A$1:$BZ$1,0)),0),MATCH("receiving_type",in_signed_offices!$A$1:$BZ$1,0))="","",INDEX(in_signed_offices!$A$2:$BZ$81,MATCH($A8,INDEX(in_signed_offices!$A$2:$BZ$81,0,MATCH("office_id",in_signed_offices!$A$1:$BZ$1,0)),0),MATCH("receiving_type",in_signed_offices!$A$1:$BZ$1,0))),""))</f>
        <v/>
      </c>
      <c r="Y8" s="25">
        <f>IF($A8="","",IFERROR(IF(INDEX(in_signed_offices!$A$2:$BZ$81,MATCH($A8,INDEX(in_signed_offices!$A$2:$BZ$81,0,MATCH("office_id",in_signed_offices!$A$1:$BZ$1,0)),0),MATCH("receiving_window",in_signed_offices!$A$1:$BZ$1,0))="","",INDEX(in_signed_offices!$A$2:$BZ$81,MATCH($A8,INDEX(in_signed_offices!$A$2:$BZ$81,0,MATCH("office_id",in_signed_offices!$A$1:$BZ$1,0)),0),MATCH("receiving_window",in_signed_offices!$A$1:$BZ$1,0))),""))</f>
        <v/>
      </c>
      <c r="Z8" s="25">
        <f>IF($A8="","",IFERROR(IF(INDEX(in_signed_offices!$A$2:$BZ$81,MATCH($A8,INDEX(in_signed_offices!$A$2:$BZ$81,0,MATCH("office_id",in_signed_offices!$A$1:$BZ$1,0)),0),MATCH("coi_required",in_signed_offices!$A$1:$BZ$1,0))="","",INDEX(in_signed_offices!$A$2:$BZ$81,MATCH($A8,INDEX(in_signed_offices!$A$2:$BZ$81,0,MATCH("office_id",in_signed_offices!$A$1:$BZ$1,0)),0),MATCH("coi_required",in_signed_offices!$A$1:$BZ$1,0))),""))</f>
        <v/>
      </c>
      <c r="AA8" s="25">
        <f>IF($A8="","",IFERROR(IF(INDEX(in_signed_offices!$A$2:$BZ$81,MATCH($A8,INDEX(in_signed_offices!$A$2:$BZ$81,0,MATCH("office_id",in_signed_offices!$A$1:$BZ$1,0)),0),MATCH("survey_channel",in_signed_offices!$A$1:$BZ$1,0))="","",INDEX(in_signed_offices!$A$2:$BZ$81,MATCH($A8,INDEX(in_signed_offices!$A$2:$BZ$81,0,MATCH("office_id",in_signed_offices!$A$1:$BZ$1,0)),0),MATCH("survey_channel",in_signed_offices!$A$1:$BZ$1,0))),""))</f>
        <v/>
      </c>
      <c r="AB8" s="25">
        <f>IF($A8="","",IFERROR(IF(INDEX(in_signed_offices!$A$2:$BZ$81,MATCH($A8,INDEX(in_signed_offices!$A$2:$BZ$81,0,MATCH("office_id",in_signed_offices!$A$1:$BZ$1,0)),0),MATCH("categories_wanted",in_signed_offices!$A$1:$BZ$1,0))="","",INDEX(in_signed_offices!$A$2:$BZ$81,MATCH($A8,INDEX(in_signed_offices!$A$2:$BZ$81,0,MATCH("office_id",in_signed_offices!$A$1:$BZ$1,0)),0),MATCH("categories_wanted",in_signed_offices!$A$1:$BZ$1,0))),""))</f>
        <v/>
      </c>
      <c r="AC8" s="25">
        <f>IF($A8="","",IFERROR(IF(INDEX(in_signed_offices!$A$2:$BZ$81,MATCH($A8,INDEX(in_signed_offices!$A$2:$BZ$81,0,MATCH("office_id",in_signed_offices!$A$1:$BZ$1,0)),0),MATCH("vetoes",in_signed_offices!$A$1:$BZ$1,0))="","",INDEX(in_signed_offices!$A$2:$BZ$81,MATCH($A8,INDEX(in_signed_offices!$A$2:$BZ$81,0,MATCH("office_id",in_signed_offices!$A$1:$BZ$1,0)),0),MATCH("vetoes",in_signed_offices!$A$1:$BZ$1,0))),""))</f>
        <v/>
      </c>
      <c r="AD8" s="26">
        <f>IF($A8="","",IFERROR(IF(INDEX(in_signed_offices!$A$2:$BZ$81,MATCH($A8,INDEX(in_signed_offices!$A$2:$BZ$81,0,MATCH("office_id",in_signed_offices!$A$1:$BZ$1,0)),0),MATCH("agreement_signed_date",in_signed_offices!$A$1:$BZ$1,0))="","",INDEX(in_signed_offices!$A$2:$BZ$81,MATCH($A8,INDEX(in_signed_offices!$A$2:$BZ$81,0,MATCH("office_id",in_signed_offices!$A$1:$BZ$1,0)),0),MATCH("agreement_signed_date",in_signed_offices!$A$1:$BZ$1,0))),""))</f>
        <v/>
      </c>
      <c r="AE8" s="25">
        <f>IF($A8="","",IFERROR(IF(INDEX(in_signed_offices!$A$2:$BZ$81,MATCH($A8,INDEX(in_signed_offices!$A$2:$BZ$81,0,MATCH("office_id",in_signed_offices!$A$1:$BZ$1,0)),0),MATCH("founding_roster_named",in_signed_offices!$A$1:$BZ$1,0))="","",INDEX(in_signed_offices!$A$2:$BZ$81,MATCH($A8,INDEX(in_signed_offices!$A$2:$BZ$81,0,MATCH("office_id",in_signed_offices!$A$1:$BZ$1,0)),0),MATCH("founding_roster_named",in_signed_offices!$A$1:$BZ$1,0))),""))</f>
        <v/>
      </c>
      <c r="AF8" s="25">
        <f>IF($A8="","",IFERROR(IF(INDEX(in_signed_offices!$A$2:$BZ$81,MATCH($A8,INDEX(in_signed_offices!$A$2:$BZ$81,0,MATCH("office_id",in_signed_offices!$A$1:$BZ$1,0)),0),MATCH("public_naming_ok",in_signed_offices!$A$1:$BZ$1,0))="","",INDEX(in_signed_offices!$A$2:$BZ$81,MATCH($A8,INDEX(in_signed_offices!$A$2:$BZ$81,0,MATCH("office_id",in_signed_offices!$A$1:$BZ$1,0)),0),MATCH("public_naming_ok",in_signed_offices!$A$1:$BZ$1,0))),""))</f>
        <v/>
      </c>
      <c r="AG8" s="25">
        <f>IF($A8="","",IFERROR(IF(INDEX(in_signed_offices!$A$2:$BZ$81,MATCH($A8,INDEX(in_signed_offices!$A$2:$BZ$81,0,MATCH("office_id",in_signed_offices!$A$1:$BZ$1,0)),0),MATCH("clay_row_id",in_signed_offices!$A$1:$BZ$1,0))="","",INDEX(in_signed_offices!$A$2:$BZ$81,MATCH($A8,INDEX(in_signed_offices!$A$2:$BZ$81,0,MATCH("office_id",in_signed_offices!$A$1:$BZ$1,0)),0),MATCH("clay_row_id",in_signed_offices!$A$1:$BZ$1,0))),""))</f>
        <v/>
      </c>
      <c r="AH8" s="25">
        <f>IF($A8="","",IF($E8&lt;&gt;"",$E8,IFERROR(IF(INDEX(in_signed_offices!$A$2:$BZ$81,MATCH($A8,INDEX(in_signed_offices!$A$2:$BZ$81,0,MATCH("office_id",in_signed_offices!$A$1:$BZ$1,0)),0),MATCH("industry",in_signed_offices!$A$1:$BZ$1,0))="","",INDEX(in_signed_offices!$A$2:$BZ$81,MATCH($A8,INDEX(in_signed_offices!$A$2:$BZ$81,0,MATCH("office_id",in_signed_offices!$A$1:$BZ$1,0)),0),MATCH("industry",in_signed_offices!$A$1:$BZ$1,0))),"")))</f>
        <v/>
      </c>
      <c r="AI8" s="25">
        <f>IF($A8="","",IF($F8&lt;&gt;"",$F8,IF(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lt;&gt;"",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IF($W8="Y",$S8,""))))</f>
        <v/>
      </c>
      <c r="AJ8" s="25">
        <f>IF($A8="","",IF($Q8="","unknown",IF($Q8&lt;40,"under-40",IF($Q8&lt;=75,"40-75",IF($Q8&lt;=150,"76-150",IF($Q8&lt;=250,"151-250",IF($Q8&lt;=500,"251-500","over-500")))))))</f>
        <v/>
      </c>
      <c r="AK8" s="25">
        <f>IF($A8="","",IF($N8="","not on in_signed_offices: paste the outreach file",IF($Q8="","no Tuesday headcount",IF($Q8&lt;30,"below the hard floor of 30",IF($Q8&lt;40,"30 to 39: founder's call",IF($Q8&gt;250,"over 250: outside the plan","OK"))))))</f>
        <v/>
      </c>
      <c r="AL8" s="25">
        <f>IF(OR($A8="",$Q8=""),"",MIN(config!$B$16,MAX(config!$B$15,MROUND(config!$B$13+config!$B$14*$Q8,config!$B$17))))</f>
        <v/>
      </c>
      <c r="AM8" s="25">
        <f>IF($A8="","",COUNTIFS(stops!$B$2:$B$151,$A8,stops!$P$2:$P$151,"&lt;="&amp;IF(config!$B$37&lt;&gt;"",config!$B$37,TODAY())))</f>
        <v/>
      </c>
      <c r="AN8" s="25">
        <f>IF($A8="","",COUNTIFS(stops!$B$2:$B$151,$A8,stops!$L$2:$L$151,"declined"))</f>
        <v/>
      </c>
    </row>
    <row r="9">
      <c r="A9" t="inlineStr">
        <is>
          <t>SAMPLE-O-008</t>
        </is>
      </c>
      <c r="C9" s="31" t="n">
        <v>40.7417</v>
      </c>
      <c r="D9" s="31" t="n">
        <v>-73.99250000000001</v>
      </c>
      <c r="G9" t="inlineStr">
        <is>
          <t>Y</t>
        </is>
      </c>
      <c r="H9" t="inlineStr">
        <is>
          <t>SAMPLE certificate required at the desk; 6th floor</t>
        </is>
      </c>
      <c r="I9" t="inlineStr">
        <is>
          <t>received</t>
        </is>
      </c>
      <c r="J9" s="9" t="n">
        <v>46416</v>
      </c>
      <c r="K9" t="inlineStr">
        <is>
          <t>active</t>
        </is>
      </c>
      <c r="L9" s="9" t="n"/>
      <c r="N9" s="25">
        <f>IF($A9="","",IFERROR(IF(INDEX(in_signed_offices!$A$2:$BZ$81,MATCH($A9,INDEX(in_signed_offices!$A$2:$BZ$81,0,MATCH("office_id",in_signed_offices!$A$1:$BZ$1,0)),0),MATCH("company",in_signed_offices!$A$1:$BZ$1,0))="","",INDEX(in_signed_offices!$A$2:$BZ$81,MATCH($A9,INDEX(in_signed_offices!$A$2:$BZ$81,0,MATCH("office_id",in_signed_offices!$A$1:$BZ$1,0)),0),MATCH("company",in_signed_offices!$A$1:$BZ$1,0))),""))</f>
        <v/>
      </c>
      <c r="O9" s="25">
        <f>IF($A9="","",IFERROR(IF(INDEX(in_signed_offices!$A$2:$BZ$81,MATCH($A9,INDEX(in_signed_offices!$A$2:$BZ$81,0,MATCH("office_id",in_signed_offices!$A$1:$BZ$1,0)),0),MATCH("office_address",in_signed_offices!$A$1:$BZ$1,0))="","",INDEX(in_signed_offices!$A$2:$BZ$81,MATCH($A9,INDEX(in_signed_offices!$A$2:$BZ$81,0,MATCH("office_id",in_signed_offices!$A$1:$BZ$1,0)),0),MATCH("office_address",in_signed_offices!$A$1:$BZ$1,0))),""))</f>
        <v/>
      </c>
      <c r="P9" s="25">
        <f>IF($A9="","",IFERROR(IF(INDEX(in_signed_offices!$A$2:$BZ$81,MATCH($A9,INDEX(in_signed_offices!$A$2:$BZ$81,0,MATCH("office_id",in_signed_offices!$A$1:$BZ$1,0)),0),MATCH("floor_suite",in_signed_offices!$A$1:$BZ$1,0))="","",INDEX(in_signed_offices!$A$2:$BZ$81,MATCH($A9,INDEX(in_signed_offices!$A$2:$BZ$81,0,MATCH("office_id",in_signed_offices!$A$1:$BZ$1,0)),0),MATCH("floor_suite",in_signed_offices!$A$1:$BZ$1,0))),""))</f>
        <v/>
      </c>
      <c r="Q9" s="25">
        <f>IF($A9="","",IFERROR(IF(INDEX(in_signed_offices!$A$2:$BZ$81,MATCH($A9,INDEX(in_signed_offices!$A$2:$BZ$81,0,MATCH("office_id",in_signed_offices!$A$1:$BZ$1,0)),0),MATCH("tuesday_headcount",in_signed_offices!$A$1:$BZ$1,0))="","",INDEX(in_signed_offices!$A$2:$BZ$81,MATCH($A9,INDEX(in_signed_offices!$A$2:$BZ$81,0,MATCH("office_id",in_signed_offices!$A$1:$BZ$1,0)),0),MATCH("tuesday_headcount",in_signed_offices!$A$1:$BZ$1,0))),""))</f>
        <v/>
      </c>
      <c r="R9" s="25">
        <f>IF($A9="","",IFERROR(IF(INDEX(in_signed_offices!$A$2:$BZ$81,MATCH($A9,INDEX(in_signed_offices!$A$2:$BZ$81,0,MATCH("office_id",in_signed_offices!$A$1:$BZ$1,0)),0),MATCH("contact_name",in_signed_offices!$A$1:$BZ$1,0))="","",INDEX(in_signed_offices!$A$2:$BZ$81,MATCH($A9,INDEX(in_signed_offices!$A$2:$BZ$81,0,MATCH("office_id",in_signed_offices!$A$1:$BZ$1,0)),0),MATCH("contact_name",in_signed_offices!$A$1:$BZ$1,0))),""))</f>
        <v/>
      </c>
      <c r="S9" s="25">
        <f>IF($A9="","",IFERROR(IF(INDEX(in_signed_offices!$A$2:$BZ$81,MATCH($A9,INDEX(in_signed_offices!$A$2:$BZ$81,0,MATCH("office_id",in_signed_offices!$A$1:$BZ$1,0)),0),MATCH("contact_phone",in_signed_offices!$A$1:$BZ$1,0))="","",INDEX(in_signed_offices!$A$2:$BZ$81,MATCH($A9,INDEX(in_signed_offices!$A$2:$BZ$81,0,MATCH("office_id",in_signed_offices!$A$1:$BZ$1,0)),0),MATCH("contact_phone",in_signed_offices!$A$1:$BZ$1,0))),""))</f>
        <v/>
      </c>
      <c r="T9" s="25">
        <f>IF($A9="","",IFERROR(IF(INDEX(in_signed_offices!$A$2:$BZ$81,MATCH($A9,INDEX(in_signed_offices!$A$2:$BZ$81,0,MATCH("office_id",in_signed_offices!$A$1:$BZ$1,0)),0),MATCH("contact_email",in_signed_offices!$A$1:$BZ$1,0))="","",INDEX(in_signed_offices!$A$2:$BZ$81,MATCH($A9,INDEX(in_signed_offices!$A$2:$BZ$81,0,MATCH("office_id",in_signed_offices!$A$1:$BZ$1,0)),0),MATCH("contact_email",in_signed_offices!$A$1:$BZ$1,0))),""))</f>
        <v/>
      </c>
      <c r="U9" s="25">
        <f>IF($A9="","",IFERROR(IF(INDEX(in_signed_offices!$A$2:$BZ$81,MATCH($A9,INDEX(in_signed_offices!$A$2:$BZ$81,0,MATCH("office_id",in_signed_offices!$A$1:$BZ$1,0)),0),MATCH("pantry_owner_name",in_signed_offices!$A$1:$BZ$1,0))="","",INDEX(in_signed_offices!$A$2:$BZ$81,MATCH($A9,INDEX(in_signed_offices!$A$2:$BZ$81,0,MATCH("office_id",in_signed_offices!$A$1:$BZ$1,0)),0),MATCH("pantry_owner_name",in_signed_offices!$A$1:$BZ$1,0))),""))</f>
        <v/>
      </c>
      <c r="V9" s="25">
        <f>IF($A9="","",IFERROR(IF(INDEX(in_signed_offices!$A$2:$BZ$81,MATCH($A9,INDEX(in_signed_offices!$A$2:$BZ$81,0,MATCH("office_id",in_signed_offices!$A$1:$BZ$1,0)),0),MATCH("pantry_owner_title",in_signed_offices!$A$1:$BZ$1,0))="","",INDEX(in_signed_offices!$A$2:$BZ$81,MATCH($A9,INDEX(in_signed_offices!$A$2:$BZ$81,0,MATCH("office_id",in_signed_offices!$A$1:$BZ$1,0)),0),MATCH("pantry_owner_title",in_signed_offices!$A$1:$BZ$1,0))),""))</f>
        <v/>
      </c>
      <c r="W9" s="25">
        <f>IF($A9="","",IFERROR(IF(INDEX(in_signed_offices!$A$2:$BZ$81,MATCH($A9,INDEX(in_signed_offices!$A$2:$BZ$81,0,MATCH("office_id",in_signed_offices!$A$1:$BZ$1,0)),0),MATCH("pantry_owner_is_contact",in_signed_offices!$A$1:$BZ$1,0))="","",INDEX(in_signed_offices!$A$2:$BZ$81,MATCH($A9,INDEX(in_signed_offices!$A$2:$BZ$81,0,MATCH("office_id",in_signed_offices!$A$1:$BZ$1,0)),0),MATCH("pantry_owner_is_contact",in_signed_offices!$A$1:$BZ$1,0))),""))</f>
        <v/>
      </c>
      <c r="X9" s="25">
        <f>IF($A9="","",IFERROR(IF(INDEX(in_signed_offices!$A$2:$BZ$81,MATCH($A9,INDEX(in_signed_offices!$A$2:$BZ$81,0,MATCH("office_id",in_signed_offices!$A$1:$BZ$1,0)),0),MATCH("receiving_type",in_signed_offices!$A$1:$BZ$1,0))="","",INDEX(in_signed_offices!$A$2:$BZ$81,MATCH($A9,INDEX(in_signed_offices!$A$2:$BZ$81,0,MATCH("office_id",in_signed_offices!$A$1:$BZ$1,0)),0),MATCH("receiving_type",in_signed_offices!$A$1:$BZ$1,0))),""))</f>
        <v/>
      </c>
      <c r="Y9" s="25">
        <f>IF($A9="","",IFERROR(IF(INDEX(in_signed_offices!$A$2:$BZ$81,MATCH($A9,INDEX(in_signed_offices!$A$2:$BZ$81,0,MATCH("office_id",in_signed_offices!$A$1:$BZ$1,0)),0),MATCH("receiving_window",in_signed_offices!$A$1:$BZ$1,0))="","",INDEX(in_signed_offices!$A$2:$BZ$81,MATCH($A9,INDEX(in_signed_offices!$A$2:$BZ$81,0,MATCH("office_id",in_signed_offices!$A$1:$BZ$1,0)),0),MATCH("receiving_window",in_signed_offices!$A$1:$BZ$1,0))),""))</f>
        <v/>
      </c>
      <c r="Z9" s="25">
        <f>IF($A9="","",IFERROR(IF(INDEX(in_signed_offices!$A$2:$BZ$81,MATCH($A9,INDEX(in_signed_offices!$A$2:$BZ$81,0,MATCH("office_id",in_signed_offices!$A$1:$BZ$1,0)),0),MATCH("coi_required",in_signed_offices!$A$1:$BZ$1,0))="","",INDEX(in_signed_offices!$A$2:$BZ$81,MATCH($A9,INDEX(in_signed_offices!$A$2:$BZ$81,0,MATCH("office_id",in_signed_offices!$A$1:$BZ$1,0)),0),MATCH("coi_required",in_signed_offices!$A$1:$BZ$1,0))),""))</f>
        <v/>
      </c>
      <c r="AA9" s="25">
        <f>IF($A9="","",IFERROR(IF(INDEX(in_signed_offices!$A$2:$BZ$81,MATCH($A9,INDEX(in_signed_offices!$A$2:$BZ$81,0,MATCH("office_id",in_signed_offices!$A$1:$BZ$1,0)),0),MATCH("survey_channel",in_signed_offices!$A$1:$BZ$1,0))="","",INDEX(in_signed_offices!$A$2:$BZ$81,MATCH($A9,INDEX(in_signed_offices!$A$2:$BZ$81,0,MATCH("office_id",in_signed_offices!$A$1:$BZ$1,0)),0),MATCH("survey_channel",in_signed_offices!$A$1:$BZ$1,0))),""))</f>
        <v/>
      </c>
      <c r="AB9" s="25">
        <f>IF($A9="","",IFERROR(IF(INDEX(in_signed_offices!$A$2:$BZ$81,MATCH($A9,INDEX(in_signed_offices!$A$2:$BZ$81,0,MATCH("office_id",in_signed_offices!$A$1:$BZ$1,0)),0),MATCH("categories_wanted",in_signed_offices!$A$1:$BZ$1,0))="","",INDEX(in_signed_offices!$A$2:$BZ$81,MATCH($A9,INDEX(in_signed_offices!$A$2:$BZ$81,0,MATCH("office_id",in_signed_offices!$A$1:$BZ$1,0)),0),MATCH("categories_wanted",in_signed_offices!$A$1:$BZ$1,0))),""))</f>
        <v/>
      </c>
      <c r="AC9" s="25">
        <f>IF($A9="","",IFERROR(IF(INDEX(in_signed_offices!$A$2:$BZ$81,MATCH($A9,INDEX(in_signed_offices!$A$2:$BZ$81,0,MATCH("office_id",in_signed_offices!$A$1:$BZ$1,0)),0),MATCH("vetoes",in_signed_offices!$A$1:$BZ$1,0))="","",INDEX(in_signed_offices!$A$2:$BZ$81,MATCH($A9,INDEX(in_signed_offices!$A$2:$BZ$81,0,MATCH("office_id",in_signed_offices!$A$1:$BZ$1,0)),0),MATCH("vetoes",in_signed_offices!$A$1:$BZ$1,0))),""))</f>
        <v/>
      </c>
      <c r="AD9" s="26">
        <f>IF($A9="","",IFERROR(IF(INDEX(in_signed_offices!$A$2:$BZ$81,MATCH($A9,INDEX(in_signed_offices!$A$2:$BZ$81,0,MATCH("office_id",in_signed_offices!$A$1:$BZ$1,0)),0),MATCH("agreement_signed_date",in_signed_offices!$A$1:$BZ$1,0))="","",INDEX(in_signed_offices!$A$2:$BZ$81,MATCH($A9,INDEX(in_signed_offices!$A$2:$BZ$81,0,MATCH("office_id",in_signed_offices!$A$1:$BZ$1,0)),0),MATCH("agreement_signed_date",in_signed_offices!$A$1:$BZ$1,0))),""))</f>
        <v/>
      </c>
      <c r="AE9" s="25">
        <f>IF($A9="","",IFERROR(IF(INDEX(in_signed_offices!$A$2:$BZ$81,MATCH($A9,INDEX(in_signed_offices!$A$2:$BZ$81,0,MATCH("office_id",in_signed_offices!$A$1:$BZ$1,0)),0),MATCH("founding_roster_named",in_signed_offices!$A$1:$BZ$1,0))="","",INDEX(in_signed_offices!$A$2:$BZ$81,MATCH($A9,INDEX(in_signed_offices!$A$2:$BZ$81,0,MATCH("office_id",in_signed_offices!$A$1:$BZ$1,0)),0),MATCH("founding_roster_named",in_signed_offices!$A$1:$BZ$1,0))),""))</f>
        <v/>
      </c>
      <c r="AF9" s="25">
        <f>IF($A9="","",IFERROR(IF(INDEX(in_signed_offices!$A$2:$BZ$81,MATCH($A9,INDEX(in_signed_offices!$A$2:$BZ$81,0,MATCH("office_id",in_signed_offices!$A$1:$BZ$1,0)),0),MATCH("public_naming_ok",in_signed_offices!$A$1:$BZ$1,0))="","",INDEX(in_signed_offices!$A$2:$BZ$81,MATCH($A9,INDEX(in_signed_offices!$A$2:$BZ$81,0,MATCH("office_id",in_signed_offices!$A$1:$BZ$1,0)),0),MATCH("public_naming_ok",in_signed_offices!$A$1:$BZ$1,0))),""))</f>
        <v/>
      </c>
      <c r="AG9" s="25">
        <f>IF($A9="","",IFERROR(IF(INDEX(in_signed_offices!$A$2:$BZ$81,MATCH($A9,INDEX(in_signed_offices!$A$2:$BZ$81,0,MATCH("office_id",in_signed_offices!$A$1:$BZ$1,0)),0),MATCH("clay_row_id",in_signed_offices!$A$1:$BZ$1,0))="","",INDEX(in_signed_offices!$A$2:$BZ$81,MATCH($A9,INDEX(in_signed_offices!$A$2:$BZ$81,0,MATCH("office_id",in_signed_offices!$A$1:$BZ$1,0)),0),MATCH("clay_row_id",in_signed_offices!$A$1:$BZ$1,0))),""))</f>
        <v/>
      </c>
      <c r="AH9" s="25">
        <f>IF($A9="","",IF($E9&lt;&gt;"",$E9,IFERROR(IF(INDEX(in_signed_offices!$A$2:$BZ$81,MATCH($A9,INDEX(in_signed_offices!$A$2:$BZ$81,0,MATCH("office_id",in_signed_offices!$A$1:$BZ$1,0)),0),MATCH("industry",in_signed_offices!$A$1:$BZ$1,0))="","",INDEX(in_signed_offices!$A$2:$BZ$81,MATCH($A9,INDEX(in_signed_offices!$A$2:$BZ$81,0,MATCH("office_id",in_signed_offices!$A$1:$BZ$1,0)),0),MATCH("industry",in_signed_offices!$A$1:$BZ$1,0))),"")))</f>
        <v/>
      </c>
      <c r="AI9" s="25">
        <f>IF($A9="","",IF($F9&lt;&gt;"",$F9,IF(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lt;&gt;"",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IF($W9="Y",$S9,""))))</f>
        <v/>
      </c>
      <c r="AJ9" s="25">
        <f>IF($A9="","",IF($Q9="","unknown",IF($Q9&lt;40,"under-40",IF($Q9&lt;=75,"40-75",IF($Q9&lt;=150,"76-150",IF($Q9&lt;=250,"151-250",IF($Q9&lt;=500,"251-500","over-500")))))))</f>
        <v/>
      </c>
      <c r="AK9" s="25">
        <f>IF($A9="","",IF($N9="","not on in_signed_offices: paste the outreach file",IF($Q9="","no Tuesday headcount",IF($Q9&lt;30,"below the hard floor of 30",IF($Q9&lt;40,"30 to 39: founder's call",IF($Q9&gt;250,"over 250: outside the plan","OK"))))))</f>
        <v/>
      </c>
      <c r="AL9" s="25">
        <f>IF(OR($A9="",$Q9=""),"",MIN(config!$B$16,MAX(config!$B$15,MROUND(config!$B$13+config!$B$14*$Q9,config!$B$17))))</f>
        <v/>
      </c>
      <c r="AM9" s="25">
        <f>IF($A9="","",COUNTIFS(stops!$B$2:$B$151,$A9,stops!$P$2:$P$151,"&lt;="&amp;IF(config!$B$37&lt;&gt;"",config!$B$37,TODAY())))</f>
        <v/>
      </c>
      <c r="AN9" s="25">
        <f>IF($A9="","",COUNTIFS(stops!$B$2:$B$151,$A9,stops!$L$2:$L$151,"declined"))</f>
        <v/>
      </c>
    </row>
    <row r="10">
      <c r="A10" t="inlineStr">
        <is>
          <t>SAMPLE-O-009</t>
        </is>
      </c>
      <c r="C10" s="31" t="n">
        <v>40.7381</v>
      </c>
      <c r="D10" s="31" t="n">
        <v>-73.9937</v>
      </c>
      <c r="G10" t="inlineStr">
        <is>
          <t>N</t>
        </is>
      </c>
      <c r="H10" t="inlineStr">
        <is>
          <t>SAMPLE owner must take it; desk will not hold food</t>
        </is>
      </c>
      <c r="I10" t="inlineStr">
        <is>
          <t>not_needed</t>
        </is>
      </c>
      <c r="J10" s="9" t="n"/>
      <c r="K10" t="inlineStr">
        <is>
          <t>active</t>
        </is>
      </c>
      <c r="L10" s="9" t="n"/>
      <c r="N10" s="25">
        <f>IF($A10="","",IFERROR(IF(INDEX(in_signed_offices!$A$2:$BZ$81,MATCH($A10,INDEX(in_signed_offices!$A$2:$BZ$81,0,MATCH("office_id",in_signed_offices!$A$1:$BZ$1,0)),0),MATCH("company",in_signed_offices!$A$1:$BZ$1,0))="","",INDEX(in_signed_offices!$A$2:$BZ$81,MATCH($A10,INDEX(in_signed_offices!$A$2:$BZ$81,0,MATCH("office_id",in_signed_offices!$A$1:$BZ$1,0)),0),MATCH("company",in_signed_offices!$A$1:$BZ$1,0))),""))</f>
        <v/>
      </c>
      <c r="O10" s="25">
        <f>IF($A10="","",IFERROR(IF(INDEX(in_signed_offices!$A$2:$BZ$81,MATCH($A10,INDEX(in_signed_offices!$A$2:$BZ$81,0,MATCH("office_id",in_signed_offices!$A$1:$BZ$1,0)),0),MATCH("office_address",in_signed_offices!$A$1:$BZ$1,0))="","",INDEX(in_signed_offices!$A$2:$BZ$81,MATCH($A10,INDEX(in_signed_offices!$A$2:$BZ$81,0,MATCH("office_id",in_signed_offices!$A$1:$BZ$1,0)),0),MATCH("office_address",in_signed_offices!$A$1:$BZ$1,0))),""))</f>
        <v/>
      </c>
      <c r="P10" s="25">
        <f>IF($A10="","",IFERROR(IF(INDEX(in_signed_offices!$A$2:$BZ$81,MATCH($A10,INDEX(in_signed_offices!$A$2:$BZ$81,0,MATCH("office_id",in_signed_offices!$A$1:$BZ$1,0)),0),MATCH("floor_suite",in_signed_offices!$A$1:$BZ$1,0))="","",INDEX(in_signed_offices!$A$2:$BZ$81,MATCH($A10,INDEX(in_signed_offices!$A$2:$BZ$81,0,MATCH("office_id",in_signed_offices!$A$1:$BZ$1,0)),0),MATCH("floor_suite",in_signed_offices!$A$1:$BZ$1,0))),""))</f>
        <v/>
      </c>
      <c r="Q10" s="25">
        <f>IF($A10="","",IFERROR(IF(INDEX(in_signed_offices!$A$2:$BZ$81,MATCH($A10,INDEX(in_signed_offices!$A$2:$BZ$81,0,MATCH("office_id",in_signed_offices!$A$1:$BZ$1,0)),0),MATCH("tuesday_headcount",in_signed_offices!$A$1:$BZ$1,0))="","",INDEX(in_signed_offices!$A$2:$BZ$81,MATCH($A10,INDEX(in_signed_offices!$A$2:$BZ$81,0,MATCH("office_id",in_signed_offices!$A$1:$BZ$1,0)),0),MATCH("tuesday_headcount",in_signed_offices!$A$1:$BZ$1,0))),""))</f>
        <v/>
      </c>
      <c r="R10" s="25">
        <f>IF($A10="","",IFERROR(IF(INDEX(in_signed_offices!$A$2:$BZ$81,MATCH($A10,INDEX(in_signed_offices!$A$2:$BZ$81,0,MATCH("office_id",in_signed_offices!$A$1:$BZ$1,0)),0),MATCH("contact_name",in_signed_offices!$A$1:$BZ$1,0))="","",INDEX(in_signed_offices!$A$2:$BZ$81,MATCH($A10,INDEX(in_signed_offices!$A$2:$BZ$81,0,MATCH("office_id",in_signed_offices!$A$1:$BZ$1,0)),0),MATCH("contact_name",in_signed_offices!$A$1:$BZ$1,0))),""))</f>
        <v/>
      </c>
      <c r="S10" s="25">
        <f>IF($A10="","",IFERROR(IF(INDEX(in_signed_offices!$A$2:$BZ$81,MATCH($A10,INDEX(in_signed_offices!$A$2:$BZ$81,0,MATCH("office_id",in_signed_offices!$A$1:$BZ$1,0)),0),MATCH("contact_phone",in_signed_offices!$A$1:$BZ$1,0))="","",INDEX(in_signed_offices!$A$2:$BZ$81,MATCH($A10,INDEX(in_signed_offices!$A$2:$BZ$81,0,MATCH("office_id",in_signed_offices!$A$1:$BZ$1,0)),0),MATCH("contact_phone",in_signed_offices!$A$1:$BZ$1,0))),""))</f>
        <v/>
      </c>
      <c r="T10" s="25">
        <f>IF($A10="","",IFERROR(IF(INDEX(in_signed_offices!$A$2:$BZ$81,MATCH($A10,INDEX(in_signed_offices!$A$2:$BZ$81,0,MATCH("office_id",in_signed_offices!$A$1:$BZ$1,0)),0),MATCH("contact_email",in_signed_offices!$A$1:$BZ$1,0))="","",INDEX(in_signed_offices!$A$2:$BZ$81,MATCH($A10,INDEX(in_signed_offices!$A$2:$BZ$81,0,MATCH("office_id",in_signed_offices!$A$1:$BZ$1,0)),0),MATCH("contact_email",in_signed_offices!$A$1:$BZ$1,0))),""))</f>
        <v/>
      </c>
      <c r="U10" s="25">
        <f>IF($A10="","",IFERROR(IF(INDEX(in_signed_offices!$A$2:$BZ$81,MATCH($A10,INDEX(in_signed_offices!$A$2:$BZ$81,0,MATCH("office_id",in_signed_offices!$A$1:$BZ$1,0)),0),MATCH("pantry_owner_name",in_signed_offices!$A$1:$BZ$1,0))="","",INDEX(in_signed_offices!$A$2:$BZ$81,MATCH($A10,INDEX(in_signed_offices!$A$2:$BZ$81,0,MATCH("office_id",in_signed_offices!$A$1:$BZ$1,0)),0),MATCH("pantry_owner_name",in_signed_offices!$A$1:$BZ$1,0))),""))</f>
        <v/>
      </c>
      <c r="V10" s="25">
        <f>IF($A10="","",IFERROR(IF(INDEX(in_signed_offices!$A$2:$BZ$81,MATCH($A10,INDEX(in_signed_offices!$A$2:$BZ$81,0,MATCH("office_id",in_signed_offices!$A$1:$BZ$1,0)),0),MATCH("pantry_owner_title",in_signed_offices!$A$1:$BZ$1,0))="","",INDEX(in_signed_offices!$A$2:$BZ$81,MATCH($A10,INDEX(in_signed_offices!$A$2:$BZ$81,0,MATCH("office_id",in_signed_offices!$A$1:$BZ$1,0)),0),MATCH("pantry_owner_title",in_signed_offices!$A$1:$BZ$1,0))),""))</f>
        <v/>
      </c>
      <c r="W10" s="25">
        <f>IF($A10="","",IFERROR(IF(INDEX(in_signed_offices!$A$2:$BZ$81,MATCH($A10,INDEX(in_signed_offices!$A$2:$BZ$81,0,MATCH("office_id",in_signed_offices!$A$1:$BZ$1,0)),0),MATCH("pantry_owner_is_contact",in_signed_offices!$A$1:$BZ$1,0))="","",INDEX(in_signed_offices!$A$2:$BZ$81,MATCH($A10,INDEX(in_signed_offices!$A$2:$BZ$81,0,MATCH("office_id",in_signed_offices!$A$1:$BZ$1,0)),0),MATCH("pantry_owner_is_contact",in_signed_offices!$A$1:$BZ$1,0))),""))</f>
        <v/>
      </c>
      <c r="X10" s="25">
        <f>IF($A10="","",IFERROR(IF(INDEX(in_signed_offices!$A$2:$BZ$81,MATCH($A10,INDEX(in_signed_offices!$A$2:$BZ$81,0,MATCH("office_id",in_signed_offices!$A$1:$BZ$1,0)),0),MATCH("receiving_type",in_signed_offices!$A$1:$BZ$1,0))="","",INDEX(in_signed_offices!$A$2:$BZ$81,MATCH($A10,INDEX(in_signed_offices!$A$2:$BZ$81,0,MATCH("office_id",in_signed_offices!$A$1:$BZ$1,0)),0),MATCH("receiving_type",in_signed_offices!$A$1:$BZ$1,0))),""))</f>
        <v/>
      </c>
      <c r="Y10" s="25">
        <f>IF($A10="","",IFERROR(IF(INDEX(in_signed_offices!$A$2:$BZ$81,MATCH($A10,INDEX(in_signed_offices!$A$2:$BZ$81,0,MATCH("office_id",in_signed_offices!$A$1:$BZ$1,0)),0),MATCH("receiving_window",in_signed_offices!$A$1:$BZ$1,0))="","",INDEX(in_signed_offices!$A$2:$BZ$81,MATCH($A10,INDEX(in_signed_offices!$A$2:$BZ$81,0,MATCH("office_id",in_signed_offices!$A$1:$BZ$1,0)),0),MATCH("receiving_window",in_signed_offices!$A$1:$BZ$1,0))),""))</f>
        <v/>
      </c>
      <c r="Z10" s="25">
        <f>IF($A10="","",IFERROR(IF(INDEX(in_signed_offices!$A$2:$BZ$81,MATCH($A10,INDEX(in_signed_offices!$A$2:$BZ$81,0,MATCH("office_id",in_signed_offices!$A$1:$BZ$1,0)),0),MATCH("coi_required",in_signed_offices!$A$1:$BZ$1,0))="","",INDEX(in_signed_offices!$A$2:$BZ$81,MATCH($A10,INDEX(in_signed_offices!$A$2:$BZ$81,0,MATCH("office_id",in_signed_offices!$A$1:$BZ$1,0)),0),MATCH("coi_required",in_signed_offices!$A$1:$BZ$1,0))),""))</f>
        <v/>
      </c>
      <c r="AA10" s="25">
        <f>IF($A10="","",IFERROR(IF(INDEX(in_signed_offices!$A$2:$BZ$81,MATCH($A10,INDEX(in_signed_offices!$A$2:$BZ$81,0,MATCH("office_id",in_signed_offices!$A$1:$BZ$1,0)),0),MATCH("survey_channel",in_signed_offices!$A$1:$BZ$1,0))="","",INDEX(in_signed_offices!$A$2:$BZ$81,MATCH($A10,INDEX(in_signed_offices!$A$2:$BZ$81,0,MATCH("office_id",in_signed_offices!$A$1:$BZ$1,0)),0),MATCH("survey_channel",in_signed_offices!$A$1:$BZ$1,0))),""))</f>
        <v/>
      </c>
      <c r="AB10" s="25">
        <f>IF($A10="","",IFERROR(IF(INDEX(in_signed_offices!$A$2:$BZ$81,MATCH($A10,INDEX(in_signed_offices!$A$2:$BZ$81,0,MATCH("office_id",in_signed_offices!$A$1:$BZ$1,0)),0),MATCH("categories_wanted",in_signed_offices!$A$1:$BZ$1,0))="","",INDEX(in_signed_offices!$A$2:$BZ$81,MATCH($A10,INDEX(in_signed_offices!$A$2:$BZ$81,0,MATCH("office_id",in_signed_offices!$A$1:$BZ$1,0)),0),MATCH("categories_wanted",in_signed_offices!$A$1:$BZ$1,0))),""))</f>
        <v/>
      </c>
      <c r="AC10" s="25">
        <f>IF($A10="","",IFERROR(IF(INDEX(in_signed_offices!$A$2:$BZ$81,MATCH($A10,INDEX(in_signed_offices!$A$2:$BZ$81,0,MATCH("office_id",in_signed_offices!$A$1:$BZ$1,0)),0),MATCH("vetoes",in_signed_offices!$A$1:$BZ$1,0))="","",INDEX(in_signed_offices!$A$2:$BZ$81,MATCH($A10,INDEX(in_signed_offices!$A$2:$BZ$81,0,MATCH("office_id",in_signed_offices!$A$1:$BZ$1,0)),0),MATCH("vetoes",in_signed_offices!$A$1:$BZ$1,0))),""))</f>
        <v/>
      </c>
      <c r="AD10" s="26">
        <f>IF($A10="","",IFERROR(IF(INDEX(in_signed_offices!$A$2:$BZ$81,MATCH($A10,INDEX(in_signed_offices!$A$2:$BZ$81,0,MATCH("office_id",in_signed_offices!$A$1:$BZ$1,0)),0),MATCH("agreement_signed_date",in_signed_offices!$A$1:$BZ$1,0))="","",INDEX(in_signed_offices!$A$2:$BZ$81,MATCH($A10,INDEX(in_signed_offices!$A$2:$BZ$81,0,MATCH("office_id",in_signed_offices!$A$1:$BZ$1,0)),0),MATCH("agreement_signed_date",in_signed_offices!$A$1:$BZ$1,0))),""))</f>
        <v/>
      </c>
      <c r="AE10" s="25">
        <f>IF($A10="","",IFERROR(IF(INDEX(in_signed_offices!$A$2:$BZ$81,MATCH($A10,INDEX(in_signed_offices!$A$2:$BZ$81,0,MATCH("office_id",in_signed_offices!$A$1:$BZ$1,0)),0),MATCH("founding_roster_named",in_signed_offices!$A$1:$BZ$1,0))="","",INDEX(in_signed_offices!$A$2:$BZ$81,MATCH($A10,INDEX(in_signed_offices!$A$2:$BZ$81,0,MATCH("office_id",in_signed_offices!$A$1:$BZ$1,0)),0),MATCH("founding_roster_named",in_signed_offices!$A$1:$BZ$1,0))),""))</f>
        <v/>
      </c>
      <c r="AF10" s="25">
        <f>IF($A10="","",IFERROR(IF(INDEX(in_signed_offices!$A$2:$BZ$81,MATCH($A10,INDEX(in_signed_offices!$A$2:$BZ$81,0,MATCH("office_id",in_signed_offices!$A$1:$BZ$1,0)),0),MATCH("public_naming_ok",in_signed_offices!$A$1:$BZ$1,0))="","",INDEX(in_signed_offices!$A$2:$BZ$81,MATCH($A10,INDEX(in_signed_offices!$A$2:$BZ$81,0,MATCH("office_id",in_signed_offices!$A$1:$BZ$1,0)),0),MATCH("public_naming_ok",in_signed_offices!$A$1:$BZ$1,0))),""))</f>
        <v/>
      </c>
      <c r="AG10" s="25">
        <f>IF($A10="","",IFERROR(IF(INDEX(in_signed_offices!$A$2:$BZ$81,MATCH($A10,INDEX(in_signed_offices!$A$2:$BZ$81,0,MATCH("office_id",in_signed_offices!$A$1:$BZ$1,0)),0),MATCH("clay_row_id",in_signed_offices!$A$1:$BZ$1,0))="","",INDEX(in_signed_offices!$A$2:$BZ$81,MATCH($A10,INDEX(in_signed_offices!$A$2:$BZ$81,0,MATCH("office_id",in_signed_offices!$A$1:$BZ$1,0)),0),MATCH("clay_row_id",in_signed_offices!$A$1:$BZ$1,0))),""))</f>
        <v/>
      </c>
      <c r="AH10" s="25">
        <f>IF($A10="","",IF($E10&lt;&gt;"",$E10,IFERROR(IF(INDEX(in_signed_offices!$A$2:$BZ$81,MATCH($A10,INDEX(in_signed_offices!$A$2:$BZ$81,0,MATCH("office_id",in_signed_offices!$A$1:$BZ$1,0)),0),MATCH("industry",in_signed_offices!$A$1:$BZ$1,0))="","",INDEX(in_signed_offices!$A$2:$BZ$81,MATCH($A10,INDEX(in_signed_offices!$A$2:$BZ$81,0,MATCH("office_id",in_signed_offices!$A$1:$BZ$1,0)),0),MATCH("industry",in_signed_offices!$A$1:$BZ$1,0))),"")))</f>
        <v/>
      </c>
      <c r="AI10" s="25">
        <f>IF($A10="","",IF($F10&lt;&gt;"",$F10,IF(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lt;&gt;"",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IF($W10="Y",$S10,""))))</f>
        <v/>
      </c>
      <c r="AJ10" s="25">
        <f>IF($A10="","",IF($Q10="","unknown",IF($Q10&lt;40,"under-40",IF($Q10&lt;=75,"40-75",IF($Q10&lt;=150,"76-150",IF($Q10&lt;=250,"151-250",IF($Q10&lt;=500,"251-500","over-500")))))))</f>
        <v/>
      </c>
      <c r="AK10" s="25">
        <f>IF($A10="","",IF($N10="","not on in_signed_offices: paste the outreach file",IF($Q10="","no Tuesday headcount",IF($Q10&lt;30,"below the hard floor of 30",IF($Q10&lt;40,"30 to 39: founder's call",IF($Q10&gt;250,"over 250: outside the plan","OK"))))))</f>
        <v/>
      </c>
      <c r="AL10" s="25">
        <f>IF(OR($A10="",$Q10=""),"",MIN(config!$B$16,MAX(config!$B$15,MROUND(config!$B$13+config!$B$14*$Q10,config!$B$17))))</f>
        <v/>
      </c>
      <c r="AM10" s="25">
        <f>IF($A10="","",COUNTIFS(stops!$B$2:$B$151,$A10,stops!$P$2:$P$151,"&lt;="&amp;IF(config!$B$37&lt;&gt;"",config!$B$37,TODAY())))</f>
        <v/>
      </c>
      <c r="AN10" s="25">
        <f>IF($A10="","",COUNTIFS(stops!$B$2:$B$151,$A10,stops!$L$2:$L$151,"declined"))</f>
        <v/>
      </c>
    </row>
    <row r="11">
      <c r="A11" t="inlineStr">
        <is>
          <t>SAMPLE-O-010</t>
        </is>
      </c>
      <c r="C11" s="31" t="n">
        <v>40.7369</v>
      </c>
      <c r="D11" s="31" t="n">
        <v>-73.9906</v>
      </c>
      <c r="G11" t="inlineStr">
        <is>
          <t>N</t>
        </is>
      </c>
      <c r="H11" t="inlineStr">
        <is>
          <t>SAMPLE walk-up, 2nd floor, kitchen on the right</t>
        </is>
      </c>
      <c r="I11" t="inlineStr">
        <is>
          <t>not_needed</t>
        </is>
      </c>
      <c r="J11" s="9" t="n"/>
      <c r="K11" t="inlineStr">
        <is>
          <t>active</t>
        </is>
      </c>
      <c r="L11" s="9" t="n"/>
      <c r="N11" s="25">
        <f>IF($A11="","",IFERROR(IF(INDEX(in_signed_offices!$A$2:$BZ$81,MATCH($A11,INDEX(in_signed_offices!$A$2:$BZ$81,0,MATCH("office_id",in_signed_offices!$A$1:$BZ$1,0)),0),MATCH("company",in_signed_offices!$A$1:$BZ$1,0))="","",INDEX(in_signed_offices!$A$2:$BZ$81,MATCH($A11,INDEX(in_signed_offices!$A$2:$BZ$81,0,MATCH("office_id",in_signed_offices!$A$1:$BZ$1,0)),0),MATCH("company",in_signed_offices!$A$1:$BZ$1,0))),""))</f>
        <v/>
      </c>
      <c r="O11" s="25">
        <f>IF($A11="","",IFERROR(IF(INDEX(in_signed_offices!$A$2:$BZ$81,MATCH($A11,INDEX(in_signed_offices!$A$2:$BZ$81,0,MATCH("office_id",in_signed_offices!$A$1:$BZ$1,0)),0),MATCH("office_address",in_signed_offices!$A$1:$BZ$1,0))="","",INDEX(in_signed_offices!$A$2:$BZ$81,MATCH($A11,INDEX(in_signed_offices!$A$2:$BZ$81,0,MATCH("office_id",in_signed_offices!$A$1:$BZ$1,0)),0),MATCH("office_address",in_signed_offices!$A$1:$BZ$1,0))),""))</f>
        <v/>
      </c>
      <c r="P11" s="25">
        <f>IF($A11="","",IFERROR(IF(INDEX(in_signed_offices!$A$2:$BZ$81,MATCH($A11,INDEX(in_signed_offices!$A$2:$BZ$81,0,MATCH("office_id",in_signed_offices!$A$1:$BZ$1,0)),0),MATCH("floor_suite",in_signed_offices!$A$1:$BZ$1,0))="","",INDEX(in_signed_offices!$A$2:$BZ$81,MATCH($A11,INDEX(in_signed_offices!$A$2:$BZ$81,0,MATCH("office_id",in_signed_offices!$A$1:$BZ$1,0)),0),MATCH("floor_suite",in_signed_offices!$A$1:$BZ$1,0))),""))</f>
        <v/>
      </c>
      <c r="Q11" s="25">
        <f>IF($A11="","",IFERROR(IF(INDEX(in_signed_offices!$A$2:$BZ$81,MATCH($A11,INDEX(in_signed_offices!$A$2:$BZ$81,0,MATCH("office_id",in_signed_offices!$A$1:$BZ$1,0)),0),MATCH("tuesday_headcount",in_signed_offices!$A$1:$BZ$1,0))="","",INDEX(in_signed_offices!$A$2:$BZ$81,MATCH($A11,INDEX(in_signed_offices!$A$2:$BZ$81,0,MATCH("office_id",in_signed_offices!$A$1:$BZ$1,0)),0),MATCH("tuesday_headcount",in_signed_offices!$A$1:$BZ$1,0))),""))</f>
        <v/>
      </c>
      <c r="R11" s="25">
        <f>IF($A11="","",IFERROR(IF(INDEX(in_signed_offices!$A$2:$BZ$81,MATCH($A11,INDEX(in_signed_offices!$A$2:$BZ$81,0,MATCH("office_id",in_signed_offices!$A$1:$BZ$1,0)),0),MATCH("contact_name",in_signed_offices!$A$1:$BZ$1,0))="","",INDEX(in_signed_offices!$A$2:$BZ$81,MATCH($A11,INDEX(in_signed_offices!$A$2:$BZ$81,0,MATCH("office_id",in_signed_offices!$A$1:$BZ$1,0)),0),MATCH("contact_name",in_signed_offices!$A$1:$BZ$1,0))),""))</f>
        <v/>
      </c>
      <c r="S11" s="25">
        <f>IF($A11="","",IFERROR(IF(INDEX(in_signed_offices!$A$2:$BZ$81,MATCH($A11,INDEX(in_signed_offices!$A$2:$BZ$81,0,MATCH("office_id",in_signed_offices!$A$1:$BZ$1,0)),0),MATCH("contact_phone",in_signed_offices!$A$1:$BZ$1,0))="","",INDEX(in_signed_offices!$A$2:$BZ$81,MATCH($A11,INDEX(in_signed_offices!$A$2:$BZ$81,0,MATCH("office_id",in_signed_offices!$A$1:$BZ$1,0)),0),MATCH("contact_phone",in_signed_offices!$A$1:$BZ$1,0))),""))</f>
        <v/>
      </c>
      <c r="T11" s="25">
        <f>IF($A11="","",IFERROR(IF(INDEX(in_signed_offices!$A$2:$BZ$81,MATCH($A11,INDEX(in_signed_offices!$A$2:$BZ$81,0,MATCH("office_id",in_signed_offices!$A$1:$BZ$1,0)),0),MATCH("contact_email",in_signed_offices!$A$1:$BZ$1,0))="","",INDEX(in_signed_offices!$A$2:$BZ$81,MATCH($A11,INDEX(in_signed_offices!$A$2:$BZ$81,0,MATCH("office_id",in_signed_offices!$A$1:$BZ$1,0)),0),MATCH("contact_email",in_signed_offices!$A$1:$BZ$1,0))),""))</f>
        <v/>
      </c>
      <c r="U11" s="25">
        <f>IF($A11="","",IFERROR(IF(INDEX(in_signed_offices!$A$2:$BZ$81,MATCH($A11,INDEX(in_signed_offices!$A$2:$BZ$81,0,MATCH("office_id",in_signed_offices!$A$1:$BZ$1,0)),0),MATCH("pantry_owner_name",in_signed_offices!$A$1:$BZ$1,0))="","",INDEX(in_signed_offices!$A$2:$BZ$81,MATCH($A11,INDEX(in_signed_offices!$A$2:$BZ$81,0,MATCH("office_id",in_signed_offices!$A$1:$BZ$1,0)),0),MATCH("pantry_owner_name",in_signed_offices!$A$1:$BZ$1,0))),""))</f>
        <v/>
      </c>
      <c r="V11" s="25">
        <f>IF($A11="","",IFERROR(IF(INDEX(in_signed_offices!$A$2:$BZ$81,MATCH($A11,INDEX(in_signed_offices!$A$2:$BZ$81,0,MATCH("office_id",in_signed_offices!$A$1:$BZ$1,0)),0),MATCH("pantry_owner_title",in_signed_offices!$A$1:$BZ$1,0))="","",INDEX(in_signed_offices!$A$2:$BZ$81,MATCH($A11,INDEX(in_signed_offices!$A$2:$BZ$81,0,MATCH("office_id",in_signed_offices!$A$1:$BZ$1,0)),0),MATCH("pantry_owner_title",in_signed_offices!$A$1:$BZ$1,0))),""))</f>
        <v/>
      </c>
      <c r="W11" s="25">
        <f>IF($A11="","",IFERROR(IF(INDEX(in_signed_offices!$A$2:$BZ$81,MATCH($A11,INDEX(in_signed_offices!$A$2:$BZ$81,0,MATCH("office_id",in_signed_offices!$A$1:$BZ$1,0)),0),MATCH("pantry_owner_is_contact",in_signed_offices!$A$1:$BZ$1,0))="","",INDEX(in_signed_offices!$A$2:$BZ$81,MATCH($A11,INDEX(in_signed_offices!$A$2:$BZ$81,0,MATCH("office_id",in_signed_offices!$A$1:$BZ$1,0)),0),MATCH("pantry_owner_is_contact",in_signed_offices!$A$1:$BZ$1,0))),""))</f>
        <v/>
      </c>
      <c r="X11" s="25">
        <f>IF($A11="","",IFERROR(IF(INDEX(in_signed_offices!$A$2:$BZ$81,MATCH($A11,INDEX(in_signed_offices!$A$2:$BZ$81,0,MATCH("office_id",in_signed_offices!$A$1:$BZ$1,0)),0),MATCH("receiving_type",in_signed_offices!$A$1:$BZ$1,0))="","",INDEX(in_signed_offices!$A$2:$BZ$81,MATCH($A11,INDEX(in_signed_offices!$A$2:$BZ$81,0,MATCH("office_id",in_signed_offices!$A$1:$BZ$1,0)),0),MATCH("receiving_type",in_signed_offices!$A$1:$BZ$1,0))),""))</f>
        <v/>
      </c>
      <c r="Y11" s="25">
        <f>IF($A11="","",IFERROR(IF(INDEX(in_signed_offices!$A$2:$BZ$81,MATCH($A11,INDEX(in_signed_offices!$A$2:$BZ$81,0,MATCH("office_id",in_signed_offices!$A$1:$BZ$1,0)),0),MATCH("receiving_window",in_signed_offices!$A$1:$BZ$1,0))="","",INDEX(in_signed_offices!$A$2:$BZ$81,MATCH($A11,INDEX(in_signed_offices!$A$2:$BZ$81,0,MATCH("office_id",in_signed_offices!$A$1:$BZ$1,0)),0),MATCH("receiving_window",in_signed_offices!$A$1:$BZ$1,0))),""))</f>
        <v/>
      </c>
      <c r="Z11" s="25">
        <f>IF($A11="","",IFERROR(IF(INDEX(in_signed_offices!$A$2:$BZ$81,MATCH($A11,INDEX(in_signed_offices!$A$2:$BZ$81,0,MATCH("office_id",in_signed_offices!$A$1:$BZ$1,0)),0),MATCH("coi_required",in_signed_offices!$A$1:$BZ$1,0))="","",INDEX(in_signed_offices!$A$2:$BZ$81,MATCH($A11,INDEX(in_signed_offices!$A$2:$BZ$81,0,MATCH("office_id",in_signed_offices!$A$1:$BZ$1,0)),0),MATCH("coi_required",in_signed_offices!$A$1:$BZ$1,0))),""))</f>
        <v/>
      </c>
      <c r="AA11" s="25">
        <f>IF($A11="","",IFERROR(IF(INDEX(in_signed_offices!$A$2:$BZ$81,MATCH($A11,INDEX(in_signed_offices!$A$2:$BZ$81,0,MATCH("office_id",in_signed_offices!$A$1:$BZ$1,0)),0),MATCH("survey_channel",in_signed_offices!$A$1:$BZ$1,0))="","",INDEX(in_signed_offices!$A$2:$BZ$81,MATCH($A11,INDEX(in_signed_offices!$A$2:$BZ$81,0,MATCH("office_id",in_signed_offices!$A$1:$BZ$1,0)),0),MATCH("survey_channel",in_signed_offices!$A$1:$BZ$1,0))),""))</f>
        <v/>
      </c>
      <c r="AB11" s="25">
        <f>IF($A11="","",IFERROR(IF(INDEX(in_signed_offices!$A$2:$BZ$81,MATCH($A11,INDEX(in_signed_offices!$A$2:$BZ$81,0,MATCH("office_id",in_signed_offices!$A$1:$BZ$1,0)),0),MATCH("categories_wanted",in_signed_offices!$A$1:$BZ$1,0))="","",INDEX(in_signed_offices!$A$2:$BZ$81,MATCH($A11,INDEX(in_signed_offices!$A$2:$BZ$81,0,MATCH("office_id",in_signed_offices!$A$1:$BZ$1,0)),0),MATCH("categories_wanted",in_signed_offices!$A$1:$BZ$1,0))),""))</f>
        <v/>
      </c>
      <c r="AC11" s="25">
        <f>IF($A11="","",IFERROR(IF(INDEX(in_signed_offices!$A$2:$BZ$81,MATCH($A11,INDEX(in_signed_offices!$A$2:$BZ$81,0,MATCH("office_id",in_signed_offices!$A$1:$BZ$1,0)),0),MATCH("vetoes",in_signed_offices!$A$1:$BZ$1,0))="","",INDEX(in_signed_offices!$A$2:$BZ$81,MATCH($A11,INDEX(in_signed_offices!$A$2:$BZ$81,0,MATCH("office_id",in_signed_offices!$A$1:$BZ$1,0)),0),MATCH("vetoes",in_signed_offices!$A$1:$BZ$1,0))),""))</f>
        <v/>
      </c>
      <c r="AD11" s="26">
        <f>IF($A11="","",IFERROR(IF(INDEX(in_signed_offices!$A$2:$BZ$81,MATCH($A11,INDEX(in_signed_offices!$A$2:$BZ$81,0,MATCH("office_id",in_signed_offices!$A$1:$BZ$1,0)),0),MATCH("agreement_signed_date",in_signed_offices!$A$1:$BZ$1,0))="","",INDEX(in_signed_offices!$A$2:$BZ$81,MATCH($A11,INDEX(in_signed_offices!$A$2:$BZ$81,0,MATCH("office_id",in_signed_offices!$A$1:$BZ$1,0)),0),MATCH("agreement_signed_date",in_signed_offices!$A$1:$BZ$1,0))),""))</f>
        <v/>
      </c>
      <c r="AE11" s="25">
        <f>IF($A11="","",IFERROR(IF(INDEX(in_signed_offices!$A$2:$BZ$81,MATCH($A11,INDEX(in_signed_offices!$A$2:$BZ$81,0,MATCH("office_id",in_signed_offices!$A$1:$BZ$1,0)),0),MATCH("founding_roster_named",in_signed_offices!$A$1:$BZ$1,0))="","",INDEX(in_signed_offices!$A$2:$BZ$81,MATCH($A11,INDEX(in_signed_offices!$A$2:$BZ$81,0,MATCH("office_id",in_signed_offices!$A$1:$BZ$1,0)),0),MATCH("founding_roster_named",in_signed_offices!$A$1:$BZ$1,0))),""))</f>
        <v/>
      </c>
      <c r="AF11" s="25">
        <f>IF($A11="","",IFERROR(IF(INDEX(in_signed_offices!$A$2:$BZ$81,MATCH($A11,INDEX(in_signed_offices!$A$2:$BZ$81,0,MATCH("office_id",in_signed_offices!$A$1:$BZ$1,0)),0),MATCH("public_naming_ok",in_signed_offices!$A$1:$BZ$1,0))="","",INDEX(in_signed_offices!$A$2:$BZ$81,MATCH($A11,INDEX(in_signed_offices!$A$2:$BZ$81,0,MATCH("office_id",in_signed_offices!$A$1:$BZ$1,0)),0),MATCH("public_naming_ok",in_signed_offices!$A$1:$BZ$1,0))),""))</f>
        <v/>
      </c>
      <c r="AG11" s="25">
        <f>IF($A11="","",IFERROR(IF(INDEX(in_signed_offices!$A$2:$BZ$81,MATCH($A11,INDEX(in_signed_offices!$A$2:$BZ$81,0,MATCH("office_id",in_signed_offices!$A$1:$BZ$1,0)),0),MATCH("clay_row_id",in_signed_offices!$A$1:$BZ$1,0))="","",INDEX(in_signed_offices!$A$2:$BZ$81,MATCH($A11,INDEX(in_signed_offices!$A$2:$BZ$81,0,MATCH("office_id",in_signed_offices!$A$1:$BZ$1,0)),0),MATCH("clay_row_id",in_signed_offices!$A$1:$BZ$1,0))),""))</f>
        <v/>
      </c>
      <c r="AH11" s="25">
        <f>IF($A11="","",IF($E11&lt;&gt;"",$E11,IFERROR(IF(INDEX(in_signed_offices!$A$2:$BZ$81,MATCH($A11,INDEX(in_signed_offices!$A$2:$BZ$81,0,MATCH("office_id",in_signed_offices!$A$1:$BZ$1,0)),0),MATCH("industry",in_signed_offices!$A$1:$BZ$1,0))="","",INDEX(in_signed_offices!$A$2:$BZ$81,MATCH($A11,INDEX(in_signed_offices!$A$2:$BZ$81,0,MATCH("office_id",in_signed_offices!$A$1:$BZ$1,0)),0),MATCH("industry",in_signed_offices!$A$1:$BZ$1,0))),"")))</f>
        <v/>
      </c>
      <c r="AI11" s="25">
        <f>IF($A11="","",IF($F11&lt;&gt;"",$F11,IF(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lt;&gt;"",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IF($W11="Y",$S11,""))))</f>
        <v/>
      </c>
      <c r="AJ11" s="25">
        <f>IF($A11="","",IF($Q11="","unknown",IF($Q11&lt;40,"under-40",IF($Q11&lt;=75,"40-75",IF($Q11&lt;=150,"76-150",IF($Q11&lt;=250,"151-250",IF($Q11&lt;=500,"251-500","over-500")))))))</f>
        <v/>
      </c>
      <c r="AK11" s="25">
        <f>IF($A11="","",IF($N11="","not on in_signed_offices: paste the outreach file",IF($Q11="","no Tuesday headcount",IF($Q11&lt;30,"below the hard floor of 30",IF($Q11&lt;40,"30 to 39: founder's call",IF($Q11&gt;250,"over 250: outside the plan","OK"))))))</f>
        <v/>
      </c>
      <c r="AL11" s="25">
        <f>IF(OR($A11="",$Q11=""),"",MIN(config!$B$16,MAX(config!$B$15,MROUND(config!$B$13+config!$B$14*$Q11,config!$B$17))))</f>
        <v/>
      </c>
      <c r="AM11" s="25">
        <f>IF($A11="","",COUNTIFS(stops!$B$2:$B$151,$A11,stops!$P$2:$P$151,"&lt;="&amp;IF(config!$B$37&lt;&gt;"",config!$B$37,TODAY())))</f>
        <v/>
      </c>
      <c r="AN11" s="25">
        <f>IF($A11="","",COUNTIFS(stops!$B$2:$B$151,$A11,stops!$L$2:$L$151,"declined"))</f>
        <v/>
      </c>
    </row>
    <row r="12">
      <c r="C12" s="31" t="n"/>
      <c r="D12" s="31" t="n"/>
      <c r="J12" s="9" t="n"/>
      <c r="L12" s="9" t="n"/>
      <c r="N12" s="25">
        <f>IF($A12="","",IFERROR(IF(INDEX(in_signed_offices!$A$2:$BZ$81,MATCH($A12,INDEX(in_signed_offices!$A$2:$BZ$81,0,MATCH("office_id",in_signed_offices!$A$1:$BZ$1,0)),0),MATCH("company",in_signed_offices!$A$1:$BZ$1,0))="","",INDEX(in_signed_offices!$A$2:$BZ$81,MATCH($A12,INDEX(in_signed_offices!$A$2:$BZ$81,0,MATCH("office_id",in_signed_offices!$A$1:$BZ$1,0)),0),MATCH("company",in_signed_offices!$A$1:$BZ$1,0))),""))</f>
        <v/>
      </c>
      <c r="O12" s="25">
        <f>IF($A12="","",IFERROR(IF(INDEX(in_signed_offices!$A$2:$BZ$81,MATCH($A12,INDEX(in_signed_offices!$A$2:$BZ$81,0,MATCH("office_id",in_signed_offices!$A$1:$BZ$1,0)),0),MATCH("office_address",in_signed_offices!$A$1:$BZ$1,0))="","",INDEX(in_signed_offices!$A$2:$BZ$81,MATCH($A12,INDEX(in_signed_offices!$A$2:$BZ$81,0,MATCH("office_id",in_signed_offices!$A$1:$BZ$1,0)),0),MATCH("office_address",in_signed_offices!$A$1:$BZ$1,0))),""))</f>
        <v/>
      </c>
      <c r="P12" s="25">
        <f>IF($A12="","",IFERROR(IF(INDEX(in_signed_offices!$A$2:$BZ$81,MATCH($A12,INDEX(in_signed_offices!$A$2:$BZ$81,0,MATCH("office_id",in_signed_offices!$A$1:$BZ$1,0)),0),MATCH("floor_suite",in_signed_offices!$A$1:$BZ$1,0))="","",INDEX(in_signed_offices!$A$2:$BZ$81,MATCH($A12,INDEX(in_signed_offices!$A$2:$BZ$81,0,MATCH("office_id",in_signed_offices!$A$1:$BZ$1,0)),0),MATCH("floor_suite",in_signed_offices!$A$1:$BZ$1,0))),""))</f>
        <v/>
      </c>
      <c r="Q12" s="25">
        <f>IF($A12="","",IFERROR(IF(INDEX(in_signed_offices!$A$2:$BZ$81,MATCH($A12,INDEX(in_signed_offices!$A$2:$BZ$81,0,MATCH("office_id",in_signed_offices!$A$1:$BZ$1,0)),0),MATCH("tuesday_headcount",in_signed_offices!$A$1:$BZ$1,0))="","",INDEX(in_signed_offices!$A$2:$BZ$81,MATCH($A12,INDEX(in_signed_offices!$A$2:$BZ$81,0,MATCH("office_id",in_signed_offices!$A$1:$BZ$1,0)),0),MATCH("tuesday_headcount",in_signed_offices!$A$1:$BZ$1,0))),""))</f>
        <v/>
      </c>
      <c r="R12" s="25">
        <f>IF($A12="","",IFERROR(IF(INDEX(in_signed_offices!$A$2:$BZ$81,MATCH($A12,INDEX(in_signed_offices!$A$2:$BZ$81,0,MATCH("office_id",in_signed_offices!$A$1:$BZ$1,0)),0),MATCH("contact_name",in_signed_offices!$A$1:$BZ$1,0))="","",INDEX(in_signed_offices!$A$2:$BZ$81,MATCH($A12,INDEX(in_signed_offices!$A$2:$BZ$81,0,MATCH("office_id",in_signed_offices!$A$1:$BZ$1,0)),0),MATCH("contact_name",in_signed_offices!$A$1:$BZ$1,0))),""))</f>
        <v/>
      </c>
      <c r="S12" s="25">
        <f>IF($A12="","",IFERROR(IF(INDEX(in_signed_offices!$A$2:$BZ$81,MATCH($A12,INDEX(in_signed_offices!$A$2:$BZ$81,0,MATCH("office_id",in_signed_offices!$A$1:$BZ$1,0)),0),MATCH("contact_phone",in_signed_offices!$A$1:$BZ$1,0))="","",INDEX(in_signed_offices!$A$2:$BZ$81,MATCH($A12,INDEX(in_signed_offices!$A$2:$BZ$81,0,MATCH("office_id",in_signed_offices!$A$1:$BZ$1,0)),0),MATCH("contact_phone",in_signed_offices!$A$1:$BZ$1,0))),""))</f>
        <v/>
      </c>
      <c r="T12" s="25">
        <f>IF($A12="","",IFERROR(IF(INDEX(in_signed_offices!$A$2:$BZ$81,MATCH($A12,INDEX(in_signed_offices!$A$2:$BZ$81,0,MATCH("office_id",in_signed_offices!$A$1:$BZ$1,0)),0),MATCH("contact_email",in_signed_offices!$A$1:$BZ$1,0))="","",INDEX(in_signed_offices!$A$2:$BZ$81,MATCH($A12,INDEX(in_signed_offices!$A$2:$BZ$81,0,MATCH("office_id",in_signed_offices!$A$1:$BZ$1,0)),0),MATCH("contact_email",in_signed_offices!$A$1:$BZ$1,0))),""))</f>
        <v/>
      </c>
      <c r="U12" s="25">
        <f>IF($A12="","",IFERROR(IF(INDEX(in_signed_offices!$A$2:$BZ$81,MATCH($A12,INDEX(in_signed_offices!$A$2:$BZ$81,0,MATCH("office_id",in_signed_offices!$A$1:$BZ$1,0)),0),MATCH("pantry_owner_name",in_signed_offices!$A$1:$BZ$1,0))="","",INDEX(in_signed_offices!$A$2:$BZ$81,MATCH($A12,INDEX(in_signed_offices!$A$2:$BZ$81,0,MATCH("office_id",in_signed_offices!$A$1:$BZ$1,0)),0),MATCH("pantry_owner_name",in_signed_offices!$A$1:$BZ$1,0))),""))</f>
        <v/>
      </c>
      <c r="V12" s="25">
        <f>IF($A12="","",IFERROR(IF(INDEX(in_signed_offices!$A$2:$BZ$81,MATCH($A12,INDEX(in_signed_offices!$A$2:$BZ$81,0,MATCH("office_id",in_signed_offices!$A$1:$BZ$1,0)),0),MATCH("pantry_owner_title",in_signed_offices!$A$1:$BZ$1,0))="","",INDEX(in_signed_offices!$A$2:$BZ$81,MATCH($A12,INDEX(in_signed_offices!$A$2:$BZ$81,0,MATCH("office_id",in_signed_offices!$A$1:$BZ$1,0)),0),MATCH("pantry_owner_title",in_signed_offices!$A$1:$BZ$1,0))),""))</f>
        <v/>
      </c>
      <c r="W12" s="25">
        <f>IF($A12="","",IFERROR(IF(INDEX(in_signed_offices!$A$2:$BZ$81,MATCH($A12,INDEX(in_signed_offices!$A$2:$BZ$81,0,MATCH("office_id",in_signed_offices!$A$1:$BZ$1,0)),0),MATCH("pantry_owner_is_contact",in_signed_offices!$A$1:$BZ$1,0))="","",INDEX(in_signed_offices!$A$2:$BZ$81,MATCH($A12,INDEX(in_signed_offices!$A$2:$BZ$81,0,MATCH("office_id",in_signed_offices!$A$1:$BZ$1,0)),0),MATCH("pantry_owner_is_contact",in_signed_offices!$A$1:$BZ$1,0))),""))</f>
        <v/>
      </c>
      <c r="X12" s="25">
        <f>IF($A12="","",IFERROR(IF(INDEX(in_signed_offices!$A$2:$BZ$81,MATCH($A12,INDEX(in_signed_offices!$A$2:$BZ$81,0,MATCH("office_id",in_signed_offices!$A$1:$BZ$1,0)),0),MATCH("receiving_type",in_signed_offices!$A$1:$BZ$1,0))="","",INDEX(in_signed_offices!$A$2:$BZ$81,MATCH($A12,INDEX(in_signed_offices!$A$2:$BZ$81,0,MATCH("office_id",in_signed_offices!$A$1:$BZ$1,0)),0),MATCH("receiving_type",in_signed_offices!$A$1:$BZ$1,0))),""))</f>
        <v/>
      </c>
      <c r="Y12" s="25">
        <f>IF($A12="","",IFERROR(IF(INDEX(in_signed_offices!$A$2:$BZ$81,MATCH($A12,INDEX(in_signed_offices!$A$2:$BZ$81,0,MATCH("office_id",in_signed_offices!$A$1:$BZ$1,0)),0),MATCH("receiving_window",in_signed_offices!$A$1:$BZ$1,0))="","",INDEX(in_signed_offices!$A$2:$BZ$81,MATCH($A12,INDEX(in_signed_offices!$A$2:$BZ$81,0,MATCH("office_id",in_signed_offices!$A$1:$BZ$1,0)),0),MATCH("receiving_window",in_signed_offices!$A$1:$BZ$1,0))),""))</f>
        <v/>
      </c>
      <c r="Z12" s="25">
        <f>IF($A12="","",IFERROR(IF(INDEX(in_signed_offices!$A$2:$BZ$81,MATCH($A12,INDEX(in_signed_offices!$A$2:$BZ$81,0,MATCH("office_id",in_signed_offices!$A$1:$BZ$1,0)),0),MATCH("coi_required",in_signed_offices!$A$1:$BZ$1,0))="","",INDEX(in_signed_offices!$A$2:$BZ$81,MATCH($A12,INDEX(in_signed_offices!$A$2:$BZ$81,0,MATCH("office_id",in_signed_offices!$A$1:$BZ$1,0)),0),MATCH("coi_required",in_signed_offices!$A$1:$BZ$1,0))),""))</f>
        <v/>
      </c>
      <c r="AA12" s="25">
        <f>IF($A12="","",IFERROR(IF(INDEX(in_signed_offices!$A$2:$BZ$81,MATCH($A12,INDEX(in_signed_offices!$A$2:$BZ$81,0,MATCH("office_id",in_signed_offices!$A$1:$BZ$1,0)),0),MATCH("survey_channel",in_signed_offices!$A$1:$BZ$1,0))="","",INDEX(in_signed_offices!$A$2:$BZ$81,MATCH($A12,INDEX(in_signed_offices!$A$2:$BZ$81,0,MATCH("office_id",in_signed_offices!$A$1:$BZ$1,0)),0),MATCH("survey_channel",in_signed_offices!$A$1:$BZ$1,0))),""))</f>
        <v/>
      </c>
      <c r="AB12" s="25">
        <f>IF($A12="","",IFERROR(IF(INDEX(in_signed_offices!$A$2:$BZ$81,MATCH($A12,INDEX(in_signed_offices!$A$2:$BZ$81,0,MATCH("office_id",in_signed_offices!$A$1:$BZ$1,0)),0),MATCH("categories_wanted",in_signed_offices!$A$1:$BZ$1,0))="","",INDEX(in_signed_offices!$A$2:$BZ$81,MATCH($A12,INDEX(in_signed_offices!$A$2:$BZ$81,0,MATCH("office_id",in_signed_offices!$A$1:$BZ$1,0)),0),MATCH("categories_wanted",in_signed_offices!$A$1:$BZ$1,0))),""))</f>
        <v/>
      </c>
      <c r="AC12" s="25">
        <f>IF($A12="","",IFERROR(IF(INDEX(in_signed_offices!$A$2:$BZ$81,MATCH($A12,INDEX(in_signed_offices!$A$2:$BZ$81,0,MATCH("office_id",in_signed_offices!$A$1:$BZ$1,0)),0),MATCH("vetoes",in_signed_offices!$A$1:$BZ$1,0))="","",INDEX(in_signed_offices!$A$2:$BZ$81,MATCH($A12,INDEX(in_signed_offices!$A$2:$BZ$81,0,MATCH("office_id",in_signed_offices!$A$1:$BZ$1,0)),0),MATCH("vetoes",in_signed_offices!$A$1:$BZ$1,0))),""))</f>
        <v/>
      </c>
      <c r="AD12" s="26">
        <f>IF($A12="","",IFERROR(IF(INDEX(in_signed_offices!$A$2:$BZ$81,MATCH($A12,INDEX(in_signed_offices!$A$2:$BZ$81,0,MATCH("office_id",in_signed_offices!$A$1:$BZ$1,0)),0),MATCH("agreement_signed_date",in_signed_offices!$A$1:$BZ$1,0))="","",INDEX(in_signed_offices!$A$2:$BZ$81,MATCH($A12,INDEX(in_signed_offices!$A$2:$BZ$81,0,MATCH("office_id",in_signed_offices!$A$1:$BZ$1,0)),0),MATCH("agreement_signed_date",in_signed_offices!$A$1:$BZ$1,0))),""))</f>
        <v/>
      </c>
      <c r="AE12" s="25">
        <f>IF($A12="","",IFERROR(IF(INDEX(in_signed_offices!$A$2:$BZ$81,MATCH($A12,INDEX(in_signed_offices!$A$2:$BZ$81,0,MATCH("office_id",in_signed_offices!$A$1:$BZ$1,0)),0),MATCH("founding_roster_named",in_signed_offices!$A$1:$BZ$1,0))="","",INDEX(in_signed_offices!$A$2:$BZ$81,MATCH($A12,INDEX(in_signed_offices!$A$2:$BZ$81,0,MATCH("office_id",in_signed_offices!$A$1:$BZ$1,0)),0),MATCH("founding_roster_named",in_signed_offices!$A$1:$BZ$1,0))),""))</f>
        <v/>
      </c>
      <c r="AF12" s="25">
        <f>IF($A12="","",IFERROR(IF(INDEX(in_signed_offices!$A$2:$BZ$81,MATCH($A12,INDEX(in_signed_offices!$A$2:$BZ$81,0,MATCH("office_id",in_signed_offices!$A$1:$BZ$1,0)),0),MATCH("public_naming_ok",in_signed_offices!$A$1:$BZ$1,0))="","",INDEX(in_signed_offices!$A$2:$BZ$81,MATCH($A12,INDEX(in_signed_offices!$A$2:$BZ$81,0,MATCH("office_id",in_signed_offices!$A$1:$BZ$1,0)),0),MATCH("public_naming_ok",in_signed_offices!$A$1:$BZ$1,0))),""))</f>
        <v/>
      </c>
      <c r="AG12" s="25">
        <f>IF($A12="","",IFERROR(IF(INDEX(in_signed_offices!$A$2:$BZ$81,MATCH($A12,INDEX(in_signed_offices!$A$2:$BZ$81,0,MATCH("office_id",in_signed_offices!$A$1:$BZ$1,0)),0),MATCH("clay_row_id",in_signed_offices!$A$1:$BZ$1,0))="","",INDEX(in_signed_offices!$A$2:$BZ$81,MATCH($A12,INDEX(in_signed_offices!$A$2:$BZ$81,0,MATCH("office_id",in_signed_offices!$A$1:$BZ$1,0)),0),MATCH("clay_row_id",in_signed_offices!$A$1:$BZ$1,0))),""))</f>
        <v/>
      </c>
      <c r="AH12" s="25">
        <f>IF($A12="","",IF($E12&lt;&gt;"",$E12,IFERROR(IF(INDEX(in_signed_offices!$A$2:$BZ$81,MATCH($A12,INDEX(in_signed_offices!$A$2:$BZ$81,0,MATCH("office_id",in_signed_offices!$A$1:$BZ$1,0)),0),MATCH("industry",in_signed_offices!$A$1:$BZ$1,0))="","",INDEX(in_signed_offices!$A$2:$BZ$81,MATCH($A12,INDEX(in_signed_offices!$A$2:$BZ$81,0,MATCH("office_id",in_signed_offices!$A$1:$BZ$1,0)),0),MATCH("industry",in_signed_offices!$A$1:$BZ$1,0))),"")))</f>
        <v/>
      </c>
      <c r="AI12" s="25">
        <f>IF($A12="","",IF($F12&lt;&gt;"",$F12,IF(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lt;&gt;"",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IF($W12="Y",$S12,""))))</f>
        <v/>
      </c>
      <c r="AJ12" s="25">
        <f>IF($A12="","",IF($Q12="","unknown",IF($Q12&lt;40,"under-40",IF($Q12&lt;=75,"40-75",IF($Q12&lt;=150,"76-150",IF($Q12&lt;=250,"151-250",IF($Q12&lt;=500,"251-500","over-500")))))))</f>
        <v/>
      </c>
      <c r="AK12" s="25">
        <f>IF($A12="","",IF($N12="","not on in_signed_offices: paste the outreach file",IF($Q12="","no Tuesday headcount",IF($Q12&lt;30,"below the hard floor of 30",IF($Q12&lt;40,"30 to 39: founder's call",IF($Q12&gt;250,"over 250: outside the plan","OK"))))))</f>
        <v/>
      </c>
      <c r="AL12" s="25">
        <f>IF(OR($A12="",$Q12=""),"",MIN(config!$B$16,MAX(config!$B$15,MROUND(config!$B$13+config!$B$14*$Q12,config!$B$17))))</f>
        <v/>
      </c>
      <c r="AM12" s="25">
        <f>IF($A12="","",COUNTIFS(stops!$B$2:$B$151,$A12,stops!$P$2:$P$151,"&lt;="&amp;IF(config!$B$37&lt;&gt;"",config!$B$37,TODAY())))</f>
        <v/>
      </c>
      <c r="AN12" s="25">
        <f>IF($A12="","",COUNTIFS(stops!$B$2:$B$151,$A12,stops!$L$2:$L$151,"declined"))</f>
        <v/>
      </c>
    </row>
    <row r="13">
      <c r="C13" s="31" t="n"/>
      <c r="D13" s="31" t="n"/>
      <c r="J13" s="9" t="n"/>
      <c r="L13" s="9" t="n"/>
      <c r="N13" s="25">
        <f>IF($A13="","",IFERROR(IF(INDEX(in_signed_offices!$A$2:$BZ$81,MATCH($A13,INDEX(in_signed_offices!$A$2:$BZ$81,0,MATCH("office_id",in_signed_offices!$A$1:$BZ$1,0)),0),MATCH("company",in_signed_offices!$A$1:$BZ$1,0))="","",INDEX(in_signed_offices!$A$2:$BZ$81,MATCH($A13,INDEX(in_signed_offices!$A$2:$BZ$81,0,MATCH("office_id",in_signed_offices!$A$1:$BZ$1,0)),0),MATCH("company",in_signed_offices!$A$1:$BZ$1,0))),""))</f>
        <v/>
      </c>
      <c r="O13" s="25">
        <f>IF($A13="","",IFERROR(IF(INDEX(in_signed_offices!$A$2:$BZ$81,MATCH($A13,INDEX(in_signed_offices!$A$2:$BZ$81,0,MATCH("office_id",in_signed_offices!$A$1:$BZ$1,0)),0),MATCH("office_address",in_signed_offices!$A$1:$BZ$1,0))="","",INDEX(in_signed_offices!$A$2:$BZ$81,MATCH($A13,INDEX(in_signed_offices!$A$2:$BZ$81,0,MATCH("office_id",in_signed_offices!$A$1:$BZ$1,0)),0),MATCH("office_address",in_signed_offices!$A$1:$BZ$1,0))),""))</f>
        <v/>
      </c>
      <c r="P13" s="25">
        <f>IF($A13="","",IFERROR(IF(INDEX(in_signed_offices!$A$2:$BZ$81,MATCH($A13,INDEX(in_signed_offices!$A$2:$BZ$81,0,MATCH("office_id",in_signed_offices!$A$1:$BZ$1,0)),0),MATCH("floor_suite",in_signed_offices!$A$1:$BZ$1,0))="","",INDEX(in_signed_offices!$A$2:$BZ$81,MATCH($A13,INDEX(in_signed_offices!$A$2:$BZ$81,0,MATCH("office_id",in_signed_offices!$A$1:$BZ$1,0)),0),MATCH("floor_suite",in_signed_offices!$A$1:$BZ$1,0))),""))</f>
        <v/>
      </c>
      <c r="Q13" s="25">
        <f>IF($A13="","",IFERROR(IF(INDEX(in_signed_offices!$A$2:$BZ$81,MATCH($A13,INDEX(in_signed_offices!$A$2:$BZ$81,0,MATCH("office_id",in_signed_offices!$A$1:$BZ$1,0)),0),MATCH("tuesday_headcount",in_signed_offices!$A$1:$BZ$1,0))="","",INDEX(in_signed_offices!$A$2:$BZ$81,MATCH($A13,INDEX(in_signed_offices!$A$2:$BZ$81,0,MATCH("office_id",in_signed_offices!$A$1:$BZ$1,0)),0),MATCH("tuesday_headcount",in_signed_offices!$A$1:$BZ$1,0))),""))</f>
        <v/>
      </c>
      <c r="R13" s="25">
        <f>IF($A13="","",IFERROR(IF(INDEX(in_signed_offices!$A$2:$BZ$81,MATCH($A13,INDEX(in_signed_offices!$A$2:$BZ$81,0,MATCH("office_id",in_signed_offices!$A$1:$BZ$1,0)),0),MATCH("contact_name",in_signed_offices!$A$1:$BZ$1,0))="","",INDEX(in_signed_offices!$A$2:$BZ$81,MATCH($A13,INDEX(in_signed_offices!$A$2:$BZ$81,0,MATCH("office_id",in_signed_offices!$A$1:$BZ$1,0)),0),MATCH("contact_name",in_signed_offices!$A$1:$BZ$1,0))),""))</f>
        <v/>
      </c>
      <c r="S13" s="25">
        <f>IF($A13="","",IFERROR(IF(INDEX(in_signed_offices!$A$2:$BZ$81,MATCH($A13,INDEX(in_signed_offices!$A$2:$BZ$81,0,MATCH("office_id",in_signed_offices!$A$1:$BZ$1,0)),0),MATCH("contact_phone",in_signed_offices!$A$1:$BZ$1,0))="","",INDEX(in_signed_offices!$A$2:$BZ$81,MATCH($A13,INDEX(in_signed_offices!$A$2:$BZ$81,0,MATCH("office_id",in_signed_offices!$A$1:$BZ$1,0)),0),MATCH("contact_phone",in_signed_offices!$A$1:$BZ$1,0))),""))</f>
        <v/>
      </c>
      <c r="T13" s="25">
        <f>IF($A13="","",IFERROR(IF(INDEX(in_signed_offices!$A$2:$BZ$81,MATCH($A13,INDEX(in_signed_offices!$A$2:$BZ$81,0,MATCH("office_id",in_signed_offices!$A$1:$BZ$1,0)),0),MATCH("contact_email",in_signed_offices!$A$1:$BZ$1,0))="","",INDEX(in_signed_offices!$A$2:$BZ$81,MATCH($A13,INDEX(in_signed_offices!$A$2:$BZ$81,0,MATCH("office_id",in_signed_offices!$A$1:$BZ$1,0)),0),MATCH("contact_email",in_signed_offices!$A$1:$BZ$1,0))),""))</f>
        <v/>
      </c>
      <c r="U13" s="25">
        <f>IF($A13="","",IFERROR(IF(INDEX(in_signed_offices!$A$2:$BZ$81,MATCH($A13,INDEX(in_signed_offices!$A$2:$BZ$81,0,MATCH("office_id",in_signed_offices!$A$1:$BZ$1,0)),0),MATCH("pantry_owner_name",in_signed_offices!$A$1:$BZ$1,0))="","",INDEX(in_signed_offices!$A$2:$BZ$81,MATCH($A13,INDEX(in_signed_offices!$A$2:$BZ$81,0,MATCH("office_id",in_signed_offices!$A$1:$BZ$1,0)),0),MATCH("pantry_owner_name",in_signed_offices!$A$1:$BZ$1,0))),""))</f>
        <v/>
      </c>
      <c r="V13" s="25">
        <f>IF($A13="","",IFERROR(IF(INDEX(in_signed_offices!$A$2:$BZ$81,MATCH($A13,INDEX(in_signed_offices!$A$2:$BZ$81,0,MATCH("office_id",in_signed_offices!$A$1:$BZ$1,0)),0),MATCH("pantry_owner_title",in_signed_offices!$A$1:$BZ$1,0))="","",INDEX(in_signed_offices!$A$2:$BZ$81,MATCH($A13,INDEX(in_signed_offices!$A$2:$BZ$81,0,MATCH("office_id",in_signed_offices!$A$1:$BZ$1,0)),0),MATCH("pantry_owner_title",in_signed_offices!$A$1:$BZ$1,0))),""))</f>
        <v/>
      </c>
      <c r="W13" s="25">
        <f>IF($A13="","",IFERROR(IF(INDEX(in_signed_offices!$A$2:$BZ$81,MATCH($A13,INDEX(in_signed_offices!$A$2:$BZ$81,0,MATCH("office_id",in_signed_offices!$A$1:$BZ$1,0)),0),MATCH("pantry_owner_is_contact",in_signed_offices!$A$1:$BZ$1,0))="","",INDEX(in_signed_offices!$A$2:$BZ$81,MATCH($A13,INDEX(in_signed_offices!$A$2:$BZ$81,0,MATCH("office_id",in_signed_offices!$A$1:$BZ$1,0)),0),MATCH("pantry_owner_is_contact",in_signed_offices!$A$1:$BZ$1,0))),""))</f>
        <v/>
      </c>
      <c r="X13" s="25">
        <f>IF($A13="","",IFERROR(IF(INDEX(in_signed_offices!$A$2:$BZ$81,MATCH($A13,INDEX(in_signed_offices!$A$2:$BZ$81,0,MATCH("office_id",in_signed_offices!$A$1:$BZ$1,0)),0),MATCH("receiving_type",in_signed_offices!$A$1:$BZ$1,0))="","",INDEX(in_signed_offices!$A$2:$BZ$81,MATCH($A13,INDEX(in_signed_offices!$A$2:$BZ$81,0,MATCH("office_id",in_signed_offices!$A$1:$BZ$1,0)),0),MATCH("receiving_type",in_signed_offices!$A$1:$BZ$1,0))),""))</f>
        <v/>
      </c>
      <c r="Y13" s="25">
        <f>IF($A13="","",IFERROR(IF(INDEX(in_signed_offices!$A$2:$BZ$81,MATCH($A13,INDEX(in_signed_offices!$A$2:$BZ$81,0,MATCH("office_id",in_signed_offices!$A$1:$BZ$1,0)),0),MATCH("receiving_window",in_signed_offices!$A$1:$BZ$1,0))="","",INDEX(in_signed_offices!$A$2:$BZ$81,MATCH($A13,INDEX(in_signed_offices!$A$2:$BZ$81,0,MATCH("office_id",in_signed_offices!$A$1:$BZ$1,0)),0),MATCH("receiving_window",in_signed_offices!$A$1:$BZ$1,0))),""))</f>
        <v/>
      </c>
      <c r="Z13" s="25">
        <f>IF($A13="","",IFERROR(IF(INDEX(in_signed_offices!$A$2:$BZ$81,MATCH($A13,INDEX(in_signed_offices!$A$2:$BZ$81,0,MATCH("office_id",in_signed_offices!$A$1:$BZ$1,0)),0),MATCH("coi_required",in_signed_offices!$A$1:$BZ$1,0))="","",INDEX(in_signed_offices!$A$2:$BZ$81,MATCH($A13,INDEX(in_signed_offices!$A$2:$BZ$81,0,MATCH("office_id",in_signed_offices!$A$1:$BZ$1,0)),0),MATCH("coi_required",in_signed_offices!$A$1:$BZ$1,0))),""))</f>
        <v/>
      </c>
      <c r="AA13" s="25">
        <f>IF($A13="","",IFERROR(IF(INDEX(in_signed_offices!$A$2:$BZ$81,MATCH($A13,INDEX(in_signed_offices!$A$2:$BZ$81,0,MATCH("office_id",in_signed_offices!$A$1:$BZ$1,0)),0),MATCH("survey_channel",in_signed_offices!$A$1:$BZ$1,0))="","",INDEX(in_signed_offices!$A$2:$BZ$81,MATCH($A13,INDEX(in_signed_offices!$A$2:$BZ$81,0,MATCH("office_id",in_signed_offices!$A$1:$BZ$1,0)),0),MATCH("survey_channel",in_signed_offices!$A$1:$BZ$1,0))),""))</f>
        <v/>
      </c>
      <c r="AB13" s="25">
        <f>IF($A13="","",IFERROR(IF(INDEX(in_signed_offices!$A$2:$BZ$81,MATCH($A13,INDEX(in_signed_offices!$A$2:$BZ$81,0,MATCH("office_id",in_signed_offices!$A$1:$BZ$1,0)),0),MATCH("categories_wanted",in_signed_offices!$A$1:$BZ$1,0))="","",INDEX(in_signed_offices!$A$2:$BZ$81,MATCH($A13,INDEX(in_signed_offices!$A$2:$BZ$81,0,MATCH("office_id",in_signed_offices!$A$1:$BZ$1,0)),0),MATCH("categories_wanted",in_signed_offices!$A$1:$BZ$1,0))),""))</f>
        <v/>
      </c>
      <c r="AC13" s="25">
        <f>IF($A13="","",IFERROR(IF(INDEX(in_signed_offices!$A$2:$BZ$81,MATCH($A13,INDEX(in_signed_offices!$A$2:$BZ$81,0,MATCH("office_id",in_signed_offices!$A$1:$BZ$1,0)),0),MATCH("vetoes",in_signed_offices!$A$1:$BZ$1,0))="","",INDEX(in_signed_offices!$A$2:$BZ$81,MATCH($A13,INDEX(in_signed_offices!$A$2:$BZ$81,0,MATCH("office_id",in_signed_offices!$A$1:$BZ$1,0)),0),MATCH("vetoes",in_signed_offices!$A$1:$BZ$1,0))),""))</f>
        <v/>
      </c>
      <c r="AD13" s="26">
        <f>IF($A13="","",IFERROR(IF(INDEX(in_signed_offices!$A$2:$BZ$81,MATCH($A13,INDEX(in_signed_offices!$A$2:$BZ$81,0,MATCH("office_id",in_signed_offices!$A$1:$BZ$1,0)),0),MATCH("agreement_signed_date",in_signed_offices!$A$1:$BZ$1,0))="","",INDEX(in_signed_offices!$A$2:$BZ$81,MATCH($A13,INDEX(in_signed_offices!$A$2:$BZ$81,0,MATCH("office_id",in_signed_offices!$A$1:$BZ$1,0)),0),MATCH("agreement_signed_date",in_signed_offices!$A$1:$BZ$1,0))),""))</f>
        <v/>
      </c>
      <c r="AE13" s="25">
        <f>IF($A13="","",IFERROR(IF(INDEX(in_signed_offices!$A$2:$BZ$81,MATCH($A13,INDEX(in_signed_offices!$A$2:$BZ$81,0,MATCH("office_id",in_signed_offices!$A$1:$BZ$1,0)),0),MATCH("founding_roster_named",in_signed_offices!$A$1:$BZ$1,0))="","",INDEX(in_signed_offices!$A$2:$BZ$81,MATCH($A13,INDEX(in_signed_offices!$A$2:$BZ$81,0,MATCH("office_id",in_signed_offices!$A$1:$BZ$1,0)),0),MATCH("founding_roster_named",in_signed_offices!$A$1:$BZ$1,0))),""))</f>
        <v/>
      </c>
      <c r="AF13" s="25">
        <f>IF($A13="","",IFERROR(IF(INDEX(in_signed_offices!$A$2:$BZ$81,MATCH($A13,INDEX(in_signed_offices!$A$2:$BZ$81,0,MATCH("office_id",in_signed_offices!$A$1:$BZ$1,0)),0),MATCH("public_naming_ok",in_signed_offices!$A$1:$BZ$1,0))="","",INDEX(in_signed_offices!$A$2:$BZ$81,MATCH($A13,INDEX(in_signed_offices!$A$2:$BZ$81,0,MATCH("office_id",in_signed_offices!$A$1:$BZ$1,0)),0),MATCH("public_naming_ok",in_signed_offices!$A$1:$BZ$1,0))),""))</f>
        <v/>
      </c>
      <c r="AG13" s="25">
        <f>IF($A13="","",IFERROR(IF(INDEX(in_signed_offices!$A$2:$BZ$81,MATCH($A13,INDEX(in_signed_offices!$A$2:$BZ$81,0,MATCH("office_id",in_signed_offices!$A$1:$BZ$1,0)),0),MATCH("clay_row_id",in_signed_offices!$A$1:$BZ$1,0))="","",INDEX(in_signed_offices!$A$2:$BZ$81,MATCH($A13,INDEX(in_signed_offices!$A$2:$BZ$81,0,MATCH("office_id",in_signed_offices!$A$1:$BZ$1,0)),0),MATCH("clay_row_id",in_signed_offices!$A$1:$BZ$1,0))),""))</f>
        <v/>
      </c>
      <c r="AH13" s="25">
        <f>IF($A13="","",IF($E13&lt;&gt;"",$E13,IFERROR(IF(INDEX(in_signed_offices!$A$2:$BZ$81,MATCH($A13,INDEX(in_signed_offices!$A$2:$BZ$81,0,MATCH("office_id",in_signed_offices!$A$1:$BZ$1,0)),0),MATCH("industry",in_signed_offices!$A$1:$BZ$1,0))="","",INDEX(in_signed_offices!$A$2:$BZ$81,MATCH($A13,INDEX(in_signed_offices!$A$2:$BZ$81,0,MATCH("office_id",in_signed_offices!$A$1:$BZ$1,0)),0),MATCH("industry",in_signed_offices!$A$1:$BZ$1,0))),"")))</f>
        <v/>
      </c>
      <c r="AI13" s="25">
        <f>IF($A13="","",IF($F13&lt;&gt;"",$F13,IF(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lt;&gt;"",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IF($W13="Y",$S13,""))))</f>
        <v/>
      </c>
      <c r="AJ13" s="25">
        <f>IF($A13="","",IF($Q13="","unknown",IF($Q13&lt;40,"under-40",IF($Q13&lt;=75,"40-75",IF($Q13&lt;=150,"76-150",IF($Q13&lt;=250,"151-250",IF($Q13&lt;=500,"251-500","over-500")))))))</f>
        <v/>
      </c>
      <c r="AK13" s="25">
        <f>IF($A13="","",IF($N13="","not on in_signed_offices: paste the outreach file",IF($Q13="","no Tuesday headcount",IF($Q13&lt;30,"below the hard floor of 30",IF($Q13&lt;40,"30 to 39: founder's call",IF($Q13&gt;250,"over 250: outside the plan","OK"))))))</f>
        <v/>
      </c>
      <c r="AL13" s="25">
        <f>IF(OR($A13="",$Q13=""),"",MIN(config!$B$16,MAX(config!$B$15,MROUND(config!$B$13+config!$B$14*$Q13,config!$B$17))))</f>
        <v/>
      </c>
      <c r="AM13" s="25">
        <f>IF($A13="","",COUNTIFS(stops!$B$2:$B$151,$A13,stops!$P$2:$P$151,"&lt;="&amp;IF(config!$B$37&lt;&gt;"",config!$B$37,TODAY())))</f>
        <v/>
      </c>
      <c r="AN13" s="25">
        <f>IF($A13="","",COUNTIFS(stops!$B$2:$B$151,$A13,stops!$L$2:$L$151,"declined"))</f>
        <v/>
      </c>
    </row>
    <row r="14">
      <c r="C14" s="31" t="n"/>
      <c r="D14" s="31" t="n"/>
      <c r="J14" s="9" t="n"/>
      <c r="L14" s="9" t="n"/>
      <c r="N14" s="25">
        <f>IF($A14="","",IFERROR(IF(INDEX(in_signed_offices!$A$2:$BZ$81,MATCH($A14,INDEX(in_signed_offices!$A$2:$BZ$81,0,MATCH("office_id",in_signed_offices!$A$1:$BZ$1,0)),0),MATCH("company",in_signed_offices!$A$1:$BZ$1,0))="","",INDEX(in_signed_offices!$A$2:$BZ$81,MATCH($A14,INDEX(in_signed_offices!$A$2:$BZ$81,0,MATCH("office_id",in_signed_offices!$A$1:$BZ$1,0)),0),MATCH("company",in_signed_offices!$A$1:$BZ$1,0))),""))</f>
        <v/>
      </c>
      <c r="O14" s="25">
        <f>IF($A14="","",IFERROR(IF(INDEX(in_signed_offices!$A$2:$BZ$81,MATCH($A14,INDEX(in_signed_offices!$A$2:$BZ$81,0,MATCH("office_id",in_signed_offices!$A$1:$BZ$1,0)),0),MATCH("office_address",in_signed_offices!$A$1:$BZ$1,0))="","",INDEX(in_signed_offices!$A$2:$BZ$81,MATCH($A14,INDEX(in_signed_offices!$A$2:$BZ$81,0,MATCH("office_id",in_signed_offices!$A$1:$BZ$1,0)),0),MATCH("office_address",in_signed_offices!$A$1:$BZ$1,0))),""))</f>
        <v/>
      </c>
      <c r="P14" s="25">
        <f>IF($A14="","",IFERROR(IF(INDEX(in_signed_offices!$A$2:$BZ$81,MATCH($A14,INDEX(in_signed_offices!$A$2:$BZ$81,0,MATCH("office_id",in_signed_offices!$A$1:$BZ$1,0)),0),MATCH("floor_suite",in_signed_offices!$A$1:$BZ$1,0))="","",INDEX(in_signed_offices!$A$2:$BZ$81,MATCH($A14,INDEX(in_signed_offices!$A$2:$BZ$81,0,MATCH("office_id",in_signed_offices!$A$1:$BZ$1,0)),0),MATCH("floor_suite",in_signed_offices!$A$1:$BZ$1,0))),""))</f>
        <v/>
      </c>
      <c r="Q14" s="25">
        <f>IF($A14="","",IFERROR(IF(INDEX(in_signed_offices!$A$2:$BZ$81,MATCH($A14,INDEX(in_signed_offices!$A$2:$BZ$81,0,MATCH("office_id",in_signed_offices!$A$1:$BZ$1,0)),0),MATCH("tuesday_headcount",in_signed_offices!$A$1:$BZ$1,0))="","",INDEX(in_signed_offices!$A$2:$BZ$81,MATCH($A14,INDEX(in_signed_offices!$A$2:$BZ$81,0,MATCH("office_id",in_signed_offices!$A$1:$BZ$1,0)),0),MATCH("tuesday_headcount",in_signed_offices!$A$1:$BZ$1,0))),""))</f>
        <v/>
      </c>
      <c r="R14" s="25">
        <f>IF($A14="","",IFERROR(IF(INDEX(in_signed_offices!$A$2:$BZ$81,MATCH($A14,INDEX(in_signed_offices!$A$2:$BZ$81,0,MATCH("office_id",in_signed_offices!$A$1:$BZ$1,0)),0),MATCH("contact_name",in_signed_offices!$A$1:$BZ$1,0))="","",INDEX(in_signed_offices!$A$2:$BZ$81,MATCH($A14,INDEX(in_signed_offices!$A$2:$BZ$81,0,MATCH("office_id",in_signed_offices!$A$1:$BZ$1,0)),0),MATCH("contact_name",in_signed_offices!$A$1:$BZ$1,0))),""))</f>
        <v/>
      </c>
      <c r="S14" s="25">
        <f>IF($A14="","",IFERROR(IF(INDEX(in_signed_offices!$A$2:$BZ$81,MATCH($A14,INDEX(in_signed_offices!$A$2:$BZ$81,0,MATCH("office_id",in_signed_offices!$A$1:$BZ$1,0)),0),MATCH("contact_phone",in_signed_offices!$A$1:$BZ$1,0))="","",INDEX(in_signed_offices!$A$2:$BZ$81,MATCH($A14,INDEX(in_signed_offices!$A$2:$BZ$81,0,MATCH("office_id",in_signed_offices!$A$1:$BZ$1,0)),0),MATCH("contact_phone",in_signed_offices!$A$1:$BZ$1,0))),""))</f>
        <v/>
      </c>
      <c r="T14" s="25">
        <f>IF($A14="","",IFERROR(IF(INDEX(in_signed_offices!$A$2:$BZ$81,MATCH($A14,INDEX(in_signed_offices!$A$2:$BZ$81,0,MATCH("office_id",in_signed_offices!$A$1:$BZ$1,0)),0),MATCH("contact_email",in_signed_offices!$A$1:$BZ$1,0))="","",INDEX(in_signed_offices!$A$2:$BZ$81,MATCH($A14,INDEX(in_signed_offices!$A$2:$BZ$81,0,MATCH("office_id",in_signed_offices!$A$1:$BZ$1,0)),0),MATCH("contact_email",in_signed_offices!$A$1:$BZ$1,0))),""))</f>
        <v/>
      </c>
      <c r="U14" s="25">
        <f>IF($A14="","",IFERROR(IF(INDEX(in_signed_offices!$A$2:$BZ$81,MATCH($A14,INDEX(in_signed_offices!$A$2:$BZ$81,0,MATCH("office_id",in_signed_offices!$A$1:$BZ$1,0)),0),MATCH("pantry_owner_name",in_signed_offices!$A$1:$BZ$1,0))="","",INDEX(in_signed_offices!$A$2:$BZ$81,MATCH($A14,INDEX(in_signed_offices!$A$2:$BZ$81,0,MATCH("office_id",in_signed_offices!$A$1:$BZ$1,0)),0),MATCH("pantry_owner_name",in_signed_offices!$A$1:$BZ$1,0))),""))</f>
        <v/>
      </c>
      <c r="V14" s="25">
        <f>IF($A14="","",IFERROR(IF(INDEX(in_signed_offices!$A$2:$BZ$81,MATCH($A14,INDEX(in_signed_offices!$A$2:$BZ$81,0,MATCH("office_id",in_signed_offices!$A$1:$BZ$1,0)),0),MATCH("pantry_owner_title",in_signed_offices!$A$1:$BZ$1,0))="","",INDEX(in_signed_offices!$A$2:$BZ$81,MATCH($A14,INDEX(in_signed_offices!$A$2:$BZ$81,0,MATCH("office_id",in_signed_offices!$A$1:$BZ$1,0)),0),MATCH("pantry_owner_title",in_signed_offices!$A$1:$BZ$1,0))),""))</f>
        <v/>
      </c>
      <c r="W14" s="25">
        <f>IF($A14="","",IFERROR(IF(INDEX(in_signed_offices!$A$2:$BZ$81,MATCH($A14,INDEX(in_signed_offices!$A$2:$BZ$81,0,MATCH("office_id",in_signed_offices!$A$1:$BZ$1,0)),0),MATCH("pantry_owner_is_contact",in_signed_offices!$A$1:$BZ$1,0))="","",INDEX(in_signed_offices!$A$2:$BZ$81,MATCH($A14,INDEX(in_signed_offices!$A$2:$BZ$81,0,MATCH("office_id",in_signed_offices!$A$1:$BZ$1,0)),0),MATCH("pantry_owner_is_contact",in_signed_offices!$A$1:$BZ$1,0))),""))</f>
        <v/>
      </c>
      <c r="X14" s="25">
        <f>IF($A14="","",IFERROR(IF(INDEX(in_signed_offices!$A$2:$BZ$81,MATCH($A14,INDEX(in_signed_offices!$A$2:$BZ$81,0,MATCH("office_id",in_signed_offices!$A$1:$BZ$1,0)),0),MATCH("receiving_type",in_signed_offices!$A$1:$BZ$1,0))="","",INDEX(in_signed_offices!$A$2:$BZ$81,MATCH($A14,INDEX(in_signed_offices!$A$2:$BZ$81,0,MATCH("office_id",in_signed_offices!$A$1:$BZ$1,0)),0),MATCH("receiving_type",in_signed_offices!$A$1:$BZ$1,0))),""))</f>
        <v/>
      </c>
      <c r="Y14" s="25">
        <f>IF($A14="","",IFERROR(IF(INDEX(in_signed_offices!$A$2:$BZ$81,MATCH($A14,INDEX(in_signed_offices!$A$2:$BZ$81,0,MATCH("office_id",in_signed_offices!$A$1:$BZ$1,0)),0),MATCH("receiving_window",in_signed_offices!$A$1:$BZ$1,0))="","",INDEX(in_signed_offices!$A$2:$BZ$81,MATCH($A14,INDEX(in_signed_offices!$A$2:$BZ$81,0,MATCH("office_id",in_signed_offices!$A$1:$BZ$1,0)),0),MATCH("receiving_window",in_signed_offices!$A$1:$BZ$1,0))),""))</f>
        <v/>
      </c>
      <c r="Z14" s="25">
        <f>IF($A14="","",IFERROR(IF(INDEX(in_signed_offices!$A$2:$BZ$81,MATCH($A14,INDEX(in_signed_offices!$A$2:$BZ$81,0,MATCH("office_id",in_signed_offices!$A$1:$BZ$1,0)),0),MATCH("coi_required",in_signed_offices!$A$1:$BZ$1,0))="","",INDEX(in_signed_offices!$A$2:$BZ$81,MATCH($A14,INDEX(in_signed_offices!$A$2:$BZ$81,0,MATCH("office_id",in_signed_offices!$A$1:$BZ$1,0)),0),MATCH("coi_required",in_signed_offices!$A$1:$BZ$1,0))),""))</f>
        <v/>
      </c>
      <c r="AA14" s="25">
        <f>IF($A14="","",IFERROR(IF(INDEX(in_signed_offices!$A$2:$BZ$81,MATCH($A14,INDEX(in_signed_offices!$A$2:$BZ$81,0,MATCH("office_id",in_signed_offices!$A$1:$BZ$1,0)),0),MATCH("survey_channel",in_signed_offices!$A$1:$BZ$1,0))="","",INDEX(in_signed_offices!$A$2:$BZ$81,MATCH($A14,INDEX(in_signed_offices!$A$2:$BZ$81,0,MATCH("office_id",in_signed_offices!$A$1:$BZ$1,0)),0),MATCH("survey_channel",in_signed_offices!$A$1:$BZ$1,0))),""))</f>
        <v/>
      </c>
      <c r="AB14" s="25">
        <f>IF($A14="","",IFERROR(IF(INDEX(in_signed_offices!$A$2:$BZ$81,MATCH($A14,INDEX(in_signed_offices!$A$2:$BZ$81,0,MATCH("office_id",in_signed_offices!$A$1:$BZ$1,0)),0),MATCH("categories_wanted",in_signed_offices!$A$1:$BZ$1,0))="","",INDEX(in_signed_offices!$A$2:$BZ$81,MATCH($A14,INDEX(in_signed_offices!$A$2:$BZ$81,0,MATCH("office_id",in_signed_offices!$A$1:$BZ$1,0)),0),MATCH("categories_wanted",in_signed_offices!$A$1:$BZ$1,0))),""))</f>
        <v/>
      </c>
      <c r="AC14" s="25">
        <f>IF($A14="","",IFERROR(IF(INDEX(in_signed_offices!$A$2:$BZ$81,MATCH($A14,INDEX(in_signed_offices!$A$2:$BZ$81,0,MATCH("office_id",in_signed_offices!$A$1:$BZ$1,0)),0),MATCH("vetoes",in_signed_offices!$A$1:$BZ$1,0))="","",INDEX(in_signed_offices!$A$2:$BZ$81,MATCH($A14,INDEX(in_signed_offices!$A$2:$BZ$81,0,MATCH("office_id",in_signed_offices!$A$1:$BZ$1,0)),0),MATCH("vetoes",in_signed_offices!$A$1:$BZ$1,0))),""))</f>
        <v/>
      </c>
      <c r="AD14" s="26">
        <f>IF($A14="","",IFERROR(IF(INDEX(in_signed_offices!$A$2:$BZ$81,MATCH($A14,INDEX(in_signed_offices!$A$2:$BZ$81,0,MATCH("office_id",in_signed_offices!$A$1:$BZ$1,0)),0),MATCH("agreement_signed_date",in_signed_offices!$A$1:$BZ$1,0))="","",INDEX(in_signed_offices!$A$2:$BZ$81,MATCH($A14,INDEX(in_signed_offices!$A$2:$BZ$81,0,MATCH("office_id",in_signed_offices!$A$1:$BZ$1,0)),0),MATCH("agreement_signed_date",in_signed_offices!$A$1:$BZ$1,0))),""))</f>
        <v/>
      </c>
      <c r="AE14" s="25">
        <f>IF($A14="","",IFERROR(IF(INDEX(in_signed_offices!$A$2:$BZ$81,MATCH($A14,INDEX(in_signed_offices!$A$2:$BZ$81,0,MATCH("office_id",in_signed_offices!$A$1:$BZ$1,0)),0),MATCH("founding_roster_named",in_signed_offices!$A$1:$BZ$1,0))="","",INDEX(in_signed_offices!$A$2:$BZ$81,MATCH($A14,INDEX(in_signed_offices!$A$2:$BZ$81,0,MATCH("office_id",in_signed_offices!$A$1:$BZ$1,0)),0),MATCH("founding_roster_named",in_signed_offices!$A$1:$BZ$1,0))),""))</f>
        <v/>
      </c>
      <c r="AF14" s="25">
        <f>IF($A14="","",IFERROR(IF(INDEX(in_signed_offices!$A$2:$BZ$81,MATCH($A14,INDEX(in_signed_offices!$A$2:$BZ$81,0,MATCH("office_id",in_signed_offices!$A$1:$BZ$1,0)),0),MATCH("public_naming_ok",in_signed_offices!$A$1:$BZ$1,0))="","",INDEX(in_signed_offices!$A$2:$BZ$81,MATCH($A14,INDEX(in_signed_offices!$A$2:$BZ$81,0,MATCH("office_id",in_signed_offices!$A$1:$BZ$1,0)),0),MATCH("public_naming_ok",in_signed_offices!$A$1:$BZ$1,0))),""))</f>
        <v/>
      </c>
      <c r="AG14" s="25">
        <f>IF($A14="","",IFERROR(IF(INDEX(in_signed_offices!$A$2:$BZ$81,MATCH($A14,INDEX(in_signed_offices!$A$2:$BZ$81,0,MATCH("office_id",in_signed_offices!$A$1:$BZ$1,0)),0),MATCH("clay_row_id",in_signed_offices!$A$1:$BZ$1,0))="","",INDEX(in_signed_offices!$A$2:$BZ$81,MATCH($A14,INDEX(in_signed_offices!$A$2:$BZ$81,0,MATCH("office_id",in_signed_offices!$A$1:$BZ$1,0)),0),MATCH("clay_row_id",in_signed_offices!$A$1:$BZ$1,0))),""))</f>
        <v/>
      </c>
      <c r="AH14" s="25">
        <f>IF($A14="","",IF($E14&lt;&gt;"",$E14,IFERROR(IF(INDEX(in_signed_offices!$A$2:$BZ$81,MATCH($A14,INDEX(in_signed_offices!$A$2:$BZ$81,0,MATCH("office_id",in_signed_offices!$A$1:$BZ$1,0)),0),MATCH("industry",in_signed_offices!$A$1:$BZ$1,0))="","",INDEX(in_signed_offices!$A$2:$BZ$81,MATCH($A14,INDEX(in_signed_offices!$A$2:$BZ$81,0,MATCH("office_id",in_signed_offices!$A$1:$BZ$1,0)),0),MATCH("industry",in_signed_offices!$A$1:$BZ$1,0))),"")))</f>
        <v/>
      </c>
      <c r="AI14" s="25">
        <f>IF($A14="","",IF($F14&lt;&gt;"",$F14,IF(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lt;&gt;"",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IF($W14="Y",$S14,""))))</f>
        <v/>
      </c>
      <c r="AJ14" s="25">
        <f>IF($A14="","",IF($Q14="","unknown",IF($Q14&lt;40,"under-40",IF($Q14&lt;=75,"40-75",IF($Q14&lt;=150,"76-150",IF($Q14&lt;=250,"151-250",IF($Q14&lt;=500,"251-500","over-500")))))))</f>
        <v/>
      </c>
      <c r="AK14" s="25">
        <f>IF($A14="","",IF($N14="","not on in_signed_offices: paste the outreach file",IF($Q14="","no Tuesday headcount",IF($Q14&lt;30,"below the hard floor of 30",IF($Q14&lt;40,"30 to 39: founder's call",IF($Q14&gt;250,"over 250: outside the plan","OK"))))))</f>
        <v/>
      </c>
      <c r="AL14" s="25">
        <f>IF(OR($A14="",$Q14=""),"",MIN(config!$B$16,MAX(config!$B$15,MROUND(config!$B$13+config!$B$14*$Q14,config!$B$17))))</f>
        <v/>
      </c>
      <c r="AM14" s="25">
        <f>IF($A14="","",COUNTIFS(stops!$B$2:$B$151,$A14,stops!$P$2:$P$151,"&lt;="&amp;IF(config!$B$37&lt;&gt;"",config!$B$37,TODAY())))</f>
        <v/>
      </c>
      <c r="AN14" s="25">
        <f>IF($A14="","",COUNTIFS(stops!$B$2:$B$151,$A14,stops!$L$2:$L$151,"declined"))</f>
        <v/>
      </c>
    </row>
    <row r="15">
      <c r="C15" s="31" t="n"/>
      <c r="D15" s="31" t="n"/>
      <c r="J15" s="9" t="n"/>
      <c r="L15" s="9" t="n"/>
      <c r="N15" s="25">
        <f>IF($A15="","",IFERROR(IF(INDEX(in_signed_offices!$A$2:$BZ$81,MATCH($A15,INDEX(in_signed_offices!$A$2:$BZ$81,0,MATCH("office_id",in_signed_offices!$A$1:$BZ$1,0)),0),MATCH("company",in_signed_offices!$A$1:$BZ$1,0))="","",INDEX(in_signed_offices!$A$2:$BZ$81,MATCH($A15,INDEX(in_signed_offices!$A$2:$BZ$81,0,MATCH("office_id",in_signed_offices!$A$1:$BZ$1,0)),0),MATCH("company",in_signed_offices!$A$1:$BZ$1,0))),""))</f>
        <v/>
      </c>
      <c r="O15" s="25">
        <f>IF($A15="","",IFERROR(IF(INDEX(in_signed_offices!$A$2:$BZ$81,MATCH($A15,INDEX(in_signed_offices!$A$2:$BZ$81,0,MATCH("office_id",in_signed_offices!$A$1:$BZ$1,0)),0),MATCH("office_address",in_signed_offices!$A$1:$BZ$1,0))="","",INDEX(in_signed_offices!$A$2:$BZ$81,MATCH($A15,INDEX(in_signed_offices!$A$2:$BZ$81,0,MATCH("office_id",in_signed_offices!$A$1:$BZ$1,0)),0),MATCH("office_address",in_signed_offices!$A$1:$BZ$1,0))),""))</f>
        <v/>
      </c>
      <c r="P15" s="25">
        <f>IF($A15="","",IFERROR(IF(INDEX(in_signed_offices!$A$2:$BZ$81,MATCH($A15,INDEX(in_signed_offices!$A$2:$BZ$81,0,MATCH("office_id",in_signed_offices!$A$1:$BZ$1,0)),0),MATCH("floor_suite",in_signed_offices!$A$1:$BZ$1,0))="","",INDEX(in_signed_offices!$A$2:$BZ$81,MATCH($A15,INDEX(in_signed_offices!$A$2:$BZ$81,0,MATCH("office_id",in_signed_offices!$A$1:$BZ$1,0)),0),MATCH("floor_suite",in_signed_offices!$A$1:$BZ$1,0))),""))</f>
        <v/>
      </c>
      <c r="Q15" s="25">
        <f>IF($A15="","",IFERROR(IF(INDEX(in_signed_offices!$A$2:$BZ$81,MATCH($A15,INDEX(in_signed_offices!$A$2:$BZ$81,0,MATCH("office_id",in_signed_offices!$A$1:$BZ$1,0)),0),MATCH("tuesday_headcount",in_signed_offices!$A$1:$BZ$1,0))="","",INDEX(in_signed_offices!$A$2:$BZ$81,MATCH($A15,INDEX(in_signed_offices!$A$2:$BZ$81,0,MATCH("office_id",in_signed_offices!$A$1:$BZ$1,0)),0),MATCH("tuesday_headcount",in_signed_offices!$A$1:$BZ$1,0))),""))</f>
        <v/>
      </c>
      <c r="R15" s="25">
        <f>IF($A15="","",IFERROR(IF(INDEX(in_signed_offices!$A$2:$BZ$81,MATCH($A15,INDEX(in_signed_offices!$A$2:$BZ$81,0,MATCH("office_id",in_signed_offices!$A$1:$BZ$1,0)),0),MATCH("contact_name",in_signed_offices!$A$1:$BZ$1,0))="","",INDEX(in_signed_offices!$A$2:$BZ$81,MATCH($A15,INDEX(in_signed_offices!$A$2:$BZ$81,0,MATCH("office_id",in_signed_offices!$A$1:$BZ$1,0)),0),MATCH("contact_name",in_signed_offices!$A$1:$BZ$1,0))),""))</f>
        <v/>
      </c>
      <c r="S15" s="25">
        <f>IF($A15="","",IFERROR(IF(INDEX(in_signed_offices!$A$2:$BZ$81,MATCH($A15,INDEX(in_signed_offices!$A$2:$BZ$81,0,MATCH("office_id",in_signed_offices!$A$1:$BZ$1,0)),0),MATCH("contact_phone",in_signed_offices!$A$1:$BZ$1,0))="","",INDEX(in_signed_offices!$A$2:$BZ$81,MATCH($A15,INDEX(in_signed_offices!$A$2:$BZ$81,0,MATCH("office_id",in_signed_offices!$A$1:$BZ$1,0)),0),MATCH("contact_phone",in_signed_offices!$A$1:$BZ$1,0))),""))</f>
        <v/>
      </c>
      <c r="T15" s="25">
        <f>IF($A15="","",IFERROR(IF(INDEX(in_signed_offices!$A$2:$BZ$81,MATCH($A15,INDEX(in_signed_offices!$A$2:$BZ$81,0,MATCH("office_id",in_signed_offices!$A$1:$BZ$1,0)),0),MATCH("contact_email",in_signed_offices!$A$1:$BZ$1,0))="","",INDEX(in_signed_offices!$A$2:$BZ$81,MATCH($A15,INDEX(in_signed_offices!$A$2:$BZ$81,0,MATCH("office_id",in_signed_offices!$A$1:$BZ$1,0)),0),MATCH("contact_email",in_signed_offices!$A$1:$BZ$1,0))),""))</f>
        <v/>
      </c>
      <c r="U15" s="25">
        <f>IF($A15="","",IFERROR(IF(INDEX(in_signed_offices!$A$2:$BZ$81,MATCH($A15,INDEX(in_signed_offices!$A$2:$BZ$81,0,MATCH("office_id",in_signed_offices!$A$1:$BZ$1,0)),0),MATCH("pantry_owner_name",in_signed_offices!$A$1:$BZ$1,0))="","",INDEX(in_signed_offices!$A$2:$BZ$81,MATCH($A15,INDEX(in_signed_offices!$A$2:$BZ$81,0,MATCH("office_id",in_signed_offices!$A$1:$BZ$1,0)),0),MATCH("pantry_owner_name",in_signed_offices!$A$1:$BZ$1,0))),""))</f>
        <v/>
      </c>
      <c r="V15" s="25">
        <f>IF($A15="","",IFERROR(IF(INDEX(in_signed_offices!$A$2:$BZ$81,MATCH($A15,INDEX(in_signed_offices!$A$2:$BZ$81,0,MATCH("office_id",in_signed_offices!$A$1:$BZ$1,0)),0),MATCH("pantry_owner_title",in_signed_offices!$A$1:$BZ$1,0))="","",INDEX(in_signed_offices!$A$2:$BZ$81,MATCH($A15,INDEX(in_signed_offices!$A$2:$BZ$81,0,MATCH("office_id",in_signed_offices!$A$1:$BZ$1,0)),0),MATCH("pantry_owner_title",in_signed_offices!$A$1:$BZ$1,0))),""))</f>
        <v/>
      </c>
      <c r="W15" s="25">
        <f>IF($A15="","",IFERROR(IF(INDEX(in_signed_offices!$A$2:$BZ$81,MATCH($A15,INDEX(in_signed_offices!$A$2:$BZ$81,0,MATCH("office_id",in_signed_offices!$A$1:$BZ$1,0)),0),MATCH("pantry_owner_is_contact",in_signed_offices!$A$1:$BZ$1,0))="","",INDEX(in_signed_offices!$A$2:$BZ$81,MATCH($A15,INDEX(in_signed_offices!$A$2:$BZ$81,0,MATCH("office_id",in_signed_offices!$A$1:$BZ$1,0)),0),MATCH("pantry_owner_is_contact",in_signed_offices!$A$1:$BZ$1,0))),""))</f>
        <v/>
      </c>
      <c r="X15" s="25">
        <f>IF($A15="","",IFERROR(IF(INDEX(in_signed_offices!$A$2:$BZ$81,MATCH($A15,INDEX(in_signed_offices!$A$2:$BZ$81,0,MATCH("office_id",in_signed_offices!$A$1:$BZ$1,0)),0),MATCH("receiving_type",in_signed_offices!$A$1:$BZ$1,0))="","",INDEX(in_signed_offices!$A$2:$BZ$81,MATCH($A15,INDEX(in_signed_offices!$A$2:$BZ$81,0,MATCH("office_id",in_signed_offices!$A$1:$BZ$1,0)),0),MATCH("receiving_type",in_signed_offices!$A$1:$BZ$1,0))),""))</f>
        <v/>
      </c>
      <c r="Y15" s="25">
        <f>IF($A15="","",IFERROR(IF(INDEX(in_signed_offices!$A$2:$BZ$81,MATCH($A15,INDEX(in_signed_offices!$A$2:$BZ$81,0,MATCH("office_id",in_signed_offices!$A$1:$BZ$1,0)),0),MATCH("receiving_window",in_signed_offices!$A$1:$BZ$1,0))="","",INDEX(in_signed_offices!$A$2:$BZ$81,MATCH($A15,INDEX(in_signed_offices!$A$2:$BZ$81,0,MATCH("office_id",in_signed_offices!$A$1:$BZ$1,0)),0),MATCH("receiving_window",in_signed_offices!$A$1:$BZ$1,0))),""))</f>
        <v/>
      </c>
      <c r="Z15" s="25">
        <f>IF($A15="","",IFERROR(IF(INDEX(in_signed_offices!$A$2:$BZ$81,MATCH($A15,INDEX(in_signed_offices!$A$2:$BZ$81,0,MATCH("office_id",in_signed_offices!$A$1:$BZ$1,0)),0),MATCH("coi_required",in_signed_offices!$A$1:$BZ$1,0))="","",INDEX(in_signed_offices!$A$2:$BZ$81,MATCH($A15,INDEX(in_signed_offices!$A$2:$BZ$81,0,MATCH("office_id",in_signed_offices!$A$1:$BZ$1,0)),0),MATCH("coi_required",in_signed_offices!$A$1:$BZ$1,0))),""))</f>
        <v/>
      </c>
      <c r="AA15" s="25">
        <f>IF($A15="","",IFERROR(IF(INDEX(in_signed_offices!$A$2:$BZ$81,MATCH($A15,INDEX(in_signed_offices!$A$2:$BZ$81,0,MATCH("office_id",in_signed_offices!$A$1:$BZ$1,0)),0),MATCH("survey_channel",in_signed_offices!$A$1:$BZ$1,0))="","",INDEX(in_signed_offices!$A$2:$BZ$81,MATCH($A15,INDEX(in_signed_offices!$A$2:$BZ$81,0,MATCH("office_id",in_signed_offices!$A$1:$BZ$1,0)),0),MATCH("survey_channel",in_signed_offices!$A$1:$BZ$1,0))),""))</f>
        <v/>
      </c>
      <c r="AB15" s="25">
        <f>IF($A15="","",IFERROR(IF(INDEX(in_signed_offices!$A$2:$BZ$81,MATCH($A15,INDEX(in_signed_offices!$A$2:$BZ$81,0,MATCH("office_id",in_signed_offices!$A$1:$BZ$1,0)),0),MATCH("categories_wanted",in_signed_offices!$A$1:$BZ$1,0))="","",INDEX(in_signed_offices!$A$2:$BZ$81,MATCH($A15,INDEX(in_signed_offices!$A$2:$BZ$81,0,MATCH("office_id",in_signed_offices!$A$1:$BZ$1,0)),0),MATCH("categories_wanted",in_signed_offices!$A$1:$BZ$1,0))),""))</f>
        <v/>
      </c>
      <c r="AC15" s="25">
        <f>IF($A15="","",IFERROR(IF(INDEX(in_signed_offices!$A$2:$BZ$81,MATCH($A15,INDEX(in_signed_offices!$A$2:$BZ$81,0,MATCH("office_id",in_signed_offices!$A$1:$BZ$1,0)),0),MATCH("vetoes",in_signed_offices!$A$1:$BZ$1,0))="","",INDEX(in_signed_offices!$A$2:$BZ$81,MATCH($A15,INDEX(in_signed_offices!$A$2:$BZ$81,0,MATCH("office_id",in_signed_offices!$A$1:$BZ$1,0)),0),MATCH("vetoes",in_signed_offices!$A$1:$BZ$1,0))),""))</f>
        <v/>
      </c>
      <c r="AD15" s="26">
        <f>IF($A15="","",IFERROR(IF(INDEX(in_signed_offices!$A$2:$BZ$81,MATCH($A15,INDEX(in_signed_offices!$A$2:$BZ$81,0,MATCH("office_id",in_signed_offices!$A$1:$BZ$1,0)),0),MATCH("agreement_signed_date",in_signed_offices!$A$1:$BZ$1,0))="","",INDEX(in_signed_offices!$A$2:$BZ$81,MATCH($A15,INDEX(in_signed_offices!$A$2:$BZ$81,0,MATCH("office_id",in_signed_offices!$A$1:$BZ$1,0)),0),MATCH("agreement_signed_date",in_signed_offices!$A$1:$BZ$1,0))),""))</f>
        <v/>
      </c>
      <c r="AE15" s="25">
        <f>IF($A15="","",IFERROR(IF(INDEX(in_signed_offices!$A$2:$BZ$81,MATCH($A15,INDEX(in_signed_offices!$A$2:$BZ$81,0,MATCH("office_id",in_signed_offices!$A$1:$BZ$1,0)),0),MATCH("founding_roster_named",in_signed_offices!$A$1:$BZ$1,0))="","",INDEX(in_signed_offices!$A$2:$BZ$81,MATCH($A15,INDEX(in_signed_offices!$A$2:$BZ$81,0,MATCH("office_id",in_signed_offices!$A$1:$BZ$1,0)),0),MATCH("founding_roster_named",in_signed_offices!$A$1:$BZ$1,0))),""))</f>
        <v/>
      </c>
      <c r="AF15" s="25">
        <f>IF($A15="","",IFERROR(IF(INDEX(in_signed_offices!$A$2:$BZ$81,MATCH($A15,INDEX(in_signed_offices!$A$2:$BZ$81,0,MATCH("office_id",in_signed_offices!$A$1:$BZ$1,0)),0),MATCH("public_naming_ok",in_signed_offices!$A$1:$BZ$1,0))="","",INDEX(in_signed_offices!$A$2:$BZ$81,MATCH($A15,INDEX(in_signed_offices!$A$2:$BZ$81,0,MATCH("office_id",in_signed_offices!$A$1:$BZ$1,0)),0),MATCH("public_naming_ok",in_signed_offices!$A$1:$BZ$1,0))),""))</f>
        <v/>
      </c>
      <c r="AG15" s="25">
        <f>IF($A15="","",IFERROR(IF(INDEX(in_signed_offices!$A$2:$BZ$81,MATCH($A15,INDEX(in_signed_offices!$A$2:$BZ$81,0,MATCH("office_id",in_signed_offices!$A$1:$BZ$1,0)),0),MATCH("clay_row_id",in_signed_offices!$A$1:$BZ$1,0))="","",INDEX(in_signed_offices!$A$2:$BZ$81,MATCH($A15,INDEX(in_signed_offices!$A$2:$BZ$81,0,MATCH("office_id",in_signed_offices!$A$1:$BZ$1,0)),0),MATCH("clay_row_id",in_signed_offices!$A$1:$BZ$1,0))),""))</f>
        <v/>
      </c>
      <c r="AH15" s="25">
        <f>IF($A15="","",IF($E15&lt;&gt;"",$E15,IFERROR(IF(INDEX(in_signed_offices!$A$2:$BZ$81,MATCH($A15,INDEX(in_signed_offices!$A$2:$BZ$81,0,MATCH("office_id",in_signed_offices!$A$1:$BZ$1,0)),0),MATCH("industry",in_signed_offices!$A$1:$BZ$1,0))="","",INDEX(in_signed_offices!$A$2:$BZ$81,MATCH($A15,INDEX(in_signed_offices!$A$2:$BZ$81,0,MATCH("office_id",in_signed_offices!$A$1:$BZ$1,0)),0),MATCH("industry",in_signed_offices!$A$1:$BZ$1,0))),"")))</f>
        <v/>
      </c>
      <c r="AI15" s="25">
        <f>IF($A15="","",IF($F15&lt;&gt;"",$F15,IF(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lt;&gt;"",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IF($W15="Y",$S15,""))))</f>
        <v/>
      </c>
      <c r="AJ15" s="25">
        <f>IF($A15="","",IF($Q15="","unknown",IF($Q15&lt;40,"under-40",IF($Q15&lt;=75,"40-75",IF($Q15&lt;=150,"76-150",IF($Q15&lt;=250,"151-250",IF($Q15&lt;=500,"251-500","over-500")))))))</f>
        <v/>
      </c>
      <c r="AK15" s="25">
        <f>IF($A15="","",IF($N15="","not on in_signed_offices: paste the outreach file",IF($Q15="","no Tuesday headcount",IF($Q15&lt;30,"below the hard floor of 30",IF($Q15&lt;40,"30 to 39: founder's call",IF($Q15&gt;250,"over 250: outside the plan","OK"))))))</f>
        <v/>
      </c>
      <c r="AL15" s="25">
        <f>IF(OR($A15="",$Q15=""),"",MIN(config!$B$16,MAX(config!$B$15,MROUND(config!$B$13+config!$B$14*$Q15,config!$B$17))))</f>
        <v/>
      </c>
      <c r="AM15" s="25">
        <f>IF($A15="","",COUNTIFS(stops!$B$2:$B$151,$A15,stops!$P$2:$P$151,"&lt;="&amp;IF(config!$B$37&lt;&gt;"",config!$B$37,TODAY())))</f>
        <v/>
      </c>
      <c r="AN15" s="25">
        <f>IF($A15="","",COUNTIFS(stops!$B$2:$B$151,$A15,stops!$L$2:$L$151,"declined"))</f>
        <v/>
      </c>
    </row>
    <row r="16">
      <c r="C16" s="31" t="n"/>
      <c r="D16" s="31" t="n"/>
      <c r="J16" s="9" t="n"/>
      <c r="L16" s="9" t="n"/>
      <c r="N16" s="25">
        <f>IF($A16="","",IFERROR(IF(INDEX(in_signed_offices!$A$2:$BZ$81,MATCH($A16,INDEX(in_signed_offices!$A$2:$BZ$81,0,MATCH("office_id",in_signed_offices!$A$1:$BZ$1,0)),0),MATCH("company",in_signed_offices!$A$1:$BZ$1,0))="","",INDEX(in_signed_offices!$A$2:$BZ$81,MATCH($A16,INDEX(in_signed_offices!$A$2:$BZ$81,0,MATCH("office_id",in_signed_offices!$A$1:$BZ$1,0)),0),MATCH("company",in_signed_offices!$A$1:$BZ$1,0))),""))</f>
        <v/>
      </c>
      <c r="O16" s="25">
        <f>IF($A16="","",IFERROR(IF(INDEX(in_signed_offices!$A$2:$BZ$81,MATCH($A16,INDEX(in_signed_offices!$A$2:$BZ$81,0,MATCH("office_id",in_signed_offices!$A$1:$BZ$1,0)),0),MATCH("office_address",in_signed_offices!$A$1:$BZ$1,0))="","",INDEX(in_signed_offices!$A$2:$BZ$81,MATCH($A16,INDEX(in_signed_offices!$A$2:$BZ$81,0,MATCH("office_id",in_signed_offices!$A$1:$BZ$1,0)),0),MATCH("office_address",in_signed_offices!$A$1:$BZ$1,0))),""))</f>
        <v/>
      </c>
      <c r="P16" s="25">
        <f>IF($A16="","",IFERROR(IF(INDEX(in_signed_offices!$A$2:$BZ$81,MATCH($A16,INDEX(in_signed_offices!$A$2:$BZ$81,0,MATCH("office_id",in_signed_offices!$A$1:$BZ$1,0)),0),MATCH("floor_suite",in_signed_offices!$A$1:$BZ$1,0))="","",INDEX(in_signed_offices!$A$2:$BZ$81,MATCH($A16,INDEX(in_signed_offices!$A$2:$BZ$81,0,MATCH("office_id",in_signed_offices!$A$1:$BZ$1,0)),0),MATCH("floor_suite",in_signed_offices!$A$1:$BZ$1,0))),""))</f>
        <v/>
      </c>
      <c r="Q16" s="25">
        <f>IF($A16="","",IFERROR(IF(INDEX(in_signed_offices!$A$2:$BZ$81,MATCH($A16,INDEX(in_signed_offices!$A$2:$BZ$81,0,MATCH("office_id",in_signed_offices!$A$1:$BZ$1,0)),0),MATCH("tuesday_headcount",in_signed_offices!$A$1:$BZ$1,0))="","",INDEX(in_signed_offices!$A$2:$BZ$81,MATCH($A16,INDEX(in_signed_offices!$A$2:$BZ$81,0,MATCH("office_id",in_signed_offices!$A$1:$BZ$1,0)),0),MATCH("tuesday_headcount",in_signed_offices!$A$1:$BZ$1,0))),""))</f>
        <v/>
      </c>
      <c r="R16" s="25">
        <f>IF($A16="","",IFERROR(IF(INDEX(in_signed_offices!$A$2:$BZ$81,MATCH($A16,INDEX(in_signed_offices!$A$2:$BZ$81,0,MATCH("office_id",in_signed_offices!$A$1:$BZ$1,0)),0),MATCH("contact_name",in_signed_offices!$A$1:$BZ$1,0))="","",INDEX(in_signed_offices!$A$2:$BZ$81,MATCH($A16,INDEX(in_signed_offices!$A$2:$BZ$81,0,MATCH("office_id",in_signed_offices!$A$1:$BZ$1,0)),0),MATCH("contact_name",in_signed_offices!$A$1:$BZ$1,0))),""))</f>
        <v/>
      </c>
      <c r="S16" s="25">
        <f>IF($A16="","",IFERROR(IF(INDEX(in_signed_offices!$A$2:$BZ$81,MATCH($A16,INDEX(in_signed_offices!$A$2:$BZ$81,0,MATCH("office_id",in_signed_offices!$A$1:$BZ$1,0)),0),MATCH("contact_phone",in_signed_offices!$A$1:$BZ$1,0))="","",INDEX(in_signed_offices!$A$2:$BZ$81,MATCH($A16,INDEX(in_signed_offices!$A$2:$BZ$81,0,MATCH("office_id",in_signed_offices!$A$1:$BZ$1,0)),0),MATCH("contact_phone",in_signed_offices!$A$1:$BZ$1,0))),""))</f>
        <v/>
      </c>
      <c r="T16" s="25">
        <f>IF($A16="","",IFERROR(IF(INDEX(in_signed_offices!$A$2:$BZ$81,MATCH($A16,INDEX(in_signed_offices!$A$2:$BZ$81,0,MATCH("office_id",in_signed_offices!$A$1:$BZ$1,0)),0),MATCH("contact_email",in_signed_offices!$A$1:$BZ$1,0))="","",INDEX(in_signed_offices!$A$2:$BZ$81,MATCH($A16,INDEX(in_signed_offices!$A$2:$BZ$81,0,MATCH("office_id",in_signed_offices!$A$1:$BZ$1,0)),0),MATCH("contact_email",in_signed_offices!$A$1:$BZ$1,0))),""))</f>
        <v/>
      </c>
      <c r="U16" s="25">
        <f>IF($A16="","",IFERROR(IF(INDEX(in_signed_offices!$A$2:$BZ$81,MATCH($A16,INDEX(in_signed_offices!$A$2:$BZ$81,0,MATCH("office_id",in_signed_offices!$A$1:$BZ$1,0)),0),MATCH("pantry_owner_name",in_signed_offices!$A$1:$BZ$1,0))="","",INDEX(in_signed_offices!$A$2:$BZ$81,MATCH($A16,INDEX(in_signed_offices!$A$2:$BZ$81,0,MATCH("office_id",in_signed_offices!$A$1:$BZ$1,0)),0),MATCH("pantry_owner_name",in_signed_offices!$A$1:$BZ$1,0))),""))</f>
        <v/>
      </c>
      <c r="V16" s="25">
        <f>IF($A16="","",IFERROR(IF(INDEX(in_signed_offices!$A$2:$BZ$81,MATCH($A16,INDEX(in_signed_offices!$A$2:$BZ$81,0,MATCH("office_id",in_signed_offices!$A$1:$BZ$1,0)),0),MATCH("pantry_owner_title",in_signed_offices!$A$1:$BZ$1,0))="","",INDEX(in_signed_offices!$A$2:$BZ$81,MATCH($A16,INDEX(in_signed_offices!$A$2:$BZ$81,0,MATCH("office_id",in_signed_offices!$A$1:$BZ$1,0)),0),MATCH("pantry_owner_title",in_signed_offices!$A$1:$BZ$1,0))),""))</f>
        <v/>
      </c>
      <c r="W16" s="25">
        <f>IF($A16="","",IFERROR(IF(INDEX(in_signed_offices!$A$2:$BZ$81,MATCH($A16,INDEX(in_signed_offices!$A$2:$BZ$81,0,MATCH("office_id",in_signed_offices!$A$1:$BZ$1,0)),0),MATCH("pantry_owner_is_contact",in_signed_offices!$A$1:$BZ$1,0))="","",INDEX(in_signed_offices!$A$2:$BZ$81,MATCH($A16,INDEX(in_signed_offices!$A$2:$BZ$81,0,MATCH("office_id",in_signed_offices!$A$1:$BZ$1,0)),0),MATCH("pantry_owner_is_contact",in_signed_offices!$A$1:$BZ$1,0))),""))</f>
        <v/>
      </c>
      <c r="X16" s="25">
        <f>IF($A16="","",IFERROR(IF(INDEX(in_signed_offices!$A$2:$BZ$81,MATCH($A16,INDEX(in_signed_offices!$A$2:$BZ$81,0,MATCH("office_id",in_signed_offices!$A$1:$BZ$1,0)),0),MATCH("receiving_type",in_signed_offices!$A$1:$BZ$1,0))="","",INDEX(in_signed_offices!$A$2:$BZ$81,MATCH($A16,INDEX(in_signed_offices!$A$2:$BZ$81,0,MATCH("office_id",in_signed_offices!$A$1:$BZ$1,0)),0),MATCH("receiving_type",in_signed_offices!$A$1:$BZ$1,0))),""))</f>
        <v/>
      </c>
      <c r="Y16" s="25">
        <f>IF($A16="","",IFERROR(IF(INDEX(in_signed_offices!$A$2:$BZ$81,MATCH($A16,INDEX(in_signed_offices!$A$2:$BZ$81,0,MATCH("office_id",in_signed_offices!$A$1:$BZ$1,0)),0),MATCH("receiving_window",in_signed_offices!$A$1:$BZ$1,0))="","",INDEX(in_signed_offices!$A$2:$BZ$81,MATCH($A16,INDEX(in_signed_offices!$A$2:$BZ$81,0,MATCH("office_id",in_signed_offices!$A$1:$BZ$1,0)),0),MATCH("receiving_window",in_signed_offices!$A$1:$BZ$1,0))),""))</f>
        <v/>
      </c>
      <c r="Z16" s="25">
        <f>IF($A16="","",IFERROR(IF(INDEX(in_signed_offices!$A$2:$BZ$81,MATCH($A16,INDEX(in_signed_offices!$A$2:$BZ$81,0,MATCH("office_id",in_signed_offices!$A$1:$BZ$1,0)),0),MATCH("coi_required",in_signed_offices!$A$1:$BZ$1,0))="","",INDEX(in_signed_offices!$A$2:$BZ$81,MATCH($A16,INDEX(in_signed_offices!$A$2:$BZ$81,0,MATCH("office_id",in_signed_offices!$A$1:$BZ$1,0)),0),MATCH("coi_required",in_signed_offices!$A$1:$BZ$1,0))),""))</f>
        <v/>
      </c>
      <c r="AA16" s="25">
        <f>IF($A16="","",IFERROR(IF(INDEX(in_signed_offices!$A$2:$BZ$81,MATCH($A16,INDEX(in_signed_offices!$A$2:$BZ$81,0,MATCH("office_id",in_signed_offices!$A$1:$BZ$1,0)),0),MATCH("survey_channel",in_signed_offices!$A$1:$BZ$1,0))="","",INDEX(in_signed_offices!$A$2:$BZ$81,MATCH($A16,INDEX(in_signed_offices!$A$2:$BZ$81,0,MATCH("office_id",in_signed_offices!$A$1:$BZ$1,0)),0),MATCH("survey_channel",in_signed_offices!$A$1:$BZ$1,0))),""))</f>
        <v/>
      </c>
      <c r="AB16" s="25">
        <f>IF($A16="","",IFERROR(IF(INDEX(in_signed_offices!$A$2:$BZ$81,MATCH($A16,INDEX(in_signed_offices!$A$2:$BZ$81,0,MATCH("office_id",in_signed_offices!$A$1:$BZ$1,0)),0),MATCH("categories_wanted",in_signed_offices!$A$1:$BZ$1,0))="","",INDEX(in_signed_offices!$A$2:$BZ$81,MATCH($A16,INDEX(in_signed_offices!$A$2:$BZ$81,0,MATCH("office_id",in_signed_offices!$A$1:$BZ$1,0)),0),MATCH("categories_wanted",in_signed_offices!$A$1:$BZ$1,0))),""))</f>
        <v/>
      </c>
      <c r="AC16" s="25">
        <f>IF($A16="","",IFERROR(IF(INDEX(in_signed_offices!$A$2:$BZ$81,MATCH($A16,INDEX(in_signed_offices!$A$2:$BZ$81,0,MATCH("office_id",in_signed_offices!$A$1:$BZ$1,0)),0),MATCH("vetoes",in_signed_offices!$A$1:$BZ$1,0))="","",INDEX(in_signed_offices!$A$2:$BZ$81,MATCH($A16,INDEX(in_signed_offices!$A$2:$BZ$81,0,MATCH("office_id",in_signed_offices!$A$1:$BZ$1,0)),0),MATCH("vetoes",in_signed_offices!$A$1:$BZ$1,0))),""))</f>
        <v/>
      </c>
      <c r="AD16" s="26">
        <f>IF($A16="","",IFERROR(IF(INDEX(in_signed_offices!$A$2:$BZ$81,MATCH($A16,INDEX(in_signed_offices!$A$2:$BZ$81,0,MATCH("office_id",in_signed_offices!$A$1:$BZ$1,0)),0),MATCH("agreement_signed_date",in_signed_offices!$A$1:$BZ$1,0))="","",INDEX(in_signed_offices!$A$2:$BZ$81,MATCH($A16,INDEX(in_signed_offices!$A$2:$BZ$81,0,MATCH("office_id",in_signed_offices!$A$1:$BZ$1,0)),0),MATCH("agreement_signed_date",in_signed_offices!$A$1:$BZ$1,0))),""))</f>
        <v/>
      </c>
      <c r="AE16" s="25">
        <f>IF($A16="","",IFERROR(IF(INDEX(in_signed_offices!$A$2:$BZ$81,MATCH($A16,INDEX(in_signed_offices!$A$2:$BZ$81,0,MATCH("office_id",in_signed_offices!$A$1:$BZ$1,0)),0),MATCH("founding_roster_named",in_signed_offices!$A$1:$BZ$1,0))="","",INDEX(in_signed_offices!$A$2:$BZ$81,MATCH($A16,INDEX(in_signed_offices!$A$2:$BZ$81,0,MATCH("office_id",in_signed_offices!$A$1:$BZ$1,0)),0),MATCH("founding_roster_named",in_signed_offices!$A$1:$BZ$1,0))),""))</f>
        <v/>
      </c>
      <c r="AF16" s="25">
        <f>IF($A16="","",IFERROR(IF(INDEX(in_signed_offices!$A$2:$BZ$81,MATCH($A16,INDEX(in_signed_offices!$A$2:$BZ$81,0,MATCH("office_id",in_signed_offices!$A$1:$BZ$1,0)),0),MATCH("public_naming_ok",in_signed_offices!$A$1:$BZ$1,0))="","",INDEX(in_signed_offices!$A$2:$BZ$81,MATCH($A16,INDEX(in_signed_offices!$A$2:$BZ$81,0,MATCH("office_id",in_signed_offices!$A$1:$BZ$1,0)),0),MATCH("public_naming_ok",in_signed_offices!$A$1:$BZ$1,0))),""))</f>
        <v/>
      </c>
      <c r="AG16" s="25">
        <f>IF($A16="","",IFERROR(IF(INDEX(in_signed_offices!$A$2:$BZ$81,MATCH($A16,INDEX(in_signed_offices!$A$2:$BZ$81,0,MATCH("office_id",in_signed_offices!$A$1:$BZ$1,0)),0),MATCH("clay_row_id",in_signed_offices!$A$1:$BZ$1,0))="","",INDEX(in_signed_offices!$A$2:$BZ$81,MATCH($A16,INDEX(in_signed_offices!$A$2:$BZ$81,0,MATCH("office_id",in_signed_offices!$A$1:$BZ$1,0)),0),MATCH("clay_row_id",in_signed_offices!$A$1:$BZ$1,0))),""))</f>
        <v/>
      </c>
      <c r="AH16" s="25">
        <f>IF($A16="","",IF($E16&lt;&gt;"",$E16,IFERROR(IF(INDEX(in_signed_offices!$A$2:$BZ$81,MATCH($A16,INDEX(in_signed_offices!$A$2:$BZ$81,0,MATCH("office_id",in_signed_offices!$A$1:$BZ$1,0)),0),MATCH("industry",in_signed_offices!$A$1:$BZ$1,0))="","",INDEX(in_signed_offices!$A$2:$BZ$81,MATCH($A16,INDEX(in_signed_offices!$A$2:$BZ$81,0,MATCH("office_id",in_signed_offices!$A$1:$BZ$1,0)),0),MATCH("industry",in_signed_offices!$A$1:$BZ$1,0))),"")))</f>
        <v/>
      </c>
      <c r="AI16" s="25">
        <f>IF($A16="","",IF($F16&lt;&gt;"",$F16,IF(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lt;&gt;"",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IF($W16="Y",$S16,""))))</f>
        <v/>
      </c>
      <c r="AJ16" s="25">
        <f>IF($A16="","",IF($Q16="","unknown",IF($Q16&lt;40,"under-40",IF($Q16&lt;=75,"40-75",IF($Q16&lt;=150,"76-150",IF($Q16&lt;=250,"151-250",IF($Q16&lt;=500,"251-500","over-500")))))))</f>
        <v/>
      </c>
      <c r="AK16" s="25">
        <f>IF($A16="","",IF($N16="","not on in_signed_offices: paste the outreach file",IF($Q16="","no Tuesday headcount",IF($Q16&lt;30,"below the hard floor of 30",IF($Q16&lt;40,"30 to 39: founder's call",IF($Q16&gt;250,"over 250: outside the plan","OK"))))))</f>
        <v/>
      </c>
      <c r="AL16" s="25">
        <f>IF(OR($A16="",$Q16=""),"",MIN(config!$B$16,MAX(config!$B$15,MROUND(config!$B$13+config!$B$14*$Q16,config!$B$17))))</f>
        <v/>
      </c>
      <c r="AM16" s="25">
        <f>IF($A16="","",COUNTIFS(stops!$B$2:$B$151,$A16,stops!$P$2:$P$151,"&lt;="&amp;IF(config!$B$37&lt;&gt;"",config!$B$37,TODAY())))</f>
        <v/>
      </c>
      <c r="AN16" s="25">
        <f>IF($A16="","",COUNTIFS(stops!$B$2:$B$151,$A16,stops!$L$2:$L$151,"declined"))</f>
        <v/>
      </c>
    </row>
    <row r="17">
      <c r="C17" s="31" t="n"/>
      <c r="D17" s="31" t="n"/>
      <c r="J17" s="9" t="n"/>
      <c r="L17" s="9" t="n"/>
      <c r="N17" s="25">
        <f>IF($A17="","",IFERROR(IF(INDEX(in_signed_offices!$A$2:$BZ$81,MATCH($A17,INDEX(in_signed_offices!$A$2:$BZ$81,0,MATCH("office_id",in_signed_offices!$A$1:$BZ$1,0)),0),MATCH("company",in_signed_offices!$A$1:$BZ$1,0))="","",INDEX(in_signed_offices!$A$2:$BZ$81,MATCH($A17,INDEX(in_signed_offices!$A$2:$BZ$81,0,MATCH("office_id",in_signed_offices!$A$1:$BZ$1,0)),0),MATCH("company",in_signed_offices!$A$1:$BZ$1,0))),""))</f>
        <v/>
      </c>
      <c r="O17" s="25">
        <f>IF($A17="","",IFERROR(IF(INDEX(in_signed_offices!$A$2:$BZ$81,MATCH($A17,INDEX(in_signed_offices!$A$2:$BZ$81,0,MATCH("office_id",in_signed_offices!$A$1:$BZ$1,0)),0),MATCH("office_address",in_signed_offices!$A$1:$BZ$1,0))="","",INDEX(in_signed_offices!$A$2:$BZ$81,MATCH($A17,INDEX(in_signed_offices!$A$2:$BZ$81,0,MATCH("office_id",in_signed_offices!$A$1:$BZ$1,0)),0),MATCH("office_address",in_signed_offices!$A$1:$BZ$1,0))),""))</f>
        <v/>
      </c>
      <c r="P17" s="25">
        <f>IF($A17="","",IFERROR(IF(INDEX(in_signed_offices!$A$2:$BZ$81,MATCH($A17,INDEX(in_signed_offices!$A$2:$BZ$81,0,MATCH("office_id",in_signed_offices!$A$1:$BZ$1,0)),0),MATCH("floor_suite",in_signed_offices!$A$1:$BZ$1,0))="","",INDEX(in_signed_offices!$A$2:$BZ$81,MATCH($A17,INDEX(in_signed_offices!$A$2:$BZ$81,0,MATCH("office_id",in_signed_offices!$A$1:$BZ$1,0)),0),MATCH("floor_suite",in_signed_offices!$A$1:$BZ$1,0))),""))</f>
        <v/>
      </c>
      <c r="Q17" s="25">
        <f>IF($A17="","",IFERROR(IF(INDEX(in_signed_offices!$A$2:$BZ$81,MATCH($A17,INDEX(in_signed_offices!$A$2:$BZ$81,0,MATCH("office_id",in_signed_offices!$A$1:$BZ$1,0)),0),MATCH("tuesday_headcount",in_signed_offices!$A$1:$BZ$1,0))="","",INDEX(in_signed_offices!$A$2:$BZ$81,MATCH($A17,INDEX(in_signed_offices!$A$2:$BZ$81,0,MATCH("office_id",in_signed_offices!$A$1:$BZ$1,0)),0),MATCH("tuesday_headcount",in_signed_offices!$A$1:$BZ$1,0))),""))</f>
        <v/>
      </c>
      <c r="R17" s="25">
        <f>IF($A17="","",IFERROR(IF(INDEX(in_signed_offices!$A$2:$BZ$81,MATCH($A17,INDEX(in_signed_offices!$A$2:$BZ$81,0,MATCH("office_id",in_signed_offices!$A$1:$BZ$1,0)),0),MATCH("contact_name",in_signed_offices!$A$1:$BZ$1,0))="","",INDEX(in_signed_offices!$A$2:$BZ$81,MATCH($A17,INDEX(in_signed_offices!$A$2:$BZ$81,0,MATCH("office_id",in_signed_offices!$A$1:$BZ$1,0)),0),MATCH("contact_name",in_signed_offices!$A$1:$BZ$1,0))),""))</f>
        <v/>
      </c>
      <c r="S17" s="25">
        <f>IF($A17="","",IFERROR(IF(INDEX(in_signed_offices!$A$2:$BZ$81,MATCH($A17,INDEX(in_signed_offices!$A$2:$BZ$81,0,MATCH("office_id",in_signed_offices!$A$1:$BZ$1,0)),0),MATCH("contact_phone",in_signed_offices!$A$1:$BZ$1,0))="","",INDEX(in_signed_offices!$A$2:$BZ$81,MATCH($A17,INDEX(in_signed_offices!$A$2:$BZ$81,0,MATCH("office_id",in_signed_offices!$A$1:$BZ$1,0)),0),MATCH("contact_phone",in_signed_offices!$A$1:$BZ$1,0))),""))</f>
        <v/>
      </c>
      <c r="T17" s="25">
        <f>IF($A17="","",IFERROR(IF(INDEX(in_signed_offices!$A$2:$BZ$81,MATCH($A17,INDEX(in_signed_offices!$A$2:$BZ$81,0,MATCH("office_id",in_signed_offices!$A$1:$BZ$1,0)),0),MATCH("contact_email",in_signed_offices!$A$1:$BZ$1,0))="","",INDEX(in_signed_offices!$A$2:$BZ$81,MATCH($A17,INDEX(in_signed_offices!$A$2:$BZ$81,0,MATCH("office_id",in_signed_offices!$A$1:$BZ$1,0)),0),MATCH("contact_email",in_signed_offices!$A$1:$BZ$1,0))),""))</f>
        <v/>
      </c>
      <c r="U17" s="25">
        <f>IF($A17="","",IFERROR(IF(INDEX(in_signed_offices!$A$2:$BZ$81,MATCH($A17,INDEX(in_signed_offices!$A$2:$BZ$81,0,MATCH("office_id",in_signed_offices!$A$1:$BZ$1,0)),0),MATCH("pantry_owner_name",in_signed_offices!$A$1:$BZ$1,0))="","",INDEX(in_signed_offices!$A$2:$BZ$81,MATCH($A17,INDEX(in_signed_offices!$A$2:$BZ$81,0,MATCH("office_id",in_signed_offices!$A$1:$BZ$1,0)),0),MATCH("pantry_owner_name",in_signed_offices!$A$1:$BZ$1,0))),""))</f>
        <v/>
      </c>
      <c r="V17" s="25">
        <f>IF($A17="","",IFERROR(IF(INDEX(in_signed_offices!$A$2:$BZ$81,MATCH($A17,INDEX(in_signed_offices!$A$2:$BZ$81,0,MATCH("office_id",in_signed_offices!$A$1:$BZ$1,0)),0),MATCH("pantry_owner_title",in_signed_offices!$A$1:$BZ$1,0))="","",INDEX(in_signed_offices!$A$2:$BZ$81,MATCH($A17,INDEX(in_signed_offices!$A$2:$BZ$81,0,MATCH("office_id",in_signed_offices!$A$1:$BZ$1,0)),0),MATCH("pantry_owner_title",in_signed_offices!$A$1:$BZ$1,0))),""))</f>
        <v/>
      </c>
      <c r="W17" s="25">
        <f>IF($A17="","",IFERROR(IF(INDEX(in_signed_offices!$A$2:$BZ$81,MATCH($A17,INDEX(in_signed_offices!$A$2:$BZ$81,0,MATCH("office_id",in_signed_offices!$A$1:$BZ$1,0)),0),MATCH("pantry_owner_is_contact",in_signed_offices!$A$1:$BZ$1,0))="","",INDEX(in_signed_offices!$A$2:$BZ$81,MATCH($A17,INDEX(in_signed_offices!$A$2:$BZ$81,0,MATCH("office_id",in_signed_offices!$A$1:$BZ$1,0)),0),MATCH("pantry_owner_is_contact",in_signed_offices!$A$1:$BZ$1,0))),""))</f>
        <v/>
      </c>
      <c r="X17" s="25">
        <f>IF($A17="","",IFERROR(IF(INDEX(in_signed_offices!$A$2:$BZ$81,MATCH($A17,INDEX(in_signed_offices!$A$2:$BZ$81,0,MATCH("office_id",in_signed_offices!$A$1:$BZ$1,0)),0),MATCH("receiving_type",in_signed_offices!$A$1:$BZ$1,0))="","",INDEX(in_signed_offices!$A$2:$BZ$81,MATCH($A17,INDEX(in_signed_offices!$A$2:$BZ$81,0,MATCH("office_id",in_signed_offices!$A$1:$BZ$1,0)),0),MATCH("receiving_type",in_signed_offices!$A$1:$BZ$1,0))),""))</f>
        <v/>
      </c>
      <c r="Y17" s="25">
        <f>IF($A17="","",IFERROR(IF(INDEX(in_signed_offices!$A$2:$BZ$81,MATCH($A17,INDEX(in_signed_offices!$A$2:$BZ$81,0,MATCH("office_id",in_signed_offices!$A$1:$BZ$1,0)),0),MATCH("receiving_window",in_signed_offices!$A$1:$BZ$1,0))="","",INDEX(in_signed_offices!$A$2:$BZ$81,MATCH($A17,INDEX(in_signed_offices!$A$2:$BZ$81,0,MATCH("office_id",in_signed_offices!$A$1:$BZ$1,0)),0),MATCH("receiving_window",in_signed_offices!$A$1:$BZ$1,0))),""))</f>
        <v/>
      </c>
      <c r="Z17" s="25">
        <f>IF($A17="","",IFERROR(IF(INDEX(in_signed_offices!$A$2:$BZ$81,MATCH($A17,INDEX(in_signed_offices!$A$2:$BZ$81,0,MATCH("office_id",in_signed_offices!$A$1:$BZ$1,0)),0),MATCH("coi_required",in_signed_offices!$A$1:$BZ$1,0))="","",INDEX(in_signed_offices!$A$2:$BZ$81,MATCH($A17,INDEX(in_signed_offices!$A$2:$BZ$81,0,MATCH("office_id",in_signed_offices!$A$1:$BZ$1,0)),0),MATCH("coi_required",in_signed_offices!$A$1:$BZ$1,0))),""))</f>
        <v/>
      </c>
      <c r="AA17" s="25">
        <f>IF($A17="","",IFERROR(IF(INDEX(in_signed_offices!$A$2:$BZ$81,MATCH($A17,INDEX(in_signed_offices!$A$2:$BZ$81,0,MATCH("office_id",in_signed_offices!$A$1:$BZ$1,0)),0),MATCH("survey_channel",in_signed_offices!$A$1:$BZ$1,0))="","",INDEX(in_signed_offices!$A$2:$BZ$81,MATCH($A17,INDEX(in_signed_offices!$A$2:$BZ$81,0,MATCH("office_id",in_signed_offices!$A$1:$BZ$1,0)),0),MATCH("survey_channel",in_signed_offices!$A$1:$BZ$1,0))),""))</f>
        <v/>
      </c>
      <c r="AB17" s="25">
        <f>IF($A17="","",IFERROR(IF(INDEX(in_signed_offices!$A$2:$BZ$81,MATCH($A17,INDEX(in_signed_offices!$A$2:$BZ$81,0,MATCH("office_id",in_signed_offices!$A$1:$BZ$1,0)),0),MATCH("categories_wanted",in_signed_offices!$A$1:$BZ$1,0))="","",INDEX(in_signed_offices!$A$2:$BZ$81,MATCH($A17,INDEX(in_signed_offices!$A$2:$BZ$81,0,MATCH("office_id",in_signed_offices!$A$1:$BZ$1,0)),0),MATCH("categories_wanted",in_signed_offices!$A$1:$BZ$1,0))),""))</f>
        <v/>
      </c>
      <c r="AC17" s="25">
        <f>IF($A17="","",IFERROR(IF(INDEX(in_signed_offices!$A$2:$BZ$81,MATCH($A17,INDEX(in_signed_offices!$A$2:$BZ$81,0,MATCH("office_id",in_signed_offices!$A$1:$BZ$1,0)),0),MATCH("vetoes",in_signed_offices!$A$1:$BZ$1,0))="","",INDEX(in_signed_offices!$A$2:$BZ$81,MATCH($A17,INDEX(in_signed_offices!$A$2:$BZ$81,0,MATCH("office_id",in_signed_offices!$A$1:$BZ$1,0)),0),MATCH("vetoes",in_signed_offices!$A$1:$BZ$1,0))),""))</f>
        <v/>
      </c>
      <c r="AD17" s="26">
        <f>IF($A17="","",IFERROR(IF(INDEX(in_signed_offices!$A$2:$BZ$81,MATCH($A17,INDEX(in_signed_offices!$A$2:$BZ$81,0,MATCH("office_id",in_signed_offices!$A$1:$BZ$1,0)),0),MATCH("agreement_signed_date",in_signed_offices!$A$1:$BZ$1,0))="","",INDEX(in_signed_offices!$A$2:$BZ$81,MATCH($A17,INDEX(in_signed_offices!$A$2:$BZ$81,0,MATCH("office_id",in_signed_offices!$A$1:$BZ$1,0)),0),MATCH("agreement_signed_date",in_signed_offices!$A$1:$BZ$1,0))),""))</f>
        <v/>
      </c>
      <c r="AE17" s="25">
        <f>IF($A17="","",IFERROR(IF(INDEX(in_signed_offices!$A$2:$BZ$81,MATCH($A17,INDEX(in_signed_offices!$A$2:$BZ$81,0,MATCH("office_id",in_signed_offices!$A$1:$BZ$1,0)),0),MATCH("founding_roster_named",in_signed_offices!$A$1:$BZ$1,0))="","",INDEX(in_signed_offices!$A$2:$BZ$81,MATCH($A17,INDEX(in_signed_offices!$A$2:$BZ$81,0,MATCH("office_id",in_signed_offices!$A$1:$BZ$1,0)),0),MATCH("founding_roster_named",in_signed_offices!$A$1:$BZ$1,0))),""))</f>
        <v/>
      </c>
      <c r="AF17" s="25">
        <f>IF($A17="","",IFERROR(IF(INDEX(in_signed_offices!$A$2:$BZ$81,MATCH($A17,INDEX(in_signed_offices!$A$2:$BZ$81,0,MATCH("office_id",in_signed_offices!$A$1:$BZ$1,0)),0),MATCH("public_naming_ok",in_signed_offices!$A$1:$BZ$1,0))="","",INDEX(in_signed_offices!$A$2:$BZ$81,MATCH($A17,INDEX(in_signed_offices!$A$2:$BZ$81,0,MATCH("office_id",in_signed_offices!$A$1:$BZ$1,0)),0),MATCH("public_naming_ok",in_signed_offices!$A$1:$BZ$1,0))),""))</f>
        <v/>
      </c>
      <c r="AG17" s="25">
        <f>IF($A17="","",IFERROR(IF(INDEX(in_signed_offices!$A$2:$BZ$81,MATCH($A17,INDEX(in_signed_offices!$A$2:$BZ$81,0,MATCH("office_id",in_signed_offices!$A$1:$BZ$1,0)),0),MATCH("clay_row_id",in_signed_offices!$A$1:$BZ$1,0))="","",INDEX(in_signed_offices!$A$2:$BZ$81,MATCH($A17,INDEX(in_signed_offices!$A$2:$BZ$81,0,MATCH("office_id",in_signed_offices!$A$1:$BZ$1,0)),0),MATCH("clay_row_id",in_signed_offices!$A$1:$BZ$1,0))),""))</f>
        <v/>
      </c>
      <c r="AH17" s="25">
        <f>IF($A17="","",IF($E17&lt;&gt;"",$E17,IFERROR(IF(INDEX(in_signed_offices!$A$2:$BZ$81,MATCH($A17,INDEX(in_signed_offices!$A$2:$BZ$81,0,MATCH("office_id",in_signed_offices!$A$1:$BZ$1,0)),0),MATCH("industry",in_signed_offices!$A$1:$BZ$1,0))="","",INDEX(in_signed_offices!$A$2:$BZ$81,MATCH($A17,INDEX(in_signed_offices!$A$2:$BZ$81,0,MATCH("office_id",in_signed_offices!$A$1:$BZ$1,0)),0),MATCH("industry",in_signed_offices!$A$1:$BZ$1,0))),"")))</f>
        <v/>
      </c>
      <c r="AI17" s="25">
        <f>IF($A17="","",IF($F17&lt;&gt;"",$F17,IF(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lt;&gt;"",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IF($W17="Y",$S17,""))))</f>
        <v/>
      </c>
      <c r="AJ17" s="25">
        <f>IF($A17="","",IF($Q17="","unknown",IF($Q17&lt;40,"under-40",IF($Q17&lt;=75,"40-75",IF($Q17&lt;=150,"76-150",IF($Q17&lt;=250,"151-250",IF($Q17&lt;=500,"251-500","over-500")))))))</f>
        <v/>
      </c>
      <c r="AK17" s="25">
        <f>IF($A17="","",IF($N17="","not on in_signed_offices: paste the outreach file",IF($Q17="","no Tuesday headcount",IF($Q17&lt;30,"below the hard floor of 30",IF($Q17&lt;40,"30 to 39: founder's call",IF($Q17&gt;250,"over 250: outside the plan","OK"))))))</f>
        <v/>
      </c>
      <c r="AL17" s="25">
        <f>IF(OR($A17="",$Q17=""),"",MIN(config!$B$16,MAX(config!$B$15,MROUND(config!$B$13+config!$B$14*$Q17,config!$B$17))))</f>
        <v/>
      </c>
      <c r="AM17" s="25">
        <f>IF($A17="","",COUNTIFS(stops!$B$2:$B$151,$A17,stops!$P$2:$P$151,"&lt;="&amp;IF(config!$B$37&lt;&gt;"",config!$B$37,TODAY())))</f>
        <v/>
      </c>
      <c r="AN17" s="25">
        <f>IF($A17="","",COUNTIFS(stops!$B$2:$B$151,$A17,stops!$L$2:$L$151,"declined"))</f>
        <v/>
      </c>
    </row>
    <row r="18">
      <c r="C18" s="31" t="n"/>
      <c r="D18" s="31" t="n"/>
      <c r="J18" s="9" t="n"/>
      <c r="L18" s="9" t="n"/>
      <c r="N18" s="25">
        <f>IF($A18="","",IFERROR(IF(INDEX(in_signed_offices!$A$2:$BZ$81,MATCH($A18,INDEX(in_signed_offices!$A$2:$BZ$81,0,MATCH("office_id",in_signed_offices!$A$1:$BZ$1,0)),0),MATCH("company",in_signed_offices!$A$1:$BZ$1,0))="","",INDEX(in_signed_offices!$A$2:$BZ$81,MATCH($A18,INDEX(in_signed_offices!$A$2:$BZ$81,0,MATCH("office_id",in_signed_offices!$A$1:$BZ$1,0)),0),MATCH("company",in_signed_offices!$A$1:$BZ$1,0))),""))</f>
        <v/>
      </c>
      <c r="O18" s="25">
        <f>IF($A18="","",IFERROR(IF(INDEX(in_signed_offices!$A$2:$BZ$81,MATCH($A18,INDEX(in_signed_offices!$A$2:$BZ$81,0,MATCH("office_id",in_signed_offices!$A$1:$BZ$1,0)),0),MATCH("office_address",in_signed_offices!$A$1:$BZ$1,0))="","",INDEX(in_signed_offices!$A$2:$BZ$81,MATCH($A18,INDEX(in_signed_offices!$A$2:$BZ$81,0,MATCH("office_id",in_signed_offices!$A$1:$BZ$1,0)),0),MATCH("office_address",in_signed_offices!$A$1:$BZ$1,0))),""))</f>
        <v/>
      </c>
      <c r="P18" s="25">
        <f>IF($A18="","",IFERROR(IF(INDEX(in_signed_offices!$A$2:$BZ$81,MATCH($A18,INDEX(in_signed_offices!$A$2:$BZ$81,0,MATCH("office_id",in_signed_offices!$A$1:$BZ$1,0)),0),MATCH("floor_suite",in_signed_offices!$A$1:$BZ$1,0))="","",INDEX(in_signed_offices!$A$2:$BZ$81,MATCH($A18,INDEX(in_signed_offices!$A$2:$BZ$81,0,MATCH("office_id",in_signed_offices!$A$1:$BZ$1,0)),0),MATCH("floor_suite",in_signed_offices!$A$1:$BZ$1,0))),""))</f>
        <v/>
      </c>
      <c r="Q18" s="25">
        <f>IF($A18="","",IFERROR(IF(INDEX(in_signed_offices!$A$2:$BZ$81,MATCH($A18,INDEX(in_signed_offices!$A$2:$BZ$81,0,MATCH("office_id",in_signed_offices!$A$1:$BZ$1,0)),0),MATCH("tuesday_headcount",in_signed_offices!$A$1:$BZ$1,0))="","",INDEX(in_signed_offices!$A$2:$BZ$81,MATCH($A18,INDEX(in_signed_offices!$A$2:$BZ$81,0,MATCH("office_id",in_signed_offices!$A$1:$BZ$1,0)),0),MATCH("tuesday_headcount",in_signed_offices!$A$1:$BZ$1,0))),""))</f>
        <v/>
      </c>
      <c r="R18" s="25">
        <f>IF($A18="","",IFERROR(IF(INDEX(in_signed_offices!$A$2:$BZ$81,MATCH($A18,INDEX(in_signed_offices!$A$2:$BZ$81,0,MATCH("office_id",in_signed_offices!$A$1:$BZ$1,0)),0),MATCH("contact_name",in_signed_offices!$A$1:$BZ$1,0))="","",INDEX(in_signed_offices!$A$2:$BZ$81,MATCH($A18,INDEX(in_signed_offices!$A$2:$BZ$81,0,MATCH("office_id",in_signed_offices!$A$1:$BZ$1,0)),0),MATCH("contact_name",in_signed_offices!$A$1:$BZ$1,0))),""))</f>
        <v/>
      </c>
      <c r="S18" s="25">
        <f>IF($A18="","",IFERROR(IF(INDEX(in_signed_offices!$A$2:$BZ$81,MATCH($A18,INDEX(in_signed_offices!$A$2:$BZ$81,0,MATCH("office_id",in_signed_offices!$A$1:$BZ$1,0)),0),MATCH("contact_phone",in_signed_offices!$A$1:$BZ$1,0))="","",INDEX(in_signed_offices!$A$2:$BZ$81,MATCH($A18,INDEX(in_signed_offices!$A$2:$BZ$81,0,MATCH("office_id",in_signed_offices!$A$1:$BZ$1,0)),0),MATCH("contact_phone",in_signed_offices!$A$1:$BZ$1,0))),""))</f>
        <v/>
      </c>
      <c r="T18" s="25">
        <f>IF($A18="","",IFERROR(IF(INDEX(in_signed_offices!$A$2:$BZ$81,MATCH($A18,INDEX(in_signed_offices!$A$2:$BZ$81,0,MATCH("office_id",in_signed_offices!$A$1:$BZ$1,0)),0),MATCH("contact_email",in_signed_offices!$A$1:$BZ$1,0))="","",INDEX(in_signed_offices!$A$2:$BZ$81,MATCH($A18,INDEX(in_signed_offices!$A$2:$BZ$81,0,MATCH("office_id",in_signed_offices!$A$1:$BZ$1,0)),0),MATCH("contact_email",in_signed_offices!$A$1:$BZ$1,0))),""))</f>
        <v/>
      </c>
      <c r="U18" s="25">
        <f>IF($A18="","",IFERROR(IF(INDEX(in_signed_offices!$A$2:$BZ$81,MATCH($A18,INDEX(in_signed_offices!$A$2:$BZ$81,0,MATCH("office_id",in_signed_offices!$A$1:$BZ$1,0)),0),MATCH("pantry_owner_name",in_signed_offices!$A$1:$BZ$1,0))="","",INDEX(in_signed_offices!$A$2:$BZ$81,MATCH($A18,INDEX(in_signed_offices!$A$2:$BZ$81,0,MATCH("office_id",in_signed_offices!$A$1:$BZ$1,0)),0),MATCH("pantry_owner_name",in_signed_offices!$A$1:$BZ$1,0))),""))</f>
        <v/>
      </c>
      <c r="V18" s="25">
        <f>IF($A18="","",IFERROR(IF(INDEX(in_signed_offices!$A$2:$BZ$81,MATCH($A18,INDEX(in_signed_offices!$A$2:$BZ$81,0,MATCH("office_id",in_signed_offices!$A$1:$BZ$1,0)),0),MATCH("pantry_owner_title",in_signed_offices!$A$1:$BZ$1,0))="","",INDEX(in_signed_offices!$A$2:$BZ$81,MATCH($A18,INDEX(in_signed_offices!$A$2:$BZ$81,0,MATCH("office_id",in_signed_offices!$A$1:$BZ$1,0)),0),MATCH("pantry_owner_title",in_signed_offices!$A$1:$BZ$1,0))),""))</f>
        <v/>
      </c>
      <c r="W18" s="25">
        <f>IF($A18="","",IFERROR(IF(INDEX(in_signed_offices!$A$2:$BZ$81,MATCH($A18,INDEX(in_signed_offices!$A$2:$BZ$81,0,MATCH("office_id",in_signed_offices!$A$1:$BZ$1,0)),0),MATCH("pantry_owner_is_contact",in_signed_offices!$A$1:$BZ$1,0))="","",INDEX(in_signed_offices!$A$2:$BZ$81,MATCH($A18,INDEX(in_signed_offices!$A$2:$BZ$81,0,MATCH("office_id",in_signed_offices!$A$1:$BZ$1,0)),0),MATCH("pantry_owner_is_contact",in_signed_offices!$A$1:$BZ$1,0))),""))</f>
        <v/>
      </c>
      <c r="X18" s="25">
        <f>IF($A18="","",IFERROR(IF(INDEX(in_signed_offices!$A$2:$BZ$81,MATCH($A18,INDEX(in_signed_offices!$A$2:$BZ$81,0,MATCH("office_id",in_signed_offices!$A$1:$BZ$1,0)),0),MATCH("receiving_type",in_signed_offices!$A$1:$BZ$1,0))="","",INDEX(in_signed_offices!$A$2:$BZ$81,MATCH($A18,INDEX(in_signed_offices!$A$2:$BZ$81,0,MATCH("office_id",in_signed_offices!$A$1:$BZ$1,0)),0),MATCH("receiving_type",in_signed_offices!$A$1:$BZ$1,0))),""))</f>
        <v/>
      </c>
      <c r="Y18" s="25">
        <f>IF($A18="","",IFERROR(IF(INDEX(in_signed_offices!$A$2:$BZ$81,MATCH($A18,INDEX(in_signed_offices!$A$2:$BZ$81,0,MATCH("office_id",in_signed_offices!$A$1:$BZ$1,0)),0),MATCH("receiving_window",in_signed_offices!$A$1:$BZ$1,0))="","",INDEX(in_signed_offices!$A$2:$BZ$81,MATCH($A18,INDEX(in_signed_offices!$A$2:$BZ$81,0,MATCH("office_id",in_signed_offices!$A$1:$BZ$1,0)),0),MATCH("receiving_window",in_signed_offices!$A$1:$BZ$1,0))),""))</f>
        <v/>
      </c>
      <c r="Z18" s="25">
        <f>IF($A18="","",IFERROR(IF(INDEX(in_signed_offices!$A$2:$BZ$81,MATCH($A18,INDEX(in_signed_offices!$A$2:$BZ$81,0,MATCH("office_id",in_signed_offices!$A$1:$BZ$1,0)),0),MATCH("coi_required",in_signed_offices!$A$1:$BZ$1,0))="","",INDEX(in_signed_offices!$A$2:$BZ$81,MATCH($A18,INDEX(in_signed_offices!$A$2:$BZ$81,0,MATCH("office_id",in_signed_offices!$A$1:$BZ$1,0)),0),MATCH("coi_required",in_signed_offices!$A$1:$BZ$1,0))),""))</f>
        <v/>
      </c>
      <c r="AA18" s="25">
        <f>IF($A18="","",IFERROR(IF(INDEX(in_signed_offices!$A$2:$BZ$81,MATCH($A18,INDEX(in_signed_offices!$A$2:$BZ$81,0,MATCH("office_id",in_signed_offices!$A$1:$BZ$1,0)),0),MATCH("survey_channel",in_signed_offices!$A$1:$BZ$1,0))="","",INDEX(in_signed_offices!$A$2:$BZ$81,MATCH($A18,INDEX(in_signed_offices!$A$2:$BZ$81,0,MATCH("office_id",in_signed_offices!$A$1:$BZ$1,0)),0),MATCH("survey_channel",in_signed_offices!$A$1:$BZ$1,0))),""))</f>
        <v/>
      </c>
      <c r="AB18" s="25">
        <f>IF($A18="","",IFERROR(IF(INDEX(in_signed_offices!$A$2:$BZ$81,MATCH($A18,INDEX(in_signed_offices!$A$2:$BZ$81,0,MATCH("office_id",in_signed_offices!$A$1:$BZ$1,0)),0),MATCH("categories_wanted",in_signed_offices!$A$1:$BZ$1,0))="","",INDEX(in_signed_offices!$A$2:$BZ$81,MATCH($A18,INDEX(in_signed_offices!$A$2:$BZ$81,0,MATCH("office_id",in_signed_offices!$A$1:$BZ$1,0)),0),MATCH("categories_wanted",in_signed_offices!$A$1:$BZ$1,0))),""))</f>
        <v/>
      </c>
      <c r="AC18" s="25">
        <f>IF($A18="","",IFERROR(IF(INDEX(in_signed_offices!$A$2:$BZ$81,MATCH($A18,INDEX(in_signed_offices!$A$2:$BZ$81,0,MATCH("office_id",in_signed_offices!$A$1:$BZ$1,0)),0),MATCH("vetoes",in_signed_offices!$A$1:$BZ$1,0))="","",INDEX(in_signed_offices!$A$2:$BZ$81,MATCH($A18,INDEX(in_signed_offices!$A$2:$BZ$81,0,MATCH("office_id",in_signed_offices!$A$1:$BZ$1,0)),0),MATCH("vetoes",in_signed_offices!$A$1:$BZ$1,0))),""))</f>
        <v/>
      </c>
      <c r="AD18" s="26">
        <f>IF($A18="","",IFERROR(IF(INDEX(in_signed_offices!$A$2:$BZ$81,MATCH($A18,INDEX(in_signed_offices!$A$2:$BZ$81,0,MATCH("office_id",in_signed_offices!$A$1:$BZ$1,0)),0),MATCH("agreement_signed_date",in_signed_offices!$A$1:$BZ$1,0))="","",INDEX(in_signed_offices!$A$2:$BZ$81,MATCH($A18,INDEX(in_signed_offices!$A$2:$BZ$81,0,MATCH("office_id",in_signed_offices!$A$1:$BZ$1,0)),0),MATCH("agreement_signed_date",in_signed_offices!$A$1:$BZ$1,0))),""))</f>
        <v/>
      </c>
      <c r="AE18" s="25">
        <f>IF($A18="","",IFERROR(IF(INDEX(in_signed_offices!$A$2:$BZ$81,MATCH($A18,INDEX(in_signed_offices!$A$2:$BZ$81,0,MATCH("office_id",in_signed_offices!$A$1:$BZ$1,0)),0),MATCH("founding_roster_named",in_signed_offices!$A$1:$BZ$1,0))="","",INDEX(in_signed_offices!$A$2:$BZ$81,MATCH($A18,INDEX(in_signed_offices!$A$2:$BZ$81,0,MATCH("office_id",in_signed_offices!$A$1:$BZ$1,0)),0),MATCH("founding_roster_named",in_signed_offices!$A$1:$BZ$1,0))),""))</f>
        <v/>
      </c>
      <c r="AF18" s="25">
        <f>IF($A18="","",IFERROR(IF(INDEX(in_signed_offices!$A$2:$BZ$81,MATCH($A18,INDEX(in_signed_offices!$A$2:$BZ$81,0,MATCH("office_id",in_signed_offices!$A$1:$BZ$1,0)),0),MATCH("public_naming_ok",in_signed_offices!$A$1:$BZ$1,0))="","",INDEX(in_signed_offices!$A$2:$BZ$81,MATCH($A18,INDEX(in_signed_offices!$A$2:$BZ$81,0,MATCH("office_id",in_signed_offices!$A$1:$BZ$1,0)),0),MATCH("public_naming_ok",in_signed_offices!$A$1:$BZ$1,0))),""))</f>
        <v/>
      </c>
      <c r="AG18" s="25">
        <f>IF($A18="","",IFERROR(IF(INDEX(in_signed_offices!$A$2:$BZ$81,MATCH($A18,INDEX(in_signed_offices!$A$2:$BZ$81,0,MATCH("office_id",in_signed_offices!$A$1:$BZ$1,0)),0),MATCH("clay_row_id",in_signed_offices!$A$1:$BZ$1,0))="","",INDEX(in_signed_offices!$A$2:$BZ$81,MATCH($A18,INDEX(in_signed_offices!$A$2:$BZ$81,0,MATCH("office_id",in_signed_offices!$A$1:$BZ$1,0)),0),MATCH("clay_row_id",in_signed_offices!$A$1:$BZ$1,0))),""))</f>
        <v/>
      </c>
      <c r="AH18" s="25">
        <f>IF($A18="","",IF($E18&lt;&gt;"",$E18,IFERROR(IF(INDEX(in_signed_offices!$A$2:$BZ$81,MATCH($A18,INDEX(in_signed_offices!$A$2:$BZ$81,0,MATCH("office_id",in_signed_offices!$A$1:$BZ$1,0)),0),MATCH("industry",in_signed_offices!$A$1:$BZ$1,0))="","",INDEX(in_signed_offices!$A$2:$BZ$81,MATCH($A18,INDEX(in_signed_offices!$A$2:$BZ$81,0,MATCH("office_id",in_signed_offices!$A$1:$BZ$1,0)),0),MATCH("industry",in_signed_offices!$A$1:$BZ$1,0))),"")))</f>
        <v/>
      </c>
      <c r="AI18" s="25">
        <f>IF($A18="","",IF($F18&lt;&gt;"",$F18,IF(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lt;&gt;"",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IF($W18="Y",$S18,""))))</f>
        <v/>
      </c>
      <c r="AJ18" s="25">
        <f>IF($A18="","",IF($Q18="","unknown",IF($Q18&lt;40,"under-40",IF($Q18&lt;=75,"40-75",IF($Q18&lt;=150,"76-150",IF($Q18&lt;=250,"151-250",IF($Q18&lt;=500,"251-500","over-500")))))))</f>
        <v/>
      </c>
      <c r="AK18" s="25">
        <f>IF($A18="","",IF($N18="","not on in_signed_offices: paste the outreach file",IF($Q18="","no Tuesday headcount",IF($Q18&lt;30,"below the hard floor of 30",IF($Q18&lt;40,"30 to 39: founder's call",IF($Q18&gt;250,"over 250: outside the plan","OK"))))))</f>
        <v/>
      </c>
      <c r="AL18" s="25">
        <f>IF(OR($A18="",$Q18=""),"",MIN(config!$B$16,MAX(config!$B$15,MROUND(config!$B$13+config!$B$14*$Q18,config!$B$17))))</f>
        <v/>
      </c>
      <c r="AM18" s="25">
        <f>IF($A18="","",COUNTIFS(stops!$B$2:$B$151,$A18,stops!$P$2:$P$151,"&lt;="&amp;IF(config!$B$37&lt;&gt;"",config!$B$37,TODAY())))</f>
        <v/>
      </c>
      <c r="AN18" s="25">
        <f>IF($A18="","",COUNTIFS(stops!$B$2:$B$151,$A18,stops!$L$2:$L$151,"declined"))</f>
        <v/>
      </c>
    </row>
    <row r="19">
      <c r="C19" s="31" t="n"/>
      <c r="D19" s="31" t="n"/>
      <c r="J19" s="9" t="n"/>
      <c r="L19" s="9" t="n"/>
      <c r="N19" s="25">
        <f>IF($A19="","",IFERROR(IF(INDEX(in_signed_offices!$A$2:$BZ$81,MATCH($A19,INDEX(in_signed_offices!$A$2:$BZ$81,0,MATCH("office_id",in_signed_offices!$A$1:$BZ$1,0)),0),MATCH("company",in_signed_offices!$A$1:$BZ$1,0))="","",INDEX(in_signed_offices!$A$2:$BZ$81,MATCH($A19,INDEX(in_signed_offices!$A$2:$BZ$81,0,MATCH("office_id",in_signed_offices!$A$1:$BZ$1,0)),0),MATCH("company",in_signed_offices!$A$1:$BZ$1,0))),""))</f>
        <v/>
      </c>
      <c r="O19" s="25">
        <f>IF($A19="","",IFERROR(IF(INDEX(in_signed_offices!$A$2:$BZ$81,MATCH($A19,INDEX(in_signed_offices!$A$2:$BZ$81,0,MATCH("office_id",in_signed_offices!$A$1:$BZ$1,0)),0),MATCH("office_address",in_signed_offices!$A$1:$BZ$1,0))="","",INDEX(in_signed_offices!$A$2:$BZ$81,MATCH($A19,INDEX(in_signed_offices!$A$2:$BZ$81,0,MATCH("office_id",in_signed_offices!$A$1:$BZ$1,0)),0),MATCH("office_address",in_signed_offices!$A$1:$BZ$1,0))),""))</f>
        <v/>
      </c>
      <c r="P19" s="25">
        <f>IF($A19="","",IFERROR(IF(INDEX(in_signed_offices!$A$2:$BZ$81,MATCH($A19,INDEX(in_signed_offices!$A$2:$BZ$81,0,MATCH("office_id",in_signed_offices!$A$1:$BZ$1,0)),0),MATCH("floor_suite",in_signed_offices!$A$1:$BZ$1,0))="","",INDEX(in_signed_offices!$A$2:$BZ$81,MATCH($A19,INDEX(in_signed_offices!$A$2:$BZ$81,0,MATCH("office_id",in_signed_offices!$A$1:$BZ$1,0)),0),MATCH("floor_suite",in_signed_offices!$A$1:$BZ$1,0))),""))</f>
        <v/>
      </c>
      <c r="Q19" s="25">
        <f>IF($A19="","",IFERROR(IF(INDEX(in_signed_offices!$A$2:$BZ$81,MATCH($A19,INDEX(in_signed_offices!$A$2:$BZ$81,0,MATCH("office_id",in_signed_offices!$A$1:$BZ$1,0)),0),MATCH("tuesday_headcount",in_signed_offices!$A$1:$BZ$1,0))="","",INDEX(in_signed_offices!$A$2:$BZ$81,MATCH($A19,INDEX(in_signed_offices!$A$2:$BZ$81,0,MATCH("office_id",in_signed_offices!$A$1:$BZ$1,0)),0),MATCH("tuesday_headcount",in_signed_offices!$A$1:$BZ$1,0))),""))</f>
        <v/>
      </c>
      <c r="R19" s="25">
        <f>IF($A19="","",IFERROR(IF(INDEX(in_signed_offices!$A$2:$BZ$81,MATCH($A19,INDEX(in_signed_offices!$A$2:$BZ$81,0,MATCH("office_id",in_signed_offices!$A$1:$BZ$1,0)),0),MATCH("contact_name",in_signed_offices!$A$1:$BZ$1,0))="","",INDEX(in_signed_offices!$A$2:$BZ$81,MATCH($A19,INDEX(in_signed_offices!$A$2:$BZ$81,0,MATCH("office_id",in_signed_offices!$A$1:$BZ$1,0)),0),MATCH("contact_name",in_signed_offices!$A$1:$BZ$1,0))),""))</f>
        <v/>
      </c>
      <c r="S19" s="25">
        <f>IF($A19="","",IFERROR(IF(INDEX(in_signed_offices!$A$2:$BZ$81,MATCH($A19,INDEX(in_signed_offices!$A$2:$BZ$81,0,MATCH("office_id",in_signed_offices!$A$1:$BZ$1,0)),0),MATCH("contact_phone",in_signed_offices!$A$1:$BZ$1,0))="","",INDEX(in_signed_offices!$A$2:$BZ$81,MATCH($A19,INDEX(in_signed_offices!$A$2:$BZ$81,0,MATCH("office_id",in_signed_offices!$A$1:$BZ$1,0)),0),MATCH("contact_phone",in_signed_offices!$A$1:$BZ$1,0))),""))</f>
        <v/>
      </c>
      <c r="T19" s="25">
        <f>IF($A19="","",IFERROR(IF(INDEX(in_signed_offices!$A$2:$BZ$81,MATCH($A19,INDEX(in_signed_offices!$A$2:$BZ$81,0,MATCH("office_id",in_signed_offices!$A$1:$BZ$1,0)),0),MATCH("contact_email",in_signed_offices!$A$1:$BZ$1,0))="","",INDEX(in_signed_offices!$A$2:$BZ$81,MATCH($A19,INDEX(in_signed_offices!$A$2:$BZ$81,0,MATCH("office_id",in_signed_offices!$A$1:$BZ$1,0)),0),MATCH("contact_email",in_signed_offices!$A$1:$BZ$1,0))),""))</f>
        <v/>
      </c>
      <c r="U19" s="25">
        <f>IF($A19="","",IFERROR(IF(INDEX(in_signed_offices!$A$2:$BZ$81,MATCH($A19,INDEX(in_signed_offices!$A$2:$BZ$81,0,MATCH("office_id",in_signed_offices!$A$1:$BZ$1,0)),0),MATCH("pantry_owner_name",in_signed_offices!$A$1:$BZ$1,0))="","",INDEX(in_signed_offices!$A$2:$BZ$81,MATCH($A19,INDEX(in_signed_offices!$A$2:$BZ$81,0,MATCH("office_id",in_signed_offices!$A$1:$BZ$1,0)),0),MATCH("pantry_owner_name",in_signed_offices!$A$1:$BZ$1,0))),""))</f>
        <v/>
      </c>
      <c r="V19" s="25">
        <f>IF($A19="","",IFERROR(IF(INDEX(in_signed_offices!$A$2:$BZ$81,MATCH($A19,INDEX(in_signed_offices!$A$2:$BZ$81,0,MATCH("office_id",in_signed_offices!$A$1:$BZ$1,0)),0),MATCH("pantry_owner_title",in_signed_offices!$A$1:$BZ$1,0))="","",INDEX(in_signed_offices!$A$2:$BZ$81,MATCH($A19,INDEX(in_signed_offices!$A$2:$BZ$81,0,MATCH("office_id",in_signed_offices!$A$1:$BZ$1,0)),0),MATCH("pantry_owner_title",in_signed_offices!$A$1:$BZ$1,0))),""))</f>
        <v/>
      </c>
      <c r="W19" s="25">
        <f>IF($A19="","",IFERROR(IF(INDEX(in_signed_offices!$A$2:$BZ$81,MATCH($A19,INDEX(in_signed_offices!$A$2:$BZ$81,0,MATCH("office_id",in_signed_offices!$A$1:$BZ$1,0)),0),MATCH("pantry_owner_is_contact",in_signed_offices!$A$1:$BZ$1,0))="","",INDEX(in_signed_offices!$A$2:$BZ$81,MATCH($A19,INDEX(in_signed_offices!$A$2:$BZ$81,0,MATCH("office_id",in_signed_offices!$A$1:$BZ$1,0)),0),MATCH("pantry_owner_is_contact",in_signed_offices!$A$1:$BZ$1,0))),""))</f>
        <v/>
      </c>
      <c r="X19" s="25">
        <f>IF($A19="","",IFERROR(IF(INDEX(in_signed_offices!$A$2:$BZ$81,MATCH($A19,INDEX(in_signed_offices!$A$2:$BZ$81,0,MATCH("office_id",in_signed_offices!$A$1:$BZ$1,0)),0),MATCH("receiving_type",in_signed_offices!$A$1:$BZ$1,0))="","",INDEX(in_signed_offices!$A$2:$BZ$81,MATCH($A19,INDEX(in_signed_offices!$A$2:$BZ$81,0,MATCH("office_id",in_signed_offices!$A$1:$BZ$1,0)),0),MATCH("receiving_type",in_signed_offices!$A$1:$BZ$1,0))),""))</f>
        <v/>
      </c>
      <c r="Y19" s="25">
        <f>IF($A19="","",IFERROR(IF(INDEX(in_signed_offices!$A$2:$BZ$81,MATCH($A19,INDEX(in_signed_offices!$A$2:$BZ$81,0,MATCH("office_id",in_signed_offices!$A$1:$BZ$1,0)),0),MATCH("receiving_window",in_signed_offices!$A$1:$BZ$1,0))="","",INDEX(in_signed_offices!$A$2:$BZ$81,MATCH($A19,INDEX(in_signed_offices!$A$2:$BZ$81,0,MATCH("office_id",in_signed_offices!$A$1:$BZ$1,0)),0),MATCH("receiving_window",in_signed_offices!$A$1:$BZ$1,0))),""))</f>
        <v/>
      </c>
      <c r="Z19" s="25">
        <f>IF($A19="","",IFERROR(IF(INDEX(in_signed_offices!$A$2:$BZ$81,MATCH($A19,INDEX(in_signed_offices!$A$2:$BZ$81,0,MATCH("office_id",in_signed_offices!$A$1:$BZ$1,0)),0),MATCH("coi_required",in_signed_offices!$A$1:$BZ$1,0))="","",INDEX(in_signed_offices!$A$2:$BZ$81,MATCH($A19,INDEX(in_signed_offices!$A$2:$BZ$81,0,MATCH("office_id",in_signed_offices!$A$1:$BZ$1,0)),0),MATCH("coi_required",in_signed_offices!$A$1:$BZ$1,0))),""))</f>
        <v/>
      </c>
      <c r="AA19" s="25">
        <f>IF($A19="","",IFERROR(IF(INDEX(in_signed_offices!$A$2:$BZ$81,MATCH($A19,INDEX(in_signed_offices!$A$2:$BZ$81,0,MATCH("office_id",in_signed_offices!$A$1:$BZ$1,0)),0),MATCH("survey_channel",in_signed_offices!$A$1:$BZ$1,0))="","",INDEX(in_signed_offices!$A$2:$BZ$81,MATCH($A19,INDEX(in_signed_offices!$A$2:$BZ$81,0,MATCH("office_id",in_signed_offices!$A$1:$BZ$1,0)),0),MATCH("survey_channel",in_signed_offices!$A$1:$BZ$1,0))),""))</f>
        <v/>
      </c>
      <c r="AB19" s="25">
        <f>IF($A19="","",IFERROR(IF(INDEX(in_signed_offices!$A$2:$BZ$81,MATCH($A19,INDEX(in_signed_offices!$A$2:$BZ$81,0,MATCH("office_id",in_signed_offices!$A$1:$BZ$1,0)),0),MATCH("categories_wanted",in_signed_offices!$A$1:$BZ$1,0))="","",INDEX(in_signed_offices!$A$2:$BZ$81,MATCH($A19,INDEX(in_signed_offices!$A$2:$BZ$81,0,MATCH("office_id",in_signed_offices!$A$1:$BZ$1,0)),0),MATCH("categories_wanted",in_signed_offices!$A$1:$BZ$1,0))),""))</f>
        <v/>
      </c>
      <c r="AC19" s="25">
        <f>IF($A19="","",IFERROR(IF(INDEX(in_signed_offices!$A$2:$BZ$81,MATCH($A19,INDEX(in_signed_offices!$A$2:$BZ$81,0,MATCH("office_id",in_signed_offices!$A$1:$BZ$1,0)),0),MATCH("vetoes",in_signed_offices!$A$1:$BZ$1,0))="","",INDEX(in_signed_offices!$A$2:$BZ$81,MATCH($A19,INDEX(in_signed_offices!$A$2:$BZ$81,0,MATCH("office_id",in_signed_offices!$A$1:$BZ$1,0)),0),MATCH("vetoes",in_signed_offices!$A$1:$BZ$1,0))),""))</f>
        <v/>
      </c>
      <c r="AD19" s="26">
        <f>IF($A19="","",IFERROR(IF(INDEX(in_signed_offices!$A$2:$BZ$81,MATCH($A19,INDEX(in_signed_offices!$A$2:$BZ$81,0,MATCH("office_id",in_signed_offices!$A$1:$BZ$1,0)),0),MATCH("agreement_signed_date",in_signed_offices!$A$1:$BZ$1,0))="","",INDEX(in_signed_offices!$A$2:$BZ$81,MATCH($A19,INDEX(in_signed_offices!$A$2:$BZ$81,0,MATCH("office_id",in_signed_offices!$A$1:$BZ$1,0)),0),MATCH("agreement_signed_date",in_signed_offices!$A$1:$BZ$1,0))),""))</f>
        <v/>
      </c>
      <c r="AE19" s="25">
        <f>IF($A19="","",IFERROR(IF(INDEX(in_signed_offices!$A$2:$BZ$81,MATCH($A19,INDEX(in_signed_offices!$A$2:$BZ$81,0,MATCH("office_id",in_signed_offices!$A$1:$BZ$1,0)),0),MATCH("founding_roster_named",in_signed_offices!$A$1:$BZ$1,0))="","",INDEX(in_signed_offices!$A$2:$BZ$81,MATCH($A19,INDEX(in_signed_offices!$A$2:$BZ$81,0,MATCH("office_id",in_signed_offices!$A$1:$BZ$1,0)),0),MATCH("founding_roster_named",in_signed_offices!$A$1:$BZ$1,0))),""))</f>
        <v/>
      </c>
      <c r="AF19" s="25">
        <f>IF($A19="","",IFERROR(IF(INDEX(in_signed_offices!$A$2:$BZ$81,MATCH($A19,INDEX(in_signed_offices!$A$2:$BZ$81,0,MATCH("office_id",in_signed_offices!$A$1:$BZ$1,0)),0),MATCH("public_naming_ok",in_signed_offices!$A$1:$BZ$1,0))="","",INDEX(in_signed_offices!$A$2:$BZ$81,MATCH($A19,INDEX(in_signed_offices!$A$2:$BZ$81,0,MATCH("office_id",in_signed_offices!$A$1:$BZ$1,0)),0),MATCH("public_naming_ok",in_signed_offices!$A$1:$BZ$1,0))),""))</f>
        <v/>
      </c>
      <c r="AG19" s="25">
        <f>IF($A19="","",IFERROR(IF(INDEX(in_signed_offices!$A$2:$BZ$81,MATCH($A19,INDEX(in_signed_offices!$A$2:$BZ$81,0,MATCH("office_id",in_signed_offices!$A$1:$BZ$1,0)),0),MATCH("clay_row_id",in_signed_offices!$A$1:$BZ$1,0))="","",INDEX(in_signed_offices!$A$2:$BZ$81,MATCH($A19,INDEX(in_signed_offices!$A$2:$BZ$81,0,MATCH("office_id",in_signed_offices!$A$1:$BZ$1,0)),0),MATCH("clay_row_id",in_signed_offices!$A$1:$BZ$1,0))),""))</f>
        <v/>
      </c>
      <c r="AH19" s="25">
        <f>IF($A19="","",IF($E19&lt;&gt;"",$E19,IFERROR(IF(INDEX(in_signed_offices!$A$2:$BZ$81,MATCH($A19,INDEX(in_signed_offices!$A$2:$BZ$81,0,MATCH("office_id",in_signed_offices!$A$1:$BZ$1,0)),0),MATCH("industry",in_signed_offices!$A$1:$BZ$1,0))="","",INDEX(in_signed_offices!$A$2:$BZ$81,MATCH($A19,INDEX(in_signed_offices!$A$2:$BZ$81,0,MATCH("office_id",in_signed_offices!$A$1:$BZ$1,0)),0),MATCH("industry",in_signed_offices!$A$1:$BZ$1,0))),"")))</f>
        <v/>
      </c>
      <c r="AI19" s="25">
        <f>IF($A19="","",IF($F19&lt;&gt;"",$F19,IF(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lt;&gt;"",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IF($W19="Y",$S19,""))))</f>
        <v/>
      </c>
      <c r="AJ19" s="25">
        <f>IF($A19="","",IF($Q19="","unknown",IF($Q19&lt;40,"under-40",IF($Q19&lt;=75,"40-75",IF($Q19&lt;=150,"76-150",IF($Q19&lt;=250,"151-250",IF($Q19&lt;=500,"251-500","over-500")))))))</f>
        <v/>
      </c>
      <c r="AK19" s="25">
        <f>IF($A19="","",IF($N19="","not on in_signed_offices: paste the outreach file",IF($Q19="","no Tuesday headcount",IF($Q19&lt;30,"below the hard floor of 30",IF($Q19&lt;40,"30 to 39: founder's call",IF($Q19&gt;250,"over 250: outside the plan","OK"))))))</f>
        <v/>
      </c>
      <c r="AL19" s="25">
        <f>IF(OR($A19="",$Q19=""),"",MIN(config!$B$16,MAX(config!$B$15,MROUND(config!$B$13+config!$B$14*$Q19,config!$B$17))))</f>
        <v/>
      </c>
      <c r="AM19" s="25">
        <f>IF($A19="","",COUNTIFS(stops!$B$2:$B$151,$A19,stops!$P$2:$P$151,"&lt;="&amp;IF(config!$B$37&lt;&gt;"",config!$B$37,TODAY())))</f>
        <v/>
      </c>
      <c r="AN19" s="25">
        <f>IF($A19="","",COUNTIFS(stops!$B$2:$B$151,$A19,stops!$L$2:$L$151,"declined"))</f>
        <v/>
      </c>
    </row>
    <row r="20">
      <c r="C20" s="31" t="n"/>
      <c r="D20" s="31" t="n"/>
      <c r="J20" s="9" t="n"/>
      <c r="L20" s="9" t="n"/>
      <c r="N20" s="25">
        <f>IF($A20="","",IFERROR(IF(INDEX(in_signed_offices!$A$2:$BZ$81,MATCH($A20,INDEX(in_signed_offices!$A$2:$BZ$81,0,MATCH("office_id",in_signed_offices!$A$1:$BZ$1,0)),0),MATCH("company",in_signed_offices!$A$1:$BZ$1,0))="","",INDEX(in_signed_offices!$A$2:$BZ$81,MATCH($A20,INDEX(in_signed_offices!$A$2:$BZ$81,0,MATCH("office_id",in_signed_offices!$A$1:$BZ$1,0)),0),MATCH("company",in_signed_offices!$A$1:$BZ$1,0))),""))</f>
        <v/>
      </c>
      <c r="O20" s="25">
        <f>IF($A20="","",IFERROR(IF(INDEX(in_signed_offices!$A$2:$BZ$81,MATCH($A20,INDEX(in_signed_offices!$A$2:$BZ$81,0,MATCH("office_id",in_signed_offices!$A$1:$BZ$1,0)),0),MATCH("office_address",in_signed_offices!$A$1:$BZ$1,0))="","",INDEX(in_signed_offices!$A$2:$BZ$81,MATCH($A20,INDEX(in_signed_offices!$A$2:$BZ$81,0,MATCH("office_id",in_signed_offices!$A$1:$BZ$1,0)),0),MATCH("office_address",in_signed_offices!$A$1:$BZ$1,0))),""))</f>
        <v/>
      </c>
      <c r="P20" s="25">
        <f>IF($A20="","",IFERROR(IF(INDEX(in_signed_offices!$A$2:$BZ$81,MATCH($A20,INDEX(in_signed_offices!$A$2:$BZ$81,0,MATCH("office_id",in_signed_offices!$A$1:$BZ$1,0)),0),MATCH("floor_suite",in_signed_offices!$A$1:$BZ$1,0))="","",INDEX(in_signed_offices!$A$2:$BZ$81,MATCH($A20,INDEX(in_signed_offices!$A$2:$BZ$81,0,MATCH("office_id",in_signed_offices!$A$1:$BZ$1,0)),0),MATCH("floor_suite",in_signed_offices!$A$1:$BZ$1,0))),""))</f>
        <v/>
      </c>
      <c r="Q20" s="25">
        <f>IF($A20="","",IFERROR(IF(INDEX(in_signed_offices!$A$2:$BZ$81,MATCH($A20,INDEX(in_signed_offices!$A$2:$BZ$81,0,MATCH("office_id",in_signed_offices!$A$1:$BZ$1,0)),0),MATCH("tuesday_headcount",in_signed_offices!$A$1:$BZ$1,0))="","",INDEX(in_signed_offices!$A$2:$BZ$81,MATCH($A20,INDEX(in_signed_offices!$A$2:$BZ$81,0,MATCH("office_id",in_signed_offices!$A$1:$BZ$1,0)),0),MATCH("tuesday_headcount",in_signed_offices!$A$1:$BZ$1,0))),""))</f>
        <v/>
      </c>
      <c r="R20" s="25">
        <f>IF($A20="","",IFERROR(IF(INDEX(in_signed_offices!$A$2:$BZ$81,MATCH($A20,INDEX(in_signed_offices!$A$2:$BZ$81,0,MATCH("office_id",in_signed_offices!$A$1:$BZ$1,0)),0),MATCH("contact_name",in_signed_offices!$A$1:$BZ$1,0))="","",INDEX(in_signed_offices!$A$2:$BZ$81,MATCH($A20,INDEX(in_signed_offices!$A$2:$BZ$81,0,MATCH("office_id",in_signed_offices!$A$1:$BZ$1,0)),0),MATCH("contact_name",in_signed_offices!$A$1:$BZ$1,0))),""))</f>
        <v/>
      </c>
      <c r="S20" s="25">
        <f>IF($A20="","",IFERROR(IF(INDEX(in_signed_offices!$A$2:$BZ$81,MATCH($A20,INDEX(in_signed_offices!$A$2:$BZ$81,0,MATCH("office_id",in_signed_offices!$A$1:$BZ$1,0)),0),MATCH("contact_phone",in_signed_offices!$A$1:$BZ$1,0))="","",INDEX(in_signed_offices!$A$2:$BZ$81,MATCH($A20,INDEX(in_signed_offices!$A$2:$BZ$81,0,MATCH("office_id",in_signed_offices!$A$1:$BZ$1,0)),0),MATCH("contact_phone",in_signed_offices!$A$1:$BZ$1,0))),""))</f>
        <v/>
      </c>
      <c r="T20" s="25">
        <f>IF($A20="","",IFERROR(IF(INDEX(in_signed_offices!$A$2:$BZ$81,MATCH($A20,INDEX(in_signed_offices!$A$2:$BZ$81,0,MATCH("office_id",in_signed_offices!$A$1:$BZ$1,0)),0),MATCH("contact_email",in_signed_offices!$A$1:$BZ$1,0))="","",INDEX(in_signed_offices!$A$2:$BZ$81,MATCH($A20,INDEX(in_signed_offices!$A$2:$BZ$81,0,MATCH("office_id",in_signed_offices!$A$1:$BZ$1,0)),0),MATCH("contact_email",in_signed_offices!$A$1:$BZ$1,0))),""))</f>
        <v/>
      </c>
      <c r="U20" s="25">
        <f>IF($A20="","",IFERROR(IF(INDEX(in_signed_offices!$A$2:$BZ$81,MATCH($A20,INDEX(in_signed_offices!$A$2:$BZ$81,0,MATCH("office_id",in_signed_offices!$A$1:$BZ$1,0)),0),MATCH("pantry_owner_name",in_signed_offices!$A$1:$BZ$1,0))="","",INDEX(in_signed_offices!$A$2:$BZ$81,MATCH($A20,INDEX(in_signed_offices!$A$2:$BZ$81,0,MATCH("office_id",in_signed_offices!$A$1:$BZ$1,0)),0),MATCH("pantry_owner_name",in_signed_offices!$A$1:$BZ$1,0))),""))</f>
        <v/>
      </c>
      <c r="V20" s="25">
        <f>IF($A20="","",IFERROR(IF(INDEX(in_signed_offices!$A$2:$BZ$81,MATCH($A20,INDEX(in_signed_offices!$A$2:$BZ$81,0,MATCH("office_id",in_signed_offices!$A$1:$BZ$1,0)),0),MATCH("pantry_owner_title",in_signed_offices!$A$1:$BZ$1,0))="","",INDEX(in_signed_offices!$A$2:$BZ$81,MATCH($A20,INDEX(in_signed_offices!$A$2:$BZ$81,0,MATCH("office_id",in_signed_offices!$A$1:$BZ$1,0)),0),MATCH("pantry_owner_title",in_signed_offices!$A$1:$BZ$1,0))),""))</f>
        <v/>
      </c>
      <c r="W20" s="25">
        <f>IF($A20="","",IFERROR(IF(INDEX(in_signed_offices!$A$2:$BZ$81,MATCH($A20,INDEX(in_signed_offices!$A$2:$BZ$81,0,MATCH("office_id",in_signed_offices!$A$1:$BZ$1,0)),0),MATCH("pantry_owner_is_contact",in_signed_offices!$A$1:$BZ$1,0))="","",INDEX(in_signed_offices!$A$2:$BZ$81,MATCH($A20,INDEX(in_signed_offices!$A$2:$BZ$81,0,MATCH("office_id",in_signed_offices!$A$1:$BZ$1,0)),0),MATCH("pantry_owner_is_contact",in_signed_offices!$A$1:$BZ$1,0))),""))</f>
        <v/>
      </c>
      <c r="X20" s="25">
        <f>IF($A20="","",IFERROR(IF(INDEX(in_signed_offices!$A$2:$BZ$81,MATCH($A20,INDEX(in_signed_offices!$A$2:$BZ$81,0,MATCH("office_id",in_signed_offices!$A$1:$BZ$1,0)),0),MATCH("receiving_type",in_signed_offices!$A$1:$BZ$1,0))="","",INDEX(in_signed_offices!$A$2:$BZ$81,MATCH($A20,INDEX(in_signed_offices!$A$2:$BZ$81,0,MATCH("office_id",in_signed_offices!$A$1:$BZ$1,0)),0),MATCH("receiving_type",in_signed_offices!$A$1:$BZ$1,0))),""))</f>
        <v/>
      </c>
      <c r="Y20" s="25">
        <f>IF($A20="","",IFERROR(IF(INDEX(in_signed_offices!$A$2:$BZ$81,MATCH($A20,INDEX(in_signed_offices!$A$2:$BZ$81,0,MATCH("office_id",in_signed_offices!$A$1:$BZ$1,0)),0),MATCH("receiving_window",in_signed_offices!$A$1:$BZ$1,0))="","",INDEX(in_signed_offices!$A$2:$BZ$81,MATCH($A20,INDEX(in_signed_offices!$A$2:$BZ$81,0,MATCH("office_id",in_signed_offices!$A$1:$BZ$1,0)),0),MATCH("receiving_window",in_signed_offices!$A$1:$BZ$1,0))),""))</f>
        <v/>
      </c>
      <c r="Z20" s="25">
        <f>IF($A20="","",IFERROR(IF(INDEX(in_signed_offices!$A$2:$BZ$81,MATCH($A20,INDEX(in_signed_offices!$A$2:$BZ$81,0,MATCH("office_id",in_signed_offices!$A$1:$BZ$1,0)),0),MATCH("coi_required",in_signed_offices!$A$1:$BZ$1,0))="","",INDEX(in_signed_offices!$A$2:$BZ$81,MATCH($A20,INDEX(in_signed_offices!$A$2:$BZ$81,0,MATCH("office_id",in_signed_offices!$A$1:$BZ$1,0)),0),MATCH("coi_required",in_signed_offices!$A$1:$BZ$1,0))),""))</f>
        <v/>
      </c>
      <c r="AA20" s="25">
        <f>IF($A20="","",IFERROR(IF(INDEX(in_signed_offices!$A$2:$BZ$81,MATCH($A20,INDEX(in_signed_offices!$A$2:$BZ$81,0,MATCH("office_id",in_signed_offices!$A$1:$BZ$1,0)),0),MATCH("survey_channel",in_signed_offices!$A$1:$BZ$1,0))="","",INDEX(in_signed_offices!$A$2:$BZ$81,MATCH($A20,INDEX(in_signed_offices!$A$2:$BZ$81,0,MATCH("office_id",in_signed_offices!$A$1:$BZ$1,0)),0),MATCH("survey_channel",in_signed_offices!$A$1:$BZ$1,0))),""))</f>
        <v/>
      </c>
      <c r="AB20" s="25">
        <f>IF($A20="","",IFERROR(IF(INDEX(in_signed_offices!$A$2:$BZ$81,MATCH($A20,INDEX(in_signed_offices!$A$2:$BZ$81,0,MATCH("office_id",in_signed_offices!$A$1:$BZ$1,0)),0),MATCH("categories_wanted",in_signed_offices!$A$1:$BZ$1,0))="","",INDEX(in_signed_offices!$A$2:$BZ$81,MATCH($A20,INDEX(in_signed_offices!$A$2:$BZ$81,0,MATCH("office_id",in_signed_offices!$A$1:$BZ$1,0)),0),MATCH("categories_wanted",in_signed_offices!$A$1:$BZ$1,0))),""))</f>
        <v/>
      </c>
      <c r="AC20" s="25">
        <f>IF($A20="","",IFERROR(IF(INDEX(in_signed_offices!$A$2:$BZ$81,MATCH($A20,INDEX(in_signed_offices!$A$2:$BZ$81,0,MATCH("office_id",in_signed_offices!$A$1:$BZ$1,0)),0),MATCH("vetoes",in_signed_offices!$A$1:$BZ$1,0))="","",INDEX(in_signed_offices!$A$2:$BZ$81,MATCH($A20,INDEX(in_signed_offices!$A$2:$BZ$81,0,MATCH("office_id",in_signed_offices!$A$1:$BZ$1,0)),0),MATCH("vetoes",in_signed_offices!$A$1:$BZ$1,0))),""))</f>
        <v/>
      </c>
      <c r="AD20" s="26">
        <f>IF($A20="","",IFERROR(IF(INDEX(in_signed_offices!$A$2:$BZ$81,MATCH($A20,INDEX(in_signed_offices!$A$2:$BZ$81,0,MATCH("office_id",in_signed_offices!$A$1:$BZ$1,0)),0),MATCH("agreement_signed_date",in_signed_offices!$A$1:$BZ$1,0))="","",INDEX(in_signed_offices!$A$2:$BZ$81,MATCH($A20,INDEX(in_signed_offices!$A$2:$BZ$81,0,MATCH("office_id",in_signed_offices!$A$1:$BZ$1,0)),0),MATCH("agreement_signed_date",in_signed_offices!$A$1:$BZ$1,0))),""))</f>
        <v/>
      </c>
      <c r="AE20" s="25">
        <f>IF($A20="","",IFERROR(IF(INDEX(in_signed_offices!$A$2:$BZ$81,MATCH($A20,INDEX(in_signed_offices!$A$2:$BZ$81,0,MATCH("office_id",in_signed_offices!$A$1:$BZ$1,0)),0),MATCH("founding_roster_named",in_signed_offices!$A$1:$BZ$1,0))="","",INDEX(in_signed_offices!$A$2:$BZ$81,MATCH($A20,INDEX(in_signed_offices!$A$2:$BZ$81,0,MATCH("office_id",in_signed_offices!$A$1:$BZ$1,0)),0),MATCH("founding_roster_named",in_signed_offices!$A$1:$BZ$1,0))),""))</f>
        <v/>
      </c>
      <c r="AF20" s="25">
        <f>IF($A20="","",IFERROR(IF(INDEX(in_signed_offices!$A$2:$BZ$81,MATCH($A20,INDEX(in_signed_offices!$A$2:$BZ$81,0,MATCH("office_id",in_signed_offices!$A$1:$BZ$1,0)),0),MATCH("public_naming_ok",in_signed_offices!$A$1:$BZ$1,0))="","",INDEX(in_signed_offices!$A$2:$BZ$81,MATCH($A20,INDEX(in_signed_offices!$A$2:$BZ$81,0,MATCH("office_id",in_signed_offices!$A$1:$BZ$1,0)),0),MATCH("public_naming_ok",in_signed_offices!$A$1:$BZ$1,0))),""))</f>
        <v/>
      </c>
      <c r="AG20" s="25">
        <f>IF($A20="","",IFERROR(IF(INDEX(in_signed_offices!$A$2:$BZ$81,MATCH($A20,INDEX(in_signed_offices!$A$2:$BZ$81,0,MATCH("office_id",in_signed_offices!$A$1:$BZ$1,0)),0),MATCH("clay_row_id",in_signed_offices!$A$1:$BZ$1,0))="","",INDEX(in_signed_offices!$A$2:$BZ$81,MATCH($A20,INDEX(in_signed_offices!$A$2:$BZ$81,0,MATCH("office_id",in_signed_offices!$A$1:$BZ$1,0)),0),MATCH("clay_row_id",in_signed_offices!$A$1:$BZ$1,0))),""))</f>
        <v/>
      </c>
      <c r="AH20" s="25">
        <f>IF($A20="","",IF($E20&lt;&gt;"",$E20,IFERROR(IF(INDEX(in_signed_offices!$A$2:$BZ$81,MATCH($A20,INDEX(in_signed_offices!$A$2:$BZ$81,0,MATCH("office_id",in_signed_offices!$A$1:$BZ$1,0)),0),MATCH("industry",in_signed_offices!$A$1:$BZ$1,0))="","",INDEX(in_signed_offices!$A$2:$BZ$81,MATCH($A20,INDEX(in_signed_offices!$A$2:$BZ$81,0,MATCH("office_id",in_signed_offices!$A$1:$BZ$1,0)),0),MATCH("industry",in_signed_offices!$A$1:$BZ$1,0))),"")))</f>
        <v/>
      </c>
      <c r="AI20" s="25">
        <f>IF($A20="","",IF($F20&lt;&gt;"",$F20,IF(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lt;&gt;"",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IF($W20="Y",$S20,""))))</f>
        <v/>
      </c>
      <c r="AJ20" s="25">
        <f>IF($A20="","",IF($Q20="","unknown",IF($Q20&lt;40,"under-40",IF($Q20&lt;=75,"40-75",IF($Q20&lt;=150,"76-150",IF($Q20&lt;=250,"151-250",IF($Q20&lt;=500,"251-500","over-500")))))))</f>
        <v/>
      </c>
      <c r="AK20" s="25">
        <f>IF($A20="","",IF($N20="","not on in_signed_offices: paste the outreach file",IF($Q20="","no Tuesday headcount",IF($Q20&lt;30,"below the hard floor of 30",IF($Q20&lt;40,"30 to 39: founder's call",IF($Q20&gt;250,"over 250: outside the plan","OK"))))))</f>
        <v/>
      </c>
      <c r="AL20" s="25">
        <f>IF(OR($A20="",$Q20=""),"",MIN(config!$B$16,MAX(config!$B$15,MROUND(config!$B$13+config!$B$14*$Q20,config!$B$17))))</f>
        <v/>
      </c>
      <c r="AM20" s="25">
        <f>IF($A20="","",COUNTIFS(stops!$B$2:$B$151,$A20,stops!$P$2:$P$151,"&lt;="&amp;IF(config!$B$37&lt;&gt;"",config!$B$37,TODAY())))</f>
        <v/>
      </c>
      <c r="AN20" s="25">
        <f>IF($A20="","",COUNTIFS(stops!$B$2:$B$151,$A20,stops!$L$2:$L$151,"declined"))</f>
        <v/>
      </c>
    </row>
    <row r="21">
      <c r="C21" s="31" t="n"/>
      <c r="D21" s="31" t="n"/>
      <c r="J21" s="9" t="n"/>
      <c r="L21" s="9" t="n"/>
      <c r="N21" s="25">
        <f>IF($A21="","",IFERROR(IF(INDEX(in_signed_offices!$A$2:$BZ$81,MATCH($A21,INDEX(in_signed_offices!$A$2:$BZ$81,0,MATCH("office_id",in_signed_offices!$A$1:$BZ$1,0)),0),MATCH("company",in_signed_offices!$A$1:$BZ$1,0))="","",INDEX(in_signed_offices!$A$2:$BZ$81,MATCH($A21,INDEX(in_signed_offices!$A$2:$BZ$81,0,MATCH("office_id",in_signed_offices!$A$1:$BZ$1,0)),0),MATCH("company",in_signed_offices!$A$1:$BZ$1,0))),""))</f>
        <v/>
      </c>
      <c r="O21" s="25">
        <f>IF($A21="","",IFERROR(IF(INDEX(in_signed_offices!$A$2:$BZ$81,MATCH($A21,INDEX(in_signed_offices!$A$2:$BZ$81,0,MATCH("office_id",in_signed_offices!$A$1:$BZ$1,0)),0),MATCH("office_address",in_signed_offices!$A$1:$BZ$1,0))="","",INDEX(in_signed_offices!$A$2:$BZ$81,MATCH($A21,INDEX(in_signed_offices!$A$2:$BZ$81,0,MATCH("office_id",in_signed_offices!$A$1:$BZ$1,0)),0),MATCH("office_address",in_signed_offices!$A$1:$BZ$1,0))),""))</f>
        <v/>
      </c>
      <c r="P21" s="25">
        <f>IF($A21="","",IFERROR(IF(INDEX(in_signed_offices!$A$2:$BZ$81,MATCH($A21,INDEX(in_signed_offices!$A$2:$BZ$81,0,MATCH("office_id",in_signed_offices!$A$1:$BZ$1,0)),0),MATCH("floor_suite",in_signed_offices!$A$1:$BZ$1,0))="","",INDEX(in_signed_offices!$A$2:$BZ$81,MATCH($A21,INDEX(in_signed_offices!$A$2:$BZ$81,0,MATCH("office_id",in_signed_offices!$A$1:$BZ$1,0)),0),MATCH("floor_suite",in_signed_offices!$A$1:$BZ$1,0))),""))</f>
        <v/>
      </c>
      <c r="Q21" s="25">
        <f>IF($A21="","",IFERROR(IF(INDEX(in_signed_offices!$A$2:$BZ$81,MATCH($A21,INDEX(in_signed_offices!$A$2:$BZ$81,0,MATCH("office_id",in_signed_offices!$A$1:$BZ$1,0)),0),MATCH("tuesday_headcount",in_signed_offices!$A$1:$BZ$1,0))="","",INDEX(in_signed_offices!$A$2:$BZ$81,MATCH($A21,INDEX(in_signed_offices!$A$2:$BZ$81,0,MATCH("office_id",in_signed_offices!$A$1:$BZ$1,0)),0),MATCH("tuesday_headcount",in_signed_offices!$A$1:$BZ$1,0))),""))</f>
        <v/>
      </c>
      <c r="R21" s="25">
        <f>IF($A21="","",IFERROR(IF(INDEX(in_signed_offices!$A$2:$BZ$81,MATCH($A21,INDEX(in_signed_offices!$A$2:$BZ$81,0,MATCH("office_id",in_signed_offices!$A$1:$BZ$1,0)),0),MATCH("contact_name",in_signed_offices!$A$1:$BZ$1,0))="","",INDEX(in_signed_offices!$A$2:$BZ$81,MATCH($A21,INDEX(in_signed_offices!$A$2:$BZ$81,0,MATCH("office_id",in_signed_offices!$A$1:$BZ$1,0)),0),MATCH("contact_name",in_signed_offices!$A$1:$BZ$1,0))),""))</f>
        <v/>
      </c>
      <c r="S21" s="25">
        <f>IF($A21="","",IFERROR(IF(INDEX(in_signed_offices!$A$2:$BZ$81,MATCH($A21,INDEX(in_signed_offices!$A$2:$BZ$81,0,MATCH("office_id",in_signed_offices!$A$1:$BZ$1,0)),0),MATCH("contact_phone",in_signed_offices!$A$1:$BZ$1,0))="","",INDEX(in_signed_offices!$A$2:$BZ$81,MATCH($A21,INDEX(in_signed_offices!$A$2:$BZ$81,0,MATCH("office_id",in_signed_offices!$A$1:$BZ$1,0)),0),MATCH("contact_phone",in_signed_offices!$A$1:$BZ$1,0))),""))</f>
        <v/>
      </c>
      <c r="T21" s="25">
        <f>IF($A21="","",IFERROR(IF(INDEX(in_signed_offices!$A$2:$BZ$81,MATCH($A21,INDEX(in_signed_offices!$A$2:$BZ$81,0,MATCH("office_id",in_signed_offices!$A$1:$BZ$1,0)),0),MATCH("contact_email",in_signed_offices!$A$1:$BZ$1,0))="","",INDEX(in_signed_offices!$A$2:$BZ$81,MATCH($A21,INDEX(in_signed_offices!$A$2:$BZ$81,0,MATCH("office_id",in_signed_offices!$A$1:$BZ$1,0)),0),MATCH("contact_email",in_signed_offices!$A$1:$BZ$1,0))),""))</f>
        <v/>
      </c>
      <c r="U21" s="25">
        <f>IF($A21="","",IFERROR(IF(INDEX(in_signed_offices!$A$2:$BZ$81,MATCH($A21,INDEX(in_signed_offices!$A$2:$BZ$81,0,MATCH("office_id",in_signed_offices!$A$1:$BZ$1,0)),0),MATCH("pantry_owner_name",in_signed_offices!$A$1:$BZ$1,0))="","",INDEX(in_signed_offices!$A$2:$BZ$81,MATCH($A21,INDEX(in_signed_offices!$A$2:$BZ$81,0,MATCH("office_id",in_signed_offices!$A$1:$BZ$1,0)),0),MATCH("pantry_owner_name",in_signed_offices!$A$1:$BZ$1,0))),""))</f>
        <v/>
      </c>
      <c r="V21" s="25">
        <f>IF($A21="","",IFERROR(IF(INDEX(in_signed_offices!$A$2:$BZ$81,MATCH($A21,INDEX(in_signed_offices!$A$2:$BZ$81,0,MATCH("office_id",in_signed_offices!$A$1:$BZ$1,0)),0),MATCH("pantry_owner_title",in_signed_offices!$A$1:$BZ$1,0))="","",INDEX(in_signed_offices!$A$2:$BZ$81,MATCH($A21,INDEX(in_signed_offices!$A$2:$BZ$81,0,MATCH("office_id",in_signed_offices!$A$1:$BZ$1,0)),0),MATCH("pantry_owner_title",in_signed_offices!$A$1:$BZ$1,0))),""))</f>
        <v/>
      </c>
      <c r="W21" s="25">
        <f>IF($A21="","",IFERROR(IF(INDEX(in_signed_offices!$A$2:$BZ$81,MATCH($A21,INDEX(in_signed_offices!$A$2:$BZ$81,0,MATCH("office_id",in_signed_offices!$A$1:$BZ$1,0)),0),MATCH("pantry_owner_is_contact",in_signed_offices!$A$1:$BZ$1,0))="","",INDEX(in_signed_offices!$A$2:$BZ$81,MATCH($A21,INDEX(in_signed_offices!$A$2:$BZ$81,0,MATCH("office_id",in_signed_offices!$A$1:$BZ$1,0)),0),MATCH("pantry_owner_is_contact",in_signed_offices!$A$1:$BZ$1,0))),""))</f>
        <v/>
      </c>
      <c r="X21" s="25">
        <f>IF($A21="","",IFERROR(IF(INDEX(in_signed_offices!$A$2:$BZ$81,MATCH($A21,INDEX(in_signed_offices!$A$2:$BZ$81,0,MATCH("office_id",in_signed_offices!$A$1:$BZ$1,0)),0),MATCH("receiving_type",in_signed_offices!$A$1:$BZ$1,0))="","",INDEX(in_signed_offices!$A$2:$BZ$81,MATCH($A21,INDEX(in_signed_offices!$A$2:$BZ$81,0,MATCH("office_id",in_signed_offices!$A$1:$BZ$1,0)),0),MATCH("receiving_type",in_signed_offices!$A$1:$BZ$1,0))),""))</f>
        <v/>
      </c>
      <c r="Y21" s="25">
        <f>IF($A21="","",IFERROR(IF(INDEX(in_signed_offices!$A$2:$BZ$81,MATCH($A21,INDEX(in_signed_offices!$A$2:$BZ$81,0,MATCH("office_id",in_signed_offices!$A$1:$BZ$1,0)),0),MATCH("receiving_window",in_signed_offices!$A$1:$BZ$1,0))="","",INDEX(in_signed_offices!$A$2:$BZ$81,MATCH($A21,INDEX(in_signed_offices!$A$2:$BZ$81,0,MATCH("office_id",in_signed_offices!$A$1:$BZ$1,0)),0),MATCH("receiving_window",in_signed_offices!$A$1:$BZ$1,0))),""))</f>
        <v/>
      </c>
      <c r="Z21" s="25">
        <f>IF($A21="","",IFERROR(IF(INDEX(in_signed_offices!$A$2:$BZ$81,MATCH($A21,INDEX(in_signed_offices!$A$2:$BZ$81,0,MATCH("office_id",in_signed_offices!$A$1:$BZ$1,0)),0),MATCH("coi_required",in_signed_offices!$A$1:$BZ$1,0))="","",INDEX(in_signed_offices!$A$2:$BZ$81,MATCH($A21,INDEX(in_signed_offices!$A$2:$BZ$81,0,MATCH("office_id",in_signed_offices!$A$1:$BZ$1,0)),0),MATCH("coi_required",in_signed_offices!$A$1:$BZ$1,0))),""))</f>
        <v/>
      </c>
      <c r="AA21" s="25">
        <f>IF($A21="","",IFERROR(IF(INDEX(in_signed_offices!$A$2:$BZ$81,MATCH($A21,INDEX(in_signed_offices!$A$2:$BZ$81,0,MATCH("office_id",in_signed_offices!$A$1:$BZ$1,0)),0),MATCH("survey_channel",in_signed_offices!$A$1:$BZ$1,0))="","",INDEX(in_signed_offices!$A$2:$BZ$81,MATCH($A21,INDEX(in_signed_offices!$A$2:$BZ$81,0,MATCH("office_id",in_signed_offices!$A$1:$BZ$1,0)),0),MATCH("survey_channel",in_signed_offices!$A$1:$BZ$1,0))),""))</f>
        <v/>
      </c>
      <c r="AB21" s="25">
        <f>IF($A21="","",IFERROR(IF(INDEX(in_signed_offices!$A$2:$BZ$81,MATCH($A21,INDEX(in_signed_offices!$A$2:$BZ$81,0,MATCH("office_id",in_signed_offices!$A$1:$BZ$1,0)),0),MATCH("categories_wanted",in_signed_offices!$A$1:$BZ$1,0))="","",INDEX(in_signed_offices!$A$2:$BZ$81,MATCH($A21,INDEX(in_signed_offices!$A$2:$BZ$81,0,MATCH("office_id",in_signed_offices!$A$1:$BZ$1,0)),0),MATCH("categories_wanted",in_signed_offices!$A$1:$BZ$1,0))),""))</f>
        <v/>
      </c>
      <c r="AC21" s="25">
        <f>IF($A21="","",IFERROR(IF(INDEX(in_signed_offices!$A$2:$BZ$81,MATCH($A21,INDEX(in_signed_offices!$A$2:$BZ$81,0,MATCH("office_id",in_signed_offices!$A$1:$BZ$1,0)),0),MATCH("vetoes",in_signed_offices!$A$1:$BZ$1,0))="","",INDEX(in_signed_offices!$A$2:$BZ$81,MATCH($A21,INDEX(in_signed_offices!$A$2:$BZ$81,0,MATCH("office_id",in_signed_offices!$A$1:$BZ$1,0)),0),MATCH("vetoes",in_signed_offices!$A$1:$BZ$1,0))),""))</f>
        <v/>
      </c>
      <c r="AD21" s="26">
        <f>IF($A21="","",IFERROR(IF(INDEX(in_signed_offices!$A$2:$BZ$81,MATCH($A21,INDEX(in_signed_offices!$A$2:$BZ$81,0,MATCH("office_id",in_signed_offices!$A$1:$BZ$1,0)),0),MATCH("agreement_signed_date",in_signed_offices!$A$1:$BZ$1,0))="","",INDEX(in_signed_offices!$A$2:$BZ$81,MATCH($A21,INDEX(in_signed_offices!$A$2:$BZ$81,0,MATCH("office_id",in_signed_offices!$A$1:$BZ$1,0)),0),MATCH("agreement_signed_date",in_signed_offices!$A$1:$BZ$1,0))),""))</f>
        <v/>
      </c>
      <c r="AE21" s="25">
        <f>IF($A21="","",IFERROR(IF(INDEX(in_signed_offices!$A$2:$BZ$81,MATCH($A21,INDEX(in_signed_offices!$A$2:$BZ$81,0,MATCH("office_id",in_signed_offices!$A$1:$BZ$1,0)),0),MATCH("founding_roster_named",in_signed_offices!$A$1:$BZ$1,0))="","",INDEX(in_signed_offices!$A$2:$BZ$81,MATCH($A21,INDEX(in_signed_offices!$A$2:$BZ$81,0,MATCH("office_id",in_signed_offices!$A$1:$BZ$1,0)),0),MATCH("founding_roster_named",in_signed_offices!$A$1:$BZ$1,0))),""))</f>
        <v/>
      </c>
      <c r="AF21" s="25">
        <f>IF($A21="","",IFERROR(IF(INDEX(in_signed_offices!$A$2:$BZ$81,MATCH($A21,INDEX(in_signed_offices!$A$2:$BZ$81,0,MATCH("office_id",in_signed_offices!$A$1:$BZ$1,0)),0),MATCH("public_naming_ok",in_signed_offices!$A$1:$BZ$1,0))="","",INDEX(in_signed_offices!$A$2:$BZ$81,MATCH($A21,INDEX(in_signed_offices!$A$2:$BZ$81,0,MATCH("office_id",in_signed_offices!$A$1:$BZ$1,0)),0),MATCH("public_naming_ok",in_signed_offices!$A$1:$BZ$1,0))),""))</f>
        <v/>
      </c>
      <c r="AG21" s="25">
        <f>IF($A21="","",IFERROR(IF(INDEX(in_signed_offices!$A$2:$BZ$81,MATCH($A21,INDEX(in_signed_offices!$A$2:$BZ$81,0,MATCH("office_id",in_signed_offices!$A$1:$BZ$1,0)),0),MATCH("clay_row_id",in_signed_offices!$A$1:$BZ$1,0))="","",INDEX(in_signed_offices!$A$2:$BZ$81,MATCH($A21,INDEX(in_signed_offices!$A$2:$BZ$81,0,MATCH("office_id",in_signed_offices!$A$1:$BZ$1,0)),0),MATCH("clay_row_id",in_signed_offices!$A$1:$BZ$1,0))),""))</f>
        <v/>
      </c>
      <c r="AH21" s="25">
        <f>IF($A21="","",IF($E21&lt;&gt;"",$E21,IFERROR(IF(INDEX(in_signed_offices!$A$2:$BZ$81,MATCH($A21,INDEX(in_signed_offices!$A$2:$BZ$81,0,MATCH("office_id",in_signed_offices!$A$1:$BZ$1,0)),0),MATCH("industry",in_signed_offices!$A$1:$BZ$1,0))="","",INDEX(in_signed_offices!$A$2:$BZ$81,MATCH($A21,INDEX(in_signed_offices!$A$2:$BZ$81,0,MATCH("office_id",in_signed_offices!$A$1:$BZ$1,0)),0),MATCH("industry",in_signed_offices!$A$1:$BZ$1,0))),"")))</f>
        <v/>
      </c>
      <c r="AI21" s="25">
        <f>IF($A21="","",IF($F21&lt;&gt;"",$F21,IF(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lt;&gt;"",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IF($W21="Y",$S21,""))))</f>
        <v/>
      </c>
      <c r="AJ21" s="25">
        <f>IF($A21="","",IF($Q21="","unknown",IF($Q21&lt;40,"under-40",IF($Q21&lt;=75,"40-75",IF($Q21&lt;=150,"76-150",IF($Q21&lt;=250,"151-250",IF($Q21&lt;=500,"251-500","over-500")))))))</f>
        <v/>
      </c>
      <c r="AK21" s="25">
        <f>IF($A21="","",IF($N21="","not on in_signed_offices: paste the outreach file",IF($Q21="","no Tuesday headcount",IF($Q21&lt;30,"below the hard floor of 30",IF($Q21&lt;40,"30 to 39: founder's call",IF($Q21&gt;250,"over 250: outside the plan","OK"))))))</f>
        <v/>
      </c>
      <c r="AL21" s="25">
        <f>IF(OR($A21="",$Q21=""),"",MIN(config!$B$16,MAX(config!$B$15,MROUND(config!$B$13+config!$B$14*$Q21,config!$B$17))))</f>
        <v/>
      </c>
      <c r="AM21" s="25">
        <f>IF($A21="","",COUNTIFS(stops!$B$2:$B$151,$A21,stops!$P$2:$P$151,"&lt;="&amp;IF(config!$B$37&lt;&gt;"",config!$B$37,TODAY())))</f>
        <v/>
      </c>
      <c r="AN21" s="25">
        <f>IF($A21="","",COUNTIFS(stops!$B$2:$B$151,$A21,stops!$L$2:$L$151,"declined"))</f>
        <v/>
      </c>
    </row>
    <row r="22">
      <c r="C22" s="31" t="n"/>
      <c r="D22" s="31" t="n"/>
      <c r="J22" s="9" t="n"/>
      <c r="L22" s="9" t="n"/>
      <c r="N22" s="25">
        <f>IF($A22="","",IFERROR(IF(INDEX(in_signed_offices!$A$2:$BZ$81,MATCH($A22,INDEX(in_signed_offices!$A$2:$BZ$81,0,MATCH("office_id",in_signed_offices!$A$1:$BZ$1,0)),0),MATCH("company",in_signed_offices!$A$1:$BZ$1,0))="","",INDEX(in_signed_offices!$A$2:$BZ$81,MATCH($A22,INDEX(in_signed_offices!$A$2:$BZ$81,0,MATCH("office_id",in_signed_offices!$A$1:$BZ$1,0)),0),MATCH("company",in_signed_offices!$A$1:$BZ$1,0))),""))</f>
        <v/>
      </c>
      <c r="O22" s="25">
        <f>IF($A22="","",IFERROR(IF(INDEX(in_signed_offices!$A$2:$BZ$81,MATCH($A22,INDEX(in_signed_offices!$A$2:$BZ$81,0,MATCH("office_id",in_signed_offices!$A$1:$BZ$1,0)),0),MATCH("office_address",in_signed_offices!$A$1:$BZ$1,0))="","",INDEX(in_signed_offices!$A$2:$BZ$81,MATCH($A22,INDEX(in_signed_offices!$A$2:$BZ$81,0,MATCH("office_id",in_signed_offices!$A$1:$BZ$1,0)),0),MATCH("office_address",in_signed_offices!$A$1:$BZ$1,0))),""))</f>
        <v/>
      </c>
      <c r="P22" s="25">
        <f>IF($A22="","",IFERROR(IF(INDEX(in_signed_offices!$A$2:$BZ$81,MATCH($A22,INDEX(in_signed_offices!$A$2:$BZ$81,0,MATCH("office_id",in_signed_offices!$A$1:$BZ$1,0)),0),MATCH("floor_suite",in_signed_offices!$A$1:$BZ$1,0))="","",INDEX(in_signed_offices!$A$2:$BZ$81,MATCH($A22,INDEX(in_signed_offices!$A$2:$BZ$81,0,MATCH("office_id",in_signed_offices!$A$1:$BZ$1,0)),0),MATCH("floor_suite",in_signed_offices!$A$1:$BZ$1,0))),""))</f>
        <v/>
      </c>
      <c r="Q22" s="25">
        <f>IF($A22="","",IFERROR(IF(INDEX(in_signed_offices!$A$2:$BZ$81,MATCH($A22,INDEX(in_signed_offices!$A$2:$BZ$81,0,MATCH("office_id",in_signed_offices!$A$1:$BZ$1,0)),0),MATCH("tuesday_headcount",in_signed_offices!$A$1:$BZ$1,0))="","",INDEX(in_signed_offices!$A$2:$BZ$81,MATCH($A22,INDEX(in_signed_offices!$A$2:$BZ$81,0,MATCH("office_id",in_signed_offices!$A$1:$BZ$1,0)),0),MATCH("tuesday_headcount",in_signed_offices!$A$1:$BZ$1,0))),""))</f>
        <v/>
      </c>
      <c r="R22" s="25">
        <f>IF($A22="","",IFERROR(IF(INDEX(in_signed_offices!$A$2:$BZ$81,MATCH($A22,INDEX(in_signed_offices!$A$2:$BZ$81,0,MATCH("office_id",in_signed_offices!$A$1:$BZ$1,0)),0),MATCH("contact_name",in_signed_offices!$A$1:$BZ$1,0))="","",INDEX(in_signed_offices!$A$2:$BZ$81,MATCH($A22,INDEX(in_signed_offices!$A$2:$BZ$81,0,MATCH("office_id",in_signed_offices!$A$1:$BZ$1,0)),0),MATCH("contact_name",in_signed_offices!$A$1:$BZ$1,0))),""))</f>
        <v/>
      </c>
      <c r="S22" s="25">
        <f>IF($A22="","",IFERROR(IF(INDEX(in_signed_offices!$A$2:$BZ$81,MATCH($A22,INDEX(in_signed_offices!$A$2:$BZ$81,0,MATCH("office_id",in_signed_offices!$A$1:$BZ$1,0)),0),MATCH("contact_phone",in_signed_offices!$A$1:$BZ$1,0))="","",INDEX(in_signed_offices!$A$2:$BZ$81,MATCH($A22,INDEX(in_signed_offices!$A$2:$BZ$81,0,MATCH("office_id",in_signed_offices!$A$1:$BZ$1,0)),0),MATCH("contact_phone",in_signed_offices!$A$1:$BZ$1,0))),""))</f>
        <v/>
      </c>
      <c r="T22" s="25">
        <f>IF($A22="","",IFERROR(IF(INDEX(in_signed_offices!$A$2:$BZ$81,MATCH($A22,INDEX(in_signed_offices!$A$2:$BZ$81,0,MATCH("office_id",in_signed_offices!$A$1:$BZ$1,0)),0),MATCH("contact_email",in_signed_offices!$A$1:$BZ$1,0))="","",INDEX(in_signed_offices!$A$2:$BZ$81,MATCH($A22,INDEX(in_signed_offices!$A$2:$BZ$81,0,MATCH("office_id",in_signed_offices!$A$1:$BZ$1,0)),0),MATCH("contact_email",in_signed_offices!$A$1:$BZ$1,0))),""))</f>
        <v/>
      </c>
      <c r="U22" s="25">
        <f>IF($A22="","",IFERROR(IF(INDEX(in_signed_offices!$A$2:$BZ$81,MATCH($A22,INDEX(in_signed_offices!$A$2:$BZ$81,0,MATCH("office_id",in_signed_offices!$A$1:$BZ$1,0)),0),MATCH("pantry_owner_name",in_signed_offices!$A$1:$BZ$1,0))="","",INDEX(in_signed_offices!$A$2:$BZ$81,MATCH($A22,INDEX(in_signed_offices!$A$2:$BZ$81,0,MATCH("office_id",in_signed_offices!$A$1:$BZ$1,0)),0),MATCH("pantry_owner_name",in_signed_offices!$A$1:$BZ$1,0))),""))</f>
        <v/>
      </c>
      <c r="V22" s="25">
        <f>IF($A22="","",IFERROR(IF(INDEX(in_signed_offices!$A$2:$BZ$81,MATCH($A22,INDEX(in_signed_offices!$A$2:$BZ$81,0,MATCH("office_id",in_signed_offices!$A$1:$BZ$1,0)),0),MATCH("pantry_owner_title",in_signed_offices!$A$1:$BZ$1,0))="","",INDEX(in_signed_offices!$A$2:$BZ$81,MATCH($A22,INDEX(in_signed_offices!$A$2:$BZ$81,0,MATCH("office_id",in_signed_offices!$A$1:$BZ$1,0)),0),MATCH("pantry_owner_title",in_signed_offices!$A$1:$BZ$1,0))),""))</f>
        <v/>
      </c>
      <c r="W22" s="25">
        <f>IF($A22="","",IFERROR(IF(INDEX(in_signed_offices!$A$2:$BZ$81,MATCH($A22,INDEX(in_signed_offices!$A$2:$BZ$81,0,MATCH("office_id",in_signed_offices!$A$1:$BZ$1,0)),0),MATCH("pantry_owner_is_contact",in_signed_offices!$A$1:$BZ$1,0))="","",INDEX(in_signed_offices!$A$2:$BZ$81,MATCH($A22,INDEX(in_signed_offices!$A$2:$BZ$81,0,MATCH("office_id",in_signed_offices!$A$1:$BZ$1,0)),0),MATCH("pantry_owner_is_contact",in_signed_offices!$A$1:$BZ$1,0))),""))</f>
        <v/>
      </c>
      <c r="X22" s="25">
        <f>IF($A22="","",IFERROR(IF(INDEX(in_signed_offices!$A$2:$BZ$81,MATCH($A22,INDEX(in_signed_offices!$A$2:$BZ$81,0,MATCH("office_id",in_signed_offices!$A$1:$BZ$1,0)),0),MATCH("receiving_type",in_signed_offices!$A$1:$BZ$1,0))="","",INDEX(in_signed_offices!$A$2:$BZ$81,MATCH($A22,INDEX(in_signed_offices!$A$2:$BZ$81,0,MATCH("office_id",in_signed_offices!$A$1:$BZ$1,0)),0),MATCH("receiving_type",in_signed_offices!$A$1:$BZ$1,0))),""))</f>
        <v/>
      </c>
      <c r="Y22" s="25">
        <f>IF($A22="","",IFERROR(IF(INDEX(in_signed_offices!$A$2:$BZ$81,MATCH($A22,INDEX(in_signed_offices!$A$2:$BZ$81,0,MATCH("office_id",in_signed_offices!$A$1:$BZ$1,0)),0),MATCH("receiving_window",in_signed_offices!$A$1:$BZ$1,0))="","",INDEX(in_signed_offices!$A$2:$BZ$81,MATCH($A22,INDEX(in_signed_offices!$A$2:$BZ$81,0,MATCH("office_id",in_signed_offices!$A$1:$BZ$1,0)),0),MATCH("receiving_window",in_signed_offices!$A$1:$BZ$1,0))),""))</f>
        <v/>
      </c>
      <c r="Z22" s="25">
        <f>IF($A22="","",IFERROR(IF(INDEX(in_signed_offices!$A$2:$BZ$81,MATCH($A22,INDEX(in_signed_offices!$A$2:$BZ$81,0,MATCH("office_id",in_signed_offices!$A$1:$BZ$1,0)),0),MATCH("coi_required",in_signed_offices!$A$1:$BZ$1,0))="","",INDEX(in_signed_offices!$A$2:$BZ$81,MATCH($A22,INDEX(in_signed_offices!$A$2:$BZ$81,0,MATCH("office_id",in_signed_offices!$A$1:$BZ$1,0)),0),MATCH("coi_required",in_signed_offices!$A$1:$BZ$1,0))),""))</f>
        <v/>
      </c>
      <c r="AA22" s="25">
        <f>IF($A22="","",IFERROR(IF(INDEX(in_signed_offices!$A$2:$BZ$81,MATCH($A22,INDEX(in_signed_offices!$A$2:$BZ$81,0,MATCH("office_id",in_signed_offices!$A$1:$BZ$1,0)),0),MATCH("survey_channel",in_signed_offices!$A$1:$BZ$1,0))="","",INDEX(in_signed_offices!$A$2:$BZ$81,MATCH($A22,INDEX(in_signed_offices!$A$2:$BZ$81,0,MATCH("office_id",in_signed_offices!$A$1:$BZ$1,0)),0),MATCH("survey_channel",in_signed_offices!$A$1:$BZ$1,0))),""))</f>
        <v/>
      </c>
      <c r="AB22" s="25">
        <f>IF($A22="","",IFERROR(IF(INDEX(in_signed_offices!$A$2:$BZ$81,MATCH($A22,INDEX(in_signed_offices!$A$2:$BZ$81,0,MATCH("office_id",in_signed_offices!$A$1:$BZ$1,0)),0),MATCH("categories_wanted",in_signed_offices!$A$1:$BZ$1,0))="","",INDEX(in_signed_offices!$A$2:$BZ$81,MATCH($A22,INDEX(in_signed_offices!$A$2:$BZ$81,0,MATCH("office_id",in_signed_offices!$A$1:$BZ$1,0)),0),MATCH("categories_wanted",in_signed_offices!$A$1:$BZ$1,0))),""))</f>
        <v/>
      </c>
      <c r="AC22" s="25">
        <f>IF($A22="","",IFERROR(IF(INDEX(in_signed_offices!$A$2:$BZ$81,MATCH($A22,INDEX(in_signed_offices!$A$2:$BZ$81,0,MATCH("office_id",in_signed_offices!$A$1:$BZ$1,0)),0),MATCH("vetoes",in_signed_offices!$A$1:$BZ$1,0))="","",INDEX(in_signed_offices!$A$2:$BZ$81,MATCH($A22,INDEX(in_signed_offices!$A$2:$BZ$81,0,MATCH("office_id",in_signed_offices!$A$1:$BZ$1,0)),0),MATCH("vetoes",in_signed_offices!$A$1:$BZ$1,0))),""))</f>
        <v/>
      </c>
      <c r="AD22" s="26">
        <f>IF($A22="","",IFERROR(IF(INDEX(in_signed_offices!$A$2:$BZ$81,MATCH($A22,INDEX(in_signed_offices!$A$2:$BZ$81,0,MATCH("office_id",in_signed_offices!$A$1:$BZ$1,0)),0),MATCH("agreement_signed_date",in_signed_offices!$A$1:$BZ$1,0))="","",INDEX(in_signed_offices!$A$2:$BZ$81,MATCH($A22,INDEX(in_signed_offices!$A$2:$BZ$81,0,MATCH("office_id",in_signed_offices!$A$1:$BZ$1,0)),0),MATCH("agreement_signed_date",in_signed_offices!$A$1:$BZ$1,0))),""))</f>
        <v/>
      </c>
      <c r="AE22" s="25">
        <f>IF($A22="","",IFERROR(IF(INDEX(in_signed_offices!$A$2:$BZ$81,MATCH($A22,INDEX(in_signed_offices!$A$2:$BZ$81,0,MATCH("office_id",in_signed_offices!$A$1:$BZ$1,0)),0),MATCH("founding_roster_named",in_signed_offices!$A$1:$BZ$1,0))="","",INDEX(in_signed_offices!$A$2:$BZ$81,MATCH($A22,INDEX(in_signed_offices!$A$2:$BZ$81,0,MATCH("office_id",in_signed_offices!$A$1:$BZ$1,0)),0),MATCH("founding_roster_named",in_signed_offices!$A$1:$BZ$1,0))),""))</f>
        <v/>
      </c>
      <c r="AF22" s="25">
        <f>IF($A22="","",IFERROR(IF(INDEX(in_signed_offices!$A$2:$BZ$81,MATCH($A22,INDEX(in_signed_offices!$A$2:$BZ$81,0,MATCH("office_id",in_signed_offices!$A$1:$BZ$1,0)),0),MATCH("public_naming_ok",in_signed_offices!$A$1:$BZ$1,0))="","",INDEX(in_signed_offices!$A$2:$BZ$81,MATCH($A22,INDEX(in_signed_offices!$A$2:$BZ$81,0,MATCH("office_id",in_signed_offices!$A$1:$BZ$1,0)),0),MATCH("public_naming_ok",in_signed_offices!$A$1:$BZ$1,0))),""))</f>
        <v/>
      </c>
      <c r="AG22" s="25">
        <f>IF($A22="","",IFERROR(IF(INDEX(in_signed_offices!$A$2:$BZ$81,MATCH($A22,INDEX(in_signed_offices!$A$2:$BZ$81,0,MATCH("office_id",in_signed_offices!$A$1:$BZ$1,0)),0),MATCH("clay_row_id",in_signed_offices!$A$1:$BZ$1,0))="","",INDEX(in_signed_offices!$A$2:$BZ$81,MATCH($A22,INDEX(in_signed_offices!$A$2:$BZ$81,0,MATCH("office_id",in_signed_offices!$A$1:$BZ$1,0)),0),MATCH("clay_row_id",in_signed_offices!$A$1:$BZ$1,0))),""))</f>
        <v/>
      </c>
      <c r="AH22" s="25">
        <f>IF($A22="","",IF($E22&lt;&gt;"",$E22,IFERROR(IF(INDEX(in_signed_offices!$A$2:$BZ$81,MATCH($A22,INDEX(in_signed_offices!$A$2:$BZ$81,0,MATCH("office_id",in_signed_offices!$A$1:$BZ$1,0)),0),MATCH("industry",in_signed_offices!$A$1:$BZ$1,0))="","",INDEX(in_signed_offices!$A$2:$BZ$81,MATCH($A22,INDEX(in_signed_offices!$A$2:$BZ$81,0,MATCH("office_id",in_signed_offices!$A$1:$BZ$1,0)),0),MATCH("industry",in_signed_offices!$A$1:$BZ$1,0))),"")))</f>
        <v/>
      </c>
      <c r="AI22" s="25">
        <f>IF($A22="","",IF($F22&lt;&gt;"",$F22,IF(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lt;&gt;"",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IF($W22="Y",$S22,""))))</f>
        <v/>
      </c>
      <c r="AJ22" s="25">
        <f>IF($A22="","",IF($Q22="","unknown",IF($Q22&lt;40,"under-40",IF($Q22&lt;=75,"40-75",IF($Q22&lt;=150,"76-150",IF($Q22&lt;=250,"151-250",IF($Q22&lt;=500,"251-500","over-500")))))))</f>
        <v/>
      </c>
      <c r="AK22" s="25">
        <f>IF($A22="","",IF($N22="","not on in_signed_offices: paste the outreach file",IF($Q22="","no Tuesday headcount",IF($Q22&lt;30,"below the hard floor of 30",IF($Q22&lt;40,"30 to 39: founder's call",IF($Q22&gt;250,"over 250: outside the plan","OK"))))))</f>
        <v/>
      </c>
      <c r="AL22" s="25">
        <f>IF(OR($A22="",$Q22=""),"",MIN(config!$B$16,MAX(config!$B$15,MROUND(config!$B$13+config!$B$14*$Q22,config!$B$17))))</f>
        <v/>
      </c>
      <c r="AM22" s="25">
        <f>IF($A22="","",COUNTIFS(stops!$B$2:$B$151,$A22,stops!$P$2:$P$151,"&lt;="&amp;IF(config!$B$37&lt;&gt;"",config!$B$37,TODAY())))</f>
        <v/>
      </c>
      <c r="AN22" s="25">
        <f>IF($A22="","",COUNTIFS(stops!$B$2:$B$151,$A22,stops!$L$2:$L$151,"declined"))</f>
        <v/>
      </c>
    </row>
    <row r="23">
      <c r="C23" s="31" t="n"/>
      <c r="D23" s="31" t="n"/>
      <c r="J23" s="9" t="n"/>
      <c r="L23" s="9" t="n"/>
      <c r="N23" s="25">
        <f>IF($A23="","",IFERROR(IF(INDEX(in_signed_offices!$A$2:$BZ$81,MATCH($A23,INDEX(in_signed_offices!$A$2:$BZ$81,0,MATCH("office_id",in_signed_offices!$A$1:$BZ$1,0)),0),MATCH("company",in_signed_offices!$A$1:$BZ$1,0))="","",INDEX(in_signed_offices!$A$2:$BZ$81,MATCH($A23,INDEX(in_signed_offices!$A$2:$BZ$81,0,MATCH("office_id",in_signed_offices!$A$1:$BZ$1,0)),0),MATCH("company",in_signed_offices!$A$1:$BZ$1,0))),""))</f>
        <v/>
      </c>
      <c r="O23" s="25">
        <f>IF($A23="","",IFERROR(IF(INDEX(in_signed_offices!$A$2:$BZ$81,MATCH($A23,INDEX(in_signed_offices!$A$2:$BZ$81,0,MATCH("office_id",in_signed_offices!$A$1:$BZ$1,0)),0),MATCH("office_address",in_signed_offices!$A$1:$BZ$1,0))="","",INDEX(in_signed_offices!$A$2:$BZ$81,MATCH($A23,INDEX(in_signed_offices!$A$2:$BZ$81,0,MATCH("office_id",in_signed_offices!$A$1:$BZ$1,0)),0),MATCH("office_address",in_signed_offices!$A$1:$BZ$1,0))),""))</f>
        <v/>
      </c>
      <c r="P23" s="25">
        <f>IF($A23="","",IFERROR(IF(INDEX(in_signed_offices!$A$2:$BZ$81,MATCH($A23,INDEX(in_signed_offices!$A$2:$BZ$81,0,MATCH("office_id",in_signed_offices!$A$1:$BZ$1,0)),0),MATCH("floor_suite",in_signed_offices!$A$1:$BZ$1,0))="","",INDEX(in_signed_offices!$A$2:$BZ$81,MATCH($A23,INDEX(in_signed_offices!$A$2:$BZ$81,0,MATCH("office_id",in_signed_offices!$A$1:$BZ$1,0)),0),MATCH("floor_suite",in_signed_offices!$A$1:$BZ$1,0))),""))</f>
        <v/>
      </c>
      <c r="Q23" s="25">
        <f>IF($A23="","",IFERROR(IF(INDEX(in_signed_offices!$A$2:$BZ$81,MATCH($A23,INDEX(in_signed_offices!$A$2:$BZ$81,0,MATCH("office_id",in_signed_offices!$A$1:$BZ$1,0)),0),MATCH("tuesday_headcount",in_signed_offices!$A$1:$BZ$1,0))="","",INDEX(in_signed_offices!$A$2:$BZ$81,MATCH($A23,INDEX(in_signed_offices!$A$2:$BZ$81,0,MATCH("office_id",in_signed_offices!$A$1:$BZ$1,0)),0),MATCH("tuesday_headcount",in_signed_offices!$A$1:$BZ$1,0))),""))</f>
        <v/>
      </c>
      <c r="R23" s="25">
        <f>IF($A23="","",IFERROR(IF(INDEX(in_signed_offices!$A$2:$BZ$81,MATCH($A23,INDEX(in_signed_offices!$A$2:$BZ$81,0,MATCH("office_id",in_signed_offices!$A$1:$BZ$1,0)),0),MATCH("contact_name",in_signed_offices!$A$1:$BZ$1,0))="","",INDEX(in_signed_offices!$A$2:$BZ$81,MATCH($A23,INDEX(in_signed_offices!$A$2:$BZ$81,0,MATCH("office_id",in_signed_offices!$A$1:$BZ$1,0)),0),MATCH("contact_name",in_signed_offices!$A$1:$BZ$1,0))),""))</f>
        <v/>
      </c>
      <c r="S23" s="25">
        <f>IF($A23="","",IFERROR(IF(INDEX(in_signed_offices!$A$2:$BZ$81,MATCH($A23,INDEX(in_signed_offices!$A$2:$BZ$81,0,MATCH("office_id",in_signed_offices!$A$1:$BZ$1,0)),0),MATCH("contact_phone",in_signed_offices!$A$1:$BZ$1,0))="","",INDEX(in_signed_offices!$A$2:$BZ$81,MATCH($A23,INDEX(in_signed_offices!$A$2:$BZ$81,0,MATCH("office_id",in_signed_offices!$A$1:$BZ$1,0)),0),MATCH("contact_phone",in_signed_offices!$A$1:$BZ$1,0))),""))</f>
        <v/>
      </c>
      <c r="T23" s="25">
        <f>IF($A23="","",IFERROR(IF(INDEX(in_signed_offices!$A$2:$BZ$81,MATCH($A23,INDEX(in_signed_offices!$A$2:$BZ$81,0,MATCH("office_id",in_signed_offices!$A$1:$BZ$1,0)),0),MATCH("contact_email",in_signed_offices!$A$1:$BZ$1,0))="","",INDEX(in_signed_offices!$A$2:$BZ$81,MATCH($A23,INDEX(in_signed_offices!$A$2:$BZ$81,0,MATCH("office_id",in_signed_offices!$A$1:$BZ$1,0)),0),MATCH("contact_email",in_signed_offices!$A$1:$BZ$1,0))),""))</f>
        <v/>
      </c>
      <c r="U23" s="25">
        <f>IF($A23="","",IFERROR(IF(INDEX(in_signed_offices!$A$2:$BZ$81,MATCH($A23,INDEX(in_signed_offices!$A$2:$BZ$81,0,MATCH("office_id",in_signed_offices!$A$1:$BZ$1,0)),0),MATCH("pantry_owner_name",in_signed_offices!$A$1:$BZ$1,0))="","",INDEX(in_signed_offices!$A$2:$BZ$81,MATCH($A23,INDEX(in_signed_offices!$A$2:$BZ$81,0,MATCH("office_id",in_signed_offices!$A$1:$BZ$1,0)),0),MATCH("pantry_owner_name",in_signed_offices!$A$1:$BZ$1,0))),""))</f>
        <v/>
      </c>
      <c r="V23" s="25">
        <f>IF($A23="","",IFERROR(IF(INDEX(in_signed_offices!$A$2:$BZ$81,MATCH($A23,INDEX(in_signed_offices!$A$2:$BZ$81,0,MATCH("office_id",in_signed_offices!$A$1:$BZ$1,0)),0),MATCH("pantry_owner_title",in_signed_offices!$A$1:$BZ$1,0))="","",INDEX(in_signed_offices!$A$2:$BZ$81,MATCH($A23,INDEX(in_signed_offices!$A$2:$BZ$81,0,MATCH("office_id",in_signed_offices!$A$1:$BZ$1,0)),0),MATCH("pantry_owner_title",in_signed_offices!$A$1:$BZ$1,0))),""))</f>
        <v/>
      </c>
      <c r="W23" s="25">
        <f>IF($A23="","",IFERROR(IF(INDEX(in_signed_offices!$A$2:$BZ$81,MATCH($A23,INDEX(in_signed_offices!$A$2:$BZ$81,0,MATCH("office_id",in_signed_offices!$A$1:$BZ$1,0)),0),MATCH("pantry_owner_is_contact",in_signed_offices!$A$1:$BZ$1,0))="","",INDEX(in_signed_offices!$A$2:$BZ$81,MATCH($A23,INDEX(in_signed_offices!$A$2:$BZ$81,0,MATCH("office_id",in_signed_offices!$A$1:$BZ$1,0)),0),MATCH("pantry_owner_is_contact",in_signed_offices!$A$1:$BZ$1,0))),""))</f>
        <v/>
      </c>
      <c r="X23" s="25">
        <f>IF($A23="","",IFERROR(IF(INDEX(in_signed_offices!$A$2:$BZ$81,MATCH($A23,INDEX(in_signed_offices!$A$2:$BZ$81,0,MATCH("office_id",in_signed_offices!$A$1:$BZ$1,0)),0),MATCH("receiving_type",in_signed_offices!$A$1:$BZ$1,0))="","",INDEX(in_signed_offices!$A$2:$BZ$81,MATCH($A23,INDEX(in_signed_offices!$A$2:$BZ$81,0,MATCH("office_id",in_signed_offices!$A$1:$BZ$1,0)),0),MATCH("receiving_type",in_signed_offices!$A$1:$BZ$1,0))),""))</f>
        <v/>
      </c>
      <c r="Y23" s="25">
        <f>IF($A23="","",IFERROR(IF(INDEX(in_signed_offices!$A$2:$BZ$81,MATCH($A23,INDEX(in_signed_offices!$A$2:$BZ$81,0,MATCH("office_id",in_signed_offices!$A$1:$BZ$1,0)),0),MATCH("receiving_window",in_signed_offices!$A$1:$BZ$1,0))="","",INDEX(in_signed_offices!$A$2:$BZ$81,MATCH($A23,INDEX(in_signed_offices!$A$2:$BZ$81,0,MATCH("office_id",in_signed_offices!$A$1:$BZ$1,0)),0),MATCH("receiving_window",in_signed_offices!$A$1:$BZ$1,0))),""))</f>
        <v/>
      </c>
      <c r="Z23" s="25">
        <f>IF($A23="","",IFERROR(IF(INDEX(in_signed_offices!$A$2:$BZ$81,MATCH($A23,INDEX(in_signed_offices!$A$2:$BZ$81,0,MATCH("office_id",in_signed_offices!$A$1:$BZ$1,0)),0),MATCH("coi_required",in_signed_offices!$A$1:$BZ$1,0))="","",INDEX(in_signed_offices!$A$2:$BZ$81,MATCH($A23,INDEX(in_signed_offices!$A$2:$BZ$81,0,MATCH("office_id",in_signed_offices!$A$1:$BZ$1,0)),0),MATCH("coi_required",in_signed_offices!$A$1:$BZ$1,0))),""))</f>
        <v/>
      </c>
      <c r="AA23" s="25">
        <f>IF($A23="","",IFERROR(IF(INDEX(in_signed_offices!$A$2:$BZ$81,MATCH($A23,INDEX(in_signed_offices!$A$2:$BZ$81,0,MATCH("office_id",in_signed_offices!$A$1:$BZ$1,0)),0),MATCH("survey_channel",in_signed_offices!$A$1:$BZ$1,0))="","",INDEX(in_signed_offices!$A$2:$BZ$81,MATCH($A23,INDEX(in_signed_offices!$A$2:$BZ$81,0,MATCH("office_id",in_signed_offices!$A$1:$BZ$1,0)),0),MATCH("survey_channel",in_signed_offices!$A$1:$BZ$1,0))),""))</f>
        <v/>
      </c>
      <c r="AB23" s="25">
        <f>IF($A23="","",IFERROR(IF(INDEX(in_signed_offices!$A$2:$BZ$81,MATCH($A23,INDEX(in_signed_offices!$A$2:$BZ$81,0,MATCH("office_id",in_signed_offices!$A$1:$BZ$1,0)),0),MATCH("categories_wanted",in_signed_offices!$A$1:$BZ$1,0))="","",INDEX(in_signed_offices!$A$2:$BZ$81,MATCH($A23,INDEX(in_signed_offices!$A$2:$BZ$81,0,MATCH("office_id",in_signed_offices!$A$1:$BZ$1,0)),0),MATCH("categories_wanted",in_signed_offices!$A$1:$BZ$1,0))),""))</f>
        <v/>
      </c>
      <c r="AC23" s="25">
        <f>IF($A23="","",IFERROR(IF(INDEX(in_signed_offices!$A$2:$BZ$81,MATCH($A23,INDEX(in_signed_offices!$A$2:$BZ$81,0,MATCH("office_id",in_signed_offices!$A$1:$BZ$1,0)),0),MATCH("vetoes",in_signed_offices!$A$1:$BZ$1,0))="","",INDEX(in_signed_offices!$A$2:$BZ$81,MATCH($A23,INDEX(in_signed_offices!$A$2:$BZ$81,0,MATCH("office_id",in_signed_offices!$A$1:$BZ$1,0)),0),MATCH("vetoes",in_signed_offices!$A$1:$BZ$1,0))),""))</f>
        <v/>
      </c>
      <c r="AD23" s="26">
        <f>IF($A23="","",IFERROR(IF(INDEX(in_signed_offices!$A$2:$BZ$81,MATCH($A23,INDEX(in_signed_offices!$A$2:$BZ$81,0,MATCH("office_id",in_signed_offices!$A$1:$BZ$1,0)),0),MATCH("agreement_signed_date",in_signed_offices!$A$1:$BZ$1,0))="","",INDEX(in_signed_offices!$A$2:$BZ$81,MATCH($A23,INDEX(in_signed_offices!$A$2:$BZ$81,0,MATCH("office_id",in_signed_offices!$A$1:$BZ$1,0)),0),MATCH("agreement_signed_date",in_signed_offices!$A$1:$BZ$1,0))),""))</f>
        <v/>
      </c>
      <c r="AE23" s="25">
        <f>IF($A23="","",IFERROR(IF(INDEX(in_signed_offices!$A$2:$BZ$81,MATCH($A23,INDEX(in_signed_offices!$A$2:$BZ$81,0,MATCH("office_id",in_signed_offices!$A$1:$BZ$1,0)),0),MATCH("founding_roster_named",in_signed_offices!$A$1:$BZ$1,0))="","",INDEX(in_signed_offices!$A$2:$BZ$81,MATCH($A23,INDEX(in_signed_offices!$A$2:$BZ$81,0,MATCH("office_id",in_signed_offices!$A$1:$BZ$1,0)),0),MATCH("founding_roster_named",in_signed_offices!$A$1:$BZ$1,0))),""))</f>
        <v/>
      </c>
      <c r="AF23" s="25">
        <f>IF($A23="","",IFERROR(IF(INDEX(in_signed_offices!$A$2:$BZ$81,MATCH($A23,INDEX(in_signed_offices!$A$2:$BZ$81,0,MATCH("office_id",in_signed_offices!$A$1:$BZ$1,0)),0),MATCH("public_naming_ok",in_signed_offices!$A$1:$BZ$1,0))="","",INDEX(in_signed_offices!$A$2:$BZ$81,MATCH($A23,INDEX(in_signed_offices!$A$2:$BZ$81,0,MATCH("office_id",in_signed_offices!$A$1:$BZ$1,0)),0),MATCH("public_naming_ok",in_signed_offices!$A$1:$BZ$1,0))),""))</f>
        <v/>
      </c>
      <c r="AG23" s="25">
        <f>IF($A23="","",IFERROR(IF(INDEX(in_signed_offices!$A$2:$BZ$81,MATCH($A23,INDEX(in_signed_offices!$A$2:$BZ$81,0,MATCH("office_id",in_signed_offices!$A$1:$BZ$1,0)),0),MATCH("clay_row_id",in_signed_offices!$A$1:$BZ$1,0))="","",INDEX(in_signed_offices!$A$2:$BZ$81,MATCH($A23,INDEX(in_signed_offices!$A$2:$BZ$81,0,MATCH("office_id",in_signed_offices!$A$1:$BZ$1,0)),0),MATCH("clay_row_id",in_signed_offices!$A$1:$BZ$1,0))),""))</f>
        <v/>
      </c>
      <c r="AH23" s="25">
        <f>IF($A23="","",IF($E23&lt;&gt;"",$E23,IFERROR(IF(INDEX(in_signed_offices!$A$2:$BZ$81,MATCH($A23,INDEX(in_signed_offices!$A$2:$BZ$81,0,MATCH("office_id",in_signed_offices!$A$1:$BZ$1,0)),0),MATCH("industry",in_signed_offices!$A$1:$BZ$1,0))="","",INDEX(in_signed_offices!$A$2:$BZ$81,MATCH($A23,INDEX(in_signed_offices!$A$2:$BZ$81,0,MATCH("office_id",in_signed_offices!$A$1:$BZ$1,0)),0),MATCH("industry",in_signed_offices!$A$1:$BZ$1,0))),"")))</f>
        <v/>
      </c>
      <c r="AI23" s="25">
        <f>IF($A23="","",IF($F23&lt;&gt;"",$F23,IF(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lt;&gt;"",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IF($W23="Y",$S23,""))))</f>
        <v/>
      </c>
      <c r="AJ23" s="25">
        <f>IF($A23="","",IF($Q23="","unknown",IF($Q23&lt;40,"under-40",IF($Q23&lt;=75,"40-75",IF($Q23&lt;=150,"76-150",IF($Q23&lt;=250,"151-250",IF($Q23&lt;=500,"251-500","over-500")))))))</f>
        <v/>
      </c>
      <c r="AK23" s="25">
        <f>IF($A23="","",IF($N23="","not on in_signed_offices: paste the outreach file",IF($Q23="","no Tuesday headcount",IF($Q23&lt;30,"below the hard floor of 30",IF($Q23&lt;40,"30 to 39: founder's call",IF($Q23&gt;250,"over 250: outside the plan","OK"))))))</f>
        <v/>
      </c>
      <c r="AL23" s="25">
        <f>IF(OR($A23="",$Q23=""),"",MIN(config!$B$16,MAX(config!$B$15,MROUND(config!$B$13+config!$B$14*$Q23,config!$B$17))))</f>
        <v/>
      </c>
      <c r="AM23" s="25">
        <f>IF($A23="","",COUNTIFS(stops!$B$2:$B$151,$A23,stops!$P$2:$P$151,"&lt;="&amp;IF(config!$B$37&lt;&gt;"",config!$B$37,TODAY())))</f>
        <v/>
      </c>
      <c r="AN23" s="25">
        <f>IF($A23="","",COUNTIFS(stops!$B$2:$B$151,$A23,stops!$L$2:$L$151,"declined"))</f>
        <v/>
      </c>
    </row>
    <row r="24">
      <c r="C24" s="31" t="n"/>
      <c r="D24" s="31" t="n"/>
      <c r="J24" s="9" t="n"/>
      <c r="L24" s="9" t="n"/>
      <c r="N24" s="25">
        <f>IF($A24="","",IFERROR(IF(INDEX(in_signed_offices!$A$2:$BZ$81,MATCH($A24,INDEX(in_signed_offices!$A$2:$BZ$81,0,MATCH("office_id",in_signed_offices!$A$1:$BZ$1,0)),0),MATCH("company",in_signed_offices!$A$1:$BZ$1,0))="","",INDEX(in_signed_offices!$A$2:$BZ$81,MATCH($A24,INDEX(in_signed_offices!$A$2:$BZ$81,0,MATCH("office_id",in_signed_offices!$A$1:$BZ$1,0)),0),MATCH("company",in_signed_offices!$A$1:$BZ$1,0))),""))</f>
        <v/>
      </c>
      <c r="O24" s="25">
        <f>IF($A24="","",IFERROR(IF(INDEX(in_signed_offices!$A$2:$BZ$81,MATCH($A24,INDEX(in_signed_offices!$A$2:$BZ$81,0,MATCH("office_id",in_signed_offices!$A$1:$BZ$1,0)),0),MATCH("office_address",in_signed_offices!$A$1:$BZ$1,0))="","",INDEX(in_signed_offices!$A$2:$BZ$81,MATCH($A24,INDEX(in_signed_offices!$A$2:$BZ$81,0,MATCH("office_id",in_signed_offices!$A$1:$BZ$1,0)),0),MATCH("office_address",in_signed_offices!$A$1:$BZ$1,0))),""))</f>
        <v/>
      </c>
      <c r="P24" s="25">
        <f>IF($A24="","",IFERROR(IF(INDEX(in_signed_offices!$A$2:$BZ$81,MATCH($A24,INDEX(in_signed_offices!$A$2:$BZ$81,0,MATCH("office_id",in_signed_offices!$A$1:$BZ$1,0)),0),MATCH("floor_suite",in_signed_offices!$A$1:$BZ$1,0))="","",INDEX(in_signed_offices!$A$2:$BZ$81,MATCH($A24,INDEX(in_signed_offices!$A$2:$BZ$81,0,MATCH("office_id",in_signed_offices!$A$1:$BZ$1,0)),0),MATCH("floor_suite",in_signed_offices!$A$1:$BZ$1,0))),""))</f>
        <v/>
      </c>
      <c r="Q24" s="25">
        <f>IF($A24="","",IFERROR(IF(INDEX(in_signed_offices!$A$2:$BZ$81,MATCH($A24,INDEX(in_signed_offices!$A$2:$BZ$81,0,MATCH("office_id",in_signed_offices!$A$1:$BZ$1,0)),0),MATCH("tuesday_headcount",in_signed_offices!$A$1:$BZ$1,0))="","",INDEX(in_signed_offices!$A$2:$BZ$81,MATCH($A24,INDEX(in_signed_offices!$A$2:$BZ$81,0,MATCH("office_id",in_signed_offices!$A$1:$BZ$1,0)),0),MATCH("tuesday_headcount",in_signed_offices!$A$1:$BZ$1,0))),""))</f>
        <v/>
      </c>
      <c r="R24" s="25">
        <f>IF($A24="","",IFERROR(IF(INDEX(in_signed_offices!$A$2:$BZ$81,MATCH($A24,INDEX(in_signed_offices!$A$2:$BZ$81,0,MATCH("office_id",in_signed_offices!$A$1:$BZ$1,0)),0),MATCH("contact_name",in_signed_offices!$A$1:$BZ$1,0))="","",INDEX(in_signed_offices!$A$2:$BZ$81,MATCH($A24,INDEX(in_signed_offices!$A$2:$BZ$81,0,MATCH("office_id",in_signed_offices!$A$1:$BZ$1,0)),0),MATCH("contact_name",in_signed_offices!$A$1:$BZ$1,0))),""))</f>
        <v/>
      </c>
      <c r="S24" s="25">
        <f>IF($A24="","",IFERROR(IF(INDEX(in_signed_offices!$A$2:$BZ$81,MATCH($A24,INDEX(in_signed_offices!$A$2:$BZ$81,0,MATCH("office_id",in_signed_offices!$A$1:$BZ$1,0)),0),MATCH("contact_phone",in_signed_offices!$A$1:$BZ$1,0))="","",INDEX(in_signed_offices!$A$2:$BZ$81,MATCH($A24,INDEX(in_signed_offices!$A$2:$BZ$81,0,MATCH("office_id",in_signed_offices!$A$1:$BZ$1,0)),0),MATCH("contact_phone",in_signed_offices!$A$1:$BZ$1,0))),""))</f>
        <v/>
      </c>
      <c r="T24" s="25">
        <f>IF($A24="","",IFERROR(IF(INDEX(in_signed_offices!$A$2:$BZ$81,MATCH($A24,INDEX(in_signed_offices!$A$2:$BZ$81,0,MATCH("office_id",in_signed_offices!$A$1:$BZ$1,0)),0),MATCH("contact_email",in_signed_offices!$A$1:$BZ$1,0))="","",INDEX(in_signed_offices!$A$2:$BZ$81,MATCH($A24,INDEX(in_signed_offices!$A$2:$BZ$81,0,MATCH("office_id",in_signed_offices!$A$1:$BZ$1,0)),0),MATCH("contact_email",in_signed_offices!$A$1:$BZ$1,0))),""))</f>
        <v/>
      </c>
      <c r="U24" s="25">
        <f>IF($A24="","",IFERROR(IF(INDEX(in_signed_offices!$A$2:$BZ$81,MATCH($A24,INDEX(in_signed_offices!$A$2:$BZ$81,0,MATCH("office_id",in_signed_offices!$A$1:$BZ$1,0)),0),MATCH("pantry_owner_name",in_signed_offices!$A$1:$BZ$1,0))="","",INDEX(in_signed_offices!$A$2:$BZ$81,MATCH($A24,INDEX(in_signed_offices!$A$2:$BZ$81,0,MATCH("office_id",in_signed_offices!$A$1:$BZ$1,0)),0),MATCH("pantry_owner_name",in_signed_offices!$A$1:$BZ$1,0))),""))</f>
        <v/>
      </c>
      <c r="V24" s="25">
        <f>IF($A24="","",IFERROR(IF(INDEX(in_signed_offices!$A$2:$BZ$81,MATCH($A24,INDEX(in_signed_offices!$A$2:$BZ$81,0,MATCH("office_id",in_signed_offices!$A$1:$BZ$1,0)),0),MATCH("pantry_owner_title",in_signed_offices!$A$1:$BZ$1,0))="","",INDEX(in_signed_offices!$A$2:$BZ$81,MATCH($A24,INDEX(in_signed_offices!$A$2:$BZ$81,0,MATCH("office_id",in_signed_offices!$A$1:$BZ$1,0)),0),MATCH("pantry_owner_title",in_signed_offices!$A$1:$BZ$1,0))),""))</f>
        <v/>
      </c>
      <c r="W24" s="25">
        <f>IF($A24="","",IFERROR(IF(INDEX(in_signed_offices!$A$2:$BZ$81,MATCH($A24,INDEX(in_signed_offices!$A$2:$BZ$81,0,MATCH("office_id",in_signed_offices!$A$1:$BZ$1,0)),0),MATCH("pantry_owner_is_contact",in_signed_offices!$A$1:$BZ$1,0))="","",INDEX(in_signed_offices!$A$2:$BZ$81,MATCH($A24,INDEX(in_signed_offices!$A$2:$BZ$81,0,MATCH("office_id",in_signed_offices!$A$1:$BZ$1,0)),0),MATCH("pantry_owner_is_contact",in_signed_offices!$A$1:$BZ$1,0))),""))</f>
        <v/>
      </c>
      <c r="X24" s="25">
        <f>IF($A24="","",IFERROR(IF(INDEX(in_signed_offices!$A$2:$BZ$81,MATCH($A24,INDEX(in_signed_offices!$A$2:$BZ$81,0,MATCH("office_id",in_signed_offices!$A$1:$BZ$1,0)),0),MATCH("receiving_type",in_signed_offices!$A$1:$BZ$1,0))="","",INDEX(in_signed_offices!$A$2:$BZ$81,MATCH($A24,INDEX(in_signed_offices!$A$2:$BZ$81,0,MATCH("office_id",in_signed_offices!$A$1:$BZ$1,0)),0),MATCH("receiving_type",in_signed_offices!$A$1:$BZ$1,0))),""))</f>
        <v/>
      </c>
      <c r="Y24" s="25">
        <f>IF($A24="","",IFERROR(IF(INDEX(in_signed_offices!$A$2:$BZ$81,MATCH($A24,INDEX(in_signed_offices!$A$2:$BZ$81,0,MATCH("office_id",in_signed_offices!$A$1:$BZ$1,0)),0),MATCH("receiving_window",in_signed_offices!$A$1:$BZ$1,0))="","",INDEX(in_signed_offices!$A$2:$BZ$81,MATCH($A24,INDEX(in_signed_offices!$A$2:$BZ$81,0,MATCH("office_id",in_signed_offices!$A$1:$BZ$1,0)),0),MATCH("receiving_window",in_signed_offices!$A$1:$BZ$1,0))),""))</f>
        <v/>
      </c>
      <c r="Z24" s="25">
        <f>IF($A24="","",IFERROR(IF(INDEX(in_signed_offices!$A$2:$BZ$81,MATCH($A24,INDEX(in_signed_offices!$A$2:$BZ$81,0,MATCH("office_id",in_signed_offices!$A$1:$BZ$1,0)),0),MATCH("coi_required",in_signed_offices!$A$1:$BZ$1,0))="","",INDEX(in_signed_offices!$A$2:$BZ$81,MATCH($A24,INDEX(in_signed_offices!$A$2:$BZ$81,0,MATCH("office_id",in_signed_offices!$A$1:$BZ$1,0)),0),MATCH("coi_required",in_signed_offices!$A$1:$BZ$1,0))),""))</f>
        <v/>
      </c>
      <c r="AA24" s="25">
        <f>IF($A24="","",IFERROR(IF(INDEX(in_signed_offices!$A$2:$BZ$81,MATCH($A24,INDEX(in_signed_offices!$A$2:$BZ$81,0,MATCH("office_id",in_signed_offices!$A$1:$BZ$1,0)),0),MATCH("survey_channel",in_signed_offices!$A$1:$BZ$1,0))="","",INDEX(in_signed_offices!$A$2:$BZ$81,MATCH($A24,INDEX(in_signed_offices!$A$2:$BZ$81,0,MATCH("office_id",in_signed_offices!$A$1:$BZ$1,0)),0),MATCH("survey_channel",in_signed_offices!$A$1:$BZ$1,0))),""))</f>
        <v/>
      </c>
      <c r="AB24" s="25">
        <f>IF($A24="","",IFERROR(IF(INDEX(in_signed_offices!$A$2:$BZ$81,MATCH($A24,INDEX(in_signed_offices!$A$2:$BZ$81,0,MATCH("office_id",in_signed_offices!$A$1:$BZ$1,0)),0),MATCH("categories_wanted",in_signed_offices!$A$1:$BZ$1,0))="","",INDEX(in_signed_offices!$A$2:$BZ$81,MATCH($A24,INDEX(in_signed_offices!$A$2:$BZ$81,0,MATCH("office_id",in_signed_offices!$A$1:$BZ$1,0)),0),MATCH("categories_wanted",in_signed_offices!$A$1:$BZ$1,0))),""))</f>
        <v/>
      </c>
      <c r="AC24" s="25">
        <f>IF($A24="","",IFERROR(IF(INDEX(in_signed_offices!$A$2:$BZ$81,MATCH($A24,INDEX(in_signed_offices!$A$2:$BZ$81,0,MATCH("office_id",in_signed_offices!$A$1:$BZ$1,0)),0),MATCH("vetoes",in_signed_offices!$A$1:$BZ$1,0))="","",INDEX(in_signed_offices!$A$2:$BZ$81,MATCH($A24,INDEX(in_signed_offices!$A$2:$BZ$81,0,MATCH("office_id",in_signed_offices!$A$1:$BZ$1,0)),0),MATCH("vetoes",in_signed_offices!$A$1:$BZ$1,0))),""))</f>
        <v/>
      </c>
      <c r="AD24" s="26">
        <f>IF($A24="","",IFERROR(IF(INDEX(in_signed_offices!$A$2:$BZ$81,MATCH($A24,INDEX(in_signed_offices!$A$2:$BZ$81,0,MATCH("office_id",in_signed_offices!$A$1:$BZ$1,0)),0),MATCH("agreement_signed_date",in_signed_offices!$A$1:$BZ$1,0))="","",INDEX(in_signed_offices!$A$2:$BZ$81,MATCH($A24,INDEX(in_signed_offices!$A$2:$BZ$81,0,MATCH("office_id",in_signed_offices!$A$1:$BZ$1,0)),0),MATCH("agreement_signed_date",in_signed_offices!$A$1:$BZ$1,0))),""))</f>
        <v/>
      </c>
      <c r="AE24" s="25">
        <f>IF($A24="","",IFERROR(IF(INDEX(in_signed_offices!$A$2:$BZ$81,MATCH($A24,INDEX(in_signed_offices!$A$2:$BZ$81,0,MATCH("office_id",in_signed_offices!$A$1:$BZ$1,0)),0),MATCH("founding_roster_named",in_signed_offices!$A$1:$BZ$1,0))="","",INDEX(in_signed_offices!$A$2:$BZ$81,MATCH($A24,INDEX(in_signed_offices!$A$2:$BZ$81,0,MATCH("office_id",in_signed_offices!$A$1:$BZ$1,0)),0),MATCH("founding_roster_named",in_signed_offices!$A$1:$BZ$1,0))),""))</f>
        <v/>
      </c>
      <c r="AF24" s="25">
        <f>IF($A24="","",IFERROR(IF(INDEX(in_signed_offices!$A$2:$BZ$81,MATCH($A24,INDEX(in_signed_offices!$A$2:$BZ$81,0,MATCH("office_id",in_signed_offices!$A$1:$BZ$1,0)),0),MATCH("public_naming_ok",in_signed_offices!$A$1:$BZ$1,0))="","",INDEX(in_signed_offices!$A$2:$BZ$81,MATCH($A24,INDEX(in_signed_offices!$A$2:$BZ$81,0,MATCH("office_id",in_signed_offices!$A$1:$BZ$1,0)),0),MATCH("public_naming_ok",in_signed_offices!$A$1:$BZ$1,0))),""))</f>
        <v/>
      </c>
      <c r="AG24" s="25">
        <f>IF($A24="","",IFERROR(IF(INDEX(in_signed_offices!$A$2:$BZ$81,MATCH($A24,INDEX(in_signed_offices!$A$2:$BZ$81,0,MATCH("office_id",in_signed_offices!$A$1:$BZ$1,0)),0),MATCH("clay_row_id",in_signed_offices!$A$1:$BZ$1,0))="","",INDEX(in_signed_offices!$A$2:$BZ$81,MATCH($A24,INDEX(in_signed_offices!$A$2:$BZ$81,0,MATCH("office_id",in_signed_offices!$A$1:$BZ$1,0)),0),MATCH("clay_row_id",in_signed_offices!$A$1:$BZ$1,0))),""))</f>
        <v/>
      </c>
      <c r="AH24" s="25">
        <f>IF($A24="","",IF($E24&lt;&gt;"",$E24,IFERROR(IF(INDEX(in_signed_offices!$A$2:$BZ$81,MATCH($A24,INDEX(in_signed_offices!$A$2:$BZ$81,0,MATCH("office_id",in_signed_offices!$A$1:$BZ$1,0)),0),MATCH("industry",in_signed_offices!$A$1:$BZ$1,0))="","",INDEX(in_signed_offices!$A$2:$BZ$81,MATCH($A24,INDEX(in_signed_offices!$A$2:$BZ$81,0,MATCH("office_id",in_signed_offices!$A$1:$BZ$1,0)),0),MATCH("industry",in_signed_offices!$A$1:$BZ$1,0))),"")))</f>
        <v/>
      </c>
      <c r="AI24" s="25">
        <f>IF($A24="","",IF($F24&lt;&gt;"",$F24,IF(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lt;&gt;"",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IF($W24="Y",$S24,""))))</f>
        <v/>
      </c>
      <c r="AJ24" s="25">
        <f>IF($A24="","",IF($Q24="","unknown",IF($Q24&lt;40,"under-40",IF($Q24&lt;=75,"40-75",IF($Q24&lt;=150,"76-150",IF($Q24&lt;=250,"151-250",IF($Q24&lt;=500,"251-500","over-500")))))))</f>
        <v/>
      </c>
      <c r="AK24" s="25">
        <f>IF($A24="","",IF($N24="","not on in_signed_offices: paste the outreach file",IF($Q24="","no Tuesday headcount",IF($Q24&lt;30,"below the hard floor of 30",IF($Q24&lt;40,"30 to 39: founder's call",IF($Q24&gt;250,"over 250: outside the plan","OK"))))))</f>
        <v/>
      </c>
      <c r="AL24" s="25">
        <f>IF(OR($A24="",$Q24=""),"",MIN(config!$B$16,MAX(config!$B$15,MROUND(config!$B$13+config!$B$14*$Q24,config!$B$17))))</f>
        <v/>
      </c>
      <c r="AM24" s="25">
        <f>IF($A24="","",COUNTIFS(stops!$B$2:$B$151,$A24,stops!$P$2:$P$151,"&lt;="&amp;IF(config!$B$37&lt;&gt;"",config!$B$37,TODAY())))</f>
        <v/>
      </c>
      <c r="AN24" s="25">
        <f>IF($A24="","",COUNTIFS(stops!$B$2:$B$151,$A24,stops!$L$2:$L$151,"declined"))</f>
        <v/>
      </c>
    </row>
    <row r="25">
      <c r="C25" s="31" t="n"/>
      <c r="D25" s="31" t="n"/>
      <c r="J25" s="9" t="n"/>
      <c r="L25" s="9" t="n"/>
      <c r="N25" s="25">
        <f>IF($A25="","",IFERROR(IF(INDEX(in_signed_offices!$A$2:$BZ$81,MATCH($A25,INDEX(in_signed_offices!$A$2:$BZ$81,0,MATCH("office_id",in_signed_offices!$A$1:$BZ$1,0)),0),MATCH("company",in_signed_offices!$A$1:$BZ$1,0))="","",INDEX(in_signed_offices!$A$2:$BZ$81,MATCH($A25,INDEX(in_signed_offices!$A$2:$BZ$81,0,MATCH("office_id",in_signed_offices!$A$1:$BZ$1,0)),0),MATCH("company",in_signed_offices!$A$1:$BZ$1,0))),""))</f>
        <v/>
      </c>
      <c r="O25" s="25">
        <f>IF($A25="","",IFERROR(IF(INDEX(in_signed_offices!$A$2:$BZ$81,MATCH($A25,INDEX(in_signed_offices!$A$2:$BZ$81,0,MATCH("office_id",in_signed_offices!$A$1:$BZ$1,0)),0),MATCH("office_address",in_signed_offices!$A$1:$BZ$1,0))="","",INDEX(in_signed_offices!$A$2:$BZ$81,MATCH($A25,INDEX(in_signed_offices!$A$2:$BZ$81,0,MATCH("office_id",in_signed_offices!$A$1:$BZ$1,0)),0),MATCH("office_address",in_signed_offices!$A$1:$BZ$1,0))),""))</f>
        <v/>
      </c>
      <c r="P25" s="25">
        <f>IF($A25="","",IFERROR(IF(INDEX(in_signed_offices!$A$2:$BZ$81,MATCH($A25,INDEX(in_signed_offices!$A$2:$BZ$81,0,MATCH("office_id",in_signed_offices!$A$1:$BZ$1,0)),0),MATCH("floor_suite",in_signed_offices!$A$1:$BZ$1,0))="","",INDEX(in_signed_offices!$A$2:$BZ$81,MATCH($A25,INDEX(in_signed_offices!$A$2:$BZ$81,0,MATCH("office_id",in_signed_offices!$A$1:$BZ$1,0)),0),MATCH("floor_suite",in_signed_offices!$A$1:$BZ$1,0))),""))</f>
        <v/>
      </c>
      <c r="Q25" s="25">
        <f>IF($A25="","",IFERROR(IF(INDEX(in_signed_offices!$A$2:$BZ$81,MATCH($A25,INDEX(in_signed_offices!$A$2:$BZ$81,0,MATCH("office_id",in_signed_offices!$A$1:$BZ$1,0)),0),MATCH("tuesday_headcount",in_signed_offices!$A$1:$BZ$1,0))="","",INDEX(in_signed_offices!$A$2:$BZ$81,MATCH($A25,INDEX(in_signed_offices!$A$2:$BZ$81,0,MATCH("office_id",in_signed_offices!$A$1:$BZ$1,0)),0),MATCH("tuesday_headcount",in_signed_offices!$A$1:$BZ$1,0))),""))</f>
        <v/>
      </c>
      <c r="R25" s="25">
        <f>IF($A25="","",IFERROR(IF(INDEX(in_signed_offices!$A$2:$BZ$81,MATCH($A25,INDEX(in_signed_offices!$A$2:$BZ$81,0,MATCH("office_id",in_signed_offices!$A$1:$BZ$1,0)),0),MATCH("contact_name",in_signed_offices!$A$1:$BZ$1,0))="","",INDEX(in_signed_offices!$A$2:$BZ$81,MATCH($A25,INDEX(in_signed_offices!$A$2:$BZ$81,0,MATCH("office_id",in_signed_offices!$A$1:$BZ$1,0)),0),MATCH("contact_name",in_signed_offices!$A$1:$BZ$1,0))),""))</f>
        <v/>
      </c>
      <c r="S25" s="25">
        <f>IF($A25="","",IFERROR(IF(INDEX(in_signed_offices!$A$2:$BZ$81,MATCH($A25,INDEX(in_signed_offices!$A$2:$BZ$81,0,MATCH("office_id",in_signed_offices!$A$1:$BZ$1,0)),0),MATCH("contact_phone",in_signed_offices!$A$1:$BZ$1,0))="","",INDEX(in_signed_offices!$A$2:$BZ$81,MATCH($A25,INDEX(in_signed_offices!$A$2:$BZ$81,0,MATCH("office_id",in_signed_offices!$A$1:$BZ$1,0)),0),MATCH("contact_phone",in_signed_offices!$A$1:$BZ$1,0))),""))</f>
        <v/>
      </c>
      <c r="T25" s="25">
        <f>IF($A25="","",IFERROR(IF(INDEX(in_signed_offices!$A$2:$BZ$81,MATCH($A25,INDEX(in_signed_offices!$A$2:$BZ$81,0,MATCH("office_id",in_signed_offices!$A$1:$BZ$1,0)),0),MATCH("contact_email",in_signed_offices!$A$1:$BZ$1,0))="","",INDEX(in_signed_offices!$A$2:$BZ$81,MATCH($A25,INDEX(in_signed_offices!$A$2:$BZ$81,0,MATCH("office_id",in_signed_offices!$A$1:$BZ$1,0)),0),MATCH("contact_email",in_signed_offices!$A$1:$BZ$1,0))),""))</f>
        <v/>
      </c>
      <c r="U25" s="25">
        <f>IF($A25="","",IFERROR(IF(INDEX(in_signed_offices!$A$2:$BZ$81,MATCH($A25,INDEX(in_signed_offices!$A$2:$BZ$81,0,MATCH("office_id",in_signed_offices!$A$1:$BZ$1,0)),0),MATCH("pantry_owner_name",in_signed_offices!$A$1:$BZ$1,0))="","",INDEX(in_signed_offices!$A$2:$BZ$81,MATCH($A25,INDEX(in_signed_offices!$A$2:$BZ$81,0,MATCH("office_id",in_signed_offices!$A$1:$BZ$1,0)),0),MATCH("pantry_owner_name",in_signed_offices!$A$1:$BZ$1,0))),""))</f>
        <v/>
      </c>
      <c r="V25" s="25">
        <f>IF($A25="","",IFERROR(IF(INDEX(in_signed_offices!$A$2:$BZ$81,MATCH($A25,INDEX(in_signed_offices!$A$2:$BZ$81,0,MATCH("office_id",in_signed_offices!$A$1:$BZ$1,0)),0),MATCH("pantry_owner_title",in_signed_offices!$A$1:$BZ$1,0))="","",INDEX(in_signed_offices!$A$2:$BZ$81,MATCH($A25,INDEX(in_signed_offices!$A$2:$BZ$81,0,MATCH("office_id",in_signed_offices!$A$1:$BZ$1,0)),0),MATCH("pantry_owner_title",in_signed_offices!$A$1:$BZ$1,0))),""))</f>
        <v/>
      </c>
      <c r="W25" s="25">
        <f>IF($A25="","",IFERROR(IF(INDEX(in_signed_offices!$A$2:$BZ$81,MATCH($A25,INDEX(in_signed_offices!$A$2:$BZ$81,0,MATCH("office_id",in_signed_offices!$A$1:$BZ$1,0)),0),MATCH("pantry_owner_is_contact",in_signed_offices!$A$1:$BZ$1,0))="","",INDEX(in_signed_offices!$A$2:$BZ$81,MATCH($A25,INDEX(in_signed_offices!$A$2:$BZ$81,0,MATCH("office_id",in_signed_offices!$A$1:$BZ$1,0)),0),MATCH("pantry_owner_is_contact",in_signed_offices!$A$1:$BZ$1,0))),""))</f>
        <v/>
      </c>
      <c r="X25" s="25">
        <f>IF($A25="","",IFERROR(IF(INDEX(in_signed_offices!$A$2:$BZ$81,MATCH($A25,INDEX(in_signed_offices!$A$2:$BZ$81,0,MATCH("office_id",in_signed_offices!$A$1:$BZ$1,0)),0),MATCH("receiving_type",in_signed_offices!$A$1:$BZ$1,0))="","",INDEX(in_signed_offices!$A$2:$BZ$81,MATCH($A25,INDEX(in_signed_offices!$A$2:$BZ$81,0,MATCH("office_id",in_signed_offices!$A$1:$BZ$1,0)),0),MATCH("receiving_type",in_signed_offices!$A$1:$BZ$1,0))),""))</f>
        <v/>
      </c>
      <c r="Y25" s="25">
        <f>IF($A25="","",IFERROR(IF(INDEX(in_signed_offices!$A$2:$BZ$81,MATCH($A25,INDEX(in_signed_offices!$A$2:$BZ$81,0,MATCH("office_id",in_signed_offices!$A$1:$BZ$1,0)),0),MATCH("receiving_window",in_signed_offices!$A$1:$BZ$1,0))="","",INDEX(in_signed_offices!$A$2:$BZ$81,MATCH($A25,INDEX(in_signed_offices!$A$2:$BZ$81,0,MATCH("office_id",in_signed_offices!$A$1:$BZ$1,0)),0),MATCH("receiving_window",in_signed_offices!$A$1:$BZ$1,0))),""))</f>
        <v/>
      </c>
      <c r="Z25" s="25">
        <f>IF($A25="","",IFERROR(IF(INDEX(in_signed_offices!$A$2:$BZ$81,MATCH($A25,INDEX(in_signed_offices!$A$2:$BZ$81,0,MATCH("office_id",in_signed_offices!$A$1:$BZ$1,0)),0),MATCH("coi_required",in_signed_offices!$A$1:$BZ$1,0))="","",INDEX(in_signed_offices!$A$2:$BZ$81,MATCH($A25,INDEX(in_signed_offices!$A$2:$BZ$81,0,MATCH("office_id",in_signed_offices!$A$1:$BZ$1,0)),0),MATCH("coi_required",in_signed_offices!$A$1:$BZ$1,0))),""))</f>
        <v/>
      </c>
      <c r="AA25" s="25">
        <f>IF($A25="","",IFERROR(IF(INDEX(in_signed_offices!$A$2:$BZ$81,MATCH($A25,INDEX(in_signed_offices!$A$2:$BZ$81,0,MATCH("office_id",in_signed_offices!$A$1:$BZ$1,0)),0),MATCH("survey_channel",in_signed_offices!$A$1:$BZ$1,0))="","",INDEX(in_signed_offices!$A$2:$BZ$81,MATCH($A25,INDEX(in_signed_offices!$A$2:$BZ$81,0,MATCH("office_id",in_signed_offices!$A$1:$BZ$1,0)),0),MATCH("survey_channel",in_signed_offices!$A$1:$BZ$1,0))),""))</f>
        <v/>
      </c>
      <c r="AB25" s="25">
        <f>IF($A25="","",IFERROR(IF(INDEX(in_signed_offices!$A$2:$BZ$81,MATCH($A25,INDEX(in_signed_offices!$A$2:$BZ$81,0,MATCH("office_id",in_signed_offices!$A$1:$BZ$1,0)),0),MATCH("categories_wanted",in_signed_offices!$A$1:$BZ$1,0))="","",INDEX(in_signed_offices!$A$2:$BZ$81,MATCH($A25,INDEX(in_signed_offices!$A$2:$BZ$81,0,MATCH("office_id",in_signed_offices!$A$1:$BZ$1,0)),0),MATCH("categories_wanted",in_signed_offices!$A$1:$BZ$1,0))),""))</f>
        <v/>
      </c>
      <c r="AC25" s="25">
        <f>IF($A25="","",IFERROR(IF(INDEX(in_signed_offices!$A$2:$BZ$81,MATCH($A25,INDEX(in_signed_offices!$A$2:$BZ$81,0,MATCH("office_id",in_signed_offices!$A$1:$BZ$1,0)),0),MATCH("vetoes",in_signed_offices!$A$1:$BZ$1,0))="","",INDEX(in_signed_offices!$A$2:$BZ$81,MATCH($A25,INDEX(in_signed_offices!$A$2:$BZ$81,0,MATCH("office_id",in_signed_offices!$A$1:$BZ$1,0)),0),MATCH("vetoes",in_signed_offices!$A$1:$BZ$1,0))),""))</f>
        <v/>
      </c>
      <c r="AD25" s="26">
        <f>IF($A25="","",IFERROR(IF(INDEX(in_signed_offices!$A$2:$BZ$81,MATCH($A25,INDEX(in_signed_offices!$A$2:$BZ$81,0,MATCH("office_id",in_signed_offices!$A$1:$BZ$1,0)),0),MATCH("agreement_signed_date",in_signed_offices!$A$1:$BZ$1,0))="","",INDEX(in_signed_offices!$A$2:$BZ$81,MATCH($A25,INDEX(in_signed_offices!$A$2:$BZ$81,0,MATCH("office_id",in_signed_offices!$A$1:$BZ$1,0)),0),MATCH("agreement_signed_date",in_signed_offices!$A$1:$BZ$1,0))),""))</f>
        <v/>
      </c>
      <c r="AE25" s="25">
        <f>IF($A25="","",IFERROR(IF(INDEX(in_signed_offices!$A$2:$BZ$81,MATCH($A25,INDEX(in_signed_offices!$A$2:$BZ$81,0,MATCH("office_id",in_signed_offices!$A$1:$BZ$1,0)),0),MATCH("founding_roster_named",in_signed_offices!$A$1:$BZ$1,0))="","",INDEX(in_signed_offices!$A$2:$BZ$81,MATCH($A25,INDEX(in_signed_offices!$A$2:$BZ$81,0,MATCH("office_id",in_signed_offices!$A$1:$BZ$1,0)),0),MATCH("founding_roster_named",in_signed_offices!$A$1:$BZ$1,0))),""))</f>
        <v/>
      </c>
      <c r="AF25" s="25">
        <f>IF($A25="","",IFERROR(IF(INDEX(in_signed_offices!$A$2:$BZ$81,MATCH($A25,INDEX(in_signed_offices!$A$2:$BZ$81,0,MATCH("office_id",in_signed_offices!$A$1:$BZ$1,0)),0),MATCH("public_naming_ok",in_signed_offices!$A$1:$BZ$1,0))="","",INDEX(in_signed_offices!$A$2:$BZ$81,MATCH($A25,INDEX(in_signed_offices!$A$2:$BZ$81,0,MATCH("office_id",in_signed_offices!$A$1:$BZ$1,0)),0),MATCH("public_naming_ok",in_signed_offices!$A$1:$BZ$1,0))),""))</f>
        <v/>
      </c>
      <c r="AG25" s="25">
        <f>IF($A25="","",IFERROR(IF(INDEX(in_signed_offices!$A$2:$BZ$81,MATCH($A25,INDEX(in_signed_offices!$A$2:$BZ$81,0,MATCH("office_id",in_signed_offices!$A$1:$BZ$1,0)),0),MATCH("clay_row_id",in_signed_offices!$A$1:$BZ$1,0))="","",INDEX(in_signed_offices!$A$2:$BZ$81,MATCH($A25,INDEX(in_signed_offices!$A$2:$BZ$81,0,MATCH("office_id",in_signed_offices!$A$1:$BZ$1,0)),0),MATCH("clay_row_id",in_signed_offices!$A$1:$BZ$1,0))),""))</f>
        <v/>
      </c>
      <c r="AH25" s="25">
        <f>IF($A25="","",IF($E25&lt;&gt;"",$E25,IFERROR(IF(INDEX(in_signed_offices!$A$2:$BZ$81,MATCH($A25,INDEX(in_signed_offices!$A$2:$BZ$81,0,MATCH("office_id",in_signed_offices!$A$1:$BZ$1,0)),0),MATCH("industry",in_signed_offices!$A$1:$BZ$1,0))="","",INDEX(in_signed_offices!$A$2:$BZ$81,MATCH($A25,INDEX(in_signed_offices!$A$2:$BZ$81,0,MATCH("office_id",in_signed_offices!$A$1:$BZ$1,0)),0),MATCH("industry",in_signed_offices!$A$1:$BZ$1,0))),"")))</f>
        <v/>
      </c>
      <c r="AI25" s="25">
        <f>IF($A25="","",IF($F25&lt;&gt;"",$F25,IF(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lt;&gt;"",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IF($W25="Y",$S25,""))))</f>
        <v/>
      </c>
      <c r="AJ25" s="25">
        <f>IF($A25="","",IF($Q25="","unknown",IF($Q25&lt;40,"under-40",IF($Q25&lt;=75,"40-75",IF($Q25&lt;=150,"76-150",IF($Q25&lt;=250,"151-250",IF($Q25&lt;=500,"251-500","over-500")))))))</f>
        <v/>
      </c>
      <c r="AK25" s="25">
        <f>IF($A25="","",IF($N25="","not on in_signed_offices: paste the outreach file",IF($Q25="","no Tuesday headcount",IF($Q25&lt;30,"below the hard floor of 30",IF($Q25&lt;40,"30 to 39: founder's call",IF($Q25&gt;250,"over 250: outside the plan","OK"))))))</f>
        <v/>
      </c>
      <c r="AL25" s="25">
        <f>IF(OR($A25="",$Q25=""),"",MIN(config!$B$16,MAX(config!$B$15,MROUND(config!$B$13+config!$B$14*$Q25,config!$B$17))))</f>
        <v/>
      </c>
      <c r="AM25" s="25">
        <f>IF($A25="","",COUNTIFS(stops!$B$2:$B$151,$A25,stops!$P$2:$P$151,"&lt;="&amp;IF(config!$B$37&lt;&gt;"",config!$B$37,TODAY())))</f>
        <v/>
      </c>
      <c r="AN25" s="25">
        <f>IF($A25="","",COUNTIFS(stops!$B$2:$B$151,$A25,stops!$L$2:$L$151,"declined"))</f>
        <v/>
      </c>
    </row>
    <row r="26">
      <c r="C26" s="31" t="n"/>
      <c r="D26" s="31" t="n"/>
      <c r="J26" s="9" t="n"/>
      <c r="L26" s="9" t="n"/>
      <c r="N26" s="25">
        <f>IF($A26="","",IFERROR(IF(INDEX(in_signed_offices!$A$2:$BZ$81,MATCH($A26,INDEX(in_signed_offices!$A$2:$BZ$81,0,MATCH("office_id",in_signed_offices!$A$1:$BZ$1,0)),0),MATCH("company",in_signed_offices!$A$1:$BZ$1,0))="","",INDEX(in_signed_offices!$A$2:$BZ$81,MATCH($A26,INDEX(in_signed_offices!$A$2:$BZ$81,0,MATCH("office_id",in_signed_offices!$A$1:$BZ$1,0)),0),MATCH("company",in_signed_offices!$A$1:$BZ$1,0))),""))</f>
        <v/>
      </c>
      <c r="O26" s="25">
        <f>IF($A26="","",IFERROR(IF(INDEX(in_signed_offices!$A$2:$BZ$81,MATCH($A26,INDEX(in_signed_offices!$A$2:$BZ$81,0,MATCH("office_id",in_signed_offices!$A$1:$BZ$1,0)),0),MATCH("office_address",in_signed_offices!$A$1:$BZ$1,0))="","",INDEX(in_signed_offices!$A$2:$BZ$81,MATCH($A26,INDEX(in_signed_offices!$A$2:$BZ$81,0,MATCH("office_id",in_signed_offices!$A$1:$BZ$1,0)),0),MATCH("office_address",in_signed_offices!$A$1:$BZ$1,0))),""))</f>
        <v/>
      </c>
      <c r="P26" s="25">
        <f>IF($A26="","",IFERROR(IF(INDEX(in_signed_offices!$A$2:$BZ$81,MATCH($A26,INDEX(in_signed_offices!$A$2:$BZ$81,0,MATCH("office_id",in_signed_offices!$A$1:$BZ$1,0)),0),MATCH("floor_suite",in_signed_offices!$A$1:$BZ$1,0))="","",INDEX(in_signed_offices!$A$2:$BZ$81,MATCH($A26,INDEX(in_signed_offices!$A$2:$BZ$81,0,MATCH("office_id",in_signed_offices!$A$1:$BZ$1,0)),0),MATCH("floor_suite",in_signed_offices!$A$1:$BZ$1,0))),""))</f>
        <v/>
      </c>
      <c r="Q26" s="25">
        <f>IF($A26="","",IFERROR(IF(INDEX(in_signed_offices!$A$2:$BZ$81,MATCH($A26,INDEX(in_signed_offices!$A$2:$BZ$81,0,MATCH("office_id",in_signed_offices!$A$1:$BZ$1,0)),0),MATCH("tuesday_headcount",in_signed_offices!$A$1:$BZ$1,0))="","",INDEX(in_signed_offices!$A$2:$BZ$81,MATCH($A26,INDEX(in_signed_offices!$A$2:$BZ$81,0,MATCH("office_id",in_signed_offices!$A$1:$BZ$1,0)),0),MATCH("tuesday_headcount",in_signed_offices!$A$1:$BZ$1,0))),""))</f>
        <v/>
      </c>
      <c r="R26" s="25">
        <f>IF($A26="","",IFERROR(IF(INDEX(in_signed_offices!$A$2:$BZ$81,MATCH($A26,INDEX(in_signed_offices!$A$2:$BZ$81,0,MATCH("office_id",in_signed_offices!$A$1:$BZ$1,0)),0),MATCH("contact_name",in_signed_offices!$A$1:$BZ$1,0))="","",INDEX(in_signed_offices!$A$2:$BZ$81,MATCH($A26,INDEX(in_signed_offices!$A$2:$BZ$81,0,MATCH("office_id",in_signed_offices!$A$1:$BZ$1,0)),0),MATCH("contact_name",in_signed_offices!$A$1:$BZ$1,0))),""))</f>
        <v/>
      </c>
      <c r="S26" s="25">
        <f>IF($A26="","",IFERROR(IF(INDEX(in_signed_offices!$A$2:$BZ$81,MATCH($A26,INDEX(in_signed_offices!$A$2:$BZ$81,0,MATCH("office_id",in_signed_offices!$A$1:$BZ$1,0)),0),MATCH("contact_phone",in_signed_offices!$A$1:$BZ$1,0))="","",INDEX(in_signed_offices!$A$2:$BZ$81,MATCH($A26,INDEX(in_signed_offices!$A$2:$BZ$81,0,MATCH("office_id",in_signed_offices!$A$1:$BZ$1,0)),0),MATCH("contact_phone",in_signed_offices!$A$1:$BZ$1,0))),""))</f>
        <v/>
      </c>
      <c r="T26" s="25">
        <f>IF($A26="","",IFERROR(IF(INDEX(in_signed_offices!$A$2:$BZ$81,MATCH($A26,INDEX(in_signed_offices!$A$2:$BZ$81,0,MATCH("office_id",in_signed_offices!$A$1:$BZ$1,0)),0),MATCH("contact_email",in_signed_offices!$A$1:$BZ$1,0))="","",INDEX(in_signed_offices!$A$2:$BZ$81,MATCH($A26,INDEX(in_signed_offices!$A$2:$BZ$81,0,MATCH("office_id",in_signed_offices!$A$1:$BZ$1,0)),0),MATCH("contact_email",in_signed_offices!$A$1:$BZ$1,0))),""))</f>
        <v/>
      </c>
      <c r="U26" s="25">
        <f>IF($A26="","",IFERROR(IF(INDEX(in_signed_offices!$A$2:$BZ$81,MATCH($A26,INDEX(in_signed_offices!$A$2:$BZ$81,0,MATCH("office_id",in_signed_offices!$A$1:$BZ$1,0)),0),MATCH("pantry_owner_name",in_signed_offices!$A$1:$BZ$1,0))="","",INDEX(in_signed_offices!$A$2:$BZ$81,MATCH($A26,INDEX(in_signed_offices!$A$2:$BZ$81,0,MATCH("office_id",in_signed_offices!$A$1:$BZ$1,0)),0),MATCH("pantry_owner_name",in_signed_offices!$A$1:$BZ$1,0))),""))</f>
        <v/>
      </c>
      <c r="V26" s="25">
        <f>IF($A26="","",IFERROR(IF(INDEX(in_signed_offices!$A$2:$BZ$81,MATCH($A26,INDEX(in_signed_offices!$A$2:$BZ$81,0,MATCH("office_id",in_signed_offices!$A$1:$BZ$1,0)),0),MATCH("pantry_owner_title",in_signed_offices!$A$1:$BZ$1,0))="","",INDEX(in_signed_offices!$A$2:$BZ$81,MATCH($A26,INDEX(in_signed_offices!$A$2:$BZ$81,0,MATCH("office_id",in_signed_offices!$A$1:$BZ$1,0)),0),MATCH("pantry_owner_title",in_signed_offices!$A$1:$BZ$1,0))),""))</f>
        <v/>
      </c>
      <c r="W26" s="25">
        <f>IF($A26="","",IFERROR(IF(INDEX(in_signed_offices!$A$2:$BZ$81,MATCH($A26,INDEX(in_signed_offices!$A$2:$BZ$81,0,MATCH("office_id",in_signed_offices!$A$1:$BZ$1,0)),0),MATCH("pantry_owner_is_contact",in_signed_offices!$A$1:$BZ$1,0))="","",INDEX(in_signed_offices!$A$2:$BZ$81,MATCH($A26,INDEX(in_signed_offices!$A$2:$BZ$81,0,MATCH("office_id",in_signed_offices!$A$1:$BZ$1,0)),0),MATCH("pantry_owner_is_contact",in_signed_offices!$A$1:$BZ$1,0))),""))</f>
        <v/>
      </c>
      <c r="X26" s="25">
        <f>IF($A26="","",IFERROR(IF(INDEX(in_signed_offices!$A$2:$BZ$81,MATCH($A26,INDEX(in_signed_offices!$A$2:$BZ$81,0,MATCH("office_id",in_signed_offices!$A$1:$BZ$1,0)),0),MATCH("receiving_type",in_signed_offices!$A$1:$BZ$1,0))="","",INDEX(in_signed_offices!$A$2:$BZ$81,MATCH($A26,INDEX(in_signed_offices!$A$2:$BZ$81,0,MATCH("office_id",in_signed_offices!$A$1:$BZ$1,0)),0),MATCH("receiving_type",in_signed_offices!$A$1:$BZ$1,0))),""))</f>
        <v/>
      </c>
      <c r="Y26" s="25">
        <f>IF($A26="","",IFERROR(IF(INDEX(in_signed_offices!$A$2:$BZ$81,MATCH($A26,INDEX(in_signed_offices!$A$2:$BZ$81,0,MATCH("office_id",in_signed_offices!$A$1:$BZ$1,0)),0),MATCH("receiving_window",in_signed_offices!$A$1:$BZ$1,0))="","",INDEX(in_signed_offices!$A$2:$BZ$81,MATCH($A26,INDEX(in_signed_offices!$A$2:$BZ$81,0,MATCH("office_id",in_signed_offices!$A$1:$BZ$1,0)),0),MATCH("receiving_window",in_signed_offices!$A$1:$BZ$1,0))),""))</f>
        <v/>
      </c>
      <c r="Z26" s="25">
        <f>IF($A26="","",IFERROR(IF(INDEX(in_signed_offices!$A$2:$BZ$81,MATCH($A26,INDEX(in_signed_offices!$A$2:$BZ$81,0,MATCH("office_id",in_signed_offices!$A$1:$BZ$1,0)),0),MATCH("coi_required",in_signed_offices!$A$1:$BZ$1,0))="","",INDEX(in_signed_offices!$A$2:$BZ$81,MATCH($A26,INDEX(in_signed_offices!$A$2:$BZ$81,0,MATCH("office_id",in_signed_offices!$A$1:$BZ$1,0)),0),MATCH("coi_required",in_signed_offices!$A$1:$BZ$1,0))),""))</f>
        <v/>
      </c>
      <c r="AA26" s="25">
        <f>IF($A26="","",IFERROR(IF(INDEX(in_signed_offices!$A$2:$BZ$81,MATCH($A26,INDEX(in_signed_offices!$A$2:$BZ$81,0,MATCH("office_id",in_signed_offices!$A$1:$BZ$1,0)),0),MATCH("survey_channel",in_signed_offices!$A$1:$BZ$1,0))="","",INDEX(in_signed_offices!$A$2:$BZ$81,MATCH($A26,INDEX(in_signed_offices!$A$2:$BZ$81,0,MATCH("office_id",in_signed_offices!$A$1:$BZ$1,0)),0),MATCH("survey_channel",in_signed_offices!$A$1:$BZ$1,0))),""))</f>
        <v/>
      </c>
      <c r="AB26" s="25">
        <f>IF($A26="","",IFERROR(IF(INDEX(in_signed_offices!$A$2:$BZ$81,MATCH($A26,INDEX(in_signed_offices!$A$2:$BZ$81,0,MATCH("office_id",in_signed_offices!$A$1:$BZ$1,0)),0),MATCH("categories_wanted",in_signed_offices!$A$1:$BZ$1,0))="","",INDEX(in_signed_offices!$A$2:$BZ$81,MATCH($A26,INDEX(in_signed_offices!$A$2:$BZ$81,0,MATCH("office_id",in_signed_offices!$A$1:$BZ$1,0)),0),MATCH("categories_wanted",in_signed_offices!$A$1:$BZ$1,0))),""))</f>
        <v/>
      </c>
      <c r="AC26" s="25">
        <f>IF($A26="","",IFERROR(IF(INDEX(in_signed_offices!$A$2:$BZ$81,MATCH($A26,INDEX(in_signed_offices!$A$2:$BZ$81,0,MATCH("office_id",in_signed_offices!$A$1:$BZ$1,0)),0),MATCH("vetoes",in_signed_offices!$A$1:$BZ$1,0))="","",INDEX(in_signed_offices!$A$2:$BZ$81,MATCH($A26,INDEX(in_signed_offices!$A$2:$BZ$81,0,MATCH("office_id",in_signed_offices!$A$1:$BZ$1,0)),0),MATCH("vetoes",in_signed_offices!$A$1:$BZ$1,0))),""))</f>
        <v/>
      </c>
      <c r="AD26" s="26">
        <f>IF($A26="","",IFERROR(IF(INDEX(in_signed_offices!$A$2:$BZ$81,MATCH($A26,INDEX(in_signed_offices!$A$2:$BZ$81,0,MATCH("office_id",in_signed_offices!$A$1:$BZ$1,0)),0),MATCH("agreement_signed_date",in_signed_offices!$A$1:$BZ$1,0))="","",INDEX(in_signed_offices!$A$2:$BZ$81,MATCH($A26,INDEX(in_signed_offices!$A$2:$BZ$81,0,MATCH("office_id",in_signed_offices!$A$1:$BZ$1,0)),0),MATCH("agreement_signed_date",in_signed_offices!$A$1:$BZ$1,0))),""))</f>
        <v/>
      </c>
      <c r="AE26" s="25">
        <f>IF($A26="","",IFERROR(IF(INDEX(in_signed_offices!$A$2:$BZ$81,MATCH($A26,INDEX(in_signed_offices!$A$2:$BZ$81,0,MATCH("office_id",in_signed_offices!$A$1:$BZ$1,0)),0),MATCH("founding_roster_named",in_signed_offices!$A$1:$BZ$1,0))="","",INDEX(in_signed_offices!$A$2:$BZ$81,MATCH($A26,INDEX(in_signed_offices!$A$2:$BZ$81,0,MATCH("office_id",in_signed_offices!$A$1:$BZ$1,0)),0),MATCH("founding_roster_named",in_signed_offices!$A$1:$BZ$1,0))),""))</f>
        <v/>
      </c>
      <c r="AF26" s="25">
        <f>IF($A26="","",IFERROR(IF(INDEX(in_signed_offices!$A$2:$BZ$81,MATCH($A26,INDEX(in_signed_offices!$A$2:$BZ$81,0,MATCH("office_id",in_signed_offices!$A$1:$BZ$1,0)),0),MATCH("public_naming_ok",in_signed_offices!$A$1:$BZ$1,0))="","",INDEX(in_signed_offices!$A$2:$BZ$81,MATCH($A26,INDEX(in_signed_offices!$A$2:$BZ$81,0,MATCH("office_id",in_signed_offices!$A$1:$BZ$1,0)),0),MATCH("public_naming_ok",in_signed_offices!$A$1:$BZ$1,0))),""))</f>
        <v/>
      </c>
      <c r="AG26" s="25">
        <f>IF($A26="","",IFERROR(IF(INDEX(in_signed_offices!$A$2:$BZ$81,MATCH($A26,INDEX(in_signed_offices!$A$2:$BZ$81,0,MATCH("office_id",in_signed_offices!$A$1:$BZ$1,0)),0),MATCH("clay_row_id",in_signed_offices!$A$1:$BZ$1,0))="","",INDEX(in_signed_offices!$A$2:$BZ$81,MATCH($A26,INDEX(in_signed_offices!$A$2:$BZ$81,0,MATCH("office_id",in_signed_offices!$A$1:$BZ$1,0)),0),MATCH("clay_row_id",in_signed_offices!$A$1:$BZ$1,0))),""))</f>
        <v/>
      </c>
      <c r="AH26" s="25">
        <f>IF($A26="","",IF($E26&lt;&gt;"",$E26,IFERROR(IF(INDEX(in_signed_offices!$A$2:$BZ$81,MATCH($A26,INDEX(in_signed_offices!$A$2:$BZ$81,0,MATCH("office_id",in_signed_offices!$A$1:$BZ$1,0)),0),MATCH("industry",in_signed_offices!$A$1:$BZ$1,0))="","",INDEX(in_signed_offices!$A$2:$BZ$81,MATCH($A26,INDEX(in_signed_offices!$A$2:$BZ$81,0,MATCH("office_id",in_signed_offices!$A$1:$BZ$1,0)),0),MATCH("industry",in_signed_offices!$A$1:$BZ$1,0))),"")))</f>
        <v/>
      </c>
      <c r="AI26" s="25">
        <f>IF($A26="","",IF($F26&lt;&gt;"",$F26,IF(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lt;&gt;"",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IF($W26="Y",$S26,""))))</f>
        <v/>
      </c>
      <c r="AJ26" s="25">
        <f>IF($A26="","",IF($Q26="","unknown",IF($Q26&lt;40,"under-40",IF($Q26&lt;=75,"40-75",IF($Q26&lt;=150,"76-150",IF($Q26&lt;=250,"151-250",IF($Q26&lt;=500,"251-500","over-500")))))))</f>
        <v/>
      </c>
      <c r="AK26" s="25">
        <f>IF($A26="","",IF($N26="","not on in_signed_offices: paste the outreach file",IF($Q26="","no Tuesday headcount",IF($Q26&lt;30,"below the hard floor of 30",IF($Q26&lt;40,"30 to 39: founder's call",IF($Q26&gt;250,"over 250: outside the plan","OK"))))))</f>
        <v/>
      </c>
      <c r="AL26" s="25">
        <f>IF(OR($A26="",$Q26=""),"",MIN(config!$B$16,MAX(config!$B$15,MROUND(config!$B$13+config!$B$14*$Q26,config!$B$17))))</f>
        <v/>
      </c>
      <c r="AM26" s="25">
        <f>IF($A26="","",COUNTIFS(stops!$B$2:$B$151,$A26,stops!$P$2:$P$151,"&lt;="&amp;IF(config!$B$37&lt;&gt;"",config!$B$37,TODAY())))</f>
        <v/>
      </c>
      <c r="AN26" s="25">
        <f>IF($A26="","",COUNTIFS(stops!$B$2:$B$151,$A26,stops!$L$2:$L$151,"declined"))</f>
        <v/>
      </c>
    </row>
    <row r="27">
      <c r="C27" s="31" t="n"/>
      <c r="D27" s="31" t="n"/>
      <c r="J27" s="9" t="n"/>
      <c r="L27" s="9" t="n"/>
      <c r="N27" s="25">
        <f>IF($A27="","",IFERROR(IF(INDEX(in_signed_offices!$A$2:$BZ$81,MATCH($A27,INDEX(in_signed_offices!$A$2:$BZ$81,0,MATCH("office_id",in_signed_offices!$A$1:$BZ$1,0)),0),MATCH("company",in_signed_offices!$A$1:$BZ$1,0))="","",INDEX(in_signed_offices!$A$2:$BZ$81,MATCH($A27,INDEX(in_signed_offices!$A$2:$BZ$81,0,MATCH("office_id",in_signed_offices!$A$1:$BZ$1,0)),0),MATCH("company",in_signed_offices!$A$1:$BZ$1,0))),""))</f>
        <v/>
      </c>
      <c r="O27" s="25">
        <f>IF($A27="","",IFERROR(IF(INDEX(in_signed_offices!$A$2:$BZ$81,MATCH($A27,INDEX(in_signed_offices!$A$2:$BZ$81,0,MATCH("office_id",in_signed_offices!$A$1:$BZ$1,0)),0),MATCH("office_address",in_signed_offices!$A$1:$BZ$1,0))="","",INDEX(in_signed_offices!$A$2:$BZ$81,MATCH($A27,INDEX(in_signed_offices!$A$2:$BZ$81,0,MATCH("office_id",in_signed_offices!$A$1:$BZ$1,0)),0),MATCH("office_address",in_signed_offices!$A$1:$BZ$1,0))),""))</f>
        <v/>
      </c>
      <c r="P27" s="25">
        <f>IF($A27="","",IFERROR(IF(INDEX(in_signed_offices!$A$2:$BZ$81,MATCH($A27,INDEX(in_signed_offices!$A$2:$BZ$81,0,MATCH("office_id",in_signed_offices!$A$1:$BZ$1,0)),0),MATCH("floor_suite",in_signed_offices!$A$1:$BZ$1,0))="","",INDEX(in_signed_offices!$A$2:$BZ$81,MATCH($A27,INDEX(in_signed_offices!$A$2:$BZ$81,0,MATCH("office_id",in_signed_offices!$A$1:$BZ$1,0)),0),MATCH("floor_suite",in_signed_offices!$A$1:$BZ$1,0))),""))</f>
        <v/>
      </c>
      <c r="Q27" s="25">
        <f>IF($A27="","",IFERROR(IF(INDEX(in_signed_offices!$A$2:$BZ$81,MATCH($A27,INDEX(in_signed_offices!$A$2:$BZ$81,0,MATCH("office_id",in_signed_offices!$A$1:$BZ$1,0)),0),MATCH("tuesday_headcount",in_signed_offices!$A$1:$BZ$1,0))="","",INDEX(in_signed_offices!$A$2:$BZ$81,MATCH($A27,INDEX(in_signed_offices!$A$2:$BZ$81,0,MATCH("office_id",in_signed_offices!$A$1:$BZ$1,0)),0),MATCH("tuesday_headcount",in_signed_offices!$A$1:$BZ$1,0))),""))</f>
        <v/>
      </c>
      <c r="R27" s="25">
        <f>IF($A27="","",IFERROR(IF(INDEX(in_signed_offices!$A$2:$BZ$81,MATCH($A27,INDEX(in_signed_offices!$A$2:$BZ$81,0,MATCH("office_id",in_signed_offices!$A$1:$BZ$1,0)),0),MATCH("contact_name",in_signed_offices!$A$1:$BZ$1,0))="","",INDEX(in_signed_offices!$A$2:$BZ$81,MATCH($A27,INDEX(in_signed_offices!$A$2:$BZ$81,0,MATCH("office_id",in_signed_offices!$A$1:$BZ$1,0)),0),MATCH("contact_name",in_signed_offices!$A$1:$BZ$1,0))),""))</f>
        <v/>
      </c>
      <c r="S27" s="25">
        <f>IF($A27="","",IFERROR(IF(INDEX(in_signed_offices!$A$2:$BZ$81,MATCH($A27,INDEX(in_signed_offices!$A$2:$BZ$81,0,MATCH("office_id",in_signed_offices!$A$1:$BZ$1,0)),0),MATCH("contact_phone",in_signed_offices!$A$1:$BZ$1,0))="","",INDEX(in_signed_offices!$A$2:$BZ$81,MATCH($A27,INDEX(in_signed_offices!$A$2:$BZ$81,0,MATCH("office_id",in_signed_offices!$A$1:$BZ$1,0)),0),MATCH("contact_phone",in_signed_offices!$A$1:$BZ$1,0))),""))</f>
        <v/>
      </c>
      <c r="T27" s="25">
        <f>IF($A27="","",IFERROR(IF(INDEX(in_signed_offices!$A$2:$BZ$81,MATCH($A27,INDEX(in_signed_offices!$A$2:$BZ$81,0,MATCH("office_id",in_signed_offices!$A$1:$BZ$1,0)),0),MATCH("contact_email",in_signed_offices!$A$1:$BZ$1,0))="","",INDEX(in_signed_offices!$A$2:$BZ$81,MATCH($A27,INDEX(in_signed_offices!$A$2:$BZ$81,0,MATCH("office_id",in_signed_offices!$A$1:$BZ$1,0)),0),MATCH("contact_email",in_signed_offices!$A$1:$BZ$1,0))),""))</f>
        <v/>
      </c>
      <c r="U27" s="25">
        <f>IF($A27="","",IFERROR(IF(INDEX(in_signed_offices!$A$2:$BZ$81,MATCH($A27,INDEX(in_signed_offices!$A$2:$BZ$81,0,MATCH("office_id",in_signed_offices!$A$1:$BZ$1,0)),0),MATCH("pantry_owner_name",in_signed_offices!$A$1:$BZ$1,0))="","",INDEX(in_signed_offices!$A$2:$BZ$81,MATCH($A27,INDEX(in_signed_offices!$A$2:$BZ$81,0,MATCH("office_id",in_signed_offices!$A$1:$BZ$1,0)),0),MATCH("pantry_owner_name",in_signed_offices!$A$1:$BZ$1,0))),""))</f>
        <v/>
      </c>
      <c r="V27" s="25">
        <f>IF($A27="","",IFERROR(IF(INDEX(in_signed_offices!$A$2:$BZ$81,MATCH($A27,INDEX(in_signed_offices!$A$2:$BZ$81,0,MATCH("office_id",in_signed_offices!$A$1:$BZ$1,0)),0),MATCH("pantry_owner_title",in_signed_offices!$A$1:$BZ$1,0))="","",INDEX(in_signed_offices!$A$2:$BZ$81,MATCH($A27,INDEX(in_signed_offices!$A$2:$BZ$81,0,MATCH("office_id",in_signed_offices!$A$1:$BZ$1,0)),0),MATCH("pantry_owner_title",in_signed_offices!$A$1:$BZ$1,0))),""))</f>
        <v/>
      </c>
      <c r="W27" s="25">
        <f>IF($A27="","",IFERROR(IF(INDEX(in_signed_offices!$A$2:$BZ$81,MATCH($A27,INDEX(in_signed_offices!$A$2:$BZ$81,0,MATCH("office_id",in_signed_offices!$A$1:$BZ$1,0)),0),MATCH("pantry_owner_is_contact",in_signed_offices!$A$1:$BZ$1,0))="","",INDEX(in_signed_offices!$A$2:$BZ$81,MATCH($A27,INDEX(in_signed_offices!$A$2:$BZ$81,0,MATCH("office_id",in_signed_offices!$A$1:$BZ$1,0)),0),MATCH("pantry_owner_is_contact",in_signed_offices!$A$1:$BZ$1,0))),""))</f>
        <v/>
      </c>
      <c r="X27" s="25">
        <f>IF($A27="","",IFERROR(IF(INDEX(in_signed_offices!$A$2:$BZ$81,MATCH($A27,INDEX(in_signed_offices!$A$2:$BZ$81,0,MATCH("office_id",in_signed_offices!$A$1:$BZ$1,0)),0),MATCH("receiving_type",in_signed_offices!$A$1:$BZ$1,0))="","",INDEX(in_signed_offices!$A$2:$BZ$81,MATCH($A27,INDEX(in_signed_offices!$A$2:$BZ$81,0,MATCH("office_id",in_signed_offices!$A$1:$BZ$1,0)),0),MATCH("receiving_type",in_signed_offices!$A$1:$BZ$1,0))),""))</f>
        <v/>
      </c>
      <c r="Y27" s="25">
        <f>IF($A27="","",IFERROR(IF(INDEX(in_signed_offices!$A$2:$BZ$81,MATCH($A27,INDEX(in_signed_offices!$A$2:$BZ$81,0,MATCH("office_id",in_signed_offices!$A$1:$BZ$1,0)),0),MATCH("receiving_window",in_signed_offices!$A$1:$BZ$1,0))="","",INDEX(in_signed_offices!$A$2:$BZ$81,MATCH($A27,INDEX(in_signed_offices!$A$2:$BZ$81,0,MATCH("office_id",in_signed_offices!$A$1:$BZ$1,0)),0),MATCH("receiving_window",in_signed_offices!$A$1:$BZ$1,0))),""))</f>
        <v/>
      </c>
      <c r="Z27" s="25">
        <f>IF($A27="","",IFERROR(IF(INDEX(in_signed_offices!$A$2:$BZ$81,MATCH($A27,INDEX(in_signed_offices!$A$2:$BZ$81,0,MATCH("office_id",in_signed_offices!$A$1:$BZ$1,0)),0),MATCH("coi_required",in_signed_offices!$A$1:$BZ$1,0))="","",INDEX(in_signed_offices!$A$2:$BZ$81,MATCH($A27,INDEX(in_signed_offices!$A$2:$BZ$81,0,MATCH("office_id",in_signed_offices!$A$1:$BZ$1,0)),0),MATCH("coi_required",in_signed_offices!$A$1:$BZ$1,0))),""))</f>
        <v/>
      </c>
      <c r="AA27" s="25">
        <f>IF($A27="","",IFERROR(IF(INDEX(in_signed_offices!$A$2:$BZ$81,MATCH($A27,INDEX(in_signed_offices!$A$2:$BZ$81,0,MATCH("office_id",in_signed_offices!$A$1:$BZ$1,0)),0),MATCH("survey_channel",in_signed_offices!$A$1:$BZ$1,0))="","",INDEX(in_signed_offices!$A$2:$BZ$81,MATCH($A27,INDEX(in_signed_offices!$A$2:$BZ$81,0,MATCH("office_id",in_signed_offices!$A$1:$BZ$1,0)),0),MATCH("survey_channel",in_signed_offices!$A$1:$BZ$1,0))),""))</f>
        <v/>
      </c>
      <c r="AB27" s="25">
        <f>IF($A27="","",IFERROR(IF(INDEX(in_signed_offices!$A$2:$BZ$81,MATCH($A27,INDEX(in_signed_offices!$A$2:$BZ$81,0,MATCH("office_id",in_signed_offices!$A$1:$BZ$1,0)),0),MATCH("categories_wanted",in_signed_offices!$A$1:$BZ$1,0))="","",INDEX(in_signed_offices!$A$2:$BZ$81,MATCH($A27,INDEX(in_signed_offices!$A$2:$BZ$81,0,MATCH("office_id",in_signed_offices!$A$1:$BZ$1,0)),0),MATCH("categories_wanted",in_signed_offices!$A$1:$BZ$1,0))),""))</f>
        <v/>
      </c>
      <c r="AC27" s="25">
        <f>IF($A27="","",IFERROR(IF(INDEX(in_signed_offices!$A$2:$BZ$81,MATCH($A27,INDEX(in_signed_offices!$A$2:$BZ$81,0,MATCH("office_id",in_signed_offices!$A$1:$BZ$1,0)),0),MATCH("vetoes",in_signed_offices!$A$1:$BZ$1,0))="","",INDEX(in_signed_offices!$A$2:$BZ$81,MATCH($A27,INDEX(in_signed_offices!$A$2:$BZ$81,0,MATCH("office_id",in_signed_offices!$A$1:$BZ$1,0)),0),MATCH("vetoes",in_signed_offices!$A$1:$BZ$1,0))),""))</f>
        <v/>
      </c>
      <c r="AD27" s="26">
        <f>IF($A27="","",IFERROR(IF(INDEX(in_signed_offices!$A$2:$BZ$81,MATCH($A27,INDEX(in_signed_offices!$A$2:$BZ$81,0,MATCH("office_id",in_signed_offices!$A$1:$BZ$1,0)),0),MATCH("agreement_signed_date",in_signed_offices!$A$1:$BZ$1,0))="","",INDEX(in_signed_offices!$A$2:$BZ$81,MATCH($A27,INDEX(in_signed_offices!$A$2:$BZ$81,0,MATCH("office_id",in_signed_offices!$A$1:$BZ$1,0)),0),MATCH("agreement_signed_date",in_signed_offices!$A$1:$BZ$1,0))),""))</f>
        <v/>
      </c>
      <c r="AE27" s="25">
        <f>IF($A27="","",IFERROR(IF(INDEX(in_signed_offices!$A$2:$BZ$81,MATCH($A27,INDEX(in_signed_offices!$A$2:$BZ$81,0,MATCH("office_id",in_signed_offices!$A$1:$BZ$1,0)),0),MATCH("founding_roster_named",in_signed_offices!$A$1:$BZ$1,0))="","",INDEX(in_signed_offices!$A$2:$BZ$81,MATCH($A27,INDEX(in_signed_offices!$A$2:$BZ$81,0,MATCH("office_id",in_signed_offices!$A$1:$BZ$1,0)),0),MATCH("founding_roster_named",in_signed_offices!$A$1:$BZ$1,0))),""))</f>
        <v/>
      </c>
      <c r="AF27" s="25">
        <f>IF($A27="","",IFERROR(IF(INDEX(in_signed_offices!$A$2:$BZ$81,MATCH($A27,INDEX(in_signed_offices!$A$2:$BZ$81,0,MATCH("office_id",in_signed_offices!$A$1:$BZ$1,0)),0),MATCH("public_naming_ok",in_signed_offices!$A$1:$BZ$1,0))="","",INDEX(in_signed_offices!$A$2:$BZ$81,MATCH($A27,INDEX(in_signed_offices!$A$2:$BZ$81,0,MATCH("office_id",in_signed_offices!$A$1:$BZ$1,0)),0),MATCH("public_naming_ok",in_signed_offices!$A$1:$BZ$1,0))),""))</f>
        <v/>
      </c>
      <c r="AG27" s="25">
        <f>IF($A27="","",IFERROR(IF(INDEX(in_signed_offices!$A$2:$BZ$81,MATCH($A27,INDEX(in_signed_offices!$A$2:$BZ$81,0,MATCH("office_id",in_signed_offices!$A$1:$BZ$1,0)),0),MATCH("clay_row_id",in_signed_offices!$A$1:$BZ$1,0))="","",INDEX(in_signed_offices!$A$2:$BZ$81,MATCH($A27,INDEX(in_signed_offices!$A$2:$BZ$81,0,MATCH("office_id",in_signed_offices!$A$1:$BZ$1,0)),0),MATCH("clay_row_id",in_signed_offices!$A$1:$BZ$1,0))),""))</f>
        <v/>
      </c>
      <c r="AH27" s="25">
        <f>IF($A27="","",IF($E27&lt;&gt;"",$E27,IFERROR(IF(INDEX(in_signed_offices!$A$2:$BZ$81,MATCH($A27,INDEX(in_signed_offices!$A$2:$BZ$81,0,MATCH("office_id",in_signed_offices!$A$1:$BZ$1,0)),0),MATCH("industry",in_signed_offices!$A$1:$BZ$1,0))="","",INDEX(in_signed_offices!$A$2:$BZ$81,MATCH($A27,INDEX(in_signed_offices!$A$2:$BZ$81,0,MATCH("office_id",in_signed_offices!$A$1:$BZ$1,0)),0),MATCH("industry",in_signed_offices!$A$1:$BZ$1,0))),"")))</f>
        <v/>
      </c>
      <c r="AI27" s="25">
        <f>IF($A27="","",IF($F27&lt;&gt;"",$F27,IF(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lt;&gt;"",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IF($W27="Y",$S27,""))))</f>
        <v/>
      </c>
      <c r="AJ27" s="25">
        <f>IF($A27="","",IF($Q27="","unknown",IF($Q27&lt;40,"under-40",IF($Q27&lt;=75,"40-75",IF($Q27&lt;=150,"76-150",IF($Q27&lt;=250,"151-250",IF($Q27&lt;=500,"251-500","over-500")))))))</f>
        <v/>
      </c>
      <c r="AK27" s="25">
        <f>IF($A27="","",IF($N27="","not on in_signed_offices: paste the outreach file",IF($Q27="","no Tuesday headcount",IF($Q27&lt;30,"below the hard floor of 30",IF($Q27&lt;40,"30 to 39: founder's call",IF($Q27&gt;250,"over 250: outside the plan","OK"))))))</f>
        <v/>
      </c>
      <c r="AL27" s="25">
        <f>IF(OR($A27="",$Q27=""),"",MIN(config!$B$16,MAX(config!$B$15,MROUND(config!$B$13+config!$B$14*$Q27,config!$B$17))))</f>
        <v/>
      </c>
      <c r="AM27" s="25">
        <f>IF($A27="","",COUNTIFS(stops!$B$2:$B$151,$A27,stops!$P$2:$P$151,"&lt;="&amp;IF(config!$B$37&lt;&gt;"",config!$B$37,TODAY())))</f>
        <v/>
      </c>
      <c r="AN27" s="25">
        <f>IF($A27="","",COUNTIFS(stops!$B$2:$B$151,$A27,stops!$L$2:$L$151,"declined"))</f>
        <v/>
      </c>
    </row>
    <row r="28">
      <c r="C28" s="31" t="n"/>
      <c r="D28" s="31" t="n"/>
      <c r="J28" s="9" t="n"/>
      <c r="L28" s="9" t="n"/>
      <c r="N28" s="25">
        <f>IF($A28="","",IFERROR(IF(INDEX(in_signed_offices!$A$2:$BZ$81,MATCH($A28,INDEX(in_signed_offices!$A$2:$BZ$81,0,MATCH("office_id",in_signed_offices!$A$1:$BZ$1,0)),0),MATCH("company",in_signed_offices!$A$1:$BZ$1,0))="","",INDEX(in_signed_offices!$A$2:$BZ$81,MATCH($A28,INDEX(in_signed_offices!$A$2:$BZ$81,0,MATCH("office_id",in_signed_offices!$A$1:$BZ$1,0)),0),MATCH("company",in_signed_offices!$A$1:$BZ$1,0))),""))</f>
        <v/>
      </c>
      <c r="O28" s="25">
        <f>IF($A28="","",IFERROR(IF(INDEX(in_signed_offices!$A$2:$BZ$81,MATCH($A28,INDEX(in_signed_offices!$A$2:$BZ$81,0,MATCH("office_id",in_signed_offices!$A$1:$BZ$1,0)),0),MATCH("office_address",in_signed_offices!$A$1:$BZ$1,0))="","",INDEX(in_signed_offices!$A$2:$BZ$81,MATCH($A28,INDEX(in_signed_offices!$A$2:$BZ$81,0,MATCH("office_id",in_signed_offices!$A$1:$BZ$1,0)),0),MATCH("office_address",in_signed_offices!$A$1:$BZ$1,0))),""))</f>
        <v/>
      </c>
      <c r="P28" s="25">
        <f>IF($A28="","",IFERROR(IF(INDEX(in_signed_offices!$A$2:$BZ$81,MATCH($A28,INDEX(in_signed_offices!$A$2:$BZ$81,0,MATCH("office_id",in_signed_offices!$A$1:$BZ$1,0)),0),MATCH("floor_suite",in_signed_offices!$A$1:$BZ$1,0))="","",INDEX(in_signed_offices!$A$2:$BZ$81,MATCH($A28,INDEX(in_signed_offices!$A$2:$BZ$81,0,MATCH("office_id",in_signed_offices!$A$1:$BZ$1,0)),0),MATCH("floor_suite",in_signed_offices!$A$1:$BZ$1,0))),""))</f>
        <v/>
      </c>
      <c r="Q28" s="25">
        <f>IF($A28="","",IFERROR(IF(INDEX(in_signed_offices!$A$2:$BZ$81,MATCH($A28,INDEX(in_signed_offices!$A$2:$BZ$81,0,MATCH("office_id",in_signed_offices!$A$1:$BZ$1,0)),0),MATCH("tuesday_headcount",in_signed_offices!$A$1:$BZ$1,0))="","",INDEX(in_signed_offices!$A$2:$BZ$81,MATCH($A28,INDEX(in_signed_offices!$A$2:$BZ$81,0,MATCH("office_id",in_signed_offices!$A$1:$BZ$1,0)),0),MATCH("tuesday_headcount",in_signed_offices!$A$1:$BZ$1,0))),""))</f>
        <v/>
      </c>
      <c r="R28" s="25">
        <f>IF($A28="","",IFERROR(IF(INDEX(in_signed_offices!$A$2:$BZ$81,MATCH($A28,INDEX(in_signed_offices!$A$2:$BZ$81,0,MATCH("office_id",in_signed_offices!$A$1:$BZ$1,0)),0),MATCH("contact_name",in_signed_offices!$A$1:$BZ$1,0))="","",INDEX(in_signed_offices!$A$2:$BZ$81,MATCH($A28,INDEX(in_signed_offices!$A$2:$BZ$81,0,MATCH("office_id",in_signed_offices!$A$1:$BZ$1,0)),0),MATCH("contact_name",in_signed_offices!$A$1:$BZ$1,0))),""))</f>
        <v/>
      </c>
      <c r="S28" s="25">
        <f>IF($A28="","",IFERROR(IF(INDEX(in_signed_offices!$A$2:$BZ$81,MATCH($A28,INDEX(in_signed_offices!$A$2:$BZ$81,0,MATCH("office_id",in_signed_offices!$A$1:$BZ$1,0)),0),MATCH("contact_phone",in_signed_offices!$A$1:$BZ$1,0))="","",INDEX(in_signed_offices!$A$2:$BZ$81,MATCH($A28,INDEX(in_signed_offices!$A$2:$BZ$81,0,MATCH("office_id",in_signed_offices!$A$1:$BZ$1,0)),0),MATCH("contact_phone",in_signed_offices!$A$1:$BZ$1,0))),""))</f>
        <v/>
      </c>
      <c r="T28" s="25">
        <f>IF($A28="","",IFERROR(IF(INDEX(in_signed_offices!$A$2:$BZ$81,MATCH($A28,INDEX(in_signed_offices!$A$2:$BZ$81,0,MATCH("office_id",in_signed_offices!$A$1:$BZ$1,0)),0),MATCH("contact_email",in_signed_offices!$A$1:$BZ$1,0))="","",INDEX(in_signed_offices!$A$2:$BZ$81,MATCH($A28,INDEX(in_signed_offices!$A$2:$BZ$81,0,MATCH("office_id",in_signed_offices!$A$1:$BZ$1,0)),0),MATCH("contact_email",in_signed_offices!$A$1:$BZ$1,0))),""))</f>
        <v/>
      </c>
      <c r="U28" s="25">
        <f>IF($A28="","",IFERROR(IF(INDEX(in_signed_offices!$A$2:$BZ$81,MATCH($A28,INDEX(in_signed_offices!$A$2:$BZ$81,0,MATCH("office_id",in_signed_offices!$A$1:$BZ$1,0)),0),MATCH("pantry_owner_name",in_signed_offices!$A$1:$BZ$1,0))="","",INDEX(in_signed_offices!$A$2:$BZ$81,MATCH($A28,INDEX(in_signed_offices!$A$2:$BZ$81,0,MATCH("office_id",in_signed_offices!$A$1:$BZ$1,0)),0),MATCH("pantry_owner_name",in_signed_offices!$A$1:$BZ$1,0))),""))</f>
        <v/>
      </c>
      <c r="V28" s="25">
        <f>IF($A28="","",IFERROR(IF(INDEX(in_signed_offices!$A$2:$BZ$81,MATCH($A28,INDEX(in_signed_offices!$A$2:$BZ$81,0,MATCH("office_id",in_signed_offices!$A$1:$BZ$1,0)),0),MATCH("pantry_owner_title",in_signed_offices!$A$1:$BZ$1,0))="","",INDEX(in_signed_offices!$A$2:$BZ$81,MATCH($A28,INDEX(in_signed_offices!$A$2:$BZ$81,0,MATCH("office_id",in_signed_offices!$A$1:$BZ$1,0)),0),MATCH("pantry_owner_title",in_signed_offices!$A$1:$BZ$1,0))),""))</f>
        <v/>
      </c>
      <c r="W28" s="25">
        <f>IF($A28="","",IFERROR(IF(INDEX(in_signed_offices!$A$2:$BZ$81,MATCH($A28,INDEX(in_signed_offices!$A$2:$BZ$81,0,MATCH("office_id",in_signed_offices!$A$1:$BZ$1,0)),0),MATCH("pantry_owner_is_contact",in_signed_offices!$A$1:$BZ$1,0))="","",INDEX(in_signed_offices!$A$2:$BZ$81,MATCH($A28,INDEX(in_signed_offices!$A$2:$BZ$81,0,MATCH("office_id",in_signed_offices!$A$1:$BZ$1,0)),0),MATCH("pantry_owner_is_contact",in_signed_offices!$A$1:$BZ$1,0))),""))</f>
        <v/>
      </c>
      <c r="X28" s="25">
        <f>IF($A28="","",IFERROR(IF(INDEX(in_signed_offices!$A$2:$BZ$81,MATCH($A28,INDEX(in_signed_offices!$A$2:$BZ$81,0,MATCH("office_id",in_signed_offices!$A$1:$BZ$1,0)),0),MATCH("receiving_type",in_signed_offices!$A$1:$BZ$1,0))="","",INDEX(in_signed_offices!$A$2:$BZ$81,MATCH($A28,INDEX(in_signed_offices!$A$2:$BZ$81,0,MATCH("office_id",in_signed_offices!$A$1:$BZ$1,0)),0),MATCH("receiving_type",in_signed_offices!$A$1:$BZ$1,0))),""))</f>
        <v/>
      </c>
      <c r="Y28" s="25">
        <f>IF($A28="","",IFERROR(IF(INDEX(in_signed_offices!$A$2:$BZ$81,MATCH($A28,INDEX(in_signed_offices!$A$2:$BZ$81,0,MATCH("office_id",in_signed_offices!$A$1:$BZ$1,0)),0),MATCH("receiving_window",in_signed_offices!$A$1:$BZ$1,0))="","",INDEX(in_signed_offices!$A$2:$BZ$81,MATCH($A28,INDEX(in_signed_offices!$A$2:$BZ$81,0,MATCH("office_id",in_signed_offices!$A$1:$BZ$1,0)),0),MATCH("receiving_window",in_signed_offices!$A$1:$BZ$1,0))),""))</f>
        <v/>
      </c>
      <c r="Z28" s="25">
        <f>IF($A28="","",IFERROR(IF(INDEX(in_signed_offices!$A$2:$BZ$81,MATCH($A28,INDEX(in_signed_offices!$A$2:$BZ$81,0,MATCH("office_id",in_signed_offices!$A$1:$BZ$1,0)),0),MATCH("coi_required",in_signed_offices!$A$1:$BZ$1,0))="","",INDEX(in_signed_offices!$A$2:$BZ$81,MATCH($A28,INDEX(in_signed_offices!$A$2:$BZ$81,0,MATCH("office_id",in_signed_offices!$A$1:$BZ$1,0)),0),MATCH("coi_required",in_signed_offices!$A$1:$BZ$1,0))),""))</f>
        <v/>
      </c>
      <c r="AA28" s="25">
        <f>IF($A28="","",IFERROR(IF(INDEX(in_signed_offices!$A$2:$BZ$81,MATCH($A28,INDEX(in_signed_offices!$A$2:$BZ$81,0,MATCH("office_id",in_signed_offices!$A$1:$BZ$1,0)),0),MATCH("survey_channel",in_signed_offices!$A$1:$BZ$1,0))="","",INDEX(in_signed_offices!$A$2:$BZ$81,MATCH($A28,INDEX(in_signed_offices!$A$2:$BZ$81,0,MATCH("office_id",in_signed_offices!$A$1:$BZ$1,0)),0),MATCH("survey_channel",in_signed_offices!$A$1:$BZ$1,0))),""))</f>
        <v/>
      </c>
      <c r="AB28" s="25">
        <f>IF($A28="","",IFERROR(IF(INDEX(in_signed_offices!$A$2:$BZ$81,MATCH($A28,INDEX(in_signed_offices!$A$2:$BZ$81,0,MATCH("office_id",in_signed_offices!$A$1:$BZ$1,0)),0),MATCH("categories_wanted",in_signed_offices!$A$1:$BZ$1,0))="","",INDEX(in_signed_offices!$A$2:$BZ$81,MATCH($A28,INDEX(in_signed_offices!$A$2:$BZ$81,0,MATCH("office_id",in_signed_offices!$A$1:$BZ$1,0)),0),MATCH("categories_wanted",in_signed_offices!$A$1:$BZ$1,0))),""))</f>
        <v/>
      </c>
      <c r="AC28" s="25">
        <f>IF($A28="","",IFERROR(IF(INDEX(in_signed_offices!$A$2:$BZ$81,MATCH($A28,INDEX(in_signed_offices!$A$2:$BZ$81,0,MATCH("office_id",in_signed_offices!$A$1:$BZ$1,0)),0),MATCH("vetoes",in_signed_offices!$A$1:$BZ$1,0))="","",INDEX(in_signed_offices!$A$2:$BZ$81,MATCH($A28,INDEX(in_signed_offices!$A$2:$BZ$81,0,MATCH("office_id",in_signed_offices!$A$1:$BZ$1,0)),0),MATCH("vetoes",in_signed_offices!$A$1:$BZ$1,0))),""))</f>
        <v/>
      </c>
      <c r="AD28" s="26">
        <f>IF($A28="","",IFERROR(IF(INDEX(in_signed_offices!$A$2:$BZ$81,MATCH($A28,INDEX(in_signed_offices!$A$2:$BZ$81,0,MATCH("office_id",in_signed_offices!$A$1:$BZ$1,0)),0),MATCH("agreement_signed_date",in_signed_offices!$A$1:$BZ$1,0))="","",INDEX(in_signed_offices!$A$2:$BZ$81,MATCH($A28,INDEX(in_signed_offices!$A$2:$BZ$81,0,MATCH("office_id",in_signed_offices!$A$1:$BZ$1,0)),0),MATCH("agreement_signed_date",in_signed_offices!$A$1:$BZ$1,0))),""))</f>
        <v/>
      </c>
      <c r="AE28" s="25">
        <f>IF($A28="","",IFERROR(IF(INDEX(in_signed_offices!$A$2:$BZ$81,MATCH($A28,INDEX(in_signed_offices!$A$2:$BZ$81,0,MATCH("office_id",in_signed_offices!$A$1:$BZ$1,0)),0),MATCH("founding_roster_named",in_signed_offices!$A$1:$BZ$1,0))="","",INDEX(in_signed_offices!$A$2:$BZ$81,MATCH($A28,INDEX(in_signed_offices!$A$2:$BZ$81,0,MATCH("office_id",in_signed_offices!$A$1:$BZ$1,0)),0),MATCH("founding_roster_named",in_signed_offices!$A$1:$BZ$1,0))),""))</f>
        <v/>
      </c>
      <c r="AF28" s="25">
        <f>IF($A28="","",IFERROR(IF(INDEX(in_signed_offices!$A$2:$BZ$81,MATCH($A28,INDEX(in_signed_offices!$A$2:$BZ$81,0,MATCH("office_id",in_signed_offices!$A$1:$BZ$1,0)),0),MATCH("public_naming_ok",in_signed_offices!$A$1:$BZ$1,0))="","",INDEX(in_signed_offices!$A$2:$BZ$81,MATCH($A28,INDEX(in_signed_offices!$A$2:$BZ$81,0,MATCH("office_id",in_signed_offices!$A$1:$BZ$1,0)),0),MATCH("public_naming_ok",in_signed_offices!$A$1:$BZ$1,0))),""))</f>
        <v/>
      </c>
      <c r="AG28" s="25">
        <f>IF($A28="","",IFERROR(IF(INDEX(in_signed_offices!$A$2:$BZ$81,MATCH($A28,INDEX(in_signed_offices!$A$2:$BZ$81,0,MATCH("office_id",in_signed_offices!$A$1:$BZ$1,0)),0),MATCH("clay_row_id",in_signed_offices!$A$1:$BZ$1,0))="","",INDEX(in_signed_offices!$A$2:$BZ$81,MATCH($A28,INDEX(in_signed_offices!$A$2:$BZ$81,0,MATCH("office_id",in_signed_offices!$A$1:$BZ$1,0)),0),MATCH("clay_row_id",in_signed_offices!$A$1:$BZ$1,0))),""))</f>
        <v/>
      </c>
      <c r="AH28" s="25">
        <f>IF($A28="","",IF($E28&lt;&gt;"",$E28,IFERROR(IF(INDEX(in_signed_offices!$A$2:$BZ$81,MATCH($A28,INDEX(in_signed_offices!$A$2:$BZ$81,0,MATCH("office_id",in_signed_offices!$A$1:$BZ$1,0)),0),MATCH("industry",in_signed_offices!$A$1:$BZ$1,0))="","",INDEX(in_signed_offices!$A$2:$BZ$81,MATCH($A28,INDEX(in_signed_offices!$A$2:$BZ$81,0,MATCH("office_id",in_signed_offices!$A$1:$BZ$1,0)),0),MATCH("industry",in_signed_offices!$A$1:$BZ$1,0))),"")))</f>
        <v/>
      </c>
      <c r="AI28" s="25">
        <f>IF($A28="","",IF($F28&lt;&gt;"",$F28,IF(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lt;&gt;"",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IF($W28="Y",$S28,""))))</f>
        <v/>
      </c>
      <c r="AJ28" s="25">
        <f>IF($A28="","",IF($Q28="","unknown",IF($Q28&lt;40,"under-40",IF($Q28&lt;=75,"40-75",IF($Q28&lt;=150,"76-150",IF($Q28&lt;=250,"151-250",IF($Q28&lt;=500,"251-500","over-500")))))))</f>
        <v/>
      </c>
      <c r="AK28" s="25">
        <f>IF($A28="","",IF($N28="","not on in_signed_offices: paste the outreach file",IF($Q28="","no Tuesday headcount",IF($Q28&lt;30,"below the hard floor of 30",IF($Q28&lt;40,"30 to 39: founder's call",IF($Q28&gt;250,"over 250: outside the plan","OK"))))))</f>
        <v/>
      </c>
      <c r="AL28" s="25">
        <f>IF(OR($A28="",$Q28=""),"",MIN(config!$B$16,MAX(config!$B$15,MROUND(config!$B$13+config!$B$14*$Q28,config!$B$17))))</f>
        <v/>
      </c>
      <c r="AM28" s="25">
        <f>IF($A28="","",COUNTIFS(stops!$B$2:$B$151,$A28,stops!$P$2:$P$151,"&lt;="&amp;IF(config!$B$37&lt;&gt;"",config!$B$37,TODAY())))</f>
        <v/>
      </c>
      <c r="AN28" s="25">
        <f>IF($A28="","",COUNTIFS(stops!$B$2:$B$151,$A28,stops!$L$2:$L$151,"declined"))</f>
        <v/>
      </c>
    </row>
    <row r="29">
      <c r="C29" s="31" t="n"/>
      <c r="D29" s="31" t="n"/>
      <c r="J29" s="9" t="n"/>
      <c r="L29" s="9" t="n"/>
      <c r="N29" s="25">
        <f>IF($A29="","",IFERROR(IF(INDEX(in_signed_offices!$A$2:$BZ$81,MATCH($A29,INDEX(in_signed_offices!$A$2:$BZ$81,0,MATCH("office_id",in_signed_offices!$A$1:$BZ$1,0)),0),MATCH("company",in_signed_offices!$A$1:$BZ$1,0))="","",INDEX(in_signed_offices!$A$2:$BZ$81,MATCH($A29,INDEX(in_signed_offices!$A$2:$BZ$81,0,MATCH("office_id",in_signed_offices!$A$1:$BZ$1,0)),0),MATCH("company",in_signed_offices!$A$1:$BZ$1,0))),""))</f>
        <v/>
      </c>
      <c r="O29" s="25">
        <f>IF($A29="","",IFERROR(IF(INDEX(in_signed_offices!$A$2:$BZ$81,MATCH($A29,INDEX(in_signed_offices!$A$2:$BZ$81,0,MATCH("office_id",in_signed_offices!$A$1:$BZ$1,0)),0),MATCH("office_address",in_signed_offices!$A$1:$BZ$1,0))="","",INDEX(in_signed_offices!$A$2:$BZ$81,MATCH($A29,INDEX(in_signed_offices!$A$2:$BZ$81,0,MATCH("office_id",in_signed_offices!$A$1:$BZ$1,0)),0),MATCH("office_address",in_signed_offices!$A$1:$BZ$1,0))),""))</f>
        <v/>
      </c>
      <c r="P29" s="25">
        <f>IF($A29="","",IFERROR(IF(INDEX(in_signed_offices!$A$2:$BZ$81,MATCH($A29,INDEX(in_signed_offices!$A$2:$BZ$81,0,MATCH("office_id",in_signed_offices!$A$1:$BZ$1,0)),0),MATCH("floor_suite",in_signed_offices!$A$1:$BZ$1,0))="","",INDEX(in_signed_offices!$A$2:$BZ$81,MATCH($A29,INDEX(in_signed_offices!$A$2:$BZ$81,0,MATCH("office_id",in_signed_offices!$A$1:$BZ$1,0)),0),MATCH("floor_suite",in_signed_offices!$A$1:$BZ$1,0))),""))</f>
        <v/>
      </c>
      <c r="Q29" s="25">
        <f>IF($A29="","",IFERROR(IF(INDEX(in_signed_offices!$A$2:$BZ$81,MATCH($A29,INDEX(in_signed_offices!$A$2:$BZ$81,0,MATCH("office_id",in_signed_offices!$A$1:$BZ$1,0)),0),MATCH("tuesday_headcount",in_signed_offices!$A$1:$BZ$1,0))="","",INDEX(in_signed_offices!$A$2:$BZ$81,MATCH($A29,INDEX(in_signed_offices!$A$2:$BZ$81,0,MATCH("office_id",in_signed_offices!$A$1:$BZ$1,0)),0),MATCH("tuesday_headcount",in_signed_offices!$A$1:$BZ$1,0))),""))</f>
        <v/>
      </c>
      <c r="R29" s="25">
        <f>IF($A29="","",IFERROR(IF(INDEX(in_signed_offices!$A$2:$BZ$81,MATCH($A29,INDEX(in_signed_offices!$A$2:$BZ$81,0,MATCH("office_id",in_signed_offices!$A$1:$BZ$1,0)),0),MATCH("contact_name",in_signed_offices!$A$1:$BZ$1,0))="","",INDEX(in_signed_offices!$A$2:$BZ$81,MATCH($A29,INDEX(in_signed_offices!$A$2:$BZ$81,0,MATCH("office_id",in_signed_offices!$A$1:$BZ$1,0)),0),MATCH("contact_name",in_signed_offices!$A$1:$BZ$1,0))),""))</f>
        <v/>
      </c>
      <c r="S29" s="25">
        <f>IF($A29="","",IFERROR(IF(INDEX(in_signed_offices!$A$2:$BZ$81,MATCH($A29,INDEX(in_signed_offices!$A$2:$BZ$81,0,MATCH("office_id",in_signed_offices!$A$1:$BZ$1,0)),0),MATCH("contact_phone",in_signed_offices!$A$1:$BZ$1,0))="","",INDEX(in_signed_offices!$A$2:$BZ$81,MATCH($A29,INDEX(in_signed_offices!$A$2:$BZ$81,0,MATCH("office_id",in_signed_offices!$A$1:$BZ$1,0)),0),MATCH("contact_phone",in_signed_offices!$A$1:$BZ$1,0))),""))</f>
        <v/>
      </c>
      <c r="T29" s="25">
        <f>IF($A29="","",IFERROR(IF(INDEX(in_signed_offices!$A$2:$BZ$81,MATCH($A29,INDEX(in_signed_offices!$A$2:$BZ$81,0,MATCH("office_id",in_signed_offices!$A$1:$BZ$1,0)),0),MATCH("contact_email",in_signed_offices!$A$1:$BZ$1,0))="","",INDEX(in_signed_offices!$A$2:$BZ$81,MATCH($A29,INDEX(in_signed_offices!$A$2:$BZ$81,0,MATCH("office_id",in_signed_offices!$A$1:$BZ$1,0)),0),MATCH("contact_email",in_signed_offices!$A$1:$BZ$1,0))),""))</f>
        <v/>
      </c>
      <c r="U29" s="25">
        <f>IF($A29="","",IFERROR(IF(INDEX(in_signed_offices!$A$2:$BZ$81,MATCH($A29,INDEX(in_signed_offices!$A$2:$BZ$81,0,MATCH("office_id",in_signed_offices!$A$1:$BZ$1,0)),0),MATCH("pantry_owner_name",in_signed_offices!$A$1:$BZ$1,0))="","",INDEX(in_signed_offices!$A$2:$BZ$81,MATCH($A29,INDEX(in_signed_offices!$A$2:$BZ$81,0,MATCH("office_id",in_signed_offices!$A$1:$BZ$1,0)),0),MATCH("pantry_owner_name",in_signed_offices!$A$1:$BZ$1,0))),""))</f>
        <v/>
      </c>
      <c r="V29" s="25">
        <f>IF($A29="","",IFERROR(IF(INDEX(in_signed_offices!$A$2:$BZ$81,MATCH($A29,INDEX(in_signed_offices!$A$2:$BZ$81,0,MATCH("office_id",in_signed_offices!$A$1:$BZ$1,0)),0),MATCH("pantry_owner_title",in_signed_offices!$A$1:$BZ$1,0))="","",INDEX(in_signed_offices!$A$2:$BZ$81,MATCH($A29,INDEX(in_signed_offices!$A$2:$BZ$81,0,MATCH("office_id",in_signed_offices!$A$1:$BZ$1,0)),0),MATCH("pantry_owner_title",in_signed_offices!$A$1:$BZ$1,0))),""))</f>
        <v/>
      </c>
      <c r="W29" s="25">
        <f>IF($A29="","",IFERROR(IF(INDEX(in_signed_offices!$A$2:$BZ$81,MATCH($A29,INDEX(in_signed_offices!$A$2:$BZ$81,0,MATCH("office_id",in_signed_offices!$A$1:$BZ$1,0)),0),MATCH("pantry_owner_is_contact",in_signed_offices!$A$1:$BZ$1,0))="","",INDEX(in_signed_offices!$A$2:$BZ$81,MATCH($A29,INDEX(in_signed_offices!$A$2:$BZ$81,0,MATCH("office_id",in_signed_offices!$A$1:$BZ$1,0)),0),MATCH("pantry_owner_is_contact",in_signed_offices!$A$1:$BZ$1,0))),""))</f>
        <v/>
      </c>
      <c r="X29" s="25">
        <f>IF($A29="","",IFERROR(IF(INDEX(in_signed_offices!$A$2:$BZ$81,MATCH($A29,INDEX(in_signed_offices!$A$2:$BZ$81,0,MATCH("office_id",in_signed_offices!$A$1:$BZ$1,0)),0),MATCH("receiving_type",in_signed_offices!$A$1:$BZ$1,0))="","",INDEX(in_signed_offices!$A$2:$BZ$81,MATCH($A29,INDEX(in_signed_offices!$A$2:$BZ$81,0,MATCH("office_id",in_signed_offices!$A$1:$BZ$1,0)),0),MATCH("receiving_type",in_signed_offices!$A$1:$BZ$1,0))),""))</f>
        <v/>
      </c>
      <c r="Y29" s="25">
        <f>IF($A29="","",IFERROR(IF(INDEX(in_signed_offices!$A$2:$BZ$81,MATCH($A29,INDEX(in_signed_offices!$A$2:$BZ$81,0,MATCH("office_id",in_signed_offices!$A$1:$BZ$1,0)),0),MATCH("receiving_window",in_signed_offices!$A$1:$BZ$1,0))="","",INDEX(in_signed_offices!$A$2:$BZ$81,MATCH($A29,INDEX(in_signed_offices!$A$2:$BZ$81,0,MATCH("office_id",in_signed_offices!$A$1:$BZ$1,0)),0),MATCH("receiving_window",in_signed_offices!$A$1:$BZ$1,0))),""))</f>
        <v/>
      </c>
      <c r="Z29" s="25">
        <f>IF($A29="","",IFERROR(IF(INDEX(in_signed_offices!$A$2:$BZ$81,MATCH($A29,INDEX(in_signed_offices!$A$2:$BZ$81,0,MATCH("office_id",in_signed_offices!$A$1:$BZ$1,0)),0),MATCH("coi_required",in_signed_offices!$A$1:$BZ$1,0))="","",INDEX(in_signed_offices!$A$2:$BZ$81,MATCH($A29,INDEX(in_signed_offices!$A$2:$BZ$81,0,MATCH("office_id",in_signed_offices!$A$1:$BZ$1,0)),0),MATCH("coi_required",in_signed_offices!$A$1:$BZ$1,0))),""))</f>
        <v/>
      </c>
      <c r="AA29" s="25">
        <f>IF($A29="","",IFERROR(IF(INDEX(in_signed_offices!$A$2:$BZ$81,MATCH($A29,INDEX(in_signed_offices!$A$2:$BZ$81,0,MATCH("office_id",in_signed_offices!$A$1:$BZ$1,0)),0),MATCH("survey_channel",in_signed_offices!$A$1:$BZ$1,0))="","",INDEX(in_signed_offices!$A$2:$BZ$81,MATCH($A29,INDEX(in_signed_offices!$A$2:$BZ$81,0,MATCH("office_id",in_signed_offices!$A$1:$BZ$1,0)),0),MATCH("survey_channel",in_signed_offices!$A$1:$BZ$1,0))),""))</f>
        <v/>
      </c>
      <c r="AB29" s="25">
        <f>IF($A29="","",IFERROR(IF(INDEX(in_signed_offices!$A$2:$BZ$81,MATCH($A29,INDEX(in_signed_offices!$A$2:$BZ$81,0,MATCH("office_id",in_signed_offices!$A$1:$BZ$1,0)),0),MATCH("categories_wanted",in_signed_offices!$A$1:$BZ$1,0))="","",INDEX(in_signed_offices!$A$2:$BZ$81,MATCH($A29,INDEX(in_signed_offices!$A$2:$BZ$81,0,MATCH("office_id",in_signed_offices!$A$1:$BZ$1,0)),0),MATCH("categories_wanted",in_signed_offices!$A$1:$BZ$1,0))),""))</f>
        <v/>
      </c>
      <c r="AC29" s="25">
        <f>IF($A29="","",IFERROR(IF(INDEX(in_signed_offices!$A$2:$BZ$81,MATCH($A29,INDEX(in_signed_offices!$A$2:$BZ$81,0,MATCH("office_id",in_signed_offices!$A$1:$BZ$1,0)),0),MATCH("vetoes",in_signed_offices!$A$1:$BZ$1,0))="","",INDEX(in_signed_offices!$A$2:$BZ$81,MATCH($A29,INDEX(in_signed_offices!$A$2:$BZ$81,0,MATCH("office_id",in_signed_offices!$A$1:$BZ$1,0)),0),MATCH("vetoes",in_signed_offices!$A$1:$BZ$1,0))),""))</f>
        <v/>
      </c>
      <c r="AD29" s="26">
        <f>IF($A29="","",IFERROR(IF(INDEX(in_signed_offices!$A$2:$BZ$81,MATCH($A29,INDEX(in_signed_offices!$A$2:$BZ$81,0,MATCH("office_id",in_signed_offices!$A$1:$BZ$1,0)),0),MATCH("agreement_signed_date",in_signed_offices!$A$1:$BZ$1,0))="","",INDEX(in_signed_offices!$A$2:$BZ$81,MATCH($A29,INDEX(in_signed_offices!$A$2:$BZ$81,0,MATCH("office_id",in_signed_offices!$A$1:$BZ$1,0)),0),MATCH("agreement_signed_date",in_signed_offices!$A$1:$BZ$1,0))),""))</f>
        <v/>
      </c>
      <c r="AE29" s="25">
        <f>IF($A29="","",IFERROR(IF(INDEX(in_signed_offices!$A$2:$BZ$81,MATCH($A29,INDEX(in_signed_offices!$A$2:$BZ$81,0,MATCH("office_id",in_signed_offices!$A$1:$BZ$1,0)),0),MATCH("founding_roster_named",in_signed_offices!$A$1:$BZ$1,0))="","",INDEX(in_signed_offices!$A$2:$BZ$81,MATCH($A29,INDEX(in_signed_offices!$A$2:$BZ$81,0,MATCH("office_id",in_signed_offices!$A$1:$BZ$1,0)),0),MATCH("founding_roster_named",in_signed_offices!$A$1:$BZ$1,0))),""))</f>
        <v/>
      </c>
      <c r="AF29" s="25">
        <f>IF($A29="","",IFERROR(IF(INDEX(in_signed_offices!$A$2:$BZ$81,MATCH($A29,INDEX(in_signed_offices!$A$2:$BZ$81,0,MATCH("office_id",in_signed_offices!$A$1:$BZ$1,0)),0),MATCH("public_naming_ok",in_signed_offices!$A$1:$BZ$1,0))="","",INDEX(in_signed_offices!$A$2:$BZ$81,MATCH($A29,INDEX(in_signed_offices!$A$2:$BZ$81,0,MATCH("office_id",in_signed_offices!$A$1:$BZ$1,0)),0),MATCH("public_naming_ok",in_signed_offices!$A$1:$BZ$1,0))),""))</f>
        <v/>
      </c>
      <c r="AG29" s="25">
        <f>IF($A29="","",IFERROR(IF(INDEX(in_signed_offices!$A$2:$BZ$81,MATCH($A29,INDEX(in_signed_offices!$A$2:$BZ$81,0,MATCH("office_id",in_signed_offices!$A$1:$BZ$1,0)),0),MATCH("clay_row_id",in_signed_offices!$A$1:$BZ$1,0))="","",INDEX(in_signed_offices!$A$2:$BZ$81,MATCH($A29,INDEX(in_signed_offices!$A$2:$BZ$81,0,MATCH("office_id",in_signed_offices!$A$1:$BZ$1,0)),0),MATCH("clay_row_id",in_signed_offices!$A$1:$BZ$1,0))),""))</f>
        <v/>
      </c>
      <c r="AH29" s="25">
        <f>IF($A29="","",IF($E29&lt;&gt;"",$E29,IFERROR(IF(INDEX(in_signed_offices!$A$2:$BZ$81,MATCH($A29,INDEX(in_signed_offices!$A$2:$BZ$81,0,MATCH("office_id",in_signed_offices!$A$1:$BZ$1,0)),0),MATCH("industry",in_signed_offices!$A$1:$BZ$1,0))="","",INDEX(in_signed_offices!$A$2:$BZ$81,MATCH($A29,INDEX(in_signed_offices!$A$2:$BZ$81,0,MATCH("office_id",in_signed_offices!$A$1:$BZ$1,0)),0),MATCH("industry",in_signed_offices!$A$1:$BZ$1,0))),"")))</f>
        <v/>
      </c>
      <c r="AI29" s="25">
        <f>IF($A29="","",IF($F29&lt;&gt;"",$F29,IF(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lt;&gt;"",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IF($W29="Y",$S29,""))))</f>
        <v/>
      </c>
      <c r="AJ29" s="25">
        <f>IF($A29="","",IF($Q29="","unknown",IF($Q29&lt;40,"under-40",IF($Q29&lt;=75,"40-75",IF($Q29&lt;=150,"76-150",IF($Q29&lt;=250,"151-250",IF($Q29&lt;=500,"251-500","over-500")))))))</f>
        <v/>
      </c>
      <c r="AK29" s="25">
        <f>IF($A29="","",IF($N29="","not on in_signed_offices: paste the outreach file",IF($Q29="","no Tuesday headcount",IF($Q29&lt;30,"below the hard floor of 30",IF($Q29&lt;40,"30 to 39: founder's call",IF($Q29&gt;250,"over 250: outside the plan","OK"))))))</f>
        <v/>
      </c>
      <c r="AL29" s="25">
        <f>IF(OR($A29="",$Q29=""),"",MIN(config!$B$16,MAX(config!$B$15,MROUND(config!$B$13+config!$B$14*$Q29,config!$B$17))))</f>
        <v/>
      </c>
      <c r="AM29" s="25">
        <f>IF($A29="","",COUNTIFS(stops!$B$2:$B$151,$A29,stops!$P$2:$P$151,"&lt;="&amp;IF(config!$B$37&lt;&gt;"",config!$B$37,TODAY())))</f>
        <v/>
      </c>
      <c r="AN29" s="25">
        <f>IF($A29="","",COUNTIFS(stops!$B$2:$B$151,$A29,stops!$L$2:$L$151,"declined"))</f>
        <v/>
      </c>
    </row>
    <row r="30">
      <c r="C30" s="31" t="n"/>
      <c r="D30" s="31" t="n"/>
      <c r="J30" s="9" t="n"/>
      <c r="L30" s="9" t="n"/>
      <c r="N30" s="25">
        <f>IF($A30="","",IFERROR(IF(INDEX(in_signed_offices!$A$2:$BZ$81,MATCH($A30,INDEX(in_signed_offices!$A$2:$BZ$81,0,MATCH("office_id",in_signed_offices!$A$1:$BZ$1,0)),0),MATCH("company",in_signed_offices!$A$1:$BZ$1,0))="","",INDEX(in_signed_offices!$A$2:$BZ$81,MATCH($A30,INDEX(in_signed_offices!$A$2:$BZ$81,0,MATCH("office_id",in_signed_offices!$A$1:$BZ$1,0)),0),MATCH("company",in_signed_offices!$A$1:$BZ$1,0))),""))</f>
        <v/>
      </c>
      <c r="O30" s="25">
        <f>IF($A30="","",IFERROR(IF(INDEX(in_signed_offices!$A$2:$BZ$81,MATCH($A30,INDEX(in_signed_offices!$A$2:$BZ$81,0,MATCH("office_id",in_signed_offices!$A$1:$BZ$1,0)),0),MATCH("office_address",in_signed_offices!$A$1:$BZ$1,0))="","",INDEX(in_signed_offices!$A$2:$BZ$81,MATCH($A30,INDEX(in_signed_offices!$A$2:$BZ$81,0,MATCH("office_id",in_signed_offices!$A$1:$BZ$1,0)),0),MATCH("office_address",in_signed_offices!$A$1:$BZ$1,0))),""))</f>
        <v/>
      </c>
      <c r="P30" s="25">
        <f>IF($A30="","",IFERROR(IF(INDEX(in_signed_offices!$A$2:$BZ$81,MATCH($A30,INDEX(in_signed_offices!$A$2:$BZ$81,0,MATCH("office_id",in_signed_offices!$A$1:$BZ$1,0)),0),MATCH("floor_suite",in_signed_offices!$A$1:$BZ$1,0))="","",INDEX(in_signed_offices!$A$2:$BZ$81,MATCH($A30,INDEX(in_signed_offices!$A$2:$BZ$81,0,MATCH("office_id",in_signed_offices!$A$1:$BZ$1,0)),0),MATCH("floor_suite",in_signed_offices!$A$1:$BZ$1,0))),""))</f>
        <v/>
      </c>
      <c r="Q30" s="25">
        <f>IF($A30="","",IFERROR(IF(INDEX(in_signed_offices!$A$2:$BZ$81,MATCH($A30,INDEX(in_signed_offices!$A$2:$BZ$81,0,MATCH("office_id",in_signed_offices!$A$1:$BZ$1,0)),0),MATCH("tuesday_headcount",in_signed_offices!$A$1:$BZ$1,0))="","",INDEX(in_signed_offices!$A$2:$BZ$81,MATCH($A30,INDEX(in_signed_offices!$A$2:$BZ$81,0,MATCH("office_id",in_signed_offices!$A$1:$BZ$1,0)),0),MATCH("tuesday_headcount",in_signed_offices!$A$1:$BZ$1,0))),""))</f>
        <v/>
      </c>
      <c r="R30" s="25">
        <f>IF($A30="","",IFERROR(IF(INDEX(in_signed_offices!$A$2:$BZ$81,MATCH($A30,INDEX(in_signed_offices!$A$2:$BZ$81,0,MATCH("office_id",in_signed_offices!$A$1:$BZ$1,0)),0),MATCH("contact_name",in_signed_offices!$A$1:$BZ$1,0))="","",INDEX(in_signed_offices!$A$2:$BZ$81,MATCH($A30,INDEX(in_signed_offices!$A$2:$BZ$81,0,MATCH("office_id",in_signed_offices!$A$1:$BZ$1,0)),0),MATCH("contact_name",in_signed_offices!$A$1:$BZ$1,0))),""))</f>
        <v/>
      </c>
      <c r="S30" s="25">
        <f>IF($A30="","",IFERROR(IF(INDEX(in_signed_offices!$A$2:$BZ$81,MATCH($A30,INDEX(in_signed_offices!$A$2:$BZ$81,0,MATCH("office_id",in_signed_offices!$A$1:$BZ$1,0)),0),MATCH("contact_phone",in_signed_offices!$A$1:$BZ$1,0))="","",INDEX(in_signed_offices!$A$2:$BZ$81,MATCH($A30,INDEX(in_signed_offices!$A$2:$BZ$81,0,MATCH("office_id",in_signed_offices!$A$1:$BZ$1,0)),0),MATCH("contact_phone",in_signed_offices!$A$1:$BZ$1,0))),""))</f>
        <v/>
      </c>
      <c r="T30" s="25">
        <f>IF($A30="","",IFERROR(IF(INDEX(in_signed_offices!$A$2:$BZ$81,MATCH($A30,INDEX(in_signed_offices!$A$2:$BZ$81,0,MATCH("office_id",in_signed_offices!$A$1:$BZ$1,0)),0),MATCH("contact_email",in_signed_offices!$A$1:$BZ$1,0))="","",INDEX(in_signed_offices!$A$2:$BZ$81,MATCH($A30,INDEX(in_signed_offices!$A$2:$BZ$81,0,MATCH("office_id",in_signed_offices!$A$1:$BZ$1,0)),0),MATCH("contact_email",in_signed_offices!$A$1:$BZ$1,0))),""))</f>
        <v/>
      </c>
      <c r="U30" s="25">
        <f>IF($A30="","",IFERROR(IF(INDEX(in_signed_offices!$A$2:$BZ$81,MATCH($A30,INDEX(in_signed_offices!$A$2:$BZ$81,0,MATCH("office_id",in_signed_offices!$A$1:$BZ$1,0)),0),MATCH("pantry_owner_name",in_signed_offices!$A$1:$BZ$1,0))="","",INDEX(in_signed_offices!$A$2:$BZ$81,MATCH($A30,INDEX(in_signed_offices!$A$2:$BZ$81,0,MATCH("office_id",in_signed_offices!$A$1:$BZ$1,0)),0),MATCH("pantry_owner_name",in_signed_offices!$A$1:$BZ$1,0))),""))</f>
        <v/>
      </c>
      <c r="V30" s="25">
        <f>IF($A30="","",IFERROR(IF(INDEX(in_signed_offices!$A$2:$BZ$81,MATCH($A30,INDEX(in_signed_offices!$A$2:$BZ$81,0,MATCH("office_id",in_signed_offices!$A$1:$BZ$1,0)),0),MATCH("pantry_owner_title",in_signed_offices!$A$1:$BZ$1,0))="","",INDEX(in_signed_offices!$A$2:$BZ$81,MATCH($A30,INDEX(in_signed_offices!$A$2:$BZ$81,0,MATCH("office_id",in_signed_offices!$A$1:$BZ$1,0)),0),MATCH("pantry_owner_title",in_signed_offices!$A$1:$BZ$1,0))),""))</f>
        <v/>
      </c>
      <c r="W30" s="25">
        <f>IF($A30="","",IFERROR(IF(INDEX(in_signed_offices!$A$2:$BZ$81,MATCH($A30,INDEX(in_signed_offices!$A$2:$BZ$81,0,MATCH("office_id",in_signed_offices!$A$1:$BZ$1,0)),0),MATCH("pantry_owner_is_contact",in_signed_offices!$A$1:$BZ$1,0))="","",INDEX(in_signed_offices!$A$2:$BZ$81,MATCH($A30,INDEX(in_signed_offices!$A$2:$BZ$81,0,MATCH("office_id",in_signed_offices!$A$1:$BZ$1,0)),0),MATCH("pantry_owner_is_contact",in_signed_offices!$A$1:$BZ$1,0))),""))</f>
        <v/>
      </c>
      <c r="X30" s="25">
        <f>IF($A30="","",IFERROR(IF(INDEX(in_signed_offices!$A$2:$BZ$81,MATCH($A30,INDEX(in_signed_offices!$A$2:$BZ$81,0,MATCH("office_id",in_signed_offices!$A$1:$BZ$1,0)),0),MATCH("receiving_type",in_signed_offices!$A$1:$BZ$1,0))="","",INDEX(in_signed_offices!$A$2:$BZ$81,MATCH($A30,INDEX(in_signed_offices!$A$2:$BZ$81,0,MATCH("office_id",in_signed_offices!$A$1:$BZ$1,0)),0),MATCH("receiving_type",in_signed_offices!$A$1:$BZ$1,0))),""))</f>
        <v/>
      </c>
      <c r="Y30" s="25">
        <f>IF($A30="","",IFERROR(IF(INDEX(in_signed_offices!$A$2:$BZ$81,MATCH($A30,INDEX(in_signed_offices!$A$2:$BZ$81,0,MATCH("office_id",in_signed_offices!$A$1:$BZ$1,0)),0),MATCH("receiving_window",in_signed_offices!$A$1:$BZ$1,0))="","",INDEX(in_signed_offices!$A$2:$BZ$81,MATCH($A30,INDEX(in_signed_offices!$A$2:$BZ$81,0,MATCH("office_id",in_signed_offices!$A$1:$BZ$1,0)),0),MATCH("receiving_window",in_signed_offices!$A$1:$BZ$1,0))),""))</f>
        <v/>
      </c>
      <c r="Z30" s="25">
        <f>IF($A30="","",IFERROR(IF(INDEX(in_signed_offices!$A$2:$BZ$81,MATCH($A30,INDEX(in_signed_offices!$A$2:$BZ$81,0,MATCH("office_id",in_signed_offices!$A$1:$BZ$1,0)),0),MATCH("coi_required",in_signed_offices!$A$1:$BZ$1,0))="","",INDEX(in_signed_offices!$A$2:$BZ$81,MATCH($A30,INDEX(in_signed_offices!$A$2:$BZ$81,0,MATCH("office_id",in_signed_offices!$A$1:$BZ$1,0)),0),MATCH("coi_required",in_signed_offices!$A$1:$BZ$1,0))),""))</f>
        <v/>
      </c>
      <c r="AA30" s="25">
        <f>IF($A30="","",IFERROR(IF(INDEX(in_signed_offices!$A$2:$BZ$81,MATCH($A30,INDEX(in_signed_offices!$A$2:$BZ$81,0,MATCH("office_id",in_signed_offices!$A$1:$BZ$1,0)),0),MATCH("survey_channel",in_signed_offices!$A$1:$BZ$1,0))="","",INDEX(in_signed_offices!$A$2:$BZ$81,MATCH($A30,INDEX(in_signed_offices!$A$2:$BZ$81,0,MATCH("office_id",in_signed_offices!$A$1:$BZ$1,0)),0),MATCH("survey_channel",in_signed_offices!$A$1:$BZ$1,0))),""))</f>
        <v/>
      </c>
      <c r="AB30" s="25">
        <f>IF($A30="","",IFERROR(IF(INDEX(in_signed_offices!$A$2:$BZ$81,MATCH($A30,INDEX(in_signed_offices!$A$2:$BZ$81,0,MATCH("office_id",in_signed_offices!$A$1:$BZ$1,0)),0),MATCH("categories_wanted",in_signed_offices!$A$1:$BZ$1,0))="","",INDEX(in_signed_offices!$A$2:$BZ$81,MATCH($A30,INDEX(in_signed_offices!$A$2:$BZ$81,0,MATCH("office_id",in_signed_offices!$A$1:$BZ$1,0)),0),MATCH("categories_wanted",in_signed_offices!$A$1:$BZ$1,0))),""))</f>
        <v/>
      </c>
      <c r="AC30" s="25">
        <f>IF($A30="","",IFERROR(IF(INDEX(in_signed_offices!$A$2:$BZ$81,MATCH($A30,INDEX(in_signed_offices!$A$2:$BZ$81,0,MATCH("office_id",in_signed_offices!$A$1:$BZ$1,0)),0),MATCH("vetoes",in_signed_offices!$A$1:$BZ$1,0))="","",INDEX(in_signed_offices!$A$2:$BZ$81,MATCH($A30,INDEX(in_signed_offices!$A$2:$BZ$81,0,MATCH("office_id",in_signed_offices!$A$1:$BZ$1,0)),0),MATCH("vetoes",in_signed_offices!$A$1:$BZ$1,0))),""))</f>
        <v/>
      </c>
      <c r="AD30" s="26">
        <f>IF($A30="","",IFERROR(IF(INDEX(in_signed_offices!$A$2:$BZ$81,MATCH($A30,INDEX(in_signed_offices!$A$2:$BZ$81,0,MATCH("office_id",in_signed_offices!$A$1:$BZ$1,0)),0),MATCH("agreement_signed_date",in_signed_offices!$A$1:$BZ$1,0))="","",INDEX(in_signed_offices!$A$2:$BZ$81,MATCH($A30,INDEX(in_signed_offices!$A$2:$BZ$81,0,MATCH("office_id",in_signed_offices!$A$1:$BZ$1,0)),0),MATCH("agreement_signed_date",in_signed_offices!$A$1:$BZ$1,0))),""))</f>
        <v/>
      </c>
      <c r="AE30" s="25">
        <f>IF($A30="","",IFERROR(IF(INDEX(in_signed_offices!$A$2:$BZ$81,MATCH($A30,INDEX(in_signed_offices!$A$2:$BZ$81,0,MATCH("office_id",in_signed_offices!$A$1:$BZ$1,0)),0),MATCH("founding_roster_named",in_signed_offices!$A$1:$BZ$1,0))="","",INDEX(in_signed_offices!$A$2:$BZ$81,MATCH($A30,INDEX(in_signed_offices!$A$2:$BZ$81,0,MATCH("office_id",in_signed_offices!$A$1:$BZ$1,0)),0),MATCH("founding_roster_named",in_signed_offices!$A$1:$BZ$1,0))),""))</f>
        <v/>
      </c>
      <c r="AF30" s="25">
        <f>IF($A30="","",IFERROR(IF(INDEX(in_signed_offices!$A$2:$BZ$81,MATCH($A30,INDEX(in_signed_offices!$A$2:$BZ$81,0,MATCH("office_id",in_signed_offices!$A$1:$BZ$1,0)),0),MATCH("public_naming_ok",in_signed_offices!$A$1:$BZ$1,0))="","",INDEX(in_signed_offices!$A$2:$BZ$81,MATCH($A30,INDEX(in_signed_offices!$A$2:$BZ$81,0,MATCH("office_id",in_signed_offices!$A$1:$BZ$1,0)),0),MATCH("public_naming_ok",in_signed_offices!$A$1:$BZ$1,0))),""))</f>
        <v/>
      </c>
      <c r="AG30" s="25">
        <f>IF($A30="","",IFERROR(IF(INDEX(in_signed_offices!$A$2:$BZ$81,MATCH($A30,INDEX(in_signed_offices!$A$2:$BZ$81,0,MATCH("office_id",in_signed_offices!$A$1:$BZ$1,0)),0),MATCH("clay_row_id",in_signed_offices!$A$1:$BZ$1,0))="","",INDEX(in_signed_offices!$A$2:$BZ$81,MATCH($A30,INDEX(in_signed_offices!$A$2:$BZ$81,0,MATCH("office_id",in_signed_offices!$A$1:$BZ$1,0)),0),MATCH("clay_row_id",in_signed_offices!$A$1:$BZ$1,0))),""))</f>
        <v/>
      </c>
      <c r="AH30" s="25">
        <f>IF($A30="","",IF($E30&lt;&gt;"",$E30,IFERROR(IF(INDEX(in_signed_offices!$A$2:$BZ$81,MATCH($A30,INDEX(in_signed_offices!$A$2:$BZ$81,0,MATCH("office_id",in_signed_offices!$A$1:$BZ$1,0)),0),MATCH("industry",in_signed_offices!$A$1:$BZ$1,0))="","",INDEX(in_signed_offices!$A$2:$BZ$81,MATCH($A30,INDEX(in_signed_offices!$A$2:$BZ$81,0,MATCH("office_id",in_signed_offices!$A$1:$BZ$1,0)),0),MATCH("industry",in_signed_offices!$A$1:$BZ$1,0))),"")))</f>
        <v/>
      </c>
      <c r="AI30" s="25">
        <f>IF($A30="","",IF($F30&lt;&gt;"",$F30,IF(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lt;&gt;"",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IF($W30="Y",$S30,""))))</f>
        <v/>
      </c>
      <c r="AJ30" s="25">
        <f>IF($A30="","",IF($Q30="","unknown",IF($Q30&lt;40,"under-40",IF($Q30&lt;=75,"40-75",IF($Q30&lt;=150,"76-150",IF($Q30&lt;=250,"151-250",IF($Q30&lt;=500,"251-500","over-500")))))))</f>
        <v/>
      </c>
      <c r="AK30" s="25">
        <f>IF($A30="","",IF($N30="","not on in_signed_offices: paste the outreach file",IF($Q30="","no Tuesday headcount",IF($Q30&lt;30,"below the hard floor of 30",IF($Q30&lt;40,"30 to 39: founder's call",IF($Q30&gt;250,"over 250: outside the plan","OK"))))))</f>
        <v/>
      </c>
      <c r="AL30" s="25">
        <f>IF(OR($A30="",$Q30=""),"",MIN(config!$B$16,MAX(config!$B$15,MROUND(config!$B$13+config!$B$14*$Q30,config!$B$17))))</f>
        <v/>
      </c>
      <c r="AM30" s="25">
        <f>IF($A30="","",COUNTIFS(stops!$B$2:$B$151,$A30,stops!$P$2:$P$151,"&lt;="&amp;IF(config!$B$37&lt;&gt;"",config!$B$37,TODAY())))</f>
        <v/>
      </c>
      <c r="AN30" s="25">
        <f>IF($A30="","",COUNTIFS(stops!$B$2:$B$151,$A30,stops!$L$2:$L$151,"declined"))</f>
        <v/>
      </c>
    </row>
    <row r="31">
      <c r="C31" s="31" t="n"/>
      <c r="D31" s="31" t="n"/>
      <c r="J31" s="9" t="n"/>
      <c r="L31" s="9" t="n"/>
      <c r="N31" s="25">
        <f>IF($A31="","",IFERROR(IF(INDEX(in_signed_offices!$A$2:$BZ$81,MATCH($A31,INDEX(in_signed_offices!$A$2:$BZ$81,0,MATCH("office_id",in_signed_offices!$A$1:$BZ$1,0)),0),MATCH("company",in_signed_offices!$A$1:$BZ$1,0))="","",INDEX(in_signed_offices!$A$2:$BZ$81,MATCH($A31,INDEX(in_signed_offices!$A$2:$BZ$81,0,MATCH("office_id",in_signed_offices!$A$1:$BZ$1,0)),0),MATCH("company",in_signed_offices!$A$1:$BZ$1,0))),""))</f>
        <v/>
      </c>
      <c r="O31" s="25">
        <f>IF($A31="","",IFERROR(IF(INDEX(in_signed_offices!$A$2:$BZ$81,MATCH($A31,INDEX(in_signed_offices!$A$2:$BZ$81,0,MATCH("office_id",in_signed_offices!$A$1:$BZ$1,0)),0),MATCH("office_address",in_signed_offices!$A$1:$BZ$1,0))="","",INDEX(in_signed_offices!$A$2:$BZ$81,MATCH($A31,INDEX(in_signed_offices!$A$2:$BZ$81,0,MATCH("office_id",in_signed_offices!$A$1:$BZ$1,0)),0),MATCH("office_address",in_signed_offices!$A$1:$BZ$1,0))),""))</f>
        <v/>
      </c>
      <c r="P31" s="25">
        <f>IF($A31="","",IFERROR(IF(INDEX(in_signed_offices!$A$2:$BZ$81,MATCH($A31,INDEX(in_signed_offices!$A$2:$BZ$81,0,MATCH("office_id",in_signed_offices!$A$1:$BZ$1,0)),0),MATCH("floor_suite",in_signed_offices!$A$1:$BZ$1,0))="","",INDEX(in_signed_offices!$A$2:$BZ$81,MATCH($A31,INDEX(in_signed_offices!$A$2:$BZ$81,0,MATCH("office_id",in_signed_offices!$A$1:$BZ$1,0)),0),MATCH("floor_suite",in_signed_offices!$A$1:$BZ$1,0))),""))</f>
        <v/>
      </c>
      <c r="Q31" s="25">
        <f>IF($A31="","",IFERROR(IF(INDEX(in_signed_offices!$A$2:$BZ$81,MATCH($A31,INDEX(in_signed_offices!$A$2:$BZ$81,0,MATCH("office_id",in_signed_offices!$A$1:$BZ$1,0)),0),MATCH("tuesday_headcount",in_signed_offices!$A$1:$BZ$1,0))="","",INDEX(in_signed_offices!$A$2:$BZ$81,MATCH($A31,INDEX(in_signed_offices!$A$2:$BZ$81,0,MATCH("office_id",in_signed_offices!$A$1:$BZ$1,0)),0),MATCH("tuesday_headcount",in_signed_offices!$A$1:$BZ$1,0))),""))</f>
        <v/>
      </c>
      <c r="R31" s="25">
        <f>IF($A31="","",IFERROR(IF(INDEX(in_signed_offices!$A$2:$BZ$81,MATCH($A31,INDEX(in_signed_offices!$A$2:$BZ$81,0,MATCH("office_id",in_signed_offices!$A$1:$BZ$1,0)),0),MATCH("contact_name",in_signed_offices!$A$1:$BZ$1,0))="","",INDEX(in_signed_offices!$A$2:$BZ$81,MATCH($A31,INDEX(in_signed_offices!$A$2:$BZ$81,0,MATCH("office_id",in_signed_offices!$A$1:$BZ$1,0)),0),MATCH("contact_name",in_signed_offices!$A$1:$BZ$1,0))),""))</f>
        <v/>
      </c>
      <c r="S31" s="25">
        <f>IF($A31="","",IFERROR(IF(INDEX(in_signed_offices!$A$2:$BZ$81,MATCH($A31,INDEX(in_signed_offices!$A$2:$BZ$81,0,MATCH("office_id",in_signed_offices!$A$1:$BZ$1,0)),0),MATCH("contact_phone",in_signed_offices!$A$1:$BZ$1,0))="","",INDEX(in_signed_offices!$A$2:$BZ$81,MATCH($A31,INDEX(in_signed_offices!$A$2:$BZ$81,0,MATCH("office_id",in_signed_offices!$A$1:$BZ$1,0)),0),MATCH("contact_phone",in_signed_offices!$A$1:$BZ$1,0))),""))</f>
        <v/>
      </c>
      <c r="T31" s="25">
        <f>IF($A31="","",IFERROR(IF(INDEX(in_signed_offices!$A$2:$BZ$81,MATCH($A31,INDEX(in_signed_offices!$A$2:$BZ$81,0,MATCH("office_id",in_signed_offices!$A$1:$BZ$1,0)),0),MATCH("contact_email",in_signed_offices!$A$1:$BZ$1,0))="","",INDEX(in_signed_offices!$A$2:$BZ$81,MATCH($A31,INDEX(in_signed_offices!$A$2:$BZ$81,0,MATCH("office_id",in_signed_offices!$A$1:$BZ$1,0)),0),MATCH("contact_email",in_signed_offices!$A$1:$BZ$1,0))),""))</f>
        <v/>
      </c>
      <c r="U31" s="25">
        <f>IF($A31="","",IFERROR(IF(INDEX(in_signed_offices!$A$2:$BZ$81,MATCH($A31,INDEX(in_signed_offices!$A$2:$BZ$81,0,MATCH("office_id",in_signed_offices!$A$1:$BZ$1,0)),0),MATCH("pantry_owner_name",in_signed_offices!$A$1:$BZ$1,0))="","",INDEX(in_signed_offices!$A$2:$BZ$81,MATCH($A31,INDEX(in_signed_offices!$A$2:$BZ$81,0,MATCH("office_id",in_signed_offices!$A$1:$BZ$1,0)),0),MATCH("pantry_owner_name",in_signed_offices!$A$1:$BZ$1,0))),""))</f>
        <v/>
      </c>
      <c r="V31" s="25">
        <f>IF($A31="","",IFERROR(IF(INDEX(in_signed_offices!$A$2:$BZ$81,MATCH($A31,INDEX(in_signed_offices!$A$2:$BZ$81,0,MATCH("office_id",in_signed_offices!$A$1:$BZ$1,0)),0),MATCH("pantry_owner_title",in_signed_offices!$A$1:$BZ$1,0))="","",INDEX(in_signed_offices!$A$2:$BZ$81,MATCH($A31,INDEX(in_signed_offices!$A$2:$BZ$81,0,MATCH("office_id",in_signed_offices!$A$1:$BZ$1,0)),0),MATCH("pantry_owner_title",in_signed_offices!$A$1:$BZ$1,0))),""))</f>
        <v/>
      </c>
      <c r="W31" s="25">
        <f>IF($A31="","",IFERROR(IF(INDEX(in_signed_offices!$A$2:$BZ$81,MATCH($A31,INDEX(in_signed_offices!$A$2:$BZ$81,0,MATCH("office_id",in_signed_offices!$A$1:$BZ$1,0)),0),MATCH("pantry_owner_is_contact",in_signed_offices!$A$1:$BZ$1,0))="","",INDEX(in_signed_offices!$A$2:$BZ$81,MATCH($A31,INDEX(in_signed_offices!$A$2:$BZ$81,0,MATCH("office_id",in_signed_offices!$A$1:$BZ$1,0)),0),MATCH("pantry_owner_is_contact",in_signed_offices!$A$1:$BZ$1,0))),""))</f>
        <v/>
      </c>
      <c r="X31" s="25">
        <f>IF($A31="","",IFERROR(IF(INDEX(in_signed_offices!$A$2:$BZ$81,MATCH($A31,INDEX(in_signed_offices!$A$2:$BZ$81,0,MATCH("office_id",in_signed_offices!$A$1:$BZ$1,0)),0),MATCH("receiving_type",in_signed_offices!$A$1:$BZ$1,0))="","",INDEX(in_signed_offices!$A$2:$BZ$81,MATCH($A31,INDEX(in_signed_offices!$A$2:$BZ$81,0,MATCH("office_id",in_signed_offices!$A$1:$BZ$1,0)),0),MATCH("receiving_type",in_signed_offices!$A$1:$BZ$1,0))),""))</f>
        <v/>
      </c>
      <c r="Y31" s="25">
        <f>IF($A31="","",IFERROR(IF(INDEX(in_signed_offices!$A$2:$BZ$81,MATCH($A31,INDEX(in_signed_offices!$A$2:$BZ$81,0,MATCH("office_id",in_signed_offices!$A$1:$BZ$1,0)),0),MATCH("receiving_window",in_signed_offices!$A$1:$BZ$1,0))="","",INDEX(in_signed_offices!$A$2:$BZ$81,MATCH($A31,INDEX(in_signed_offices!$A$2:$BZ$81,0,MATCH("office_id",in_signed_offices!$A$1:$BZ$1,0)),0),MATCH("receiving_window",in_signed_offices!$A$1:$BZ$1,0))),""))</f>
        <v/>
      </c>
      <c r="Z31" s="25">
        <f>IF($A31="","",IFERROR(IF(INDEX(in_signed_offices!$A$2:$BZ$81,MATCH($A31,INDEX(in_signed_offices!$A$2:$BZ$81,0,MATCH("office_id",in_signed_offices!$A$1:$BZ$1,0)),0),MATCH("coi_required",in_signed_offices!$A$1:$BZ$1,0))="","",INDEX(in_signed_offices!$A$2:$BZ$81,MATCH($A31,INDEX(in_signed_offices!$A$2:$BZ$81,0,MATCH("office_id",in_signed_offices!$A$1:$BZ$1,0)),0),MATCH("coi_required",in_signed_offices!$A$1:$BZ$1,0))),""))</f>
        <v/>
      </c>
      <c r="AA31" s="25">
        <f>IF($A31="","",IFERROR(IF(INDEX(in_signed_offices!$A$2:$BZ$81,MATCH($A31,INDEX(in_signed_offices!$A$2:$BZ$81,0,MATCH("office_id",in_signed_offices!$A$1:$BZ$1,0)),0),MATCH("survey_channel",in_signed_offices!$A$1:$BZ$1,0))="","",INDEX(in_signed_offices!$A$2:$BZ$81,MATCH($A31,INDEX(in_signed_offices!$A$2:$BZ$81,0,MATCH("office_id",in_signed_offices!$A$1:$BZ$1,0)),0),MATCH("survey_channel",in_signed_offices!$A$1:$BZ$1,0))),""))</f>
        <v/>
      </c>
      <c r="AB31" s="25">
        <f>IF($A31="","",IFERROR(IF(INDEX(in_signed_offices!$A$2:$BZ$81,MATCH($A31,INDEX(in_signed_offices!$A$2:$BZ$81,0,MATCH("office_id",in_signed_offices!$A$1:$BZ$1,0)),0),MATCH("categories_wanted",in_signed_offices!$A$1:$BZ$1,0))="","",INDEX(in_signed_offices!$A$2:$BZ$81,MATCH($A31,INDEX(in_signed_offices!$A$2:$BZ$81,0,MATCH("office_id",in_signed_offices!$A$1:$BZ$1,0)),0),MATCH("categories_wanted",in_signed_offices!$A$1:$BZ$1,0))),""))</f>
        <v/>
      </c>
      <c r="AC31" s="25">
        <f>IF($A31="","",IFERROR(IF(INDEX(in_signed_offices!$A$2:$BZ$81,MATCH($A31,INDEX(in_signed_offices!$A$2:$BZ$81,0,MATCH("office_id",in_signed_offices!$A$1:$BZ$1,0)),0),MATCH("vetoes",in_signed_offices!$A$1:$BZ$1,0))="","",INDEX(in_signed_offices!$A$2:$BZ$81,MATCH($A31,INDEX(in_signed_offices!$A$2:$BZ$81,0,MATCH("office_id",in_signed_offices!$A$1:$BZ$1,0)),0),MATCH("vetoes",in_signed_offices!$A$1:$BZ$1,0))),""))</f>
        <v/>
      </c>
      <c r="AD31" s="26">
        <f>IF($A31="","",IFERROR(IF(INDEX(in_signed_offices!$A$2:$BZ$81,MATCH($A31,INDEX(in_signed_offices!$A$2:$BZ$81,0,MATCH("office_id",in_signed_offices!$A$1:$BZ$1,0)),0),MATCH("agreement_signed_date",in_signed_offices!$A$1:$BZ$1,0))="","",INDEX(in_signed_offices!$A$2:$BZ$81,MATCH($A31,INDEX(in_signed_offices!$A$2:$BZ$81,0,MATCH("office_id",in_signed_offices!$A$1:$BZ$1,0)),0),MATCH("agreement_signed_date",in_signed_offices!$A$1:$BZ$1,0))),""))</f>
        <v/>
      </c>
      <c r="AE31" s="25">
        <f>IF($A31="","",IFERROR(IF(INDEX(in_signed_offices!$A$2:$BZ$81,MATCH($A31,INDEX(in_signed_offices!$A$2:$BZ$81,0,MATCH("office_id",in_signed_offices!$A$1:$BZ$1,0)),0),MATCH("founding_roster_named",in_signed_offices!$A$1:$BZ$1,0))="","",INDEX(in_signed_offices!$A$2:$BZ$81,MATCH($A31,INDEX(in_signed_offices!$A$2:$BZ$81,0,MATCH("office_id",in_signed_offices!$A$1:$BZ$1,0)),0),MATCH("founding_roster_named",in_signed_offices!$A$1:$BZ$1,0))),""))</f>
        <v/>
      </c>
      <c r="AF31" s="25">
        <f>IF($A31="","",IFERROR(IF(INDEX(in_signed_offices!$A$2:$BZ$81,MATCH($A31,INDEX(in_signed_offices!$A$2:$BZ$81,0,MATCH("office_id",in_signed_offices!$A$1:$BZ$1,0)),0),MATCH("public_naming_ok",in_signed_offices!$A$1:$BZ$1,0))="","",INDEX(in_signed_offices!$A$2:$BZ$81,MATCH($A31,INDEX(in_signed_offices!$A$2:$BZ$81,0,MATCH("office_id",in_signed_offices!$A$1:$BZ$1,0)),0),MATCH("public_naming_ok",in_signed_offices!$A$1:$BZ$1,0))),""))</f>
        <v/>
      </c>
      <c r="AG31" s="25">
        <f>IF($A31="","",IFERROR(IF(INDEX(in_signed_offices!$A$2:$BZ$81,MATCH($A31,INDEX(in_signed_offices!$A$2:$BZ$81,0,MATCH("office_id",in_signed_offices!$A$1:$BZ$1,0)),0),MATCH("clay_row_id",in_signed_offices!$A$1:$BZ$1,0))="","",INDEX(in_signed_offices!$A$2:$BZ$81,MATCH($A31,INDEX(in_signed_offices!$A$2:$BZ$81,0,MATCH("office_id",in_signed_offices!$A$1:$BZ$1,0)),0),MATCH("clay_row_id",in_signed_offices!$A$1:$BZ$1,0))),""))</f>
        <v/>
      </c>
      <c r="AH31" s="25">
        <f>IF($A31="","",IF($E31&lt;&gt;"",$E31,IFERROR(IF(INDEX(in_signed_offices!$A$2:$BZ$81,MATCH($A31,INDEX(in_signed_offices!$A$2:$BZ$81,0,MATCH("office_id",in_signed_offices!$A$1:$BZ$1,0)),0),MATCH("industry",in_signed_offices!$A$1:$BZ$1,0))="","",INDEX(in_signed_offices!$A$2:$BZ$81,MATCH($A31,INDEX(in_signed_offices!$A$2:$BZ$81,0,MATCH("office_id",in_signed_offices!$A$1:$BZ$1,0)),0),MATCH("industry",in_signed_offices!$A$1:$BZ$1,0))),"")))</f>
        <v/>
      </c>
      <c r="AI31" s="25">
        <f>IF($A31="","",IF($F31&lt;&gt;"",$F31,IF(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lt;&gt;"",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IF($W31="Y",$S31,""))))</f>
        <v/>
      </c>
      <c r="AJ31" s="25">
        <f>IF($A31="","",IF($Q31="","unknown",IF($Q31&lt;40,"under-40",IF($Q31&lt;=75,"40-75",IF($Q31&lt;=150,"76-150",IF($Q31&lt;=250,"151-250",IF($Q31&lt;=500,"251-500","over-500")))))))</f>
        <v/>
      </c>
      <c r="AK31" s="25">
        <f>IF($A31="","",IF($N31="","not on in_signed_offices: paste the outreach file",IF($Q31="","no Tuesday headcount",IF($Q31&lt;30,"below the hard floor of 30",IF($Q31&lt;40,"30 to 39: founder's call",IF($Q31&gt;250,"over 250: outside the plan","OK"))))))</f>
        <v/>
      </c>
      <c r="AL31" s="25">
        <f>IF(OR($A31="",$Q31=""),"",MIN(config!$B$16,MAX(config!$B$15,MROUND(config!$B$13+config!$B$14*$Q31,config!$B$17))))</f>
        <v/>
      </c>
      <c r="AM31" s="25">
        <f>IF($A31="","",COUNTIFS(stops!$B$2:$B$151,$A31,stops!$P$2:$P$151,"&lt;="&amp;IF(config!$B$37&lt;&gt;"",config!$B$37,TODAY())))</f>
        <v/>
      </c>
      <c r="AN31" s="25">
        <f>IF($A31="","",COUNTIFS(stops!$B$2:$B$151,$A31,stops!$L$2:$L$151,"declined"))</f>
        <v/>
      </c>
    </row>
    <row r="32">
      <c r="C32" s="31" t="n"/>
      <c r="D32" s="31" t="n"/>
      <c r="J32" s="9" t="n"/>
      <c r="L32" s="9" t="n"/>
      <c r="N32" s="25">
        <f>IF($A32="","",IFERROR(IF(INDEX(in_signed_offices!$A$2:$BZ$81,MATCH($A32,INDEX(in_signed_offices!$A$2:$BZ$81,0,MATCH("office_id",in_signed_offices!$A$1:$BZ$1,0)),0),MATCH("company",in_signed_offices!$A$1:$BZ$1,0))="","",INDEX(in_signed_offices!$A$2:$BZ$81,MATCH($A32,INDEX(in_signed_offices!$A$2:$BZ$81,0,MATCH("office_id",in_signed_offices!$A$1:$BZ$1,0)),0),MATCH("company",in_signed_offices!$A$1:$BZ$1,0))),""))</f>
        <v/>
      </c>
      <c r="O32" s="25">
        <f>IF($A32="","",IFERROR(IF(INDEX(in_signed_offices!$A$2:$BZ$81,MATCH($A32,INDEX(in_signed_offices!$A$2:$BZ$81,0,MATCH("office_id",in_signed_offices!$A$1:$BZ$1,0)),0),MATCH("office_address",in_signed_offices!$A$1:$BZ$1,0))="","",INDEX(in_signed_offices!$A$2:$BZ$81,MATCH($A32,INDEX(in_signed_offices!$A$2:$BZ$81,0,MATCH("office_id",in_signed_offices!$A$1:$BZ$1,0)),0),MATCH("office_address",in_signed_offices!$A$1:$BZ$1,0))),""))</f>
        <v/>
      </c>
      <c r="P32" s="25">
        <f>IF($A32="","",IFERROR(IF(INDEX(in_signed_offices!$A$2:$BZ$81,MATCH($A32,INDEX(in_signed_offices!$A$2:$BZ$81,0,MATCH("office_id",in_signed_offices!$A$1:$BZ$1,0)),0),MATCH("floor_suite",in_signed_offices!$A$1:$BZ$1,0))="","",INDEX(in_signed_offices!$A$2:$BZ$81,MATCH($A32,INDEX(in_signed_offices!$A$2:$BZ$81,0,MATCH("office_id",in_signed_offices!$A$1:$BZ$1,0)),0),MATCH("floor_suite",in_signed_offices!$A$1:$BZ$1,0))),""))</f>
        <v/>
      </c>
      <c r="Q32" s="25">
        <f>IF($A32="","",IFERROR(IF(INDEX(in_signed_offices!$A$2:$BZ$81,MATCH($A32,INDEX(in_signed_offices!$A$2:$BZ$81,0,MATCH("office_id",in_signed_offices!$A$1:$BZ$1,0)),0),MATCH("tuesday_headcount",in_signed_offices!$A$1:$BZ$1,0))="","",INDEX(in_signed_offices!$A$2:$BZ$81,MATCH($A32,INDEX(in_signed_offices!$A$2:$BZ$81,0,MATCH("office_id",in_signed_offices!$A$1:$BZ$1,0)),0),MATCH("tuesday_headcount",in_signed_offices!$A$1:$BZ$1,0))),""))</f>
        <v/>
      </c>
      <c r="R32" s="25">
        <f>IF($A32="","",IFERROR(IF(INDEX(in_signed_offices!$A$2:$BZ$81,MATCH($A32,INDEX(in_signed_offices!$A$2:$BZ$81,0,MATCH("office_id",in_signed_offices!$A$1:$BZ$1,0)),0),MATCH("contact_name",in_signed_offices!$A$1:$BZ$1,0))="","",INDEX(in_signed_offices!$A$2:$BZ$81,MATCH($A32,INDEX(in_signed_offices!$A$2:$BZ$81,0,MATCH("office_id",in_signed_offices!$A$1:$BZ$1,0)),0),MATCH("contact_name",in_signed_offices!$A$1:$BZ$1,0))),""))</f>
        <v/>
      </c>
      <c r="S32" s="25">
        <f>IF($A32="","",IFERROR(IF(INDEX(in_signed_offices!$A$2:$BZ$81,MATCH($A32,INDEX(in_signed_offices!$A$2:$BZ$81,0,MATCH("office_id",in_signed_offices!$A$1:$BZ$1,0)),0),MATCH("contact_phone",in_signed_offices!$A$1:$BZ$1,0))="","",INDEX(in_signed_offices!$A$2:$BZ$81,MATCH($A32,INDEX(in_signed_offices!$A$2:$BZ$81,0,MATCH("office_id",in_signed_offices!$A$1:$BZ$1,0)),0),MATCH("contact_phone",in_signed_offices!$A$1:$BZ$1,0))),""))</f>
        <v/>
      </c>
      <c r="T32" s="25">
        <f>IF($A32="","",IFERROR(IF(INDEX(in_signed_offices!$A$2:$BZ$81,MATCH($A32,INDEX(in_signed_offices!$A$2:$BZ$81,0,MATCH("office_id",in_signed_offices!$A$1:$BZ$1,0)),0),MATCH("contact_email",in_signed_offices!$A$1:$BZ$1,0))="","",INDEX(in_signed_offices!$A$2:$BZ$81,MATCH($A32,INDEX(in_signed_offices!$A$2:$BZ$81,0,MATCH("office_id",in_signed_offices!$A$1:$BZ$1,0)),0),MATCH("contact_email",in_signed_offices!$A$1:$BZ$1,0))),""))</f>
        <v/>
      </c>
      <c r="U32" s="25">
        <f>IF($A32="","",IFERROR(IF(INDEX(in_signed_offices!$A$2:$BZ$81,MATCH($A32,INDEX(in_signed_offices!$A$2:$BZ$81,0,MATCH("office_id",in_signed_offices!$A$1:$BZ$1,0)),0),MATCH("pantry_owner_name",in_signed_offices!$A$1:$BZ$1,0))="","",INDEX(in_signed_offices!$A$2:$BZ$81,MATCH($A32,INDEX(in_signed_offices!$A$2:$BZ$81,0,MATCH("office_id",in_signed_offices!$A$1:$BZ$1,0)),0),MATCH("pantry_owner_name",in_signed_offices!$A$1:$BZ$1,0))),""))</f>
        <v/>
      </c>
      <c r="V32" s="25">
        <f>IF($A32="","",IFERROR(IF(INDEX(in_signed_offices!$A$2:$BZ$81,MATCH($A32,INDEX(in_signed_offices!$A$2:$BZ$81,0,MATCH("office_id",in_signed_offices!$A$1:$BZ$1,0)),0),MATCH("pantry_owner_title",in_signed_offices!$A$1:$BZ$1,0))="","",INDEX(in_signed_offices!$A$2:$BZ$81,MATCH($A32,INDEX(in_signed_offices!$A$2:$BZ$81,0,MATCH("office_id",in_signed_offices!$A$1:$BZ$1,0)),0),MATCH("pantry_owner_title",in_signed_offices!$A$1:$BZ$1,0))),""))</f>
        <v/>
      </c>
      <c r="W32" s="25">
        <f>IF($A32="","",IFERROR(IF(INDEX(in_signed_offices!$A$2:$BZ$81,MATCH($A32,INDEX(in_signed_offices!$A$2:$BZ$81,0,MATCH("office_id",in_signed_offices!$A$1:$BZ$1,0)),0),MATCH("pantry_owner_is_contact",in_signed_offices!$A$1:$BZ$1,0))="","",INDEX(in_signed_offices!$A$2:$BZ$81,MATCH($A32,INDEX(in_signed_offices!$A$2:$BZ$81,0,MATCH("office_id",in_signed_offices!$A$1:$BZ$1,0)),0),MATCH("pantry_owner_is_contact",in_signed_offices!$A$1:$BZ$1,0))),""))</f>
        <v/>
      </c>
      <c r="X32" s="25">
        <f>IF($A32="","",IFERROR(IF(INDEX(in_signed_offices!$A$2:$BZ$81,MATCH($A32,INDEX(in_signed_offices!$A$2:$BZ$81,0,MATCH("office_id",in_signed_offices!$A$1:$BZ$1,0)),0),MATCH("receiving_type",in_signed_offices!$A$1:$BZ$1,0))="","",INDEX(in_signed_offices!$A$2:$BZ$81,MATCH($A32,INDEX(in_signed_offices!$A$2:$BZ$81,0,MATCH("office_id",in_signed_offices!$A$1:$BZ$1,0)),0),MATCH("receiving_type",in_signed_offices!$A$1:$BZ$1,0))),""))</f>
        <v/>
      </c>
      <c r="Y32" s="25">
        <f>IF($A32="","",IFERROR(IF(INDEX(in_signed_offices!$A$2:$BZ$81,MATCH($A32,INDEX(in_signed_offices!$A$2:$BZ$81,0,MATCH("office_id",in_signed_offices!$A$1:$BZ$1,0)),0),MATCH("receiving_window",in_signed_offices!$A$1:$BZ$1,0))="","",INDEX(in_signed_offices!$A$2:$BZ$81,MATCH($A32,INDEX(in_signed_offices!$A$2:$BZ$81,0,MATCH("office_id",in_signed_offices!$A$1:$BZ$1,0)),0),MATCH("receiving_window",in_signed_offices!$A$1:$BZ$1,0))),""))</f>
        <v/>
      </c>
      <c r="Z32" s="25">
        <f>IF($A32="","",IFERROR(IF(INDEX(in_signed_offices!$A$2:$BZ$81,MATCH($A32,INDEX(in_signed_offices!$A$2:$BZ$81,0,MATCH("office_id",in_signed_offices!$A$1:$BZ$1,0)),0),MATCH("coi_required",in_signed_offices!$A$1:$BZ$1,0))="","",INDEX(in_signed_offices!$A$2:$BZ$81,MATCH($A32,INDEX(in_signed_offices!$A$2:$BZ$81,0,MATCH("office_id",in_signed_offices!$A$1:$BZ$1,0)),0),MATCH("coi_required",in_signed_offices!$A$1:$BZ$1,0))),""))</f>
        <v/>
      </c>
      <c r="AA32" s="25">
        <f>IF($A32="","",IFERROR(IF(INDEX(in_signed_offices!$A$2:$BZ$81,MATCH($A32,INDEX(in_signed_offices!$A$2:$BZ$81,0,MATCH("office_id",in_signed_offices!$A$1:$BZ$1,0)),0),MATCH("survey_channel",in_signed_offices!$A$1:$BZ$1,0))="","",INDEX(in_signed_offices!$A$2:$BZ$81,MATCH($A32,INDEX(in_signed_offices!$A$2:$BZ$81,0,MATCH("office_id",in_signed_offices!$A$1:$BZ$1,0)),0),MATCH("survey_channel",in_signed_offices!$A$1:$BZ$1,0))),""))</f>
        <v/>
      </c>
      <c r="AB32" s="25">
        <f>IF($A32="","",IFERROR(IF(INDEX(in_signed_offices!$A$2:$BZ$81,MATCH($A32,INDEX(in_signed_offices!$A$2:$BZ$81,0,MATCH("office_id",in_signed_offices!$A$1:$BZ$1,0)),0),MATCH("categories_wanted",in_signed_offices!$A$1:$BZ$1,0))="","",INDEX(in_signed_offices!$A$2:$BZ$81,MATCH($A32,INDEX(in_signed_offices!$A$2:$BZ$81,0,MATCH("office_id",in_signed_offices!$A$1:$BZ$1,0)),0),MATCH("categories_wanted",in_signed_offices!$A$1:$BZ$1,0))),""))</f>
        <v/>
      </c>
      <c r="AC32" s="25">
        <f>IF($A32="","",IFERROR(IF(INDEX(in_signed_offices!$A$2:$BZ$81,MATCH($A32,INDEX(in_signed_offices!$A$2:$BZ$81,0,MATCH("office_id",in_signed_offices!$A$1:$BZ$1,0)),0),MATCH("vetoes",in_signed_offices!$A$1:$BZ$1,0))="","",INDEX(in_signed_offices!$A$2:$BZ$81,MATCH($A32,INDEX(in_signed_offices!$A$2:$BZ$81,0,MATCH("office_id",in_signed_offices!$A$1:$BZ$1,0)),0),MATCH("vetoes",in_signed_offices!$A$1:$BZ$1,0))),""))</f>
        <v/>
      </c>
      <c r="AD32" s="26">
        <f>IF($A32="","",IFERROR(IF(INDEX(in_signed_offices!$A$2:$BZ$81,MATCH($A32,INDEX(in_signed_offices!$A$2:$BZ$81,0,MATCH("office_id",in_signed_offices!$A$1:$BZ$1,0)),0),MATCH("agreement_signed_date",in_signed_offices!$A$1:$BZ$1,0))="","",INDEX(in_signed_offices!$A$2:$BZ$81,MATCH($A32,INDEX(in_signed_offices!$A$2:$BZ$81,0,MATCH("office_id",in_signed_offices!$A$1:$BZ$1,0)),0),MATCH("agreement_signed_date",in_signed_offices!$A$1:$BZ$1,0))),""))</f>
        <v/>
      </c>
      <c r="AE32" s="25">
        <f>IF($A32="","",IFERROR(IF(INDEX(in_signed_offices!$A$2:$BZ$81,MATCH($A32,INDEX(in_signed_offices!$A$2:$BZ$81,0,MATCH("office_id",in_signed_offices!$A$1:$BZ$1,0)),0),MATCH("founding_roster_named",in_signed_offices!$A$1:$BZ$1,0))="","",INDEX(in_signed_offices!$A$2:$BZ$81,MATCH($A32,INDEX(in_signed_offices!$A$2:$BZ$81,0,MATCH("office_id",in_signed_offices!$A$1:$BZ$1,0)),0),MATCH("founding_roster_named",in_signed_offices!$A$1:$BZ$1,0))),""))</f>
        <v/>
      </c>
      <c r="AF32" s="25">
        <f>IF($A32="","",IFERROR(IF(INDEX(in_signed_offices!$A$2:$BZ$81,MATCH($A32,INDEX(in_signed_offices!$A$2:$BZ$81,0,MATCH("office_id",in_signed_offices!$A$1:$BZ$1,0)),0),MATCH("public_naming_ok",in_signed_offices!$A$1:$BZ$1,0))="","",INDEX(in_signed_offices!$A$2:$BZ$81,MATCH($A32,INDEX(in_signed_offices!$A$2:$BZ$81,0,MATCH("office_id",in_signed_offices!$A$1:$BZ$1,0)),0),MATCH("public_naming_ok",in_signed_offices!$A$1:$BZ$1,0))),""))</f>
        <v/>
      </c>
      <c r="AG32" s="25">
        <f>IF($A32="","",IFERROR(IF(INDEX(in_signed_offices!$A$2:$BZ$81,MATCH($A32,INDEX(in_signed_offices!$A$2:$BZ$81,0,MATCH("office_id",in_signed_offices!$A$1:$BZ$1,0)),0),MATCH("clay_row_id",in_signed_offices!$A$1:$BZ$1,0))="","",INDEX(in_signed_offices!$A$2:$BZ$81,MATCH($A32,INDEX(in_signed_offices!$A$2:$BZ$81,0,MATCH("office_id",in_signed_offices!$A$1:$BZ$1,0)),0),MATCH("clay_row_id",in_signed_offices!$A$1:$BZ$1,0))),""))</f>
        <v/>
      </c>
      <c r="AH32" s="25">
        <f>IF($A32="","",IF($E32&lt;&gt;"",$E32,IFERROR(IF(INDEX(in_signed_offices!$A$2:$BZ$81,MATCH($A32,INDEX(in_signed_offices!$A$2:$BZ$81,0,MATCH("office_id",in_signed_offices!$A$1:$BZ$1,0)),0),MATCH("industry",in_signed_offices!$A$1:$BZ$1,0))="","",INDEX(in_signed_offices!$A$2:$BZ$81,MATCH($A32,INDEX(in_signed_offices!$A$2:$BZ$81,0,MATCH("office_id",in_signed_offices!$A$1:$BZ$1,0)),0),MATCH("industry",in_signed_offices!$A$1:$BZ$1,0))),"")))</f>
        <v/>
      </c>
      <c r="AI32" s="25">
        <f>IF($A32="","",IF($F32&lt;&gt;"",$F32,IF(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lt;&gt;"",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IF($W32="Y",$S32,""))))</f>
        <v/>
      </c>
      <c r="AJ32" s="25">
        <f>IF($A32="","",IF($Q32="","unknown",IF($Q32&lt;40,"under-40",IF($Q32&lt;=75,"40-75",IF($Q32&lt;=150,"76-150",IF($Q32&lt;=250,"151-250",IF($Q32&lt;=500,"251-500","over-500")))))))</f>
        <v/>
      </c>
      <c r="AK32" s="25">
        <f>IF($A32="","",IF($N32="","not on in_signed_offices: paste the outreach file",IF($Q32="","no Tuesday headcount",IF($Q32&lt;30,"below the hard floor of 30",IF($Q32&lt;40,"30 to 39: founder's call",IF($Q32&gt;250,"over 250: outside the plan","OK"))))))</f>
        <v/>
      </c>
      <c r="AL32" s="25">
        <f>IF(OR($A32="",$Q32=""),"",MIN(config!$B$16,MAX(config!$B$15,MROUND(config!$B$13+config!$B$14*$Q32,config!$B$17))))</f>
        <v/>
      </c>
      <c r="AM32" s="25">
        <f>IF($A32="","",COUNTIFS(stops!$B$2:$B$151,$A32,stops!$P$2:$P$151,"&lt;="&amp;IF(config!$B$37&lt;&gt;"",config!$B$37,TODAY())))</f>
        <v/>
      </c>
      <c r="AN32" s="25">
        <f>IF($A32="","",COUNTIFS(stops!$B$2:$B$151,$A32,stops!$L$2:$L$151,"declined"))</f>
        <v/>
      </c>
    </row>
    <row r="33">
      <c r="C33" s="31" t="n"/>
      <c r="D33" s="31" t="n"/>
      <c r="J33" s="9" t="n"/>
      <c r="L33" s="9" t="n"/>
      <c r="N33" s="25">
        <f>IF($A33="","",IFERROR(IF(INDEX(in_signed_offices!$A$2:$BZ$81,MATCH($A33,INDEX(in_signed_offices!$A$2:$BZ$81,0,MATCH("office_id",in_signed_offices!$A$1:$BZ$1,0)),0),MATCH("company",in_signed_offices!$A$1:$BZ$1,0))="","",INDEX(in_signed_offices!$A$2:$BZ$81,MATCH($A33,INDEX(in_signed_offices!$A$2:$BZ$81,0,MATCH("office_id",in_signed_offices!$A$1:$BZ$1,0)),0),MATCH("company",in_signed_offices!$A$1:$BZ$1,0))),""))</f>
        <v/>
      </c>
      <c r="O33" s="25">
        <f>IF($A33="","",IFERROR(IF(INDEX(in_signed_offices!$A$2:$BZ$81,MATCH($A33,INDEX(in_signed_offices!$A$2:$BZ$81,0,MATCH("office_id",in_signed_offices!$A$1:$BZ$1,0)),0),MATCH("office_address",in_signed_offices!$A$1:$BZ$1,0))="","",INDEX(in_signed_offices!$A$2:$BZ$81,MATCH($A33,INDEX(in_signed_offices!$A$2:$BZ$81,0,MATCH("office_id",in_signed_offices!$A$1:$BZ$1,0)),0),MATCH("office_address",in_signed_offices!$A$1:$BZ$1,0))),""))</f>
        <v/>
      </c>
      <c r="P33" s="25">
        <f>IF($A33="","",IFERROR(IF(INDEX(in_signed_offices!$A$2:$BZ$81,MATCH($A33,INDEX(in_signed_offices!$A$2:$BZ$81,0,MATCH("office_id",in_signed_offices!$A$1:$BZ$1,0)),0),MATCH("floor_suite",in_signed_offices!$A$1:$BZ$1,0))="","",INDEX(in_signed_offices!$A$2:$BZ$81,MATCH($A33,INDEX(in_signed_offices!$A$2:$BZ$81,0,MATCH("office_id",in_signed_offices!$A$1:$BZ$1,0)),0),MATCH("floor_suite",in_signed_offices!$A$1:$BZ$1,0))),""))</f>
        <v/>
      </c>
      <c r="Q33" s="25">
        <f>IF($A33="","",IFERROR(IF(INDEX(in_signed_offices!$A$2:$BZ$81,MATCH($A33,INDEX(in_signed_offices!$A$2:$BZ$81,0,MATCH("office_id",in_signed_offices!$A$1:$BZ$1,0)),0),MATCH("tuesday_headcount",in_signed_offices!$A$1:$BZ$1,0))="","",INDEX(in_signed_offices!$A$2:$BZ$81,MATCH($A33,INDEX(in_signed_offices!$A$2:$BZ$81,0,MATCH("office_id",in_signed_offices!$A$1:$BZ$1,0)),0),MATCH("tuesday_headcount",in_signed_offices!$A$1:$BZ$1,0))),""))</f>
        <v/>
      </c>
      <c r="R33" s="25">
        <f>IF($A33="","",IFERROR(IF(INDEX(in_signed_offices!$A$2:$BZ$81,MATCH($A33,INDEX(in_signed_offices!$A$2:$BZ$81,0,MATCH("office_id",in_signed_offices!$A$1:$BZ$1,0)),0),MATCH("contact_name",in_signed_offices!$A$1:$BZ$1,0))="","",INDEX(in_signed_offices!$A$2:$BZ$81,MATCH($A33,INDEX(in_signed_offices!$A$2:$BZ$81,0,MATCH("office_id",in_signed_offices!$A$1:$BZ$1,0)),0),MATCH("contact_name",in_signed_offices!$A$1:$BZ$1,0))),""))</f>
        <v/>
      </c>
      <c r="S33" s="25">
        <f>IF($A33="","",IFERROR(IF(INDEX(in_signed_offices!$A$2:$BZ$81,MATCH($A33,INDEX(in_signed_offices!$A$2:$BZ$81,0,MATCH("office_id",in_signed_offices!$A$1:$BZ$1,0)),0),MATCH("contact_phone",in_signed_offices!$A$1:$BZ$1,0))="","",INDEX(in_signed_offices!$A$2:$BZ$81,MATCH($A33,INDEX(in_signed_offices!$A$2:$BZ$81,0,MATCH("office_id",in_signed_offices!$A$1:$BZ$1,0)),0),MATCH("contact_phone",in_signed_offices!$A$1:$BZ$1,0))),""))</f>
        <v/>
      </c>
      <c r="T33" s="25">
        <f>IF($A33="","",IFERROR(IF(INDEX(in_signed_offices!$A$2:$BZ$81,MATCH($A33,INDEX(in_signed_offices!$A$2:$BZ$81,0,MATCH("office_id",in_signed_offices!$A$1:$BZ$1,0)),0),MATCH("contact_email",in_signed_offices!$A$1:$BZ$1,0))="","",INDEX(in_signed_offices!$A$2:$BZ$81,MATCH($A33,INDEX(in_signed_offices!$A$2:$BZ$81,0,MATCH("office_id",in_signed_offices!$A$1:$BZ$1,0)),0),MATCH("contact_email",in_signed_offices!$A$1:$BZ$1,0))),""))</f>
        <v/>
      </c>
      <c r="U33" s="25">
        <f>IF($A33="","",IFERROR(IF(INDEX(in_signed_offices!$A$2:$BZ$81,MATCH($A33,INDEX(in_signed_offices!$A$2:$BZ$81,0,MATCH("office_id",in_signed_offices!$A$1:$BZ$1,0)),0),MATCH("pantry_owner_name",in_signed_offices!$A$1:$BZ$1,0))="","",INDEX(in_signed_offices!$A$2:$BZ$81,MATCH($A33,INDEX(in_signed_offices!$A$2:$BZ$81,0,MATCH("office_id",in_signed_offices!$A$1:$BZ$1,0)),0),MATCH("pantry_owner_name",in_signed_offices!$A$1:$BZ$1,0))),""))</f>
        <v/>
      </c>
      <c r="V33" s="25">
        <f>IF($A33="","",IFERROR(IF(INDEX(in_signed_offices!$A$2:$BZ$81,MATCH($A33,INDEX(in_signed_offices!$A$2:$BZ$81,0,MATCH("office_id",in_signed_offices!$A$1:$BZ$1,0)),0),MATCH("pantry_owner_title",in_signed_offices!$A$1:$BZ$1,0))="","",INDEX(in_signed_offices!$A$2:$BZ$81,MATCH($A33,INDEX(in_signed_offices!$A$2:$BZ$81,0,MATCH("office_id",in_signed_offices!$A$1:$BZ$1,0)),0),MATCH("pantry_owner_title",in_signed_offices!$A$1:$BZ$1,0))),""))</f>
        <v/>
      </c>
      <c r="W33" s="25">
        <f>IF($A33="","",IFERROR(IF(INDEX(in_signed_offices!$A$2:$BZ$81,MATCH($A33,INDEX(in_signed_offices!$A$2:$BZ$81,0,MATCH("office_id",in_signed_offices!$A$1:$BZ$1,0)),0),MATCH("pantry_owner_is_contact",in_signed_offices!$A$1:$BZ$1,0))="","",INDEX(in_signed_offices!$A$2:$BZ$81,MATCH($A33,INDEX(in_signed_offices!$A$2:$BZ$81,0,MATCH("office_id",in_signed_offices!$A$1:$BZ$1,0)),0),MATCH("pantry_owner_is_contact",in_signed_offices!$A$1:$BZ$1,0))),""))</f>
        <v/>
      </c>
      <c r="X33" s="25">
        <f>IF($A33="","",IFERROR(IF(INDEX(in_signed_offices!$A$2:$BZ$81,MATCH($A33,INDEX(in_signed_offices!$A$2:$BZ$81,0,MATCH("office_id",in_signed_offices!$A$1:$BZ$1,0)),0),MATCH("receiving_type",in_signed_offices!$A$1:$BZ$1,0))="","",INDEX(in_signed_offices!$A$2:$BZ$81,MATCH($A33,INDEX(in_signed_offices!$A$2:$BZ$81,0,MATCH("office_id",in_signed_offices!$A$1:$BZ$1,0)),0),MATCH("receiving_type",in_signed_offices!$A$1:$BZ$1,0))),""))</f>
        <v/>
      </c>
      <c r="Y33" s="25">
        <f>IF($A33="","",IFERROR(IF(INDEX(in_signed_offices!$A$2:$BZ$81,MATCH($A33,INDEX(in_signed_offices!$A$2:$BZ$81,0,MATCH("office_id",in_signed_offices!$A$1:$BZ$1,0)),0),MATCH("receiving_window",in_signed_offices!$A$1:$BZ$1,0))="","",INDEX(in_signed_offices!$A$2:$BZ$81,MATCH($A33,INDEX(in_signed_offices!$A$2:$BZ$81,0,MATCH("office_id",in_signed_offices!$A$1:$BZ$1,0)),0),MATCH("receiving_window",in_signed_offices!$A$1:$BZ$1,0))),""))</f>
        <v/>
      </c>
      <c r="Z33" s="25">
        <f>IF($A33="","",IFERROR(IF(INDEX(in_signed_offices!$A$2:$BZ$81,MATCH($A33,INDEX(in_signed_offices!$A$2:$BZ$81,0,MATCH("office_id",in_signed_offices!$A$1:$BZ$1,0)),0),MATCH("coi_required",in_signed_offices!$A$1:$BZ$1,0))="","",INDEX(in_signed_offices!$A$2:$BZ$81,MATCH($A33,INDEX(in_signed_offices!$A$2:$BZ$81,0,MATCH("office_id",in_signed_offices!$A$1:$BZ$1,0)),0),MATCH("coi_required",in_signed_offices!$A$1:$BZ$1,0))),""))</f>
        <v/>
      </c>
      <c r="AA33" s="25">
        <f>IF($A33="","",IFERROR(IF(INDEX(in_signed_offices!$A$2:$BZ$81,MATCH($A33,INDEX(in_signed_offices!$A$2:$BZ$81,0,MATCH("office_id",in_signed_offices!$A$1:$BZ$1,0)),0),MATCH("survey_channel",in_signed_offices!$A$1:$BZ$1,0))="","",INDEX(in_signed_offices!$A$2:$BZ$81,MATCH($A33,INDEX(in_signed_offices!$A$2:$BZ$81,0,MATCH("office_id",in_signed_offices!$A$1:$BZ$1,0)),0),MATCH("survey_channel",in_signed_offices!$A$1:$BZ$1,0))),""))</f>
        <v/>
      </c>
      <c r="AB33" s="25">
        <f>IF($A33="","",IFERROR(IF(INDEX(in_signed_offices!$A$2:$BZ$81,MATCH($A33,INDEX(in_signed_offices!$A$2:$BZ$81,0,MATCH("office_id",in_signed_offices!$A$1:$BZ$1,0)),0),MATCH("categories_wanted",in_signed_offices!$A$1:$BZ$1,0))="","",INDEX(in_signed_offices!$A$2:$BZ$81,MATCH($A33,INDEX(in_signed_offices!$A$2:$BZ$81,0,MATCH("office_id",in_signed_offices!$A$1:$BZ$1,0)),0),MATCH("categories_wanted",in_signed_offices!$A$1:$BZ$1,0))),""))</f>
        <v/>
      </c>
      <c r="AC33" s="25">
        <f>IF($A33="","",IFERROR(IF(INDEX(in_signed_offices!$A$2:$BZ$81,MATCH($A33,INDEX(in_signed_offices!$A$2:$BZ$81,0,MATCH("office_id",in_signed_offices!$A$1:$BZ$1,0)),0),MATCH("vetoes",in_signed_offices!$A$1:$BZ$1,0))="","",INDEX(in_signed_offices!$A$2:$BZ$81,MATCH($A33,INDEX(in_signed_offices!$A$2:$BZ$81,0,MATCH("office_id",in_signed_offices!$A$1:$BZ$1,0)),0),MATCH("vetoes",in_signed_offices!$A$1:$BZ$1,0))),""))</f>
        <v/>
      </c>
      <c r="AD33" s="26">
        <f>IF($A33="","",IFERROR(IF(INDEX(in_signed_offices!$A$2:$BZ$81,MATCH($A33,INDEX(in_signed_offices!$A$2:$BZ$81,0,MATCH("office_id",in_signed_offices!$A$1:$BZ$1,0)),0),MATCH("agreement_signed_date",in_signed_offices!$A$1:$BZ$1,0))="","",INDEX(in_signed_offices!$A$2:$BZ$81,MATCH($A33,INDEX(in_signed_offices!$A$2:$BZ$81,0,MATCH("office_id",in_signed_offices!$A$1:$BZ$1,0)),0),MATCH("agreement_signed_date",in_signed_offices!$A$1:$BZ$1,0))),""))</f>
        <v/>
      </c>
      <c r="AE33" s="25">
        <f>IF($A33="","",IFERROR(IF(INDEX(in_signed_offices!$A$2:$BZ$81,MATCH($A33,INDEX(in_signed_offices!$A$2:$BZ$81,0,MATCH("office_id",in_signed_offices!$A$1:$BZ$1,0)),0),MATCH("founding_roster_named",in_signed_offices!$A$1:$BZ$1,0))="","",INDEX(in_signed_offices!$A$2:$BZ$81,MATCH($A33,INDEX(in_signed_offices!$A$2:$BZ$81,0,MATCH("office_id",in_signed_offices!$A$1:$BZ$1,0)),0),MATCH("founding_roster_named",in_signed_offices!$A$1:$BZ$1,0))),""))</f>
        <v/>
      </c>
      <c r="AF33" s="25">
        <f>IF($A33="","",IFERROR(IF(INDEX(in_signed_offices!$A$2:$BZ$81,MATCH($A33,INDEX(in_signed_offices!$A$2:$BZ$81,0,MATCH("office_id",in_signed_offices!$A$1:$BZ$1,0)),0),MATCH("public_naming_ok",in_signed_offices!$A$1:$BZ$1,0))="","",INDEX(in_signed_offices!$A$2:$BZ$81,MATCH($A33,INDEX(in_signed_offices!$A$2:$BZ$81,0,MATCH("office_id",in_signed_offices!$A$1:$BZ$1,0)),0),MATCH("public_naming_ok",in_signed_offices!$A$1:$BZ$1,0))),""))</f>
        <v/>
      </c>
      <c r="AG33" s="25">
        <f>IF($A33="","",IFERROR(IF(INDEX(in_signed_offices!$A$2:$BZ$81,MATCH($A33,INDEX(in_signed_offices!$A$2:$BZ$81,0,MATCH("office_id",in_signed_offices!$A$1:$BZ$1,0)),0),MATCH("clay_row_id",in_signed_offices!$A$1:$BZ$1,0))="","",INDEX(in_signed_offices!$A$2:$BZ$81,MATCH($A33,INDEX(in_signed_offices!$A$2:$BZ$81,0,MATCH("office_id",in_signed_offices!$A$1:$BZ$1,0)),0),MATCH("clay_row_id",in_signed_offices!$A$1:$BZ$1,0))),""))</f>
        <v/>
      </c>
      <c r="AH33" s="25">
        <f>IF($A33="","",IF($E33&lt;&gt;"",$E33,IFERROR(IF(INDEX(in_signed_offices!$A$2:$BZ$81,MATCH($A33,INDEX(in_signed_offices!$A$2:$BZ$81,0,MATCH("office_id",in_signed_offices!$A$1:$BZ$1,0)),0),MATCH("industry",in_signed_offices!$A$1:$BZ$1,0))="","",INDEX(in_signed_offices!$A$2:$BZ$81,MATCH($A33,INDEX(in_signed_offices!$A$2:$BZ$81,0,MATCH("office_id",in_signed_offices!$A$1:$BZ$1,0)),0),MATCH("industry",in_signed_offices!$A$1:$BZ$1,0))),"")))</f>
        <v/>
      </c>
      <c r="AI33" s="25">
        <f>IF($A33="","",IF($F33&lt;&gt;"",$F33,IF(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lt;&gt;"",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IF($W33="Y",$S33,""))))</f>
        <v/>
      </c>
      <c r="AJ33" s="25">
        <f>IF($A33="","",IF($Q33="","unknown",IF($Q33&lt;40,"under-40",IF($Q33&lt;=75,"40-75",IF($Q33&lt;=150,"76-150",IF($Q33&lt;=250,"151-250",IF($Q33&lt;=500,"251-500","over-500")))))))</f>
        <v/>
      </c>
      <c r="AK33" s="25">
        <f>IF($A33="","",IF($N33="","not on in_signed_offices: paste the outreach file",IF($Q33="","no Tuesday headcount",IF($Q33&lt;30,"below the hard floor of 30",IF($Q33&lt;40,"30 to 39: founder's call",IF($Q33&gt;250,"over 250: outside the plan","OK"))))))</f>
        <v/>
      </c>
      <c r="AL33" s="25">
        <f>IF(OR($A33="",$Q33=""),"",MIN(config!$B$16,MAX(config!$B$15,MROUND(config!$B$13+config!$B$14*$Q33,config!$B$17))))</f>
        <v/>
      </c>
      <c r="AM33" s="25">
        <f>IF($A33="","",COUNTIFS(stops!$B$2:$B$151,$A33,stops!$P$2:$P$151,"&lt;="&amp;IF(config!$B$37&lt;&gt;"",config!$B$37,TODAY())))</f>
        <v/>
      </c>
      <c r="AN33" s="25">
        <f>IF($A33="","",COUNTIFS(stops!$B$2:$B$151,$A33,stops!$L$2:$L$151,"declined"))</f>
        <v/>
      </c>
    </row>
    <row r="34">
      <c r="C34" s="31" t="n"/>
      <c r="D34" s="31" t="n"/>
      <c r="J34" s="9" t="n"/>
      <c r="L34" s="9" t="n"/>
      <c r="N34" s="25">
        <f>IF($A34="","",IFERROR(IF(INDEX(in_signed_offices!$A$2:$BZ$81,MATCH($A34,INDEX(in_signed_offices!$A$2:$BZ$81,0,MATCH("office_id",in_signed_offices!$A$1:$BZ$1,0)),0),MATCH("company",in_signed_offices!$A$1:$BZ$1,0))="","",INDEX(in_signed_offices!$A$2:$BZ$81,MATCH($A34,INDEX(in_signed_offices!$A$2:$BZ$81,0,MATCH("office_id",in_signed_offices!$A$1:$BZ$1,0)),0),MATCH("company",in_signed_offices!$A$1:$BZ$1,0))),""))</f>
        <v/>
      </c>
      <c r="O34" s="25">
        <f>IF($A34="","",IFERROR(IF(INDEX(in_signed_offices!$A$2:$BZ$81,MATCH($A34,INDEX(in_signed_offices!$A$2:$BZ$81,0,MATCH("office_id",in_signed_offices!$A$1:$BZ$1,0)),0),MATCH("office_address",in_signed_offices!$A$1:$BZ$1,0))="","",INDEX(in_signed_offices!$A$2:$BZ$81,MATCH($A34,INDEX(in_signed_offices!$A$2:$BZ$81,0,MATCH("office_id",in_signed_offices!$A$1:$BZ$1,0)),0),MATCH("office_address",in_signed_offices!$A$1:$BZ$1,0))),""))</f>
        <v/>
      </c>
      <c r="P34" s="25">
        <f>IF($A34="","",IFERROR(IF(INDEX(in_signed_offices!$A$2:$BZ$81,MATCH($A34,INDEX(in_signed_offices!$A$2:$BZ$81,0,MATCH("office_id",in_signed_offices!$A$1:$BZ$1,0)),0),MATCH("floor_suite",in_signed_offices!$A$1:$BZ$1,0))="","",INDEX(in_signed_offices!$A$2:$BZ$81,MATCH($A34,INDEX(in_signed_offices!$A$2:$BZ$81,0,MATCH("office_id",in_signed_offices!$A$1:$BZ$1,0)),0),MATCH("floor_suite",in_signed_offices!$A$1:$BZ$1,0))),""))</f>
        <v/>
      </c>
      <c r="Q34" s="25">
        <f>IF($A34="","",IFERROR(IF(INDEX(in_signed_offices!$A$2:$BZ$81,MATCH($A34,INDEX(in_signed_offices!$A$2:$BZ$81,0,MATCH("office_id",in_signed_offices!$A$1:$BZ$1,0)),0),MATCH("tuesday_headcount",in_signed_offices!$A$1:$BZ$1,0))="","",INDEX(in_signed_offices!$A$2:$BZ$81,MATCH($A34,INDEX(in_signed_offices!$A$2:$BZ$81,0,MATCH("office_id",in_signed_offices!$A$1:$BZ$1,0)),0),MATCH("tuesday_headcount",in_signed_offices!$A$1:$BZ$1,0))),""))</f>
        <v/>
      </c>
      <c r="R34" s="25">
        <f>IF($A34="","",IFERROR(IF(INDEX(in_signed_offices!$A$2:$BZ$81,MATCH($A34,INDEX(in_signed_offices!$A$2:$BZ$81,0,MATCH("office_id",in_signed_offices!$A$1:$BZ$1,0)),0),MATCH("contact_name",in_signed_offices!$A$1:$BZ$1,0))="","",INDEX(in_signed_offices!$A$2:$BZ$81,MATCH($A34,INDEX(in_signed_offices!$A$2:$BZ$81,0,MATCH("office_id",in_signed_offices!$A$1:$BZ$1,0)),0),MATCH("contact_name",in_signed_offices!$A$1:$BZ$1,0))),""))</f>
        <v/>
      </c>
      <c r="S34" s="25">
        <f>IF($A34="","",IFERROR(IF(INDEX(in_signed_offices!$A$2:$BZ$81,MATCH($A34,INDEX(in_signed_offices!$A$2:$BZ$81,0,MATCH("office_id",in_signed_offices!$A$1:$BZ$1,0)),0),MATCH("contact_phone",in_signed_offices!$A$1:$BZ$1,0))="","",INDEX(in_signed_offices!$A$2:$BZ$81,MATCH($A34,INDEX(in_signed_offices!$A$2:$BZ$81,0,MATCH("office_id",in_signed_offices!$A$1:$BZ$1,0)),0),MATCH("contact_phone",in_signed_offices!$A$1:$BZ$1,0))),""))</f>
        <v/>
      </c>
      <c r="T34" s="25">
        <f>IF($A34="","",IFERROR(IF(INDEX(in_signed_offices!$A$2:$BZ$81,MATCH($A34,INDEX(in_signed_offices!$A$2:$BZ$81,0,MATCH("office_id",in_signed_offices!$A$1:$BZ$1,0)),0),MATCH("contact_email",in_signed_offices!$A$1:$BZ$1,0))="","",INDEX(in_signed_offices!$A$2:$BZ$81,MATCH($A34,INDEX(in_signed_offices!$A$2:$BZ$81,0,MATCH("office_id",in_signed_offices!$A$1:$BZ$1,0)),0),MATCH("contact_email",in_signed_offices!$A$1:$BZ$1,0))),""))</f>
        <v/>
      </c>
      <c r="U34" s="25">
        <f>IF($A34="","",IFERROR(IF(INDEX(in_signed_offices!$A$2:$BZ$81,MATCH($A34,INDEX(in_signed_offices!$A$2:$BZ$81,0,MATCH("office_id",in_signed_offices!$A$1:$BZ$1,0)),0),MATCH("pantry_owner_name",in_signed_offices!$A$1:$BZ$1,0))="","",INDEX(in_signed_offices!$A$2:$BZ$81,MATCH($A34,INDEX(in_signed_offices!$A$2:$BZ$81,0,MATCH("office_id",in_signed_offices!$A$1:$BZ$1,0)),0),MATCH("pantry_owner_name",in_signed_offices!$A$1:$BZ$1,0))),""))</f>
        <v/>
      </c>
      <c r="V34" s="25">
        <f>IF($A34="","",IFERROR(IF(INDEX(in_signed_offices!$A$2:$BZ$81,MATCH($A34,INDEX(in_signed_offices!$A$2:$BZ$81,0,MATCH("office_id",in_signed_offices!$A$1:$BZ$1,0)),0),MATCH("pantry_owner_title",in_signed_offices!$A$1:$BZ$1,0))="","",INDEX(in_signed_offices!$A$2:$BZ$81,MATCH($A34,INDEX(in_signed_offices!$A$2:$BZ$81,0,MATCH("office_id",in_signed_offices!$A$1:$BZ$1,0)),0),MATCH("pantry_owner_title",in_signed_offices!$A$1:$BZ$1,0))),""))</f>
        <v/>
      </c>
      <c r="W34" s="25">
        <f>IF($A34="","",IFERROR(IF(INDEX(in_signed_offices!$A$2:$BZ$81,MATCH($A34,INDEX(in_signed_offices!$A$2:$BZ$81,0,MATCH("office_id",in_signed_offices!$A$1:$BZ$1,0)),0),MATCH("pantry_owner_is_contact",in_signed_offices!$A$1:$BZ$1,0))="","",INDEX(in_signed_offices!$A$2:$BZ$81,MATCH($A34,INDEX(in_signed_offices!$A$2:$BZ$81,0,MATCH("office_id",in_signed_offices!$A$1:$BZ$1,0)),0),MATCH("pantry_owner_is_contact",in_signed_offices!$A$1:$BZ$1,0))),""))</f>
        <v/>
      </c>
      <c r="X34" s="25">
        <f>IF($A34="","",IFERROR(IF(INDEX(in_signed_offices!$A$2:$BZ$81,MATCH($A34,INDEX(in_signed_offices!$A$2:$BZ$81,0,MATCH("office_id",in_signed_offices!$A$1:$BZ$1,0)),0),MATCH("receiving_type",in_signed_offices!$A$1:$BZ$1,0))="","",INDEX(in_signed_offices!$A$2:$BZ$81,MATCH($A34,INDEX(in_signed_offices!$A$2:$BZ$81,0,MATCH("office_id",in_signed_offices!$A$1:$BZ$1,0)),0),MATCH("receiving_type",in_signed_offices!$A$1:$BZ$1,0))),""))</f>
        <v/>
      </c>
      <c r="Y34" s="25">
        <f>IF($A34="","",IFERROR(IF(INDEX(in_signed_offices!$A$2:$BZ$81,MATCH($A34,INDEX(in_signed_offices!$A$2:$BZ$81,0,MATCH("office_id",in_signed_offices!$A$1:$BZ$1,0)),0),MATCH("receiving_window",in_signed_offices!$A$1:$BZ$1,0))="","",INDEX(in_signed_offices!$A$2:$BZ$81,MATCH($A34,INDEX(in_signed_offices!$A$2:$BZ$81,0,MATCH("office_id",in_signed_offices!$A$1:$BZ$1,0)),0),MATCH("receiving_window",in_signed_offices!$A$1:$BZ$1,0))),""))</f>
        <v/>
      </c>
      <c r="Z34" s="25">
        <f>IF($A34="","",IFERROR(IF(INDEX(in_signed_offices!$A$2:$BZ$81,MATCH($A34,INDEX(in_signed_offices!$A$2:$BZ$81,0,MATCH("office_id",in_signed_offices!$A$1:$BZ$1,0)),0),MATCH("coi_required",in_signed_offices!$A$1:$BZ$1,0))="","",INDEX(in_signed_offices!$A$2:$BZ$81,MATCH($A34,INDEX(in_signed_offices!$A$2:$BZ$81,0,MATCH("office_id",in_signed_offices!$A$1:$BZ$1,0)),0),MATCH("coi_required",in_signed_offices!$A$1:$BZ$1,0))),""))</f>
        <v/>
      </c>
      <c r="AA34" s="25">
        <f>IF($A34="","",IFERROR(IF(INDEX(in_signed_offices!$A$2:$BZ$81,MATCH($A34,INDEX(in_signed_offices!$A$2:$BZ$81,0,MATCH("office_id",in_signed_offices!$A$1:$BZ$1,0)),0),MATCH("survey_channel",in_signed_offices!$A$1:$BZ$1,0))="","",INDEX(in_signed_offices!$A$2:$BZ$81,MATCH($A34,INDEX(in_signed_offices!$A$2:$BZ$81,0,MATCH("office_id",in_signed_offices!$A$1:$BZ$1,0)),0),MATCH("survey_channel",in_signed_offices!$A$1:$BZ$1,0))),""))</f>
        <v/>
      </c>
      <c r="AB34" s="25">
        <f>IF($A34="","",IFERROR(IF(INDEX(in_signed_offices!$A$2:$BZ$81,MATCH($A34,INDEX(in_signed_offices!$A$2:$BZ$81,0,MATCH("office_id",in_signed_offices!$A$1:$BZ$1,0)),0),MATCH("categories_wanted",in_signed_offices!$A$1:$BZ$1,0))="","",INDEX(in_signed_offices!$A$2:$BZ$81,MATCH($A34,INDEX(in_signed_offices!$A$2:$BZ$81,0,MATCH("office_id",in_signed_offices!$A$1:$BZ$1,0)),0),MATCH("categories_wanted",in_signed_offices!$A$1:$BZ$1,0))),""))</f>
        <v/>
      </c>
      <c r="AC34" s="25">
        <f>IF($A34="","",IFERROR(IF(INDEX(in_signed_offices!$A$2:$BZ$81,MATCH($A34,INDEX(in_signed_offices!$A$2:$BZ$81,0,MATCH("office_id",in_signed_offices!$A$1:$BZ$1,0)),0),MATCH("vetoes",in_signed_offices!$A$1:$BZ$1,0))="","",INDEX(in_signed_offices!$A$2:$BZ$81,MATCH($A34,INDEX(in_signed_offices!$A$2:$BZ$81,0,MATCH("office_id",in_signed_offices!$A$1:$BZ$1,0)),0),MATCH("vetoes",in_signed_offices!$A$1:$BZ$1,0))),""))</f>
        <v/>
      </c>
      <c r="AD34" s="26">
        <f>IF($A34="","",IFERROR(IF(INDEX(in_signed_offices!$A$2:$BZ$81,MATCH($A34,INDEX(in_signed_offices!$A$2:$BZ$81,0,MATCH("office_id",in_signed_offices!$A$1:$BZ$1,0)),0),MATCH("agreement_signed_date",in_signed_offices!$A$1:$BZ$1,0))="","",INDEX(in_signed_offices!$A$2:$BZ$81,MATCH($A34,INDEX(in_signed_offices!$A$2:$BZ$81,0,MATCH("office_id",in_signed_offices!$A$1:$BZ$1,0)),0),MATCH("agreement_signed_date",in_signed_offices!$A$1:$BZ$1,0))),""))</f>
        <v/>
      </c>
      <c r="AE34" s="25">
        <f>IF($A34="","",IFERROR(IF(INDEX(in_signed_offices!$A$2:$BZ$81,MATCH($A34,INDEX(in_signed_offices!$A$2:$BZ$81,0,MATCH("office_id",in_signed_offices!$A$1:$BZ$1,0)),0),MATCH("founding_roster_named",in_signed_offices!$A$1:$BZ$1,0))="","",INDEX(in_signed_offices!$A$2:$BZ$81,MATCH($A34,INDEX(in_signed_offices!$A$2:$BZ$81,0,MATCH("office_id",in_signed_offices!$A$1:$BZ$1,0)),0),MATCH("founding_roster_named",in_signed_offices!$A$1:$BZ$1,0))),""))</f>
        <v/>
      </c>
      <c r="AF34" s="25">
        <f>IF($A34="","",IFERROR(IF(INDEX(in_signed_offices!$A$2:$BZ$81,MATCH($A34,INDEX(in_signed_offices!$A$2:$BZ$81,0,MATCH("office_id",in_signed_offices!$A$1:$BZ$1,0)),0),MATCH("public_naming_ok",in_signed_offices!$A$1:$BZ$1,0))="","",INDEX(in_signed_offices!$A$2:$BZ$81,MATCH($A34,INDEX(in_signed_offices!$A$2:$BZ$81,0,MATCH("office_id",in_signed_offices!$A$1:$BZ$1,0)),0),MATCH("public_naming_ok",in_signed_offices!$A$1:$BZ$1,0))),""))</f>
        <v/>
      </c>
      <c r="AG34" s="25">
        <f>IF($A34="","",IFERROR(IF(INDEX(in_signed_offices!$A$2:$BZ$81,MATCH($A34,INDEX(in_signed_offices!$A$2:$BZ$81,0,MATCH("office_id",in_signed_offices!$A$1:$BZ$1,0)),0),MATCH("clay_row_id",in_signed_offices!$A$1:$BZ$1,0))="","",INDEX(in_signed_offices!$A$2:$BZ$81,MATCH($A34,INDEX(in_signed_offices!$A$2:$BZ$81,0,MATCH("office_id",in_signed_offices!$A$1:$BZ$1,0)),0),MATCH("clay_row_id",in_signed_offices!$A$1:$BZ$1,0))),""))</f>
        <v/>
      </c>
      <c r="AH34" s="25">
        <f>IF($A34="","",IF($E34&lt;&gt;"",$E34,IFERROR(IF(INDEX(in_signed_offices!$A$2:$BZ$81,MATCH($A34,INDEX(in_signed_offices!$A$2:$BZ$81,0,MATCH("office_id",in_signed_offices!$A$1:$BZ$1,0)),0),MATCH("industry",in_signed_offices!$A$1:$BZ$1,0))="","",INDEX(in_signed_offices!$A$2:$BZ$81,MATCH($A34,INDEX(in_signed_offices!$A$2:$BZ$81,0,MATCH("office_id",in_signed_offices!$A$1:$BZ$1,0)),0),MATCH("industry",in_signed_offices!$A$1:$BZ$1,0))),"")))</f>
        <v/>
      </c>
      <c r="AI34" s="25">
        <f>IF($A34="","",IF($F34&lt;&gt;"",$F34,IF(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lt;&gt;"",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IF($W34="Y",$S34,""))))</f>
        <v/>
      </c>
      <c r="AJ34" s="25">
        <f>IF($A34="","",IF($Q34="","unknown",IF($Q34&lt;40,"under-40",IF($Q34&lt;=75,"40-75",IF($Q34&lt;=150,"76-150",IF($Q34&lt;=250,"151-250",IF($Q34&lt;=500,"251-500","over-500")))))))</f>
        <v/>
      </c>
      <c r="AK34" s="25">
        <f>IF($A34="","",IF($N34="","not on in_signed_offices: paste the outreach file",IF($Q34="","no Tuesday headcount",IF($Q34&lt;30,"below the hard floor of 30",IF($Q34&lt;40,"30 to 39: founder's call",IF($Q34&gt;250,"over 250: outside the plan","OK"))))))</f>
        <v/>
      </c>
      <c r="AL34" s="25">
        <f>IF(OR($A34="",$Q34=""),"",MIN(config!$B$16,MAX(config!$B$15,MROUND(config!$B$13+config!$B$14*$Q34,config!$B$17))))</f>
        <v/>
      </c>
      <c r="AM34" s="25">
        <f>IF($A34="","",COUNTIFS(stops!$B$2:$B$151,$A34,stops!$P$2:$P$151,"&lt;="&amp;IF(config!$B$37&lt;&gt;"",config!$B$37,TODAY())))</f>
        <v/>
      </c>
      <c r="AN34" s="25">
        <f>IF($A34="","",COUNTIFS(stops!$B$2:$B$151,$A34,stops!$L$2:$L$151,"declined"))</f>
        <v/>
      </c>
    </row>
    <row r="35">
      <c r="C35" s="31" t="n"/>
      <c r="D35" s="31" t="n"/>
      <c r="J35" s="9" t="n"/>
      <c r="L35" s="9" t="n"/>
      <c r="N35" s="25">
        <f>IF($A35="","",IFERROR(IF(INDEX(in_signed_offices!$A$2:$BZ$81,MATCH($A35,INDEX(in_signed_offices!$A$2:$BZ$81,0,MATCH("office_id",in_signed_offices!$A$1:$BZ$1,0)),0),MATCH("company",in_signed_offices!$A$1:$BZ$1,0))="","",INDEX(in_signed_offices!$A$2:$BZ$81,MATCH($A35,INDEX(in_signed_offices!$A$2:$BZ$81,0,MATCH("office_id",in_signed_offices!$A$1:$BZ$1,0)),0),MATCH("company",in_signed_offices!$A$1:$BZ$1,0))),""))</f>
        <v/>
      </c>
      <c r="O35" s="25">
        <f>IF($A35="","",IFERROR(IF(INDEX(in_signed_offices!$A$2:$BZ$81,MATCH($A35,INDEX(in_signed_offices!$A$2:$BZ$81,0,MATCH("office_id",in_signed_offices!$A$1:$BZ$1,0)),0),MATCH("office_address",in_signed_offices!$A$1:$BZ$1,0))="","",INDEX(in_signed_offices!$A$2:$BZ$81,MATCH($A35,INDEX(in_signed_offices!$A$2:$BZ$81,0,MATCH("office_id",in_signed_offices!$A$1:$BZ$1,0)),0),MATCH("office_address",in_signed_offices!$A$1:$BZ$1,0))),""))</f>
        <v/>
      </c>
      <c r="P35" s="25">
        <f>IF($A35="","",IFERROR(IF(INDEX(in_signed_offices!$A$2:$BZ$81,MATCH($A35,INDEX(in_signed_offices!$A$2:$BZ$81,0,MATCH("office_id",in_signed_offices!$A$1:$BZ$1,0)),0),MATCH("floor_suite",in_signed_offices!$A$1:$BZ$1,0))="","",INDEX(in_signed_offices!$A$2:$BZ$81,MATCH($A35,INDEX(in_signed_offices!$A$2:$BZ$81,0,MATCH("office_id",in_signed_offices!$A$1:$BZ$1,0)),0),MATCH("floor_suite",in_signed_offices!$A$1:$BZ$1,0))),""))</f>
        <v/>
      </c>
      <c r="Q35" s="25">
        <f>IF($A35="","",IFERROR(IF(INDEX(in_signed_offices!$A$2:$BZ$81,MATCH($A35,INDEX(in_signed_offices!$A$2:$BZ$81,0,MATCH("office_id",in_signed_offices!$A$1:$BZ$1,0)),0),MATCH("tuesday_headcount",in_signed_offices!$A$1:$BZ$1,0))="","",INDEX(in_signed_offices!$A$2:$BZ$81,MATCH($A35,INDEX(in_signed_offices!$A$2:$BZ$81,0,MATCH("office_id",in_signed_offices!$A$1:$BZ$1,0)),0),MATCH("tuesday_headcount",in_signed_offices!$A$1:$BZ$1,0))),""))</f>
        <v/>
      </c>
      <c r="R35" s="25">
        <f>IF($A35="","",IFERROR(IF(INDEX(in_signed_offices!$A$2:$BZ$81,MATCH($A35,INDEX(in_signed_offices!$A$2:$BZ$81,0,MATCH("office_id",in_signed_offices!$A$1:$BZ$1,0)),0),MATCH("contact_name",in_signed_offices!$A$1:$BZ$1,0))="","",INDEX(in_signed_offices!$A$2:$BZ$81,MATCH($A35,INDEX(in_signed_offices!$A$2:$BZ$81,0,MATCH("office_id",in_signed_offices!$A$1:$BZ$1,0)),0),MATCH("contact_name",in_signed_offices!$A$1:$BZ$1,0))),""))</f>
        <v/>
      </c>
      <c r="S35" s="25">
        <f>IF($A35="","",IFERROR(IF(INDEX(in_signed_offices!$A$2:$BZ$81,MATCH($A35,INDEX(in_signed_offices!$A$2:$BZ$81,0,MATCH("office_id",in_signed_offices!$A$1:$BZ$1,0)),0),MATCH("contact_phone",in_signed_offices!$A$1:$BZ$1,0))="","",INDEX(in_signed_offices!$A$2:$BZ$81,MATCH($A35,INDEX(in_signed_offices!$A$2:$BZ$81,0,MATCH("office_id",in_signed_offices!$A$1:$BZ$1,0)),0),MATCH("contact_phone",in_signed_offices!$A$1:$BZ$1,0))),""))</f>
        <v/>
      </c>
      <c r="T35" s="25">
        <f>IF($A35="","",IFERROR(IF(INDEX(in_signed_offices!$A$2:$BZ$81,MATCH($A35,INDEX(in_signed_offices!$A$2:$BZ$81,0,MATCH("office_id",in_signed_offices!$A$1:$BZ$1,0)),0),MATCH("contact_email",in_signed_offices!$A$1:$BZ$1,0))="","",INDEX(in_signed_offices!$A$2:$BZ$81,MATCH($A35,INDEX(in_signed_offices!$A$2:$BZ$81,0,MATCH("office_id",in_signed_offices!$A$1:$BZ$1,0)),0),MATCH("contact_email",in_signed_offices!$A$1:$BZ$1,0))),""))</f>
        <v/>
      </c>
      <c r="U35" s="25">
        <f>IF($A35="","",IFERROR(IF(INDEX(in_signed_offices!$A$2:$BZ$81,MATCH($A35,INDEX(in_signed_offices!$A$2:$BZ$81,0,MATCH("office_id",in_signed_offices!$A$1:$BZ$1,0)),0),MATCH("pantry_owner_name",in_signed_offices!$A$1:$BZ$1,0))="","",INDEX(in_signed_offices!$A$2:$BZ$81,MATCH($A35,INDEX(in_signed_offices!$A$2:$BZ$81,0,MATCH("office_id",in_signed_offices!$A$1:$BZ$1,0)),0),MATCH("pantry_owner_name",in_signed_offices!$A$1:$BZ$1,0))),""))</f>
        <v/>
      </c>
      <c r="V35" s="25">
        <f>IF($A35="","",IFERROR(IF(INDEX(in_signed_offices!$A$2:$BZ$81,MATCH($A35,INDEX(in_signed_offices!$A$2:$BZ$81,0,MATCH("office_id",in_signed_offices!$A$1:$BZ$1,0)),0),MATCH("pantry_owner_title",in_signed_offices!$A$1:$BZ$1,0))="","",INDEX(in_signed_offices!$A$2:$BZ$81,MATCH($A35,INDEX(in_signed_offices!$A$2:$BZ$81,0,MATCH("office_id",in_signed_offices!$A$1:$BZ$1,0)),0),MATCH("pantry_owner_title",in_signed_offices!$A$1:$BZ$1,0))),""))</f>
        <v/>
      </c>
      <c r="W35" s="25">
        <f>IF($A35="","",IFERROR(IF(INDEX(in_signed_offices!$A$2:$BZ$81,MATCH($A35,INDEX(in_signed_offices!$A$2:$BZ$81,0,MATCH("office_id",in_signed_offices!$A$1:$BZ$1,0)),0),MATCH("pantry_owner_is_contact",in_signed_offices!$A$1:$BZ$1,0))="","",INDEX(in_signed_offices!$A$2:$BZ$81,MATCH($A35,INDEX(in_signed_offices!$A$2:$BZ$81,0,MATCH("office_id",in_signed_offices!$A$1:$BZ$1,0)),0),MATCH("pantry_owner_is_contact",in_signed_offices!$A$1:$BZ$1,0))),""))</f>
        <v/>
      </c>
      <c r="X35" s="25">
        <f>IF($A35="","",IFERROR(IF(INDEX(in_signed_offices!$A$2:$BZ$81,MATCH($A35,INDEX(in_signed_offices!$A$2:$BZ$81,0,MATCH("office_id",in_signed_offices!$A$1:$BZ$1,0)),0),MATCH("receiving_type",in_signed_offices!$A$1:$BZ$1,0))="","",INDEX(in_signed_offices!$A$2:$BZ$81,MATCH($A35,INDEX(in_signed_offices!$A$2:$BZ$81,0,MATCH("office_id",in_signed_offices!$A$1:$BZ$1,0)),0),MATCH("receiving_type",in_signed_offices!$A$1:$BZ$1,0))),""))</f>
        <v/>
      </c>
      <c r="Y35" s="25">
        <f>IF($A35="","",IFERROR(IF(INDEX(in_signed_offices!$A$2:$BZ$81,MATCH($A35,INDEX(in_signed_offices!$A$2:$BZ$81,0,MATCH("office_id",in_signed_offices!$A$1:$BZ$1,0)),0),MATCH("receiving_window",in_signed_offices!$A$1:$BZ$1,0))="","",INDEX(in_signed_offices!$A$2:$BZ$81,MATCH($A35,INDEX(in_signed_offices!$A$2:$BZ$81,0,MATCH("office_id",in_signed_offices!$A$1:$BZ$1,0)),0),MATCH("receiving_window",in_signed_offices!$A$1:$BZ$1,0))),""))</f>
        <v/>
      </c>
      <c r="Z35" s="25">
        <f>IF($A35="","",IFERROR(IF(INDEX(in_signed_offices!$A$2:$BZ$81,MATCH($A35,INDEX(in_signed_offices!$A$2:$BZ$81,0,MATCH("office_id",in_signed_offices!$A$1:$BZ$1,0)),0),MATCH("coi_required",in_signed_offices!$A$1:$BZ$1,0))="","",INDEX(in_signed_offices!$A$2:$BZ$81,MATCH($A35,INDEX(in_signed_offices!$A$2:$BZ$81,0,MATCH("office_id",in_signed_offices!$A$1:$BZ$1,0)),0),MATCH("coi_required",in_signed_offices!$A$1:$BZ$1,0))),""))</f>
        <v/>
      </c>
      <c r="AA35" s="25">
        <f>IF($A35="","",IFERROR(IF(INDEX(in_signed_offices!$A$2:$BZ$81,MATCH($A35,INDEX(in_signed_offices!$A$2:$BZ$81,0,MATCH("office_id",in_signed_offices!$A$1:$BZ$1,0)),0),MATCH("survey_channel",in_signed_offices!$A$1:$BZ$1,0))="","",INDEX(in_signed_offices!$A$2:$BZ$81,MATCH($A35,INDEX(in_signed_offices!$A$2:$BZ$81,0,MATCH("office_id",in_signed_offices!$A$1:$BZ$1,0)),0),MATCH("survey_channel",in_signed_offices!$A$1:$BZ$1,0))),""))</f>
        <v/>
      </c>
      <c r="AB35" s="25">
        <f>IF($A35="","",IFERROR(IF(INDEX(in_signed_offices!$A$2:$BZ$81,MATCH($A35,INDEX(in_signed_offices!$A$2:$BZ$81,0,MATCH("office_id",in_signed_offices!$A$1:$BZ$1,0)),0),MATCH("categories_wanted",in_signed_offices!$A$1:$BZ$1,0))="","",INDEX(in_signed_offices!$A$2:$BZ$81,MATCH($A35,INDEX(in_signed_offices!$A$2:$BZ$81,0,MATCH("office_id",in_signed_offices!$A$1:$BZ$1,0)),0),MATCH("categories_wanted",in_signed_offices!$A$1:$BZ$1,0))),""))</f>
        <v/>
      </c>
      <c r="AC35" s="25">
        <f>IF($A35="","",IFERROR(IF(INDEX(in_signed_offices!$A$2:$BZ$81,MATCH($A35,INDEX(in_signed_offices!$A$2:$BZ$81,0,MATCH("office_id",in_signed_offices!$A$1:$BZ$1,0)),0),MATCH("vetoes",in_signed_offices!$A$1:$BZ$1,0))="","",INDEX(in_signed_offices!$A$2:$BZ$81,MATCH($A35,INDEX(in_signed_offices!$A$2:$BZ$81,0,MATCH("office_id",in_signed_offices!$A$1:$BZ$1,0)),0),MATCH("vetoes",in_signed_offices!$A$1:$BZ$1,0))),""))</f>
        <v/>
      </c>
      <c r="AD35" s="26">
        <f>IF($A35="","",IFERROR(IF(INDEX(in_signed_offices!$A$2:$BZ$81,MATCH($A35,INDEX(in_signed_offices!$A$2:$BZ$81,0,MATCH("office_id",in_signed_offices!$A$1:$BZ$1,0)),0),MATCH("agreement_signed_date",in_signed_offices!$A$1:$BZ$1,0))="","",INDEX(in_signed_offices!$A$2:$BZ$81,MATCH($A35,INDEX(in_signed_offices!$A$2:$BZ$81,0,MATCH("office_id",in_signed_offices!$A$1:$BZ$1,0)),0),MATCH("agreement_signed_date",in_signed_offices!$A$1:$BZ$1,0))),""))</f>
        <v/>
      </c>
      <c r="AE35" s="25">
        <f>IF($A35="","",IFERROR(IF(INDEX(in_signed_offices!$A$2:$BZ$81,MATCH($A35,INDEX(in_signed_offices!$A$2:$BZ$81,0,MATCH("office_id",in_signed_offices!$A$1:$BZ$1,0)),0),MATCH("founding_roster_named",in_signed_offices!$A$1:$BZ$1,0))="","",INDEX(in_signed_offices!$A$2:$BZ$81,MATCH($A35,INDEX(in_signed_offices!$A$2:$BZ$81,0,MATCH("office_id",in_signed_offices!$A$1:$BZ$1,0)),0),MATCH("founding_roster_named",in_signed_offices!$A$1:$BZ$1,0))),""))</f>
        <v/>
      </c>
      <c r="AF35" s="25">
        <f>IF($A35="","",IFERROR(IF(INDEX(in_signed_offices!$A$2:$BZ$81,MATCH($A35,INDEX(in_signed_offices!$A$2:$BZ$81,0,MATCH("office_id",in_signed_offices!$A$1:$BZ$1,0)),0),MATCH("public_naming_ok",in_signed_offices!$A$1:$BZ$1,0))="","",INDEX(in_signed_offices!$A$2:$BZ$81,MATCH($A35,INDEX(in_signed_offices!$A$2:$BZ$81,0,MATCH("office_id",in_signed_offices!$A$1:$BZ$1,0)),0),MATCH("public_naming_ok",in_signed_offices!$A$1:$BZ$1,0))),""))</f>
        <v/>
      </c>
      <c r="AG35" s="25">
        <f>IF($A35="","",IFERROR(IF(INDEX(in_signed_offices!$A$2:$BZ$81,MATCH($A35,INDEX(in_signed_offices!$A$2:$BZ$81,0,MATCH("office_id",in_signed_offices!$A$1:$BZ$1,0)),0),MATCH("clay_row_id",in_signed_offices!$A$1:$BZ$1,0))="","",INDEX(in_signed_offices!$A$2:$BZ$81,MATCH($A35,INDEX(in_signed_offices!$A$2:$BZ$81,0,MATCH("office_id",in_signed_offices!$A$1:$BZ$1,0)),0),MATCH("clay_row_id",in_signed_offices!$A$1:$BZ$1,0))),""))</f>
        <v/>
      </c>
      <c r="AH35" s="25">
        <f>IF($A35="","",IF($E35&lt;&gt;"",$E35,IFERROR(IF(INDEX(in_signed_offices!$A$2:$BZ$81,MATCH($A35,INDEX(in_signed_offices!$A$2:$BZ$81,0,MATCH("office_id",in_signed_offices!$A$1:$BZ$1,0)),0),MATCH("industry",in_signed_offices!$A$1:$BZ$1,0))="","",INDEX(in_signed_offices!$A$2:$BZ$81,MATCH($A35,INDEX(in_signed_offices!$A$2:$BZ$81,0,MATCH("office_id",in_signed_offices!$A$1:$BZ$1,0)),0),MATCH("industry",in_signed_offices!$A$1:$BZ$1,0))),"")))</f>
        <v/>
      </c>
      <c r="AI35" s="25">
        <f>IF($A35="","",IF($F35&lt;&gt;"",$F35,IF(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lt;&gt;"",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IF($W35="Y",$S35,""))))</f>
        <v/>
      </c>
      <c r="AJ35" s="25">
        <f>IF($A35="","",IF($Q35="","unknown",IF($Q35&lt;40,"under-40",IF($Q35&lt;=75,"40-75",IF($Q35&lt;=150,"76-150",IF($Q35&lt;=250,"151-250",IF($Q35&lt;=500,"251-500","over-500")))))))</f>
        <v/>
      </c>
      <c r="AK35" s="25">
        <f>IF($A35="","",IF($N35="","not on in_signed_offices: paste the outreach file",IF($Q35="","no Tuesday headcount",IF($Q35&lt;30,"below the hard floor of 30",IF($Q35&lt;40,"30 to 39: founder's call",IF($Q35&gt;250,"over 250: outside the plan","OK"))))))</f>
        <v/>
      </c>
      <c r="AL35" s="25">
        <f>IF(OR($A35="",$Q35=""),"",MIN(config!$B$16,MAX(config!$B$15,MROUND(config!$B$13+config!$B$14*$Q35,config!$B$17))))</f>
        <v/>
      </c>
      <c r="AM35" s="25">
        <f>IF($A35="","",COUNTIFS(stops!$B$2:$B$151,$A35,stops!$P$2:$P$151,"&lt;="&amp;IF(config!$B$37&lt;&gt;"",config!$B$37,TODAY())))</f>
        <v/>
      </c>
      <c r="AN35" s="25">
        <f>IF($A35="","",COUNTIFS(stops!$B$2:$B$151,$A35,stops!$L$2:$L$151,"declined"))</f>
        <v/>
      </c>
    </row>
    <row r="36">
      <c r="C36" s="31" t="n"/>
      <c r="D36" s="31" t="n"/>
      <c r="J36" s="9" t="n"/>
      <c r="L36" s="9" t="n"/>
      <c r="N36" s="25">
        <f>IF($A36="","",IFERROR(IF(INDEX(in_signed_offices!$A$2:$BZ$81,MATCH($A36,INDEX(in_signed_offices!$A$2:$BZ$81,0,MATCH("office_id",in_signed_offices!$A$1:$BZ$1,0)),0),MATCH("company",in_signed_offices!$A$1:$BZ$1,0))="","",INDEX(in_signed_offices!$A$2:$BZ$81,MATCH($A36,INDEX(in_signed_offices!$A$2:$BZ$81,0,MATCH("office_id",in_signed_offices!$A$1:$BZ$1,0)),0),MATCH("company",in_signed_offices!$A$1:$BZ$1,0))),""))</f>
        <v/>
      </c>
      <c r="O36" s="25">
        <f>IF($A36="","",IFERROR(IF(INDEX(in_signed_offices!$A$2:$BZ$81,MATCH($A36,INDEX(in_signed_offices!$A$2:$BZ$81,0,MATCH("office_id",in_signed_offices!$A$1:$BZ$1,0)),0),MATCH("office_address",in_signed_offices!$A$1:$BZ$1,0))="","",INDEX(in_signed_offices!$A$2:$BZ$81,MATCH($A36,INDEX(in_signed_offices!$A$2:$BZ$81,0,MATCH("office_id",in_signed_offices!$A$1:$BZ$1,0)),0),MATCH("office_address",in_signed_offices!$A$1:$BZ$1,0))),""))</f>
        <v/>
      </c>
      <c r="P36" s="25">
        <f>IF($A36="","",IFERROR(IF(INDEX(in_signed_offices!$A$2:$BZ$81,MATCH($A36,INDEX(in_signed_offices!$A$2:$BZ$81,0,MATCH("office_id",in_signed_offices!$A$1:$BZ$1,0)),0),MATCH("floor_suite",in_signed_offices!$A$1:$BZ$1,0))="","",INDEX(in_signed_offices!$A$2:$BZ$81,MATCH($A36,INDEX(in_signed_offices!$A$2:$BZ$81,0,MATCH("office_id",in_signed_offices!$A$1:$BZ$1,0)),0),MATCH("floor_suite",in_signed_offices!$A$1:$BZ$1,0))),""))</f>
        <v/>
      </c>
      <c r="Q36" s="25">
        <f>IF($A36="","",IFERROR(IF(INDEX(in_signed_offices!$A$2:$BZ$81,MATCH($A36,INDEX(in_signed_offices!$A$2:$BZ$81,0,MATCH("office_id",in_signed_offices!$A$1:$BZ$1,0)),0),MATCH("tuesday_headcount",in_signed_offices!$A$1:$BZ$1,0))="","",INDEX(in_signed_offices!$A$2:$BZ$81,MATCH($A36,INDEX(in_signed_offices!$A$2:$BZ$81,0,MATCH("office_id",in_signed_offices!$A$1:$BZ$1,0)),0),MATCH("tuesday_headcount",in_signed_offices!$A$1:$BZ$1,0))),""))</f>
        <v/>
      </c>
      <c r="R36" s="25">
        <f>IF($A36="","",IFERROR(IF(INDEX(in_signed_offices!$A$2:$BZ$81,MATCH($A36,INDEX(in_signed_offices!$A$2:$BZ$81,0,MATCH("office_id",in_signed_offices!$A$1:$BZ$1,0)),0),MATCH("contact_name",in_signed_offices!$A$1:$BZ$1,0))="","",INDEX(in_signed_offices!$A$2:$BZ$81,MATCH($A36,INDEX(in_signed_offices!$A$2:$BZ$81,0,MATCH("office_id",in_signed_offices!$A$1:$BZ$1,0)),0),MATCH("contact_name",in_signed_offices!$A$1:$BZ$1,0))),""))</f>
        <v/>
      </c>
      <c r="S36" s="25">
        <f>IF($A36="","",IFERROR(IF(INDEX(in_signed_offices!$A$2:$BZ$81,MATCH($A36,INDEX(in_signed_offices!$A$2:$BZ$81,0,MATCH("office_id",in_signed_offices!$A$1:$BZ$1,0)),0),MATCH("contact_phone",in_signed_offices!$A$1:$BZ$1,0))="","",INDEX(in_signed_offices!$A$2:$BZ$81,MATCH($A36,INDEX(in_signed_offices!$A$2:$BZ$81,0,MATCH("office_id",in_signed_offices!$A$1:$BZ$1,0)),0),MATCH("contact_phone",in_signed_offices!$A$1:$BZ$1,0))),""))</f>
        <v/>
      </c>
      <c r="T36" s="25">
        <f>IF($A36="","",IFERROR(IF(INDEX(in_signed_offices!$A$2:$BZ$81,MATCH($A36,INDEX(in_signed_offices!$A$2:$BZ$81,0,MATCH("office_id",in_signed_offices!$A$1:$BZ$1,0)),0),MATCH("contact_email",in_signed_offices!$A$1:$BZ$1,0))="","",INDEX(in_signed_offices!$A$2:$BZ$81,MATCH($A36,INDEX(in_signed_offices!$A$2:$BZ$81,0,MATCH("office_id",in_signed_offices!$A$1:$BZ$1,0)),0),MATCH("contact_email",in_signed_offices!$A$1:$BZ$1,0))),""))</f>
        <v/>
      </c>
      <c r="U36" s="25">
        <f>IF($A36="","",IFERROR(IF(INDEX(in_signed_offices!$A$2:$BZ$81,MATCH($A36,INDEX(in_signed_offices!$A$2:$BZ$81,0,MATCH("office_id",in_signed_offices!$A$1:$BZ$1,0)),0),MATCH("pantry_owner_name",in_signed_offices!$A$1:$BZ$1,0))="","",INDEX(in_signed_offices!$A$2:$BZ$81,MATCH($A36,INDEX(in_signed_offices!$A$2:$BZ$81,0,MATCH("office_id",in_signed_offices!$A$1:$BZ$1,0)),0),MATCH("pantry_owner_name",in_signed_offices!$A$1:$BZ$1,0))),""))</f>
        <v/>
      </c>
      <c r="V36" s="25">
        <f>IF($A36="","",IFERROR(IF(INDEX(in_signed_offices!$A$2:$BZ$81,MATCH($A36,INDEX(in_signed_offices!$A$2:$BZ$81,0,MATCH("office_id",in_signed_offices!$A$1:$BZ$1,0)),0),MATCH("pantry_owner_title",in_signed_offices!$A$1:$BZ$1,0))="","",INDEX(in_signed_offices!$A$2:$BZ$81,MATCH($A36,INDEX(in_signed_offices!$A$2:$BZ$81,0,MATCH("office_id",in_signed_offices!$A$1:$BZ$1,0)),0),MATCH("pantry_owner_title",in_signed_offices!$A$1:$BZ$1,0))),""))</f>
        <v/>
      </c>
      <c r="W36" s="25">
        <f>IF($A36="","",IFERROR(IF(INDEX(in_signed_offices!$A$2:$BZ$81,MATCH($A36,INDEX(in_signed_offices!$A$2:$BZ$81,0,MATCH("office_id",in_signed_offices!$A$1:$BZ$1,0)),0),MATCH("pantry_owner_is_contact",in_signed_offices!$A$1:$BZ$1,0))="","",INDEX(in_signed_offices!$A$2:$BZ$81,MATCH($A36,INDEX(in_signed_offices!$A$2:$BZ$81,0,MATCH("office_id",in_signed_offices!$A$1:$BZ$1,0)),0),MATCH("pantry_owner_is_contact",in_signed_offices!$A$1:$BZ$1,0))),""))</f>
        <v/>
      </c>
      <c r="X36" s="25">
        <f>IF($A36="","",IFERROR(IF(INDEX(in_signed_offices!$A$2:$BZ$81,MATCH($A36,INDEX(in_signed_offices!$A$2:$BZ$81,0,MATCH("office_id",in_signed_offices!$A$1:$BZ$1,0)),0),MATCH("receiving_type",in_signed_offices!$A$1:$BZ$1,0))="","",INDEX(in_signed_offices!$A$2:$BZ$81,MATCH($A36,INDEX(in_signed_offices!$A$2:$BZ$81,0,MATCH("office_id",in_signed_offices!$A$1:$BZ$1,0)),0),MATCH("receiving_type",in_signed_offices!$A$1:$BZ$1,0))),""))</f>
        <v/>
      </c>
      <c r="Y36" s="25">
        <f>IF($A36="","",IFERROR(IF(INDEX(in_signed_offices!$A$2:$BZ$81,MATCH($A36,INDEX(in_signed_offices!$A$2:$BZ$81,0,MATCH("office_id",in_signed_offices!$A$1:$BZ$1,0)),0),MATCH("receiving_window",in_signed_offices!$A$1:$BZ$1,0))="","",INDEX(in_signed_offices!$A$2:$BZ$81,MATCH($A36,INDEX(in_signed_offices!$A$2:$BZ$81,0,MATCH("office_id",in_signed_offices!$A$1:$BZ$1,0)),0),MATCH("receiving_window",in_signed_offices!$A$1:$BZ$1,0))),""))</f>
        <v/>
      </c>
      <c r="Z36" s="25">
        <f>IF($A36="","",IFERROR(IF(INDEX(in_signed_offices!$A$2:$BZ$81,MATCH($A36,INDEX(in_signed_offices!$A$2:$BZ$81,0,MATCH("office_id",in_signed_offices!$A$1:$BZ$1,0)),0),MATCH("coi_required",in_signed_offices!$A$1:$BZ$1,0))="","",INDEX(in_signed_offices!$A$2:$BZ$81,MATCH($A36,INDEX(in_signed_offices!$A$2:$BZ$81,0,MATCH("office_id",in_signed_offices!$A$1:$BZ$1,0)),0),MATCH("coi_required",in_signed_offices!$A$1:$BZ$1,0))),""))</f>
        <v/>
      </c>
      <c r="AA36" s="25">
        <f>IF($A36="","",IFERROR(IF(INDEX(in_signed_offices!$A$2:$BZ$81,MATCH($A36,INDEX(in_signed_offices!$A$2:$BZ$81,0,MATCH("office_id",in_signed_offices!$A$1:$BZ$1,0)),0),MATCH("survey_channel",in_signed_offices!$A$1:$BZ$1,0))="","",INDEX(in_signed_offices!$A$2:$BZ$81,MATCH($A36,INDEX(in_signed_offices!$A$2:$BZ$81,0,MATCH("office_id",in_signed_offices!$A$1:$BZ$1,0)),0),MATCH("survey_channel",in_signed_offices!$A$1:$BZ$1,0))),""))</f>
        <v/>
      </c>
      <c r="AB36" s="25">
        <f>IF($A36="","",IFERROR(IF(INDEX(in_signed_offices!$A$2:$BZ$81,MATCH($A36,INDEX(in_signed_offices!$A$2:$BZ$81,0,MATCH("office_id",in_signed_offices!$A$1:$BZ$1,0)),0),MATCH("categories_wanted",in_signed_offices!$A$1:$BZ$1,0))="","",INDEX(in_signed_offices!$A$2:$BZ$81,MATCH($A36,INDEX(in_signed_offices!$A$2:$BZ$81,0,MATCH("office_id",in_signed_offices!$A$1:$BZ$1,0)),0),MATCH("categories_wanted",in_signed_offices!$A$1:$BZ$1,0))),""))</f>
        <v/>
      </c>
      <c r="AC36" s="25">
        <f>IF($A36="","",IFERROR(IF(INDEX(in_signed_offices!$A$2:$BZ$81,MATCH($A36,INDEX(in_signed_offices!$A$2:$BZ$81,0,MATCH("office_id",in_signed_offices!$A$1:$BZ$1,0)),0),MATCH("vetoes",in_signed_offices!$A$1:$BZ$1,0))="","",INDEX(in_signed_offices!$A$2:$BZ$81,MATCH($A36,INDEX(in_signed_offices!$A$2:$BZ$81,0,MATCH("office_id",in_signed_offices!$A$1:$BZ$1,0)),0),MATCH("vetoes",in_signed_offices!$A$1:$BZ$1,0))),""))</f>
        <v/>
      </c>
      <c r="AD36" s="26">
        <f>IF($A36="","",IFERROR(IF(INDEX(in_signed_offices!$A$2:$BZ$81,MATCH($A36,INDEX(in_signed_offices!$A$2:$BZ$81,0,MATCH("office_id",in_signed_offices!$A$1:$BZ$1,0)),0),MATCH("agreement_signed_date",in_signed_offices!$A$1:$BZ$1,0))="","",INDEX(in_signed_offices!$A$2:$BZ$81,MATCH($A36,INDEX(in_signed_offices!$A$2:$BZ$81,0,MATCH("office_id",in_signed_offices!$A$1:$BZ$1,0)),0),MATCH("agreement_signed_date",in_signed_offices!$A$1:$BZ$1,0))),""))</f>
        <v/>
      </c>
      <c r="AE36" s="25">
        <f>IF($A36="","",IFERROR(IF(INDEX(in_signed_offices!$A$2:$BZ$81,MATCH($A36,INDEX(in_signed_offices!$A$2:$BZ$81,0,MATCH("office_id",in_signed_offices!$A$1:$BZ$1,0)),0),MATCH("founding_roster_named",in_signed_offices!$A$1:$BZ$1,0))="","",INDEX(in_signed_offices!$A$2:$BZ$81,MATCH($A36,INDEX(in_signed_offices!$A$2:$BZ$81,0,MATCH("office_id",in_signed_offices!$A$1:$BZ$1,0)),0),MATCH("founding_roster_named",in_signed_offices!$A$1:$BZ$1,0))),""))</f>
        <v/>
      </c>
      <c r="AF36" s="25">
        <f>IF($A36="","",IFERROR(IF(INDEX(in_signed_offices!$A$2:$BZ$81,MATCH($A36,INDEX(in_signed_offices!$A$2:$BZ$81,0,MATCH("office_id",in_signed_offices!$A$1:$BZ$1,0)),0),MATCH("public_naming_ok",in_signed_offices!$A$1:$BZ$1,0))="","",INDEX(in_signed_offices!$A$2:$BZ$81,MATCH($A36,INDEX(in_signed_offices!$A$2:$BZ$81,0,MATCH("office_id",in_signed_offices!$A$1:$BZ$1,0)),0),MATCH("public_naming_ok",in_signed_offices!$A$1:$BZ$1,0))),""))</f>
        <v/>
      </c>
      <c r="AG36" s="25">
        <f>IF($A36="","",IFERROR(IF(INDEX(in_signed_offices!$A$2:$BZ$81,MATCH($A36,INDEX(in_signed_offices!$A$2:$BZ$81,0,MATCH("office_id",in_signed_offices!$A$1:$BZ$1,0)),0),MATCH("clay_row_id",in_signed_offices!$A$1:$BZ$1,0))="","",INDEX(in_signed_offices!$A$2:$BZ$81,MATCH($A36,INDEX(in_signed_offices!$A$2:$BZ$81,0,MATCH("office_id",in_signed_offices!$A$1:$BZ$1,0)),0),MATCH("clay_row_id",in_signed_offices!$A$1:$BZ$1,0))),""))</f>
        <v/>
      </c>
      <c r="AH36" s="25">
        <f>IF($A36="","",IF($E36&lt;&gt;"",$E36,IFERROR(IF(INDEX(in_signed_offices!$A$2:$BZ$81,MATCH($A36,INDEX(in_signed_offices!$A$2:$BZ$81,0,MATCH("office_id",in_signed_offices!$A$1:$BZ$1,0)),0),MATCH("industry",in_signed_offices!$A$1:$BZ$1,0))="","",INDEX(in_signed_offices!$A$2:$BZ$81,MATCH($A36,INDEX(in_signed_offices!$A$2:$BZ$81,0,MATCH("office_id",in_signed_offices!$A$1:$BZ$1,0)),0),MATCH("industry",in_signed_offices!$A$1:$BZ$1,0))),"")))</f>
        <v/>
      </c>
      <c r="AI36" s="25">
        <f>IF($A36="","",IF($F36&lt;&gt;"",$F36,IF(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lt;&gt;"",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IF($W36="Y",$S36,""))))</f>
        <v/>
      </c>
      <c r="AJ36" s="25">
        <f>IF($A36="","",IF($Q36="","unknown",IF($Q36&lt;40,"under-40",IF($Q36&lt;=75,"40-75",IF($Q36&lt;=150,"76-150",IF($Q36&lt;=250,"151-250",IF($Q36&lt;=500,"251-500","over-500")))))))</f>
        <v/>
      </c>
      <c r="AK36" s="25">
        <f>IF($A36="","",IF($N36="","not on in_signed_offices: paste the outreach file",IF($Q36="","no Tuesday headcount",IF($Q36&lt;30,"below the hard floor of 30",IF($Q36&lt;40,"30 to 39: founder's call",IF($Q36&gt;250,"over 250: outside the plan","OK"))))))</f>
        <v/>
      </c>
      <c r="AL36" s="25">
        <f>IF(OR($A36="",$Q36=""),"",MIN(config!$B$16,MAX(config!$B$15,MROUND(config!$B$13+config!$B$14*$Q36,config!$B$17))))</f>
        <v/>
      </c>
      <c r="AM36" s="25">
        <f>IF($A36="","",COUNTIFS(stops!$B$2:$B$151,$A36,stops!$P$2:$P$151,"&lt;="&amp;IF(config!$B$37&lt;&gt;"",config!$B$37,TODAY())))</f>
        <v/>
      </c>
      <c r="AN36" s="25">
        <f>IF($A36="","",COUNTIFS(stops!$B$2:$B$151,$A36,stops!$L$2:$L$151,"declined"))</f>
        <v/>
      </c>
    </row>
    <row r="37">
      <c r="C37" s="31" t="n"/>
      <c r="D37" s="31" t="n"/>
      <c r="J37" s="9" t="n"/>
      <c r="L37" s="9" t="n"/>
      <c r="N37" s="25">
        <f>IF($A37="","",IFERROR(IF(INDEX(in_signed_offices!$A$2:$BZ$81,MATCH($A37,INDEX(in_signed_offices!$A$2:$BZ$81,0,MATCH("office_id",in_signed_offices!$A$1:$BZ$1,0)),0),MATCH("company",in_signed_offices!$A$1:$BZ$1,0))="","",INDEX(in_signed_offices!$A$2:$BZ$81,MATCH($A37,INDEX(in_signed_offices!$A$2:$BZ$81,0,MATCH("office_id",in_signed_offices!$A$1:$BZ$1,0)),0),MATCH("company",in_signed_offices!$A$1:$BZ$1,0))),""))</f>
        <v/>
      </c>
      <c r="O37" s="25">
        <f>IF($A37="","",IFERROR(IF(INDEX(in_signed_offices!$A$2:$BZ$81,MATCH($A37,INDEX(in_signed_offices!$A$2:$BZ$81,0,MATCH("office_id",in_signed_offices!$A$1:$BZ$1,0)),0),MATCH("office_address",in_signed_offices!$A$1:$BZ$1,0))="","",INDEX(in_signed_offices!$A$2:$BZ$81,MATCH($A37,INDEX(in_signed_offices!$A$2:$BZ$81,0,MATCH("office_id",in_signed_offices!$A$1:$BZ$1,0)),0),MATCH("office_address",in_signed_offices!$A$1:$BZ$1,0))),""))</f>
        <v/>
      </c>
      <c r="P37" s="25">
        <f>IF($A37="","",IFERROR(IF(INDEX(in_signed_offices!$A$2:$BZ$81,MATCH($A37,INDEX(in_signed_offices!$A$2:$BZ$81,0,MATCH("office_id",in_signed_offices!$A$1:$BZ$1,0)),0),MATCH("floor_suite",in_signed_offices!$A$1:$BZ$1,0))="","",INDEX(in_signed_offices!$A$2:$BZ$81,MATCH($A37,INDEX(in_signed_offices!$A$2:$BZ$81,0,MATCH("office_id",in_signed_offices!$A$1:$BZ$1,0)),0),MATCH("floor_suite",in_signed_offices!$A$1:$BZ$1,0))),""))</f>
        <v/>
      </c>
      <c r="Q37" s="25">
        <f>IF($A37="","",IFERROR(IF(INDEX(in_signed_offices!$A$2:$BZ$81,MATCH($A37,INDEX(in_signed_offices!$A$2:$BZ$81,0,MATCH("office_id",in_signed_offices!$A$1:$BZ$1,0)),0),MATCH("tuesday_headcount",in_signed_offices!$A$1:$BZ$1,0))="","",INDEX(in_signed_offices!$A$2:$BZ$81,MATCH($A37,INDEX(in_signed_offices!$A$2:$BZ$81,0,MATCH("office_id",in_signed_offices!$A$1:$BZ$1,0)),0),MATCH("tuesday_headcount",in_signed_offices!$A$1:$BZ$1,0))),""))</f>
        <v/>
      </c>
      <c r="R37" s="25">
        <f>IF($A37="","",IFERROR(IF(INDEX(in_signed_offices!$A$2:$BZ$81,MATCH($A37,INDEX(in_signed_offices!$A$2:$BZ$81,0,MATCH("office_id",in_signed_offices!$A$1:$BZ$1,0)),0),MATCH("contact_name",in_signed_offices!$A$1:$BZ$1,0))="","",INDEX(in_signed_offices!$A$2:$BZ$81,MATCH($A37,INDEX(in_signed_offices!$A$2:$BZ$81,0,MATCH("office_id",in_signed_offices!$A$1:$BZ$1,0)),0),MATCH("contact_name",in_signed_offices!$A$1:$BZ$1,0))),""))</f>
        <v/>
      </c>
      <c r="S37" s="25">
        <f>IF($A37="","",IFERROR(IF(INDEX(in_signed_offices!$A$2:$BZ$81,MATCH($A37,INDEX(in_signed_offices!$A$2:$BZ$81,0,MATCH("office_id",in_signed_offices!$A$1:$BZ$1,0)),0),MATCH("contact_phone",in_signed_offices!$A$1:$BZ$1,0))="","",INDEX(in_signed_offices!$A$2:$BZ$81,MATCH($A37,INDEX(in_signed_offices!$A$2:$BZ$81,0,MATCH("office_id",in_signed_offices!$A$1:$BZ$1,0)),0),MATCH("contact_phone",in_signed_offices!$A$1:$BZ$1,0))),""))</f>
        <v/>
      </c>
      <c r="T37" s="25">
        <f>IF($A37="","",IFERROR(IF(INDEX(in_signed_offices!$A$2:$BZ$81,MATCH($A37,INDEX(in_signed_offices!$A$2:$BZ$81,0,MATCH("office_id",in_signed_offices!$A$1:$BZ$1,0)),0),MATCH("contact_email",in_signed_offices!$A$1:$BZ$1,0))="","",INDEX(in_signed_offices!$A$2:$BZ$81,MATCH($A37,INDEX(in_signed_offices!$A$2:$BZ$81,0,MATCH("office_id",in_signed_offices!$A$1:$BZ$1,0)),0),MATCH("contact_email",in_signed_offices!$A$1:$BZ$1,0))),""))</f>
        <v/>
      </c>
      <c r="U37" s="25">
        <f>IF($A37="","",IFERROR(IF(INDEX(in_signed_offices!$A$2:$BZ$81,MATCH($A37,INDEX(in_signed_offices!$A$2:$BZ$81,0,MATCH("office_id",in_signed_offices!$A$1:$BZ$1,0)),0),MATCH("pantry_owner_name",in_signed_offices!$A$1:$BZ$1,0))="","",INDEX(in_signed_offices!$A$2:$BZ$81,MATCH($A37,INDEX(in_signed_offices!$A$2:$BZ$81,0,MATCH("office_id",in_signed_offices!$A$1:$BZ$1,0)),0),MATCH("pantry_owner_name",in_signed_offices!$A$1:$BZ$1,0))),""))</f>
        <v/>
      </c>
      <c r="V37" s="25">
        <f>IF($A37="","",IFERROR(IF(INDEX(in_signed_offices!$A$2:$BZ$81,MATCH($A37,INDEX(in_signed_offices!$A$2:$BZ$81,0,MATCH("office_id",in_signed_offices!$A$1:$BZ$1,0)),0),MATCH("pantry_owner_title",in_signed_offices!$A$1:$BZ$1,0))="","",INDEX(in_signed_offices!$A$2:$BZ$81,MATCH($A37,INDEX(in_signed_offices!$A$2:$BZ$81,0,MATCH("office_id",in_signed_offices!$A$1:$BZ$1,0)),0),MATCH("pantry_owner_title",in_signed_offices!$A$1:$BZ$1,0))),""))</f>
        <v/>
      </c>
      <c r="W37" s="25">
        <f>IF($A37="","",IFERROR(IF(INDEX(in_signed_offices!$A$2:$BZ$81,MATCH($A37,INDEX(in_signed_offices!$A$2:$BZ$81,0,MATCH("office_id",in_signed_offices!$A$1:$BZ$1,0)),0),MATCH("pantry_owner_is_contact",in_signed_offices!$A$1:$BZ$1,0))="","",INDEX(in_signed_offices!$A$2:$BZ$81,MATCH($A37,INDEX(in_signed_offices!$A$2:$BZ$81,0,MATCH("office_id",in_signed_offices!$A$1:$BZ$1,0)),0),MATCH("pantry_owner_is_contact",in_signed_offices!$A$1:$BZ$1,0))),""))</f>
        <v/>
      </c>
      <c r="X37" s="25">
        <f>IF($A37="","",IFERROR(IF(INDEX(in_signed_offices!$A$2:$BZ$81,MATCH($A37,INDEX(in_signed_offices!$A$2:$BZ$81,0,MATCH("office_id",in_signed_offices!$A$1:$BZ$1,0)),0),MATCH("receiving_type",in_signed_offices!$A$1:$BZ$1,0))="","",INDEX(in_signed_offices!$A$2:$BZ$81,MATCH($A37,INDEX(in_signed_offices!$A$2:$BZ$81,0,MATCH("office_id",in_signed_offices!$A$1:$BZ$1,0)),0),MATCH("receiving_type",in_signed_offices!$A$1:$BZ$1,0))),""))</f>
        <v/>
      </c>
      <c r="Y37" s="25">
        <f>IF($A37="","",IFERROR(IF(INDEX(in_signed_offices!$A$2:$BZ$81,MATCH($A37,INDEX(in_signed_offices!$A$2:$BZ$81,0,MATCH("office_id",in_signed_offices!$A$1:$BZ$1,0)),0),MATCH("receiving_window",in_signed_offices!$A$1:$BZ$1,0))="","",INDEX(in_signed_offices!$A$2:$BZ$81,MATCH($A37,INDEX(in_signed_offices!$A$2:$BZ$81,0,MATCH("office_id",in_signed_offices!$A$1:$BZ$1,0)),0),MATCH("receiving_window",in_signed_offices!$A$1:$BZ$1,0))),""))</f>
        <v/>
      </c>
      <c r="Z37" s="25">
        <f>IF($A37="","",IFERROR(IF(INDEX(in_signed_offices!$A$2:$BZ$81,MATCH($A37,INDEX(in_signed_offices!$A$2:$BZ$81,0,MATCH("office_id",in_signed_offices!$A$1:$BZ$1,0)),0),MATCH("coi_required",in_signed_offices!$A$1:$BZ$1,0))="","",INDEX(in_signed_offices!$A$2:$BZ$81,MATCH($A37,INDEX(in_signed_offices!$A$2:$BZ$81,0,MATCH("office_id",in_signed_offices!$A$1:$BZ$1,0)),0),MATCH("coi_required",in_signed_offices!$A$1:$BZ$1,0))),""))</f>
        <v/>
      </c>
      <c r="AA37" s="25">
        <f>IF($A37="","",IFERROR(IF(INDEX(in_signed_offices!$A$2:$BZ$81,MATCH($A37,INDEX(in_signed_offices!$A$2:$BZ$81,0,MATCH("office_id",in_signed_offices!$A$1:$BZ$1,0)),0),MATCH("survey_channel",in_signed_offices!$A$1:$BZ$1,0))="","",INDEX(in_signed_offices!$A$2:$BZ$81,MATCH($A37,INDEX(in_signed_offices!$A$2:$BZ$81,0,MATCH("office_id",in_signed_offices!$A$1:$BZ$1,0)),0),MATCH("survey_channel",in_signed_offices!$A$1:$BZ$1,0))),""))</f>
        <v/>
      </c>
      <c r="AB37" s="25">
        <f>IF($A37="","",IFERROR(IF(INDEX(in_signed_offices!$A$2:$BZ$81,MATCH($A37,INDEX(in_signed_offices!$A$2:$BZ$81,0,MATCH("office_id",in_signed_offices!$A$1:$BZ$1,0)),0),MATCH("categories_wanted",in_signed_offices!$A$1:$BZ$1,0))="","",INDEX(in_signed_offices!$A$2:$BZ$81,MATCH($A37,INDEX(in_signed_offices!$A$2:$BZ$81,0,MATCH("office_id",in_signed_offices!$A$1:$BZ$1,0)),0),MATCH("categories_wanted",in_signed_offices!$A$1:$BZ$1,0))),""))</f>
        <v/>
      </c>
      <c r="AC37" s="25">
        <f>IF($A37="","",IFERROR(IF(INDEX(in_signed_offices!$A$2:$BZ$81,MATCH($A37,INDEX(in_signed_offices!$A$2:$BZ$81,0,MATCH("office_id",in_signed_offices!$A$1:$BZ$1,0)),0),MATCH("vetoes",in_signed_offices!$A$1:$BZ$1,0))="","",INDEX(in_signed_offices!$A$2:$BZ$81,MATCH($A37,INDEX(in_signed_offices!$A$2:$BZ$81,0,MATCH("office_id",in_signed_offices!$A$1:$BZ$1,0)),0),MATCH("vetoes",in_signed_offices!$A$1:$BZ$1,0))),""))</f>
        <v/>
      </c>
      <c r="AD37" s="26">
        <f>IF($A37="","",IFERROR(IF(INDEX(in_signed_offices!$A$2:$BZ$81,MATCH($A37,INDEX(in_signed_offices!$A$2:$BZ$81,0,MATCH("office_id",in_signed_offices!$A$1:$BZ$1,0)),0),MATCH("agreement_signed_date",in_signed_offices!$A$1:$BZ$1,0))="","",INDEX(in_signed_offices!$A$2:$BZ$81,MATCH($A37,INDEX(in_signed_offices!$A$2:$BZ$81,0,MATCH("office_id",in_signed_offices!$A$1:$BZ$1,0)),0),MATCH("agreement_signed_date",in_signed_offices!$A$1:$BZ$1,0))),""))</f>
        <v/>
      </c>
      <c r="AE37" s="25">
        <f>IF($A37="","",IFERROR(IF(INDEX(in_signed_offices!$A$2:$BZ$81,MATCH($A37,INDEX(in_signed_offices!$A$2:$BZ$81,0,MATCH("office_id",in_signed_offices!$A$1:$BZ$1,0)),0),MATCH("founding_roster_named",in_signed_offices!$A$1:$BZ$1,0))="","",INDEX(in_signed_offices!$A$2:$BZ$81,MATCH($A37,INDEX(in_signed_offices!$A$2:$BZ$81,0,MATCH("office_id",in_signed_offices!$A$1:$BZ$1,0)),0),MATCH("founding_roster_named",in_signed_offices!$A$1:$BZ$1,0))),""))</f>
        <v/>
      </c>
      <c r="AF37" s="25">
        <f>IF($A37="","",IFERROR(IF(INDEX(in_signed_offices!$A$2:$BZ$81,MATCH($A37,INDEX(in_signed_offices!$A$2:$BZ$81,0,MATCH("office_id",in_signed_offices!$A$1:$BZ$1,0)),0),MATCH("public_naming_ok",in_signed_offices!$A$1:$BZ$1,0))="","",INDEX(in_signed_offices!$A$2:$BZ$81,MATCH($A37,INDEX(in_signed_offices!$A$2:$BZ$81,0,MATCH("office_id",in_signed_offices!$A$1:$BZ$1,0)),0),MATCH("public_naming_ok",in_signed_offices!$A$1:$BZ$1,0))),""))</f>
        <v/>
      </c>
      <c r="AG37" s="25">
        <f>IF($A37="","",IFERROR(IF(INDEX(in_signed_offices!$A$2:$BZ$81,MATCH($A37,INDEX(in_signed_offices!$A$2:$BZ$81,0,MATCH("office_id",in_signed_offices!$A$1:$BZ$1,0)),0),MATCH("clay_row_id",in_signed_offices!$A$1:$BZ$1,0))="","",INDEX(in_signed_offices!$A$2:$BZ$81,MATCH($A37,INDEX(in_signed_offices!$A$2:$BZ$81,0,MATCH("office_id",in_signed_offices!$A$1:$BZ$1,0)),0),MATCH("clay_row_id",in_signed_offices!$A$1:$BZ$1,0))),""))</f>
        <v/>
      </c>
      <c r="AH37" s="25">
        <f>IF($A37="","",IF($E37&lt;&gt;"",$E37,IFERROR(IF(INDEX(in_signed_offices!$A$2:$BZ$81,MATCH($A37,INDEX(in_signed_offices!$A$2:$BZ$81,0,MATCH("office_id",in_signed_offices!$A$1:$BZ$1,0)),0),MATCH("industry",in_signed_offices!$A$1:$BZ$1,0))="","",INDEX(in_signed_offices!$A$2:$BZ$81,MATCH($A37,INDEX(in_signed_offices!$A$2:$BZ$81,0,MATCH("office_id",in_signed_offices!$A$1:$BZ$1,0)),0),MATCH("industry",in_signed_offices!$A$1:$BZ$1,0))),"")))</f>
        <v/>
      </c>
      <c r="AI37" s="25">
        <f>IF($A37="","",IF($F37&lt;&gt;"",$F37,IF(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lt;&gt;"",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IF($W37="Y",$S37,""))))</f>
        <v/>
      </c>
      <c r="AJ37" s="25">
        <f>IF($A37="","",IF($Q37="","unknown",IF($Q37&lt;40,"under-40",IF($Q37&lt;=75,"40-75",IF($Q37&lt;=150,"76-150",IF($Q37&lt;=250,"151-250",IF($Q37&lt;=500,"251-500","over-500")))))))</f>
        <v/>
      </c>
      <c r="AK37" s="25">
        <f>IF($A37="","",IF($N37="","not on in_signed_offices: paste the outreach file",IF($Q37="","no Tuesday headcount",IF($Q37&lt;30,"below the hard floor of 30",IF($Q37&lt;40,"30 to 39: founder's call",IF($Q37&gt;250,"over 250: outside the plan","OK"))))))</f>
        <v/>
      </c>
      <c r="AL37" s="25">
        <f>IF(OR($A37="",$Q37=""),"",MIN(config!$B$16,MAX(config!$B$15,MROUND(config!$B$13+config!$B$14*$Q37,config!$B$17))))</f>
        <v/>
      </c>
      <c r="AM37" s="25">
        <f>IF($A37="","",COUNTIFS(stops!$B$2:$B$151,$A37,stops!$P$2:$P$151,"&lt;="&amp;IF(config!$B$37&lt;&gt;"",config!$B$37,TODAY())))</f>
        <v/>
      </c>
      <c r="AN37" s="25">
        <f>IF($A37="","",COUNTIFS(stops!$B$2:$B$151,$A37,stops!$L$2:$L$151,"declined"))</f>
        <v/>
      </c>
    </row>
    <row r="38">
      <c r="C38" s="31" t="n"/>
      <c r="D38" s="31" t="n"/>
      <c r="J38" s="9" t="n"/>
      <c r="L38" s="9" t="n"/>
      <c r="N38" s="25">
        <f>IF($A38="","",IFERROR(IF(INDEX(in_signed_offices!$A$2:$BZ$81,MATCH($A38,INDEX(in_signed_offices!$A$2:$BZ$81,0,MATCH("office_id",in_signed_offices!$A$1:$BZ$1,0)),0),MATCH("company",in_signed_offices!$A$1:$BZ$1,0))="","",INDEX(in_signed_offices!$A$2:$BZ$81,MATCH($A38,INDEX(in_signed_offices!$A$2:$BZ$81,0,MATCH("office_id",in_signed_offices!$A$1:$BZ$1,0)),0),MATCH("company",in_signed_offices!$A$1:$BZ$1,0))),""))</f>
        <v/>
      </c>
      <c r="O38" s="25">
        <f>IF($A38="","",IFERROR(IF(INDEX(in_signed_offices!$A$2:$BZ$81,MATCH($A38,INDEX(in_signed_offices!$A$2:$BZ$81,0,MATCH("office_id",in_signed_offices!$A$1:$BZ$1,0)),0),MATCH("office_address",in_signed_offices!$A$1:$BZ$1,0))="","",INDEX(in_signed_offices!$A$2:$BZ$81,MATCH($A38,INDEX(in_signed_offices!$A$2:$BZ$81,0,MATCH("office_id",in_signed_offices!$A$1:$BZ$1,0)),0),MATCH("office_address",in_signed_offices!$A$1:$BZ$1,0))),""))</f>
        <v/>
      </c>
      <c r="P38" s="25">
        <f>IF($A38="","",IFERROR(IF(INDEX(in_signed_offices!$A$2:$BZ$81,MATCH($A38,INDEX(in_signed_offices!$A$2:$BZ$81,0,MATCH("office_id",in_signed_offices!$A$1:$BZ$1,0)),0),MATCH("floor_suite",in_signed_offices!$A$1:$BZ$1,0))="","",INDEX(in_signed_offices!$A$2:$BZ$81,MATCH($A38,INDEX(in_signed_offices!$A$2:$BZ$81,0,MATCH("office_id",in_signed_offices!$A$1:$BZ$1,0)),0),MATCH("floor_suite",in_signed_offices!$A$1:$BZ$1,0))),""))</f>
        <v/>
      </c>
      <c r="Q38" s="25">
        <f>IF($A38="","",IFERROR(IF(INDEX(in_signed_offices!$A$2:$BZ$81,MATCH($A38,INDEX(in_signed_offices!$A$2:$BZ$81,0,MATCH("office_id",in_signed_offices!$A$1:$BZ$1,0)),0),MATCH("tuesday_headcount",in_signed_offices!$A$1:$BZ$1,0))="","",INDEX(in_signed_offices!$A$2:$BZ$81,MATCH($A38,INDEX(in_signed_offices!$A$2:$BZ$81,0,MATCH("office_id",in_signed_offices!$A$1:$BZ$1,0)),0),MATCH("tuesday_headcount",in_signed_offices!$A$1:$BZ$1,0))),""))</f>
        <v/>
      </c>
      <c r="R38" s="25">
        <f>IF($A38="","",IFERROR(IF(INDEX(in_signed_offices!$A$2:$BZ$81,MATCH($A38,INDEX(in_signed_offices!$A$2:$BZ$81,0,MATCH("office_id",in_signed_offices!$A$1:$BZ$1,0)),0),MATCH("contact_name",in_signed_offices!$A$1:$BZ$1,0))="","",INDEX(in_signed_offices!$A$2:$BZ$81,MATCH($A38,INDEX(in_signed_offices!$A$2:$BZ$81,0,MATCH("office_id",in_signed_offices!$A$1:$BZ$1,0)),0),MATCH("contact_name",in_signed_offices!$A$1:$BZ$1,0))),""))</f>
        <v/>
      </c>
      <c r="S38" s="25">
        <f>IF($A38="","",IFERROR(IF(INDEX(in_signed_offices!$A$2:$BZ$81,MATCH($A38,INDEX(in_signed_offices!$A$2:$BZ$81,0,MATCH("office_id",in_signed_offices!$A$1:$BZ$1,0)),0),MATCH("contact_phone",in_signed_offices!$A$1:$BZ$1,0))="","",INDEX(in_signed_offices!$A$2:$BZ$81,MATCH($A38,INDEX(in_signed_offices!$A$2:$BZ$81,0,MATCH("office_id",in_signed_offices!$A$1:$BZ$1,0)),0),MATCH("contact_phone",in_signed_offices!$A$1:$BZ$1,0))),""))</f>
        <v/>
      </c>
      <c r="T38" s="25">
        <f>IF($A38="","",IFERROR(IF(INDEX(in_signed_offices!$A$2:$BZ$81,MATCH($A38,INDEX(in_signed_offices!$A$2:$BZ$81,0,MATCH("office_id",in_signed_offices!$A$1:$BZ$1,0)),0),MATCH("contact_email",in_signed_offices!$A$1:$BZ$1,0))="","",INDEX(in_signed_offices!$A$2:$BZ$81,MATCH($A38,INDEX(in_signed_offices!$A$2:$BZ$81,0,MATCH("office_id",in_signed_offices!$A$1:$BZ$1,0)),0),MATCH("contact_email",in_signed_offices!$A$1:$BZ$1,0))),""))</f>
        <v/>
      </c>
      <c r="U38" s="25">
        <f>IF($A38="","",IFERROR(IF(INDEX(in_signed_offices!$A$2:$BZ$81,MATCH($A38,INDEX(in_signed_offices!$A$2:$BZ$81,0,MATCH("office_id",in_signed_offices!$A$1:$BZ$1,0)),0),MATCH("pantry_owner_name",in_signed_offices!$A$1:$BZ$1,0))="","",INDEX(in_signed_offices!$A$2:$BZ$81,MATCH($A38,INDEX(in_signed_offices!$A$2:$BZ$81,0,MATCH("office_id",in_signed_offices!$A$1:$BZ$1,0)),0),MATCH("pantry_owner_name",in_signed_offices!$A$1:$BZ$1,0))),""))</f>
        <v/>
      </c>
      <c r="V38" s="25">
        <f>IF($A38="","",IFERROR(IF(INDEX(in_signed_offices!$A$2:$BZ$81,MATCH($A38,INDEX(in_signed_offices!$A$2:$BZ$81,0,MATCH("office_id",in_signed_offices!$A$1:$BZ$1,0)),0),MATCH("pantry_owner_title",in_signed_offices!$A$1:$BZ$1,0))="","",INDEX(in_signed_offices!$A$2:$BZ$81,MATCH($A38,INDEX(in_signed_offices!$A$2:$BZ$81,0,MATCH("office_id",in_signed_offices!$A$1:$BZ$1,0)),0),MATCH("pantry_owner_title",in_signed_offices!$A$1:$BZ$1,0))),""))</f>
        <v/>
      </c>
      <c r="W38" s="25">
        <f>IF($A38="","",IFERROR(IF(INDEX(in_signed_offices!$A$2:$BZ$81,MATCH($A38,INDEX(in_signed_offices!$A$2:$BZ$81,0,MATCH("office_id",in_signed_offices!$A$1:$BZ$1,0)),0),MATCH("pantry_owner_is_contact",in_signed_offices!$A$1:$BZ$1,0))="","",INDEX(in_signed_offices!$A$2:$BZ$81,MATCH($A38,INDEX(in_signed_offices!$A$2:$BZ$81,0,MATCH("office_id",in_signed_offices!$A$1:$BZ$1,0)),0),MATCH("pantry_owner_is_contact",in_signed_offices!$A$1:$BZ$1,0))),""))</f>
        <v/>
      </c>
      <c r="X38" s="25">
        <f>IF($A38="","",IFERROR(IF(INDEX(in_signed_offices!$A$2:$BZ$81,MATCH($A38,INDEX(in_signed_offices!$A$2:$BZ$81,0,MATCH("office_id",in_signed_offices!$A$1:$BZ$1,0)),0),MATCH("receiving_type",in_signed_offices!$A$1:$BZ$1,0))="","",INDEX(in_signed_offices!$A$2:$BZ$81,MATCH($A38,INDEX(in_signed_offices!$A$2:$BZ$81,0,MATCH("office_id",in_signed_offices!$A$1:$BZ$1,0)),0),MATCH("receiving_type",in_signed_offices!$A$1:$BZ$1,0))),""))</f>
        <v/>
      </c>
      <c r="Y38" s="25">
        <f>IF($A38="","",IFERROR(IF(INDEX(in_signed_offices!$A$2:$BZ$81,MATCH($A38,INDEX(in_signed_offices!$A$2:$BZ$81,0,MATCH("office_id",in_signed_offices!$A$1:$BZ$1,0)),0),MATCH("receiving_window",in_signed_offices!$A$1:$BZ$1,0))="","",INDEX(in_signed_offices!$A$2:$BZ$81,MATCH($A38,INDEX(in_signed_offices!$A$2:$BZ$81,0,MATCH("office_id",in_signed_offices!$A$1:$BZ$1,0)),0),MATCH("receiving_window",in_signed_offices!$A$1:$BZ$1,0))),""))</f>
        <v/>
      </c>
      <c r="Z38" s="25">
        <f>IF($A38="","",IFERROR(IF(INDEX(in_signed_offices!$A$2:$BZ$81,MATCH($A38,INDEX(in_signed_offices!$A$2:$BZ$81,0,MATCH("office_id",in_signed_offices!$A$1:$BZ$1,0)),0),MATCH("coi_required",in_signed_offices!$A$1:$BZ$1,0))="","",INDEX(in_signed_offices!$A$2:$BZ$81,MATCH($A38,INDEX(in_signed_offices!$A$2:$BZ$81,0,MATCH("office_id",in_signed_offices!$A$1:$BZ$1,0)),0),MATCH("coi_required",in_signed_offices!$A$1:$BZ$1,0))),""))</f>
        <v/>
      </c>
      <c r="AA38" s="25">
        <f>IF($A38="","",IFERROR(IF(INDEX(in_signed_offices!$A$2:$BZ$81,MATCH($A38,INDEX(in_signed_offices!$A$2:$BZ$81,0,MATCH("office_id",in_signed_offices!$A$1:$BZ$1,0)),0),MATCH("survey_channel",in_signed_offices!$A$1:$BZ$1,0))="","",INDEX(in_signed_offices!$A$2:$BZ$81,MATCH($A38,INDEX(in_signed_offices!$A$2:$BZ$81,0,MATCH("office_id",in_signed_offices!$A$1:$BZ$1,0)),0),MATCH("survey_channel",in_signed_offices!$A$1:$BZ$1,0))),""))</f>
        <v/>
      </c>
      <c r="AB38" s="25">
        <f>IF($A38="","",IFERROR(IF(INDEX(in_signed_offices!$A$2:$BZ$81,MATCH($A38,INDEX(in_signed_offices!$A$2:$BZ$81,0,MATCH("office_id",in_signed_offices!$A$1:$BZ$1,0)),0),MATCH("categories_wanted",in_signed_offices!$A$1:$BZ$1,0))="","",INDEX(in_signed_offices!$A$2:$BZ$81,MATCH($A38,INDEX(in_signed_offices!$A$2:$BZ$81,0,MATCH("office_id",in_signed_offices!$A$1:$BZ$1,0)),0),MATCH("categories_wanted",in_signed_offices!$A$1:$BZ$1,0))),""))</f>
        <v/>
      </c>
      <c r="AC38" s="25">
        <f>IF($A38="","",IFERROR(IF(INDEX(in_signed_offices!$A$2:$BZ$81,MATCH($A38,INDEX(in_signed_offices!$A$2:$BZ$81,0,MATCH("office_id",in_signed_offices!$A$1:$BZ$1,0)),0),MATCH("vetoes",in_signed_offices!$A$1:$BZ$1,0))="","",INDEX(in_signed_offices!$A$2:$BZ$81,MATCH($A38,INDEX(in_signed_offices!$A$2:$BZ$81,0,MATCH("office_id",in_signed_offices!$A$1:$BZ$1,0)),0),MATCH("vetoes",in_signed_offices!$A$1:$BZ$1,0))),""))</f>
        <v/>
      </c>
      <c r="AD38" s="26">
        <f>IF($A38="","",IFERROR(IF(INDEX(in_signed_offices!$A$2:$BZ$81,MATCH($A38,INDEX(in_signed_offices!$A$2:$BZ$81,0,MATCH("office_id",in_signed_offices!$A$1:$BZ$1,0)),0),MATCH("agreement_signed_date",in_signed_offices!$A$1:$BZ$1,0))="","",INDEX(in_signed_offices!$A$2:$BZ$81,MATCH($A38,INDEX(in_signed_offices!$A$2:$BZ$81,0,MATCH("office_id",in_signed_offices!$A$1:$BZ$1,0)),0),MATCH("agreement_signed_date",in_signed_offices!$A$1:$BZ$1,0))),""))</f>
        <v/>
      </c>
      <c r="AE38" s="25">
        <f>IF($A38="","",IFERROR(IF(INDEX(in_signed_offices!$A$2:$BZ$81,MATCH($A38,INDEX(in_signed_offices!$A$2:$BZ$81,0,MATCH("office_id",in_signed_offices!$A$1:$BZ$1,0)),0),MATCH("founding_roster_named",in_signed_offices!$A$1:$BZ$1,0))="","",INDEX(in_signed_offices!$A$2:$BZ$81,MATCH($A38,INDEX(in_signed_offices!$A$2:$BZ$81,0,MATCH("office_id",in_signed_offices!$A$1:$BZ$1,0)),0),MATCH("founding_roster_named",in_signed_offices!$A$1:$BZ$1,0))),""))</f>
        <v/>
      </c>
      <c r="AF38" s="25">
        <f>IF($A38="","",IFERROR(IF(INDEX(in_signed_offices!$A$2:$BZ$81,MATCH($A38,INDEX(in_signed_offices!$A$2:$BZ$81,0,MATCH("office_id",in_signed_offices!$A$1:$BZ$1,0)),0),MATCH("public_naming_ok",in_signed_offices!$A$1:$BZ$1,0))="","",INDEX(in_signed_offices!$A$2:$BZ$81,MATCH($A38,INDEX(in_signed_offices!$A$2:$BZ$81,0,MATCH("office_id",in_signed_offices!$A$1:$BZ$1,0)),0),MATCH("public_naming_ok",in_signed_offices!$A$1:$BZ$1,0))),""))</f>
        <v/>
      </c>
      <c r="AG38" s="25">
        <f>IF($A38="","",IFERROR(IF(INDEX(in_signed_offices!$A$2:$BZ$81,MATCH($A38,INDEX(in_signed_offices!$A$2:$BZ$81,0,MATCH("office_id",in_signed_offices!$A$1:$BZ$1,0)),0),MATCH("clay_row_id",in_signed_offices!$A$1:$BZ$1,0))="","",INDEX(in_signed_offices!$A$2:$BZ$81,MATCH($A38,INDEX(in_signed_offices!$A$2:$BZ$81,0,MATCH("office_id",in_signed_offices!$A$1:$BZ$1,0)),0),MATCH("clay_row_id",in_signed_offices!$A$1:$BZ$1,0))),""))</f>
        <v/>
      </c>
      <c r="AH38" s="25">
        <f>IF($A38="","",IF($E38&lt;&gt;"",$E38,IFERROR(IF(INDEX(in_signed_offices!$A$2:$BZ$81,MATCH($A38,INDEX(in_signed_offices!$A$2:$BZ$81,0,MATCH("office_id",in_signed_offices!$A$1:$BZ$1,0)),0),MATCH("industry",in_signed_offices!$A$1:$BZ$1,0))="","",INDEX(in_signed_offices!$A$2:$BZ$81,MATCH($A38,INDEX(in_signed_offices!$A$2:$BZ$81,0,MATCH("office_id",in_signed_offices!$A$1:$BZ$1,0)),0),MATCH("industry",in_signed_offices!$A$1:$BZ$1,0))),"")))</f>
        <v/>
      </c>
      <c r="AI38" s="25">
        <f>IF($A38="","",IF($F38&lt;&gt;"",$F38,IF(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lt;&gt;"",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IF($W38="Y",$S38,""))))</f>
        <v/>
      </c>
      <c r="AJ38" s="25">
        <f>IF($A38="","",IF($Q38="","unknown",IF($Q38&lt;40,"under-40",IF($Q38&lt;=75,"40-75",IF($Q38&lt;=150,"76-150",IF($Q38&lt;=250,"151-250",IF($Q38&lt;=500,"251-500","over-500")))))))</f>
        <v/>
      </c>
      <c r="AK38" s="25">
        <f>IF($A38="","",IF($N38="","not on in_signed_offices: paste the outreach file",IF($Q38="","no Tuesday headcount",IF($Q38&lt;30,"below the hard floor of 30",IF($Q38&lt;40,"30 to 39: founder's call",IF($Q38&gt;250,"over 250: outside the plan","OK"))))))</f>
        <v/>
      </c>
      <c r="AL38" s="25">
        <f>IF(OR($A38="",$Q38=""),"",MIN(config!$B$16,MAX(config!$B$15,MROUND(config!$B$13+config!$B$14*$Q38,config!$B$17))))</f>
        <v/>
      </c>
      <c r="AM38" s="25">
        <f>IF($A38="","",COUNTIFS(stops!$B$2:$B$151,$A38,stops!$P$2:$P$151,"&lt;="&amp;IF(config!$B$37&lt;&gt;"",config!$B$37,TODAY())))</f>
        <v/>
      </c>
      <c r="AN38" s="25">
        <f>IF($A38="","",COUNTIFS(stops!$B$2:$B$151,$A38,stops!$L$2:$L$151,"declined"))</f>
        <v/>
      </c>
    </row>
    <row r="39">
      <c r="C39" s="31" t="n"/>
      <c r="D39" s="31" t="n"/>
      <c r="J39" s="9" t="n"/>
      <c r="L39" s="9" t="n"/>
      <c r="N39" s="25">
        <f>IF($A39="","",IFERROR(IF(INDEX(in_signed_offices!$A$2:$BZ$81,MATCH($A39,INDEX(in_signed_offices!$A$2:$BZ$81,0,MATCH("office_id",in_signed_offices!$A$1:$BZ$1,0)),0),MATCH("company",in_signed_offices!$A$1:$BZ$1,0))="","",INDEX(in_signed_offices!$A$2:$BZ$81,MATCH($A39,INDEX(in_signed_offices!$A$2:$BZ$81,0,MATCH("office_id",in_signed_offices!$A$1:$BZ$1,0)),0),MATCH("company",in_signed_offices!$A$1:$BZ$1,0))),""))</f>
        <v/>
      </c>
      <c r="O39" s="25">
        <f>IF($A39="","",IFERROR(IF(INDEX(in_signed_offices!$A$2:$BZ$81,MATCH($A39,INDEX(in_signed_offices!$A$2:$BZ$81,0,MATCH("office_id",in_signed_offices!$A$1:$BZ$1,0)),0),MATCH("office_address",in_signed_offices!$A$1:$BZ$1,0))="","",INDEX(in_signed_offices!$A$2:$BZ$81,MATCH($A39,INDEX(in_signed_offices!$A$2:$BZ$81,0,MATCH("office_id",in_signed_offices!$A$1:$BZ$1,0)),0),MATCH("office_address",in_signed_offices!$A$1:$BZ$1,0))),""))</f>
        <v/>
      </c>
      <c r="P39" s="25">
        <f>IF($A39="","",IFERROR(IF(INDEX(in_signed_offices!$A$2:$BZ$81,MATCH($A39,INDEX(in_signed_offices!$A$2:$BZ$81,0,MATCH("office_id",in_signed_offices!$A$1:$BZ$1,0)),0),MATCH("floor_suite",in_signed_offices!$A$1:$BZ$1,0))="","",INDEX(in_signed_offices!$A$2:$BZ$81,MATCH($A39,INDEX(in_signed_offices!$A$2:$BZ$81,0,MATCH("office_id",in_signed_offices!$A$1:$BZ$1,0)),0),MATCH("floor_suite",in_signed_offices!$A$1:$BZ$1,0))),""))</f>
        <v/>
      </c>
      <c r="Q39" s="25">
        <f>IF($A39="","",IFERROR(IF(INDEX(in_signed_offices!$A$2:$BZ$81,MATCH($A39,INDEX(in_signed_offices!$A$2:$BZ$81,0,MATCH("office_id",in_signed_offices!$A$1:$BZ$1,0)),0),MATCH("tuesday_headcount",in_signed_offices!$A$1:$BZ$1,0))="","",INDEX(in_signed_offices!$A$2:$BZ$81,MATCH($A39,INDEX(in_signed_offices!$A$2:$BZ$81,0,MATCH("office_id",in_signed_offices!$A$1:$BZ$1,0)),0),MATCH("tuesday_headcount",in_signed_offices!$A$1:$BZ$1,0))),""))</f>
        <v/>
      </c>
      <c r="R39" s="25">
        <f>IF($A39="","",IFERROR(IF(INDEX(in_signed_offices!$A$2:$BZ$81,MATCH($A39,INDEX(in_signed_offices!$A$2:$BZ$81,0,MATCH("office_id",in_signed_offices!$A$1:$BZ$1,0)),0),MATCH("contact_name",in_signed_offices!$A$1:$BZ$1,0))="","",INDEX(in_signed_offices!$A$2:$BZ$81,MATCH($A39,INDEX(in_signed_offices!$A$2:$BZ$81,0,MATCH("office_id",in_signed_offices!$A$1:$BZ$1,0)),0),MATCH("contact_name",in_signed_offices!$A$1:$BZ$1,0))),""))</f>
        <v/>
      </c>
      <c r="S39" s="25">
        <f>IF($A39="","",IFERROR(IF(INDEX(in_signed_offices!$A$2:$BZ$81,MATCH($A39,INDEX(in_signed_offices!$A$2:$BZ$81,0,MATCH("office_id",in_signed_offices!$A$1:$BZ$1,0)),0),MATCH("contact_phone",in_signed_offices!$A$1:$BZ$1,0))="","",INDEX(in_signed_offices!$A$2:$BZ$81,MATCH($A39,INDEX(in_signed_offices!$A$2:$BZ$81,0,MATCH("office_id",in_signed_offices!$A$1:$BZ$1,0)),0),MATCH("contact_phone",in_signed_offices!$A$1:$BZ$1,0))),""))</f>
        <v/>
      </c>
      <c r="T39" s="25">
        <f>IF($A39="","",IFERROR(IF(INDEX(in_signed_offices!$A$2:$BZ$81,MATCH($A39,INDEX(in_signed_offices!$A$2:$BZ$81,0,MATCH("office_id",in_signed_offices!$A$1:$BZ$1,0)),0),MATCH("contact_email",in_signed_offices!$A$1:$BZ$1,0))="","",INDEX(in_signed_offices!$A$2:$BZ$81,MATCH($A39,INDEX(in_signed_offices!$A$2:$BZ$81,0,MATCH("office_id",in_signed_offices!$A$1:$BZ$1,0)),0),MATCH("contact_email",in_signed_offices!$A$1:$BZ$1,0))),""))</f>
        <v/>
      </c>
      <c r="U39" s="25">
        <f>IF($A39="","",IFERROR(IF(INDEX(in_signed_offices!$A$2:$BZ$81,MATCH($A39,INDEX(in_signed_offices!$A$2:$BZ$81,0,MATCH("office_id",in_signed_offices!$A$1:$BZ$1,0)),0),MATCH("pantry_owner_name",in_signed_offices!$A$1:$BZ$1,0))="","",INDEX(in_signed_offices!$A$2:$BZ$81,MATCH($A39,INDEX(in_signed_offices!$A$2:$BZ$81,0,MATCH("office_id",in_signed_offices!$A$1:$BZ$1,0)),0),MATCH("pantry_owner_name",in_signed_offices!$A$1:$BZ$1,0))),""))</f>
        <v/>
      </c>
      <c r="V39" s="25">
        <f>IF($A39="","",IFERROR(IF(INDEX(in_signed_offices!$A$2:$BZ$81,MATCH($A39,INDEX(in_signed_offices!$A$2:$BZ$81,0,MATCH("office_id",in_signed_offices!$A$1:$BZ$1,0)),0),MATCH("pantry_owner_title",in_signed_offices!$A$1:$BZ$1,0))="","",INDEX(in_signed_offices!$A$2:$BZ$81,MATCH($A39,INDEX(in_signed_offices!$A$2:$BZ$81,0,MATCH("office_id",in_signed_offices!$A$1:$BZ$1,0)),0),MATCH("pantry_owner_title",in_signed_offices!$A$1:$BZ$1,0))),""))</f>
        <v/>
      </c>
      <c r="W39" s="25">
        <f>IF($A39="","",IFERROR(IF(INDEX(in_signed_offices!$A$2:$BZ$81,MATCH($A39,INDEX(in_signed_offices!$A$2:$BZ$81,0,MATCH("office_id",in_signed_offices!$A$1:$BZ$1,0)),0),MATCH("pantry_owner_is_contact",in_signed_offices!$A$1:$BZ$1,0))="","",INDEX(in_signed_offices!$A$2:$BZ$81,MATCH($A39,INDEX(in_signed_offices!$A$2:$BZ$81,0,MATCH("office_id",in_signed_offices!$A$1:$BZ$1,0)),0),MATCH("pantry_owner_is_contact",in_signed_offices!$A$1:$BZ$1,0))),""))</f>
        <v/>
      </c>
      <c r="X39" s="25">
        <f>IF($A39="","",IFERROR(IF(INDEX(in_signed_offices!$A$2:$BZ$81,MATCH($A39,INDEX(in_signed_offices!$A$2:$BZ$81,0,MATCH("office_id",in_signed_offices!$A$1:$BZ$1,0)),0),MATCH("receiving_type",in_signed_offices!$A$1:$BZ$1,0))="","",INDEX(in_signed_offices!$A$2:$BZ$81,MATCH($A39,INDEX(in_signed_offices!$A$2:$BZ$81,0,MATCH("office_id",in_signed_offices!$A$1:$BZ$1,0)),0),MATCH("receiving_type",in_signed_offices!$A$1:$BZ$1,0))),""))</f>
        <v/>
      </c>
      <c r="Y39" s="25">
        <f>IF($A39="","",IFERROR(IF(INDEX(in_signed_offices!$A$2:$BZ$81,MATCH($A39,INDEX(in_signed_offices!$A$2:$BZ$81,0,MATCH("office_id",in_signed_offices!$A$1:$BZ$1,0)),0),MATCH("receiving_window",in_signed_offices!$A$1:$BZ$1,0))="","",INDEX(in_signed_offices!$A$2:$BZ$81,MATCH($A39,INDEX(in_signed_offices!$A$2:$BZ$81,0,MATCH("office_id",in_signed_offices!$A$1:$BZ$1,0)),0),MATCH("receiving_window",in_signed_offices!$A$1:$BZ$1,0))),""))</f>
        <v/>
      </c>
      <c r="Z39" s="25">
        <f>IF($A39="","",IFERROR(IF(INDEX(in_signed_offices!$A$2:$BZ$81,MATCH($A39,INDEX(in_signed_offices!$A$2:$BZ$81,0,MATCH("office_id",in_signed_offices!$A$1:$BZ$1,0)),0),MATCH("coi_required",in_signed_offices!$A$1:$BZ$1,0))="","",INDEX(in_signed_offices!$A$2:$BZ$81,MATCH($A39,INDEX(in_signed_offices!$A$2:$BZ$81,0,MATCH("office_id",in_signed_offices!$A$1:$BZ$1,0)),0),MATCH("coi_required",in_signed_offices!$A$1:$BZ$1,0))),""))</f>
        <v/>
      </c>
      <c r="AA39" s="25">
        <f>IF($A39="","",IFERROR(IF(INDEX(in_signed_offices!$A$2:$BZ$81,MATCH($A39,INDEX(in_signed_offices!$A$2:$BZ$81,0,MATCH("office_id",in_signed_offices!$A$1:$BZ$1,0)),0),MATCH("survey_channel",in_signed_offices!$A$1:$BZ$1,0))="","",INDEX(in_signed_offices!$A$2:$BZ$81,MATCH($A39,INDEX(in_signed_offices!$A$2:$BZ$81,0,MATCH("office_id",in_signed_offices!$A$1:$BZ$1,0)),0),MATCH("survey_channel",in_signed_offices!$A$1:$BZ$1,0))),""))</f>
        <v/>
      </c>
      <c r="AB39" s="25">
        <f>IF($A39="","",IFERROR(IF(INDEX(in_signed_offices!$A$2:$BZ$81,MATCH($A39,INDEX(in_signed_offices!$A$2:$BZ$81,0,MATCH("office_id",in_signed_offices!$A$1:$BZ$1,0)),0),MATCH("categories_wanted",in_signed_offices!$A$1:$BZ$1,0))="","",INDEX(in_signed_offices!$A$2:$BZ$81,MATCH($A39,INDEX(in_signed_offices!$A$2:$BZ$81,0,MATCH("office_id",in_signed_offices!$A$1:$BZ$1,0)),0),MATCH("categories_wanted",in_signed_offices!$A$1:$BZ$1,0))),""))</f>
        <v/>
      </c>
      <c r="AC39" s="25">
        <f>IF($A39="","",IFERROR(IF(INDEX(in_signed_offices!$A$2:$BZ$81,MATCH($A39,INDEX(in_signed_offices!$A$2:$BZ$81,0,MATCH("office_id",in_signed_offices!$A$1:$BZ$1,0)),0),MATCH("vetoes",in_signed_offices!$A$1:$BZ$1,0))="","",INDEX(in_signed_offices!$A$2:$BZ$81,MATCH($A39,INDEX(in_signed_offices!$A$2:$BZ$81,0,MATCH("office_id",in_signed_offices!$A$1:$BZ$1,0)),0),MATCH("vetoes",in_signed_offices!$A$1:$BZ$1,0))),""))</f>
        <v/>
      </c>
      <c r="AD39" s="26">
        <f>IF($A39="","",IFERROR(IF(INDEX(in_signed_offices!$A$2:$BZ$81,MATCH($A39,INDEX(in_signed_offices!$A$2:$BZ$81,0,MATCH("office_id",in_signed_offices!$A$1:$BZ$1,0)),0),MATCH("agreement_signed_date",in_signed_offices!$A$1:$BZ$1,0))="","",INDEX(in_signed_offices!$A$2:$BZ$81,MATCH($A39,INDEX(in_signed_offices!$A$2:$BZ$81,0,MATCH("office_id",in_signed_offices!$A$1:$BZ$1,0)),0),MATCH("agreement_signed_date",in_signed_offices!$A$1:$BZ$1,0))),""))</f>
        <v/>
      </c>
      <c r="AE39" s="25">
        <f>IF($A39="","",IFERROR(IF(INDEX(in_signed_offices!$A$2:$BZ$81,MATCH($A39,INDEX(in_signed_offices!$A$2:$BZ$81,0,MATCH("office_id",in_signed_offices!$A$1:$BZ$1,0)),0),MATCH("founding_roster_named",in_signed_offices!$A$1:$BZ$1,0))="","",INDEX(in_signed_offices!$A$2:$BZ$81,MATCH($A39,INDEX(in_signed_offices!$A$2:$BZ$81,0,MATCH("office_id",in_signed_offices!$A$1:$BZ$1,0)),0),MATCH("founding_roster_named",in_signed_offices!$A$1:$BZ$1,0))),""))</f>
        <v/>
      </c>
      <c r="AF39" s="25">
        <f>IF($A39="","",IFERROR(IF(INDEX(in_signed_offices!$A$2:$BZ$81,MATCH($A39,INDEX(in_signed_offices!$A$2:$BZ$81,0,MATCH("office_id",in_signed_offices!$A$1:$BZ$1,0)),0),MATCH("public_naming_ok",in_signed_offices!$A$1:$BZ$1,0))="","",INDEX(in_signed_offices!$A$2:$BZ$81,MATCH($A39,INDEX(in_signed_offices!$A$2:$BZ$81,0,MATCH("office_id",in_signed_offices!$A$1:$BZ$1,0)),0),MATCH("public_naming_ok",in_signed_offices!$A$1:$BZ$1,0))),""))</f>
        <v/>
      </c>
      <c r="AG39" s="25">
        <f>IF($A39="","",IFERROR(IF(INDEX(in_signed_offices!$A$2:$BZ$81,MATCH($A39,INDEX(in_signed_offices!$A$2:$BZ$81,0,MATCH("office_id",in_signed_offices!$A$1:$BZ$1,0)),0),MATCH("clay_row_id",in_signed_offices!$A$1:$BZ$1,0))="","",INDEX(in_signed_offices!$A$2:$BZ$81,MATCH($A39,INDEX(in_signed_offices!$A$2:$BZ$81,0,MATCH("office_id",in_signed_offices!$A$1:$BZ$1,0)),0),MATCH("clay_row_id",in_signed_offices!$A$1:$BZ$1,0))),""))</f>
        <v/>
      </c>
      <c r="AH39" s="25">
        <f>IF($A39="","",IF($E39&lt;&gt;"",$E39,IFERROR(IF(INDEX(in_signed_offices!$A$2:$BZ$81,MATCH($A39,INDEX(in_signed_offices!$A$2:$BZ$81,0,MATCH("office_id",in_signed_offices!$A$1:$BZ$1,0)),0),MATCH("industry",in_signed_offices!$A$1:$BZ$1,0))="","",INDEX(in_signed_offices!$A$2:$BZ$81,MATCH($A39,INDEX(in_signed_offices!$A$2:$BZ$81,0,MATCH("office_id",in_signed_offices!$A$1:$BZ$1,0)),0),MATCH("industry",in_signed_offices!$A$1:$BZ$1,0))),"")))</f>
        <v/>
      </c>
      <c r="AI39" s="25">
        <f>IF($A39="","",IF($F39&lt;&gt;"",$F39,IF(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lt;&gt;"",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IF($W39="Y",$S39,""))))</f>
        <v/>
      </c>
      <c r="AJ39" s="25">
        <f>IF($A39="","",IF($Q39="","unknown",IF($Q39&lt;40,"under-40",IF($Q39&lt;=75,"40-75",IF($Q39&lt;=150,"76-150",IF($Q39&lt;=250,"151-250",IF($Q39&lt;=500,"251-500","over-500")))))))</f>
        <v/>
      </c>
      <c r="AK39" s="25">
        <f>IF($A39="","",IF($N39="","not on in_signed_offices: paste the outreach file",IF($Q39="","no Tuesday headcount",IF($Q39&lt;30,"below the hard floor of 30",IF($Q39&lt;40,"30 to 39: founder's call",IF($Q39&gt;250,"over 250: outside the plan","OK"))))))</f>
        <v/>
      </c>
      <c r="AL39" s="25">
        <f>IF(OR($A39="",$Q39=""),"",MIN(config!$B$16,MAX(config!$B$15,MROUND(config!$B$13+config!$B$14*$Q39,config!$B$17))))</f>
        <v/>
      </c>
      <c r="AM39" s="25">
        <f>IF($A39="","",COUNTIFS(stops!$B$2:$B$151,$A39,stops!$P$2:$P$151,"&lt;="&amp;IF(config!$B$37&lt;&gt;"",config!$B$37,TODAY())))</f>
        <v/>
      </c>
      <c r="AN39" s="25">
        <f>IF($A39="","",COUNTIFS(stops!$B$2:$B$151,$A39,stops!$L$2:$L$151,"declined"))</f>
        <v/>
      </c>
    </row>
    <row r="40">
      <c r="C40" s="31" t="n"/>
      <c r="D40" s="31" t="n"/>
      <c r="J40" s="9" t="n"/>
      <c r="L40" s="9" t="n"/>
      <c r="N40" s="25">
        <f>IF($A40="","",IFERROR(IF(INDEX(in_signed_offices!$A$2:$BZ$81,MATCH($A40,INDEX(in_signed_offices!$A$2:$BZ$81,0,MATCH("office_id",in_signed_offices!$A$1:$BZ$1,0)),0),MATCH("company",in_signed_offices!$A$1:$BZ$1,0))="","",INDEX(in_signed_offices!$A$2:$BZ$81,MATCH($A40,INDEX(in_signed_offices!$A$2:$BZ$81,0,MATCH("office_id",in_signed_offices!$A$1:$BZ$1,0)),0),MATCH("company",in_signed_offices!$A$1:$BZ$1,0))),""))</f>
        <v/>
      </c>
      <c r="O40" s="25">
        <f>IF($A40="","",IFERROR(IF(INDEX(in_signed_offices!$A$2:$BZ$81,MATCH($A40,INDEX(in_signed_offices!$A$2:$BZ$81,0,MATCH("office_id",in_signed_offices!$A$1:$BZ$1,0)),0),MATCH("office_address",in_signed_offices!$A$1:$BZ$1,0))="","",INDEX(in_signed_offices!$A$2:$BZ$81,MATCH($A40,INDEX(in_signed_offices!$A$2:$BZ$81,0,MATCH("office_id",in_signed_offices!$A$1:$BZ$1,0)),0),MATCH("office_address",in_signed_offices!$A$1:$BZ$1,0))),""))</f>
        <v/>
      </c>
      <c r="P40" s="25">
        <f>IF($A40="","",IFERROR(IF(INDEX(in_signed_offices!$A$2:$BZ$81,MATCH($A40,INDEX(in_signed_offices!$A$2:$BZ$81,0,MATCH("office_id",in_signed_offices!$A$1:$BZ$1,0)),0),MATCH("floor_suite",in_signed_offices!$A$1:$BZ$1,0))="","",INDEX(in_signed_offices!$A$2:$BZ$81,MATCH($A40,INDEX(in_signed_offices!$A$2:$BZ$81,0,MATCH("office_id",in_signed_offices!$A$1:$BZ$1,0)),0),MATCH("floor_suite",in_signed_offices!$A$1:$BZ$1,0))),""))</f>
        <v/>
      </c>
      <c r="Q40" s="25">
        <f>IF($A40="","",IFERROR(IF(INDEX(in_signed_offices!$A$2:$BZ$81,MATCH($A40,INDEX(in_signed_offices!$A$2:$BZ$81,0,MATCH("office_id",in_signed_offices!$A$1:$BZ$1,0)),0),MATCH("tuesday_headcount",in_signed_offices!$A$1:$BZ$1,0))="","",INDEX(in_signed_offices!$A$2:$BZ$81,MATCH($A40,INDEX(in_signed_offices!$A$2:$BZ$81,0,MATCH("office_id",in_signed_offices!$A$1:$BZ$1,0)),0),MATCH("tuesday_headcount",in_signed_offices!$A$1:$BZ$1,0))),""))</f>
        <v/>
      </c>
      <c r="R40" s="25">
        <f>IF($A40="","",IFERROR(IF(INDEX(in_signed_offices!$A$2:$BZ$81,MATCH($A40,INDEX(in_signed_offices!$A$2:$BZ$81,0,MATCH("office_id",in_signed_offices!$A$1:$BZ$1,0)),0),MATCH("contact_name",in_signed_offices!$A$1:$BZ$1,0))="","",INDEX(in_signed_offices!$A$2:$BZ$81,MATCH($A40,INDEX(in_signed_offices!$A$2:$BZ$81,0,MATCH("office_id",in_signed_offices!$A$1:$BZ$1,0)),0),MATCH("contact_name",in_signed_offices!$A$1:$BZ$1,0))),""))</f>
        <v/>
      </c>
      <c r="S40" s="25">
        <f>IF($A40="","",IFERROR(IF(INDEX(in_signed_offices!$A$2:$BZ$81,MATCH($A40,INDEX(in_signed_offices!$A$2:$BZ$81,0,MATCH("office_id",in_signed_offices!$A$1:$BZ$1,0)),0),MATCH("contact_phone",in_signed_offices!$A$1:$BZ$1,0))="","",INDEX(in_signed_offices!$A$2:$BZ$81,MATCH($A40,INDEX(in_signed_offices!$A$2:$BZ$81,0,MATCH("office_id",in_signed_offices!$A$1:$BZ$1,0)),0),MATCH("contact_phone",in_signed_offices!$A$1:$BZ$1,0))),""))</f>
        <v/>
      </c>
      <c r="T40" s="25">
        <f>IF($A40="","",IFERROR(IF(INDEX(in_signed_offices!$A$2:$BZ$81,MATCH($A40,INDEX(in_signed_offices!$A$2:$BZ$81,0,MATCH("office_id",in_signed_offices!$A$1:$BZ$1,0)),0),MATCH("contact_email",in_signed_offices!$A$1:$BZ$1,0))="","",INDEX(in_signed_offices!$A$2:$BZ$81,MATCH($A40,INDEX(in_signed_offices!$A$2:$BZ$81,0,MATCH("office_id",in_signed_offices!$A$1:$BZ$1,0)),0),MATCH("contact_email",in_signed_offices!$A$1:$BZ$1,0))),""))</f>
        <v/>
      </c>
      <c r="U40" s="25">
        <f>IF($A40="","",IFERROR(IF(INDEX(in_signed_offices!$A$2:$BZ$81,MATCH($A40,INDEX(in_signed_offices!$A$2:$BZ$81,0,MATCH("office_id",in_signed_offices!$A$1:$BZ$1,0)),0),MATCH("pantry_owner_name",in_signed_offices!$A$1:$BZ$1,0))="","",INDEX(in_signed_offices!$A$2:$BZ$81,MATCH($A40,INDEX(in_signed_offices!$A$2:$BZ$81,0,MATCH("office_id",in_signed_offices!$A$1:$BZ$1,0)),0),MATCH("pantry_owner_name",in_signed_offices!$A$1:$BZ$1,0))),""))</f>
        <v/>
      </c>
      <c r="V40" s="25">
        <f>IF($A40="","",IFERROR(IF(INDEX(in_signed_offices!$A$2:$BZ$81,MATCH($A40,INDEX(in_signed_offices!$A$2:$BZ$81,0,MATCH("office_id",in_signed_offices!$A$1:$BZ$1,0)),0),MATCH("pantry_owner_title",in_signed_offices!$A$1:$BZ$1,0))="","",INDEX(in_signed_offices!$A$2:$BZ$81,MATCH($A40,INDEX(in_signed_offices!$A$2:$BZ$81,0,MATCH("office_id",in_signed_offices!$A$1:$BZ$1,0)),0),MATCH("pantry_owner_title",in_signed_offices!$A$1:$BZ$1,0))),""))</f>
        <v/>
      </c>
      <c r="W40" s="25">
        <f>IF($A40="","",IFERROR(IF(INDEX(in_signed_offices!$A$2:$BZ$81,MATCH($A40,INDEX(in_signed_offices!$A$2:$BZ$81,0,MATCH("office_id",in_signed_offices!$A$1:$BZ$1,0)),0),MATCH("pantry_owner_is_contact",in_signed_offices!$A$1:$BZ$1,0))="","",INDEX(in_signed_offices!$A$2:$BZ$81,MATCH($A40,INDEX(in_signed_offices!$A$2:$BZ$81,0,MATCH("office_id",in_signed_offices!$A$1:$BZ$1,0)),0),MATCH("pantry_owner_is_contact",in_signed_offices!$A$1:$BZ$1,0))),""))</f>
        <v/>
      </c>
      <c r="X40" s="25">
        <f>IF($A40="","",IFERROR(IF(INDEX(in_signed_offices!$A$2:$BZ$81,MATCH($A40,INDEX(in_signed_offices!$A$2:$BZ$81,0,MATCH("office_id",in_signed_offices!$A$1:$BZ$1,0)),0),MATCH("receiving_type",in_signed_offices!$A$1:$BZ$1,0))="","",INDEX(in_signed_offices!$A$2:$BZ$81,MATCH($A40,INDEX(in_signed_offices!$A$2:$BZ$81,0,MATCH("office_id",in_signed_offices!$A$1:$BZ$1,0)),0),MATCH("receiving_type",in_signed_offices!$A$1:$BZ$1,0))),""))</f>
        <v/>
      </c>
      <c r="Y40" s="25">
        <f>IF($A40="","",IFERROR(IF(INDEX(in_signed_offices!$A$2:$BZ$81,MATCH($A40,INDEX(in_signed_offices!$A$2:$BZ$81,0,MATCH("office_id",in_signed_offices!$A$1:$BZ$1,0)),0),MATCH("receiving_window",in_signed_offices!$A$1:$BZ$1,0))="","",INDEX(in_signed_offices!$A$2:$BZ$81,MATCH($A40,INDEX(in_signed_offices!$A$2:$BZ$81,0,MATCH("office_id",in_signed_offices!$A$1:$BZ$1,0)),0),MATCH("receiving_window",in_signed_offices!$A$1:$BZ$1,0))),""))</f>
        <v/>
      </c>
      <c r="Z40" s="25">
        <f>IF($A40="","",IFERROR(IF(INDEX(in_signed_offices!$A$2:$BZ$81,MATCH($A40,INDEX(in_signed_offices!$A$2:$BZ$81,0,MATCH("office_id",in_signed_offices!$A$1:$BZ$1,0)),0),MATCH("coi_required",in_signed_offices!$A$1:$BZ$1,0))="","",INDEX(in_signed_offices!$A$2:$BZ$81,MATCH($A40,INDEX(in_signed_offices!$A$2:$BZ$81,0,MATCH("office_id",in_signed_offices!$A$1:$BZ$1,0)),0),MATCH("coi_required",in_signed_offices!$A$1:$BZ$1,0))),""))</f>
        <v/>
      </c>
      <c r="AA40" s="25">
        <f>IF($A40="","",IFERROR(IF(INDEX(in_signed_offices!$A$2:$BZ$81,MATCH($A40,INDEX(in_signed_offices!$A$2:$BZ$81,0,MATCH("office_id",in_signed_offices!$A$1:$BZ$1,0)),0),MATCH("survey_channel",in_signed_offices!$A$1:$BZ$1,0))="","",INDEX(in_signed_offices!$A$2:$BZ$81,MATCH($A40,INDEX(in_signed_offices!$A$2:$BZ$81,0,MATCH("office_id",in_signed_offices!$A$1:$BZ$1,0)),0),MATCH("survey_channel",in_signed_offices!$A$1:$BZ$1,0))),""))</f>
        <v/>
      </c>
      <c r="AB40" s="25">
        <f>IF($A40="","",IFERROR(IF(INDEX(in_signed_offices!$A$2:$BZ$81,MATCH($A40,INDEX(in_signed_offices!$A$2:$BZ$81,0,MATCH("office_id",in_signed_offices!$A$1:$BZ$1,0)),0),MATCH("categories_wanted",in_signed_offices!$A$1:$BZ$1,0))="","",INDEX(in_signed_offices!$A$2:$BZ$81,MATCH($A40,INDEX(in_signed_offices!$A$2:$BZ$81,0,MATCH("office_id",in_signed_offices!$A$1:$BZ$1,0)),0),MATCH("categories_wanted",in_signed_offices!$A$1:$BZ$1,0))),""))</f>
        <v/>
      </c>
      <c r="AC40" s="25">
        <f>IF($A40="","",IFERROR(IF(INDEX(in_signed_offices!$A$2:$BZ$81,MATCH($A40,INDEX(in_signed_offices!$A$2:$BZ$81,0,MATCH("office_id",in_signed_offices!$A$1:$BZ$1,0)),0),MATCH("vetoes",in_signed_offices!$A$1:$BZ$1,0))="","",INDEX(in_signed_offices!$A$2:$BZ$81,MATCH($A40,INDEX(in_signed_offices!$A$2:$BZ$81,0,MATCH("office_id",in_signed_offices!$A$1:$BZ$1,0)),0),MATCH("vetoes",in_signed_offices!$A$1:$BZ$1,0))),""))</f>
        <v/>
      </c>
      <c r="AD40" s="26">
        <f>IF($A40="","",IFERROR(IF(INDEX(in_signed_offices!$A$2:$BZ$81,MATCH($A40,INDEX(in_signed_offices!$A$2:$BZ$81,0,MATCH("office_id",in_signed_offices!$A$1:$BZ$1,0)),0),MATCH("agreement_signed_date",in_signed_offices!$A$1:$BZ$1,0))="","",INDEX(in_signed_offices!$A$2:$BZ$81,MATCH($A40,INDEX(in_signed_offices!$A$2:$BZ$81,0,MATCH("office_id",in_signed_offices!$A$1:$BZ$1,0)),0),MATCH("agreement_signed_date",in_signed_offices!$A$1:$BZ$1,0))),""))</f>
        <v/>
      </c>
      <c r="AE40" s="25">
        <f>IF($A40="","",IFERROR(IF(INDEX(in_signed_offices!$A$2:$BZ$81,MATCH($A40,INDEX(in_signed_offices!$A$2:$BZ$81,0,MATCH("office_id",in_signed_offices!$A$1:$BZ$1,0)),0),MATCH("founding_roster_named",in_signed_offices!$A$1:$BZ$1,0))="","",INDEX(in_signed_offices!$A$2:$BZ$81,MATCH($A40,INDEX(in_signed_offices!$A$2:$BZ$81,0,MATCH("office_id",in_signed_offices!$A$1:$BZ$1,0)),0),MATCH("founding_roster_named",in_signed_offices!$A$1:$BZ$1,0))),""))</f>
        <v/>
      </c>
      <c r="AF40" s="25">
        <f>IF($A40="","",IFERROR(IF(INDEX(in_signed_offices!$A$2:$BZ$81,MATCH($A40,INDEX(in_signed_offices!$A$2:$BZ$81,0,MATCH("office_id",in_signed_offices!$A$1:$BZ$1,0)),0),MATCH("public_naming_ok",in_signed_offices!$A$1:$BZ$1,0))="","",INDEX(in_signed_offices!$A$2:$BZ$81,MATCH($A40,INDEX(in_signed_offices!$A$2:$BZ$81,0,MATCH("office_id",in_signed_offices!$A$1:$BZ$1,0)),0),MATCH("public_naming_ok",in_signed_offices!$A$1:$BZ$1,0))),""))</f>
        <v/>
      </c>
      <c r="AG40" s="25">
        <f>IF($A40="","",IFERROR(IF(INDEX(in_signed_offices!$A$2:$BZ$81,MATCH($A40,INDEX(in_signed_offices!$A$2:$BZ$81,0,MATCH("office_id",in_signed_offices!$A$1:$BZ$1,0)),0),MATCH("clay_row_id",in_signed_offices!$A$1:$BZ$1,0))="","",INDEX(in_signed_offices!$A$2:$BZ$81,MATCH($A40,INDEX(in_signed_offices!$A$2:$BZ$81,0,MATCH("office_id",in_signed_offices!$A$1:$BZ$1,0)),0),MATCH("clay_row_id",in_signed_offices!$A$1:$BZ$1,0))),""))</f>
        <v/>
      </c>
      <c r="AH40" s="25">
        <f>IF($A40="","",IF($E40&lt;&gt;"",$E40,IFERROR(IF(INDEX(in_signed_offices!$A$2:$BZ$81,MATCH($A40,INDEX(in_signed_offices!$A$2:$BZ$81,0,MATCH("office_id",in_signed_offices!$A$1:$BZ$1,0)),0),MATCH("industry",in_signed_offices!$A$1:$BZ$1,0))="","",INDEX(in_signed_offices!$A$2:$BZ$81,MATCH($A40,INDEX(in_signed_offices!$A$2:$BZ$81,0,MATCH("office_id",in_signed_offices!$A$1:$BZ$1,0)),0),MATCH("industry",in_signed_offices!$A$1:$BZ$1,0))),"")))</f>
        <v/>
      </c>
      <c r="AI40" s="25">
        <f>IF($A40="","",IF($F40&lt;&gt;"",$F40,IF(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lt;&gt;"",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IF($W40="Y",$S40,""))))</f>
        <v/>
      </c>
      <c r="AJ40" s="25">
        <f>IF($A40="","",IF($Q40="","unknown",IF($Q40&lt;40,"under-40",IF($Q40&lt;=75,"40-75",IF($Q40&lt;=150,"76-150",IF($Q40&lt;=250,"151-250",IF($Q40&lt;=500,"251-500","over-500")))))))</f>
        <v/>
      </c>
      <c r="AK40" s="25">
        <f>IF($A40="","",IF($N40="","not on in_signed_offices: paste the outreach file",IF($Q40="","no Tuesday headcount",IF($Q40&lt;30,"below the hard floor of 30",IF($Q40&lt;40,"30 to 39: founder's call",IF($Q40&gt;250,"over 250: outside the plan","OK"))))))</f>
        <v/>
      </c>
      <c r="AL40" s="25">
        <f>IF(OR($A40="",$Q40=""),"",MIN(config!$B$16,MAX(config!$B$15,MROUND(config!$B$13+config!$B$14*$Q40,config!$B$17))))</f>
        <v/>
      </c>
      <c r="AM40" s="25">
        <f>IF($A40="","",COUNTIFS(stops!$B$2:$B$151,$A40,stops!$P$2:$P$151,"&lt;="&amp;IF(config!$B$37&lt;&gt;"",config!$B$37,TODAY())))</f>
        <v/>
      </c>
      <c r="AN40" s="25">
        <f>IF($A40="","",COUNTIFS(stops!$B$2:$B$151,$A40,stops!$L$2:$L$151,"declined"))</f>
        <v/>
      </c>
    </row>
    <row r="41">
      <c r="C41" s="31" t="n"/>
      <c r="D41" s="31" t="n"/>
      <c r="J41" s="9" t="n"/>
      <c r="L41" s="9" t="n"/>
      <c r="N41" s="25">
        <f>IF($A41="","",IFERROR(IF(INDEX(in_signed_offices!$A$2:$BZ$81,MATCH($A41,INDEX(in_signed_offices!$A$2:$BZ$81,0,MATCH("office_id",in_signed_offices!$A$1:$BZ$1,0)),0),MATCH("company",in_signed_offices!$A$1:$BZ$1,0))="","",INDEX(in_signed_offices!$A$2:$BZ$81,MATCH($A41,INDEX(in_signed_offices!$A$2:$BZ$81,0,MATCH("office_id",in_signed_offices!$A$1:$BZ$1,0)),0),MATCH("company",in_signed_offices!$A$1:$BZ$1,0))),""))</f>
        <v/>
      </c>
      <c r="O41" s="25">
        <f>IF($A41="","",IFERROR(IF(INDEX(in_signed_offices!$A$2:$BZ$81,MATCH($A41,INDEX(in_signed_offices!$A$2:$BZ$81,0,MATCH("office_id",in_signed_offices!$A$1:$BZ$1,0)),0),MATCH("office_address",in_signed_offices!$A$1:$BZ$1,0))="","",INDEX(in_signed_offices!$A$2:$BZ$81,MATCH($A41,INDEX(in_signed_offices!$A$2:$BZ$81,0,MATCH("office_id",in_signed_offices!$A$1:$BZ$1,0)),0),MATCH("office_address",in_signed_offices!$A$1:$BZ$1,0))),""))</f>
        <v/>
      </c>
      <c r="P41" s="25">
        <f>IF($A41="","",IFERROR(IF(INDEX(in_signed_offices!$A$2:$BZ$81,MATCH($A41,INDEX(in_signed_offices!$A$2:$BZ$81,0,MATCH("office_id",in_signed_offices!$A$1:$BZ$1,0)),0),MATCH("floor_suite",in_signed_offices!$A$1:$BZ$1,0))="","",INDEX(in_signed_offices!$A$2:$BZ$81,MATCH($A41,INDEX(in_signed_offices!$A$2:$BZ$81,0,MATCH("office_id",in_signed_offices!$A$1:$BZ$1,0)),0),MATCH("floor_suite",in_signed_offices!$A$1:$BZ$1,0))),""))</f>
        <v/>
      </c>
      <c r="Q41" s="25">
        <f>IF($A41="","",IFERROR(IF(INDEX(in_signed_offices!$A$2:$BZ$81,MATCH($A41,INDEX(in_signed_offices!$A$2:$BZ$81,0,MATCH("office_id",in_signed_offices!$A$1:$BZ$1,0)),0),MATCH("tuesday_headcount",in_signed_offices!$A$1:$BZ$1,0))="","",INDEX(in_signed_offices!$A$2:$BZ$81,MATCH($A41,INDEX(in_signed_offices!$A$2:$BZ$81,0,MATCH("office_id",in_signed_offices!$A$1:$BZ$1,0)),0),MATCH("tuesday_headcount",in_signed_offices!$A$1:$BZ$1,0))),""))</f>
        <v/>
      </c>
      <c r="R41" s="25">
        <f>IF($A41="","",IFERROR(IF(INDEX(in_signed_offices!$A$2:$BZ$81,MATCH($A41,INDEX(in_signed_offices!$A$2:$BZ$81,0,MATCH("office_id",in_signed_offices!$A$1:$BZ$1,0)),0),MATCH("contact_name",in_signed_offices!$A$1:$BZ$1,0))="","",INDEX(in_signed_offices!$A$2:$BZ$81,MATCH($A41,INDEX(in_signed_offices!$A$2:$BZ$81,0,MATCH("office_id",in_signed_offices!$A$1:$BZ$1,0)),0),MATCH("contact_name",in_signed_offices!$A$1:$BZ$1,0))),""))</f>
        <v/>
      </c>
      <c r="S41" s="25">
        <f>IF($A41="","",IFERROR(IF(INDEX(in_signed_offices!$A$2:$BZ$81,MATCH($A41,INDEX(in_signed_offices!$A$2:$BZ$81,0,MATCH("office_id",in_signed_offices!$A$1:$BZ$1,0)),0),MATCH("contact_phone",in_signed_offices!$A$1:$BZ$1,0))="","",INDEX(in_signed_offices!$A$2:$BZ$81,MATCH($A41,INDEX(in_signed_offices!$A$2:$BZ$81,0,MATCH("office_id",in_signed_offices!$A$1:$BZ$1,0)),0),MATCH("contact_phone",in_signed_offices!$A$1:$BZ$1,0))),""))</f>
        <v/>
      </c>
      <c r="T41" s="25">
        <f>IF($A41="","",IFERROR(IF(INDEX(in_signed_offices!$A$2:$BZ$81,MATCH($A41,INDEX(in_signed_offices!$A$2:$BZ$81,0,MATCH("office_id",in_signed_offices!$A$1:$BZ$1,0)),0),MATCH("contact_email",in_signed_offices!$A$1:$BZ$1,0))="","",INDEX(in_signed_offices!$A$2:$BZ$81,MATCH($A41,INDEX(in_signed_offices!$A$2:$BZ$81,0,MATCH("office_id",in_signed_offices!$A$1:$BZ$1,0)),0),MATCH("contact_email",in_signed_offices!$A$1:$BZ$1,0))),""))</f>
        <v/>
      </c>
      <c r="U41" s="25">
        <f>IF($A41="","",IFERROR(IF(INDEX(in_signed_offices!$A$2:$BZ$81,MATCH($A41,INDEX(in_signed_offices!$A$2:$BZ$81,0,MATCH("office_id",in_signed_offices!$A$1:$BZ$1,0)),0),MATCH("pantry_owner_name",in_signed_offices!$A$1:$BZ$1,0))="","",INDEX(in_signed_offices!$A$2:$BZ$81,MATCH($A41,INDEX(in_signed_offices!$A$2:$BZ$81,0,MATCH("office_id",in_signed_offices!$A$1:$BZ$1,0)),0),MATCH("pantry_owner_name",in_signed_offices!$A$1:$BZ$1,0))),""))</f>
        <v/>
      </c>
      <c r="V41" s="25">
        <f>IF($A41="","",IFERROR(IF(INDEX(in_signed_offices!$A$2:$BZ$81,MATCH($A41,INDEX(in_signed_offices!$A$2:$BZ$81,0,MATCH("office_id",in_signed_offices!$A$1:$BZ$1,0)),0),MATCH("pantry_owner_title",in_signed_offices!$A$1:$BZ$1,0))="","",INDEX(in_signed_offices!$A$2:$BZ$81,MATCH($A41,INDEX(in_signed_offices!$A$2:$BZ$81,0,MATCH("office_id",in_signed_offices!$A$1:$BZ$1,0)),0),MATCH("pantry_owner_title",in_signed_offices!$A$1:$BZ$1,0))),""))</f>
        <v/>
      </c>
      <c r="W41" s="25">
        <f>IF($A41="","",IFERROR(IF(INDEX(in_signed_offices!$A$2:$BZ$81,MATCH($A41,INDEX(in_signed_offices!$A$2:$BZ$81,0,MATCH("office_id",in_signed_offices!$A$1:$BZ$1,0)),0),MATCH("pantry_owner_is_contact",in_signed_offices!$A$1:$BZ$1,0))="","",INDEX(in_signed_offices!$A$2:$BZ$81,MATCH($A41,INDEX(in_signed_offices!$A$2:$BZ$81,0,MATCH("office_id",in_signed_offices!$A$1:$BZ$1,0)),0),MATCH("pantry_owner_is_contact",in_signed_offices!$A$1:$BZ$1,0))),""))</f>
        <v/>
      </c>
      <c r="X41" s="25">
        <f>IF($A41="","",IFERROR(IF(INDEX(in_signed_offices!$A$2:$BZ$81,MATCH($A41,INDEX(in_signed_offices!$A$2:$BZ$81,0,MATCH("office_id",in_signed_offices!$A$1:$BZ$1,0)),0),MATCH("receiving_type",in_signed_offices!$A$1:$BZ$1,0))="","",INDEX(in_signed_offices!$A$2:$BZ$81,MATCH($A41,INDEX(in_signed_offices!$A$2:$BZ$81,0,MATCH("office_id",in_signed_offices!$A$1:$BZ$1,0)),0),MATCH("receiving_type",in_signed_offices!$A$1:$BZ$1,0))),""))</f>
        <v/>
      </c>
      <c r="Y41" s="25">
        <f>IF($A41="","",IFERROR(IF(INDEX(in_signed_offices!$A$2:$BZ$81,MATCH($A41,INDEX(in_signed_offices!$A$2:$BZ$81,0,MATCH("office_id",in_signed_offices!$A$1:$BZ$1,0)),0),MATCH("receiving_window",in_signed_offices!$A$1:$BZ$1,0))="","",INDEX(in_signed_offices!$A$2:$BZ$81,MATCH($A41,INDEX(in_signed_offices!$A$2:$BZ$81,0,MATCH("office_id",in_signed_offices!$A$1:$BZ$1,0)),0),MATCH("receiving_window",in_signed_offices!$A$1:$BZ$1,0))),""))</f>
        <v/>
      </c>
      <c r="Z41" s="25">
        <f>IF($A41="","",IFERROR(IF(INDEX(in_signed_offices!$A$2:$BZ$81,MATCH($A41,INDEX(in_signed_offices!$A$2:$BZ$81,0,MATCH("office_id",in_signed_offices!$A$1:$BZ$1,0)),0),MATCH("coi_required",in_signed_offices!$A$1:$BZ$1,0))="","",INDEX(in_signed_offices!$A$2:$BZ$81,MATCH($A41,INDEX(in_signed_offices!$A$2:$BZ$81,0,MATCH("office_id",in_signed_offices!$A$1:$BZ$1,0)),0),MATCH("coi_required",in_signed_offices!$A$1:$BZ$1,0))),""))</f>
        <v/>
      </c>
      <c r="AA41" s="25">
        <f>IF($A41="","",IFERROR(IF(INDEX(in_signed_offices!$A$2:$BZ$81,MATCH($A41,INDEX(in_signed_offices!$A$2:$BZ$81,0,MATCH("office_id",in_signed_offices!$A$1:$BZ$1,0)),0),MATCH("survey_channel",in_signed_offices!$A$1:$BZ$1,0))="","",INDEX(in_signed_offices!$A$2:$BZ$81,MATCH($A41,INDEX(in_signed_offices!$A$2:$BZ$81,0,MATCH("office_id",in_signed_offices!$A$1:$BZ$1,0)),0),MATCH("survey_channel",in_signed_offices!$A$1:$BZ$1,0))),""))</f>
        <v/>
      </c>
      <c r="AB41" s="25">
        <f>IF($A41="","",IFERROR(IF(INDEX(in_signed_offices!$A$2:$BZ$81,MATCH($A41,INDEX(in_signed_offices!$A$2:$BZ$81,0,MATCH("office_id",in_signed_offices!$A$1:$BZ$1,0)),0),MATCH("categories_wanted",in_signed_offices!$A$1:$BZ$1,0))="","",INDEX(in_signed_offices!$A$2:$BZ$81,MATCH($A41,INDEX(in_signed_offices!$A$2:$BZ$81,0,MATCH("office_id",in_signed_offices!$A$1:$BZ$1,0)),0),MATCH("categories_wanted",in_signed_offices!$A$1:$BZ$1,0))),""))</f>
        <v/>
      </c>
      <c r="AC41" s="25">
        <f>IF($A41="","",IFERROR(IF(INDEX(in_signed_offices!$A$2:$BZ$81,MATCH($A41,INDEX(in_signed_offices!$A$2:$BZ$81,0,MATCH("office_id",in_signed_offices!$A$1:$BZ$1,0)),0),MATCH("vetoes",in_signed_offices!$A$1:$BZ$1,0))="","",INDEX(in_signed_offices!$A$2:$BZ$81,MATCH($A41,INDEX(in_signed_offices!$A$2:$BZ$81,0,MATCH("office_id",in_signed_offices!$A$1:$BZ$1,0)),0),MATCH("vetoes",in_signed_offices!$A$1:$BZ$1,0))),""))</f>
        <v/>
      </c>
      <c r="AD41" s="26">
        <f>IF($A41="","",IFERROR(IF(INDEX(in_signed_offices!$A$2:$BZ$81,MATCH($A41,INDEX(in_signed_offices!$A$2:$BZ$81,0,MATCH("office_id",in_signed_offices!$A$1:$BZ$1,0)),0),MATCH("agreement_signed_date",in_signed_offices!$A$1:$BZ$1,0))="","",INDEX(in_signed_offices!$A$2:$BZ$81,MATCH($A41,INDEX(in_signed_offices!$A$2:$BZ$81,0,MATCH("office_id",in_signed_offices!$A$1:$BZ$1,0)),0),MATCH("agreement_signed_date",in_signed_offices!$A$1:$BZ$1,0))),""))</f>
        <v/>
      </c>
      <c r="AE41" s="25">
        <f>IF($A41="","",IFERROR(IF(INDEX(in_signed_offices!$A$2:$BZ$81,MATCH($A41,INDEX(in_signed_offices!$A$2:$BZ$81,0,MATCH("office_id",in_signed_offices!$A$1:$BZ$1,0)),0),MATCH("founding_roster_named",in_signed_offices!$A$1:$BZ$1,0))="","",INDEX(in_signed_offices!$A$2:$BZ$81,MATCH($A41,INDEX(in_signed_offices!$A$2:$BZ$81,0,MATCH("office_id",in_signed_offices!$A$1:$BZ$1,0)),0),MATCH("founding_roster_named",in_signed_offices!$A$1:$BZ$1,0))),""))</f>
        <v/>
      </c>
      <c r="AF41" s="25">
        <f>IF($A41="","",IFERROR(IF(INDEX(in_signed_offices!$A$2:$BZ$81,MATCH($A41,INDEX(in_signed_offices!$A$2:$BZ$81,0,MATCH("office_id",in_signed_offices!$A$1:$BZ$1,0)),0),MATCH("public_naming_ok",in_signed_offices!$A$1:$BZ$1,0))="","",INDEX(in_signed_offices!$A$2:$BZ$81,MATCH($A41,INDEX(in_signed_offices!$A$2:$BZ$81,0,MATCH("office_id",in_signed_offices!$A$1:$BZ$1,0)),0),MATCH("public_naming_ok",in_signed_offices!$A$1:$BZ$1,0))),""))</f>
        <v/>
      </c>
      <c r="AG41" s="25">
        <f>IF($A41="","",IFERROR(IF(INDEX(in_signed_offices!$A$2:$BZ$81,MATCH($A41,INDEX(in_signed_offices!$A$2:$BZ$81,0,MATCH("office_id",in_signed_offices!$A$1:$BZ$1,0)),0),MATCH("clay_row_id",in_signed_offices!$A$1:$BZ$1,0))="","",INDEX(in_signed_offices!$A$2:$BZ$81,MATCH($A41,INDEX(in_signed_offices!$A$2:$BZ$81,0,MATCH("office_id",in_signed_offices!$A$1:$BZ$1,0)),0),MATCH("clay_row_id",in_signed_offices!$A$1:$BZ$1,0))),""))</f>
        <v/>
      </c>
      <c r="AH41" s="25">
        <f>IF($A41="","",IF($E41&lt;&gt;"",$E41,IFERROR(IF(INDEX(in_signed_offices!$A$2:$BZ$81,MATCH($A41,INDEX(in_signed_offices!$A$2:$BZ$81,0,MATCH("office_id",in_signed_offices!$A$1:$BZ$1,0)),0),MATCH("industry",in_signed_offices!$A$1:$BZ$1,0))="","",INDEX(in_signed_offices!$A$2:$BZ$81,MATCH($A41,INDEX(in_signed_offices!$A$2:$BZ$81,0,MATCH("office_id",in_signed_offices!$A$1:$BZ$1,0)),0),MATCH("industry",in_signed_offices!$A$1:$BZ$1,0))),"")))</f>
        <v/>
      </c>
      <c r="AI41" s="25">
        <f>IF($A41="","",IF($F41&lt;&gt;"",$F41,IF(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lt;&gt;"",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IF($W41="Y",$S41,""))))</f>
        <v/>
      </c>
      <c r="AJ41" s="25">
        <f>IF($A41="","",IF($Q41="","unknown",IF($Q41&lt;40,"under-40",IF($Q41&lt;=75,"40-75",IF($Q41&lt;=150,"76-150",IF($Q41&lt;=250,"151-250",IF($Q41&lt;=500,"251-500","over-500")))))))</f>
        <v/>
      </c>
      <c r="AK41" s="25">
        <f>IF($A41="","",IF($N41="","not on in_signed_offices: paste the outreach file",IF($Q41="","no Tuesday headcount",IF($Q41&lt;30,"below the hard floor of 30",IF($Q41&lt;40,"30 to 39: founder's call",IF($Q41&gt;250,"over 250: outside the plan","OK"))))))</f>
        <v/>
      </c>
      <c r="AL41" s="25">
        <f>IF(OR($A41="",$Q41=""),"",MIN(config!$B$16,MAX(config!$B$15,MROUND(config!$B$13+config!$B$14*$Q41,config!$B$17))))</f>
        <v/>
      </c>
      <c r="AM41" s="25">
        <f>IF($A41="","",COUNTIFS(stops!$B$2:$B$151,$A41,stops!$P$2:$P$151,"&lt;="&amp;IF(config!$B$37&lt;&gt;"",config!$B$37,TODAY())))</f>
        <v/>
      </c>
      <c r="AN41" s="25">
        <f>IF($A41="","",COUNTIFS(stops!$B$2:$B$151,$A41,stops!$L$2:$L$151,"declined"))</f>
        <v/>
      </c>
    </row>
    <row r="42">
      <c r="C42" s="31" t="n"/>
      <c r="D42" s="31" t="n"/>
      <c r="J42" s="9" t="n"/>
      <c r="L42" s="9" t="n"/>
      <c r="N42" s="25">
        <f>IF($A42="","",IFERROR(IF(INDEX(in_signed_offices!$A$2:$BZ$81,MATCH($A42,INDEX(in_signed_offices!$A$2:$BZ$81,0,MATCH("office_id",in_signed_offices!$A$1:$BZ$1,0)),0),MATCH("company",in_signed_offices!$A$1:$BZ$1,0))="","",INDEX(in_signed_offices!$A$2:$BZ$81,MATCH($A42,INDEX(in_signed_offices!$A$2:$BZ$81,0,MATCH("office_id",in_signed_offices!$A$1:$BZ$1,0)),0),MATCH("company",in_signed_offices!$A$1:$BZ$1,0))),""))</f>
        <v/>
      </c>
      <c r="O42" s="25">
        <f>IF($A42="","",IFERROR(IF(INDEX(in_signed_offices!$A$2:$BZ$81,MATCH($A42,INDEX(in_signed_offices!$A$2:$BZ$81,0,MATCH("office_id",in_signed_offices!$A$1:$BZ$1,0)),0),MATCH("office_address",in_signed_offices!$A$1:$BZ$1,0))="","",INDEX(in_signed_offices!$A$2:$BZ$81,MATCH($A42,INDEX(in_signed_offices!$A$2:$BZ$81,0,MATCH("office_id",in_signed_offices!$A$1:$BZ$1,0)),0),MATCH("office_address",in_signed_offices!$A$1:$BZ$1,0))),""))</f>
        <v/>
      </c>
      <c r="P42" s="25">
        <f>IF($A42="","",IFERROR(IF(INDEX(in_signed_offices!$A$2:$BZ$81,MATCH($A42,INDEX(in_signed_offices!$A$2:$BZ$81,0,MATCH("office_id",in_signed_offices!$A$1:$BZ$1,0)),0),MATCH("floor_suite",in_signed_offices!$A$1:$BZ$1,0))="","",INDEX(in_signed_offices!$A$2:$BZ$81,MATCH($A42,INDEX(in_signed_offices!$A$2:$BZ$81,0,MATCH("office_id",in_signed_offices!$A$1:$BZ$1,0)),0),MATCH("floor_suite",in_signed_offices!$A$1:$BZ$1,0))),""))</f>
        <v/>
      </c>
      <c r="Q42" s="25">
        <f>IF($A42="","",IFERROR(IF(INDEX(in_signed_offices!$A$2:$BZ$81,MATCH($A42,INDEX(in_signed_offices!$A$2:$BZ$81,0,MATCH("office_id",in_signed_offices!$A$1:$BZ$1,0)),0),MATCH("tuesday_headcount",in_signed_offices!$A$1:$BZ$1,0))="","",INDEX(in_signed_offices!$A$2:$BZ$81,MATCH($A42,INDEX(in_signed_offices!$A$2:$BZ$81,0,MATCH("office_id",in_signed_offices!$A$1:$BZ$1,0)),0),MATCH("tuesday_headcount",in_signed_offices!$A$1:$BZ$1,0))),""))</f>
        <v/>
      </c>
      <c r="R42" s="25">
        <f>IF($A42="","",IFERROR(IF(INDEX(in_signed_offices!$A$2:$BZ$81,MATCH($A42,INDEX(in_signed_offices!$A$2:$BZ$81,0,MATCH("office_id",in_signed_offices!$A$1:$BZ$1,0)),0),MATCH("contact_name",in_signed_offices!$A$1:$BZ$1,0))="","",INDEX(in_signed_offices!$A$2:$BZ$81,MATCH($A42,INDEX(in_signed_offices!$A$2:$BZ$81,0,MATCH("office_id",in_signed_offices!$A$1:$BZ$1,0)),0),MATCH("contact_name",in_signed_offices!$A$1:$BZ$1,0))),""))</f>
        <v/>
      </c>
      <c r="S42" s="25">
        <f>IF($A42="","",IFERROR(IF(INDEX(in_signed_offices!$A$2:$BZ$81,MATCH($A42,INDEX(in_signed_offices!$A$2:$BZ$81,0,MATCH("office_id",in_signed_offices!$A$1:$BZ$1,0)),0),MATCH("contact_phone",in_signed_offices!$A$1:$BZ$1,0))="","",INDEX(in_signed_offices!$A$2:$BZ$81,MATCH($A42,INDEX(in_signed_offices!$A$2:$BZ$81,0,MATCH("office_id",in_signed_offices!$A$1:$BZ$1,0)),0),MATCH("contact_phone",in_signed_offices!$A$1:$BZ$1,0))),""))</f>
        <v/>
      </c>
      <c r="T42" s="25">
        <f>IF($A42="","",IFERROR(IF(INDEX(in_signed_offices!$A$2:$BZ$81,MATCH($A42,INDEX(in_signed_offices!$A$2:$BZ$81,0,MATCH("office_id",in_signed_offices!$A$1:$BZ$1,0)),0),MATCH("contact_email",in_signed_offices!$A$1:$BZ$1,0))="","",INDEX(in_signed_offices!$A$2:$BZ$81,MATCH($A42,INDEX(in_signed_offices!$A$2:$BZ$81,0,MATCH("office_id",in_signed_offices!$A$1:$BZ$1,0)),0),MATCH("contact_email",in_signed_offices!$A$1:$BZ$1,0))),""))</f>
        <v/>
      </c>
      <c r="U42" s="25">
        <f>IF($A42="","",IFERROR(IF(INDEX(in_signed_offices!$A$2:$BZ$81,MATCH($A42,INDEX(in_signed_offices!$A$2:$BZ$81,0,MATCH("office_id",in_signed_offices!$A$1:$BZ$1,0)),0),MATCH("pantry_owner_name",in_signed_offices!$A$1:$BZ$1,0))="","",INDEX(in_signed_offices!$A$2:$BZ$81,MATCH($A42,INDEX(in_signed_offices!$A$2:$BZ$81,0,MATCH("office_id",in_signed_offices!$A$1:$BZ$1,0)),0),MATCH("pantry_owner_name",in_signed_offices!$A$1:$BZ$1,0))),""))</f>
        <v/>
      </c>
      <c r="V42" s="25">
        <f>IF($A42="","",IFERROR(IF(INDEX(in_signed_offices!$A$2:$BZ$81,MATCH($A42,INDEX(in_signed_offices!$A$2:$BZ$81,0,MATCH("office_id",in_signed_offices!$A$1:$BZ$1,0)),0),MATCH("pantry_owner_title",in_signed_offices!$A$1:$BZ$1,0))="","",INDEX(in_signed_offices!$A$2:$BZ$81,MATCH($A42,INDEX(in_signed_offices!$A$2:$BZ$81,0,MATCH("office_id",in_signed_offices!$A$1:$BZ$1,0)),0),MATCH("pantry_owner_title",in_signed_offices!$A$1:$BZ$1,0))),""))</f>
        <v/>
      </c>
      <c r="W42" s="25">
        <f>IF($A42="","",IFERROR(IF(INDEX(in_signed_offices!$A$2:$BZ$81,MATCH($A42,INDEX(in_signed_offices!$A$2:$BZ$81,0,MATCH("office_id",in_signed_offices!$A$1:$BZ$1,0)),0),MATCH("pantry_owner_is_contact",in_signed_offices!$A$1:$BZ$1,0))="","",INDEX(in_signed_offices!$A$2:$BZ$81,MATCH($A42,INDEX(in_signed_offices!$A$2:$BZ$81,0,MATCH("office_id",in_signed_offices!$A$1:$BZ$1,0)),0),MATCH("pantry_owner_is_contact",in_signed_offices!$A$1:$BZ$1,0))),""))</f>
        <v/>
      </c>
      <c r="X42" s="25">
        <f>IF($A42="","",IFERROR(IF(INDEX(in_signed_offices!$A$2:$BZ$81,MATCH($A42,INDEX(in_signed_offices!$A$2:$BZ$81,0,MATCH("office_id",in_signed_offices!$A$1:$BZ$1,0)),0),MATCH("receiving_type",in_signed_offices!$A$1:$BZ$1,0))="","",INDEX(in_signed_offices!$A$2:$BZ$81,MATCH($A42,INDEX(in_signed_offices!$A$2:$BZ$81,0,MATCH("office_id",in_signed_offices!$A$1:$BZ$1,0)),0),MATCH("receiving_type",in_signed_offices!$A$1:$BZ$1,0))),""))</f>
        <v/>
      </c>
      <c r="Y42" s="25">
        <f>IF($A42="","",IFERROR(IF(INDEX(in_signed_offices!$A$2:$BZ$81,MATCH($A42,INDEX(in_signed_offices!$A$2:$BZ$81,0,MATCH("office_id",in_signed_offices!$A$1:$BZ$1,0)),0),MATCH("receiving_window",in_signed_offices!$A$1:$BZ$1,0))="","",INDEX(in_signed_offices!$A$2:$BZ$81,MATCH($A42,INDEX(in_signed_offices!$A$2:$BZ$81,0,MATCH("office_id",in_signed_offices!$A$1:$BZ$1,0)),0),MATCH("receiving_window",in_signed_offices!$A$1:$BZ$1,0))),""))</f>
        <v/>
      </c>
      <c r="Z42" s="25">
        <f>IF($A42="","",IFERROR(IF(INDEX(in_signed_offices!$A$2:$BZ$81,MATCH($A42,INDEX(in_signed_offices!$A$2:$BZ$81,0,MATCH("office_id",in_signed_offices!$A$1:$BZ$1,0)),0),MATCH("coi_required",in_signed_offices!$A$1:$BZ$1,0))="","",INDEX(in_signed_offices!$A$2:$BZ$81,MATCH($A42,INDEX(in_signed_offices!$A$2:$BZ$81,0,MATCH("office_id",in_signed_offices!$A$1:$BZ$1,0)),0),MATCH("coi_required",in_signed_offices!$A$1:$BZ$1,0))),""))</f>
        <v/>
      </c>
      <c r="AA42" s="25">
        <f>IF($A42="","",IFERROR(IF(INDEX(in_signed_offices!$A$2:$BZ$81,MATCH($A42,INDEX(in_signed_offices!$A$2:$BZ$81,0,MATCH("office_id",in_signed_offices!$A$1:$BZ$1,0)),0),MATCH("survey_channel",in_signed_offices!$A$1:$BZ$1,0))="","",INDEX(in_signed_offices!$A$2:$BZ$81,MATCH($A42,INDEX(in_signed_offices!$A$2:$BZ$81,0,MATCH("office_id",in_signed_offices!$A$1:$BZ$1,0)),0),MATCH("survey_channel",in_signed_offices!$A$1:$BZ$1,0))),""))</f>
        <v/>
      </c>
      <c r="AB42" s="25">
        <f>IF($A42="","",IFERROR(IF(INDEX(in_signed_offices!$A$2:$BZ$81,MATCH($A42,INDEX(in_signed_offices!$A$2:$BZ$81,0,MATCH("office_id",in_signed_offices!$A$1:$BZ$1,0)),0),MATCH("categories_wanted",in_signed_offices!$A$1:$BZ$1,0))="","",INDEX(in_signed_offices!$A$2:$BZ$81,MATCH($A42,INDEX(in_signed_offices!$A$2:$BZ$81,0,MATCH("office_id",in_signed_offices!$A$1:$BZ$1,0)),0),MATCH("categories_wanted",in_signed_offices!$A$1:$BZ$1,0))),""))</f>
        <v/>
      </c>
      <c r="AC42" s="25">
        <f>IF($A42="","",IFERROR(IF(INDEX(in_signed_offices!$A$2:$BZ$81,MATCH($A42,INDEX(in_signed_offices!$A$2:$BZ$81,0,MATCH("office_id",in_signed_offices!$A$1:$BZ$1,0)),0),MATCH("vetoes",in_signed_offices!$A$1:$BZ$1,0))="","",INDEX(in_signed_offices!$A$2:$BZ$81,MATCH($A42,INDEX(in_signed_offices!$A$2:$BZ$81,0,MATCH("office_id",in_signed_offices!$A$1:$BZ$1,0)),0),MATCH("vetoes",in_signed_offices!$A$1:$BZ$1,0))),""))</f>
        <v/>
      </c>
      <c r="AD42" s="26">
        <f>IF($A42="","",IFERROR(IF(INDEX(in_signed_offices!$A$2:$BZ$81,MATCH($A42,INDEX(in_signed_offices!$A$2:$BZ$81,0,MATCH("office_id",in_signed_offices!$A$1:$BZ$1,0)),0),MATCH("agreement_signed_date",in_signed_offices!$A$1:$BZ$1,0))="","",INDEX(in_signed_offices!$A$2:$BZ$81,MATCH($A42,INDEX(in_signed_offices!$A$2:$BZ$81,0,MATCH("office_id",in_signed_offices!$A$1:$BZ$1,0)),0),MATCH("agreement_signed_date",in_signed_offices!$A$1:$BZ$1,0))),""))</f>
        <v/>
      </c>
      <c r="AE42" s="25">
        <f>IF($A42="","",IFERROR(IF(INDEX(in_signed_offices!$A$2:$BZ$81,MATCH($A42,INDEX(in_signed_offices!$A$2:$BZ$81,0,MATCH("office_id",in_signed_offices!$A$1:$BZ$1,0)),0),MATCH("founding_roster_named",in_signed_offices!$A$1:$BZ$1,0))="","",INDEX(in_signed_offices!$A$2:$BZ$81,MATCH($A42,INDEX(in_signed_offices!$A$2:$BZ$81,0,MATCH("office_id",in_signed_offices!$A$1:$BZ$1,0)),0),MATCH("founding_roster_named",in_signed_offices!$A$1:$BZ$1,0))),""))</f>
        <v/>
      </c>
      <c r="AF42" s="25">
        <f>IF($A42="","",IFERROR(IF(INDEX(in_signed_offices!$A$2:$BZ$81,MATCH($A42,INDEX(in_signed_offices!$A$2:$BZ$81,0,MATCH("office_id",in_signed_offices!$A$1:$BZ$1,0)),0),MATCH("public_naming_ok",in_signed_offices!$A$1:$BZ$1,0))="","",INDEX(in_signed_offices!$A$2:$BZ$81,MATCH($A42,INDEX(in_signed_offices!$A$2:$BZ$81,0,MATCH("office_id",in_signed_offices!$A$1:$BZ$1,0)),0),MATCH("public_naming_ok",in_signed_offices!$A$1:$BZ$1,0))),""))</f>
        <v/>
      </c>
      <c r="AG42" s="25">
        <f>IF($A42="","",IFERROR(IF(INDEX(in_signed_offices!$A$2:$BZ$81,MATCH($A42,INDEX(in_signed_offices!$A$2:$BZ$81,0,MATCH("office_id",in_signed_offices!$A$1:$BZ$1,0)),0),MATCH("clay_row_id",in_signed_offices!$A$1:$BZ$1,0))="","",INDEX(in_signed_offices!$A$2:$BZ$81,MATCH($A42,INDEX(in_signed_offices!$A$2:$BZ$81,0,MATCH("office_id",in_signed_offices!$A$1:$BZ$1,0)),0),MATCH("clay_row_id",in_signed_offices!$A$1:$BZ$1,0))),""))</f>
        <v/>
      </c>
      <c r="AH42" s="25">
        <f>IF($A42="","",IF($E42&lt;&gt;"",$E42,IFERROR(IF(INDEX(in_signed_offices!$A$2:$BZ$81,MATCH($A42,INDEX(in_signed_offices!$A$2:$BZ$81,0,MATCH("office_id",in_signed_offices!$A$1:$BZ$1,0)),0),MATCH("industry",in_signed_offices!$A$1:$BZ$1,0))="","",INDEX(in_signed_offices!$A$2:$BZ$81,MATCH($A42,INDEX(in_signed_offices!$A$2:$BZ$81,0,MATCH("office_id",in_signed_offices!$A$1:$BZ$1,0)),0),MATCH("industry",in_signed_offices!$A$1:$BZ$1,0))),"")))</f>
        <v/>
      </c>
      <c r="AI42" s="25">
        <f>IF($A42="","",IF($F42&lt;&gt;"",$F42,IF(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lt;&gt;"",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IF($W42="Y",$S42,""))))</f>
        <v/>
      </c>
      <c r="AJ42" s="25">
        <f>IF($A42="","",IF($Q42="","unknown",IF($Q42&lt;40,"under-40",IF($Q42&lt;=75,"40-75",IF($Q42&lt;=150,"76-150",IF($Q42&lt;=250,"151-250",IF($Q42&lt;=500,"251-500","over-500")))))))</f>
        <v/>
      </c>
      <c r="AK42" s="25">
        <f>IF($A42="","",IF($N42="","not on in_signed_offices: paste the outreach file",IF($Q42="","no Tuesday headcount",IF($Q42&lt;30,"below the hard floor of 30",IF($Q42&lt;40,"30 to 39: founder's call",IF($Q42&gt;250,"over 250: outside the plan","OK"))))))</f>
        <v/>
      </c>
      <c r="AL42" s="25">
        <f>IF(OR($A42="",$Q42=""),"",MIN(config!$B$16,MAX(config!$B$15,MROUND(config!$B$13+config!$B$14*$Q42,config!$B$17))))</f>
        <v/>
      </c>
      <c r="AM42" s="25">
        <f>IF($A42="","",COUNTIFS(stops!$B$2:$B$151,$A42,stops!$P$2:$P$151,"&lt;="&amp;IF(config!$B$37&lt;&gt;"",config!$B$37,TODAY())))</f>
        <v/>
      </c>
      <c r="AN42" s="25">
        <f>IF($A42="","",COUNTIFS(stops!$B$2:$B$151,$A42,stops!$L$2:$L$151,"declined"))</f>
        <v/>
      </c>
    </row>
    <row r="43">
      <c r="C43" s="31" t="n"/>
      <c r="D43" s="31" t="n"/>
      <c r="J43" s="9" t="n"/>
      <c r="L43" s="9" t="n"/>
      <c r="N43" s="25">
        <f>IF($A43="","",IFERROR(IF(INDEX(in_signed_offices!$A$2:$BZ$81,MATCH($A43,INDEX(in_signed_offices!$A$2:$BZ$81,0,MATCH("office_id",in_signed_offices!$A$1:$BZ$1,0)),0),MATCH("company",in_signed_offices!$A$1:$BZ$1,0))="","",INDEX(in_signed_offices!$A$2:$BZ$81,MATCH($A43,INDEX(in_signed_offices!$A$2:$BZ$81,0,MATCH("office_id",in_signed_offices!$A$1:$BZ$1,0)),0),MATCH("company",in_signed_offices!$A$1:$BZ$1,0))),""))</f>
        <v/>
      </c>
      <c r="O43" s="25">
        <f>IF($A43="","",IFERROR(IF(INDEX(in_signed_offices!$A$2:$BZ$81,MATCH($A43,INDEX(in_signed_offices!$A$2:$BZ$81,0,MATCH("office_id",in_signed_offices!$A$1:$BZ$1,0)),0),MATCH("office_address",in_signed_offices!$A$1:$BZ$1,0))="","",INDEX(in_signed_offices!$A$2:$BZ$81,MATCH($A43,INDEX(in_signed_offices!$A$2:$BZ$81,0,MATCH("office_id",in_signed_offices!$A$1:$BZ$1,0)),0),MATCH("office_address",in_signed_offices!$A$1:$BZ$1,0))),""))</f>
        <v/>
      </c>
      <c r="P43" s="25">
        <f>IF($A43="","",IFERROR(IF(INDEX(in_signed_offices!$A$2:$BZ$81,MATCH($A43,INDEX(in_signed_offices!$A$2:$BZ$81,0,MATCH("office_id",in_signed_offices!$A$1:$BZ$1,0)),0),MATCH("floor_suite",in_signed_offices!$A$1:$BZ$1,0))="","",INDEX(in_signed_offices!$A$2:$BZ$81,MATCH($A43,INDEX(in_signed_offices!$A$2:$BZ$81,0,MATCH("office_id",in_signed_offices!$A$1:$BZ$1,0)),0),MATCH("floor_suite",in_signed_offices!$A$1:$BZ$1,0))),""))</f>
        <v/>
      </c>
      <c r="Q43" s="25">
        <f>IF($A43="","",IFERROR(IF(INDEX(in_signed_offices!$A$2:$BZ$81,MATCH($A43,INDEX(in_signed_offices!$A$2:$BZ$81,0,MATCH("office_id",in_signed_offices!$A$1:$BZ$1,0)),0),MATCH("tuesday_headcount",in_signed_offices!$A$1:$BZ$1,0))="","",INDEX(in_signed_offices!$A$2:$BZ$81,MATCH($A43,INDEX(in_signed_offices!$A$2:$BZ$81,0,MATCH("office_id",in_signed_offices!$A$1:$BZ$1,0)),0),MATCH("tuesday_headcount",in_signed_offices!$A$1:$BZ$1,0))),""))</f>
        <v/>
      </c>
      <c r="R43" s="25">
        <f>IF($A43="","",IFERROR(IF(INDEX(in_signed_offices!$A$2:$BZ$81,MATCH($A43,INDEX(in_signed_offices!$A$2:$BZ$81,0,MATCH("office_id",in_signed_offices!$A$1:$BZ$1,0)),0),MATCH("contact_name",in_signed_offices!$A$1:$BZ$1,0))="","",INDEX(in_signed_offices!$A$2:$BZ$81,MATCH($A43,INDEX(in_signed_offices!$A$2:$BZ$81,0,MATCH("office_id",in_signed_offices!$A$1:$BZ$1,0)),0),MATCH("contact_name",in_signed_offices!$A$1:$BZ$1,0))),""))</f>
        <v/>
      </c>
      <c r="S43" s="25">
        <f>IF($A43="","",IFERROR(IF(INDEX(in_signed_offices!$A$2:$BZ$81,MATCH($A43,INDEX(in_signed_offices!$A$2:$BZ$81,0,MATCH("office_id",in_signed_offices!$A$1:$BZ$1,0)),0),MATCH("contact_phone",in_signed_offices!$A$1:$BZ$1,0))="","",INDEX(in_signed_offices!$A$2:$BZ$81,MATCH($A43,INDEX(in_signed_offices!$A$2:$BZ$81,0,MATCH("office_id",in_signed_offices!$A$1:$BZ$1,0)),0),MATCH("contact_phone",in_signed_offices!$A$1:$BZ$1,0))),""))</f>
        <v/>
      </c>
      <c r="T43" s="25">
        <f>IF($A43="","",IFERROR(IF(INDEX(in_signed_offices!$A$2:$BZ$81,MATCH($A43,INDEX(in_signed_offices!$A$2:$BZ$81,0,MATCH("office_id",in_signed_offices!$A$1:$BZ$1,0)),0),MATCH("contact_email",in_signed_offices!$A$1:$BZ$1,0))="","",INDEX(in_signed_offices!$A$2:$BZ$81,MATCH($A43,INDEX(in_signed_offices!$A$2:$BZ$81,0,MATCH("office_id",in_signed_offices!$A$1:$BZ$1,0)),0),MATCH("contact_email",in_signed_offices!$A$1:$BZ$1,0))),""))</f>
        <v/>
      </c>
      <c r="U43" s="25">
        <f>IF($A43="","",IFERROR(IF(INDEX(in_signed_offices!$A$2:$BZ$81,MATCH($A43,INDEX(in_signed_offices!$A$2:$BZ$81,0,MATCH("office_id",in_signed_offices!$A$1:$BZ$1,0)),0),MATCH("pantry_owner_name",in_signed_offices!$A$1:$BZ$1,0))="","",INDEX(in_signed_offices!$A$2:$BZ$81,MATCH($A43,INDEX(in_signed_offices!$A$2:$BZ$81,0,MATCH("office_id",in_signed_offices!$A$1:$BZ$1,0)),0),MATCH("pantry_owner_name",in_signed_offices!$A$1:$BZ$1,0))),""))</f>
        <v/>
      </c>
      <c r="V43" s="25">
        <f>IF($A43="","",IFERROR(IF(INDEX(in_signed_offices!$A$2:$BZ$81,MATCH($A43,INDEX(in_signed_offices!$A$2:$BZ$81,0,MATCH("office_id",in_signed_offices!$A$1:$BZ$1,0)),0),MATCH("pantry_owner_title",in_signed_offices!$A$1:$BZ$1,0))="","",INDEX(in_signed_offices!$A$2:$BZ$81,MATCH($A43,INDEX(in_signed_offices!$A$2:$BZ$81,0,MATCH("office_id",in_signed_offices!$A$1:$BZ$1,0)),0),MATCH("pantry_owner_title",in_signed_offices!$A$1:$BZ$1,0))),""))</f>
        <v/>
      </c>
      <c r="W43" s="25">
        <f>IF($A43="","",IFERROR(IF(INDEX(in_signed_offices!$A$2:$BZ$81,MATCH($A43,INDEX(in_signed_offices!$A$2:$BZ$81,0,MATCH("office_id",in_signed_offices!$A$1:$BZ$1,0)),0),MATCH("pantry_owner_is_contact",in_signed_offices!$A$1:$BZ$1,0))="","",INDEX(in_signed_offices!$A$2:$BZ$81,MATCH($A43,INDEX(in_signed_offices!$A$2:$BZ$81,0,MATCH("office_id",in_signed_offices!$A$1:$BZ$1,0)),0),MATCH("pantry_owner_is_contact",in_signed_offices!$A$1:$BZ$1,0))),""))</f>
        <v/>
      </c>
      <c r="X43" s="25">
        <f>IF($A43="","",IFERROR(IF(INDEX(in_signed_offices!$A$2:$BZ$81,MATCH($A43,INDEX(in_signed_offices!$A$2:$BZ$81,0,MATCH("office_id",in_signed_offices!$A$1:$BZ$1,0)),0),MATCH("receiving_type",in_signed_offices!$A$1:$BZ$1,0))="","",INDEX(in_signed_offices!$A$2:$BZ$81,MATCH($A43,INDEX(in_signed_offices!$A$2:$BZ$81,0,MATCH("office_id",in_signed_offices!$A$1:$BZ$1,0)),0),MATCH("receiving_type",in_signed_offices!$A$1:$BZ$1,0))),""))</f>
        <v/>
      </c>
      <c r="Y43" s="25">
        <f>IF($A43="","",IFERROR(IF(INDEX(in_signed_offices!$A$2:$BZ$81,MATCH($A43,INDEX(in_signed_offices!$A$2:$BZ$81,0,MATCH("office_id",in_signed_offices!$A$1:$BZ$1,0)),0),MATCH("receiving_window",in_signed_offices!$A$1:$BZ$1,0))="","",INDEX(in_signed_offices!$A$2:$BZ$81,MATCH($A43,INDEX(in_signed_offices!$A$2:$BZ$81,0,MATCH("office_id",in_signed_offices!$A$1:$BZ$1,0)),0),MATCH("receiving_window",in_signed_offices!$A$1:$BZ$1,0))),""))</f>
        <v/>
      </c>
      <c r="Z43" s="25">
        <f>IF($A43="","",IFERROR(IF(INDEX(in_signed_offices!$A$2:$BZ$81,MATCH($A43,INDEX(in_signed_offices!$A$2:$BZ$81,0,MATCH("office_id",in_signed_offices!$A$1:$BZ$1,0)),0),MATCH("coi_required",in_signed_offices!$A$1:$BZ$1,0))="","",INDEX(in_signed_offices!$A$2:$BZ$81,MATCH($A43,INDEX(in_signed_offices!$A$2:$BZ$81,0,MATCH("office_id",in_signed_offices!$A$1:$BZ$1,0)),0),MATCH("coi_required",in_signed_offices!$A$1:$BZ$1,0))),""))</f>
        <v/>
      </c>
      <c r="AA43" s="25">
        <f>IF($A43="","",IFERROR(IF(INDEX(in_signed_offices!$A$2:$BZ$81,MATCH($A43,INDEX(in_signed_offices!$A$2:$BZ$81,0,MATCH("office_id",in_signed_offices!$A$1:$BZ$1,0)),0),MATCH("survey_channel",in_signed_offices!$A$1:$BZ$1,0))="","",INDEX(in_signed_offices!$A$2:$BZ$81,MATCH($A43,INDEX(in_signed_offices!$A$2:$BZ$81,0,MATCH("office_id",in_signed_offices!$A$1:$BZ$1,0)),0),MATCH("survey_channel",in_signed_offices!$A$1:$BZ$1,0))),""))</f>
        <v/>
      </c>
      <c r="AB43" s="25">
        <f>IF($A43="","",IFERROR(IF(INDEX(in_signed_offices!$A$2:$BZ$81,MATCH($A43,INDEX(in_signed_offices!$A$2:$BZ$81,0,MATCH("office_id",in_signed_offices!$A$1:$BZ$1,0)),0),MATCH("categories_wanted",in_signed_offices!$A$1:$BZ$1,0))="","",INDEX(in_signed_offices!$A$2:$BZ$81,MATCH($A43,INDEX(in_signed_offices!$A$2:$BZ$81,0,MATCH("office_id",in_signed_offices!$A$1:$BZ$1,0)),0),MATCH("categories_wanted",in_signed_offices!$A$1:$BZ$1,0))),""))</f>
        <v/>
      </c>
      <c r="AC43" s="25">
        <f>IF($A43="","",IFERROR(IF(INDEX(in_signed_offices!$A$2:$BZ$81,MATCH($A43,INDEX(in_signed_offices!$A$2:$BZ$81,0,MATCH("office_id",in_signed_offices!$A$1:$BZ$1,0)),0),MATCH("vetoes",in_signed_offices!$A$1:$BZ$1,0))="","",INDEX(in_signed_offices!$A$2:$BZ$81,MATCH($A43,INDEX(in_signed_offices!$A$2:$BZ$81,0,MATCH("office_id",in_signed_offices!$A$1:$BZ$1,0)),0),MATCH("vetoes",in_signed_offices!$A$1:$BZ$1,0))),""))</f>
        <v/>
      </c>
      <c r="AD43" s="26">
        <f>IF($A43="","",IFERROR(IF(INDEX(in_signed_offices!$A$2:$BZ$81,MATCH($A43,INDEX(in_signed_offices!$A$2:$BZ$81,0,MATCH("office_id",in_signed_offices!$A$1:$BZ$1,0)),0),MATCH("agreement_signed_date",in_signed_offices!$A$1:$BZ$1,0))="","",INDEX(in_signed_offices!$A$2:$BZ$81,MATCH($A43,INDEX(in_signed_offices!$A$2:$BZ$81,0,MATCH("office_id",in_signed_offices!$A$1:$BZ$1,0)),0),MATCH("agreement_signed_date",in_signed_offices!$A$1:$BZ$1,0))),""))</f>
        <v/>
      </c>
      <c r="AE43" s="25">
        <f>IF($A43="","",IFERROR(IF(INDEX(in_signed_offices!$A$2:$BZ$81,MATCH($A43,INDEX(in_signed_offices!$A$2:$BZ$81,0,MATCH("office_id",in_signed_offices!$A$1:$BZ$1,0)),0),MATCH("founding_roster_named",in_signed_offices!$A$1:$BZ$1,0))="","",INDEX(in_signed_offices!$A$2:$BZ$81,MATCH($A43,INDEX(in_signed_offices!$A$2:$BZ$81,0,MATCH("office_id",in_signed_offices!$A$1:$BZ$1,0)),0),MATCH("founding_roster_named",in_signed_offices!$A$1:$BZ$1,0))),""))</f>
        <v/>
      </c>
      <c r="AF43" s="25">
        <f>IF($A43="","",IFERROR(IF(INDEX(in_signed_offices!$A$2:$BZ$81,MATCH($A43,INDEX(in_signed_offices!$A$2:$BZ$81,0,MATCH("office_id",in_signed_offices!$A$1:$BZ$1,0)),0),MATCH("public_naming_ok",in_signed_offices!$A$1:$BZ$1,0))="","",INDEX(in_signed_offices!$A$2:$BZ$81,MATCH($A43,INDEX(in_signed_offices!$A$2:$BZ$81,0,MATCH("office_id",in_signed_offices!$A$1:$BZ$1,0)),0),MATCH("public_naming_ok",in_signed_offices!$A$1:$BZ$1,0))),""))</f>
        <v/>
      </c>
      <c r="AG43" s="25">
        <f>IF($A43="","",IFERROR(IF(INDEX(in_signed_offices!$A$2:$BZ$81,MATCH($A43,INDEX(in_signed_offices!$A$2:$BZ$81,0,MATCH("office_id",in_signed_offices!$A$1:$BZ$1,0)),0),MATCH("clay_row_id",in_signed_offices!$A$1:$BZ$1,0))="","",INDEX(in_signed_offices!$A$2:$BZ$81,MATCH($A43,INDEX(in_signed_offices!$A$2:$BZ$81,0,MATCH("office_id",in_signed_offices!$A$1:$BZ$1,0)),0),MATCH("clay_row_id",in_signed_offices!$A$1:$BZ$1,0))),""))</f>
        <v/>
      </c>
      <c r="AH43" s="25">
        <f>IF($A43="","",IF($E43&lt;&gt;"",$E43,IFERROR(IF(INDEX(in_signed_offices!$A$2:$BZ$81,MATCH($A43,INDEX(in_signed_offices!$A$2:$BZ$81,0,MATCH("office_id",in_signed_offices!$A$1:$BZ$1,0)),0),MATCH("industry",in_signed_offices!$A$1:$BZ$1,0))="","",INDEX(in_signed_offices!$A$2:$BZ$81,MATCH($A43,INDEX(in_signed_offices!$A$2:$BZ$81,0,MATCH("office_id",in_signed_offices!$A$1:$BZ$1,0)),0),MATCH("industry",in_signed_offices!$A$1:$BZ$1,0))),"")))</f>
        <v/>
      </c>
      <c r="AI43" s="25">
        <f>IF($A43="","",IF($F43&lt;&gt;"",$F43,IF(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lt;&gt;"",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IF($W43="Y",$S43,""))))</f>
        <v/>
      </c>
      <c r="AJ43" s="25">
        <f>IF($A43="","",IF($Q43="","unknown",IF($Q43&lt;40,"under-40",IF($Q43&lt;=75,"40-75",IF($Q43&lt;=150,"76-150",IF($Q43&lt;=250,"151-250",IF($Q43&lt;=500,"251-500","over-500")))))))</f>
        <v/>
      </c>
      <c r="AK43" s="25">
        <f>IF($A43="","",IF($N43="","not on in_signed_offices: paste the outreach file",IF($Q43="","no Tuesday headcount",IF($Q43&lt;30,"below the hard floor of 30",IF($Q43&lt;40,"30 to 39: founder's call",IF($Q43&gt;250,"over 250: outside the plan","OK"))))))</f>
        <v/>
      </c>
      <c r="AL43" s="25">
        <f>IF(OR($A43="",$Q43=""),"",MIN(config!$B$16,MAX(config!$B$15,MROUND(config!$B$13+config!$B$14*$Q43,config!$B$17))))</f>
        <v/>
      </c>
      <c r="AM43" s="25">
        <f>IF($A43="","",COUNTIFS(stops!$B$2:$B$151,$A43,stops!$P$2:$P$151,"&lt;="&amp;IF(config!$B$37&lt;&gt;"",config!$B$37,TODAY())))</f>
        <v/>
      </c>
      <c r="AN43" s="25">
        <f>IF($A43="","",COUNTIFS(stops!$B$2:$B$151,$A43,stops!$L$2:$L$151,"declined"))</f>
        <v/>
      </c>
    </row>
    <row r="44">
      <c r="C44" s="31" t="n"/>
      <c r="D44" s="31" t="n"/>
      <c r="J44" s="9" t="n"/>
      <c r="L44" s="9" t="n"/>
      <c r="N44" s="25">
        <f>IF($A44="","",IFERROR(IF(INDEX(in_signed_offices!$A$2:$BZ$81,MATCH($A44,INDEX(in_signed_offices!$A$2:$BZ$81,0,MATCH("office_id",in_signed_offices!$A$1:$BZ$1,0)),0),MATCH("company",in_signed_offices!$A$1:$BZ$1,0))="","",INDEX(in_signed_offices!$A$2:$BZ$81,MATCH($A44,INDEX(in_signed_offices!$A$2:$BZ$81,0,MATCH("office_id",in_signed_offices!$A$1:$BZ$1,0)),0),MATCH("company",in_signed_offices!$A$1:$BZ$1,0))),""))</f>
        <v/>
      </c>
      <c r="O44" s="25">
        <f>IF($A44="","",IFERROR(IF(INDEX(in_signed_offices!$A$2:$BZ$81,MATCH($A44,INDEX(in_signed_offices!$A$2:$BZ$81,0,MATCH("office_id",in_signed_offices!$A$1:$BZ$1,0)),0),MATCH("office_address",in_signed_offices!$A$1:$BZ$1,0))="","",INDEX(in_signed_offices!$A$2:$BZ$81,MATCH($A44,INDEX(in_signed_offices!$A$2:$BZ$81,0,MATCH("office_id",in_signed_offices!$A$1:$BZ$1,0)),0),MATCH("office_address",in_signed_offices!$A$1:$BZ$1,0))),""))</f>
        <v/>
      </c>
      <c r="P44" s="25">
        <f>IF($A44="","",IFERROR(IF(INDEX(in_signed_offices!$A$2:$BZ$81,MATCH($A44,INDEX(in_signed_offices!$A$2:$BZ$81,0,MATCH("office_id",in_signed_offices!$A$1:$BZ$1,0)),0),MATCH("floor_suite",in_signed_offices!$A$1:$BZ$1,0))="","",INDEX(in_signed_offices!$A$2:$BZ$81,MATCH($A44,INDEX(in_signed_offices!$A$2:$BZ$81,0,MATCH("office_id",in_signed_offices!$A$1:$BZ$1,0)),0),MATCH("floor_suite",in_signed_offices!$A$1:$BZ$1,0))),""))</f>
        <v/>
      </c>
      <c r="Q44" s="25">
        <f>IF($A44="","",IFERROR(IF(INDEX(in_signed_offices!$A$2:$BZ$81,MATCH($A44,INDEX(in_signed_offices!$A$2:$BZ$81,0,MATCH("office_id",in_signed_offices!$A$1:$BZ$1,0)),0),MATCH("tuesday_headcount",in_signed_offices!$A$1:$BZ$1,0))="","",INDEX(in_signed_offices!$A$2:$BZ$81,MATCH($A44,INDEX(in_signed_offices!$A$2:$BZ$81,0,MATCH("office_id",in_signed_offices!$A$1:$BZ$1,0)),0),MATCH("tuesday_headcount",in_signed_offices!$A$1:$BZ$1,0))),""))</f>
        <v/>
      </c>
      <c r="R44" s="25">
        <f>IF($A44="","",IFERROR(IF(INDEX(in_signed_offices!$A$2:$BZ$81,MATCH($A44,INDEX(in_signed_offices!$A$2:$BZ$81,0,MATCH("office_id",in_signed_offices!$A$1:$BZ$1,0)),0),MATCH("contact_name",in_signed_offices!$A$1:$BZ$1,0))="","",INDEX(in_signed_offices!$A$2:$BZ$81,MATCH($A44,INDEX(in_signed_offices!$A$2:$BZ$81,0,MATCH("office_id",in_signed_offices!$A$1:$BZ$1,0)),0),MATCH("contact_name",in_signed_offices!$A$1:$BZ$1,0))),""))</f>
        <v/>
      </c>
      <c r="S44" s="25">
        <f>IF($A44="","",IFERROR(IF(INDEX(in_signed_offices!$A$2:$BZ$81,MATCH($A44,INDEX(in_signed_offices!$A$2:$BZ$81,0,MATCH("office_id",in_signed_offices!$A$1:$BZ$1,0)),0),MATCH("contact_phone",in_signed_offices!$A$1:$BZ$1,0))="","",INDEX(in_signed_offices!$A$2:$BZ$81,MATCH($A44,INDEX(in_signed_offices!$A$2:$BZ$81,0,MATCH("office_id",in_signed_offices!$A$1:$BZ$1,0)),0),MATCH("contact_phone",in_signed_offices!$A$1:$BZ$1,0))),""))</f>
        <v/>
      </c>
      <c r="T44" s="25">
        <f>IF($A44="","",IFERROR(IF(INDEX(in_signed_offices!$A$2:$BZ$81,MATCH($A44,INDEX(in_signed_offices!$A$2:$BZ$81,0,MATCH("office_id",in_signed_offices!$A$1:$BZ$1,0)),0),MATCH("contact_email",in_signed_offices!$A$1:$BZ$1,0))="","",INDEX(in_signed_offices!$A$2:$BZ$81,MATCH($A44,INDEX(in_signed_offices!$A$2:$BZ$81,0,MATCH("office_id",in_signed_offices!$A$1:$BZ$1,0)),0),MATCH("contact_email",in_signed_offices!$A$1:$BZ$1,0))),""))</f>
        <v/>
      </c>
      <c r="U44" s="25">
        <f>IF($A44="","",IFERROR(IF(INDEX(in_signed_offices!$A$2:$BZ$81,MATCH($A44,INDEX(in_signed_offices!$A$2:$BZ$81,0,MATCH("office_id",in_signed_offices!$A$1:$BZ$1,0)),0),MATCH("pantry_owner_name",in_signed_offices!$A$1:$BZ$1,0))="","",INDEX(in_signed_offices!$A$2:$BZ$81,MATCH($A44,INDEX(in_signed_offices!$A$2:$BZ$81,0,MATCH("office_id",in_signed_offices!$A$1:$BZ$1,0)),0),MATCH("pantry_owner_name",in_signed_offices!$A$1:$BZ$1,0))),""))</f>
        <v/>
      </c>
      <c r="V44" s="25">
        <f>IF($A44="","",IFERROR(IF(INDEX(in_signed_offices!$A$2:$BZ$81,MATCH($A44,INDEX(in_signed_offices!$A$2:$BZ$81,0,MATCH("office_id",in_signed_offices!$A$1:$BZ$1,0)),0),MATCH("pantry_owner_title",in_signed_offices!$A$1:$BZ$1,0))="","",INDEX(in_signed_offices!$A$2:$BZ$81,MATCH($A44,INDEX(in_signed_offices!$A$2:$BZ$81,0,MATCH("office_id",in_signed_offices!$A$1:$BZ$1,0)),0),MATCH("pantry_owner_title",in_signed_offices!$A$1:$BZ$1,0))),""))</f>
        <v/>
      </c>
      <c r="W44" s="25">
        <f>IF($A44="","",IFERROR(IF(INDEX(in_signed_offices!$A$2:$BZ$81,MATCH($A44,INDEX(in_signed_offices!$A$2:$BZ$81,0,MATCH("office_id",in_signed_offices!$A$1:$BZ$1,0)),0),MATCH("pantry_owner_is_contact",in_signed_offices!$A$1:$BZ$1,0))="","",INDEX(in_signed_offices!$A$2:$BZ$81,MATCH($A44,INDEX(in_signed_offices!$A$2:$BZ$81,0,MATCH("office_id",in_signed_offices!$A$1:$BZ$1,0)),0),MATCH("pantry_owner_is_contact",in_signed_offices!$A$1:$BZ$1,0))),""))</f>
        <v/>
      </c>
      <c r="X44" s="25">
        <f>IF($A44="","",IFERROR(IF(INDEX(in_signed_offices!$A$2:$BZ$81,MATCH($A44,INDEX(in_signed_offices!$A$2:$BZ$81,0,MATCH("office_id",in_signed_offices!$A$1:$BZ$1,0)),0),MATCH("receiving_type",in_signed_offices!$A$1:$BZ$1,0))="","",INDEX(in_signed_offices!$A$2:$BZ$81,MATCH($A44,INDEX(in_signed_offices!$A$2:$BZ$81,0,MATCH("office_id",in_signed_offices!$A$1:$BZ$1,0)),0),MATCH("receiving_type",in_signed_offices!$A$1:$BZ$1,0))),""))</f>
        <v/>
      </c>
      <c r="Y44" s="25">
        <f>IF($A44="","",IFERROR(IF(INDEX(in_signed_offices!$A$2:$BZ$81,MATCH($A44,INDEX(in_signed_offices!$A$2:$BZ$81,0,MATCH("office_id",in_signed_offices!$A$1:$BZ$1,0)),0),MATCH("receiving_window",in_signed_offices!$A$1:$BZ$1,0))="","",INDEX(in_signed_offices!$A$2:$BZ$81,MATCH($A44,INDEX(in_signed_offices!$A$2:$BZ$81,0,MATCH("office_id",in_signed_offices!$A$1:$BZ$1,0)),0),MATCH("receiving_window",in_signed_offices!$A$1:$BZ$1,0))),""))</f>
        <v/>
      </c>
      <c r="Z44" s="25">
        <f>IF($A44="","",IFERROR(IF(INDEX(in_signed_offices!$A$2:$BZ$81,MATCH($A44,INDEX(in_signed_offices!$A$2:$BZ$81,0,MATCH("office_id",in_signed_offices!$A$1:$BZ$1,0)),0),MATCH("coi_required",in_signed_offices!$A$1:$BZ$1,0))="","",INDEX(in_signed_offices!$A$2:$BZ$81,MATCH($A44,INDEX(in_signed_offices!$A$2:$BZ$81,0,MATCH("office_id",in_signed_offices!$A$1:$BZ$1,0)),0),MATCH("coi_required",in_signed_offices!$A$1:$BZ$1,0))),""))</f>
        <v/>
      </c>
      <c r="AA44" s="25">
        <f>IF($A44="","",IFERROR(IF(INDEX(in_signed_offices!$A$2:$BZ$81,MATCH($A44,INDEX(in_signed_offices!$A$2:$BZ$81,0,MATCH("office_id",in_signed_offices!$A$1:$BZ$1,0)),0),MATCH("survey_channel",in_signed_offices!$A$1:$BZ$1,0))="","",INDEX(in_signed_offices!$A$2:$BZ$81,MATCH($A44,INDEX(in_signed_offices!$A$2:$BZ$81,0,MATCH("office_id",in_signed_offices!$A$1:$BZ$1,0)),0),MATCH("survey_channel",in_signed_offices!$A$1:$BZ$1,0))),""))</f>
        <v/>
      </c>
      <c r="AB44" s="25">
        <f>IF($A44="","",IFERROR(IF(INDEX(in_signed_offices!$A$2:$BZ$81,MATCH($A44,INDEX(in_signed_offices!$A$2:$BZ$81,0,MATCH("office_id",in_signed_offices!$A$1:$BZ$1,0)),0),MATCH("categories_wanted",in_signed_offices!$A$1:$BZ$1,0))="","",INDEX(in_signed_offices!$A$2:$BZ$81,MATCH($A44,INDEX(in_signed_offices!$A$2:$BZ$81,0,MATCH("office_id",in_signed_offices!$A$1:$BZ$1,0)),0),MATCH("categories_wanted",in_signed_offices!$A$1:$BZ$1,0))),""))</f>
        <v/>
      </c>
      <c r="AC44" s="25">
        <f>IF($A44="","",IFERROR(IF(INDEX(in_signed_offices!$A$2:$BZ$81,MATCH($A44,INDEX(in_signed_offices!$A$2:$BZ$81,0,MATCH("office_id",in_signed_offices!$A$1:$BZ$1,0)),0),MATCH("vetoes",in_signed_offices!$A$1:$BZ$1,0))="","",INDEX(in_signed_offices!$A$2:$BZ$81,MATCH($A44,INDEX(in_signed_offices!$A$2:$BZ$81,0,MATCH("office_id",in_signed_offices!$A$1:$BZ$1,0)),0),MATCH("vetoes",in_signed_offices!$A$1:$BZ$1,0))),""))</f>
        <v/>
      </c>
      <c r="AD44" s="26">
        <f>IF($A44="","",IFERROR(IF(INDEX(in_signed_offices!$A$2:$BZ$81,MATCH($A44,INDEX(in_signed_offices!$A$2:$BZ$81,0,MATCH("office_id",in_signed_offices!$A$1:$BZ$1,0)),0),MATCH("agreement_signed_date",in_signed_offices!$A$1:$BZ$1,0))="","",INDEX(in_signed_offices!$A$2:$BZ$81,MATCH($A44,INDEX(in_signed_offices!$A$2:$BZ$81,0,MATCH("office_id",in_signed_offices!$A$1:$BZ$1,0)),0),MATCH("agreement_signed_date",in_signed_offices!$A$1:$BZ$1,0))),""))</f>
        <v/>
      </c>
      <c r="AE44" s="25">
        <f>IF($A44="","",IFERROR(IF(INDEX(in_signed_offices!$A$2:$BZ$81,MATCH($A44,INDEX(in_signed_offices!$A$2:$BZ$81,0,MATCH("office_id",in_signed_offices!$A$1:$BZ$1,0)),0),MATCH("founding_roster_named",in_signed_offices!$A$1:$BZ$1,0))="","",INDEX(in_signed_offices!$A$2:$BZ$81,MATCH($A44,INDEX(in_signed_offices!$A$2:$BZ$81,0,MATCH("office_id",in_signed_offices!$A$1:$BZ$1,0)),0),MATCH("founding_roster_named",in_signed_offices!$A$1:$BZ$1,0))),""))</f>
        <v/>
      </c>
      <c r="AF44" s="25">
        <f>IF($A44="","",IFERROR(IF(INDEX(in_signed_offices!$A$2:$BZ$81,MATCH($A44,INDEX(in_signed_offices!$A$2:$BZ$81,0,MATCH("office_id",in_signed_offices!$A$1:$BZ$1,0)),0),MATCH("public_naming_ok",in_signed_offices!$A$1:$BZ$1,0))="","",INDEX(in_signed_offices!$A$2:$BZ$81,MATCH($A44,INDEX(in_signed_offices!$A$2:$BZ$81,0,MATCH("office_id",in_signed_offices!$A$1:$BZ$1,0)),0),MATCH("public_naming_ok",in_signed_offices!$A$1:$BZ$1,0))),""))</f>
        <v/>
      </c>
      <c r="AG44" s="25">
        <f>IF($A44="","",IFERROR(IF(INDEX(in_signed_offices!$A$2:$BZ$81,MATCH($A44,INDEX(in_signed_offices!$A$2:$BZ$81,0,MATCH("office_id",in_signed_offices!$A$1:$BZ$1,0)),0),MATCH("clay_row_id",in_signed_offices!$A$1:$BZ$1,0))="","",INDEX(in_signed_offices!$A$2:$BZ$81,MATCH($A44,INDEX(in_signed_offices!$A$2:$BZ$81,0,MATCH("office_id",in_signed_offices!$A$1:$BZ$1,0)),0),MATCH("clay_row_id",in_signed_offices!$A$1:$BZ$1,0))),""))</f>
        <v/>
      </c>
      <c r="AH44" s="25">
        <f>IF($A44="","",IF($E44&lt;&gt;"",$E44,IFERROR(IF(INDEX(in_signed_offices!$A$2:$BZ$81,MATCH($A44,INDEX(in_signed_offices!$A$2:$BZ$81,0,MATCH("office_id",in_signed_offices!$A$1:$BZ$1,0)),0),MATCH("industry",in_signed_offices!$A$1:$BZ$1,0))="","",INDEX(in_signed_offices!$A$2:$BZ$81,MATCH($A44,INDEX(in_signed_offices!$A$2:$BZ$81,0,MATCH("office_id",in_signed_offices!$A$1:$BZ$1,0)),0),MATCH("industry",in_signed_offices!$A$1:$BZ$1,0))),"")))</f>
        <v/>
      </c>
      <c r="AI44" s="25">
        <f>IF($A44="","",IF($F44&lt;&gt;"",$F44,IF(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lt;&gt;"",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IF($W44="Y",$S44,""))))</f>
        <v/>
      </c>
      <c r="AJ44" s="25">
        <f>IF($A44="","",IF($Q44="","unknown",IF($Q44&lt;40,"under-40",IF($Q44&lt;=75,"40-75",IF($Q44&lt;=150,"76-150",IF($Q44&lt;=250,"151-250",IF($Q44&lt;=500,"251-500","over-500")))))))</f>
        <v/>
      </c>
      <c r="AK44" s="25">
        <f>IF($A44="","",IF($N44="","not on in_signed_offices: paste the outreach file",IF($Q44="","no Tuesday headcount",IF($Q44&lt;30,"below the hard floor of 30",IF($Q44&lt;40,"30 to 39: founder's call",IF($Q44&gt;250,"over 250: outside the plan","OK"))))))</f>
        <v/>
      </c>
      <c r="AL44" s="25">
        <f>IF(OR($A44="",$Q44=""),"",MIN(config!$B$16,MAX(config!$B$15,MROUND(config!$B$13+config!$B$14*$Q44,config!$B$17))))</f>
        <v/>
      </c>
      <c r="AM44" s="25">
        <f>IF($A44="","",COUNTIFS(stops!$B$2:$B$151,$A44,stops!$P$2:$P$151,"&lt;="&amp;IF(config!$B$37&lt;&gt;"",config!$B$37,TODAY())))</f>
        <v/>
      </c>
      <c r="AN44" s="25">
        <f>IF($A44="","",COUNTIFS(stops!$B$2:$B$151,$A44,stops!$L$2:$L$151,"declined"))</f>
        <v/>
      </c>
    </row>
    <row r="45">
      <c r="C45" s="31" t="n"/>
      <c r="D45" s="31" t="n"/>
      <c r="J45" s="9" t="n"/>
      <c r="L45" s="9" t="n"/>
      <c r="N45" s="25">
        <f>IF($A45="","",IFERROR(IF(INDEX(in_signed_offices!$A$2:$BZ$81,MATCH($A45,INDEX(in_signed_offices!$A$2:$BZ$81,0,MATCH("office_id",in_signed_offices!$A$1:$BZ$1,0)),0),MATCH("company",in_signed_offices!$A$1:$BZ$1,0))="","",INDEX(in_signed_offices!$A$2:$BZ$81,MATCH($A45,INDEX(in_signed_offices!$A$2:$BZ$81,0,MATCH("office_id",in_signed_offices!$A$1:$BZ$1,0)),0),MATCH("company",in_signed_offices!$A$1:$BZ$1,0))),""))</f>
        <v/>
      </c>
      <c r="O45" s="25">
        <f>IF($A45="","",IFERROR(IF(INDEX(in_signed_offices!$A$2:$BZ$81,MATCH($A45,INDEX(in_signed_offices!$A$2:$BZ$81,0,MATCH("office_id",in_signed_offices!$A$1:$BZ$1,0)),0),MATCH("office_address",in_signed_offices!$A$1:$BZ$1,0))="","",INDEX(in_signed_offices!$A$2:$BZ$81,MATCH($A45,INDEX(in_signed_offices!$A$2:$BZ$81,0,MATCH("office_id",in_signed_offices!$A$1:$BZ$1,0)),0),MATCH("office_address",in_signed_offices!$A$1:$BZ$1,0))),""))</f>
        <v/>
      </c>
      <c r="P45" s="25">
        <f>IF($A45="","",IFERROR(IF(INDEX(in_signed_offices!$A$2:$BZ$81,MATCH($A45,INDEX(in_signed_offices!$A$2:$BZ$81,0,MATCH("office_id",in_signed_offices!$A$1:$BZ$1,0)),0),MATCH("floor_suite",in_signed_offices!$A$1:$BZ$1,0))="","",INDEX(in_signed_offices!$A$2:$BZ$81,MATCH($A45,INDEX(in_signed_offices!$A$2:$BZ$81,0,MATCH("office_id",in_signed_offices!$A$1:$BZ$1,0)),0),MATCH("floor_suite",in_signed_offices!$A$1:$BZ$1,0))),""))</f>
        <v/>
      </c>
      <c r="Q45" s="25">
        <f>IF($A45="","",IFERROR(IF(INDEX(in_signed_offices!$A$2:$BZ$81,MATCH($A45,INDEX(in_signed_offices!$A$2:$BZ$81,0,MATCH("office_id",in_signed_offices!$A$1:$BZ$1,0)),0),MATCH("tuesday_headcount",in_signed_offices!$A$1:$BZ$1,0))="","",INDEX(in_signed_offices!$A$2:$BZ$81,MATCH($A45,INDEX(in_signed_offices!$A$2:$BZ$81,0,MATCH("office_id",in_signed_offices!$A$1:$BZ$1,0)),0),MATCH("tuesday_headcount",in_signed_offices!$A$1:$BZ$1,0))),""))</f>
        <v/>
      </c>
      <c r="R45" s="25">
        <f>IF($A45="","",IFERROR(IF(INDEX(in_signed_offices!$A$2:$BZ$81,MATCH($A45,INDEX(in_signed_offices!$A$2:$BZ$81,0,MATCH("office_id",in_signed_offices!$A$1:$BZ$1,0)),0),MATCH("contact_name",in_signed_offices!$A$1:$BZ$1,0))="","",INDEX(in_signed_offices!$A$2:$BZ$81,MATCH($A45,INDEX(in_signed_offices!$A$2:$BZ$81,0,MATCH("office_id",in_signed_offices!$A$1:$BZ$1,0)),0),MATCH("contact_name",in_signed_offices!$A$1:$BZ$1,0))),""))</f>
        <v/>
      </c>
      <c r="S45" s="25">
        <f>IF($A45="","",IFERROR(IF(INDEX(in_signed_offices!$A$2:$BZ$81,MATCH($A45,INDEX(in_signed_offices!$A$2:$BZ$81,0,MATCH("office_id",in_signed_offices!$A$1:$BZ$1,0)),0),MATCH("contact_phone",in_signed_offices!$A$1:$BZ$1,0))="","",INDEX(in_signed_offices!$A$2:$BZ$81,MATCH($A45,INDEX(in_signed_offices!$A$2:$BZ$81,0,MATCH("office_id",in_signed_offices!$A$1:$BZ$1,0)),0),MATCH("contact_phone",in_signed_offices!$A$1:$BZ$1,0))),""))</f>
        <v/>
      </c>
      <c r="T45" s="25">
        <f>IF($A45="","",IFERROR(IF(INDEX(in_signed_offices!$A$2:$BZ$81,MATCH($A45,INDEX(in_signed_offices!$A$2:$BZ$81,0,MATCH("office_id",in_signed_offices!$A$1:$BZ$1,0)),0),MATCH("contact_email",in_signed_offices!$A$1:$BZ$1,0))="","",INDEX(in_signed_offices!$A$2:$BZ$81,MATCH($A45,INDEX(in_signed_offices!$A$2:$BZ$81,0,MATCH("office_id",in_signed_offices!$A$1:$BZ$1,0)),0),MATCH("contact_email",in_signed_offices!$A$1:$BZ$1,0))),""))</f>
        <v/>
      </c>
      <c r="U45" s="25">
        <f>IF($A45="","",IFERROR(IF(INDEX(in_signed_offices!$A$2:$BZ$81,MATCH($A45,INDEX(in_signed_offices!$A$2:$BZ$81,0,MATCH("office_id",in_signed_offices!$A$1:$BZ$1,0)),0),MATCH("pantry_owner_name",in_signed_offices!$A$1:$BZ$1,0))="","",INDEX(in_signed_offices!$A$2:$BZ$81,MATCH($A45,INDEX(in_signed_offices!$A$2:$BZ$81,0,MATCH("office_id",in_signed_offices!$A$1:$BZ$1,0)),0),MATCH("pantry_owner_name",in_signed_offices!$A$1:$BZ$1,0))),""))</f>
        <v/>
      </c>
      <c r="V45" s="25">
        <f>IF($A45="","",IFERROR(IF(INDEX(in_signed_offices!$A$2:$BZ$81,MATCH($A45,INDEX(in_signed_offices!$A$2:$BZ$81,0,MATCH("office_id",in_signed_offices!$A$1:$BZ$1,0)),0),MATCH("pantry_owner_title",in_signed_offices!$A$1:$BZ$1,0))="","",INDEX(in_signed_offices!$A$2:$BZ$81,MATCH($A45,INDEX(in_signed_offices!$A$2:$BZ$81,0,MATCH("office_id",in_signed_offices!$A$1:$BZ$1,0)),0),MATCH("pantry_owner_title",in_signed_offices!$A$1:$BZ$1,0))),""))</f>
        <v/>
      </c>
      <c r="W45" s="25">
        <f>IF($A45="","",IFERROR(IF(INDEX(in_signed_offices!$A$2:$BZ$81,MATCH($A45,INDEX(in_signed_offices!$A$2:$BZ$81,0,MATCH("office_id",in_signed_offices!$A$1:$BZ$1,0)),0),MATCH("pantry_owner_is_contact",in_signed_offices!$A$1:$BZ$1,0))="","",INDEX(in_signed_offices!$A$2:$BZ$81,MATCH($A45,INDEX(in_signed_offices!$A$2:$BZ$81,0,MATCH("office_id",in_signed_offices!$A$1:$BZ$1,0)),0),MATCH("pantry_owner_is_contact",in_signed_offices!$A$1:$BZ$1,0))),""))</f>
        <v/>
      </c>
      <c r="X45" s="25">
        <f>IF($A45="","",IFERROR(IF(INDEX(in_signed_offices!$A$2:$BZ$81,MATCH($A45,INDEX(in_signed_offices!$A$2:$BZ$81,0,MATCH("office_id",in_signed_offices!$A$1:$BZ$1,0)),0),MATCH("receiving_type",in_signed_offices!$A$1:$BZ$1,0))="","",INDEX(in_signed_offices!$A$2:$BZ$81,MATCH($A45,INDEX(in_signed_offices!$A$2:$BZ$81,0,MATCH("office_id",in_signed_offices!$A$1:$BZ$1,0)),0),MATCH("receiving_type",in_signed_offices!$A$1:$BZ$1,0))),""))</f>
        <v/>
      </c>
      <c r="Y45" s="25">
        <f>IF($A45="","",IFERROR(IF(INDEX(in_signed_offices!$A$2:$BZ$81,MATCH($A45,INDEX(in_signed_offices!$A$2:$BZ$81,0,MATCH("office_id",in_signed_offices!$A$1:$BZ$1,0)),0),MATCH("receiving_window",in_signed_offices!$A$1:$BZ$1,0))="","",INDEX(in_signed_offices!$A$2:$BZ$81,MATCH($A45,INDEX(in_signed_offices!$A$2:$BZ$81,0,MATCH("office_id",in_signed_offices!$A$1:$BZ$1,0)),0),MATCH("receiving_window",in_signed_offices!$A$1:$BZ$1,0))),""))</f>
        <v/>
      </c>
      <c r="Z45" s="25">
        <f>IF($A45="","",IFERROR(IF(INDEX(in_signed_offices!$A$2:$BZ$81,MATCH($A45,INDEX(in_signed_offices!$A$2:$BZ$81,0,MATCH("office_id",in_signed_offices!$A$1:$BZ$1,0)),0),MATCH("coi_required",in_signed_offices!$A$1:$BZ$1,0))="","",INDEX(in_signed_offices!$A$2:$BZ$81,MATCH($A45,INDEX(in_signed_offices!$A$2:$BZ$81,0,MATCH("office_id",in_signed_offices!$A$1:$BZ$1,0)),0),MATCH("coi_required",in_signed_offices!$A$1:$BZ$1,0))),""))</f>
        <v/>
      </c>
      <c r="AA45" s="25">
        <f>IF($A45="","",IFERROR(IF(INDEX(in_signed_offices!$A$2:$BZ$81,MATCH($A45,INDEX(in_signed_offices!$A$2:$BZ$81,0,MATCH("office_id",in_signed_offices!$A$1:$BZ$1,0)),0),MATCH("survey_channel",in_signed_offices!$A$1:$BZ$1,0))="","",INDEX(in_signed_offices!$A$2:$BZ$81,MATCH($A45,INDEX(in_signed_offices!$A$2:$BZ$81,0,MATCH("office_id",in_signed_offices!$A$1:$BZ$1,0)),0),MATCH("survey_channel",in_signed_offices!$A$1:$BZ$1,0))),""))</f>
        <v/>
      </c>
      <c r="AB45" s="25">
        <f>IF($A45="","",IFERROR(IF(INDEX(in_signed_offices!$A$2:$BZ$81,MATCH($A45,INDEX(in_signed_offices!$A$2:$BZ$81,0,MATCH("office_id",in_signed_offices!$A$1:$BZ$1,0)),0),MATCH("categories_wanted",in_signed_offices!$A$1:$BZ$1,0))="","",INDEX(in_signed_offices!$A$2:$BZ$81,MATCH($A45,INDEX(in_signed_offices!$A$2:$BZ$81,0,MATCH("office_id",in_signed_offices!$A$1:$BZ$1,0)),0),MATCH("categories_wanted",in_signed_offices!$A$1:$BZ$1,0))),""))</f>
        <v/>
      </c>
      <c r="AC45" s="25">
        <f>IF($A45="","",IFERROR(IF(INDEX(in_signed_offices!$A$2:$BZ$81,MATCH($A45,INDEX(in_signed_offices!$A$2:$BZ$81,0,MATCH("office_id",in_signed_offices!$A$1:$BZ$1,0)),0),MATCH("vetoes",in_signed_offices!$A$1:$BZ$1,0))="","",INDEX(in_signed_offices!$A$2:$BZ$81,MATCH($A45,INDEX(in_signed_offices!$A$2:$BZ$81,0,MATCH("office_id",in_signed_offices!$A$1:$BZ$1,0)),0),MATCH("vetoes",in_signed_offices!$A$1:$BZ$1,0))),""))</f>
        <v/>
      </c>
      <c r="AD45" s="26">
        <f>IF($A45="","",IFERROR(IF(INDEX(in_signed_offices!$A$2:$BZ$81,MATCH($A45,INDEX(in_signed_offices!$A$2:$BZ$81,0,MATCH("office_id",in_signed_offices!$A$1:$BZ$1,0)),0),MATCH("agreement_signed_date",in_signed_offices!$A$1:$BZ$1,0))="","",INDEX(in_signed_offices!$A$2:$BZ$81,MATCH($A45,INDEX(in_signed_offices!$A$2:$BZ$81,0,MATCH("office_id",in_signed_offices!$A$1:$BZ$1,0)),0),MATCH("agreement_signed_date",in_signed_offices!$A$1:$BZ$1,0))),""))</f>
        <v/>
      </c>
      <c r="AE45" s="25">
        <f>IF($A45="","",IFERROR(IF(INDEX(in_signed_offices!$A$2:$BZ$81,MATCH($A45,INDEX(in_signed_offices!$A$2:$BZ$81,0,MATCH("office_id",in_signed_offices!$A$1:$BZ$1,0)),0),MATCH("founding_roster_named",in_signed_offices!$A$1:$BZ$1,0))="","",INDEX(in_signed_offices!$A$2:$BZ$81,MATCH($A45,INDEX(in_signed_offices!$A$2:$BZ$81,0,MATCH("office_id",in_signed_offices!$A$1:$BZ$1,0)),0),MATCH("founding_roster_named",in_signed_offices!$A$1:$BZ$1,0))),""))</f>
        <v/>
      </c>
      <c r="AF45" s="25">
        <f>IF($A45="","",IFERROR(IF(INDEX(in_signed_offices!$A$2:$BZ$81,MATCH($A45,INDEX(in_signed_offices!$A$2:$BZ$81,0,MATCH("office_id",in_signed_offices!$A$1:$BZ$1,0)),0),MATCH("public_naming_ok",in_signed_offices!$A$1:$BZ$1,0))="","",INDEX(in_signed_offices!$A$2:$BZ$81,MATCH($A45,INDEX(in_signed_offices!$A$2:$BZ$81,0,MATCH("office_id",in_signed_offices!$A$1:$BZ$1,0)),0),MATCH("public_naming_ok",in_signed_offices!$A$1:$BZ$1,0))),""))</f>
        <v/>
      </c>
      <c r="AG45" s="25">
        <f>IF($A45="","",IFERROR(IF(INDEX(in_signed_offices!$A$2:$BZ$81,MATCH($A45,INDEX(in_signed_offices!$A$2:$BZ$81,0,MATCH("office_id",in_signed_offices!$A$1:$BZ$1,0)),0),MATCH("clay_row_id",in_signed_offices!$A$1:$BZ$1,0))="","",INDEX(in_signed_offices!$A$2:$BZ$81,MATCH($A45,INDEX(in_signed_offices!$A$2:$BZ$81,0,MATCH("office_id",in_signed_offices!$A$1:$BZ$1,0)),0),MATCH("clay_row_id",in_signed_offices!$A$1:$BZ$1,0))),""))</f>
        <v/>
      </c>
      <c r="AH45" s="25">
        <f>IF($A45="","",IF($E45&lt;&gt;"",$E45,IFERROR(IF(INDEX(in_signed_offices!$A$2:$BZ$81,MATCH($A45,INDEX(in_signed_offices!$A$2:$BZ$81,0,MATCH("office_id",in_signed_offices!$A$1:$BZ$1,0)),0),MATCH("industry",in_signed_offices!$A$1:$BZ$1,0))="","",INDEX(in_signed_offices!$A$2:$BZ$81,MATCH($A45,INDEX(in_signed_offices!$A$2:$BZ$81,0,MATCH("office_id",in_signed_offices!$A$1:$BZ$1,0)),0),MATCH("industry",in_signed_offices!$A$1:$BZ$1,0))),"")))</f>
        <v/>
      </c>
      <c r="AI45" s="25">
        <f>IF($A45="","",IF($F45&lt;&gt;"",$F45,IF(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lt;&gt;"",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IF($W45="Y",$S45,""))))</f>
        <v/>
      </c>
      <c r="AJ45" s="25">
        <f>IF($A45="","",IF($Q45="","unknown",IF($Q45&lt;40,"under-40",IF($Q45&lt;=75,"40-75",IF($Q45&lt;=150,"76-150",IF($Q45&lt;=250,"151-250",IF($Q45&lt;=500,"251-500","over-500")))))))</f>
        <v/>
      </c>
      <c r="AK45" s="25">
        <f>IF($A45="","",IF($N45="","not on in_signed_offices: paste the outreach file",IF($Q45="","no Tuesday headcount",IF($Q45&lt;30,"below the hard floor of 30",IF($Q45&lt;40,"30 to 39: founder's call",IF($Q45&gt;250,"over 250: outside the plan","OK"))))))</f>
        <v/>
      </c>
      <c r="AL45" s="25">
        <f>IF(OR($A45="",$Q45=""),"",MIN(config!$B$16,MAX(config!$B$15,MROUND(config!$B$13+config!$B$14*$Q45,config!$B$17))))</f>
        <v/>
      </c>
      <c r="AM45" s="25">
        <f>IF($A45="","",COUNTIFS(stops!$B$2:$B$151,$A45,stops!$P$2:$P$151,"&lt;="&amp;IF(config!$B$37&lt;&gt;"",config!$B$37,TODAY())))</f>
        <v/>
      </c>
      <c r="AN45" s="25">
        <f>IF($A45="","",COUNTIFS(stops!$B$2:$B$151,$A45,stops!$L$2:$L$151,"declined"))</f>
        <v/>
      </c>
    </row>
    <row r="46">
      <c r="C46" s="31" t="n"/>
      <c r="D46" s="31" t="n"/>
      <c r="J46" s="9" t="n"/>
      <c r="L46" s="9" t="n"/>
      <c r="N46" s="25">
        <f>IF($A46="","",IFERROR(IF(INDEX(in_signed_offices!$A$2:$BZ$81,MATCH($A46,INDEX(in_signed_offices!$A$2:$BZ$81,0,MATCH("office_id",in_signed_offices!$A$1:$BZ$1,0)),0),MATCH("company",in_signed_offices!$A$1:$BZ$1,0))="","",INDEX(in_signed_offices!$A$2:$BZ$81,MATCH($A46,INDEX(in_signed_offices!$A$2:$BZ$81,0,MATCH("office_id",in_signed_offices!$A$1:$BZ$1,0)),0),MATCH("company",in_signed_offices!$A$1:$BZ$1,0))),""))</f>
        <v/>
      </c>
      <c r="O46" s="25">
        <f>IF($A46="","",IFERROR(IF(INDEX(in_signed_offices!$A$2:$BZ$81,MATCH($A46,INDEX(in_signed_offices!$A$2:$BZ$81,0,MATCH("office_id",in_signed_offices!$A$1:$BZ$1,0)),0),MATCH("office_address",in_signed_offices!$A$1:$BZ$1,0))="","",INDEX(in_signed_offices!$A$2:$BZ$81,MATCH($A46,INDEX(in_signed_offices!$A$2:$BZ$81,0,MATCH("office_id",in_signed_offices!$A$1:$BZ$1,0)),0),MATCH("office_address",in_signed_offices!$A$1:$BZ$1,0))),""))</f>
        <v/>
      </c>
      <c r="P46" s="25">
        <f>IF($A46="","",IFERROR(IF(INDEX(in_signed_offices!$A$2:$BZ$81,MATCH($A46,INDEX(in_signed_offices!$A$2:$BZ$81,0,MATCH("office_id",in_signed_offices!$A$1:$BZ$1,0)),0),MATCH("floor_suite",in_signed_offices!$A$1:$BZ$1,0))="","",INDEX(in_signed_offices!$A$2:$BZ$81,MATCH($A46,INDEX(in_signed_offices!$A$2:$BZ$81,0,MATCH("office_id",in_signed_offices!$A$1:$BZ$1,0)),0),MATCH("floor_suite",in_signed_offices!$A$1:$BZ$1,0))),""))</f>
        <v/>
      </c>
      <c r="Q46" s="25">
        <f>IF($A46="","",IFERROR(IF(INDEX(in_signed_offices!$A$2:$BZ$81,MATCH($A46,INDEX(in_signed_offices!$A$2:$BZ$81,0,MATCH("office_id",in_signed_offices!$A$1:$BZ$1,0)),0),MATCH("tuesday_headcount",in_signed_offices!$A$1:$BZ$1,0))="","",INDEX(in_signed_offices!$A$2:$BZ$81,MATCH($A46,INDEX(in_signed_offices!$A$2:$BZ$81,0,MATCH("office_id",in_signed_offices!$A$1:$BZ$1,0)),0),MATCH("tuesday_headcount",in_signed_offices!$A$1:$BZ$1,0))),""))</f>
        <v/>
      </c>
      <c r="R46" s="25">
        <f>IF($A46="","",IFERROR(IF(INDEX(in_signed_offices!$A$2:$BZ$81,MATCH($A46,INDEX(in_signed_offices!$A$2:$BZ$81,0,MATCH("office_id",in_signed_offices!$A$1:$BZ$1,0)),0),MATCH("contact_name",in_signed_offices!$A$1:$BZ$1,0))="","",INDEX(in_signed_offices!$A$2:$BZ$81,MATCH($A46,INDEX(in_signed_offices!$A$2:$BZ$81,0,MATCH("office_id",in_signed_offices!$A$1:$BZ$1,0)),0),MATCH("contact_name",in_signed_offices!$A$1:$BZ$1,0))),""))</f>
        <v/>
      </c>
      <c r="S46" s="25">
        <f>IF($A46="","",IFERROR(IF(INDEX(in_signed_offices!$A$2:$BZ$81,MATCH($A46,INDEX(in_signed_offices!$A$2:$BZ$81,0,MATCH("office_id",in_signed_offices!$A$1:$BZ$1,0)),0),MATCH("contact_phone",in_signed_offices!$A$1:$BZ$1,0))="","",INDEX(in_signed_offices!$A$2:$BZ$81,MATCH($A46,INDEX(in_signed_offices!$A$2:$BZ$81,0,MATCH("office_id",in_signed_offices!$A$1:$BZ$1,0)),0),MATCH("contact_phone",in_signed_offices!$A$1:$BZ$1,0))),""))</f>
        <v/>
      </c>
      <c r="T46" s="25">
        <f>IF($A46="","",IFERROR(IF(INDEX(in_signed_offices!$A$2:$BZ$81,MATCH($A46,INDEX(in_signed_offices!$A$2:$BZ$81,0,MATCH("office_id",in_signed_offices!$A$1:$BZ$1,0)),0),MATCH("contact_email",in_signed_offices!$A$1:$BZ$1,0))="","",INDEX(in_signed_offices!$A$2:$BZ$81,MATCH($A46,INDEX(in_signed_offices!$A$2:$BZ$81,0,MATCH("office_id",in_signed_offices!$A$1:$BZ$1,0)),0),MATCH("contact_email",in_signed_offices!$A$1:$BZ$1,0))),""))</f>
        <v/>
      </c>
      <c r="U46" s="25">
        <f>IF($A46="","",IFERROR(IF(INDEX(in_signed_offices!$A$2:$BZ$81,MATCH($A46,INDEX(in_signed_offices!$A$2:$BZ$81,0,MATCH("office_id",in_signed_offices!$A$1:$BZ$1,0)),0),MATCH("pantry_owner_name",in_signed_offices!$A$1:$BZ$1,0))="","",INDEX(in_signed_offices!$A$2:$BZ$81,MATCH($A46,INDEX(in_signed_offices!$A$2:$BZ$81,0,MATCH("office_id",in_signed_offices!$A$1:$BZ$1,0)),0),MATCH("pantry_owner_name",in_signed_offices!$A$1:$BZ$1,0))),""))</f>
        <v/>
      </c>
      <c r="V46" s="25">
        <f>IF($A46="","",IFERROR(IF(INDEX(in_signed_offices!$A$2:$BZ$81,MATCH($A46,INDEX(in_signed_offices!$A$2:$BZ$81,0,MATCH("office_id",in_signed_offices!$A$1:$BZ$1,0)),0),MATCH("pantry_owner_title",in_signed_offices!$A$1:$BZ$1,0))="","",INDEX(in_signed_offices!$A$2:$BZ$81,MATCH($A46,INDEX(in_signed_offices!$A$2:$BZ$81,0,MATCH("office_id",in_signed_offices!$A$1:$BZ$1,0)),0),MATCH("pantry_owner_title",in_signed_offices!$A$1:$BZ$1,0))),""))</f>
        <v/>
      </c>
      <c r="W46" s="25">
        <f>IF($A46="","",IFERROR(IF(INDEX(in_signed_offices!$A$2:$BZ$81,MATCH($A46,INDEX(in_signed_offices!$A$2:$BZ$81,0,MATCH("office_id",in_signed_offices!$A$1:$BZ$1,0)),0),MATCH("pantry_owner_is_contact",in_signed_offices!$A$1:$BZ$1,0))="","",INDEX(in_signed_offices!$A$2:$BZ$81,MATCH($A46,INDEX(in_signed_offices!$A$2:$BZ$81,0,MATCH("office_id",in_signed_offices!$A$1:$BZ$1,0)),0),MATCH("pantry_owner_is_contact",in_signed_offices!$A$1:$BZ$1,0))),""))</f>
        <v/>
      </c>
      <c r="X46" s="25">
        <f>IF($A46="","",IFERROR(IF(INDEX(in_signed_offices!$A$2:$BZ$81,MATCH($A46,INDEX(in_signed_offices!$A$2:$BZ$81,0,MATCH("office_id",in_signed_offices!$A$1:$BZ$1,0)),0),MATCH("receiving_type",in_signed_offices!$A$1:$BZ$1,0))="","",INDEX(in_signed_offices!$A$2:$BZ$81,MATCH($A46,INDEX(in_signed_offices!$A$2:$BZ$81,0,MATCH("office_id",in_signed_offices!$A$1:$BZ$1,0)),0),MATCH("receiving_type",in_signed_offices!$A$1:$BZ$1,0))),""))</f>
        <v/>
      </c>
      <c r="Y46" s="25">
        <f>IF($A46="","",IFERROR(IF(INDEX(in_signed_offices!$A$2:$BZ$81,MATCH($A46,INDEX(in_signed_offices!$A$2:$BZ$81,0,MATCH("office_id",in_signed_offices!$A$1:$BZ$1,0)),0),MATCH("receiving_window",in_signed_offices!$A$1:$BZ$1,0))="","",INDEX(in_signed_offices!$A$2:$BZ$81,MATCH($A46,INDEX(in_signed_offices!$A$2:$BZ$81,0,MATCH("office_id",in_signed_offices!$A$1:$BZ$1,0)),0),MATCH("receiving_window",in_signed_offices!$A$1:$BZ$1,0))),""))</f>
        <v/>
      </c>
      <c r="Z46" s="25">
        <f>IF($A46="","",IFERROR(IF(INDEX(in_signed_offices!$A$2:$BZ$81,MATCH($A46,INDEX(in_signed_offices!$A$2:$BZ$81,0,MATCH("office_id",in_signed_offices!$A$1:$BZ$1,0)),0),MATCH("coi_required",in_signed_offices!$A$1:$BZ$1,0))="","",INDEX(in_signed_offices!$A$2:$BZ$81,MATCH($A46,INDEX(in_signed_offices!$A$2:$BZ$81,0,MATCH("office_id",in_signed_offices!$A$1:$BZ$1,0)),0),MATCH("coi_required",in_signed_offices!$A$1:$BZ$1,0))),""))</f>
        <v/>
      </c>
      <c r="AA46" s="25">
        <f>IF($A46="","",IFERROR(IF(INDEX(in_signed_offices!$A$2:$BZ$81,MATCH($A46,INDEX(in_signed_offices!$A$2:$BZ$81,0,MATCH("office_id",in_signed_offices!$A$1:$BZ$1,0)),0),MATCH("survey_channel",in_signed_offices!$A$1:$BZ$1,0))="","",INDEX(in_signed_offices!$A$2:$BZ$81,MATCH($A46,INDEX(in_signed_offices!$A$2:$BZ$81,0,MATCH("office_id",in_signed_offices!$A$1:$BZ$1,0)),0),MATCH("survey_channel",in_signed_offices!$A$1:$BZ$1,0))),""))</f>
        <v/>
      </c>
      <c r="AB46" s="25">
        <f>IF($A46="","",IFERROR(IF(INDEX(in_signed_offices!$A$2:$BZ$81,MATCH($A46,INDEX(in_signed_offices!$A$2:$BZ$81,0,MATCH("office_id",in_signed_offices!$A$1:$BZ$1,0)),0),MATCH("categories_wanted",in_signed_offices!$A$1:$BZ$1,0))="","",INDEX(in_signed_offices!$A$2:$BZ$81,MATCH($A46,INDEX(in_signed_offices!$A$2:$BZ$81,0,MATCH("office_id",in_signed_offices!$A$1:$BZ$1,0)),0),MATCH("categories_wanted",in_signed_offices!$A$1:$BZ$1,0))),""))</f>
        <v/>
      </c>
      <c r="AC46" s="25">
        <f>IF($A46="","",IFERROR(IF(INDEX(in_signed_offices!$A$2:$BZ$81,MATCH($A46,INDEX(in_signed_offices!$A$2:$BZ$81,0,MATCH("office_id",in_signed_offices!$A$1:$BZ$1,0)),0),MATCH("vetoes",in_signed_offices!$A$1:$BZ$1,0))="","",INDEX(in_signed_offices!$A$2:$BZ$81,MATCH($A46,INDEX(in_signed_offices!$A$2:$BZ$81,0,MATCH("office_id",in_signed_offices!$A$1:$BZ$1,0)),0),MATCH("vetoes",in_signed_offices!$A$1:$BZ$1,0))),""))</f>
        <v/>
      </c>
      <c r="AD46" s="26">
        <f>IF($A46="","",IFERROR(IF(INDEX(in_signed_offices!$A$2:$BZ$81,MATCH($A46,INDEX(in_signed_offices!$A$2:$BZ$81,0,MATCH("office_id",in_signed_offices!$A$1:$BZ$1,0)),0),MATCH("agreement_signed_date",in_signed_offices!$A$1:$BZ$1,0))="","",INDEX(in_signed_offices!$A$2:$BZ$81,MATCH($A46,INDEX(in_signed_offices!$A$2:$BZ$81,0,MATCH("office_id",in_signed_offices!$A$1:$BZ$1,0)),0),MATCH("agreement_signed_date",in_signed_offices!$A$1:$BZ$1,0))),""))</f>
        <v/>
      </c>
      <c r="AE46" s="25">
        <f>IF($A46="","",IFERROR(IF(INDEX(in_signed_offices!$A$2:$BZ$81,MATCH($A46,INDEX(in_signed_offices!$A$2:$BZ$81,0,MATCH("office_id",in_signed_offices!$A$1:$BZ$1,0)),0),MATCH("founding_roster_named",in_signed_offices!$A$1:$BZ$1,0))="","",INDEX(in_signed_offices!$A$2:$BZ$81,MATCH($A46,INDEX(in_signed_offices!$A$2:$BZ$81,0,MATCH("office_id",in_signed_offices!$A$1:$BZ$1,0)),0),MATCH("founding_roster_named",in_signed_offices!$A$1:$BZ$1,0))),""))</f>
        <v/>
      </c>
      <c r="AF46" s="25">
        <f>IF($A46="","",IFERROR(IF(INDEX(in_signed_offices!$A$2:$BZ$81,MATCH($A46,INDEX(in_signed_offices!$A$2:$BZ$81,0,MATCH("office_id",in_signed_offices!$A$1:$BZ$1,0)),0),MATCH("public_naming_ok",in_signed_offices!$A$1:$BZ$1,0))="","",INDEX(in_signed_offices!$A$2:$BZ$81,MATCH($A46,INDEX(in_signed_offices!$A$2:$BZ$81,0,MATCH("office_id",in_signed_offices!$A$1:$BZ$1,0)),0),MATCH("public_naming_ok",in_signed_offices!$A$1:$BZ$1,0))),""))</f>
        <v/>
      </c>
      <c r="AG46" s="25">
        <f>IF($A46="","",IFERROR(IF(INDEX(in_signed_offices!$A$2:$BZ$81,MATCH($A46,INDEX(in_signed_offices!$A$2:$BZ$81,0,MATCH("office_id",in_signed_offices!$A$1:$BZ$1,0)),0),MATCH("clay_row_id",in_signed_offices!$A$1:$BZ$1,0))="","",INDEX(in_signed_offices!$A$2:$BZ$81,MATCH($A46,INDEX(in_signed_offices!$A$2:$BZ$81,0,MATCH("office_id",in_signed_offices!$A$1:$BZ$1,0)),0),MATCH("clay_row_id",in_signed_offices!$A$1:$BZ$1,0))),""))</f>
        <v/>
      </c>
      <c r="AH46" s="25">
        <f>IF($A46="","",IF($E46&lt;&gt;"",$E46,IFERROR(IF(INDEX(in_signed_offices!$A$2:$BZ$81,MATCH($A46,INDEX(in_signed_offices!$A$2:$BZ$81,0,MATCH("office_id",in_signed_offices!$A$1:$BZ$1,0)),0),MATCH("industry",in_signed_offices!$A$1:$BZ$1,0))="","",INDEX(in_signed_offices!$A$2:$BZ$81,MATCH($A46,INDEX(in_signed_offices!$A$2:$BZ$81,0,MATCH("office_id",in_signed_offices!$A$1:$BZ$1,0)),0),MATCH("industry",in_signed_offices!$A$1:$BZ$1,0))),"")))</f>
        <v/>
      </c>
      <c r="AI46" s="25">
        <f>IF($A46="","",IF($F46&lt;&gt;"",$F46,IF(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lt;&gt;"",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IF($W46="Y",$S46,""))))</f>
        <v/>
      </c>
      <c r="AJ46" s="25">
        <f>IF($A46="","",IF($Q46="","unknown",IF($Q46&lt;40,"under-40",IF($Q46&lt;=75,"40-75",IF($Q46&lt;=150,"76-150",IF($Q46&lt;=250,"151-250",IF($Q46&lt;=500,"251-500","over-500")))))))</f>
        <v/>
      </c>
      <c r="AK46" s="25">
        <f>IF($A46="","",IF($N46="","not on in_signed_offices: paste the outreach file",IF($Q46="","no Tuesday headcount",IF($Q46&lt;30,"below the hard floor of 30",IF($Q46&lt;40,"30 to 39: founder's call",IF($Q46&gt;250,"over 250: outside the plan","OK"))))))</f>
        <v/>
      </c>
      <c r="AL46" s="25">
        <f>IF(OR($A46="",$Q46=""),"",MIN(config!$B$16,MAX(config!$B$15,MROUND(config!$B$13+config!$B$14*$Q46,config!$B$17))))</f>
        <v/>
      </c>
      <c r="AM46" s="25">
        <f>IF($A46="","",COUNTIFS(stops!$B$2:$B$151,$A46,stops!$P$2:$P$151,"&lt;="&amp;IF(config!$B$37&lt;&gt;"",config!$B$37,TODAY())))</f>
        <v/>
      </c>
      <c r="AN46" s="25">
        <f>IF($A46="","",COUNTIFS(stops!$B$2:$B$151,$A46,stops!$L$2:$L$151,"declined"))</f>
        <v/>
      </c>
    </row>
    <row r="47">
      <c r="C47" s="31" t="n"/>
      <c r="D47" s="31" t="n"/>
      <c r="J47" s="9" t="n"/>
      <c r="L47" s="9" t="n"/>
      <c r="N47" s="25">
        <f>IF($A47="","",IFERROR(IF(INDEX(in_signed_offices!$A$2:$BZ$81,MATCH($A47,INDEX(in_signed_offices!$A$2:$BZ$81,0,MATCH("office_id",in_signed_offices!$A$1:$BZ$1,0)),0),MATCH("company",in_signed_offices!$A$1:$BZ$1,0))="","",INDEX(in_signed_offices!$A$2:$BZ$81,MATCH($A47,INDEX(in_signed_offices!$A$2:$BZ$81,0,MATCH("office_id",in_signed_offices!$A$1:$BZ$1,0)),0),MATCH("company",in_signed_offices!$A$1:$BZ$1,0))),""))</f>
        <v/>
      </c>
      <c r="O47" s="25">
        <f>IF($A47="","",IFERROR(IF(INDEX(in_signed_offices!$A$2:$BZ$81,MATCH($A47,INDEX(in_signed_offices!$A$2:$BZ$81,0,MATCH("office_id",in_signed_offices!$A$1:$BZ$1,0)),0),MATCH("office_address",in_signed_offices!$A$1:$BZ$1,0))="","",INDEX(in_signed_offices!$A$2:$BZ$81,MATCH($A47,INDEX(in_signed_offices!$A$2:$BZ$81,0,MATCH("office_id",in_signed_offices!$A$1:$BZ$1,0)),0),MATCH("office_address",in_signed_offices!$A$1:$BZ$1,0))),""))</f>
        <v/>
      </c>
      <c r="P47" s="25">
        <f>IF($A47="","",IFERROR(IF(INDEX(in_signed_offices!$A$2:$BZ$81,MATCH($A47,INDEX(in_signed_offices!$A$2:$BZ$81,0,MATCH("office_id",in_signed_offices!$A$1:$BZ$1,0)),0),MATCH("floor_suite",in_signed_offices!$A$1:$BZ$1,0))="","",INDEX(in_signed_offices!$A$2:$BZ$81,MATCH($A47,INDEX(in_signed_offices!$A$2:$BZ$81,0,MATCH("office_id",in_signed_offices!$A$1:$BZ$1,0)),0),MATCH("floor_suite",in_signed_offices!$A$1:$BZ$1,0))),""))</f>
        <v/>
      </c>
      <c r="Q47" s="25">
        <f>IF($A47="","",IFERROR(IF(INDEX(in_signed_offices!$A$2:$BZ$81,MATCH($A47,INDEX(in_signed_offices!$A$2:$BZ$81,0,MATCH("office_id",in_signed_offices!$A$1:$BZ$1,0)),0),MATCH("tuesday_headcount",in_signed_offices!$A$1:$BZ$1,0))="","",INDEX(in_signed_offices!$A$2:$BZ$81,MATCH($A47,INDEX(in_signed_offices!$A$2:$BZ$81,0,MATCH("office_id",in_signed_offices!$A$1:$BZ$1,0)),0),MATCH("tuesday_headcount",in_signed_offices!$A$1:$BZ$1,0))),""))</f>
        <v/>
      </c>
      <c r="R47" s="25">
        <f>IF($A47="","",IFERROR(IF(INDEX(in_signed_offices!$A$2:$BZ$81,MATCH($A47,INDEX(in_signed_offices!$A$2:$BZ$81,0,MATCH("office_id",in_signed_offices!$A$1:$BZ$1,0)),0),MATCH("contact_name",in_signed_offices!$A$1:$BZ$1,0))="","",INDEX(in_signed_offices!$A$2:$BZ$81,MATCH($A47,INDEX(in_signed_offices!$A$2:$BZ$81,0,MATCH("office_id",in_signed_offices!$A$1:$BZ$1,0)),0),MATCH("contact_name",in_signed_offices!$A$1:$BZ$1,0))),""))</f>
        <v/>
      </c>
      <c r="S47" s="25">
        <f>IF($A47="","",IFERROR(IF(INDEX(in_signed_offices!$A$2:$BZ$81,MATCH($A47,INDEX(in_signed_offices!$A$2:$BZ$81,0,MATCH("office_id",in_signed_offices!$A$1:$BZ$1,0)),0),MATCH("contact_phone",in_signed_offices!$A$1:$BZ$1,0))="","",INDEX(in_signed_offices!$A$2:$BZ$81,MATCH($A47,INDEX(in_signed_offices!$A$2:$BZ$81,0,MATCH("office_id",in_signed_offices!$A$1:$BZ$1,0)),0),MATCH("contact_phone",in_signed_offices!$A$1:$BZ$1,0))),""))</f>
        <v/>
      </c>
      <c r="T47" s="25">
        <f>IF($A47="","",IFERROR(IF(INDEX(in_signed_offices!$A$2:$BZ$81,MATCH($A47,INDEX(in_signed_offices!$A$2:$BZ$81,0,MATCH("office_id",in_signed_offices!$A$1:$BZ$1,0)),0),MATCH("contact_email",in_signed_offices!$A$1:$BZ$1,0))="","",INDEX(in_signed_offices!$A$2:$BZ$81,MATCH($A47,INDEX(in_signed_offices!$A$2:$BZ$81,0,MATCH("office_id",in_signed_offices!$A$1:$BZ$1,0)),0),MATCH("contact_email",in_signed_offices!$A$1:$BZ$1,0))),""))</f>
        <v/>
      </c>
      <c r="U47" s="25">
        <f>IF($A47="","",IFERROR(IF(INDEX(in_signed_offices!$A$2:$BZ$81,MATCH($A47,INDEX(in_signed_offices!$A$2:$BZ$81,0,MATCH("office_id",in_signed_offices!$A$1:$BZ$1,0)),0),MATCH("pantry_owner_name",in_signed_offices!$A$1:$BZ$1,0))="","",INDEX(in_signed_offices!$A$2:$BZ$81,MATCH($A47,INDEX(in_signed_offices!$A$2:$BZ$81,0,MATCH("office_id",in_signed_offices!$A$1:$BZ$1,0)),0),MATCH("pantry_owner_name",in_signed_offices!$A$1:$BZ$1,0))),""))</f>
        <v/>
      </c>
      <c r="V47" s="25">
        <f>IF($A47="","",IFERROR(IF(INDEX(in_signed_offices!$A$2:$BZ$81,MATCH($A47,INDEX(in_signed_offices!$A$2:$BZ$81,0,MATCH("office_id",in_signed_offices!$A$1:$BZ$1,0)),0),MATCH("pantry_owner_title",in_signed_offices!$A$1:$BZ$1,0))="","",INDEX(in_signed_offices!$A$2:$BZ$81,MATCH($A47,INDEX(in_signed_offices!$A$2:$BZ$81,0,MATCH("office_id",in_signed_offices!$A$1:$BZ$1,0)),0),MATCH("pantry_owner_title",in_signed_offices!$A$1:$BZ$1,0))),""))</f>
        <v/>
      </c>
      <c r="W47" s="25">
        <f>IF($A47="","",IFERROR(IF(INDEX(in_signed_offices!$A$2:$BZ$81,MATCH($A47,INDEX(in_signed_offices!$A$2:$BZ$81,0,MATCH("office_id",in_signed_offices!$A$1:$BZ$1,0)),0),MATCH("pantry_owner_is_contact",in_signed_offices!$A$1:$BZ$1,0))="","",INDEX(in_signed_offices!$A$2:$BZ$81,MATCH($A47,INDEX(in_signed_offices!$A$2:$BZ$81,0,MATCH("office_id",in_signed_offices!$A$1:$BZ$1,0)),0),MATCH("pantry_owner_is_contact",in_signed_offices!$A$1:$BZ$1,0))),""))</f>
        <v/>
      </c>
      <c r="X47" s="25">
        <f>IF($A47="","",IFERROR(IF(INDEX(in_signed_offices!$A$2:$BZ$81,MATCH($A47,INDEX(in_signed_offices!$A$2:$BZ$81,0,MATCH("office_id",in_signed_offices!$A$1:$BZ$1,0)),0),MATCH("receiving_type",in_signed_offices!$A$1:$BZ$1,0))="","",INDEX(in_signed_offices!$A$2:$BZ$81,MATCH($A47,INDEX(in_signed_offices!$A$2:$BZ$81,0,MATCH("office_id",in_signed_offices!$A$1:$BZ$1,0)),0),MATCH("receiving_type",in_signed_offices!$A$1:$BZ$1,0))),""))</f>
        <v/>
      </c>
      <c r="Y47" s="25">
        <f>IF($A47="","",IFERROR(IF(INDEX(in_signed_offices!$A$2:$BZ$81,MATCH($A47,INDEX(in_signed_offices!$A$2:$BZ$81,0,MATCH("office_id",in_signed_offices!$A$1:$BZ$1,0)),0),MATCH("receiving_window",in_signed_offices!$A$1:$BZ$1,0))="","",INDEX(in_signed_offices!$A$2:$BZ$81,MATCH($A47,INDEX(in_signed_offices!$A$2:$BZ$81,0,MATCH("office_id",in_signed_offices!$A$1:$BZ$1,0)),0),MATCH("receiving_window",in_signed_offices!$A$1:$BZ$1,0))),""))</f>
        <v/>
      </c>
      <c r="Z47" s="25">
        <f>IF($A47="","",IFERROR(IF(INDEX(in_signed_offices!$A$2:$BZ$81,MATCH($A47,INDEX(in_signed_offices!$A$2:$BZ$81,0,MATCH("office_id",in_signed_offices!$A$1:$BZ$1,0)),0),MATCH("coi_required",in_signed_offices!$A$1:$BZ$1,0))="","",INDEX(in_signed_offices!$A$2:$BZ$81,MATCH($A47,INDEX(in_signed_offices!$A$2:$BZ$81,0,MATCH("office_id",in_signed_offices!$A$1:$BZ$1,0)),0),MATCH("coi_required",in_signed_offices!$A$1:$BZ$1,0))),""))</f>
        <v/>
      </c>
      <c r="AA47" s="25">
        <f>IF($A47="","",IFERROR(IF(INDEX(in_signed_offices!$A$2:$BZ$81,MATCH($A47,INDEX(in_signed_offices!$A$2:$BZ$81,0,MATCH("office_id",in_signed_offices!$A$1:$BZ$1,0)),0),MATCH("survey_channel",in_signed_offices!$A$1:$BZ$1,0))="","",INDEX(in_signed_offices!$A$2:$BZ$81,MATCH($A47,INDEX(in_signed_offices!$A$2:$BZ$81,0,MATCH("office_id",in_signed_offices!$A$1:$BZ$1,0)),0),MATCH("survey_channel",in_signed_offices!$A$1:$BZ$1,0))),""))</f>
        <v/>
      </c>
      <c r="AB47" s="25">
        <f>IF($A47="","",IFERROR(IF(INDEX(in_signed_offices!$A$2:$BZ$81,MATCH($A47,INDEX(in_signed_offices!$A$2:$BZ$81,0,MATCH("office_id",in_signed_offices!$A$1:$BZ$1,0)),0),MATCH("categories_wanted",in_signed_offices!$A$1:$BZ$1,0))="","",INDEX(in_signed_offices!$A$2:$BZ$81,MATCH($A47,INDEX(in_signed_offices!$A$2:$BZ$81,0,MATCH("office_id",in_signed_offices!$A$1:$BZ$1,0)),0),MATCH("categories_wanted",in_signed_offices!$A$1:$BZ$1,0))),""))</f>
        <v/>
      </c>
      <c r="AC47" s="25">
        <f>IF($A47="","",IFERROR(IF(INDEX(in_signed_offices!$A$2:$BZ$81,MATCH($A47,INDEX(in_signed_offices!$A$2:$BZ$81,0,MATCH("office_id",in_signed_offices!$A$1:$BZ$1,0)),0),MATCH("vetoes",in_signed_offices!$A$1:$BZ$1,0))="","",INDEX(in_signed_offices!$A$2:$BZ$81,MATCH($A47,INDEX(in_signed_offices!$A$2:$BZ$81,0,MATCH("office_id",in_signed_offices!$A$1:$BZ$1,0)),0),MATCH("vetoes",in_signed_offices!$A$1:$BZ$1,0))),""))</f>
        <v/>
      </c>
      <c r="AD47" s="26">
        <f>IF($A47="","",IFERROR(IF(INDEX(in_signed_offices!$A$2:$BZ$81,MATCH($A47,INDEX(in_signed_offices!$A$2:$BZ$81,0,MATCH("office_id",in_signed_offices!$A$1:$BZ$1,0)),0),MATCH("agreement_signed_date",in_signed_offices!$A$1:$BZ$1,0))="","",INDEX(in_signed_offices!$A$2:$BZ$81,MATCH($A47,INDEX(in_signed_offices!$A$2:$BZ$81,0,MATCH("office_id",in_signed_offices!$A$1:$BZ$1,0)),0),MATCH("agreement_signed_date",in_signed_offices!$A$1:$BZ$1,0))),""))</f>
        <v/>
      </c>
      <c r="AE47" s="25">
        <f>IF($A47="","",IFERROR(IF(INDEX(in_signed_offices!$A$2:$BZ$81,MATCH($A47,INDEX(in_signed_offices!$A$2:$BZ$81,0,MATCH("office_id",in_signed_offices!$A$1:$BZ$1,0)),0),MATCH("founding_roster_named",in_signed_offices!$A$1:$BZ$1,0))="","",INDEX(in_signed_offices!$A$2:$BZ$81,MATCH($A47,INDEX(in_signed_offices!$A$2:$BZ$81,0,MATCH("office_id",in_signed_offices!$A$1:$BZ$1,0)),0),MATCH("founding_roster_named",in_signed_offices!$A$1:$BZ$1,0))),""))</f>
        <v/>
      </c>
      <c r="AF47" s="25">
        <f>IF($A47="","",IFERROR(IF(INDEX(in_signed_offices!$A$2:$BZ$81,MATCH($A47,INDEX(in_signed_offices!$A$2:$BZ$81,0,MATCH("office_id",in_signed_offices!$A$1:$BZ$1,0)),0),MATCH("public_naming_ok",in_signed_offices!$A$1:$BZ$1,0))="","",INDEX(in_signed_offices!$A$2:$BZ$81,MATCH($A47,INDEX(in_signed_offices!$A$2:$BZ$81,0,MATCH("office_id",in_signed_offices!$A$1:$BZ$1,0)),0),MATCH("public_naming_ok",in_signed_offices!$A$1:$BZ$1,0))),""))</f>
        <v/>
      </c>
      <c r="AG47" s="25">
        <f>IF($A47="","",IFERROR(IF(INDEX(in_signed_offices!$A$2:$BZ$81,MATCH($A47,INDEX(in_signed_offices!$A$2:$BZ$81,0,MATCH("office_id",in_signed_offices!$A$1:$BZ$1,0)),0),MATCH("clay_row_id",in_signed_offices!$A$1:$BZ$1,0))="","",INDEX(in_signed_offices!$A$2:$BZ$81,MATCH($A47,INDEX(in_signed_offices!$A$2:$BZ$81,0,MATCH("office_id",in_signed_offices!$A$1:$BZ$1,0)),0),MATCH("clay_row_id",in_signed_offices!$A$1:$BZ$1,0))),""))</f>
        <v/>
      </c>
      <c r="AH47" s="25">
        <f>IF($A47="","",IF($E47&lt;&gt;"",$E47,IFERROR(IF(INDEX(in_signed_offices!$A$2:$BZ$81,MATCH($A47,INDEX(in_signed_offices!$A$2:$BZ$81,0,MATCH("office_id",in_signed_offices!$A$1:$BZ$1,0)),0),MATCH("industry",in_signed_offices!$A$1:$BZ$1,0))="","",INDEX(in_signed_offices!$A$2:$BZ$81,MATCH($A47,INDEX(in_signed_offices!$A$2:$BZ$81,0,MATCH("office_id",in_signed_offices!$A$1:$BZ$1,0)),0),MATCH("industry",in_signed_offices!$A$1:$BZ$1,0))),"")))</f>
        <v/>
      </c>
      <c r="AI47" s="25">
        <f>IF($A47="","",IF($F47&lt;&gt;"",$F47,IF(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lt;&gt;"",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IF($W47="Y",$S47,""))))</f>
        <v/>
      </c>
      <c r="AJ47" s="25">
        <f>IF($A47="","",IF($Q47="","unknown",IF($Q47&lt;40,"under-40",IF($Q47&lt;=75,"40-75",IF($Q47&lt;=150,"76-150",IF($Q47&lt;=250,"151-250",IF($Q47&lt;=500,"251-500","over-500")))))))</f>
        <v/>
      </c>
      <c r="AK47" s="25">
        <f>IF($A47="","",IF($N47="","not on in_signed_offices: paste the outreach file",IF($Q47="","no Tuesday headcount",IF($Q47&lt;30,"below the hard floor of 30",IF($Q47&lt;40,"30 to 39: founder's call",IF($Q47&gt;250,"over 250: outside the plan","OK"))))))</f>
        <v/>
      </c>
      <c r="AL47" s="25">
        <f>IF(OR($A47="",$Q47=""),"",MIN(config!$B$16,MAX(config!$B$15,MROUND(config!$B$13+config!$B$14*$Q47,config!$B$17))))</f>
        <v/>
      </c>
      <c r="AM47" s="25">
        <f>IF($A47="","",COUNTIFS(stops!$B$2:$B$151,$A47,stops!$P$2:$P$151,"&lt;="&amp;IF(config!$B$37&lt;&gt;"",config!$B$37,TODAY())))</f>
        <v/>
      </c>
      <c r="AN47" s="25">
        <f>IF($A47="","",COUNTIFS(stops!$B$2:$B$151,$A47,stops!$L$2:$L$151,"declined"))</f>
        <v/>
      </c>
    </row>
    <row r="48">
      <c r="C48" s="31" t="n"/>
      <c r="D48" s="31" t="n"/>
      <c r="J48" s="9" t="n"/>
      <c r="L48" s="9" t="n"/>
      <c r="N48" s="25">
        <f>IF($A48="","",IFERROR(IF(INDEX(in_signed_offices!$A$2:$BZ$81,MATCH($A48,INDEX(in_signed_offices!$A$2:$BZ$81,0,MATCH("office_id",in_signed_offices!$A$1:$BZ$1,0)),0),MATCH("company",in_signed_offices!$A$1:$BZ$1,0))="","",INDEX(in_signed_offices!$A$2:$BZ$81,MATCH($A48,INDEX(in_signed_offices!$A$2:$BZ$81,0,MATCH("office_id",in_signed_offices!$A$1:$BZ$1,0)),0),MATCH("company",in_signed_offices!$A$1:$BZ$1,0))),""))</f>
        <v/>
      </c>
      <c r="O48" s="25">
        <f>IF($A48="","",IFERROR(IF(INDEX(in_signed_offices!$A$2:$BZ$81,MATCH($A48,INDEX(in_signed_offices!$A$2:$BZ$81,0,MATCH("office_id",in_signed_offices!$A$1:$BZ$1,0)),0),MATCH("office_address",in_signed_offices!$A$1:$BZ$1,0))="","",INDEX(in_signed_offices!$A$2:$BZ$81,MATCH($A48,INDEX(in_signed_offices!$A$2:$BZ$81,0,MATCH("office_id",in_signed_offices!$A$1:$BZ$1,0)),0),MATCH("office_address",in_signed_offices!$A$1:$BZ$1,0))),""))</f>
        <v/>
      </c>
      <c r="P48" s="25">
        <f>IF($A48="","",IFERROR(IF(INDEX(in_signed_offices!$A$2:$BZ$81,MATCH($A48,INDEX(in_signed_offices!$A$2:$BZ$81,0,MATCH("office_id",in_signed_offices!$A$1:$BZ$1,0)),0),MATCH("floor_suite",in_signed_offices!$A$1:$BZ$1,0))="","",INDEX(in_signed_offices!$A$2:$BZ$81,MATCH($A48,INDEX(in_signed_offices!$A$2:$BZ$81,0,MATCH("office_id",in_signed_offices!$A$1:$BZ$1,0)),0),MATCH("floor_suite",in_signed_offices!$A$1:$BZ$1,0))),""))</f>
        <v/>
      </c>
      <c r="Q48" s="25">
        <f>IF($A48="","",IFERROR(IF(INDEX(in_signed_offices!$A$2:$BZ$81,MATCH($A48,INDEX(in_signed_offices!$A$2:$BZ$81,0,MATCH("office_id",in_signed_offices!$A$1:$BZ$1,0)),0),MATCH("tuesday_headcount",in_signed_offices!$A$1:$BZ$1,0))="","",INDEX(in_signed_offices!$A$2:$BZ$81,MATCH($A48,INDEX(in_signed_offices!$A$2:$BZ$81,0,MATCH("office_id",in_signed_offices!$A$1:$BZ$1,0)),0),MATCH("tuesday_headcount",in_signed_offices!$A$1:$BZ$1,0))),""))</f>
        <v/>
      </c>
      <c r="R48" s="25">
        <f>IF($A48="","",IFERROR(IF(INDEX(in_signed_offices!$A$2:$BZ$81,MATCH($A48,INDEX(in_signed_offices!$A$2:$BZ$81,0,MATCH("office_id",in_signed_offices!$A$1:$BZ$1,0)),0),MATCH("contact_name",in_signed_offices!$A$1:$BZ$1,0))="","",INDEX(in_signed_offices!$A$2:$BZ$81,MATCH($A48,INDEX(in_signed_offices!$A$2:$BZ$81,0,MATCH("office_id",in_signed_offices!$A$1:$BZ$1,0)),0),MATCH("contact_name",in_signed_offices!$A$1:$BZ$1,0))),""))</f>
        <v/>
      </c>
      <c r="S48" s="25">
        <f>IF($A48="","",IFERROR(IF(INDEX(in_signed_offices!$A$2:$BZ$81,MATCH($A48,INDEX(in_signed_offices!$A$2:$BZ$81,0,MATCH("office_id",in_signed_offices!$A$1:$BZ$1,0)),0),MATCH("contact_phone",in_signed_offices!$A$1:$BZ$1,0))="","",INDEX(in_signed_offices!$A$2:$BZ$81,MATCH($A48,INDEX(in_signed_offices!$A$2:$BZ$81,0,MATCH("office_id",in_signed_offices!$A$1:$BZ$1,0)),0),MATCH("contact_phone",in_signed_offices!$A$1:$BZ$1,0))),""))</f>
        <v/>
      </c>
      <c r="T48" s="25">
        <f>IF($A48="","",IFERROR(IF(INDEX(in_signed_offices!$A$2:$BZ$81,MATCH($A48,INDEX(in_signed_offices!$A$2:$BZ$81,0,MATCH("office_id",in_signed_offices!$A$1:$BZ$1,0)),0),MATCH("contact_email",in_signed_offices!$A$1:$BZ$1,0))="","",INDEX(in_signed_offices!$A$2:$BZ$81,MATCH($A48,INDEX(in_signed_offices!$A$2:$BZ$81,0,MATCH("office_id",in_signed_offices!$A$1:$BZ$1,0)),0),MATCH("contact_email",in_signed_offices!$A$1:$BZ$1,0))),""))</f>
        <v/>
      </c>
      <c r="U48" s="25">
        <f>IF($A48="","",IFERROR(IF(INDEX(in_signed_offices!$A$2:$BZ$81,MATCH($A48,INDEX(in_signed_offices!$A$2:$BZ$81,0,MATCH("office_id",in_signed_offices!$A$1:$BZ$1,0)),0),MATCH("pantry_owner_name",in_signed_offices!$A$1:$BZ$1,0))="","",INDEX(in_signed_offices!$A$2:$BZ$81,MATCH($A48,INDEX(in_signed_offices!$A$2:$BZ$81,0,MATCH("office_id",in_signed_offices!$A$1:$BZ$1,0)),0),MATCH("pantry_owner_name",in_signed_offices!$A$1:$BZ$1,0))),""))</f>
        <v/>
      </c>
      <c r="V48" s="25">
        <f>IF($A48="","",IFERROR(IF(INDEX(in_signed_offices!$A$2:$BZ$81,MATCH($A48,INDEX(in_signed_offices!$A$2:$BZ$81,0,MATCH("office_id",in_signed_offices!$A$1:$BZ$1,0)),0),MATCH("pantry_owner_title",in_signed_offices!$A$1:$BZ$1,0))="","",INDEX(in_signed_offices!$A$2:$BZ$81,MATCH($A48,INDEX(in_signed_offices!$A$2:$BZ$81,0,MATCH("office_id",in_signed_offices!$A$1:$BZ$1,0)),0),MATCH("pantry_owner_title",in_signed_offices!$A$1:$BZ$1,0))),""))</f>
        <v/>
      </c>
      <c r="W48" s="25">
        <f>IF($A48="","",IFERROR(IF(INDEX(in_signed_offices!$A$2:$BZ$81,MATCH($A48,INDEX(in_signed_offices!$A$2:$BZ$81,0,MATCH("office_id",in_signed_offices!$A$1:$BZ$1,0)),0),MATCH("pantry_owner_is_contact",in_signed_offices!$A$1:$BZ$1,0))="","",INDEX(in_signed_offices!$A$2:$BZ$81,MATCH($A48,INDEX(in_signed_offices!$A$2:$BZ$81,0,MATCH("office_id",in_signed_offices!$A$1:$BZ$1,0)),0),MATCH("pantry_owner_is_contact",in_signed_offices!$A$1:$BZ$1,0))),""))</f>
        <v/>
      </c>
      <c r="X48" s="25">
        <f>IF($A48="","",IFERROR(IF(INDEX(in_signed_offices!$A$2:$BZ$81,MATCH($A48,INDEX(in_signed_offices!$A$2:$BZ$81,0,MATCH("office_id",in_signed_offices!$A$1:$BZ$1,0)),0),MATCH("receiving_type",in_signed_offices!$A$1:$BZ$1,0))="","",INDEX(in_signed_offices!$A$2:$BZ$81,MATCH($A48,INDEX(in_signed_offices!$A$2:$BZ$81,0,MATCH("office_id",in_signed_offices!$A$1:$BZ$1,0)),0),MATCH("receiving_type",in_signed_offices!$A$1:$BZ$1,0))),""))</f>
        <v/>
      </c>
      <c r="Y48" s="25">
        <f>IF($A48="","",IFERROR(IF(INDEX(in_signed_offices!$A$2:$BZ$81,MATCH($A48,INDEX(in_signed_offices!$A$2:$BZ$81,0,MATCH("office_id",in_signed_offices!$A$1:$BZ$1,0)),0),MATCH("receiving_window",in_signed_offices!$A$1:$BZ$1,0))="","",INDEX(in_signed_offices!$A$2:$BZ$81,MATCH($A48,INDEX(in_signed_offices!$A$2:$BZ$81,0,MATCH("office_id",in_signed_offices!$A$1:$BZ$1,0)),0),MATCH("receiving_window",in_signed_offices!$A$1:$BZ$1,0))),""))</f>
        <v/>
      </c>
      <c r="Z48" s="25">
        <f>IF($A48="","",IFERROR(IF(INDEX(in_signed_offices!$A$2:$BZ$81,MATCH($A48,INDEX(in_signed_offices!$A$2:$BZ$81,0,MATCH("office_id",in_signed_offices!$A$1:$BZ$1,0)),0),MATCH("coi_required",in_signed_offices!$A$1:$BZ$1,0))="","",INDEX(in_signed_offices!$A$2:$BZ$81,MATCH($A48,INDEX(in_signed_offices!$A$2:$BZ$81,0,MATCH("office_id",in_signed_offices!$A$1:$BZ$1,0)),0),MATCH("coi_required",in_signed_offices!$A$1:$BZ$1,0))),""))</f>
        <v/>
      </c>
      <c r="AA48" s="25">
        <f>IF($A48="","",IFERROR(IF(INDEX(in_signed_offices!$A$2:$BZ$81,MATCH($A48,INDEX(in_signed_offices!$A$2:$BZ$81,0,MATCH("office_id",in_signed_offices!$A$1:$BZ$1,0)),0),MATCH("survey_channel",in_signed_offices!$A$1:$BZ$1,0))="","",INDEX(in_signed_offices!$A$2:$BZ$81,MATCH($A48,INDEX(in_signed_offices!$A$2:$BZ$81,0,MATCH("office_id",in_signed_offices!$A$1:$BZ$1,0)),0),MATCH("survey_channel",in_signed_offices!$A$1:$BZ$1,0))),""))</f>
        <v/>
      </c>
      <c r="AB48" s="25">
        <f>IF($A48="","",IFERROR(IF(INDEX(in_signed_offices!$A$2:$BZ$81,MATCH($A48,INDEX(in_signed_offices!$A$2:$BZ$81,0,MATCH("office_id",in_signed_offices!$A$1:$BZ$1,0)),0),MATCH("categories_wanted",in_signed_offices!$A$1:$BZ$1,0))="","",INDEX(in_signed_offices!$A$2:$BZ$81,MATCH($A48,INDEX(in_signed_offices!$A$2:$BZ$81,0,MATCH("office_id",in_signed_offices!$A$1:$BZ$1,0)),0),MATCH("categories_wanted",in_signed_offices!$A$1:$BZ$1,0))),""))</f>
        <v/>
      </c>
      <c r="AC48" s="25">
        <f>IF($A48="","",IFERROR(IF(INDEX(in_signed_offices!$A$2:$BZ$81,MATCH($A48,INDEX(in_signed_offices!$A$2:$BZ$81,0,MATCH("office_id",in_signed_offices!$A$1:$BZ$1,0)),0),MATCH("vetoes",in_signed_offices!$A$1:$BZ$1,0))="","",INDEX(in_signed_offices!$A$2:$BZ$81,MATCH($A48,INDEX(in_signed_offices!$A$2:$BZ$81,0,MATCH("office_id",in_signed_offices!$A$1:$BZ$1,0)),0),MATCH("vetoes",in_signed_offices!$A$1:$BZ$1,0))),""))</f>
        <v/>
      </c>
      <c r="AD48" s="26">
        <f>IF($A48="","",IFERROR(IF(INDEX(in_signed_offices!$A$2:$BZ$81,MATCH($A48,INDEX(in_signed_offices!$A$2:$BZ$81,0,MATCH("office_id",in_signed_offices!$A$1:$BZ$1,0)),0),MATCH("agreement_signed_date",in_signed_offices!$A$1:$BZ$1,0))="","",INDEX(in_signed_offices!$A$2:$BZ$81,MATCH($A48,INDEX(in_signed_offices!$A$2:$BZ$81,0,MATCH("office_id",in_signed_offices!$A$1:$BZ$1,0)),0),MATCH("agreement_signed_date",in_signed_offices!$A$1:$BZ$1,0))),""))</f>
        <v/>
      </c>
      <c r="AE48" s="25">
        <f>IF($A48="","",IFERROR(IF(INDEX(in_signed_offices!$A$2:$BZ$81,MATCH($A48,INDEX(in_signed_offices!$A$2:$BZ$81,0,MATCH("office_id",in_signed_offices!$A$1:$BZ$1,0)),0),MATCH("founding_roster_named",in_signed_offices!$A$1:$BZ$1,0))="","",INDEX(in_signed_offices!$A$2:$BZ$81,MATCH($A48,INDEX(in_signed_offices!$A$2:$BZ$81,0,MATCH("office_id",in_signed_offices!$A$1:$BZ$1,0)),0),MATCH("founding_roster_named",in_signed_offices!$A$1:$BZ$1,0))),""))</f>
        <v/>
      </c>
      <c r="AF48" s="25">
        <f>IF($A48="","",IFERROR(IF(INDEX(in_signed_offices!$A$2:$BZ$81,MATCH($A48,INDEX(in_signed_offices!$A$2:$BZ$81,0,MATCH("office_id",in_signed_offices!$A$1:$BZ$1,0)),0),MATCH("public_naming_ok",in_signed_offices!$A$1:$BZ$1,0))="","",INDEX(in_signed_offices!$A$2:$BZ$81,MATCH($A48,INDEX(in_signed_offices!$A$2:$BZ$81,0,MATCH("office_id",in_signed_offices!$A$1:$BZ$1,0)),0),MATCH("public_naming_ok",in_signed_offices!$A$1:$BZ$1,0))),""))</f>
        <v/>
      </c>
      <c r="AG48" s="25">
        <f>IF($A48="","",IFERROR(IF(INDEX(in_signed_offices!$A$2:$BZ$81,MATCH($A48,INDEX(in_signed_offices!$A$2:$BZ$81,0,MATCH("office_id",in_signed_offices!$A$1:$BZ$1,0)),0),MATCH("clay_row_id",in_signed_offices!$A$1:$BZ$1,0))="","",INDEX(in_signed_offices!$A$2:$BZ$81,MATCH($A48,INDEX(in_signed_offices!$A$2:$BZ$81,0,MATCH("office_id",in_signed_offices!$A$1:$BZ$1,0)),0),MATCH("clay_row_id",in_signed_offices!$A$1:$BZ$1,0))),""))</f>
        <v/>
      </c>
      <c r="AH48" s="25">
        <f>IF($A48="","",IF($E48&lt;&gt;"",$E48,IFERROR(IF(INDEX(in_signed_offices!$A$2:$BZ$81,MATCH($A48,INDEX(in_signed_offices!$A$2:$BZ$81,0,MATCH("office_id",in_signed_offices!$A$1:$BZ$1,0)),0),MATCH("industry",in_signed_offices!$A$1:$BZ$1,0))="","",INDEX(in_signed_offices!$A$2:$BZ$81,MATCH($A48,INDEX(in_signed_offices!$A$2:$BZ$81,0,MATCH("office_id",in_signed_offices!$A$1:$BZ$1,0)),0),MATCH("industry",in_signed_offices!$A$1:$BZ$1,0))),"")))</f>
        <v/>
      </c>
      <c r="AI48" s="25">
        <f>IF($A48="","",IF($F48&lt;&gt;"",$F48,IF(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lt;&gt;"",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IF($W48="Y",$S48,""))))</f>
        <v/>
      </c>
      <c r="AJ48" s="25">
        <f>IF($A48="","",IF($Q48="","unknown",IF($Q48&lt;40,"under-40",IF($Q48&lt;=75,"40-75",IF($Q48&lt;=150,"76-150",IF($Q48&lt;=250,"151-250",IF($Q48&lt;=500,"251-500","over-500")))))))</f>
        <v/>
      </c>
      <c r="AK48" s="25">
        <f>IF($A48="","",IF($N48="","not on in_signed_offices: paste the outreach file",IF($Q48="","no Tuesday headcount",IF($Q48&lt;30,"below the hard floor of 30",IF($Q48&lt;40,"30 to 39: founder's call",IF($Q48&gt;250,"over 250: outside the plan","OK"))))))</f>
        <v/>
      </c>
      <c r="AL48" s="25">
        <f>IF(OR($A48="",$Q48=""),"",MIN(config!$B$16,MAX(config!$B$15,MROUND(config!$B$13+config!$B$14*$Q48,config!$B$17))))</f>
        <v/>
      </c>
      <c r="AM48" s="25">
        <f>IF($A48="","",COUNTIFS(stops!$B$2:$B$151,$A48,stops!$P$2:$P$151,"&lt;="&amp;IF(config!$B$37&lt;&gt;"",config!$B$37,TODAY())))</f>
        <v/>
      </c>
      <c r="AN48" s="25">
        <f>IF($A48="","",COUNTIFS(stops!$B$2:$B$151,$A48,stops!$L$2:$L$151,"declined"))</f>
        <v/>
      </c>
    </row>
    <row r="49">
      <c r="C49" s="31" t="n"/>
      <c r="D49" s="31" t="n"/>
      <c r="J49" s="9" t="n"/>
      <c r="L49" s="9" t="n"/>
      <c r="N49" s="25">
        <f>IF($A49="","",IFERROR(IF(INDEX(in_signed_offices!$A$2:$BZ$81,MATCH($A49,INDEX(in_signed_offices!$A$2:$BZ$81,0,MATCH("office_id",in_signed_offices!$A$1:$BZ$1,0)),0),MATCH("company",in_signed_offices!$A$1:$BZ$1,0))="","",INDEX(in_signed_offices!$A$2:$BZ$81,MATCH($A49,INDEX(in_signed_offices!$A$2:$BZ$81,0,MATCH("office_id",in_signed_offices!$A$1:$BZ$1,0)),0),MATCH("company",in_signed_offices!$A$1:$BZ$1,0))),""))</f>
        <v/>
      </c>
      <c r="O49" s="25">
        <f>IF($A49="","",IFERROR(IF(INDEX(in_signed_offices!$A$2:$BZ$81,MATCH($A49,INDEX(in_signed_offices!$A$2:$BZ$81,0,MATCH("office_id",in_signed_offices!$A$1:$BZ$1,0)),0),MATCH("office_address",in_signed_offices!$A$1:$BZ$1,0))="","",INDEX(in_signed_offices!$A$2:$BZ$81,MATCH($A49,INDEX(in_signed_offices!$A$2:$BZ$81,0,MATCH("office_id",in_signed_offices!$A$1:$BZ$1,0)),0),MATCH("office_address",in_signed_offices!$A$1:$BZ$1,0))),""))</f>
        <v/>
      </c>
      <c r="P49" s="25">
        <f>IF($A49="","",IFERROR(IF(INDEX(in_signed_offices!$A$2:$BZ$81,MATCH($A49,INDEX(in_signed_offices!$A$2:$BZ$81,0,MATCH("office_id",in_signed_offices!$A$1:$BZ$1,0)),0),MATCH("floor_suite",in_signed_offices!$A$1:$BZ$1,0))="","",INDEX(in_signed_offices!$A$2:$BZ$81,MATCH($A49,INDEX(in_signed_offices!$A$2:$BZ$81,0,MATCH("office_id",in_signed_offices!$A$1:$BZ$1,0)),0),MATCH("floor_suite",in_signed_offices!$A$1:$BZ$1,0))),""))</f>
        <v/>
      </c>
      <c r="Q49" s="25">
        <f>IF($A49="","",IFERROR(IF(INDEX(in_signed_offices!$A$2:$BZ$81,MATCH($A49,INDEX(in_signed_offices!$A$2:$BZ$81,0,MATCH("office_id",in_signed_offices!$A$1:$BZ$1,0)),0),MATCH("tuesday_headcount",in_signed_offices!$A$1:$BZ$1,0))="","",INDEX(in_signed_offices!$A$2:$BZ$81,MATCH($A49,INDEX(in_signed_offices!$A$2:$BZ$81,0,MATCH("office_id",in_signed_offices!$A$1:$BZ$1,0)),0),MATCH("tuesday_headcount",in_signed_offices!$A$1:$BZ$1,0))),""))</f>
        <v/>
      </c>
      <c r="R49" s="25">
        <f>IF($A49="","",IFERROR(IF(INDEX(in_signed_offices!$A$2:$BZ$81,MATCH($A49,INDEX(in_signed_offices!$A$2:$BZ$81,0,MATCH("office_id",in_signed_offices!$A$1:$BZ$1,0)),0),MATCH("contact_name",in_signed_offices!$A$1:$BZ$1,0))="","",INDEX(in_signed_offices!$A$2:$BZ$81,MATCH($A49,INDEX(in_signed_offices!$A$2:$BZ$81,0,MATCH("office_id",in_signed_offices!$A$1:$BZ$1,0)),0),MATCH("contact_name",in_signed_offices!$A$1:$BZ$1,0))),""))</f>
        <v/>
      </c>
      <c r="S49" s="25">
        <f>IF($A49="","",IFERROR(IF(INDEX(in_signed_offices!$A$2:$BZ$81,MATCH($A49,INDEX(in_signed_offices!$A$2:$BZ$81,0,MATCH("office_id",in_signed_offices!$A$1:$BZ$1,0)),0),MATCH("contact_phone",in_signed_offices!$A$1:$BZ$1,0))="","",INDEX(in_signed_offices!$A$2:$BZ$81,MATCH($A49,INDEX(in_signed_offices!$A$2:$BZ$81,0,MATCH("office_id",in_signed_offices!$A$1:$BZ$1,0)),0),MATCH("contact_phone",in_signed_offices!$A$1:$BZ$1,0))),""))</f>
        <v/>
      </c>
      <c r="T49" s="25">
        <f>IF($A49="","",IFERROR(IF(INDEX(in_signed_offices!$A$2:$BZ$81,MATCH($A49,INDEX(in_signed_offices!$A$2:$BZ$81,0,MATCH("office_id",in_signed_offices!$A$1:$BZ$1,0)),0),MATCH("contact_email",in_signed_offices!$A$1:$BZ$1,0))="","",INDEX(in_signed_offices!$A$2:$BZ$81,MATCH($A49,INDEX(in_signed_offices!$A$2:$BZ$81,0,MATCH("office_id",in_signed_offices!$A$1:$BZ$1,0)),0),MATCH("contact_email",in_signed_offices!$A$1:$BZ$1,0))),""))</f>
        <v/>
      </c>
      <c r="U49" s="25">
        <f>IF($A49="","",IFERROR(IF(INDEX(in_signed_offices!$A$2:$BZ$81,MATCH($A49,INDEX(in_signed_offices!$A$2:$BZ$81,0,MATCH("office_id",in_signed_offices!$A$1:$BZ$1,0)),0),MATCH("pantry_owner_name",in_signed_offices!$A$1:$BZ$1,0))="","",INDEX(in_signed_offices!$A$2:$BZ$81,MATCH($A49,INDEX(in_signed_offices!$A$2:$BZ$81,0,MATCH("office_id",in_signed_offices!$A$1:$BZ$1,0)),0),MATCH("pantry_owner_name",in_signed_offices!$A$1:$BZ$1,0))),""))</f>
        <v/>
      </c>
      <c r="V49" s="25">
        <f>IF($A49="","",IFERROR(IF(INDEX(in_signed_offices!$A$2:$BZ$81,MATCH($A49,INDEX(in_signed_offices!$A$2:$BZ$81,0,MATCH("office_id",in_signed_offices!$A$1:$BZ$1,0)),0),MATCH("pantry_owner_title",in_signed_offices!$A$1:$BZ$1,0))="","",INDEX(in_signed_offices!$A$2:$BZ$81,MATCH($A49,INDEX(in_signed_offices!$A$2:$BZ$81,0,MATCH("office_id",in_signed_offices!$A$1:$BZ$1,0)),0),MATCH("pantry_owner_title",in_signed_offices!$A$1:$BZ$1,0))),""))</f>
        <v/>
      </c>
      <c r="W49" s="25">
        <f>IF($A49="","",IFERROR(IF(INDEX(in_signed_offices!$A$2:$BZ$81,MATCH($A49,INDEX(in_signed_offices!$A$2:$BZ$81,0,MATCH("office_id",in_signed_offices!$A$1:$BZ$1,0)),0),MATCH("pantry_owner_is_contact",in_signed_offices!$A$1:$BZ$1,0))="","",INDEX(in_signed_offices!$A$2:$BZ$81,MATCH($A49,INDEX(in_signed_offices!$A$2:$BZ$81,0,MATCH("office_id",in_signed_offices!$A$1:$BZ$1,0)),0),MATCH("pantry_owner_is_contact",in_signed_offices!$A$1:$BZ$1,0))),""))</f>
        <v/>
      </c>
      <c r="X49" s="25">
        <f>IF($A49="","",IFERROR(IF(INDEX(in_signed_offices!$A$2:$BZ$81,MATCH($A49,INDEX(in_signed_offices!$A$2:$BZ$81,0,MATCH("office_id",in_signed_offices!$A$1:$BZ$1,0)),0),MATCH("receiving_type",in_signed_offices!$A$1:$BZ$1,0))="","",INDEX(in_signed_offices!$A$2:$BZ$81,MATCH($A49,INDEX(in_signed_offices!$A$2:$BZ$81,0,MATCH("office_id",in_signed_offices!$A$1:$BZ$1,0)),0),MATCH("receiving_type",in_signed_offices!$A$1:$BZ$1,0))),""))</f>
        <v/>
      </c>
      <c r="Y49" s="25">
        <f>IF($A49="","",IFERROR(IF(INDEX(in_signed_offices!$A$2:$BZ$81,MATCH($A49,INDEX(in_signed_offices!$A$2:$BZ$81,0,MATCH("office_id",in_signed_offices!$A$1:$BZ$1,0)),0),MATCH("receiving_window",in_signed_offices!$A$1:$BZ$1,0))="","",INDEX(in_signed_offices!$A$2:$BZ$81,MATCH($A49,INDEX(in_signed_offices!$A$2:$BZ$81,0,MATCH("office_id",in_signed_offices!$A$1:$BZ$1,0)),0),MATCH("receiving_window",in_signed_offices!$A$1:$BZ$1,0))),""))</f>
        <v/>
      </c>
      <c r="Z49" s="25">
        <f>IF($A49="","",IFERROR(IF(INDEX(in_signed_offices!$A$2:$BZ$81,MATCH($A49,INDEX(in_signed_offices!$A$2:$BZ$81,0,MATCH("office_id",in_signed_offices!$A$1:$BZ$1,0)),0),MATCH("coi_required",in_signed_offices!$A$1:$BZ$1,0))="","",INDEX(in_signed_offices!$A$2:$BZ$81,MATCH($A49,INDEX(in_signed_offices!$A$2:$BZ$81,0,MATCH("office_id",in_signed_offices!$A$1:$BZ$1,0)),0),MATCH("coi_required",in_signed_offices!$A$1:$BZ$1,0))),""))</f>
        <v/>
      </c>
      <c r="AA49" s="25">
        <f>IF($A49="","",IFERROR(IF(INDEX(in_signed_offices!$A$2:$BZ$81,MATCH($A49,INDEX(in_signed_offices!$A$2:$BZ$81,0,MATCH("office_id",in_signed_offices!$A$1:$BZ$1,0)),0),MATCH("survey_channel",in_signed_offices!$A$1:$BZ$1,0))="","",INDEX(in_signed_offices!$A$2:$BZ$81,MATCH($A49,INDEX(in_signed_offices!$A$2:$BZ$81,0,MATCH("office_id",in_signed_offices!$A$1:$BZ$1,0)),0),MATCH("survey_channel",in_signed_offices!$A$1:$BZ$1,0))),""))</f>
        <v/>
      </c>
      <c r="AB49" s="25">
        <f>IF($A49="","",IFERROR(IF(INDEX(in_signed_offices!$A$2:$BZ$81,MATCH($A49,INDEX(in_signed_offices!$A$2:$BZ$81,0,MATCH("office_id",in_signed_offices!$A$1:$BZ$1,0)),0),MATCH("categories_wanted",in_signed_offices!$A$1:$BZ$1,0))="","",INDEX(in_signed_offices!$A$2:$BZ$81,MATCH($A49,INDEX(in_signed_offices!$A$2:$BZ$81,0,MATCH("office_id",in_signed_offices!$A$1:$BZ$1,0)),0),MATCH("categories_wanted",in_signed_offices!$A$1:$BZ$1,0))),""))</f>
        <v/>
      </c>
      <c r="AC49" s="25">
        <f>IF($A49="","",IFERROR(IF(INDEX(in_signed_offices!$A$2:$BZ$81,MATCH($A49,INDEX(in_signed_offices!$A$2:$BZ$81,0,MATCH("office_id",in_signed_offices!$A$1:$BZ$1,0)),0),MATCH("vetoes",in_signed_offices!$A$1:$BZ$1,0))="","",INDEX(in_signed_offices!$A$2:$BZ$81,MATCH($A49,INDEX(in_signed_offices!$A$2:$BZ$81,0,MATCH("office_id",in_signed_offices!$A$1:$BZ$1,0)),0),MATCH("vetoes",in_signed_offices!$A$1:$BZ$1,0))),""))</f>
        <v/>
      </c>
      <c r="AD49" s="26">
        <f>IF($A49="","",IFERROR(IF(INDEX(in_signed_offices!$A$2:$BZ$81,MATCH($A49,INDEX(in_signed_offices!$A$2:$BZ$81,0,MATCH("office_id",in_signed_offices!$A$1:$BZ$1,0)),0),MATCH("agreement_signed_date",in_signed_offices!$A$1:$BZ$1,0))="","",INDEX(in_signed_offices!$A$2:$BZ$81,MATCH($A49,INDEX(in_signed_offices!$A$2:$BZ$81,0,MATCH("office_id",in_signed_offices!$A$1:$BZ$1,0)),0),MATCH("agreement_signed_date",in_signed_offices!$A$1:$BZ$1,0))),""))</f>
        <v/>
      </c>
      <c r="AE49" s="25">
        <f>IF($A49="","",IFERROR(IF(INDEX(in_signed_offices!$A$2:$BZ$81,MATCH($A49,INDEX(in_signed_offices!$A$2:$BZ$81,0,MATCH("office_id",in_signed_offices!$A$1:$BZ$1,0)),0),MATCH("founding_roster_named",in_signed_offices!$A$1:$BZ$1,0))="","",INDEX(in_signed_offices!$A$2:$BZ$81,MATCH($A49,INDEX(in_signed_offices!$A$2:$BZ$81,0,MATCH("office_id",in_signed_offices!$A$1:$BZ$1,0)),0),MATCH("founding_roster_named",in_signed_offices!$A$1:$BZ$1,0))),""))</f>
        <v/>
      </c>
      <c r="AF49" s="25">
        <f>IF($A49="","",IFERROR(IF(INDEX(in_signed_offices!$A$2:$BZ$81,MATCH($A49,INDEX(in_signed_offices!$A$2:$BZ$81,0,MATCH("office_id",in_signed_offices!$A$1:$BZ$1,0)),0),MATCH("public_naming_ok",in_signed_offices!$A$1:$BZ$1,0))="","",INDEX(in_signed_offices!$A$2:$BZ$81,MATCH($A49,INDEX(in_signed_offices!$A$2:$BZ$81,0,MATCH("office_id",in_signed_offices!$A$1:$BZ$1,0)),0),MATCH("public_naming_ok",in_signed_offices!$A$1:$BZ$1,0))),""))</f>
        <v/>
      </c>
      <c r="AG49" s="25">
        <f>IF($A49="","",IFERROR(IF(INDEX(in_signed_offices!$A$2:$BZ$81,MATCH($A49,INDEX(in_signed_offices!$A$2:$BZ$81,0,MATCH("office_id",in_signed_offices!$A$1:$BZ$1,0)),0),MATCH("clay_row_id",in_signed_offices!$A$1:$BZ$1,0))="","",INDEX(in_signed_offices!$A$2:$BZ$81,MATCH($A49,INDEX(in_signed_offices!$A$2:$BZ$81,0,MATCH("office_id",in_signed_offices!$A$1:$BZ$1,0)),0),MATCH("clay_row_id",in_signed_offices!$A$1:$BZ$1,0))),""))</f>
        <v/>
      </c>
      <c r="AH49" s="25">
        <f>IF($A49="","",IF($E49&lt;&gt;"",$E49,IFERROR(IF(INDEX(in_signed_offices!$A$2:$BZ$81,MATCH($A49,INDEX(in_signed_offices!$A$2:$BZ$81,0,MATCH("office_id",in_signed_offices!$A$1:$BZ$1,0)),0),MATCH("industry",in_signed_offices!$A$1:$BZ$1,0))="","",INDEX(in_signed_offices!$A$2:$BZ$81,MATCH($A49,INDEX(in_signed_offices!$A$2:$BZ$81,0,MATCH("office_id",in_signed_offices!$A$1:$BZ$1,0)),0),MATCH("industry",in_signed_offices!$A$1:$BZ$1,0))),"")))</f>
        <v/>
      </c>
      <c r="AI49" s="25">
        <f>IF($A49="","",IF($F49&lt;&gt;"",$F49,IF(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lt;&gt;"",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IF($W49="Y",$S49,""))))</f>
        <v/>
      </c>
      <c r="AJ49" s="25">
        <f>IF($A49="","",IF($Q49="","unknown",IF($Q49&lt;40,"under-40",IF($Q49&lt;=75,"40-75",IF($Q49&lt;=150,"76-150",IF($Q49&lt;=250,"151-250",IF($Q49&lt;=500,"251-500","over-500")))))))</f>
        <v/>
      </c>
      <c r="AK49" s="25">
        <f>IF($A49="","",IF($N49="","not on in_signed_offices: paste the outreach file",IF($Q49="","no Tuesday headcount",IF($Q49&lt;30,"below the hard floor of 30",IF($Q49&lt;40,"30 to 39: founder's call",IF($Q49&gt;250,"over 250: outside the plan","OK"))))))</f>
        <v/>
      </c>
      <c r="AL49" s="25">
        <f>IF(OR($A49="",$Q49=""),"",MIN(config!$B$16,MAX(config!$B$15,MROUND(config!$B$13+config!$B$14*$Q49,config!$B$17))))</f>
        <v/>
      </c>
      <c r="AM49" s="25">
        <f>IF($A49="","",COUNTIFS(stops!$B$2:$B$151,$A49,stops!$P$2:$P$151,"&lt;="&amp;IF(config!$B$37&lt;&gt;"",config!$B$37,TODAY())))</f>
        <v/>
      </c>
      <c r="AN49" s="25">
        <f>IF($A49="","",COUNTIFS(stops!$B$2:$B$151,$A49,stops!$L$2:$L$151,"declined"))</f>
        <v/>
      </c>
    </row>
    <row r="50">
      <c r="C50" s="31" t="n"/>
      <c r="D50" s="31" t="n"/>
      <c r="J50" s="9" t="n"/>
      <c r="L50" s="9" t="n"/>
      <c r="N50" s="25">
        <f>IF($A50="","",IFERROR(IF(INDEX(in_signed_offices!$A$2:$BZ$81,MATCH($A50,INDEX(in_signed_offices!$A$2:$BZ$81,0,MATCH("office_id",in_signed_offices!$A$1:$BZ$1,0)),0),MATCH("company",in_signed_offices!$A$1:$BZ$1,0))="","",INDEX(in_signed_offices!$A$2:$BZ$81,MATCH($A50,INDEX(in_signed_offices!$A$2:$BZ$81,0,MATCH("office_id",in_signed_offices!$A$1:$BZ$1,0)),0),MATCH("company",in_signed_offices!$A$1:$BZ$1,0))),""))</f>
        <v/>
      </c>
      <c r="O50" s="25">
        <f>IF($A50="","",IFERROR(IF(INDEX(in_signed_offices!$A$2:$BZ$81,MATCH($A50,INDEX(in_signed_offices!$A$2:$BZ$81,0,MATCH("office_id",in_signed_offices!$A$1:$BZ$1,0)),0),MATCH("office_address",in_signed_offices!$A$1:$BZ$1,0))="","",INDEX(in_signed_offices!$A$2:$BZ$81,MATCH($A50,INDEX(in_signed_offices!$A$2:$BZ$81,0,MATCH("office_id",in_signed_offices!$A$1:$BZ$1,0)),0),MATCH("office_address",in_signed_offices!$A$1:$BZ$1,0))),""))</f>
        <v/>
      </c>
      <c r="P50" s="25">
        <f>IF($A50="","",IFERROR(IF(INDEX(in_signed_offices!$A$2:$BZ$81,MATCH($A50,INDEX(in_signed_offices!$A$2:$BZ$81,0,MATCH("office_id",in_signed_offices!$A$1:$BZ$1,0)),0),MATCH("floor_suite",in_signed_offices!$A$1:$BZ$1,0))="","",INDEX(in_signed_offices!$A$2:$BZ$81,MATCH($A50,INDEX(in_signed_offices!$A$2:$BZ$81,0,MATCH("office_id",in_signed_offices!$A$1:$BZ$1,0)),0),MATCH("floor_suite",in_signed_offices!$A$1:$BZ$1,0))),""))</f>
        <v/>
      </c>
      <c r="Q50" s="25">
        <f>IF($A50="","",IFERROR(IF(INDEX(in_signed_offices!$A$2:$BZ$81,MATCH($A50,INDEX(in_signed_offices!$A$2:$BZ$81,0,MATCH("office_id",in_signed_offices!$A$1:$BZ$1,0)),0),MATCH("tuesday_headcount",in_signed_offices!$A$1:$BZ$1,0))="","",INDEX(in_signed_offices!$A$2:$BZ$81,MATCH($A50,INDEX(in_signed_offices!$A$2:$BZ$81,0,MATCH("office_id",in_signed_offices!$A$1:$BZ$1,0)),0),MATCH("tuesday_headcount",in_signed_offices!$A$1:$BZ$1,0))),""))</f>
        <v/>
      </c>
      <c r="R50" s="25">
        <f>IF($A50="","",IFERROR(IF(INDEX(in_signed_offices!$A$2:$BZ$81,MATCH($A50,INDEX(in_signed_offices!$A$2:$BZ$81,0,MATCH("office_id",in_signed_offices!$A$1:$BZ$1,0)),0),MATCH("contact_name",in_signed_offices!$A$1:$BZ$1,0))="","",INDEX(in_signed_offices!$A$2:$BZ$81,MATCH($A50,INDEX(in_signed_offices!$A$2:$BZ$81,0,MATCH("office_id",in_signed_offices!$A$1:$BZ$1,0)),0),MATCH("contact_name",in_signed_offices!$A$1:$BZ$1,0))),""))</f>
        <v/>
      </c>
      <c r="S50" s="25">
        <f>IF($A50="","",IFERROR(IF(INDEX(in_signed_offices!$A$2:$BZ$81,MATCH($A50,INDEX(in_signed_offices!$A$2:$BZ$81,0,MATCH("office_id",in_signed_offices!$A$1:$BZ$1,0)),0),MATCH("contact_phone",in_signed_offices!$A$1:$BZ$1,0))="","",INDEX(in_signed_offices!$A$2:$BZ$81,MATCH($A50,INDEX(in_signed_offices!$A$2:$BZ$81,0,MATCH("office_id",in_signed_offices!$A$1:$BZ$1,0)),0),MATCH("contact_phone",in_signed_offices!$A$1:$BZ$1,0))),""))</f>
        <v/>
      </c>
      <c r="T50" s="25">
        <f>IF($A50="","",IFERROR(IF(INDEX(in_signed_offices!$A$2:$BZ$81,MATCH($A50,INDEX(in_signed_offices!$A$2:$BZ$81,0,MATCH("office_id",in_signed_offices!$A$1:$BZ$1,0)),0),MATCH("contact_email",in_signed_offices!$A$1:$BZ$1,0))="","",INDEX(in_signed_offices!$A$2:$BZ$81,MATCH($A50,INDEX(in_signed_offices!$A$2:$BZ$81,0,MATCH("office_id",in_signed_offices!$A$1:$BZ$1,0)),0),MATCH("contact_email",in_signed_offices!$A$1:$BZ$1,0))),""))</f>
        <v/>
      </c>
      <c r="U50" s="25">
        <f>IF($A50="","",IFERROR(IF(INDEX(in_signed_offices!$A$2:$BZ$81,MATCH($A50,INDEX(in_signed_offices!$A$2:$BZ$81,0,MATCH("office_id",in_signed_offices!$A$1:$BZ$1,0)),0),MATCH("pantry_owner_name",in_signed_offices!$A$1:$BZ$1,0))="","",INDEX(in_signed_offices!$A$2:$BZ$81,MATCH($A50,INDEX(in_signed_offices!$A$2:$BZ$81,0,MATCH("office_id",in_signed_offices!$A$1:$BZ$1,0)),0),MATCH("pantry_owner_name",in_signed_offices!$A$1:$BZ$1,0))),""))</f>
        <v/>
      </c>
      <c r="V50" s="25">
        <f>IF($A50="","",IFERROR(IF(INDEX(in_signed_offices!$A$2:$BZ$81,MATCH($A50,INDEX(in_signed_offices!$A$2:$BZ$81,0,MATCH("office_id",in_signed_offices!$A$1:$BZ$1,0)),0),MATCH("pantry_owner_title",in_signed_offices!$A$1:$BZ$1,0))="","",INDEX(in_signed_offices!$A$2:$BZ$81,MATCH($A50,INDEX(in_signed_offices!$A$2:$BZ$81,0,MATCH("office_id",in_signed_offices!$A$1:$BZ$1,0)),0),MATCH("pantry_owner_title",in_signed_offices!$A$1:$BZ$1,0))),""))</f>
        <v/>
      </c>
      <c r="W50" s="25">
        <f>IF($A50="","",IFERROR(IF(INDEX(in_signed_offices!$A$2:$BZ$81,MATCH($A50,INDEX(in_signed_offices!$A$2:$BZ$81,0,MATCH("office_id",in_signed_offices!$A$1:$BZ$1,0)),0),MATCH("pantry_owner_is_contact",in_signed_offices!$A$1:$BZ$1,0))="","",INDEX(in_signed_offices!$A$2:$BZ$81,MATCH($A50,INDEX(in_signed_offices!$A$2:$BZ$81,0,MATCH("office_id",in_signed_offices!$A$1:$BZ$1,0)),0),MATCH("pantry_owner_is_contact",in_signed_offices!$A$1:$BZ$1,0))),""))</f>
        <v/>
      </c>
      <c r="X50" s="25">
        <f>IF($A50="","",IFERROR(IF(INDEX(in_signed_offices!$A$2:$BZ$81,MATCH($A50,INDEX(in_signed_offices!$A$2:$BZ$81,0,MATCH("office_id",in_signed_offices!$A$1:$BZ$1,0)),0),MATCH("receiving_type",in_signed_offices!$A$1:$BZ$1,0))="","",INDEX(in_signed_offices!$A$2:$BZ$81,MATCH($A50,INDEX(in_signed_offices!$A$2:$BZ$81,0,MATCH("office_id",in_signed_offices!$A$1:$BZ$1,0)),0),MATCH("receiving_type",in_signed_offices!$A$1:$BZ$1,0))),""))</f>
        <v/>
      </c>
      <c r="Y50" s="25">
        <f>IF($A50="","",IFERROR(IF(INDEX(in_signed_offices!$A$2:$BZ$81,MATCH($A50,INDEX(in_signed_offices!$A$2:$BZ$81,0,MATCH("office_id",in_signed_offices!$A$1:$BZ$1,0)),0),MATCH("receiving_window",in_signed_offices!$A$1:$BZ$1,0))="","",INDEX(in_signed_offices!$A$2:$BZ$81,MATCH($A50,INDEX(in_signed_offices!$A$2:$BZ$81,0,MATCH("office_id",in_signed_offices!$A$1:$BZ$1,0)),0),MATCH("receiving_window",in_signed_offices!$A$1:$BZ$1,0))),""))</f>
        <v/>
      </c>
      <c r="Z50" s="25">
        <f>IF($A50="","",IFERROR(IF(INDEX(in_signed_offices!$A$2:$BZ$81,MATCH($A50,INDEX(in_signed_offices!$A$2:$BZ$81,0,MATCH("office_id",in_signed_offices!$A$1:$BZ$1,0)),0),MATCH("coi_required",in_signed_offices!$A$1:$BZ$1,0))="","",INDEX(in_signed_offices!$A$2:$BZ$81,MATCH($A50,INDEX(in_signed_offices!$A$2:$BZ$81,0,MATCH("office_id",in_signed_offices!$A$1:$BZ$1,0)),0),MATCH("coi_required",in_signed_offices!$A$1:$BZ$1,0))),""))</f>
        <v/>
      </c>
      <c r="AA50" s="25">
        <f>IF($A50="","",IFERROR(IF(INDEX(in_signed_offices!$A$2:$BZ$81,MATCH($A50,INDEX(in_signed_offices!$A$2:$BZ$81,0,MATCH("office_id",in_signed_offices!$A$1:$BZ$1,0)),0),MATCH("survey_channel",in_signed_offices!$A$1:$BZ$1,0))="","",INDEX(in_signed_offices!$A$2:$BZ$81,MATCH($A50,INDEX(in_signed_offices!$A$2:$BZ$81,0,MATCH("office_id",in_signed_offices!$A$1:$BZ$1,0)),0),MATCH("survey_channel",in_signed_offices!$A$1:$BZ$1,0))),""))</f>
        <v/>
      </c>
      <c r="AB50" s="25">
        <f>IF($A50="","",IFERROR(IF(INDEX(in_signed_offices!$A$2:$BZ$81,MATCH($A50,INDEX(in_signed_offices!$A$2:$BZ$81,0,MATCH("office_id",in_signed_offices!$A$1:$BZ$1,0)),0),MATCH("categories_wanted",in_signed_offices!$A$1:$BZ$1,0))="","",INDEX(in_signed_offices!$A$2:$BZ$81,MATCH($A50,INDEX(in_signed_offices!$A$2:$BZ$81,0,MATCH("office_id",in_signed_offices!$A$1:$BZ$1,0)),0),MATCH("categories_wanted",in_signed_offices!$A$1:$BZ$1,0))),""))</f>
        <v/>
      </c>
      <c r="AC50" s="25">
        <f>IF($A50="","",IFERROR(IF(INDEX(in_signed_offices!$A$2:$BZ$81,MATCH($A50,INDEX(in_signed_offices!$A$2:$BZ$81,0,MATCH("office_id",in_signed_offices!$A$1:$BZ$1,0)),0),MATCH("vetoes",in_signed_offices!$A$1:$BZ$1,0))="","",INDEX(in_signed_offices!$A$2:$BZ$81,MATCH($A50,INDEX(in_signed_offices!$A$2:$BZ$81,0,MATCH("office_id",in_signed_offices!$A$1:$BZ$1,0)),0),MATCH("vetoes",in_signed_offices!$A$1:$BZ$1,0))),""))</f>
        <v/>
      </c>
      <c r="AD50" s="26">
        <f>IF($A50="","",IFERROR(IF(INDEX(in_signed_offices!$A$2:$BZ$81,MATCH($A50,INDEX(in_signed_offices!$A$2:$BZ$81,0,MATCH("office_id",in_signed_offices!$A$1:$BZ$1,0)),0),MATCH("agreement_signed_date",in_signed_offices!$A$1:$BZ$1,0))="","",INDEX(in_signed_offices!$A$2:$BZ$81,MATCH($A50,INDEX(in_signed_offices!$A$2:$BZ$81,0,MATCH("office_id",in_signed_offices!$A$1:$BZ$1,0)),0),MATCH("agreement_signed_date",in_signed_offices!$A$1:$BZ$1,0))),""))</f>
        <v/>
      </c>
      <c r="AE50" s="25">
        <f>IF($A50="","",IFERROR(IF(INDEX(in_signed_offices!$A$2:$BZ$81,MATCH($A50,INDEX(in_signed_offices!$A$2:$BZ$81,0,MATCH("office_id",in_signed_offices!$A$1:$BZ$1,0)),0),MATCH("founding_roster_named",in_signed_offices!$A$1:$BZ$1,0))="","",INDEX(in_signed_offices!$A$2:$BZ$81,MATCH($A50,INDEX(in_signed_offices!$A$2:$BZ$81,0,MATCH("office_id",in_signed_offices!$A$1:$BZ$1,0)),0),MATCH("founding_roster_named",in_signed_offices!$A$1:$BZ$1,0))),""))</f>
        <v/>
      </c>
      <c r="AF50" s="25">
        <f>IF($A50="","",IFERROR(IF(INDEX(in_signed_offices!$A$2:$BZ$81,MATCH($A50,INDEX(in_signed_offices!$A$2:$BZ$81,0,MATCH("office_id",in_signed_offices!$A$1:$BZ$1,0)),0),MATCH("public_naming_ok",in_signed_offices!$A$1:$BZ$1,0))="","",INDEX(in_signed_offices!$A$2:$BZ$81,MATCH($A50,INDEX(in_signed_offices!$A$2:$BZ$81,0,MATCH("office_id",in_signed_offices!$A$1:$BZ$1,0)),0),MATCH("public_naming_ok",in_signed_offices!$A$1:$BZ$1,0))),""))</f>
        <v/>
      </c>
      <c r="AG50" s="25">
        <f>IF($A50="","",IFERROR(IF(INDEX(in_signed_offices!$A$2:$BZ$81,MATCH($A50,INDEX(in_signed_offices!$A$2:$BZ$81,0,MATCH("office_id",in_signed_offices!$A$1:$BZ$1,0)),0),MATCH("clay_row_id",in_signed_offices!$A$1:$BZ$1,0))="","",INDEX(in_signed_offices!$A$2:$BZ$81,MATCH($A50,INDEX(in_signed_offices!$A$2:$BZ$81,0,MATCH("office_id",in_signed_offices!$A$1:$BZ$1,0)),0),MATCH("clay_row_id",in_signed_offices!$A$1:$BZ$1,0))),""))</f>
        <v/>
      </c>
      <c r="AH50" s="25">
        <f>IF($A50="","",IF($E50&lt;&gt;"",$E50,IFERROR(IF(INDEX(in_signed_offices!$A$2:$BZ$81,MATCH($A50,INDEX(in_signed_offices!$A$2:$BZ$81,0,MATCH("office_id",in_signed_offices!$A$1:$BZ$1,0)),0),MATCH("industry",in_signed_offices!$A$1:$BZ$1,0))="","",INDEX(in_signed_offices!$A$2:$BZ$81,MATCH($A50,INDEX(in_signed_offices!$A$2:$BZ$81,0,MATCH("office_id",in_signed_offices!$A$1:$BZ$1,0)),0),MATCH("industry",in_signed_offices!$A$1:$BZ$1,0))),"")))</f>
        <v/>
      </c>
      <c r="AI50" s="25">
        <f>IF($A50="","",IF($F50&lt;&gt;"",$F50,IF(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lt;&gt;"",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IF($W50="Y",$S50,""))))</f>
        <v/>
      </c>
      <c r="AJ50" s="25">
        <f>IF($A50="","",IF($Q50="","unknown",IF($Q50&lt;40,"under-40",IF($Q50&lt;=75,"40-75",IF($Q50&lt;=150,"76-150",IF($Q50&lt;=250,"151-250",IF($Q50&lt;=500,"251-500","over-500")))))))</f>
        <v/>
      </c>
      <c r="AK50" s="25">
        <f>IF($A50="","",IF($N50="","not on in_signed_offices: paste the outreach file",IF($Q50="","no Tuesday headcount",IF($Q50&lt;30,"below the hard floor of 30",IF($Q50&lt;40,"30 to 39: founder's call",IF($Q50&gt;250,"over 250: outside the plan","OK"))))))</f>
        <v/>
      </c>
      <c r="AL50" s="25">
        <f>IF(OR($A50="",$Q50=""),"",MIN(config!$B$16,MAX(config!$B$15,MROUND(config!$B$13+config!$B$14*$Q50,config!$B$17))))</f>
        <v/>
      </c>
      <c r="AM50" s="25">
        <f>IF($A50="","",COUNTIFS(stops!$B$2:$B$151,$A50,stops!$P$2:$P$151,"&lt;="&amp;IF(config!$B$37&lt;&gt;"",config!$B$37,TODAY())))</f>
        <v/>
      </c>
      <c r="AN50" s="25">
        <f>IF($A50="","",COUNTIFS(stops!$B$2:$B$151,$A50,stops!$L$2:$L$151,"declined"))</f>
        <v/>
      </c>
    </row>
    <row r="51">
      <c r="C51" s="31" t="n"/>
      <c r="D51" s="31" t="n"/>
      <c r="J51" s="9" t="n"/>
      <c r="L51" s="9" t="n"/>
      <c r="N51" s="25">
        <f>IF($A51="","",IFERROR(IF(INDEX(in_signed_offices!$A$2:$BZ$81,MATCH($A51,INDEX(in_signed_offices!$A$2:$BZ$81,0,MATCH("office_id",in_signed_offices!$A$1:$BZ$1,0)),0),MATCH("company",in_signed_offices!$A$1:$BZ$1,0))="","",INDEX(in_signed_offices!$A$2:$BZ$81,MATCH($A51,INDEX(in_signed_offices!$A$2:$BZ$81,0,MATCH("office_id",in_signed_offices!$A$1:$BZ$1,0)),0),MATCH("company",in_signed_offices!$A$1:$BZ$1,0))),""))</f>
        <v/>
      </c>
      <c r="O51" s="25">
        <f>IF($A51="","",IFERROR(IF(INDEX(in_signed_offices!$A$2:$BZ$81,MATCH($A51,INDEX(in_signed_offices!$A$2:$BZ$81,0,MATCH("office_id",in_signed_offices!$A$1:$BZ$1,0)),0),MATCH("office_address",in_signed_offices!$A$1:$BZ$1,0))="","",INDEX(in_signed_offices!$A$2:$BZ$81,MATCH($A51,INDEX(in_signed_offices!$A$2:$BZ$81,0,MATCH("office_id",in_signed_offices!$A$1:$BZ$1,0)),0),MATCH("office_address",in_signed_offices!$A$1:$BZ$1,0))),""))</f>
        <v/>
      </c>
      <c r="P51" s="25">
        <f>IF($A51="","",IFERROR(IF(INDEX(in_signed_offices!$A$2:$BZ$81,MATCH($A51,INDEX(in_signed_offices!$A$2:$BZ$81,0,MATCH("office_id",in_signed_offices!$A$1:$BZ$1,0)),0),MATCH("floor_suite",in_signed_offices!$A$1:$BZ$1,0))="","",INDEX(in_signed_offices!$A$2:$BZ$81,MATCH($A51,INDEX(in_signed_offices!$A$2:$BZ$81,0,MATCH("office_id",in_signed_offices!$A$1:$BZ$1,0)),0),MATCH("floor_suite",in_signed_offices!$A$1:$BZ$1,0))),""))</f>
        <v/>
      </c>
      <c r="Q51" s="25">
        <f>IF($A51="","",IFERROR(IF(INDEX(in_signed_offices!$A$2:$BZ$81,MATCH($A51,INDEX(in_signed_offices!$A$2:$BZ$81,0,MATCH("office_id",in_signed_offices!$A$1:$BZ$1,0)),0),MATCH("tuesday_headcount",in_signed_offices!$A$1:$BZ$1,0))="","",INDEX(in_signed_offices!$A$2:$BZ$81,MATCH($A51,INDEX(in_signed_offices!$A$2:$BZ$81,0,MATCH("office_id",in_signed_offices!$A$1:$BZ$1,0)),0),MATCH("tuesday_headcount",in_signed_offices!$A$1:$BZ$1,0))),""))</f>
        <v/>
      </c>
      <c r="R51" s="25">
        <f>IF($A51="","",IFERROR(IF(INDEX(in_signed_offices!$A$2:$BZ$81,MATCH($A51,INDEX(in_signed_offices!$A$2:$BZ$81,0,MATCH("office_id",in_signed_offices!$A$1:$BZ$1,0)),0),MATCH("contact_name",in_signed_offices!$A$1:$BZ$1,0))="","",INDEX(in_signed_offices!$A$2:$BZ$81,MATCH($A51,INDEX(in_signed_offices!$A$2:$BZ$81,0,MATCH("office_id",in_signed_offices!$A$1:$BZ$1,0)),0),MATCH("contact_name",in_signed_offices!$A$1:$BZ$1,0))),""))</f>
        <v/>
      </c>
      <c r="S51" s="25">
        <f>IF($A51="","",IFERROR(IF(INDEX(in_signed_offices!$A$2:$BZ$81,MATCH($A51,INDEX(in_signed_offices!$A$2:$BZ$81,0,MATCH("office_id",in_signed_offices!$A$1:$BZ$1,0)),0),MATCH("contact_phone",in_signed_offices!$A$1:$BZ$1,0))="","",INDEX(in_signed_offices!$A$2:$BZ$81,MATCH($A51,INDEX(in_signed_offices!$A$2:$BZ$81,0,MATCH("office_id",in_signed_offices!$A$1:$BZ$1,0)),0),MATCH("contact_phone",in_signed_offices!$A$1:$BZ$1,0))),""))</f>
        <v/>
      </c>
      <c r="T51" s="25">
        <f>IF($A51="","",IFERROR(IF(INDEX(in_signed_offices!$A$2:$BZ$81,MATCH($A51,INDEX(in_signed_offices!$A$2:$BZ$81,0,MATCH("office_id",in_signed_offices!$A$1:$BZ$1,0)),0),MATCH("contact_email",in_signed_offices!$A$1:$BZ$1,0))="","",INDEX(in_signed_offices!$A$2:$BZ$81,MATCH($A51,INDEX(in_signed_offices!$A$2:$BZ$81,0,MATCH("office_id",in_signed_offices!$A$1:$BZ$1,0)),0),MATCH("contact_email",in_signed_offices!$A$1:$BZ$1,0))),""))</f>
        <v/>
      </c>
      <c r="U51" s="25">
        <f>IF($A51="","",IFERROR(IF(INDEX(in_signed_offices!$A$2:$BZ$81,MATCH($A51,INDEX(in_signed_offices!$A$2:$BZ$81,0,MATCH("office_id",in_signed_offices!$A$1:$BZ$1,0)),0),MATCH("pantry_owner_name",in_signed_offices!$A$1:$BZ$1,0))="","",INDEX(in_signed_offices!$A$2:$BZ$81,MATCH($A51,INDEX(in_signed_offices!$A$2:$BZ$81,0,MATCH("office_id",in_signed_offices!$A$1:$BZ$1,0)),0),MATCH("pantry_owner_name",in_signed_offices!$A$1:$BZ$1,0))),""))</f>
        <v/>
      </c>
      <c r="V51" s="25">
        <f>IF($A51="","",IFERROR(IF(INDEX(in_signed_offices!$A$2:$BZ$81,MATCH($A51,INDEX(in_signed_offices!$A$2:$BZ$81,0,MATCH("office_id",in_signed_offices!$A$1:$BZ$1,0)),0),MATCH("pantry_owner_title",in_signed_offices!$A$1:$BZ$1,0))="","",INDEX(in_signed_offices!$A$2:$BZ$81,MATCH($A51,INDEX(in_signed_offices!$A$2:$BZ$81,0,MATCH("office_id",in_signed_offices!$A$1:$BZ$1,0)),0),MATCH("pantry_owner_title",in_signed_offices!$A$1:$BZ$1,0))),""))</f>
        <v/>
      </c>
      <c r="W51" s="25">
        <f>IF($A51="","",IFERROR(IF(INDEX(in_signed_offices!$A$2:$BZ$81,MATCH($A51,INDEX(in_signed_offices!$A$2:$BZ$81,0,MATCH("office_id",in_signed_offices!$A$1:$BZ$1,0)),0),MATCH("pantry_owner_is_contact",in_signed_offices!$A$1:$BZ$1,0))="","",INDEX(in_signed_offices!$A$2:$BZ$81,MATCH($A51,INDEX(in_signed_offices!$A$2:$BZ$81,0,MATCH("office_id",in_signed_offices!$A$1:$BZ$1,0)),0),MATCH("pantry_owner_is_contact",in_signed_offices!$A$1:$BZ$1,0))),""))</f>
        <v/>
      </c>
      <c r="X51" s="25">
        <f>IF($A51="","",IFERROR(IF(INDEX(in_signed_offices!$A$2:$BZ$81,MATCH($A51,INDEX(in_signed_offices!$A$2:$BZ$81,0,MATCH("office_id",in_signed_offices!$A$1:$BZ$1,0)),0),MATCH("receiving_type",in_signed_offices!$A$1:$BZ$1,0))="","",INDEX(in_signed_offices!$A$2:$BZ$81,MATCH($A51,INDEX(in_signed_offices!$A$2:$BZ$81,0,MATCH("office_id",in_signed_offices!$A$1:$BZ$1,0)),0),MATCH("receiving_type",in_signed_offices!$A$1:$BZ$1,0))),""))</f>
        <v/>
      </c>
      <c r="Y51" s="25">
        <f>IF($A51="","",IFERROR(IF(INDEX(in_signed_offices!$A$2:$BZ$81,MATCH($A51,INDEX(in_signed_offices!$A$2:$BZ$81,0,MATCH("office_id",in_signed_offices!$A$1:$BZ$1,0)),0),MATCH("receiving_window",in_signed_offices!$A$1:$BZ$1,0))="","",INDEX(in_signed_offices!$A$2:$BZ$81,MATCH($A51,INDEX(in_signed_offices!$A$2:$BZ$81,0,MATCH("office_id",in_signed_offices!$A$1:$BZ$1,0)),0),MATCH("receiving_window",in_signed_offices!$A$1:$BZ$1,0))),""))</f>
        <v/>
      </c>
      <c r="Z51" s="25">
        <f>IF($A51="","",IFERROR(IF(INDEX(in_signed_offices!$A$2:$BZ$81,MATCH($A51,INDEX(in_signed_offices!$A$2:$BZ$81,0,MATCH("office_id",in_signed_offices!$A$1:$BZ$1,0)),0),MATCH("coi_required",in_signed_offices!$A$1:$BZ$1,0))="","",INDEX(in_signed_offices!$A$2:$BZ$81,MATCH($A51,INDEX(in_signed_offices!$A$2:$BZ$81,0,MATCH("office_id",in_signed_offices!$A$1:$BZ$1,0)),0),MATCH("coi_required",in_signed_offices!$A$1:$BZ$1,0))),""))</f>
        <v/>
      </c>
      <c r="AA51" s="25">
        <f>IF($A51="","",IFERROR(IF(INDEX(in_signed_offices!$A$2:$BZ$81,MATCH($A51,INDEX(in_signed_offices!$A$2:$BZ$81,0,MATCH("office_id",in_signed_offices!$A$1:$BZ$1,0)),0),MATCH("survey_channel",in_signed_offices!$A$1:$BZ$1,0))="","",INDEX(in_signed_offices!$A$2:$BZ$81,MATCH($A51,INDEX(in_signed_offices!$A$2:$BZ$81,0,MATCH("office_id",in_signed_offices!$A$1:$BZ$1,0)),0),MATCH("survey_channel",in_signed_offices!$A$1:$BZ$1,0))),""))</f>
        <v/>
      </c>
      <c r="AB51" s="25">
        <f>IF($A51="","",IFERROR(IF(INDEX(in_signed_offices!$A$2:$BZ$81,MATCH($A51,INDEX(in_signed_offices!$A$2:$BZ$81,0,MATCH("office_id",in_signed_offices!$A$1:$BZ$1,0)),0),MATCH("categories_wanted",in_signed_offices!$A$1:$BZ$1,0))="","",INDEX(in_signed_offices!$A$2:$BZ$81,MATCH($A51,INDEX(in_signed_offices!$A$2:$BZ$81,0,MATCH("office_id",in_signed_offices!$A$1:$BZ$1,0)),0),MATCH("categories_wanted",in_signed_offices!$A$1:$BZ$1,0))),""))</f>
        <v/>
      </c>
      <c r="AC51" s="25">
        <f>IF($A51="","",IFERROR(IF(INDEX(in_signed_offices!$A$2:$BZ$81,MATCH($A51,INDEX(in_signed_offices!$A$2:$BZ$81,0,MATCH("office_id",in_signed_offices!$A$1:$BZ$1,0)),0),MATCH("vetoes",in_signed_offices!$A$1:$BZ$1,0))="","",INDEX(in_signed_offices!$A$2:$BZ$81,MATCH($A51,INDEX(in_signed_offices!$A$2:$BZ$81,0,MATCH("office_id",in_signed_offices!$A$1:$BZ$1,0)),0),MATCH("vetoes",in_signed_offices!$A$1:$BZ$1,0))),""))</f>
        <v/>
      </c>
      <c r="AD51" s="26">
        <f>IF($A51="","",IFERROR(IF(INDEX(in_signed_offices!$A$2:$BZ$81,MATCH($A51,INDEX(in_signed_offices!$A$2:$BZ$81,0,MATCH("office_id",in_signed_offices!$A$1:$BZ$1,0)),0),MATCH("agreement_signed_date",in_signed_offices!$A$1:$BZ$1,0))="","",INDEX(in_signed_offices!$A$2:$BZ$81,MATCH($A51,INDEX(in_signed_offices!$A$2:$BZ$81,0,MATCH("office_id",in_signed_offices!$A$1:$BZ$1,0)),0),MATCH("agreement_signed_date",in_signed_offices!$A$1:$BZ$1,0))),""))</f>
        <v/>
      </c>
      <c r="AE51" s="25">
        <f>IF($A51="","",IFERROR(IF(INDEX(in_signed_offices!$A$2:$BZ$81,MATCH($A51,INDEX(in_signed_offices!$A$2:$BZ$81,0,MATCH("office_id",in_signed_offices!$A$1:$BZ$1,0)),0),MATCH("founding_roster_named",in_signed_offices!$A$1:$BZ$1,0))="","",INDEX(in_signed_offices!$A$2:$BZ$81,MATCH($A51,INDEX(in_signed_offices!$A$2:$BZ$81,0,MATCH("office_id",in_signed_offices!$A$1:$BZ$1,0)),0),MATCH("founding_roster_named",in_signed_offices!$A$1:$BZ$1,0))),""))</f>
        <v/>
      </c>
      <c r="AF51" s="25">
        <f>IF($A51="","",IFERROR(IF(INDEX(in_signed_offices!$A$2:$BZ$81,MATCH($A51,INDEX(in_signed_offices!$A$2:$BZ$81,0,MATCH("office_id",in_signed_offices!$A$1:$BZ$1,0)),0),MATCH("public_naming_ok",in_signed_offices!$A$1:$BZ$1,0))="","",INDEX(in_signed_offices!$A$2:$BZ$81,MATCH($A51,INDEX(in_signed_offices!$A$2:$BZ$81,0,MATCH("office_id",in_signed_offices!$A$1:$BZ$1,0)),0),MATCH("public_naming_ok",in_signed_offices!$A$1:$BZ$1,0))),""))</f>
        <v/>
      </c>
      <c r="AG51" s="25">
        <f>IF($A51="","",IFERROR(IF(INDEX(in_signed_offices!$A$2:$BZ$81,MATCH($A51,INDEX(in_signed_offices!$A$2:$BZ$81,0,MATCH("office_id",in_signed_offices!$A$1:$BZ$1,0)),0),MATCH("clay_row_id",in_signed_offices!$A$1:$BZ$1,0))="","",INDEX(in_signed_offices!$A$2:$BZ$81,MATCH($A51,INDEX(in_signed_offices!$A$2:$BZ$81,0,MATCH("office_id",in_signed_offices!$A$1:$BZ$1,0)),0),MATCH("clay_row_id",in_signed_offices!$A$1:$BZ$1,0))),""))</f>
        <v/>
      </c>
      <c r="AH51" s="25">
        <f>IF($A51="","",IF($E51&lt;&gt;"",$E51,IFERROR(IF(INDEX(in_signed_offices!$A$2:$BZ$81,MATCH($A51,INDEX(in_signed_offices!$A$2:$BZ$81,0,MATCH("office_id",in_signed_offices!$A$1:$BZ$1,0)),0),MATCH("industry",in_signed_offices!$A$1:$BZ$1,0))="","",INDEX(in_signed_offices!$A$2:$BZ$81,MATCH($A51,INDEX(in_signed_offices!$A$2:$BZ$81,0,MATCH("office_id",in_signed_offices!$A$1:$BZ$1,0)),0),MATCH("industry",in_signed_offices!$A$1:$BZ$1,0))),"")))</f>
        <v/>
      </c>
      <c r="AI51" s="25">
        <f>IF($A51="","",IF($F51&lt;&gt;"",$F51,IF(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lt;&gt;"",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IF($W51="Y",$S51,""))))</f>
        <v/>
      </c>
      <c r="AJ51" s="25">
        <f>IF($A51="","",IF($Q51="","unknown",IF($Q51&lt;40,"under-40",IF($Q51&lt;=75,"40-75",IF($Q51&lt;=150,"76-150",IF($Q51&lt;=250,"151-250",IF($Q51&lt;=500,"251-500","over-500")))))))</f>
        <v/>
      </c>
      <c r="AK51" s="25">
        <f>IF($A51="","",IF($N51="","not on in_signed_offices: paste the outreach file",IF($Q51="","no Tuesday headcount",IF($Q51&lt;30,"below the hard floor of 30",IF($Q51&lt;40,"30 to 39: founder's call",IF($Q51&gt;250,"over 250: outside the plan","OK"))))))</f>
        <v/>
      </c>
      <c r="AL51" s="25">
        <f>IF(OR($A51="",$Q51=""),"",MIN(config!$B$16,MAX(config!$B$15,MROUND(config!$B$13+config!$B$14*$Q51,config!$B$17))))</f>
        <v/>
      </c>
      <c r="AM51" s="25">
        <f>IF($A51="","",COUNTIFS(stops!$B$2:$B$151,$A51,stops!$P$2:$P$151,"&lt;="&amp;IF(config!$B$37&lt;&gt;"",config!$B$37,TODAY())))</f>
        <v/>
      </c>
      <c r="AN51" s="25">
        <f>IF($A51="","",COUNTIFS(stops!$B$2:$B$151,$A51,stops!$L$2:$L$151,"declined"))</f>
        <v/>
      </c>
    </row>
    <row r="52">
      <c r="C52" s="31" t="n"/>
      <c r="D52" s="31" t="n"/>
      <c r="J52" s="9" t="n"/>
      <c r="L52" s="9" t="n"/>
      <c r="N52" s="25">
        <f>IF($A52="","",IFERROR(IF(INDEX(in_signed_offices!$A$2:$BZ$81,MATCH($A52,INDEX(in_signed_offices!$A$2:$BZ$81,0,MATCH("office_id",in_signed_offices!$A$1:$BZ$1,0)),0),MATCH("company",in_signed_offices!$A$1:$BZ$1,0))="","",INDEX(in_signed_offices!$A$2:$BZ$81,MATCH($A52,INDEX(in_signed_offices!$A$2:$BZ$81,0,MATCH("office_id",in_signed_offices!$A$1:$BZ$1,0)),0),MATCH("company",in_signed_offices!$A$1:$BZ$1,0))),""))</f>
        <v/>
      </c>
      <c r="O52" s="25">
        <f>IF($A52="","",IFERROR(IF(INDEX(in_signed_offices!$A$2:$BZ$81,MATCH($A52,INDEX(in_signed_offices!$A$2:$BZ$81,0,MATCH("office_id",in_signed_offices!$A$1:$BZ$1,0)),0),MATCH("office_address",in_signed_offices!$A$1:$BZ$1,0))="","",INDEX(in_signed_offices!$A$2:$BZ$81,MATCH($A52,INDEX(in_signed_offices!$A$2:$BZ$81,0,MATCH("office_id",in_signed_offices!$A$1:$BZ$1,0)),0),MATCH("office_address",in_signed_offices!$A$1:$BZ$1,0))),""))</f>
        <v/>
      </c>
      <c r="P52" s="25">
        <f>IF($A52="","",IFERROR(IF(INDEX(in_signed_offices!$A$2:$BZ$81,MATCH($A52,INDEX(in_signed_offices!$A$2:$BZ$81,0,MATCH("office_id",in_signed_offices!$A$1:$BZ$1,0)),0),MATCH("floor_suite",in_signed_offices!$A$1:$BZ$1,0))="","",INDEX(in_signed_offices!$A$2:$BZ$81,MATCH($A52,INDEX(in_signed_offices!$A$2:$BZ$81,0,MATCH("office_id",in_signed_offices!$A$1:$BZ$1,0)),0),MATCH("floor_suite",in_signed_offices!$A$1:$BZ$1,0))),""))</f>
        <v/>
      </c>
      <c r="Q52" s="25">
        <f>IF($A52="","",IFERROR(IF(INDEX(in_signed_offices!$A$2:$BZ$81,MATCH($A52,INDEX(in_signed_offices!$A$2:$BZ$81,0,MATCH("office_id",in_signed_offices!$A$1:$BZ$1,0)),0),MATCH("tuesday_headcount",in_signed_offices!$A$1:$BZ$1,0))="","",INDEX(in_signed_offices!$A$2:$BZ$81,MATCH($A52,INDEX(in_signed_offices!$A$2:$BZ$81,0,MATCH("office_id",in_signed_offices!$A$1:$BZ$1,0)),0),MATCH("tuesday_headcount",in_signed_offices!$A$1:$BZ$1,0))),""))</f>
        <v/>
      </c>
      <c r="R52" s="25">
        <f>IF($A52="","",IFERROR(IF(INDEX(in_signed_offices!$A$2:$BZ$81,MATCH($A52,INDEX(in_signed_offices!$A$2:$BZ$81,0,MATCH("office_id",in_signed_offices!$A$1:$BZ$1,0)),0),MATCH("contact_name",in_signed_offices!$A$1:$BZ$1,0))="","",INDEX(in_signed_offices!$A$2:$BZ$81,MATCH($A52,INDEX(in_signed_offices!$A$2:$BZ$81,0,MATCH("office_id",in_signed_offices!$A$1:$BZ$1,0)),0),MATCH("contact_name",in_signed_offices!$A$1:$BZ$1,0))),""))</f>
        <v/>
      </c>
      <c r="S52" s="25">
        <f>IF($A52="","",IFERROR(IF(INDEX(in_signed_offices!$A$2:$BZ$81,MATCH($A52,INDEX(in_signed_offices!$A$2:$BZ$81,0,MATCH("office_id",in_signed_offices!$A$1:$BZ$1,0)),0),MATCH("contact_phone",in_signed_offices!$A$1:$BZ$1,0))="","",INDEX(in_signed_offices!$A$2:$BZ$81,MATCH($A52,INDEX(in_signed_offices!$A$2:$BZ$81,0,MATCH("office_id",in_signed_offices!$A$1:$BZ$1,0)),0),MATCH("contact_phone",in_signed_offices!$A$1:$BZ$1,0))),""))</f>
        <v/>
      </c>
      <c r="T52" s="25">
        <f>IF($A52="","",IFERROR(IF(INDEX(in_signed_offices!$A$2:$BZ$81,MATCH($A52,INDEX(in_signed_offices!$A$2:$BZ$81,0,MATCH("office_id",in_signed_offices!$A$1:$BZ$1,0)),0),MATCH("contact_email",in_signed_offices!$A$1:$BZ$1,0))="","",INDEX(in_signed_offices!$A$2:$BZ$81,MATCH($A52,INDEX(in_signed_offices!$A$2:$BZ$81,0,MATCH("office_id",in_signed_offices!$A$1:$BZ$1,0)),0),MATCH("contact_email",in_signed_offices!$A$1:$BZ$1,0))),""))</f>
        <v/>
      </c>
      <c r="U52" s="25">
        <f>IF($A52="","",IFERROR(IF(INDEX(in_signed_offices!$A$2:$BZ$81,MATCH($A52,INDEX(in_signed_offices!$A$2:$BZ$81,0,MATCH("office_id",in_signed_offices!$A$1:$BZ$1,0)),0),MATCH("pantry_owner_name",in_signed_offices!$A$1:$BZ$1,0))="","",INDEX(in_signed_offices!$A$2:$BZ$81,MATCH($A52,INDEX(in_signed_offices!$A$2:$BZ$81,0,MATCH("office_id",in_signed_offices!$A$1:$BZ$1,0)),0),MATCH("pantry_owner_name",in_signed_offices!$A$1:$BZ$1,0))),""))</f>
        <v/>
      </c>
      <c r="V52" s="25">
        <f>IF($A52="","",IFERROR(IF(INDEX(in_signed_offices!$A$2:$BZ$81,MATCH($A52,INDEX(in_signed_offices!$A$2:$BZ$81,0,MATCH("office_id",in_signed_offices!$A$1:$BZ$1,0)),0),MATCH("pantry_owner_title",in_signed_offices!$A$1:$BZ$1,0))="","",INDEX(in_signed_offices!$A$2:$BZ$81,MATCH($A52,INDEX(in_signed_offices!$A$2:$BZ$81,0,MATCH("office_id",in_signed_offices!$A$1:$BZ$1,0)),0),MATCH("pantry_owner_title",in_signed_offices!$A$1:$BZ$1,0))),""))</f>
        <v/>
      </c>
      <c r="W52" s="25">
        <f>IF($A52="","",IFERROR(IF(INDEX(in_signed_offices!$A$2:$BZ$81,MATCH($A52,INDEX(in_signed_offices!$A$2:$BZ$81,0,MATCH("office_id",in_signed_offices!$A$1:$BZ$1,0)),0),MATCH("pantry_owner_is_contact",in_signed_offices!$A$1:$BZ$1,0))="","",INDEX(in_signed_offices!$A$2:$BZ$81,MATCH($A52,INDEX(in_signed_offices!$A$2:$BZ$81,0,MATCH("office_id",in_signed_offices!$A$1:$BZ$1,0)),0),MATCH("pantry_owner_is_contact",in_signed_offices!$A$1:$BZ$1,0))),""))</f>
        <v/>
      </c>
      <c r="X52" s="25">
        <f>IF($A52="","",IFERROR(IF(INDEX(in_signed_offices!$A$2:$BZ$81,MATCH($A52,INDEX(in_signed_offices!$A$2:$BZ$81,0,MATCH("office_id",in_signed_offices!$A$1:$BZ$1,0)),0),MATCH("receiving_type",in_signed_offices!$A$1:$BZ$1,0))="","",INDEX(in_signed_offices!$A$2:$BZ$81,MATCH($A52,INDEX(in_signed_offices!$A$2:$BZ$81,0,MATCH("office_id",in_signed_offices!$A$1:$BZ$1,0)),0),MATCH("receiving_type",in_signed_offices!$A$1:$BZ$1,0))),""))</f>
        <v/>
      </c>
      <c r="Y52" s="25">
        <f>IF($A52="","",IFERROR(IF(INDEX(in_signed_offices!$A$2:$BZ$81,MATCH($A52,INDEX(in_signed_offices!$A$2:$BZ$81,0,MATCH("office_id",in_signed_offices!$A$1:$BZ$1,0)),0),MATCH("receiving_window",in_signed_offices!$A$1:$BZ$1,0))="","",INDEX(in_signed_offices!$A$2:$BZ$81,MATCH($A52,INDEX(in_signed_offices!$A$2:$BZ$81,0,MATCH("office_id",in_signed_offices!$A$1:$BZ$1,0)),0),MATCH("receiving_window",in_signed_offices!$A$1:$BZ$1,0))),""))</f>
        <v/>
      </c>
      <c r="Z52" s="25">
        <f>IF($A52="","",IFERROR(IF(INDEX(in_signed_offices!$A$2:$BZ$81,MATCH($A52,INDEX(in_signed_offices!$A$2:$BZ$81,0,MATCH("office_id",in_signed_offices!$A$1:$BZ$1,0)),0),MATCH("coi_required",in_signed_offices!$A$1:$BZ$1,0))="","",INDEX(in_signed_offices!$A$2:$BZ$81,MATCH($A52,INDEX(in_signed_offices!$A$2:$BZ$81,0,MATCH("office_id",in_signed_offices!$A$1:$BZ$1,0)),0),MATCH("coi_required",in_signed_offices!$A$1:$BZ$1,0))),""))</f>
        <v/>
      </c>
      <c r="AA52" s="25">
        <f>IF($A52="","",IFERROR(IF(INDEX(in_signed_offices!$A$2:$BZ$81,MATCH($A52,INDEX(in_signed_offices!$A$2:$BZ$81,0,MATCH("office_id",in_signed_offices!$A$1:$BZ$1,0)),0),MATCH("survey_channel",in_signed_offices!$A$1:$BZ$1,0))="","",INDEX(in_signed_offices!$A$2:$BZ$81,MATCH($A52,INDEX(in_signed_offices!$A$2:$BZ$81,0,MATCH("office_id",in_signed_offices!$A$1:$BZ$1,0)),0),MATCH("survey_channel",in_signed_offices!$A$1:$BZ$1,0))),""))</f>
        <v/>
      </c>
      <c r="AB52" s="25">
        <f>IF($A52="","",IFERROR(IF(INDEX(in_signed_offices!$A$2:$BZ$81,MATCH($A52,INDEX(in_signed_offices!$A$2:$BZ$81,0,MATCH("office_id",in_signed_offices!$A$1:$BZ$1,0)),0),MATCH("categories_wanted",in_signed_offices!$A$1:$BZ$1,0))="","",INDEX(in_signed_offices!$A$2:$BZ$81,MATCH($A52,INDEX(in_signed_offices!$A$2:$BZ$81,0,MATCH("office_id",in_signed_offices!$A$1:$BZ$1,0)),0),MATCH("categories_wanted",in_signed_offices!$A$1:$BZ$1,0))),""))</f>
        <v/>
      </c>
      <c r="AC52" s="25">
        <f>IF($A52="","",IFERROR(IF(INDEX(in_signed_offices!$A$2:$BZ$81,MATCH($A52,INDEX(in_signed_offices!$A$2:$BZ$81,0,MATCH("office_id",in_signed_offices!$A$1:$BZ$1,0)),0),MATCH("vetoes",in_signed_offices!$A$1:$BZ$1,0))="","",INDEX(in_signed_offices!$A$2:$BZ$81,MATCH($A52,INDEX(in_signed_offices!$A$2:$BZ$81,0,MATCH("office_id",in_signed_offices!$A$1:$BZ$1,0)),0),MATCH("vetoes",in_signed_offices!$A$1:$BZ$1,0))),""))</f>
        <v/>
      </c>
      <c r="AD52" s="26">
        <f>IF($A52="","",IFERROR(IF(INDEX(in_signed_offices!$A$2:$BZ$81,MATCH($A52,INDEX(in_signed_offices!$A$2:$BZ$81,0,MATCH("office_id",in_signed_offices!$A$1:$BZ$1,0)),0),MATCH("agreement_signed_date",in_signed_offices!$A$1:$BZ$1,0))="","",INDEX(in_signed_offices!$A$2:$BZ$81,MATCH($A52,INDEX(in_signed_offices!$A$2:$BZ$81,0,MATCH("office_id",in_signed_offices!$A$1:$BZ$1,0)),0),MATCH("agreement_signed_date",in_signed_offices!$A$1:$BZ$1,0))),""))</f>
        <v/>
      </c>
      <c r="AE52" s="25">
        <f>IF($A52="","",IFERROR(IF(INDEX(in_signed_offices!$A$2:$BZ$81,MATCH($A52,INDEX(in_signed_offices!$A$2:$BZ$81,0,MATCH("office_id",in_signed_offices!$A$1:$BZ$1,0)),0),MATCH("founding_roster_named",in_signed_offices!$A$1:$BZ$1,0))="","",INDEX(in_signed_offices!$A$2:$BZ$81,MATCH($A52,INDEX(in_signed_offices!$A$2:$BZ$81,0,MATCH("office_id",in_signed_offices!$A$1:$BZ$1,0)),0),MATCH("founding_roster_named",in_signed_offices!$A$1:$BZ$1,0))),""))</f>
        <v/>
      </c>
      <c r="AF52" s="25">
        <f>IF($A52="","",IFERROR(IF(INDEX(in_signed_offices!$A$2:$BZ$81,MATCH($A52,INDEX(in_signed_offices!$A$2:$BZ$81,0,MATCH("office_id",in_signed_offices!$A$1:$BZ$1,0)),0),MATCH("public_naming_ok",in_signed_offices!$A$1:$BZ$1,0))="","",INDEX(in_signed_offices!$A$2:$BZ$81,MATCH($A52,INDEX(in_signed_offices!$A$2:$BZ$81,0,MATCH("office_id",in_signed_offices!$A$1:$BZ$1,0)),0),MATCH("public_naming_ok",in_signed_offices!$A$1:$BZ$1,0))),""))</f>
        <v/>
      </c>
      <c r="AG52" s="25">
        <f>IF($A52="","",IFERROR(IF(INDEX(in_signed_offices!$A$2:$BZ$81,MATCH($A52,INDEX(in_signed_offices!$A$2:$BZ$81,0,MATCH("office_id",in_signed_offices!$A$1:$BZ$1,0)),0),MATCH("clay_row_id",in_signed_offices!$A$1:$BZ$1,0))="","",INDEX(in_signed_offices!$A$2:$BZ$81,MATCH($A52,INDEX(in_signed_offices!$A$2:$BZ$81,0,MATCH("office_id",in_signed_offices!$A$1:$BZ$1,0)),0),MATCH("clay_row_id",in_signed_offices!$A$1:$BZ$1,0))),""))</f>
        <v/>
      </c>
      <c r="AH52" s="25">
        <f>IF($A52="","",IF($E52&lt;&gt;"",$E52,IFERROR(IF(INDEX(in_signed_offices!$A$2:$BZ$81,MATCH($A52,INDEX(in_signed_offices!$A$2:$BZ$81,0,MATCH("office_id",in_signed_offices!$A$1:$BZ$1,0)),0),MATCH("industry",in_signed_offices!$A$1:$BZ$1,0))="","",INDEX(in_signed_offices!$A$2:$BZ$81,MATCH($A52,INDEX(in_signed_offices!$A$2:$BZ$81,0,MATCH("office_id",in_signed_offices!$A$1:$BZ$1,0)),0),MATCH("industry",in_signed_offices!$A$1:$BZ$1,0))),"")))</f>
        <v/>
      </c>
      <c r="AI52" s="25">
        <f>IF($A52="","",IF($F52&lt;&gt;"",$F52,IF(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lt;&gt;"",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IF($W52="Y",$S52,""))))</f>
        <v/>
      </c>
      <c r="AJ52" s="25">
        <f>IF($A52="","",IF($Q52="","unknown",IF($Q52&lt;40,"under-40",IF($Q52&lt;=75,"40-75",IF($Q52&lt;=150,"76-150",IF($Q52&lt;=250,"151-250",IF($Q52&lt;=500,"251-500","over-500")))))))</f>
        <v/>
      </c>
      <c r="AK52" s="25">
        <f>IF($A52="","",IF($N52="","not on in_signed_offices: paste the outreach file",IF($Q52="","no Tuesday headcount",IF($Q52&lt;30,"below the hard floor of 30",IF($Q52&lt;40,"30 to 39: founder's call",IF($Q52&gt;250,"over 250: outside the plan","OK"))))))</f>
        <v/>
      </c>
      <c r="AL52" s="25">
        <f>IF(OR($A52="",$Q52=""),"",MIN(config!$B$16,MAX(config!$B$15,MROUND(config!$B$13+config!$B$14*$Q52,config!$B$17))))</f>
        <v/>
      </c>
      <c r="AM52" s="25">
        <f>IF($A52="","",COUNTIFS(stops!$B$2:$B$151,$A52,stops!$P$2:$P$151,"&lt;="&amp;IF(config!$B$37&lt;&gt;"",config!$B$37,TODAY())))</f>
        <v/>
      </c>
      <c r="AN52" s="25">
        <f>IF($A52="","",COUNTIFS(stops!$B$2:$B$151,$A52,stops!$L$2:$L$151,"declined"))</f>
        <v/>
      </c>
    </row>
    <row r="53">
      <c r="C53" s="31" t="n"/>
      <c r="D53" s="31" t="n"/>
      <c r="J53" s="9" t="n"/>
      <c r="L53" s="9" t="n"/>
      <c r="N53" s="25">
        <f>IF($A53="","",IFERROR(IF(INDEX(in_signed_offices!$A$2:$BZ$81,MATCH($A53,INDEX(in_signed_offices!$A$2:$BZ$81,0,MATCH("office_id",in_signed_offices!$A$1:$BZ$1,0)),0),MATCH("company",in_signed_offices!$A$1:$BZ$1,0))="","",INDEX(in_signed_offices!$A$2:$BZ$81,MATCH($A53,INDEX(in_signed_offices!$A$2:$BZ$81,0,MATCH("office_id",in_signed_offices!$A$1:$BZ$1,0)),0),MATCH("company",in_signed_offices!$A$1:$BZ$1,0))),""))</f>
        <v/>
      </c>
      <c r="O53" s="25">
        <f>IF($A53="","",IFERROR(IF(INDEX(in_signed_offices!$A$2:$BZ$81,MATCH($A53,INDEX(in_signed_offices!$A$2:$BZ$81,0,MATCH("office_id",in_signed_offices!$A$1:$BZ$1,0)),0),MATCH("office_address",in_signed_offices!$A$1:$BZ$1,0))="","",INDEX(in_signed_offices!$A$2:$BZ$81,MATCH($A53,INDEX(in_signed_offices!$A$2:$BZ$81,0,MATCH("office_id",in_signed_offices!$A$1:$BZ$1,0)),0),MATCH("office_address",in_signed_offices!$A$1:$BZ$1,0))),""))</f>
        <v/>
      </c>
      <c r="P53" s="25">
        <f>IF($A53="","",IFERROR(IF(INDEX(in_signed_offices!$A$2:$BZ$81,MATCH($A53,INDEX(in_signed_offices!$A$2:$BZ$81,0,MATCH("office_id",in_signed_offices!$A$1:$BZ$1,0)),0),MATCH("floor_suite",in_signed_offices!$A$1:$BZ$1,0))="","",INDEX(in_signed_offices!$A$2:$BZ$81,MATCH($A53,INDEX(in_signed_offices!$A$2:$BZ$81,0,MATCH("office_id",in_signed_offices!$A$1:$BZ$1,0)),0),MATCH("floor_suite",in_signed_offices!$A$1:$BZ$1,0))),""))</f>
        <v/>
      </c>
      <c r="Q53" s="25">
        <f>IF($A53="","",IFERROR(IF(INDEX(in_signed_offices!$A$2:$BZ$81,MATCH($A53,INDEX(in_signed_offices!$A$2:$BZ$81,0,MATCH("office_id",in_signed_offices!$A$1:$BZ$1,0)),0),MATCH("tuesday_headcount",in_signed_offices!$A$1:$BZ$1,0))="","",INDEX(in_signed_offices!$A$2:$BZ$81,MATCH($A53,INDEX(in_signed_offices!$A$2:$BZ$81,0,MATCH("office_id",in_signed_offices!$A$1:$BZ$1,0)),0),MATCH("tuesday_headcount",in_signed_offices!$A$1:$BZ$1,0))),""))</f>
        <v/>
      </c>
      <c r="R53" s="25">
        <f>IF($A53="","",IFERROR(IF(INDEX(in_signed_offices!$A$2:$BZ$81,MATCH($A53,INDEX(in_signed_offices!$A$2:$BZ$81,0,MATCH("office_id",in_signed_offices!$A$1:$BZ$1,0)),0),MATCH("contact_name",in_signed_offices!$A$1:$BZ$1,0))="","",INDEX(in_signed_offices!$A$2:$BZ$81,MATCH($A53,INDEX(in_signed_offices!$A$2:$BZ$81,0,MATCH("office_id",in_signed_offices!$A$1:$BZ$1,0)),0),MATCH("contact_name",in_signed_offices!$A$1:$BZ$1,0))),""))</f>
        <v/>
      </c>
      <c r="S53" s="25">
        <f>IF($A53="","",IFERROR(IF(INDEX(in_signed_offices!$A$2:$BZ$81,MATCH($A53,INDEX(in_signed_offices!$A$2:$BZ$81,0,MATCH("office_id",in_signed_offices!$A$1:$BZ$1,0)),0),MATCH("contact_phone",in_signed_offices!$A$1:$BZ$1,0))="","",INDEX(in_signed_offices!$A$2:$BZ$81,MATCH($A53,INDEX(in_signed_offices!$A$2:$BZ$81,0,MATCH("office_id",in_signed_offices!$A$1:$BZ$1,0)),0),MATCH("contact_phone",in_signed_offices!$A$1:$BZ$1,0))),""))</f>
        <v/>
      </c>
      <c r="T53" s="25">
        <f>IF($A53="","",IFERROR(IF(INDEX(in_signed_offices!$A$2:$BZ$81,MATCH($A53,INDEX(in_signed_offices!$A$2:$BZ$81,0,MATCH("office_id",in_signed_offices!$A$1:$BZ$1,0)),0),MATCH("contact_email",in_signed_offices!$A$1:$BZ$1,0))="","",INDEX(in_signed_offices!$A$2:$BZ$81,MATCH($A53,INDEX(in_signed_offices!$A$2:$BZ$81,0,MATCH("office_id",in_signed_offices!$A$1:$BZ$1,0)),0),MATCH("contact_email",in_signed_offices!$A$1:$BZ$1,0))),""))</f>
        <v/>
      </c>
      <c r="U53" s="25">
        <f>IF($A53="","",IFERROR(IF(INDEX(in_signed_offices!$A$2:$BZ$81,MATCH($A53,INDEX(in_signed_offices!$A$2:$BZ$81,0,MATCH("office_id",in_signed_offices!$A$1:$BZ$1,0)),0),MATCH("pantry_owner_name",in_signed_offices!$A$1:$BZ$1,0))="","",INDEX(in_signed_offices!$A$2:$BZ$81,MATCH($A53,INDEX(in_signed_offices!$A$2:$BZ$81,0,MATCH("office_id",in_signed_offices!$A$1:$BZ$1,0)),0),MATCH("pantry_owner_name",in_signed_offices!$A$1:$BZ$1,0))),""))</f>
        <v/>
      </c>
      <c r="V53" s="25">
        <f>IF($A53="","",IFERROR(IF(INDEX(in_signed_offices!$A$2:$BZ$81,MATCH($A53,INDEX(in_signed_offices!$A$2:$BZ$81,0,MATCH("office_id",in_signed_offices!$A$1:$BZ$1,0)),0),MATCH("pantry_owner_title",in_signed_offices!$A$1:$BZ$1,0))="","",INDEX(in_signed_offices!$A$2:$BZ$81,MATCH($A53,INDEX(in_signed_offices!$A$2:$BZ$81,0,MATCH("office_id",in_signed_offices!$A$1:$BZ$1,0)),0),MATCH("pantry_owner_title",in_signed_offices!$A$1:$BZ$1,0))),""))</f>
        <v/>
      </c>
      <c r="W53" s="25">
        <f>IF($A53="","",IFERROR(IF(INDEX(in_signed_offices!$A$2:$BZ$81,MATCH($A53,INDEX(in_signed_offices!$A$2:$BZ$81,0,MATCH("office_id",in_signed_offices!$A$1:$BZ$1,0)),0),MATCH("pantry_owner_is_contact",in_signed_offices!$A$1:$BZ$1,0))="","",INDEX(in_signed_offices!$A$2:$BZ$81,MATCH($A53,INDEX(in_signed_offices!$A$2:$BZ$81,0,MATCH("office_id",in_signed_offices!$A$1:$BZ$1,0)),0),MATCH("pantry_owner_is_contact",in_signed_offices!$A$1:$BZ$1,0))),""))</f>
        <v/>
      </c>
      <c r="X53" s="25">
        <f>IF($A53="","",IFERROR(IF(INDEX(in_signed_offices!$A$2:$BZ$81,MATCH($A53,INDEX(in_signed_offices!$A$2:$BZ$81,0,MATCH("office_id",in_signed_offices!$A$1:$BZ$1,0)),0),MATCH("receiving_type",in_signed_offices!$A$1:$BZ$1,0))="","",INDEX(in_signed_offices!$A$2:$BZ$81,MATCH($A53,INDEX(in_signed_offices!$A$2:$BZ$81,0,MATCH("office_id",in_signed_offices!$A$1:$BZ$1,0)),0),MATCH("receiving_type",in_signed_offices!$A$1:$BZ$1,0))),""))</f>
        <v/>
      </c>
      <c r="Y53" s="25">
        <f>IF($A53="","",IFERROR(IF(INDEX(in_signed_offices!$A$2:$BZ$81,MATCH($A53,INDEX(in_signed_offices!$A$2:$BZ$81,0,MATCH("office_id",in_signed_offices!$A$1:$BZ$1,0)),0),MATCH("receiving_window",in_signed_offices!$A$1:$BZ$1,0))="","",INDEX(in_signed_offices!$A$2:$BZ$81,MATCH($A53,INDEX(in_signed_offices!$A$2:$BZ$81,0,MATCH("office_id",in_signed_offices!$A$1:$BZ$1,0)),0),MATCH("receiving_window",in_signed_offices!$A$1:$BZ$1,0))),""))</f>
        <v/>
      </c>
      <c r="Z53" s="25">
        <f>IF($A53="","",IFERROR(IF(INDEX(in_signed_offices!$A$2:$BZ$81,MATCH($A53,INDEX(in_signed_offices!$A$2:$BZ$81,0,MATCH("office_id",in_signed_offices!$A$1:$BZ$1,0)),0),MATCH("coi_required",in_signed_offices!$A$1:$BZ$1,0))="","",INDEX(in_signed_offices!$A$2:$BZ$81,MATCH($A53,INDEX(in_signed_offices!$A$2:$BZ$81,0,MATCH("office_id",in_signed_offices!$A$1:$BZ$1,0)),0),MATCH("coi_required",in_signed_offices!$A$1:$BZ$1,0))),""))</f>
        <v/>
      </c>
      <c r="AA53" s="25">
        <f>IF($A53="","",IFERROR(IF(INDEX(in_signed_offices!$A$2:$BZ$81,MATCH($A53,INDEX(in_signed_offices!$A$2:$BZ$81,0,MATCH("office_id",in_signed_offices!$A$1:$BZ$1,0)),0),MATCH("survey_channel",in_signed_offices!$A$1:$BZ$1,0))="","",INDEX(in_signed_offices!$A$2:$BZ$81,MATCH($A53,INDEX(in_signed_offices!$A$2:$BZ$81,0,MATCH("office_id",in_signed_offices!$A$1:$BZ$1,0)),0),MATCH("survey_channel",in_signed_offices!$A$1:$BZ$1,0))),""))</f>
        <v/>
      </c>
      <c r="AB53" s="25">
        <f>IF($A53="","",IFERROR(IF(INDEX(in_signed_offices!$A$2:$BZ$81,MATCH($A53,INDEX(in_signed_offices!$A$2:$BZ$81,0,MATCH("office_id",in_signed_offices!$A$1:$BZ$1,0)),0),MATCH("categories_wanted",in_signed_offices!$A$1:$BZ$1,0))="","",INDEX(in_signed_offices!$A$2:$BZ$81,MATCH($A53,INDEX(in_signed_offices!$A$2:$BZ$81,0,MATCH("office_id",in_signed_offices!$A$1:$BZ$1,0)),0),MATCH("categories_wanted",in_signed_offices!$A$1:$BZ$1,0))),""))</f>
        <v/>
      </c>
      <c r="AC53" s="25">
        <f>IF($A53="","",IFERROR(IF(INDEX(in_signed_offices!$A$2:$BZ$81,MATCH($A53,INDEX(in_signed_offices!$A$2:$BZ$81,0,MATCH("office_id",in_signed_offices!$A$1:$BZ$1,0)),0),MATCH("vetoes",in_signed_offices!$A$1:$BZ$1,0))="","",INDEX(in_signed_offices!$A$2:$BZ$81,MATCH($A53,INDEX(in_signed_offices!$A$2:$BZ$81,0,MATCH("office_id",in_signed_offices!$A$1:$BZ$1,0)),0),MATCH("vetoes",in_signed_offices!$A$1:$BZ$1,0))),""))</f>
        <v/>
      </c>
      <c r="AD53" s="26">
        <f>IF($A53="","",IFERROR(IF(INDEX(in_signed_offices!$A$2:$BZ$81,MATCH($A53,INDEX(in_signed_offices!$A$2:$BZ$81,0,MATCH("office_id",in_signed_offices!$A$1:$BZ$1,0)),0),MATCH("agreement_signed_date",in_signed_offices!$A$1:$BZ$1,0))="","",INDEX(in_signed_offices!$A$2:$BZ$81,MATCH($A53,INDEX(in_signed_offices!$A$2:$BZ$81,0,MATCH("office_id",in_signed_offices!$A$1:$BZ$1,0)),0),MATCH("agreement_signed_date",in_signed_offices!$A$1:$BZ$1,0))),""))</f>
        <v/>
      </c>
      <c r="AE53" s="25">
        <f>IF($A53="","",IFERROR(IF(INDEX(in_signed_offices!$A$2:$BZ$81,MATCH($A53,INDEX(in_signed_offices!$A$2:$BZ$81,0,MATCH("office_id",in_signed_offices!$A$1:$BZ$1,0)),0),MATCH("founding_roster_named",in_signed_offices!$A$1:$BZ$1,0))="","",INDEX(in_signed_offices!$A$2:$BZ$81,MATCH($A53,INDEX(in_signed_offices!$A$2:$BZ$81,0,MATCH("office_id",in_signed_offices!$A$1:$BZ$1,0)),0),MATCH("founding_roster_named",in_signed_offices!$A$1:$BZ$1,0))),""))</f>
        <v/>
      </c>
      <c r="AF53" s="25">
        <f>IF($A53="","",IFERROR(IF(INDEX(in_signed_offices!$A$2:$BZ$81,MATCH($A53,INDEX(in_signed_offices!$A$2:$BZ$81,0,MATCH("office_id",in_signed_offices!$A$1:$BZ$1,0)),0),MATCH("public_naming_ok",in_signed_offices!$A$1:$BZ$1,0))="","",INDEX(in_signed_offices!$A$2:$BZ$81,MATCH($A53,INDEX(in_signed_offices!$A$2:$BZ$81,0,MATCH("office_id",in_signed_offices!$A$1:$BZ$1,0)),0),MATCH("public_naming_ok",in_signed_offices!$A$1:$BZ$1,0))),""))</f>
        <v/>
      </c>
      <c r="AG53" s="25">
        <f>IF($A53="","",IFERROR(IF(INDEX(in_signed_offices!$A$2:$BZ$81,MATCH($A53,INDEX(in_signed_offices!$A$2:$BZ$81,0,MATCH("office_id",in_signed_offices!$A$1:$BZ$1,0)),0),MATCH("clay_row_id",in_signed_offices!$A$1:$BZ$1,0))="","",INDEX(in_signed_offices!$A$2:$BZ$81,MATCH($A53,INDEX(in_signed_offices!$A$2:$BZ$81,0,MATCH("office_id",in_signed_offices!$A$1:$BZ$1,0)),0),MATCH("clay_row_id",in_signed_offices!$A$1:$BZ$1,0))),""))</f>
        <v/>
      </c>
      <c r="AH53" s="25">
        <f>IF($A53="","",IF($E53&lt;&gt;"",$E53,IFERROR(IF(INDEX(in_signed_offices!$A$2:$BZ$81,MATCH($A53,INDEX(in_signed_offices!$A$2:$BZ$81,0,MATCH("office_id",in_signed_offices!$A$1:$BZ$1,0)),0),MATCH("industry",in_signed_offices!$A$1:$BZ$1,0))="","",INDEX(in_signed_offices!$A$2:$BZ$81,MATCH($A53,INDEX(in_signed_offices!$A$2:$BZ$81,0,MATCH("office_id",in_signed_offices!$A$1:$BZ$1,0)),0),MATCH("industry",in_signed_offices!$A$1:$BZ$1,0))),"")))</f>
        <v/>
      </c>
      <c r="AI53" s="25">
        <f>IF($A53="","",IF($F53&lt;&gt;"",$F53,IF(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lt;&gt;"",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IF($W53="Y",$S53,""))))</f>
        <v/>
      </c>
      <c r="AJ53" s="25">
        <f>IF($A53="","",IF($Q53="","unknown",IF($Q53&lt;40,"under-40",IF($Q53&lt;=75,"40-75",IF($Q53&lt;=150,"76-150",IF($Q53&lt;=250,"151-250",IF($Q53&lt;=500,"251-500","over-500")))))))</f>
        <v/>
      </c>
      <c r="AK53" s="25">
        <f>IF($A53="","",IF($N53="","not on in_signed_offices: paste the outreach file",IF($Q53="","no Tuesday headcount",IF($Q53&lt;30,"below the hard floor of 30",IF($Q53&lt;40,"30 to 39: founder's call",IF($Q53&gt;250,"over 250: outside the plan","OK"))))))</f>
        <v/>
      </c>
      <c r="AL53" s="25">
        <f>IF(OR($A53="",$Q53=""),"",MIN(config!$B$16,MAX(config!$B$15,MROUND(config!$B$13+config!$B$14*$Q53,config!$B$17))))</f>
        <v/>
      </c>
      <c r="AM53" s="25">
        <f>IF($A53="","",COUNTIFS(stops!$B$2:$B$151,$A53,stops!$P$2:$P$151,"&lt;="&amp;IF(config!$B$37&lt;&gt;"",config!$B$37,TODAY())))</f>
        <v/>
      </c>
      <c r="AN53" s="25">
        <f>IF($A53="","",COUNTIFS(stops!$B$2:$B$151,$A53,stops!$L$2:$L$151,"declined"))</f>
        <v/>
      </c>
    </row>
    <row r="54">
      <c r="C54" s="31" t="n"/>
      <c r="D54" s="31" t="n"/>
      <c r="J54" s="9" t="n"/>
      <c r="L54" s="9" t="n"/>
      <c r="N54" s="25">
        <f>IF($A54="","",IFERROR(IF(INDEX(in_signed_offices!$A$2:$BZ$81,MATCH($A54,INDEX(in_signed_offices!$A$2:$BZ$81,0,MATCH("office_id",in_signed_offices!$A$1:$BZ$1,0)),0),MATCH("company",in_signed_offices!$A$1:$BZ$1,0))="","",INDEX(in_signed_offices!$A$2:$BZ$81,MATCH($A54,INDEX(in_signed_offices!$A$2:$BZ$81,0,MATCH("office_id",in_signed_offices!$A$1:$BZ$1,0)),0),MATCH("company",in_signed_offices!$A$1:$BZ$1,0))),""))</f>
        <v/>
      </c>
      <c r="O54" s="25">
        <f>IF($A54="","",IFERROR(IF(INDEX(in_signed_offices!$A$2:$BZ$81,MATCH($A54,INDEX(in_signed_offices!$A$2:$BZ$81,0,MATCH("office_id",in_signed_offices!$A$1:$BZ$1,0)),0),MATCH("office_address",in_signed_offices!$A$1:$BZ$1,0))="","",INDEX(in_signed_offices!$A$2:$BZ$81,MATCH($A54,INDEX(in_signed_offices!$A$2:$BZ$81,0,MATCH("office_id",in_signed_offices!$A$1:$BZ$1,0)),0),MATCH("office_address",in_signed_offices!$A$1:$BZ$1,0))),""))</f>
        <v/>
      </c>
      <c r="P54" s="25">
        <f>IF($A54="","",IFERROR(IF(INDEX(in_signed_offices!$A$2:$BZ$81,MATCH($A54,INDEX(in_signed_offices!$A$2:$BZ$81,0,MATCH("office_id",in_signed_offices!$A$1:$BZ$1,0)),0),MATCH("floor_suite",in_signed_offices!$A$1:$BZ$1,0))="","",INDEX(in_signed_offices!$A$2:$BZ$81,MATCH($A54,INDEX(in_signed_offices!$A$2:$BZ$81,0,MATCH("office_id",in_signed_offices!$A$1:$BZ$1,0)),0),MATCH("floor_suite",in_signed_offices!$A$1:$BZ$1,0))),""))</f>
        <v/>
      </c>
      <c r="Q54" s="25">
        <f>IF($A54="","",IFERROR(IF(INDEX(in_signed_offices!$A$2:$BZ$81,MATCH($A54,INDEX(in_signed_offices!$A$2:$BZ$81,0,MATCH("office_id",in_signed_offices!$A$1:$BZ$1,0)),0),MATCH("tuesday_headcount",in_signed_offices!$A$1:$BZ$1,0))="","",INDEX(in_signed_offices!$A$2:$BZ$81,MATCH($A54,INDEX(in_signed_offices!$A$2:$BZ$81,0,MATCH("office_id",in_signed_offices!$A$1:$BZ$1,0)),0),MATCH("tuesday_headcount",in_signed_offices!$A$1:$BZ$1,0))),""))</f>
        <v/>
      </c>
      <c r="R54" s="25">
        <f>IF($A54="","",IFERROR(IF(INDEX(in_signed_offices!$A$2:$BZ$81,MATCH($A54,INDEX(in_signed_offices!$A$2:$BZ$81,0,MATCH("office_id",in_signed_offices!$A$1:$BZ$1,0)),0),MATCH("contact_name",in_signed_offices!$A$1:$BZ$1,0))="","",INDEX(in_signed_offices!$A$2:$BZ$81,MATCH($A54,INDEX(in_signed_offices!$A$2:$BZ$81,0,MATCH("office_id",in_signed_offices!$A$1:$BZ$1,0)),0),MATCH("contact_name",in_signed_offices!$A$1:$BZ$1,0))),""))</f>
        <v/>
      </c>
      <c r="S54" s="25">
        <f>IF($A54="","",IFERROR(IF(INDEX(in_signed_offices!$A$2:$BZ$81,MATCH($A54,INDEX(in_signed_offices!$A$2:$BZ$81,0,MATCH("office_id",in_signed_offices!$A$1:$BZ$1,0)),0),MATCH("contact_phone",in_signed_offices!$A$1:$BZ$1,0))="","",INDEX(in_signed_offices!$A$2:$BZ$81,MATCH($A54,INDEX(in_signed_offices!$A$2:$BZ$81,0,MATCH("office_id",in_signed_offices!$A$1:$BZ$1,0)),0),MATCH("contact_phone",in_signed_offices!$A$1:$BZ$1,0))),""))</f>
        <v/>
      </c>
      <c r="T54" s="25">
        <f>IF($A54="","",IFERROR(IF(INDEX(in_signed_offices!$A$2:$BZ$81,MATCH($A54,INDEX(in_signed_offices!$A$2:$BZ$81,0,MATCH("office_id",in_signed_offices!$A$1:$BZ$1,0)),0),MATCH("contact_email",in_signed_offices!$A$1:$BZ$1,0))="","",INDEX(in_signed_offices!$A$2:$BZ$81,MATCH($A54,INDEX(in_signed_offices!$A$2:$BZ$81,0,MATCH("office_id",in_signed_offices!$A$1:$BZ$1,0)),0),MATCH("contact_email",in_signed_offices!$A$1:$BZ$1,0))),""))</f>
        <v/>
      </c>
      <c r="U54" s="25">
        <f>IF($A54="","",IFERROR(IF(INDEX(in_signed_offices!$A$2:$BZ$81,MATCH($A54,INDEX(in_signed_offices!$A$2:$BZ$81,0,MATCH("office_id",in_signed_offices!$A$1:$BZ$1,0)),0),MATCH("pantry_owner_name",in_signed_offices!$A$1:$BZ$1,0))="","",INDEX(in_signed_offices!$A$2:$BZ$81,MATCH($A54,INDEX(in_signed_offices!$A$2:$BZ$81,0,MATCH("office_id",in_signed_offices!$A$1:$BZ$1,0)),0),MATCH("pantry_owner_name",in_signed_offices!$A$1:$BZ$1,0))),""))</f>
        <v/>
      </c>
      <c r="V54" s="25">
        <f>IF($A54="","",IFERROR(IF(INDEX(in_signed_offices!$A$2:$BZ$81,MATCH($A54,INDEX(in_signed_offices!$A$2:$BZ$81,0,MATCH("office_id",in_signed_offices!$A$1:$BZ$1,0)),0),MATCH("pantry_owner_title",in_signed_offices!$A$1:$BZ$1,0))="","",INDEX(in_signed_offices!$A$2:$BZ$81,MATCH($A54,INDEX(in_signed_offices!$A$2:$BZ$81,0,MATCH("office_id",in_signed_offices!$A$1:$BZ$1,0)),0),MATCH("pantry_owner_title",in_signed_offices!$A$1:$BZ$1,0))),""))</f>
        <v/>
      </c>
      <c r="W54" s="25">
        <f>IF($A54="","",IFERROR(IF(INDEX(in_signed_offices!$A$2:$BZ$81,MATCH($A54,INDEX(in_signed_offices!$A$2:$BZ$81,0,MATCH("office_id",in_signed_offices!$A$1:$BZ$1,0)),0),MATCH("pantry_owner_is_contact",in_signed_offices!$A$1:$BZ$1,0))="","",INDEX(in_signed_offices!$A$2:$BZ$81,MATCH($A54,INDEX(in_signed_offices!$A$2:$BZ$81,0,MATCH("office_id",in_signed_offices!$A$1:$BZ$1,0)),0),MATCH("pantry_owner_is_contact",in_signed_offices!$A$1:$BZ$1,0))),""))</f>
        <v/>
      </c>
      <c r="X54" s="25">
        <f>IF($A54="","",IFERROR(IF(INDEX(in_signed_offices!$A$2:$BZ$81,MATCH($A54,INDEX(in_signed_offices!$A$2:$BZ$81,0,MATCH("office_id",in_signed_offices!$A$1:$BZ$1,0)),0),MATCH("receiving_type",in_signed_offices!$A$1:$BZ$1,0))="","",INDEX(in_signed_offices!$A$2:$BZ$81,MATCH($A54,INDEX(in_signed_offices!$A$2:$BZ$81,0,MATCH("office_id",in_signed_offices!$A$1:$BZ$1,0)),0),MATCH("receiving_type",in_signed_offices!$A$1:$BZ$1,0))),""))</f>
        <v/>
      </c>
      <c r="Y54" s="25">
        <f>IF($A54="","",IFERROR(IF(INDEX(in_signed_offices!$A$2:$BZ$81,MATCH($A54,INDEX(in_signed_offices!$A$2:$BZ$81,0,MATCH("office_id",in_signed_offices!$A$1:$BZ$1,0)),0),MATCH("receiving_window",in_signed_offices!$A$1:$BZ$1,0))="","",INDEX(in_signed_offices!$A$2:$BZ$81,MATCH($A54,INDEX(in_signed_offices!$A$2:$BZ$81,0,MATCH("office_id",in_signed_offices!$A$1:$BZ$1,0)),0),MATCH("receiving_window",in_signed_offices!$A$1:$BZ$1,0))),""))</f>
        <v/>
      </c>
      <c r="Z54" s="25">
        <f>IF($A54="","",IFERROR(IF(INDEX(in_signed_offices!$A$2:$BZ$81,MATCH($A54,INDEX(in_signed_offices!$A$2:$BZ$81,0,MATCH("office_id",in_signed_offices!$A$1:$BZ$1,0)),0),MATCH("coi_required",in_signed_offices!$A$1:$BZ$1,0))="","",INDEX(in_signed_offices!$A$2:$BZ$81,MATCH($A54,INDEX(in_signed_offices!$A$2:$BZ$81,0,MATCH("office_id",in_signed_offices!$A$1:$BZ$1,0)),0),MATCH("coi_required",in_signed_offices!$A$1:$BZ$1,0))),""))</f>
        <v/>
      </c>
      <c r="AA54" s="25">
        <f>IF($A54="","",IFERROR(IF(INDEX(in_signed_offices!$A$2:$BZ$81,MATCH($A54,INDEX(in_signed_offices!$A$2:$BZ$81,0,MATCH("office_id",in_signed_offices!$A$1:$BZ$1,0)),0),MATCH("survey_channel",in_signed_offices!$A$1:$BZ$1,0))="","",INDEX(in_signed_offices!$A$2:$BZ$81,MATCH($A54,INDEX(in_signed_offices!$A$2:$BZ$81,0,MATCH("office_id",in_signed_offices!$A$1:$BZ$1,0)),0),MATCH("survey_channel",in_signed_offices!$A$1:$BZ$1,0))),""))</f>
        <v/>
      </c>
      <c r="AB54" s="25">
        <f>IF($A54="","",IFERROR(IF(INDEX(in_signed_offices!$A$2:$BZ$81,MATCH($A54,INDEX(in_signed_offices!$A$2:$BZ$81,0,MATCH("office_id",in_signed_offices!$A$1:$BZ$1,0)),0),MATCH("categories_wanted",in_signed_offices!$A$1:$BZ$1,0))="","",INDEX(in_signed_offices!$A$2:$BZ$81,MATCH($A54,INDEX(in_signed_offices!$A$2:$BZ$81,0,MATCH("office_id",in_signed_offices!$A$1:$BZ$1,0)),0),MATCH("categories_wanted",in_signed_offices!$A$1:$BZ$1,0))),""))</f>
        <v/>
      </c>
      <c r="AC54" s="25">
        <f>IF($A54="","",IFERROR(IF(INDEX(in_signed_offices!$A$2:$BZ$81,MATCH($A54,INDEX(in_signed_offices!$A$2:$BZ$81,0,MATCH("office_id",in_signed_offices!$A$1:$BZ$1,0)),0),MATCH("vetoes",in_signed_offices!$A$1:$BZ$1,0))="","",INDEX(in_signed_offices!$A$2:$BZ$81,MATCH($A54,INDEX(in_signed_offices!$A$2:$BZ$81,0,MATCH("office_id",in_signed_offices!$A$1:$BZ$1,0)),0),MATCH("vetoes",in_signed_offices!$A$1:$BZ$1,0))),""))</f>
        <v/>
      </c>
      <c r="AD54" s="26">
        <f>IF($A54="","",IFERROR(IF(INDEX(in_signed_offices!$A$2:$BZ$81,MATCH($A54,INDEX(in_signed_offices!$A$2:$BZ$81,0,MATCH("office_id",in_signed_offices!$A$1:$BZ$1,0)),0),MATCH("agreement_signed_date",in_signed_offices!$A$1:$BZ$1,0))="","",INDEX(in_signed_offices!$A$2:$BZ$81,MATCH($A54,INDEX(in_signed_offices!$A$2:$BZ$81,0,MATCH("office_id",in_signed_offices!$A$1:$BZ$1,0)),0),MATCH("agreement_signed_date",in_signed_offices!$A$1:$BZ$1,0))),""))</f>
        <v/>
      </c>
      <c r="AE54" s="25">
        <f>IF($A54="","",IFERROR(IF(INDEX(in_signed_offices!$A$2:$BZ$81,MATCH($A54,INDEX(in_signed_offices!$A$2:$BZ$81,0,MATCH("office_id",in_signed_offices!$A$1:$BZ$1,0)),0),MATCH("founding_roster_named",in_signed_offices!$A$1:$BZ$1,0))="","",INDEX(in_signed_offices!$A$2:$BZ$81,MATCH($A54,INDEX(in_signed_offices!$A$2:$BZ$81,0,MATCH("office_id",in_signed_offices!$A$1:$BZ$1,0)),0),MATCH("founding_roster_named",in_signed_offices!$A$1:$BZ$1,0))),""))</f>
        <v/>
      </c>
      <c r="AF54" s="25">
        <f>IF($A54="","",IFERROR(IF(INDEX(in_signed_offices!$A$2:$BZ$81,MATCH($A54,INDEX(in_signed_offices!$A$2:$BZ$81,0,MATCH("office_id",in_signed_offices!$A$1:$BZ$1,0)),0),MATCH("public_naming_ok",in_signed_offices!$A$1:$BZ$1,0))="","",INDEX(in_signed_offices!$A$2:$BZ$81,MATCH($A54,INDEX(in_signed_offices!$A$2:$BZ$81,0,MATCH("office_id",in_signed_offices!$A$1:$BZ$1,0)),0),MATCH("public_naming_ok",in_signed_offices!$A$1:$BZ$1,0))),""))</f>
        <v/>
      </c>
      <c r="AG54" s="25">
        <f>IF($A54="","",IFERROR(IF(INDEX(in_signed_offices!$A$2:$BZ$81,MATCH($A54,INDEX(in_signed_offices!$A$2:$BZ$81,0,MATCH("office_id",in_signed_offices!$A$1:$BZ$1,0)),0),MATCH("clay_row_id",in_signed_offices!$A$1:$BZ$1,0))="","",INDEX(in_signed_offices!$A$2:$BZ$81,MATCH($A54,INDEX(in_signed_offices!$A$2:$BZ$81,0,MATCH("office_id",in_signed_offices!$A$1:$BZ$1,0)),0),MATCH("clay_row_id",in_signed_offices!$A$1:$BZ$1,0))),""))</f>
        <v/>
      </c>
      <c r="AH54" s="25">
        <f>IF($A54="","",IF($E54&lt;&gt;"",$E54,IFERROR(IF(INDEX(in_signed_offices!$A$2:$BZ$81,MATCH($A54,INDEX(in_signed_offices!$A$2:$BZ$81,0,MATCH("office_id",in_signed_offices!$A$1:$BZ$1,0)),0),MATCH("industry",in_signed_offices!$A$1:$BZ$1,0))="","",INDEX(in_signed_offices!$A$2:$BZ$81,MATCH($A54,INDEX(in_signed_offices!$A$2:$BZ$81,0,MATCH("office_id",in_signed_offices!$A$1:$BZ$1,0)),0),MATCH("industry",in_signed_offices!$A$1:$BZ$1,0))),"")))</f>
        <v/>
      </c>
      <c r="AI54" s="25">
        <f>IF($A54="","",IF($F54&lt;&gt;"",$F54,IF(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lt;&gt;"",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IF($W54="Y",$S54,""))))</f>
        <v/>
      </c>
      <c r="AJ54" s="25">
        <f>IF($A54="","",IF($Q54="","unknown",IF($Q54&lt;40,"under-40",IF($Q54&lt;=75,"40-75",IF($Q54&lt;=150,"76-150",IF($Q54&lt;=250,"151-250",IF($Q54&lt;=500,"251-500","over-500")))))))</f>
        <v/>
      </c>
      <c r="AK54" s="25">
        <f>IF($A54="","",IF($N54="","not on in_signed_offices: paste the outreach file",IF($Q54="","no Tuesday headcount",IF($Q54&lt;30,"below the hard floor of 30",IF($Q54&lt;40,"30 to 39: founder's call",IF($Q54&gt;250,"over 250: outside the plan","OK"))))))</f>
        <v/>
      </c>
      <c r="AL54" s="25">
        <f>IF(OR($A54="",$Q54=""),"",MIN(config!$B$16,MAX(config!$B$15,MROUND(config!$B$13+config!$B$14*$Q54,config!$B$17))))</f>
        <v/>
      </c>
      <c r="AM54" s="25">
        <f>IF($A54="","",COUNTIFS(stops!$B$2:$B$151,$A54,stops!$P$2:$P$151,"&lt;="&amp;IF(config!$B$37&lt;&gt;"",config!$B$37,TODAY())))</f>
        <v/>
      </c>
      <c r="AN54" s="25">
        <f>IF($A54="","",COUNTIFS(stops!$B$2:$B$151,$A54,stops!$L$2:$L$151,"declined"))</f>
        <v/>
      </c>
    </row>
    <row r="55">
      <c r="C55" s="31" t="n"/>
      <c r="D55" s="31" t="n"/>
      <c r="J55" s="9" t="n"/>
      <c r="L55" s="9" t="n"/>
      <c r="N55" s="25">
        <f>IF($A55="","",IFERROR(IF(INDEX(in_signed_offices!$A$2:$BZ$81,MATCH($A55,INDEX(in_signed_offices!$A$2:$BZ$81,0,MATCH("office_id",in_signed_offices!$A$1:$BZ$1,0)),0),MATCH("company",in_signed_offices!$A$1:$BZ$1,0))="","",INDEX(in_signed_offices!$A$2:$BZ$81,MATCH($A55,INDEX(in_signed_offices!$A$2:$BZ$81,0,MATCH("office_id",in_signed_offices!$A$1:$BZ$1,0)),0),MATCH("company",in_signed_offices!$A$1:$BZ$1,0))),""))</f>
        <v/>
      </c>
      <c r="O55" s="25">
        <f>IF($A55="","",IFERROR(IF(INDEX(in_signed_offices!$A$2:$BZ$81,MATCH($A55,INDEX(in_signed_offices!$A$2:$BZ$81,0,MATCH("office_id",in_signed_offices!$A$1:$BZ$1,0)),0),MATCH("office_address",in_signed_offices!$A$1:$BZ$1,0))="","",INDEX(in_signed_offices!$A$2:$BZ$81,MATCH($A55,INDEX(in_signed_offices!$A$2:$BZ$81,0,MATCH("office_id",in_signed_offices!$A$1:$BZ$1,0)),0),MATCH("office_address",in_signed_offices!$A$1:$BZ$1,0))),""))</f>
        <v/>
      </c>
      <c r="P55" s="25">
        <f>IF($A55="","",IFERROR(IF(INDEX(in_signed_offices!$A$2:$BZ$81,MATCH($A55,INDEX(in_signed_offices!$A$2:$BZ$81,0,MATCH("office_id",in_signed_offices!$A$1:$BZ$1,0)),0),MATCH("floor_suite",in_signed_offices!$A$1:$BZ$1,0))="","",INDEX(in_signed_offices!$A$2:$BZ$81,MATCH($A55,INDEX(in_signed_offices!$A$2:$BZ$81,0,MATCH("office_id",in_signed_offices!$A$1:$BZ$1,0)),0),MATCH("floor_suite",in_signed_offices!$A$1:$BZ$1,0))),""))</f>
        <v/>
      </c>
      <c r="Q55" s="25">
        <f>IF($A55="","",IFERROR(IF(INDEX(in_signed_offices!$A$2:$BZ$81,MATCH($A55,INDEX(in_signed_offices!$A$2:$BZ$81,0,MATCH("office_id",in_signed_offices!$A$1:$BZ$1,0)),0),MATCH("tuesday_headcount",in_signed_offices!$A$1:$BZ$1,0))="","",INDEX(in_signed_offices!$A$2:$BZ$81,MATCH($A55,INDEX(in_signed_offices!$A$2:$BZ$81,0,MATCH("office_id",in_signed_offices!$A$1:$BZ$1,0)),0),MATCH("tuesday_headcount",in_signed_offices!$A$1:$BZ$1,0))),""))</f>
        <v/>
      </c>
      <c r="R55" s="25">
        <f>IF($A55="","",IFERROR(IF(INDEX(in_signed_offices!$A$2:$BZ$81,MATCH($A55,INDEX(in_signed_offices!$A$2:$BZ$81,0,MATCH("office_id",in_signed_offices!$A$1:$BZ$1,0)),0),MATCH("contact_name",in_signed_offices!$A$1:$BZ$1,0))="","",INDEX(in_signed_offices!$A$2:$BZ$81,MATCH($A55,INDEX(in_signed_offices!$A$2:$BZ$81,0,MATCH("office_id",in_signed_offices!$A$1:$BZ$1,0)),0),MATCH("contact_name",in_signed_offices!$A$1:$BZ$1,0))),""))</f>
        <v/>
      </c>
      <c r="S55" s="25">
        <f>IF($A55="","",IFERROR(IF(INDEX(in_signed_offices!$A$2:$BZ$81,MATCH($A55,INDEX(in_signed_offices!$A$2:$BZ$81,0,MATCH("office_id",in_signed_offices!$A$1:$BZ$1,0)),0),MATCH("contact_phone",in_signed_offices!$A$1:$BZ$1,0))="","",INDEX(in_signed_offices!$A$2:$BZ$81,MATCH($A55,INDEX(in_signed_offices!$A$2:$BZ$81,0,MATCH("office_id",in_signed_offices!$A$1:$BZ$1,0)),0),MATCH("contact_phone",in_signed_offices!$A$1:$BZ$1,0))),""))</f>
        <v/>
      </c>
      <c r="T55" s="25">
        <f>IF($A55="","",IFERROR(IF(INDEX(in_signed_offices!$A$2:$BZ$81,MATCH($A55,INDEX(in_signed_offices!$A$2:$BZ$81,0,MATCH("office_id",in_signed_offices!$A$1:$BZ$1,0)),0),MATCH("contact_email",in_signed_offices!$A$1:$BZ$1,0))="","",INDEX(in_signed_offices!$A$2:$BZ$81,MATCH($A55,INDEX(in_signed_offices!$A$2:$BZ$81,0,MATCH("office_id",in_signed_offices!$A$1:$BZ$1,0)),0),MATCH("contact_email",in_signed_offices!$A$1:$BZ$1,0))),""))</f>
        <v/>
      </c>
      <c r="U55" s="25">
        <f>IF($A55="","",IFERROR(IF(INDEX(in_signed_offices!$A$2:$BZ$81,MATCH($A55,INDEX(in_signed_offices!$A$2:$BZ$81,0,MATCH("office_id",in_signed_offices!$A$1:$BZ$1,0)),0),MATCH("pantry_owner_name",in_signed_offices!$A$1:$BZ$1,0))="","",INDEX(in_signed_offices!$A$2:$BZ$81,MATCH($A55,INDEX(in_signed_offices!$A$2:$BZ$81,0,MATCH("office_id",in_signed_offices!$A$1:$BZ$1,0)),0),MATCH("pantry_owner_name",in_signed_offices!$A$1:$BZ$1,0))),""))</f>
        <v/>
      </c>
      <c r="V55" s="25">
        <f>IF($A55="","",IFERROR(IF(INDEX(in_signed_offices!$A$2:$BZ$81,MATCH($A55,INDEX(in_signed_offices!$A$2:$BZ$81,0,MATCH("office_id",in_signed_offices!$A$1:$BZ$1,0)),0),MATCH("pantry_owner_title",in_signed_offices!$A$1:$BZ$1,0))="","",INDEX(in_signed_offices!$A$2:$BZ$81,MATCH($A55,INDEX(in_signed_offices!$A$2:$BZ$81,0,MATCH("office_id",in_signed_offices!$A$1:$BZ$1,0)),0),MATCH("pantry_owner_title",in_signed_offices!$A$1:$BZ$1,0))),""))</f>
        <v/>
      </c>
      <c r="W55" s="25">
        <f>IF($A55="","",IFERROR(IF(INDEX(in_signed_offices!$A$2:$BZ$81,MATCH($A55,INDEX(in_signed_offices!$A$2:$BZ$81,0,MATCH("office_id",in_signed_offices!$A$1:$BZ$1,0)),0),MATCH("pantry_owner_is_contact",in_signed_offices!$A$1:$BZ$1,0))="","",INDEX(in_signed_offices!$A$2:$BZ$81,MATCH($A55,INDEX(in_signed_offices!$A$2:$BZ$81,0,MATCH("office_id",in_signed_offices!$A$1:$BZ$1,0)),0),MATCH("pantry_owner_is_contact",in_signed_offices!$A$1:$BZ$1,0))),""))</f>
        <v/>
      </c>
      <c r="X55" s="25">
        <f>IF($A55="","",IFERROR(IF(INDEX(in_signed_offices!$A$2:$BZ$81,MATCH($A55,INDEX(in_signed_offices!$A$2:$BZ$81,0,MATCH("office_id",in_signed_offices!$A$1:$BZ$1,0)),0),MATCH("receiving_type",in_signed_offices!$A$1:$BZ$1,0))="","",INDEX(in_signed_offices!$A$2:$BZ$81,MATCH($A55,INDEX(in_signed_offices!$A$2:$BZ$81,0,MATCH("office_id",in_signed_offices!$A$1:$BZ$1,0)),0),MATCH("receiving_type",in_signed_offices!$A$1:$BZ$1,0))),""))</f>
        <v/>
      </c>
      <c r="Y55" s="25">
        <f>IF($A55="","",IFERROR(IF(INDEX(in_signed_offices!$A$2:$BZ$81,MATCH($A55,INDEX(in_signed_offices!$A$2:$BZ$81,0,MATCH("office_id",in_signed_offices!$A$1:$BZ$1,0)),0),MATCH("receiving_window",in_signed_offices!$A$1:$BZ$1,0))="","",INDEX(in_signed_offices!$A$2:$BZ$81,MATCH($A55,INDEX(in_signed_offices!$A$2:$BZ$81,0,MATCH("office_id",in_signed_offices!$A$1:$BZ$1,0)),0),MATCH("receiving_window",in_signed_offices!$A$1:$BZ$1,0))),""))</f>
        <v/>
      </c>
      <c r="Z55" s="25">
        <f>IF($A55="","",IFERROR(IF(INDEX(in_signed_offices!$A$2:$BZ$81,MATCH($A55,INDEX(in_signed_offices!$A$2:$BZ$81,0,MATCH("office_id",in_signed_offices!$A$1:$BZ$1,0)),0),MATCH("coi_required",in_signed_offices!$A$1:$BZ$1,0))="","",INDEX(in_signed_offices!$A$2:$BZ$81,MATCH($A55,INDEX(in_signed_offices!$A$2:$BZ$81,0,MATCH("office_id",in_signed_offices!$A$1:$BZ$1,0)),0),MATCH("coi_required",in_signed_offices!$A$1:$BZ$1,0))),""))</f>
        <v/>
      </c>
      <c r="AA55" s="25">
        <f>IF($A55="","",IFERROR(IF(INDEX(in_signed_offices!$A$2:$BZ$81,MATCH($A55,INDEX(in_signed_offices!$A$2:$BZ$81,0,MATCH("office_id",in_signed_offices!$A$1:$BZ$1,0)),0),MATCH("survey_channel",in_signed_offices!$A$1:$BZ$1,0))="","",INDEX(in_signed_offices!$A$2:$BZ$81,MATCH($A55,INDEX(in_signed_offices!$A$2:$BZ$81,0,MATCH("office_id",in_signed_offices!$A$1:$BZ$1,0)),0),MATCH("survey_channel",in_signed_offices!$A$1:$BZ$1,0))),""))</f>
        <v/>
      </c>
      <c r="AB55" s="25">
        <f>IF($A55="","",IFERROR(IF(INDEX(in_signed_offices!$A$2:$BZ$81,MATCH($A55,INDEX(in_signed_offices!$A$2:$BZ$81,0,MATCH("office_id",in_signed_offices!$A$1:$BZ$1,0)),0),MATCH("categories_wanted",in_signed_offices!$A$1:$BZ$1,0))="","",INDEX(in_signed_offices!$A$2:$BZ$81,MATCH($A55,INDEX(in_signed_offices!$A$2:$BZ$81,0,MATCH("office_id",in_signed_offices!$A$1:$BZ$1,0)),0),MATCH("categories_wanted",in_signed_offices!$A$1:$BZ$1,0))),""))</f>
        <v/>
      </c>
      <c r="AC55" s="25">
        <f>IF($A55="","",IFERROR(IF(INDEX(in_signed_offices!$A$2:$BZ$81,MATCH($A55,INDEX(in_signed_offices!$A$2:$BZ$81,0,MATCH("office_id",in_signed_offices!$A$1:$BZ$1,0)),0),MATCH("vetoes",in_signed_offices!$A$1:$BZ$1,0))="","",INDEX(in_signed_offices!$A$2:$BZ$81,MATCH($A55,INDEX(in_signed_offices!$A$2:$BZ$81,0,MATCH("office_id",in_signed_offices!$A$1:$BZ$1,0)),0),MATCH("vetoes",in_signed_offices!$A$1:$BZ$1,0))),""))</f>
        <v/>
      </c>
      <c r="AD55" s="26">
        <f>IF($A55="","",IFERROR(IF(INDEX(in_signed_offices!$A$2:$BZ$81,MATCH($A55,INDEX(in_signed_offices!$A$2:$BZ$81,0,MATCH("office_id",in_signed_offices!$A$1:$BZ$1,0)),0),MATCH("agreement_signed_date",in_signed_offices!$A$1:$BZ$1,0))="","",INDEX(in_signed_offices!$A$2:$BZ$81,MATCH($A55,INDEX(in_signed_offices!$A$2:$BZ$81,0,MATCH("office_id",in_signed_offices!$A$1:$BZ$1,0)),0),MATCH("agreement_signed_date",in_signed_offices!$A$1:$BZ$1,0))),""))</f>
        <v/>
      </c>
      <c r="AE55" s="25">
        <f>IF($A55="","",IFERROR(IF(INDEX(in_signed_offices!$A$2:$BZ$81,MATCH($A55,INDEX(in_signed_offices!$A$2:$BZ$81,0,MATCH("office_id",in_signed_offices!$A$1:$BZ$1,0)),0),MATCH("founding_roster_named",in_signed_offices!$A$1:$BZ$1,0))="","",INDEX(in_signed_offices!$A$2:$BZ$81,MATCH($A55,INDEX(in_signed_offices!$A$2:$BZ$81,0,MATCH("office_id",in_signed_offices!$A$1:$BZ$1,0)),0),MATCH("founding_roster_named",in_signed_offices!$A$1:$BZ$1,0))),""))</f>
        <v/>
      </c>
      <c r="AF55" s="25">
        <f>IF($A55="","",IFERROR(IF(INDEX(in_signed_offices!$A$2:$BZ$81,MATCH($A55,INDEX(in_signed_offices!$A$2:$BZ$81,0,MATCH("office_id",in_signed_offices!$A$1:$BZ$1,0)),0),MATCH("public_naming_ok",in_signed_offices!$A$1:$BZ$1,0))="","",INDEX(in_signed_offices!$A$2:$BZ$81,MATCH($A55,INDEX(in_signed_offices!$A$2:$BZ$81,0,MATCH("office_id",in_signed_offices!$A$1:$BZ$1,0)),0),MATCH("public_naming_ok",in_signed_offices!$A$1:$BZ$1,0))),""))</f>
        <v/>
      </c>
      <c r="AG55" s="25">
        <f>IF($A55="","",IFERROR(IF(INDEX(in_signed_offices!$A$2:$BZ$81,MATCH($A55,INDEX(in_signed_offices!$A$2:$BZ$81,0,MATCH("office_id",in_signed_offices!$A$1:$BZ$1,0)),0),MATCH("clay_row_id",in_signed_offices!$A$1:$BZ$1,0))="","",INDEX(in_signed_offices!$A$2:$BZ$81,MATCH($A55,INDEX(in_signed_offices!$A$2:$BZ$81,0,MATCH("office_id",in_signed_offices!$A$1:$BZ$1,0)),0),MATCH("clay_row_id",in_signed_offices!$A$1:$BZ$1,0))),""))</f>
        <v/>
      </c>
      <c r="AH55" s="25">
        <f>IF($A55="","",IF($E55&lt;&gt;"",$E55,IFERROR(IF(INDEX(in_signed_offices!$A$2:$BZ$81,MATCH($A55,INDEX(in_signed_offices!$A$2:$BZ$81,0,MATCH("office_id",in_signed_offices!$A$1:$BZ$1,0)),0),MATCH("industry",in_signed_offices!$A$1:$BZ$1,0))="","",INDEX(in_signed_offices!$A$2:$BZ$81,MATCH($A55,INDEX(in_signed_offices!$A$2:$BZ$81,0,MATCH("office_id",in_signed_offices!$A$1:$BZ$1,0)),0),MATCH("industry",in_signed_offices!$A$1:$BZ$1,0))),"")))</f>
        <v/>
      </c>
      <c r="AI55" s="25">
        <f>IF($A55="","",IF($F55&lt;&gt;"",$F55,IF(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lt;&gt;"",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IF($W55="Y",$S55,""))))</f>
        <v/>
      </c>
      <c r="AJ55" s="25">
        <f>IF($A55="","",IF($Q55="","unknown",IF($Q55&lt;40,"under-40",IF($Q55&lt;=75,"40-75",IF($Q55&lt;=150,"76-150",IF($Q55&lt;=250,"151-250",IF($Q55&lt;=500,"251-500","over-500")))))))</f>
        <v/>
      </c>
      <c r="AK55" s="25">
        <f>IF($A55="","",IF($N55="","not on in_signed_offices: paste the outreach file",IF($Q55="","no Tuesday headcount",IF($Q55&lt;30,"below the hard floor of 30",IF($Q55&lt;40,"30 to 39: founder's call",IF($Q55&gt;250,"over 250: outside the plan","OK"))))))</f>
        <v/>
      </c>
      <c r="AL55" s="25">
        <f>IF(OR($A55="",$Q55=""),"",MIN(config!$B$16,MAX(config!$B$15,MROUND(config!$B$13+config!$B$14*$Q55,config!$B$17))))</f>
        <v/>
      </c>
      <c r="AM55" s="25">
        <f>IF($A55="","",COUNTIFS(stops!$B$2:$B$151,$A55,stops!$P$2:$P$151,"&lt;="&amp;IF(config!$B$37&lt;&gt;"",config!$B$37,TODAY())))</f>
        <v/>
      </c>
      <c r="AN55" s="25">
        <f>IF($A55="","",COUNTIFS(stops!$B$2:$B$151,$A55,stops!$L$2:$L$151,"declined"))</f>
        <v/>
      </c>
    </row>
    <row r="56">
      <c r="C56" s="31" t="n"/>
      <c r="D56" s="31" t="n"/>
      <c r="J56" s="9" t="n"/>
      <c r="L56" s="9" t="n"/>
      <c r="N56" s="25">
        <f>IF($A56="","",IFERROR(IF(INDEX(in_signed_offices!$A$2:$BZ$81,MATCH($A56,INDEX(in_signed_offices!$A$2:$BZ$81,0,MATCH("office_id",in_signed_offices!$A$1:$BZ$1,0)),0),MATCH("company",in_signed_offices!$A$1:$BZ$1,0))="","",INDEX(in_signed_offices!$A$2:$BZ$81,MATCH($A56,INDEX(in_signed_offices!$A$2:$BZ$81,0,MATCH("office_id",in_signed_offices!$A$1:$BZ$1,0)),0),MATCH("company",in_signed_offices!$A$1:$BZ$1,0))),""))</f>
        <v/>
      </c>
      <c r="O56" s="25">
        <f>IF($A56="","",IFERROR(IF(INDEX(in_signed_offices!$A$2:$BZ$81,MATCH($A56,INDEX(in_signed_offices!$A$2:$BZ$81,0,MATCH("office_id",in_signed_offices!$A$1:$BZ$1,0)),0),MATCH("office_address",in_signed_offices!$A$1:$BZ$1,0))="","",INDEX(in_signed_offices!$A$2:$BZ$81,MATCH($A56,INDEX(in_signed_offices!$A$2:$BZ$81,0,MATCH("office_id",in_signed_offices!$A$1:$BZ$1,0)),0),MATCH("office_address",in_signed_offices!$A$1:$BZ$1,0))),""))</f>
        <v/>
      </c>
      <c r="P56" s="25">
        <f>IF($A56="","",IFERROR(IF(INDEX(in_signed_offices!$A$2:$BZ$81,MATCH($A56,INDEX(in_signed_offices!$A$2:$BZ$81,0,MATCH("office_id",in_signed_offices!$A$1:$BZ$1,0)),0),MATCH("floor_suite",in_signed_offices!$A$1:$BZ$1,0))="","",INDEX(in_signed_offices!$A$2:$BZ$81,MATCH($A56,INDEX(in_signed_offices!$A$2:$BZ$81,0,MATCH("office_id",in_signed_offices!$A$1:$BZ$1,0)),0),MATCH("floor_suite",in_signed_offices!$A$1:$BZ$1,0))),""))</f>
        <v/>
      </c>
      <c r="Q56" s="25">
        <f>IF($A56="","",IFERROR(IF(INDEX(in_signed_offices!$A$2:$BZ$81,MATCH($A56,INDEX(in_signed_offices!$A$2:$BZ$81,0,MATCH("office_id",in_signed_offices!$A$1:$BZ$1,0)),0),MATCH("tuesday_headcount",in_signed_offices!$A$1:$BZ$1,0))="","",INDEX(in_signed_offices!$A$2:$BZ$81,MATCH($A56,INDEX(in_signed_offices!$A$2:$BZ$81,0,MATCH("office_id",in_signed_offices!$A$1:$BZ$1,0)),0),MATCH("tuesday_headcount",in_signed_offices!$A$1:$BZ$1,0))),""))</f>
        <v/>
      </c>
      <c r="R56" s="25">
        <f>IF($A56="","",IFERROR(IF(INDEX(in_signed_offices!$A$2:$BZ$81,MATCH($A56,INDEX(in_signed_offices!$A$2:$BZ$81,0,MATCH("office_id",in_signed_offices!$A$1:$BZ$1,0)),0),MATCH("contact_name",in_signed_offices!$A$1:$BZ$1,0))="","",INDEX(in_signed_offices!$A$2:$BZ$81,MATCH($A56,INDEX(in_signed_offices!$A$2:$BZ$81,0,MATCH("office_id",in_signed_offices!$A$1:$BZ$1,0)),0),MATCH("contact_name",in_signed_offices!$A$1:$BZ$1,0))),""))</f>
        <v/>
      </c>
      <c r="S56" s="25">
        <f>IF($A56="","",IFERROR(IF(INDEX(in_signed_offices!$A$2:$BZ$81,MATCH($A56,INDEX(in_signed_offices!$A$2:$BZ$81,0,MATCH("office_id",in_signed_offices!$A$1:$BZ$1,0)),0),MATCH("contact_phone",in_signed_offices!$A$1:$BZ$1,0))="","",INDEX(in_signed_offices!$A$2:$BZ$81,MATCH($A56,INDEX(in_signed_offices!$A$2:$BZ$81,0,MATCH("office_id",in_signed_offices!$A$1:$BZ$1,0)),0),MATCH("contact_phone",in_signed_offices!$A$1:$BZ$1,0))),""))</f>
        <v/>
      </c>
      <c r="T56" s="25">
        <f>IF($A56="","",IFERROR(IF(INDEX(in_signed_offices!$A$2:$BZ$81,MATCH($A56,INDEX(in_signed_offices!$A$2:$BZ$81,0,MATCH("office_id",in_signed_offices!$A$1:$BZ$1,0)),0),MATCH("contact_email",in_signed_offices!$A$1:$BZ$1,0))="","",INDEX(in_signed_offices!$A$2:$BZ$81,MATCH($A56,INDEX(in_signed_offices!$A$2:$BZ$81,0,MATCH("office_id",in_signed_offices!$A$1:$BZ$1,0)),0),MATCH("contact_email",in_signed_offices!$A$1:$BZ$1,0))),""))</f>
        <v/>
      </c>
      <c r="U56" s="25">
        <f>IF($A56="","",IFERROR(IF(INDEX(in_signed_offices!$A$2:$BZ$81,MATCH($A56,INDEX(in_signed_offices!$A$2:$BZ$81,0,MATCH("office_id",in_signed_offices!$A$1:$BZ$1,0)),0),MATCH("pantry_owner_name",in_signed_offices!$A$1:$BZ$1,0))="","",INDEX(in_signed_offices!$A$2:$BZ$81,MATCH($A56,INDEX(in_signed_offices!$A$2:$BZ$81,0,MATCH("office_id",in_signed_offices!$A$1:$BZ$1,0)),0),MATCH("pantry_owner_name",in_signed_offices!$A$1:$BZ$1,0))),""))</f>
        <v/>
      </c>
      <c r="V56" s="25">
        <f>IF($A56="","",IFERROR(IF(INDEX(in_signed_offices!$A$2:$BZ$81,MATCH($A56,INDEX(in_signed_offices!$A$2:$BZ$81,0,MATCH("office_id",in_signed_offices!$A$1:$BZ$1,0)),0),MATCH("pantry_owner_title",in_signed_offices!$A$1:$BZ$1,0))="","",INDEX(in_signed_offices!$A$2:$BZ$81,MATCH($A56,INDEX(in_signed_offices!$A$2:$BZ$81,0,MATCH("office_id",in_signed_offices!$A$1:$BZ$1,0)),0),MATCH("pantry_owner_title",in_signed_offices!$A$1:$BZ$1,0))),""))</f>
        <v/>
      </c>
      <c r="W56" s="25">
        <f>IF($A56="","",IFERROR(IF(INDEX(in_signed_offices!$A$2:$BZ$81,MATCH($A56,INDEX(in_signed_offices!$A$2:$BZ$81,0,MATCH("office_id",in_signed_offices!$A$1:$BZ$1,0)),0),MATCH("pantry_owner_is_contact",in_signed_offices!$A$1:$BZ$1,0))="","",INDEX(in_signed_offices!$A$2:$BZ$81,MATCH($A56,INDEX(in_signed_offices!$A$2:$BZ$81,0,MATCH("office_id",in_signed_offices!$A$1:$BZ$1,0)),0),MATCH("pantry_owner_is_contact",in_signed_offices!$A$1:$BZ$1,0))),""))</f>
        <v/>
      </c>
      <c r="X56" s="25">
        <f>IF($A56="","",IFERROR(IF(INDEX(in_signed_offices!$A$2:$BZ$81,MATCH($A56,INDEX(in_signed_offices!$A$2:$BZ$81,0,MATCH("office_id",in_signed_offices!$A$1:$BZ$1,0)),0),MATCH("receiving_type",in_signed_offices!$A$1:$BZ$1,0))="","",INDEX(in_signed_offices!$A$2:$BZ$81,MATCH($A56,INDEX(in_signed_offices!$A$2:$BZ$81,0,MATCH("office_id",in_signed_offices!$A$1:$BZ$1,0)),0),MATCH("receiving_type",in_signed_offices!$A$1:$BZ$1,0))),""))</f>
        <v/>
      </c>
      <c r="Y56" s="25">
        <f>IF($A56="","",IFERROR(IF(INDEX(in_signed_offices!$A$2:$BZ$81,MATCH($A56,INDEX(in_signed_offices!$A$2:$BZ$81,0,MATCH("office_id",in_signed_offices!$A$1:$BZ$1,0)),0),MATCH("receiving_window",in_signed_offices!$A$1:$BZ$1,0))="","",INDEX(in_signed_offices!$A$2:$BZ$81,MATCH($A56,INDEX(in_signed_offices!$A$2:$BZ$81,0,MATCH("office_id",in_signed_offices!$A$1:$BZ$1,0)),0),MATCH("receiving_window",in_signed_offices!$A$1:$BZ$1,0))),""))</f>
        <v/>
      </c>
      <c r="Z56" s="25">
        <f>IF($A56="","",IFERROR(IF(INDEX(in_signed_offices!$A$2:$BZ$81,MATCH($A56,INDEX(in_signed_offices!$A$2:$BZ$81,0,MATCH("office_id",in_signed_offices!$A$1:$BZ$1,0)),0),MATCH("coi_required",in_signed_offices!$A$1:$BZ$1,0))="","",INDEX(in_signed_offices!$A$2:$BZ$81,MATCH($A56,INDEX(in_signed_offices!$A$2:$BZ$81,0,MATCH("office_id",in_signed_offices!$A$1:$BZ$1,0)),0),MATCH("coi_required",in_signed_offices!$A$1:$BZ$1,0))),""))</f>
        <v/>
      </c>
      <c r="AA56" s="25">
        <f>IF($A56="","",IFERROR(IF(INDEX(in_signed_offices!$A$2:$BZ$81,MATCH($A56,INDEX(in_signed_offices!$A$2:$BZ$81,0,MATCH("office_id",in_signed_offices!$A$1:$BZ$1,0)),0),MATCH("survey_channel",in_signed_offices!$A$1:$BZ$1,0))="","",INDEX(in_signed_offices!$A$2:$BZ$81,MATCH($A56,INDEX(in_signed_offices!$A$2:$BZ$81,0,MATCH("office_id",in_signed_offices!$A$1:$BZ$1,0)),0),MATCH("survey_channel",in_signed_offices!$A$1:$BZ$1,0))),""))</f>
        <v/>
      </c>
      <c r="AB56" s="25">
        <f>IF($A56="","",IFERROR(IF(INDEX(in_signed_offices!$A$2:$BZ$81,MATCH($A56,INDEX(in_signed_offices!$A$2:$BZ$81,0,MATCH("office_id",in_signed_offices!$A$1:$BZ$1,0)),0),MATCH("categories_wanted",in_signed_offices!$A$1:$BZ$1,0))="","",INDEX(in_signed_offices!$A$2:$BZ$81,MATCH($A56,INDEX(in_signed_offices!$A$2:$BZ$81,0,MATCH("office_id",in_signed_offices!$A$1:$BZ$1,0)),0),MATCH("categories_wanted",in_signed_offices!$A$1:$BZ$1,0))),""))</f>
        <v/>
      </c>
      <c r="AC56" s="25">
        <f>IF($A56="","",IFERROR(IF(INDEX(in_signed_offices!$A$2:$BZ$81,MATCH($A56,INDEX(in_signed_offices!$A$2:$BZ$81,0,MATCH("office_id",in_signed_offices!$A$1:$BZ$1,0)),0),MATCH("vetoes",in_signed_offices!$A$1:$BZ$1,0))="","",INDEX(in_signed_offices!$A$2:$BZ$81,MATCH($A56,INDEX(in_signed_offices!$A$2:$BZ$81,0,MATCH("office_id",in_signed_offices!$A$1:$BZ$1,0)),0),MATCH("vetoes",in_signed_offices!$A$1:$BZ$1,0))),""))</f>
        <v/>
      </c>
      <c r="AD56" s="26">
        <f>IF($A56="","",IFERROR(IF(INDEX(in_signed_offices!$A$2:$BZ$81,MATCH($A56,INDEX(in_signed_offices!$A$2:$BZ$81,0,MATCH("office_id",in_signed_offices!$A$1:$BZ$1,0)),0),MATCH("agreement_signed_date",in_signed_offices!$A$1:$BZ$1,0))="","",INDEX(in_signed_offices!$A$2:$BZ$81,MATCH($A56,INDEX(in_signed_offices!$A$2:$BZ$81,0,MATCH("office_id",in_signed_offices!$A$1:$BZ$1,0)),0),MATCH("agreement_signed_date",in_signed_offices!$A$1:$BZ$1,0))),""))</f>
        <v/>
      </c>
      <c r="AE56" s="25">
        <f>IF($A56="","",IFERROR(IF(INDEX(in_signed_offices!$A$2:$BZ$81,MATCH($A56,INDEX(in_signed_offices!$A$2:$BZ$81,0,MATCH("office_id",in_signed_offices!$A$1:$BZ$1,0)),0),MATCH("founding_roster_named",in_signed_offices!$A$1:$BZ$1,0))="","",INDEX(in_signed_offices!$A$2:$BZ$81,MATCH($A56,INDEX(in_signed_offices!$A$2:$BZ$81,0,MATCH("office_id",in_signed_offices!$A$1:$BZ$1,0)),0),MATCH("founding_roster_named",in_signed_offices!$A$1:$BZ$1,0))),""))</f>
        <v/>
      </c>
      <c r="AF56" s="25">
        <f>IF($A56="","",IFERROR(IF(INDEX(in_signed_offices!$A$2:$BZ$81,MATCH($A56,INDEX(in_signed_offices!$A$2:$BZ$81,0,MATCH("office_id",in_signed_offices!$A$1:$BZ$1,0)),0),MATCH("public_naming_ok",in_signed_offices!$A$1:$BZ$1,0))="","",INDEX(in_signed_offices!$A$2:$BZ$81,MATCH($A56,INDEX(in_signed_offices!$A$2:$BZ$81,0,MATCH("office_id",in_signed_offices!$A$1:$BZ$1,0)),0),MATCH("public_naming_ok",in_signed_offices!$A$1:$BZ$1,0))),""))</f>
        <v/>
      </c>
      <c r="AG56" s="25">
        <f>IF($A56="","",IFERROR(IF(INDEX(in_signed_offices!$A$2:$BZ$81,MATCH($A56,INDEX(in_signed_offices!$A$2:$BZ$81,0,MATCH("office_id",in_signed_offices!$A$1:$BZ$1,0)),0),MATCH("clay_row_id",in_signed_offices!$A$1:$BZ$1,0))="","",INDEX(in_signed_offices!$A$2:$BZ$81,MATCH($A56,INDEX(in_signed_offices!$A$2:$BZ$81,0,MATCH("office_id",in_signed_offices!$A$1:$BZ$1,0)),0),MATCH("clay_row_id",in_signed_offices!$A$1:$BZ$1,0))),""))</f>
        <v/>
      </c>
      <c r="AH56" s="25">
        <f>IF($A56="","",IF($E56&lt;&gt;"",$E56,IFERROR(IF(INDEX(in_signed_offices!$A$2:$BZ$81,MATCH($A56,INDEX(in_signed_offices!$A$2:$BZ$81,0,MATCH("office_id",in_signed_offices!$A$1:$BZ$1,0)),0),MATCH("industry",in_signed_offices!$A$1:$BZ$1,0))="","",INDEX(in_signed_offices!$A$2:$BZ$81,MATCH($A56,INDEX(in_signed_offices!$A$2:$BZ$81,0,MATCH("office_id",in_signed_offices!$A$1:$BZ$1,0)),0),MATCH("industry",in_signed_offices!$A$1:$BZ$1,0))),"")))</f>
        <v/>
      </c>
      <c r="AI56" s="25">
        <f>IF($A56="","",IF($F56&lt;&gt;"",$F56,IF(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lt;&gt;"",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IF($W56="Y",$S56,""))))</f>
        <v/>
      </c>
      <c r="AJ56" s="25">
        <f>IF($A56="","",IF($Q56="","unknown",IF($Q56&lt;40,"under-40",IF($Q56&lt;=75,"40-75",IF($Q56&lt;=150,"76-150",IF($Q56&lt;=250,"151-250",IF($Q56&lt;=500,"251-500","over-500")))))))</f>
        <v/>
      </c>
      <c r="AK56" s="25">
        <f>IF($A56="","",IF($N56="","not on in_signed_offices: paste the outreach file",IF($Q56="","no Tuesday headcount",IF($Q56&lt;30,"below the hard floor of 30",IF($Q56&lt;40,"30 to 39: founder's call",IF($Q56&gt;250,"over 250: outside the plan","OK"))))))</f>
        <v/>
      </c>
      <c r="AL56" s="25">
        <f>IF(OR($A56="",$Q56=""),"",MIN(config!$B$16,MAX(config!$B$15,MROUND(config!$B$13+config!$B$14*$Q56,config!$B$17))))</f>
        <v/>
      </c>
      <c r="AM56" s="25">
        <f>IF($A56="","",COUNTIFS(stops!$B$2:$B$151,$A56,stops!$P$2:$P$151,"&lt;="&amp;IF(config!$B$37&lt;&gt;"",config!$B$37,TODAY())))</f>
        <v/>
      </c>
      <c r="AN56" s="25">
        <f>IF($A56="","",COUNTIFS(stops!$B$2:$B$151,$A56,stops!$L$2:$L$151,"declined"))</f>
        <v/>
      </c>
    </row>
    <row r="57">
      <c r="C57" s="31" t="n"/>
      <c r="D57" s="31" t="n"/>
      <c r="J57" s="9" t="n"/>
      <c r="L57" s="9" t="n"/>
      <c r="N57" s="25">
        <f>IF($A57="","",IFERROR(IF(INDEX(in_signed_offices!$A$2:$BZ$81,MATCH($A57,INDEX(in_signed_offices!$A$2:$BZ$81,0,MATCH("office_id",in_signed_offices!$A$1:$BZ$1,0)),0),MATCH("company",in_signed_offices!$A$1:$BZ$1,0))="","",INDEX(in_signed_offices!$A$2:$BZ$81,MATCH($A57,INDEX(in_signed_offices!$A$2:$BZ$81,0,MATCH("office_id",in_signed_offices!$A$1:$BZ$1,0)),0),MATCH("company",in_signed_offices!$A$1:$BZ$1,0))),""))</f>
        <v/>
      </c>
      <c r="O57" s="25">
        <f>IF($A57="","",IFERROR(IF(INDEX(in_signed_offices!$A$2:$BZ$81,MATCH($A57,INDEX(in_signed_offices!$A$2:$BZ$81,0,MATCH("office_id",in_signed_offices!$A$1:$BZ$1,0)),0),MATCH("office_address",in_signed_offices!$A$1:$BZ$1,0))="","",INDEX(in_signed_offices!$A$2:$BZ$81,MATCH($A57,INDEX(in_signed_offices!$A$2:$BZ$81,0,MATCH("office_id",in_signed_offices!$A$1:$BZ$1,0)),0),MATCH("office_address",in_signed_offices!$A$1:$BZ$1,0))),""))</f>
        <v/>
      </c>
      <c r="P57" s="25">
        <f>IF($A57="","",IFERROR(IF(INDEX(in_signed_offices!$A$2:$BZ$81,MATCH($A57,INDEX(in_signed_offices!$A$2:$BZ$81,0,MATCH("office_id",in_signed_offices!$A$1:$BZ$1,0)),0),MATCH("floor_suite",in_signed_offices!$A$1:$BZ$1,0))="","",INDEX(in_signed_offices!$A$2:$BZ$81,MATCH($A57,INDEX(in_signed_offices!$A$2:$BZ$81,0,MATCH("office_id",in_signed_offices!$A$1:$BZ$1,0)),0),MATCH("floor_suite",in_signed_offices!$A$1:$BZ$1,0))),""))</f>
        <v/>
      </c>
      <c r="Q57" s="25">
        <f>IF($A57="","",IFERROR(IF(INDEX(in_signed_offices!$A$2:$BZ$81,MATCH($A57,INDEX(in_signed_offices!$A$2:$BZ$81,0,MATCH("office_id",in_signed_offices!$A$1:$BZ$1,0)),0),MATCH("tuesday_headcount",in_signed_offices!$A$1:$BZ$1,0))="","",INDEX(in_signed_offices!$A$2:$BZ$81,MATCH($A57,INDEX(in_signed_offices!$A$2:$BZ$81,0,MATCH("office_id",in_signed_offices!$A$1:$BZ$1,0)),0),MATCH("tuesday_headcount",in_signed_offices!$A$1:$BZ$1,0))),""))</f>
        <v/>
      </c>
      <c r="R57" s="25">
        <f>IF($A57="","",IFERROR(IF(INDEX(in_signed_offices!$A$2:$BZ$81,MATCH($A57,INDEX(in_signed_offices!$A$2:$BZ$81,0,MATCH("office_id",in_signed_offices!$A$1:$BZ$1,0)),0),MATCH("contact_name",in_signed_offices!$A$1:$BZ$1,0))="","",INDEX(in_signed_offices!$A$2:$BZ$81,MATCH($A57,INDEX(in_signed_offices!$A$2:$BZ$81,0,MATCH("office_id",in_signed_offices!$A$1:$BZ$1,0)),0),MATCH("contact_name",in_signed_offices!$A$1:$BZ$1,0))),""))</f>
        <v/>
      </c>
      <c r="S57" s="25">
        <f>IF($A57="","",IFERROR(IF(INDEX(in_signed_offices!$A$2:$BZ$81,MATCH($A57,INDEX(in_signed_offices!$A$2:$BZ$81,0,MATCH("office_id",in_signed_offices!$A$1:$BZ$1,0)),0),MATCH("contact_phone",in_signed_offices!$A$1:$BZ$1,0))="","",INDEX(in_signed_offices!$A$2:$BZ$81,MATCH($A57,INDEX(in_signed_offices!$A$2:$BZ$81,0,MATCH("office_id",in_signed_offices!$A$1:$BZ$1,0)),0),MATCH("contact_phone",in_signed_offices!$A$1:$BZ$1,0))),""))</f>
        <v/>
      </c>
      <c r="T57" s="25">
        <f>IF($A57="","",IFERROR(IF(INDEX(in_signed_offices!$A$2:$BZ$81,MATCH($A57,INDEX(in_signed_offices!$A$2:$BZ$81,0,MATCH("office_id",in_signed_offices!$A$1:$BZ$1,0)),0),MATCH("contact_email",in_signed_offices!$A$1:$BZ$1,0))="","",INDEX(in_signed_offices!$A$2:$BZ$81,MATCH($A57,INDEX(in_signed_offices!$A$2:$BZ$81,0,MATCH("office_id",in_signed_offices!$A$1:$BZ$1,0)),0),MATCH("contact_email",in_signed_offices!$A$1:$BZ$1,0))),""))</f>
        <v/>
      </c>
      <c r="U57" s="25">
        <f>IF($A57="","",IFERROR(IF(INDEX(in_signed_offices!$A$2:$BZ$81,MATCH($A57,INDEX(in_signed_offices!$A$2:$BZ$81,0,MATCH("office_id",in_signed_offices!$A$1:$BZ$1,0)),0),MATCH("pantry_owner_name",in_signed_offices!$A$1:$BZ$1,0))="","",INDEX(in_signed_offices!$A$2:$BZ$81,MATCH($A57,INDEX(in_signed_offices!$A$2:$BZ$81,0,MATCH("office_id",in_signed_offices!$A$1:$BZ$1,0)),0),MATCH("pantry_owner_name",in_signed_offices!$A$1:$BZ$1,0))),""))</f>
        <v/>
      </c>
      <c r="V57" s="25">
        <f>IF($A57="","",IFERROR(IF(INDEX(in_signed_offices!$A$2:$BZ$81,MATCH($A57,INDEX(in_signed_offices!$A$2:$BZ$81,0,MATCH("office_id",in_signed_offices!$A$1:$BZ$1,0)),0),MATCH("pantry_owner_title",in_signed_offices!$A$1:$BZ$1,0))="","",INDEX(in_signed_offices!$A$2:$BZ$81,MATCH($A57,INDEX(in_signed_offices!$A$2:$BZ$81,0,MATCH("office_id",in_signed_offices!$A$1:$BZ$1,0)),0),MATCH("pantry_owner_title",in_signed_offices!$A$1:$BZ$1,0))),""))</f>
        <v/>
      </c>
      <c r="W57" s="25">
        <f>IF($A57="","",IFERROR(IF(INDEX(in_signed_offices!$A$2:$BZ$81,MATCH($A57,INDEX(in_signed_offices!$A$2:$BZ$81,0,MATCH("office_id",in_signed_offices!$A$1:$BZ$1,0)),0),MATCH("pantry_owner_is_contact",in_signed_offices!$A$1:$BZ$1,0))="","",INDEX(in_signed_offices!$A$2:$BZ$81,MATCH($A57,INDEX(in_signed_offices!$A$2:$BZ$81,0,MATCH("office_id",in_signed_offices!$A$1:$BZ$1,0)),0),MATCH("pantry_owner_is_contact",in_signed_offices!$A$1:$BZ$1,0))),""))</f>
        <v/>
      </c>
      <c r="X57" s="25">
        <f>IF($A57="","",IFERROR(IF(INDEX(in_signed_offices!$A$2:$BZ$81,MATCH($A57,INDEX(in_signed_offices!$A$2:$BZ$81,0,MATCH("office_id",in_signed_offices!$A$1:$BZ$1,0)),0),MATCH("receiving_type",in_signed_offices!$A$1:$BZ$1,0))="","",INDEX(in_signed_offices!$A$2:$BZ$81,MATCH($A57,INDEX(in_signed_offices!$A$2:$BZ$81,0,MATCH("office_id",in_signed_offices!$A$1:$BZ$1,0)),0),MATCH("receiving_type",in_signed_offices!$A$1:$BZ$1,0))),""))</f>
        <v/>
      </c>
      <c r="Y57" s="25">
        <f>IF($A57="","",IFERROR(IF(INDEX(in_signed_offices!$A$2:$BZ$81,MATCH($A57,INDEX(in_signed_offices!$A$2:$BZ$81,0,MATCH("office_id",in_signed_offices!$A$1:$BZ$1,0)),0),MATCH("receiving_window",in_signed_offices!$A$1:$BZ$1,0))="","",INDEX(in_signed_offices!$A$2:$BZ$81,MATCH($A57,INDEX(in_signed_offices!$A$2:$BZ$81,0,MATCH("office_id",in_signed_offices!$A$1:$BZ$1,0)),0),MATCH("receiving_window",in_signed_offices!$A$1:$BZ$1,0))),""))</f>
        <v/>
      </c>
      <c r="Z57" s="25">
        <f>IF($A57="","",IFERROR(IF(INDEX(in_signed_offices!$A$2:$BZ$81,MATCH($A57,INDEX(in_signed_offices!$A$2:$BZ$81,0,MATCH("office_id",in_signed_offices!$A$1:$BZ$1,0)),0),MATCH("coi_required",in_signed_offices!$A$1:$BZ$1,0))="","",INDEX(in_signed_offices!$A$2:$BZ$81,MATCH($A57,INDEX(in_signed_offices!$A$2:$BZ$81,0,MATCH("office_id",in_signed_offices!$A$1:$BZ$1,0)),0),MATCH("coi_required",in_signed_offices!$A$1:$BZ$1,0))),""))</f>
        <v/>
      </c>
      <c r="AA57" s="25">
        <f>IF($A57="","",IFERROR(IF(INDEX(in_signed_offices!$A$2:$BZ$81,MATCH($A57,INDEX(in_signed_offices!$A$2:$BZ$81,0,MATCH("office_id",in_signed_offices!$A$1:$BZ$1,0)),0),MATCH("survey_channel",in_signed_offices!$A$1:$BZ$1,0))="","",INDEX(in_signed_offices!$A$2:$BZ$81,MATCH($A57,INDEX(in_signed_offices!$A$2:$BZ$81,0,MATCH("office_id",in_signed_offices!$A$1:$BZ$1,0)),0),MATCH("survey_channel",in_signed_offices!$A$1:$BZ$1,0))),""))</f>
        <v/>
      </c>
      <c r="AB57" s="25">
        <f>IF($A57="","",IFERROR(IF(INDEX(in_signed_offices!$A$2:$BZ$81,MATCH($A57,INDEX(in_signed_offices!$A$2:$BZ$81,0,MATCH("office_id",in_signed_offices!$A$1:$BZ$1,0)),0),MATCH("categories_wanted",in_signed_offices!$A$1:$BZ$1,0))="","",INDEX(in_signed_offices!$A$2:$BZ$81,MATCH($A57,INDEX(in_signed_offices!$A$2:$BZ$81,0,MATCH("office_id",in_signed_offices!$A$1:$BZ$1,0)),0),MATCH("categories_wanted",in_signed_offices!$A$1:$BZ$1,0))),""))</f>
        <v/>
      </c>
      <c r="AC57" s="25">
        <f>IF($A57="","",IFERROR(IF(INDEX(in_signed_offices!$A$2:$BZ$81,MATCH($A57,INDEX(in_signed_offices!$A$2:$BZ$81,0,MATCH("office_id",in_signed_offices!$A$1:$BZ$1,0)),0),MATCH("vetoes",in_signed_offices!$A$1:$BZ$1,0))="","",INDEX(in_signed_offices!$A$2:$BZ$81,MATCH($A57,INDEX(in_signed_offices!$A$2:$BZ$81,0,MATCH("office_id",in_signed_offices!$A$1:$BZ$1,0)),0),MATCH("vetoes",in_signed_offices!$A$1:$BZ$1,0))),""))</f>
        <v/>
      </c>
      <c r="AD57" s="26">
        <f>IF($A57="","",IFERROR(IF(INDEX(in_signed_offices!$A$2:$BZ$81,MATCH($A57,INDEX(in_signed_offices!$A$2:$BZ$81,0,MATCH("office_id",in_signed_offices!$A$1:$BZ$1,0)),0),MATCH("agreement_signed_date",in_signed_offices!$A$1:$BZ$1,0))="","",INDEX(in_signed_offices!$A$2:$BZ$81,MATCH($A57,INDEX(in_signed_offices!$A$2:$BZ$81,0,MATCH("office_id",in_signed_offices!$A$1:$BZ$1,0)),0),MATCH("agreement_signed_date",in_signed_offices!$A$1:$BZ$1,0))),""))</f>
        <v/>
      </c>
      <c r="AE57" s="25">
        <f>IF($A57="","",IFERROR(IF(INDEX(in_signed_offices!$A$2:$BZ$81,MATCH($A57,INDEX(in_signed_offices!$A$2:$BZ$81,0,MATCH("office_id",in_signed_offices!$A$1:$BZ$1,0)),0),MATCH("founding_roster_named",in_signed_offices!$A$1:$BZ$1,0))="","",INDEX(in_signed_offices!$A$2:$BZ$81,MATCH($A57,INDEX(in_signed_offices!$A$2:$BZ$81,0,MATCH("office_id",in_signed_offices!$A$1:$BZ$1,0)),0),MATCH("founding_roster_named",in_signed_offices!$A$1:$BZ$1,0))),""))</f>
        <v/>
      </c>
      <c r="AF57" s="25">
        <f>IF($A57="","",IFERROR(IF(INDEX(in_signed_offices!$A$2:$BZ$81,MATCH($A57,INDEX(in_signed_offices!$A$2:$BZ$81,0,MATCH("office_id",in_signed_offices!$A$1:$BZ$1,0)),0),MATCH("public_naming_ok",in_signed_offices!$A$1:$BZ$1,0))="","",INDEX(in_signed_offices!$A$2:$BZ$81,MATCH($A57,INDEX(in_signed_offices!$A$2:$BZ$81,0,MATCH("office_id",in_signed_offices!$A$1:$BZ$1,0)),0),MATCH("public_naming_ok",in_signed_offices!$A$1:$BZ$1,0))),""))</f>
        <v/>
      </c>
      <c r="AG57" s="25">
        <f>IF($A57="","",IFERROR(IF(INDEX(in_signed_offices!$A$2:$BZ$81,MATCH($A57,INDEX(in_signed_offices!$A$2:$BZ$81,0,MATCH("office_id",in_signed_offices!$A$1:$BZ$1,0)),0),MATCH("clay_row_id",in_signed_offices!$A$1:$BZ$1,0))="","",INDEX(in_signed_offices!$A$2:$BZ$81,MATCH($A57,INDEX(in_signed_offices!$A$2:$BZ$81,0,MATCH("office_id",in_signed_offices!$A$1:$BZ$1,0)),0),MATCH("clay_row_id",in_signed_offices!$A$1:$BZ$1,0))),""))</f>
        <v/>
      </c>
      <c r="AH57" s="25">
        <f>IF($A57="","",IF($E57&lt;&gt;"",$E57,IFERROR(IF(INDEX(in_signed_offices!$A$2:$BZ$81,MATCH($A57,INDEX(in_signed_offices!$A$2:$BZ$81,0,MATCH("office_id",in_signed_offices!$A$1:$BZ$1,0)),0),MATCH("industry",in_signed_offices!$A$1:$BZ$1,0))="","",INDEX(in_signed_offices!$A$2:$BZ$81,MATCH($A57,INDEX(in_signed_offices!$A$2:$BZ$81,0,MATCH("office_id",in_signed_offices!$A$1:$BZ$1,0)),0),MATCH("industry",in_signed_offices!$A$1:$BZ$1,0))),"")))</f>
        <v/>
      </c>
      <c r="AI57" s="25">
        <f>IF($A57="","",IF($F57&lt;&gt;"",$F57,IF(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lt;&gt;"",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IF($W57="Y",$S57,""))))</f>
        <v/>
      </c>
      <c r="AJ57" s="25">
        <f>IF($A57="","",IF($Q57="","unknown",IF($Q57&lt;40,"under-40",IF($Q57&lt;=75,"40-75",IF($Q57&lt;=150,"76-150",IF($Q57&lt;=250,"151-250",IF($Q57&lt;=500,"251-500","over-500")))))))</f>
        <v/>
      </c>
      <c r="AK57" s="25">
        <f>IF($A57="","",IF($N57="","not on in_signed_offices: paste the outreach file",IF($Q57="","no Tuesday headcount",IF($Q57&lt;30,"below the hard floor of 30",IF($Q57&lt;40,"30 to 39: founder's call",IF($Q57&gt;250,"over 250: outside the plan","OK"))))))</f>
        <v/>
      </c>
      <c r="AL57" s="25">
        <f>IF(OR($A57="",$Q57=""),"",MIN(config!$B$16,MAX(config!$B$15,MROUND(config!$B$13+config!$B$14*$Q57,config!$B$17))))</f>
        <v/>
      </c>
      <c r="AM57" s="25">
        <f>IF($A57="","",COUNTIFS(stops!$B$2:$B$151,$A57,stops!$P$2:$P$151,"&lt;="&amp;IF(config!$B$37&lt;&gt;"",config!$B$37,TODAY())))</f>
        <v/>
      </c>
      <c r="AN57" s="25">
        <f>IF($A57="","",COUNTIFS(stops!$B$2:$B$151,$A57,stops!$L$2:$L$151,"declined"))</f>
        <v/>
      </c>
    </row>
    <row r="58">
      <c r="C58" s="31" t="n"/>
      <c r="D58" s="31" t="n"/>
      <c r="J58" s="9" t="n"/>
      <c r="L58" s="9" t="n"/>
      <c r="N58" s="25">
        <f>IF($A58="","",IFERROR(IF(INDEX(in_signed_offices!$A$2:$BZ$81,MATCH($A58,INDEX(in_signed_offices!$A$2:$BZ$81,0,MATCH("office_id",in_signed_offices!$A$1:$BZ$1,0)),0),MATCH("company",in_signed_offices!$A$1:$BZ$1,0))="","",INDEX(in_signed_offices!$A$2:$BZ$81,MATCH($A58,INDEX(in_signed_offices!$A$2:$BZ$81,0,MATCH("office_id",in_signed_offices!$A$1:$BZ$1,0)),0),MATCH("company",in_signed_offices!$A$1:$BZ$1,0))),""))</f>
        <v/>
      </c>
      <c r="O58" s="25">
        <f>IF($A58="","",IFERROR(IF(INDEX(in_signed_offices!$A$2:$BZ$81,MATCH($A58,INDEX(in_signed_offices!$A$2:$BZ$81,0,MATCH("office_id",in_signed_offices!$A$1:$BZ$1,0)),0),MATCH("office_address",in_signed_offices!$A$1:$BZ$1,0))="","",INDEX(in_signed_offices!$A$2:$BZ$81,MATCH($A58,INDEX(in_signed_offices!$A$2:$BZ$81,0,MATCH("office_id",in_signed_offices!$A$1:$BZ$1,0)),0),MATCH("office_address",in_signed_offices!$A$1:$BZ$1,0))),""))</f>
        <v/>
      </c>
      <c r="P58" s="25">
        <f>IF($A58="","",IFERROR(IF(INDEX(in_signed_offices!$A$2:$BZ$81,MATCH($A58,INDEX(in_signed_offices!$A$2:$BZ$81,0,MATCH("office_id",in_signed_offices!$A$1:$BZ$1,0)),0),MATCH("floor_suite",in_signed_offices!$A$1:$BZ$1,0))="","",INDEX(in_signed_offices!$A$2:$BZ$81,MATCH($A58,INDEX(in_signed_offices!$A$2:$BZ$81,0,MATCH("office_id",in_signed_offices!$A$1:$BZ$1,0)),0),MATCH("floor_suite",in_signed_offices!$A$1:$BZ$1,0))),""))</f>
        <v/>
      </c>
      <c r="Q58" s="25">
        <f>IF($A58="","",IFERROR(IF(INDEX(in_signed_offices!$A$2:$BZ$81,MATCH($A58,INDEX(in_signed_offices!$A$2:$BZ$81,0,MATCH("office_id",in_signed_offices!$A$1:$BZ$1,0)),0),MATCH("tuesday_headcount",in_signed_offices!$A$1:$BZ$1,0))="","",INDEX(in_signed_offices!$A$2:$BZ$81,MATCH($A58,INDEX(in_signed_offices!$A$2:$BZ$81,0,MATCH("office_id",in_signed_offices!$A$1:$BZ$1,0)),0),MATCH("tuesday_headcount",in_signed_offices!$A$1:$BZ$1,0))),""))</f>
        <v/>
      </c>
      <c r="R58" s="25">
        <f>IF($A58="","",IFERROR(IF(INDEX(in_signed_offices!$A$2:$BZ$81,MATCH($A58,INDEX(in_signed_offices!$A$2:$BZ$81,0,MATCH("office_id",in_signed_offices!$A$1:$BZ$1,0)),0),MATCH("contact_name",in_signed_offices!$A$1:$BZ$1,0))="","",INDEX(in_signed_offices!$A$2:$BZ$81,MATCH($A58,INDEX(in_signed_offices!$A$2:$BZ$81,0,MATCH("office_id",in_signed_offices!$A$1:$BZ$1,0)),0),MATCH("contact_name",in_signed_offices!$A$1:$BZ$1,0))),""))</f>
        <v/>
      </c>
      <c r="S58" s="25">
        <f>IF($A58="","",IFERROR(IF(INDEX(in_signed_offices!$A$2:$BZ$81,MATCH($A58,INDEX(in_signed_offices!$A$2:$BZ$81,0,MATCH("office_id",in_signed_offices!$A$1:$BZ$1,0)),0),MATCH("contact_phone",in_signed_offices!$A$1:$BZ$1,0))="","",INDEX(in_signed_offices!$A$2:$BZ$81,MATCH($A58,INDEX(in_signed_offices!$A$2:$BZ$81,0,MATCH("office_id",in_signed_offices!$A$1:$BZ$1,0)),0),MATCH("contact_phone",in_signed_offices!$A$1:$BZ$1,0))),""))</f>
        <v/>
      </c>
      <c r="T58" s="25">
        <f>IF($A58="","",IFERROR(IF(INDEX(in_signed_offices!$A$2:$BZ$81,MATCH($A58,INDEX(in_signed_offices!$A$2:$BZ$81,0,MATCH("office_id",in_signed_offices!$A$1:$BZ$1,0)),0),MATCH("contact_email",in_signed_offices!$A$1:$BZ$1,0))="","",INDEX(in_signed_offices!$A$2:$BZ$81,MATCH($A58,INDEX(in_signed_offices!$A$2:$BZ$81,0,MATCH("office_id",in_signed_offices!$A$1:$BZ$1,0)),0),MATCH("contact_email",in_signed_offices!$A$1:$BZ$1,0))),""))</f>
        <v/>
      </c>
      <c r="U58" s="25">
        <f>IF($A58="","",IFERROR(IF(INDEX(in_signed_offices!$A$2:$BZ$81,MATCH($A58,INDEX(in_signed_offices!$A$2:$BZ$81,0,MATCH("office_id",in_signed_offices!$A$1:$BZ$1,0)),0),MATCH("pantry_owner_name",in_signed_offices!$A$1:$BZ$1,0))="","",INDEX(in_signed_offices!$A$2:$BZ$81,MATCH($A58,INDEX(in_signed_offices!$A$2:$BZ$81,0,MATCH("office_id",in_signed_offices!$A$1:$BZ$1,0)),0),MATCH("pantry_owner_name",in_signed_offices!$A$1:$BZ$1,0))),""))</f>
        <v/>
      </c>
      <c r="V58" s="25">
        <f>IF($A58="","",IFERROR(IF(INDEX(in_signed_offices!$A$2:$BZ$81,MATCH($A58,INDEX(in_signed_offices!$A$2:$BZ$81,0,MATCH("office_id",in_signed_offices!$A$1:$BZ$1,0)),0),MATCH("pantry_owner_title",in_signed_offices!$A$1:$BZ$1,0))="","",INDEX(in_signed_offices!$A$2:$BZ$81,MATCH($A58,INDEX(in_signed_offices!$A$2:$BZ$81,0,MATCH("office_id",in_signed_offices!$A$1:$BZ$1,0)),0),MATCH("pantry_owner_title",in_signed_offices!$A$1:$BZ$1,0))),""))</f>
        <v/>
      </c>
      <c r="W58" s="25">
        <f>IF($A58="","",IFERROR(IF(INDEX(in_signed_offices!$A$2:$BZ$81,MATCH($A58,INDEX(in_signed_offices!$A$2:$BZ$81,0,MATCH("office_id",in_signed_offices!$A$1:$BZ$1,0)),0),MATCH("pantry_owner_is_contact",in_signed_offices!$A$1:$BZ$1,0))="","",INDEX(in_signed_offices!$A$2:$BZ$81,MATCH($A58,INDEX(in_signed_offices!$A$2:$BZ$81,0,MATCH("office_id",in_signed_offices!$A$1:$BZ$1,0)),0),MATCH("pantry_owner_is_contact",in_signed_offices!$A$1:$BZ$1,0))),""))</f>
        <v/>
      </c>
      <c r="X58" s="25">
        <f>IF($A58="","",IFERROR(IF(INDEX(in_signed_offices!$A$2:$BZ$81,MATCH($A58,INDEX(in_signed_offices!$A$2:$BZ$81,0,MATCH("office_id",in_signed_offices!$A$1:$BZ$1,0)),0),MATCH("receiving_type",in_signed_offices!$A$1:$BZ$1,0))="","",INDEX(in_signed_offices!$A$2:$BZ$81,MATCH($A58,INDEX(in_signed_offices!$A$2:$BZ$81,0,MATCH("office_id",in_signed_offices!$A$1:$BZ$1,0)),0),MATCH("receiving_type",in_signed_offices!$A$1:$BZ$1,0))),""))</f>
        <v/>
      </c>
      <c r="Y58" s="25">
        <f>IF($A58="","",IFERROR(IF(INDEX(in_signed_offices!$A$2:$BZ$81,MATCH($A58,INDEX(in_signed_offices!$A$2:$BZ$81,0,MATCH("office_id",in_signed_offices!$A$1:$BZ$1,0)),0),MATCH("receiving_window",in_signed_offices!$A$1:$BZ$1,0))="","",INDEX(in_signed_offices!$A$2:$BZ$81,MATCH($A58,INDEX(in_signed_offices!$A$2:$BZ$81,0,MATCH("office_id",in_signed_offices!$A$1:$BZ$1,0)),0),MATCH("receiving_window",in_signed_offices!$A$1:$BZ$1,0))),""))</f>
        <v/>
      </c>
      <c r="Z58" s="25">
        <f>IF($A58="","",IFERROR(IF(INDEX(in_signed_offices!$A$2:$BZ$81,MATCH($A58,INDEX(in_signed_offices!$A$2:$BZ$81,0,MATCH("office_id",in_signed_offices!$A$1:$BZ$1,0)),0),MATCH("coi_required",in_signed_offices!$A$1:$BZ$1,0))="","",INDEX(in_signed_offices!$A$2:$BZ$81,MATCH($A58,INDEX(in_signed_offices!$A$2:$BZ$81,0,MATCH("office_id",in_signed_offices!$A$1:$BZ$1,0)),0),MATCH("coi_required",in_signed_offices!$A$1:$BZ$1,0))),""))</f>
        <v/>
      </c>
      <c r="AA58" s="25">
        <f>IF($A58="","",IFERROR(IF(INDEX(in_signed_offices!$A$2:$BZ$81,MATCH($A58,INDEX(in_signed_offices!$A$2:$BZ$81,0,MATCH("office_id",in_signed_offices!$A$1:$BZ$1,0)),0),MATCH("survey_channel",in_signed_offices!$A$1:$BZ$1,0))="","",INDEX(in_signed_offices!$A$2:$BZ$81,MATCH($A58,INDEX(in_signed_offices!$A$2:$BZ$81,0,MATCH("office_id",in_signed_offices!$A$1:$BZ$1,0)),0),MATCH("survey_channel",in_signed_offices!$A$1:$BZ$1,0))),""))</f>
        <v/>
      </c>
      <c r="AB58" s="25">
        <f>IF($A58="","",IFERROR(IF(INDEX(in_signed_offices!$A$2:$BZ$81,MATCH($A58,INDEX(in_signed_offices!$A$2:$BZ$81,0,MATCH("office_id",in_signed_offices!$A$1:$BZ$1,0)),0),MATCH("categories_wanted",in_signed_offices!$A$1:$BZ$1,0))="","",INDEX(in_signed_offices!$A$2:$BZ$81,MATCH($A58,INDEX(in_signed_offices!$A$2:$BZ$81,0,MATCH("office_id",in_signed_offices!$A$1:$BZ$1,0)),0),MATCH("categories_wanted",in_signed_offices!$A$1:$BZ$1,0))),""))</f>
        <v/>
      </c>
      <c r="AC58" s="25">
        <f>IF($A58="","",IFERROR(IF(INDEX(in_signed_offices!$A$2:$BZ$81,MATCH($A58,INDEX(in_signed_offices!$A$2:$BZ$81,0,MATCH("office_id",in_signed_offices!$A$1:$BZ$1,0)),0),MATCH("vetoes",in_signed_offices!$A$1:$BZ$1,0))="","",INDEX(in_signed_offices!$A$2:$BZ$81,MATCH($A58,INDEX(in_signed_offices!$A$2:$BZ$81,0,MATCH("office_id",in_signed_offices!$A$1:$BZ$1,0)),0),MATCH("vetoes",in_signed_offices!$A$1:$BZ$1,0))),""))</f>
        <v/>
      </c>
      <c r="AD58" s="26">
        <f>IF($A58="","",IFERROR(IF(INDEX(in_signed_offices!$A$2:$BZ$81,MATCH($A58,INDEX(in_signed_offices!$A$2:$BZ$81,0,MATCH("office_id",in_signed_offices!$A$1:$BZ$1,0)),0),MATCH("agreement_signed_date",in_signed_offices!$A$1:$BZ$1,0))="","",INDEX(in_signed_offices!$A$2:$BZ$81,MATCH($A58,INDEX(in_signed_offices!$A$2:$BZ$81,0,MATCH("office_id",in_signed_offices!$A$1:$BZ$1,0)),0),MATCH("agreement_signed_date",in_signed_offices!$A$1:$BZ$1,0))),""))</f>
        <v/>
      </c>
      <c r="AE58" s="25">
        <f>IF($A58="","",IFERROR(IF(INDEX(in_signed_offices!$A$2:$BZ$81,MATCH($A58,INDEX(in_signed_offices!$A$2:$BZ$81,0,MATCH("office_id",in_signed_offices!$A$1:$BZ$1,0)),0),MATCH("founding_roster_named",in_signed_offices!$A$1:$BZ$1,0))="","",INDEX(in_signed_offices!$A$2:$BZ$81,MATCH($A58,INDEX(in_signed_offices!$A$2:$BZ$81,0,MATCH("office_id",in_signed_offices!$A$1:$BZ$1,0)),0),MATCH("founding_roster_named",in_signed_offices!$A$1:$BZ$1,0))),""))</f>
        <v/>
      </c>
      <c r="AF58" s="25">
        <f>IF($A58="","",IFERROR(IF(INDEX(in_signed_offices!$A$2:$BZ$81,MATCH($A58,INDEX(in_signed_offices!$A$2:$BZ$81,0,MATCH("office_id",in_signed_offices!$A$1:$BZ$1,0)),0),MATCH("public_naming_ok",in_signed_offices!$A$1:$BZ$1,0))="","",INDEX(in_signed_offices!$A$2:$BZ$81,MATCH($A58,INDEX(in_signed_offices!$A$2:$BZ$81,0,MATCH("office_id",in_signed_offices!$A$1:$BZ$1,0)),0),MATCH("public_naming_ok",in_signed_offices!$A$1:$BZ$1,0))),""))</f>
        <v/>
      </c>
      <c r="AG58" s="25">
        <f>IF($A58="","",IFERROR(IF(INDEX(in_signed_offices!$A$2:$BZ$81,MATCH($A58,INDEX(in_signed_offices!$A$2:$BZ$81,0,MATCH("office_id",in_signed_offices!$A$1:$BZ$1,0)),0),MATCH("clay_row_id",in_signed_offices!$A$1:$BZ$1,0))="","",INDEX(in_signed_offices!$A$2:$BZ$81,MATCH($A58,INDEX(in_signed_offices!$A$2:$BZ$81,0,MATCH("office_id",in_signed_offices!$A$1:$BZ$1,0)),0),MATCH("clay_row_id",in_signed_offices!$A$1:$BZ$1,0))),""))</f>
        <v/>
      </c>
      <c r="AH58" s="25">
        <f>IF($A58="","",IF($E58&lt;&gt;"",$E58,IFERROR(IF(INDEX(in_signed_offices!$A$2:$BZ$81,MATCH($A58,INDEX(in_signed_offices!$A$2:$BZ$81,0,MATCH("office_id",in_signed_offices!$A$1:$BZ$1,0)),0),MATCH("industry",in_signed_offices!$A$1:$BZ$1,0))="","",INDEX(in_signed_offices!$A$2:$BZ$81,MATCH($A58,INDEX(in_signed_offices!$A$2:$BZ$81,0,MATCH("office_id",in_signed_offices!$A$1:$BZ$1,0)),0),MATCH("industry",in_signed_offices!$A$1:$BZ$1,0))),"")))</f>
        <v/>
      </c>
      <c r="AI58" s="25">
        <f>IF($A58="","",IF($F58&lt;&gt;"",$F58,IF(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lt;&gt;"",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IF($W58="Y",$S58,""))))</f>
        <v/>
      </c>
      <c r="AJ58" s="25">
        <f>IF($A58="","",IF($Q58="","unknown",IF($Q58&lt;40,"under-40",IF($Q58&lt;=75,"40-75",IF($Q58&lt;=150,"76-150",IF($Q58&lt;=250,"151-250",IF($Q58&lt;=500,"251-500","over-500")))))))</f>
        <v/>
      </c>
      <c r="AK58" s="25">
        <f>IF($A58="","",IF($N58="","not on in_signed_offices: paste the outreach file",IF($Q58="","no Tuesday headcount",IF($Q58&lt;30,"below the hard floor of 30",IF($Q58&lt;40,"30 to 39: founder's call",IF($Q58&gt;250,"over 250: outside the plan","OK"))))))</f>
        <v/>
      </c>
      <c r="AL58" s="25">
        <f>IF(OR($A58="",$Q58=""),"",MIN(config!$B$16,MAX(config!$B$15,MROUND(config!$B$13+config!$B$14*$Q58,config!$B$17))))</f>
        <v/>
      </c>
      <c r="AM58" s="25">
        <f>IF($A58="","",COUNTIFS(stops!$B$2:$B$151,$A58,stops!$P$2:$P$151,"&lt;="&amp;IF(config!$B$37&lt;&gt;"",config!$B$37,TODAY())))</f>
        <v/>
      </c>
      <c r="AN58" s="25">
        <f>IF($A58="","",COUNTIFS(stops!$B$2:$B$151,$A58,stops!$L$2:$L$151,"declined"))</f>
        <v/>
      </c>
    </row>
    <row r="59">
      <c r="C59" s="31" t="n"/>
      <c r="D59" s="31" t="n"/>
      <c r="J59" s="9" t="n"/>
      <c r="L59" s="9" t="n"/>
      <c r="N59" s="25">
        <f>IF($A59="","",IFERROR(IF(INDEX(in_signed_offices!$A$2:$BZ$81,MATCH($A59,INDEX(in_signed_offices!$A$2:$BZ$81,0,MATCH("office_id",in_signed_offices!$A$1:$BZ$1,0)),0),MATCH("company",in_signed_offices!$A$1:$BZ$1,0))="","",INDEX(in_signed_offices!$A$2:$BZ$81,MATCH($A59,INDEX(in_signed_offices!$A$2:$BZ$81,0,MATCH("office_id",in_signed_offices!$A$1:$BZ$1,0)),0),MATCH("company",in_signed_offices!$A$1:$BZ$1,0))),""))</f>
        <v/>
      </c>
      <c r="O59" s="25">
        <f>IF($A59="","",IFERROR(IF(INDEX(in_signed_offices!$A$2:$BZ$81,MATCH($A59,INDEX(in_signed_offices!$A$2:$BZ$81,0,MATCH("office_id",in_signed_offices!$A$1:$BZ$1,0)),0),MATCH("office_address",in_signed_offices!$A$1:$BZ$1,0))="","",INDEX(in_signed_offices!$A$2:$BZ$81,MATCH($A59,INDEX(in_signed_offices!$A$2:$BZ$81,0,MATCH("office_id",in_signed_offices!$A$1:$BZ$1,0)),0),MATCH("office_address",in_signed_offices!$A$1:$BZ$1,0))),""))</f>
        <v/>
      </c>
      <c r="P59" s="25">
        <f>IF($A59="","",IFERROR(IF(INDEX(in_signed_offices!$A$2:$BZ$81,MATCH($A59,INDEX(in_signed_offices!$A$2:$BZ$81,0,MATCH("office_id",in_signed_offices!$A$1:$BZ$1,0)),0),MATCH("floor_suite",in_signed_offices!$A$1:$BZ$1,0))="","",INDEX(in_signed_offices!$A$2:$BZ$81,MATCH($A59,INDEX(in_signed_offices!$A$2:$BZ$81,0,MATCH("office_id",in_signed_offices!$A$1:$BZ$1,0)),0),MATCH("floor_suite",in_signed_offices!$A$1:$BZ$1,0))),""))</f>
        <v/>
      </c>
      <c r="Q59" s="25">
        <f>IF($A59="","",IFERROR(IF(INDEX(in_signed_offices!$A$2:$BZ$81,MATCH($A59,INDEX(in_signed_offices!$A$2:$BZ$81,0,MATCH("office_id",in_signed_offices!$A$1:$BZ$1,0)),0),MATCH("tuesday_headcount",in_signed_offices!$A$1:$BZ$1,0))="","",INDEX(in_signed_offices!$A$2:$BZ$81,MATCH($A59,INDEX(in_signed_offices!$A$2:$BZ$81,0,MATCH("office_id",in_signed_offices!$A$1:$BZ$1,0)),0),MATCH("tuesday_headcount",in_signed_offices!$A$1:$BZ$1,0))),""))</f>
        <v/>
      </c>
      <c r="R59" s="25">
        <f>IF($A59="","",IFERROR(IF(INDEX(in_signed_offices!$A$2:$BZ$81,MATCH($A59,INDEX(in_signed_offices!$A$2:$BZ$81,0,MATCH("office_id",in_signed_offices!$A$1:$BZ$1,0)),0),MATCH("contact_name",in_signed_offices!$A$1:$BZ$1,0))="","",INDEX(in_signed_offices!$A$2:$BZ$81,MATCH($A59,INDEX(in_signed_offices!$A$2:$BZ$81,0,MATCH("office_id",in_signed_offices!$A$1:$BZ$1,0)),0),MATCH("contact_name",in_signed_offices!$A$1:$BZ$1,0))),""))</f>
        <v/>
      </c>
      <c r="S59" s="25">
        <f>IF($A59="","",IFERROR(IF(INDEX(in_signed_offices!$A$2:$BZ$81,MATCH($A59,INDEX(in_signed_offices!$A$2:$BZ$81,0,MATCH("office_id",in_signed_offices!$A$1:$BZ$1,0)),0),MATCH("contact_phone",in_signed_offices!$A$1:$BZ$1,0))="","",INDEX(in_signed_offices!$A$2:$BZ$81,MATCH($A59,INDEX(in_signed_offices!$A$2:$BZ$81,0,MATCH("office_id",in_signed_offices!$A$1:$BZ$1,0)),0),MATCH("contact_phone",in_signed_offices!$A$1:$BZ$1,0))),""))</f>
        <v/>
      </c>
      <c r="T59" s="25">
        <f>IF($A59="","",IFERROR(IF(INDEX(in_signed_offices!$A$2:$BZ$81,MATCH($A59,INDEX(in_signed_offices!$A$2:$BZ$81,0,MATCH("office_id",in_signed_offices!$A$1:$BZ$1,0)),0),MATCH("contact_email",in_signed_offices!$A$1:$BZ$1,0))="","",INDEX(in_signed_offices!$A$2:$BZ$81,MATCH($A59,INDEX(in_signed_offices!$A$2:$BZ$81,0,MATCH("office_id",in_signed_offices!$A$1:$BZ$1,0)),0),MATCH("contact_email",in_signed_offices!$A$1:$BZ$1,0))),""))</f>
        <v/>
      </c>
      <c r="U59" s="25">
        <f>IF($A59="","",IFERROR(IF(INDEX(in_signed_offices!$A$2:$BZ$81,MATCH($A59,INDEX(in_signed_offices!$A$2:$BZ$81,0,MATCH("office_id",in_signed_offices!$A$1:$BZ$1,0)),0),MATCH("pantry_owner_name",in_signed_offices!$A$1:$BZ$1,0))="","",INDEX(in_signed_offices!$A$2:$BZ$81,MATCH($A59,INDEX(in_signed_offices!$A$2:$BZ$81,0,MATCH("office_id",in_signed_offices!$A$1:$BZ$1,0)),0),MATCH("pantry_owner_name",in_signed_offices!$A$1:$BZ$1,0))),""))</f>
        <v/>
      </c>
      <c r="V59" s="25">
        <f>IF($A59="","",IFERROR(IF(INDEX(in_signed_offices!$A$2:$BZ$81,MATCH($A59,INDEX(in_signed_offices!$A$2:$BZ$81,0,MATCH("office_id",in_signed_offices!$A$1:$BZ$1,0)),0),MATCH("pantry_owner_title",in_signed_offices!$A$1:$BZ$1,0))="","",INDEX(in_signed_offices!$A$2:$BZ$81,MATCH($A59,INDEX(in_signed_offices!$A$2:$BZ$81,0,MATCH("office_id",in_signed_offices!$A$1:$BZ$1,0)),0),MATCH("pantry_owner_title",in_signed_offices!$A$1:$BZ$1,0))),""))</f>
        <v/>
      </c>
      <c r="W59" s="25">
        <f>IF($A59="","",IFERROR(IF(INDEX(in_signed_offices!$A$2:$BZ$81,MATCH($A59,INDEX(in_signed_offices!$A$2:$BZ$81,0,MATCH("office_id",in_signed_offices!$A$1:$BZ$1,0)),0),MATCH("pantry_owner_is_contact",in_signed_offices!$A$1:$BZ$1,0))="","",INDEX(in_signed_offices!$A$2:$BZ$81,MATCH($A59,INDEX(in_signed_offices!$A$2:$BZ$81,0,MATCH("office_id",in_signed_offices!$A$1:$BZ$1,0)),0),MATCH("pantry_owner_is_contact",in_signed_offices!$A$1:$BZ$1,0))),""))</f>
        <v/>
      </c>
      <c r="X59" s="25">
        <f>IF($A59="","",IFERROR(IF(INDEX(in_signed_offices!$A$2:$BZ$81,MATCH($A59,INDEX(in_signed_offices!$A$2:$BZ$81,0,MATCH("office_id",in_signed_offices!$A$1:$BZ$1,0)),0),MATCH("receiving_type",in_signed_offices!$A$1:$BZ$1,0))="","",INDEX(in_signed_offices!$A$2:$BZ$81,MATCH($A59,INDEX(in_signed_offices!$A$2:$BZ$81,0,MATCH("office_id",in_signed_offices!$A$1:$BZ$1,0)),0),MATCH("receiving_type",in_signed_offices!$A$1:$BZ$1,0))),""))</f>
        <v/>
      </c>
      <c r="Y59" s="25">
        <f>IF($A59="","",IFERROR(IF(INDEX(in_signed_offices!$A$2:$BZ$81,MATCH($A59,INDEX(in_signed_offices!$A$2:$BZ$81,0,MATCH("office_id",in_signed_offices!$A$1:$BZ$1,0)),0),MATCH("receiving_window",in_signed_offices!$A$1:$BZ$1,0))="","",INDEX(in_signed_offices!$A$2:$BZ$81,MATCH($A59,INDEX(in_signed_offices!$A$2:$BZ$81,0,MATCH("office_id",in_signed_offices!$A$1:$BZ$1,0)),0),MATCH("receiving_window",in_signed_offices!$A$1:$BZ$1,0))),""))</f>
        <v/>
      </c>
      <c r="Z59" s="25">
        <f>IF($A59="","",IFERROR(IF(INDEX(in_signed_offices!$A$2:$BZ$81,MATCH($A59,INDEX(in_signed_offices!$A$2:$BZ$81,0,MATCH("office_id",in_signed_offices!$A$1:$BZ$1,0)),0),MATCH("coi_required",in_signed_offices!$A$1:$BZ$1,0))="","",INDEX(in_signed_offices!$A$2:$BZ$81,MATCH($A59,INDEX(in_signed_offices!$A$2:$BZ$81,0,MATCH("office_id",in_signed_offices!$A$1:$BZ$1,0)),0),MATCH("coi_required",in_signed_offices!$A$1:$BZ$1,0))),""))</f>
        <v/>
      </c>
      <c r="AA59" s="25">
        <f>IF($A59="","",IFERROR(IF(INDEX(in_signed_offices!$A$2:$BZ$81,MATCH($A59,INDEX(in_signed_offices!$A$2:$BZ$81,0,MATCH("office_id",in_signed_offices!$A$1:$BZ$1,0)),0),MATCH("survey_channel",in_signed_offices!$A$1:$BZ$1,0))="","",INDEX(in_signed_offices!$A$2:$BZ$81,MATCH($A59,INDEX(in_signed_offices!$A$2:$BZ$81,0,MATCH("office_id",in_signed_offices!$A$1:$BZ$1,0)),0),MATCH("survey_channel",in_signed_offices!$A$1:$BZ$1,0))),""))</f>
        <v/>
      </c>
      <c r="AB59" s="25">
        <f>IF($A59="","",IFERROR(IF(INDEX(in_signed_offices!$A$2:$BZ$81,MATCH($A59,INDEX(in_signed_offices!$A$2:$BZ$81,0,MATCH("office_id",in_signed_offices!$A$1:$BZ$1,0)),0),MATCH("categories_wanted",in_signed_offices!$A$1:$BZ$1,0))="","",INDEX(in_signed_offices!$A$2:$BZ$81,MATCH($A59,INDEX(in_signed_offices!$A$2:$BZ$81,0,MATCH("office_id",in_signed_offices!$A$1:$BZ$1,0)),0),MATCH("categories_wanted",in_signed_offices!$A$1:$BZ$1,0))),""))</f>
        <v/>
      </c>
      <c r="AC59" s="25">
        <f>IF($A59="","",IFERROR(IF(INDEX(in_signed_offices!$A$2:$BZ$81,MATCH($A59,INDEX(in_signed_offices!$A$2:$BZ$81,0,MATCH("office_id",in_signed_offices!$A$1:$BZ$1,0)),0),MATCH("vetoes",in_signed_offices!$A$1:$BZ$1,0))="","",INDEX(in_signed_offices!$A$2:$BZ$81,MATCH($A59,INDEX(in_signed_offices!$A$2:$BZ$81,0,MATCH("office_id",in_signed_offices!$A$1:$BZ$1,0)),0),MATCH("vetoes",in_signed_offices!$A$1:$BZ$1,0))),""))</f>
        <v/>
      </c>
      <c r="AD59" s="26">
        <f>IF($A59="","",IFERROR(IF(INDEX(in_signed_offices!$A$2:$BZ$81,MATCH($A59,INDEX(in_signed_offices!$A$2:$BZ$81,0,MATCH("office_id",in_signed_offices!$A$1:$BZ$1,0)),0),MATCH("agreement_signed_date",in_signed_offices!$A$1:$BZ$1,0))="","",INDEX(in_signed_offices!$A$2:$BZ$81,MATCH($A59,INDEX(in_signed_offices!$A$2:$BZ$81,0,MATCH("office_id",in_signed_offices!$A$1:$BZ$1,0)),0),MATCH("agreement_signed_date",in_signed_offices!$A$1:$BZ$1,0))),""))</f>
        <v/>
      </c>
      <c r="AE59" s="25">
        <f>IF($A59="","",IFERROR(IF(INDEX(in_signed_offices!$A$2:$BZ$81,MATCH($A59,INDEX(in_signed_offices!$A$2:$BZ$81,0,MATCH("office_id",in_signed_offices!$A$1:$BZ$1,0)),0),MATCH("founding_roster_named",in_signed_offices!$A$1:$BZ$1,0))="","",INDEX(in_signed_offices!$A$2:$BZ$81,MATCH($A59,INDEX(in_signed_offices!$A$2:$BZ$81,0,MATCH("office_id",in_signed_offices!$A$1:$BZ$1,0)),0),MATCH("founding_roster_named",in_signed_offices!$A$1:$BZ$1,0))),""))</f>
        <v/>
      </c>
      <c r="AF59" s="25">
        <f>IF($A59="","",IFERROR(IF(INDEX(in_signed_offices!$A$2:$BZ$81,MATCH($A59,INDEX(in_signed_offices!$A$2:$BZ$81,0,MATCH("office_id",in_signed_offices!$A$1:$BZ$1,0)),0),MATCH("public_naming_ok",in_signed_offices!$A$1:$BZ$1,0))="","",INDEX(in_signed_offices!$A$2:$BZ$81,MATCH($A59,INDEX(in_signed_offices!$A$2:$BZ$81,0,MATCH("office_id",in_signed_offices!$A$1:$BZ$1,0)),0),MATCH("public_naming_ok",in_signed_offices!$A$1:$BZ$1,0))),""))</f>
        <v/>
      </c>
      <c r="AG59" s="25">
        <f>IF($A59="","",IFERROR(IF(INDEX(in_signed_offices!$A$2:$BZ$81,MATCH($A59,INDEX(in_signed_offices!$A$2:$BZ$81,0,MATCH("office_id",in_signed_offices!$A$1:$BZ$1,0)),0),MATCH("clay_row_id",in_signed_offices!$A$1:$BZ$1,0))="","",INDEX(in_signed_offices!$A$2:$BZ$81,MATCH($A59,INDEX(in_signed_offices!$A$2:$BZ$81,0,MATCH("office_id",in_signed_offices!$A$1:$BZ$1,0)),0),MATCH("clay_row_id",in_signed_offices!$A$1:$BZ$1,0))),""))</f>
        <v/>
      </c>
      <c r="AH59" s="25">
        <f>IF($A59="","",IF($E59&lt;&gt;"",$E59,IFERROR(IF(INDEX(in_signed_offices!$A$2:$BZ$81,MATCH($A59,INDEX(in_signed_offices!$A$2:$BZ$81,0,MATCH("office_id",in_signed_offices!$A$1:$BZ$1,0)),0),MATCH("industry",in_signed_offices!$A$1:$BZ$1,0))="","",INDEX(in_signed_offices!$A$2:$BZ$81,MATCH($A59,INDEX(in_signed_offices!$A$2:$BZ$81,0,MATCH("office_id",in_signed_offices!$A$1:$BZ$1,0)),0),MATCH("industry",in_signed_offices!$A$1:$BZ$1,0))),"")))</f>
        <v/>
      </c>
      <c r="AI59" s="25">
        <f>IF($A59="","",IF($F59&lt;&gt;"",$F59,IF(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lt;&gt;"",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IF($W59="Y",$S59,""))))</f>
        <v/>
      </c>
      <c r="AJ59" s="25">
        <f>IF($A59="","",IF($Q59="","unknown",IF($Q59&lt;40,"under-40",IF($Q59&lt;=75,"40-75",IF($Q59&lt;=150,"76-150",IF($Q59&lt;=250,"151-250",IF($Q59&lt;=500,"251-500","over-500")))))))</f>
        <v/>
      </c>
      <c r="AK59" s="25">
        <f>IF($A59="","",IF($N59="","not on in_signed_offices: paste the outreach file",IF($Q59="","no Tuesday headcount",IF($Q59&lt;30,"below the hard floor of 30",IF($Q59&lt;40,"30 to 39: founder's call",IF($Q59&gt;250,"over 250: outside the plan","OK"))))))</f>
        <v/>
      </c>
      <c r="AL59" s="25">
        <f>IF(OR($A59="",$Q59=""),"",MIN(config!$B$16,MAX(config!$B$15,MROUND(config!$B$13+config!$B$14*$Q59,config!$B$17))))</f>
        <v/>
      </c>
      <c r="AM59" s="25">
        <f>IF($A59="","",COUNTIFS(stops!$B$2:$B$151,$A59,stops!$P$2:$P$151,"&lt;="&amp;IF(config!$B$37&lt;&gt;"",config!$B$37,TODAY())))</f>
        <v/>
      </c>
      <c r="AN59" s="25">
        <f>IF($A59="","",COUNTIFS(stops!$B$2:$B$151,$A59,stops!$L$2:$L$151,"declined"))</f>
        <v/>
      </c>
    </row>
    <row r="60">
      <c r="C60" s="31" t="n"/>
      <c r="D60" s="31" t="n"/>
      <c r="J60" s="9" t="n"/>
      <c r="L60" s="9" t="n"/>
      <c r="N60" s="25">
        <f>IF($A60="","",IFERROR(IF(INDEX(in_signed_offices!$A$2:$BZ$81,MATCH($A60,INDEX(in_signed_offices!$A$2:$BZ$81,0,MATCH("office_id",in_signed_offices!$A$1:$BZ$1,0)),0),MATCH("company",in_signed_offices!$A$1:$BZ$1,0))="","",INDEX(in_signed_offices!$A$2:$BZ$81,MATCH($A60,INDEX(in_signed_offices!$A$2:$BZ$81,0,MATCH("office_id",in_signed_offices!$A$1:$BZ$1,0)),0),MATCH("company",in_signed_offices!$A$1:$BZ$1,0))),""))</f>
        <v/>
      </c>
      <c r="O60" s="25">
        <f>IF($A60="","",IFERROR(IF(INDEX(in_signed_offices!$A$2:$BZ$81,MATCH($A60,INDEX(in_signed_offices!$A$2:$BZ$81,0,MATCH("office_id",in_signed_offices!$A$1:$BZ$1,0)),0),MATCH("office_address",in_signed_offices!$A$1:$BZ$1,0))="","",INDEX(in_signed_offices!$A$2:$BZ$81,MATCH($A60,INDEX(in_signed_offices!$A$2:$BZ$81,0,MATCH("office_id",in_signed_offices!$A$1:$BZ$1,0)),0),MATCH("office_address",in_signed_offices!$A$1:$BZ$1,0))),""))</f>
        <v/>
      </c>
      <c r="P60" s="25">
        <f>IF($A60="","",IFERROR(IF(INDEX(in_signed_offices!$A$2:$BZ$81,MATCH($A60,INDEX(in_signed_offices!$A$2:$BZ$81,0,MATCH("office_id",in_signed_offices!$A$1:$BZ$1,0)),0),MATCH("floor_suite",in_signed_offices!$A$1:$BZ$1,0))="","",INDEX(in_signed_offices!$A$2:$BZ$81,MATCH($A60,INDEX(in_signed_offices!$A$2:$BZ$81,0,MATCH("office_id",in_signed_offices!$A$1:$BZ$1,0)),0),MATCH("floor_suite",in_signed_offices!$A$1:$BZ$1,0))),""))</f>
        <v/>
      </c>
      <c r="Q60" s="25">
        <f>IF($A60="","",IFERROR(IF(INDEX(in_signed_offices!$A$2:$BZ$81,MATCH($A60,INDEX(in_signed_offices!$A$2:$BZ$81,0,MATCH("office_id",in_signed_offices!$A$1:$BZ$1,0)),0),MATCH("tuesday_headcount",in_signed_offices!$A$1:$BZ$1,0))="","",INDEX(in_signed_offices!$A$2:$BZ$81,MATCH($A60,INDEX(in_signed_offices!$A$2:$BZ$81,0,MATCH("office_id",in_signed_offices!$A$1:$BZ$1,0)),0),MATCH("tuesday_headcount",in_signed_offices!$A$1:$BZ$1,0))),""))</f>
        <v/>
      </c>
      <c r="R60" s="25">
        <f>IF($A60="","",IFERROR(IF(INDEX(in_signed_offices!$A$2:$BZ$81,MATCH($A60,INDEX(in_signed_offices!$A$2:$BZ$81,0,MATCH("office_id",in_signed_offices!$A$1:$BZ$1,0)),0),MATCH("contact_name",in_signed_offices!$A$1:$BZ$1,0))="","",INDEX(in_signed_offices!$A$2:$BZ$81,MATCH($A60,INDEX(in_signed_offices!$A$2:$BZ$81,0,MATCH("office_id",in_signed_offices!$A$1:$BZ$1,0)),0),MATCH("contact_name",in_signed_offices!$A$1:$BZ$1,0))),""))</f>
        <v/>
      </c>
      <c r="S60" s="25">
        <f>IF($A60="","",IFERROR(IF(INDEX(in_signed_offices!$A$2:$BZ$81,MATCH($A60,INDEX(in_signed_offices!$A$2:$BZ$81,0,MATCH("office_id",in_signed_offices!$A$1:$BZ$1,0)),0),MATCH("contact_phone",in_signed_offices!$A$1:$BZ$1,0))="","",INDEX(in_signed_offices!$A$2:$BZ$81,MATCH($A60,INDEX(in_signed_offices!$A$2:$BZ$81,0,MATCH("office_id",in_signed_offices!$A$1:$BZ$1,0)),0),MATCH("contact_phone",in_signed_offices!$A$1:$BZ$1,0))),""))</f>
        <v/>
      </c>
      <c r="T60" s="25">
        <f>IF($A60="","",IFERROR(IF(INDEX(in_signed_offices!$A$2:$BZ$81,MATCH($A60,INDEX(in_signed_offices!$A$2:$BZ$81,0,MATCH("office_id",in_signed_offices!$A$1:$BZ$1,0)),0),MATCH("contact_email",in_signed_offices!$A$1:$BZ$1,0))="","",INDEX(in_signed_offices!$A$2:$BZ$81,MATCH($A60,INDEX(in_signed_offices!$A$2:$BZ$81,0,MATCH("office_id",in_signed_offices!$A$1:$BZ$1,0)),0),MATCH("contact_email",in_signed_offices!$A$1:$BZ$1,0))),""))</f>
        <v/>
      </c>
      <c r="U60" s="25">
        <f>IF($A60="","",IFERROR(IF(INDEX(in_signed_offices!$A$2:$BZ$81,MATCH($A60,INDEX(in_signed_offices!$A$2:$BZ$81,0,MATCH("office_id",in_signed_offices!$A$1:$BZ$1,0)),0),MATCH("pantry_owner_name",in_signed_offices!$A$1:$BZ$1,0))="","",INDEX(in_signed_offices!$A$2:$BZ$81,MATCH($A60,INDEX(in_signed_offices!$A$2:$BZ$81,0,MATCH("office_id",in_signed_offices!$A$1:$BZ$1,0)),0),MATCH("pantry_owner_name",in_signed_offices!$A$1:$BZ$1,0))),""))</f>
        <v/>
      </c>
      <c r="V60" s="25">
        <f>IF($A60="","",IFERROR(IF(INDEX(in_signed_offices!$A$2:$BZ$81,MATCH($A60,INDEX(in_signed_offices!$A$2:$BZ$81,0,MATCH("office_id",in_signed_offices!$A$1:$BZ$1,0)),0),MATCH("pantry_owner_title",in_signed_offices!$A$1:$BZ$1,0))="","",INDEX(in_signed_offices!$A$2:$BZ$81,MATCH($A60,INDEX(in_signed_offices!$A$2:$BZ$81,0,MATCH("office_id",in_signed_offices!$A$1:$BZ$1,0)),0),MATCH("pantry_owner_title",in_signed_offices!$A$1:$BZ$1,0))),""))</f>
        <v/>
      </c>
      <c r="W60" s="25">
        <f>IF($A60="","",IFERROR(IF(INDEX(in_signed_offices!$A$2:$BZ$81,MATCH($A60,INDEX(in_signed_offices!$A$2:$BZ$81,0,MATCH("office_id",in_signed_offices!$A$1:$BZ$1,0)),0),MATCH("pantry_owner_is_contact",in_signed_offices!$A$1:$BZ$1,0))="","",INDEX(in_signed_offices!$A$2:$BZ$81,MATCH($A60,INDEX(in_signed_offices!$A$2:$BZ$81,0,MATCH("office_id",in_signed_offices!$A$1:$BZ$1,0)),0),MATCH("pantry_owner_is_contact",in_signed_offices!$A$1:$BZ$1,0))),""))</f>
        <v/>
      </c>
      <c r="X60" s="25">
        <f>IF($A60="","",IFERROR(IF(INDEX(in_signed_offices!$A$2:$BZ$81,MATCH($A60,INDEX(in_signed_offices!$A$2:$BZ$81,0,MATCH("office_id",in_signed_offices!$A$1:$BZ$1,0)),0),MATCH("receiving_type",in_signed_offices!$A$1:$BZ$1,0))="","",INDEX(in_signed_offices!$A$2:$BZ$81,MATCH($A60,INDEX(in_signed_offices!$A$2:$BZ$81,0,MATCH("office_id",in_signed_offices!$A$1:$BZ$1,0)),0),MATCH("receiving_type",in_signed_offices!$A$1:$BZ$1,0))),""))</f>
        <v/>
      </c>
      <c r="Y60" s="25">
        <f>IF($A60="","",IFERROR(IF(INDEX(in_signed_offices!$A$2:$BZ$81,MATCH($A60,INDEX(in_signed_offices!$A$2:$BZ$81,0,MATCH("office_id",in_signed_offices!$A$1:$BZ$1,0)),0),MATCH("receiving_window",in_signed_offices!$A$1:$BZ$1,0))="","",INDEX(in_signed_offices!$A$2:$BZ$81,MATCH($A60,INDEX(in_signed_offices!$A$2:$BZ$81,0,MATCH("office_id",in_signed_offices!$A$1:$BZ$1,0)),0),MATCH("receiving_window",in_signed_offices!$A$1:$BZ$1,0))),""))</f>
        <v/>
      </c>
      <c r="Z60" s="25">
        <f>IF($A60="","",IFERROR(IF(INDEX(in_signed_offices!$A$2:$BZ$81,MATCH($A60,INDEX(in_signed_offices!$A$2:$BZ$81,0,MATCH("office_id",in_signed_offices!$A$1:$BZ$1,0)),0),MATCH("coi_required",in_signed_offices!$A$1:$BZ$1,0))="","",INDEX(in_signed_offices!$A$2:$BZ$81,MATCH($A60,INDEX(in_signed_offices!$A$2:$BZ$81,0,MATCH("office_id",in_signed_offices!$A$1:$BZ$1,0)),0),MATCH("coi_required",in_signed_offices!$A$1:$BZ$1,0))),""))</f>
        <v/>
      </c>
      <c r="AA60" s="25">
        <f>IF($A60="","",IFERROR(IF(INDEX(in_signed_offices!$A$2:$BZ$81,MATCH($A60,INDEX(in_signed_offices!$A$2:$BZ$81,0,MATCH("office_id",in_signed_offices!$A$1:$BZ$1,0)),0),MATCH("survey_channel",in_signed_offices!$A$1:$BZ$1,0))="","",INDEX(in_signed_offices!$A$2:$BZ$81,MATCH($A60,INDEX(in_signed_offices!$A$2:$BZ$81,0,MATCH("office_id",in_signed_offices!$A$1:$BZ$1,0)),0),MATCH("survey_channel",in_signed_offices!$A$1:$BZ$1,0))),""))</f>
        <v/>
      </c>
      <c r="AB60" s="25">
        <f>IF($A60="","",IFERROR(IF(INDEX(in_signed_offices!$A$2:$BZ$81,MATCH($A60,INDEX(in_signed_offices!$A$2:$BZ$81,0,MATCH("office_id",in_signed_offices!$A$1:$BZ$1,0)),0),MATCH("categories_wanted",in_signed_offices!$A$1:$BZ$1,0))="","",INDEX(in_signed_offices!$A$2:$BZ$81,MATCH($A60,INDEX(in_signed_offices!$A$2:$BZ$81,0,MATCH("office_id",in_signed_offices!$A$1:$BZ$1,0)),0),MATCH("categories_wanted",in_signed_offices!$A$1:$BZ$1,0))),""))</f>
        <v/>
      </c>
      <c r="AC60" s="25">
        <f>IF($A60="","",IFERROR(IF(INDEX(in_signed_offices!$A$2:$BZ$81,MATCH($A60,INDEX(in_signed_offices!$A$2:$BZ$81,0,MATCH("office_id",in_signed_offices!$A$1:$BZ$1,0)),0),MATCH("vetoes",in_signed_offices!$A$1:$BZ$1,0))="","",INDEX(in_signed_offices!$A$2:$BZ$81,MATCH($A60,INDEX(in_signed_offices!$A$2:$BZ$81,0,MATCH("office_id",in_signed_offices!$A$1:$BZ$1,0)),0),MATCH("vetoes",in_signed_offices!$A$1:$BZ$1,0))),""))</f>
        <v/>
      </c>
      <c r="AD60" s="26">
        <f>IF($A60="","",IFERROR(IF(INDEX(in_signed_offices!$A$2:$BZ$81,MATCH($A60,INDEX(in_signed_offices!$A$2:$BZ$81,0,MATCH("office_id",in_signed_offices!$A$1:$BZ$1,0)),0),MATCH("agreement_signed_date",in_signed_offices!$A$1:$BZ$1,0))="","",INDEX(in_signed_offices!$A$2:$BZ$81,MATCH($A60,INDEX(in_signed_offices!$A$2:$BZ$81,0,MATCH("office_id",in_signed_offices!$A$1:$BZ$1,0)),0),MATCH("agreement_signed_date",in_signed_offices!$A$1:$BZ$1,0))),""))</f>
        <v/>
      </c>
      <c r="AE60" s="25">
        <f>IF($A60="","",IFERROR(IF(INDEX(in_signed_offices!$A$2:$BZ$81,MATCH($A60,INDEX(in_signed_offices!$A$2:$BZ$81,0,MATCH("office_id",in_signed_offices!$A$1:$BZ$1,0)),0),MATCH("founding_roster_named",in_signed_offices!$A$1:$BZ$1,0))="","",INDEX(in_signed_offices!$A$2:$BZ$81,MATCH($A60,INDEX(in_signed_offices!$A$2:$BZ$81,0,MATCH("office_id",in_signed_offices!$A$1:$BZ$1,0)),0),MATCH("founding_roster_named",in_signed_offices!$A$1:$BZ$1,0))),""))</f>
        <v/>
      </c>
      <c r="AF60" s="25">
        <f>IF($A60="","",IFERROR(IF(INDEX(in_signed_offices!$A$2:$BZ$81,MATCH($A60,INDEX(in_signed_offices!$A$2:$BZ$81,0,MATCH("office_id",in_signed_offices!$A$1:$BZ$1,0)),0),MATCH("public_naming_ok",in_signed_offices!$A$1:$BZ$1,0))="","",INDEX(in_signed_offices!$A$2:$BZ$81,MATCH($A60,INDEX(in_signed_offices!$A$2:$BZ$81,0,MATCH("office_id",in_signed_offices!$A$1:$BZ$1,0)),0),MATCH("public_naming_ok",in_signed_offices!$A$1:$BZ$1,0))),""))</f>
        <v/>
      </c>
      <c r="AG60" s="25">
        <f>IF($A60="","",IFERROR(IF(INDEX(in_signed_offices!$A$2:$BZ$81,MATCH($A60,INDEX(in_signed_offices!$A$2:$BZ$81,0,MATCH("office_id",in_signed_offices!$A$1:$BZ$1,0)),0),MATCH("clay_row_id",in_signed_offices!$A$1:$BZ$1,0))="","",INDEX(in_signed_offices!$A$2:$BZ$81,MATCH($A60,INDEX(in_signed_offices!$A$2:$BZ$81,0,MATCH("office_id",in_signed_offices!$A$1:$BZ$1,0)),0),MATCH("clay_row_id",in_signed_offices!$A$1:$BZ$1,0))),""))</f>
        <v/>
      </c>
      <c r="AH60" s="25">
        <f>IF($A60="","",IF($E60&lt;&gt;"",$E60,IFERROR(IF(INDEX(in_signed_offices!$A$2:$BZ$81,MATCH($A60,INDEX(in_signed_offices!$A$2:$BZ$81,0,MATCH("office_id",in_signed_offices!$A$1:$BZ$1,0)),0),MATCH("industry",in_signed_offices!$A$1:$BZ$1,0))="","",INDEX(in_signed_offices!$A$2:$BZ$81,MATCH($A60,INDEX(in_signed_offices!$A$2:$BZ$81,0,MATCH("office_id",in_signed_offices!$A$1:$BZ$1,0)),0),MATCH("industry",in_signed_offices!$A$1:$BZ$1,0))),"")))</f>
        <v/>
      </c>
      <c r="AI60" s="25">
        <f>IF($A60="","",IF($F60&lt;&gt;"",$F60,IF(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lt;&gt;"",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IF($W60="Y",$S60,""))))</f>
        <v/>
      </c>
      <c r="AJ60" s="25">
        <f>IF($A60="","",IF($Q60="","unknown",IF($Q60&lt;40,"under-40",IF($Q60&lt;=75,"40-75",IF($Q60&lt;=150,"76-150",IF($Q60&lt;=250,"151-250",IF($Q60&lt;=500,"251-500","over-500")))))))</f>
        <v/>
      </c>
      <c r="AK60" s="25">
        <f>IF($A60="","",IF($N60="","not on in_signed_offices: paste the outreach file",IF($Q60="","no Tuesday headcount",IF($Q60&lt;30,"below the hard floor of 30",IF($Q60&lt;40,"30 to 39: founder's call",IF($Q60&gt;250,"over 250: outside the plan","OK"))))))</f>
        <v/>
      </c>
      <c r="AL60" s="25">
        <f>IF(OR($A60="",$Q60=""),"",MIN(config!$B$16,MAX(config!$B$15,MROUND(config!$B$13+config!$B$14*$Q60,config!$B$17))))</f>
        <v/>
      </c>
      <c r="AM60" s="25">
        <f>IF($A60="","",COUNTIFS(stops!$B$2:$B$151,$A60,stops!$P$2:$P$151,"&lt;="&amp;IF(config!$B$37&lt;&gt;"",config!$B$37,TODAY())))</f>
        <v/>
      </c>
      <c r="AN60" s="25">
        <f>IF($A60="","",COUNTIFS(stops!$B$2:$B$151,$A60,stops!$L$2:$L$151,"declined"))</f>
        <v/>
      </c>
    </row>
    <row r="61">
      <c r="C61" s="31" t="n"/>
      <c r="D61" s="31" t="n"/>
      <c r="J61" s="9" t="n"/>
      <c r="L61" s="9" t="n"/>
      <c r="N61" s="25">
        <f>IF($A61="","",IFERROR(IF(INDEX(in_signed_offices!$A$2:$BZ$81,MATCH($A61,INDEX(in_signed_offices!$A$2:$BZ$81,0,MATCH("office_id",in_signed_offices!$A$1:$BZ$1,0)),0),MATCH("company",in_signed_offices!$A$1:$BZ$1,0))="","",INDEX(in_signed_offices!$A$2:$BZ$81,MATCH($A61,INDEX(in_signed_offices!$A$2:$BZ$81,0,MATCH("office_id",in_signed_offices!$A$1:$BZ$1,0)),0),MATCH("company",in_signed_offices!$A$1:$BZ$1,0))),""))</f>
        <v/>
      </c>
      <c r="O61" s="25">
        <f>IF($A61="","",IFERROR(IF(INDEX(in_signed_offices!$A$2:$BZ$81,MATCH($A61,INDEX(in_signed_offices!$A$2:$BZ$81,0,MATCH("office_id",in_signed_offices!$A$1:$BZ$1,0)),0),MATCH("office_address",in_signed_offices!$A$1:$BZ$1,0))="","",INDEX(in_signed_offices!$A$2:$BZ$81,MATCH($A61,INDEX(in_signed_offices!$A$2:$BZ$81,0,MATCH("office_id",in_signed_offices!$A$1:$BZ$1,0)),0),MATCH("office_address",in_signed_offices!$A$1:$BZ$1,0))),""))</f>
        <v/>
      </c>
      <c r="P61" s="25">
        <f>IF($A61="","",IFERROR(IF(INDEX(in_signed_offices!$A$2:$BZ$81,MATCH($A61,INDEX(in_signed_offices!$A$2:$BZ$81,0,MATCH("office_id",in_signed_offices!$A$1:$BZ$1,0)),0),MATCH("floor_suite",in_signed_offices!$A$1:$BZ$1,0))="","",INDEX(in_signed_offices!$A$2:$BZ$81,MATCH($A61,INDEX(in_signed_offices!$A$2:$BZ$81,0,MATCH("office_id",in_signed_offices!$A$1:$BZ$1,0)),0),MATCH("floor_suite",in_signed_offices!$A$1:$BZ$1,0))),""))</f>
        <v/>
      </c>
      <c r="Q61" s="25">
        <f>IF($A61="","",IFERROR(IF(INDEX(in_signed_offices!$A$2:$BZ$81,MATCH($A61,INDEX(in_signed_offices!$A$2:$BZ$81,0,MATCH("office_id",in_signed_offices!$A$1:$BZ$1,0)),0),MATCH("tuesday_headcount",in_signed_offices!$A$1:$BZ$1,0))="","",INDEX(in_signed_offices!$A$2:$BZ$81,MATCH($A61,INDEX(in_signed_offices!$A$2:$BZ$81,0,MATCH("office_id",in_signed_offices!$A$1:$BZ$1,0)),0),MATCH("tuesday_headcount",in_signed_offices!$A$1:$BZ$1,0))),""))</f>
        <v/>
      </c>
      <c r="R61" s="25">
        <f>IF($A61="","",IFERROR(IF(INDEX(in_signed_offices!$A$2:$BZ$81,MATCH($A61,INDEX(in_signed_offices!$A$2:$BZ$81,0,MATCH("office_id",in_signed_offices!$A$1:$BZ$1,0)),0),MATCH("contact_name",in_signed_offices!$A$1:$BZ$1,0))="","",INDEX(in_signed_offices!$A$2:$BZ$81,MATCH($A61,INDEX(in_signed_offices!$A$2:$BZ$81,0,MATCH("office_id",in_signed_offices!$A$1:$BZ$1,0)),0),MATCH("contact_name",in_signed_offices!$A$1:$BZ$1,0))),""))</f>
        <v/>
      </c>
      <c r="S61" s="25">
        <f>IF($A61="","",IFERROR(IF(INDEX(in_signed_offices!$A$2:$BZ$81,MATCH($A61,INDEX(in_signed_offices!$A$2:$BZ$81,0,MATCH("office_id",in_signed_offices!$A$1:$BZ$1,0)),0),MATCH("contact_phone",in_signed_offices!$A$1:$BZ$1,0))="","",INDEX(in_signed_offices!$A$2:$BZ$81,MATCH($A61,INDEX(in_signed_offices!$A$2:$BZ$81,0,MATCH("office_id",in_signed_offices!$A$1:$BZ$1,0)),0),MATCH("contact_phone",in_signed_offices!$A$1:$BZ$1,0))),""))</f>
        <v/>
      </c>
      <c r="T61" s="25">
        <f>IF($A61="","",IFERROR(IF(INDEX(in_signed_offices!$A$2:$BZ$81,MATCH($A61,INDEX(in_signed_offices!$A$2:$BZ$81,0,MATCH("office_id",in_signed_offices!$A$1:$BZ$1,0)),0),MATCH("contact_email",in_signed_offices!$A$1:$BZ$1,0))="","",INDEX(in_signed_offices!$A$2:$BZ$81,MATCH($A61,INDEX(in_signed_offices!$A$2:$BZ$81,0,MATCH("office_id",in_signed_offices!$A$1:$BZ$1,0)),0),MATCH("contact_email",in_signed_offices!$A$1:$BZ$1,0))),""))</f>
        <v/>
      </c>
      <c r="U61" s="25">
        <f>IF($A61="","",IFERROR(IF(INDEX(in_signed_offices!$A$2:$BZ$81,MATCH($A61,INDEX(in_signed_offices!$A$2:$BZ$81,0,MATCH("office_id",in_signed_offices!$A$1:$BZ$1,0)),0),MATCH("pantry_owner_name",in_signed_offices!$A$1:$BZ$1,0))="","",INDEX(in_signed_offices!$A$2:$BZ$81,MATCH($A61,INDEX(in_signed_offices!$A$2:$BZ$81,0,MATCH("office_id",in_signed_offices!$A$1:$BZ$1,0)),0),MATCH("pantry_owner_name",in_signed_offices!$A$1:$BZ$1,0))),""))</f>
        <v/>
      </c>
      <c r="V61" s="25">
        <f>IF($A61="","",IFERROR(IF(INDEX(in_signed_offices!$A$2:$BZ$81,MATCH($A61,INDEX(in_signed_offices!$A$2:$BZ$81,0,MATCH("office_id",in_signed_offices!$A$1:$BZ$1,0)),0),MATCH("pantry_owner_title",in_signed_offices!$A$1:$BZ$1,0))="","",INDEX(in_signed_offices!$A$2:$BZ$81,MATCH($A61,INDEX(in_signed_offices!$A$2:$BZ$81,0,MATCH("office_id",in_signed_offices!$A$1:$BZ$1,0)),0),MATCH("pantry_owner_title",in_signed_offices!$A$1:$BZ$1,0))),""))</f>
        <v/>
      </c>
      <c r="W61" s="25">
        <f>IF($A61="","",IFERROR(IF(INDEX(in_signed_offices!$A$2:$BZ$81,MATCH($A61,INDEX(in_signed_offices!$A$2:$BZ$81,0,MATCH("office_id",in_signed_offices!$A$1:$BZ$1,0)),0),MATCH("pantry_owner_is_contact",in_signed_offices!$A$1:$BZ$1,0))="","",INDEX(in_signed_offices!$A$2:$BZ$81,MATCH($A61,INDEX(in_signed_offices!$A$2:$BZ$81,0,MATCH("office_id",in_signed_offices!$A$1:$BZ$1,0)),0),MATCH("pantry_owner_is_contact",in_signed_offices!$A$1:$BZ$1,0))),""))</f>
        <v/>
      </c>
      <c r="X61" s="25">
        <f>IF($A61="","",IFERROR(IF(INDEX(in_signed_offices!$A$2:$BZ$81,MATCH($A61,INDEX(in_signed_offices!$A$2:$BZ$81,0,MATCH("office_id",in_signed_offices!$A$1:$BZ$1,0)),0),MATCH("receiving_type",in_signed_offices!$A$1:$BZ$1,0))="","",INDEX(in_signed_offices!$A$2:$BZ$81,MATCH($A61,INDEX(in_signed_offices!$A$2:$BZ$81,0,MATCH("office_id",in_signed_offices!$A$1:$BZ$1,0)),0),MATCH("receiving_type",in_signed_offices!$A$1:$BZ$1,0))),""))</f>
        <v/>
      </c>
      <c r="Y61" s="25">
        <f>IF($A61="","",IFERROR(IF(INDEX(in_signed_offices!$A$2:$BZ$81,MATCH($A61,INDEX(in_signed_offices!$A$2:$BZ$81,0,MATCH("office_id",in_signed_offices!$A$1:$BZ$1,0)),0),MATCH("receiving_window",in_signed_offices!$A$1:$BZ$1,0))="","",INDEX(in_signed_offices!$A$2:$BZ$81,MATCH($A61,INDEX(in_signed_offices!$A$2:$BZ$81,0,MATCH("office_id",in_signed_offices!$A$1:$BZ$1,0)),0),MATCH("receiving_window",in_signed_offices!$A$1:$BZ$1,0))),""))</f>
        <v/>
      </c>
      <c r="Z61" s="25">
        <f>IF($A61="","",IFERROR(IF(INDEX(in_signed_offices!$A$2:$BZ$81,MATCH($A61,INDEX(in_signed_offices!$A$2:$BZ$81,0,MATCH("office_id",in_signed_offices!$A$1:$BZ$1,0)),0),MATCH("coi_required",in_signed_offices!$A$1:$BZ$1,0))="","",INDEX(in_signed_offices!$A$2:$BZ$81,MATCH($A61,INDEX(in_signed_offices!$A$2:$BZ$81,0,MATCH("office_id",in_signed_offices!$A$1:$BZ$1,0)),0),MATCH("coi_required",in_signed_offices!$A$1:$BZ$1,0))),""))</f>
        <v/>
      </c>
      <c r="AA61" s="25">
        <f>IF($A61="","",IFERROR(IF(INDEX(in_signed_offices!$A$2:$BZ$81,MATCH($A61,INDEX(in_signed_offices!$A$2:$BZ$81,0,MATCH("office_id",in_signed_offices!$A$1:$BZ$1,0)),0),MATCH("survey_channel",in_signed_offices!$A$1:$BZ$1,0))="","",INDEX(in_signed_offices!$A$2:$BZ$81,MATCH($A61,INDEX(in_signed_offices!$A$2:$BZ$81,0,MATCH("office_id",in_signed_offices!$A$1:$BZ$1,0)),0),MATCH("survey_channel",in_signed_offices!$A$1:$BZ$1,0))),""))</f>
        <v/>
      </c>
      <c r="AB61" s="25">
        <f>IF($A61="","",IFERROR(IF(INDEX(in_signed_offices!$A$2:$BZ$81,MATCH($A61,INDEX(in_signed_offices!$A$2:$BZ$81,0,MATCH("office_id",in_signed_offices!$A$1:$BZ$1,0)),0),MATCH("categories_wanted",in_signed_offices!$A$1:$BZ$1,0))="","",INDEX(in_signed_offices!$A$2:$BZ$81,MATCH($A61,INDEX(in_signed_offices!$A$2:$BZ$81,0,MATCH("office_id",in_signed_offices!$A$1:$BZ$1,0)),0),MATCH("categories_wanted",in_signed_offices!$A$1:$BZ$1,0))),""))</f>
        <v/>
      </c>
      <c r="AC61" s="25">
        <f>IF($A61="","",IFERROR(IF(INDEX(in_signed_offices!$A$2:$BZ$81,MATCH($A61,INDEX(in_signed_offices!$A$2:$BZ$81,0,MATCH("office_id",in_signed_offices!$A$1:$BZ$1,0)),0),MATCH("vetoes",in_signed_offices!$A$1:$BZ$1,0))="","",INDEX(in_signed_offices!$A$2:$BZ$81,MATCH($A61,INDEX(in_signed_offices!$A$2:$BZ$81,0,MATCH("office_id",in_signed_offices!$A$1:$BZ$1,0)),0),MATCH("vetoes",in_signed_offices!$A$1:$BZ$1,0))),""))</f>
        <v/>
      </c>
      <c r="AD61" s="26">
        <f>IF($A61="","",IFERROR(IF(INDEX(in_signed_offices!$A$2:$BZ$81,MATCH($A61,INDEX(in_signed_offices!$A$2:$BZ$81,0,MATCH("office_id",in_signed_offices!$A$1:$BZ$1,0)),0),MATCH("agreement_signed_date",in_signed_offices!$A$1:$BZ$1,0))="","",INDEX(in_signed_offices!$A$2:$BZ$81,MATCH($A61,INDEX(in_signed_offices!$A$2:$BZ$81,0,MATCH("office_id",in_signed_offices!$A$1:$BZ$1,0)),0),MATCH("agreement_signed_date",in_signed_offices!$A$1:$BZ$1,0))),""))</f>
        <v/>
      </c>
      <c r="AE61" s="25">
        <f>IF($A61="","",IFERROR(IF(INDEX(in_signed_offices!$A$2:$BZ$81,MATCH($A61,INDEX(in_signed_offices!$A$2:$BZ$81,0,MATCH("office_id",in_signed_offices!$A$1:$BZ$1,0)),0),MATCH("founding_roster_named",in_signed_offices!$A$1:$BZ$1,0))="","",INDEX(in_signed_offices!$A$2:$BZ$81,MATCH($A61,INDEX(in_signed_offices!$A$2:$BZ$81,0,MATCH("office_id",in_signed_offices!$A$1:$BZ$1,0)),0),MATCH("founding_roster_named",in_signed_offices!$A$1:$BZ$1,0))),""))</f>
        <v/>
      </c>
      <c r="AF61" s="25">
        <f>IF($A61="","",IFERROR(IF(INDEX(in_signed_offices!$A$2:$BZ$81,MATCH($A61,INDEX(in_signed_offices!$A$2:$BZ$81,0,MATCH("office_id",in_signed_offices!$A$1:$BZ$1,0)),0),MATCH("public_naming_ok",in_signed_offices!$A$1:$BZ$1,0))="","",INDEX(in_signed_offices!$A$2:$BZ$81,MATCH($A61,INDEX(in_signed_offices!$A$2:$BZ$81,0,MATCH("office_id",in_signed_offices!$A$1:$BZ$1,0)),0),MATCH("public_naming_ok",in_signed_offices!$A$1:$BZ$1,0))),""))</f>
        <v/>
      </c>
      <c r="AG61" s="25">
        <f>IF($A61="","",IFERROR(IF(INDEX(in_signed_offices!$A$2:$BZ$81,MATCH($A61,INDEX(in_signed_offices!$A$2:$BZ$81,0,MATCH("office_id",in_signed_offices!$A$1:$BZ$1,0)),0),MATCH("clay_row_id",in_signed_offices!$A$1:$BZ$1,0))="","",INDEX(in_signed_offices!$A$2:$BZ$81,MATCH($A61,INDEX(in_signed_offices!$A$2:$BZ$81,0,MATCH("office_id",in_signed_offices!$A$1:$BZ$1,0)),0),MATCH("clay_row_id",in_signed_offices!$A$1:$BZ$1,0))),""))</f>
        <v/>
      </c>
      <c r="AH61" s="25">
        <f>IF($A61="","",IF($E61&lt;&gt;"",$E61,IFERROR(IF(INDEX(in_signed_offices!$A$2:$BZ$81,MATCH($A61,INDEX(in_signed_offices!$A$2:$BZ$81,0,MATCH("office_id",in_signed_offices!$A$1:$BZ$1,0)),0),MATCH("industry",in_signed_offices!$A$1:$BZ$1,0))="","",INDEX(in_signed_offices!$A$2:$BZ$81,MATCH($A61,INDEX(in_signed_offices!$A$2:$BZ$81,0,MATCH("office_id",in_signed_offices!$A$1:$BZ$1,0)),0),MATCH("industry",in_signed_offices!$A$1:$BZ$1,0))),"")))</f>
        <v/>
      </c>
      <c r="AI61" s="25">
        <f>IF($A61="","",IF($F61&lt;&gt;"",$F61,IF(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lt;&gt;"",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IF($W61="Y",$S61,""))))</f>
        <v/>
      </c>
      <c r="AJ61" s="25">
        <f>IF($A61="","",IF($Q61="","unknown",IF($Q61&lt;40,"under-40",IF($Q61&lt;=75,"40-75",IF($Q61&lt;=150,"76-150",IF($Q61&lt;=250,"151-250",IF($Q61&lt;=500,"251-500","over-500")))))))</f>
        <v/>
      </c>
      <c r="AK61" s="25">
        <f>IF($A61="","",IF($N61="","not on in_signed_offices: paste the outreach file",IF($Q61="","no Tuesday headcount",IF($Q61&lt;30,"below the hard floor of 30",IF($Q61&lt;40,"30 to 39: founder's call",IF($Q61&gt;250,"over 250: outside the plan","OK"))))))</f>
        <v/>
      </c>
      <c r="AL61" s="25">
        <f>IF(OR($A61="",$Q61=""),"",MIN(config!$B$16,MAX(config!$B$15,MROUND(config!$B$13+config!$B$14*$Q61,config!$B$17))))</f>
        <v/>
      </c>
      <c r="AM61" s="25">
        <f>IF($A61="","",COUNTIFS(stops!$B$2:$B$151,$A61,stops!$P$2:$P$151,"&lt;="&amp;IF(config!$B$37&lt;&gt;"",config!$B$37,TODAY())))</f>
        <v/>
      </c>
      <c r="AN61" s="25">
        <f>IF($A61="","",COUNTIFS(stops!$B$2:$B$151,$A61,stops!$L$2:$L$151,"declined"))</f>
        <v/>
      </c>
    </row>
  </sheetData>
  <dataValidations count="3">
    <dataValidation sqref="G2:G61" showDropDown="0" showInputMessage="0" showErrorMessage="1" allowBlank="1" errorTitle="Not on the list" error="Pick a value from the list." type="list">
      <formula1>"Y,N"</formula1>
    </dataValidation>
    <dataValidation sqref="I2:I61" showDropDown="0" showInputMessage="0" showErrorMessage="1" allowBlank="1" errorTitle="Not on the list" error="Pick a value from the list." type="list">
      <formula1>"not_needed,to_request,requested,received,blocked"</formula1>
    </dataValidation>
    <dataValidation sqref="K2:K61" showDropDown="0" showInputMessage="0" showErrorMessage="1" allowBlank="1" errorTitle="Not on the list" error="Pick a value from the list." type="list">
      <formula1>"active,paused,left"</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E2EFDA"/>
    <outlinePr summaryBelow="1" summaryRight="1"/>
    <pageSetUpPr/>
  </sheetPr>
  <dimension ref="A1:BC2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20" customWidth="1" min="6" max="6"/>
    <col width="8" customWidth="1" min="7" max="7"/>
    <col width="14" customWidth="1" min="8" max="8"/>
    <col width="14" customWidth="1" min="9" max="9"/>
    <col width="16" customWidth="1" min="10" max="10"/>
    <col width="18" customWidth="1" min="11" max="11"/>
    <col width="6" customWidth="1" min="12" max="12"/>
    <col width="6" customWidth="1" min="13" max="13"/>
    <col width="7" customWidth="1" min="14" max="14"/>
    <col width="9" customWidth="1" min="15" max="15"/>
    <col width="9" customWidth="1" min="16" max="16"/>
    <col width="7" customWidth="1" min="17" max="17"/>
    <col width="24" customWidth="1" min="18" max="18"/>
    <col width="8" customWidth="1" min="19" max="19"/>
    <col width="24" customWidth="1" min="20" max="20"/>
    <col width="8" customWidth="1" min="21" max="21"/>
    <col width="15" customWidth="1" min="22" max="22"/>
    <col width="12" customWidth="1" min="23" max="23"/>
    <col width="24" customWidth="1" min="24" max="24"/>
    <col width="14"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7" customWidth="1" min="33" max="33"/>
    <col width="24" customWidth="1" min="34" max="34"/>
    <col width="14" customWidth="1" min="35" max="35"/>
    <col width="6" customWidth="1" min="36" max="36"/>
    <col width="6" customWidth="1" min="37" max="37"/>
    <col width="7" customWidth="1" min="38" max="38"/>
    <col width="7" customWidth="1" min="39" max="39"/>
    <col width="7" customWidth="1" min="40" max="40"/>
    <col width="7" customWidth="1" min="41" max="41"/>
    <col width="40" customWidth="1" min="42" max="42"/>
    <col width="6" customWidth="1" min="43" max="43"/>
    <col width="6" customWidth="1" min="44" max="44"/>
    <col width="6" customWidth="1" min="45" max="45"/>
    <col width="6" customWidth="1" min="46" max="46"/>
    <col width="6" customWidth="1" min="47" max="47"/>
    <col width="6" customWidth="1" min="48" max="48"/>
    <col width="6" customWidth="1" min="49" max="49"/>
    <col width="6" customWidth="1" min="50" max="50"/>
    <col width="6" customWidth="1" min="51" max="51"/>
    <col width="12" customWidth="1" min="52" max="52"/>
    <col width="14" customWidth="1" min="53" max="53"/>
    <col width="8" customWidth="1" min="54" max="54"/>
    <col width="7" customWidth="1" min="55" max="55"/>
  </cols>
  <sheetData>
    <row r="1">
      <c r="A1" s="23" t="inlineStr">
        <is>
          <t>campaign_id</t>
        </is>
      </c>
      <c r="B1" s="23" t="inlineStr">
        <is>
          <t>office_id</t>
        </is>
      </c>
      <c r="C1" s="23" t="inlineStr">
        <is>
          <t>asked_date</t>
        </is>
      </c>
      <c r="D1" s="23" t="inlineStr">
        <is>
          <t>reply</t>
        </is>
      </c>
      <c r="E1" s="23" t="inlineStr">
        <is>
          <t>reply_date</t>
        </is>
      </c>
      <c r="F1" s="23" t="inlineStr">
        <is>
          <t>reply_note</t>
        </is>
      </c>
      <c r="G1" s="23" t="inlineStr">
        <is>
          <t>units_override</t>
        </is>
      </c>
      <c r="H1" s="24" t="inlineStr">
        <is>
          <t>drop_id</t>
        </is>
      </c>
      <c r="I1" s="24" t="inlineStr">
        <is>
          <t>drop_date</t>
        </is>
      </c>
      <c r="J1" s="24" t="inlineStr">
        <is>
          <t>brand_name</t>
        </is>
      </c>
      <c r="K1" s="24" t="inlineStr">
        <is>
          <t>company</t>
        </is>
      </c>
      <c r="L1" s="24" t="inlineStr">
        <is>
          <t>office_seq</t>
        </is>
      </c>
      <c r="M1" s="24" t="inlineStr">
        <is>
          <t>office_label</t>
        </is>
      </c>
      <c r="N1" s="24" t="inlineStr">
        <is>
          <t>office_drop_number</t>
        </is>
      </c>
      <c r="O1" s="24" t="inlineStr">
        <is>
          <t>approval_mode</t>
        </is>
      </c>
      <c r="P1" s="24" t="inlineStr">
        <is>
          <t>approved</t>
        </is>
      </c>
      <c r="Q1" s="24" t="inlineStr">
        <is>
          <t>on_drop</t>
        </is>
      </c>
      <c r="R1" s="24" t="inlineStr">
        <is>
          <t>fit_check</t>
        </is>
      </c>
      <c r="S1" s="24" t="inlineStr">
        <is>
          <t>units_allocated</t>
        </is>
      </c>
      <c r="T1" s="24" t="inlineStr">
        <is>
          <t>card_code</t>
        </is>
      </c>
      <c r="U1" s="24" t="inlineStr">
        <is>
          <t>units_delivered</t>
        </is>
      </c>
      <c r="V1" s="24" t="inlineStr">
        <is>
          <t>delivered_at</t>
        </is>
      </c>
      <c r="W1" s="24" t="inlineStr">
        <is>
          <t>delivered_count_source</t>
        </is>
      </c>
      <c r="X1" s="24" t="inlineStr">
        <is>
          <t>placement_photo_file</t>
        </is>
      </c>
      <c r="Y1" s="24" t="inlineStr">
        <is>
          <t>placement_photo_date</t>
        </is>
      </c>
      <c r="Z1" s="24" t="inlineStr">
        <is>
          <t>placed_count</t>
        </is>
      </c>
      <c r="AA1" s="24" t="inlineStr">
        <is>
          <t>units_placed</t>
        </is>
      </c>
      <c r="AB1" s="24" t="inlineStr">
        <is>
          <t>placed_within_1bd</t>
        </is>
      </c>
      <c r="AC1" s="24" t="inlineStr">
        <is>
          <t>placement_lag_hours</t>
        </is>
      </c>
      <c r="AD1" s="24" t="inlineStr">
        <is>
          <t>units_topped_up</t>
        </is>
      </c>
      <c r="AE1" s="24" t="inlineStr">
        <is>
          <t>remaining_day3</t>
        </is>
      </c>
      <c r="AF1" s="24" t="inlineStr">
        <is>
          <t>remaining_day5</t>
        </is>
      </c>
      <c r="AG1" s="24" t="inlineStr">
        <is>
          <t>units_depleted_day5</t>
        </is>
      </c>
      <c r="AH1" s="24" t="inlineStr">
        <is>
          <t>later_photo_file</t>
        </is>
      </c>
      <c r="AI1" s="24" t="inlineStr">
        <is>
          <t>later_photo_date</t>
        </is>
      </c>
      <c r="AJ1" s="24" t="inlineStr">
        <is>
          <t>later_photo_day</t>
        </is>
      </c>
      <c r="AK1" s="24" t="inlineStr">
        <is>
          <t>both_photos</t>
        </is>
      </c>
      <c r="AL1" s="24" t="inlineStr">
        <is>
          <t>survey_responses</t>
        </is>
      </c>
      <c r="AM1" s="24" t="inlineStr">
        <is>
          <t>tried_yes</t>
        </is>
      </c>
      <c r="AN1" s="24" t="inlineStr">
        <is>
          <t>qr_scans</t>
        </is>
      </c>
      <c r="AO1" s="24" t="inlineStr">
        <is>
          <t>post_link_opens</t>
        </is>
      </c>
      <c r="AP1" s="24" t="inlineStr">
        <is>
          <t>checks</t>
        </is>
      </c>
      <c r="AQ1" s="24" t="inlineStr">
        <is>
          <t>tried_no_didnt_see</t>
        </is>
      </c>
      <c r="AR1" s="24" t="inlineStr">
        <is>
          <t>tried_no_not_for_me</t>
        </is>
      </c>
      <c r="AS1" s="24" t="inlineStr">
        <is>
          <t>tried_no_gone</t>
        </is>
      </c>
      <c r="AT1" s="24" t="inlineStr">
        <is>
          <t>rating_n</t>
        </is>
      </c>
      <c r="AU1" s="24" t="inlineStr">
        <is>
          <t>rating_sum</t>
        </is>
      </c>
      <c r="AV1" s="24" t="inlineStr">
        <is>
          <t>buy_yes</t>
        </is>
      </c>
      <c r="AW1" s="24" t="inlineStr">
        <is>
          <t>buy_maybe</t>
        </is>
      </c>
      <c r="AX1" s="24" t="inlineStr">
        <is>
          <t>buy_no</t>
        </is>
      </c>
      <c r="AY1" s="24" t="inlineStr">
        <is>
          <t>comments</t>
        </is>
      </c>
      <c r="AZ1" s="24" t="inlineStr">
        <is>
          <t>seq_key</t>
        </is>
      </c>
      <c r="BA1" s="24" t="inlineStr">
        <is>
          <t>window_end</t>
        </is>
      </c>
      <c r="BB1" s="24" t="inlineStr">
        <is>
          <t>resp_min_key</t>
        </is>
      </c>
      <c r="BC1" s="24" t="inlineStr">
        <is>
          <t>survey_frozen</t>
        </is>
      </c>
    </row>
    <row r="2">
      <c r="A2" t="inlineStr">
        <is>
          <t>SAMPLE-CMP-001</t>
        </is>
      </c>
      <c r="B2" t="inlineStr">
        <is>
          <t>SAMPLE-O-001</t>
        </is>
      </c>
      <c r="C2" s="9" t="n">
        <v>46370</v>
      </c>
      <c r="D2" t="inlineStr">
        <is>
          <t>yes</t>
        </is>
      </c>
      <c r="E2" s="9" t="n">
        <v>46372</v>
      </c>
      <c r="F2" t="inlineStr">
        <is>
          <t>SAMPLE replied by email</t>
        </is>
      </c>
      <c r="H2" s="25">
        <f>IF($A2="","",IFERROR(IF(INDEX(campaigns!$B$2:$B$51,MATCH($A2,campaigns!$A$2:$A$51,0))="","",INDEX(campaigns!$B$2:$B$51,MATCH($A2,campaigns!$A$2:$A$51,0))),""))</f>
        <v/>
      </c>
      <c r="I2" s="26">
        <f>IF($A2="","",IFERROR(IF(INDEX(campaigns!$BG$2:$BG$51,MATCH($A2,campaigns!$A$2:$A$51,0))="","",INDEX(campaigns!$BG$2:$BG$51,MATCH($A2,campaigns!$A$2:$A$51,0))),""))</f>
        <v/>
      </c>
      <c r="J2" s="25">
        <f>IF($A2="","",IFERROR(IF(INDEX(campaigns!$BE$2:$BE$51,MATCH($A2,campaigns!$A$2:$A$51,0))="","",INDEX(campaigns!$BE$2:$BE$51,MATCH($A2,campaigns!$A$2:$A$51,0))),""))</f>
        <v/>
      </c>
      <c r="K2" s="25">
        <f>IF($B2="","",IFERROR(IF(INDEX(offices!$N$2:$N$61,MATCH($B2,offices!$A$2:$A$61,0))="","",INDEX(offices!$N$2:$N$61,MATCH($B2,offices!$A$2:$A$61,0))),""))</f>
        <v/>
      </c>
      <c r="L2" s="25">
        <f>IF($A2="","",IF($Q2="N","",COUNTIFS($A$2:$A2,$A2,$Q$2:$Q2,"&lt;&gt;N")))</f>
        <v/>
      </c>
      <c r="M2" s="25">
        <f>IF(OR($A2="",$L2=""),"",IF(AND(config!$B$34="names_if_public",IFERROR(IF(INDEX(offices!$AF$2:$AF$61,MATCH($B2,offices!$A$2:$A$61,0))="","",INDEX(offices!$AF$2:$AF$61,MATCH($B2,offices!$A$2:$A$61,0))),"")="Y"),$K2,CHAR(64+$L2)))</f>
        <v/>
      </c>
      <c r="N2" s="25">
        <f>IF(OR($A2="",$I2=""),"",COUNTIFS(stops!$B$2:$B$151,$B2,stops!$P$2:$P$151,"&lt;"&amp;$I2,stops!$L$2:$L$151,"&lt;&gt;not_delivered")+1)</f>
        <v/>
      </c>
      <c r="O2" s="25">
        <f>IF($A2="","",IF(N($N2)&lt;=config!$B$29,"explicit","opt-out"))</f>
        <v/>
      </c>
      <c r="P2" s="25">
        <f>IF($A2="","",IF($O2="explicit",IF($D2="yes","Y",IF($D2="no","N","pending")),IF($D2="no","N",IF(AND($C2&lt;&gt;"",$I2&lt;&gt;"",$C2&lt;=WORKDAY(N($I2),-5,calendar!$A$2:$A$80)),"Y","pending"))))</f>
        <v/>
      </c>
      <c r="Q2" s="25">
        <f>IF($A2="","",IF($P2="N","N",IF($P2&lt;&gt;"Y","pending",IF(AND((COUNTIFS(stops!$A$2:$A$151,$H2,stops!$B$2:$B$151,$B2,stops!$L$2:$L$151,"declined")+COUNTIFS(stops!$A$2:$A$151,$H2,stops!$B$2:$B$151,$B2,stops!$L$2:$L$151,"building_refused")+COUNTIFS(stops!$A$2:$A$151,$H2,stops!$B$2:$B$151,$B2,stops!$L$2:$L$151,"not_delivered"))&gt;0,N($U2)=0),"N","Y"))))</f>
        <v/>
      </c>
      <c r="R2" s="25">
        <f>IF($A2="","",IF(COUNTIFS($A$2:$A$251,$A2,$B$2:$B$251,$B2)&gt;1,"DUPLICATE ROW; ","")&amp;IF(AND(IFERROR(IF(INDEX(offices!$AC$2:$AC$61,MATCH($B2,offices!$A$2:$A$61,0))="","",INDEX(offices!$AC$2:$AC$61,MATCH($B2,offices!$A$2:$A$61,0))),"")&lt;&gt;"",ISNUMBER(SEARCH($J2,IFERROR(IF(INDEX(offices!$AC$2:$AC$61,MATCH($B2,offices!$A$2:$A$61,0))="","",INDEX(offices!$AC$2:$AC$61,MATCH($B2,offices!$A$2:$A$61,0))),"")))),"BRAND VETOED; ","")&amp;IF(ISNUMBER(SEARCH(IFERROR(IF(INDEX(campaigns!$BF$2:$BF$51,MATCH($A2,campaigns!$A$2:$A$51,0))="","",INDEX(campaigns!$BF$2:$BF$51,MATCH($A2,campaigns!$A$2:$A$51,0))),""),IFERROR(IF(INDEX(offices!$AB$2:$AB$61,MATCH($B2,offices!$A$2:$A$61,0))="","",INDEX(offices!$AB$2:$AB$61,MATCH($B2,offices!$A$2:$A$61,0))),""))),"","info: category not on the office's list; ")&amp;IF(IFERROR(IF(INDEX(offices!$AC$2:$AC$61,MATCH($B2,offices!$A$2:$A$61,0))="","",INDEX(offices!$AC$2:$AC$61,MATCH($B2,offices!$A$2:$A$61,0))),"")&lt;&gt;"","info: read the vetoes against the label; ",""))</f>
        <v/>
      </c>
      <c r="S2" s="25">
        <f>IF($A2="","",IF($G2&lt;&gt;"",$G2,IFERROR(IF(INDEX(offices!$AL$2:$AL$61,MATCH($B2,offices!$A$2:$A$61,0))="","",INDEX(offices!$AL$2:$AL$61,MATCH($B2,offices!$A$2:$A$61,0))),"")))</f>
        <v/>
      </c>
      <c r="T2" s="25">
        <f>IF($A2="","",$A2&amp;"."&amp;$B2)</f>
        <v/>
      </c>
      <c r="U2" s="25">
        <f>IF($A2="","",SUMIFS(inventory!$G$2:$G$801,inventory!$C$2:$C$801,$A2,inventory!$D$2:$D$801,$B2,inventory!$E$2:$E$801,"delivered"))</f>
        <v/>
      </c>
      <c r="V2" s="32">
        <f>IF($A2="","",IFERROR(1/(1/SUMPRODUCT(MAX((inventory!$C$2:$C$801=$A2)*(inventory!$D$2:$D$801=$B2)*(inventory!$E$2:$E$801="delivered")*(inventory!$A$2:$A$801+inventory!$B$2:$B$801)))),""))</f>
        <v/>
      </c>
      <c r="W2" s="25">
        <f>IF($A2="","",IFERROR(IF(INDEX(inventory!$J$2:$J$801,MATCH($A2&amp;"|"&amp;$B2&amp;"|delivered",inventory!$R$2:$R$801,0))="","",INDEX(inventory!$J$2:$J$801,MATCH($A2&amp;"|"&amp;$B2&amp;"|delivered",inventory!$R$2:$R$801,0))),""))</f>
        <v/>
      </c>
      <c r="X2" s="25">
        <f>IF($A2="","",IFERROR(IF(INDEX(photos!$H$2:$H$701,MATCH($A2&amp;"|"&amp;$B2&amp;"|placement|Y",photos!$R$2:$R$701,0))="","",INDEX(photos!$H$2:$H$701,MATCH($A2&amp;"|"&amp;$B2&amp;"|placement|Y",photos!$R$2:$R$701,0))),""))</f>
        <v/>
      </c>
      <c r="Y2" s="26">
        <f>IF($A2="","",IFERROR(IF(INDEX(photos!$E$2:$E$701,MATCH($A2&amp;"|"&amp;$B2&amp;"|placement|Y",photos!$R$2:$R$701,0))="","",INDEX(photos!$E$2:$E$701,MATCH($A2&amp;"|"&amp;$B2&amp;"|placement|Y",photos!$R$2:$R$701,0))),""))</f>
        <v/>
      </c>
      <c r="Z2" s="25">
        <f>IF($A2="","",IF(COUNTIFS(counts!$C$2:$C$701,$A2,counts!$D$2:$D$701,$B2,counts!$E$2:$E$701,"placed")=0,"",SUMIFS(counts!$F$2:$F$701,counts!$C$2:$C$701,$A2,counts!$D$2:$D$701,$B2,counts!$E$2:$E$701,"placed")))</f>
        <v/>
      </c>
      <c r="AA2" s="25">
        <f>IF($A2="","",IF($Y2="",0,N($Z2)))</f>
        <v/>
      </c>
      <c r="AB2" s="25">
        <f>IF($A2="","",IF(OR($Y2="",$I2=""),"N",IF($Y2&lt;=WORKDAY(N($I2),1,calendar!$A$2:$A$80),"Y","N")))</f>
        <v/>
      </c>
      <c r="AC2" s="28">
        <f>IF(OR($A2="",$V2="",$Y2=""),"",ROUND(($Y2+N(IFERROR(IF(INDEX(photos!$F$2:$F$701,MATCH($A2&amp;"|"&amp;$B2&amp;"|placement|Y",photos!$R$2:$R$701,0))="","",INDEX(photos!$F$2:$F$701,MATCH($A2&amp;"|"&amp;$B2&amp;"|placement|Y",photos!$R$2:$R$701,0))),""))-$V2)*24,1))</f>
        <v/>
      </c>
      <c r="AD2" s="25">
        <f>IF($A2="","",SUMIFS(inventory!$G$2:$G$801,inventory!$C$2:$C$801,$A2,inventory!$D$2:$D$801,$B2,inventory!$E$2:$E$801,"topped_up"))</f>
        <v/>
      </c>
      <c r="AE2" s="25">
        <f>IF($A2="","",IF(COUNTIFS(counts!$C$2:$C$701,$A2,counts!$D$2:$D$701,$B2,counts!$E$2:$E$701,"remaining_day3")=0,"",SUMIFS(counts!$F$2:$F$701,counts!$C$2:$C$701,$A2,counts!$D$2:$D$701,$B2,counts!$E$2:$E$701,"remaining_day3")))</f>
        <v/>
      </c>
      <c r="AF2" s="25">
        <f>IF($A2="","",IF(COUNTIFS(counts!$C$2:$C$701,$A2,counts!$D$2:$D$701,$B2,counts!$E$2:$E$701,"remaining_day5")=0,"",SUMIFS(counts!$F$2:$F$701,counts!$C$2:$C$701,$A2,counts!$D$2:$D$701,$B2,counts!$E$2:$E$701,"remaining_day5")))</f>
        <v/>
      </c>
      <c r="AG2" s="25">
        <f>IF(OR($A2="",$AF2=""),"",MAX(0,$AA2+$AD2-$AF2))</f>
        <v/>
      </c>
      <c r="AH2" s="25">
        <f>IF(OR($A2="",$AI2=""),"",IFERROR(IF(INDEX(photos!$H$2:$H$701,MATCH($A2&amp;"|"&amp;$B2&amp;"|later|Y|"&amp;$AI2,photos!$S$2:$S$701,0))="","",INDEX(photos!$H$2:$H$701,MATCH($A2&amp;"|"&amp;$B2&amp;"|later|Y|"&amp;$AI2,photos!$S$2:$S$701,0))),""))</f>
        <v/>
      </c>
      <c r="AI2" s="26">
        <f>IF($A2="","",IFERROR(1/(1/SUMPRODUCT(MAX((photos!$B$2:$B$701=$A2)*(photos!$C$2:$C$701=$B2)*(photos!$D$2:$D$701="later")*(photos!$O$2:$O$701="Y")*photos!$E$2:$E$701))),""))</f>
        <v/>
      </c>
      <c r="AJ2" s="25">
        <f>IF(OR($A2="",$AI2="",$I2=""),"",NETWORKDAYS($I2,$AI2,calendar!$A$2:$A$80))</f>
        <v/>
      </c>
      <c r="AK2" s="25">
        <f>IF($A2="","",IF(AND($X2&lt;&gt;"",$AH2&lt;&gt;""),"Y","N"))</f>
        <v/>
      </c>
      <c r="AL2" s="25">
        <f>IF(OR($A2="",$I2=""),"",IF($BC2="Y",SUMIFS(survey_frozen!$C$2:$C$251,survey_frozen!$P$2:$P$251,$A2&amp;"|"&amp;$B2),IFERROR(COUNTIFS(INDIRECT("'"&amp;$A2&amp;"'!$B$2:$B$501"),$T2,INDIRECT("'"&amp;$A2&amp;"'!$A$2:$A$501"),"&gt;="&amp;$I2,INDIRECT("'"&amp;$A2&amp;"'!$A$2:$A$501"),"&lt;"&amp;($BA2+1)),0)))</f>
        <v/>
      </c>
      <c r="AM2" s="25">
        <f>IF(OR($A2="",$I2=""),"",IF($BC2="Y",SUMIFS(survey_frozen!$D$2:$D$251,survey_frozen!$P$2:$P$251,$A2&amp;"|"&amp;$B2),IFERROR(COUNTIFS(INDIRECT("'"&amp;$A2&amp;"'!$B$2:$B$501"),$T2,INDIRECT("'"&amp;$A2&amp;"'!$A$2:$A$501"),"&gt;="&amp;$I2,INDIRECT("'"&amp;$A2&amp;"'!$A$2:$A$501"),"&lt;"&amp;($BA2+1),INDIRECT("'"&amp;$A2&amp;"'!$C$2:$C$501"),"Yes"),0)))</f>
        <v/>
      </c>
      <c r="AN2" s="25">
        <f>IF($A2="","",IF(COUNTIFS(scans!$C$2:$C$1601,(IF(LEFT($A2,7)="SAMPLE-","SAMPLE-","")&amp;LOWER(SUBSTITUTE(SUBSTITUTE($A2,"SAMPLE-",""),"CMP-","c"))&amp;"-"&amp;LOWER(SUBSTITUTE(SUBSTITUTE($B2,"SAMPLE-",""),"O-","o"))&amp;"-q"),scans!$D$2:$D$1601,"close")=0,"",SUMPRODUCT(MAX((scans!$C$2:$C$1601=(IF(LEFT($A2,7)="SAMPLE-","SAMPLE-","")&amp;LOWER(SUBSTITUTE(SUBSTITUTE($A2,"SAMPLE-",""),"CMP-","c"))&amp;"-"&amp;LOWER(SUBSTITUTE(SUBSTITUTE($B2,"SAMPLE-",""),"O-","o"))&amp;"-q"))*(scans!$D$2:$D$1601="close")*scans!$E$2:$E$1601))-SUMPRODUCT(MAX((scans!$C$2:$C$1601=(IF(LEFT($A2,7)="SAMPLE-","SAMPLE-","")&amp;LOWER(SUBSTITUTE(SUBSTITUTE($A2,"SAMPLE-",""),"CMP-","c"))&amp;"-"&amp;LOWER(SUBSTITUTE(SUBSTITUTE($B2,"SAMPLE-",""),"O-","o"))&amp;"-q"))*(scans!$D$2:$D$1601="baseline")*scans!$E$2:$E$1601))))</f>
        <v/>
      </c>
      <c r="AO2" s="25">
        <f>IF($A2="","",IF(COUNTIFS(scans!$C$2:$C$1601,(IF(LEFT($A2,7)="SAMPLE-","SAMPLE-","")&amp;LOWER(SUBSTITUTE(SUBSTITUTE($A2,"SAMPLE-",""),"CMP-","c"))&amp;"-"&amp;LOWER(SUBSTITUTE(SUBSTITUTE($B2,"SAMPLE-",""),"O-","o"))&amp;"-p"),scans!$D$2:$D$1601,"close")=0,"",SUMPRODUCT(MAX((scans!$C$2:$C$1601=(IF(LEFT($A2,7)="SAMPLE-","SAMPLE-","")&amp;LOWER(SUBSTITUTE(SUBSTITUTE($A2,"SAMPLE-",""),"CMP-","c"))&amp;"-"&amp;LOWER(SUBSTITUTE(SUBSTITUTE($B2,"SAMPLE-",""),"O-","o"))&amp;"-p"))*(scans!$D$2:$D$1601="close")*scans!$E$2:$E$1601))-SUMPRODUCT(MAX((scans!$C$2:$C$1601=(IF(LEFT($A2,7)="SAMPLE-","SAMPLE-","")&amp;LOWER(SUBSTITUTE(SUBSTITUTE($A2,"SAMPLE-",""),"CMP-","c"))&amp;"-"&amp;LOWER(SUBSTITUTE(SUBSTITUTE($B2,"SAMPLE-",""),"O-","o"))&amp;"-p"))*(scans!$D$2:$D$1601="baseline")*scans!$E$2:$E$1601))))</f>
        <v/>
      </c>
      <c r="AP2" s="25">
        <f>IF($A2="","",IF(COUNTIF(offices!$A$2:$A$61,$B2)=0,"office_id not on offices; ","")&amp;IF(COUNTIF(campaigns!$A$2:$A$51,$A2)=0,"campaign_id not on campaigns; ","")&amp;IF($P2="pending","approval pending; ","")&amp;IF(AND($U2&gt;0,$Y2="",OR($I2="",IF(config!$B$37&lt;&gt;"",config!$B$37,TODAY())&lt;=WORKDAY(N($I2),4,calendar!$A$2:$A$80))),"no usable placement photo yet; ","")&amp;IF(AND($Y2&lt;&gt;"",$Z2=""),"log the placed count; ","")&amp;IF(N($AA2)&gt;N($U2),"placed more than delivered; ","")&amp;IF(AND($AF2&lt;&gt;"",N($AF2)&gt;N($AA2)+N($AD2)),"day-5 count above placed plus top-ups; ","")&amp;IF(AND($U2&gt;0,$I2&lt;&gt;"",IF(config!$B$37&lt;&gt;"",config!$B$37,TODAY())&gt;WORKDAY(N($I2),4,calendar!$A$2:$A$80),$AF2=""),"day-5 count missing; ","")&amp;IF(AND($U2&gt;0,$I2&lt;&gt;"",IF(config!$B$37&lt;&gt;"",config!$B$37,TODAY())&gt;WORKDAY(N($I2),4,calendar!$A$2:$A$80),$AN2=""),"no close link reading; ","")&amp;$R2&amp;IF($P2="N","info: office said no; ","")&amp;IF(AND($P2="Y",$Q2="N"),"info: turned away at the door, so not on the drop (no letter, not in the report or Gate 2; the credit check is on campaigns); ","")&amp;IF(AND($U2&gt;0,$Y2="",$I2&lt;&gt;"",IF(config!$B$37&lt;&gt;"",config!$B$37,TODAY())&gt;WORKDAY(N($I2),4,calendar!$A$2:$A$80)),"info: no usable placement photo, so nothing counts as placed; ","")&amp;IF(AND($U2&gt;0,$I2&lt;&gt;"",IF(config!$B$37&lt;&gt;"",config!$B$37,TODAY())&gt;WORKDAY(N($I2),4,calendar!$A$2:$A$80),N($AL2)&lt;config!$B$30),"info: under "&amp;config!$B$30&amp;" responses; ","")&amp;IF($W2="packing_list","info: delivered count not verified; ",""))</f>
        <v/>
      </c>
      <c r="AQ2" s="25">
        <f>IF(OR($A2="",$I2=""),"",IF($BC2="Y",SUMIFS(survey_frozen!$E$2:$E$251,survey_frozen!$P$2:$P$251,$A2&amp;"|"&amp;$B2),IFERROR(COUNTIFS(INDIRECT("'"&amp;$A2&amp;"'!$B$2:$B$501"),$T2,INDIRECT("'"&amp;$A2&amp;"'!$A$2:$A$501"),"&gt;="&amp;$I2,INDIRECT("'"&amp;$A2&amp;"'!$A$2:$A$501"),"&lt;"&amp;($BA2+1),INDIRECT("'"&amp;$A2&amp;"'!$F$2:$F$501"),"Didn't see it"),0)))</f>
        <v/>
      </c>
      <c r="AR2" s="25">
        <f>IF(OR($A2="",$I2=""),"",IF($BC2="Y",SUMIFS(survey_frozen!$F$2:$F$251,survey_frozen!$P$2:$P$251,$A2&amp;"|"&amp;$B2),IFERROR(COUNTIFS(INDIRECT("'"&amp;$A2&amp;"'!$B$2:$B$501"),$T2,INDIRECT("'"&amp;$A2&amp;"'!$A$2:$A$501"),"&gt;="&amp;$I2,INDIRECT("'"&amp;$A2&amp;"'!$A$2:$A$501"),"&lt;"&amp;($BA2+1),INDIRECT("'"&amp;$A2&amp;"'!$F$2:$F$501"),"Not for me"),0)))</f>
        <v/>
      </c>
      <c r="AS2" s="25">
        <f>IF(OR($A2="",$I2=""),"",IF($BC2="Y",SUMIFS(survey_frozen!$G$2:$G$251,survey_frozen!$P$2:$P$251,$A2&amp;"|"&amp;$B2),IFERROR(COUNTIFS(INDIRECT("'"&amp;$A2&amp;"'!$B$2:$B$501"),$T2,INDIRECT("'"&amp;$A2&amp;"'!$A$2:$A$501"),"&gt;="&amp;$I2,INDIRECT("'"&amp;$A2&amp;"'!$A$2:$A$501"),"&lt;"&amp;($BA2+1),INDIRECT("'"&amp;$A2&amp;"'!$F$2:$F$501"),"Gone by the time I looked"),0)))</f>
        <v/>
      </c>
      <c r="AT2" s="25">
        <f>IF(OR($A2="",$I2=""),"",IF($BC2="Y",SUMIFS(survey_frozen!$H$2:$H$251,survey_frozen!$P$2:$P$251,$A2&amp;"|"&amp;$B2),IFERROR(COUNTIFS(INDIRECT("'"&amp;$A2&amp;"'!$B$2:$B$501"),$T2,INDIRECT("'"&amp;$A2&amp;"'!$A$2:$A$501"),"&gt;="&amp;$I2,INDIRECT("'"&amp;$A2&amp;"'!$A$2:$A$501"),"&lt;"&amp;($BA2+1),INDIRECT("'"&amp;$A2&amp;"'!$D$2:$D$501"),"&gt;=1"),0)))</f>
        <v/>
      </c>
      <c r="AU2" s="25">
        <f>IF(OR($A2="",$I2=""),"",IF($BC2="Y",SUMIFS(survey_frozen!$I$2:$I$251,survey_frozen!$P$2:$P$251,$A2&amp;"|"&amp;$B2),IFERROR(SUMIFS(INDIRECT("'"&amp;$A2&amp;"'!$D$2:$D$501"),INDIRECT("'"&amp;$A2&amp;"'!$B$2:$B$501"),$T2,INDIRECT("'"&amp;$A2&amp;"'!$A$2:$A$501"),"&gt;="&amp;$I2,INDIRECT("'"&amp;$A2&amp;"'!$A$2:$A$501"),"&lt;"&amp;($BA2+1)),0)))</f>
        <v/>
      </c>
      <c r="AV2" s="25">
        <f>IF(OR($A2="",$I2=""),"",IF($BC2="Y",SUMIFS(survey_frozen!$J$2:$J$251,survey_frozen!$P$2:$P$251,$A2&amp;"|"&amp;$B2),IFERROR(COUNTIFS(INDIRECT("'"&amp;$A2&amp;"'!$B$2:$B$501"),$T2,INDIRECT("'"&amp;$A2&amp;"'!$A$2:$A$501"),"&gt;="&amp;$I2,INDIRECT("'"&amp;$A2&amp;"'!$A$2:$A$501"),"&lt;"&amp;($BA2+1),INDIRECT("'"&amp;$A2&amp;"'!$E$2:$E$501"),"Yes"),0)))</f>
        <v/>
      </c>
      <c r="AW2" s="25">
        <f>IF(OR($A2="",$I2=""),"",IF($BC2="Y",SUMIFS(survey_frozen!$K$2:$K$251,survey_frozen!$P$2:$P$251,$A2&amp;"|"&amp;$B2),IFERROR(COUNTIFS(INDIRECT("'"&amp;$A2&amp;"'!$B$2:$B$501"),$T2,INDIRECT("'"&amp;$A2&amp;"'!$A$2:$A$501"),"&gt;="&amp;$I2,INDIRECT("'"&amp;$A2&amp;"'!$A$2:$A$501"),"&lt;"&amp;($BA2+1),INDIRECT("'"&amp;$A2&amp;"'!$E$2:$E$501"),"Maybe"),0)))</f>
        <v/>
      </c>
      <c r="AX2" s="25">
        <f>IF(OR($A2="",$I2=""),"",IF($BC2="Y",SUMIFS(survey_frozen!$L$2:$L$251,survey_frozen!$P$2:$P$251,$A2&amp;"|"&amp;$B2),IFERROR(COUNTIFS(INDIRECT("'"&amp;$A2&amp;"'!$B$2:$B$501"),$T2,INDIRECT("'"&amp;$A2&amp;"'!$A$2:$A$501"),"&gt;="&amp;$I2,INDIRECT("'"&amp;$A2&amp;"'!$A$2:$A$501"),"&lt;"&amp;($BA2+1),INDIRECT("'"&amp;$A2&amp;"'!$E$2:$E$501"),"No"),0)))</f>
        <v/>
      </c>
      <c r="AY2" s="25">
        <f>IF(OR($A2="",$I2=""),"",IF($BC2="Y",SUMIFS(survey_frozen!$M$2:$M$251,survey_frozen!$P$2:$P$251,$A2&amp;"|"&amp;$B2),IFERROR(COUNTIFS(INDIRECT("'"&amp;$A2&amp;"'!$B$2:$B$501"),$T2,INDIRECT("'"&amp;$A2&amp;"'!$A$2:$A$501"),"&gt;="&amp;$I2,INDIRECT("'"&amp;$A2&amp;"'!$A$2:$A$501"),"&lt;"&amp;($BA2+1),INDIRECT("'"&amp;$A2&amp;"'!$G$2:$G$501"),"&lt;&gt;"),0)))</f>
        <v/>
      </c>
      <c r="AZ2" s="25">
        <f>IF($A2="","",$A2&amp;"|"&amp;$L2)</f>
        <v/>
      </c>
      <c r="BA2" s="26">
        <f>IF($A2="","",IFERROR(IF(INDEX(drops!$R$2:$R$21,MATCH($H2,drops!$A$2:$A$21,0))="","",INDEX(drops!$R$2:$R$21,MATCH($H2,drops!$A$2:$A$21,0))),""))</f>
        <v/>
      </c>
      <c r="BB2" s="25">
        <f>IF(OR($A2="",$Q2&lt;&gt;"Y"),1000000,N($AL2))</f>
        <v/>
      </c>
      <c r="BC2" s="25">
        <f>IF($A2="","",IF(COUNTIF(survey_frozen!$P$2:$P$251,$A2&amp;"|"&amp;$B2)&gt;0,"Y",""))</f>
        <v/>
      </c>
    </row>
    <row r="3">
      <c r="A3" t="inlineStr">
        <is>
          <t>SAMPLE-CMP-001</t>
        </is>
      </c>
      <c r="B3" t="inlineStr">
        <is>
          <t>SAMPLE-O-002</t>
        </is>
      </c>
      <c r="C3" s="9" t="n">
        <v>46370</v>
      </c>
      <c r="D3" t="inlineStr">
        <is>
          <t>yes</t>
        </is>
      </c>
      <c r="E3" s="9" t="n">
        <v>46372</v>
      </c>
      <c r="F3" t="inlineStr">
        <is>
          <t>SAMPLE replied by email</t>
        </is>
      </c>
      <c r="H3" s="25">
        <f>IF($A3="","",IFERROR(IF(INDEX(campaigns!$B$2:$B$51,MATCH($A3,campaigns!$A$2:$A$51,0))="","",INDEX(campaigns!$B$2:$B$51,MATCH($A3,campaigns!$A$2:$A$51,0))),""))</f>
        <v/>
      </c>
      <c r="I3" s="26">
        <f>IF($A3="","",IFERROR(IF(INDEX(campaigns!$BG$2:$BG$51,MATCH($A3,campaigns!$A$2:$A$51,0))="","",INDEX(campaigns!$BG$2:$BG$51,MATCH($A3,campaigns!$A$2:$A$51,0))),""))</f>
        <v/>
      </c>
      <c r="J3" s="25">
        <f>IF($A3="","",IFERROR(IF(INDEX(campaigns!$BE$2:$BE$51,MATCH($A3,campaigns!$A$2:$A$51,0))="","",INDEX(campaigns!$BE$2:$BE$51,MATCH($A3,campaigns!$A$2:$A$51,0))),""))</f>
        <v/>
      </c>
      <c r="K3" s="25">
        <f>IF($B3="","",IFERROR(IF(INDEX(offices!$N$2:$N$61,MATCH($B3,offices!$A$2:$A$61,0))="","",INDEX(offices!$N$2:$N$61,MATCH($B3,offices!$A$2:$A$61,0))),""))</f>
        <v/>
      </c>
      <c r="L3" s="25">
        <f>IF($A3="","",IF($Q3="N","",COUNTIFS($A$2:$A3,$A3,$Q$2:$Q3,"&lt;&gt;N")))</f>
        <v/>
      </c>
      <c r="M3" s="25">
        <f>IF(OR($A3="",$L3=""),"",IF(AND(config!$B$34="names_if_public",IFERROR(IF(INDEX(offices!$AF$2:$AF$61,MATCH($B3,offices!$A$2:$A$61,0))="","",INDEX(offices!$AF$2:$AF$61,MATCH($B3,offices!$A$2:$A$61,0))),"")="Y"),$K3,CHAR(64+$L3)))</f>
        <v/>
      </c>
      <c r="N3" s="25">
        <f>IF(OR($A3="",$I3=""),"",COUNTIFS(stops!$B$2:$B$151,$B3,stops!$P$2:$P$151,"&lt;"&amp;$I3,stops!$L$2:$L$151,"&lt;&gt;not_delivered")+1)</f>
        <v/>
      </c>
      <c r="O3" s="25">
        <f>IF($A3="","",IF(N($N3)&lt;=config!$B$29,"explicit","opt-out"))</f>
        <v/>
      </c>
      <c r="P3" s="25">
        <f>IF($A3="","",IF($O3="explicit",IF($D3="yes","Y",IF($D3="no","N","pending")),IF($D3="no","N",IF(AND($C3&lt;&gt;"",$I3&lt;&gt;"",$C3&lt;=WORKDAY(N($I3),-5,calendar!$A$2:$A$80)),"Y","pending"))))</f>
        <v/>
      </c>
      <c r="Q3" s="25">
        <f>IF($A3="","",IF($P3="N","N",IF($P3&lt;&gt;"Y","pending",IF(AND((COUNTIFS(stops!$A$2:$A$151,$H3,stops!$B$2:$B$151,$B3,stops!$L$2:$L$151,"declined")+COUNTIFS(stops!$A$2:$A$151,$H3,stops!$B$2:$B$151,$B3,stops!$L$2:$L$151,"building_refused")+COUNTIFS(stops!$A$2:$A$151,$H3,stops!$B$2:$B$151,$B3,stops!$L$2:$L$151,"not_delivered"))&gt;0,N($U3)=0),"N","Y"))))</f>
        <v/>
      </c>
      <c r="R3" s="25">
        <f>IF($A3="","",IF(COUNTIFS($A$2:$A$251,$A3,$B$2:$B$251,$B3)&gt;1,"DUPLICATE ROW; ","")&amp;IF(AND(IFERROR(IF(INDEX(offices!$AC$2:$AC$61,MATCH($B3,offices!$A$2:$A$61,0))="","",INDEX(offices!$AC$2:$AC$61,MATCH($B3,offices!$A$2:$A$61,0))),"")&lt;&gt;"",ISNUMBER(SEARCH($J3,IFERROR(IF(INDEX(offices!$AC$2:$AC$61,MATCH($B3,offices!$A$2:$A$61,0))="","",INDEX(offices!$AC$2:$AC$61,MATCH($B3,offices!$A$2:$A$61,0))),"")))),"BRAND VETOED; ","")&amp;IF(ISNUMBER(SEARCH(IFERROR(IF(INDEX(campaigns!$BF$2:$BF$51,MATCH($A3,campaigns!$A$2:$A$51,0))="","",INDEX(campaigns!$BF$2:$BF$51,MATCH($A3,campaigns!$A$2:$A$51,0))),""),IFERROR(IF(INDEX(offices!$AB$2:$AB$61,MATCH($B3,offices!$A$2:$A$61,0))="","",INDEX(offices!$AB$2:$AB$61,MATCH($B3,offices!$A$2:$A$61,0))),""))),"","info: category not on the office's list; ")&amp;IF(IFERROR(IF(INDEX(offices!$AC$2:$AC$61,MATCH($B3,offices!$A$2:$A$61,0))="","",INDEX(offices!$AC$2:$AC$61,MATCH($B3,offices!$A$2:$A$61,0))),"")&lt;&gt;"","info: read the vetoes against the label; ",""))</f>
        <v/>
      </c>
      <c r="S3" s="25">
        <f>IF($A3="","",IF($G3&lt;&gt;"",$G3,IFERROR(IF(INDEX(offices!$AL$2:$AL$61,MATCH($B3,offices!$A$2:$A$61,0))="","",INDEX(offices!$AL$2:$AL$61,MATCH($B3,offices!$A$2:$A$61,0))),"")))</f>
        <v/>
      </c>
      <c r="T3" s="25">
        <f>IF($A3="","",$A3&amp;"."&amp;$B3)</f>
        <v/>
      </c>
      <c r="U3" s="25">
        <f>IF($A3="","",SUMIFS(inventory!$G$2:$G$801,inventory!$C$2:$C$801,$A3,inventory!$D$2:$D$801,$B3,inventory!$E$2:$E$801,"delivered"))</f>
        <v/>
      </c>
      <c r="V3" s="32">
        <f>IF($A3="","",IFERROR(1/(1/SUMPRODUCT(MAX((inventory!$C$2:$C$801=$A3)*(inventory!$D$2:$D$801=$B3)*(inventory!$E$2:$E$801="delivered")*(inventory!$A$2:$A$801+inventory!$B$2:$B$801)))),""))</f>
        <v/>
      </c>
      <c r="W3" s="25">
        <f>IF($A3="","",IFERROR(IF(INDEX(inventory!$J$2:$J$801,MATCH($A3&amp;"|"&amp;$B3&amp;"|delivered",inventory!$R$2:$R$801,0))="","",INDEX(inventory!$J$2:$J$801,MATCH($A3&amp;"|"&amp;$B3&amp;"|delivered",inventory!$R$2:$R$801,0))),""))</f>
        <v/>
      </c>
      <c r="X3" s="25">
        <f>IF($A3="","",IFERROR(IF(INDEX(photos!$H$2:$H$701,MATCH($A3&amp;"|"&amp;$B3&amp;"|placement|Y",photos!$R$2:$R$701,0))="","",INDEX(photos!$H$2:$H$701,MATCH($A3&amp;"|"&amp;$B3&amp;"|placement|Y",photos!$R$2:$R$701,0))),""))</f>
        <v/>
      </c>
      <c r="Y3" s="26">
        <f>IF($A3="","",IFERROR(IF(INDEX(photos!$E$2:$E$701,MATCH($A3&amp;"|"&amp;$B3&amp;"|placement|Y",photos!$R$2:$R$701,0))="","",INDEX(photos!$E$2:$E$701,MATCH($A3&amp;"|"&amp;$B3&amp;"|placement|Y",photos!$R$2:$R$701,0))),""))</f>
        <v/>
      </c>
      <c r="Z3" s="25">
        <f>IF($A3="","",IF(COUNTIFS(counts!$C$2:$C$701,$A3,counts!$D$2:$D$701,$B3,counts!$E$2:$E$701,"placed")=0,"",SUMIFS(counts!$F$2:$F$701,counts!$C$2:$C$701,$A3,counts!$D$2:$D$701,$B3,counts!$E$2:$E$701,"placed")))</f>
        <v/>
      </c>
      <c r="AA3" s="25">
        <f>IF($A3="","",IF($Y3="",0,N($Z3)))</f>
        <v/>
      </c>
      <c r="AB3" s="25">
        <f>IF($A3="","",IF(OR($Y3="",$I3=""),"N",IF($Y3&lt;=WORKDAY(N($I3),1,calendar!$A$2:$A$80),"Y","N")))</f>
        <v/>
      </c>
      <c r="AC3" s="28">
        <f>IF(OR($A3="",$V3="",$Y3=""),"",ROUND(($Y3+N(IFERROR(IF(INDEX(photos!$F$2:$F$701,MATCH($A3&amp;"|"&amp;$B3&amp;"|placement|Y",photos!$R$2:$R$701,0))="","",INDEX(photos!$F$2:$F$701,MATCH($A3&amp;"|"&amp;$B3&amp;"|placement|Y",photos!$R$2:$R$701,0))),""))-$V3)*24,1))</f>
        <v/>
      </c>
      <c r="AD3" s="25">
        <f>IF($A3="","",SUMIFS(inventory!$G$2:$G$801,inventory!$C$2:$C$801,$A3,inventory!$D$2:$D$801,$B3,inventory!$E$2:$E$801,"topped_up"))</f>
        <v/>
      </c>
      <c r="AE3" s="25">
        <f>IF($A3="","",IF(COUNTIFS(counts!$C$2:$C$701,$A3,counts!$D$2:$D$701,$B3,counts!$E$2:$E$701,"remaining_day3")=0,"",SUMIFS(counts!$F$2:$F$701,counts!$C$2:$C$701,$A3,counts!$D$2:$D$701,$B3,counts!$E$2:$E$701,"remaining_day3")))</f>
        <v/>
      </c>
      <c r="AF3" s="25">
        <f>IF($A3="","",IF(COUNTIFS(counts!$C$2:$C$701,$A3,counts!$D$2:$D$701,$B3,counts!$E$2:$E$701,"remaining_day5")=0,"",SUMIFS(counts!$F$2:$F$701,counts!$C$2:$C$701,$A3,counts!$D$2:$D$701,$B3,counts!$E$2:$E$701,"remaining_day5")))</f>
        <v/>
      </c>
      <c r="AG3" s="25">
        <f>IF(OR($A3="",$AF3=""),"",MAX(0,$AA3+$AD3-$AF3))</f>
        <v/>
      </c>
      <c r="AH3" s="25">
        <f>IF(OR($A3="",$AI3=""),"",IFERROR(IF(INDEX(photos!$H$2:$H$701,MATCH($A3&amp;"|"&amp;$B3&amp;"|later|Y|"&amp;$AI3,photos!$S$2:$S$701,0))="","",INDEX(photos!$H$2:$H$701,MATCH($A3&amp;"|"&amp;$B3&amp;"|later|Y|"&amp;$AI3,photos!$S$2:$S$701,0))),""))</f>
        <v/>
      </c>
      <c r="AI3" s="26">
        <f>IF($A3="","",IFERROR(1/(1/SUMPRODUCT(MAX((photos!$B$2:$B$701=$A3)*(photos!$C$2:$C$701=$B3)*(photos!$D$2:$D$701="later")*(photos!$O$2:$O$701="Y")*photos!$E$2:$E$701))),""))</f>
        <v/>
      </c>
      <c r="AJ3" s="25">
        <f>IF(OR($A3="",$AI3="",$I3=""),"",NETWORKDAYS($I3,$AI3,calendar!$A$2:$A$80))</f>
        <v/>
      </c>
      <c r="AK3" s="25">
        <f>IF($A3="","",IF(AND($X3&lt;&gt;"",$AH3&lt;&gt;""),"Y","N"))</f>
        <v/>
      </c>
      <c r="AL3" s="25">
        <f>IF(OR($A3="",$I3=""),"",IF($BC3="Y",SUMIFS(survey_frozen!$C$2:$C$251,survey_frozen!$P$2:$P$251,$A3&amp;"|"&amp;$B3),IFERROR(COUNTIFS(INDIRECT("'"&amp;$A3&amp;"'!$B$2:$B$501"),$T3,INDIRECT("'"&amp;$A3&amp;"'!$A$2:$A$501"),"&gt;="&amp;$I3,INDIRECT("'"&amp;$A3&amp;"'!$A$2:$A$501"),"&lt;"&amp;($BA3+1)),0)))</f>
        <v/>
      </c>
      <c r="AM3" s="25">
        <f>IF(OR($A3="",$I3=""),"",IF($BC3="Y",SUMIFS(survey_frozen!$D$2:$D$251,survey_frozen!$P$2:$P$251,$A3&amp;"|"&amp;$B3),IFERROR(COUNTIFS(INDIRECT("'"&amp;$A3&amp;"'!$B$2:$B$501"),$T3,INDIRECT("'"&amp;$A3&amp;"'!$A$2:$A$501"),"&gt;="&amp;$I3,INDIRECT("'"&amp;$A3&amp;"'!$A$2:$A$501"),"&lt;"&amp;($BA3+1),INDIRECT("'"&amp;$A3&amp;"'!$C$2:$C$501"),"Yes"),0)))</f>
        <v/>
      </c>
      <c r="AN3" s="25">
        <f>IF($A3="","",IF(COUNTIFS(scans!$C$2:$C$1601,(IF(LEFT($A3,7)="SAMPLE-","SAMPLE-","")&amp;LOWER(SUBSTITUTE(SUBSTITUTE($A3,"SAMPLE-",""),"CMP-","c"))&amp;"-"&amp;LOWER(SUBSTITUTE(SUBSTITUTE($B3,"SAMPLE-",""),"O-","o"))&amp;"-q"),scans!$D$2:$D$1601,"close")=0,"",SUMPRODUCT(MAX((scans!$C$2:$C$1601=(IF(LEFT($A3,7)="SAMPLE-","SAMPLE-","")&amp;LOWER(SUBSTITUTE(SUBSTITUTE($A3,"SAMPLE-",""),"CMP-","c"))&amp;"-"&amp;LOWER(SUBSTITUTE(SUBSTITUTE($B3,"SAMPLE-",""),"O-","o"))&amp;"-q"))*(scans!$D$2:$D$1601="close")*scans!$E$2:$E$1601))-SUMPRODUCT(MAX((scans!$C$2:$C$1601=(IF(LEFT($A3,7)="SAMPLE-","SAMPLE-","")&amp;LOWER(SUBSTITUTE(SUBSTITUTE($A3,"SAMPLE-",""),"CMP-","c"))&amp;"-"&amp;LOWER(SUBSTITUTE(SUBSTITUTE($B3,"SAMPLE-",""),"O-","o"))&amp;"-q"))*(scans!$D$2:$D$1601="baseline")*scans!$E$2:$E$1601))))</f>
        <v/>
      </c>
      <c r="AO3" s="25">
        <f>IF($A3="","",IF(COUNTIFS(scans!$C$2:$C$1601,(IF(LEFT($A3,7)="SAMPLE-","SAMPLE-","")&amp;LOWER(SUBSTITUTE(SUBSTITUTE($A3,"SAMPLE-",""),"CMP-","c"))&amp;"-"&amp;LOWER(SUBSTITUTE(SUBSTITUTE($B3,"SAMPLE-",""),"O-","o"))&amp;"-p"),scans!$D$2:$D$1601,"close")=0,"",SUMPRODUCT(MAX((scans!$C$2:$C$1601=(IF(LEFT($A3,7)="SAMPLE-","SAMPLE-","")&amp;LOWER(SUBSTITUTE(SUBSTITUTE($A3,"SAMPLE-",""),"CMP-","c"))&amp;"-"&amp;LOWER(SUBSTITUTE(SUBSTITUTE($B3,"SAMPLE-",""),"O-","o"))&amp;"-p"))*(scans!$D$2:$D$1601="close")*scans!$E$2:$E$1601))-SUMPRODUCT(MAX((scans!$C$2:$C$1601=(IF(LEFT($A3,7)="SAMPLE-","SAMPLE-","")&amp;LOWER(SUBSTITUTE(SUBSTITUTE($A3,"SAMPLE-",""),"CMP-","c"))&amp;"-"&amp;LOWER(SUBSTITUTE(SUBSTITUTE($B3,"SAMPLE-",""),"O-","o"))&amp;"-p"))*(scans!$D$2:$D$1601="baseline")*scans!$E$2:$E$1601))))</f>
        <v/>
      </c>
      <c r="AP3" s="25">
        <f>IF($A3="","",IF(COUNTIF(offices!$A$2:$A$61,$B3)=0,"office_id not on offices; ","")&amp;IF(COUNTIF(campaigns!$A$2:$A$51,$A3)=0,"campaign_id not on campaigns; ","")&amp;IF($P3="pending","approval pending; ","")&amp;IF(AND($U3&gt;0,$Y3="",OR($I3="",IF(config!$B$37&lt;&gt;"",config!$B$37,TODAY())&lt;=WORKDAY(N($I3),4,calendar!$A$2:$A$80))),"no usable placement photo yet; ","")&amp;IF(AND($Y3&lt;&gt;"",$Z3=""),"log the placed count; ","")&amp;IF(N($AA3)&gt;N($U3),"placed more than delivered; ","")&amp;IF(AND($AF3&lt;&gt;"",N($AF3)&gt;N($AA3)+N($AD3)),"day-5 count above placed plus top-ups; ","")&amp;IF(AND($U3&gt;0,$I3&lt;&gt;"",IF(config!$B$37&lt;&gt;"",config!$B$37,TODAY())&gt;WORKDAY(N($I3),4,calendar!$A$2:$A$80),$AF3=""),"day-5 count missing; ","")&amp;IF(AND($U3&gt;0,$I3&lt;&gt;"",IF(config!$B$37&lt;&gt;"",config!$B$37,TODAY())&gt;WORKDAY(N($I3),4,calendar!$A$2:$A$80),$AN3=""),"no close link reading; ","")&amp;$R3&amp;IF($P3="N","info: office said no; ","")&amp;IF(AND($P3="Y",$Q3="N"),"info: turned away at the door, so not on the drop (no letter, not in the report or Gate 2; the credit check is on campaigns); ","")&amp;IF(AND($U3&gt;0,$Y3="",$I3&lt;&gt;"",IF(config!$B$37&lt;&gt;"",config!$B$37,TODAY())&gt;WORKDAY(N($I3),4,calendar!$A$2:$A$80)),"info: no usable placement photo, so nothing counts as placed; ","")&amp;IF(AND($U3&gt;0,$I3&lt;&gt;"",IF(config!$B$37&lt;&gt;"",config!$B$37,TODAY())&gt;WORKDAY(N($I3),4,calendar!$A$2:$A$80),N($AL3)&lt;config!$B$30),"info: under "&amp;config!$B$30&amp;" responses; ","")&amp;IF($W3="packing_list","info: delivered count not verified; ",""))</f>
        <v/>
      </c>
      <c r="AQ3" s="25">
        <f>IF(OR($A3="",$I3=""),"",IF($BC3="Y",SUMIFS(survey_frozen!$E$2:$E$251,survey_frozen!$P$2:$P$251,$A3&amp;"|"&amp;$B3),IFERROR(COUNTIFS(INDIRECT("'"&amp;$A3&amp;"'!$B$2:$B$501"),$T3,INDIRECT("'"&amp;$A3&amp;"'!$A$2:$A$501"),"&gt;="&amp;$I3,INDIRECT("'"&amp;$A3&amp;"'!$A$2:$A$501"),"&lt;"&amp;($BA3+1),INDIRECT("'"&amp;$A3&amp;"'!$F$2:$F$501"),"Didn't see it"),0)))</f>
        <v/>
      </c>
      <c r="AR3" s="25">
        <f>IF(OR($A3="",$I3=""),"",IF($BC3="Y",SUMIFS(survey_frozen!$F$2:$F$251,survey_frozen!$P$2:$P$251,$A3&amp;"|"&amp;$B3),IFERROR(COUNTIFS(INDIRECT("'"&amp;$A3&amp;"'!$B$2:$B$501"),$T3,INDIRECT("'"&amp;$A3&amp;"'!$A$2:$A$501"),"&gt;="&amp;$I3,INDIRECT("'"&amp;$A3&amp;"'!$A$2:$A$501"),"&lt;"&amp;($BA3+1),INDIRECT("'"&amp;$A3&amp;"'!$F$2:$F$501"),"Not for me"),0)))</f>
        <v/>
      </c>
      <c r="AS3" s="25">
        <f>IF(OR($A3="",$I3=""),"",IF($BC3="Y",SUMIFS(survey_frozen!$G$2:$G$251,survey_frozen!$P$2:$P$251,$A3&amp;"|"&amp;$B3),IFERROR(COUNTIFS(INDIRECT("'"&amp;$A3&amp;"'!$B$2:$B$501"),$T3,INDIRECT("'"&amp;$A3&amp;"'!$A$2:$A$501"),"&gt;="&amp;$I3,INDIRECT("'"&amp;$A3&amp;"'!$A$2:$A$501"),"&lt;"&amp;($BA3+1),INDIRECT("'"&amp;$A3&amp;"'!$F$2:$F$501"),"Gone by the time I looked"),0)))</f>
        <v/>
      </c>
      <c r="AT3" s="25">
        <f>IF(OR($A3="",$I3=""),"",IF($BC3="Y",SUMIFS(survey_frozen!$H$2:$H$251,survey_frozen!$P$2:$P$251,$A3&amp;"|"&amp;$B3),IFERROR(COUNTIFS(INDIRECT("'"&amp;$A3&amp;"'!$B$2:$B$501"),$T3,INDIRECT("'"&amp;$A3&amp;"'!$A$2:$A$501"),"&gt;="&amp;$I3,INDIRECT("'"&amp;$A3&amp;"'!$A$2:$A$501"),"&lt;"&amp;($BA3+1),INDIRECT("'"&amp;$A3&amp;"'!$D$2:$D$501"),"&gt;=1"),0)))</f>
        <v/>
      </c>
      <c r="AU3" s="25">
        <f>IF(OR($A3="",$I3=""),"",IF($BC3="Y",SUMIFS(survey_frozen!$I$2:$I$251,survey_frozen!$P$2:$P$251,$A3&amp;"|"&amp;$B3),IFERROR(SUMIFS(INDIRECT("'"&amp;$A3&amp;"'!$D$2:$D$501"),INDIRECT("'"&amp;$A3&amp;"'!$B$2:$B$501"),$T3,INDIRECT("'"&amp;$A3&amp;"'!$A$2:$A$501"),"&gt;="&amp;$I3,INDIRECT("'"&amp;$A3&amp;"'!$A$2:$A$501"),"&lt;"&amp;($BA3+1)),0)))</f>
        <v/>
      </c>
      <c r="AV3" s="25">
        <f>IF(OR($A3="",$I3=""),"",IF($BC3="Y",SUMIFS(survey_frozen!$J$2:$J$251,survey_frozen!$P$2:$P$251,$A3&amp;"|"&amp;$B3),IFERROR(COUNTIFS(INDIRECT("'"&amp;$A3&amp;"'!$B$2:$B$501"),$T3,INDIRECT("'"&amp;$A3&amp;"'!$A$2:$A$501"),"&gt;="&amp;$I3,INDIRECT("'"&amp;$A3&amp;"'!$A$2:$A$501"),"&lt;"&amp;($BA3+1),INDIRECT("'"&amp;$A3&amp;"'!$E$2:$E$501"),"Yes"),0)))</f>
        <v/>
      </c>
      <c r="AW3" s="25">
        <f>IF(OR($A3="",$I3=""),"",IF($BC3="Y",SUMIFS(survey_frozen!$K$2:$K$251,survey_frozen!$P$2:$P$251,$A3&amp;"|"&amp;$B3),IFERROR(COUNTIFS(INDIRECT("'"&amp;$A3&amp;"'!$B$2:$B$501"),$T3,INDIRECT("'"&amp;$A3&amp;"'!$A$2:$A$501"),"&gt;="&amp;$I3,INDIRECT("'"&amp;$A3&amp;"'!$A$2:$A$501"),"&lt;"&amp;($BA3+1),INDIRECT("'"&amp;$A3&amp;"'!$E$2:$E$501"),"Maybe"),0)))</f>
        <v/>
      </c>
      <c r="AX3" s="25">
        <f>IF(OR($A3="",$I3=""),"",IF($BC3="Y",SUMIFS(survey_frozen!$L$2:$L$251,survey_frozen!$P$2:$P$251,$A3&amp;"|"&amp;$B3),IFERROR(COUNTIFS(INDIRECT("'"&amp;$A3&amp;"'!$B$2:$B$501"),$T3,INDIRECT("'"&amp;$A3&amp;"'!$A$2:$A$501"),"&gt;="&amp;$I3,INDIRECT("'"&amp;$A3&amp;"'!$A$2:$A$501"),"&lt;"&amp;($BA3+1),INDIRECT("'"&amp;$A3&amp;"'!$E$2:$E$501"),"No"),0)))</f>
        <v/>
      </c>
      <c r="AY3" s="25">
        <f>IF(OR($A3="",$I3=""),"",IF($BC3="Y",SUMIFS(survey_frozen!$M$2:$M$251,survey_frozen!$P$2:$P$251,$A3&amp;"|"&amp;$B3),IFERROR(COUNTIFS(INDIRECT("'"&amp;$A3&amp;"'!$B$2:$B$501"),$T3,INDIRECT("'"&amp;$A3&amp;"'!$A$2:$A$501"),"&gt;="&amp;$I3,INDIRECT("'"&amp;$A3&amp;"'!$A$2:$A$501"),"&lt;"&amp;($BA3+1),INDIRECT("'"&amp;$A3&amp;"'!$G$2:$G$501"),"&lt;&gt;"),0)))</f>
        <v/>
      </c>
      <c r="AZ3" s="25">
        <f>IF($A3="","",$A3&amp;"|"&amp;$L3)</f>
        <v/>
      </c>
      <c r="BA3" s="26">
        <f>IF($A3="","",IFERROR(IF(INDEX(drops!$R$2:$R$21,MATCH($H3,drops!$A$2:$A$21,0))="","",INDEX(drops!$R$2:$R$21,MATCH($H3,drops!$A$2:$A$21,0))),""))</f>
        <v/>
      </c>
      <c r="BB3" s="25">
        <f>IF(OR($A3="",$Q3&lt;&gt;"Y"),1000000,N($AL3))</f>
        <v/>
      </c>
      <c r="BC3" s="25">
        <f>IF($A3="","",IF(COUNTIF(survey_frozen!$P$2:$P$251,$A3&amp;"|"&amp;$B3)&gt;0,"Y",""))</f>
        <v/>
      </c>
    </row>
    <row r="4">
      <c r="A4" t="inlineStr">
        <is>
          <t>SAMPLE-CMP-001</t>
        </is>
      </c>
      <c r="B4" t="inlineStr">
        <is>
          <t>SAMPLE-O-003</t>
        </is>
      </c>
      <c r="C4" s="9" t="n">
        <v>46370</v>
      </c>
      <c r="D4" t="inlineStr">
        <is>
          <t>yes</t>
        </is>
      </c>
      <c r="E4" s="9" t="n">
        <v>46372</v>
      </c>
      <c r="F4" t="inlineStr">
        <is>
          <t>SAMPLE replied by email</t>
        </is>
      </c>
      <c r="H4" s="25">
        <f>IF($A4="","",IFERROR(IF(INDEX(campaigns!$B$2:$B$51,MATCH($A4,campaigns!$A$2:$A$51,0))="","",INDEX(campaigns!$B$2:$B$51,MATCH($A4,campaigns!$A$2:$A$51,0))),""))</f>
        <v/>
      </c>
      <c r="I4" s="26">
        <f>IF($A4="","",IFERROR(IF(INDEX(campaigns!$BG$2:$BG$51,MATCH($A4,campaigns!$A$2:$A$51,0))="","",INDEX(campaigns!$BG$2:$BG$51,MATCH($A4,campaigns!$A$2:$A$51,0))),""))</f>
        <v/>
      </c>
      <c r="J4" s="25">
        <f>IF($A4="","",IFERROR(IF(INDEX(campaigns!$BE$2:$BE$51,MATCH($A4,campaigns!$A$2:$A$51,0))="","",INDEX(campaigns!$BE$2:$BE$51,MATCH($A4,campaigns!$A$2:$A$51,0))),""))</f>
        <v/>
      </c>
      <c r="K4" s="25">
        <f>IF($B4="","",IFERROR(IF(INDEX(offices!$N$2:$N$61,MATCH($B4,offices!$A$2:$A$61,0))="","",INDEX(offices!$N$2:$N$61,MATCH($B4,offices!$A$2:$A$61,0))),""))</f>
        <v/>
      </c>
      <c r="L4" s="25">
        <f>IF($A4="","",IF($Q4="N","",COUNTIFS($A$2:$A4,$A4,$Q$2:$Q4,"&lt;&gt;N")))</f>
        <v/>
      </c>
      <c r="M4" s="25">
        <f>IF(OR($A4="",$L4=""),"",IF(AND(config!$B$34="names_if_public",IFERROR(IF(INDEX(offices!$AF$2:$AF$61,MATCH($B4,offices!$A$2:$A$61,0))="","",INDEX(offices!$AF$2:$AF$61,MATCH($B4,offices!$A$2:$A$61,0))),"")="Y"),$K4,CHAR(64+$L4)))</f>
        <v/>
      </c>
      <c r="N4" s="25">
        <f>IF(OR($A4="",$I4=""),"",COUNTIFS(stops!$B$2:$B$151,$B4,stops!$P$2:$P$151,"&lt;"&amp;$I4,stops!$L$2:$L$151,"&lt;&gt;not_delivered")+1)</f>
        <v/>
      </c>
      <c r="O4" s="25">
        <f>IF($A4="","",IF(N($N4)&lt;=config!$B$29,"explicit","opt-out"))</f>
        <v/>
      </c>
      <c r="P4" s="25">
        <f>IF($A4="","",IF($O4="explicit",IF($D4="yes","Y",IF($D4="no","N","pending")),IF($D4="no","N",IF(AND($C4&lt;&gt;"",$I4&lt;&gt;"",$C4&lt;=WORKDAY(N($I4),-5,calendar!$A$2:$A$80)),"Y","pending"))))</f>
        <v/>
      </c>
      <c r="Q4" s="25">
        <f>IF($A4="","",IF($P4="N","N",IF($P4&lt;&gt;"Y","pending",IF(AND((COUNTIFS(stops!$A$2:$A$151,$H4,stops!$B$2:$B$151,$B4,stops!$L$2:$L$151,"declined")+COUNTIFS(stops!$A$2:$A$151,$H4,stops!$B$2:$B$151,$B4,stops!$L$2:$L$151,"building_refused")+COUNTIFS(stops!$A$2:$A$151,$H4,stops!$B$2:$B$151,$B4,stops!$L$2:$L$151,"not_delivered"))&gt;0,N($U4)=0),"N","Y"))))</f>
        <v/>
      </c>
      <c r="R4" s="25">
        <f>IF($A4="","",IF(COUNTIFS($A$2:$A$251,$A4,$B$2:$B$251,$B4)&gt;1,"DUPLICATE ROW; ","")&amp;IF(AND(IFERROR(IF(INDEX(offices!$AC$2:$AC$61,MATCH($B4,offices!$A$2:$A$61,0))="","",INDEX(offices!$AC$2:$AC$61,MATCH($B4,offices!$A$2:$A$61,0))),"")&lt;&gt;"",ISNUMBER(SEARCH($J4,IFERROR(IF(INDEX(offices!$AC$2:$AC$61,MATCH($B4,offices!$A$2:$A$61,0))="","",INDEX(offices!$AC$2:$AC$61,MATCH($B4,offices!$A$2:$A$61,0))),"")))),"BRAND VETOED; ","")&amp;IF(ISNUMBER(SEARCH(IFERROR(IF(INDEX(campaigns!$BF$2:$BF$51,MATCH($A4,campaigns!$A$2:$A$51,0))="","",INDEX(campaigns!$BF$2:$BF$51,MATCH($A4,campaigns!$A$2:$A$51,0))),""),IFERROR(IF(INDEX(offices!$AB$2:$AB$61,MATCH($B4,offices!$A$2:$A$61,0))="","",INDEX(offices!$AB$2:$AB$61,MATCH($B4,offices!$A$2:$A$61,0))),""))),"","info: category not on the office's list; ")&amp;IF(IFERROR(IF(INDEX(offices!$AC$2:$AC$61,MATCH($B4,offices!$A$2:$A$61,0))="","",INDEX(offices!$AC$2:$AC$61,MATCH($B4,offices!$A$2:$A$61,0))),"")&lt;&gt;"","info: read the vetoes against the label; ",""))</f>
        <v/>
      </c>
      <c r="S4" s="25">
        <f>IF($A4="","",IF($G4&lt;&gt;"",$G4,IFERROR(IF(INDEX(offices!$AL$2:$AL$61,MATCH($B4,offices!$A$2:$A$61,0))="","",INDEX(offices!$AL$2:$AL$61,MATCH($B4,offices!$A$2:$A$61,0))),"")))</f>
        <v/>
      </c>
      <c r="T4" s="25">
        <f>IF($A4="","",$A4&amp;"."&amp;$B4)</f>
        <v/>
      </c>
      <c r="U4" s="25">
        <f>IF($A4="","",SUMIFS(inventory!$G$2:$G$801,inventory!$C$2:$C$801,$A4,inventory!$D$2:$D$801,$B4,inventory!$E$2:$E$801,"delivered"))</f>
        <v/>
      </c>
      <c r="V4" s="32">
        <f>IF($A4="","",IFERROR(1/(1/SUMPRODUCT(MAX((inventory!$C$2:$C$801=$A4)*(inventory!$D$2:$D$801=$B4)*(inventory!$E$2:$E$801="delivered")*(inventory!$A$2:$A$801+inventory!$B$2:$B$801)))),""))</f>
        <v/>
      </c>
      <c r="W4" s="25">
        <f>IF($A4="","",IFERROR(IF(INDEX(inventory!$J$2:$J$801,MATCH($A4&amp;"|"&amp;$B4&amp;"|delivered",inventory!$R$2:$R$801,0))="","",INDEX(inventory!$J$2:$J$801,MATCH($A4&amp;"|"&amp;$B4&amp;"|delivered",inventory!$R$2:$R$801,0))),""))</f>
        <v/>
      </c>
      <c r="X4" s="25">
        <f>IF($A4="","",IFERROR(IF(INDEX(photos!$H$2:$H$701,MATCH($A4&amp;"|"&amp;$B4&amp;"|placement|Y",photos!$R$2:$R$701,0))="","",INDEX(photos!$H$2:$H$701,MATCH($A4&amp;"|"&amp;$B4&amp;"|placement|Y",photos!$R$2:$R$701,0))),""))</f>
        <v/>
      </c>
      <c r="Y4" s="26">
        <f>IF($A4="","",IFERROR(IF(INDEX(photos!$E$2:$E$701,MATCH($A4&amp;"|"&amp;$B4&amp;"|placement|Y",photos!$R$2:$R$701,0))="","",INDEX(photos!$E$2:$E$701,MATCH($A4&amp;"|"&amp;$B4&amp;"|placement|Y",photos!$R$2:$R$701,0))),""))</f>
        <v/>
      </c>
      <c r="Z4" s="25">
        <f>IF($A4="","",IF(COUNTIFS(counts!$C$2:$C$701,$A4,counts!$D$2:$D$701,$B4,counts!$E$2:$E$701,"placed")=0,"",SUMIFS(counts!$F$2:$F$701,counts!$C$2:$C$701,$A4,counts!$D$2:$D$701,$B4,counts!$E$2:$E$701,"placed")))</f>
        <v/>
      </c>
      <c r="AA4" s="25">
        <f>IF($A4="","",IF($Y4="",0,N($Z4)))</f>
        <v/>
      </c>
      <c r="AB4" s="25">
        <f>IF($A4="","",IF(OR($Y4="",$I4=""),"N",IF($Y4&lt;=WORKDAY(N($I4),1,calendar!$A$2:$A$80),"Y","N")))</f>
        <v/>
      </c>
      <c r="AC4" s="28">
        <f>IF(OR($A4="",$V4="",$Y4=""),"",ROUND(($Y4+N(IFERROR(IF(INDEX(photos!$F$2:$F$701,MATCH($A4&amp;"|"&amp;$B4&amp;"|placement|Y",photos!$R$2:$R$701,0))="","",INDEX(photos!$F$2:$F$701,MATCH($A4&amp;"|"&amp;$B4&amp;"|placement|Y",photos!$R$2:$R$701,0))),""))-$V4)*24,1))</f>
        <v/>
      </c>
      <c r="AD4" s="25">
        <f>IF($A4="","",SUMIFS(inventory!$G$2:$G$801,inventory!$C$2:$C$801,$A4,inventory!$D$2:$D$801,$B4,inventory!$E$2:$E$801,"topped_up"))</f>
        <v/>
      </c>
      <c r="AE4" s="25">
        <f>IF($A4="","",IF(COUNTIFS(counts!$C$2:$C$701,$A4,counts!$D$2:$D$701,$B4,counts!$E$2:$E$701,"remaining_day3")=0,"",SUMIFS(counts!$F$2:$F$701,counts!$C$2:$C$701,$A4,counts!$D$2:$D$701,$B4,counts!$E$2:$E$701,"remaining_day3")))</f>
        <v/>
      </c>
      <c r="AF4" s="25">
        <f>IF($A4="","",IF(COUNTIFS(counts!$C$2:$C$701,$A4,counts!$D$2:$D$701,$B4,counts!$E$2:$E$701,"remaining_day5")=0,"",SUMIFS(counts!$F$2:$F$701,counts!$C$2:$C$701,$A4,counts!$D$2:$D$701,$B4,counts!$E$2:$E$701,"remaining_day5")))</f>
        <v/>
      </c>
      <c r="AG4" s="25">
        <f>IF(OR($A4="",$AF4=""),"",MAX(0,$AA4+$AD4-$AF4))</f>
        <v/>
      </c>
      <c r="AH4" s="25">
        <f>IF(OR($A4="",$AI4=""),"",IFERROR(IF(INDEX(photos!$H$2:$H$701,MATCH($A4&amp;"|"&amp;$B4&amp;"|later|Y|"&amp;$AI4,photos!$S$2:$S$701,0))="","",INDEX(photos!$H$2:$H$701,MATCH($A4&amp;"|"&amp;$B4&amp;"|later|Y|"&amp;$AI4,photos!$S$2:$S$701,0))),""))</f>
        <v/>
      </c>
      <c r="AI4" s="26">
        <f>IF($A4="","",IFERROR(1/(1/SUMPRODUCT(MAX((photos!$B$2:$B$701=$A4)*(photos!$C$2:$C$701=$B4)*(photos!$D$2:$D$701="later")*(photos!$O$2:$O$701="Y")*photos!$E$2:$E$701))),""))</f>
        <v/>
      </c>
      <c r="AJ4" s="25">
        <f>IF(OR($A4="",$AI4="",$I4=""),"",NETWORKDAYS($I4,$AI4,calendar!$A$2:$A$80))</f>
        <v/>
      </c>
      <c r="AK4" s="25">
        <f>IF($A4="","",IF(AND($X4&lt;&gt;"",$AH4&lt;&gt;""),"Y","N"))</f>
        <v/>
      </c>
      <c r="AL4" s="25">
        <f>IF(OR($A4="",$I4=""),"",IF($BC4="Y",SUMIFS(survey_frozen!$C$2:$C$251,survey_frozen!$P$2:$P$251,$A4&amp;"|"&amp;$B4),IFERROR(COUNTIFS(INDIRECT("'"&amp;$A4&amp;"'!$B$2:$B$501"),$T4,INDIRECT("'"&amp;$A4&amp;"'!$A$2:$A$501"),"&gt;="&amp;$I4,INDIRECT("'"&amp;$A4&amp;"'!$A$2:$A$501"),"&lt;"&amp;($BA4+1)),0)))</f>
        <v/>
      </c>
      <c r="AM4" s="25">
        <f>IF(OR($A4="",$I4=""),"",IF($BC4="Y",SUMIFS(survey_frozen!$D$2:$D$251,survey_frozen!$P$2:$P$251,$A4&amp;"|"&amp;$B4),IFERROR(COUNTIFS(INDIRECT("'"&amp;$A4&amp;"'!$B$2:$B$501"),$T4,INDIRECT("'"&amp;$A4&amp;"'!$A$2:$A$501"),"&gt;="&amp;$I4,INDIRECT("'"&amp;$A4&amp;"'!$A$2:$A$501"),"&lt;"&amp;($BA4+1),INDIRECT("'"&amp;$A4&amp;"'!$C$2:$C$501"),"Yes"),0)))</f>
        <v/>
      </c>
      <c r="AN4" s="25">
        <f>IF($A4="","",IF(COUNTIFS(scans!$C$2:$C$1601,(IF(LEFT($A4,7)="SAMPLE-","SAMPLE-","")&amp;LOWER(SUBSTITUTE(SUBSTITUTE($A4,"SAMPLE-",""),"CMP-","c"))&amp;"-"&amp;LOWER(SUBSTITUTE(SUBSTITUTE($B4,"SAMPLE-",""),"O-","o"))&amp;"-q"),scans!$D$2:$D$1601,"close")=0,"",SUMPRODUCT(MAX((scans!$C$2:$C$1601=(IF(LEFT($A4,7)="SAMPLE-","SAMPLE-","")&amp;LOWER(SUBSTITUTE(SUBSTITUTE($A4,"SAMPLE-",""),"CMP-","c"))&amp;"-"&amp;LOWER(SUBSTITUTE(SUBSTITUTE($B4,"SAMPLE-",""),"O-","o"))&amp;"-q"))*(scans!$D$2:$D$1601="close")*scans!$E$2:$E$1601))-SUMPRODUCT(MAX((scans!$C$2:$C$1601=(IF(LEFT($A4,7)="SAMPLE-","SAMPLE-","")&amp;LOWER(SUBSTITUTE(SUBSTITUTE($A4,"SAMPLE-",""),"CMP-","c"))&amp;"-"&amp;LOWER(SUBSTITUTE(SUBSTITUTE($B4,"SAMPLE-",""),"O-","o"))&amp;"-q"))*(scans!$D$2:$D$1601="baseline")*scans!$E$2:$E$1601))))</f>
        <v/>
      </c>
      <c r="AO4" s="25">
        <f>IF($A4="","",IF(COUNTIFS(scans!$C$2:$C$1601,(IF(LEFT($A4,7)="SAMPLE-","SAMPLE-","")&amp;LOWER(SUBSTITUTE(SUBSTITUTE($A4,"SAMPLE-",""),"CMP-","c"))&amp;"-"&amp;LOWER(SUBSTITUTE(SUBSTITUTE($B4,"SAMPLE-",""),"O-","o"))&amp;"-p"),scans!$D$2:$D$1601,"close")=0,"",SUMPRODUCT(MAX((scans!$C$2:$C$1601=(IF(LEFT($A4,7)="SAMPLE-","SAMPLE-","")&amp;LOWER(SUBSTITUTE(SUBSTITUTE($A4,"SAMPLE-",""),"CMP-","c"))&amp;"-"&amp;LOWER(SUBSTITUTE(SUBSTITUTE($B4,"SAMPLE-",""),"O-","o"))&amp;"-p"))*(scans!$D$2:$D$1601="close")*scans!$E$2:$E$1601))-SUMPRODUCT(MAX((scans!$C$2:$C$1601=(IF(LEFT($A4,7)="SAMPLE-","SAMPLE-","")&amp;LOWER(SUBSTITUTE(SUBSTITUTE($A4,"SAMPLE-",""),"CMP-","c"))&amp;"-"&amp;LOWER(SUBSTITUTE(SUBSTITUTE($B4,"SAMPLE-",""),"O-","o"))&amp;"-p"))*(scans!$D$2:$D$1601="baseline")*scans!$E$2:$E$1601))))</f>
        <v/>
      </c>
      <c r="AP4" s="25">
        <f>IF($A4="","",IF(COUNTIF(offices!$A$2:$A$61,$B4)=0,"office_id not on offices; ","")&amp;IF(COUNTIF(campaigns!$A$2:$A$51,$A4)=0,"campaign_id not on campaigns; ","")&amp;IF($P4="pending","approval pending; ","")&amp;IF(AND($U4&gt;0,$Y4="",OR($I4="",IF(config!$B$37&lt;&gt;"",config!$B$37,TODAY())&lt;=WORKDAY(N($I4),4,calendar!$A$2:$A$80))),"no usable placement photo yet; ","")&amp;IF(AND($Y4&lt;&gt;"",$Z4=""),"log the placed count; ","")&amp;IF(N($AA4)&gt;N($U4),"placed more than delivered; ","")&amp;IF(AND($AF4&lt;&gt;"",N($AF4)&gt;N($AA4)+N($AD4)),"day-5 count above placed plus top-ups; ","")&amp;IF(AND($U4&gt;0,$I4&lt;&gt;"",IF(config!$B$37&lt;&gt;"",config!$B$37,TODAY())&gt;WORKDAY(N($I4),4,calendar!$A$2:$A$80),$AF4=""),"day-5 count missing; ","")&amp;IF(AND($U4&gt;0,$I4&lt;&gt;"",IF(config!$B$37&lt;&gt;"",config!$B$37,TODAY())&gt;WORKDAY(N($I4),4,calendar!$A$2:$A$80),$AN4=""),"no close link reading; ","")&amp;$R4&amp;IF($P4="N","info: office said no; ","")&amp;IF(AND($P4="Y",$Q4="N"),"info: turned away at the door, so not on the drop (no letter, not in the report or Gate 2; the credit check is on campaigns); ","")&amp;IF(AND($U4&gt;0,$Y4="",$I4&lt;&gt;"",IF(config!$B$37&lt;&gt;"",config!$B$37,TODAY())&gt;WORKDAY(N($I4),4,calendar!$A$2:$A$80)),"info: no usable placement photo, so nothing counts as placed; ","")&amp;IF(AND($U4&gt;0,$I4&lt;&gt;"",IF(config!$B$37&lt;&gt;"",config!$B$37,TODAY())&gt;WORKDAY(N($I4),4,calendar!$A$2:$A$80),N($AL4)&lt;config!$B$30),"info: under "&amp;config!$B$30&amp;" responses; ","")&amp;IF($W4="packing_list","info: delivered count not verified; ",""))</f>
        <v/>
      </c>
      <c r="AQ4" s="25">
        <f>IF(OR($A4="",$I4=""),"",IF($BC4="Y",SUMIFS(survey_frozen!$E$2:$E$251,survey_frozen!$P$2:$P$251,$A4&amp;"|"&amp;$B4),IFERROR(COUNTIFS(INDIRECT("'"&amp;$A4&amp;"'!$B$2:$B$501"),$T4,INDIRECT("'"&amp;$A4&amp;"'!$A$2:$A$501"),"&gt;="&amp;$I4,INDIRECT("'"&amp;$A4&amp;"'!$A$2:$A$501"),"&lt;"&amp;($BA4+1),INDIRECT("'"&amp;$A4&amp;"'!$F$2:$F$501"),"Didn't see it"),0)))</f>
        <v/>
      </c>
      <c r="AR4" s="25">
        <f>IF(OR($A4="",$I4=""),"",IF($BC4="Y",SUMIFS(survey_frozen!$F$2:$F$251,survey_frozen!$P$2:$P$251,$A4&amp;"|"&amp;$B4),IFERROR(COUNTIFS(INDIRECT("'"&amp;$A4&amp;"'!$B$2:$B$501"),$T4,INDIRECT("'"&amp;$A4&amp;"'!$A$2:$A$501"),"&gt;="&amp;$I4,INDIRECT("'"&amp;$A4&amp;"'!$A$2:$A$501"),"&lt;"&amp;($BA4+1),INDIRECT("'"&amp;$A4&amp;"'!$F$2:$F$501"),"Not for me"),0)))</f>
        <v/>
      </c>
      <c r="AS4" s="25">
        <f>IF(OR($A4="",$I4=""),"",IF($BC4="Y",SUMIFS(survey_frozen!$G$2:$G$251,survey_frozen!$P$2:$P$251,$A4&amp;"|"&amp;$B4),IFERROR(COUNTIFS(INDIRECT("'"&amp;$A4&amp;"'!$B$2:$B$501"),$T4,INDIRECT("'"&amp;$A4&amp;"'!$A$2:$A$501"),"&gt;="&amp;$I4,INDIRECT("'"&amp;$A4&amp;"'!$A$2:$A$501"),"&lt;"&amp;($BA4+1),INDIRECT("'"&amp;$A4&amp;"'!$F$2:$F$501"),"Gone by the time I looked"),0)))</f>
        <v/>
      </c>
      <c r="AT4" s="25">
        <f>IF(OR($A4="",$I4=""),"",IF($BC4="Y",SUMIFS(survey_frozen!$H$2:$H$251,survey_frozen!$P$2:$P$251,$A4&amp;"|"&amp;$B4),IFERROR(COUNTIFS(INDIRECT("'"&amp;$A4&amp;"'!$B$2:$B$501"),$T4,INDIRECT("'"&amp;$A4&amp;"'!$A$2:$A$501"),"&gt;="&amp;$I4,INDIRECT("'"&amp;$A4&amp;"'!$A$2:$A$501"),"&lt;"&amp;($BA4+1),INDIRECT("'"&amp;$A4&amp;"'!$D$2:$D$501"),"&gt;=1"),0)))</f>
        <v/>
      </c>
      <c r="AU4" s="25">
        <f>IF(OR($A4="",$I4=""),"",IF($BC4="Y",SUMIFS(survey_frozen!$I$2:$I$251,survey_frozen!$P$2:$P$251,$A4&amp;"|"&amp;$B4),IFERROR(SUMIFS(INDIRECT("'"&amp;$A4&amp;"'!$D$2:$D$501"),INDIRECT("'"&amp;$A4&amp;"'!$B$2:$B$501"),$T4,INDIRECT("'"&amp;$A4&amp;"'!$A$2:$A$501"),"&gt;="&amp;$I4,INDIRECT("'"&amp;$A4&amp;"'!$A$2:$A$501"),"&lt;"&amp;($BA4+1)),0)))</f>
        <v/>
      </c>
      <c r="AV4" s="25">
        <f>IF(OR($A4="",$I4=""),"",IF($BC4="Y",SUMIFS(survey_frozen!$J$2:$J$251,survey_frozen!$P$2:$P$251,$A4&amp;"|"&amp;$B4),IFERROR(COUNTIFS(INDIRECT("'"&amp;$A4&amp;"'!$B$2:$B$501"),$T4,INDIRECT("'"&amp;$A4&amp;"'!$A$2:$A$501"),"&gt;="&amp;$I4,INDIRECT("'"&amp;$A4&amp;"'!$A$2:$A$501"),"&lt;"&amp;($BA4+1),INDIRECT("'"&amp;$A4&amp;"'!$E$2:$E$501"),"Yes"),0)))</f>
        <v/>
      </c>
      <c r="AW4" s="25">
        <f>IF(OR($A4="",$I4=""),"",IF($BC4="Y",SUMIFS(survey_frozen!$K$2:$K$251,survey_frozen!$P$2:$P$251,$A4&amp;"|"&amp;$B4),IFERROR(COUNTIFS(INDIRECT("'"&amp;$A4&amp;"'!$B$2:$B$501"),$T4,INDIRECT("'"&amp;$A4&amp;"'!$A$2:$A$501"),"&gt;="&amp;$I4,INDIRECT("'"&amp;$A4&amp;"'!$A$2:$A$501"),"&lt;"&amp;($BA4+1),INDIRECT("'"&amp;$A4&amp;"'!$E$2:$E$501"),"Maybe"),0)))</f>
        <v/>
      </c>
      <c r="AX4" s="25">
        <f>IF(OR($A4="",$I4=""),"",IF($BC4="Y",SUMIFS(survey_frozen!$L$2:$L$251,survey_frozen!$P$2:$P$251,$A4&amp;"|"&amp;$B4),IFERROR(COUNTIFS(INDIRECT("'"&amp;$A4&amp;"'!$B$2:$B$501"),$T4,INDIRECT("'"&amp;$A4&amp;"'!$A$2:$A$501"),"&gt;="&amp;$I4,INDIRECT("'"&amp;$A4&amp;"'!$A$2:$A$501"),"&lt;"&amp;($BA4+1),INDIRECT("'"&amp;$A4&amp;"'!$E$2:$E$501"),"No"),0)))</f>
        <v/>
      </c>
      <c r="AY4" s="25">
        <f>IF(OR($A4="",$I4=""),"",IF($BC4="Y",SUMIFS(survey_frozen!$M$2:$M$251,survey_frozen!$P$2:$P$251,$A4&amp;"|"&amp;$B4),IFERROR(COUNTIFS(INDIRECT("'"&amp;$A4&amp;"'!$B$2:$B$501"),$T4,INDIRECT("'"&amp;$A4&amp;"'!$A$2:$A$501"),"&gt;="&amp;$I4,INDIRECT("'"&amp;$A4&amp;"'!$A$2:$A$501"),"&lt;"&amp;($BA4+1),INDIRECT("'"&amp;$A4&amp;"'!$G$2:$G$501"),"&lt;&gt;"),0)))</f>
        <v/>
      </c>
      <c r="AZ4" s="25">
        <f>IF($A4="","",$A4&amp;"|"&amp;$L4)</f>
        <v/>
      </c>
      <c r="BA4" s="26">
        <f>IF($A4="","",IFERROR(IF(INDEX(drops!$R$2:$R$21,MATCH($H4,drops!$A$2:$A$21,0))="","",INDEX(drops!$R$2:$R$21,MATCH($H4,drops!$A$2:$A$21,0))),""))</f>
        <v/>
      </c>
      <c r="BB4" s="25">
        <f>IF(OR($A4="",$Q4&lt;&gt;"Y"),1000000,N($AL4))</f>
        <v/>
      </c>
      <c r="BC4" s="25">
        <f>IF($A4="","",IF(COUNTIF(survey_frozen!$P$2:$P$251,$A4&amp;"|"&amp;$B4)&gt;0,"Y",""))</f>
        <v/>
      </c>
    </row>
    <row r="5">
      <c r="A5" t="inlineStr">
        <is>
          <t>SAMPLE-CMP-001</t>
        </is>
      </c>
      <c r="B5" t="inlineStr">
        <is>
          <t>SAMPLE-O-004</t>
        </is>
      </c>
      <c r="C5" s="9" t="n">
        <v>46370</v>
      </c>
      <c r="D5" t="inlineStr">
        <is>
          <t>yes</t>
        </is>
      </c>
      <c r="E5" s="9" t="n">
        <v>46374</v>
      </c>
      <c r="F5" t="inlineStr">
        <is>
          <t>SAMPLE replied by email</t>
        </is>
      </c>
      <c r="H5" s="25">
        <f>IF($A5="","",IFERROR(IF(INDEX(campaigns!$B$2:$B$51,MATCH($A5,campaigns!$A$2:$A$51,0))="","",INDEX(campaigns!$B$2:$B$51,MATCH($A5,campaigns!$A$2:$A$51,0))),""))</f>
        <v/>
      </c>
      <c r="I5" s="26">
        <f>IF($A5="","",IFERROR(IF(INDEX(campaigns!$BG$2:$BG$51,MATCH($A5,campaigns!$A$2:$A$51,0))="","",INDEX(campaigns!$BG$2:$BG$51,MATCH($A5,campaigns!$A$2:$A$51,0))),""))</f>
        <v/>
      </c>
      <c r="J5" s="25">
        <f>IF($A5="","",IFERROR(IF(INDEX(campaigns!$BE$2:$BE$51,MATCH($A5,campaigns!$A$2:$A$51,0))="","",INDEX(campaigns!$BE$2:$BE$51,MATCH($A5,campaigns!$A$2:$A$51,0))),""))</f>
        <v/>
      </c>
      <c r="K5" s="25">
        <f>IF($B5="","",IFERROR(IF(INDEX(offices!$N$2:$N$61,MATCH($B5,offices!$A$2:$A$61,0))="","",INDEX(offices!$N$2:$N$61,MATCH($B5,offices!$A$2:$A$61,0))),""))</f>
        <v/>
      </c>
      <c r="L5" s="25">
        <f>IF($A5="","",IF($Q5="N","",COUNTIFS($A$2:$A5,$A5,$Q$2:$Q5,"&lt;&gt;N")))</f>
        <v/>
      </c>
      <c r="M5" s="25">
        <f>IF(OR($A5="",$L5=""),"",IF(AND(config!$B$34="names_if_public",IFERROR(IF(INDEX(offices!$AF$2:$AF$61,MATCH($B5,offices!$A$2:$A$61,0))="","",INDEX(offices!$AF$2:$AF$61,MATCH($B5,offices!$A$2:$A$61,0))),"")="Y"),$K5,CHAR(64+$L5)))</f>
        <v/>
      </c>
      <c r="N5" s="25">
        <f>IF(OR($A5="",$I5=""),"",COUNTIFS(stops!$B$2:$B$151,$B5,stops!$P$2:$P$151,"&lt;"&amp;$I5,stops!$L$2:$L$151,"&lt;&gt;not_delivered")+1)</f>
        <v/>
      </c>
      <c r="O5" s="25">
        <f>IF($A5="","",IF(N($N5)&lt;=config!$B$29,"explicit","opt-out"))</f>
        <v/>
      </c>
      <c r="P5" s="25">
        <f>IF($A5="","",IF($O5="explicit",IF($D5="yes","Y",IF($D5="no","N","pending")),IF($D5="no","N",IF(AND($C5&lt;&gt;"",$I5&lt;&gt;"",$C5&lt;=WORKDAY(N($I5),-5,calendar!$A$2:$A$80)),"Y","pending"))))</f>
        <v/>
      </c>
      <c r="Q5" s="25">
        <f>IF($A5="","",IF($P5="N","N",IF($P5&lt;&gt;"Y","pending",IF(AND((COUNTIFS(stops!$A$2:$A$151,$H5,stops!$B$2:$B$151,$B5,stops!$L$2:$L$151,"declined")+COUNTIFS(stops!$A$2:$A$151,$H5,stops!$B$2:$B$151,$B5,stops!$L$2:$L$151,"building_refused")+COUNTIFS(stops!$A$2:$A$151,$H5,stops!$B$2:$B$151,$B5,stops!$L$2:$L$151,"not_delivered"))&gt;0,N($U5)=0),"N","Y"))))</f>
        <v/>
      </c>
      <c r="R5" s="25">
        <f>IF($A5="","",IF(COUNTIFS($A$2:$A$251,$A5,$B$2:$B$251,$B5)&gt;1,"DUPLICATE ROW; ","")&amp;IF(AND(IFERROR(IF(INDEX(offices!$AC$2:$AC$61,MATCH($B5,offices!$A$2:$A$61,0))="","",INDEX(offices!$AC$2:$AC$61,MATCH($B5,offices!$A$2:$A$61,0))),"")&lt;&gt;"",ISNUMBER(SEARCH($J5,IFERROR(IF(INDEX(offices!$AC$2:$AC$61,MATCH($B5,offices!$A$2:$A$61,0))="","",INDEX(offices!$AC$2:$AC$61,MATCH($B5,offices!$A$2:$A$61,0))),"")))),"BRAND VETOED; ","")&amp;IF(ISNUMBER(SEARCH(IFERROR(IF(INDEX(campaigns!$BF$2:$BF$51,MATCH($A5,campaigns!$A$2:$A$51,0))="","",INDEX(campaigns!$BF$2:$BF$51,MATCH($A5,campaigns!$A$2:$A$51,0))),""),IFERROR(IF(INDEX(offices!$AB$2:$AB$61,MATCH($B5,offices!$A$2:$A$61,0))="","",INDEX(offices!$AB$2:$AB$61,MATCH($B5,offices!$A$2:$A$61,0))),""))),"","info: category not on the office's list; ")&amp;IF(IFERROR(IF(INDEX(offices!$AC$2:$AC$61,MATCH($B5,offices!$A$2:$A$61,0))="","",INDEX(offices!$AC$2:$AC$61,MATCH($B5,offices!$A$2:$A$61,0))),"")&lt;&gt;"","info: read the vetoes against the label; ",""))</f>
        <v/>
      </c>
      <c r="S5" s="25">
        <f>IF($A5="","",IF($G5&lt;&gt;"",$G5,IFERROR(IF(INDEX(offices!$AL$2:$AL$61,MATCH($B5,offices!$A$2:$A$61,0))="","",INDEX(offices!$AL$2:$AL$61,MATCH($B5,offices!$A$2:$A$61,0))),"")))</f>
        <v/>
      </c>
      <c r="T5" s="25">
        <f>IF($A5="","",$A5&amp;"."&amp;$B5)</f>
        <v/>
      </c>
      <c r="U5" s="25">
        <f>IF($A5="","",SUMIFS(inventory!$G$2:$G$801,inventory!$C$2:$C$801,$A5,inventory!$D$2:$D$801,$B5,inventory!$E$2:$E$801,"delivered"))</f>
        <v/>
      </c>
      <c r="V5" s="32">
        <f>IF($A5="","",IFERROR(1/(1/SUMPRODUCT(MAX((inventory!$C$2:$C$801=$A5)*(inventory!$D$2:$D$801=$B5)*(inventory!$E$2:$E$801="delivered")*(inventory!$A$2:$A$801+inventory!$B$2:$B$801)))),""))</f>
        <v/>
      </c>
      <c r="W5" s="25">
        <f>IF($A5="","",IFERROR(IF(INDEX(inventory!$J$2:$J$801,MATCH($A5&amp;"|"&amp;$B5&amp;"|delivered",inventory!$R$2:$R$801,0))="","",INDEX(inventory!$J$2:$J$801,MATCH($A5&amp;"|"&amp;$B5&amp;"|delivered",inventory!$R$2:$R$801,0))),""))</f>
        <v/>
      </c>
      <c r="X5" s="25">
        <f>IF($A5="","",IFERROR(IF(INDEX(photos!$H$2:$H$701,MATCH($A5&amp;"|"&amp;$B5&amp;"|placement|Y",photos!$R$2:$R$701,0))="","",INDEX(photos!$H$2:$H$701,MATCH($A5&amp;"|"&amp;$B5&amp;"|placement|Y",photos!$R$2:$R$701,0))),""))</f>
        <v/>
      </c>
      <c r="Y5" s="26">
        <f>IF($A5="","",IFERROR(IF(INDEX(photos!$E$2:$E$701,MATCH($A5&amp;"|"&amp;$B5&amp;"|placement|Y",photos!$R$2:$R$701,0))="","",INDEX(photos!$E$2:$E$701,MATCH($A5&amp;"|"&amp;$B5&amp;"|placement|Y",photos!$R$2:$R$701,0))),""))</f>
        <v/>
      </c>
      <c r="Z5" s="25">
        <f>IF($A5="","",IF(COUNTIFS(counts!$C$2:$C$701,$A5,counts!$D$2:$D$701,$B5,counts!$E$2:$E$701,"placed")=0,"",SUMIFS(counts!$F$2:$F$701,counts!$C$2:$C$701,$A5,counts!$D$2:$D$701,$B5,counts!$E$2:$E$701,"placed")))</f>
        <v/>
      </c>
      <c r="AA5" s="25">
        <f>IF($A5="","",IF($Y5="",0,N($Z5)))</f>
        <v/>
      </c>
      <c r="AB5" s="25">
        <f>IF($A5="","",IF(OR($Y5="",$I5=""),"N",IF($Y5&lt;=WORKDAY(N($I5),1,calendar!$A$2:$A$80),"Y","N")))</f>
        <v/>
      </c>
      <c r="AC5" s="28">
        <f>IF(OR($A5="",$V5="",$Y5=""),"",ROUND(($Y5+N(IFERROR(IF(INDEX(photos!$F$2:$F$701,MATCH($A5&amp;"|"&amp;$B5&amp;"|placement|Y",photos!$R$2:$R$701,0))="","",INDEX(photos!$F$2:$F$701,MATCH($A5&amp;"|"&amp;$B5&amp;"|placement|Y",photos!$R$2:$R$701,0))),""))-$V5)*24,1))</f>
        <v/>
      </c>
      <c r="AD5" s="25">
        <f>IF($A5="","",SUMIFS(inventory!$G$2:$G$801,inventory!$C$2:$C$801,$A5,inventory!$D$2:$D$801,$B5,inventory!$E$2:$E$801,"topped_up"))</f>
        <v/>
      </c>
      <c r="AE5" s="25">
        <f>IF($A5="","",IF(COUNTIFS(counts!$C$2:$C$701,$A5,counts!$D$2:$D$701,$B5,counts!$E$2:$E$701,"remaining_day3")=0,"",SUMIFS(counts!$F$2:$F$701,counts!$C$2:$C$701,$A5,counts!$D$2:$D$701,$B5,counts!$E$2:$E$701,"remaining_day3")))</f>
        <v/>
      </c>
      <c r="AF5" s="25">
        <f>IF($A5="","",IF(COUNTIFS(counts!$C$2:$C$701,$A5,counts!$D$2:$D$701,$B5,counts!$E$2:$E$701,"remaining_day5")=0,"",SUMIFS(counts!$F$2:$F$701,counts!$C$2:$C$701,$A5,counts!$D$2:$D$701,$B5,counts!$E$2:$E$701,"remaining_day5")))</f>
        <v/>
      </c>
      <c r="AG5" s="25">
        <f>IF(OR($A5="",$AF5=""),"",MAX(0,$AA5+$AD5-$AF5))</f>
        <v/>
      </c>
      <c r="AH5" s="25">
        <f>IF(OR($A5="",$AI5=""),"",IFERROR(IF(INDEX(photos!$H$2:$H$701,MATCH($A5&amp;"|"&amp;$B5&amp;"|later|Y|"&amp;$AI5,photos!$S$2:$S$701,0))="","",INDEX(photos!$H$2:$H$701,MATCH($A5&amp;"|"&amp;$B5&amp;"|later|Y|"&amp;$AI5,photos!$S$2:$S$701,0))),""))</f>
        <v/>
      </c>
      <c r="AI5" s="26">
        <f>IF($A5="","",IFERROR(1/(1/SUMPRODUCT(MAX((photos!$B$2:$B$701=$A5)*(photos!$C$2:$C$701=$B5)*(photos!$D$2:$D$701="later")*(photos!$O$2:$O$701="Y")*photos!$E$2:$E$701))),""))</f>
        <v/>
      </c>
      <c r="AJ5" s="25">
        <f>IF(OR($A5="",$AI5="",$I5=""),"",NETWORKDAYS($I5,$AI5,calendar!$A$2:$A$80))</f>
        <v/>
      </c>
      <c r="AK5" s="25">
        <f>IF($A5="","",IF(AND($X5&lt;&gt;"",$AH5&lt;&gt;""),"Y","N"))</f>
        <v/>
      </c>
      <c r="AL5" s="25">
        <f>IF(OR($A5="",$I5=""),"",IF($BC5="Y",SUMIFS(survey_frozen!$C$2:$C$251,survey_frozen!$P$2:$P$251,$A5&amp;"|"&amp;$B5),IFERROR(COUNTIFS(INDIRECT("'"&amp;$A5&amp;"'!$B$2:$B$501"),$T5,INDIRECT("'"&amp;$A5&amp;"'!$A$2:$A$501"),"&gt;="&amp;$I5,INDIRECT("'"&amp;$A5&amp;"'!$A$2:$A$501"),"&lt;"&amp;($BA5+1)),0)))</f>
        <v/>
      </c>
      <c r="AM5" s="25">
        <f>IF(OR($A5="",$I5=""),"",IF($BC5="Y",SUMIFS(survey_frozen!$D$2:$D$251,survey_frozen!$P$2:$P$251,$A5&amp;"|"&amp;$B5),IFERROR(COUNTIFS(INDIRECT("'"&amp;$A5&amp;"'!$B$2:$B$501"),$T5,INDIRECT("'"&amp;$A5&amp;"'!$A$2:$A$501"),"&gt;="&amp;$I5,INDIRECT("'"&amp;$A5&amp;"'!$A$2:$A$501"),"&lt;"&amp;($BA5+1),INDIRECT("'"&amp;$A5&amp;"'!$C$2:$C$501"),"Yes"),0)))</f>
        <v/>
      </c>
      <c r="AN5" s="25">
        <f>IF($A5="","",IF(COUNTIFS(scans!$C$2:$C$1601,(IF(LEFT($A5,7)="SAMPLE-","SAMPLE-","")&amp;LOWER(SUBSTITUTE(SUBSTITUTE($A5,"SAMPLE-",""),"CMP-","c"))&amp;"-"&amp;LOWER(SUBSTITUTE(SUBSTITUTE($B5,"SAMPLE-",""),"O-","o"))&amp;"-q"),scans!$D$2:$D$1601,"close")=0,"",SUMPRODUCT(MAX((scans!$C$2:$C$1601=(IF(LEFT($A5,7)="SAMPLE-","SAMPLE-","")&amp;LOWER(SUBSTITUTE(SUBSTITUTE($A5,"SAMPLE-",""),"CMP-","c"))&amp;"-"&amp;LOWER(SUBSTITUTE(SUBSTITUTE($B5,"SAMPLE-",""),"O-","o"))&amp;"-q"))*(scans!$D$2:$D$1601="close")*scans!$E$2:$E$1601))-SUMPRODUCT(MAX((scans!$C$2:$C$1601=(IF(LEFT($A5,7)="SAMPLE-","SAMPLE-","")&amp;LOWER(SUBSTITUTE(SUBSTITUTE($A5,"SAMPLE-",""),"CMP-","c"))&amp;"-"&amp;LOWER(SUBSTITUTE(SUBSTITUTE($B5,"SAMPLE-",""),"O-","o"))&amp;"-q"))*(scans!$D$2:$D$1601="baseline")*scans!$E$2:$E$1601))))</f>
        <v/>
      </c>
      <c r="AO5" s="25">
        <f>IF($A5="","",IF(COUNTIFS(scans!$C$2:$C$1601,(IF(LEFT($A5,7)="SAMPLE-","SAMPLE-","")&amp;LOWER(SUBSTITUTE(SUBSTITUTE($A5,"SAMPLE-",""),"CMP-","c"))&amp;"-"&amp;LOWER(SUBSTITUTE(SUBSTITUTE($B5,"SAMPLE-",""),"O-","o"))&amp;"-p"),scans!$D$2:$D$1601,"close")=0,"",SUMPRODUCT(MAX((scans!$C$2:$C$1601=(IF(LEFT($A5,7)="SAMPLE-","SAMPLE-","")&amp;LOWER(SUBSTITUTE(SUBSTITUTE($A5,"SAMPLE-",""),"CMP-","c"))&amp;"-"&amp;LOWER(SUBSTITUTE(SUBSTITUTE($B5,"SAMPLE-",""),"O-","o"))&amp;"-p"))*(scans!$D$2:$D$1601="close")*scans!$E$2:$E$1601))-SUMPRODUCT(MAX((scans!$C$2:$C$1601=(IF(LEFT($A5,7)="SAMPLE-","SAMPLE-","")&amp;LOWER(SUBSTITUTE(SUBSTITUTE($A5,"SAMPLE-",""),"CMP-","c"))&amp;"-"&amp;LOWER(SUBSTITUTE(SUBSTITUTE($B5,"SAMPLE-",""),"O-","o"))&amp;"-p"))*(scans!$D$2:$D$1601="baseline")*scans!$E$2:$E$1601))))</f>
        <v/>
      </c>
      <c r="AP5" s="25">
        <f>IF($A5="","",IF(COUNTIF(offices!$A$2:$A$61,$B5)=0,"office_id not on offices; ","")&amp;IF(COUNTIF(campaigns!$A$2:$A$51,$A5)=0,"campaign_id not on campaigns; ","")&amp;IF($P5="pending","approval pending; ","")&amp;IF(AND($U5&gt;0,$Y5="",OR($I5="",IF(config!$B$37&lt;&gt;"",config!$B$37,TODAY())&lt;=WORKDAY(N($I5),4,calendar!$A$2:$A$80))),"no usable placement photo yet; ","")&amp;IF(AND($Y5&lt;&gt;"",$Z5=""),"log the placed count; ","")&amp;IF(N($AA5)&gt;N($U5),"placed more than delivered; ","")&amp;IF(AND($AF5&lt;&gt;"",N($AF5)&gt;N($AA5)+N($AD5)),"day-5 count above placed plus top-ups; ","")&amp;IF(AND($U5&gt;0,$I5&lt;&gt;"",IF(config!$B$37&lt;&gt;"",config!$B$37,TODAY())&gt;WORKDAY(N($I5),4,calendar!$A$2:$A$80),$AF5=""),"day-5 count missing; ","")&amp;IF(AND($U5&gt;0,$I5&lt;&gt;"",IF(config!$B$37&lt;&gt;"",config!$B$37,TODAY())&gt;WORKDAY(N($I5),4,calendar!$A$2:$A$80),$AN5=""),"no close link reading; ","")&amp;$R5&amp;IF($P5="N","info: office said no; ","")&amp;IF(AND($P5="Y",$Q5="N"),"info: turned away at the door, so not on the drop (no letter, not in the report or Gate 2; the credit check is on campaigns); ","")&amp;IF(AND($U5&gt;0,$Y5="",$I5&lt;&gt;"",IF(config!$B$37&lt;&gt;"",config!$B$37,TODAY())&gt;WORKDAY(N($I5),4,calendar!$A$2:$A$80)),"info: no usable placement photo, so nothing counts as placed; ","")&amp;IF(AND($U5&gt;0,$I5&lt;&gt;"",IF(config!$B$37&lt;&gt;"",config!$B$37,TODAY())&gt;WORKDAY(N($I5),4,calendar!$A$2:$A$80),N($AL5)&lt;config!$B$30),"info: under "&amp;config!$B$30&amp;" responses; ","")&amp;IF($W5="packing_list","info: delivered count not verified; ",""))</f>
        <v/>
      </c>
      <c r="AQ5" s="25">
        <f>IF(OR($A5="",$I5=""),"",IF($BC5="Y",SUMIFS(survey_frozen!$E$2:$E$251,survey_frozen!$P$2:$P$251,$A5&amp;"|"&amp;$B5),IFERROR(COUNTIFS(INDIRECT("'"&amp;$A5&amp;"'!$B$2:$B$501"),$T5,INDIRECT("'"&amp;$A5&amp;"'!$A$2:$A$501"),"&gt;="&amp;$I5,INDIRECT("'"&amp;$A5&amp;"'!$A$2:$A$501"),"&lt;"&amp;($BA5+1),INDIRECT("'"&amp;$A5&amp;"'!$F$2:$F$501"),"Didn't see it"),0)))</f>
        <v/>
      </c>
      <c r="AR5" s="25">
        <f>IF(OR($A5="",$I5=""),"",IF($BC5="Y",SUMIFS(survey_frozen!$F$2:$F$251,survey_frozen!$P$2:$P$251,$A5&amp;"|"&amp;$B5),IFERROR(COUNTIFS(INDIRECT("'"&amp;$A5&amp;"'!$B$2:$B$501"),$T5,INDIRECT("'"&amp;$A5&amp;"'!$A$2:$A$501"),"&gt;="&amp;$I5,INDIRECT("'"&amp;$A5&amp;"'!$A$2:$A$501"),"&lt;"&amp;($BA5+1),INDIRECT("'"&amp;$A5&amp;"'!$F$2:$F$501"),"Not for me"),0)))</f>
        <v/>
      </c>
      <c r="AS5" s="25">
        <f>IF(OR($A5="",$I5=""),"",IF($BC5="Y",SUMIFS(survey_frozen!$G$2:$G$251,survey_frozen!$P$2:$P$251,$A5&amp;"|"&amp;$B5),IFERROR(COUNTIFS(INDIRECT("'"&amp;$A5&amp;"'!$B$2:$B$501"),$T5,INDIRECT("'"&amp;$A5&amp;"'!$A$2:$A$501"),"&gt;="&amp;$I5,INDIRECT("'"&amp;$A5&amp;"'!$A$2:$A$501"),"&lt;"&amp;($BA5+1),INDIRECT("'"&amp;$A5&amp;"'!$F$2:$F$501"),"Gone by the time I looked"),0)))</f>
        <v/>
      </c>
      <c r="AT5" s="25">
        <f>IF(OR($A5="",$I5=""),"",IF($BC5="Y",SUMIFS(survey_frozen!$H$2:$H$251,survey_frozen!$P$2:$P$251,$A5&amp;"|"&amp;$B5),IFERROR(COUNTIFS(INDIRECT("'"&amp;$A5&amp;"'!$B$2:$B$501"),$T5,INDIRECT("'"&amp;$A5&amp;"'!$A$2:$A$501"),"&gt;="&amp;$I5,INDIRECT("'"&amp;$A5&amp;"'!$A$2:$A$501"),"&lt;"&amp;($BA5+1),INDIRECT("'"&amp;$A5&amp;"'!$D$2:$D$501"),"&gt;=1"),0)))</f>
        <v/>
      </c>
      <c r="AU5" s="25">
        <f>IF(OR($A5="",$I5=""),"",IF($BC5="Y",SUMIFS(survey_frozen!$I$2:$I$251,survey_frozen!$P$2:$P$251,$A5&amp;"|"&amp;$B5),IFERROR(SUMIFS(INDIRECT("'"&amp;$A5&amp;"'!$D$2:$D$501"),INDIRECT("'"&amp;$A5&amp;"'!$B$2:$B$501"),$T5,INDIRECT("'"&amp;$A5&amp;"'!$A$2:$A$501"),"&gt;="&amp;$I5,INDIRECT("'"&amp;$A5&amp;"'!$A$2:$A$501"),"&lt;"&amp;($BA5+1)),0)))</f>
        <v/>
      </c>
      <c r="AV5" s="25">
        <f>IF(OR($A5="",$I5=""),"",IF($BC5="Y",SUMIFS(survey_frozen!$J$2:$J$251,survey_frozen!$P$2:$P$251,$A5&amp;"|"&amp;$B5),IFERROR(COUNTIFS(INDIRECT("'"&amp;$A5&amp;"'!$B$2:$B$501"),$T5,INDIRECT("'"&amp;$A5&amp;"'!$A$2:$A$501"),"&gt;="&amp;$I5,INDIRECT("'"&amp;$A5&amp;"'!$A$2:$A$501"),"&lt;"&amp;($BA5+1),INDIRECT("'"&amp;$A5&amp;"'!$E$2:$E$501"),"Yes"),0)))</f>
        <v/>
      </c>
      <c r="AW5" s="25">
        <f>IF(OR($A5="",$I5=""),"",IF($BC5="Y",SUMIFS(survey_frozen!$K$2:$K$251,survey_frozen!$P$2:$P$251,$A5&amp;"|"&amp;$B5),IFERROR(COUNTIFS(INDIRECT("'"&amp;$A5&amp;"'!$B$2:$B$501"),$T5,INDIRECT("'"&amp;$A5&amp;"'!$A$2:$A$501"),"&gt;="&amp;$I5,INDIRECT("'"&amp;$A5&amp;"'!$A$2:$A$501"),"&lt;"&amp;($BA5+1),INDIRECT("'"&amp;$A5&amp;"'!$E$2:$E$501"),"Maybe"),0)))</f>
        <v/>
      </c>
      <c r="AX5" s="25">
        <f>IF(OR($A5="",$I5=""),"",IF($BC5="Y",SUMIFS(survey_frozen!$L$2:$L$251,survey_frozen!$P$2:$P$251,$A5&amp;"|"&amp;$B5),IFERROR(COUNTIFS(INDIRECT("'"&amp;$A5&amp;"'!$B$2:$B$501"),$T5,INDIRECT("'"&amp;$A5&amp;"'!$A$2:$A$501"),"&gt;="&amp;$I5,INDIRECT("'"&amp;$A5&amp;"'!$A$2:$A$501"),"&lt;"&amp;($BA5+1),INDIRECT("'"&amp;$A5&amp;"'!$E$2:$E$501"),"No"),0)))</f>
        <v/>
      </c>
      <c r="AY5" s="25">
        <f>IF(OR($A5="",$I5=""),"",IF($BC5="Y",SUMIFS(survey_frozen!$M$2:$M$251,survey_frozen!$P$2:$P$251,$A5&amp;"|"&amp;$B5),IFERROR(COUNTIFS(INDIRECT("'"&amp;$A5&amp;"'!$B$2:$B$501"),$T5,INDIRECT("'"&amp;$A5&amp;"'!$A$2:$A$501"),"&gt;="&amp;$I5,INDIRECT("'"&amp;$A5&amp;"'!$A$2:$A$501"),"&lt;"&amp;($BA5+1),INDIRECT("'"&amp;$A5&amp;"'!$G$2:$G$501"),"&lt;&gt;"),0)))</f>
        <v/>
      </c>
      <c r="AZ5" s="25">
        <f>IF($A5="","",$A5&amp;"|"&amp;$L5)</f>
        <v/>
      </c>
      <c r="BA5" s="26">
        <f>IF($A5="","",IFERROR(IF(INDEX(drops!$R$2:$R$21,MATCH($H5,drops!$A$2:$A$21,0))="","",INDEX(drops!$R$2:$R$21,MATCH($H5,drops!$A$2:$A$21,0))),""))</f>
        <v/>
      </c>
      <c r="BB5" s="25">
        <f>IF(OR($A5="",$Q5&lt;&gt;"Y"),1000000,N($AL5))</f>
        <v/>
      </c>
      <c r="BC5" s="25">
        <f>IF($A5="","",IF(COUNTIF(survey_frozen!$P$2:$P$251,$A5&amp;"|"&amp;$B5)&gt;0,"Y",""))</f>
        <v/>
      </c>
    </row>
    <row r="6">
      <c r="A6" t="inlineStr">
        <is>
          <t>SAMPLE-CMP-001</t>
        </is>
      </c>
      <c r="B6" t="inlineStr">
        <is>
          <t>SAMPLE-O-005</t>
        </is>
      </c>
      <c r="C6" s="9" t="n">
        <v>46370</v>
      </c>
      <c r="D6" t="inlineStr">
        <is>
          <t>yes</t>
        </is>
      </c>
      <c r="E6" s="9" t="n">
        <v>46372</v>
      </c>
      <c r="F6" t="inlineStr">
        <is>
          <t>SAMPLE replied by email</t>
        </is>
      </c>
      <c r="H6" s="25">
        <f>IF($A6="","",IFERROR(IF(INDEX(campaigns!$B$2:$B$51,MATCH($A6,campaigns!$A$2:$A$51,0))="","",INDEX(campaigns!$B$2:$B$51,MATCH($A6,campaigns!$A$2:$A$51,0))),""))</f>
        <v/>
      </c>
      <c r="I6" s="26">
        <f>IF($A6="","",IFERROR(IF(INDEX(campaigns!$BG$2:$BG$51,MATCH($A6,campaigns!$A$2:$A$51,0))="","",INDEX(campaigns!$BG$2:$BG$51,MATCH($A6,campaigns!$A$2:$A$51,0))),""))</f>
        <v/>
      </c>
      <c r="J6" s="25">
        <f>IF($A6="","",IFERROR(IF(INDEX(campaigns!$BE$2:$BE$51,MATCH($A6,campaigns!$A$2:$A$51,0))="","",INDEX(campaigns!$BE$2:$BE$51,MATCH($A6,campaigns!$A$2:$A$51,0))),""))</f>
        <v/>
      </c>
      <c r="K6" s="25">
        <f>IF($B6="","",IFERROR(IF(INDEX(offices!$N$2:$N$61,MATCH($B6,offices!$A$2:$A$61,0))="","",INDEX(offices!$N$2:$N$61,MATCH($B6,offices!$A$2:$A$61,0))),""))</f>
        <v/>
      </c>
      <c r="L6" s="25">
        <f>IF($A6="","",IF($Q6="N","",COUNTIFS($A$2:$A6,$A6,$Q$2:$Q6,"&lt;&gt;N")))</f>
        <v/>
      </c>
      <c r="M6" s="25">
        <f>IF(OR($A6="",$L6=""),"",IF(AND(config!$B$34="names_if_public",IFERROR(IF(INDEX(offices!$AF$2:$AF$61,MATCH($B6,offices!$A$2:$A$61,0))="","",INDEX(offices!$AF$2:$AF$61,MATCH($B6,offices!$A$2:$A$61,0))),"")="Y"),$K6,CHAR(64+$L6)))</f>
        <v/>
      </c>
      <c r="N6" s="25">
        <f>IF(OR($A6="",$I6=""),"",COUNTIFS(stops!$B$2:$B$151,$B6,stops!$P$2:$P$151,"&lt;"&amp;$I6,stops!$L$2:$L$151,"&lt;&gt;not_delivered")+1)</f>
        <v/>
      </c>
      <c r="O6" s="25">
        <f>IF($A6="","",IF(N($N6)&lt;=config!$B$29,"explicit","opt-out"))</f>
        <v/>
      </c>
      <c r="P6" s="25">
        <f>IF($A6="","",IF($O6="explicit",IF($D6="yes","Y",IF($D6="no","N","pending")),IF($D6="no","N",IF(AND($C6&lt;&gt;"",$I6&lt;&gt;"",$C6&lt;=WORKDAY(N($I6),-5,calendar!$A$2:$A$80)),"Y","pending"))))</f>
        <v/>
      </c>
      <c r="Q6" s="25">
        <f>IF($A6="","",IF($P6="N","N",IF($P6&lt;&gt;"Y","pending",IF(AND((COUNTIFS(stops!$A$2:$A$151,$H6,stops!$B$2:$B$151,$B6,stops!$L$2:$L$151,"declined")+COUNTIFS(stops!$A$2:$A$151,$H6,stops!$B$2:$B$151,$B6,stops!$L$2:$L$151,"building_refused")+COUNTIFS(stops!$A$2:$A$151,$H6,stops!$B$2:$B$151,$B6,stops!$L$2:$L$151,"not_delivered"))&gt;0,N($U6)=0),"N","Y"))))</f>
        <v/>
      </c>
      <c r="R6" s="25">
        <f>IF($A6="","",IF(COUNTIFS($A$2:$A$251,$A6,$B$2:$B$251,$B6)&gt;1,"DUPLICATE ROW; ","")&amp;IF(AND(IFERROR(IF(INDEX(offices!$AC$2:$AC$61,MATCH($B6,offices!$A$2:$A$61,0))="","",INDEX(offices!$AC$2:$AC$61,MATCH($B6,offices!$A$2:$A$61,0))),"")&lt;&gt;"",ISNUMBER(SEARCH($J6,IFERROR(IF(INDEX(offices!$AC$2:$AC$61,MATCH($B6,offices!$A$2:$A$61,0))="","",INDEX(offices!$AC$2:$AC$61,MATCH($B6,offices!$A$2:$A$61,0))),"")))),"BRAND VETOED; ","")&amp;IF(ISNUMBER(SEARCH(IFERROR(IF(INDEX(campaigns!$BF$2:$BF$51,MATCH($A6,campaigns!$A$2:$A$51,0))="","",INDEX(campaigns!$BF$2:$BF$51,MATCH($A6,campaigns!$A$2:$A$51,0))),""),IFERROR(IF(INDEX(offices!$AB$2:$AB$61,MATCH($B6,offices!$A$2:$A$61,0))="","",INDEX(offices!$AB$2:$AB$61,MATCH($B6,offices!$A$2:$A$61,0))),""))),"","info: category not on the office's list; ")&amp;IF(IFERROR(IF(INDEX(offices!$AC$2:$AC$61,MATCH($B6,offices!$A$2:$A$61,0))="","",INDEX(offices!$AC$2:$AC$61,MATCH($B6,offices!$A$2:$A$61,0))),"")&lt;&gt;"","info: read the vetoes against the label; ",""))</f>
        <v/>
      </c>
      <c r="S6" s="25">
        <f>IF($A6="","",IF($G6&lt;&gt;"",$G6,IFERROR(IF(INDEX(offices!$AL$2:$AL$61,MATCH($B6,offices!$A$2:$A$61,0))="","",INDEX(offices!$AL$2:$AL$61,MATCH($B6,offices!$A$2:$A$61,0))),"")))</f>
        <v/>
      </c>
      <c r="T6" s="25">
        <f>IF($A6="","",$A6&amp;"."&amp;$B6)</f>
        <v/>
      </c>
      <c r="U6" s="25">
        <f>IF($A6="","",SUMIFS(inventory!$G$2:$G$801,inventory!$C$2:$C$801,$A6,inventory!$D$2:$D$801,$B6,inventory!$E$2:$E$801,"delivered"))</f>
        <v/>
      </c>
      <c r="V6" s="32">
        <f>IF($A6="","",IFERROR(1/(1/SUMPRODUCT(MAX((inventory!$C$2:$C$801=$A6)*(inventory!$D$2:$D$801=$B6)*(inventory!$E$2:$E$801="delivered")*(inventory!$A$2:$A$801+inventory!$B$2:$B$801)))),""))</f>
        <v/>
      </c>
      <c r="W6" s="25">
        <f>IF($A6="","",IFERROR(IF(INDEX(inventory!$J$2:$J$801,MATCH($A6&amp;"|"&amp;$B6&amp;"|delivered",inventory!$R$2:$R$801,0))="","",INDEX(inventory!$J$2:$J$801,MATCH($A6&amp;"|"&amp;$B6&amp;"|delivered",inventory!$R$2:$R$801,0))),""))</f>
        <v/>
      </c>
      <c r="X6" s="25">
        <f>IF($A6="","",IFERROR(IF(INDEX(photos!$H$2:$H$701,MATCH($A6&amp;"|"&amp;$B6&amp;"|placement|Y",photos!$R$2:$R$701,0))="","",INDEX(photos!$H$2:$H$701,MATCH($A6&amp;"|"&amp;$B6&amp;"|placement|Y",photos!$R$2:$R$701,0))),""))</f>
        <v/>
      </c>
      <c r="Y6" s="26">
        <f>IF($A6="","",IFERROR(IF(INDEX(photos!$E$2:$E$701,MATCH($A6&amp;"|"&amp;$B6&amp;"|placement|Y",photos!$R$2:$R$701,0))="","",INDEX(photos!$E$2:$E$701,MATCH($A6&amp;"|"&amp;$B6&amp;"|placement|Y",photos!$R$2:$R$701,0))),""))</f>
        <v/>
      </c>
      <c r="Z6" s="25">
        <f>IF($A6="","",IF(COUNTIFS(counts!$C$2:$C$701,$A6,counts!$D$2:$D$701,$B6,counts!$E$2:$E$701,"placed")=0,"",SUMIFS(counts!$F$2:$F$701,counts!$C$2:$C$701,$A6,counts!$D$2:$D$701,$B6,counts!$E$2:$E$701,"placed")))</f>
        <v/>
      </c>
      <c r="AA6" s="25">
        <f>IF($A6="","",IF($Y6="",0,N($Z6)))</f>
        <v/>
      </c>
      <c r="AB6" s="25">
        <f>IF($A6="","",IF(OR($Y6="",$I6=""),"N",IF($Y6&lt;=WORKDAY(N($I6),1,calendar!$A$2:$A$80),"Y","N")))</f>
        <v/>
      </c>
      <c r="AC6" s="28">
        <f>IF(OR($A6="",$V6="",$Y6=""),"",ROUND(($Y6+N(IFERROR(IF(INDEX(photos!$F$2:$F$701,MATCH($A6&amp;"|"&amp;$B6&amp;"|placement|Y",photos!$R$2:$R$701,0))="","",INDEX(photos!$F$2:$F$701,MATCH($A6&amp;"|"&amp;$B6&amp;"|placement|Y",photos!$R$2:$R$701,0))),""))-$V6)*24,1))</f>
        <v/>
      </c>
      <c r="AD6" s="25">
        <f>IF($A6="","",SUMIFS(inventory!$G$2:$G$801,inventory!$C$2:$C$801,$A6,inventory!$D$2:$D$801,$B6,inventory!$E$2:$E$801,"topped_up"))</f>
        <v/>
      </c>
      <c r="AE6" s="25">
        <f>IF($A6="","",IF(COUNTIFS(counts!$C$2:$C$701,$A6,counts!$D$2:$D$701,$B6,counts!$E$2:$E$701,"remaining_day3")=0,"",SUMIFS(counts!$F$2:$F$701,counts!$C$2:$C$701,$A6,counts!$D$2:$D$701,$B6,counts!$E$2:$E$701,"remaining_day3")))</f>
        <v/>
      </c>
      <c r="AF6" s="25">
        <f>IF($A6="","",IF(COUNTIFS(counts!$C$2:$C$701,$A6,counts!$D$2:$D$701,$B6,counts!$E$2:$E$701,"remaining_day5")=0,"",SUMIFS(counts!$F$2:$F$701,counts!$C$2:$C$701,$A6,counts!$D$2:$D$701,$B6,counts!$E$2:$E$701,"remaining_day5")))</f>
        <v/>
      </c>
      <c r="AG6" s="25">
        <f>IF(OR($A6="",$AF6=""),"",MAX(0,$AA6+$AD6-$AF6))</f>
        <v/>
      </c>
      <c r="AH6" s="25">
        <f>IF(OR($A6="",$AI6=""),"",IFERROR(IF(INDEX(photos!$H$2:$H$701,MATCH($A6&amp;"|"&amp;$B6&amp;"|later|Y|"&amp;$AI6,photos!$S$2:$S$701,0))="","",INDEX(photos!$H$2:$H$701,MATCH($A6&amp;"|"&amp;$B6&amp;"|later|Y|"&amp;$AI6,photos!$S$2:$S$701,0))),""))</f>
        <v/>
      </c>
      <c r="AI6" s="26">
        <f>IF($A6="","",IFERROR(1/(1/SUMPRODUCT(MAX((photos!$B$2:$B$701=$A6)*(photos!$C$2:$C$701=$B6)*(photos!$D$2:$D$701="later")*(photos!$O$2:$O$701="Y")*photos!$E$2:$E$701))),""))</f>
        <v/>
      </c>
      <c r="AJ6" s="25">
        <f>IF(OR($A6="",$AI6="",$I6=""),"",NETWORKDAYS($I6,$AI6,calendar!$A$2:$A$80))</f>
        <v/>
      </c>
      <c r="AK6" s="25">
        <f>IF($A6="","",IF(AND($X6&lt;&gt;"",$AH6&lt;&gt;""),"Y","N"))</f>
        <v/>
      </c>
      <c r="AL6" s="25">
        <f>IF(OR($A6="",$I6=""),"",IF($BC6="Y",SUMIFS(survey_frozen!$C$2:$C$251,survey_frozen!$P$2:$P$251,$A6&amp;"|"&amp;$B6),IFERROR(COUNTIFS(INDIRECT("'"&amp;$A6&amp;"'!$B$2:$B$501"),$T6,INDIRECT("'"&amp;$A6&amp;"'!$A$2:$A$501"),"&gt;="&amp;$I6,INDIRECT("'"&amp;$A6&amp;"'!$A$2:$A$501"),"&lt;"&amp;($BA6+1)),0)))</f>
        <v/>
      </c>
      <c r="AM6" s="25">
        <f>IF(OR($A6="",$I6=""),"",IF($BC6="Y",SUMIFS(survey_frozen!$D$2:$D$251,survey_frozen!$P$2:$P$251,$A6&amp;"|"&amp;$B6),IFERROR(COUNTIFS(INDIRECT("'"&amp;$A6&amp;"'!$B$2:$B$501"),$T6,INDIRECT("'"&amp;$A6&amp;"'!$A$2:$A$501"),"&gt;="&amp;$I6,INDIRECT("'"&amp;$A6&amp;"'!$A$2:$A$501"),"&lt;"&amp;($BA6+1),INDIRECT("'"&amp;$A6&amp;"'!$C$2:$C$501"),"Yes"),0)))</f>
        <v/>
      </c>
      <c r="AN6" s="25">
        <f>IF($A6="","",IF(COUNTIFS(scans!$C$2:$C$1601,(IF(LEFT($A6,7)="SAMPLE-","SAMPLE-","")&amp;LOWER(SUBSTITUTE(SUBSTITUTE($A6,"SAMPLE-",""),"CMP-","c"))&amp;"-"&amp;LOWER(SUBSTITUTE(SUBSTITUTE($B6,"SAMPLE-",""),"O-","o"))&amp;"-q"),scans!$D$2:$D$1601,"close")=0,"",SUMPRODUCT(MAX((scans!$C$2:$C$1601=(IF(LEFT($A6,7)="SAMPLE-","SAMPLE-","")&amp;LOWER(SUBSTITUTE(SUBSTITUTE($A6,"SAMPLE-",""),"CMP-","c"))&amp;"-"&amp;LOWER(SUBSTITUTE(SUBSTITUTE($B6,"SAMPLE-",""),"O-","o"))&amp;"-q"))*(scans!$D$2:$D$1601="close")*scans!$E$2:$E$1601))-SUMPRODUCT(MAX((scans!$C$2:$C$1601=(IF(LEFT($A6,7)="SAMPLE-","SAMPLE-","")&amp;LOWER(SUBSTITUTE(SUBSTITUTE($A6,"SAMPLE-",""),"CMP-","c"))&amp;"-"&amp;LOWER(SUBSTITUTE(SUBSTITUTE($B6,"SAMPLE-",""),"O-","o"))&amp;"-q"))*(scans!$D$2:$D$1601="baseline")*scans!$E$2:$E$1601))))</f>
        <v/>
      </c>
      <c r="AO6" s="25">
        <f>IF($A6="","",IF(COUNTIFS(scans!$C$2:$C$1601,(IF(LEFT($A6,7)="SAMPLE-","SAMPLE-","")&amp;LOWER(SUBSTITUTE(SUBSTITUTE($A6,"SAMPLE-",""),"CMP-","c"))&amp;"-"&amp;LOWER(SUBSTITUTE(SUBSTITUTE($B6,"SAMPLE-",""),"O-","o"))&amp;"-p"),scans!$D$2:$D$1601,"close")=0,"",SUMPRODUCT(MAX((scans!$C$2:$C$1601=(IF(LEFT($A6,7)="SAMPLE-","SAMPLE-","")&amp;LOWER(SUBSTITUTE(SUBSTITUTE($A6,"SAMPLE-",""),"CMP-","c"))&amp;"-"&amp;LOWER(SUBSTITUTE(SUBSTITUTE($B6,"SAMPLE-",""),"O-","o"))&amp;"-p"))*(scans!$D$2:$D$1601="close")*scans!$E$2:$E$1601))-SUMPRODUCT(MAX((scans!$C$2:$C$1601=(IF(LEFT($A6,7)="SAMPLE-","SAMPLE-","")&amp;LOWER(SUBSTITUTE(SUBSTITUTE($A6,"SAMPLE-",""),"CMP-","c"))&amp;"-"&amp;LOWER(SUBSTITUTE(SUBSTITUTE($B6,"SAMPLE-",""),"O-","o"))&amp;"-p"))*(scans!$D$2:$D$1601="baseline")*scans!$E$2:$E$1601))))</f>
        <v/>
      </c>
      <c r="AP6" s="25">
        <f>IF($A6="","",IF(COUNTIF(offices!$A$2:$A$61,$B6)=0,"office_id not on offices; ","")&amp;IF(COUNTIF(campaigns!$A$2:$A$51,$A6)=0,"campaign_id not on campaigns; ","")&amp;IF($P6="pending","approval pending; ","")&amp;IF(AND($U6&gt;0,$Y6="",OR($I6="",IF(config!$B$37&lt;&gt;"",config!$B$37,TODAY())&lt;=WORKDAY(N($I6),4,calendar!$A$2:$A$80))),"no usable placement photo yet; ","")&amp;IF(AND($Y6&lt;&gt;"",$Z6=""),"log the placed count; ","")&amp;IF(N($AA6)&gt;N($U6),"placed more than delivered; ","")&amp;IF(AND($AF6&lt;&gt;"",N($AF6)&gt;N($AA6)+N($AD6)),"day-5 count above placed plus top-ups; ","")&amp;IF(AND($U6&gt;0,$I6&lt;&gt;"",IF(config!$B$37&lt;&gt;"",config!$B$37,TODAY())&gt;WORKDAY(N($I6),4,calendar!$A$2:$A$80),$AF6=""),"day-5 count missing; ","")&amp;IF(AND($U6&gt;0,$I6&lt;&gt;"",IF(config!$B$37&lt;&gt;"",config!$B$37,TODAY())&gt;WORKDAY(N($I6),4,calendar!$A$2:$A$80),$AN6=""),"no close link reading; ","")&amp;$R6&amp;IF($P6="N","info: office said no; ","")&amp;IF(AND($P6="Y",$Q6="N"),"info: turned away at the door, so not on the drop (no letter, not in the report or Gate 2; the credit check is on campaigns); ","")&amp;IF(AND($U6&gt;0,$Y6="",$I6&lt;&gt;"",IF(config!$B$37&lt;&gt;"",config!$B$37,TODAY())&gt;WORKDAY(N($I6),4,calendar!$A$2:$A$80)),"info: no usable placement photo, so nothing counts as placed; ","")&amp;IF(AND($U6&gt;0,$I6&lt;&gt;"",IF(config!$B$37&lt;&gt;"",config!$B$37,TODAY())&gt;WORKDAY(N($I6),4,calendar!$A$2:$A$80),N($AL6)&lt;config!$B$30),"info: under "&amp;config!$B$30&amp;" responses; ","")&amp;IF($W6="packing_list","info: delivered count not verified; ",""))</f>
        <v/>
      </c>
      <c r="AQ6" s="25">
        <f>IF(OR($A6="",$I6=""),"",IF($BC6="Y",SUMIFS(survey_frozen!$E$2:$E$251,survey_frozen!$P$2:$P$251,$A6&amp;"|"&amp;$B6),IFERROR(COUNTIFS(INDIRECT("'"&amp;$A6&amp;"'!$B$2:$B$501"),$T6,INDIRECT("'"&amp;$A6&amp;"'!$A$2:$A$501"),"&gt;="&amp;$I6,INDIRECT("'"&amp;$A6&amp;"'!$A$2:$A$501"),"&lt;"&amp;($BA6+1),INDIRECT("'"&amp;$A6&amp;"'!$F$2:$F$501"),"Didn't see it"),0)))</f>
        <v/>
      </c>
      <c r="AR6" s="25">
        <f>IF(OR($A6="",$I6=""),"",IF($BC6="Y",SUMIFS(survey_frozen!$F$2:$F$251,survey_frozen!$P$2:$P$251,$A6&amp;"|"&amp;$B6),IFERROR(COUNTIFS(INDIRECT("'"&amp;$A6&amp;"'!$B$2:$B$501"),$T6,INDIRECT("'"&amp;$A6&amp;"'!$A$2:$A$501"),"&gt;="&amp;$I6,INDIRECT("'"&amp;$A6&amp;"'!$A$2:$A$501"),"&lt;"&amp;($BA6+1),INDIRECT("'"&amp;$A6&amp;"'!$F$2:$F$501"),"Not for me"),0)))</f>
        <v/>
      </c>
      <c r="AS6" s="25">
        <f>IF(OR($A6="",$I6=""),"",IF($BC6="Y",SUMIFS(survey_frozen!$G$2:$G$251,survey_frozen!$P$2:$P$251,$A6&amp;"|"&amp;$B6),IFERROR(COUNTIFS(INDIRECT("'"&amp;$A6&amp;"'!$B$2:$B$501"),$T6,INDIRECT("'"&amp;$A6&amp;"'!$A$2:$A$501"),"&gt;="&amp;$I6,INDIRECT("'"&amp;$A6&amp;"'!$A$2:$A$501"),"&lt;"&amp;($BA6+1),INDIRECT("'"&amp;$A6&amp;"'!$F$2:$F$501"),"Gone by the time I looked"),0)))</f>
        <v/>
      </c>
      <c r="AT6" s="25">
        <f>IF(OR($A6="",$I6=""),"",IF($BC6="Y",SUMIFS(survey_frozen!$H$2:$H$251,survey_frozen!$P$2:$P$251,$A6&amp;"|"&amp;$B6),IFERROR(COUNTIFS(INDIRECT("'"&amp;$A6&amp;"'!$B$2:$B$501"),$T6,INDIRECT("'"&amp;$A6&amp;"'!$A$2:$A$501"),"&gt;="&amp;$I6,INDIRECT("'"&amp;$A6&amp;"'!$A$2:$A$501"),"&lt;"&amp;($BA6+1),INDIRECT("'"&amp;$A6&amp;"'!$D$2:$D$501"),"&gt;=1"),0)))</f>
        <v/>
      </c>
      <c r="AU6" s="25">
        <f>IF(OR($A6="",$I6=""),"",IF($BC6="Y",SUMIFS(survey_frozen!$I$2:$I$251,survey_frozen!$P$2:$P$251,$A6&amp;"|"&amp;$B6),IFERROR(SUMIFS(INDIRECT("'"&amp;$A6&amp;"'!$D$2:$D$501"),INDIRECT("'"&amp;$A6&amp;"'!$B$2:$B$501"),$T6,INDIRECT("'"&amp;$A6&amp;"'!$A$2:$A$501"),"&gt;="&amp;$I6,INDIRECT("'"&amp;$A6&amp;"'!$A$2:$A$501"),"&lt;"&amp;($BA6+1)),0)))</f>
        <v/>
      </c>
      <c r="AV6" s="25">
        <f>IF(OR($A6="",$I6=""),"",IF($BC6="Y",SUMIFS(survey_frozen!$J$2:$J$251,survey_frozen!$P$2:$P$251,$A6&amp;"|"&amp;$B6),IFERROR(COUNTIFS(INDIRECT("'"&amp;$A6&amp;"'!$B$2:$B$501"),$T6,INDIRECT("'"&amp;$A6&amp;"'!$A$2:$A$501"),"&gt;="&amp;$I6,INDIRECT("'"&amp;$A6&amp;"'!$A$2:$A$501"),"&lt;"&amp;($BA6+1),INDIRECT("'"&amp;$A6&amp;"'!$E$2:$E$501"),"Yes"),0)))</f>
        <v/>
      </c>
      <c r="AW6" s="25">
        <f>IF(OR($A6="",$I6=""),"",IF($BC6="Y",SUMIFS(survey_frozen!$K$2:$K$251,survey_frozen!$P$2:$P$251,$A6&amp;"|"&amp;$B6),IFERROR(COUNTIFS(INDIRECT("'"&amp;$A6&amp;"'!$B$2:$B$501"),$T6,INDIRECT("'"&amp;$A6&amp;"'!$A$2:$A$501"),"&gt;="&amp;$I6,INDIRECT("'"&amp;$A6&amp;"'!$A$2:$A$501"),"&lt;"&amp;($BA6+1),INDIRECT("'"&amp;$A6&amp;"'!$E$2:$E$501"),"Maybe"),0)))</f>
        <v/>
      </c>
      <c r="AX6" s="25">
        <f>IF(OR($A6="",$I6=""),"",IF($BC6="Y",SUMIFS(survey_frozen!$L$2:$L$251,survey_frozen!$P$2:$P$251,$A6&amp;"|"&amp;$B6),IFERROR(COUNTIFS(INDIRECT("'"&amp;$A6&amp;"'!$B$2:$B$501"),$T6,INDIRECT("'"&amp;$A6&amp;"'!$A$2:$A$501"),"&gt;="&amp;$I6,INDIRECT("'"&amp;$A6&amp;"'!$A$2:$A$501"),"&lt;"&amp;($BA6+1),INDIRECT("'"&amp;$A6&amp;"'!$E$2:$E$501"),"No"),0)))</f>
        <v/>
      </c>
      <c r="AY6" s="25">
        <f>IF(OR($A6="",$I6=""),"",IF($BC6="Y",SUMIFS(survey_frozen!$M$2:$M$251,survey_frozen!$P$2:$P$251,$A6&amp;"|"&amp;$B6),IFERROR(COUNTIFS(INDIRECT("'"&amp;$A6&amp;"'!$B$2:$B$501"),$T6,INDIRECT("'"&amp;$A6&amp;"'!$A$2:$A$501"),"&gt;="&amp;$I6,INDIRECT("'"&amp;$A6&amp;"'!$A$2:$A$501"),"&lt;"&amp;($BA6+1),INDIRECT("'"&amp;$A6&amp;"'!$G$2:$G$501"),"&lt;&gt;"),0)))</f>
        <v/>
      </c>
      <c r="AZ6" s="25">
        <f>IF($A6="","",$A6&amp;"|"&amp;$L6)</f>
        <v/>
      </c>
      <c r="BA6" s="26">
        <f>IF($A6="","",IFERROR(IF(INDEX(drops!$R$2:$R$21,MATCH($H6,drops!$A$2:$A$21,0))="","",INDEX(drops!$R$2:$R$21,MATCH($H6,drops!$A$2:$A$21,0))),""))</f>
        <v/>
      </c>
      <c r="BB6" s="25">
        <f>IF(OR($A6="",$Q6&lt;&gt;"Y"),1000000,N($AL6))</f>
        <v/>
      </c>
      <c r="BC6" s="25">
        <f>IF($A6="","",IF(COUNTIF(survey_frozen!$P$2:$P$251,$A6&amp;"|"&amp;$B6)&gt;0,"Y",""))</f>
        <v/>
      </c>
    </row>
    <row r="7">
      <c r="A7" t="inlineStr">
        <is>
          <t>SAMPLE-CMP-002</t>
        </is>
      </c>
      <c r="B7" t="inlineStr">
        <is>
          <t>SAMPLE-O-001</t>
        </is>
      </c>
      <c r="C7" s="9" t="n">
        <v>46370</v>
      </c>
      <c r="D7" t="inlineStr">
        <is>
          <t>yes</t>
        </is>
      </c>
      <c r="E7" s="9" t="n">
        <v>46372</v>
      </c>
      <c r="F7" t="inlineStr">
        <is>
          <t>SAMPLE replied by email</t>
        </is>
      </c>
      <c r="H7" s="25">
        <f>IF($A7="","",IFERROR(IF(INDEX(campaigns!$B$2:$B$51,MATCH($A7,campaigns!$A$2:$A$51,0))="","",INDEX(campaigns!$B$2:$B$51,MATCH($A7,campaigns!$A$2:$A$51,0))),""))</f>
        <v/>
      </c>
      <c r="I7" s="26">
        <f>IF($A7="","",IFERROR(IF(INDEX(campaigns!$BG$2:$BG$51,MATCH($A7,campaigns!$A$2:$A$51,0))="","",INDEX(campaigns!$BG$2:$BG$51,MATCH($A7,campaigns!$A$2:$A$51,0))),""))</f>
        <v/>
      </c>
      <c r="J7" s="25">
        <f>IF($A7="","",IFERROR(IF(INDEX(campaigns!$BE$2:$BE$51,MATCH($A7,campaigns!$A$2:$A$51,0))="","",INDEX(campaigns!$BE$2:$BE$51,MATCH($A7,campaigns!$A$2:$A$51,0))),""))</f>
        <v/>
      </c>
      <c r="K7" s="25">
        <f>IF($B7="","",IFERROR(IF(INDEX(offices!$N$2:$N$61,MATCH($B7,offices!$A$2:$A$61,0))="","",INDEX(offices!$N$2:$N$61,MATCH($B7,offices!$A$2:$A$61,0))),""))</f>
        <v/>
      </c>
      <c r="L7" s="25">
        <f>IF($A7="","",IF($Q7="N","",COUNTIFS($A$2:$A7,$A7,$Q$2:$Q7,"&lt;&gt;N")))</f>
        <v/>
      </c>
      <c r="M7" s="25">
        <f>IF(OR($A7="",$L7=""),"",IF(AND(config!$B$34="names_if_public",IFERROR(IF(INDEX(offices!$AF$2:$AF$61,MATCH($B7,offices!$A$2:$A$61,0))="","",INDEX(offices!$AF$2:$AF$61,MATCH($B7,offices!$A$2:$A$61,0))),"")="Y"),$K7,CHAR(64+$L7)))</f>
        <v/>
      </c>
      <c r="N7" s="25">
        <f>IF(OR($A7="",$I7=""),"",COUNTIFS(stops!$B$2:$B$151,$B7,stops!$P$2:$P$151,"&lt;"&amp;$I7,stops!$L$2:$L$151,"&lt;&gt;not_delivered")+1)</f>
        <v/>
      </c>
      <c r="O7" s="25">
        <f>IF($A7="","",IF(N($N7)&lt;=config!$B$29,"explicit","opt-out"))</f>
        <v/>
      </c>
      <c r="P7" s="25">
        <f>IF($A7="","",IF($O7="explicit",IF($D7="yes","Y",IF($D7="no","N","pending")),IF($D7="no","N",IF(AND($C7&lt;&gt;"",$I7&lt;&gt;"",$C7&lt;=WORKDAY(N($I7),-5,calendar!$A$2:$A$80)),"Y","pending"))))</f>
        <v/>
      </c>
      <c r="Q7" s="25">
        <f>IF($A7="","",IF($P7="N","N",IF($P7&lt;&gt;"Y","pending",IF(AND((COUNTIFS(stops!$A$2:$A$151,$H7,stops!$B$2:$B$151,$B7,stops!$L$2:$L$151,"declined")+COUNTIFS(stops!$A$2:$A$151,$H7,stops!$B$2:$B$151,$B7,stops!$L$2:$L$151,"building_refused")+COUNTIFS(stops!$A$2:$A$151,$H7,stops!$B$2:$B$151,$B7,stops!$L$2:$L$151,"not_delivered"))&gt;0,N($U7)=0),"N","Y"))))</f>
        <v/>
      </c>
      <c r="R7" s="25">
        <f>IF($A7="","",IF(COUNTIFS($A$2:$A$251,$A7,$B$2:$B$251,$B7)&gt;1,"DUPLICATE ROW; ","")&amp;IF(AND(IFERROR(IF(INDEX(offices!$AC$2:$AC$61,MATCH($B7,offices!$A$2:$A$61,0))="","",INDEX(offices!$AC$2:$AC$61,MATCH($B7,offices!$A$2:$A$61,0))),"")&lt;&gt;"",ISNUMBER(SEARCH($J7,IFERROR(IF(INDEX(offices!$AC$2:$AC$61,MATCH($B7,offices!$A$2:$A$61,0))="","",INDEX(offices!$AC$2:$AC$61,MATCH($B7,offices!$A$2:$A$61,0))),"")))),"BRAND VETOED; ","")&amp;IF(ISNUMBER(SEARCH(IFERROR(IF(INDEX(campaigns!$BF$2:$BF$51,MATCH($A7,campaigns!$A$2:$A$51,0))="","",INDEX(campaigns!$BF$2:$BF$51,MATCH($A7,campaigns!$A$2:$A$51,0))),""),IFERROR(IF(INDEX(offices!$AB$2:$AB$61,MATCH($B7,offices!$A$2:$A$61,0))="","",INDEX(offices!$AB$2:$AB$61,MATCH($B7,offices!$A$2:$A$61,0))),""))),"","info: category not on the office's list; ")&amp;IF(IFERROR(IF(INDEX(offices!$AC$2:$AC$61,MATCH($B7,offices!$A$2:$A$61,0))="","",INDEX(offices!$AC$2:$AC$61,MATCH($B7,offices!$A$2:$A$61,0))),"")&lt;&gt;"","info: read the vetoes against the label; ",""))</f>
        <v/>
      </c>
      <c r="S7" s="25">
        <f>IF($A7="","",IF($G7&lt;&gt;"",$G7,IFERROR(IF(INDEX(offices!$AL$2:$AL$61,MATCH($B7,offices!$A$2:$A$61,0))="","",INDEX(offices!$AL$2:$AL$61,MATCH($B7,offices!$A$2:$A$61,0))),"")))</f>
        <v/>
      </c>
      <c r="T7" s="25">
        <f>IF($A7="","",$A7&amp;"."&amp;$B7)</f>
        <v/>
      </c>
      <c r="U7" s="25">
        <f>IF($A7="","",SUMIFS(inventory!$G$2:$G$801,inventory!$C$2:$C$801,$A7,inventory!$D$2:$D$801,$B7,inventory!$E$2:$E$801,"delivered"))</f>
        <v/>
      </c>
      <c r="V7" s="32">
        <f>IF($A7="","",IFERROR(1/(1/SUMPRODUCT(MAX((inventory!$C$2:$C$801=$A7)*(inventory!$D$2:$D$801=$B7)*(inventory!$E$2:$E$801="delivered")*(inventory!$A$2:$A$801+inventory!$B$2:$B$801)))),""))</f>
        <v/>
      </c>
      <c r="W7" s="25">
        <f>IF($A7="","",IFERROR(IF(INDEX(inventory!$J$2:$J$801,MATCH($A7&amp;"|"&amp;$B7&amp;"|delivered",inventory!$R$2:$R$801,0))="","",INDEX(inventory!$J$2:$J$801,MATCH($A7&amp;"|"&amp;$B7&amp;"|delivered",inventory!$R$2:$R$801,0))),""))</f>
        <v/>
      </c>
      <c r="X7" s="25">
        <f>IF($A7="","",IFERROR(IF(INDEX(photos!$H$2:$H$701,MATCH($A7&amp;"|"&amp;$B7&amp;"|placement|Y",photos!$R$2:$R$701,0))="","",INDEX(photos!$H$2:$H$701,MATCH($A7&amp;"|"&amp;$B7&amp;"|placement|Y",photos!$R$2:$R$701,0))),""))</f>
        <v/>
      </c>
      <c r="Y7" s="26">
        <f>IF($A7="","",IFERROR(IF(INDEX(photos!$E$2:$E$701,MATCH($A7&amp;"|"&amp;$B7&amp;"|placement|Y",photos!$R$2:$R$701,0))="","",INDEX(photos!$E$2:$E$701,MATCH($A7&amp;"|"&amp;$B7&amp;"|placement|Y",photos!$R$2:$R$701,0))),""))</f>
        <v/>
      </c>
      <c r="Z7" s="25">
        <f>IF($A7="","",IF(COUNTIFS(counts!$C$2:$C$701,$A7,counts!$D$2:$D$701,$B7,counts!$E$2:$E$701,"placed")=0,"",SUMIFS(counts!$F$2:$F$701,counts!$C$2:$C$701,$A7,counts!$D$2:$D$701,$B7,counts!$E$2:$E$701,"placed")))</f>
        <v/>
      </c>
      <c r="AA7" s="25">
        <f>IF($A7="","",IF($Y7="",0,N($Z7)))</f>
        <v/>
      </c>
      <c r="AB7" s="25">
        <f>IF($A7="","",IF(OR($Y7="",$I7=""),"N",IF($Y7&lt;=WORKDAY(N($I7),1,calendar!$A$2:$A$80),"Y","N")))</f>
        <v/>
      </c>
      <c r="AC7" s="28">
        <f>IF(OR($A7="",$V7="",$Y7=""),"",ROUND(($Y7+N(IFERROR(IF(INDEX(photos!$F$2:$F$701,MATCH($A7&amp;"|"&amp;$B7&amp;"|placement|Y",photos!$R$2:$R$701,0))="","",INDEX(photos!$F$2:$F$701,MATCH($A7&amp;"|"&amp;$B7&amp;"|placement|Y",photos!$R$2:$R$701,0))),""))-$V7)*24,1))</f>
        <v/>
      </c>
      <c r="AD7" s="25">
        <f>IF($A7="","",SUMIFS(inventory!$G$2:$G$801,inventory!$C$2:$C$801,$A7,inventory!$D$2:$D$801,$B7,inventory!$E$2:$E$801,"topped_up"))</f>
        <v/>
      </c>
      <c r="AE7" s="25">
        <f>IF($A7="","",IF(COUNTIFS(counts!$C$2:$C$701,$A7,counts!$D$2:$D$701,$B7,counts!$E$2:$E$701,"remaining_day3")=0,"",SUMIFS(counts!$F$2:$F$701,counts!$C$2:$C$701,$A7,counts!$D$2:$D$701,$B7,counts!$E$2:$E$701,"remaining_day3")))</f>
        <v/>
      </c>
      <c r="AF7" s="25">
        <f>IF($A7="","",IF(COUNTIFS(counts!$C$2:$C$701,$A7,counts!$D$2:$D$701,$B7,counts!$E$2:$E$701,"remaining_day5")=0,"",SUMIFS(counts!$F$2:$F$701,counts!$C$2:$C$701,$A7,counts!$D$2:$D$701,$B7,counts!$E$2:$E$701,"remaining_day5")))</f>
        <v/>
      </c>
      <c r="AG7" s="25">
        <f>IF(OR($A7="",$AF7=""),"",MAX(0,$AA7+$AD7-$AF7))</f>
        <v/>
      </c>
      <c r="AH7" s="25">
        <f>IF(OR($A7="",$AI7=""),"",IFERROR(IF(INDEX(photos!$H$2:$H$701,MATCH($A7&amp;"|"&amp;$B7&amp;"|later|Y|"&amp;$AI7,photos!$S$2:$S$701,0))="","",INDEX(photos!$H$2:$H$701,MATCH($A7&amp;"|"&amp;$B7&amp;"|later|Y|"&amp;$AI7,photos!$S$2:$S$701,0))),""))</f>
        <v/>
      </c>
      <c r="AI7" s="26">
        <f>IF($A7="","",IFERROR(1/(1/SUMPRODUCT(MAX((photos!$B$2:$B$701=$A7)*(photos!$C$2:$C$701=$B7)*(photos!$D$2:$D$701="later")*(photos!$O$2:$O$701="Y")*photos!$E$2:$E$701))),""))</f>
        <v/>
      </c>
      <c r="AJ7" s="25">
        <f>IF(OR($A7="",$AI7="",$I7=""),"",NETWORKDAYS($I7,$AI7,calendar!$A$2:$A$80))</f>
        <v/>
      </c>
      <c r="AK7" s="25">
        <f>IF($A7="","",IF(AND($X7&lt;&gt;"",$AH7&lt;&gt;""),"Y","N"))</f>
        <v/>
      </c>
      <c r="AL7" s="25">
        <f>IF(OR($A7="",$I7=""),"",IF($BC7="Y",SUMIFS(survey_frozen!$C$2:$C$251,survey_frozen!$P$2:$P$251,$A7&amp;"|"&amp;$B7),IFERROR(COUNTIFS(INDIRECT("'"&amp;$A7&amp;"'!$B$2:$B$501"),$T7,INDIRECT("'"&amp;$A7&amp;"'!$A$2:$A$501"),"&gt;="&amp;$I7,INDIRECT("'"&amp;$A7&amp;"'!$A$2:$A$501"),"&lt;"&amp;($BA7+1)),0)))</f>
        <v/>
      </c>
      <c r="AM7" s="25">
        <f>IF(OR($A7="",$I7=""),"",IF($BC7="Y",SUMIFS(survey_frozen!$D$2:$D$251,survey_frozen!$P$2:$P$251,$A7&amp;"|"&amp;$B7),IFERROR(COUNTIFS(INDIRECT("'"&amp;$A7&amp;"'!$B$2:$B$501"),$T7,INDIRECT("'"&amp;$A7&amp;"'!$A$2:$A$501"),"&gt;="&amp;$I7,INDIRECT("'"&amp;$A7&amp;"'!$A$2:$A$501"),"&lt;"&amp;($BA7+1),INDIRECT("'"&amp;$A7&amp;"'!$C$2:$C$501"),"Yes"),0)))</f>
        <v/>
      </c>
      <c r="AN7" s="25">
        <f>IF($A7="","",IF(COUNTIFS(scans!$C$2:$C$1601,(IF(LEFT($A7,7)="SAMPLE-","SAMPLE-","")&amp;LOWER(SUBSTITUTE(SUBSTITUTE($A7,"SAMPLE-",""),"CMP-","c"))&amp;"-"&amp;LOWER(SUBSTITUTE(SUBSTITUTE($B7,"SAMPLE-",""),"O-","o"))&amp;"-q"),scans!$D$2:$D$1601,"close")=0,"",SUMPRODUCT(MAX((scans!$C$2:$C$1601=(IF(LEFT($A7,7)="SAMPLE-","SAMPLE-","")&amp;LOWER(SUBSTITUTE(SUBSTITUTE($A7,"SAMPLE-",""),"CMP-","c"))&amp;"-"&amp;LOWER(SUBSTITUTE(SUBSTITUTE($B7,"SAMPLE-",""),"O-","o"))&amp;"-q"))*(scans!$D$2:$D$1601="close")*scans!$E$2:$E$1601))-SUMPRODUCT(MAX((scans!$C$2:$C$1601=(IF(LEFT($A7,7)="SAMPLE-","SAMPLE-","")&amp;LOWER(SUBSTITUTE(SUBSTITUTE($A7,"SAMPLE-",""),"CMP-","c"))&amp;"-"&amp;LOWER(SUBSTITUTE(SUBSTITUTE($B7,"SAMPLE-",""),"O-","o"))&amp;"-q"))*(scans!$D$2:$D$1601="baseline")*scans!$E$2:$E$1601))))</f>
        <v/>
      </c>
      <c r="AO7" s="25">
        <f>IF($A7="","",IF(COUNTIFS(scans!$C$2:$C$1601,(IF(LEFT($A7,7)="SAMPLE-","SAMPLE-","")&amp;LOWER(SUBSTITUTE(SUBSTITUTE($A7,"SAMPLE-",""),"CMP-","c"))&amp;"-"&amp;LOWER(SUBSTITUTE(SUBSTITUTE($B7,"SAMPLE-",""),"O-","o"))&amp;"-p"),scans!$D$2:$D$1601,"close")=0,"",SUMPRODUCT(MAX((scans!$C$2:$C$1601=(IF(LEFT($A7,7)="SAMPLE-","SAMPLE-","")&amp;LOWER(SUBSTITUTE(SUBSTITUTE($A7,"SAMPLE-",""),"CMP-","c"))&amp;"-"&amp;LOWER(SUBSTITUTE(SUBSTITUTE($B7,"SAMPLE-",""),"O-","o"))&amp;"-p"))*(scans!$D$2:$D$1601="close")*scans!$E$2:$E$1601))-SUMPRODUCT(MAX((scans!$C$2:$C$1601=(IF(LEFT($A7,7)="SAMPLE-","SAMPLE-","")&amp;LOWER(SUBSTITUTE(SUBSTITUTE($A7,"SAMPLE-",""),"CMP-","c"))&amp;"-"&amp;LOWER(SUBSTITUTE(SUBSTITUTE($B7,"SAMPLE-",""),"O-","o"))&amp;"-p"))*(scans!$D$2:$D$1601="baseline")*scans!$E$2:$E$1601))))</f>
        <v/>
      </c>
      <c r="AP7" s="25">
        <f>IF($A7="","",IF(COUNTIF(offices!$A$2:$A$61,$B7)=0,"office_id not on offices; ","")&amp;IF(COUNTIF(campaigns!$A$2:$A$51,$A7)=0,"campaign_id not on campaigns; ","")&amp;IF($P7="pending","approval pending; ","")&amp;IF(AND($U7&gt;0,$Y7="",OR($I7="",IF(config!$B$37&lt;&gt;"",config!$B$37,TODAY())&lt;=WORKDAY(N($I7),4,calendar!$A$2:$A$80))),"no usable placement photo yet; ","")&amp;IF(AND($Y7&lt;&gt;"",$Z7=""),"log the placed count; ","")&amp;IF(N($AA7)&gt;N($U7),"placed more than delivered; ","")&amp;IF(AND($AF7&lt;&gt;"",N($AF7)&gt;N($AA7)+N($AD7)),"day-5 count above placed plus top-ups; ","")&amp;IF(AND($U7&gt;0,$I7&lt;&gt;"",IF(config!$B$37&lt;&gt;"",config!$B$37,TODAY())&gt;WORKDAY(N($I7),4,calendar!$A$2:$A$80),$AF7=""),"day-5 count missing; ","")&amp;IF(AND($U7&gt;0,$I7&lt;&gt;"",IF(config!$B$37&lt;&gt;"",config!$B$37,TODAY())&gt;WORKDAY(N($I7),4,calendar!$A$2:$A$80),$AN7=""),"no close link reading; ","")&amp;$R7&amp;IF($P7="N","info: office said no; ","")&amp;IF(AND($P7="Y",$Q7="N"),"info: turned away at the door, so not on the drop (no letter, not in the report or Gate 2; the credit check is on campaigns); ","")&amp;IF(AND($U7&gt;0,$Y7="",$I7&lt;&gt;"",IF(config!$B$37&lt;&gt;"",config!$B$37,TODAY())&gt;WORKDAY(N($I7),4,calendar!$A$2:$A$80)),"info: no usable placement photo, so nothing counts as placed; ","")&amp;IF(AND($U7&gt;0,$I7&lt;&gt;"",IF(config!$B$37&lt;&gt;"",config!$B$37,TODAY())&gt;WORKDAY(N($I7),4,calendar!$A$2:$A$80),N($AL7)&lt;config!$B$30),"info: under "&amp;config!$B$30&amp;" responses; ","")&amp;IF($W7="packing_list","info: delivered count not verified; ",""))</f>
        <v/>
      </c>
      <c r="AQ7" s="25">
        <f>IF(OR($A7="",$I7=""),"",IF($BC7="Y",SUMIFS(survey_frozen!$E$2:$E$251,survey_frozen!$P$2:$P$251,$A7&amp;"|"&amp;$B7),IFERROR(COUNTIFS(INDIRECT("'"&amp;$A7&amp;"'!$B$2:$B$501"),$T7,INDIRECT("'"&amp;$A7&amp;"'!$A$2:$A$501"),"&gt;="&amp;$I7,INDIRECT("'"&amp;$A7&amp;"'!$A$2:$A$501"),"&lt;"&amp;($BA7+1),INDIRECT("'"&amp;$A7&amp;"'!$F$2:$F$501"),"Didn't see it"),0)))</f>
        <v/>
      </c>
      <c r="AR7" s="25">
        <f>IF(OR($A7="",$I7=""),"",IF($BC7="Y",SUMIFS(survey_frozen!$F$2:$F$251,survey_frozen!$P$2:$P$251,$A7&amp;"|"&amp;$B7),IFERROR(COUNTIFS(INDIRECT("'"&amp;$A7&amp;"'!$B$2:$B$501"),$T7,INDIRECT("'"&amp;$A7&amp;"'!$A$2:$A$501"),"&gt;="&amp;$I7,INDIRECT("'"&amp;$A7&amp;"'!$A$2:$A$501"),"&lt;"&amp;($BA7+1),INDIRECT("'"&amp;$A7&amp;"'!$F$2:$F$501"),"Not for me"),0)))</f>
        <v/>
      </c>
      <c r="AS7" s="25">
        <f>IF(OR($A7="",$I7=""),"",IF($BC7="Y",SUMIFS(survey_frozen!$G$2:$G$251,survey_frozen!$P$2:$P$251,$A7&amp;"|"&amp;$B7),IFERROR(COUNTIFS(INDIRECT("'"&amp;$A7&amp;"'!$B$2:$B$501"),$T7,INDIRECT("'"&amp;$A7&amp;"'!$A$2:$A$501"),"&gt;="&amp;$I7,INDIRECT("'"&amp;$A7&amp;"'!$A$2:$A$501"),"&lt;"&amp;($BA7+1),INDIRECT("'"&amp;$A7&amp;"'!$F$2:$F$501"),"Gone by the time I looked"),0)))</f>
        <v/>
      </c>
      <c r="AT7" s="25">
        <f>IF(OR($A7="",$I7=""),"",IF($BC7="Y",SUMIFS(survey_frozen!$H$2:$H$251,survey_frozen!$P$2:$P$251,$A7&amp;"|"&amp;$B7),IFERROR(COUNTIFS(INDIRECT("'"&amp;$A7&amp;"'!$B$2:$B$501"),$T7,INDIRECT("'"&amp;$A7&amp;"'!$A$2:$A$501"),"&gt;="&amp;$I7,INDIRECT("'"&amp;$A7&amp;"'!$A$2:$A$501"),"&lt;"&amp;($BA7+1),INDIRECT("'"&amp;$A7&amp;"'!$D$2:$D$501"),"&gt;=1"),0)))</f>
        <v/>
      </c>
      <c r="AU7" s="25">
        <f>IF(OR($A7="",$I7=""),"",IF($BC7="Y",SUMIFS(survey_frozen!$I$2:$I$251,survey_frozen!$P$2:$P$251,$A7&amp;"|"&amp;$B7),IFERROR(SUMIFS(INDIRECT("'"&amp;$A7&amp;"'!$D$2:$D$501"),INDIRECT("'"&amp;$A7&amp;"'!$B$2:$B$501"),$T7,INDIRECT("'"&amp;$A7&amp;"'!$A$2:$A$501"),"&gt;="&amp;$I7,INDIRECT("'"&amp;$A7&amp;"'!$A$2:$A$501"),"&lt;"&amp;($BA7+1)),0)))</f>
        <v/>
      </c>
      <c r="AV7" s="25">
        <f>IF(OR($A7="",$I7=""),"",IF($BC7="Y",SUMIFS(survey_frozen!$J$2:$J$251,survey_frozen!$P$2:$P$251,$A7&amp;"|"&amp;$B7),IFERROR(COUNTIFS(INDIRECT("'"&amp;$A7&amp;"'!$B$2:$B$501"),$T7,INDIRECT("'"&amp;$A7&amp;"'!$A$2:$A$501"),"&gt;="&amp;$I7,INDIRECT("'"&amp;$A7&amp;"'!$A$2:$A$501"),"&lt;"&amp;($BA7+1),INDIRECT("'"&amp;$A7&amp;"'!$E$2:$E$501"),"Yes"),0)))</f>
        <v/>
      </c>
      <c r="AW7" s="25">
        <f>IF(OR($A7="",$I7=""),"",IF($BC7="Y",SUMIFS(survey_frozen!$K$2:$K$251,survey_frozen!$P$2:$P$251,$A7&amp;"|"&amp;$B7),IFERROR(COUNTIFS(INDIRECT("'"&amp;$A7&amp;"'!$B$2:$B$501"),$T7,INDIRECT("'"&amp;$A7&amp;"'!$A$2:$A$501"),"&gt;="&amp;$I7,INDIRECT("'"&amp;$A7&amp;"'!$A$2:$A$501"),"&lt;"&amp;($BA7+1),INDIRECT("'"&amp;$A7&amp;"'!$E$2:$E$501"),"Maybe"),0)))</f>
        <v/>
      </c>
      <c r="AX7" s="25">
        <f>IF(OR($A7="",$I7=""),"",IF($BC7="Y",SUMIFS(survey_frozen!$L$2:$L$251,survey_frozen!$P$2:$P$251,$A7&amp;"|"&amp;$B7),IFERROR(COUNTIFS(INDIRECT("'"&amp;$A7&amp;"'!$B$2:$B$501"),$T7,INDIRECT("'"&amp;$A7&amp;"'!$A$2:$A$501"),"&gt;="&amp;$I7,INDIRECT("'"&amp;$A7&amp;"'!$A$2:$A$501"),"&lt;"&amp;($BA7+1),INDIRECT("'"&amp;$A7&amp;"'!$E$2:$E$501"),"No"),0)))</f>
        <v/>
      </c>
      <c r="AY7" s="25">
        <f>IF(OR($A7="",$I7=""),"",IF($BC7="Y",SUMIFS(survey_frozen!$M$2:$M$251,survey_frozen!$P$2:$P$251,$A7&amp;"|"&amp;$B7),IFERROR(COUNTIFS(INDIRECT("'"&amp;$A7&amp;"'!$B$2:$B$501"),$T7,INDIRECT("'"&amp;$A7&amp;"'!$A$2:$A$501"),"&gt;="&amp;$I7,INDIRECT("'"&amp;$A7&amp;"'!$A$2:$A$501"),"&lt;"&amp;($BA7+1),INDIRECT("'"&amp;$A7&amp;"'!$G$2:$G$501"),"&lt;&gt;"),0)))</f>
        <v/>
      </c>
      <c r="AZ7" s="25">
        <f>IF($A7="","",$A7&amp;"|"&amp;$L7)</f>
        <v/>
      </c>
      <c r="BA7" s="26">
        <f>IF($A7="","",IFERROR(IF(INDEX(drops!$R$2:$R$21,MATCH($H7,drops!$A$2:$A$21,0))="","",INDEX(drops!$R$2:$R$21,MATCH($H7,drops!$A$2:$A$21,0))),""))</f>
        <v/>
      </c>
      <c r="BB7" s="25">
        <f>IF(OR($A7="",$Q7&lt;&gt;"Y"),1000000,N($AL7))</f>
        <v/>
      </c>
      <c r="BC7" s="25">
        <f>IF($A7="","",IF(COUNTIF(survey_frozen!$P$2:$P$251,$A7&amp;"|"&amp;$B7)&gt;0,"Y",""))</f>
        <v/>
      </c>
    </row>
    <row r="8">
      <c r="A8" t="inlineStr">
        <is>
          <t>SAMPLE-CMP-002</t>
        </is>
      </c>
      <c r="B8" t="inlineStr">
        <is>
          <t>SAMPLE-O-002</t>
        </is>
      </c>
      <c r="C8" s="9" t="n">
        <v>46370</v>
      </c>
      <c r="D8" t="inlineStr">
        <is>
          <t>yes</t>
        </is>
      </c>
      <c r="E8" s="9" t="n">
        <v>46372</v>
      </c>
      <c r="F8" t="inlineStr">
        <is>
          <t>SAMPLE replied by email</t>
        </is>
      </c>
      <c r="H8" s="25">
        <f>IF($A8="","",IFERROR(IF(INDEX(campaigns!$B$2:$B$51,MATCH($A8,campaigns!$A$2:$A$51,0))="","",INDEX(campaigns!$B$2:$B$51,MATCH($A8,campaigns!$A$2:$A$51,0))),""))</f>
        <v/>
      </c>
      <c r="I8" s="26">
        <f>IF($A8="","",IFERROR(IF(INDEX(campaigns!$BG$2:$BG$51,MATCH($A8,campaigns!$A$2:$A$51,0))="","",INDEX(campaigns!$BG$2:$BG$51,MATCH($A8,campaigns!$A$2:$A$51,0))),""))</f>
        <v/>
      </c>
      <c r="J8" s="25">
        <f>IF($A8="","",IFERROR(IF(INDEX(campaigns!$BE$2:$BE$51,MATCH($A8,campaigns!$A$2:$A$51,0))="","",INDEX(campaigns!$BE$2:$BE$51,MATCH($A8,campaigns!$A$2:$A$51,0))),""))</f>
        <v/>
      </c>
      <c r="K8" s="25">
        <f>IF($B8="","",IFERROR(IF(INDEX(offices!$N$2:$N$61,MATCH($B8,offices!$A$2:$A$61,0))="","",INDEX(offices!$N$2:$N$61,MATCH($B8,offices!$A$2:$A$61,0))),""))</f>
        <v/>
      </c>
      <c r="L8" s="25">
        <f>IF($A8="","",IF($Q8="N","",COUNTIFS($A$2:$A8,$A8,$Q$2:$Q8,"&lt;&gt;N")))</f>
        <v/>
      </c>
      <c r="M8" s="25">
        <f>IF(OR($A8="",$L8=""),"",IF(AND(config!$B$34="names_if_public",IFERROR(IF(INDEX(offices!$AF$2:$AF$61,MATCH($B8,offices!$A$2:$A$61,0))="","",INDEX(offices!$AF$2:$AF$61,MATCH($B8,offices!$A$2:$A$61,0))),"")="Y"),$K8,CHAR(64+$L8)))</f>
        <v/>
      </c>
      <c r="N8" s="25">
        <f>IF(OR($A8="",$I8=""),"",COUNTIFS(stops!$B$2:$B$151,$B8,stops!$P$2:$P$151,"&lt;"&amp;$I8,stops!$L$2:$L$151,"&lt;&gt;not_delivered")+1)</f>
        <v/>
      </c>
      <c r="O8" s="25">
        <f>IF($A8="","",IF(N($N8)&lt;=config!$B$29,"explicit","opt-out"))</f>
        <v/>
      </c>
      <c r="P8" s="25">
        <f>IF($A8="","",IF($O8="explicit",IF($D8="yes","Y",IF($D8="no","N","pending")),IF($D8="no","N",IF(AND($C8&lt;&gt;"",$I8&lt;&gt;"",$C8&lt;=WORKDAY(N($I8),-5,calendar!$A$2:$A$80)),"Y","pending"))))</f>
        <v/>
      </c>
      <c r="Q8" s="25">
        <f>IF($A8="","",IF($P8="N","N",IF($P8&lt;&gt;"Y","pending",IF(AND((COUNTIFS(stops!$A$2:$A$151,$H8,stops!$B$2:$B$151,$B8,stops!$L$2:$L$151,"declined")+COUNTIFS(stops!$A$2:$A$151,$H8,stops!$B$2:$B$151,$B8,stops!$L$2:$L$151,"building_refused")+COUNTIFS(stops!$A$2:$A$151,$H8,stops!$B$2:$B$151,$B8,stops!$L$2:$L$151,"not_delivered"))&gt;0,N($U8)=0),"N","Y"))))</f>
        <v/>
      </c>
      <c r="R8" s="25">
        <f>IF($A8="","",IF(COUNTIFS($A$2:$A$251,$A8,$B$2:$B$251,$B8)&gt;1,"DUPLICATE ROW; ","")&amp;IF(AND(IFERROR(IF(INDEX(offices!$AC$2:$AC$61,MATCH($B8,offices!$A$2:$A$61,0))="","",INDEX(offices!$AC$2:$AC$61,MATCH($B8,offices!$A$2:$A$61,0))),"")&lt;&gt;"",ISNUMBER(SEARCH($J8,IFERROR(IF(INDEX(offices!$AC$2:$AC$61,MATCH($B8,offices!$A$2:$A$61,0))="","",INDEX(offices!$AC$2:$AC$61,MATCH($B8,offices!$A$2:$A$61,0))),"")))),"BRAND VETOED; ","")&amp;IF(ISNUMBER(SEARCH(IFERROR(IF(INDEX(campaigns!$BF$2:$BF$51,MATCH($A8,campaigns!$A$2:$A$51,0))="","",INDEX(campaigns!$BF$2:$BF$51,MATCH($A8,campaigns!$A$2:$A$51,0))),""),IFERROR(IF(INDEX(offices!$AB$2:$AB$61,MATCH($B8,offices!$A$2:$A$61,0))="","",INDEX(offices!$AB$2:$AB$61,MATCH($B8,offices!$A$2:$A$61,0))),""))),"","info: category not on the office's list; ")&amp;IF(IFERROR(IF(INDEX(offices!$AC$2:$AC$61,MATCH($B8,offices!$A$2:$A$61,0))="","",INDEX(offices!$AC$2:$AC$61,MATCH($B8,offices!$A$2:$A$61,0))),"")&lt;&gt;"","info: read the vetoes against the label; ",""))</f>
        <v/>
      </c>
      <c r="S8" s="25">
        <f>IF($A8="","",IF($G8&lt;&gt;"",$G8,IFERROR(IF(INDEX(offices!$AL$2:$AL$61,MATCH($B8,offices!$A$2:$A$61,0))="","",INDEX(offices!$AL$2:$AL$61,MATCH($B8,offices!$A$2:$A$61,0))),"")))</f>
        <v/>
      </c>
      <c r="T8" s="25">
        <f>IF($A8="","",$A8&amp;"."&amp;$B8)</f>
        <v/>
      </c>
      <c r="U8" s="25">
        <f>IF($A8="","",SUMIFS(inventory!$G$2:$G$801,inventory!$C$2:$C$801,$A8,inventory!$D$2:$D$801,$B8,inventory!$E$2:$E$801,"delivered"))</f>
        <v/>
      </c>
      <c r="V8" s="32">
        <f>IF($A8="","",IFERROR(1/(1/SUMPRODUCT(MAX((inventory!$C$2:$C$801=$A8)*(inventory!$D$2:$D$801=$B8)*(inventory!$E$2:$E$801="delivered")*(inventory!$A$2:$A$801+inventory!$B$2:$B$801)))),""))</f>
        <v/>
      </c>
      <c r="W8" s="25">
        <f>IF($A8="","",IFERROR(IF(INDEX(inventory!$J$2:$J$801,MATCH($A8&amp;"|"&amp;$B8&amp;"|delivered",inventory!$R$2:$R$801,0))="","",INDEX(inventory!$J$2:$J$801,MATCH($A8&amp;"|"&amp;$B8&amp;"|delivered",inventory!$R$2:$R$801,0))),""))</f>
        <v/>
      </c>
      <c r="X8" s="25">
        <f>IF($A8="","",IFERROR(IF(INDEX(photos!$H$2:$H$701,MATCH($A8&amp;"|"&amp;$B8&amp;"|placement|Y",photos!$R$2:$R$701,0))="","",INDEX(photos!$H$2:$H$701,MATCH($A8&amp;"|"&amp;$B8&amp;"|placement|Y",photos!$R$2:$R$701,0))),""))</f>
        <v/>
      </c>
      <c r="Y8" s="26">
        <f>IF($A8="","",IFERROR(IF(INDEX(photos!$E$2:$E$701,MATCH($A8&amp;"|"&amp;$B8&amp;"|placement|Y",photos!$R$2:$R$701,0))="","",INDEX(photos!$E$2:$E$701,MATCH($A8&amp;"|"&amp;$B8&amp;"|placement|Y",photos!$R$2:$R$701,0))),""))</f>
        <v/>
      </c>
      <c r="Z8" s="25">
        <f>IF($A8="","",IF(COUNTIFS(counts!$C$2:$C$701,$A8,counts!$D$2:$D$701,$B8,counts!$E$2:$E$701,"placed")=0,"",SUMIFS(counts!$F$2:$F$701,counts!$C$2:$C$701,$A8,counts!$D$2:$D$701,$B8,counts!$E$2:$E$701,"placed")))</f>
        <v/>
      </c>
      <c r="AA8" s="25">
        <f>IF($A8="","",IF($Y8="",0,N($Z8)))</f>
        <v/>
      </c>
      <c r="AB8" s="25">
        <f>IF($A8="","",IF(OR($Y8="",$I8=""),"N",IF($Y8&lt;=WORKDAY(N($I8),1,calendar!$A$2:$A$80),"Y","N")))</f>
        <v/>
      </c>
      <c r="AC8" s="28">
        <f>IF(OR($A8="",$V8="",$Y8=""),"",ROUND(($Y8+N(IFERROR(IF(INDEX(photos!$F$2:$F$701,MATCH($A8&amp;"|"&amp;$B8&amp;"|placement|Y",photos!$R$2:$R$701,0))="","",INDEX(photos!$F$2:$F$701,MATCH($A8&amp;"|"&amp;$B8&amp;"|placement|Y",photos!$R$2:$R$701,0))),""))-$V8)*24,1))</f>
        <v/>
      </c>
      <c r="AD8" s="25">
        <f>IF($A8="","",SUMIFS(inventory!$G$2:$G$801,inventory!$C$2:$C$801,$A8,inventory!$D$2:$D$801,$B8,inventory!$E$2:$E$801,"topped_up"))</f>
        <v/>
      </c>
      <c r="AE8" s="25">
        <f>IF($A8="","",IF(COUNTIFS(counts!$C$2:$C$701,$A8,counts!$D$2:$D$701,$B8,counts!$E$2:$E$701,"remaining_day3")=0,"",SUMIFS(counts!$F$2:$F$701,counts!$C$2:$C$701,$A8,counts!$D$2:$D$701,$B8,counts!$E$2:$E$701,"remaining_day3")))</f>
        <v/>
      </c>
      <c r="AF8" s="25">
        <f>IF($A8="","",IF(COUNTIFS(counts!$C$2:$C$701,$A8,counts!$D$2:$D$701,$B8,counts!$E$2:$E$701,"remaining_day5")=0,"",SUMIFS(counts!$F$2:$F$701,counts!$C$2:$C$701,$A8,counts!$D$2:$D$701,$B8,counts!$E$2:$E$701,"remaining_day5")))</f>
        <v/>
      </c>
      <c r="AG8" s="25">
        <f>IF(OR($A8="",$AF8=""),"",MAX(0,$AA8+$AD8-$AF8))</f>
        <v/>
      </c>
      <c r="AH8" s="25">
        <f>IF(OR($A8="",$AI8=""),"",IFERROR(IF(INDEX(photos!$H$2:$H$701,MATCH($A8&amp;"|"&amp;$B8&amp;"|later|Y|"&amp;$AI8,photos!$S$2:$S$701,0))="","",INDEX(photos!$H$2:$H$701,MATCH($A8&amp;"|"&amp;$B8&amp;"|later|Y|"&amp;$AI8,photos!$S$2:$S$701,0))),""))</f>
        <v/>
      </c>
      <c r="AI8" s="26">
        <f>IF($A8="","",IFERROR(1/(1/SUMPRODUCT(MAX((photos!$B$2:$B$701=$A8)*(photos!$C$2:$C$701=$B8)*(photos!$D$2:$D$701="later")*(photos!$O$2:$O$701="Y")*photos!$E$2:$E$701))),""))</f>
        <v/>
      </c>
      <c r="AJ8" s="25">
        <f>IF(OR($A8="",$AI8="",$I8=""),"",NETWORKDAYS($I8,$AI8,calendar!$A$2:$A$80))</f>
        <v/>
      </c>
      <c r="AK8" s="25">
        <f>IF($A8="","",IF(AND($X8&lt;&gt;"",$AH8&lt;&gt;""),"Y","N"))</f>
        <v/>
      </c>
      <c r="AL8" s="25">
        <f>IF(OR($A8="",$I8=""),"",IF($BC8="Y",SUMIFS(survey_frozen!$C$2:$C$251,survey_frozen!$P$2:$P$251,$A8&amp;"|"&amp;$B8),IFERROR(COUNTIFS(INDIRECT("'"&amp;$A8&amp;"'!$B$2:$B$501"),$T8,INDIRECT("'"&amp;$A8&amp;"'!$A$2:$A$501"),"&gt;="&amp;$I8,INDIRECT("'"&amp;$A8&amp;"'!$A$2:$A$501"),"&lt;"&amp;($BA8+1)),0)))</f>
        <v/>
      </c>
      <c r="AM8" s="25">
        <f>IF(OR($A8="",$I8=""),"",IF($BC8="Y",SUMIFS(survey_frozen!$D$2:$D$251,survey_frozen!$P$2:$P$251,$A8&amp;"|"&amp;$B8),IFERROR(COUNTIFS(INDIRECT("'"&amp;$A8&amp;"'!$B$2:$B$501"),$T8,INDIRECT("'"&amp;$A8&amp;"'!$A$2:$A$501"),"&gt;="&amp;$I8,INDIRECT("'"&amp;$A8&amp;"'!$A$2:$A$501"),"&lt;"&amp;($BA8+1),INDIRECT("'"&amp;$A8&amp;"'!$C$2:$C$501"),"Yes"),0)))</f>
        <v/>
      </c>
      <c r="AN8" s="25">
        <f>IF($A8="","",IF(COUNTIFS(scans!$C$2:$C$1601,(IF(LEFT($A8,7)="SAMPLE-","SAMPLE-","")&amp;LOWER(SUBSTITUTE(SUBSTITUTE($A8,"SAMPLE-",""),"CMP-","c"))&amp;"-"&amp;LOWER(SUBSTITUTE(SUBSTITUTE($B8,"SAMPLE-",""),"O-","o"))&amp;"-q"),scans!$D$2:$D$1601,"close")=0,"",SUMPRODUCT(MAX((scans!$C$2:$C$1601=(IF(LEFT($A8,7)="SAMPLE-","SAMPLE-","")&amp;LOWER(SUBSTITUTE(SUBSTITUTE($A8,"SAMPLE-",""),"CMP-","c"))&amp;"-"&amp;LOWER(SUBSTITUTE(SUBSTITUTE($B8,"SAMPLE-",""),"O-","o"))&amp;"-q"))*(scans!$D$2:$D$1601="close")*scans!$E$2:$E$1601))-SUMPRODUCT(MAX((scans!$C$2:$C$1601=(IF(LEFT($A8,7)="SAMPLE-","SAMPLE-","")&amp;LOWER(SUBSTITUTE(SUBSTITUTE($A8,"SAMPLE-",""),"CMP-","c"))&amp;"-"&amp;LOWER(SUBSTITUTE(SUBSTITUTE($B8,"SAMPLE-",""),"O-","o"))&amp;"-q"))*(scans!$D$2:$D$1601="baseline")*scans!$E$2:$E$1601))))</f>
        <v/>
      </c>
      <c r="AO8" s="25">
        <f>IF($A8="","",IF(COUNTIFS(scans!$C$2:$C$1601,(IF(LEFT($A8,7)="SAMPLE-","SAMPLE-","")&amp;LOWER(SUBSTITUTE(SUBSTITUTE($A8,"SAMPLE-",""),"CMP-","c"))&amp;"-"&amp;LOWER(SUBSTITUTE(SUBSTITUTE($B8,"SAMPLE-",""),"O-","o"))&amp;"-p"),scans!$D$2:$D$1601,"close")=0,"",SUMPRODUCT(MAX((scans!$C$2:$C$1601=(IF(LEFT($A8,7)="SAMPLE-","SAMPLE-","")&amp;LOWER(SUBSTITUTE(SUBSTITUTE($A8,"SAMPLE-",""),"CMP-","c"))&amp;"-"&amp;LOWER(SUBSTITUTE(SUBSTITUTE($B8,"SAMPLE-",""),"O-","o"))&amp;"-p"))*(scans!$D$2:$D$1601="close")*scans!$E$2:$E$1601))-SUMPRODUCT(MAX((scans!$C$2:$C$1601=(IF(LEFT($A8,7)="SAMPLE-","SAMPLE-","")&amp;LOWER(SUBSTITUTE(SUBSTITUTE($A8,"SAMPLE-",""),"CMP-","c"))&amp;"-"&amp;LOWER(SUBSTITUTE(SUBSTITUTE($B8,"SAMPLE-",""),"O-","o"))&amp;"-p"))*(scans!$D$2:$D$1601="baseline")*scans!$E$2:$E$1601))))</f>
        <v/>
      </c>
      <c r="AP8" s="25">
        <f>IF($A8="","",IF(COUNTIF(offices!$A$2:$A$61,$B8)=0,"office_id not on offices; ","")&amp;IF(COUNTIF(campaigns!$A$2:$A$51,$A8)=0,"campaign_id not on campaigns; ","")&amp;IF($P8="pending","approval pending; ","")&amp;IF(AND($U8&gt;0,$Y8="",OR($I8="",IF(config!$B$37&lt;&gt;"",config!$B$37,TODAY())&lt;=WORKDAY(N($I8),4,calendar!$A$2:$A$80))),"no usable placement photo yet; ","")&amp;IF(AND($Y8&lt;&gt;"",$Z8=""),"log the placed count; ","")&amp;IF(N($AA8)&gt;N($U8),"placed more than delivered; ","")&amp;IF(AND($AF8&lt;&gt;"",N($AF8)&gt;N($AA8)+N($AD8)),"day-5 count above placed plus top-ups; ","")&amp;IF(AND($U8&gt;0,$I8&lt;&gt;"",IF(config!$B$37&lt;&gt;"",config!$B$37,TODAY())&gt;WORKDAY(N($I8),4,calendar!$A$2:$A$80),$AF8=""),"day-5 count missing; ","")&amp;IF(AND($U8&gt;0,$I8&lt;&gt;"",IF(config!$B$37&lt;&gt;"",config!$B$37,TODAY())&gt;WORKDAY(N($I8),4,calendar!$A$2:$A$80),$AN8=""),"no close link reading; ","")&amp;$R8&amp;IF($P8="N","info: office said no; ","")&amp;IF(AND($P8="Y",$Q8="N"),"info: turned away at the door, so not on the drop (no letter, not in the report or Gate 2; the credit check is on campaigns); ","")&amp;IF(AND($U8&gt;0,$Y8="",$I8&lt;&gt;"",IF(config!$B$37&lt;&gt;"",config!$B$37,TODAY())&gt;WORKDAY(N($I8),4,calendar!$A$2:$A$80)),"info: no usable placement photo, so nothing counts as placed; ","")&amp;IF(AND($U8&gt;0,$I8&lt;&gt;"",IF(config!$B$37&lt;&gt;"",config!$B$37,TODAY())&gt;WORKDAY(N($I8),4,calendar!$A$2:$A$80),N($AL8)&lt;config!$B$30),"info: under "&amp;config!$B$30&amp;" responses; ","")&amp;IF($W8="packing_list","info: delivered count not verified; ",""))</f>
        <v/>
      </c>
      <c r="AQ8" s="25">
        <f>IF(OR($A8="",$I8=""),"",IF($BC8="Y",SUMIFS(survey_frozen!$E$2:$E$251,survey_frozen!$P$2:$P$251,$A8&amp;"|"&amp;$B8),IFERROR(COUNTIFS(INDIRECT("'"&amp;$A8&amp;"'!$B$2:$B$501"),$T8,INDIRECT("'"&amp;$A8&amp;"'!$A$2:$A$501"),"&gt;="&amp;$I8,INDIRECT("'"&amp;$A8&amp;"'!$A$2:$A$501"),"&lt;"&amp;($BA8+1),INDIRECT("'"&amp;$A8&amp;"'!$F$2:$F$501"),"Didn't see it"),0)))</f>
        <v/>
      </c>
      <c r="AR8" s="25">
        <f>IF(OR($A8="",$I8=""),"",IF($BC8="Y",SUMIFS(survey_frozen!$F$2:$F$251,survey_frozen!$P$2:$P$251,$A8&amp;"|"&amp;$B8),IFERROR(COUNTIFS(INDIRECT("'"&amp;$A8&amp;"'!$B$2:$B$501"),$T8,INDIRECT("'"&amp;$A8&amp;"'!$A$2:$A$501"),"&gt;="&amp;$I8,INDIRECT("'"&amp;$A8&amp;"'!$A$2:$A$501"),"&lt;"&amp;($BA8+1),INDIRECT("'"&amp;$A8&amp;"'!$F$2:$F$501"),"Not for me"),0)))</f>
        <v/>
      </c>
      <c r="AS8" s="25">
        <f>IF(OR($A8="",$I8=""),"",IF($BC8="Y",SUMIFS(survey_frozen!$G$2:$G$251,survey_frozen!$P$2:$P$251,$A8&amp;"|"&amp;$B8),IFERROR(COUNTIFS(INDIRECT("'"&amp;$A8&amp;"'!$B$2:$B$501"),$T8,INDIRECT("'"&amp;$A8&amp;"'!$A$2:$A$501"),"&gt;="&amp;$I8,INDIRECT("'"&amp;$A8&amp;"'!$A$2:$A$501"),"&lt;"&amp;($BA8+1),INDIRECT("'"&amp;$A8&amp;"'!$F$2:$F$501"),"Gone by the time I looked"),0)))</f>
        <v/>
      </c>
      <c r="AT8" s="25">
        <f>IF(OR($A8="",$I8=""),"",IF($BC8="Y",SUMIFS(survey_frozen!$H$2:$H$251,survey_frozen!$P$2:$P$251,$A8&amp;"|"&amp;$B8),IFERROR(COUNTIFS(INDIRECT("'"&amp;$A8&amp;"'!$B$2:$B$501"),$T8,INDIRECT("'"&amp;$A8&amp;"'!$A$2:$A$501"),"&gt;="&amp;$I8,INDIRECT("'"&amp;$A8&amp;"'!$A$2:$A$501"),"&lt;"&amp;($BA8+1),INDIRECT("'"&amp;$A8&amp;"'!$D$2:$D$501"),"&gt;=1"),0)))</f>
        <v/>
      </c>
      <c r="AU8" s="25">
        <f>IF(OR($A8="",$I8=""),"",IF($BC8="Y",SUMIFS(survey_frozen!$I$2:$I$251,survey_frozen!$P$2:$P$251,$A8&amp;"|"&amp;$B8),IFERROR(SUMIFS(INDIRECT("'"&amp;$A8&amp;"'!$D$2:$D$501"),INDIRECT("'"&amp;$A8&amp;"'!$B$2:$B$501"),$T8,INDIRECT("'"&amp;$A8&amp;"'!$A$2:$A$501"),"&gt;="&amp;$I8,INDIRECT("'"&amp;$A8&amp;"'!$A$2:$A$501"),"&lt;"&amp;($BA8+1)),0)))</f>
        <v/>
      </c>
      <c r="AV8" s="25">
        <f>IF(OR($A8="",$I8=""),"",IF($BC8="Y",SUMIFS(survey_frozen!$J$2:$J$251,survey_frozen!$P$2:$P$251,$A8&amp;"|"&amp;$B8),IFERROR(COUNTIFS(INDIRECT("'"&amp;$A8&amp;"'!$B$2:$B$501"),$T8,INDIRECT("'"&amp;$A8&amp;"'!$A$2:$A$501"),"&gt;="&amp;$I8,INDIRECT("'"&amp;$A8&amp;"'!$A$2:$A$501"),"&lt;"&amp;($BA8+1),INDIRECT("'"&amp;$A8&amp;"'!$E$2:$E$501"),"Yes"),0)))</f>
        <v/>
      </c>
      <c r="AW8" s="25">
        <f>IF(OR($A8="",$I8=""),"",IF($BC8="Y",SUMIFS(survey_frozen!$K$2:$K$251,survey_frozen!$P$2:$P$251,$A8&amp;"|"&amp;$B8),IFERROR(COUNTIFS(INDIRECT("'"&amp;$A8&amp;"'!$B$2:$B$501"),$T8,INDIRECT("'"&amp;$A8&amp;"'!$A$2:$A$501"),"&gt;="&amp;$I8,INDIRECT("'"&amp;$A8&amp;"'!$A$2:$A$501"),"&lt;"&amp;($BA8+1),INDIRECT("'"&amp;$A8&amp;"'!$E$2:$E$501"),"Maybe"),0)))</f>
        <v/>
      </c>
      <c r="AX8" s="25">
        <f>IF(OR($A8="",$I8=""),"",IF($BC8="Y",SUMIFS(survey_frozen!$L$2:$L$251,survey_frozen!$P$2:$P$251,$A8&amp;"|"&amp;$B8),IFERROR(COUNTIFS(INDIRECT("'"&amp;$A8&amp;"'!$B$2:$B$501"),$T8,INDIRECT("'"&amp;$A8&amp;"'!$A$2:$A$501"),"&gt;="&amp;$I8,INDIRECT("'"&amp;$A8&amp;"'!$A$2:$A$501"),"&lt;"&amp;($BA8+1),INDIRECT("'"&amp;$A8&amp;"'!$E$2:$E$501"),"No"),0)))</f>
        <v/>
      </c>
      <c r="AY8" s="25">
        <f>IF(OR($A8="",$I8=""),"",IF($BC8="Y",SUMIFS(survey_frozen!$M$2:$M$251,survey_frozen!$P$2:$P$251,$A8&amp;"|"&amp;$B8),IFERROR(COUNTIFS(INDIRECT("'"&amp;$A8&amp;"'!$B$2:$B$501"),$T8,INDIRECT("'"&amp;$A8&amp;"'!$A$2:$A$501"),"&gt;="&amp;$I8,INDIRECT("'"&amp;$A8&amp;"'!$A$2:$A$501"),"&lt;"&amp;($BA8+1),INDIRECT("'"&amp;$A8&amp;"'!$G$2:$G$501"),"&lt;&gt;"),0)))</f>
        <v/>
      </c>
      <c r="AZ8" s="25">
        <f>IF($A8="","",$A8&amp;"|"&amp;$L8)</f>
        <v/>
      </c>
      <c r="BA8" s="26">
        <f>IF($A8="","",IFERROR(IF(INDEX(drops!$R$2:$R$21,MATCH($H8,drops!$A$2:$A$21,0))="","",INDEX(drops!$R$2:$R$21,MATCH($H8,drops!$A$2:$A$21,0))),""))</f>
        <v/>
      </c>
      <c r="BB8" s="25">
        <f>IF(OR($A8="",$Q8&lt;&gt;"Y"),1000000,N($AL8))</f>
        <v/>
      </c>
      <c r="BC8" s="25">
        <f>IF($A8="","",IF(COUNTIF(survey_frozen!$P$2:$P$251,$A8&amp;"|"&amp;$B8)&gt;0,"Y",""))</f>
        <v/>
      </c>
    </row>
    <row r="9">
      <c r="A9" t="inlineStr">
        <is>
          <t>SAMPLE-CMP-002</t>
        </is>
      </c>
      <c r="B9" t="inlineStr">
        <is>
          <t>SAMPLE-O-003</t>
        </is>
      </c>
      <c r="C9" s="9" t="n">
        <v>46370</v>
      </c>
      <c r="D9" t="inlineStr">
        <is>
          <t>yes</t>
        </is>
      </c>
      <c r="E9" s="9" t="n">
        <v>46372</v>
      </c>
      <c r="F9" t="inlineStr">
        <is>
          <t>SAMPLE replied by email</t>
        </is>
      </c>
      <c r="H9" s="25">
        <f>IF($A9="","",IFERROR(IF(INDEX(campaigns!$B$2:$B$51,MATCH($A9,campaigns!$A$2:$A$51,0))="","",INDEX(campaigns!$B$2:$B$51,MATCH($A9,campaigns!$A$2:$A$51,0))),""))</f>
        <v/>
      </c>
      <c r="I9" s="26">
        <f>IF($A9="","",IFERROR(IF(INDEX(campaigns!$BG$2:$BG$51,MATCH($A9,campaigns!$A$2:$A$51,0))="","",INDEX(campaigns!$BG$2:$BG$51,MATCH($A9,campaigns!$A$2:$A$51,0))),""))</f>
        <v/>
      </c>
      <c r="J9" s="25">
        <f>IF($A9="","",IFERROR(IF(INDEX(campaigns!$BE$2:$BE$51,MATCH($A9,campaigns!$A$2:$A$51,0))="","",INDEX(campaigns!$BE$2:$BE$51,MATCH($A9,campaigns!$A$2:$A$51,0))),""))</f>
        <v/>
      </c>
      <c r="K9" s="25">
        <f>IF($B9="","",IFERROR(IF(INDEX(offices!$N$2:$N$61,MATCH($B9,offices!$A$2:$A$61,0))="","",INDEX(offices!$N$2:$N$61,MATCH($B9,offices!$A$2:$A$61,0))),""))</f>
        <v/>
      </c>
      <c r="L9" s="25">
        <f>IF($A9="","",IF($Q9="N","",COUNTIFS($A$2:$A9,$A9,$Q$2:$Q9,"&lt;&gt;N")))</f>
        <v/>
      </c>
      <c r="M9" s="25">
        <f>IF(OR($A9="",$L9=""),"",IF(AND(config!$B$34="names_if_public",IFERROR(IF(INDEX(offices!$AF$2:$AF$61,MATCH($B9,offices!$A$2:$A$61,0))="","",INDEX(offices!$AF$2:$AF$61,MATCH($B9,offices!$A$2:$A$61,0))),"")="Y"),$K9,CHAR(64+$L9)))</f>
        <v/>
      </c>
      <c r="N9" s="25">
        <f>IF(OR($A9="",$I9=""),"",COUNTIFS(stops!$B$2:$B$151,$B9,stops!$P$2:$P$151,"&lt;"&amp;$I9,stops!$L$2:$L$151,"&lt;&gt;not_delivered")+1)</f>
        <v/>
      </c>
      <c r="O9" s="25">
        <f>IF($A9="","",IF(N($N9)&lt;=config!$B$29,"explicit","opt-out"))</f>
        <v/>
      </c>
      <c r="P9" s="25">
        <f>IF($A9="","",IF($O9="explicit",IF($D9="yes","Y",IF($D9="no","N","pending")),IF($D9="no","N",IF(AND($C9&lt;&gt;"",$I9&lt;&gt;"",$C9&lt;=WORKDAY(N($I9),-5,calendar!$A$2:$A$80)),"Y","pending"))))</f>
        <v/>
      </c>
      <c r="Q9" s="25">
        <f>IF($A9="","",IF($P9="N","N",IF($P9&lt;&gt;"Y","pending",IF(AND((COUNTIFS(stops!$A$2:$A$151,$H9,stops!$B$2:$B$151,$B9,stops!$L$2:$L$151,"declined")+COUNTIFS(stops!$A$2:$A$151,$H9,stops!$B$2:$B$151,$B9,stops!$L$2:$L$151,"building_refused")+COUNTIFS(stops!$A$2:$A$151,$H9,stops!$B$2:$B$151,$B9,stops!$L$2:$L$151,"not_delivered"))&gt;0,N($U9)=0),"N","Y"))))</f>
        <v/>
      </c>
      <c r="R9" s="25">
        <f>IF($A9="","",IF(COUNTIFS($A$2:$A$251,$A9,$B$2:$B$251,$B9)&gt;1,"DUPLICATE ROW; ","")&amp;IF(AND(IFERROR(IF(INDEX(offices!$AC$2:$AC$61,MATCH($B9,offices!$A$2:$A$61,0))="","",INDEX(offices!$AC$2:$AC$61,MATCH($B9,offices!$A$2:$A$61,0))),"")&lt;&gt;"",ISNUMBER(SEARCH($J9,IFERROR(IF(INDEX(offices!$AC$2:$AC$61,MATCH($B9,offices!$A$2:$A$61,0))="","",INDEX(offices!$AC$2:$AC$61,MATCH($B9,offices!$A$2:$A$61,0))),"")))),"BRAND VETOED; ","")&amp;IF(ISNUMBER(SEARCH(IFERROR(IF(INDEX(campaigns!$BF$2:$BF$51,MATCH($A9,campaigns!$A$2:$A$51,0))="","",INDEX(campaigns!$BF$2:$BF$51,MATCH($A9,campaigns!$A$2:$A$51,0))),""),IFERROR(IF(INDEX(offices!$AB$2:$AB$61,MATCH($B9,offices!$A$2:$A$61,0))="","",INDEX(offices!$AB$2:$AB$61,MATCH($B9,offices!$A$2:$A$61,0))),""))),"","info: category not on the office's list; ")&amp;IF(IFERROR(IF(INDEX(offices!$AC$2:$AC$61,MATCH($B9,offices!$A$2:$A$61,0))="","",INDEX(offices!$AC$2:$AC$61,MATCH($B9,offices!$A$2:$A$61,0))),"")&lt;&gt;"","info: read the vetoes against the label; ",""))</f>
        <v/>
      </c>
      <c r="S9" s="25">
        <f>IF($A9="","",IF($G9&lt;&gt;"",$G9,IFERROR(IF(INDEX(offices!$AL$2:$AL$61,MATCH($B9,offices!$A$2:$A$61,0))="","",INDEX(offices!$AL$2:$AL$61,MATCH($B9,offices!$A$2:$A$61,0))),"")))</f>
        <v/>
      </c>
      <c r="T9" s="25">
        <f>IF($A9="","",$A9&amp;"."&amp;$B9)</f>
        <v/>
      </c>
      <c r="U9" s="25">
        <f>IF($A9="","",SUMIFS(inventory!$G$2:$G$801,inventory!$C$2:$C$801,$A9,inventory!$D$2:$D$801,$B9,inventory!$E$2:$E$801,"delivered"))</f>
        <v/>
      </c>
      <c r="V9" s="32">
        <f>IF($A9="","",IFERROR(1/(1/SUMPRODUCT(MAX((inventory!$C$2:$C$801=$A9)*(inventory!$D$2:$D$801=$B9)*(inventory!$E$2:$E$801="delivered")*(inventory!$A$2:$A$801+inventory!$B$2:$B$801)))),""))</f>
        <v/>
      </c>
      <c r="W9" s="25">
        <f>IF($A9="","",IFERROR(IF(INDEX(inventory!$J$2:$J$801,MATCH($A9&amp;"|"&amp;$B9&amp;"|delivered",inventory!$R$2:$R$801,0))="","",INDEX(inventory!$J$2:$J$801,MATCH($A9&amp;"|"&amp;$B9&amp;"|delivered",inventory!$R$2:$R$801,0))),""))</f>
        <v/>
      </c>
      <c r="X9" s="25">
        <f>IF($A9="","",IFERROR(IF(INDEX(photos!$H$2:$H$701,MATCH($A9&amp;"|"&amp;$B9&amp;"|placement|Y",photos!$R$2:$R$701,0))="","",INDEX(photos!$H$2:$H$701,MATCH($A9&amp;"|"&amp;$B9&amp;"|placement|Y",photos!$R$2:$R$701,0))),""))</f>
        <v/>
      </c>
      <c r="Y9" s="26">
        <f>IF($A9="","",IFERROR(IF(INDEX(photos!$E$2:$E$701,MATCH($A9&amp;"|"&amp;$B9&amp;"|placement|Y",photos!$R$2:$R$701,0))="","",INDEX(photos!$E$2:$E$701,MATCH($A9&amp;"|"&amp;$B9&amp;"|placement|Y",photos!$R$2:$R$701,0))),""))</f>
        <v/>
      </c>
      <c r="Z9" s="25">
        <f>IF($A9="","",IF(COUNTIFS(counts!$C$2:$C$701,$A9,counts!$D$2:$D$701,$B9,counts!$E$2:$E$701,"placed")=0,"",SUMIFS(counts!$F$2:$F$701,counts!$C$2:$C$701,$A9,counts!$D$2:$D$701,$B9,counts!$E$2:$E$701,"placed")))</f>
        <v/>
      </c>
      <c r="AA9" s="25">
        <f>IF($A9="","",IF($Y9="",0,N($Z9)))</f>
        <v/>
      </c>
      <c r="AB9" s="25">
        <f>IF($A9="","",IF(OR($Y9="",$I9=""),"N",IF($Y9&lt;=WORKDAY(N($I9),1,calendar!$A$2:$A$80),"Y","N")))</f>
        <v/>
      </c>
      <c r="AC9" s="28">
        <f>IF(OR($A9="",$V9="",$Y9=""),"",ROUND(($Y9+N(IFERROR(IF(INDEX(photos!$F$2:$F$701,MATCH($A9&amp;"|"&amp;$B9&amp;"|placement|Y",photos!$R$2:$R$701,0))="","",INDEX(photos!$F$2:$F$701,MATCH($A9&amp;"|"&amp;$B9&amp;"|placement|Y",photos!$R$2:$R$701,0))),""))-$V9)*24,1))</f>
        <v/>
      </c>
      <c r="AD9" s="25">
        <f>IF($A9="","",SUMIFS(inventory!$G$2:$G$801,inventory!$C$2:$C$801,$A9,inventory!$D$2:$D$801,$B9,inventory!$E$2:$E$801,"topped_up"))</f>
        <v/>
      </c>
      <c r="AE9" s="25">
        <f>IF($A9="","",IF(COUNTIFS(counts!$C$2:$C$701,$A9,counts!$D$2:$D$701,$B9,counts!$E$2:$E$701,"remaining_day3")=0,"",SUMIFS(counts!$F$2:$F$701,counts!$C$2:$C$701,$A9,counts!$D$2:$D$701,$B9,counts!$E$2:$E$701,"remaining_day3")))</f>
        <v/>
      </c>
      <c r="AF9" s="25">
        <f>IF($A9="","",IF(COUNTIFS(counts!$C$2:$C$701,$A9,counts!$D$2:$D$701,$B9,counts!$E$2:$E$701,"remaining_day5")=0,"",SUMIFS(counts!$F$2:$F$701,counts!$C$2:$C$701,$A9,counts!$D$2:$D$701,$B9,counts!$E$2:$E$701,"remaining_day5")))</f>
        <v/>
      </c>
      <c r="AG9" s="25">
        <f>IF(OR($A9="",$AF9=""),"",MAX(0,$AA9+$AD9-$AF9))</f>
        <v/>
      </c>
      <c r="AH9" s="25">
        <f>IF(OR($A9="",$AI9=""),"",IFERROR(IF(INDEX(photos!$H$2:$H$701,MATCH($A9&amp;"|"&amp;$B9&amp;"|later|Y|"&amp;$AI9,photos!$S$2:$S$701,0))="","",INDEX(photos!$H$2:$H$701,MATCH($A9&amp;"|"&amp;$B9&amp;"|later|Y|"&amp;$AI9,photos!$S$2:$S$701,0))),""))</f>
        <v/>
      </c>
      <c r="AI9" s="26">
        <f>IF($A9="","",IFERROR(1/(1/SUMPRODUCT(MAX((photos!$B$2:$B$701=$A9)*(photos!$C$2:$C$701=$B9)*(photos!$D$2:$D$701="later")*(photos!$O$2:$O$701="Y")*photos!$E$2:$E$701))),""))</f>
        <v/>
      </c>
      <c r="AJ9" s="25">
        <f>IF(OR($A9="",$AI9="",$I9=""),"",NETWORKDAYS($I9,$AI9,calendar!$A$2:$A$80))</f>
        <v/>
      </c>
      <c r="AK9" s="25">
        <f>IF($A9="","",IF(AND($X9&lt;&gt;"",$AH9&lt;&gt;""),"Y","N"))</f>
        <v/>
      </c>
      <c r="AL9" s="25">
        <f>IF(OR($A9="",$I9=""),"",IF($BC9="Y",SUMIFS(survey_frozen!$C$2:$C$251,survey_frozen!$P$2:$P$251,$A9&amp;"|"&amp;$B9),IFERROR(COUNTIFS(INDIRECT("'"&amp;$A9&amp;"'!$B$2:$B$501"),$T9,INDIRECT("'"&amp;$A9&amp;"'!$A$2:$A$501"),"&gt;="&amp;$I9,INDIRECT("'"&amp;$A9&amp;"'!$A$2:$A$501"),"&lt;"&amp;($BA9+1)),0)))</f>
        <v/>
      </c>
      <c r="AM9" s="25">
        <f>IF(OR($A9="",$I9=""),"",IF($BC9="Y",SUMIFS(survey_frozen!$D$2:$D$251,survey_frozen!$P$2:$P$251,$A9&amp;"|"&amp;$B9),IFERROR(COUNTIFS(INDIRECT("'"&amp;$A9&amp;"'!$B$2:$B$501"),$T9,INDIRECT("'"&amp;$A9&amp;"'!$A$2:$A$501"),"&gt;="&amp;$I9,INDIRECT("'"&amp;$A9&amp;"'!$A$2:$A$501"),"&lt;"&amp;($BA9+1),INDIRECT("'"&amp;$A9&amp;"'!$C$2:$C$501"),"Yes"),0)))</f>
        <v/>
      </c>
      <c r="AN9" s="25">
        <f>IF($A9="","",IF(COUNTIFS(scans!$C$2:$C$1601,(IF(LEFT($A9,7)="SAMPLE-","SAMPLE-","")&amp;LOWER(SUBSTITUTE(SUBSTITUTE($A9,"SAMPLE-",""),"CMP-","c"))&amp;"-"&amp;LOWER(SUBSTITUTE(SUBSTITUTE($B9,"SAMPLE-",""),"O-","o"))&amp;"-q"),scans!$D$2:$D$1601,"close")=0,"",SUMPRODUCT(MAX((scans!$C$2:$C$1601=(IF(LEFT($A9,7)="SAMPLE-","SAMPLE-","")&amp;LOWER(SUBSTITUTE(SUBSTITUTE($A9,"SAMPLE-",""),"CMP-","c"))&amp;"-"&amp;LOWER(SUBSTITUTE(SUBSTITUTE($B9,"SAMPLE-",""),"O-","o"))&amp;"-q"))*(scans!$D$2:$D$1601="close")*scans!$E$2:$E$1601))-SUMPRODUCT(MAX((scans!$C$2:$C$1601=(IF(LEFT($A9,7)="SAMPLE-","SAMPLE-","")&amp;LOWER(SUBSTITUTE(SUBSTITUTE($A9,"SAMPLE-",""),"CMP-","c"))&amp;"-"&amp;LOWER(SUBSTITUTE(SUBSTITUTE($B9,"SAMPLE-",""),"O-","o"))&amp;"-q"))*(scans!$D$2:$D$1601="baseline")*scans!$E$2:$E$1601))))</f>
        <v/>
      </c>
      <c r="AO9" s="25">
        <f>IF($A9="","",IF(COUNTIFS(scans!$C$2:$C$1601,(IF(LEFT($A9,7)="SAMPLE-","SAMPLE-","")&amp;LOWER(SUBSTITUTE(SUBSTITUTE($A9,"SAMPLE-",""),"CMP-","c"))&amp;"-"&amp;LOWER(SUBSTITUTE(SUBSTITUTE($B9,"SAMPLE-",""),"O-","o"))&amp;"-p"),scans!$D$2:$D$1601,"close")=0,"",SUMPRODUCT(MAX((scans!$C$2:$C$1601=(IF(LEFT($A9,7)="SAMPLE-","SAMPLE-","")&amp;LOWER(SUBSTITUTE(SUBSTITUTE($A9,"SAMPLE-",""),"CMP-","c"))&amp;"-"&amp;LOWER(SUBSTITUTE(SUBSTITUTE($B9,"SAMPLE-",""),"O-","o"))&amp;"-p"))*(scans!$D$2:$D$1601="close")*scans!$E$2:$E$1601))-SUMPRODUCT(MAX((scans!$C$2:$C$1601=(IF(LEFT($A9,7)="SAMPLE-","SAMPLE-","")&amp;LOWER(SUBSTITUTE(SUBSTITUTE($A9,"SAMPLE-",""),"CMP-","c"))&amp;"-"&amp;LOWER(SUBSTITUTE(SUBSTITUTE($B9,"SAMPLE-",""),"O-","o"))&amp;"-p"))*(scans!$D$2:$D$1601="baseline")*scans!$E$2:$E$1601))))</f>
        <v/>
      </c>
      <c r="AP9" s="25">
        <f>IF($A9="","",IF(COUNTIF(offices!$A$2:$A$61,$B9)=0,"office_id not on offices; ","")&amp;IF(COUNTIF(campaigns!$A$2:$A$51,$A9)=0,"campaign_id not on campaigns; ","")&amp;IF($P9="pending","approval pending; ","")&amp;IF(AND($U9&gt;0,$Y9="",OR($I9="",IF(config!$B$37&lt;&gt;"",config!$B$37,TODAY())&lt;=WORKDAY(N($I9),4,calendar!$A$2:$A$80))),"no usable placement photo yet; ","")&amp;IF(AND($Y9&lt;&gt;"",$Z9=""),"log the placed count; ","")&amp;IF(N($AA9)&gt;N($U9),"placed more than delivered; ","")&amp;IF(AND($AF9&lt;&gt;"",N($AF9)&gt;N($AA9)+N($AD9)),"day-5 count above placed plus top-ups; ","")&amp;IF(AND($U9&gt;0,$I9&lt;&gt;"",IF(config!$B$37&lt;&gt;"",config!$B$37,TODAY())&gt;WORKDAY(N($I9),4,calendar!$A$2:$A$80),$AF9=""),"day-5 count missing; ","")&amp;IF(AND($U9&gt;0,$I9&lt;&gt;"",IF(config!$B$37&lt;&gt;"",config!$B$37,TODAY())&gt;WORKDAY(N($I9),4,calendar!$A$2:$A$80),$AN9=""),"no close link reading; ","")&amp;$R9&amp;IF($P9="N","info: office said no; ","")&amp;IF(AND($P9="Y",$Q9="N"),"info: turned away at the door, so not on the drop (no letter, not in the report or Gate 2; the credit check is on campaigns); ","")&amp;IF(AND($U9&gt;0,$Y9="",$I9&lt;&gt;"",IF(config!$B$37&lt;&gt;"",config!$B$37,TODAY())&gt;WORKDAY(N($I9),4,calendar!$A$2:$A$80)),"info: no usable placement photo, so nothing counts as placed; ","")&amp;IF(AND($U9&gt;0,$I9&lt;&gt;"",IF(config!$B$37&lt;&gt;"",config!$B$37,TODAY())&gt;WORKDAY(N($I9),4,calendar!$A$2:$A$80),N($AL9)&lt;config!$B$30),"info: under "&amp;config!$B$30&amp;" responses; ","")&amp;IF($W9="packing_list","info: delivered count not verified; ",""))</f>
        <v/>
      </c>
      <c r="AQ9" s="25">
        <f>IF(OR($A9="",$I9=""),"",IF($BC9="Y",SUMIFS(survey_frozen!$E$2:$E$251,survey_frozen!$P$2:$P$251,$A9&amp;"|"&amp;$B9),IFERROR(COUNTIFS(INDIRECT("'"&amp;$A9&amp;"'!$B$2:$B$501"),$T9,INDIRECT("'"&amp;$A9&amp;"'!$A$2:$A$501"),"&gt;="&amp;$I9,INDIRECT("'"&amp;$A9&amp;"'!$A$2:$A$501"),"&lt;"&amp;($BA9+1),INDIRECT("'"&amp;$A9&amp;"'!$F$2:$F$501"),"Didn't see it"),0)))</f>
        <v/>
      </c>
      <c r="AR9" s="25">
        <f>IF(OR($A9="",$I9=""),"",IF($BC9="Y",SUMIFS(survey_frozen!$F$2:$F$251,survey_frozen!$P$2:$P$251,$A9&amp;"|"&amp;$B9),IFERROR(COUNTIFS(INDIRECT("'"&amp;$A9&amp;"'!$B$2:$B$501"),$T9,INDIRECT("'"&amp;$A9&amp;"'!$A$2:$A$501"),"&gt;="&amp;$I9,INDIRECT("'"&amp;$A9&amp;"'!$A$2:$A$501"),"&lt;"&amp;($BA9+1),INDIRECT("'"&amp;$A9&amp;"'!$F$2:$F$501"),"Not for me"),0)))</f>
        <v/>
      </c>
      <c r="AS9" s="25">
        <f>IF(OR($A9="",$I9=""),"",IF($BC9="Y",SUMIFS(survey_frozen!$G$2:$G$251,survey_frozen!$P$2:$P$251,$A9&amp;"|"&amp;$B9),IFERROR(COUNTIFS(INDIRECT("'"&amp;$A9&amp;"'!$B$2:$B$501"),$T9,INDIRECT("'"&amp;$A9&amp;"'!$A$2:$A$501"),"&gt;="&amp;$I9,INDIRECT("'"&amp;$A9&amp;"'!$A$2:$A$501"),"&lt;"&amp;($BA9+1),INDIRECT("'"&amp;$A9&amp;"'!$F$2:$F$501"),"Gone by the time I looked"),0)))</f>
        <v/>
      </c>
      <c r="AT9" s="25">
        <f>IF(OR($A9="",$I9=""),"",IF($BC9="Y",SUMIFS(survey_frozen!$H$2:$H$251,survey_frozen!$P$2:$P$251,$A9&amp;"|"&amp;$B9),IFERROR(COUNTIFS(INDIRECT("'"&amp;$A9&amp;"'!$B$2:$B$501"),$T9,INDIRECT("'"&amp;$A9&amp;"'!$A$2:$A$501"),"&gt;="&amp;$I9,INDIRECT("'"&amp;$A9&amp;"'!$A$2:$A$501"),"&lt;"&amp;($BA9+1),INDIRECT("'"&amp;$A9&amp;"'!$D$2:$D$501"),"&gt;=1"),0)))</f>
        <v/>
      </c>
      <c r="AU9" s="25">
        <f>IF(OR($A9="",$I9=""),"",IF($BC9="Y",SUMIFS(survey_frozen!$I$2:$I$251,survey_frozen!$P$2:$P$251,$A9&amp;"|"&amp;$B9),IFERROR(SUMIFS(INDIRECT("'"&amp;$A9&amp;"'!$D$2:$D$501"),INDIRECT("'"&amp;$A9&amp;"'!$B$2:$B$501"),$T9,INDIRECT("'"&amp;$A9&amp;"'!$A$2:$A$501"),"&gt;="&amp;$I9,INDIRECT("'"&amp;$A9&amp;"'!$A$2:$A$501"),"&lt;"&amp;($BA9+1)),0)))</f>
        <v/>
      </c>
      <c r="AV9" s="25">
        <f>IF(OR($A9="",$I9=""),"",IF($BC9="Y",SUMIFS(survey_frozen!$J$2:$J$251,survey_frozen!$P$2:$P$251,$A9&amp;"|"&amp;$B9),IFERROR(COUNTIFS(INDIRECT("'"&amp;$A9&amp;"'!$B$2:$B$501"),$T9,INDIRECT("'"&amp;$A9&amp;"'!$A$2:$A$501"),"&gt;="&amp;$I9,INDIRECT("'"&amp;$A9&amp;"'!$A$2:$A$501"),"&lt;"&amp;($BA9+1),INDIRECT("'"&amp;$A9&amp;"'!$E$2:$E$501"),"Yes"),0)))</f>
        <v/>
      </c>
      <c r="AW9" s="25">
        <f>IF(OR($A9="",$I9=""),"",IF($BC9="Y",SUMIFS(survey_frozen!$K$2:$K$251,survey_frozen!$P$2:$P$251,$A9&amp;"|"&amp;$B9),IFERROR(COUNTIFS(INDIRECT("'"&amp;$A9&amp;"'!$B$2:$B$501"),$T9,INDIRECT("'"&amp;$A9&amp;"'!$A$2:$A$501"),"&gt;="&amp;$I9,INDIRECT("'"&amp;$A9&amp;"'!$A$2:$A$501"),"&lt;"&amp;($BA9+1),INDIRECT("'"&amp;$A9&amp;"'!$E$2:$E$501"),"Maybe"),0)))</f>
        <v/>
      </c>
      <c r="AX9" s="25">
        <f>IF(OR($A9="",$I9=""),"",IF($BC9="Y",SUMIFS(survey_frozen!$L$2:$L$251,survey_frozen!$P$2:$P$251,$A9&amp;"|"&amp;$B9),IFERROR(COUNTIFS(INDIRECT("'"&amp;$A9&amp;"'!$B$2:$B$501"),$T9,INDIRECT("'"&amp;$A9&amp;"'!$A$2:$A$501"),"&gt;="&amp;$I9,INDIRECT("'"&amp;$A9&amp;"'!$A$2:$A$501"),"&lt;"&amp;($BA9+1),INDIRECT("'"&amp;$A9&amp;"'!$E$2:$E$501"),"No"),0)))</f>
        <v/>
      </c>
      <c r="AY9" s="25">
        <f>IF(OR($A9="",$I9=""),"",IF($BC9="Y",SUMIFS(survey_frozen!$M$2:$M$251,survey_frozen!$P$2:$P$251,$A9&amp;"|"&amp;$B9),IFERROR(COUNTIFS(INDIRECT("'"&amp;$A9&amp;"'!$B$2:$B$501"),$T9,INDIRECT("'"&amp;$A9&amp;"'!$A$2:$A$501"),"&gt;="&amp;$I9,INDIRECT("'"&amp;$A9&amp;"'!$A$2:$A$501"),"&lt;"&amp;($BA9+1),INDIRECT("'"&amp;$A9&amp;"'!$G$2:$G$501"),"&lt;&gt;"),0)))</f>
        <v/>
      </c>
      <c r="AZ9" s="25">
        <f>IF($A9="","",$A9&amp;"|"&amp;$L9)</f>
        <v/>
      </c>
      <c r="BA9" s="26">
        <f>IF($A9="","",IFERROR(IF(INDEX(drops!$R$2:$R$21,MATCH($H9,drops!$A$2:$A$21,0))="","",INDEX(drops!$R$2:$R$21,MATCH($H9,drops!$A$2:$A$21,0))),""))</f>
        <v/>
      </c>
      <c r="BB9" s="25">
        <f>IF(OR($A9="",$Q9&lt;&gt;"Y"),1000000,N($AL9))</f>
        <v/>
      </c>
      <c r="BC9" s="25">
        <f>IF($A9="","",IF(COUNTIF(survey_frozen!$P$2:$P$251,$A9&amp;"|"&amp;$B9)&gt;0,"Y",""))</f>
        <v/>
      </c>
    </row>
    <row r="10">
      <c r="A10" t="inlineStr">
        <is>
          <t>SAMPLE-CMP-002</t>
        </is>
      </c>
      <c r="B10" t="inlineStr">
        <is>
          <t>SAMPLE-O-004</t>
        </is>
      </c>
      <c r="C10" s="9" t="n">
        <v>46370</v>
      </c>
      <c r="D10" t="inlineStr">
        <is>
          <t>yes</t>
        </is>
      </c>
      <c r="E10" s="9" t="n">
        <v>46374</v>
      </c>
      <c r="F10" t="inlineStr">
        <is>
          <t>SAMPLE replied by email</t>
        </is>
      </c>
      <c r="H10" s="25">
        <f>IF($A10="","",IFERROR(IF(INDEX(campaigns!$B$2:$B$51,MATCH($A10,campaigns!$A$2:$A$51,0))="","",INDEX(campaigns!$B$2:$B$51,MATCH($A10,campaigns!$A$2:$A$51,0))),""))</f>
        <v/>
      </c>
      <c r="I10" s="26">
        <f>IF($A10="","",IFERROR(IF(INDEX(campaigns!$BG$2:$BG$51,MATCH($A10,campaigns!$A$2:$A$51,0))="","",INDEX(campaigns!$BG$2:$BG$51,MATCH($A10,campaigns!$A$2:$A$51,0))),""))</f>
        <v/>
      </c>
      <c r="J10" s="25">
        <f>IF($A10="","",IFERROR(IF(INDEX(campaigns!$BE$2:$BE$51,MATCH($A10,campaigns!$A$2:$A$51,0))="","",INDEX(campaigns!$BE$2:$BE$51,MATCH($A10,campaigns!$A$2:$A$51,0))),""))</f>
        <v/>
      </c>
      <c r="K10" s="25">
        <f>IF($B10="","",IFERROR(IF(INDEX(offices!$N$2:$N$61,MATCH($B10,offices!$A$2:$A$61,0))="","",INDEX(offices!$N$2:$N$61,MATCH($B10,offices!$A$2:$A$61,0))),""))</f>
        <v/>
      </c>
      <c r="L10" s="25">
        <f>IF($A10="","",IF($Q10="N","",COUNTIFS($A$2:$A10,$A10,$Q$2:$Q10,"&lt;&gt;N")))</f>
        <v/>
      </c>
      <c r="M10" s="25">
        <f>IF(OR($A10="",$L10=""),"",IF(AND(config!$B$34="names_if_public",IFERROR(IF(INDEX(offices!$AF$2:$AF$61,MATCH($B10,offices!$A$2:$A$61,0))="","",INDEX(offices!$AF$2:$AF$61,MATCH($B10,offices!$A$2:$A$61,0))),"")="Y"),$K10,CHAR(64+$L10)))</f>
        <v/>
      </c>
      <c r="N10" s="25">
        <f>IF(OR($A10="",$I10=""),"",COUNTIFS(stops!$B$2:$B$151,$B10,stops!$P$2:$P$151,"&lt;"&amp;$I10,stops!$L$2:$L$151,"&lt;&gt;not_delivered")+1)</f>
        <v/>
      </c>
      <c r="O10" s="25">
        <f>IF($A10="","",IF(N($N10)&lt;=config!$B$29,"explicit","opt-out"))</f>
        <v/>
      </c>
      <c r="P10" s="25">
        <f>IF($A10="","",IF($O10="explicit",IF($D10="yes","Y",IF($D10="no","N","pending")),IF($D10="no","N",IF(AND($C10&lt;&gt;"",$I10&lt;&gt;"",$C10&lt;=WORKDAY(N($I10),-5,calendar!$A$2:$A$80)),"Y","pending"))))</f>
        <v/>
      </c>
      <c r="Q10" s="25">
        <f>IF($A10="","",IF($P10="N","N",IF($P10&lt;&gt;"Y","pending",IF(AND((COUNTIFS(stops!$A$2:$A$151,$H10,stops!$B$2:$B$151,$B10,stops!$L$2:$L$151,"declined")+COUNTIFS(stops!$A$2:$A$151,$H10,stops!$B$2:$B$151,$B10,stops!$L$2:$L$151,"building_refused")+COUNTIFS(stops!$A$2:$A$151,$H10,stops!$B$2:$B$151,$B10,stops!$L$2:$L$151,"not_delivered"))&gt;0,N($U10)=0),"N","Y"))))</f>
        <v/>
      </c>
      <c r="R10" s="25">
        <f>IF($A10="","",IF(COUNTIFS($A$2:$A$251,$A10,$B$2:$B$251,$B10)&gt;1,"DUPLICATE ROW; ","")&amp;IF(AND(IFERROR(IF(INDEX(offices!$AC$2:$AC$61,MATCH($B10,offices!$A$2:$A$61,0))="","",INDEX(offices!$AC$2:$AC$61,MATCH($B10,offices!$A$2:$A$61,0))),"")&lt;&gt;"",ISNUMBER(SEARCH($J10,IFERROR(IF(INDEX(offices!$AC$2:$AC$61,MATCH($B10,offices!$A$2:$A$61,0))="","",INDEX(offices!$AC$2:$AC$61,MATCH($B10,offices!$A$2:$A$61,0))),"")))),"BRAND VETOED; ","")&amp;IF(ISNUMBER(SEARCH(IFERROR(IF(INDEX(campaigns!$BF$2:$BF$51,MATCH($A10,campaigns!$A$2:$A$51,0))="","",INDEX(campaigns!$BF$2:$BF$51,MATCH($A10,campaigns!$A$2:$A$51,0))),""),IFERROR(IF(INDEX(offices!$AB$2:$AB$61,MATCH($B10,offices!$A$2:$A$61,0))="","",INDEX(offices!$AB$2:$AB$61,MATCH($B10,offices!$A$2:$A$61,0))),""))),"","info: category not on the office's list; ")&amp;IF(IFERROR(IF(INDEX(offices!$AC$2:$AC$61,MATCH($B10,offices!$A$2:$A$61,0))="","",INDEX(offices!$AC$2:$AC$61,MATCH($B10,offices!$A$2:$A$61,0))),"")&lt;&gt;"","info: read the vetoes against the label; ",""))</f>
        <v/>
      </c>
      <c r="S10" s="25">
        <f>IF($A10="","",IF($G10&lt;&gt;"",$G10,IFERROR(IF(INDEX(offices!$AL$2:$AL$61,MATCH($B10,offices!$A$2:$A$61,0))="","",INDEX(offices!$AL$2:$AL$61,MATCH($B10,offices!$A$2:$A$61,0))),"")))</f>
        <v/>
      </c>
      <c r="T10" s="25">
        <f>IF($A10="","",$A10&amp;"."&amp;$B10)</f>
        <v/>
      </c>
      <c r="U10" s="25">
        <f>IF($A10="","",SUMIFS(inventory!$G$2:$G$801,inventory!$C$2:$C$801,$A10,inventory!$D$2:$D$801,$B10,inventory!$E$2:$E$801,"delivered"))</f>
        <v/>
      </c>
      <c r="V10" s="32">
        <f>IF($A10="","",IFERROR(1/(1/SUMPRODUCT(MAX((inventory!$C$2:$C$801=$A10)*(inventory!$D$2:$D$801=$B10)*(inventory!$E$2:$E$801="delivered")*(inventory!$A$2:$A$801+inventory!$B$2:$B$801)))),""))</f>
        <v/>
      </c>
      <c r="W10" s="25">
        <f>IF($A10="","",IFERROR(IF(INDEX(inventory!$J$2:$J$801,MATCH($A10&amp;"|"&amp;$B10&amp;"|delivered",inventory!$R$2:$R$801,0))="","",INDEX(inventory!$J$2:$J$801,MATCH($A10&amp;"|"&amp;$B10&amp;"|delivered",inventory!$R$2:$R$801,0))),""))</f>
        <v/>
      </c>
      <c r="X10" s="25">
        <f>IF($A10="","",IFERROR(IF(INDEX(photos!$H$2:$H$701,MATCH($A10&amp;"|"&amp;$B10&amp;"|placement|Y",photos!$R$2:$R$701,0))="","",INDEX(photos!$H$2:$H$701,MATCH($A10&amp;"|"&amp;$B10&amp;"|placement|Y",photos!$R$2:$R$701,0))),""))</f>
        <v/>
      </c>
      <c r="Y10" s="26">
        <f>IF($A10="","",IFERROR(IF(INDEX(photos!$E$2:$E$701,MATCH($A10&amp;"|"&amp;$B10&amp;"|placement|Y",photos!$R$2:$R$701,0))="","",INDEX(photos!$E$2:$E$701,MATCH($A10&amp;"|"&amp;$B10&amp;"|placement|Y",photos!$R$2:$R$701,0))),""))</f>
        <v/>
      </c>
      <c r="Z10" s="25">
        <f>IF($A10="","",IF(COUNTIFS(counts!$C$2:$C$701,$A10,counts!$D$2:$D$701,$B10,counts!$E$2:$E$701,"placed")=0,"",SUMIFS(counts!$F$2:$F$701,counts!$C$2:$C$701,$A10,counts!$D$2:$D$701,$B10,counts!$E$2:$E$701,"placed")))</f>
        <v/>
      </c>
      <c r="AA10" s="25">
        <f>IF($A10="","",IF($Y10="",0,N($Z10)))</f>
        <v/>
      </c>
      <c r="AB10" s="25">
        <f>IF($A10="","",IF(OR($Y10="",$I10=""),"N",IF($Y10&lt;=WORKDAY(N($I10),1,calendar!$A$2:$A$80),"Y","N")))</f>
        <v/>
      </c>
      <c r="AC10" s="28">
        <f>IF(OR($A10="",$V10="",$Y10=""),"",ROUND(($Y10+N(IFERROR(IF(INDEX(photos!$F$2:$F$701,MATCH($A10&amp;"|"&amp;$B10&amp;"|placement|Y",photos!$R$2:$R$701,0))="","",INDEX(photos!$F$2:$F$701,MATCH($A10&amp;"|"&amp;$B10&amp;"|placement|Y",photos!$R$2:$R$701,0))),""))-$V10)*24,1))</f>
        <v/>
      </c>
      <c r="AD10" s="25">
        <f>IF($A10="","",SUMIFS(inventory!$G$2:$G$801,inventory!$C$2:$C$801,$A10,inventory!$D$2:$D$801,$B10,inventory!$E$2:$E$801,"topped_up"))</f>
        <v/>
      </c>
      <c r="AE10" s="25">
        <f>IF($A10="","",IF(COUNTIFS(counts!$C$2:$C$701,$A10,counts!$D$2:$D$701,$B10,counts!$E$2:$E$701,"remaining_day3")=0,"",SUMIFS(counts!$F$2:$F$701,counts!$C$2:$C$701,$A10,counts!$D$2:$D$701,$B10,counts!$E$2:$E$701,"remaining_day3")))</f>
        <v/>
      </c>
      <c r="AF10" s="25">
        <f>IF($A10="","",IF(COUNTIFS(counts!$C$2:$C$701,$A10,counts!$D$2:$D$701,$B10,counts!$E$2:$E$701,"remaining_day5")=0,"",SUMIFS(counts!$F$2:$F$701,counts!$C$2:$C$701,$A10,counts!$D$2:$D$701,$B10,counts!$E$2:$E$701,"remaining_day5")))</f>
        <v/>
      </c>
      <c r="AG10" s="25">
        <f>IF(OR($A10="",$AF10=""),"",MAX(0,$AA10+$AD10-$AF10))</f>
        <v/>
      </c>
      <c r="AH10" s="25">
        <f>IF(OR($A10="",$AI10=""),"",IFERROR(IF(INDEX(photos!$H$2:$H$701,MATCH($A10&amp;"|"&amp;$B10&amp;"|later|Y|"&amp;$AI10,photos!$S$2:$S$701,0))="","",INDEX(photos!$H$2:$H$701,MATCH($A10&amp;"|"&amp;$B10&amp;"|later|Y|"&amp;$AI10,photos!$S$2:$S$701,0))),""))</f>
        <v/>
      </c>
      <c r="AI10" s="26">
        <f>IF($A10="","",IFERROR(1/(1/SUMPRODUCT(MAX((photos!$B$2:$B$701=$A10)*(photos!$C$2:$C$701=$B10)*(photos!$D$2:$D$701="later")*(photos!$O$2:$O$701="Y")*photos!$E$2:$E$701))),""))</f>
        <v/>
      </c>
      <c r="AJ10" s="25">
        <f>IF(OR($A10="",$AI10="",$I10=""),"",NETWORKDAYS($I10,$AI10,calendar!$A$2:$A$80))</f>
        <v/>
      </c>
      <c r="AK10" s="25">
        <f>IF($A10="","",IF(AND($X10&lt;&gt;"",$AH10&lt;&gt;""),"Y","N"))</f>
        <v/>
      </c>
      <c r="AL10" s="25">
        <f>IF(OR($A10="",$I10=""),"",IF($BC10="Y",SUMIFS(survey_frozen!$C$2:$C$251,survey_frozen!$P$2:$P$251,$A10&amp;"|"&amp;$B10),IFERROR(COUNTIFS(INDIRECT("'"&amp;$A10&amp;"'!$B$2:$B$501"),$T10,INDIRECT("'"&amp;$A10&amp;"'!$A$2:$A$501"),"&gt;="&amp;$I10,INDIRECT("'"&amp;$A10&amp;"'!$A$2:$A$501"),"&lt;"&amp;($BA10+1)),0)))</f>
        <v/>
      </c>
      <c r="AM10" s="25">
        <f>IF(OR($A10="",$I10=""),"",IF($BC10="Y",SUMIFS(survey_frozen!$D$2:$D$251,survey_frozen!$P$2:$P$251,$A10&amp;"|"&amp;$B10),IFERROR(COUNTIFS(INDIRECT("'"&amp;$A10&amp;"'!$B$2:$B$501"),$T10,INDIRECT("'"&amp;$A10&amp;"'!$A$2:$A$501"),"&gt;="&amp;$I10,INDIRECT("'"&amp;$A10&amp;"'!$A$2:$A$501"),"&lt;"&amp;($BA10+1),INDIRECT("'"&amp;$A10&amp;"'!$C$2:$C$501"),"Yes"),0)))</f>
        <v/>
      </c>
      <c r="AN10" s="25">
        <f>IF($A10="","",IF(COUNTIFS(scans!$C$2:$C$1601,(IF(LEFT($A10,7)="SAMPLE-","SAMPLE-","")&amp;LOWER(SUBSTITUTE(SUBSTITUTE($A10,"SAMPLE-",""),"CMP-","c"))&amp;"-"&amp;LOWER(SUBSTITUTE(SUBSTITUTE($B10,"SAMPLE-",""),"O-","o"))&amp;"-q"),scans!$D$2:$D$1601,"close")=0,"",SUMPRODUCT(MAX((scans!$C$2:$C$1601=(IF(LEFT($A10,7)="SAMPLE-","SAMPLE-","")&amp;LOWER(SUBSTITUTE(SUBSTITUTE($A10,"SAMPLE-",""),"CMP-","c"))&amp;"-"&amp;LOWER(SUBSTITUTE(SUBSTITUTE($B10,"SAMPLE-",""),"O-","o"))&amp;"-q"))*(scans!$D$2:$D$1601="close")*scans!$E$2:$E$1601))-SUMPRODUCT(MAX((scans!$C$2:$C$1601=(IF(LEFT($A10,7)="SAMPLE-","SAMPLE-","")&amp;LOWER(SUBSTITUTE(SUBSTITUTE($A10,"SAMPLE-",""),"CMP-","c"))&amp;"-"&amp;LOWER(SUBSTITUTE(SUBSTITUTE($B10,"SAMPLE-",""),"O-","o"))&amp;"-q"))*(scans!$D$2:$D$1601="baseline")*scans!$E$2:$E$1601))))</f>
        <v/>
      </c>
      <c r="AO10" s="25">
        <f>IF($A10="","",IF(COUNTIFS(scans!$C$2:$C$1601,(IF(LEFT($A10,7)="SAMPLE-","SAMPLE-","")&amp;LOWER(SUBSTITUTE(SUBSTITUTE($A10,"SAMPLE-",""),"CMP-","c"))&amp;"-"&amp;LOWER(SUBSTITUTE(SUBSTITUTE($B10,"SAMPLE-",""),"O-","o"))&amp;"-p"),scans!$D$2:$D$1601,"close")=0,"",SUMPRODUCT(MAX((scans!$C$2:$C$1601=(IF(LEFT($A10,7)="SAMPLE-","SAMPLE-","")&amp;LOWER(SUBSTITUTE(SUBSTITUTE($A10,"SAMPLE-",""),"CMP-","c"))&amp;"-"&amp;LOWER(SUBSTITUTE(SUBSTITUTE($B10,"SAMPLE-",""),"O-","o"))&amp;"-p"))*(scans!$D$2:$D$1601="close")*scans!$E$2:$E$1601))-SUMPRODUCT(MAX((scans!$C$2:$C$1601=(IF(LEFT($A10,7)="SAMPLE-","SAMPLE-","")&amp;LOWER(SUBSTITUTE(SUBSTITUTE($A10,"SAMPLE-",""),"CMP-","c"))&amp;"-"&amp;LOWER(SUBSTITUTE(SUBSTITUTE($B10,"SAMPLE-",""),"O-","o"))&amp;"-p"))*(scans!$D$2:$D$1601="baseline")*scans!$E$2:$E$1601))))</f>
        <v/>
      </c>
      <c r="AP10" s="25">
        <f>IF($A10="","",IF(COUNTIF(offices!$A$2:$A$61,$B10)=0,"office_id not on offices; ","")&amp;IF(COUNTIF(campaigns!$A$2:$A$51,$A10)=0,"campaign_id not on campaigns; ","")&amp;IF($P10="pending","approval pending; ","")&amp;IF(AND($U10&gt;0,$Y10="",OR($I10="",IF(config!$B$37&lt;&gt;"",config!$B$37,TODAY())&lt;=WORKDAY(N($I10),4,calendar!$A$2:$A$80))),"no usable placement photo yet; ","")&amp;IF(AND($Y10&lt;&gt;"",$Z10=""),"log the placed count; ","")&amp;IF(N($AA10)&gt;N($U10),"placed more than delivered; ","")&amp;IF(AND($AF10&lt;&gt;"",N($AF10)&gt;N($AA10)+N($AD10)),"day-5 count above placed plus top-ups; ","")&amp;IF(AND($U10&gt;0,$I10&lt;&gt;"",IF(config!$B$37&lt;&gt;"",config!$B$37,TODAY())&gt;WORKDAY(N($I10),4,calendar!$A$2:$A$80),$AF10=""),"day-5 count missing; ","")&amp;IF(AND($U10&gt;0,$I10&lt;&gt;"",IF(config!$B$37&lt;&gt;"",config!$B$37,TODAY())&gt;WORKDAY(N($I10),4,calendar!$A$2:$A$80),$AN10=""),"no close link reading; ","")&amp;$R10&amp;IF($P10="N","info: office said no; ","")&amp;IF(AND($P10="Y",$Q10="N"),"info: turned away at the door, so not on the drop (no letter, not in the report or Gate 2; the credit check is on campaigns); ","")&amp;IF(AND($U10&gt;0,$Y10="",$I10&lt;&gt;"",IF(config!$B$37&lt;&gt;"",config!$B$37,TODAY())&gt;WORKDAY(N($I10),4,calendar!$A$2:$A$80)),"info: no usable placement photo, so nothing counts as placed; ","")&amp;IF(AND($U10&gt;0,$I10&lt;&gt;"",IF(config!$B$37&lt;&gt;"",config!$B$37,TODAY())&gt;WORKDAY(N($I10),4,calendar!$A$2:$A$80),N($AL10)&lt;config!$B$30),"info: under "&amp;config!$B$30&amp;" responses; ","")&amp;IF($W10="packing_list","info: delivered count not verified; ",""))</f>
        <v/>
      </c>
      <c r="AQ10" s="25">
        <f>IF(OR($A10="",$I10=""),"",IF($BC10="Y",SUMIFS(survey_frozen!$E$2:$E$251,survey_frozen!$P$2:$P$251,$A10&amp;"|"&amp;$B10),IFERROR(COUNTIFS(INDIRECT("'"&amp;$A10&amp;"'!$B$2:$B$501"),$T10,INDIRECT("'"&amp;$A10&amp;"'!$A$2:$A$501"),"&gt;="&amp;$I10,INDIRECT("'"&amp;$A10&amp;"'!$A$2:$A$501"),"&lt;"&amp;($BA10+1),INDIRECT("'"&amp;$A10&amp;"'!$F$2:$F$501"),"Didn't see it"),0)))</f>
        <v/>
      </c>
      <c r="AR10" s="25">
        <f>IF(OR($A10="",$I10=""),"",IF($BC10="Y",SUMIFS(survey_frozen!$F$2:$F$251,survey_frozen!$P$2:$P$251,$A10&amp;"|"&amp;$B10),IFERROR(COUNTIFS(INDIRECT("'"&amp;$A10&amp;"'!$B$2:$B$501"),$T10,INDIRECT("'"&amp;$A10&amp;"'!$A$2:$A$501"),"&gt;="&amp;$I10,INDIRECT("'"&amp;$A10&amp;"'!$A$2:$A$501"),"&lt;"&amp;($BA10+1),INDIRECT("'"&amp;$A10&amp;"'!$F$2:$F$501"),"Not for me"),0)))</f>
        <v/>
      </c>
      <c r="AS10" s="25">
        <f>IF(OR($A10="",$I10=""),"",IF($BC10="Y",SUMIFS(survey_frozen!$G$2:$G$251,survey_frozen!$P$2:$P$251,$A10&amp;"|"&amp;$B10),IFERROR(COUNTIFS(INDIRECT("'"&amp;$A10&amp;"'!$B$2:$B$501"),$T10,INDIRECT("'"&amp;$A10&amp;"'!$A$2:$A$501"),"&gt;="&amp;$I10,INDIRECT("'"&amp;$A10&amp;"'!$A$2:$A$501"),"&lt;"&amp;($BA10+1),INDIRECT("'"&amp;$A10&amp;"'!$F$2:$F$501"),"Gone by the time I looked"),0)))</f>
        <v/>
      </c>
      <c r="AT10" s="25">
        <f>IF(OR($A10="",$I10=""),"",IF($BC10="Y",SUMIFS(survey_frozen!$H$2:$H$251,survey_frozen!$P$2:$P$251,$A10&amp;"|"&amp;$B10),IFERROR(COUNTIFS(INDIRECT("'"&amp;$A10&amp;"'!$B$2:$B$501"),$T10,INDIRECT("'"&amp;$A10&amp;"'!$A$2:$A$501"),"&gt;="&amp;$I10,INDIRECT("'"&amp;$A10&amp;"'!$A$2:$A$501"),"&lt;"&amp;($BA10+1),INDIRECT("'"&amp;$A10&amp;"'!$D$2:$D$501"),"&gt;=1"),0)))</f>
        <v/>
      </c>
      <c r="AU10" s="25">
        <f>IF(OR($A10="",$I10=""),"",IF($BC10="Y",SUMIFS(survey_frozen!$I$2:$I$251,survey_frozen!$P$2:$P$251,$A10&amp;"|"&amp;$B10),IFERROR(SUMIFS(INDIRECT("'"&amp;$A10&amp;"'!$D$2:$D$501"),INDIRECT("'"&amp;$A10&amp;"'!$B$2:$B$501"),$T10,INDIRECT("'"&amp;$A10&amp;"'!$A$2:$A$501"),"&gt;="&amp;$I10,INDIRECT("'"&amp;$A10&amp;"'!$A$2:$A$501"),"&lt;"&amp;($BA10+1)),0)))</f>
        <v/>
      </c>
      <c r="AV10" s="25">
        <f>IF(OR($A10="",$I10=""),"",IF($BC10="Y",SUMIFS(survey_frozen!$J$2:$J$251,survey_frozen!$P$2:$P$251,$A10&amp;"|"&amp;$B10),IFERROR(COUNTIFS(INDIRECT("'"&amp;$A10&amp;"'!$B$2:$B$501"),$T10,INDIRECT("'"&amp;$A10&amp;"'!$A$2:$A$501"),"&gt;="&amp;$I10,INDIRECT("'"&amp;$A10&amp;"'!$A$2:$A$501"),"&lt;"&amp;($BA10+1),INDIRECT("'"&amp;$A10&amp;"'!$E$2:$E$501"),"Yes"),0)))</f>
        <v/>
      </c>
      <c r="AW10" s="25">
        <f>IF(OR($A10="",$I10=""),"",IF($BC10="Y",SUMIFS(survey_frozen!$K$2:$K$251,survey_frozen!$P$2:$P$251,$A10&amp;"|"&amp;$B10),IFERROR(COUNTIFS(INDIRECT("'"&amp;$A10&amp;"'!$B$2:$B$501"),$T10,INDIRECT("'"&amp;$A10&amp;"'!$A$2:$A$501"),"&gt;="&amp;$I10,INDIRECT("'"&amp;$A10&amp;"'!$A$2:$A$501"),"&lt;"&amp;($BA10+1),INDIRECT("'"&amp;$A10&amp;"'!$E$2:$E$501"),"Maybe"),0)))</f>
        <v/>
      </c>
      <c r="AX10" s="25">
        <f>IF(OR($A10="",$I10=""),"",IF($BC10="Y",SUMIFS(survey_frozen!$L$2:$L$251,survey_frozen!$P$2:$P$251,$A10&amp;"|"&amp;$B10),IFERROR(COUNTIFS(INDIRECT("'"&amp;$A10&amp;"'!$B$2:$B$501"),$T10,INDIRECT("'"&amp;$A10&amp;"'!$A$2:$A$501"),"&gt;="&amp;$I10,INDIRECT("'"&amp;$A10&amp;"'!$A$2:$A$501"),"&lt;"&amp;($BA10+1),INDIRECT("'"&amp;$A10&amp;"'!$E$2:$E$501"),"No"),0)))</f>
        <v/>
      </c>
      <c r="AY10" s="25">
        <f>IF(OR($A10="",$I10=""),"",IF($BC10="Y",SUMIFS(survey_frozen!$M$2:$M$251,survey_frozen!$P$2:$P$251,$A10&amp;"|"&amp;$B10),IFERROR(COUNTIFS(INDIRECT("'"&amp;$A10&amp;"'!$B$2:$B$501"),$T10,INDIRECT("'"&amp;$A10&amp;"'!$A$2:$A$501"),"&gt;="&amp;$I10,INDIRECT("'"&amp;$A10&amp;"'!$A$2:$A$501"),"&lt;"&amp;($BA10+1),INDIRECT("'"&amp;$A10&amp;"'!$G$2:$G$501"),"&lt;&gt;"),0)))</f>
        <v/>
      </c>
      <c r="AZ10" s="25">
        <f>IF($A10="","",$A10&amp;"|"&amp;$L10)</f>
        <v/>
      </c>
      <c r="BA10" s="26">
        <f>IF($A10="","",IFERROR(IF(INDEX(drops!$R$2:$R$21,MATCH($H10,drops!$A$2:$A$21,0))="","",INDEX(drops!$R$2:$R$21,MATCH($H10,drops!$A$2:$A$21,0))),""))</f>
        <v/>
      </c>
      <c r="BB10" s="25">
        <f>IF(OR($A10="",$Q10&lt;&gt;"Y"),1000000,N($AL10))</f>
        <v/>
      </c>
      <c r="BC10" s="25">
        <f>IF($A10="","",IF(COUNTIF(survey_frozen!$P$2:$P$251,$A10&amp;"|"&amp;$B10)&gt;0,"Y",""))</f>
        <v/>
      </c>
    </row>
    <row r="11">
      <c r="A11" t="inlineStr">
        <is>
          <t>SAMPLE-CMP-002</t>
        </is>
      </c>
      <c r="B11" t="inlineStr">
        <is>
          <t>SAMPLE-O-005</t>
        </is>
      </c>
      <c r="C11" s="9" t="n">
        <v>46370</v>
      </c>
      <c r="D11" t="inlineStr">
        <is>
          <t>yes</t>
        </is>
      </c>
      <c r="E11" s="9" t="n">
        <v>46372</v>
      </c>
      <c r="F11" t="inlineStr">
        <is>
          <t>SAMPLE replied by email</t>
        </is>
      </c>
      <c r="H11" s="25">
        <f>IF($A11="","",IFERROR(IF(INDEX(campaigns!$B$2:$B$51,MATCH($A11,campaigns!$A$2:$A$51,0))="","",INDEX(campaigns!$B$2:$B$51,MATCH($A11,campaigns!$A$2:$A$51,0))),""))</f>
        <v/>
      </c>
      <c r="I11" s="26">
        <f>IF($A11="","",IFERROR(IF(INDEX(campaigns!$BG$2:$BG$51,MATCH($A11,campaigns!$A$2:$A$51,0))="","",INDEX(campaigns!$BG$2:$BG$51,MATCH($A11,campaigns!$A$2:$A$51,0))),""))</f>
        <v/>
      </c>
      <c r="J11" s="25">
        <f>IF($A11="","",IFERROR(IF(INDEX(campaigns!$BE$2:$BE$51,MATCH($A11,campaigns!$A$2:$A$51,0))="","",INDEX(campaigns!$BE$2:$BE$51,MATCH($A11,campaigns!$A$2:$A$51,0))),""))</f>
        <v/>
      </c>
      <c r="K11" s="25">
        <f>IF($B11="","",IFERROR(IF(INDEX(offices!$N$2:$N$61,MATCH($B11,offices!$A$2:$A$61,0))="","",INDEX(offices!$N$2:$N$61,MATCH($B11,offices!$A$2:$A$61,0))),""))</f>
        <v/>
      </c>
      <c r="L11" s="25">
        <f>IF($A11="","",IF($Q11="N","",COUNTIFS($A$2:$A11,$A11,$Q$2:$Q11,"&lt;&gt;N")))</f>
        <v/>
      </c>
      <c r="M11" s="25">
        <f>IF(OR($A11="",$L11=""),"",IF(AND(config!$B$34="names_if_public",IFERROR(IF(INDEX(offices!$AF$2:$AF$61,MATCH($B11,offices!$A$2:$A$61,0))="","",INDEX(offices!$AF$2:$AF$61,MATCH($B11,offices!$A$2:$A$61,0))),"")="Y"),$K11,CHAR(64+$L11)))</f>
        <v/>
      </c>
      <c r="N11" s="25">
        <f>IF(OR($A11="",$I11=""),"",COUNTIFS(stops!$B$2:$B$151,$B11,stops!$P$2:$P$151,"&lt;"&amp;$I11,stops!$L$2:$L$151,"&lt;&gt;not_delivered")+1)</f>
        <v/>
      </c>
      <c r="O11" s="25">
        <f>IF($A11="","",IF(N($N11)&lt;=config!$B$29,"explicit","opt-out"))</f>
        <v/>
      </c>
      <c r="P11" s="25">
        <f>IF($A11="","",IF($O11="explicit",IF($D11="yes","Y",IF($D11="no","N","pending")),IF($D11="no","N",IF(AND($C11&lt;&gt;"",$I11&lt;&gt;"",$C11&lt;=WORKDAY(N($I11),-5,calendar!$A$2:$A$80)),"Y","pending"))))</f>
        <v/>
      </c>
      <c r="Q11" s="25">
        <f>IF($A11="","",IF($P11="N","N",IF($P11&lt;&gt;"Y","pending",IF(AND((COUNTIFS(stops!$A$2:$A$151,$H11,stops!$B$2:$B$151,$B11,stops!$L$2:$L$151,"declined")+COUNTIFS(stops!$A$2:$A$151,$H11,stops!$B$2:$B$151,$B11,stops!$L$2:$L$151,"building_refused")+COUNTIFS(stops!$A$2:$A$151,$H11,stops!$B$2:$B$151,$B11,stops!$L$2:$L$151,"not_delivered"))&gt;0,N($U11)=0),"N","Y"))))</f>
        <v/>
      </c>
      <c r="R11" s="25">
        <f>IF($A11="","",IF(COUNTIFS($A$2:$A$251,$A11,$B$2:$B$251,$B11)&gt;1,"DUPLICATE ROW; ","")&amp;IF(AND(IFERROR(IF(INDEX(offices!$AC$2:$AC$61,MATCH($B11,offices!$A$2:$A$61,0))="","",INDEX(offices!$AC$2:$AC$61,MATCH($B11,offices!$A$2:$A$61,0))),"")&lt;&gt;"",ISNUMBER(SEARCH($J11,IFERROR(IF(INDEX(offices!$AC$2:$AC$61,MATCH($B11,offices!$A$2:$A$61,0))="","",INDEX(offices!$AC$2:$AC$61,MATCH($B11,offices!$A$2:$A$61,0))),"")))),"BRAND VETOED; ","")&amp;IF(ISNUMBER(SEARCH(IFERROR(IF(INDEX(campaigns!$BF$2:$BF$51,MATCH($A11,campaigns!$A$2:$A$51,0))="","",INDEX(campaigns!$BF$2:$BF$51,MATCH($A11,campaigns!$A$2:$A$51,0))),""),IFERROR(IF(INDEX(offices!$AB$2:$AB$61,MATCH($B11,offices!$A$2:$A$61,0))="","",INDEX(offices!$AB$2:$AB$61,MATCH($B11,offices!$A$2:$A$61,0))),""))),"","info: category not on the office's list; ")&amp;IF(IFERROR(IF(INDEX(offices!$AC$2:$AC$61,MATCH($B11,offices!$A$2:$A$61,0))="","",INDEX(offices!$AC$2:$AC$61,MATCH($B11,offices!$A$2:$A$61,0))),"")&lt;&gt;"","info: read the vetoes against the label; ",""))</f>
        <v/>
      </c>
      <c r="S11" s="25">
        <f>IF($A11="","",IF($G11&lt;&gt;"",$G11,IFERROR(IF(INDEX(offices!$AL$2:$AL$61,MATCH($B11,offices!$A$2:$A$61,0))="","",INDEX(offices!$AL$2:$AL$61,MATCH($B11,offices!$A$2:$A$61,0))),"")))</f>
        <v/>
      </c>
      <c r="T11" s="25">
        <f>IF($A11="","",$A11&amp;"."&amp;$B11)</f>
        <v/>
      </c>
      <c r="U11" s="25">
        <f>IF($A11="","",SUMIFS(inventory!$G$2:$G$801,inventory!$C$2:$C$801,$A11,inventory!$D$2:$D$801,$B11,inventory!$E$2:$E$801,"delivered"))</f>
        <v/>
      </c>
      <c r="V11" s="32">
        <f>IF($A11="","",IFERROR(1/(1/SUMPRODUCT(MAX((inventory!$C$2:$C$801=$A11)*(inventory!$D$2:$D$801=$B11)*(inventory!$E$2:$E$801="delivered")*(inventory!$A$2:$A$801+inventory!$B$2:$B$801)))),""))</f>
        <v/>
      </c>
      <c r="W11" s="25">
        <f>IF($A11="","",IFERROR(IF(INDEX(inventory!$J$2:$J$801,MATCH($A11&amp;"|"&amp;$B11&amp;"|delivered",inventory!$R$2:$R$801,0))="","",INDEX(inventory!$J$2:$J$801,MATCH($A11&amp;"|"&amp;$B11&amp;"|delivered",inventory!$R$2:$R$801,0))),""))</f>
        <v/>
      </c>
      <c r="X11" s="25">
        <f>IF($A11="","",IFERROR(IF(INDEX(photos!$H$2:$H$701,MATCH($A11&amp;"|"&amp;$B11&amp;"|placement|Y",photos!$R$2:$R$701,0))="","",INDEX(photos!$H$2:$H$701,MATCH($A11&amp;"|"&amp;$B11&amp;"|placement|Y",photos!$R$2:$R$701,0))),""))</f>
        <v/>
      </c>
      <c r="Y11" s="26">
        <f>IF($A11="","",IFERROR(IF(INDEX(photos!$E$2:$E$701,MATCH($A11&amp;"|"&amp;$B11&amp;"|placement|Y",photos!$R$2:$R$701,0))="","",INDEX(photos!$E$2:$E$701,MATCH($A11&amp;"|"&amp;$B11&amp;"|placement|Y",photos!$R$2:$R$701,0))),""))</f>
        <v/>
      </c>
      <c r="Z11" s="25">
        <f>IF($A11="","",IF(COUNTIFS(counts!$C$2:$C$701,$A11,counts!$D$2:$D$701,$B11,counts!$E$2:$E$701,"placed")=0,"",SUMIFS(counts!$F$2:$F$701,counts!$C$2:$C$701,$A11,counts!$D$2:$D$701,$B11,counts!$E$2:$E$701,"placed")))</f>
        <v/>
      </c>
      <c r="AA11" s="25">
        <f>IF($A11="","",IF($Y11="",0,N($Z11)))</f>
        <v/>
      </c>
      <c r="AB11" s="25">
        <f>IF($A11="","",IF(OR($Y11="",$I11=""),"N",IF($Y11&lt;=WORKDAY(N($I11),1,calendar!$A$2:$A$80),"Y","N")))</f>
        <v/>
      </c>
      <c r="AC11" s="28">
        <f>IF(OR($A11="",$V11="",$Y11=""),"",ROUND(($Y11+N(IFERROR(IF(INDEX(photos!$F$2:$F$701,MATCH($A11&amp;"|"&amp;$B11&amp;"|placement|Y",photos!$R$2:$R$701,0))="","",INDEX(photos!$F$2:$F$701,MATCH($A11&amp;"|"&amp;$B11&amp;"|placement|Y",photos!$R$2:$R$701,0))),""))-$V11)*24,1))</f>
        <v/>
      </c>
      <c r="AD11" s="25">
        <f>IF($A11="","",SUMIFS(inventory!$G$2:$G$801,inventory!$C$2:$C$801,$A11,inventory!$D$2:$D$801,$B11,inventory!$E$2:$E$801,"topped_up"))</f>
        <v/>
      </c>
      <c r="AE11" s="25">
        <f>IF($A11="","",IF(COUNTIFS(counts!$C$2:$C$701,$A11,counts!$D$2:$D$701,$B11,counts!$E$2:$E$701,"remaining_day3")=0,"",SUMIFS(counts!$F$2:$F$701,counts!$C$2:$C$701,$A11,counts!$D$2:$D$701,$B11,counts!$E$2:$E$701,"remaining_day3")))</f>
        <v/>
      </c>
      <c r="AF11" s="25">
        <f>IF($A11="","",IF(COUNTIFS(counts!$C$2:$C$701,$A11,counts!$D$2:$D$701,$B11,counts!$E$2:$E$701,"remaining_day5")=0,"",SUMIFS(counts!$F$2:$F$701,counts!$C$2:$C$701,$A11,counts!$D$2:$D$701,$B11,counts!$E$2:$E$701,"remaining_day5")))</f>
        <v/>
      </c>
      <c r="AG11" s="25">
        <f>IF(OR($A11="",$AF11=""),"",MAX(0,$AA11+$AD11-$AF11))</f>
        <v/>
      </c>
      <c r="AH11" s="25">
        <f>IF(OR($A11="",$AI11=""),"",IFERROR(IF(INDEX(photos!$H$2:$H$701,MATCH($A11&amp;"|"&amp;$B11&amp;"|later|Y|"&amp;$AI11,photos!$S$2:$S$701,0))="","",INDEX(photos!$H$2:$H$701,MATCH($A11&amp;"|"&amp;$B11&amp;"|later|Y|"&amp;$AI11,photos!$S$2:$S$701,0))),""))</f>
        <v/>
      </c>
      <c r="AI11" s="26">
        <f>IF($A11="","",IFERROR(1/(1/SUMPRODUCT(MAX((photos!$B$2:$B$701=$A11)*(photos!$C$2:$C$701=$B11)*(photos!$D$2:$D$701="later")*(photos!$O$2:$O$701="Y")*photos!$E$2:$E$701))),""))</f>
        <v/>
      </c>
      <c r="AJ11" s="25">
        <f>IF(OR($A11="",$AI11="",$I11=""),"",NETWORKDAYS($I11,$AI11,calendar!$A$2:$A$80))</f>
        <v/>
      </c>
      <c r="AK11" s="25">
        <f>IF($A11="","",IF(AND($X11&lt;&gt;"",$AH11&lt;&gt;""),"Y","N"))</f>
        <v/>
      </c>
      <c r="AL11" s="25">
        <f>IF(OR($A11="",$I11=""),"",IF($BC11="Y",SUMIFS(survey_frozen!$C$2:$C$251,survey_frozen!$P$2:$P$251,$A11&amp;"|"&amp;$B11),IFERROR(COUNTIFS(INDIRECT("'"&amp;$A11&amp;"'!$B$2:$B$501"),$T11,INDIRECT("'"&amp;$A11&amp;"'!$A$2:$A$501"),"&gt;="&amp;$I11,INDIRECT("'"&amp;$A11&amp;"'!$A$2:$A$501"),"&lt;"&amp;($BA11+1)),0)))</f>
        <v/>
      </c>
      <c r="AM11" s="25">
        <f>IF(OR($A11="",$I11=""),"",IF($BC11="Y",SUMIFS(survey_frozen!$D$2:$D$251,survey_frozen!$P$2:$P$251,$A11&amp;"|"&amp;$B11),IFERROR(COUNTIFS(INDIRECT("'"&amp;$A11&amp;"'!$B$2:$B$501"),$T11,INDIRECT("'"&amp;$A11&amp;"'!$A$2:$A$501"),"&gt;="&amp;$I11,INDIRECT("'"&amp;$A11&amp;"'!$A$2:$A$501"),"&lt;"&amp;($BA11+1),INDIRECT("'"&amp;$A11&amp;"'!$C$2:$C$501"),"Yes"),0)))</f>
        <v/>
      </c>
      <c r="AN11" s="25">
        <f>IF($A11="","",IF(COUNTIFS(scans!$C$2:$C$1601,(IF(LEFT($A11,7)="SAMPLE-","SAMPLE-","")&amp;LOWER(SUBSTITUTE(SUBSTITUTE($A11,"SAMPLE-",""),"CMP-","c"))&amp;"-"&amp;LOWER(SUBSTITUTE(SUBSTITUTE($B11,"SAMPLE-",""),"O-","o"))&amp;"-q"),scans!$D$2:$D$1601,"close")=0,"",SUMPRODUCT(MAX((scans!$C$2:$C$1601=(IF(LEFT($A11,7)="SAMPLE-","SAMPLE-","")&amp;LOWER(SUBSTITUTE(SUBSTITUTE($A11,"SAMPLE-",""),"CMP-","c"))&amp;"-"&amp;LOWER(SUBSTITUTE(SUBSTITUTE($B11,"SAMPLE-",""),"O-","o"))&amp;"-q"))*(scans!$D$2:$D$1601="close")*scans!$E$2:$E$1601))-SUMPRODUCT(MAX((scans!$C$2:$C$1601=(IF(LEFT($A11,7)="SAMPLE-","SAMPLE-","")&amp;LOWER(SUBSTITUTE(SUBSTITUTE($A11,"SAMPLE-",""),"CMP-","c"))&amp;"-"&amp;LOWER(SUBSTITUTE(SUBSTITUTE($B11,"SAMPLE-",""),"O-","o"))&amp;"-q"))*(scans!$D$2:$D$1601="baseline")*scans!$E$2:$E$1601))))</f>
        <v/>
      </c>
      <c r="AO11" s="25">
        <f>IF($A11="","",IF(COUNTIFS(scans!$C$2:$C$1601,(IF(LEFT($A11,7)="SAMPLE-","SAMPLE-","")&amp;LOWER(SUBSTITUTE(SUBSTITUTE($A11,"SAMPLE-",""),"CMP-","c"))&amp;"-"&amp;LOWER(SUBSTITUTE(SUBSTITUTE($B11,"SAMPLE-",""),"O-","o"))&amp;"-p"),scans!$D$2:$D$1601,"close")=0,"",SUMPRODUCT(MAX((scans!$C$2:$C$1601=(IF(LEFT($A11,7)="SAMPLE-","SAMPLE-","")&amp;LOWER(SUBSTITUTE(SUBSTITUTE($A11,"SAMPLE-",""),"CMP-","c"))&amp;"-"&amp;LOWER(SUBSTITUTE(SUBSTITUTE($B11,"SAMPLE-",""),"O-","o"))&amp;"-p"))*(scans!$D$2:$D$1601="close")*scans!$E$2:$E$1601))-SUMPRODUCT(MAX((scans!$C$2:$C$1601=(IF(LEFT($A11,7)="SAMPLE-","SAMPLE-","")&amp;LOWER(SUBSTITUTE(SUBSTITUTE($A11,"SAMPLE-",""),"CMP-","c"))&amp;"-"&amp;LOWER(SUBSTITUTE(SUBSTITUTE($B11,"SAMPLE-",""),"O-","o"))&amp;"-p"))*(scans!$D$2:$D$1601="baseline")*scans!$E$2:$E$1601))))</f>
        <v/>
      </c>
      <c r="AP11" s="25">
        <f>IF($A11="","",IF(COUNTIF(offices!$A$2:$A$61,$B11)=0,"office_id not on offices; ","")&amp;IF(COUNTIF(campaigns!$A$2:$A$51,$A11)=0,"campaign_id not on campaigns; ","")&amp;IF($P11="pending","approval pending; ","")&amp;IF(AND($U11&gt;0,$Y11="",OR($I11="",IF(config!$B$37&lt;&gt;"",config!$B$37,TODAY())&lt;=WORKDAY(N($I11),4,calendar!$A$2:$A$80))),"no usable placement photo yet; ","")&amp;IF(AND($Y11&lt;&gt;"",$Z11=""),"log the placed count; ","")&amp;IF(N($AA11)&gt;N($U11),"placed more than delivered; ","")&amp;IF(AND($AF11&lt;&gt;"",N($AF11)&gt;N($AA11)+N($AD11)),"day-5 count above placed plus top-ups; ","")&amp;IF(AND($U11&gt;0,$I11&lt;&gt;"",IF(config!$B$37&lt;&gt;"",config!$B$37,TODAY())&gt;WORKDAY(N($I11),4,calendar!$A$2:$A$80),$AF11=""),"day-5 count missing; ","")&amp;IF(AND($U11&gt;0,$I11&lt;&gt;"",IF(config!$B$37&lt;&gt;"",config!$B$37,TODAY())&gt;WORKDAY(N($I11),4,calendar!$A$2:$A$80),$AN11=""),"no close link reading; ","")&amp;$R11&amp;IF($P11="N","info: office said no; ","")&amp;IF(AND($P11="Y",$Q11="N"),"info: turned away at the door, so not on the drop (no letter, not in the report or Gate 2; the credit check is on campaigns); ","")&amp;IF(AND($U11&gt;0,$Y11="",$I11&lt;&gt;"",IF(config!$B$37&lt;&gt;"",config!$B$37,TODAY())&gt;WORKDAY(N($I11),4,calendar!$A$2:$A$80)),"info: no usable placement photo, so nothing counts as placed; ","")&amp;IF(AND($U11&gt;0,$I11&lt;&gt;"",IF(config!$B$37&lt;&gt;"",config!$B$37,TODAY())&gt;WORKDAY(N($I11),4,calendar!$A$2:$A$80),N($AL11)&lt;config!$B$30),"info: under "&amp;config!$B$30&amp;" responses; ","")&amp;IF($W11="packing_list","info: delivered count not verified; ",""))</f>
        <v/>
      </c>
      <c r="AQ11" s="25">
        <f>IF(OR($A11="",$I11=""),"",IF($BC11="Y",SUMIFS(survey_frozen!$E$2:$E$251,survey_frozen!$P$2:$P$251,$A11&amp;"|"&amp;$B11),IFERROR(COUNTIFS(INDIRECT("'"&amp;$A11&amp;"'!$B$2:$B$501"),$T11,INDIRECT("'"&amp;$A11&amp;"'!$A$2:$A$501"),"&gt;="&amp;$I11,INDIRECT("'"&amp;$A11&amp;"'!$A$2:$A$501"),"&lt;"&amp;($BA11+1),INDIRECT("'"&amp;$A11&amp;"'!$F$2:$F$501"),"Didn't see it"),0)))</f>
        <v/>
      </c>
      <c r="AR11" s="25">
        <f>IF(OR($A11="",$I11=""),"",IF($BC11="Y",SUMIFS(survey_frozen!$F$2:$F$251,survey_frozen!$P$2:$P$251,$A11&amp;"|"&amp;$B11),IFERROR(COUNTIFS(INDIRECT("'"&amp;$A11&amp;"'!$B$2:$B$501"),$T11,INDIRECT("'"&amp;$A11&amp;"'!$A$2:$A$501"),"&gt;="&amp;$I11,INDIRECT("'"&amp;$A11&amp;"'!$A$2:$A$501"),"&lt;"&amp;($BA11+1),INDIRECT("'"&amp;$A11&amp;"'!$F$2:$F$501"),"Not for me"),0)))</f>
        <v/>
      </c>
      <c r="AS11" s="25">
        <f>IF(OR($A11="",$I11=""),"",IF($BC11="Y",SUMIFS(survey_frozen!$G$2:$G$251,survey_frozen!$P$2:$P$251,$A11&amp;"|"&amp;$B11),IFERROR(COUNTIFS(INDIRECT("'"&amp;$A11&amp;"'!$B$2:$B$501"),$T11,INDIRECT("'"&amp;$A11&amp;"'!$A$2:$A$501"),"&gt;="&amp;$I11,INDIRECT("'"&amp;$A11&amp;"'!$A$2:$A$501"),"&lt;"&amp;($BA11+1),INDIRECT("'"&amp;$A11&amp;"'!$F$2:$F$501"),"Gone by the time I looked"),0)))</f>
        <v/>
      </c>
      <c r="AT11" s="25">
        <f>IF(OR($A11="",$I11=""),"",IF($BC11="Y",SUMIFS(survey_frozen!$H$2:$H$251,survey_frozen!$P$2:$P$251,$A11&amp;"|"&amp;$B11),IFERROR(COUNTIFS(INDIRECT("'"&amp;$A11&amp;"'!$B$2:$B$501"),$T11,INDIRECT("'"&amp;$A11&amp;"'!$A$2:$A$501"),"&gt;="&amp;$I11,INDIRECT("'"&amp;$A11&amp;"'!$A$2:$A$501"),"&lt;"&amp;($BA11+1),INDIRECT("'"&amp;$A11&amp;"'!$D$2:$D$501"),"&gt;=1"),0)))</f>
        <v/>
      </c>
      <c r="AU11" s="25">
        <f>IF(OR($A11="",$I11=""),"",IF($BC11="Y",SUMIFS(survey_frozen!$I$2:$I$251,survey_frozen!$P$2:$P$251,$A11&amp;"|"&amp;$B11),IFERROR(SUMIFS(INDIRECT("'"&amp;$A11&amp;"'!$D$2:$D$501"),INDIRECT("'"&amp;$A11&amp;"'!$B$2:$B$501"),$T11,INDIRECT("'"&amp;$A11&amp;"'!$A$2:$A$501"),"&gt;="&amp;$I11,INDIRECT("'"&amp;$A11&amp;"'!$A$2:$A$501"),"&lt;"&amp;($BA11+1)),0)))</f>
        <v/>
      </c>
      <c r="AV11" s="25">
        <f>IF(OR($A11="",$I11=""),"",IF($BC11="Y",SUMIFS(survey_frozen!$J$2:$J$251,survey_frozen!$P$2:$P$251,$A11&amp;"|"&amp;$B11),IFERROR(COUNTIFS(INDIRECT("'"&amp;$A11&amp;"'!$B$2:$B$501"),$T11,INDIRECT("'"&amp;$A11&amp;"'!$A$2:$A$501"),"&gt;="&amp;$I11,INDIRECT("'"&amp;$A11&amp;"'!$A$2:$A$501"),"&lt;"&amp;($BA11+1),INDIRECT("'"&amp;$A11&amp;"'!$E$2:$E$501"),"Yes"),0)))</f>
        <v/>
      </c>
      <c r="AW11" s="25">
        <f>IF(OR($A11="",$I11=""),"",IF($BC11="Y",SUMIFS(survey_frozen!$K$2:$K$251,survey_frozen!$P$2:$P$251,$A11&amp;"|"&amp;$B11),IFERROR(COUNTIFS(INDIRECT("'"&amp;$A11&amp;"'!$B$2:$B$501"),$T11,INDIRECT("'"&amp;$A11&amp;"'!$A$2:$A$501"),"&gt;="&amp;$I11,INDIRECT("'"&amp;$A11&amp;"'!$A$2:$A$501"),"&lt;"&amp;($BA11+1),INDIRECT("'"&amp;$A11&amp;"'!$E$2:$E$501"),"Maybe"),0)))</f>
        <v/>
      </c>
      <c r="AX11" s="25">
        <f>IF(OR($A11="",$I11=""),"",IF($BC11="Y",SUMIFS(survey_frozen!$L$2:$L$251,survey_frozen!$P$2:$P$251,$A11&amp;"|"&amp;$B11),IFERROR(COUNTIFS(INDIRECT("'"&amp;$A11&amp;"'!$B$2:$B$501"),$T11,INDIRECT("'"&amp;$A11&amp;"'!$A$2:$A$501"),"&gt;="&amp;$I11,INDIRECT("'"&amp;$A11&amp;"'!$A$2:$A$501"),"&lt;"&amp;($BA11+1),INDIRECT("'"&amp;$A11&amp;"'!$E$2:$E$501"),"No"),0)))</f>
        <v/>
      </c>
      <c r="AY11" s="25">
        <f>IF(OR($A11="",$I11=""),"",IF($BC11="Y",SUMIFS(survey_frozen!$M$2:$M$251,survey_frozen!$P$2:$P$251,$A11&amp;"|"&amp;$B11),IFERROR(COUNTIFS(INDIRECT("'"&amp;$A11&amp;"'!$B$2:$B$501"),$T11,INDIRECT("'"&amp;$A11&amp;"'!$A$2:$A$501"),"&gt;="&amp;$I11,INDIRECT("'"&amp;$A11&amp;"'!$A$2:$A$501"),"&lt;"&amp;($BA11+1),INDIRECT("'"&amp;$A11&amp;"'!$G$2:$G$501"),"&lt;&gt;"),0)))</f>
        <v/>
      </c>
      <c r="AZ11" s="25">
        <f>IF($A11="","",$A11&amp;"|"&amp;$L11)</f>
        <v/>
      </c>
      <c r="BA11" s="26">
        <f>IF($A11="","",IFERROR(IF(INDEX(drops!$R$2:$R$21,MATCH($H11,drops!$A$2:$A$21,0))="","",INDEX(drops!$R$2:$R$21,MATCH($H11,drops!$A$2:$A$21,0))),""))</f>
        <v/>
      </c>
      <c r="BB11" s="25">
        <f>IF(OR($A11="",$Q11&lt;&gt;"Y"),1000000,N($AL11))</f>
        <v/>
      </c>
      <c r="BC11" s="25">
        <f>IF($A11="","",IF(COUNTIF(survey_frozen!$P$2:$P$251,$A11&amp;"|"&amp;$B11)&gt;0,"Y",""))</f>
        <v/>
      </c>
    </row>
    <row r="12">
      <c r="A12" t="inlineStr">
        <is>
          <t>SAMPLE-CMP-003</t>
        </is>
      </c>
      <c r="B12" t="inlineStr">
        <is>
          <t>SAMPLE-O-001</t>
        </is>
      </c>
      <c r="C12" s="9" t="n">
        <v>46391</v>
      </c>
      <c r="D12" t="inlineStr">
        <is>
          <t>yes</t>
        </is>
      </c>
      <c r="E12" s="9" t="n">
        <v>46392</v>
      </c>
      <c r="F12" t="inlineStr">
        <is>
          <t>SAMPLE replied by email</t>
        </is>
      </c>
      <c r="H12" s="25">
        <f>IF($A12="","",IFERROR(IF(INDEX(campaigns!$B$2:$B$51,MATCH($A12,campaigns!$A$2:$A$51,0))="","",INDEX(campaigns!$B$2:$B$51,MATCH($A12,campaigns!$A$2:$A$51,0))),""))</f>
        <v/>
      </c>
      <c r="I12" s="26">
        <f>IF($A12="","",IFERROR(IF(INDEX(campaigns!$BG$2:$BG$51,MATCH($A12,campaigns!$A$2:$A$51,0))="","",INDEX(campaigns!$BG$2:$BG$51,MATCH($A12,campaigns!$A$2:$A$51,0))),""))</f>
        <v/>
      </c>
      <c r="J12" s="25">
        <f>IF($A12="","",IFERROR(IF(INDEX(campaigns!$BE$2:$BE$51,MATCH($A12,campaigns!$A$2:$A$51,0))="","",INDEX(campaigns!$BE$2:$BE$51,MATCH($A12,campaigns!$A$2:$A$51,0))),""))</f>
        <v/>
      </c>
      <c r="K12" s="25">
        <f>IF($B12="","",IFERROR(IF(INDEX(offices!$N$2:$N$61,MATCH($B12,offices!$A$2:$A$61,0))="","",INDEX(offices!$N$2:$N$61,MATCH($B12,offices!$A$2:$A$61,0))),""))</f>
        <v/>
      </c>
      <c r="L12" s="25">
        <f>IF($A12="","",IF($Q12="N","",COUNTIFS($A$2:$A12,$A12,$Q$2:$Q12,"&lt;&gt;N")))</f>
        <v/>
      </c>
      <c r="M12" s="25">
        <f>IF(OR($A12="",$L12=""),"",IF(AND(config!$B$34="names_if_public",IFERROR(IF(INDEX(offices!$AF$2:$AF$61,MATCH($B12,offices!$A$2:$A$61,0))="","",INDEX(offices!$AF$2:$AF$61,MATCH($B12,offices!$A$2:$A$61,0))),"")="Y"),$K12,CHAR(64+$L12)))</f>
        <v/>
      </c>
      <c r="N12" s="25">
        <f>IF(OR($A12="",$I12=""),"",COUNTIFS(stops!$B$2:$B$151,$B12,stops!$P$2:$P$151,"&lt;"&amp;$I12,stops!$L$2:$L$151,"&lt;&gt;not_delivered")+1)</f>
        <v/>
      </c>
      <c r="O12" s="25">
        <f>IF($A12="","",IF(N($N12)&lt;=config!$B$29,"explicit","opt-out"))</f>
        <v/>
      </c>
      <c r="P12" s="25">
        <f>IF($A12="","",IF($O12="explicit",IF($D12="yes","Y",IF($D12="no","N","pending")),IF($D12="no","N",IF(AND($C12&lt;&gt;"",$I12&lt;&gt;"",$C12&lt;=WORKDAY(N($I12),-5,calendar!$A$2:$A$80)),"Y","pending"))))</f>
        <v/>
      </c>
      <c r="Q12" s="25">
        <f>IF($A12="","",IF($P12="N","N",IF($P12&lt;&gt;"Y","pending",IF(AND((COUNTIFS(stops!$A$2:$A$151,$H12,stops!$B$2:$B$151,$B12,stops!$L$2:$L$151,"declined")+COUNTIFS(stops!$A$2:$A$151,$H12,stops!$B$2:$B$151,$B12,stops!$L$2:$L$151,"building_refused")+COUNTIFS(stops!$A$2:$A$151,$H12,stops!$B$2:$B$151,$B12,stops!$L$2:$L$151,"not_delivered"))&gt;0,N($U12)=0),"N","Y"))))</f>
        <v/>
      </c>
      <c r="R12" s="25">
        <f>IF($A12="","",IF(COUNTIFS($A$2:$A$251,$A12,$B$2:$B$251,$B12)&gt;1,"DUPLICATE ROW; ","")&amp;IF(AND(IFERROR(IF(INDEX(offices!$AC$2:$AC$61,MATCH($B12,offices!$A$2:$A$61,0))="","",INDEX(offices!$AC$2:$AC$61,MATCH($B12,offices!$A$2:$A$61,0))),"")&lt;&gt;"",ISNUMBER(SEARCH($J12,IFERROR(IF(INDEX(offices!$AC$2:$AC$61,MATCH($B12,offices!$A$2:$A$61,0))="","",INDEX(offices!$AC$2:$AC$61,MATCH($B12,offices!$A$2:$A$61,0))),"")))),"BRAND VETOED; ","")&amp;IF(ISNUMBER(SEARCH(IFERROR(IF(INDEX(campaigns!$BF$2:$BF$51,MATCH($A12,campaigns!$A$2:$A$51,0))="","",INDEX(campaigns!$BF$2:$BF$51,MATCH($A12,campaigns!$A$2:$A$51,0))),""),IFERROR(IF(INDEX(offices!$AB$2:$AB$61,MATCH($B12,offices!$A$2:$A$61,0))="","",INDEX(offices!$AB$2:$AB$61,MATCH($B12,offices!$A$2:$A$61,0))),""))),"","info: category not on the office's list; ")&amp;IF(IFERROR(IF(INDEX(offices!$AC$2:$AC$61,MATCH($B12,offices!$A$2:$A$61,0))="","",INDEX(offices!$AC$2:$AC$61,MATCH($B12,offices!$A$2:$A$61,0))),"")&lt;&gt;"","info: read the vetoes against the label; ",""))</f>
        <v/>
      </c>
      <c r="S12" s="25">
        <f>IF($A12="","",IF($G12&lt;&gt;"",$G12,IFERROR(IF(INDEX(offices!$AL$2:$AL$61,MATCH($B12,offices!$A$2:$A$61,0))="","",INDEX(offices!$AL$2:$AL$61,MATCH($B12,offices!$A$2:$A$61,0))),"")))</f>
        <v/>
      </c>
      <c r="T12" s="25">
        <f>IF($A12="","",$A12&amp;"."&amp;$B12)</f>
        <v/>
      </c>
      <c r="U12" s="25">
        <f>IF($A12="","",SUMIFS(inventory!$G$2:$G$801,inventory!$C$2:$C$801,$A12,inventory!$D$2:$D$801,$B12,inventory!$E$2:$E$801,"delivered"))</f>
        <v/>
      </c>
      <c r="V12" s="32">
        <f>IF($A12="","",IFERROR(1/(1/SUMPRODUCT(MAX((inventory!$C$2:$C$801=$A12)*(inventory!$D$2:$D$801=$B12)*(inventory!$E$2:$E$801="delivered")*(inventory!$A$2:$A$801+inventory!$B$2:$B$801)))),""))</f>
        <v/>
      </c>
      <c r="W12" s="25">
        <f>IF($A12="","",IFERROR(IF(INDEX(inventory!$J$2:$J$801,MATCH($A12&amp;"|"&amp;$B12&amp;"|delivered",inventory!$R$2:$R$801,0))="","",INDEX(inventory!$J$2:$J$801,MATCH($A12&amp;"|"&amp;$B12&amp;"|delivered",inventory!$R$2:$R$801,0))),""))</f>
        <v/>
      </c>
      <c r="X12" s="25">
        <f>IF($A12="","",IFERROR(IF(INDEX(photos!$H$2:$H$701,MATCH($A12&amp;"|"&amp;$B12&amp;"|placement|Y",photos!$R$2:$R$701,0))="","",INDEX(photos!$H$2:$H$701,MATCH($A12&amp;"|"&amp;$B12&amp;"|placement|Y",photos!$R$2:$R$701,0))),""))</f>
        <v/>
      </c>
      <c r="Y12" s="26">
        <f>IF($A12="","",IFERROR(IF(INDEX(photos!$E$2:$E$701,MATCH($A12&amp;"|"&amp;$B12&amp;"|placement|Y",photos!$R$2:$R$701,0))="","",INDEX(photos!$E$2:$E$701,MATCH($A12&amp;"|"&amp;$B12&amp;"|placement|Y",photos!$R$2:$R$701,0))),""))</f>
        <v/>
      </c>
      <c r="Z12" s="25">
        <f>IF($A12="","",IF(COUNTIFS(counts!$C$2:$C$701,$A12,counts!$D$2:$D$701,$B12,counts!$E$2:$E$701,"placed")=0,"",SUMIFS(counts!$F$2:$F$701,counts!$C$2:$C$701,$A12,counts!$D$2:$D$701,$B12,counts!$E$2:$E$701,"placed")))</f>
        <v/>
      </c>
      <c r="AA12" s="25">
        <f>IF($A12="","",IF($Y12="",0,N($Z12)))</f>
        <v/>
      </c>
      <c r="AB12" s="25">
        <f>IF($A12="","",IF(OR($Y12="",$I12=""),"N",IF($Y12&lt;=WORKDAY(N($I12),1,calendar!$A$2:$A$80),"Y","N")))</f>
        <v/>
      </c>
      <c r="AC12" s="28">
        <f>IF(OR($A12="",$V12="",$Y12=""),"",ROUND(($Y12+N(IFERROR(IF(INDEX(photos!$F$2:$F$701,MATCH($A12&amp;"|"&amp;$B12&amp;"|placement|Y",photos!$R$2:$R$701,0))="","",INDEX(photos!$F$2:$F$701,MATCH($A12&amp;"|"&amp;$B12&amp;"|placement|Y",photos!$R$2:$R$701,0))),""))-$V12)*24,1))</f>
        <v/>
      </c>
      <c r="AD12" s="25">
        <f>IF($A12="","",SUMIFS(inventory!$G$2:$G$801,inventory!$C$2:$C$801,$A12,inventory!$D$2:$D$801,$B12,inventory!$E$2:$E$801,"topped_up"))</f>
        <v/>
      </c>
      <c r="AE12" s="25">
        <f>IF($A12="","",IF(COUNTIFS(counts!$C$2:$C$701,$A12,counts!$D$2:$D$701,$B12,counts!$E$2:$E$701,"remaining_day3")=0,"",SUMIFS(counts!$F$2:$F$701,counts!$C$2:$C$701,$A12,counts!$D$2:$D$701,$B12,counts!$E$2:$E$701,"remaining_day3")))</f>
        <v/>
      </c>
      <c r="AF12" s="25">
        <f>IF($A12="","",IF(COUNTIFS(counts!$C$2:$C$701,$A12,counts!$D$2:$D$701,$B12,counts!$E$2:$E$701,"remaining_day5")=0,"",SUMIFS(counts!$F$2:$F$701,counts!$C$2:$C$701,$A12,counts!$D$2:$D$701,$B12,counts!$E$2:$E$701,"remaining_day5")))</f>
        <v/>
      </c>
      <c r="AG12" s="25">
        <f>IF(OR($A12="",$AF12=""),"",MAX(0,$AA12+$AD12-$AF12))</f>
        <v/>
      </c>
      <c r="AH12" s="25">
        <f>IF(OR($A12="",$AI12=""),"",IFERROR(IF(INDEX(photos!$H$2:$H$701,MATCH($A12&amp;"|"&amp;$B12&amp;"|later|Y|"&amp;$AI12,photos!$S$2:$S$701,0))="","",INDEX(photos!$H$2:$H$701,MATCH($A12&amp;"|"&amp;$B12&amp;"|later|Y|"&amp;$AI12,photos!$S$2:$S$701,0))),""))</f>
        <v/>
      </c>
      <c r="AI12" s="26">
        <f>IF($A12="","",IFERROR(1/(1/SUMPRODUCT(MAX((photos!$B$2:$B$701=$A12)*(photos!$C$2:$C$701=$B12)*(photos!$D$2:$D$701="later")*(photos!$O$2:$O$701="Y")*photos!$E$2:$E$701))),""))</f>
        <v/>
      </c>
      <c r="AJ12" s="25">
        <f>IF(OR($A12="",$AI12="",$I12=""),"",NETWORKDAYS($I12,$AI12,calendar!$A$2:$A$80))</f>
        <v/>
      </c>
      <c r="AK12" s="25">
        <f>IF($A12="","",IF(AND($X12&lt;&gt;"",$AH12&lt;&gt;""),"Y","N"))</f>
        <v/>
      </c>
      <c r="AL12" s="25">
        <f>IF(OR($A12="",$I12=""),"",IF($BC12="Y",SUMIFS(survey_frozen!$C$2:$C$251,survey_frozen!$P$2:$P$251,$A12&amp;"|"&amp;$B12),IFERROR(COUNTIFS(INDIRECT("'"&amp;$A12&amp;"'!$B$2:$B$501"),$T12,INDIRECT("'"&amp;$A12&amp;"'!$A$2:$A$501"),"&gt;="&amp;$I12,INDIRECT("'"&amp;$A12&amp;"'!$A$2:$A$501"),"&lt;"&amp;($BA12+1)),0)))</f>
        <v/>
      </c>
      <c r="AM12" s="25">
        <f>IF(OR($A12="",$I12=""),"",IF($BC12="Y",SUMIFS(survey_frozen!$D$2:$D$251,survey_frozen!$P$2:$P$251,$A12&amp;"|"&amp;$B12),IFERROR(COUNTIFS(INDIRECT("'"&amp;$A12&amp;"'!$B$2:$B$501"),$T12,INDIRECT("'"&amp;$A12&amp;"'!$A$2:$A$501"),"&gt;="&amp;$I12,INDIRECT("'"&amp;$A12&amp;"'!$A$2:$A$501"),"&lt;"&amp;($BA12+1),INDIRECT("'"&amp;$A12&amp;"'!$C$2:$C$501"),"Yes"),0)))</f>
        <v/>
      </c>
      <c r="AN12" s="25">
        <f>IF($A12="","",IF(COUNTIFS(scans!$C$2:$C$1601,(IF(LEFT($A12,7)="SAMPLE-","SAMPLE-","")&amp;LOWER(SUBSTITUTE(SUBSTITUTE($A12,"SAMPLE-",""),"CMP-","c"))&amp;"-"&amp;LOWER(SUBSTITUTE(SUBSTITUTE($B12,"SAMPLE-",""),"O-","o"))&amp;"-q"),scans!$D$2:$D$1601,"close")=0,"",SUMPRODUCT(MAX((scans!$C$2:$C$1601=(IF(LEFT($A12,7)="SAMPLE-","SAMPLE-","")&amp;LOWER(SUBSTITUTE(SUBSTITUTE($A12,"SAMPLE-",""),"CMP-","c"))&amp;"-"&amp;LOWER(SUBSTITUTE(SUBSTITUTE($B12,"SAMPLE-",""),"O-","o"))&amp;"-q"))*(scans!$D$2:$D$1601="close")*scans!$E$2:$E$1601))-SUMPRODUCT(MAX((scans!$C$2:$C$1601=(IF(LEFT($A12,7)="SAMPLE-","SAMPLE-","")&amp;LOWER(SUBSTITUTE(SUBSTITUTE($A12,"SAMPLE-",""),"CMP-","c"))&amp;"-"&amp;LOWER(SUBSTITUTE(SUBSTITUTE($B12,"SAMPLE-",""),"O-","o"))&amp;"-q"))*(scans!$D$2:$D$1601="baseline")*scans!$E$2:$E$1601))))</f>
        <v/>
      </c>
      <c r="AO12" s="25">
        <f>IF($A12="","",IF(COUNTIFS(scans!$C$2:$C$1601,(IF(LEFT($A12,7)="SAMPLE-","SAMPLE-","")&amp;LOWER(SUBSTITUTE(SUBSTITUTE($A12,"SAMPLE-",""),"CMP-","c"))&amp;"-"&amp;LOWER(SUBSTITUTE(SUBSTITUTE($B12,"SAMPLE-",""),"O-","o"))&amp;"-p"),scans!$D$2:$D$1601,"close")=0,"",SUMPRODUCT(MAX((scans!$C$2:$C$1601=(IF(LEFT($A12,7)="SAMPLE-","SAMPLE-","")&amp;LOWER(SUBSTITUTE(SUBSTITUTE($A12,"SAMPLE-",""),"CMP-","c"))&amp;"-"&amp;LOWER(SUBSTITUTE(SUBSTITUTE($B12,"SAMPLE-",""),"O-","o"))&amp;"-p"))*(scans!$D$2:$D$1601="close")*scans!$E$2:$E$1601))-SUMPRODUCT(MAX((scans!$C$2:$C$1601=(IF(LEFT($A12,7)="SAMPLE-","SAMPLE-","")&amp;LOWER(SUBSTITUTE(SUBSTITUTE($A12,"SAMPLE-",""),"CMP-","c"))&amp;"-"&amp;LOWER(SUBSTITUTE(SUBSTITUTE($B12,"SAMPLE-",""),"O-","o"))&amp;"-p"))*(scans!$D$2:$D$1601="baseline")*scans!$E$2:$E$1601))))</f>
        <v/>
      </c>
      <c r="AP12" s="25">
        <f>IF($A12="","",IF(COUNTIF(offices!$A$2:$A$61,$B12)=0,"office_id not on offices; ","")&amp;IF(COUNTIF(campaigns!$A$2:$A$51,$A12)=0,"campaign_id not on campaigns; ","")&amp;IF($P12="pending","approval pending; ","")&amp;IF(AND($U12&gt;0,$Y12="",OR($I12="",IF(config!$B$37&lt;&gt;"",config!$B$37,TODAY())&lt;=WORKDAY(N($I12),4,calendar!$A$2:$A$80))),"no usable placement photo yet; ","")&amp;IF(AND($Y12&lt;&gt;"",$Z12=""),"log the placed count; ","")&amp;IF(N($AA12)&gt;N($U12),"placed more than delivered; ","")&amp;IF(AND($AF12&lt;&gt;"",N($AF12)&gt;N($AA12)+N($AD12)),"day-5 count above placed plus top-ups; ","")&amp;IF(AND($U12&gt;0,$I12&lt;&gt;"",IF(config!$B$37&lt;&gt;"",config!$B$37,TODAY())&gt;WORKDAY(N($I12),4,calendar!$A$2:$A$80),$AF12=""),"day-5 count missing; ","")&amp;IF(AND($U12&gt;0,$I12&lt;&gt;"",IF(config!$B$37&lt;&gt;"",config!$B$37,TODAY())&gt;WORKDAY(N($I12),4,calendar!$A$2:$A$80),$AN12=""),"no close link reading; ","")&amp;$R12&amp;IF($P12="N","info: office said no; ","")&amp;IF(AND($P12="Y",$Q12="N"),"info: turned away at the door, so not on the drop (no letter, not in the report or Gate 2; the credit check is on campaigns); ","")&amp;IF(AND($U12&gt;0,$Y12="",$I12&lt;&gt;"",IF(config!$B$37&lt;&gt;"",config!$B$37,TODAY())&gt;WORKDAY(N($I12),4,calendar!$A$2:$A$80)),"info: no usable placement photo, so nothing counts as placed; ","")&amp;IF(AND($U12&gt;0,$I12&lt;&gt;"",IF(config!$B$37&lt;&gt;"",config!$B$37,TODAY())&gt;WORKDAY(N($I12),4,calendar!$A$2:$A$80),N($AL12)&lt;config!$B$30),"info: under "&amp;config!$B$30&amp;" responses; ","")&amp;IF($W12="packing_list","info: delivered count not verified; ",""))</f>
        <v/>
      </c>
      <c r="AQ12" s="25">
        <f>IF(OR($A12="",$I12=""),"",IF($BC12="Y",SUMIFS(survey_frozen!$E$2:$E$251,survey_frozen!$P$2:$P$251,$A12&amp;"|"&amp;$B12),IFERROR(COUNTIFS(INDIRECT("'"&amp;$A12&amp;"'!$B$2:$B$501"),$T12,INDIRECT("'"&amp;$A12&amp;"'!$A$2:$A$501"),"&gt;="&amp;$I12,INDIRECT("'"&amp;$A12&amp;"'!$A$2:$A$501"),"&lt;"&amp;($BA12+1),INDIRECT("'"&amp;$A12&amp;"'!$F$2:$F$501"),"Didn't see it"),0)))</f>
        <v/>
      </c>
      <c r="AR12" s="25">
        <f>IF(OR($A12="",$I12=""),"",IF($BC12="Y",SUMIFS(survey_frozen!$F$2:$F$251,survey_frozen!$P$2:$P$251,$A12&amp;"|"&amp;$B12),IFERROR(COUNTIFS(INDIRECT("'"&amp;$A12&amp;"'!$B$2:$B$501"),$T12,INDIRECT("'"&amp;$A12&amp;"'!$A$2:$A$501"),"&gt;="&amp;$I12,INDIRECT("'"&amp;$A12&amp;"'!$A$2:$A$501"),"&lt;"&amp;($BA12+1),INDIRECT("'"&amp;$A12&amp;"'!$F$2:$F$501"),"Not for me"),0)))</f>
        <v/>
      </c>
      <c r="AS12" s="25">
        <f>IF(OR($A12="",$I12=""),"",IF($BC12="Y",SUMIFS(survey_frozen!$G$2:$G$251,survey_frozen!$P$2:$P$251,$A12&amp;"|"&amp;$B12),IFERROR(COUNTIFS(INDIRECT("'"&amp;$A12&amp;"'!$B$2:$B$501"),$T12,INDIRECT("'"&amp;$A12&amp;"'!$A$2:$A$501"),"&gt;="&amp;$I12,INDIRECT("'"&amp;$A12&amp;"'!$A$2:$A$501"),"&lt;"&amp;($BA12+1),INDIRECT("'"&amp;$A12&amp;"'!$F$2:$F$501"),"Gone by the time I looked"),0)))</f>
        <v/>
      </c>
      <c r="AT12" s="25">
        <f>IF(OR($A12="",$I12=""),"",IF($BC12="Y",SUMIFS(survey_frozen!$H$2:$H$251,survey_frozen!$P$2:$P$251,$A12&amp;"|"&amp;$B12),IFERROR(COUNTIFS(INDIRECT("'"&amp;$A12&amp;"'!$B$2:$B$501"),$T12,INDIRECT("'"&amp;$A12&amp;"'!$A$2:$A$501"),"&gt;="&amp;$I12,INDIRECT("'"&amp;$A12&amp;"'!$A$2:$A$501"),"&lt;"&amp;($BA12+1),INDIRECT("'"&amp;$A12&amp;"'!$D$2:$D$501"),"&gt;=1"),0)))</f>
        <v/>
      </c>
      <c r="AU12" s="25">
        <f>IF(OR($A12="",$I12=""),"",IF($BC12="Y",SUMIFS(survey_frozen!$I$2:$I$251,survey_frozen!$P$2:$P$251,$A12&amp;"|"&amp;$B12),IFERROR(SUMIFS(INDIRECT("'"&amp;$A12&amp;"'!$D$2:$D$501"),INDIRECT("'"&amp;$A12&amp;"'!$B$2:$B$501"),$T12,INDIRECT("'"&amp;$A12&amp;"'!$A$2:$A$501"),"&gt;="&amp;$I12,INDIRECT("'"&amp;$A12&amp;"'!$A$2:$A$501"),"&lt;"&amp;($BA12+1)),0)))</f>
        <v/>
      </c>
      <c r="AV12" s="25">
        <f>IF(OR($A12="",$I12=""),"",IF($BC12="Y",SUMIFS(survey_frozen!$J$2:$J$251,survey_frozen!$P$2:$P$251,$A12&amp;"|"&amp;$B12),IFERROR(COUNTIFS(INDIRECT("'"&amp;$A12&amp;"'!$B$2:$B$501"),$T12,INDIRECT("'"&amp;$A12&amp;"'!$A$2:$A$501"),"&gt;="&amp;$I12,INDIRECT("'"&amp;$A12&amp;"'!$A$2:$A$501"),"&lt;"&amp;($BA12+1),INDIRECT("'"&amp;$A12&amp;"'!$E$2:$E$501"),"Yes"),0)))</f>
        <v/>
      </c>
      <c r="AW12" s="25">
        <f>IF(OR($A12="",$I12=""),"",IF($BC12="Y",SUMIFS(survey_frozen!$K$2:$K$251,survey_frozen!$P$2:$P$251,$A12&amp;"|"&amp;$B12),IFERROR(COUNTIFS(INDIRECT("'"&amp;$A12&amp;"'!$B$2:$B$501"),$T12,INDIRECT("'"&amp;$A12&amp;"'!$A$2:$A$501"),"&gt;="&amp;$I12,INDIRECT("'"&amp;$A12&amp;"'!$A$2:$A$501"),"&lt;"&amp;($BA12+1),INDIRECT("'"&amp;$A12&amp;"'!$E$2:$E$501"),"Maybe"),0)))</f>
        <v/>
      </c>
      <c r="AX12" s="25">
        <f>IF(OR($A12="",$I12=""),"",IF($BC12="Y",SUMIFS(survey_frozen!$L$2:$L$251,survey_frozen!$P$2:$P$251,$A12&amp;"|"&amp;$B12),IFERROR(COUNTIFS(INDIRECT("'"&amp;$A12&amp;"'!$B$2:$B$501"),$T12,INDIRECT("'"&amp;$A12&amp;"'!$A$2:$A$501"),"&gt;="&amp;$I12,INDIRECT("'"&amp;$A12&amp;"'!$A$2:$A$501"),"&lt;"&amp;($BA12+1),INDIRECT("'"&amp;$A12&amp;"'!$E$2:$E$501"),"No"),0)))</f>
        <v/>
      </c>
      <c r="AY12" s="25">
        <f>IF(OR($A12="",$I12=""),"",IF($BC12="Y",SUMIFS(survey_frozen!$M$2:$M$251,survey_frozen!$P$2:$P$251,$A12&amp;"|"&amp;$B12),IFERROR(COUNTIFS(INDIRECT("'"&amp;$A12&amp;"'!$B$2:$B$501"),$T12,INDIRECT("'"&amp;$A12&amp;"'!$A$2:$A$501"),"&gt;="&amp;$I12,INDIRECT("'"&amp;$A12&amp;"'!$A$2:$A$501"),"&lt;"&amp;($BA12+1),INDIRECT("'"&amp;$A12&amp;"'!$G$2:$G$501"),"&lt;&gt;"),0)))</f>
        <v/>
      </c>
      <c r="AZ12" s="25">
        <f>IF($A12="","",$A12&amp;"|"&amp;$L12)</f>
        <v/>
      </c>
      <c r="BA12" s="26">
        <f>IF($A12="","",IFERROR(IF(INDEX(drops!$R$2:$R$21,MATCH($H12,drops!$A$2:$A$21,0))="","",INDEX(drops!$R$2:$R$21,MATCH($H12,drops!$A$2:$A$21,0))),""))</f>
        <v/>
      </c>
      <c r="BB12" s="25">
        <f>IF(OR($A12="",$Q12&lt;&gt;"Y"),1000000,N($AL12))</f>
        <v/>
      </c>
      <c r="BC12" s="25">
        <f>IF($A12="","",IF(COUNTIF(survey_frozen!$P$2:$P$251,$A12&amp;"|"&amp;$B12)&gt;0,"Y",""))</f>
        <v/>
      </c>
    </row>
    <row r="13">
      <c r="A13" t="inlineStr">
        <is>
          <t>SAMPLE-CMP-003</t>
        </is>
      </c>
      <c r="B13" t="inlineStr">
        <is>
          <t>SAMPLE-O-002</t>
        </is>
      </c>
      <c r="C13" s="9" t="n">
        <v>46391</v>
      </c>
      <c r="D13" t="inlineStr">
        <is>
          <t>yes</t>
        </is>
      </c>
      <c r="E13" s="9" t="n">
        <v>46393</v>
      </c>
      <c r="F13" t="inlineStr">
        <is>
          <t>SAMPLE replied by email</t>
        </is>
      </c>
      <c r="H13" s="25">
        <f>IF($A13="","",IFERROR(IF(INDEX(campaigns!$B$2:$B$51,MATCH($A13,campaigns!$A$2:$A$51,0))="","",INDEX(campaigns!$B$2:$B$51,MATCH($A13,campaigns!$A$2:$A$51,0))),""))</f>
        <v/>
      </c>
      <c r="I13" s="26">
        <f>IF($A13="","",IFERROR(IF(INDEX(campaigns!$BG$2:$BG$51,MATCH($A13,campaigns!$A$2:$A$51,0))="","",INDEX(campaigns!$BG$2:$BG$51,MATCH($A13,campaigns!$A$2:$A$51,0))),""))</f>
        <v/>
      </c>
      <c r="J13" s="25">
        <f>IF($A13="","",IFERROR(IF(INDEX(campaigns!$BE$2:$BE$51,MATCH($A13,campaigns!$A$2:$A$51,0))="","",INDEX(campaigns!$BE$2:$BE$51,MATCH($A13,campaigns!$A$2:$A$51,0))),""))</f>
        <v/>
      </c>
      <c r="K13" s="25">
        <f>IF($B13="","",IFERROR(IF(INDEX(offices!$N$2:$N$61,MATCH($B13,offices!$A$2:$A$61,0))="","",INDEX(offices!$N$2:$N$61,MATCH($B13,offices!$A$2:$A$61,0))),""))</f>
        <v/>
      </c>
      <c r="L13" s="25">
        <f>IF($A13="","",IF($Q13="N","",COUNTIFS($A$2:$A13,$A13,$Q$2:$Q13,"&lt;&gt;N")))</f>
        <v/>
      </c>
      <c r="M13" s="25">
        <f>IF(OR($A13="",$L13=""),"",IF(AND(config!$B$34="names_if_public",IFERROR(IF(INDEX(offices!$AF$2:$AF$61,MATCH($B13,offices!$A$2:$A$61,0))="","",INDEX(offices!$AF$2:$AF$61,MATCH($B13,offices!$A$2:$A$61,0))),"")="Y"),$K13,CHAR(64+$L13)))</f>
        <v/>
      </c>
      <c r="N13" s="25">
        <f>IF(OR($A13="",$I13=""),"",COUNTIFS(stops!$B$2:$B$151,$B13,stops!$P$2:$P$151,"&lt;"&amp;$I13,stops!$L$2:$L$151,"&lt;&gt;not_delivered")+1)</f>
        <v/>
      </c>
      <c r="O13" s="25">
        <f>IF($A13="","",IF(N($N13)&lt;=config!$B$29,"explicit","opt-out"))</f>
        <v/>
      </c>
      <c r="P13" s="25">
        <f>IF($A13="","",IF($O13="explicit",IF($D13="yes","Y",IF($D13="no","N","pending")),IF($D13="no","N",IF(AND($C13&lt;&gt;"",$I13&lt;&gt;"",$C13&lt;=WORKDAY(N($I13),-5,calendar!$A$2:$A$80)),"Y","pending"))))</f>
        <v/>
      </c>
      <c r="Q13" s="25">
        <f>IF($A13="","",IF($P13="N","N",IF($P13&lt;&gt;"Y","pending",IF(AND((COUNTIFS(stops!$A$2:$A$151,$H13,stops!$B$2:$B$151,$B13,stops!$L$2:$L$151,"declined")+COUNTIFS(stops!$A$2:$A$151,$H13,stops!$B$2:$B$151,$B13,stops!$L$2:$L$151,"building_refused")+COUNTIFS(stops!$A$2:$A$151,$H13,stops!$B$2:$B$151,$B13,stops!$L$2:$L$151,"not_delivered"))&gt;0,N($U13)=0),"N","Y"))))</f>
        <v/>
      </c>
      <c r="R13" s="25">
        <f>IF($A13="","",IF(COUNTIFS($A$2:$A$251,$A13,$B$2:$B$251,$B13)&gt;1,"DUPLICATE ROW; ","")&amp;IF(AND(IFERROR(IF(INDEX(offices!$AC$2:$AC$61,MATCH($B13,offices!$A$2:$A$61,0))="","",INDEX(offices!$AC$2:$AC$61,MATCH($B13,offices!$A$2:$A$61,0))),"")&lt;&gt;"",ISNUMBER(SEARCH($J13,IFERROR(IF(INDEX(offices!$AC$2:$AC$61,MATCH($B13,offices!$A$2:$A$61,0))="","",INDEX(offices!$AC$2:$AC$61,MATCH($B13,offices!$A$2:$A$61,0))),"")))),"BRAND VETOED; ","")&amp;IF(ISNUMBER(SEARCH(IFERROR(IF(INDEX(campaigns!$BF$2:$BF$51,MATCH($A13,campaigns!$A$2:$A$51,0))="","",INDEX(campaigns!$BF$2:$BF$51,MATCH($A13,campaigns!$A$2:$A$51,0))),""),IFERROR(IF(INDEX(offices!$AB$2:$AB$61,MATCH($B13,offices!$A$2:$A$61,0))="","",INDEX(offices!$AB$2:$AB$61,MATCH($B13,offices!$A$2:$A$61,0))),""))),"","info: category not on the office's list; ")&amp;IF(IFERROR(IF(INDEX(offices!$AC$2:$AC$61,MATCH($B13,offices!$A$2:$A$61,0))="","",INDEX(offices!$AC$2:$AC$61,MATCH($B13,offices!$A$2:$A$61,0))),"")&lt;&gt;"","info: read the vetoes against the label; ",""))</f>
        <v/>
      </c>
      <c r="S13" s="25">
        <f>IF($A13="","",IF($G13&lt;&gt;"",$G13,IFERROR(IF(INDEX(offices!$AL$2:$AL$61,MATCH($B13,offices!$A$2:$A$61,0))="","",INDEX(offices!$AL$2:$AL$61,MATCH($B13,offices!$A$2:$A$61,0))),"")))</f>
        <v/>
      </c>
      <c r="T13" s="25">
        <f>IF($A13="","",$A13&amp;"."&amp;$B13)</f>
        <v/>
      </c>
      <c r="U13" s="25">
        <f>IF($A13="","",SUMIFS(inventory!$G$2:$G$801,inventory!$C$2:$C$801,$A13,inventory!$D$2:$D$801,$B13,inventory!$E$2:$E$801,"delivered"))</f>
        <v/>
      </c>
      <c r="V13" s="32">
        <f>IF($A13="","",IFERROR(1/(1/SUMPRODUCT(MAX((inventory!$C$2:$C$801=$A13)*(inventory!$D$2:$D$801=$B13)*(inventory!$E$2:$E$801="delivered")*(inventory!$A$2:$A$801+inventory!$B$2:$B$801)))),""))</f>
        <v/>
      </c>
      <c r="W13" s="25">
        <f>IF($A13="","",IFERROR(IF(INDEX(inventory!$J$2:$J$801,MATCH($A13&amp;"|"&amp;$B13&amp;"|delivered",inventory!$R$2:$R$801,0))="","",INDEX(inventory!$J$2:$J$801,MATCH($A13&amp;"|"&amp;$B13&amp;"|delivered",inventory!$R$2:$R$801,0))),""))</f>
        <v/>
      </c>
      <c r="X13" s="25">
        <f>IF($A13="","",IFERROR(IF(INDEX(photos!$H$2:$H$701,MATCH($A13&amp;"|"&amp;$B13&amp;"|placement|Y",photos!$R$2:$R$701,0))="","",INDEX(photos!$H$2:$H$701,MATCH($A13&amp;"|"&amp;$B13&amp;"|placement|Y",photos!$R$2:$R$701,0))),""))</f>
        <v/>
      </c>
      <c r="Y13" s="26">
        <f>IF($A13="","",IFERROR(IF(INDEX(photos!$E$2:$E$701,MATCH($A13&amp;"|"&amp;$B13&amp;"|placement|Y",photos!$R$2:$R$701,0))="","",INDEX(photos!$E$2:$E$701,MATCH($A13&amp;"|"&amp;$B13&amp;"|placement|Y",photos!$R$2:$R$701,0))),""))</f>
        <v/>
      </c>
      <c r="Z13" s="25">
        <f>IF($A13="","",IF(COUNTIFS(counts!$C$2:$C$701,$A13,counts!$D$2:$D$701,$B13,counts!$E$2:$E$701,"placed")=0,"",SUMIFS(counts!$F$2:$F$701,counts!$C$2:$C$701,$A13,counts!$D$2:$D$701,$B13,counts!$E$2:$E$701,"placed")))</f>
        <v/>
      </c>
      <c r="AA13" s="25">
        <f>IF($A13="","",IF($Y13="",0,N($Z13)))</f>
        <v/>
      </c>
      <c r="AB13" s="25">
        <f>IF($A13="","",IF(OR($Y13="",$I13=""),"N",IF($Y13&lt;=WORKDAY(N($I13),1,calendar!$A$2:$A$80),"Y","N")))</f>
        <v/>
      </c>
      <c r="AC13" s="28">
        <f>IF(OR($A13="",$V13="",$Y13=""),"",ROUND(($Y13+N(IFERROR(IF(INDEX(photos!$F$2:$F$701,MATCH($A13&amp;"|"&amp;$B13&amp;"|placement|Y",photos!$R$2:$R$701,0))="","",INDEX(photos!$F$2:$F$701,MATCH($A13&amp;"|"&amp;$B13&amp;"|placement|Y",photos!$R$2:$R$701,0))),""))-$V13)*24,1))</f>
        <v/>
      </c>
      <c r="AD13" s="25">
        <f>IF($A13="","",SUMIFS(inventory!$G$2:$G$801,inventory!$C$2:$C$801,$A13,inventory!$D$2:$D$801,$B13,inventory!$E$2:$E$801,"topped_up"))</f>
        <v/>
      </c>
      <c r="AE13" s="25">
        <f>IF($A13="","",IF(COUNTIFS(counts!$C$2:$C$701,$A13,counts!$D$2:$D$701,$B13,counts!$E$2:$E$701,"remaining_day3")=0,"",SUMIFS(counts!$F$2:$F$701,counts!$C$2:$C$701,$A13,counts!$D$2:$D$701,$B13,counts!$E$2:$E$701,"remaining_day3")))</f>
        <v/>
      </c>
      <c r="AF13" s="25">
        <f>IF($A13="","",IF(COUNTIFS(counts!$C$2:$C$701,$A13,counts!$D$2:$D$701,$B13,counts!$E$2:$E$701,"remaining_day5")=0,"",SUMIFS(counts!$F$2:$F$701,counts!$C$2:$C$701,$A13,counts!$D$2:$D$701,$B13,counts!$E$2:$E$701,"remaining_day5")))</f>
        <v/>
      </c>
      <c r="AG13" s="25">
        <f>IF(OR($A13="",$AF13=""),"",MAX(0,$AA13+$AD13-$AF13))</f>
        <v/>
      </c>
      <c r="AH13" s="25">
        <f>IF(OR($A13="",$AI13=""),"",IFERROR(IF(INDEX(photos!$H$2:$H$701,MATCH($A13&amp;"|"&amp;$B13&amp;"|later|Y|"&amp;$AI13,photos!$S$2:$S$701,0))="","",INDEX(photos!$H$2:$H$701,MATCH($A13&amp;"|"&amp;$B13&amp;"|later|Y|"&amp;$AI13,photos!$S$2:$S$701,0))),""))</f>
        <v/>
      </c>
      <c r="AI13" s="26">
        <f>IF($A13="","",IFERROR(1/(1/SUMPRODUCT(MAX((photos!$B$2:$B$701=$A13)*(photos!$C$2:$C$701=$B13)*(photos!$D$2:$D$701="later")*(photos!$O$2:$O$701="Y")*photos!$E$2:$E$701))),""))</f>
        <v/>
      </c>
      <c r="AJ13" s="25">
        <f>IF(OR($A13="",$AI13="",$I13=""),"",NETWORKDAYS($I13,$AI13,calendar!$A$2:$A$80))</f>
        <v/>
      </c>
      <c r="AK13" s="25">
        <f>IF($A13="","",IF(AND($X13&lt;&gt;"",$AH13&lt;&gt;""),"Y","N"))</f>
        <v/>
      </c>
      <c r="AL13" s="25">
        <f>IF(OR($A13="",$I13=""),"",IF($BC13="Y",SUMIFS(survey_frozen!$C$2:$C$251,survey_frozen!$P$2:$P$251,$A13&amp;"|"&amp;$B13),IFERROR(COUNTIFS(INDIRECT("'"&amp;$A13&amp;"'!$B$2:$B$501"),$T13,INDIRECT("'"&amp;$A13&amp;"'!$A$2:$A$501"),"&gt;="&amp;$I13,INDIRECT("'"&amp;$A13&amp;"'!$A$2:$A$501"),"&lt;"&amp;($BA13+1)),0)))</f>
        <v/>
      </c>
      <c r="AM13" s="25">
        <f>IF(OR($A13="",$I13=""),"",IF($BC13="Y",SUMIFS(survey_frozen!$D$2:$D$251,survey_frozen!$P$2:$P$251,$A13&amp;"|"&amp;$B13),IFERROR(COUNTIFS(INDIRECT("'"&amp;$A13&amp;"'!$B$2:$B$501"),$T13,INDIRECT("'"&amp;$A13&amp;"'!$A$2:$A$501"),"&gt;="&amp;$I13,INDIRECT("'"&amp;$A13&amp;"'!$A$2:$A$501"),"&lt;"&amp;($BA13+1),INDIRECT("'"&amp;$A13&amp;"'!$C$2:$C$501"),"Yes"),0)))</f>
        <v/>
      </c>
      <c r="AN13" s="25">
        <f>IF($A13="","",IF(COUNTIFS(scans!$C$2:$C$1601,(IF(LEFT($A13,7)="SAMPLE-","SAMPLE-","")&amp;LOWER(SUBSTITUTE(SUBSTITUTE($A13,"SAMPLE-",""),"CMP-","c"))&amp;"-"&amp;LOWER(SUBSTITUTE(SUBSTITUTE($B13,"SAMPLE-",""),"O-","o"))&amp;"-q"),scans!$D$2:$D$1601,"close")=0,"",SUMPRODUCT(MAX((scans!$C$2:$C$1601=(IF(LEFT($A13,7)="SAMPLE-","SAMPLE-","")&amp;LOWER(SUBSTITUTE(SUBSTITUTE($A13,"SAMPLE-",""),"CMP-","c"))&amp;"-"&amp;LOWER(SUBSTITUTE(SUBSTITUTE($B13,"SAMPLE-",""),"O-","o"))&amp;"-q"))*(scans!$D$2:$D$1601="close")*scans!$E$2:$E$1601))-SUMPRODUCT(MAX((scans!$C$2:$C$1601=(IF(LEFT($A13,7)="SAMPLE-","SAMPLE-","")&amp;LOWER(SUBSTITUTE(SUBSTITUTE($A13,"SAMPLE-",""),"CMP-","c"))&amp;"-"&amp;LOWER(SUBSTITUTE(SUBSTITUTE($B13,"SAMPLE-",""),"O-","o"))&amp;"-q"))*(scans!$D$2:$D$1601="baseline")*scans!$E$2:$E$1601))))</f>
        <v/>
      </c>
      <c r="AO13" s="25">
        <f>IF($A13="","",IF(COUNTIFS(scans!$C$2:$C$1601,(IF(LEFT($A13,7)="SAMPLE-","SAMPLE-","")&amp;LOWER(SUBSTITUTE(SUBSTITUTE($A13,"SAMPLE-",""),"CMP-","c"))&amp;"-"&amp;LOWER(SUBSTITUTE(SUBSTITUTE($B13,"SAMPLE-",""),"O-","o"))&amp;"-p"),scans!$D$2:$D$1601,"close")=0,"",SUMPRODUCT(MAX((scans!$C$2:$C$1601=(IF(LEFT($A13,7)="SAMPLE-","SAMPLE-","")&amp;LOWER(SUBSTITUTE(SUBSTITUTE($A13,"SAMPLE-",""),"CMP-","c"))&amp;"-"&amp;LOWER(SUBSTITUTE(SUBSTITUTE($B13,"SAMPLE-",""),"O-","o"))&amp;"-p"))*(scans!$D$2:$D$1601="close")*scans!$E$2:$E$1601))-SUMPRODUCT(MAX((scans!$C$2:$C$1601=(IF(LEFT($A13,7)="SAMPLE-","SAMPLE-","")&amp;LOWER(SUBSTITUTE(SUBSTITUTE($A13,"SAMPLE-",""),"CMP-","c"))&amp;"-"&amp;LOWER(SUBSTITUTE(SUBSTITUTE($B13,"SAMPLE-",""),"O-","o"))&amp;"-p"))*(scans!$D$2:$D$1601="baseline")*scans!$E$2:$E$1601))))</f>
        <v/>
      </c>
      <c r="AP13" s="25">
        <f>IF($A13="","",IF(COUNTIF(offices!$A$2:$A$61,$B13)=0,"office_id not on offices; ","")&amp;IF(COUNTIF(campaigns!$A$2:$A$51,$A13)=0,"campaign_id not on campaigns; ","")&amp;IF($P13="pending","approval pending; ","")&amp;IF(AND($U13&gt;0,$Y13="",OR($I13="",IF(config!$B$37&lt;&gt;"",config!$B$37,TODAY())&lt;=WORKDAY(N($I13),4,calendar!$A$2:$A$80))),"no usable placement photo yet; ","")&amp;IF(AND($Y13&lt;&gt;"",$Z13=""),"log the placed count; ","")&amp;IF(N($AA13)&gt;N($U13),"placed more than delivered; ","")&amp;IF(AND($AF13&lt;&gt;"",N($AF13)&gt;N($AA13)+N($AD13)),"day-5 count above placed plus top-ups; ","")&amp;IF(AND($U13&gt;0,$I13&lt;&gt;"",IF(config!$B$37&lt;&gt;"",config!$B$37,TODAY())&gt;WORKDAY(N($I13),4,calendar!$A$2:$A$80),$AF13=""),"day-5 count missing; ","")&amp;IF(AND($U13&gt;0,$I13&lt;&gt;"",IF(config!$B$37&lt;&gt;"",config!$B$37,TODAY())&gt;WORKDAY(N($I13),4,calendar!$A$2:$A$80),$AN13=""),"no close link reading; ","")&amp;$R13&amp;IF($P13="N","info: office said no; ","")&amp;IF(AND($P13="Y",$Q13="N"),"info: turned away at the door, so not on the drop (no letter, not in the report or Gate 2; the credit check is on campaigns); ","")&amp;IF(AND($U13&gt;0,$Y13="",$I13&lt;&gt;"",IF(config!$B$37&lt;&gt;"",config!$B$37,TODAY())&gt;WORKDAY(N($I13),4,calendar!$A$2:$A$80)),"info: no usable placement photo, so nothing counts as placed; ","")&amp;IF(AND($U13&gt;0,$I13&lt;&gt;"",IF(config!$B$37&lt;&gt;"",config!$B$37,TODAY())&gt;WORKDAY(N($I13),4,calendar!$A$2:$A$80),N($AL13)&lt;config!$B$30),"info: under "&amp;config!$B$30&amp;" responses; ","")&amp;IF($W13="packing_list","info: delivered count not verified; ",""))</f>
        <v/>
      </c>
      <c r="AQ13" s="25">
        <f>IF(OR($A13="",$I13=""),"",IF($BC13="Y",SUMIFS(survey_frozen!$E$2:$E$251,survey_frozen!$P$2:$P$251,$A13&amp;"|"&amp;$B13),IFERROR(COUNTIFS(INDIRECT("'"&amp;$A13&amp;"'!$B$2:$B$501"),$T13,INDIRECT("'"&amp;$A13&amp;"'!$A$2:$A$501"),"&gt;="&amp;$I13,INDIRECT("'"&amp;$A13&amp;"'!$A$2:$A$501"),"&lt;"&amp;($BA13+1),INDIRECT("'"&amp;$A13&amp;"'!$F$2:$F$501"),"Didn't see it"),0)))</f>
        <v/>
      </c>
      <c r="AR13" s="25">
        <f>IF(OR($A13="",$I13=""),"",IF($BC13="Y",SUMIFS(survey_frozen!$F$2:$F$251,survey_frozen!$P$2:$P$251,$A13&amp;"|"&amp;$B13),IFERROR(COUNTIFS(INDIRECT("'"&amp;$A13&amp;"'!$B$2:$B$501"),$T13,INDIRECT("'"&amp;$A13&amp;"'!$A$2:$A$501"),"&gt;="&amp;$I13,INDIRECT("'"&amp;$A13&amp;"'!$A$2:$A$501"),"&lt;"&amp;($BA13+1),INDIRECT("'"&amp;$A13&amp;"'!$F$2:$F$501"),"Not for me"),0)))</f>
        <v/>
      </c>
      <c r="AS13" s="25">
        <f>IF(OR($A13="",$I13=""),"",IF($BC13="Y",SUMIFS(survey_frozen!$G$2:$G$251,survey_frozen!$P$2:$P$251,$A13&amp;"|"&amp;$B13),IFERROR(COUNTIFS(INDIRECT("'"&amp;$A13&amp;"'!$B$2:$B$501"),$T13,INDIRECT("'"&amp;$A13&amp;"'!$A$2:$A$501"),"&gt;="&amp;$I13,INDIRECT("'"&amp;$A13&amp;"'!$A$2:$A$501"),"&lt;"&amp;($BA13+1),INDIRECT("'"&amp;$A13&amp;"'!$F$2:$F$501"),"Gone by the time I looked"),0)))</f>
        <v/>
      </c>
      <c r="AT13" s="25">
        <f>IF(OR($A13="",$I13=""),"",IF($BC13="Y",SUMIFS(survey_frozen!$H$2:$H$251,survey_frozen!$P$2:$P$251,$A13&amp;"|"&amp;$B13),IFERROR(COUNTIFS(INDIRECT("'"&amp;$A13&amp;"'!$B$2:$B$501"),$T13,INDIRECT("'"&amp;$A13&amp;"'!$A$2:$A$501"),"&gt;="&amp;$I13,INDIRECT("'"&amp;$A13&amp;"'!$A$2:$A$501"),"&lt;"&amp;($BA13+1),INDIRECT("'"&amp;$A13&amp;"'!$D$2:$D$501"),"&gt;=1"),0)))</f>
        <v/>
      </c>
      <c r="AU13" s="25">
        <f>IF(OR($A13="",$I13=""),"",IF($BC13="Y",SUMIFS(survey_frozen!$I$2:$I$251,survey_frozen!$P$2:$P$251,$A13&amp;"|"&amp;$B13),IFERROR(SUMIFS(INDIRECT("'"&amp;$A13&amp;"'!$D$2:$D$501"),INDIRECT("'"&amp;$A13&amp;"'!$B$2:$B$501"),$T13,INDIRECT("'"&amp;$A13&amp;"'!$A$2:$A$501"),"&gt;="&amp;$I13,INDIRECT("'"&amp;$A13&amp;"'!$A$2:$A$501"),"&lt;"&amp;($BA13+1)),0)))</f>
        <v/>
      </c>
      <c r="AV13" s="25">
        <f>IF(OR($A13="",$I13=""),"",IF($BC13="Y",SUMIFS(survey_frozen!$J$2:$J$251,survey_frozen!$P$2:$P$251,$A13&amp;"|"&amp;$B13),IFERROR(COUNTIFS(INDIRECT("'"&amp;$A13&amp;"'!$B$2:$B$501"),$T13,INDIRECT("'"&amp;$A13&amp;"'!$A$2:$A$501"),"&gt;="&amp;$I13,INDIRECT("'"&amp;$A13&amp;"'!$A$2:$A$501"),"&lt;"&amp;($BA13+1),INDIRECT("'"&amp;$A13&amp;"'!$E$2:$E$501"),"Yes"),0)))</f>
        <v/>
      </c>
      <c r="AW13" s="25">
        <f>IF(OR($A13="",$I13=""),"",IF($BC13="Y",SUMIFS(survey_frozen!$K$2:$K$251,survey_frozen!$P$2:$P$251,$A13&amp;"|"&amp;$B13),IFERROR(COUNTIFS(INDIRECT("'"&amp;$A13&amp;"'!$B$2:$B$501"),$T13,INDIRECT("'"&amp;$A13&amp;"'!$A$2:$A$501"),"&gt;="&amp;$I13,INDIRECT("'"&amp;$A13&amp;"'!$A$2:$A$501"),"&lt;"&amp;($BA13+1),INDIRECT("'"&amp;$A13&amp;"'!$E$2:$E$501"),"Maybe"),0)))</f>
        <v/>
      </c>
      <c r="AX13" s="25">
        <f>IF(OR($A13="",$I13=""),"",IF($BC13="Y",SUMIFS(survey_frozen!$L$2:$L$251,survey_frozen!$P$2:$P$251,$A13&amp;"|"&amp;$B13),IFERROR(COUNTIFS(INDIRECT("'"&amp;$A13&amp;"'!$B$2:$B$501"),$T13,INDIRECT("'"&amp;$A13&amp;"'!$A$2:$A$501"),"&gt;="&amp;$I13,INDIRECT("'"&amp;$A13&amp;"'!$A$2:$A$501"),"&lt;"&amp;($BA13+1),INDIRECT("'"&amp;$A13&amp;"'!$E$2:$E$501"),"No"),0)))</f>
        <v/>
      </c>
      <c r="AY13" s="25">
        <f>IF(OR($A13="",$I13=""),"",IF($BC13="Y",SUMIFS(survey_frozen!$M$2:$M$251,survey_frozen!$P$2:$P$251,$A13&amp;"|"&amp;$B13),IFERROR(COUNTIFS(INDIRECT("'"&amp;$A13&amp;"'!$B$2:$B$501"),$T13,INDIRECT("'"&amp;$A13&amp;"'!$A$2:$A$501"),"&gt;="&amp;$I13,INDIRECT("'"&amp;$A13&amp;"'!$A$2:$A$501"),"&lt;"&amp;($BA13+1),INDIRECT("'"&amp;$A13&amp;"'!$G$2:$G$501"),"&lt;&gt;"),0)))</f>
        <v/>
      </c>
      <c r="AZ13" s="25">
        <f>IF($A13="","",$A13&amp;"|"&amp;$L13)</f>
        <v/>
      </c>
      <c r="BA13" s="26">
        <f>IF($A13="","",IFERROR(IF(INDEX(drops!$R$2:$R$21,MATCH($H13,drops!$A$2:$A$21,0))="","",INDEX(drops!$R$2:$R$21,MATCH($H13,drops!$A$2:$A$21,0))),""))</f>
        <v/>
      </c>
      <c r="BB13" s="25">
        <f>IF(OR($A13="",$Q13&lt;&gt;"Y"),1000000,N($AL13))</f>
        <v/>
      </c>
      <c r="BC13" s="25">
        <f>IF($A13="","",IF(COUNTIF(survey_frozen!$P$2:$P$251,$A13&amp;"|"&amp;$B13)&gt;0,"Y",""))</f>
        <v/>
      </c>
    </row>
    <row r="14">
      <c r="A14" t="inlineStr">
        <is>
          <t>SAMPLE-CMP-003</t>
        </is>
      </c>
      <c r="B14" t="inlineStr">
        <is>
          <t>SAMPLE-O-003</t>
        </is>
      </c>
      <c r="C14" s="9" t="n">
        <v>46391</v>
      </c>
      <c r="D14" t="inlineStr">
        <is>
          <t>yes</t>
        </is>
      </c>
      <c r="E14" s="9" t="n">
        <v>46394</v>
      </c>
      <c r="F14" t="inlineStr">
        <is>
          <t>SAMPLE replied by email</t>
        </is>
      </c>
      <c r="H14" s="25">
        <f>IF($A14="","",IFERROR(IF(INDEX(campaigns!$B$2:$B$51,MATCH($A14,campaigns!$A$2:$A$51,0))="","",INDEX(campaigns!$B$2:$B$51,MATCH($A14,campaigns!$A$2:$A$51,0))),""))</f>
        <v/>
      </c>
      <c r="I14" s="26">
        <f>IF($A14="","",IFERROR(IF(INDEX(campaigns!$BG$2:$BG$51,MATCH($A14,campaigns!$A$2:$A$51,0))="","",INDEX(campaigns!$BG$2:$BG$51,MATCH($A14,campaigns!$A$2:$A$51,0))),""))</f>
        <v/>
      </c>
      <c r="J14" s="25">
        <f>IF($A14="","",IFERROR(IF(INDEX(campaigns!$BE$2:$BE$51,MATCH($A14,campaigns!$A$2:$A$51,0))="","",INDEX(campaigns!$BE$2:$BE$51,MATCH($A14,campaigns!$A$2:$A$51,0))),""))</f>
        <v/>
      </c>
      <c r="K14" s="25">
        <f>IF($B14="","",IFERROR(IF(INDEX(offices!$N$2:$N$61,MATCH($B14,offices!$A$2:$A$61,0))="","",INDEX(offices!$N$2:$N$61,MATCH($B14,offices!$A$2:$A$61,0))),""))</f>
        <v/>
      </c>
      <c r="L14" s="25">
        <f>IF($A14="","",IF($Q14="N","",COUNTIFS($A$2:$A14,$A14,$Q$2:$Q14,"&lt;&gt;N")))</f>
        <v/>
      </c>
      <c r="M14" s="25">
        <f>IF(OR($A14="",$L14=""),"",IF(AND(config!$B$34="names_if_public",IFERROR(IF(INDEX(offices!$AF$2:$AF$61,MATCH($B14,offices!$A$2:$A$61,0))="","",INDEX(offices!$AF$2:$AF$61,MATCH($B14,offices!$A$2:$A$61,0))),"")="Y"),$K14,CHAR(64+$L14)))</f>
        <v/>
      </c>
      <c r="N14" s="25">
        <f>IF(OR($A14="",$I14=""),"",COUNTIFS(stops!$B$2:$B$151,$B14,stops!$P$2:$P$151,"&lt;"&amp;$I14,stops!$L$2:$L$151,"&lt;&gt;not_delivered")+1)</f>
        <v/>
      </c>
      <c r="O14" s="25">
        <f>IF($A14="","",IF(N($N14)&lt;=config!$B$29,"explicit","opt-out"))</f>
        <v/>
      </c>
      <c r="P14" s="25">
        <f>IF($A14="","",IF($O14="explicit",IF($D14="yes","Y",IF($D14="no","N","pending")),IF($D14="no","N",IF(AND($C14&lt;&gt;"",$I14&lt;&gt;"",$C14&lt;=WORKDAY(N($I14),-5,calendar!$A$2:$A$80)),"Y","pending"))))</f>
        <v/>
      </c>
      <c r="Q14" s="25">
        <f>IF($A14="","",IF($P14="N","N",IF($P14&lt;&gt;"Y","pending",IF(AND((COUNTIFS(stops!$A$2:$A$151,$H14,stops!$B$2:$B$151,$B14,stops!$L$2:$L$151,"declined")+COUNTIFS(stops!$A$2:$A$151,$H14,stops!$B$2:$B$151,$B14,stops!$L$2:$L$151,"building_refused")+COUNTIFS(stops!$A$2:$A$151,$H14,stops!$B$2:$B$151,$B14,stops!$L$2:$L$151,"not_delivered"))&gt;0,N($U14)=0),"N","Y"))))</f>
        <v/>
      </c>
      <c r="R14" s="25">
        <f>IF($A14="","",IF(COUNTIFS($A$2:$A$251,$A14,$B$2:$B$251,$B14)&gt;1,"DUPLICATE ROW; ","")&amp;IF(AND(IFERROR(IF(INDEX(offices!$AC$2:$AC$61,MATCH($B14,offices!$A$2:$A$61,0))="","",INDEX(offices!$AC$2:$AC$61,MATCH($B14,offices!$A$2:$A$61,0))),"")&lt;&gt;"",ISNUMBER(SEARCH($J14,IFERROR(IF(INDEX(offices!$AC$2:$AC$61,MATCH($B14,offices!$A$2:$A$61,0))="","",INDEX(offices!$AC$2:$AC$61,MATCH($B14,offices!$A$2:$A$61,0))),"")))),"BRAND VETOED; ","")&amp;IF(ISNUMBER(SEARCH(IFERROR(IF(INDEX(campaigns!$BF$2:$BF$51,MATCH($A14,campaigns!$A$2:$A$51,0))="","",INDEX(campaigns!$BF$2:$BF$51,MATCH($A14,campaigns!$A$2:$A$51,0))),""),IFERROR(IF(INDEX(offices!$AB$2:$AB$61,MATCH($B14,offices!$A$2:$A$61,0))="","",INDEX(offices!$AB$2:$AB$61,MATCH($B14,offices!$A$2:$A$61,0))),""))),"","info: category not on the office's list; ")&amp;IF(IFERROR(IF(INDEX(offices!$AC$2:$AC$61,MATCH($B14,offices!$A$2:$A$61,0))="","",INDEX(offices!$AC$2:$AC$61,MATCH($B14,offices!$A$2:$A$61,0))),"")&lt;&gt;"","info: read the vetoes against the label; ",""))</f>
        <v/>
      </c>
      <c r="S14" s="25">
        <f>IF($A14="","",IF($G14&lt;&gt;"",$G14,IFERROR(IF(INDEX(offices!$AL$2:$AL$61,MATCH($B14,offices!$A$2:$A$61,0))="","",INDEX(offices!$AL$2:$AL$61,MATCH($B14,offices!$A$2:$A$61,0))),"")))</f>
        <v/>
      </c>
      <c r="T14" s="25">
        <f>IF($A14="","",$A14&amp;"."&amp;$B14)</f>
        <v/>
      </c>
      <c r="U14" s="25">
        <f>IF($A14="","",SUMIFS(inventory!$G$2:$G$801,inventory!$C$2:$C$801,$A14,inventory!$D$2:$D$801,$B14,inventory!$E$2:$E$801,"delivered"))</f>
        <v/>
      </c>
      <c r="V14" s="32">
        <f>IF($A14="","",IFERROR(1/(1/SUMPRODUCT(MAX((inventory!$C$2:$C$801=$A14)*(inventory!$D$2:$D$801=$B14)*(inventory!$E$2:$E$801="delivered")*(inventory!$A$2:$A$801+inventory!$B$2:$B$801)))),""))</f>
        <v/>
      </c>
      <c r="W14" s="25">
        <f>IF($A14="","",IFERROR(IF(INDEX(inventory!$J$2:$J$801,MATCH($A14&amp;"|"&amp;$B14&amp;"|delivered",inventory!$R$2:$R$801,0))="","",INDEX(inventory!$J$2:$J$801,MATCH($A14&amp;"|"&amp;$B14&amp;"|delivered",inventory!$R$2:$R$801,0))),""))</f>
        <v/>
      </c>
      <c r="X14" s="25">
        <f>IF($A14="","",IFERROR(IF(INDEX(photos!$H$2:$H$701,MATCH($A14&amp;"|"&amp;$B14&amp;"|placement|Y",photos!$R$2:$R$701,0))="","",INDEX(photos!$H$2:$H$701,MATCH($A14&amp;"|"&amp;$B14&amp;"|placement|Y",photos!$R$2:$R$701,0))),""))</f>
        <v/>
      </c>
      <c r="Y14" s="26">
        <f>IF($A14="","",IFERROR(IF(INDEX(photos!$E$2:$E$701,MATCH($A14&amp;"|"&amp;$B14&amp;"|placement|Y",photos!$R$2:$R$701,0))="","",INDEX(photos!$E$2:$E$701,MATCH($A14&amp;"|"&amp;$B14&amp;"|placement|Y",photos!$R$2:$R$701,0))),""))</f>
        <v/>
      </c>
      <c r="Z14" s="25">
        <f>IF($A14="","",IF(COUNTIFS(counts!$C$2:$C$701,$A14,counts!$D$2:$D$701,$B14,counts!$E$2:$E$701,"placed")=0,"",SUMIFS(counts!$F$2:$F$701,counts!$C$2:$C$701,$A14,counts!$D$2:$D$701,$B14,counts!$E$2:$E$701,"placed")))</f>
        <v/>
      </c>
      <c r="AA14" s="25">
        <f>IF($A14="","",IF($Y14="",0,N($Z14)))</f>
        <v/>
      </c>
      <c r="AB14" s="25">
        <f>IF($A14="","",IF(OR($Y14="",$I14=""),"N",IF($Y14&lt;=WORKDAY(N($I14),1,calendar!$A$2:$A$80),"Y","N")))</f>
        <v/>
      </c>
      <c r="AC14" s="28">
        <f>IF(OR($A14="",$V14="",$Y14=""),"",ROUND(($Y14+N(IFERROR(IF(INDEX(photos!$F$2:$F$701,MATCH($A14&amp;"|"&amp;$B14&amp;"|placement|Y",photos!$R$2:$R$701,0))="","",INDEX(photos!$F$2:$F$701,MATCH($A14&amp;"|"&amp;$B14&amp;"|placement|Y",photos!$R$2:$R$701,0))),""))-$V14)*24,1))</f>
        <v/>
      </c>
      <c r="AD14" s="25">
        <f>IF($A14="","",SUMIFS(inventory!$G$2:$G$801,inventory!$C$2:$C$801,$A14,inventory!$D$2:$D$801,$B14,inventory!$E$2:$E$801,"topped_up"))</f>
        <v/>
      </c>
      <c r="AE14" s="25">
        <f>IF($A14="","",IF(COUNTIFS(counts!$C$2:$C$701,$A14,counts!$D$2:$D$701,$B14,counts!$E$2:$E$701,"remaining_day3")=0,"",SUMIFS(counts!$F$2:$F$701,counts!$C$2:$C$701,$A14,counts!$D$2:$D$701,$B14,counts!$E$2:$E$701,"remaining_day3")))</f>
        <v/>
      </c>
      <c r="AF14" s="25">
        <f>IF($A14="","",IF(COUNTIFS(counts!$C$2:$C$701,$A14,counts!$D$2:$D$701,$B14,counts!$E$2:$E$701,"remaining_day5")=0,"",SUMIFS(counts!$F$2:$F$701,counts!$C$2:$C$701,$A14,counts!$D$2:$D$701,$B14,counts!$E$2:$E$701,"remaining_day5")))</f>
        <v/>
      </c>
      <c r="AG14" s="25">
        <f>IF(OR($A14="",$AF14=""),"",MAX(0,$AA14+$AD14-$AF14))</f>
        <v/>
      </c>
      <c r="AH14" s="25">
        <f>IF(OR($A14="",$AI14=""),"",IFERROR(IF(INDEX(photos!$H$2:$H$701,MATCH($A14&amp;"|"&amp;$B14&amp;"|later|Y|"&amp;$AI14,photos!$S$2:$S$701,0))="","",INDEX(photos!$H$2:$H$701,MATCH($A14&amp;"|"&amp;$B14&amp;"|later|Y|"&amp;$AI14,photos!$S$2:$S$701,0))),""))</f>
        <v/>
      </c>
      <c r="AI14" s="26">
        <f>IF($A14="","",IFERROR(1/(1/SUMPRODUCT(MAX((photos!$B$2:$B$701=$A14)*(photos!$C$2:$C$701=$B14)*(photos!$D$2:$D$701="later")*(photos!$O$2:$O$701="Y")*photos!$E$2:$E$701))),""))</f>
        <v/>
      </c>
      <c r="AJ14" s="25">
        <f>IF(OR($A14="",$AI14="",$I14=""),"",NETWORKDAYS($I14,$AI14,calendar!$A$2:$A$80))</f>
        <v/>
      </c>
      <c r="AK14" s="25">
        <f>IF($A14="","",IF(AND($X14&lt;&gt;"",$AH14&lt;&gt;""),"Y","N"))</f>
        <v/>
      </c>
      <c r="AL14" s="25">
        <f>IF(OR($A14="",$I14=""),"",IF($BC14="Y",SUMIFS(survey_frozen!$C$2:$C$251,survey_frozen!$P$2:$P$251,$A14&amp;"|"&amp;$B14),IFERROR(COUNTIFS(INDIRECT("'"&amp;$A14&amp;"'!$B$2:$B$501"),$T14,INDIRECT("'"&amp;$A14&amp;"'!$A$2:$A$501"),"&gt;="&amp;$I14,INDIRECT("'"&amp;$A14&amp;"'!$A$2:$A$501"),"&lt;"&amp;($BA14+1)),0)))</f>
        <v/>
      </c>
      <c r="AM14" s="25">
        <f>IF(OR($A14="",$I14=""),"",IF($BC14="Y",SUMIFS(survey_frozen!$D$2:$D$251,survey_frozen!$P$2:$P$251,$A14&amp;"|"&amp;$B14),IFERROR(COUNTIFS(INDIRECT("'"&amp;$A14&amp;"'!$B$2:$B$501"),$T14,INDIRECT("'"&amp;$A14&amp;"'!$A$2:$A$501"),"&gt;="&amp;$I14,INDIRECT("'"&amp;$A14&amp;"'!$A$2:$A$501"),"&lt;"&amp;($BA14+1),INDIRECT("'"&amp;$A14&amp;"'!$C$2:$C$501"),"Yes"),0)))</f>
        <v/>
      </c>
      <c r="AN14" s="25">
        <f>IF($A14="","",IF(COUNTIFS(scans!$C$2:$C$1601,(IF(LEFT($A14,7)="SAMPLE-","SAMPLE-","")&amp;LOWER(SUBSTITUTE(SUBSTITUTE($A14,"SAMPLE-",""),"CMP-","c"))&amp;"-"&amp;LOWER(SUBSTITUTE(SUBSTITUTE($B14,"SAMPLE-",""),"O-","o"))&amp;"-q"),scans!$D$2:$D$1601,"close")=0,"",SUMPRODUCT(MAX((scans!$C$2:$C$1601=(IF(LEFT($A14,7)="SAMPLE-","SAMPLE-","")&amp;LOWER(SUBSTITUTE(SUBSTITUTE($A14,"SAMPLE-",""),"CMP-","c"))&amp;"-"&amp;LOWER(SUBSTITUTE(SUBSTITUTE($B14,"SAMPLE-",""),"O-","o"))&amp;"-q"))*(scans!$D$2:$D$1601="close")*scans!$E$2:$E$1601))-SUMPRODUCT(MAX((scans!$C$2:$C$1601=(IF(LEFT($A14,7)="SAMPLE-","SAMPLE-","")&amp;LOWER(SUBSTITUTE(SUBSTITUTE($A14,"SAMPLE-",""),"CMP-","c"))&amp;"-"&amp;LOWER(SUBSTITUTE(SUBSTITUTE($B14,"SAMPLE-",""),"O-","o"))&amp;"-q"))*(scans!$D$2:$D$1601="baseline")*scans!$E$2:$E$1601))))</f>
        <v/>
      </c>
      <c r="AO14" s="25">
        <f>IF($A14="","",IF(COUNTIFS(scans!$C$2:$C$1601,(IF(LEFT($A14,7)="SAMPLE-","SAMPLE-","")&amp;LOWER(SUBSTITUTE(SUBSTITUTE($A14,"SAMPLE-",""),"CMP-","c"))&amp;"-"&amp;LOWER(SUBSTITUTE(SUBSTITUTE($B14,"SAMPLE-",""),"O-","o"))&amp;"-p"),scans!$D$2:$D$1601,"close")=0,"",SUMPRODUCT(MAX((scans!$C$2:$C$1601=(IF(LEFT($A14,7)="SAMPLE-","SAMPLE-","")&amp;LOWER(SUBSTITUTE(SUBSTITUTE($A14,"SAMPLE-",""),"CMP-","c"))&amp;"-"&amp;LOWER(SUBSTITUTE(SUBSTITUTE($B14,"SAMPLE-",""),"O-","o"))&amp;"-p"))*(scans!$D$2:$D$1601="close")*scans!$E$2:$E$1601))-SUMPRODUCT(MAX((scans!$C$2:$C$1601=(IF(LEFT($A14,7)="SAMPLE-","SAMPLE-","")&amp;LOWER(SUBSTITUTE(SUBSTITUTE($A14,"SAMPLE-",""),"CMP-","c"))&amp;"-"&amp;LOWER(SUBSTITUTE(SUBSTITUTE($B14,"SAMPLE-",""),"O-","o"))&amp;"-p"))*(scans!$D$2:$D$1601="baseline")*scans!$E$2:$E$1601))))</f>
        <v/>
      </c>
      <c r="AP14" s="25">
        <f>IF($A14="","",IF(COUNTIF(offices!$A$2:$A$61,$B14)=0,"office_id not on offices; ","")&amp;IF(COUNTIF(campaigns!$A$2:$A$51,$A14)=0,"campaign_id not on campaigns; ","")&amp;IF($P14="pending","approval pending; ","")&amp;IF(AND($U14&gt;0,$Y14="",OR($I14="",IF(config!$B$37&lt;&gt;"",config!$B$37,TODAY())&lt;=WORKDAY(N($I14),4,calendar!$A$2:$A$80))),"no usable placement photo yet; ","")&amp;IF(AND($Y14&lt;&gt;"",$Z14=""),"log the placed count; ","")&amp;IF(N($AA14)&gt;N($U14),"placed more than delivered; ","")&amp;IF(AND($AF14&lt;&gt;"",N($AF14)&gt;N($AA14)+N($AD14)),"day-5 count above placed plus top-ups; ","")&amp;IF(AND($U14&gt;0,$I14&lt;&gt;"",IF(config!$B$37&lt;&gt;"",config!$B$37,TODAY())&gt;WORKDAY(N($I14),4,calendar!$A$2:$A$80),$AF14=""),"day-5 count missing; ","")&amp;IF(AND($U14&gt;0,$I14&lt;&gt;"",IF(config!$B$37&lt;&gt;"",config!$B$37,TODAY())&gt;WORKDAY(N($I14),4,calendar!$A$2:$A$80),$AN14=""),"no close link reading; ","")&amp;$R14&amp;IF($P14="N","info: office said no; ","")&amp;IF(AND($P14="Y",$Q14="N"),"info: turned away at the door, so not on the drop (no letter, not in the report or Gate 2; the credit check is on campaigns); ","")&amp;IF(AND($U14&gt;0,$Y14="",$I14&lt;&gt;"",IF(config!$B$37&lt;&gt;"",config!$B$37,TODAY())&gt;WORKDAY(N($I14),4,calendar!$A$2:$A$80)),"info: no usable placement photo, so nothing counts as placed; ","")&amp;IF(AND($U14&gt;0,$I14&lt;&gt;"",IF(config!$B$37&lt;&gt;"",config!$B$37,TODAY())&gt;WORKDAY(N($I14),4,calendar!$A$2:$A$80),N($AL14)&lt;config!$B$30),"info: under "&amp;config!$B$30&amp;" responses; ","")&amp;IF($W14="packing_list","info: delivered count not verified; ",""))</f>
        <v/>
      </c>
      <c r="AQ14" s="25">
        <f>IF(OR($A14="",$I14=""),"",IF($BC14="Y",SUMIFS(survey_frozen!$E$2:$E$251,survey_frozen!$P$2:$P$251,$A14&amp;"|"&amp;$B14),IFERROR(COUNTIFS(INDIRECT("'"&amp;$A14&amp;"'!$B$2:$B$501"),$T14,INDIRECT("'"&amp;$A14&amp;"'!$A$2:$A$501"),"&gt;="&amp;$I14,INDIRECT("'"&amp;$A14&amp;"'!$A$2:$A$501"),"&lt;"&amp;($BA14+1),INDIRECT("'"&amp;$A14&amp;"'!$F$2:$F$501"),"Didn't see it"),0)))</f>
        <v/>
      </c>
      <c r="AR14" s="25">
        <f>IF(OR($A14="",$I14=""),"",IF($BC14="Y",SUMIFS(survey_frozen!$F$2:$F$251,survey_frozen!$P$2:$P$251,$A14&amp;"|"&amp;$B14),IFERROR(COUNTIFS(INDIRECT("'"&amp;$A14&amp;"'!$B$2:$B$501"),$T14,INDIRECT("'"&amp;$A14&amp;"'!$A$2:$A$501"),"&gt;="&amp;$I14,INDIRECT("'"&amp;$A14&amp;"'!$A$2:$A$501"),"&lt;"&amp;($BA14+1),INDIRECT("'"&amp;$A14&amp;"'!$F$2:$F$501"),"Not for me"),0)))</f>
        <v/>
      </c>
      <c r="AS14" s="25">
        <f>IF(OR($A14="",$I14=""),"",IF($BC14="Y",SUMIFS(survey_frozen!$G$2:$G$251,survey_frozen!$P$2:$P$251,$A14&amp;"|"&amp;$B14),IFERROR(COUNTIFS(INDIRECT("'"&amp;$A14&amp;"'!$B$2:$B$501"),$T14,INDIRECT("'"&amp;$A14&amp;"'!$A$2:$A$501"),"&gt;="&amp;$I14,INDIRECT("'"&amp;$A14&amp;"'!$A$2:$A$501"),"&lt;"&amp;($BA14+1),INDIRECT("'"&amp;$A14&amp;"'!$F$2:$F$501"),"Gone by the time I looked"),0)))</f>
        <v/>
      </c>
      <c r="AT14" s="25">
        <f>IF(OR($A14="",$I14=""),"",IF($BC14="Y",SUMIFS(survey_frozen!$H$2:$H$251,survey_frozen!$P$2:$P$251,$A14&amp;"|"&amp;$B14),IFERROR(COUNTIFS(INDIRECT("'"&amp;$A14&amp;"'!$B$2:$B$501"),$T14,INDIRECT("'"&amp;$A14&amp;"'!$A$2:$A$501"),"&gt;="&amp;$I14,INDIRECT("'"&amp;$A14&amp;"'!$A$2:$A$501"),"&lt;"&amp;($BA14+1),INDIRECT("'"&amp;$A14&amp;"'!$D$2:$D$501"),"&gt;=1"),0)))</f>
        <v/>
      </c>
      <c r="AU14" s="25">
        <f>IF(OR($A14="",$I14=""),"",IF($BC14="Y",SUMIFS(survey_frozen!$I$2:$I$251,survey_frozen!$P$2:$P$251,$A14&amp;"|"&amp;$B14),IFERROR(SUMIFS(INDIRECT("'"&amp;$A14&amp;"'!$D$2:$D$501"),INDIRECT("'"&amp;$A14&amp;"'!$B$2:$B$501"),$T14,INDIRECT("'"&amp;$A14&amp;"'!$A$2:$A$501"),"&gt;="&amp;$I14,INDIRECT("'"&amp;$A14&amp;"'!$A$2:$A$501"),"&lt;"&amp;($BA14+1)),0)))</f>
        <v/>
      </c>
      <c r="AV14" s="25">
        <f>IF(OR($A14="",$I14=""),"",IF($BC14="Y",SUMIFS(survey_frozen!$J$2:$J$251,survey_frozen!$P$2:$P$251,$A14&amp;"|"&amp;$B14),IFERROR(COUNTIFS(INDIRECT("'"&amp;$A14&amp;"'!$B$2:$B$501"),$T14,INDIRECT("'"&amp;$A14&amp;"'!$A$2:$A$501"),"&gt;="&amp;$I14,INDIRECT("'"&amp;$A14&amp;"'!$A$2:$A$501"),"&lt;"&amp;($BA14+1),INDIRECT("'"&amp;$A14&amp;"'!$E$2:$E$501"),"Yes"),0)))</f>
        <v/>
      </c>
      <c r="AW14" s="25">
        <f>IF(OR($A14="",$I14=""),"",IF($BC14="Y",SUMIFS(survey_frozen!$K$2:$K$251,survey_frozen!$P$2:$P$251,$A14&amp;"|"&amp;$B14),IFERROR(COUNTIFS(INDIRECT("'"&amp;$A14&amp;"'!$B$2:$B$501"),$T14,INDIRECT("'"&amp;$A14&amp;"'!$A$2:$A$501"),"&gt;="&amp;$I14,INDIRECT("'"&amp;$A14&amp;"'!$A$2:$A$501"),"&lt;"&amp;($BA14+1),INDIRECT("'"&amp;$A14&amp;"'!$E$2:$E$501"),"Maybe"),0)))</f>
        <v/>
      </c>
      <c r="AX14" s="25">
        <f>IF(OR($A14="",$I14=""),"",IF($BC14="Y",SUMIFS(survey_frozen!$L$2:$L$251,survey_frozen!$P$2:$P$251,$A14&amp;"|"&amp;$B14),IFERROR(COUNTIFS(INDIRECT("'"&amp;$A14&amp;"'!$B$2:$B$501"),$T14,INDIRECT("'"&amp;$A14&amp;"'!$A$2:$A$501"),"&gt;="&amp;$I14,INDIRECT("'"&amp;$A14&amp;"'!$A$2:$A$501"),"&lt;"&amp;($BA14+1),INDIRECT("'"&amp;$A14&amp;"'!$E$2:$E$501"),"No"),0)))</f>
        <v/>
      </c>
      <c r="AY14" s="25">
        <f>IF(OR($A14="",$I14=""),"",IF($BC14="Y",SUMIFS(survey_frozen!$M$2:$M$251,survey_frozen!$P$2:$P$251,$A14&amp;"|"&amp;$B14),IFERROR(COUNTIFS(INDIRECT("'"&amp;$A14&amp;"'!$B$2:$B$501"),$T14,INDIRECT("'"&amp;$A14&amp;"'!$A$2:$A$501"),"&gt;="&amp;$I14,INDIRECT("'"&amp;$A14&amp;"'!$A$2:$A$501"),"&lt;"&amp;($BA14+1),INDIRECT("'"&amp;$A14&amp;"'!$G$2:$G$501"),"&lt;&gt;"),0)))</f>
        <v/>
      </c>
      <c r="AZ14" s="25">
        <f>IF($A14="","",$A14&amp;"|"&amp;$L14)</f>
        <v/>
      </c>
      <c r="BA14" s="26">
        <f>IF($A14="","",IFERROR(IF(INDEX(drops!$R$2:$R$21,MATCH($H14,drops!$A$2:$A$21,0))="","",INDEX(drops!$R$2:$R$21,MATCH($H14,drops!$A$2:$A$21,0))),""))</f>
        <v/>
      </c>
      <c r="BB14" s="25">
        <f>IF(OR($A14="",$Q14&lt;&gt;"Y"),1000000,N($AL14))</f>
        <v/>
      </c>
      <c r="BC14" s="25">
        <f>IF($A14="","",IF(COUNTIF(survey_frozen!$P$2:$P$251,$A14&amp;"|"&amp;$B14)&gt;0,"Y",""))</f>
        <v/>
      </c>
    </row>
    <row r="15">
      <c r="A15" t="inlineStr">
        <is>
          <t>SAMPLE-CMP-003</t>
        </is>
      </c>
      <c r="B15" t="inlineStr">
        <is>
          <t>SAMPLE-O-004</t>
        </is>
      </c>
      <c r="C15" s="9" t="n">
        <v>46391</v>
      </c>
      <c r="D15" t="inlineStr">
        <is>
          <t>yes</t>
        </is>
      </c>
      <c r="E15" s="9" t="n">
        <v>46392</v>
      </c>
      <c r="F15" t="inlineStr">
        <is>
          <t>SAMPLE replied by email</t>
        </is>
      </c>
      <c r="H15" s="25">
        <f>IF($A15="","",IFERROR(IF(INDEX(campaigns!$B$2:$B$51,MATCH($A15,campaigns!$A$2:$A$51,0))="","",INDEX(campaigns!$B$2:$B$51,MATCH($A15,campaigns!$A$2:$A$51,0))),""))</f>
        <v/>
      </c>
      <c r="I15" s="26">
        <f>IF($A15="","",IFERROR(IF(INDEX(campaigns!$BG$2:$BG$51,MATCH($A15,campaigns!$A$2:$A$51,0))="","",INDEX(campaigns!$BG$2:$BG$51,MATCH($A15,campaigns!$A$2:$A$51,0))),""))</f>
        <v/>
      </c>
      <c r="J15" s="25">
        <f>IF($A15="","",IFERROR(IF(INDEX(campaigns!$BE$2:$BE$51,MATCH($A15,campaigns!$A$2:$A$51,0))="","",INDEX(campaigns!$BE$2:$BE$51,MATCH($A15,campaigns!$A$2:$A$51,0))),""))</f>
        <v/>
      </c>
      <c r="K15" s="25">
        <f>IF($B15="","",IFERROR(IF(INDEX(offices!$N$2:$N$61,MATCH($B15,offices!$A$2:$A$61,0))="","",INDEX(offices!$N$2:$N$61,MATCH($B15,offices!$A$2:$A$61,0))),""))</f>
        <v/>
      </c>
      <c r="L15" s="25">
        <f>IF($A15="","",IF($Q15="N","",COUNTIFS($A$2:$A15,$A15,$Q$2:$Q15,"&lt;&gt;N")))</f>
        <v/>
      </c>
      <c r="M15" s="25">
        <f>IF(OR($A15="",$L15=""),"",IF(AND(config!$B$34="names_if_public",IFERROR(IF(INDEX(offices!$AF$2:$AF$61,MATCH($B15,offices!$A$2:$A$61,0))="","",INDEX(offices!$AF$2:$AF$61,MATCH($B15,offices!$A$2:$A$61,0))),"")="Y"),$K15,CHAR(64+$L15)))</f>
        <v/>
      </c>
      <c r="N15" s="25">
        <f>IF(OR($A15="",$I15=""),"",COUNTIFS(stops!$B$2:$B$151,$B15,stops!$P$2:$P$151,"&lt;"&amp;$I15,stops!$L$2:$L$151,"&lt;&gt;not_delivered")+1)</f>
        <v/>
      </c>
      <c r="O15" s="25">
        <f>IF($A15="","",IF(N($N15)&lt;=config!$B$29,"explicit","opt-out"))</f>
        <v/>
      </c>
      <c r="P15" s="25">
        <f>IF($A15="","",IF($O15="explicit",IF($D15="yes","Y",IF($D15="no","N","pending")),IF($D15="no","N",IF(AND($C15&lt;&gt;"",$I15&lt;&gt;"",$C15&lt;=WORKDAY(N($I15),-5,calendar!$A$2:$A$80)),"Y","pending"))))</f>
        <v/>
      </c>
      <c r="Q15" s="25">
        <f>IF($A15="","",IF($P15="N","N",IF($P15&lt;&gt;"Y","pending",IF(AND((COUNTIFS(stops!$A$2:$A$151,$H15,stops!$B$2:$B$151,$B15,stops!$L$2:$L$151,"declined")+COUNTIFS(stops!$A$2:$A$151,$H15,stops!$B$2:$B$151,$B15,stops!$L$2:$L$151,"building_refused")+COUNTIFS(stops!$A$2:$A$151,$H15,stops!$B$2:$B$151,$B15,stops!$L$2:$L$151,"not_delivered"))&gt;0,N($U15)=0),"N","Y"))))</f>
        <v/>
      </c>
      <c r="R15" s="25">
        <f>IF($A15="","",IF(COUNTIFS($A$2:$A$251,$A15,$B$2:$B$251,$B15)&gt;1,"DUPLICATE ROW; ","")&amp;IF(AND(IFERROR(IF(INDEX(offices!$AC$2:$AC$61,MATCH($B15,offices!$A$2:$A$61,0))="","",INDEX(offices!$AC$2:$AC$61,MATCH($B15,offices!$A$2:$A$61,0))),"")&lt;&gt;"",ISNUMBER(SEARCH($J15,IFERROR(IF(INDEX(offices!$AC$2:$AC$61,MATCH($B15,offices!$A$2:$A$61,0))="","",INDEX(offices!$AC$2:$AC$61,MATCH($B15,offices!$A$2:$A$61,0))),"")))),"BRAND VETOED; ","")&amp;IF(ISNUMBER(SEARCH(IFERROR(IF(INDEX(campaigns!$BF$2:$BF$51,MATCH($A15,campaigns!$A$2:$A$51,0))="","",INDEX(campaigns!$BF$2:$BF$51,MATCH($A15,campaigns!$A$2:$A$51,0))),""),IFERROR(IF(INDEX(offices!$AB$2:$AB$61,MATCH($B15,offices!$A$2:$A$61,0))="","",INDEX(offices!$AB$2:$AB$61,MATCH($B15,offices!$A$2:$A$61,0))),""))),"","info: category not on the office's list; ")&amp;IF(IFERROR(IF(INDEX(offices!$AC$2:$AC$61,MATCH($B15,offices!$A$2:$A$61,0))="","",INDEX(offices!$AC$2:$AC$61,MATCH($B15,offices!$A$2:$A$61,0))),"")&lt;&gt;"","info: read the vetoes against the label; ",""))</f>
        <v/>
      </c>
      <c r="S15" s="25">
        <f>IF($A15="","",IF($G15&lt;&gt;"",$G15,IFERROR(IF(INDEX(offices!$AL$2:$AL$61,MATCH($B15,offices!$A$2:$A$61,0))="","",INDEX(offices!$AL$2:$AL$61,MATCH($B15,offices!$A$2:$A$61,0))),"")))</f>
        <v/>
      </c>
      <c r="T15" s="25">
        <f>IF($A15="","",$A15&amp;"."&amp;$B15)</f>
        <v/>
      </c>
      <c r="U15" s="25">
        <f>IF($A15="","",SUMIFS(inventory!$G$2:$G$801,inventory!$C$2:$C$801,$A15,inventory!$D$2:$D$801,$B15,inventory!$E$2:$E$801,"delivered"))</f>
        <v/>
      </c>
      <c r="V15" s="32">
        <f>IF($A15="","",IFERROR(1/(1/SUMPRODUCT(MAX((inventory!$C$2:$C$801=$A15)*(inventory!$D$2:$D$801=$B15)*(inventory!$E$2:$E$801="delivered")*(inventory!$A$2:$A$801+inventory!$B$2:$B$801)))),""))</f>
        <v/>
      </c>
      <c r="W15" s="25">
        <f>IF($A15="","",IFERROR(IF(INDEX(inventory!$J$2:$J$801,MATCH($A15&amp;"|"&amp;$B15&amp;"|delivered",inventory!$R$2:$R$801,0))="","",INDEX(inventory!$J$2:$J$801,MATCH($A15&amp;"|"&amp;$B15&amp;"|delivered",inventory!$R$2:$R$801,0))),""))</f>
        <v/>
      </c>
      <c r="X15" s="25">
        <f>IF($A15="","",IFERROR(IF(INDEX(photos!$H$2:$H$701,MATCH($A15&amp;"|"&amp;$B15&amp;"|placement|Y",photos!$R$2:$R$701,0))="","",INDEX(photos!$H$2:$H$701,MATCH($A15&amp;"|"&amp;$B15&amp;"|placement|Y",photos!$R$2:$R$701,0))),""))</f>
        <v/>
      </c>
      <c r="Y15" s="26">
        <f>IF($A15="","",IFERROR(IF(INDEX(photos!$E$2:$E$701,MATCH($A15&amp;"|"&amp;$B15&amp;"|placement|Y",photos!$R$2:$R$701,0))="","",INDEX(photos!$E$2:$E$701,MATCH($A15&amp;"|"&amp;$B15&amp;"|placement|Y",photos!$R$2:$R$701,0))),""))</f>
        <v/>
      </c>
      <c r="Z15" s="25">
        <f>IF($A15="","",IF(COUNTIFS(counts!$C$2:$C$701,$A15,counts!$D$2:$D$701,$B15,counts!$E$2:$E$701,"placed")=0,"",SUMIFS(counts!$F$2:$F$701,counts!$C$2:$C$701,$A15,counts!$D$2:$D$701,$B15,counts!$E$2:$E$701,"placed")))</f>
        <v/>
      </c>
      <c r="AA15" s="25">
        <f>IF($A15="","",IF($Y15="",0,N($Z15)))</f>
        <v/>
      </c>
      <c r="AB15" s="25">
        <f>IF($A15="","",IF(OR($Y15="",$I15=""),"N",IF($Y15&lt;=WORKDAY(N($I15),1,calendar!$A$2:$A$80),"Y","N")))</f>
        <v/>
      </c>
      <c r="AC15" s="28">
        <f>IF(OR($A15="",$V15="",$Y15=""),"",ROUND(($Y15+N(IFERROR(IF(INDEX(photos!$F$2:$F$701,MATCH($A15&amp;"|"&amp;$B15&amp;"|placement|Y",photos!$R$2:$R$701,0))="","",INDEX(photos!$F$2:$F$701,MATCH($A15&amp;"|"&amp;$B15&amp;"|placement|Y",photos!$R$2:$R$701,0))),""))-$V15)*24,1))</f>
        <v/>
      </c>
      <c r="AD15" s="25">
        <f>IF($A15="","",SUMIFS(inventory!$G$2:$G$801,inventory!$C$2:$C$801,$A15,inventory!$D$2:$D$801,$B15,inventory!$E$2:$E$801,"topped_up"))</f>
        <v/>
      </c>
      <c r="AE15" s="25">
        <f>IF($A15="","",IF(COUNTIFS(counts!$C$2:$C$701,$A15,counts!$D$2:$D$701,$B15,counts!$E$2:$E$701,"remaining_day3")=0,"",SUMIFS(counts!$F$2:$F$701,counts!$C$2:$C$701,$A15,counts!$D$2:$D$701,$B15,counts!$E$2:$E$701,"remaining_day3")))</f>
        <v/>
      </c>
      <c r="AF15" s="25">
        <f>IF($A15="","",IF(COUNTIFS(counts!$C$2:$C$701,$A15,counts!$D$2:$D$701,$B15,counts!$E$2:$E$701,"remaining_day5")=0,"",SUMIFS(counts!$F$2:$F$701,counts!$C$2:$C$701,$A15,counts!$D$2:$D$701,$B15,counts!$E$2:$E$701,"remaining_day5")))</f>
        <v/>
      </c>
      <c r="AG15" s="25">
        <f>IF(OR($A15="",$AF15=""),"",MAX(0,$AA15+$AD15-$AF15))</f>
        <v/>
      </c>
      <c r="AH15" s="25">
        <f>IF(OR($A15="",$AI15=""),"",IFERROR(IF(INDEX(photos!$H$2:$H$701,MATCH($A15&amp;"|"&amp;$B15&amp;"|later|Y|"&amp;$AI15,photos!$S$2:$S$701,0))="","",INDEX(photos!$H$2:$H$701,MATCH($A15&amp;"|"&amp;$B15&amp;"|later|Y|"&amp;$AI15,photos!$S$2:$S$701,0))),""))</f>
        <v/>
      </c>
      <c r="AI15" s="26">
        <f>IF($A15="","",IFERROR(1/(1/SUMPRODUCT(MAX((photos!$B$2:$B$701=$A15)*(photos!$C$2:$C$701=$B15)*(photos!$D$2:$D$701="later")*(photos!$O$2:$O$701="Y")*photos!$E$2:$E$701))),""))</f>
        <v/>
      </c>
      <c r="AJ15" s="25">
        <f>IF(OR($A15="",$AI15="",$I15=""),"",NETWORKDAYS($I15,$AI15,calendar!$A$2:$A$80))</f>
        <v/>
      </c>
      <c r="AK15" s="25">
        <f>IF($A15="","",IF(AND($X15&lt;&gt;"",$AH15&lt;&gt;""),"Y","N"))</f>
        <v/>
      </c>
      <c r="AL15" s="25">
        <f>IF(OR($A15="",$I15=""),"",IF($BC15="Y",SUMIFS(survey_frozen!$C$2:$C$251,survey_frozen!$P$2:$P$251,$A15&amp;"|"&amp;$B15),IFERROR(COUNTIFS(INDIRECT("'"&amp;$A15&amp;"'!$B$2:$B$501"),$T15,INDIRECT("'"&amp;$A15&amp;"'!$A$2:$A$501"),"&gt;="&amp;$I15,INDIRECT("'"&amp;$A15&amp;"'!$A$2:$A$501"),"&lt;"&amp;($BA15+1)),0)))</f>
        <v/>
      </c>
      <c r="AM15" s="25">
        <f>IF(OR($A15="",$I15=""),"",IF($BC15="Y",SUMIFS(survey_frozen!$D$2:$D$251,survey_frozen!$P$2:$P$251,$A15&amp;"|"&amp;$B15),IFERROR(COUNTIFS(INDIRECT("'"&amp;$A15&amp;"'!$B$2:$B$501"),$T15,INDIRECT("'"&amp;$A15&amp;"'!$A$2:$A$501"),"&gt;="&amp;$I15,INDIRECT("'"&amp;$A15&amp;"'!$A$2:$A$501"),"&lt;"&amp;($BA15+1),INDIRECT("'"&amp;$A15&amp;"'!$C$2:$C$501"),"Yes"),0)))</f>
        <v/>
      </c>
      <c r="AN15" s="25">
        <f>IF($A15="","",IF(COUNTIFS(scans!$C$2:$C$1601,(IF(LEFT($A15,7)="SAMPLE-","SAMPLE-","")&amp;LOWER(SUBSTITUTE(SUBSTITUTE($A15,"SAMPLE-",""),"CMP-","c"))&amp;"-"&amp;LOWER(SUBSTITUTE(SUBSTITUTE($B15,"SAMPLE-",""),"O-","o"))&amp;"-q"),scans!$D$2:$D$1601,"close")=0,"",SUMPRODUCT(MAX((scans!$C$2:$C$1601=(IF(LEFT($A15,7)="SAMPLE-","SAMPLE-","")&amp;LOWER(SUBSTITUTE(SUBSTITUTE($A15,"SAMPLE-",""),"CMP-","c"))&amp;"-"&amp;LOWER(SUBSTITUTE(SUBSTITUTE($B15,"SAMPLE-",""),"O-","o"))&amp;"-q"))*(scans!$D$2:$D$1601="close")*scans!$E$2:$E$1601))-SUMPRODUCT(MAX((scans!$C$2:$C$1601=(IF(LEFT($A15,7)="SAMPLE-","SAMPLE-","")&amp;LOWER(SUBSTITUTE(SUBSTITUTE($A15,"SAMPLE-",""),"CMP-","c"))&amp;"-"&amp;LOWER(SUBSTITUTE(SUBSTITUTE($B15,"SAMPLE-",""),"O-","o"))&amp;"-q"))*(scans!$D$2:$D$1601="baseline")*scans!$E$2:$E$1601))))</f>
        <v/>
      </c>
      <c r="AO15" s="25">
        <f>IF($A15="","",IF(COUNTIFS(scans!$C$2:$C$1601,(IF(LEFT($A15,7)="SAMPLE-","SAMPLE-","")&amp;LOWER(SUBSTITUTE(SUBSTITUTE($A15,"SAMPLE-",""),"CMP-","c"))&amp;"-"&amp;LOWER(SUBSTITUTE(SUBSTITUTE($B15,"SAMPLE-",""),"O-","o"))&amp;"-p"),scans!$D$2:$D$1601,"close")=0,"",SUMPRODUCT(MAX((scans!$C$2:$C$1601=(IF(LEFT($A15,7)="SAMPLE-","SAMPLE-","")&amp;LOWER(SUBSTITUTE(SUBSTITUTE($A15,"SAMPLE-",""),"CMP-","c"))&amp;"-"&amp;LOWER(SUBSTITUTE(SUBSTITUTE($B15,"SAMPLE-",""),"O-","o"))&amp;"-p"))*(scans!$D$2:$D$1601="close")*scans!$E$2:$E$1601))-SUMPRODUCT(MAX((scans!$C$2:$C$1601=(IF(LEFT($A15,7)="SAMPLE-","SAMPLE-","")&amp;LOWER(SUBSTITUTE(SUBSTITUTE($A15,"SAMPLE-",""),"CMP-","c"))&amp;"-"&amp;LOWER(SUBSTITUTE(SUBSTITUTE($B15,"SAMPLE-",""),"O-","o"))&amp;"-p"))*(scans!$D$2:$D$1601="baseline")*scans!$E$2:$E$1601))))</f>
        <v/>
      </c>
      <c r="AP15" s="25">
        <f>IF($A15="","",IF(COUNTIF(offices!$A$2:$A$61,$B15)=0,"office_id not on offices; ","")&amp;IF(COUNTIF(campaigns!$A$2:$A$51,$A15)=0,"campaign_id not on campaigns; ","")&amp;IF($P15="pending","approval pending; ","")&amp;IF(AND($U15&gt;0,$Y15="",OR($I15="",IF(config!$B$37&lt;&gt;"",config!$B$37,TODAY())&lt;=WORKDAY(N($I15),4,calendar!$A$2:$A$80))),"no usable placement photo yet; ","")&amp;IF(AND($Y15&lt;&gt;"",$Z15=""),"log the placed count; ","")&amp;IF(N($AA15)&gt;N($U15),"placed more than delivered; ","")&amp;IF(AND($AF15&lt;&gt;"",N($AF15)&gt;N($AA15)+N($AD15)),"day-5 count above placed plus top-ups; ","")&amp;IF(AND($U15&gt;0,$I15&lt;&gt;"",IF(config!$B$37&lt;&gt;"",config!$B$37,TODAY())&gt;WORKDAY(N($I15),4,calendar!$A$2:$A$80),$AF15=""),"day-5 count missing; ","")&amp;IF(AND($U15&gt;0,$I15&lt;&gt;"",IF(config!$B$37&lt;&gt;"",config!$B$37,TODAY())&gt;WORKDAY(N($I15),4,calendar!$A$2:$A$80),$AN15=""),"no close link reading; ","")&amp;$R15&amp;IF($P15="N","info: office said no; ","")&amp;IF(AND($P15="Y",$Q15="N"),"info: turned away at the door, so not on the drop (no letter, not in the report or Gate 2; the credit check is on campaigns); ","")&amp;IF(AND($U15&gt;0,$Y15="",$I15&lt;&gt;"",IF(config!$B$37&lt;&gt;"",config!$B$37,TODAY())&gt;WORKDAY(N($I15),4,calendar!$A$2:$A$80)),"info: no usable placement photo, so nothing counts as placed; ","")&amp;IF(AND($U15&gt;0,$I15&lt;&gt;"",IF(config!$B$37&lt;&gt;"",config!$B$37,TODAY())&gt;WORKDAY(N($I15),4,calendar!$A$2:$A$80),N($AL15)&lt;config!$B$30),"info: under "&amp;config!$B$30&amp;" responses; ","")&amp;IF($W15="packing_list","info: delivered count not verified; ",""))</f>
        <v/>
      </c>
      <c r="AQ15" s="25">
        <f>IF(OR($A15="",$I15=""),"",IF($BC15="Y",SUMIFS(survey_frozen!$E$2:$E$251,survey_frozen!$P$2:$P$251,$A15&amp;"|"&amp;$B15),IFERROR(COUNTIFS(INDIRECT("'"&amp;$A15&amp;"'!$B$2:$B$501"),$T15,INDIRECT("'"&amp;$A15&amp;"'!$A$2:$A$501"),"&gt;="&amp;$I15,INDIRECT("'"&amp;$A15&amp;"'!$A$2:$A$501"),"&lt;"&amp;($BA15+1),INDIRECT("'"&amp;$A15&amp;"'!$F$2:$F$501"),"Didn't see it"),0)))</f>
        <v/>
      </c>
      <c r="AR15" s="25">
        <f>IF(OR($A15="",$I15=""),"",IF($BC15="Y",SUMIFS(survey_frozen!$F$2:$F$251,survey_frozen!$P$2:$P$251,$A15&amp;"|"&amp;$B15),IFERROR(COUNTIFS(INDIRECT("'"&amp;$A15&amp;"'!$B$2:$B$501"),$T15,INDIRECT("'"&amp;$A15&amp;"'!$A$2:$A$501"),"&gt;="&amp;$I15,INDIRECT("'"&amp;$A15&amp;"'!$A$2:$A$501"),"&lt;"&amp;($BA15+1),INDIRECT("'"&amp;$A15&amp;"'!$F$2:$F$501"),"Not for me"),0)))</f>
        <v/>
      </c>
      <c r="AS15" s="25">
        <f>IF(OR($A15="",$I15=""),"",IF($BC15="Y",SUMIFS(survey_frozen!$G$2:$G$251,survey_frozen!$P$2:$P$251,$A15&amp;"|"&amp;$B15),IFERROR(COUNTIFS(INDIRECT("'"&amp;$A15&amp;"'!$B$2:$B$501"),$T15,INDIRECT("'"&amp;$A15&amp;"'!$A$2:$A$501"),"&gt;="&amp;$I15,INDIRECT("'"&amp;$A15&amp;"'!$A$2:$A$501"),"&lt;"&amp;($BA15+1),INDIRECT("'"&amp;$A15&amp;"'!$F$2:$F$501"),"Gone by the time I looked"),0)))</f>
        <v/>
      </c>
      <c r="AT15" s="25">
        <f>IF(OR($A15="",$I15=""),"",IF($BC15="Y",SUMIFS(survey_frozen!$H$2:$H$251,survey_frozen!$P$2:$P$251,$A15&amp;"|"&amp;$B15),IFERROR(COUNTIFS(INDIRECT("'"&amp;$A15&amp;"'!$B$2:$B$501"),$T15,INDIRECT("'"&amp;$A15&amp;"'!$A$2:$A$501"),"&gt;="&amp;$I15,INDIRECT("'"&amp;$A15&amp;"'!$A$2:$A$501"),"&lt;"&amp;($BA15+1),INDIRECT("'"&amp;$A15&amp;"'!$D$2:$D$501"),"&gt;=1"),0)))</f>
        <v/>
      </c>
      <c r="AU15" s="25">
        <f>IF(OR($A15="",$I15=""),"",IF($BC15="Y",SUMIFS(survey_frozen!$I$2:$I$251,survey_frozen!$P$2:$P$251,$A15&amp;"|"&amp;$B15),IFERROR(SUMIFS(INDIRECT("'"&amp;$A15&amp;"'!$D$2:$D$501"),INDIRECT("'"&amp;$A15&amp;"'!$B$2:$B$501"),$T15,INDIRECT("'"&amp;$A15&amp;"'!$A$2:$A$501"),"&gt;="&amp;$I15,INDIRECT("'"&amp;$A15&amp;"'!$A$2:$A$501"),"&lt;"&amp;($BA15+1)),0)))</f>
        <v/>
      </c>
      <c r="AV15" s="25">
        <f>IF(OR($A15="",$I15=""),"",IF($BC15="Y",SUMIFS(survey_frozen!$J$2:$J$251,survey_frozen!$P$2:$P$251,$A15&amp;"|"&amp;$B15),IFERROR(COUNTIFS(INDIRECT("'"&amp;$A15&amp;"'!$B$2:$B$501"),$T15,INDIRECT("'"&amp;$A15&amp;"'!$A$2:$A$501"),"&gt;="&amp;$I15,INDIRECT("'"&amp;$A15&amp;"'!$A$2:$A$501"),"&lt;"&amp;($BA15+1),INDIRECT("'"&amp;$A15&amp;"'!$E$2:$E$501"),"Yes"),0)))</f>
        <v/>
      </c>
      <c r="AW15" s="25">
        <f>IF(OR($A15="",$I15=""),"",IF($BC15="Y",SUMIFS(survey_frozen!$K$2:$K$251,survey_frozen!$P$2:$P$251,$A15&amp;"|"&amp;$B15),IFERROR(COUNTIFS(INDIRECT("'"&amp;$A15&amp;"'!$B$2:$B$501"),$T15,INDIRECT("'"&amp;$A15&amp;"'!$A$2:$A$501"),"&gt;="&amp;$I15,INDIRECT("'"&amp;$A15&amp;"'!$A$2:$A$501"),"&lt;"&amp;($BA15+1),INDIRECT("'"&amp;$A15&amp;"'!$E$2:$E$501"),"Maybe"),0)))</f>
        <v/>
      </c>
      <c r="AX15" s="25">
        <f>IF(OR($A15="",$I15=""),"",IF($BC15="Y",SUMIFS(survey_frozen!$L$2:$L$251,survey_frozen!$P$2:$P$251,$A15&amp;"|"&amp;$B15),IFERROR(COUNTIFS(INDIRECT("'"&amp;$A15&amp;"'!$B$2:$B$501"),$T15,INDIRECT("'"&amp;$A15&amp;"'!$A$2:$A$501"),"&gt;="&amp;$I15,INDIRECT("'"&amp;$A15&amp;"'!$A$2:$A$501"),"&lt;"&amp;($BA15+1),INDIRECT("'"&amp;$A15&amp;"'!$E$2:$E$501"),"No"),0)))</f>
        <v/>
      </c>
      <c r="AY15" s="25">
        <f>IF(OR($A15="",$I15=""),"",IF($BC15="Y",SUMIFS(survey_frozen!$M$2:$M$251,survey_frozen!$P$2:$P$251,$A15&amp;"|"&amp;$B15),IFERROR(COUNTIFS(INDIRECT("'"&amp;$A15&amp;"'!$B$2:$B$501"),$T15,INDIRECT("'"&amp;$A15&amp;"'!$A$2:$A$501"),"&gt;="&amp;$I15,INDIRECT("'"&amp;$A15&amp;"'!$A$2:$A$501"),"&lt;"&amp;($BA15+1),INDIRECT("'"&amp;$A15&amp;"'!$G$2:$G$501"),"&lt;&gt;"),0)))</f>
        <v/>
      </c>
      <c r="AZ15" s="25">
        <f>IF($A15="","",$A15&amp;"|"&amp;$L15)</f>
        <v/>
      </c>
      <c r="BA15" s="26">
        <f>IF($A15="","",IFERROR(IF(INDEX(drops!$R$2:$R$21,MATCH($H15,drops!$A$2:$A$21,0))="","",INDEX(drops!$R$2:$R$21,MATCH($H15,drops!$A$2:$A$21,0))),""))</f>
        <v/>
      </c>
      <c r="BB15" s="25">
        <f>IF(OR($A15="",$Q15&lt;&gt;"Y"),1000000,N($AL15))</f>
        <v/>
      </c>
      <c r="BC15" s="25">
        <f>IF($A15="","",IF(COUNTIF(survey_frozen!$P$2:$P$251,$A15&amp;"|"&amp;$B15)&gt;0,"Y",""))</f>
        <v/>
      </c>
    </row>
    <row r="16">
      <c r="A16" t="inlineStr">
        <is>
          <t>SAMPLE-CMP-003</t>
        </is>
      </c>
      <c r="B16" t="inlineStr">
        <is>
          <t>SAMPLE-O-005</t>
        </is>
      </c>
      <c r="C16" s="9" t="n">
        <v>46391</v>
      </c>
      <c r="D16" t="inlineStr">
        <is>
          <t>yes</t>
        </is>
      </c>
      <c r="E16" s="9" t="n">
        <v>46393</v>
      </c>
      <c r="F16" t="inlineStr">
        <is>
          <t>SAMPLE replied by email</t>
        </is>
      </c>
      <c r="H16" s="25">
        <f>IF($A16="","",IFERROR(IF(INDEX(campaigns!$B$2:$B$51,MATCH($A16,campaigns!$A$2:$A$51,0))="","",INDEX(campaigns!$B$2:$B$51,MATCH($A16,campaigns!$A$2:$A$51,0))),""))</f>
        <v/>
      </c>
      <c r="I16" s="26">
        <f>IF($A16="","",IFERROR(IF(INDEX(campaigns!$BG$2:$BG$51,MATCH($A16,campaigns!$A$2:$A$51,0))="","",INDEX(campaigns!$BG$2:$BG$51,MATCH($A16,campaigns!$A$2:$A$51,0))),""))</f>
        <v/>
      </c>
      <c r="J16" s="25">
        <f>IF($A16="","",IFERROR(IF(INDEX(campaigns!$BE$2:$BE$51,MATCH($A16,campaigns!$A$2:$A$51,0))="","",INDEX(campaigns!$BE$2:$BE$51,MATCH($A16,campaigns!$A$2:$A$51,0))),""))</f>
        <v/>
      </c>
      <c r="K16" s="25">
        <f>IF($B16="","",IFERROR(IF(INDEX(offices!$N$2:$N$61,MATCH($B16,offices!$A$2:$A$61,0))="","",INDEX(offices!$N$2:$N$61,MATCH($B16,offices!$A$2:$A$61,0))),""))</f>
        <v/>
      </c>
      <c r="L16" s="25">
        <f>IF($A16="","",IF($Q16="N","",COUNTIFS($A$2:$A16,$A16,$Q$2:$Q16,"&lt;&gt;N")))</f>
        <v/>
      </c>
      <c r="M16" s="25">
        <f>IF(OR($A16="",$L16=""),"",IF(AND(config!$B$34="names_if_public",IFERROR(IF(INDEX(offices!$AF$2:$AF$61,MATCH($B16,offices!$A$2:$A$61,0))="","",INDEX(offices!$AF$2:$AF$61,MATCH($B16,offices!$A$2:$A$61,0))),"")="Y"),$K16,CHAR(64+$L16)))</f>
        <v/>
      </c>
      <c r="N16" s="25">
        <f>IF(OR($A16="",$I16=""),"",COUNTIFS(stops!$B$2:$B$151,$B16,stops!$P$2:$P$151,"&lt;"&amp;$I16,stops!$L$2:$L$151,"&lt;&gt;not_delivered")+1)</f>
        <v/>
      </c>
      <c r="O16" s="25">
        <f>IF($A16="","",IF(N($N16)&lt;=config!$B$29,"explicit","opt-out"))</f>
        <v/>
      </c>
      <c r="P16" s="25">
        <f>IF($A16="","",IF($O16="explicit",IF($D16="yes","Y",IF($D16="no","N","pending")),IF($D16="no","N",IF(AND($C16&lt;&gt;"",$I16&lt;&gt;"",$C16&lt;=WORKDAY(N($I16),-5,calendar!$A$2:$A$80)),"Y","pending"))))</f>
        <v/>
      </c>
      <c r="Q16" s="25">
        <f>IF($A16="","",IF($P16="N","N",IF($P16&lt;&gt;"Y","pending",IF(AND((COUNTIFS(stops!$A$2:$A$151,$H16,stops!$B$2:$B$151,$B16,stops!$L$2:$L$151,"declined")+COUNTIFS(stops!$A$2:$A$151,$H16,stops!$B$2:$B$151,$B16,stops!$L$2:$L$151,"building_refused")+COUNTIFS(stops!$A$2:$A$151,$H16,stops!$B$2:$B$151,$B16,stops!$L$2:$L$151,"not_delivered"))&gt;0,N($U16)=0),"N","Y"))))</f>
        <v/>
      </c>
      <c r="R16" s="25">
        <f>IF($A16="","",IF(COUNTIFS($A$2:$A$251,$A16,$B$2:$B$251,$B16)&gt;1,"DUPLICATE ROW; ","")&amp;IF(AND(IFERROR(IF(INDEX(offices!$AC$2:$AC$61,MATCH($B16,offices!$A$2:$A$61,0))="","",INDEX(offices!$AC$2:$AC$61,MATCH($B16,offices!$A$2:$A$61,0))),"")&lt;&gt;"",ISNUMBER(SEARCH($J16,IFERROR(IF(INDEX(offices!$AC$2:$AC$61,MATCH($B16,offices!$A$2:$A$61,0))="","",INDEX(offices!$AC$2:$AC$61,MATCH($B16,offices!$A$2:$A$61,0))),"")))),"BRAND VETOED; ","")&amp;IF(ISNUMBER(SEARCH(IFERROR(IF(INDEX(campaigns!$BF$2:$BF$51,MATCH($A16,campaigns!$A$2:$A$51,0))="","",INDEX(campaigns!$BF$2:$BF$51,MATCH($A16,campaigns!$A$2:$A$51,0))),""),IFERROR(IF(INDEX(offices!$AB$2:$AB$61,MATCH($B16,offices!$A$2:$A$61,0))="","",INDEX(offices!$AB$2:$AB$61,MATCH($B16,offices!$A$2:$A$61,0))),""))),"","info: category not on the office's list; ")&amp;IF(IFERROR(IF(INDEX(offices!$AC$2:$AC$61,MATCH($B16,offices!$A$2:$A$61,0))="","",INDEX(offices!$AC$2:$AC$61,MATCH($B16,offices!$A$2:$A$61,0))),"")&lt;&gt;"","info: read the vetoes against the label; ",""))</f>
        <v/>
      </c>
      <c r="S16" s="25">
        <f>IF($A16="","",IF($G16&lt;&gt;"",$G16,IFERROR(IF(INDEX(offices!$AL$2:$AL$61,MATCH($B16,offices!$A$2:$A$61,0))="","",INDEX(offices!$AL$2:$AL$61,MATCH($B16,offices!$A$2:$A$61,0))),"")))</f>
        <v/>
      </c>
      <c r="T16" s="25">
        <f>IF($A16="","",$A16&amp;"."&amp;$B16)</f>
        <v/>
      </c>
      <c r="U16" s="25">
        <f>IF($A16="","",SUMIFS(inventory!$G$2:$G$801,inventory!$C$2:$C$801,$A16,inventory!$D$2:$D$801,$B16,inventory!$E$2:$E$801,"delivered"))</f>
        <v/>
      </c>
      <c r="V16" s="32">
        <f>IF($A16="","",IFERROR(1/(1/SUMPRODUCT(MAX((inventory!$C$2:$C$801=$A16)*(inventory!$D$2:$D$801=$B16)*(inventory!$E$2:$E$801="delivered")*(inventory!$A$2:$A$801+inventory!$B$2:$B$801)))),""))</f>
        <v/>
      </c>
      <c r="W16" s="25">
        <f>IF($A16="","",IFERROR(IF(INDEX(inventory!$J$2:$J$801,MATCH($A16&amp;"|"&amp;$B16&amp;"|delivered",inventory!$R$2:$R$801,0))="","",INDEX(inventory!$J$2:$J$801,MATCH($A16&amp;"|"&amp;$B16&amp;"|delivered",inventory!$R$2:$R$801,0))),""))</f>
        <v/>
      </c>
      <c r="X16" s="25">
        <f>IF($A16="","",IFERROR(IF(INDEX(photos!$H$2:$H$701,MATCH($A16&amp;"|"&amp;$B16&amp;"|placement|Y",photos!$R$2:$R$701,0))="","",INDEX(photos!$H$2:$H$701,MATCH($A16&amp;"|"&amp;$B16&amp;"|placement|Y",photos!$R$2:$R$701,0))),""))</f>
        <v/>
      </c>
      <c r="Y16" s="26">
        <f>IF($A16="","",IFERROR(IF(INDEX(photos!$E$2:$E$701,MATCH($A16&amp;"|"&amp;$B16&amp;"|placement|Y",photos!$R$2:$R$701,0))="","",INDEX(photos!$E$2:$E$701,MATCH($A16&amp;"|"&amp;$B16&amp;"|placement|Y",photos!$R$2:$R$701,0))),""))</f>
        <v/>
      </c>
      <c r="Z16" s="25">
        <f>IF($A16="","",IF(COUNTIFS(counts!$C$2:$C$701,$A16,counts!$D$2:$D$701,$B16,counts!$E$2:$E$701,"placed")=0,"",SUMIFS(counts!$F$2:$F$701,counts!$C$2:$C$701,$A16,counts!$D$2:$D$701,$B16,counts!$E$2:$E$701,"placed")))</f>
        <v/>
      </c>
      <c r="AA16" s="25">
        <f>IF($A16="","",IF($Y16="",0,N($Z16)))</f>
        <v/>
      </c>
      <c r="AB16" s="25">
        <f>IF($A16="","",IF(OR($Y16="",$I16=""),"N",IF($Y16&lt;=WORKDAY(N($I16),1,calendar!$A$2:$A$80),"Y","N")))</f>
        <v/>
      </c>
      <c r="AC16" s="28">
        <f>IF(OR($A16="",$V16="",$Y16=""),"",ROUND(($Y16+N(IFERROR(IF(INDEX(photos!$F$2:$F$701,MATCH($A16&amp;"|"&amp;$B16&amp;"|placement|Y",photos!$R$2:$R$701,0))="","",INDEX(photos!$F$2:$F$701,MATCH($A16&amp;"|"&amp;$B16&amp;"|placement|Y",photos!$R$2:$R$701,0))),""))-$V16)*24,1))</f>
        <v/>
      </c>
      <c r="AD16" s="25">
        <f>IF($A16="","",SUMIFS(inventory!$G$2:$G$801,inventory!$C$2:$C$801,$A16,inventory!$D$2:$D$801,$B16,inventory!$E$2:$E$801,"topped_up"))</f>
        <v/>
      </c>
      <c r="AE16" s="25">
        <f>IF($A16="","",IF(COUNTIFS(counts!$C$2:$C$701,$A16,counts!$D$2:$D$701,$B16,counts!$E$2:$E$701,"remaining_day3")=0,"",SUMIFS(counts!$F$2:$F$701,counts!$C$2:$C$701,$A16,counts!$D$2:$D$701,$B16,counts!$E$2:$E$701,"remaining_day3")))</f>
        <v/>
      </c>
      <c r="AF16" s="25">
        <f>IF($A16="","",IF(COUNTIFS(counts!$C$2:$C$701,$A16,counts!$D$2:$D$701,$B16,counts!$E$2:$E$701,"remaining_day5")=0,"",SUMIFS(counts!$F$2:$F$701,counts!$C$2:$C$701,$A16,counts!$D$2:$D$701,$B16,counts!$E$2:$E$701,"remaining_day5")))</f>
        <v/>
      </c>
      <c r="AG16" s="25">
        <f>IF(OR($A16="",$AF16=""),"",MAX(0,$AA16+$AD16-$AF16))</f>
        <v/>
      </c>
      <c r="AH16" s="25">
        <f>IF(OR($A16="",$AI16=""),"",IFERROR(IF(INDEX(photos!$H$2:$H$701,MATCH($A16&amp;"|"&amp;$B16&amp;"|later|Y|"&amp;$AI16,photos!$S$2:$S$701,0))="","",INDEX(photos!$H$2:$H$701,MATCH($A16&amp;"|"&amp;$B16&amp;"|later|Y|"&amp;$AI16,photos!$S$2:$S$701,0))),""))</f>
        <v/>
      </c>
      <c r="AI16" s="26">
        <f>IF($A16="","",IFERROR(1/(1/SUMPRODUCT(MAX((photos!$B$2:$B$701=$A16)*(photos!$C$2:$C$701=$B16)*(photos!$D$2:$D$701="later")*(photos!$O$2:$O$701="Y")*photos!$E$2:$E$701))),""))</f>
        <v/>
      </c>
      <c r="AJ16" s="25">
        <f>IF(OR($A16="",$AI16="",$I16=""),"",NETWORKDAYS($I16,$AI16,calendar!$A$2:$A$80))</f>
        <v/>
      </c>
      <c r="AK16" s="25">
        <f>IF($A16="","",IF(AND($X16&lt;&gt;"",$AH16&lt;&gt;""),"Y","N"))</f>
        <v/>
      </c>
      <c r="AL16" s="25">
        <f>IF(OR($A16="",$I16=""),"",IF($BC16="Y",SUMIFS(survey_frozen!$C$2:$C$251,survey_frozen!$P$2:$P$251,$A16&amp;"|"&amp;$B16),IFERROR(COUNTIFS(INDIRECT("'"&amp;$A16&amp;"'!$B$2:$B$501"),$T16,INDIRECT("'"&amp;$A16&amp;"'!$A$2:$A$501"),"&gt;="&amp;$I16,INDIRECT("'"&amp;$A16&amp;"'!$A$2:$A$501"),"&lt;"&amp;($BA16+1)),0)))</f>
        <v/>
      </c>
      <c r="AM16" s="25">
        <f>IF(OR($A16="",$I16=""),"",IF($BC16="Y",SUMIFS(survey_frozen!$D$2:$D$251,survey_frozen!$P$2:$P$251,$A16&amp;"|"&amp;$B16),IFERROR(COUNTIFS(INDIRECT("'"&amp;$A16&amp;"'!$B$2:$B$501"),$T16,INDIRECT("'"&amp;$A16&amp;"'!$A$2:$A$501"),"&gt;="&amp;$I16,INDIRECT("'"&amp;$A16&amp;"'!$A$2:$A$501"),"&lt;"&amp;($BA16+1),INDIRECT("'"&amp;$A16&amp;"'!$C$2:$C$501"),"Yes"),0)))</f>
        <v/>
      </c>
      <c r="AN16" s="25">
        <f>IF($A16="","",IF(COUNTIFS(scans!$C$2:$C$1601,(IF(LEFT($A16,7)="SAMPLE-","SAMPLE-","")&amp;LOWER(SUBSTITUTE(SUBSTITUTE($A16,"SAMPLE-",""),"CMP-","c"))&amp;"-"&amp;LOWER(SUBSTITUTE(SUBSTITUTE($B16,"SAMPLE-",""),"O-","o"))&amp;"-q"),scans!$D$2:$D$1601,"close")=0,"",SUMPRODUCT(MAX((scans!$C$2:$C$1601=(IF(LEFT($A16,7)="SAMPLE-","SAMPLE-","")&amp;LOWER(SUBSTITUTE(SUBSTITUTE($A16,"SAMPLE-",""),"CMP-","c"))&amp;"-"&amp;LOWER(SUBSTITUTE(SUBSTITUTE($B16,"SAMPLE-",""),"O-","o"))&amp;"-q"))*(scans!$D$2:$D$1601="close")*scans!$E$2:$E$1601))-SUMPRODUCT(MAX((scans!$C$2:$C$1601=(IF(LEFT($A16,7)="SAMPLE-","SAMPLE-","")&amp;LOWER(SUBSTITUTE(SUBSTITUTE($A16,"SAMPLE-",""),"CMP-","c"))&amp;"-"&amp;LOWER(SUBSTITUTE(SUBSTITUTE($B16,"SAMPLE-",""),"O-","o"))&amp;"-q"))*(scans!$D$2:$D$1601="baseline")*scans!$E$2:$E$1601))))</f>
        <v/>
      </c>
      <c r="AO16" s="25">
        <f>IF($A16="","",IF(COUNTIFS(scans!$C$2:$C$1601,(IF(LEFT($A16,7)="SAMPLE-","SAMPLE-","")&amp;LOWER(SUBSTITUTE(SUBSTITUTE($A16,"SAMPLE-",""),"CMP-","c"))&amp;"-"&amp;LOWER(SUBSTITUTE(SUBSTITUTE($B16,"SAMPLE-",""),"O-","o"))&amp;"-p"),scans!$D$2:$D$1601,"close")=0,"",SUMPRODUCT(MAX((scans!$C$2:$C$1601=(IF(LEFT($A16,7)="SAMPLE-","SAMPLE-","")&amp;LOWER(SUBSTITUTE(SUBSTITUTE($A16,"SAMPLE-",""),"CMP-","c"))&amp;"-"&amp;LOWER(SUBSTITUTE(SUBSTITUTE($B16,"SAMPLE-",""),"O-","o"))&amp;"-p"))*(scans!$D$2:$D$1601="close")*scans!$E$2:$E$1601))-SUMPRODUCT(MAX((scans!$C$2:$C$1601=(IF(LEFT($A16,7)="SAMPLE-","SAMPLE-","")&amp;LOWER(SUBSTITUTE(SUBSTITUTE($A16,"SAMPLE-",""),"CMP-","c"))&amp;"-"&amp;LOWER(SUBSTITUTE(SUBSTITUTE($B16,"SAMPLE-",""),"O-","o"))&amp;"-p"))*(scans!$D$2:$D$1601="baseline")*scans!$E$2:$E$1601))))</f>
        <v/>
      </c>
      <c r="AP16" s="25">
        <f>IF($A16="","",IF(COUNTIF(offices!$A$2:$A$61,$B16)=0,"office_id not on offices; ","")&amp;IF(COUNTIF(campaigns!$A$2:$A$51,$A16)=0,"campaign_id not on campaigns; ","")&amp;IF($P16="pending","approval pending; ","")&amp;IF(AND($U16&gt;0,$Y16="",OR($I16="",IF(config!$B$37&lt;&gt;"",config!$B$37,TODAY())&lt;=WORKDAY(N($I16),4,calendar!$A$2:$A$80))),"no usable placement photo yet; ","")&amp;IF(AND($Y16&lt;&gt;"",$Z16=""),"log the placed count; ","")&amp;IF(N($AA16)&gt;N($U16),"placed more than delivered; ","")&amp;IF(AND($AF16&lt;&gt;"",N($AF16)&gt;N($AA16)+N($AD16)),"day-5 count above placed plus top-ups; ","")&amp;IF(AND($U16&gt;0,$I16&lt;&gt;"",IF(config!$B$37&lt;&gt;"",config!$B$37,TODAY())&gt;WORKDAY(N($I16),4,calendar!$A$2:$A$80),$AF16=""),"day-5 count missing; ","")&amp;IF(AND($U16&gt;0,$I16&lt;&gt;"",IF(config!$B$37&lt;&gt;"",config!$B$37,TODAY())&gt;WORKDAY(N($I16),4,calendar!$A$2:$A$80),$AN16=""),"no close link reading; ","")&amp;$R16&amp;IF($P16="N","info: office said no; ","")&amp;IF(AND($P16="Y",$Q16="N"),"info: turned away at the door, so not on the drop (no letter, not in the report or Gate 2; the credit check is on campaigns); ","")&amp;IF(AND($U16&gt;0,$Y16="",$I16&lt;&gt;"",IF(config!$B$37&lt;&gt;"",config!$B$37,TODAY())&gt;WORKDAY(N($I16),4,calendar!$A$2:$A$80)),"info: no usable placement photo, so nothing counts as placed; ","")&amp;IF(AND($U16&gt;0,$I16&lt;&gt;"",IF(config!$B$37&lt;&gt;"",config!$B$37,TODAY())&gt;WORKDAY(N($I16),4,calendar!$A$2:$A$80),N($AL16)&lt;config!$B$30),"info: under "&amp;config!$B$30&amp;" responses; ","")&amp;IF($W16="packing_list","info: delivered count not verified; ",""))</f>
        <v/>
      </c>
      <c r="AQ16" s="25">
        <f>IF(OR($A16="",$I16=""),"",IF($BC16="Y",SUMIFS(survey_frozen!$E$2:$E$251,survey_frozen!$P$2:$P$251,$A16&amp;"|"&amp;$B16),IFERROR(COUNTIFS(INDIRECT("'"&amp;$A16&amp;"'!$B$2:$B$501"),$T16,INDIRECT("'"&amp;$A16&amp;"'!$A$2:$A$501"),"&gt;="&amp;$I16,INDIRECT("'"&amp;$A16&amp;"'!$A$2:$A$501"),"&lt;"&amp;($BA16+1),INDIRECT("'"&amp;$A16&amp;"'!$F$2:$F$501"),"Didn't see it"),0)))</f>
        <v/>
      </c>
      <c r="AR16" s="25">
        <f>IF(OR($A16="",$I16=""),"",IF($BC16="Y",SUMIFS(survey_frozen!$F$2:$F$251,survey_frozen!$P$2:$P$251,$A16&amp;"|"&amp;$B16),IFERROR(COUNTIFS(INDIRECT("'"&amp;$A16&amp;"'!$B$2:$B$501"),$T16,INDIRECT("'"&amp;$A16&amp;"'!$A$2:$A$501"),"&gt;="&amp;$I16,INDIRECT("'"&amp;$A16&amp;"'!$A$2:$A$501"),"&lt;"&amp;($BA16+1),INDIRECT("'"&amp;$A16&amp;"'!$F$2:$F$501"),"Not for me"),0)))</f>
        <v/>
      </c>
      <c r="AS16" s="25">
        <f>IF(OR($A16="",$I16=""),"",IF($BC16="Y",SUMIFS(survey_frozen!$G$2:$G$251,survey_frozen!$P$2:$P$251,$A16&amp;"|"&amp;$B16),IFERROR(COUNTIFS(INDIRECT("'"&amp;$A16&amp;"'!$B$2:$B$501"),$T16,INDIRECT("'"&amp;$A16&amp;"'!$A$2:$A$501"),"&gt;="&amp;$I16,INDIRECT("'"&amp;$A16&amp;"'!$A$2:$A$501"),"&lt;"&amp;($BA16+1),INDIRECT("'"&amp;$A16&amp;"'!$F$2:$F$501"),"Gone by the time I looked"),0)))</f>
        <v/>
      </c>
      <c r="AT16" s="25">
        <f>IF(OR($A16="",$I16=""),"",IF($BC16="Y",SUMIFS(survey_frozen!$H$2:$H$251,survey_frozen!$P$2:$P$251,$A16&amp;"|"&amp;$B16),IFERROR(COUNTIFS(INDIRECT("'"&amp;$A16&amp;"'!$B$2:$B$501"),$T16,INDIRECT("'"&amp;$A16&amp;"'!$A$2:$A$501"),"&gt;="&amp;$I16,INDIRECT("'"&amp;$A16&amp;"'!$A$2:$A$501"),"&lt;"&amp;($BA16+1),INDIRECT("'"&amp;$A16&amp;"'!$D$2:$D$501"),"&gt;=1"),0)))</f>
        <v/>
      </c>
      <c r="AU16" s="25">
        <f>IF(OR($A16="",$I16=""),"",IF($BC16="Y",SUMIFS(survey_frozen!$I$2:$I$251,survey_frozen!$P$2:$P$251,$A16&amp;"|"&amp;$B16),IFERROR(SUMIFS(INDIRECT("'"&amp;$A16&amp;"'!$D$2:$D$501"),INDIRECT("'"&amp;$A16&amp;"'!$B$2:$B$501"),$T16,INDIRECT("'"&amp;$A16&amp;"'!$A$2:$A$501"),"&gt;="&amp;$I16,INDIRECT("'"&amp;$A16&amp;"'!$A$2:$A$501"),"&lt;"&amp;($BA16+1)),0)))</f>
        <v/>
      </c>
      <c r="AV16" s="25">
        <f>IF(OR($A16="",$I16=""),"",IF($BC16="Y",SUMIFS(survey_frozen!$J$2:$J$251,survey_frozen!$P$2:$P$251,$A16&amp;"|"&amp;$B16),IFERROR(COUNTIFS(INDIRECT("'"&amp;$A16&amp;"'!$B$2:$B$501"),$T16,INDIRECT("'"&amp;$A16&amp;"'!$A$2:$A$501"),"&gt;="&amp;$I16,INDIRECT("'"&amp;$A16&amp;"'!$A$2:$A$501"),"&lt;"&amp;($BA16+1),INDIRECT("'"&amp;$A16&amp;"'!$E$2:$E$501"),"Yes"),0)))</f>
        <v/>
      </c>
      <c r="AW16" s="25">
        <f>IF(OR($A16="",$I16=""),"",IF($BC16="Y",SUMIFS(survey_frozen!$K$2:$K$251,survey_frozen!$P$2:$P$251,$A16&amp;"|"&amp;$B16),IFERROR(COUNTIFS(INDIRECT("'"&amp;$A16&amp;"'!$B$2:$B$501"),$T16,INDIRECT("'"&amp;$A16&amp;"'!$A$2:$A$501"),"&gt;="&amp;$I16,INDIRECT("'"&amp;$A16&amp;"'!$A$2:$A$501"),"&lt;"&amp;($BA16+1),INDIRECT("'"&amp;$A16&amp;"'!$E$2:$E$501"),"Maybe"),0)))</f>
        <v/>
      </c>
      <c r="AX16" s="25">
        <f>IF(OR($A16="",$I16=""),"",IF($BC16="Y",SUMIFS(survey_frozen!$L$2:$L$251,survey_frozen!$P$2:$P$251,$A16&amp;"|"&amp;$B16),IFERROR(COUNTIFS(INDIRECT("'"&amp;$A16&amp;"'!$B$2:$B$501"),$T16,INDIRECT("'"&amp;$A16&amp;"'!$A$2:$A$501"),"&gt;="&amp;$I16,INDIRECT("'"&amp;$A16&amp;"'!$A$2:$A$501"),"&lt;"&amp;($BA16+1),INDIRECT("'"&amp;$A16&amp;"'!$E$2:$E$501"),"No"),0)))</f>
        <v/>
      </c>
      <c r="AY16" s="25">
        <f>IF(OR($A16="",$I16=""),"",IF($BC16="Y",SUMIFS(survey_frozen!$M$2:$M$251,survey_frozen!$P$2:$P$251,$A16&amp;"|"&amp;$B16),IFERROR(COUNTIFS(INDIRECT("'"&amp;$A16&amp;"'!$B$2:$B$501"),$T16,INDIRECT("'"&amp;$A16&amp;"'!$A$2:$A$501"),"&gt;="&amp;$I16,INDIRECT("'"&amp;$A16&amp;"'!$A$2:$A$501"),"&lt;"&amp;($BA16+1),INDIRECT("'"&amp;$A16&amp;"'!$G$2:$G$501"),"&lt;&gt;"),0)))</f>
        <v/>
      </c>
      <c r="AZ16" s="25">
        <f>IF($A16="","",$A16&amp;"|"&amp;$L16)</f>
        <v/>
      </c>
      <c r="BA16" s="26">
        <f>IF($A16="","",IFERROR(IF(INDEX(drops!$R$2:$R$21,MATCH($H16,drops!$A$2:$A$21,0))="","",INDEX(drops!$R$2:$R$21,MATCH($H16,drops!$A$2:$A$21,0))),""))</f>
        <v/>
      </c>
      <c r="BB16" s="25">
        <f>IF(OR($A16="",$Q16&lt;&gt;"Y"),1000000,N($AL16))</f>
        <v/>
      </c>
      <c r="BC16" s="25">
        <f>IF($A16="","",IF(COUNTIF(survey_frozen!$P$2:$P$251,$A16&amp;"|"&amp;$B16)&gt;0,"Y",""))</f>
        <v/>
      </c>
    </row>
    <row r="17">
      <c r="A17" t="inlineStr">
        <is>
          <t>SAMPLE-CMP-003</t>
        </is>
      </c>
      <c r="B17" t="inlineStr">
        <is>
          <t>SAMPLE-O-006</t>
        </is>
      </c>
      <c r="C17" s="9" t="n">
        <v>46392</v>
      </c>
      <c r="D17" t="inlineStr">
        <is>
          <t>yes</t>
        </is>
      </c>
      <c r="E17" s="9" t="n">
        <v>46395</v>
      </c>
      <c r="F17" t="inlineStr">
        <is>
          <t>SAMPLE replied by email</t>
        </is>
      </c>
      <c r="H17" s="25">
        <f>IF($A17="","",IFERROR(IF(INDEX(campaigns!$B$2:$B$51,MATCH($A17,campaigns!$A$2:$A$51,0))="","",INDEX(campaigns!$B$2:$B$51,MATCH($A17,campaigns!$A$2:$A$51,0))),""))</f>
        <v/>
      </c>
      <c r="I17" s="26">
        <f>IF($A17="","",IFERROR(IF(INDEX(campaigns!$BG$2:$BG$51,MATCH($A17,campaigns!$A$2:$A$51,0))="","",INDEX(campaigns!$BG$2:$BG$51,MATCH($A17,campaigns!$A$2:$A$51,0))),""))</f>
        <v/>
      </c>
      <c r="J17" s="25">
        <f>IF($A17="","",IFERROR(IF(INDEX(campaigns!$BE$2:$BE$51,MATCH($A17,campaigns!$A$2:$A$51,0))="","",INDEX(campaigns!$BE$2:$BE$51,MATCH($A17,campaigns!$A$2:$A$51,0))),""))</f>
        <v/>
      </c>
      <c r="K17" s="25">
        <f>IF($B17="","",IFERROR(IF(INDEX(offices!$N$2:$N$61,MATCH($B17,offices!$A$2:$A$61,0))="","",INDEX(offices!$N$2:$N$61,MATCH($B17,offices!$A$2:$A$61,0))),""))</f>
        <v/>
      </c>
      <c r="L17" s="25">
        <f>IF($A17="","",IF($Q17="N","",COUNTIFS($A$2:$A17,$A17,$Q$2:$Q17,"&lt;&gt;N")))</f>
        <v/>
      </c>
      <c r="M17" s="25">
        <f>IF(OR($A17="",$L17=""),"",IF(AND(config!$B$34="names_if_public",IFERROR(IF(INDEX(offices!$AF$2:$AF$61,MATCH($B17,offices!$A$2:$A$61,0))="","",INDEX(offices!$AF$2:$AF$61,MATCH($B17,offices!$A$2:$A$61,0))),"")="Y"),$K17,CHAR(64+$L17)))</f>
        <v/>
      </c>
      <c r="N17" s="25">
        <f>IF(OR($A17="",$I17=""),"",COUNTIFS(stops!$B$2:$B$151,$B17,stops!$P$2:$P$151,"&lt;"&amp;$I17,stops!$L$2:$L$151,"&lt;&gt;not_delivered")+1)</f>
        <v/>
      </c>
      <c r="O17" s="25">
        <f>IF($A17="","",IF(N($N17)&lt;=config!$B$29,"explicit","opt-out"))</f>
        <v/>
      </c>
      <c r="P17" s="25">
        <f>IF($A17="","",IF($O17="explicit",IF($D17="yes","Y",IF($D17="no","N","pending")),IF($D17="no","N",IF(AND($C17&lt;&gt;"",$I17&lt;&gt;"",$C17&lt;=WORKDAY(N($I17),-5,calendar!$A$2:$A$80)),"Y","pending"))))</f>
        <v/>
      </c>
      <c r="Q17" s="25">
        <f>IF($A17="","",IF($P17="N","N",IF($P17&lt;&gt;"Y","pending",IF(AND((COUNTIFS(stops!$A$2:$A$151,$H17,stops!$B$2:$B$151,$B17,stops!$L$2:$L$151,"declined")+COUNTIFS(stops!$A$2:$A$151,$H17,stops!$B$2:$B$151,$B17,stops!$L$2:$L$151,"building_refused")+COUNTIFS(stops!$A$2:$A$151,$H17,stops!$B$2:$B$151,$B17,stops!$L$2:$L$151,"not_delivered"))&gt;0,N($U17)=0),"N","Y"))))</f>
        <v/>
      </c>
      <c r="R17" s="25">
        <f>IF($A17="","",IF(COUNTIFS($A$2:$A$251,$A17,$B$2:$B$251,$B17)&gt;1,"DUPLICATE ROW; ","")&amp;IF(AND(IFERROR(IF(INDEX(offices!$AC$2:$AC$61,MATCH($B17,offices!$A$2:$A$61,0))="","",INDEX(offices!$AC$2:$AC$61,MATCH($B17,offices!$A$2:$A$61,0))),"")&lt;&gt;"",ISNUMBER(SEARCH($J17,IFERROR(IF(INDEX(offices!$AC$2:$AC$61,MATCH($B17,offices!$A$2:$A$61,0))="","",INDEX(offices!$AC$2:$AC$61,MATCH($B17,offices!$A$2:$A$61,0))),"")))),"BRAND VETOED; ","")&amp;IF(ISNUMBER(SEARCH(IFERROR(IF(INDEX(campaigns!$BF$2:$BF$51,MATCH($A17,campaigns!$A$2:$A$51,0))="","",INDEX(campaigns!$BF$2:$BF$51,MATCH($A17,campaigns!$A$2:$A$51,0))),""),IFERROR(IF(INDEX(offices!$AB$2:$AB$61,MATCH($B17,offices!$A$2:$A$61,0))="","",INDEX(offices!$AB$2:$AB$61,MATCH($B17,offices!$A$2:$A$61,0))),""))),"","info: category not on the office's list; ")&amp;IF(IFERROR(IF(INDEX(offices!$AC$2:$AC$61,MATCH($B17,offices!$A$2:$A$61,0))="","",INDEX(offices!$AC$2:$AC$61,MATCH($B17,offices!$A$2:$A$61,0))),"")&lt;&gt;"","info: read the vetoes against the label; ",""))</f>
        <v/>
      </c>
      <c r="S17" s="25">
        <f>IF($A17="","",IF($G17&lt;&gt;"",$G17,IFERROR(IF(INDEX(offices!$AL$2:$AL$61,MATCH($B17,offices!$A$2:$A$61,0))="","",INDEX(offices!$AL$2:$AL$61,MATCH($B17,offices!$A$2:$A$61,0))),"")))</f>
        <v/>
      </c>
      <c r="T17" s="25">
        <f>IF($A17="","",$A17&amp;"."&amp;$B17)</f>
        <v/>
      </c>
      <c r="U17" s="25">
        <f>IF($A17="","",SUMIFS(inventory!$G$2:$G$801,inventory!$C$2:$C$801,$A17,inventory!$D$2:$D$801,$B17,inventory!$E$2:$E$801,"delivered"))</f>
        <v/>
      </c>
      <c r="V17" s="32">
        <f>IF($A17="","",IFERROR(1/(1/SUMPRODUCT(MAX((inventory!$C$2:$C$801=$A17)*(inventory!$D$2:$D$801=$B17)*(inventory!$E$2:$E$801="delivered")*(inventory!$A$2:$A$801+inventory!$B$2:$B$801)))),""))</f>
        <v/>
      </c>
      <c r="W17" s="25">
        <f>IF($A17="","",IFERROR(IF(INDEX(inventory!$J$2:$J$801,MATCH($A17&amp;"|"&amp;$B17&amp;"|delivered",inventory!$R$2:$R$801,0))="","",INDEX(inventory!$J$2:$J$801,MATCH($A17&amp;"|"&amp;$B17&amp;"|delivered",inventory!$R$2:$R$801,0))),""))</f>
        <v/>
      </c>
      <c r="X17" s="25">
        <f>IF($A17="","",IFERROR(IF(INDEX(photos!$H$2:$H$701,MATCH($A17&amp;"|"&amp;$B17&amp;"|placement|Y",photos!$R$2:$R$701,0))="","",INDEX(photos!$H$2:$H$701,MATCH($A17&amp;"|"&amp;$B17&amp;"|placement|Y",photos!$R$2:$R$701,0))),""))</f>
        <v/>
      </c>
      <c r="Y17" s="26">
        <f>IF($A17="","",IFERROR(IF(INDEX(photos!$E$2:$E$701,MATCH($A17&amp;"|"&amp;$B17&amp;"|placement|Y",photos!$R$2:$R$701,0))="","",INDEX(photos!$E$2:$E$701,MATCH($A17&amp;"|"&amp;$B17&amp;"|placement|Y",photos!$R$2:$R$701,0))),""))</f>
        <v/>
      </c>
      <c r="Z17" s="25">
        <f>IF($A17="","",IF(COUNTIFS(counts!$C$2:$C$701,$A17,counts!$D$2:$D$701,$B17,counts!$E$2:$E$701,"placed")=0,"",SUMIFS(counts!$F$2:$F$701,counts!$C$2:$C$701,$A17,counts!$D$2:$D$701,$B17,counts!$E$2:$E$701,"placed")))</f>
        <v/>
      </c>
      <c r="AA17" s="25">
        <f>IF($A17="","",IF($Y17="",0,N($Z17)))</f>
        <v/>
      </c>
      <c r="AB17" s="25">
        <f>IF($A17="","",IF(OR($Y17="",$I17=""),"N",IF($Y17&lt;=WORKDAY(N($I17),1,calendar!$A$2:$A$80),"Y","N")))</f>
        <v/>
      </c>
      <c r="AC17" s="28">
        <f>IF(OR($A17="",$V17="",$Y17=""),"",ROUND(($Y17+N(IFERROR(IF(INDEX(photos!$F$2:$F$701,MATCH($A17&amp;"|"&amp;$B17&amp;"|placement|Y",photos!$R$2:$R$701,0))="","",INDEX(photos!$F$2:$F$701,MATCH($A17&amp;"|"&amp;$B17&amp;"|placement|Y",photos!$R$2:$R$701,0))),""))-$V17)*24,1))</f>
        <v/>
      </c>
      <c r="AD17" s="25">
        <f>IF($A17="","",SUMIFS(inventory!$G$2:$G$801,inventory!$C$2:$C$801,$A17,inventory!$D$2:$D$801,$B17,inventory!$E$2:$E$801,"topped_up"))</f>
        <v/>
      </c>
      <c r="AE17" s="25">
        <f>IF($A17="","",IF(COUNTIFS(counts!$C$2:$C$701,$A17,counts!$D$2:$D$701,$B17,counts!$E$2:$E$701,"remaining_day3")=0,"",SUMIFS(counts!$F$2:$F$701,counts!$C$2:$C$701,$A17,counts!$D$2:$D$701,$B17,counts!$E$2:$E$701,"remaining_day3")))</f>
        <v/>
      </c>
      <c r="AF17" s="25">
        <f>IF($A17="","",IF(COUNTIFS(counts!$C$2:$C$701,$A17,counts!$D$2:$D$701,$B17,counts!$E$2:$E$701,"remaining_day5")=0,"",SUMIFS(counts!$F$2:$F$701,counts!$C$2:$C$701,$A17,counts!$D$2:$D$701,$B17,counts!$E$2:$E$701,"remaining_day5")))</f>
        <v/>
      </c>
      <c r="AG17" s="25">
        <f>IF(OR($A17="",$AF17=""),"",MAX(0,$AA17+$AD17-$AF17))</f>
        <v/>
      </c>
      <c r="AH17" s="25">
        <f>IF(OR($A17="",$AI17=""),"",IFERROR(IF(INDEX(photos!$H$2:$H$701,MATCH($A17&amp;"|"&amp;$B17&amp;"|later|Y|"&amp;$AI17,photos!$S$2:$S$701,0))="","",INDEX(photos!$H$2:$H$701,MATCH($A17&amp;"|"&amp;$B17&amp;"|later|Y|"&amp;$AI17,photos!$S$2:$S$701,0))),""))</f>
        <v/>
      </c>
      <c r="AI17" s="26">
        <f>IF($A17="","",IFERROR(1/(1/SUMPRODUCT(MAX((photos!$B$2:$B$701=$A17)*(photos!$C$2:$C$701=$B17)*(photos!$D$2:$D$701="later")*(photos!$O$2:$O$701="Y")*photos!$E$2:$E$701))),""))</f>
        <v/>
      </c>
      <c r="AJ17" s="25">
        <f>IF(OR($A17="",$AI17="",$I17=""),"",NETWORKDAYS($I17,$AI17,calendar!$A$2:$A$80))</f>
        <v/>
      </c>
      <c r="AK17" s="25">
        <f>IF($A17="","",IF(AND($X17&lt;&gt;"",$AH17&lt;&gt;""),"Y","N"))</f>
        <v/>
      </c>
      <c r="AL17" s="25">
        <f>IF(OR($A17="",$I17=""),"",IF($BC17="Y",SUMIFS(survey_frozen!$C$2:$C$251,survey_frozen!$P$2:$P$251,$A17&amp;"|"&amp;$B17),IFERROR(COUNTIFS(INDIRECT("'"&amp;$A17&amp;"'!$B$2:$B$501"),$T17,INDIRECT("'"&amp;$A17&amp;"'!$A$2:$A$501"),"&gt;="&amp;$I17,INDIRECT("'"&amp;$A17&amp;"'!$A$2:$A$501"),"&lt;"&amp;($BA17+1)),0)))</f>
        <v/>
      </c>
      <c r="AM17" s="25">
        <f>IF(OR($A17="",$I17=""),"",IF($BC17="Y",SUMIFS(survey_frozen!$D$2:$D$251,survey_frozen!$P$2:$P$251,$A17&amp;"|"&amp;$B17),IFERROR(COUNTIFS(INDIRECT("'"&amp;$A17&amp;"'!$B$2:$B$501"),$T17,INDIRECT("'"&amp;$A17&amp;"'!$A$2:$A$501"),"&gt;="&amp;$I17,INDIRECT("'"&amp;$A17&amp;"'!$A$2:$A$501"),"&lt;"&amp;($BA17+1),INDIRECT("'"&amp;$A17&amp;"'!$C$2:$C$501"),"Yes"),0)))</f>
        <v/>
      </c>
      <c r="AN17" s="25">
        <f>IF($A17="","",IF(COUNTIFS(scans!$C$2:$C$1601,(IF(LEFT($A17,7)="SAMPLE-","SAMPLE-","")&amp;LOWER(SUBSTITUTE(SUBSTITUTE($A17,"SAMPLE-",""),"CMP-","c"))&amp;"-"&amp;LOWER(SUBSTITUTE(SUBSTITUTE($B17,"SAMPLE-",""),"O-","o"))&amp;"-q"),scans!$D$2:$D$1601,"close")=0,"",SUMPRODUCT(MAX((scans!$C$2:$C$1601=(IF(LEFT($A17,7)="SAMPLE-","SAMPLE-","")&amp;LOWER(SUBSTITUTE(SUBSTITUTE($A17,"SAMPLE-",""),"CMP-","c"))&amp;"-"&amp;LOWER(SUBSTITUTE(SUBSTITUTE($B17,"SAMPLE-",""),"O-","o"))&amp;"-q"))*(scans!$D$2:$D$1601="close")*scans!$E$2:$E$1601))-SUMPRODUCT(MAX((scans!$C$2:$C$1601=(IF(LEFT($A17,7)="SAMPLE-","SAMPLE-","")&amp;LOWER(SUBSTITUTE(SUBSTITUTE($A17,"SAMPLE-",""),"CMP-","c"))&amp;"-"&amp;LOWER(SUBSTITUTE(SUBSTITUTE($B17,"SAMPLE-",""),"O-","o"))&amp;"-q"))*(scans!$D$2:$D$1601="baseline")*scans!$E$2:$E$1601))))</f>
        <v/>
      </c>
      <c r="AO17" s="25">
        <f>IF($A17="","",IF(COUNTIFS(scans!$C$2:$C$1601,(IF(LEFT($A17,7)="SAMPLE-","SAMPLE-","")&amp;LOWER(SUBSTITUTE(SUBSTITUTE($A17,"SAMPLE-",""),"CMP-","c"))&amp;"-"&amp;LOWER(SUBSTITUTE(SUBSTITUTE($B17,"SAMPLE-",""),"O-","o"))&amp;"-p"),scans!$D$2:$D$1601,"close")=0,"",SUMPRODUCT(MAX((scans!$C$2:$C$1601=(IF(LEFT($A17,7)="SAMPLE-","SAMPLE-","")&amp;LOWER(SUBSTITUTE(SUBSTITUTE($A17,"SAMPLE-",""),"CMP-","c"))&amp;"-"&amp;LOWER(SUBSTITUTE(SUBSTITUTE($B17,"SAMPLE-",""),"O-","o"))&amp;"-p"))*(scans!$D$2:$D$1601="close")*scans!$E$2:$E$1601))-SUMPRODUCT(MAX((scans!$C$2:$C$1601=(IF(LEFT($A17,7)="SAMPLE-","SAMPLE-","")&amp;LOWER(SUBSTITUTE(SUBSTITUTE($A17,"SAMPLE-",""),"CMP-","c"))&amp;"-"&amp;LOWER(SUBSTITUTE(SUBSTITUTE($B17,"SAMPLE-",""),"O-","o"))&amp;"-p"))*(scans!$D$2:$D$1601="baseline")*scans!$E$2:$E$1601))))</f>
        <v/>
      </c>
      <c r="AP17" s="25">
        <f>IF($A17="","",IF(COUNTIF(offices!$A$2:$A$61,$B17)=0,"office_id not on offices; ","")&amp;IF(COUNTIF(campaigns!$A$2:$A$51,$A17)=0,"campaign_id not on campaigns; ","")&amp;IF($P17="pending","approval pending; ","")&amp;IF(AND($U17&gt;0,$Y17="",OR($I17="",IF(config!$B$37&lt;&gt;"",config!$B$37,TODAY())&lt;=WORKDAY(N($I17),4,calendar!$A$2:$A$80))),"no usable placement photo yet; ","")&amp;IF(AND($Y17&lt;&gt;"",$Z17=""),"log the placed count; ","")&amp;IF(N($AA17)&gt;N($U17),"placed more than delivered; ","")&amp;IF(AND($AF17&lt;&gt;"",N($AF17)&gt;N($AA17)+N($AD17)),"day-5 count above placed plus top-ups; ","")&amp;IF(AND($U17&gt;0,$I17&lt;&gt;"",IF(config!$B$37&lt;&gt;"",config!$B$37,TODAY())&gt;WORKDAY(N($I17),4,calendar!$A$2:$A$80),$AF17=""),"day-5 count missing; ","")&amp;IF(AND($U17&gt;0,$I17&lt;&gt;"",IF(config!$B$37&lt;&gt;"",config!$B$37,TODAY())&gt;WORKDAY(N($I17),4,calendar!$A$2:$A$80),$AN17=""),"no close link reading; ","")&amp;$R17&amp;IF($P17="N","info: office said no; ","")&amp;IF(AND($P17="Y",$Q17="N"),"info: turned away at the door, so not on the drop (no letter, not in the report or Gate 2; the credit check is on campaigns); ","")&amp;IF(AND($U17&gt;0,$Y17="",$I17&lt;&gt;"",IF(config!$B$37&lt;&gt;"",config!$B$37,TODAY())&gt;WORKDAY(N($I17),4,calendar!$A$2:$A$80)),"info: no usable placement photo, so nothing counts as placed; ","")&amp;IF(AND($U17&gt;0,$I17&lt;&gt;"",IF(config!$B$37&lt;&gt;"",config!$B$37,TODAY())&gt;WORKDAY(N($I17),4,calendar!$A$2:$A$80),N($AL17)&lt;config!$B$30),"info: under "&amp;config!$B$30&amp;" responses; ","")&amp;IF($W17="packing_list","info: delivered count not verified; ",""))</f>
        <v/>
      </c>
      <c r="AQ17" s="25">
        <f>IF(OR($A17="",$I17=""),"",IF($BC17="Y",SUMIFS(survey_frozen!$E$2:$E$251,survey_frozen!$P$2:$P$251,$A17&amp;"|"&amp;$B17),IFERROR(COUNTIFS(INDIRECT("'"&amp;$A17&amp;"'!$B$2:$B$501"),$T17,INDIRECT("'"&amp;$A17&amp;"'!$A$2:$A$501"),"&gt;="&amp;$I17,INDIRECT("'"&amp;$A17&amp;"'!$A$2:$A$501"),"&lt;"&amp;($BA17+1),INDIRECT("'"&amp;$A17&amp;"'!$F$2:$F$501"),"Didn't see it"),0)))</f>
        <v/>
      </c>
      <c r="AR17" s="25">
        <f>IF(OR($A17="",$I17=""),"",IF($BC17="Y",SUMIFS(survey_frozen!$F$2:$F$251,survey_frozen!$P$2:$P$251,$A17&amp;"|"&amp;$B17),IFERROR(COUNTIFS(INDIRECT("'"&amp;$A17&amp;"'!$B$2:$B$501"),$T17,INDIRECT("'"&amp;$A17&amp;"'!$A$2:$A$501"),"&gt;="&amp;$I17,INDIRECT("'"&amp;$A17&amp;"'!$A$2:$A$501"),"&lt;"&amp;($BA17+1),INDIRECT("'"&amp;$A17&amp;"'!$F$2:$F$501"),"Not for me"),0)))</f>
        <v/>
      </c>
      <c r="AS17" s="25">
        <f>IF(OR($A17="",$I17=""),"",IF($BC17="Y",SUMIFS(survey_frozen!$G$2:$G$251,survey_frozen!$P$2:$P$251,$A17&amp;"|"&amp;$B17),IFERROR(COUNTIFS(INDIRECT("'"&amp;$A17&amp;"'!$B$2:$B$501"),$T17,INDIRECT("'"&amp;$A17&amp;"'!$A$2:$A$501"),"&gt;="&amp;$I17,INDIRECT("'"&amp;$A17&amp;"'!$A$2:$A$501"),"&lt;"&amp;($BA17+1),INDIRECT("'"&amp;$A17&amp;"'!$F$2:$F$501"),"Gone by the time I looked"),0)))</f>
        <v/>
      </c>
      <c r="AT17" s="25">
        <f>IF(OR($A17="",$I17=""),"",IF($BC17="Y",SUMIFS(survey_frozen!$H$2:$H$251,survey_frozen!$P$2:$P$251,$A17&amp;"|"&amp;$B17),IFERROR(COUNTIFS(INDIRECT("'"&amp;$A17&amp;"'!$B$2:$B$501"),$T17,INDIRECT("'"&amp;$A17&amp;"'!$A$2:$A$501"),"&gt;="&amp;$I17,INDIRECT("'"&amp;$A17&amp;"'!$A$2:$A$501"),"&lt;"&amp;($BA17+1),INDIRECT("'"&amp;$A17&amp;"'!$D$2:$D$501"),"&gt;=1"),0)))</f>
        <v/>
      </c>
      <c r="AU17" s="25">
        <f>IF(OR($A17="",$I17=""),"",IF($BC17="Y",SUMIFS(survey_frozen!$I$2:$I$251,survey_frozen!$P$2:$P$251,$A17&amp;"|"&amp;$B17),IFERROR(SUMIFS(INDIRECT("'"&amp;$A17&amp;"'!$D$2:$D$501"),INDIRECT("'"&amp;$A17&amp;"'!$B$2:$B$501"),$T17,INDIRECT("'"&amp;$A17&amp;"'!$A$2:$A$501"),"&gt;="&amp;$I17,INDIRECT("'"&amp;$A17&amp;"'!$A$2:$A$501"),"&lt;"&amp;($BA17+1)),0)))</f>
        <v/>
      </c>
      <c r="AV17" s="25">
        <f>IF(OR($A17="",$I17=""),"",IF($BC17="Y",SUMIFS(survey_frozen!$J$2:$J$251,survey_frozen!$P$2:$P$251,$A17&amp;"|"&amp;$B17),IFERROR(COUNTIFS(INDIRECT("'"&amp;$A17&amp;"'!$B$2:$B$501"),$T17,INDIRECT("'"&amp;$A17&amp;"'!$A$2:$A$501"),"&gt;="&amp;$I17,INDIRECT("'"&amp;$A17&amp;"'!$A$2:$A$501"),"&lt;"&amp;($BA17+1),INDIRECT("'"&amp;$A17&amp;"'!$E$2:$E$501"),"Yes"),0)))</f>
        <v/>
      </c>
      <c r="AW17" s="25">
        <f>IF(OR($A17="",$I17=""),"",IF($BC17="Y",SUMIFS(survey_frozen!$K$2:$K$251,survey_frozen!$P$2:$P$251,$A17&amp;"|"&amp;$B17),IFERROR(COUNTIFS(INDIRECT("'"&amp;$A17&amp;"'!$B$2:$B$501"),$T17,INDIRECT("'"&amp;$A17&amp;"'!$A$2:$A$501"),"&gt;="&amp;$I17,INDIRECT("'"&amp;$A17&amp;"'!$A$2:$A$501"),"&lt;"&amp;($BA17+1),INDIRECT("'"&amp;$A17&amp;"'!$E$2:$E$501"),"Maybe"),0)))</f>
        <v/>
      </c>
      <c r="AX17" s="25">
        <f>IF(OR($A17="",$I17=""),"",IF($BC17="Y",SUMIFS(survey_frozen!$L$2:$L$251,survey_frozen!$P$2:$P$251,$A17&amp;"|"&amp;$B17),IFERROR(COUNTIFS(INDIRECT("'"&amp;$A17&amp;"'!$B$2:$B$501"),$T17,INDIRECT("'"&amp;$A17&amp;"'!$A$2:$A$501"),"&gt;="&amp;$I17,INDIRECT("'"&amp;$A17&amp;"'!$A$2:$A$501"),"&lt;"&amp;($BA17+1),INDIRECT("'"&amp;$A17&amp;"'!$E$2:$E$501"),"No"),0)))</f>
        <v/>
      </c>
      <c r="AY17" s="25">
        <f>IF(OR($A17="",$I17=""),"",IF($BC17="Y",SUMIFS(survey_frozen!$M$2:$M$251,survey_frozen!$P$2:$P$251,$A17&amp;"|"&amp;$B17),IFERROR(COUNTIFS(INDIRECT("'"&amp;$A17&amp;"'!$B$2:$B$501"),$T17,INDIRECT("'"&amp;$A17&amp;"'!$A$2:$A$501"),"&gt;="&amp;$I17,INDIRECT("'"&amp;$A17&amp;"'!$A$2:$A$501"),"&lt;"&amp;($BA17+1),INDIRECT("'"&amp;$A17&amp;"'!$G$2:$G$501"),"&lt;&gt;"),0)))</f>
        <v/>
      </c>
      <c r="AZ17" s="25">
        <f>IF($A17="","",$A17&amp;"|"&amp;$L17)</f>
        <v/>
      </c>
      <c r="BA17" s="26">
        <f>IF($A17="","",IFERROR(IF(INDEX(drops!$R$2:$R$21,MATCH($H17,drops!$A$2:$A$21,0))="","",INDEX(drops!$R$2:$R$21,MATCH($H17,drops!$A$2:$A$21,0))),""))</f>
        <v/>
      </c>
      <c r="BB17" s="25">
        <f>IF(OR($A17="",$Q17&lt;&gt;"Y"),1000000,N($AL17))</f>
        <v/>
      </c>
      <c r="BC17" s="25">
        <f>IF($A17="","",IF(COUNTIF(survey_frozen!$P$2:$P$251,$A17&amp;"|"&amp;$B17)&gt;0,"Y",""))</f>
        <v/>
      </c>
    </row>
    <row r="18">
      <c r="A18" t="inlineStr">
        <is>
          <t>SAMPLE-CMP-003</t>
        </is>
      </c>
      <c r="B18" t="inlineStr">
        <is>
          <t>SAMPLE-O-007</t>
        </is>
      </c>
      <c r="C18" s="9" t="n">
        <v>46393</v>
      </c>
      <c r="D18" t="inlineStr">
        <is>
          <t>yes</t>
        </is>
      </c>
      <c r="E18" s="9" t="n">
        <v>46394</v>
      </c>
      <c r="F18" t="inlineStr">
        <is>
          <t>SAMPLE replied by email</t>
        </is>
      </c>
      <c r="H18" s="25">
        <f>IF($A18="","",IFERROR(IF(INDEX(campaigns!$B$2:$B$51,MATCH($A18,campaigns!$A$2:$A$51,0))="","",INDEX(campaigns!$B$2:$B$51,MATCH($A18,campaigns!$A$2:$A$51,0))),""))</f>
        <v/>
      </c>
      <c r="I18" s="26">
        <f>IF($A18="","",IFERROR(IF(INDEX(campaigns!$BG$2:$BG$51,MATCH($A18,campaigns!$A$2:$A$51,0))="","",INDEX(campaigns!$BG$2:$BG$51,MATCH($A18,campaigns!$A$2:$A$51,0))),""))</f>
        <v/>
      </c>
      <c r="J18" s="25">
        <f>IF($A18="","",IFERROR(IF(INDEX(campaigns!$BE$2:$BE$51,MATCH($A18,campaigns!$A$2:$A$51,0))="","",INDEX(campaigns!$BE$2:$BE$51,MATCH($A18,campaigns!$A$2:$A$51,0))),""))</f>
        <v/>
      </c>
      <c r="K18" s="25">
        <f>IF($B18="","",IFERROR(IF(INDEX(offices!$N$2:$N$61,MATCH($B18,offices!$A$2:$A$61,0))="","",INDEX(offices!$N$2:$N$61,MATCH($B18,offices!$A$2:$A$61,0))),""))</f>
        <v/>
      </c>
      <c r="L18" s="25">
        <f>IF($A18="","",IF($Q18="N","",COUNTIFS($A$2:$A18,$A18,$Q$2:$Q18,"&lt;&gt;N")))</f>
        <v/>
      </c>
      <c r="M18" s="25">
        <f>IF(OR($A18="",$L18=""),"",IF(AND(config!$B$34="names_if_public",IFERROR(IF(INDEX(offices!$AF$2:$AF$61,MATCH($B18,offices!$A$2:$A$61,0))="","",INDEX(offices!$AF$2:$AF$61,MATCH($B18,offices!$A$2:$A$61,0))),"")="Y"),$K18,CHAR(64+$L18)))</f>
        <v/>
      </c>
      <c r="N18" s="25">
        <f>IF(OR($A18="",$I18=""),"",COUNTIFS(stops!$B$2:$B$151,$B18,stops!$P$2:$P$151,"&lt;"&amp;$I18,stops!$L$2:$L$151,"&lt;&gt;not_delivered")+1)</f>
        <v/>
      </c>
      <c r="O18" s="25">
        <f>IF($A18="","",IF(N($N18)&lt;=config!$B$29,"explicit","opt-out"))</f>
        <v/>
      </c>
      <c r="P18" s="25">
        <f>IF($A18="","",IF($O18="explicit",IF($D18="yes","Y",IF($D18="no","N","pending")),IF($D18="no","N",IF(AND($C18&lt;&gt;"",$I18&lt;&gt;"",$C18&lt;=WORKDAY(N($I18),-5,calendar!$A$2:$A$80)),"Y","pending"))))</f>
        <v/>
      </c>
      <c r="Q18" s="25">
        <f>IF($A18="","",IF($P18="N","N",IF($P18&lt;&gt;"Y","pending",IF(AND((COUNTIFS(stops!$A$2:$A$151,$H18,stops!$B$2:$B$151,$B18,stops!$L$2:$L$151,"declined")+COUNTIFS(stops!$A$2:$A$151,$H18,stops!$B$2:$B$151,$B18,stops!$L$2:$L$151,"building_refused")+COUNTIFS(stops!$A$2:$A$151,$H18,stops!$B$2:$B$151,$B18,stops!$L$2:$L$151,"not_delivered"))&gt;0,N($U18)=0),"N","Y"))))</f>
        <v/>
      </c>
      <c r="R18" s="25">
        <f>IF($A18="","",IF(COUNTIFS($A$2:$A$251,$A18,$B$2:$B$251,$B18)&gt;1,"DUPLICATE ROW; ","")&amp;IF(AND(IFERROR(IF(INDEX(offices!$AC$2:$AC$61,MATCH($B18,offices!$A$2:$A$61,0))="","",INDEX(offices!$AC$2:$AC$61,MATCH($B18,offices!$A$2:$A$61,0))),"")&lt;&gt;"",ISNUMBER(SEARCH($J18,IFERROR(IF(INDEX(offices!$AC$2:$AC$61,MATCH($B18,offices!$A$2:$A$61,0))="","",INDEX(offices!$AC$2:$AC$61,MATCH($B18,offices!$A$2:$A$61,0))),"")))),"BRAND VETOED; ","")&amp;IF(ISNUMBER(SEARCH(IFERROR(IF(INDEX(campaigns!$BF$2:$BF$51,MATCH($A18,campaigns!$A$2:$A$51,0))="","",INDEX(campaigns!$BF$2:$BF$51,MATCH($A18,campaigns!$A$2:$A$51,0))),""),IFERROR(IF(INDEX(offices!$AB$2:$AB$61,MATCH($B18,offices!$A$2:$A$61,0))="","",INDEX(offices!$AB$2:$AB$61,MATCH($B18,offices!$A$2:$A$61,0))),""))),"","info: category not on the office's list; ")&amp;IF(IFERROR(IF(INDEX(offices!$AC$2:$AC$61,MATCH($B18,offices!$A$2:$A$61,0))="","",INDEX(offices!$AC$2:$AC$61,MATCH($B18,offices!$A$2:$A$61,0))),"")&lt;&gt;"","info: read the vetoes against the label; ",""))</f>
        <v/>
      </c>
      <c r="S18" s="25">
        <f>IF($A18="","",IF($G18&lt;&gt;"",$G18,IFERROR(IF(INDEX(offices!$AL$2:$AL$61,MATCH($B18,offices!$A$2:$A$61,0))="","",INDEX(offices!$AL$2:$AL$61,MATCH($B18,offices!$A$2:$A$61,0))),"")))</f>
        <v/>
      </c>
      <c r="T18" s="25">
        <f>IF($A18="","",$A18&amp;"."&amp;$B18)</f>
        <v/>
      </c>
      <c r="U18" s="25">
        <f>IF($A18="","",SUMIFS(inventory!$G$2:$G$801,inventory!$C$2:$C$801,$A18,inventory!$D$2:$D$801,$B18,inventory!$E$2:$E$801,"delivered"))</f>
        <v/>
      </c>
      <c r="V18" s="32">
        <f>IF($A18="","",IFERROR(1/(1/SUMPRODUCT(MAX((inventory!$C$2:$C$801=$A18)*(inventory!$D$2:$D$801=$B18)*(inventory!$E$2:$E$801="delivered")*(inventory!$A$2:$A$801+inventory!$B$2:$B$801)))),""))</f>
        <v/>
      </c>
      <c r="W18" s="25">
        <f>IF($A18="","",IFERROR(IF(INDEX(inventory!$J$2:$J$801,MATCH($A18&amp;"|"&amp;$B18&amp;"|delivered",inventory!$R$2:$R$801,0))="","",INDEX(inventory!$J$2:$J$801,MATCH($A18&amp;"|"&amp;$B18&amp;"|delivered",inventory!$R$2:$R$801,0))),""))</f>
        <v/>
      </c>
      <c r="X18" s="25">
        <f>IF($A18="","",IFERROR(IF(INDEX(photos!$H$2:$H$701,MATCH($A18&amp;"|"&amp;$B18&amp;"|placement|Y",photos!$R$2:$R$701,0))="","",INDEX(photos!$H$2:$H$701,MATCH($A18&amp;"|"&amp;$B18&amp;"|placement|Y",photos!$R$2:$R$701,0))),""))</f>
        <v/>
      </c>
      <c r="Y18" s="26">
        <f>IF($A18="","",IFERROR(IF(INDEX(photos!$E$2:$E$701,MATCH($A18&amp;"|"&amp;$B18&amp;"|placement|Y",photos!$R$2:$R$701,0))="","",INDEX(photos!$E$2:$E$701,MATCH($A18&amp;"|"&amp;$B18&amp;"|placement|Y",photos!$R$2:$R$701,0))),""))</f>
        <v/>
      </c>
      <c r="Z18" s="25">
        <f>IF($A18="","",IF(COUNTIFS(counts!$C$2:$C$701,$A18,counts!$D$2:$D$701,$B18,counts!$E$2:$E$701,"placed")=0,"",SUMIFS(counts!$F$2:$F$701,counts!$C$2:$C$701,$A18,counts!$D$2:$D$701,$B18,counts!$E$2:$E$701,"placed")))</f>
        <v/>
      </c>
      <c r="AA18" s="25">
        <f>IF($A18="","",IF($Y18="",0,N($Z18)))</f>
        <v/>
      </c>
      <c r="AB18" s="25">
        <f>IF($A18="","",IF(OR($Y18="",$I18=""),"N",IF($Y18&lt;=WORKDAY(N($I18),1,calendar!$A$2:$A$80),"Y","N")))</f>
        <v/>
      </c>
      <c r="AC18" s="28">
        <f>IF(OR($A18="",$V18="",$Y18=""),"",ROUND(($Y18+N(IFERROR(IF(INDEX(photos!$F$2:$F$701,MATCH($A18&amp;"|"&amp;$B18&amp;"|placement|Y",photos!$R$2:$R$701,0))="","",INDEX(photos!$F$2:$F$701,MATCH($A18&amp;"|"&amp;$B18&amp;"|placement|Y",photos!$R$2:$R$701,0))),""))-$V18)*24,1))</f>
        <v/>
      </c>
      <c r="AD18" s="25">
        <f>IF($A18="","",SUMIFS(inventory!$G$2:$G$801,inventory!$C$2:$C$801,$A18,inventory!$D$2:$D$801,$B18,inventory!$E$2:$E$801,"topped_up"))</f>
        <v/>
      </c>
      <c r="AE18" s="25">
        <f>IF($A18="","",IF(COUNTIFS(counts!$C$2:$C$701,$A18,counts!$D$2:$D$701,$B18,counts!$E$2:$E$701,"remaining_day3")=0,"",SUMIFS(counts!$F$2:$F$701,counts!$C$2:$C$701,$A18,counts!$D$2:$D$701,$B18,counts!$E$2:$E$701,"remaining_day3")))</f>
        <v/>
      </c>
      <c r="AF18" s="25">
        <f>IF($A18="","",IF(COUNTIFS(counts!$C$2:$C$701,$A18,counts!$D$2:$D$701,$B18,counts!$E$2:$E$701,"remaining_day5")=0,"",SUMIFS(counts!$F$2:$F$701,counts!$C$2:$C$701,$A18,counts!$D$2:$D$701,$B18,counts!$E$2:$E$701,"remaining_day5")))</f>
        <v/>
      </c>
      <c r="AG18" s="25">
        <f>IF(OR($A18="",$AF18=""),"",MAX(0,$AA18+$AD18-$AF18))</f>
        <v/>
      </c>
      <c r="AH18" s="25">
        <f>IF(OR($A18="",$AI18=""),"",IFERROR(IF(INDEX(photos!$H$2:$H$701,MATCH($A18&amp;"|"&amp;$B18&amp;"|later|Y|"&amp;$AI18,photos!$S$2:$S$701,0))="","",INDEX(photos!$H$2:$H$701,MATCH($A18&amp;"|"&amp;$B18&amp;"|later|Y|"&amp;$AI18,photos!$S$2:$S$701,0))),""))</f>
        <v/>
      </c>
      <c r="AI18" s="26">
        <f>IF($A18="","",IFERROR(1/(1/SUMPRODUCT(MAX((photos!$B$2:$B$701=$A18)*(photos!$C$2:$C$701=$B18)*(photos!$D$2:$D$701="later")*(photos!$O$2:$O$701="Y")*photos!$E$2:$E$701))),""))</f>
        <v/>
      </c>
      <c r="AJ18" s="25">
        <f>IF(OR($A18="",$AI18="",$I18=""),"",NETWORKDAYS($I18,$AI18,calendar!$A$2:$A$80))</f>
        <v/>
      </c>
      <c r="AK18" s="25">
        <f>IF($A18="","",IF(AND($X18&lt;&gt;"",$AH18&lt;&gt;""),"Y","N"))</f>
        <v/>
      </c>
      <c r="AL18" s="25">
        <f>IF(OR($A18="",$I18=""),"",IF($BC18="Y",SUMIFS(survey_frozen!$C$2:$C$251,survey_frozen!$P$2:$P$251,$A18&amp;"|"&amp;$B18),IFERROR(COUNTIFS(INDIRECT("'"&amp;$A18&amp;"'!$B$2:$B$501"),$T18,INDIRECT("'"&amp;$A18&amp;"'!$A$2:$A$501"),"&gt;="&amp;$I18,INDIRECT("'"&amp;$A18&amp;"'!$A$2:$A$501"),"&lt;"&amp;($BA18+1)),0)))</f>
        <v/>
      </c>
      <c r="AM18" s="25">
        <f>IF(OR($A18="",$I18=""),"",IF($BC18="Y",SUMIFS(survey_frozen!$D$2:$D$251,survey_frozen!$P$2:$P$251,$A18&amp;"|"&amp;$B18),IFERROR(COUNTIFS(INDIRECT("'"&amp;$A18&amp;"'!$B$2:$B$501"),$T18,INDIRECT("'"&amp;$A18&amp;"'!$A$2:$A$501"),"&gt;="&amp;$I18,INDIRECT("'"&amp;$A18&amp;"'!$A$2:$A$501"),"&lt;"&amp;($BA18+1),INDIRECT("'"&amp;$A18&amp;"'!$C$2:$C$501"),"Yes"),0)))</f>
        <v/>
      </c>
      <c r="AN18" s="25">
        <f>IF($A18="","",IF(COUNTIFS(scans!$C$2:$C$1601,(IF(LEFT($A18,7)="SAMPLE-","SAMPLE-","")&amp;LOWER(SUBSTITUTE(SUBSTITUTE($A18,"SAMPLE-",""),"CMP-","c"))&amp;"-"&amp;LOWER(SUBSTITUTE(SUBSTITUTE($B18,"SAMPLE-",""),"O-","o"))&amp;"-q"),scans!$D$2:$D$1601,"close")=0,"",SUMPRODUCT(MAX((scans!$C$2:$C$1601=(IF(LEFT($A18,7)="SAMPLE-","SAMPLE-","")&amp;LOWER(SUBSTITUTE(SUBSTITUTE($A18,"SAMPLE-",""),"CMP-","c"))&amp;"-"&amp;LOWER(SUBSTITUTE(SUBSTITUTE($B18,"SAMPLE-",""),"O-","o"))&amp;"-q"))*(scans!$D$2:$D$1601="close")*scans!$E$2:$E$1601))-SUMPRODUCT(MAX((scans!$C$2:$C$1601=(IF(LEFT($A18,7)="SAMPLE-","SAMPLE-","")&amp;LOWER(SUBSTITUTE(SUBSTITUTE($A18,"SAMPLE-",""),"CMP-","c"))&amp;"-"&amp;LOWER(SUBSTITUTE(SUBSTITUTE($B18,"SAMPLE-",""),"O-","o"))&amp;"-q"))*(scans!$D$2:$D$1601="baseline")*scans!$E$2:$E$1601))))</f>
        <v/>
      </c>
      <c r="AO18" s="25">
        <f>IF($A18="","",IF(COUNTIFS(scans!$C$2:$C$1601,(IF(LEFT($A18,7)="SAMPLE-","SAMPLE-","")&amp;LOWER(SUBSTITUTE(SUBSTITUTE($A18,"SAMPLE-",""),"CMP-","c"))&amp;"-"&amp;LOWER(SUBSTITUTE(SUBSTITUTE($B18,"SAMPLE-",""),"O-","o"))&amp;"-p"),scans!$D$2:$D$1601,"close")=0,"",SUMPRODUCT(MAX((scans!$C$2:$C$1601=(IF(LEFT($A18,7)="SAMPLE-","SAMPLE-","")&amp;LOWER(SUBSTITUTE(SUBSTITUTE($A18,"SAMPLE-",""),"CMP-","c"))&amp;"-"&amp;LOWER(SUBSTITUTE(SUBSTITUTE($B18,"SAMPLE-",""),"O-","o"))&amp;"-p"))*(scans!$D$2:$D$1601="close")*scans!$E$2:$E$1601))-SUMPRODUCT(MAX((scans!$C$2:$C$1601=(IF(LEFT($A18,7)="SAMPLE-","SAMPLE-","")&amp;LOWER(SUBSTITUTE(SUBSTITUTE($A18,"SAMPLE-",""),"CMP-","c"))&amp;"-"&amp;LOWER(SUBSTITUTE(SUBSTITUTE($B18,"SAMPLE-",""),"O-","o"))&amp;"-p"))*(scans!$D$2:$D$1601="baseline")*scans!$E$2:$E$1601))))</f>
        <v/>
      </c>
      <c r="AP18" s="25">
        <f>IF($A18="","",IF(COUNTIF(offices!$A$2:$A$61,$B18)=0,"office_id not on offices; ","")&amp;IF(COUNTIF(campaigns!$A$2:$A$51,$A18)=0,"campaign_id not on campaigns; ","")&amp;IF($P18="pending","approval pending; ","")&amp;IF(AND($U18&gt;0,$Y18="",OR($I18="",IF(config!$B$37&lt;&gt;"",config!$B$37,TODAY())&lt;=WORKDAY(N($I18),4,calendar!$A$2:$A$80))),"no usable placement photo yet; ","")&amp;IF(AND($Y18&lt;&gt;"",$Z18=""),"log the placed count; ","")&amp;IF(N($AA18)&gt;N($U18),"placed more than delivered; ","")&amp;IF(AND($AF18&lt;&gt;"",N($AF18)&gt;N($AA18)+N($AD18)),"day-5 count above placed plus top-ups; ","")&amp;IF(AND($U18&gt;0,$I18&lt;&gt;"",IF(config!$B$37&lt;&gt;"",config!$B$37,TODAY())&gt;WORKDAY(N($I18),4,calendar!$A$2:$A$80),$AF18=""),"day-5 count missing; ","")&amp;IF(AND($U18&gt;0,$I18&lt;&gt;"",IF(config!$B$37&lt;&gt;"",config!$B$37,TODAY())&gt;WORKDAY(N($I18),4,calendar!$A$2:$A$80),$AN18=""),"no close link reading; ","")&amp;$R18&amp;IF($P18="N","info: office said no; ","")&amp;IF(AND($P18="Y",$Q18="N"),"info: turned away at the door, so not on the drop (no letter, not in the report or Gate 2; the credit check is on campaigns); ","")&amp;IF(AND($U18&gt;0,$Y18="",$I18&lt;&gt;"",IF(config!$B$37&lt;&gt;"",config!$B$37,TODAY())&gt;WORKDAY(N($I18),4,calendar!$A$2:$A$80)),"info: no usable placement photo, so nothing counts as placed; ","")&amp;IF(AND($U18&gt;0,$I18&lt;&gt;"",IF(config!$B$37&lt;&gt;"",config!$B$37,TODAY())&gt;WORKDAY(N($I18),4,calendar!$A$2:$A$80),N($AL18)&lt;config!$B$30),"info: under "&amp;config!$B$30&amp;" responses; ","")&amp;IF($W18="packing_list","info: delivered count not verified; ",""))</f>
        <v/>
      </c>
      <c r="AQ18" s="25">
        <f>IF(OR($A18="",$I18=""),"",IF($BC18="Y",SUMIFS(survey_frozen!$E$2:$E$251,survey_frozen!$P$2:$P$251,$A18&amp;"|"&amp;$B18),IFERROR(COUNTIFS(INDIRECT("'"&amp;$A18&amp;"'!$B$2:$B$501"),$T18,INDIRECT("'"&amp;$A18&amp;"'!$A$2:$A$501"),"&gt;="&amp;$I18,INDIRECT("'"&amp;$A18&amp;"'!$A$2:$A$501"),"&lt;"&amp;($BA18+1),INDIRECT("'"&amp;$A18&amp;"'!$F$2:$F$501"),"Didn't see it"),0)))</f>
        <v/>
      </c>
      <c r="AR18" s="25">
        <f>IF(OR($A18="",$I18=""),"",IF($BC18="Y",SUMIFS(survey_frozen!$F$2:$F$251,survey_frozen!$P$2:$P$251,$A18&amp;"|"&amp;$B18),IFERROR(COUNTIFS(INDIRECT("'"&amp;$A18&amp;"'!$B$2:$B$501"),$T18,INDIRECT("'"&amp;$A18&amp;"'!$A$2:$A$501"),"&gt;="&amp;$I18,INDIRECT("'"&amp;$A18&amp;"'!$A$2:$A$501"),"&lt;"&amp;($BA18+1),INDIRECT("'"&amp;$A18&amp;"'!$F$2:$F$501"),"Not for me"),0)))</f>
        <v/>
      </c>
      <c r="AS18" s="25">
        <f>IF(OR($A18="",$I18=""),"",IF($BC18="Y",SUMIFS(survey_frozen!$G$2:$G$251,survey_frozen!$P$2:$P$251,$A18&amp;"|"&amp;$B18),IFERROR(COUNTIFS(INDIRECT("'"&amp;$A18&amp;"'!$B$2:$B$501"),$T18,INDIRECT("'"&amp;$A18&amp;"'!$A$2:$A$501"),"&gt;="&amp;$I18,INDIRECT("'"&amp;$A18&amp;"'!$A$2:$A$501"),"&lt;"&amp;($BA18+1),INDIRECT("'"&amp;$A18&amp;"'!$F$2:$F$501"),"Gone by the time I looked"),0)))</f>
        <v/>
      </c>
      <c r="AT18" s="25">
        <f>IF(OR($A18="",$I18=""),"",IF($BC18="Y",SUMIFS(survey_frozen!$H$2:$H$251,survey_frozen!$P$2:$P$251,$A18&amp;"|"&amp;$B18),IFERROR(COUNTIFS(INDIRECT("'"&amp;$A18&amp;"'!$B$2:$B$501"),$T18,INDIRECT("'"&amp;$A18&amp;"'!$A$2:$A$501"),"&gt;="&amp;$I18,INDIRECT("'"&amp;$A18&amp;"'!$A$2:$A$501"),"&lt;"&amp;($BA18+1),INDIRECT("'"&amp;$A18&amp;"'!$D$2:$D$501"),"&gt;=1"),0)))</f>
        <v/>
      </c>
      <c r="AU18" s="25">
        <f>IF(OR($A18="",$I18=""),"",IF($BC18="Y",SUMIFS(survey_frozen!$I$2:$I$251,survey_frozen!$P$2:$P$251,$A18&amp;"|"&amp;$B18),IFERROR(SUMIFS(INDIRECT("'"&amp;$A18&amp;"'!$D$2:$D$501"),INDIRECT("'"&amp;$A18&amp;"'!$B$2:$B$501"),$T18,INDIRECT("'"&amp;$A18&amp;"'!$A$2:$A$501"),"&gt;="&amp;$I18,INDIRECT("'"&amp;$A18&amp;"'!$A$2:$A$501"),"&lt;"&amp;($BA18+1)),0)))</f>
        <v/>
      </c>
      <c r="AV18" s="25">
        <f>IF(OR($A18="",$I18=""),"",IF($BC18="Y",SUMIFS(survey_frozen!$J$2:$J$251,survey_frozen!$P$2:$P$251,$A18&amp;"|"&amp;$B18),IFERROR(COUNTIFS(INDIRECT("'"&amp;$A18&amp;"'!$B$2:$B$501"),$T18,INDIRECT("'"&amp;$A18&amp;"'!$A$2:$A$501"),"&gt;="&amp;$I18,INDIRECT("'"&amp;$A18&amp;"'!$A$2:$A$501"),"&lt;"&amp;($BA18+1),INDIRECT("'"&amp;$A18&amp;"'!$E$2:$E$501"),"Yes"),0)))</f>
        <v/>
      </c>
      <c r="AW18" s="25">
        <f>IF(OR($A18="",$I18=""),"",IF($BC18="Y",SUMIFS(survey_frozen!$K$2:$K$251,survey_frozen!$P$2:$P$251,$A18&amp;"|"&amp;$B18),IFERROR(COUNTIFS(INDIRECT("'"&amp;$A18&amp;"'!$B$2:$B$501"),$T18,INDIRECT("'"&amp;$A18&amp;"'!$A$2:$A$501"),"&gt;="&amp;$I18,INDIRECT("'"&amp;$A18&amp;"'!$A$2:$A$501"),"&lt;"&amp;($BA18+1),INDIRECT("'"&amp;$A18&amp;"'!$E$2:$E$501"),"Maybe"),0)))</f>
        <v/>
      </c>
      <c r="AX18" s="25">
        <f>IF(OR($A18="",$I18=""),"",IF($BC18="Y",SUMIFS(survey_frozen!$L$2:$L$251,survey_frozen!$P$2:$P$251,$A18&amp;"|"&amp;$B18),IFERROR(COUNTIFS(INDIRECT("'"&amp;$A18&amp;"'!$B$2:$B$501"),$T18,INDIRECT("'"&amp;$A18&amp;"'!$A$2:$A$501"),"&gt;="&amp;$I18,INDIRECT("'"&amp;$A18&amp;"'!$A$2:$A$501"),"&lt;"&amp;($BA18+1),INDIRECT("'"&amp;$A18&amp;"'!$E$2:$E$501"),"No"),0)))</f>
        <v/>
      </c>
      <c r="AY18" s="25">
        <f>IF(OR($A18="",$I18=""),"",IF($BC18="Y",SUMIFS(survey_frozen!$M$2:$M$251,survey_frozen!$P$2:$P$251,$A18&amp;"|"&amp;$B18),IFERROR(COUNTIFS(INDIRECT("'"&amp;$A18&amp;"'!$B$2:$B$501"),$T18,INDIRECT("'"&amp;$A18&amp;"'!$A$2:$A$501"),"&gt;="&amp;$I18,INDIRECT("'"&amp;$A18&amp;"'!$A$2:$A$501"),"&lt;"&amp;($BA18+1),INDIRECT("'"&amp;$A18&amp;"'!$G$2:$G$501"),"&lt;&gt;"),0)))</f>
        <v/>
      </c>
      <c r="AZ18" s="25">
        <f>IF($A18="","",$A18&amp;"|"&amp;$L18)</f>
        <v/>
      </c>
      <c r="BA18" s="26">
        <f>IF($A18="","",IFERROR(IF(INDEX(drops!$R$2:$R$21,MATCH($H18,drops!$A$2:$A$21,0))="","",INDEX(drops!$R$2:$R$21,MATCH($H18,drops!$A$2:$A$21,0))),""))</f>
        <v/>
      </c>
      <c r="BB18" s="25">
        <f>IF(OR($A18="",$Q18&lt;&gt;"Y"),1000000,N($AL18))</f>
        <v/>
      </c>
      <c r="BC18" s="25">
        <f>IF($A18="","",IF(COUNTIF(survey_frozen!$P$2:$P$251,$A18&amp;"|"&amp;$B18)&gt;0,"Y",""))</f>
        <v/>
      </c>
    </row>
    <row r="19">
      <c r="A19" t="inlineStr">
        <is>
          <t>SAMPLE-CMP-003</t>
        </is>
      </c>
      <c r="B19" t="inlineStr">
        <is>
          <t>SAMPLE-O-008</t>
        </is>
      </c>
      <c r="C19" s="9" t="n">
        <v>46394</v>
      </c>
      <c r="D19" t="inlineStr">
        <is>
          <t>yes</t>
        </is>
      </c>
      <c r="E19" s="9" t="n">
        <v>46396</v>
      </c>
      <c r="F19" t="inlineStr">
        <is>
          <t>SAMPLE replied by email</t>
        </is>
      </c>
      <c r="H19" s="25">
        <f>IF($A19="","",IFERROR(IF(INDEX(campaigns!$B$2:$B$51,MATCH($A19,campaigns!$A$2:$A$51,0))="","",INDEX(campaigns!$B$2:$B$51,MATCH($A19,campaigns!$A$2:$A$51,0))),""))</f>
        <v/>
      </c>
      <c r="I19" s="26">
        <f>IF($A19="","",IFERROR(IF(INDEX(campaigns!$BG$2:$BG$51,MATCH($A19,campaigns!$A$2:$A$51,0))="","",INDEX(campaigns!$BG$2:$BG$51,MATCH($A19,campaigns!$A$2:$A$51,0))),""))</f>
        <v/>
      </c>
      <c r="J19" s="25">
        <f>IF($A19="","",IFERROR(IF(INDEX(campaigns!$BE$2:$BE$51,MATCH($A19,campaigns!$A$2:$A$51,0))="","",INDEX(campaigns!$BE$2:$BE$51,MATCH($A19,campaigns!$A$2:$A$51,0))),""))</f>
        <v/>
      </c>
      <c r="K19" s="25">
        <f>IF($B19="","",IFERROR(IF(INDEX(offices!$N$2:$N$61,MATCH($B19,offices!$A$2:$A$61,0))="","",INDEX(offices!$N$2:$N$61,MATCH($B19,offices!$A$2:$A$61,0))),""))</f>
        <v/>
      </c>
      <c r="L19" s="25">
        <f>IF($A19="","",IF($Q19="N","",COUNTIFS($A$2:$A19,$A19,$Q$2:$Q19,"&lt;&gt;N")))</f>
        <v/>
      </c>
      <c r="M19" s="25">
        <f>IF(OR($A19="",$L19=""),"",IF(AND(config!$B$34="names_if_public",IFERROR(IF(INDEX(offices!$AF$2:$AF$61,MATCH($B19,offices!$A$2:$A$61,0))="","",INDEX(offices!$AF$2:$AF$61,MATCH($B19,offices!$A$2:$A$61,0))),"")="Y"),$K19,CHAR(64+$L19)))</f>
        <v/>
      </c>
      <c r="N19" s="25">
        <f>IF(OR($A19="",$I19=""),"",COUNTIFS(stops!$B$2:$B$151,$B19,stops!$P$2:$P$151,"&lt;"&amp;$I19,stops!$L$2:$L$151,"&lt;&gt;not_delivered")+1)</f>
        <v/>
      </c>
      <c r="O19" s="25">
        <f>IF($A19="","",IF(N($N19)&lt;=config!$B$29,"explicit","opt-out"))</f>
        <v/>
      </c>
      <c r="P19" s="25">
        <f>IF($A19="","",IF($O19="explicit",IF($D19="yes","Y",IF($D19="no","N","pending")),IF($D19="no","N",IF(AND($C19&lt;&gt;"",$I19&lt;&gt;"",$C19&lt;=WORKDAY(N($I19),-5,calendar!$A$2:$A$80)),"Y","pending"))))</f>
        <v/>
      </c>
      <c r="Q19" s="25">
        <f>IF($A19="","",IF($P19="N","N",IF($P19&lt;&gt;"Y","pending",IF(AND((COUNTIFS(stops!$A$2:$A$151,$H19,stops!$B$2:$B$151,$B19,stops!$L$2:$L$151,"declined")+COUNTIFS(stops!$A$2:$A$151,$H19,stops!$B$2:$B$151,$B19,stops!$L$2:$L$151,"building_refused")+COUNTIFS(stops!$A$2:$A$151,$H19,stops!$B$2:$B$151,$B19,stops!$L$2:$L$151,"not_delivered"))&gt;0,N($U19)=0),"N","Y"))))</f>
        <v/>
      </c>
      <c r="R19" s="25">
        <f>IF($A19="","",IF(COUNTIFS($A$2:$A$251,$A19,$B$2:$B$251,$B19)&gt;1,"DUPLICATE ROW; ","")&amp;IF(AND(IFERROR(IF(INDEX(offices!$AC$2:$AC$61,MATCH($B19,offices!$A$2:$A$61,0))="","",INDEX(offices!$AC$2:$AC$61,MATCH($B19,offices!$A$2:$A$61,0))),"")&lt;&gt;"",ISNUMBER(SEARCH($J19,IFERROR(IF(INDEX(offices!$AC$2:$AC$61,MATCH($B19,offices!$A$2:$A$61,0))="","",INDEX(offices!$AC$2:$AC$61,MATCH($B19,offices!$A$2:$A$61,0))),"")))),"BRAND VETOED; ","")&amp;IF(ISNUMBER(SEARCH(IFERROR(IF(INDEX(campaigns!$BF$2:$BF$51,MATCH($A19,campaigns!$A$2:$A$51,0))="","",INDEX(campaigns!$BF$2:$BF$51,MATCH($A19,campaigns!$A$2:$A$51,0))),""),IFERROR(IF(INDEX(offices!$AB$2:$AB$61,MATCH($B19,offices!$A$2:$A$61,0))="","",INDEX(offices!$AB$2:$AB$61,MATCH($B19,offices!$A$2:$A$61,0))),""))),"","info: category not on the office's list; ")&amp;IF(IFERROR(IF(INDEX(offices!$AC$2:$AC$61,MATCH($B19,offices!$A$2:$A$61,0))="","",INDEX(offices!$AC$2:$AC$61,MATCH($B19,offices!$A$2:$A$61,0))),"")&lt;&gt;"","info: read the vetoes against the label; ",""))</f>
        <v/>
      </c>
      <c r="S19" s="25">
        <f>IF($A19="","",IF($G19&lt;&gt;"",$G19,IFERROR(IF(INDEX(offices!$AL$2:$AL$61,MATCH($B19,offices!$A$2:$A$61,0))="","",INDEX(offices!$AL$2:$AL$61,MATCH($B19,offices!$A$2:$A$61,0))),"")))</f>
        <v/>
      </c>
      <c r="T19" s="25">
        <f>IF($A19="","",$A19&amp;"."&amp;$B19)</f>
        <v/>
      </c>
      <c r="U19" s="25">
        <f>IF($A19="","",SUMIFS(inventory!$G$2:$G$801,inventory!$C$2:$C$801,$A19,inventory!$D$2:$D$801,$B19,inventory!$E$2:$E$801,"delivered"))</f>
        <v/>
      </c>
      <c r="V19" s="32">
        <f>IF($A19="","",IFERROR(1/(1/SUMPRODUCT(MAX((inventory!$C$2:$C$801=$A19)*(inventory!$D$2:$D$801=$B19)*(inventory!$E$2:$E$801="delivered")*(inventory!$A$2:$A$801+inventory!$B$2:$B$801)))),""))</f>
        <v/>
      </c>
      <c r="W19" s="25">
        <f>IF($A19="","",IFERROR(IF(INDEX(inventory!$J$2:$J$801,MATCH($A19&amp;"|"&amp;$B19&amp;"|delivered",inventory!$R$2:$R$801,0))="","",INDEX(inventory!$J$2:$J$801,MATCH($A19&amp;"|"&amp;$B19&amp;"|delivered",inventory!$R$2:$R$801,0))),""))</f>
        <v/>
      </c>
      <c r="X19" s="25">
        <f>IF($A19="","",IFERROR(IF(INDEX(photos!$H$2:$H$701,MATCH($A19&amp;"|"&amp;$B19&amp;"|placement|Y",photos!$R$2:$R$701,0))="","",INDEX(photos!$H$2:$H$701,MATCH($A19&amp;"|"&amp;$B19&amp;"|placement|Y",photos!$R$2:$R$701,0))),""))</f>
        <v/>
      </c>
      <c r="Y19" s="26">
        <f>IF($A19="","",IFERROR(IF(INDEX(photos!$E$2:$E$701,MATCH($A19&amp;"|"&amp;$B19&amp;"|placement|Y",photos!$R$2:$R$701,0))="","",INDEX(photos!$E$2:$E$701,MATCH($A19&amp;"|"&amp;$B19&amp;"|placement|Y",photos!$R$2:$R$701,0))),""))</f>
        <v/>
      </c>
      <c r="Z19" s="25">
        <f>IF($A19="","",IF(COUNTIFS(counts!$C$2:$C$701,$A19,counts!$D$2:$D$701,$B19,counts!$E$2:$E$701,"placed")=0,"",SUMIFS(counts!$F$2:$F$701,counts!$C$2:$C$701,$A19,counts!$D$2:$D$701,$B19,counts!$E$2:$E$701,"placed")))</f>
        <v/>
      </c>
      <c r="AA19" s="25">
        <f>IF($A19="","",IF($Y19="",0,N($Z19)))</f>
        <v/>
      </c>
      <c r="AB19" s="25">
        <f>IF($A19="","",IF(OR($Y19="",$I19=""),"N",IF($Y19&lt;=WORKDAY(N($I19),1,calendar!$A$2:$A$80),"Y","N")))</f>
        <v/>
      </c>
      <c r="AC19" s="28">
        <f>IF(OR($A19="",$V19="",$Y19=""),"",ROUND(($Y19+N(IFERROR(IF(INDEX(photos!$F$2:$F$701,MATCH($A19&amp;"|"&amp;$B19&amp;"|placement|Y",photos!$R$2:$R$701,0))="","",INDEX(photos!$F$2:$F$701,MATCH($A19&amp;"|"&amp;$B19&amp;"|placement|Y",photos!$R$2:$R$701,0))),""))-$V19)*24,1))</f>
        <v/>
      </c>
      <c r="AD19" s="25">
        <f>IF($A19="","",SUMIFS(inventory!$G$2:$G$801,inventory!$C$2:$C$801,$A19,inventory!$D$2:$D$801,$B19,inventory!$E$2:$E$801,"topped_up"))</f>
        <v/>
      </c>
      <c r="AE19" s="25">
        <f>IF($A19="","",IF(COUNTIFS(counts!$C$2:$C$701,$A19,counts!$D$2:$D$701,$B19,counts!$E$2:$E$701,"remaining_day3")=0,"",SUMIFS(counts!$F$2:$F$701,counts!$C$2:$C$701,$A19,counts!$D$2:$D$701,$B19,counts!$E$2:$E$701,"remaining_day3")))</f>
        <v/>
      </c>
      <c r="AF19" s="25">
        <f>IF($A19="","",IF(COUNTIFS(counts!$C$2:$C$701,$A19,counts!$D$2:$D$701,$B19,counts!$E$2:$E$701,"remaining_day5")=0,"",SUMIFS(counts!$F$2:$F$701,counts!$C$2:$C$701,$A19,counts!$D$2:$D$701,$B19,counts!$E$2:$E$701,"remaining_day5")))</f>
        <v/>
      </c>
      <c r="AG19" s="25">
        <f>IF(OR($A19="",$AF19=""),"",MAX(0,$AA19+$AD19-$AF19))</f>
        <v/>
      </c>
      <c r="AH19" s="25">
        <f>IF(OR($A19="",$AI19=""),"",IFERROR(IF(INDEX(photos!$H$2:$H$701,MATCH($A19&amp;"|"&amp;$B19&amp;"|later|Y|"&amp;$AI19,photos!$S$2:$S$701,0))="","",INDEX(photos!$H$2:$H$701,MATCH($A19&amp;"|"&amp;$B19&amp;"|later|Y|"&amp;$AI19,photos!$S$2:$S$701,0))),""))</f>
        <v/>
      </c>
      <c r="AI19" s="26">
        <f>IF($A19="","",IFERROR(1/(1/SUMPRODUCT(MAX((photos!$B$2:$B$701=$A19)*(photos!$C$2:$C$701=$B19)*(photos!$D$2:$D$701="later")*(photos!$O$2:$O$701="Y")*photos!$E$2:$E$701))),""))</f>
        <v/>
      </c>
      <c r="AJ19" s="25">
        <f>IF(OR($A19="",$AI19="",$I19=""),"",NETWORKDAYS($I19,$AI19,calendar!$A$2:$A$80))</f>
        <v/>
      </c>
      <c r="AK19" s="25">
        <f>IF($A19="","",IF(AND($X19&lt;&gt;"",$AH19&lt;&gt;""),"Y","N"))</f>
        <v/>
      </c>
      <c r="AL19" s="25">
        <f>IF(OR($A19="",$I19=""),"",IF($BC19="Y",SUMIFS(survey_frozen!$C$2:$C$251,survey_frozen!$P$2:$P$251,$A19&amp;"|"&amp;$B19),IFERROR(COUNTIFS(INDIRECT("'"&amp;$A19&amp;"'!$B$2:$B$501"),$T19,INDIRECT("'"&amp;$A19&amp;"'!$A$2:$A$501"),"&gt;="&amp;$I19,INDIRECT("'"&amp;$A19&amp;"'!$A$2:$A$501"),"&lt;"&amp;($BA19+1)),0)))</f>
        <v/>
      </c>
      <c r="AM19" s="25">
        <f>IF(OR($A19="",$I19=""),"",IF($BC19="Y",SUMIFS(survey_frozen!$D$2:$D$251,survey_frozen!$P$2:$P$251,$A19&amp;"|"&amp;$B19),IFERROR(COUNTIFS(INDIRECT("'"&amp;$A19&amp;"'!$B$2:$B$501"),$T19,INDIRECT("'"&amp;$A19&amp;"'!$A$2:$A$501"),"&gt;="&amp;$I19,INDIRECT("'"&amp;$A19&amp;"'!$A$2:$A$501"),"&lt;"&amp;($BA19+1),INDIRECT("'"&amp;$A19&amp;"'!$C$2:$C$501"),"Yes"),0)))</f>
        <v/>
      </c>
      <c r="AN19" s="25">
        <f>IF($A19="","",IF(COUNTIFS(scans!$C$2:$C$1601,(IF(LEFT($A19,7)="SAMPLE-","SAMPLE-","")&amp;LOWER(SUBSTITUTE(SUBSTITUTE($A19,"SAMPLE-",""),"CMP-","c"))&amp;"-"&amp;LOWER(SUBSTITUTE(SUBSTITUTE($B19,"SAMPLE-",""),"O-","o"))&amp;"-q"),scans!$D$2:$D$1601,"close")=0,"",SUMPRODUCT(MAX((scans!$C$2:$C$1601=(IF(LEFT($A19,7)="SAMPLE-","SAMPLE-","")&amp;LOWER(SUBSTITUTE(SUBSTITUTE($A19,"SAMPLE-",""),"CMP-","c"))&amp;"-"&amp;LOWER(SUBSTITUTE(SUBSTITUTE($B19,"SAMPLE-",""),"O-","o"))&amp;"-q"))*(scans!$D$2:$D$1601="close")*scans!$E$2:$E$1601))-SUMPRODUCT(MAX((scans!$C$2:$C$1601=(IF(LEFT($A19,7)="SAMPLE-","SAMPLE-","")&amp;LOWER(SUBSTITUTE(SUBSTITUTE($A19,"SAMPLE-",""),"CMP-","c"))&amp;"-"&amp;LOWER(SUBSTITUTE(SUBSTITUTE($B19,"SAMPLE-",""),"O-","o"))&amp;"-q"))*(scans!$D$2:$D$1601="baseline")*scans!$E$2:$E$1601))))</f>
        <v/>
      </c>
      <c r="AO19" s="25">
        <f>IF($A19="","",IF(COUNTIFS(scans!$C$2:$C$1601,(IF(LEFT($A19,7)="SAMPLE-","SAMPLE-","")&amp;LOWER(SUBSTITUTE(SUBSTITUTE($A19,"SAMPLE-",""),"CMP-","c"))&amp;"-"&amp;LOWER(SUBSTITUTE(SUBSTITUTE($B19,"SAMPLE-",""),"O-","o"))&amp;"-p"),scans!$D$2:$D$1601,"close")=0,"",SUMPRODUCT(MAX((scans!$C$2:$C$1601=(IF(LEFT($A19,7)="SAMPLE-","SAMPLE-","")&amp;LOWER(SUBSTITUTE(SUBSTITUTE($A19,"SAMPLE-",""),"CMP-","c"))&amp;"-"&amp;LOWER(SUBSTITUTE(SUBSTITUTE($B19,"SAMPLE-",""),"O-","o"))&amp;"-p"))*(scans!$D$2:$D$1601="close")*scans!$E$2:$E$1601))-SUMPRODUCT(MAX((scans!$C$2:$C$1601=(IF(LEFT($A19,7)="SAMPLE-","SAMPLE-","")&amp;LOWER(SUBSTITUTE(SUBSTITUTE($A19,"SAMPLE-",""),"CMP-","c"))&amp;"-"&amp;LOWER(SUBSTITUTE(SUBSTITUTE($B19,"SAMPLE-",""),"O-","o"))&amp;"-p"))*(scans!$D$2:$D$1601="baseline")*scans!$E$2:$E$1601))))</f>
        <v/>
      </c>
      <c r="AP19" s="25">
        <f>IF($A19="","",IF(COUNTIF(offices!$A$2:$A$61,$B19)=0,"office_id not on offices; ","")&amp;IF(COUNTIF(campaigns!$A$2:$A$51,$A19)=0,"campaign_id not on campaigns; ","")&amp;IF($P19="pending","approval pending; ","")&amp;IF(AND($U19&gt;0,$Y19="",OR($I19="",IF(config!$B$37&lt;&gt;"",config!$B$37,TODAY())&lt;=WORKDAY(N($I19),4,calendar!$A$2:$A$80))),"no usable placement photo yet; ","")&amp;IF(AND($Y19&lt;&gt;"",$Z19=""),"log the placed count; ","")&amp;IF(N($AA19)&gt;N($U19),"placed more than delivered; ","")&amp;IF(AND($AF19&lt;&gt;"",N($AF19)&gt;N($AA19)+N($AD19)),"day-5 count above placed plus top-ups; ","")&amp;IF(AND($U19&gt;0,$I19&lt;&gt;"",IF(config!$B$37&lt;&gt;"",config!$B$37,TODAY())&gt;WORKDAY(N($I19),4,calendar!$A$2:$A$80),$AF19=""),"day-5 count missing; ","")&amp;IF(AND($U19&gt;0,$I19&lt;&gt;"",IF(config!$B$37&lt;&gt;"",config!$B$37,TODAY())&gt;WORKDAY(N($I19),4,calendar!$A$2:$A$80),$AN19=""),"no close link reading; ","")&amp;$R19&amp;IF($P19="N","info: office said no; ","")&amp;IF(AND($P19="Y",$Q19="N"),"info: turned away at the door, so not on the drop (no letter, not in the report or Gate 2; the credit check is on campaigns); ","")&amp;IF(AND($U19&gt;0,$Y19="",$I19&lt;&gt;"",IF(config!$B$37&lt;&gt;"",config!$B$37,TODAY())&gt;WORKDAY(N($I19),4,calendar!$A$2:$A$80)),"info: no usable placement photo, so nothing counts as placed; ","")&amp;IF(AND($U19&gt;0,$I19&lt;&gt;"",IF(config!$B$37&lt;&gt;"",config!$B$37,TODAY())&gt;WORKDAY(N($I19),4,calendar!$A$2:$A$80),N($AL19)&lt;config!$B$30),"info: under "&amp;config!$B$30&amp;" responses; ","")&amp;IF($W19="packing_list","info: delivered count not verified; ",""))</f>
        <v/>
      </c>
      <c r="AQ19" s="25">
        <f>IF(OR($A19="",$I19=""),"",IF($BC19="Y",SUMIFS(survey_frozen!$E$2:$E$251,survey_frozen!$P$2:$P$251,$A19&amp;"|"&amp;$B19),IFERROR(COUNTIFS(INDIRECT("'"&amp;$A19&amp;"'!$B$2:$B$501"),$T19,INDIRECT("'"&amp;$A19&amp;"'!$A$2:$A$501"),"&gt;="&amp;$I19,INDIRECT("'"&amp;$A19&amp;"'!$A$2:$A$501"),"&lt;"&amp;($BA19+1),INDIRECT("'"&amp;$A19&amp;"'!$F$2:$F$501"),"Didn't see it"),0)))</f>
        <v/>
      </c>
      <c r="AR19" s="25">
        <f>IF(OR($A19="",$I19=""),"",IF($BC19="Y",SUMIFS(survey_frozen!$F$2:$F$251,survey_frozen!$P$2:$P$251,$A19&amp;"|"&amp;$B19),IFERROR(COUNTIFS(INDIRECT("'"&amp;$A19&amp;"'!$B$2:$B$501"),$T19,INDIRECT("'"&amp;$A19&amp;"'!$A$2:$A$501"),"&gt;="&amp;$I19,INDIRECT("'"&amp;$A19&amp;"'!$A$2:$A$501"),"&lt;"&amp;($BA19+1),INDIRECT("'"&amp;$A19&amp;"'!$F$2:$F$501"),"Not for me"),0)))</f>
        <v/>
      </c>
      <c r="AS19" s="25">
        <f>IF(OR($A19="",$I19=""),"",IF($BC19="Y",SUMIFS(survey_frozen!$G$2:$G$251,survey_frozen!$P$2:$P$251,$A19&amp;"|"&amp;$B19),IFERROR(COUNTIFS(INDIRECT("'"&amp;$A19&amp;"'!$B$2:$B$501"),$T19,INDIRECT("'"&amp;$A19&amp;"'!$A$2:$A$501"),"&gt;="&amp;$I19,INDIRECT("'"&amp;$A19&amp;"'!$A$2:$A$501"),"&lt;"&amp;($BA19+1),INDIRECT("'"&amp;$A19&amp;"'!$F$2:$F$501"),"Gone by the time I looked"),0)))</f>
        <v/>
      </c>
      <c r="AT19" s="25">
        <f>IF(OR($A19="",$I19=""),"",IF($BC19="Y",SUMIFS(survey_frozen!$H$2:$H$251,survey_frozen!$P$2:$P$251,$A19&amp;"|"&amp;$B19),IFERROR(COUNTIFS(INDIRECT("'"&amp;$A19&amp;"'!$B$2:$B$501"),$T19,INDIRECT("'"&amp;$A19&amp;"'!$A$2:$A$501"),"&gt;="&amp;$I19,INDIRECT("'"&amp;$A19&amp;"'!$A$2:$A$501"),"&lt;"&amp;($BA19+1),INDIRECT("'"&amp;$A19&amp;"'!$D$2:$D$501"),"&gt;=1"),0)))</f>
        <v/>
      </c>
      <c r="AU19" s="25">
        <f>IF(OR($A19="",$I19=""),"",IF($BC19="Y",SUMIFS(survey_frozen!$I$2:$I$251,survey_frozen!$P$2:$P$251,$A19&amp;"|"&amp;$B19),IFERROR(SUMIFS(INDIRECT("'"&amp;$A19&amp;"'!$D$2:$D$501"),INDIRECT("'"&amp;$A19&amp;"'!$B$2:$B$501"),$T19,INDIRECT("'"&amp;$A19&amp;"'!$A$2:$A$501"),"&gt;="&amp;$I19,INDIRECT("'"&amp;$A19&amp;"'!$A$2:$A$501"),"&lt;"&amp;($BA19+1)),0)))</f>
        <v/>
      </c>
      <c r="AV19" s="25">
        <f>IF(OR($A19="",$I19=""),"",IF($BC19="Y",SUMIFS(survey_frozen!$J$2:$J$251,survey_frozen!$P$2:$P$251,$A19&amp;"|"&amp;$B19),IFERROR(COUNTIFS(INDIRECT("'"&amp;$A19&amp;"'!$B$2:$B$501"),$T19,INDIRECT("'"&amp;$A19&amp;"'!$A$2:$A$501"),"&gt;="&amp;$I19,INDIRECT("'"&amp;$A19&amp;"'!$A$2:$A$501"),"&lt;"&amp;($BA19+1),INDIRECT("'"&amp;$A19&amp;"'!$E$2:$E$501"),"Yes"),0)))</f>
        <v/>
      </c>
      <c r="AW19" s="25">
        <f>IF(OR($A19="",$I19=""),"",IF($BC19="Y",SUMIFS(survey_frozen!$K$2:$K$251,survey_frozen!$P$2:$P$251,$A19&amp;"|"&amp;$B19),IFERROR(COUNTIFS(INDIRECT("'"&amp;$A19&amp;"'!$B$2:$B$501"),$T19,INDIRECT("'"&amp;$A19&amp;"'!$A$2:$A$501"),"&gt;="&amp;$I19,INDIRECT("'"&amp;$A19&amp;"'!$A$2:$A$501"),"&lt;"&amp;($BA19+1),INDIRECT("'"&amp;$A19&amp;"'!$E$2:$E$501"),"Maybe"),0)))</f>
        <v/>
      </c>
      <c r="AX19" s="25">
        <f>IF(OR($A19="",$I19=""),"",IF($BC19="Y",SUMIFS(survey_frozen!$L$2:$L$251,survey_frozen!$P$2:$P$251,$A19&amp;"|"&amp;$B19),IFERROR(COUNTIFS(INDIRECT("'"&amp;$A19&amp;"'!$B$2:$B$501"),$T19,INDIRECT("'"&amp;$A19&amp;"'!$A$2:$A$501"),"&gt;="&amp;$I19,INDIRECT("'"&amp;$A19&amp;"'!$A$2:$A$501"),"&lt;"&amp;($BA19+1),INDIRECT("'"&amp;$A19&amp;"'!$E$2:$E$501"),"No"),0)))</f>
        <v/>
      </c>
      <c r="AY19" s="25">
        <f>IF(OR($A19="",$I19=""),"",IF($BC19="Y",SUMIFS(survey_frozen!$M$2:$M$251,survey_frozen!$P$2:$P$251,$A19&amp;"|"&amp;$B19),IFERROR(COUNTIFS(INDIRECT("'"&amp;$A19&amp;"'!$B$2:$B$501"),$T19,INDIRECT("'"&amp;$A19&amp;"'!$A$2:$A$501"),"&gt;="&amp;$I19,INDIRECT("'"&amp;$A19&amp;"'!$A$2:$A$501"),"&lt;"&amp;($BA19+1),INDIRECT("'"&amp;$A19&amp;"'!$G$2:$G$501"),"&lt;&gt;"),0)))</f>
        <v/>
      </c>
      <c r="AZ19" s="25">
        <f>IF($A19="","",$A19&amp;"|"&amp;$L19)</f>
        <v/>
      </c>
      <c r="BA19" s="26">
        <f>IF($A19="","",IFERROR(IF(INDEX(drops!$R$2:$R$21,MATCH($H19,drops!$A$2:$A$21,0))="","",INDEX(drops!$R$2:$R$21,MATCH($H19,drops!$A$2:$A$21,0))),""))</f>
        <v/>
      </c>
      <c r="BB19" s="25">
        <f>IF(OR($A19="",$Q19&lt;&gt;"Y"),1000000,N($AL19))</f>
        <v/>
      </c>
      <c r="BC19" s="25">
        <f>IF($A19="","",IF(COUNTIF(survey_frozen!$P$2:$P$251,$A19&amp;"|"&amp;$B19)&gt;0,"Y",""))</f>
        <v/>
      </c>
    </row>
    <row r="20">
      <c r="A20" t="inlineStr">
        <is>
          <t>SAMPLE-CMP-003</t>
        </is>
      </c>
      <c r="B20" t="inlineStr">
        <is>
          <t>SAMPLE-O-009</t>
        </is>
      </c>
      <c r="C20" s="9" t="n">
        <v>46395</v>
      </c>
      <c r="D20" t="inlineStr">
        <is>
          <t>yes</t>
        </is>
      </c>
      <c r="E20" s="9" t="n">
        <v>46398</v>
      </c>
      <c r="F20" t="inlineStr">
        <is>
          <t>SAMPLE replied by email</t>
        </is>
      </c>
      <c r="H20" s="25">
        <f>IF($A20="","",IFERROR(IF(INDEX(campaigns!$B$2:$B$51,MATCH($A20,campaigns!$A$2:$A$51,0))="","",INDEX(campaigns!$B$2:$B$51,MATCH($A20,campaigns!$A$2:$A$51,0))),""))</f>
        <v/>
      </c>
      <c r="I20" s="26">
        <f>IF($A20="","",IFERROR(IF(INDEX(campaigns!$BG$2:$BG$51,MATCH($A20,campaigns!$A$2:$A$51,0))="","",INDEX(campaigns!$BG$2:$BG$51,MATCH($A20,campaigns!$A$2:$A$51,0))),""))</f>
        <v/>
      </c>
      <c r="J20" s="25">
        <f>IF($A20="","",IFERROR(IF(INDEX(campaigns!$BE$2:$BE$51,MATCH($A20,campaigns!$A$2:$A$51,0))="","",INDEX(campaigns!$BE$2:$BE$51,MATCH($A20,campaigns!$A$2:$A$51,0))),""))</f>
        <v/>
      </c>
      <c r="K20" s="25">
        <f>IF($B20="","",IFERROR(IF(INDEX(offices!$N$2:$N$61,MATCH($B20,offices!$A$2:$A$61,0))="","",INDEX(offices!$N$2:$N$61,MATCH($B20,offices!$A$2:$A$61,0))),""))</f>
        <v/>
      </c>
      <c r="L20" s="25">
        <f>IF($A20="","",IF($Q20="N","",COUNTIFS($A$2:$A20,$A20,$Q$2:$Q20,"&lt;&gt;N")))</f>
        <v/>
      </c>
      <c r="M20" s="25">
        <f>IF(OR($A20="",$L20=""),"",IF(AND(config!$B$34="names_if_public",IFERROR(IF(INDEX(offices!$AF$2:$AF$61,MATCH($B20,offices!$A$2:$A$61,0))="","",INDEX(offices!$AF$2:$AF$61,MATCH($B20,offices!$A$2:$A$61,0))),"")="Y"),$K20,CHAR(64+$L20)))</f>
        <v/>
      </c>
      <c r="N20" s="25">
        <f>IF(OR($A20="",$I20=""),"",COUNTIFS(stops!$B$2:$B$151,$B20,stops!$P$2:$P$151,"&lt;"&amp;$I20,stops!$L$2:$L$151,"&lt;&gt;not_delivered")+1)</f>
        <v/>
      </c>
      <c r="O20" s="25">
        <f>IF($A20="","",IF(N($N20)&lt;=config!$B$29,"explicit","opt-out"))</f>
        <v/>
      </c>
      <c r="P20" s="25">
        <f>IF($A20="","",IF($O20="explicit",IF($D20="yes","Y",IF($D20="no","N","pending")),IF($D20="no","N",IF(AND($C20&lt;&gt;"",$I20&lt;&gt;"",$C20&lt;=WORKDAY(N($I20),-5,calendar!$A$2:$A$80)),"Y","pending"))))</f>
        <v/>
      </c>
      <c r="Q20" s="25">
        <f>IF($A20="","",IF($P20="N","N",IF($P20&lt;&gt;"Y","pending",IF(AND((COUNTIFS(stops!$A$2:$A$151,$H20,stops!$B$2:$B$151,$B20,stops!$L$2:$L$151,"declined")+COUNTIFS(stops!$A$2:$A$151,$H20,stops!$B$2:$B$151,$B20,stops!$L$2:$L$151,"building_refused")+COUNTIFS(stops!$A$2:$A$151,$H20,stops!$B$2:$B$151,$B20,stops!$L$2:$L$151,"not_delivered"))&gt;0,N($U20)=0),"N","Y"))))</f>
        <v/>
      </c>
      <c r="R20" s="25">
        <f>IF($A20="","",IF(COUNTIFS($A$2:$A$251,$A20,$B$2:$B$251,$B20)&gt;1,"DUPLICATE ROW; ","")&amp;IF(AND(IFERROR(IF(INDEX(offices!$AC$2:$AC$61,MATCH($B20,offices!$A$2:$A$61,0))="","",INDEX(offices!$AC$2:$AC$61,MATCH($B20,offices!$A$2:$A$61,0))),"")&lt;&gt;"",ISNUMBER(SEARCH($J20,IFERROR(IF(INDEX(offices!$AC$2:$AC$61,MATCH($B20,offices!$A$2:$A$61,0))="","",INDEX(offices!$AC$2:$AC$61,MATCH($B20,offices!$A$2:$A$61,0))),"")))),"BRAND VETOED; ","")&amp;IF(ISNUMBER(SEARCH(IFERROR(IF(INDEX(campaigns!$BF$2:$BF$51,MATCH($A20,campaigns!$A$2:$A$51,0))="","",INDEX(campaigns!$BF$2:$BF$51,MATCH($A20,campaigns!$A$2:$A$51,0))),""),IFERROR(IF(INDEX(offices!$AB$2:$AB$61,MATCH($B20,offices!$A$2:$A$61,0))="","",INDEX(offices!$AB$2:$AB$61,MATCH($B20,offices!$A$2:$A$61,0))),""))),"","info: category not on the office's list; ")&amp;IF(IFERROR(IF(INDEX(offices!$AC$2:$AC$61,MATCH($B20,offices!$A$2:$A$61,0))="","",INDEX(offices!$AC$2:$AC$61,MATCH($B20,offices!$A$2:$A$61,0))),"")&lt;&gt;"","info: read the vetoes against the label; ",""))</f>
        <v/>
      </c>
      <c r="S20" s="25">
        <f>IF($A20="","",IF($G20&lt;&gt;"",$G20,IFERROR(IF(INDEX(offices!$AL$2:$AL$61,MATCH($B20,offices!$A$2:$A$61,0))="","",INDEX(offices!$AL$2:$AL$61,MATCH($B20,offices!$A$2:$A$61,0))),"")))</f>
        <v/>
      </c>
      <c r="T20" s="25">
        <f>IF($A20="","",$A20&amp;"."&amp;$B20)</f>
        <v/>
      </c>
      <c r="U20" s="25">
        <f>IF($A20="","",SUMIFS(inventory!$G$2:$G$801,inventory!$C$2:$C$801,$A20,inventory!$D$2:$D$801,$B20,inventory!$E$2:$E$801,"delivered"))</f>
        <v/>
      </c>
      <c r="V20" s="32">
        <f>IF($A20="","",IFERROR(1/(1/SUMPRODUCT(MAX((inventory!$C$2:$C$801=$A20)*(inventory!$D$2:$D$801=$B20)*(inventory!$E$2:$E$801="delivered")*(inventory!$A$2:$A$801+inventory!$B$2:$B$801)))),""))</f>
        <v/>
      </c>
      <c r="W20" s="25">
        <f>IF($A20="","",IFERROR(IF(INDEX(inventory!$J$2:$J$801,MATCH($A20&amp;"|"&amp;$B20&amp;"|delivered",inventory!$R$2:$R$801,0))="","",INDEX(inventory!$J$2:$J$801,MATCH($A20&amp;"|"&amp;$B20&amp;"|delivered",inventory!$R$2:$R$801,0))),""))</f>
        <v/>
      </c>
      <c r="X20" s="25">
        <f>IF($A20="","",IFERROR(IF(INDEX(photos!$H$2:$H$701,MATCH($A20&amp;"|"&amp;$B20&amp;"|placement|Y",photos!$R$2:$R$701,0))="","",INDEX(photos!$H$2:$H$701,MATCH($A20&amp;"|"&amp;$B20&amp;"|placement|Y",photos!$R$2:$R$701,0))),""))</f>
        <v/>
      </c>
      <c r="Y20" s="26">
        <f>IF($A20="","",IFERROR(IF(INDEX(photos!$E$2:$E$701,MATCH($A20&amp;"|"&amp;$B20&amp;"|placement|Y",photos!$R$2:$R$701,0))="","",INDEX(photos!$E$2:$E$701,MATCH($A20&amp;"|"&amp;$B20&amp;"|placement|Y",photos!$R$2:$R$701,0))),""))</f>
        <v/>
      </c>
      <c r="Z20" s="25">
        <f>IF($A20="","",IF(COUNTIFS(counts!$C$2:$C$701,$A20,counts!$D$2:$D$701,$B20,counts!$E$2:$E$701,"placed")=0,"",SUMIFS(counts!$F$2:$F$701,counts!$C$2:$C$701,$A20,counts!$D$2:$D$701,$B20,counts!$E$2:$E$701,"placed")))</f>
        <v/>
      </c>
      <c r="AA20" s="25">
        <f>IF($A20="","",IF($Y20="",0,N($Z20)))</f>
        <v/>
      </c>
      <c r="AB20" s="25">
        <f>IF($A20="","",IF(OR($Y20="",$I20=""),"N",IF($Y20&lt;=WORKDAY(N($I20),1,calendar!$A$2:$A$80),"Y","N")))</f>
        <v/>
      </c>
      <c r="AC20" s="28">
        <f>IF(OR($A20="",$V20="",$Y20=""),"",ROUND(($Y20+N(IFERROR(IF(INDEX(photos!$F$2:$F$701,MATCH($A20&amp;"|"&amp;$B20&amp;"|placement|Y",photos!$R$2:$R$701,0))="","",INDEX(photos!$F$2:$F$701,MATCH($A20&amp;"|"&amp;$B20&amp;"|placement|Y",photos!$R$2:$R$701,0))),""))-$V20)*24,1))</f>
        <v/>
      </c>
      <c r="AD20" s="25">
        <f>IF($A20="","",SUMIFS(inventory!$G$2:$G$801,inventory!$C$2:$C$801,$A20,inventory!$D$2:$D$801,$B20,inventory!$E$2:$E$801,"topped_up"))</f>
        <v/>
      </c>
      <c r="AE20" s="25">
        <f>IF($A20="","",IF(COUNTIFS(counts!$C$2:$C$701,$A20,counts!$D$2:$D$701,$B20,counts!$E$2:$E$701,"remaining_day3")=0,"",SUMIFS(counts!$F$2:$F$701,counts!$C$2:$C$701,$A20,counts!$D$2:$D$701,$B20,counts!$E$2:$E$701,"remaining_day3")))</f>
        <v/>
      </c>
      <c r="AF20" s="25">
        <f>IF($A20="","",IF(COUNTIFS(counts!$C$2:$C$701,$A20,counts!$D$2:$D$701,$B20,counts!$E$2:$E$701,"remaining_day5")=0,"",SUMIFS(counts!$F$2:$F$701,counts!$C$2:$C$701,$A20,counts!$D$2:$D$701,$B20,counts!$E$2:$E$701,"remaining_day5")))</f>
        <v/>
      </c>
      <c r="AG20" s="25">
        <f>IF(OR($A20="",$AF20=""),"",MAX(0,$AA20+$AD20-$AF20))</f>
        <v/>
      </c>
      <c r="AH20" s="25">
        <f>IF(OR($A20="",$AI20=""),"",IFERROR(IF(INDEX(photos!$H$2:$H$701,MATCH($A20&amp;"|"&amp;$B20&amp;"|later|Y|"&amp;$AI20,photos!$S$2:$S$701,0))="","",INDEX(photos!$H$2:$H$701,MATCH($A20&amp;"|"&amp;$B20&amp;"|later|Y|"&amp;$AI20,photos!$S$2:$S$701,0))),""))</f>
        <v/>
      </c>
      <c r="AI20" s="26">
        <f>IF($A20="","",IFERROR(1/(1/SUMPRODUCT(MAX((photos!$B$2:$B$701=$A20)*(photos!$C$2:$C$701=$B20)*(photos!$D$2:$D$701="later")*(photos!$O$2:$O$701="Y")*photos!$E$2:$E$701))),""))</f>
        <v/>
      </c>
      <c r="AJ20" s="25">
        <f>IF(OR($A20="",$AI20="",$I20=""),"",NETWORKDAYS($I20,$AI20,calendar!$A$2:$A$80))</f>
        <v/>
      </c>
      <c r="AK20" s="25">
        <f>IF($A20="","",IF(AND($X20&lt;&gt;"",$AH20&lt;&gt;""),"Y","N"))</f>
        <v/>
      </c>
      <c r="AL20" s="25">
        <f>IF(OR($A20="",$I20=""),"",IF($BC20="Y",SUMIFS(survey_frozen!$C$2:$C$251,survey_frozen!$P$2:$P$251,$A20&amp;"|"&amp;$B20),IFERROR(COUNTIFS(INDIRECT("'"&amp;$A20&amp;"'!$B$2:$B$501"),$T20,INDIRECT("'"&amp;$A20&amp;"'!$A$2:$A$501"),"&gt;="&amp;$I20,INDIRECT("'"&amp;$A20&amp;"'!$A$2:$A$501"),"&lt;"&amp;($BA20+1)),0)))</f>
        <v/>
      </c>
      <c r="AM20" s="25">
        <f>IF(OR($A20="",$I20=""),"",IF($BC20="Y",SUMIFS(survey_frozen!$D$2:$D$251,survey_frozen!$P$2:$P$251,$A20&amp;"|"&amp;$B20),IFERROR(COUNTIFS(INDIRECT("'"&amp;$A20&amp;"'!$B$2:$B$501"),$T20,INDIRECT("'"&amp;$A20&amp;"'!$A$2:$A$501"),"&gt;="&amp;$I20,INDIRECT("'"&amp;$A20&amp;"'!$A$2:$A$501"),"&lt;"&amp;($BA20+1),INDIRECT("'"&amp;$A20&amp;"'!$C$2:$C$501"),"Yes"),0)))</f>
        <v/>
      </c>
      <c r="AN20" s="25">
        <f>IF($A20="","",IF(COUNTIFS(scans!$C$2:$C$1601,(IF(LEFT($A20,7)="SAMPLE-","SAMPLE-","")&amp;LOWER(SUBSTITUTE(SUBSTITUTE($A20,"SAMPLE-",""),"CMP-","c"))&amp;"-"&amp;LOWER(SUBSTITUTE(SUBSTITUTE($B20,"SAMPLE-",""),"O-","o"))&amp;"-q"),scans!$D$2:$D$1601,"close")=0,"",SUMPRODUCT(MAX((scans!$C$2:$C$1601=(IF(LEFT($A20,7)="SAMPLE-","SAMPLE-","")&amp;LOWER(SUBSTITUTE(SUBSTITUTE($A20,"SAMPLE-",""),"CMP-","c"))&amp;"-"&amp;LOWER(SUBSTITUTE(SUBSTITUTE($B20,"SAMPLE-",""),"O-","o"))&amp;"-q"))*(scans!$D$2:$D$1601="close")*scans!$E$2:$E$1601))-SUMPRODUCT(MAX((scans!$C$2:$C$1601=(IF(LEFT($A20,7)="SAMPLE-","SAMPLE-","")&amp;LOWER(SUBSTITUTE(SUBSTITUTE($A20,"SAMPLE-",""),"CMP-","c"))&amp;"-"&amp;LOWER(SUBSTITUTE(SUBSTITUTE($B20,"SAMPLE-",""),"O-","o"))&amp;"-q"))*(scans!$D$2:$D$1601="baseline")*scans!$E$2:$E$1601))))</f>
        <v/>
      </c>
      <c r="AO20" s="25">
        <f>IF($A20="","",IF(COUNTIFS(scans!$C$2:$C$1601,(IF(LEFT($A20,7)="SAMPLE-","SAMPLE-","")&amp;LOWER(SUBSTITUTE(SUBSTITUTE($A20,"SAMPLE-",""),"CMP-","c"))&amp;"-"&amp;LOWER(SUBSTITUTE(SUBSTITUTE($B20,"SAMPLE-",""),"O-","o"))&amp;"-p"),scans!$D$2:$D$1601,"close")=0,"",SUMPRODUCT(MAX((scans!$C$2:$C$1601=(IF(LEFT($A20,7)="SAMPLE-","SAMPLE-","")&amp;LOWER(SUBSTITUTE(SUBSTITUTE($A20,"SAMPLE-",""),"CMP-","c"))&amp;"-"&amp;LOWER(SUBSTITUTE(SUBSTITUTE($B20,"SAMPLE-",""),"O-","o"))&amp;"-p"))*(scans!$D$2:$D$1601="close")*scans!$E$2:$E$1601))-SUMPRODUCT(MAX((scans!$C$2:$C$1601=(IF(LEFT($A20,7)="SAMPLE-","SAMPLE-","")&amp;LOWER(SUBSTITUTE(SUBSTITUTE($A20,"SAMPLE-",""),"CMP-","c"))&amp;"-"&amp;LOWER(SUBSTITUTE(SUBSTITUTE($B20,"SAMPLE-",""),"O-","o"))&amp;"-p"))*(scans!$D$2:$D$1601="baseline")*scans!$E$2:$E$1601))))</f>
        <v/>
      </c>
      <c r="AP20" s="25">
        <f>IF($A20="","",IF(COUNTIF(offices!$A$2:$A$61,$B20)=0,"office_id not on offices; ","")&amp;IF(COUNTIF(campaigns!$A$2:$A$51,$A20)=0,"campaign_id not on campaigns; ","")&amp;IF($P20="pending","approval pending; ","")&amp;IF(AND($U20&gt;0,$Y20="",OR($I20="",IF(config!$B$37&lt;&gt;"",config!$B$37,TODAY())&lt;=WORKDAY(N($I20),4,calendar!$A$2:$A$80))),"no usable placement photo yet; ","")&amp;IF(AND($Y20&lt;&gt;"",$Z20=""),"log the placed count; ","")&amp;IF(N($AA20)&gt;N($U20),"placed more than delivered; ","")&amp;IF(AND($AF20&lt;&gt;"",N($AF20)&gt;N($AA20)+N($AD20)),"day-5 count above placed plus top-ups; ","")&amp;IF(AND($U20&gt;0,$I20&lt;&gt;"",IF(config!$B$37&lt;&gt;"",config!$B$37,TODAY())&gt;WORKDAY(N($I20),4,calendar!$A$2:$A$80),$AF20=""),"day-5 count missing; ","")&amp;IF(AND($U20&gt;0,$I20&lt;&gt;"",IF(config!$B$37&lt;&gt;"",config!$B$37,TODAY())&gt;WORKDAY(N($I20),4,calendar!$A$2:$A$80),$AN20=""),"no close link reading; ","")&amp;$R20&amp;IF($P20="N","info: office said no; ","")&amp;IF(AND($P20="Y",$Q20="N"),"info: turned away at the door, so not on the drop (no letter, not in the report or Gate 2; the credit check is on campaigns); ","")&amp;IF(AND($U20&gt;0,$Y20="",$I20&lt;&gt;"",IF(config!$B$37&lt;&gt;"",config!$B$37,TODAY())&gt;WORKDAY(N($I20),4,calendar!$A$2:$A$80)),"info: no usable placement photo, so nothing counts as placed; ","")&amp;IF(AND($U20&gt;0,$I20&lt;&gt;"",IF(config!$B$37&lt;&gt;"",config!$B$37,TODAY())&gt;WORKDAY(N($I20),4,calendar!$A$2:$A$80),N($AL20)&lt;config!$B$30),"info: under "&amp;config!$B$30&amp;" responses; ","")&amp;IF($W20="packing_list","info: delivered count not verified; ",""))</f>
        <v/>
      </c>
      <c r="AQ20" s="25">
        <f>IF(OR($A20="",$I20=""),"",IF($BC20="Y",SUMIFS(survey_frozen!$E$2:$E$251,survey_frozen!$P$2:$P$251,$A20&amp;"|"&amp;$B20),IFERROR(COUNTIFS(INDIRECT("'"&amp;$A20&amp;"'!$B$2:$B$501"),$T20,INDIRECT("'"&amp;$A20&amp;"'!$A$2:$A$501"),"&gt;="&amp;$I20,INDIRECT("'"&amp;$A20&amp;"'!$A$2:$A$501"),"&lt;"&amp;($BA20+1),INDIRECT("'"&amp;$A20&amp;"'!$F$2:$F$501"),"Didn't see it"),0)))</f>
        <v/>
      </c>
      <c r="AR20" s="25">
        <f>IF(OR($A20="",$I20=""),"",IF($BC20="Y",SUMIFS(survey_frozen!$F$2:$F$251,survey_frozen!$P$2:$P$251,$A20&amp;"|"&amp;$B20),IFERROR(COUNTIFS(INDIRECT("'"&amp;$A20&amp;"'!$B$2:$B$501"),$T20,INDIRECT("'"&amp;$A20&amp;"'!$A$2:$A$501"),"&gt;="&amp;$I20,INDIRECT("'"&amp;$A20&amp;"'!$A$2:$A$501"),"&lt;"&amp;($BA20+1),INDIRECT("'"&amp;$A20&amp;"'!$F$2:$F$501"),"Not for me"),0)))</f>
        <v/>
      </c>
      <c r="AS20" s="25">
        <f>IF(OR($A20="",$I20=""),"",IF($BC20="Y",SUMIFS(survey_frozen!$G$2:$G$251,survey_frozen!$P$2:$P$251,$A20&amp;"|"&amp;$B20),IFERROR(COUNTIFS(INDIRECT("'"&amp;$A20&amp;"'!$B$2:$B$501"),$T20,INDIRECT("'"&amp;$A20&amp;"'!$A$2:$A$501"),"&gt;="&amp;$I20,INDIRECT("'"&amp;$A20&amp;"'!$A$2:$A$501"),"&lt;"&amp;($BA20+1),INDIRECT("'"&amp;$A20&amp;"'!$F$2:$F$501"),"Gone by the time I looked"),0)))</f>
        <v/>
      </c>
      <c r="AT20" s="25">
        <f>IF(OR($A20="",$I20=""),"",IF($BC20="Y",SUMIFS(survey_frozen!$H$2:$H$251,survey_frozen!$P$2:$P$251,$A20&amp;"|"&amp;$B20),IFERROR(COUNTIFS(INDIRECT("'"&amp;$A20&amp;"'!$B$2:$B$501"),$T20,INDIRECT("'"&amp;$A20&amp;"'!$A$2:$A$501"),"&gt;="&amp;$I20,INDIRECT("'"&amp;$A20&amp;"'!$A$2:$A$501"),"&lt;"&amp;($BA20+1),INDIRECT("'"&amp;$A20&amp;"'!$D$2:$D$501"),"&gt;=1"),0)))</f>
        <v/>
      </c>
      <c r="AU20" s="25">
        <f>IF(OR($A20="",$I20=""),"",IF($BC20="Y",SUMIFS(survey_frozen!$I$2:$I$251,survey_frozen!$P$2:$P$251,$A20&amp;"|"&amp;$B20),IFERROR(SUMIFS(INDIRECT("'"&amp;$A20&amp;"'!$D$2:$D$501"),INDIRECT("'"&amp;$A20&amp;"'!$B$2:$B$501"),$T20,INDIRECT("'"&amp;$A20&amp;"'!$A$2:$A$501"),"&gt;="&amp;$I20,INDIRECT("'"&amp;$A20&amp;"'!$A$2:$A$501"),"&lt;"&amp;($BA20+1)),0)))</f>
        <v/>
      </c>
      <c r="AV20" s="25">
        <f>IF(OR($A20="",$I20=""),"",IF($BC20="Y",SUMIFS(survey_frozen!$J$2:$J$251,survey_frozen!$P$2:$P$251,$A20&amp;"|"&amp;$B20),IFERROR(COUNTIFS(INDIRECT("'"&amp;$A20&amp;"'!$B$2:$B$501"),$T20,INDIRECT("'"&amp;$A20&amp;"'!$A$2:$A$501"),"&gt;="&amp;$I20,INDIRECT("'"&amp;$A20&amp;"'!$A$2:$A$501"),"&lt;"&amp;($BA20+1),INDIRECT("'"&amp;$A20&amp;"'!$E$2:$E$501"),"Yes"),0)))</f>
        <v/>
      </c>
      <c r="AW20" s="25">
        <f>IF(OR($A20="",$I20=""),"",IF($BC20="Y",SUMIFS(survey_frozen!$K$2:$K$251,survey_frozen!$P$2:$P$251,$A20&amp;"|"&amp;$B20),IFERROR(COUNTIFS(INDIRECT("'"&amp;$A20&amp;"'!$B$2:$B$501"),$T20,INDIRECT("'"&amp;$A20&amp;"'!$A$2:$A$501"),"&gt;="&amp;$I20,INDIRECT("'"&amp;$A20&amp;"'!$A$2:$A$501"),"&lt;"&amp;($BA20+1),INDIRECT("'"&amp;$A20&amp;"'!$E$2:$E$501"),"Maybe"),0)))</f>
        <v/>
      </c>
      <c r="AX20" s="25">
        <f>IF(OR($A20="",$I20=""),"",IF($BC20="Y",SUMIFS(survey_frozen!$L$2:$L$251,survey_frozen!$P$2:$P$251,$A20&amp;"|"&amp;$B20),IFERROR(COUNTIFS(INDIRECT("'"&amp;$A20&amp;"'!$B$2:$B$501"),$T20,INDIRECT("'"&amp;$A20&amp;"'!$A$2:$A$501"),"&gt;="&amp;$I20,INDIRECT("'"&amp;$A20&amp;"'!$A$2:$A$501"),"&lt;"&amp;($BA20+1),INDIRECT("'"&amp;$A20&amp;"'!$E$2:$E$501"),"No"),0)))</f>
        <v/>
      </c>
      <c r="AY20" s="25">
        <f>IF(OR($A20="",$I20=""),"",IF($BC20="Y",SUMIFS(survey_frozen!$M$2:$M$251,survey_frozen!$P$2:$P$251,$A20&amp;"|"&amp;$B20),IFERROR(COUNTIFS(INDIRECT("'"&amp;$A20&amp;"'!$B$2:$B$501"),$T20,INDIRECT("'"&amp;$A20&amp;"'!$A$2:$A$501"),"&gt;="&amp;$I20,INDIRECT("'"&amp;$A20&amp;"'!$A$2:$A$501"),"&lt;"&amp;($BA20+1),INDIRECT("'"&amp;$A20&amp;"'!$G$2:$G$501"),"&lt;&gt;"),0)))</f>
        <v/>
      </c>
      <c r="AZ20" s="25">
        <f>IF($A20="","",$A20&amp;"|"&amp;$L20)</f>
        <v/>
      </c>
      <c r="BA20" s="26">
        <f>IF($A20="","",IFERROR(IF(INDEX(drops!$R$2:$R$21,MATCH($H20,drops!$A$2:$A$21,0))="","",INDEX(drops!$R$2:$R$21,MATCH($H20,drops!$A$2:$A$21,0))),""))</f>
        <v/>
      </c>
      <c r="BB20" s="25">
        <f>IF(OR($A20="",$Q20&lt;&gt;"Y"),1000000,N($AL20))</f>
        <v/>
      </c>
      <c r="BC20" s="25">
        <f>IF($A20="","",IF(COUNTIF(survey_frozen!$P$2:$P$251,$A20&amp;"|"&amp;$B20)&gt;0,"Y",""))</f>
        <v/>
      </c>
    </row>
    <row r="21">
      <c r="A21" t="inlineStr">
        <is>
          <t>SAMPLE-CMP-003</t>
        </is>
      </c>
      <c r="B21" t="inlineStr">
        <is>
          <t>SAMPLE-O-010</t>
        </is>
      </c>
      <c r="C21" s="9" t="n">
        <v>46400</v>
      </c>
      <c r="D21" t="inlineStr">
        <is>
          <t>yes</t>
        </is>
      </c>
      <c r="E21" s="9" t="n">
        <v>46401</v>
      </c>
      <c r="F21" t="inlineStr">
        <is>
          <t>SAMPLE replied by email</t>
        </is>
      </c>
      <c r="H21" s="25">
        <f>IF($A21="","",IFERROR(IF(INDEX(campaigns!$B$2:$B$51,MATCH($A21,campaigns!$A$2:$A$51,0))="","",INDEX(campaigns!$B$2:$B$51,MATCH($A21,campaigns!$A$2:$A$51,0))),""))</f>
        <v/>
      </c>
      <c r="I21" s="26">
        <f>IF($A21="","",IFERROR(IF(INDEX(campaigns!$BG$2:$BG$51,MATCH($A21,campaigns!$A$2:$A$51,0))="","",INDEX(campaigns!$BG$2:$BG$51,MATCH($A21,campaigns!$A$2:$A$51,0))),""))</f>
        <v/>
      </c>
      <c r="J21" s="25">
        <f>IF($A21="","",IFERROR(IF(INDEX(campaigns!$BE$2:$BE$51,MATCH($A21,campaigns!$A$2:$A$51,0))="","",INDEX(campaigns!$BE$2:$BE$51,MATCH($A21,campaigns!$A$2:$A$51,0))),""))</f>
        <v/>
      </c>
      <c r="K21" s="25">
        <f>IF($B21="","",IFERROR(IF(INDEX(offices!$N$2:$N$61,MATCH($B21,offices!$A$2:$A$61,0))="","",INDEX(offices!$N$2:$N$61,MATCH($B21,offices!$A$2:$A$61,0))),""))</f>
        <v/>
      </c>
      <c r="L21" s="25">
        <f>IF($A21="","",IF($Q21="N","",COUNTIFS($A$2:$A21,$A21,$Q$2:$Q21,"&lt;&gt;N")))</f>
        <v/>
      </c>
      <c r="M21" s="25">
        <f>IF(OR($A21="",$L21=""),"",IF(AND(config!$B$34="names_if_public",IFERROR(IF(INDEX(offices!$AF$2:$AF$61,MATCH($B21,offices!$A$2:$A$61,0))="","",INDEX(offices!$AF$2:$AF$61,MATCH($B21,offices!$A$2:$A$61,0))),"")="Y"),$K21,CHAR(64+$L21)))</f>
        <v/>
      </c>
      <c r="N21" s="25">
        <f>IF(OR($A21="",$I21=""),"",COUNTIFS(stops!$B$2:$B$151,$B21,stops!$P$2:$P$151,"&lt;"&amp;$I21,stops!$L$2:$L$151,"&lt;&gt;not_delivered")+1)</f>
        <v/>
      </c>
      <c r="O21" s="25">
        <f>IF($A21="","",IF(N($N21)&lt;=config!$B$29,"explicit","opt-out"))</f>
        <v/>
      </c>
      <c r="P21" s="25">
        <f>IF($A21="","",IF($O21="explicit",IF($D21="yes","Y",IF($D21="no","N","pending")),IF($D21="no","N",IF(AND($C21&lt;&gt;"",$I21&lt;&gt;"",$C21&lt;=WORKDAY(N($I21),-5,calendar!$A$2:$A$80)),"Y","pending"))))</f>
        <v/>
      </c>
      <c r="Q21" s="25">
        <f>IF($A21="","",IF($P21="N","N",IF($P21&lt;&gt;"Y","pending",IF(AND((COUNTIFS(stops!$A$2:$A$151,$H21,stops!$B$2:$B$151,$B21,stops!$L$2:$L$151,"declined")+COUNTIFS(stops!$A$2:$A$151,$H21,stops!$B$2:$B$151,$B21,stops!$L$2:$L$151,"building_refused")+COUNTIFS(stops!$A$2:$A$151,$H21,stops!$B$2:$B$151,$B21,stops!$L$2:$L$151,"not_delivered"))&gt;0,N($U21)=0),"N","Y"))))</f>
        <v/>
      </c>
      <c r="R21" s="25">
        <f>IF($A21="","",IF(COUNTIFS($A$2:$A$251,$A21,$B$2:$B$251,$B21)&gt;1,"DUPLICATE ROW; ","")&amp;IF(AND(IFERROR(IF(INDEX(offices!$AC$2:$AC$61,MATCH($B21,offices!$A$2:$A$61,0))="","",INDEX(offices!$AC$2:$AC$61,MATCH($B21,offices!$A$2:$A$61,0))),"")&lt;&gt;"",ISNUMBER(SEARCH($J21,IFERROR(IF(INDEX(offices!$AC$2:$AC$61,MATCH($B21,offices!$A$2:$A$61,0))="","",INDEX(offices!$AC$2:$AC$61,MATCH($B21,offices!$A$2:$A$61,0))),"")))),"BRAND VETOED; ","")&amp;IF(ISNUMBER(SEARCH(IFERROR(IF(INDEX(campaigns!$BF$2:$BF$51,MATCH($A21,campaigns!$A$2:$A$51,0))="","",INDEX(campaigns!$BF$2:$BF$51,MATCH($A21,campaigns!$A$2:$A$51,0))),""),IFERROR(IF(INDEX(offices!$AB$2:$AB$61,MATCH($B21,offices!$A$2:$A$61,0))="","",INDEX(offices!$AB$2:$AB$61,MATCH($B21,offices!$A$2:$A$61,0))),""))),"","info: category not on the office's list; ")&amp;IF(IFERROR(IF(INDEX(offices!$AC$2:$AC$61,MATCH($B21,offices!$A$2:$A$61,0))="","",INDEX(offices!$AC$2:$AC$61,MATCH($B21,offices!$A$2:$A$61,0))),"")&lt;&gt;"","info: read the vetoes against the label; ",""))</f>
        <v/>
      </c>
      <c r="S21" s="25">
        <f>IF($A21="","",IF($G21&lt;&gt;"",$G21,IFERROR(IF(INDEX(offices!$AL$2:$AL$61,MATCH($B21,offices!$A$2:$A$61,0))="","",INDEX(offices!$AL$2:$AL$61,MATCH($B21,offices!$A$2:$A$61,0))),"")))</f>
        <v/>
      </c>
      <c r="T21" s="25">
        <f>IF($A21="","",$A21&amp;"."&amp;$B21)</f>
        <v/>
      </c>
      <c r="U21" s="25">
        <f>IF($A21="","",SUMIFS(inventory!$G$2:$G$801,inventory!$C$2:$C$801,$A21,inventory!$D$2:$D$801,$B21,inventory!$E$2:$E$801,"delivered"))</f>
        <v/>
      </c>
      <c r="V21" s="32">
        <f>IF($A21="","",IFERROR(1/(1/SUMPRODUCT(MAX((inventory!$C$2:$C$801=$A21)*(inventory!$D$2:$D$801=$B21)*(inventory!$E$2:$E$801="delivered")*(inventory!$A$2:$A$801+inventory!$B$2:$B$801)))),""))</f>
        <v/>
      </c>
      <c r="W21" s="25">
        <f>IF($A21="","",IFERROR(IF(INDEX(inventory!$J$2:$J$801,MATCH($A21&amp;"|"&amp;$B21&amp;"|delivered",inventory!$R$2:$R$801,0))="","",INDEX(inventory!$J$2:$J$801,MATCH($A21&amp;"|"&amp;$B21&amp;"|delivered",inventory!$R$2:$R$801,0))),""))</f>
        <v/>
      </c>
      <c r="X21" s="25">
        <f>IF($A21="","",IFERROR(IF(INDEX(photos!$H$2:$H$701,MATCH($A21&amp;"|"&amp;$B21&amp;"|placement|Y",photos!$R$2:$R$701,0))="","",INDEX(photos!$H$2:$H$701,MATCH($A21&amp;"|"&amp;$B21&amp;"|placement|Y",photos!$R$2:$R$701,0))),""))</f>
        <v/>
      </c>
      <c r="Y21" s="26">
        <f>IF($A21="","",IFERROR(IF(INDEX(photos!$E$2:$E$701,MATCH($A21&amp;"|"&amp;$B21&amp;"|placement|Y",photos!$R$2:$R$701,0))="","",INDEX(photos!$E$2:$E$701,MATCH($A21&amp;"|"&amp;$B21&amp;"|placement|Y",photos!$R$2:$R$701,0))),""))</f>
        <v/>
      </c>
      <c r="Z21" s="25">
        <f>IF($A21="","",IF(COUNTIFS(counts!$C$2:$C$701,$A21,counts!$D$2:$D$701,$B21,counts!$E$2:$E$701,"placed")=0,"",SUMIFS(counts!$F$2:$F$701,counts!$C$2:$C$701,$A21,counts!$D$2:$D$701,$B21,counts!$E$2:$E$701,"placed")))</f>
        <v/>
      </c>
      <c r="AA21" s="25">
        <f>IF($A21="","",IF($Y21="",0,N($Z21)))</f>
        <v/>
      </c>
      <c r="AB21" s="25">
        <f>IF($A21="","",IF(OR($Y21="",$I21=""),"N",IF($Y21&lt;=WORKDAY(N($I21),1,calendar!$A$2:$A$80),"Y","N")))</f>
        <v/>
      </c>
      <c r="AC21" s="28">
        <f>IF(OR($A21="",$V21="",$Y21=""),"",ROUND(($Y21+N(IFERROR(IF(INDEX(photos!$F$2:$F$701,MATCH($A21&amp;"|"&amp;$B21&amp;"|placement|Y",photos!$R$2:$R$701,0))="","",INDEX(photos!$F$2:$F$701,MATCH($A21&amp;"|"&amp;$B21&amp;"|placement|Y",photos!$R$2:$R$701,0))),""))-$V21)*24,1))</f>
        <v/>
      </c>
      <c r="AD21" s="25">
        <f>IF($A21="","",SUMIFS(inventory!$G$2:$G$801,inventory!$C$2:$C$801,$A21,inventory!$D$2:$D$801,$B21,inventory!$E$2:$E$801,"topped_up"))</f>
        <v/>
      </c>
      <c r="AE21" s="25">
        <f>IF($A21="","",IF(COUNTIFS(counts!$C$2:$C$701,$A21,counts!$D$2:$D$701,$B21,counts!$E$2:$E$701,"remaining_day3")=0,"",SUMIFS(counts!$F$2:$F$701,counts!$C$2:$C$701,$A21,counts!$D$2:$D$701,$B21,counts!$E$2:$E$701,"remaining_day3")))</f>
        <v/>
      </c>
      <c r="AF21" s="25">
        <f>IF($A21="","",IF(COUNTIFS(counts!$C$2:$C$701,$A21,counts!$D$2:$D$701,$B21,counts!$E$2:$E$701,"remaining_day5")=0,"",SUMIFS(counts!$F$2:$F$701,counts!$C$2:$C$701,$A21,counts!$D$2:$D$701,$B21,counts!$E$2:$E$701,"remaining_day5")))</f>
        <v/>
      </c>
      <c r="AG21" s="25">
        <f>IF(OR($A21="",$AF21=""),"",MAX(0,$AA21+$AD21-$AF21))</f>
        <v/>
      </c>
      <c r="AH21" s="25">
        <f>IF(OR($A21="",$AI21=""),"",IFERROR(IF(INDEX(photos!$H$2:$H$701,MATCH($A21&amp;"|"&amp;$B21&amp;"|later|Y|"&amp;$AI21,photos!$S$2:$S$701,0))="","",INDEX(photos!$H$2:$H$701,MATCH($A21&amp;"|"&amp;$B21&amp;"|later|Y|"&amp;$AI21,photos!$S$2:$S$701,0))),""))</f>
        <v/>
      </c>
      <c r="AI21" s="26">
        <f>IF($A21="","",IFERROR(1/(1/SUMPRODUCT(MAX((photos!$B$2:$B$701=$A21)*(photos!$C$2:$C$701=$B21)*(photos!$D$2:$D$701="later")*(photos!$O$2:$O$701="Y")*photos!$E$2:$E$701))),""))</f>
        <v/>
      </c>
      <c r="AJ21" s="25">
        <f>IF(OR($A21="",$AI21="",$I21=""),"",NETWORKDAYS($I21,$AI21,calendar!$A$2:$A$80))</f>
        <v/>
      </c>
      <c r="AK21" s="25">
        <f>IF($A21="","",IF(AND($X21&lt;&gt;"",$AH21&lt;&gt;""),"Y","N"))</f>
        <v/>
      </c>
      <c r="AL21" s="25">
        <f>IF(OR($A21="",$I21=""),"",IF($BC21="Y",SUMIFS(survey_frozen!$C$2:$C$251,survey_frozen!$P$2:$P$251,$A21&amp;"|"&amp;$B21),IFERROR(COUNTIFS(INDIRECT("'"&amp;$A21&amp;"'!$B$2:$B$501"),$T21,INDIRECT("'"&amp;$A21&amp;"'!$A$2:$A$501"),"&gt;="&amp;$I21,INDIRECT("'"&amp;$A21&amp;"'!$A$2:$A$501"),"&lt;"&amp;($BA21+1)),0)))</f>
        <v/>
      </c>
      <c r="AM21" s="25">
        <f>IF(OR($A21="",$I21=""),"",IF($BC21="Y",SUMIFS(survey_frozen!$D$2:$D$251,survey_frozen!$P$2:$P$251,$A21&amp;"|"&amp;$B21),IFERROR(COUNTIFS(INDIRECT("'"&amp;$A21&amp;"'!$B$2:$B$501"),$T21,INDIRECT("'"&amp;$A21&amp;"'!$A$2:$A$501"),"&gt;="&amp;$I21,INDIRECT("'"&amp;$A21&amp;"'!$A$2:$A$501"),"&lt;"&amp;($BA21+1),INDIRECT("'"&amp;$A21&amp;"'!$C$2:$C$501"),"Yes"),0)))</f>
        <v/>
      </c>
      <c r="AN21" s="25">
        <f>IF($A21="","",IF(COUNTIFS(scans!$C$2:$C$1601,(IF(LEFT($A21,7)="SAMPLE-","SAMPLE-","")&amp;LOWER(SUBSTITUTE(SUBSTITUTE($A21,"SAMPLE-",""),"CMP-","c"))&amp;"-"&amp;LOWER(SUBSTITUTE(SUBSTITUTE($B21,"SAMPLE-",""),"O-","o"))&amp;"-q"),scans!$D$2:$D$1601,"close")=0,"",SUMPRODUCT(MAX((scans!$C$2:$C$1601=(IF(LEFT($A21,7)="SAMPLE-","SAMPLE-","")&amp;LOWER(SUBSTITUTE(SUBSTITUTE($A21,"SAMPLE-",""),"CMP-","c"))&amp;"-"&amp;LOWER(SUBSTITUTE(SUBSTITUTE($B21,"SAMPLE-",""),"O-","o"))&amp;"-q"))*(scans!$D$2:$D$1601="close")*scans!$E$2:$E$1601))-SUMPRODUCT(MAX((scans!$C$2:$C$1601=(IF(LEFT($A21,7)="SAMPLE-","SAMPLE-","")&amp;LOWER(SUBSTITUTE(SUBSTITUTE($A21,"SAMPLE-",""),"CMP-","c"))&amp;"-"&amp;LOWER(SUBSTITUTE(SUBSTITUTE($B21,"SAMPLE-",""),"O-","o"))&amp;"-q"))*(scans!$D$2:$D$1601="baseline")*scans!$E$2:$E$1601))))</f>
        <v/>
      </c>
      <c r="AO21" s="25">
        <f>IF($A21="","",IF(COUNTIFS(scans!$C$2:$C$1601,(IF(LEFT($A21,7)="SAMPLE-","SAMPLE-","")&amp;LOWER(SUBSTITUTE(SUBSTITUTE($A21,"SAMPLE-",""),"CMP-","c"))&amp;"-"&amp;LOWER(SUBSTITUTE(SUBSTITUTE($B21,"SAMPLE-",""),"O-","o"))&amp;"-p"),scans!$D$2:$D$1601,"close")=0,"",SUMPRODUCT(MAX((scans!$C$2:$C$1601=(IF(LEFT($A21,7)="SAMPLE-","SAMPLE-","")&amp;LOWER(SUBSTITUTE(SUBSTITUTE($A21,"SAMPLE-",""),"CMP-","c"))&amp;"-"&amp;LOWER(SUBSTITUTE(SUBSTITUTE($B21,"SAMPLE-",""),"O-","o"))&amp;"-p"))*(scans!$D$2:$D$1601="close")*scans!$E$2:$E$1601))-SUMPRODUCT(MAX((scans!$C$2:$C$1601=(IF(LEFT($A21,7)="SAMPLE-","SAMPLE-","")&amp;LOWER(SUBSTITUTE(SUBSTITUTE($A21,"SAMPLE-",""),"CMP-","c"))&amp;"-"&amp;LOWER(SUBSTITUTE(SUBSTITUTE($B21,"SAMPLE-",""),"O-","o"))&amp;"-p"))*(scans!$D$2:$D$1601="baseline")*scans!$E$2:$E$1601))))</f>
        <v/>
      </c>
      <c r="AP21" s="25">
        <f>IF($A21="","",IF(COUNTIF(offices!$A$2:$A$61,$B21)=0,"office_id not on offices; ","")&amp;IF(COUNTIF(campaigns!$A$2:$A$51,$A21)=0,"campaign_id not on campaigns; ","")&amp;IF($P21="pending","approval pending; ","")&amp;IF(AND($U21&gt;0,$Y21="",OR($I21="",IF(config!$B$37&lt;&gt;"",config!$B$37,TODAY())&lt;=WORKDAY(N($I21),4,calendar!$A$2:$A$80))),"no usable placement photo yet; ","")&amp;IF(AND($Y21&lt;&gt;"",$Z21=""),"log the placed count; ","")&amp;IF(N($AA21)&gt;N($U21),"placed more than delivered; ","")&amp;IF(AND($AF21&lt;&gt;"",N($AF21)&gt;N($AA21)+N($AD21)),"day-5 count above placed plus top-ups; ","")&amp;IF(AND($U21&gt;0,$I21&lt;&gt;"",IF(config!$B$37&lt;&gt;"",config!$B$37,TODAY())&gt;WORKDAY(N($I21),4,calendar!$A$2:$A$80),$AF21=""),"day-5 count missing; ","")&amp;IF(AND($U21&gt;0,$I21&lt;&gt;"",IF(config!$B$37&lt;&gt;"",config!$B$37,TODAY())&gt;WORKDAY(N($I21),4,calendar!$A$2:$A$80),$AN21=""),"no close link reading; ","")&amp;$R21&amp;IF($P21="N","info: office said no; ","")&amp;IF(AND($P21="Y",$Q21="N"),"info: turned away at the door, so not on the drop (no letter, not in the report or Gate 2; the credit check is on campaigns); ","")&amp;IF(AND($U21&gt;0,$Y21="",$I21&lt;&gt;"",IF(config!$B$37&lt;&gt;"",config!$B$37,TODAY())&gt;WORKDAY(N($I21),4,calendar!$A$2:$A$80)),"info: no usable placement photo, so nothing counts as placed; ","")&amp;IF(AND($U21&gt;0,$I21&lt;&gt;"",IF(config!$B$37&lt;&gt;"",config!$B$37,TODAY())&gt;WORKDAY(N($I21),4,calendar!$A$2:$A$80),N($AL21)&lt;config!$B$30),"info: under "&amp;config!$B$30&amp;" responses; ","")&amp;IF($W21="packing_list","info: delivered count not verified; ",""))</f>
        <v/>
      </c>
      <c r="AQ21" s="25">
        <f>IF(OR($A21="",$I21=""),"",IF($BC21="Y",SUMIFS(survey_frozen!$E$2:$E$251,survey_frozen!$P$2:$P$251,$A21&amp;"|"&amp;$B21),IFERROR(COUNTIFS(INDIRECT("'"&amp;$A21&amp;"'!$B$2:$B$501"),$T21,INDIRECT("'"&amp;$A21&amp;"'!$A$2:$A$501"),"&gt;="&amp;$I21,INDIRECT("'"&amp;$A21&amp;"'!$A$2:$A$501"),"&lt;"&amp;($BA21+1),INDIRECT("'"&amp;$A21&amp;"'!$F$2:$F$501"),"Didn't see it"),0)))</f>
        <v/>
      </c>
      <c r="AR21" s="25">
        <f>IF(OR($A21="",$I21=""),"",IF($BC21="Y",SUMIFS(survey_frozen!$F$2:$F$251,survey_frozen!$P$2:$P$251,$A21&amp;"|"&amp;$B21),IFERROR(COUNTIFS(INDIRECT("'"&amp;$A21&amp;"'!$B$2:$B$501"),$T21,INDIRECT("'"&amp;$A21&amp;"'!$A$2:$A$501"),"&gt;="&amp;$I21,INDIRECT("'"&amp;$A21&amp;"'!$A$2:$A$501"),"&lt;"&amp;($BA21+1),INDIRECT("'"&amp;$A21&amp;"'!$F$2:$F$501"),"Not for me"),0)))</f>
        <v/>
      </c>
      <c r="AS21" s="25">
        <f>IF(OR($A21="",$I21=""),"",IF($BC21="Y",SUMIFS(survey_frozen!$G$2:$G$251,survey_frozen!$P$2:$P$251,$A21&amp;"|"&amp;$B21),IFERROR(COUNTIFS(INDIRECT("'"&amp;$A21&amp;"'!$B$2:$B$501"),$T21,INDIRECT("'"&amp;$A21&amp;"'!$A$2:$A$501"),"&gt;="&amp;$I21,INDIRECT("'"&amp;$A21&amp;"'!$A$2:$A$501"),"&lt;"&amp;($BA21+1),INDIRECT("'"&amp;$A21&amp;"'!$F$2:$F$501"),"Gone by the time I looked"),0)))</f>
        <v/>
      </c>
      <c r="AT21" s="25">
        <f>IF(OR($A21="",$I21=""),"",IF($BC21="Y",SUMIFS(survey_frozen!$H$2:$H$251,survey_frozen!$P$2:$P$251,$A21&amp;"|"&amp;$B21),IFERROR(COUNTIFS(INDIRECT("'"&amp;$A21&amp;"'!$B$2:$B$501"),$T21,INDIRECT("'"&amp;$A21&amp;"'!$A$2:$A$501"),"&gt;="&amp;$I21,INDIRECT("'"&amp;$A21&amp;"'!$A$2:$A$501"),"&lt;"&amp;($BA21+1),INDIRECT("'"&amp;$A21&amp;"'!$D$2:$D$501"),"&gt;=1"),0)))</f>
        <v/>
      </c>
      <c r="AU21" s="25">
        <f>IF(OR($A21="",$I21=""),"",IF($BC21="Y",SUMIFS(survey_frozen!$I$2:$I$251,survey_frozen!$P$2:$P$251,$A21&amp;"|"&amp;$B21),IFERROR(SUMIFS(INDIRECT("'"&amp;$A21&amp;"'!$D$2:$D$501"),INDIRECT("'"&amp;$A21&amp;"'!$B$2:$B$501"),$T21,INDIRECT("'"&amp;$A21&amp;"'!$A$2:$A$501"),"&gt;="&amp;$I21,INDIRECT("'"&amp;$A21&amp;"'!$A$2:$A$501"),"&lt;"&amp;($BA21+1)),0)))</f>
        <v/>
      </c>
      <c r="AV21" s="25">
        <f>IF(OR($A21="",$I21=""),"",IF($BC21="Y",SUMIFS(survey_frozen!$J$2:$J$251,survey_frozen!$P$2:$P$251,$A21&amp;"|"&amp;$B21),IFERROR(COUNTIFS(INDIRECT("'"&amp;$A21&amp;"'!$B$2:$B$501"),$T21,INDIRECT("'"&amp;$A21&amp;"'!$A$2:$A$501"),"&gt;="&amp;$I21,INDIRECT("'"&amp;$A21&amp;"'!$A$2:$A$501"),"&lt;"&amp;($BA21+1),INDIRECT("'"&amp;$A21&amp;"'!$E$2:$E$501"),"Yes"),0)))</f>
        <v/>
      </c>
      <c r="AW21" s="25">
        <f>IF(OR($A21="",$I21=""),"",IF($BC21="Y",SUMIFS(survey_frozen!$K$2:$K$251,survey_frozen!$P$2:$P$251,$A21&amp;"|"&amp;$B21),IFERROR(COUNTIFS(INDIRECT("'"&amp;$A21&amp;"'!$B$2:$B$501"),$T21,INDIRECT("'"&amp;$A21&amp;"'!$A$2:$A$501"),"&gt;="&amp;$I21,INDIRECT("'"&amp;$A21&amp;"'!$A$2:$A$501"),"&lt;"&amp;($BA21+1),INDIRECT("'"&amp;$A21&amp;"'!$E$2:$E$501"),"Maybe"),0)))</f>
        <v/>
      </c>
      <c r="AX21" s="25">
        <f>IF(OR($A21="",$I21=""),"",IF($BC21="Y",SUMIFS(survey_frozen!$L$2:$L$251,survey_frozen!$P$2:$P$251,$A21&amp;"|"&amp;$B21),IFERROR(COUNTIFS(INDIRECT("'"&amp;$A21&amp;"'!$B$2:$B$501"),$T21,INDIRECT("'"&amp;$A21&amp;"'!$A$2:$A$501"),"&gt;="&amp;$I21,INDIRECT("'"&amp;$A21&amp;"'!$A$2:$A$501"),"&lt;"&amp;($BA21+1),INDIRECT("'"&amp;$A21&amp;"'!$E$2:$E$501"),"No"),0)))</f>
        <v/>
      </c>
      <c r="AY21" s="25">
        <f>IF(OR($A21="",$I21=""),"",IF($BC21="Y",SUMIFS(survey_frozen!$M$2:$M$251,survey_frozen!$P$2:$P$251,$A21&amp;"|"&amp;$B21),IFERROR(COUNTIFS(INDIRECT("'"&amp;$A21&amp;"'!$B$2:$B$501"),$T21,INDIRECT("'"&amp;$A21&amp;"'!$A$2:$A$501"),"&gt;="&amp;$I21,INDIRECT("'"&amp;$A21&amp;"'!$A$2:$A$501"),"&lt;"&amp;($BA21+1),INDIRECT("'"&amp;$A21&amp;"'!$G$2:$G$501"),"&lt;&gt;"),0)))</f>
        <v/>
      </c>
      <c r="AZ21" s="25">
        <f>IF($A21="","",$A21&amp;"|"&amp;$L21)</f>
        <v/>
      </c>
      <c r="BA21" s="26">
        <f>IF($A21="","",IFERROR(IF(INDEX(drops!$R$2:$R$21,MATCH($H21,drops!$A$2:$A$21,0))="","",INDEX(drops!$R$2:$R$21,MATCH($H21,drops!$A$2:$A$21,0))),""))</f>
        <v/>
      </c>
      <c r="BB21" s="25">
        <f>IF(OR($A21="",$Q21&lt;&gt;"Y"),1000000,N($AL21))</f>
        <v/>
      </c>
      <c r="BC21" s="25">
        <f>IF($A21="","",IF(COUNTIF(survey_frozen!$P$2:$P$251,$A21&amp;"|"&amp;$B21)&gt;0,"Y",""))</f>
        <v/>
      </c>
    </row>
    <row r="22">
      <c r="A22" t="inlineStr">
        <is>
          <t>SAMPLE-CMP-004</t>
        </is>
      </c>
      <c r="B22" t="inlineStr">
        <is>
          <t>SAMPLE-O-001</t>
        </is>
      </c>
      <c r="C22" s="9" t="n">
        <v>46393</v>
      </c>
      <c r="D22" t="inlineStr">
        <is>
          <t>yes</t>
        </is>
      </c>
      <c r="E22" s="9" t="n">
        <v>46394</v>
      </c>
      <c r="F22" t="inlineStr">
        <is>
          <t>SAMPLE replied by email</t>
        </is>
      </c>
      <c r="H22" s="25">
        <f>IF($A22="","",IFERROR(IF(INDEX(campaigns!$B$2:$B$51,MATCH($A22,campaigns!$A$2:$A$51,0))="","",INDEX(campaigns!$B$2:$B$51,MATCH($A22,campaigns!$A$2:$A$51,0))),""))</f>
        <v/>
      </c>
      <c r="I22" s="26">
        <f>IF($A22="","",IFERROR(IF(INDEX(campaigns!$BG$2:$BG$51,MATCH($A22,campaigns!$A$2:$A$51,0))="","",INDEX(campaigns!$BG$2:$BG$51,MATCH($A22,campaigns!$A$2:$A$51,0))),""))</f>
        <v/>
      </c>
      <c r="J22" s="25">
        <f>IF($A22="","",IFERROR(IF(INDEX(campaigns!$BE$2:$BE$51,MATCH($A22,campaigns!$A$2:$A$51,0))="","",INDEX(campaigns!$BE$2:$BE$51,MATCH($A22,campaigns!$A$2:$A$51,0))),""))</f>
        <v/>
      </c>
      <c r="K22" s="25">
        <f>IF($B22="","",IFERROR(IF(INDEX(offices!$N$2:$N$61,MATCH($B22,offices!$A$2:$A$61,0))="","",INDEX(offices!$N$2:$N$61,MATCH($B22,offices!$A$2:$A$61,0))),""))</f>
        <v/>
      </c>
      <c r="L22" s="25">
        <f>IF($A22="","",IF($Q22="N","",COUNTIFS($A$2:$A22,$A22,$Q$2:$Q22,"&lt;&gt;N")))</f>
        <v/>
      </c>
      <c r="M22" s="25">
        <f>IF(OR($A22="",$L22=""),"",IF(AND(config!$B$34="names_if_public",IFERROR(IF(INDEX(offices!$AF$2:$AF$61,MATCH($B22,offices!$A$2:$A$61,0))="","",INDEX(offices!$AF$2:$AF$61,MATCH($B22,offices!$A$2:$A$61,0))),"")="Y"),$K22,CHAR(64+$L22)))</f>
        <v/>
      </c>
      <c r="N22" s="25">
        <f>IF(OR($A22="",$I22=""),"",COUNTIFS(stops!$B$2:$B$151,$B22,stops!$P$2:$P$151,"&lt;"&amp;$I22,stops!$L$2:$L$151,"&lt;&gt;not_delivered")+1)</f>
        <v/>
      </c>
      <c r="O22" s="25">
        <f>IF($A22="","",IF(N($N22)&lt;=config!$B$29,"explicit","opt-out"))</f>
        <v/>
      </c>
      <c r="P22" s="25">
        <f>IF($A22="","",IF($O22="explicit",IF($D22="yes","Y",IF($D22="no","N","pending")),IF($D22="no","N",IF(AND($C22&lt;&gt;"",$I22&lt;&gt;"",$C22&lt;=WORKDAY(N($I22),-5,calendar!$A$2:$A$80)),"Y","pending"))))</f>
        <v/>
      </c>
      <c r="Q22" s="25">
        <f>IF($A22="","",IF($P22="N","N",IF($P22&lt;&gt;"Y","pending",IF(AND((COUNTIFS(stops!$A$2:$A$151,$H22,stops!$B$2:$B$151,$B22,stops!$L$2:$L$151,"declined")+COUNTIFS(stops!$A$2:$A$151,$H22,stops!$B$2:$B$151,$B22,stops!$L$2:$L$151,"building_refused")+COUNTIFS(stops!$A$2:$A$151,$H22,stops!$B$2:$B$151,$B22,stops!$L$2:$L$151,"not_delivered"))&gt;0,N($U22)=0),"N","Y"))))</f>
        <v/>
      </c>
      <c r="R22" s="25">
        <f>IF($A22="","",IF(COUNTIFS($A$2:$A$251,$A22,$B$2:$B$251,$B22)&gt;1,"DUPLICATE ROW; ","")&amp;IF(AND(IFERROR(IF(INDEX(offices!$AC$2:$AC$61,MATCH($B22,offices!$A$2:$A$61,0))="","",INDEX(offices!$AC$2:$AC$61,MATCH($B22,offices!$A$2:$A$61,0))),"")&lt;&gt;"",ISNUMBER(SEARCH($J22,IFERROR(IF(INDEX(offices!$AC$2:$AC$61,MATCH($B22,offices!$A$2:$A$61,0))="","",INDEX(offices!$AC$2:$AC$61,MATCH($B22,offices!$A$2:$A$61,0))),"")))),"BRAND VETOED; ","")&amp;IF(ISNUMBER(SEARCH(IFERROR(IF(INDEX(campaigns!$BF$2:$BF$51,MATCH($A22,campaigns!$A$2:$A$51,0))="","",INDEX(campaigns!$BF$2:$BF$51,MATCH($A22,campaigns!$A$2:$A$51,0))),""),IFERROR(IF(INDEX(offices!$AB$2:$AB$61,MATCH($B22,offices!$A$2:$A$61,0))="","",INDEX(offices!$AB$2:$AB$61,MATCH($B22,offices!$A$2:$A$61,0))),""))),"","info: category not on the office's list; ")&amp;IF(IFERROR(IF(INDEX(offices!$AC$2:$AC$61,MATCH($B22,offices!$A$2:$A$61,0))="","",INDEX(offices!$AC$2:$AC$61,MATCH($B22,offices!$A$2:$A$61,0))),"")&lt;&gt;"","info: read the vetoes against the label; ",""))</f>
        <v/>
      </c>
      <c r="S22" s="25">
        <f>IF($A22="","",IF($G22&lt;&gt;"",$G22,IFERROR(IF(INDEX(offices!$AL$2:$AL$61,MATCH($B22,offices!$A$2:$A$61,0))="","",INDEX(offices!$AL$2:$AL$61,MATCH($B22,offices!$A$2:$A$61,0))),"")))</f>
        <v/>
      </c>
      <c r="T22" s="25">
        <f>IF($A22="","",$A22&amp;"."&amp;$B22)</f>
        <v/>
      </c>
      <c r="U22" s="25">
        <f>IF($A22="","",SUMIFS(inventory!$G$2:$G$801,inventory!$C$2:$C$801,$A22,inventory!$D$2:$D$801,$B22,inventory!$E$2:$E$801,"delivered"))</f>
        <v/>
      </c>
      <c r="V22" s="32">
        <f>IF($A22="","",IFERROR(1/(1/SUMPRODUCT(MAX((inventory!$C$2:$C$801=$A22)*(inventory!$D$2:$D$801=$B22)*(inventory!$E$2:$E$801="delivered")*(inventory!$A$2:$A$801+inventory!$B$2:$B$801)))),""))</f>
        <v/>
      </c>
      <c r="W22" s="25">
        <f>IF($A22="","",IFERROR(IF(INDEX(inventory!$J$2:$J$801,MATCH($A22&amp;"|"&amp;$B22&amp;"|delivered",inventory!$R$2:$R$801,0))="","",INDEX(inventory!$J$2:$J$801,MATCH($A22&amp;"|"&amp;$B22&amp;"|delivered",inventory!$R$2:$R$801,0))),""))</f>
        <v/>
      </c>
      <c r="X22" s="25">
        <f>IF($A22="","",IFERROR(IF(INDEX(photos!$H$2:$H$701,MATCH($A22&amp;"|"&amp;$B22&amp;"|placement|Y",photos!$R$2:$R$701,0))="","",INDEX(photos!$H$2:$H$701,MATCH($A22&amp;"|"&amp;$B22&amp;"|placement|Y",photos!$R$2:$R$701,0))),""))</f>
        <v/>
      </c>
      <c r="Y22" s="26">
        <f>IF($A22="","",IFERROR(IF(INDEX(photos!$E$2:$E$701,MATCH($A22&amp;"|"&amp;$B22&amp;"|placement|Y",photos!$R$2:$R$701,0))="","",INDEX(photos!$E$2:$E$701,MATCH($A22&amp;"|"&amp;$B22&amp;"|placement|Y",photos!$R$2:$R$701,0))),""))</f>
        <v/>
      </c>
      <c r="Z22" s="25">
        <f>IF($A22="","",IF(COUNTIFS(counts!$C$2:$C$701,$A22,counts!$D$2:$D$701,$B22,counts!$E$2:$E$701,"placed")=0,"",SUMIFS(counts!$F$2:$F$701,counts!$C$2:$C$701,$A22,counts!$D$2:$D$701,$B22,counts!$E$2:$E$701,"placed")))</f>
        <v/>
      </c>
      <c r="AA22" s="25">
        <f>IF($A22="","",IF($Y22="",0,N($Z22)))</f>
        <v/>
      </c>
      <c r="AB22" s="25">
        <f>IF($A22="","",IF(OR($Y22="",$I22=""),"N",IF($Y22&lt;=WORKDAY(N($I22),1,calendar!$A$2:$A$80),"Y","N")))</f>
        <v/>
      </c>
      <c r="AC22" s="28">
        <f>IF(OR($A22="",$V22="",$Y22=""),"",ROUND(($Y22+N(IFERROR(IF(INDEX(photos!$F$2:$F$701,MATCH($A22&amp;"|"&amp;$B22&amp;"|placement|Y",photos!$R$2:$R$701,0))="","",INDEX(photos!$F$2:$F$701,MATCH($A22&amp;"|"&amp;$B22&amp;"|placement|Y",photos!$R$2:$R$701,0))),""))-$V22)*24,1))</f>
        <v/>
      </c>
      <c r="AD22" s="25">
        <f>IF($A22="","",SUMIFS(inventory!$G$2:$G$801,inventory!$C$2:$C$801,$A22,inventory!$D$2:$D$801,$B22,inventory!$E$2:$E$801,"topped_up"))</f>
        <v/>
      </c>
      <c r="AE22" s="25">
        <f>IF($A22="","",IF(COUNTIFS(counts!$C$2:$C$701,$A22,counts!$D$2:$D$701,$B22,counts!$E$2:$E$701,"remaining_day3")=0,"",SUMIFS(counts!$F$2:$F$701,counts!$C$2:$C$701,$A22,counts!$D$2:$D$701,$B22,counts!$E$2:$E$701,"remaining_day3")))</f>
        <v/>
      </c>
      <c r="AF22" s="25">
        <f>IF($A22="","",IF(COUNTIFS(counts!$C$2:$C$701,$A22,counts!$D$2:$D$701,$B22,counts!$E$2:$E$701,"remaining_day5")=0,"",SUMIFS(counts!$F$2:$F$701,counts!$C$2:$C$701,$A22,counts!$D$2:$D$701,$B22,counts!$E$2:$E$701,"remaining_day5")))</f>
        <v/>
      </c>
      <c r="AG22" s="25">
        <f>IF(OR($A22="",$AF22=""),"",MAX(0,$AA22+$AD22-$AF22))</f>
        <v/>
      </c>
      <c r="AH22" s="25">
        <f>IF(OR($A22="",$AI22=""),"",IFERROR(IF(INDEX(photos!$H$2:$H$701,MATCH($A22&amp;"|"&amp;$B22&amp;"|later|Y|"&amp;$AI22,photos!$S$2:$S$701,0))="","",INDEX(photos!$H$2:$H$701,MATCH($A22&amp;"|"&amp;$B22&amp;"|later|Y|"&amp;$AI22,photos!$S$2:$S$701,0))),""))</f>
        <v/>
      </c>
      <c r="AI22" s="26">
        <f>IF($A22="","",IFERROR(1/(1/SUMPRODUCT(MAX((photos!$B$2:$B$701=$A22)*(photos!$C$2:$C$701=$B22)*(photos!$D$2:$D$701="later")*(photos!$O$2:$O$701="Y")*photos!$E$2:$E$701))),""))</f>
        <v/>
      </c>
      <c r="AJ22" s="25">
        <f>IF(OR($A22="",$AI22="",$I22=""),"",NETWORKDAYS($I22,$AI22,calendar!$A$2:$A$80))</f>
        <v/>
      </c>
      <c r="AK22" s="25">
        <f>IF($A22="","",IF(AND($X22&lt;&gt;"",$AH22&lt;&gt;""),"Y","N"))</f>
        <v/>
      </c>
      <c r="AL22" s="25">
        <f>IF(OR($A22="",$I22=""),"",IF($BC22="Y",SUMIFS(survey_frozen!$C$2:$C$251,survey_frozen!$P$2:$P$251,$A22&amp;"|"&amp;$B22),IFERROR(COUNTIFS(INDIRECT("'"&amp;$A22&amp;"'!$B$2:$B$501"),$T22,INDIRECT("'"&amp;$A22&amp;"'!$A$2:$A$501"),"&gt;="&amp;$I22,INDIRECT("'"&amp;$A22&amp;"'!$A$2:$A$501"),"&lt;"&amp;($BA22+1)),0)))</f>
        <v/>
      </c>
      <c r="AM22" s="25">
        <f>IF(OR($A22="",$I22=""),"",IF($BC22="Y",SUMIFS(survey_frozen!$D$2:$D$251,survey_frozen!$P$2:$P$251,$A22&amp;"|"&amp;$B22),IFERROR(COUNTIFS(INDIRECT("'"&amp;$A22&amp;"'!$B$2:$B$501"),$T22,INDIRECT("'"&amp;$A22&amp;"'!$A$2:$A$501"),"&gt;="&amp;$I22,INDIRECT("'"&amp;$A22&amp;"'!$A$2:$A$501"),"&lt;"&amp;($BA22+1),INDIRECT("'"&amp;$A22&amp;"'!$C$2:$C$501"),"Yes"),0)))</f>
        <v/>
      </c>
      <c r="AN22" s="25">
        <f>IF($A22="","",IF(COUNTIFS(scans!$C$2:$C$1601,(IF(LEFT($A22,7)="SAMPLE-","SAMPLE-","")&amp;LOWER(SUBSTITUTE(SUBSTITUTE($A22,"SAMPLE-",""),"CMP-","c"))&amp;"-"&amp;LOWER(SUBSTITUTE(SUBSTITUTE($B22,"SAMPLE-",""),"O-","o"))&amp;"-q"),scans!$D$2:$D$1601,"close")=0,"",SUMPRODUCT(MAX((scans!$C$2:$C$1601=(IF(LEFT($A22,7)="SAMPLE-","SAMPLE-","")&amp;LOWER(SUBSTITUTE(SUBSTITUTE($A22,"SAMPLE-",""),"CMP-","c"))&amp;"-"&amp;LOWER(SUBSTITUTE(SUBSTITUTE($B22,"SAMPLE-",""),"O-","o"))&amp;"-q"))*(scans!$D$2:$D$1601="close")*scans!$E$2:$E$1601))-SUMPRODUCT(MAX((scans!$C$2:$C$1601=(IF(LEFT($A22,7)="SAMPLE-","SAMPLE-","")&amp;LOWER(SUBSTITUTE(SUBSTITUTE($A22,"SAMPLE-",""),"CMP-","c"))&amp;"-"&amp;LOWER(SUBSTITUTE(SUBSTITUTE($B22,"SAMPLE-",""),"O-","o"))&amp;"-q"))*(scans!$D$2:$D$1601="baseline")*scans!$E$2:$E$1601))))</f>
        <v/>
      </c>
      <c r="AO22" s="25">
        <f>IF($A22="","",IF(COUNTIFS(scans!$C$2:$C$1601,(IF(LEFT($A22,7)="SAMPLE-","SAMPLE-","")&amp;LOWER(SUBSTITUTE(SUBSTITUTE($A22,"SAMPLE-",""),"CMP-","c"))&amp;"-"&amp;LOWER(SUBSTITUTE(SUBSTITUTE($B22,"SAMPLE-",""),"O-","o"))&amp;"-p"),scans!$D$2:$D$1601,"close")=0,"",SUMPRODUCT(MAX((scans!$C$2:$C$1601=(IF(LEFT($A22,7)="SAMPLE-","SAMPLE-","")&amp;LOWER(SUBSTITUTE(SUBSTITUTE($A22,"SAMPLE-",""),"CMP-","c"))&amp;"-"&amp;LOWER(SUBSTITUTE(SUBSTITUTE($B22,"SAMPLE-",""),"O-","o"))&amp;"-p"))*(scans!$D$2:$D$1601="close")*scans!$E$2:$E$1601))-SUMPRODUCT(MAX((scans!$C$2:$C$1601=(IF(LEFT($A22,7)="SAMPLE-","SAMPLE-","")&amp;LOWER(SUBSTITUTE(SUBSTITUTE($A22,"SAMPLE-",""),"CMP-","c"))&amp;"-"&amp;LOWER(SUBSTITUTE(SUBSTITUTE($B22,"SAMPLE-",""),"O-","o"))&amp;"-p"))*(scans!$D$2:$D$1601="baseline")*scans!$E$2:$E$1601))))</f>
        <v/>
      </c>
      <c r="AP22" s="25">
        <f>IF($A22="","",IF(COUNTIF(offices!$A$2:$A$61,$B22)=0,"office_id not on offices; ","")&amp;IF(COUNTIF(campaigns!$A$2:$A$51,$A22)=0,"campaign_id not on campaigns; ","")&amp;IF($P22="pending","approval pending; ","")&amp;IF(AND($U22&gt;0,$Y22="",OR($I22="",IF(config!$B$37&lt;&gt;"",config!$B$37,TODAY())&lt;=WORKDAY(N($I22),4,calendar!$A$2:$A$80))),"no usable placement photo yet; ","")&amp;IF(AND($Y22&lt;&gt;"",$Z22=""),"log the placed count; ","")&amp;IF(N($AA22)&gt;N($U22),"placed more than delivered; ","")&amp;IF(AND($AF22&lt;&gt;"",N($AF22)&gt;N($AA22)+N($AD22)),"day-5 count above placed plus top-ups; ","")&amp;IF(AND($U22&gt;0,$I22&lt;&gt;"",IF(config!$B$37&lt;&gt;"",config!$B$37,TODAY())&gt;WORKDAY(N($I22),4,calendar!$A$2:$A$80),$AF22=""),"day-5 count missing; ","")&amp;IF(AND($U22&gt;0,$I22&lt;&gt;"",IF(config!$B$37&lt;&gt;"",config!$B$37,TODAY())&gt;WORKDAY(N($I22),4,calendar!$A$2:$A$80),$AN22=""),"no close link reading; ","")&amp;$R22&amp;IF($P22="N","info: office said no; ","")&amp;IF(AND($P22="Y",$Q22="N"),"info: turned away at the door, so not on the drop (no letter, not in the report or Gate 2; the credit check is on campaigns); ","")&amp;IF(AND($U22&gt;0,$Y22="",$I22&lt;&gt;"",IF(config!$B$37&lt;&gt;"",config!$B$37,TODAY())&gt;WORKDAY(N($I22),4,calendar!$A$2:$A$80)),"info: no usable placement photo, so nothing counts as placed; ","")&amp;IF(AND($U22&gt;0,$I22&lt;&gt;"",IF(config!$B$37&lt;&gt;"",config!$B$37,TODAY())&gt;WORKDAY(N($I22),4,calendar!$A$2:$A$80),N($AL22)&lt;config!$B$30),"info: under "&amp;config!$B$30&amp;" responses; ","")&amp;IF($W22="packing_list","info: delivered count not verified; ",""))</f>
        <v/>
      </c>
      <c r="AQ22" s="25">
        <f>IF(OR($A22="",$I22=""),"",IF($BC22="Y",SUMIFS(survey_frozen!$E$2:$E$251,survey_frozen!$P$2:$P$251,$A22&amp;"|"&amp;$B22),IFERROR(COUNTIFS(INDIRECT("'"&amp;$A22&amp;"'!$B$2:$B$501"),$T22,INDIRECT("'"&amp;$A22&amp;"'!$A$2:$A$501"),"&gt;="&amp;$I22,INDIRECT("'"&amp;$A22&amp;"'!$A$2:$A$501"),"&lt;"&amp;($BA22+1),INDIRECT("'"&amp;$A22&amp;"'!$F$2:$F$501"),"Didn't see it"),0)))</f>
        <v/>
      </c>
      <c r="AR22" s="25">
        <f>IF(OR($A22="",$I22=""),"",IF($BC22="Y",SUMIFS(survey_frozen!$F$2:$F$251,survey_frozen!$P$2:$P$251,$A22&amp;"|"&amp;$B22),IFERROR(COUNTIFS(INDIRECT("'"&amp;$A22&amp;"'!$B$2:$B$501"),$T22,INDIRECT("'"&amp;$A22&amp;"'!$A$2:$A$501"),"&gt;="&amp;$I22,INDIRECT("'"&amp;$A22&amp;"'!$A$2:$A$501"),"&lt;"&amp;($BA22+1),INDIRECT("'"&amp;$A22&amp;"'!$F$2:$F$501"),"Not for me"),0)))</f>
        <v/>
      </c>
      <c r="AS22" s="25">
        <f>IF(OR($A22="",$I22=""),"",IF($BC22="Y",SUMIFS(survey_frozen!$G$2:$G$251,survey_frozen!$P$2:$P$251,$A22&amp;"|"&amp;$B22),IFERROR(COUNTIFS(INDIRECT("'"&amp;$A22&amp;"'!$B$2:$B$501"),$T22,INDIRECT("'"&amp;$A22&amp;"'!$A$2:$A$501"),"&gt;="&amp;$I22,INDIRECT("'"&amp;$A22&amp;"'!$A$2:$A$501"),"&lt;"&amp;($BA22+1),INDIRECT("'"&amp;$A22&amp;"'!$F$2:$F$501"),"Gone by the time I looked"),0)))</f>
        <v/>
      </c>
      <c r="AT22" s="25">
        <f>IF(OR($A22="",$I22=""),"",IF($BC22="Y",SUMIFS(survey_frozen!$H$2:$H$251,survey_frozen!$P$2:$P$251,$A22&amp;"|"&amp;$B22),IFERROR(COUNTIFS(INDIRECT("'"&amp;$A22&amp;"'!$B$2:$B$501"),$T22,INDIRECT("'"&amp;$A22&amp;"'!$A$2:$A$501"),"&gt;="&amp;$I22,INDIRECT("'"&amp;$A22&amp;"'!$A$2:$A$501"),"&lt;"&amp;($BA22+1),INDIRECT("'"&amp;$A22&amp;"'!$D$2:$D$501"),"&gt;=1"),0)))</f>
        <v/>
      </c>
      <c r="AU22" s="25">
        <f>IF(OR($A22="",$I22=""),"",IF($BC22="Y",SUMIFS(survey_frozen!$I$2:$I$251,survey_frozen!$P$2:$P$251,$A22&amp;"|"&amp;$B22),IFERROR(SUMIFS(INDIRECT("'"&amp;$A22&amp;"'!$D$2:$D$501"),INDIRECT("'"&amp;$A22&amp;"'!$B$2:$B$501"),$T22,INDIRECT("'"&amp;$A22&amp;"'!$A$2:$A$501"),"&gt;="&amp;$I22,INDIRECT("'"&amp;$A22&amp;"'!$A$2:$A$501"),"&lt;"&amp;($BA22+1)),0)))</f>
        <v/>
      </c>
      <c r="AV22" s="25">
        <f>IF(OR($A22="",$I22=""),"",IF($BC22="Y",SUMIFS(survey_frozen!$J$2:$J$251,survey_frozen!$P$2:$P$251,$A22&amp;"|"&amp;$B22),IFERROR(COUNTIFS(INDIRECT("'"&amp;$A22&amp;"'!$B$2:$B$501"),$T22,INDIRECT("'"&amp;$A22&amp;"'!$A$2:$A$501"),"&gt;="&amp;$I22,INDIRECT("'"&amp;$A22&amp;"'!$A$2:$A$501"),"&lt;"&amp;($BA22+1),INDIRECT("'"&amp;$A22&amp;"'!$E$2:$E$501"),"Yes"),0)))</f>
        <v/>
      </c>
      <c r="AW22" s="25">
        <f>IF(OR($A22="",$I22=""),"",IF($BC22="Y",SUMIFS(survey_frozen!$K$2:$K$251,survey_frozen!$P$2:$P$251,$A22&amp;"|"&amp;$B22),IFERROR(COUNTIFS(INDIRECT("'"&amp;$A22&amp;"'!$B$2:$B$501"),$T22,INDIRECT("'"&amp;$A22&amp;"'!$A$2:$A$501"),"&gt;="&amp;$I22,INDIRECT("'"&amp;$A22&amp;"'!$A$2:$A$501"),"&lt;"&amp;($BA22+1),INDIRECT("'"&amp;$A22&amp;"'!$E$2:$E$501"),"Maybe"),0)))</f>
        <v/>
      </c>
      <c r="AX22" s="25">
        <f>IF(OR($A22="",$I22=""),"",IF($BC22="Y",SUMIFS(survey_frozen!$L$2:$L$251,survey_frozen!$P$2:$P$251,$A22&amp;"|"&amp;$B22),IFERROR(COUNTIFS(INDIRECT("'"&amp;$A22&amp;"'!$B$2:$B$501"),$T22,INDIRECT("'"&amp;$A22&amp;"'!$A$2:$A$501"),"&gt;="&amp;$I22,INDIRECT("'"&amp;$A22&amp;"'!$A$2:$A$501"),"&lt;"&amp;($BA22+1),INDIRECT("'"&amp;$A22&amp;"'!$E$2:$E$501"),"No"),0)))</f>
        <v/>
      </c>
      <c r="AY22" s="25">
        <f>IF(OR($A22="",$I22=""),"",IF($BC22="Y",SUMIFS(survey_frozen!$M$2:$M$251,survey_frozen!$P$2:$P$251,$A22&amp;"|"&amp;$B22),IFERROR(COUNTIFS(INDIRECT("'"&amp;$A22&amp;"'!$B$2:$B$501"),$T22,INDIRECT("'"&amp;$A22&amp;"'!$A$2:$A$501"),"&gt;="&amp;$I22,INDIRECT("'"&amp;$A22&amp;"'!$A$2:$A$501"),"&lt;"&amp;($BA22+1),INDIRECT("'"&amp;$A22&amp;"'!$G$2:$G$501"),"&lt;&gt;"),0)))</f>
        <v/>
      </c>
      <c r="AZ22" s="25">
        <f>IF($A22="","",$A22&amp;"|"&amp;$L22)</f>
        <v/>
      </c>
      <c r="BA22" s="26">
        <f>IF($A22="","",IFERROR(IF(INDEX(drops!$R$2:$R$21,MATCH($H22,drops!$A$2:$A$21,0))="","",INDEX(drops!$R$2:$R$21,MATCH($H22,drops!$A$2:$A$21,0))),""))</f>
        <v/>
      </c>
      <c r="BB22" s="25">
        <f>IF(OR($A22="",$Q22&lt;&gt;"Y"),1000000,N($AL22))</f>
        <v/>
      </c>
      <c r="BC22" s="25">
        <f>IF($A22="","",IF(COUNTIF(survey_frozen!$P$2:$P$251,$A22&amp;"|"&amp;$B22)&gt;0,"Y",""))</f>
        <v/>
      </c>
    </row>
    <row r="23">
      <c r="A23" t="inlineStr">
        <is>
          <t>SAMPLE-CMP-004</t>
        </is>
      </c>
      <c r="B23" t="inlineStr">
        <is>
          <t>SAMPLE-O-002</t>
        </is>
      </c>
      <c r="C23" s="9" t="n">
        <v>46393</v>
      </c>
      <c r="D23" t="inlineStr">
        <is>
          <t>yes</t>
        </is>
      </c>
      <c r="E23" s="9" t="n">
        <v>46395</v>
      </c>
      <c r="F23" t="inlineStr">
        <is>
          <t>SAMPLE replied by email</t>
        </is>
      </c>
      <c r="H23" s="25">
        <f>IF($A23="","",IFERROR(IF(INDEX(campaigns!$B$2:$B$51,MATCH($A23,campaigns!$A$2:$A$51,0))="","",INDEX(campaigns!$B$2:$B$51,MATCH($A23,campaigns!$A$2:$A$51,0))),""))</f>
        <v/>
      </c>
      <c r="I23" s="26">
        <f>IF($A23="","",IFERROR(IF(INDEX(campaigns!$BG$2:$BG$51,MATCH($A23,campaigns!$A$2:$A$51,0))="","",INDEX(campaigns!$BG$2:$BG$51,MATCH($A23,campaigns!$A$2:$A$51,0))),""))</f>
        <v/>
      </c>
      <c r="J23" s="25">
        <f>IF($A23="","",IFERROR(IF(INDEX(campaigns!$BE$2:$BE$51,MATCH($A23,campaigns!$A$2:$A$51,0))="","",INDEX(campaigns!$BE$2:$BE$51,MATCH($A23,campaigns!$A$2:$A$51,0))),""))</f>
        <v/>
      </c>
      <c r="K23" s="25">
        <f>IF($B23="","",IFERROR(IF(INDEX(offices!$N$2:$N$61,MATCH($B23,offices!$A$2:$A$61,0))="","",INDEX(offices!$N$2:$N$61,MATCH($B23,offices!$A$2:$A$61,0))),""))</f>
        <v/>
      </c>
      <c r="L23" s="25">
        <f>IF($A23="","",IF($Q23="N","",COUNTIFS($A$2:$A23,$A23,$Q$2:$Q23,"&lt;&gt;N")))</f>
        <v/>
      </c>
      <c r="M23" s="25">
        <f>IF(OR($A23="",$L23=""),"",IF(AND(config!$B$34="names_if_public",IFERROR(IF(INDEX(offices!$AF$2:$AF$61,MATCH($B23,offices!$A$2:$A$61,0))="","",INDEX(offices!$AF$2:$AF$61,MATCH($B23,offices!$A$2:$A$61,0))),"")="Y"),$K23,CHAR(64+$L23)))</f>
        <v/>
      </c>
      <c r="N23" s="25">
        <f>IF(OR($A23="",$I23=""),"",COUNTIFS(stops!$B$2:$B$151,$B23,stops!$P$2:$P$151,"&lt;"&amp;$I23,stops!$L$2:$L$151,"&lt;&gt;not_delivered")+1)</f>
        <v/>
      </c>
      <c r="O23" s="25">
        <f>IF($A23="","",IF(N($N23)&lt;=config!$B$29,"explicit","opt-out"))</f>
        <v/>
      </c>
      <c r="P23" s="25">
        <f>IF($A23="","",IF($O23="explicit",IF($D23="yes","Y",IF($D23="no","N","pending")),IF($D23="no","N",IF(AND($C23&lt;&gt;"",$I23&lt;&gt;"",$C23&lt;=WORKDAY(N($I23),-5,calendar!$A$2:$A$80)),"Y","pending"))))</f>
        <v/>
      </c>
      <c r="Q23" s="25">
        <f>IF($A23="","",IF($P23="N","N",IF($P23&lt;&gt;"Y","pending",IF(AND((COUNTIFS(stops!$A$2:$A$151,$H23,stops!$B$2:$B$151,$B23,stops!$L$2:$L$151,"declined")+COUNTIFS(stops!$A$2:$A$151,$H23,stops!$B$2:$B$151,$B23,stops!$L$2:$L$151,"building_refused")+COUNTIFS(stops!$A$2:$A$151,$H23,stops!$B$2:$B$151,$B23,stops!$L$2:$L$151,"not_delivered"))&gt;0,N($U23)=0),"N","Y"))))</f>
        <v/>
      </c>
      <c r="R23" s="25">
        <f>IF($A23="","",IF(COUNTIFS($A$2:$A$251,$A23,$B$2:$B$251,$B23)&gt;1,"DUPLICATE ROW; ","")&amp;IF(AND(IFERROR(IF(INDEX(offices!$AC$2:$AC$61,MATCH($B23,offices!$A$2:$A$61,0))="","",INDEX(offices!$AC$2:$AC$61,MATCH($B23,offices!$A$2:$A$61,0))),"")&lt;&gt;"",ISNUMBER(SEARCH($J23,IFERROR(IF(INDEX(offices!$AC$2:$AC$61,MATCH($B23,offices!$A$2:$A$61,0))="","",INDEX(offices!$AC$2:$AC$61,MATCH($B23,offices!$A$2:$A$61,0))),"")))),"BRAND VETOED; ","")&amp;IF(ISNUMBER(SEARCH(IFERROR(IF(INDEX(campaigns!$BF$2:$BF$51,MATCH($A23,campaigns!$A$2:$A$51,0))="","",INDEX(campaigns!$BF$2:$BF$51,MATCH($A23,campaigns!$A$2:$A$51,0))),""),IFERROR(IF(INDEX(offices!$AB$2:$AB$61,MATCH($B23,offices!$A$2:$A$61,0))="","",INDEX(offices!$AB$2:$AB$61,MATCH($B23,offices!$A$2:$A$61,0))),""))),"","info: category not on the office's list; ")&amp;IF(IFERROR(IF(INDEX(offices!$AC$2:$AC$61,MATCH($B23,offices!$A$2:$A$61,0))="","",INDEX(offices!$AC$2:$AC$61,MATCH($B23,offices!$A$2:$A$61,0))),"")&lt;&gt;"","info: read the vetoes against the label; ",""))</f>
        <v/>
      </c>
      <c r="S23" s="25">
        <f>IF($A23="","",IF($G23&lt;&gt;"",$G23,IFERROR(IF(INDEX(offices!$AL$2:$AL$61,MATCH($B23,offices!$A$2:$A$61,0))="","",INDEX(offices!$AL$2:$AL$61,MATCH($B23,offices!$A$2:$A$61,0))),"")))</f>
        <v/>
      </c>
      <c r="T23" s="25">
        <f>IF($A23="","",$A23&amp;"."&amp;$B23)</f>
        <v/>
      </c>
      <c r="U23" s="25">
        <f>IF($A23="","",SUMIFS(inventory!$G$2:$G$801,inventory!$C$2:$C$801,$A23,inventory!$D$2:$D$801,$B23,inventory!$E$2:$E$801,"delivered"))</f>
        <v/>
      </c>
      <c r="V23" s="32">
        <f>IF($A23="","",IFERROR(1/(1/SUMPRODUCT(MAX((inventory!$C$2:$C$801=$A23)*(inventory!$D$2:$D$801=$B23)*(inventory!$E$2:$E$801="delivered")*(inventory!$A$2:$A$801+inventory!$B$2:$B$801)))),""))</f>
        <v/>
      </c>
      <c r="W23" s="25">
        <f>IF($A23="","",IFERROR(IF(INDEX(inventory!$J$2:$J$801,MATCH($A23&amp;"|"&amp;$B23&amp;"|delivered",inventory!$R$2:$R$801,0))="","",INDEX(inventory!$J$2:$J$801,MATCH($A23&amp;"|"&amp;$B23&amp;"|delivered",inventory!$R$2:$R$801,0))),""))</f>
        <v/>
      </c>
      <c r="X23" s="25">
        <f>IF($A23="","",IFERROR(IF(INDEX(photos!$H$2:$H$701,MATCH($A23&amp;"|"&amp;$B23&amp;"|placement|Y",photos!$R$2:$R$701,0))="","",INDEX(photos!$H$2:$H$701,MATCH($A23&amp;"|"&amp;$B23&amp;"|placement|Y",photos!$R$2:$R$701,0))),""))</f>
        <v/>
      </c>
      <c r="Y23" s="26">
        <f>IF($A23="","",IFERROR(IF(INDEX(photos!$E$2:$E$701,MATCH($A23&amp;"|"&amp;$B23&amp;"|placement|Y",photos!$R$2:$R$701,0))="","",INDEX(photos!$E$2:$E$701,MATCH($A23&amp;"|"&amp;$B23&amp;"|placement|Y",photos!$R$2:$R$701,0))),""))</f>
        <v/>
      </c>
      <c r="Z23" s="25">
        <f>IF($A23="","",IF(COUNTIFS(counts!$C$2:$C$701,$A23,counts!$D$2:$D$701,$B23,counts!$E$2:$E$701,"placed")=0,"",SUMIFS(counts!$F$2:$F$701,counts!$C$2:$C$701,$A23,counts!$D$2:$D$701,$B23,counts!$E$2:$E$701,"placed")))</f>
        <v/>
      </c>
      <c r="AA23" s="25">
        <f>IF($A23="","",IF($Y23="",0,N($Z23)))</f>
        <v/>
      </c>
      <c r="AB23" s="25">
        <f>IF($A23="","",IF(OR($Y23="",$I23=""),"N",IF($Y23&lt;=WORKDAY(N($I23),1,calendar!$A$2:$A$80),"Y","N")))</f>
        <v/>
      </c>
      <c r="AC23" s="28">
        <f>IF(OR($A23="",$V23="",$Y23=""),"",ROUND(($Y23+N(IFERROR(IF(INDEX(photos!$F$2:$F$701,MATCH($A23&amp;"|"&amp;$B23&amp;"|placement|Y",photos!$R$2:$R$701,0))="","",INDEX(photos!$F$2:$F$701,MATCH($A23&amp;"|"&amp;$B23&amp;"|placement|Y",photos!$R$2:$R$701,0))),""))-$V23)*24,1))</f>
        <v/>
      </c>
      <c r="AD23" s="25">
        <f>IF($A23="","",SUMIFS(inventory!$G$2:$G$801,inventory!$C$2:$C$801,$A23,inventory!$D$2:$D$801,$B23,inventory!$E$2:$E$801,"topped_up"))</f>
        <v/>
      </c>
      <c r="AE23" s="25">
        <f>IF($A23="","",IF(COUNTIFS(counts!$C$2:$C$701,$A23,counts!$D$2:$D$701,$B23,counts!$E$2:$E$701,"remaining_day3")=0,"",SUMIFS(counts!$F$2:$F$701,counts!$C$2:$C$701,$A23,counts!$D$2:$D$701,$B23,counts!$E$2:$E$701,"remaining_day3")))</f>
        <v/>
      </c>
      <c r="AF23" s="25">
        <f>IF($A23="","",IF(COUNTIFS(counts!$C$2:$C$701,$A23,counts!$D$2:$D$701,$B23,counts!$E$2:$E$701,"remaining_day5")=0,"",SUMIFS(counts!$F$2:$F$701,counts!$C$2:$C$701,$A23,counts!$D$2:$D$701,$B23,counts!$E$2:$E$701,"remaining_day5")))</f>
        <v/>
      </c>
      <c r="AG23" s="25">
        <f>IF(OR($A23="",$AF23=""),"",MAX(0,$AA23+$AD23-$AF23))</f>
        <v/>
      </c>
      <c r="AH23" s="25">
        <f>IF(OR($A23="",$AI23=""),"",IFERROR(IF(INDEX(photos!$H$2:$H$701,MATCH($A23&amp;"|"&amp;$B23&amp;"|later|Y|"&amp;$AI23,photos!$S$2:$S$701,0))="","",INDEX(photos!$H$2:$H$701,MATCH($A23&amp;"|"&amp;$B23&amp;"|later|Y|"&amp;$AI23,photos!$S$2:$S$701,0))),""))</f>
        <v/>
      </c>
      <c r="AI23" s="26">
        <f>IF($A23="","",IFERROR(1/(1/SUMPRODUCT(MAX((photos!$B$2:$B$701=$A23)*(photos!$C$2:$C$701=$B23)*(photos!$D$2:$D$701="later")*(photos!$O$2:$O$701="Y")*photos!$E$2:$E$701))),""))</f>
        <v/>
      </c>
      <c r="AJ23" s="25">
        <f>IF(OR($A23="",$AI23="",$I23=""),"",NETWORKDAYS($I23,$AI23,calendar!$A$2:$A$80))</f>
        <v/>
      </c>
      <c r="AK23" s="25">
        <f>IF($A23="","",IF(AND($X23&lt;&gt;"",$AH23&lt;&gt;""),"Y","N"))</f>
        <v/>
      </c>
      <c r="AL23" s="25">
        <f>IF(OR($A23="",$I23=""),"",IF($BC23="Y",SUMIFS(survey_frozen!$C$2:$C$251,survey_frozen!$P$2:$P$251,$A23&amp;"|"&amp;$B23),IFERROR(COUNTIFS(INDIRECT("'"&amp;$A23&amp;"'!$B$2:$B$501"),$T23,INDIRECT("'"&amp;$A23&amp;"'!$A$2:$A$501"),"&gt;="&amp;$I23,INDIRECT("'"&amp;$A23&amp;"'!$A$2:$A$501"),"&lt;"&amp;($BA23+1)),0)))</f>
        <v/>
      </c>
      <c r="AM23" s="25">
        <f>IF(OR($A23="",$I23=""),"",IF($BC23="Y",SUMIFS(survey_frozen!$D$2:$D$251,survey_frozen!$P$2:$P$251,$A23&amp;"|"&amp;$B23),IFERROR(COUNTIFS(INDIRECT("'"&amp;$A23&amp;"'!$B$2:$B$501"),$T23,INDIRECT("'"&amp;$A23&amp;"'!$A$2:$A$501"),"&gt;="&amp;$I23,INDIRECT("'"&amp;$A23&amp;"'!$A$2:$A$501"),"&lt;"&amp;($BA23+1),INDIRECT("'"&amp;$A23&amp;"'!$C$2:$C$501"),"Yes"),0)))</f>
        <v/>
      </c>
      <c r="AN23" s="25">
        <f>IF($A23="","",IF(COUNTIFS(scans!$C$2:$C$1601,(IF(LEFT($A23,7)="SAMPLE-","SAMPLE-","")&amp;LOWER(SUBSTITUTE(SUBSTITUTE($A23,"SAMPLE-",""),"CMP-","c"))&amp;"-"&amp;LOWER(SUBSTITUTE(SUBSTITUTE($B23,"SAMPLE-",""),"O-","o"))&amp;"-q"),scans!$D$2:$D$1601,"close")=0,"",SUMPRODUCT(MAX((scans!$C$2:$C$1601=(IF(LEFT($A23,7)="SAMPLE-","SAMPLE-","")&amp;LOWER(SUBSTITUTE(SUBSTITUTE($A23,"SAMPLE-",""),"CMP-","c"))&amp;"-"&amp;LOWER(SUBSTITUTE(SUBSTITUTE($B23,"SAMPLE-",""),"O-","o"))&amp;"-q"))*(scans!$D$2:$D$1601="close")*scans!$E$2:$E$1601))-SUMPRODUCT(MAX((scans!$C$2:$C$1601=(IF(LEFT($A23,7)="SAMPLE-","SAMPLE-","")&amp;LOWER(SUBSTITUTE(SUBSTITUTE($A23,"SAMPLE-",""),"CMP-","c"))&amp;"-"&amp;LOWER(SUBSTITUTE(SUBSTITUTE($B23,"SAMPLE-",""),"O-","o"))&amp;"-q"))*(scans!$D$2:$D$1601="baseline")*scans!$E$2:$E$1601))))</f>
        <v/>
      </c>
      <c r="AO23" s="25">
        <f>IF($A23="","",IF(COUNTIFS(scans!$C$2:$C$1601,(IF(LEFT($A23,7)="SAMPLE-","SAMPLE-","")&amp;LOWER(SUBSTITUTE(SUBSTITUTE($A23,"SAMPLE-",""),"CMP-","c"))&amp;"-"&amp;LOWER(SUBSTITUTE(SUBSTITUTE($B23,"SAMPLE-",""),"O-","o"))&amp;"-p"),scans!$D$2:$D$1601,"close")=0,"",SUMPRODUCT(MAX((scans!$C$2:$C$1601=(IF(LEFT($A23,7)="SAMPLE-","SAMPLE-","")&amp;LOWER(SUBSTITUTE(SUBSTITUTE($A23,"SAMPLE-",""),"CMP-","c"))&amp;"-"&amp;LOWER(SUBSTITUTE(SUBSTITUTE($B23,"SAMPLE-",""),"O-","o"))&amp;"-p"))*(scans!$D$2:$D$1601="close")*scans!$E$2:$E$1601))-SUMPRODUCT(MAX((scans!$C$2:$C$1601=(IF(LEFT($A23,7)="SAMPLE-","SAMPLE-","")&amp;LOWER(SUBSTITUTE(SUBSTITUTE($A23,"SAMPLE-",""),"CMP-","c"))&amp;"-"&amp;LOWER(SUBSTITUTE(SUBSTITUTE($B23,"SAMPLE-",""),"O-","o"))&amp;"-p"))*(scans!$D$2:$D$1601="baseline")*scans!$E$2:$E$1601))))</f>
        <v/>
      </c>
      <c r="AP23" s="25">
        <f>IF($A23="","",IF(COUNTIF(offices!$A$2:$A$61,$B23)=0,"office_id not on offices; ","")&amp;IF(COUNTIF(campaigns!$A$2:$A$51,$A23)=0,"campaign_id not on campaigns; ","")&amp;IF($P23="pending","approval pending; ","")&amp;IF(AND($U23&gt;0,$Y23="",OR($I23="",IF(config!$B$37&lt;&gt;"",config!$B$37,TODAY())&lt;=WORKDAY(N($I23),4,calendar!$A$2:$A$80))),"no usable placement photo yet; ","")&amp;IF(AND($Y23&lt;&gt;"",$Z23=""),"log the placed count; ","")&amp;IF(N($AA23)&gt;N($U23),"placed more than delivered; ","")&amp;IF(AND($AF23&lt;&gt;"",N($AF23)&gt;N($AA23)+N($AD23)),"day-5 count above placed plus top-ups; ","")&amp;IF(AND($U23&gt;0,$I23&lt;&gt;"",IF(config!$B$37&lt;&gt;"",config!$B$37,TODAY())&gt;WORKDAY(N($I23),4,calendar!$A$2:$A$80),$AF23=""),"day-5 count missing; ","")&amp;IF(AND($U23&gt;0,$I23&lt;&gt;"",IF(config!$B$37&lt;&gt;"",config!$B$37,TODAY())&gt;WORKDAY(N($I23),4,calendar!$A$2:$A$80),$AN23=""),"no close link reading; ","")&amp;$R23&amp;IF($P23="N","info: office said no; ","")&amp;IF(AND($P23="Y",$Q23="N"),"info: turned away at the door, so not on the drop (no letter, not in the report or Gate 2; the credit check is on campaigns); ","")&amp;IF(AND($U23&gt;0,$Y23="",$I23&lt;&gt;"",IF(config!$B$37&lt;&gt;"",config!$B$37,TODAY())&gt;WORKDAY(N($I23),4,calendar!$A$2:$A$80)),"info: no usable placement photo, so nothing counts as placed; ","")&amp;IF(AND($U23&gt;0,$I23&lt;&gt;"",IF(config!$B$37&lt;&gt;"",config!$B$37,TODAY())&gt;WORKDAY(N($I23),4,calendar!$A$2:$A$80),N($AL23)&lt;config!$B$30),"info: under "&amp;config!$B$30&amp;" responses; ","")&amp;IF($W23="packing_list","info: delivered count not verified; ",""))</f>
        <v/>
      </c>
      <c r="AQ23" s="25">
        <f>IF(OR($A23="",$I23=""),"",IF($BC23="Y",SUMIFS(survey_frozen!$E$2:$E$251,survey_frozen!$P$2:$P$251,$A23&amp;"|"&amp;$B23),IFERROR(COUNTIFS(INDIRECT("'"&amp;$A23&amp;"'!$B$2:$B$501"),$T23,INDIRECT("'"&amp;$A23&amp;"'!$A$2:$A$501"),"&gt;="&amp;$I23,INDIRECT("'"&amp;$A23&amp;"'!$A$2:$A$501"),"&lt;"&amp;($BA23+1),INDIRECT("'"&amp;$A23&amp;"'!$F$2:$F$501"),"Didn't see it"),0)))</f>
        <v/>
      </c>
      <c r="AR23" s="25">
        <f>IF(OR($A23="",$I23=""),"",IF($BC23="Y",SUMIFS(survey_frozen!$F$2:$F$251,survey_frozen!$P$2:$P$251,$A23&amp;"|"&amp;$B23),IFERROR(COUNTIFS(INDIRECT("'"&amp;$A23&amp;"'!$B$2:$B$501"),$T23,INDIRECT("'"&amp;$A23&amp;"'!$A$2:$A$501"),"&gt;="&amp;$I23,INDIRECT("'"&amp;$A23&amp;"'!$A$2:$A$501"),"&lt;"&amp;($BA23+1),INDIRECT("'"&amp;$A23&amp;"'!$F$2:$F$501"),"Not for me"),0)))</f>
        <v/>
      </c>
      <c r="AS23" s="25">
        <f>IF(OR($A23="",$I23=""),"",IF($BC23="Y",SUMIFS(survey_frozen!$G$2:$G$251,survey_frozen!$P$2:$P$251,$A23&amp;"|"&amp;$B23),IFERROR(COUNTIFS(INDIRECT("'"&amp;$A23&amp;"'!$B$2:$B$501"),$T23,INDIRECT("'"&amp;$A23&amp;"'!$A$2:$A$501"),"&gt;="&amp;$I23,INDIRECT("'"&amp;$A23&amp;"'!$A$2:$A$501"),"&lt;"&amp;($BA23+1),INDIRECT("'"&amp;$A23&amp;"'!$F$2:$F$501"),"Gone by the time I looked"),0)))</f>
        <v/>
      </c>
      <c r="AT23" s="25">
        <f>IF(OR($A23="",$I23=""),"",IF($BC23="Y",SUMIFS(survey_frozen!$H$2:$H$251,survey_frozen!$P$2:$P$251,$A23&amp;"|"&amp;$B23),IFERROR(COUNTIFS(INDIRECT("'"&amp;$A23&amp;"'!$B$2:$B$501"),$T23,INDIRECT("'"&amp;$A23&amp;"'!$A$2:$A$501"),"&gt;="&amp;$I23,INDIRECT("'"&amp;$A23&amp;"'!$A$2:$A$501"),"&lt;"&amp;($BA23+1),INDIRECT("'"&amp;$A23&amp;"'!$D$2:$D$501"),"&gt;=1"),0)))</f>
        <v/>
      </c>
      <c r="AU23" s="25">
        <f>IF(OR($A23="",$I23=""),"",IF($BC23="Y",SUMIFS(survey_frozen!$I$2:$I$251,survey_frozen!$P$2:$P$251,$A23&amp;"|"&amp;$B23),IFERROR(SUMIFS(INDIRECT("'"&amp;$A23&amp;"'!$D$2:$D$501"),INDIRECT("'"&amp;$A23&amp;"'!$B$2:$B$501"),$T23,INDIRECT("'"&amp;$A23&amp;"'!$A$2:$A$501"),"&gt;="&amp;$I23,INDIRECT("'"&amp;$A23&amp;"'!$A$2:$A$501"),"&lt;"&amp;($BA23+1)),0)))</f>
        <v/>
      </c>
      <c r="AV23" s="25">
        <f>IF(OR($A23="",$I23=""),"",IF($BC23="Y",SUMIFS(survey_frozen!$J$2:$J$251,survey_frozen!$P$2:$P$251,$A23&amp;"|"&amp;$B23),IFERROR(COUNTIFS(INDIRECT("'"&amp;$A23&amp;"'!$B$2:$B$501"),$T23,INDIRECT("'"&amp;$A23&amp;"'!$A$2:$A$501"),"&gt;="&amp;$I23,INDIRECT("'"&amp;$A23&amp;"'!$A$2:$A$501"),"&lt;"&amp;($BA23+1),INDIRECT("'"&amp;$A23&amp;"'!$E$2:$E$501"),"Yes"),0)))</f>
        <v/>
      </c>
      <c r="AW23" s="25">
        <f>IF(OR($A23="",$I23=""),"",IF($BC23="Y",SUMIFS(survey_frozen!$K$2:$K$251,survey_frozen!$P$2:$P$251,$A23&amp;"|"&amp;$B23),IFERROR(COUNTIFS(INDIRECT("'"&amp;$A23&amp;"'!$B$2:$B$501"),$T23,INDIRECT("'"&amp;$A23&amp;"'!$A$2:$A$501"),"&gt;="&amp;$I23,INDIRECT("'"&amp;$A23&amp;"'!$A$2:$A$501"),"&lt;"&amp;($BA23+1),INDIRECT("'"&amp;$A23&amp;"'!$E$2:$E$501"),"Maybe"),0)))</f>
        <v/>
      </c>
      <c r="AX23" s="25">
        <f>IF(OR($A23="",$I23=""),"",IF($BC23="Y",SUMIFS(survey_frozen!$L$2:$L$251,survey_frozen!$P$2:$P$251,$A23&amp;"|"&amp;$B23),IFERROR(COUNTIFS(INDIRECT("'"&amp;$A23&amp;"'!$B$2:$B$501"),$T23,INDIRECT("'"&amp;$A23&amp;"'!$A$2:$A$501"),"&gt;="&amp;$I23,INDIRECT("'"&amp;$A23&amp;"'!$A$2:$A$501"),"&lt;"&amp;($BA23+1),INDIRECT("'"&amp;$A23&amp;"'!$E$2:$E$501"),"No"),0)))</f>
        <v/>
      </c>
      <c r="AY23" s="25">
        <f>IF(OR($A23="",$I23=""),"",IF($BC23="Y",SUMIFS(survey_frozen!$M$2:$M$251,survey_frozen!$P$2:$P$251,$A23&amp;"|"&amp;$B23),IFERROR(COUNTIFS(INDIRECT("'"&amp;$A23&amp;"'!$B$2:$B$501"),$T23,INDIRECT("'"&amp;$A23&amp;"'!$A$2:$A$501"),"&gt;="&amp;$I23,INDIRECT("'"&amp;$A23&amp;"'!$A$2:$A$501"),"&lt;"&amp;($BA23+1),INDIRECT("'"&amp;$A23&amp;"'!$G$2:$G$501"),"&lt;&gt;"),0)))</f>
        <v/>
      </c>
      <c r="AZ23" s="25">
        <f>IF($A23="","",$A23&amp;"|"&amp;$L23)</f>
        <v/>
      </c>
      <c r="BA23" s="26">
        <f>IF($A23="","",IFERROR(IF(INDEX(drops!$R$2:$R$21,MATCH($H23,drops!$A$2:$A$21,0))="","",INDEX(drops!$R$2:$R$21,MATCH($H23,drops!$A$2:$A$21,0))),""))</f>
        <v/>
      </c>
      <c r="BB23" s="25">
        <f>IF(OR($A23="",$Q23&lt;&gt;"Y"),1000000,N($AL23))</f>
        <v/>
      </c>
      <c r="BC23" s="25">
        <f>IF($A23="","",IF(COUNTIF(survey_frozen!$P$2:$P$251,$A23&amp;"|"&amp;$B23)&gt;0,"Y",""))</f>
        <v/>
      </c>
    </row>
    <row r="24">
      <c r="A24" t="inlineStr">
        <is>
          <t>SAMPLE-CMP-004</t>
        </is>
      </c>
      <c r="B24" t="inlineStr">
        <is>
          <t>SAMPLE-O-003</t>
        </is>
      </c>
      <c r="C24" s="9" t="n">
        <v>46393</v>
      </c>
      <c r="D24" t="inlineStr">
        <is>
          <t>yes</t>
        </is>
      </c>
      <c r="E24" s="9" t="n">
        <v>46396</v>
      </c>
      <c r="F24" t="inlineStr">
        <is>
          <t>SAMPLE replied by email</t>
        </is>
      </c>
      <c r="H24" s="25">
        <f>IF($A24="","",IFERROR(IF(INDEX(campaigns!$B$2:$B$51,MATCH($A24,campaigns!$A$2:$A$51,0))="","",INDEX(campaigns!$B$2:$B$51,MATCH($A24,campaigns!$A$2:$A$51,0))),""))</f>
        <v/>
      </c>
      <c r="I24" s="26">
        <f>IF($A24="","",IFERROR(IF(INDEX(campaigns!$BG$2:$BG$51,MATCH($A24,campaigns!$A$2:$A$51,0))="","",INDEX(campaigns!$BG$2:$BG$51,MATCH($A24,campaigns!$A$2:$A$51,0))),""))</f>
        <v/>
      </c>
      <c r="J24" s="25">
        <f>IF($A24="","",IFERROR(IF(INDEX(campaigns!$BE$2:$BE$51,MATCH($A24,campaigns!$A$2:$A$51,0))="","",INDEX(campaigns!$BE$2:$BE$51,MATCH($A24,campaigns!$A$2:$A$51,0))),""))</f>
        <v/>
      </c>
      <c r="K24" s="25">
        <f>IF($B24="","",IFERROR(IF(INDEX(offices!$N$2:$N$61,MATCH($B24,offices!$A$2:$A$61,0))="","",INDEX(offices!$N$2:$N$61,MATCH($B24,offices!$A$2:$A$61,0))),""))</f>
        <v/>
      </c>
      <c r="L24" s="25">
        <f>IF($A24="","",IF($Q24="N","",COUNTIFS($A$2:$A24,$A24,$Q$2:$Q24,"&lt;&gt;N")))</f>
        <v/>
      </c>
      <c r="M24" s="25">
        <f>IF(OR($A24="",$L24=""),"",IF(AND(config!$B$34="names_if_public",IFERROR(IF(INDEX(offices!$AF$2:$AF$61,MATCH($B24,offices!$A$2:$A$61,0))="","",INDEX(offices!$AF$2:$AF$61,MATCH($B24,offices!$A$2:$A$61,0))),"")="Y"),$K24,CHAR(64+$L24)))</f>
        <v/>
      </c>
      <c r="N24" s="25">
        <f>IF(OR($A24="",$I24=""),"",COUNTIFS(stops!$B$2:$B$151,$B24,stops!$P$2:$P$151,"&lt;"&amp;$I24,stops!$L$2:$L$151,"&lt;&gt;not_delivered")+1)</f>
        <v/>
      </c>
      <c r="O24" s="25">
        <f>IF($A24="","",IF(N($N24)&lt;=config!$B$29,"explicit","opt-out"))</f>
        <v/>
      </c>
      <c r="P24" s="25">
        <f>IF($A24="","",IF($O24="explicit",IF($D24="yes","Y",IF($D24="no","N","pending")),IF($D24="no","N",IF(AND($C24&lt;&gt;"",$I24&lt;&gt;"",$C24&lt;=WORKDAY(N($I24),-5,calendar!$A$2:$A$80)),"Y","pending"))))</f>
        <v/>
      </c>
      <c r="Q24" s="25">
        <f>IF($A24="","",IF($P24="N","N",IF($P24&lt;&gt;"Y","pending",IF(AND((COUNTIFS(stops!$A$2:$A$151,$H24,stops!$B$2:$B$151,$B24,stops!$L$2:$L$151,"declined")+COUNTIFS(stops!$A$2:$A$151,$H24,stops!$B$2:$B$151,$B24,stops!$L$2:$L$151,"building_refused")+COUNTIFS(stops!$A$2:$A$151,$H24,stops!$B$2:$B$151,$B24,stops!$L$2:$L$151,"not_delivered"))&gt;0,N($U24)=0),"N","Y"))))</f>
        <v/>
      </c>
      <c r="R24" s="25">
        <f>IF($A24="","",IF(COUNTIFS($A$2:$A$251,$A24,$B$2:$B$251,$B24)&gt;1,"DUPLICATE ROW; ","")&amp;IF(AND(IFERROR(IF(INDEX(offices!$AC$2:$AC$61,MATCH($B24,offices!$A$2:$A$61,0))="","",INDEX(offices!$AC$2:$AC$61,MATCH($B24,offices!$A$2:$A$61,0))),"")&lt;&gt;"",ISNUMBER(SEARCH($J24,IFERROR(IF(INDEX(offices!$AC$2:$AC$61,MATCH($B24,offices!$A$2:$A$61,0))="","",INDEX(offices!$AC$2:$AC$61,MATCH($B24,offices!$A$2:$A$61,0))),"")))),"BRAND VETOED; ","")&amp;IF(ISNUMBER(SEARCH(IFERROR(IF(INDEX(campaigns!$BF$2:$BF$51,MATCH($A24,campaigns!$A$2:$A$51,0))="","",INDEX(campaigns!$BF$2:$BF$51,MATCH($A24,campaigns!$A$2:$A$51,0))),""),IFERROR(IF(INDEX(offices!$AB$2:$AB$61,MATCH($B24,offices!$A$2:$A$61,0))="","",INDEX(offices!$AB$2:$AB$61,MATCH($B24,offices!$A$2:$A$61,0))),""))),"","info: category not on the office's list; ")&amp;IF(IFERROR(IF(INDEX(offices!$AC$2:$AC$61,MATCH($B24,offices!$A$2:$A$61,0))="","",INDEX(offices!$AC$2:$AC$61,MATCH($B24,offices!$A$2:$A$61,0))),"")&lt;&gt;"","info: read the vetoes against the label; ",""))</f>
        <v/>
      </c>
      <c r="S24" s="25">
        <f>IF($A24="","",IF($G24&lt;&gt;"",$G24,IFERROR(IF(INDEX(offices!$AL$2:$AL$61,MATCH($B24,offices!$A$2:$A$61,0))="","",INDEX(offices!$AL$2:$AL$61,MATCH($B24,offices!$A$2:$A$61,0))),"")))</f>
        <v/>
      </c>
      <c r="T24" s="25">
        <f>IF($A24="","",$A24&amp;"."&amp;$B24)</f>
        <v/>
      </c>
      <c r="U24" s="25">
        <f>IF($A24="","",SUMIFS(inventory!$G$2:$G$801,inventory!$C$2:$C$801,$A24,inventory!$D$2:$D$801,$B24,inventory!$E$2:$E$801,"delivered"))</f>
        <v/>
      </c>
      <c r="V24" s="32">
        <f>IF($A24="","",IFERROR(1/(1/SUMPRODUCT(MAX((inventory!$C$2:$C$801=$A24)*(inventory!$D$2:$D$801=$B24)*(inventory!$E$2:$E$801="delivered")*(inventory!$A$2:$A$801+inventory!$B$2:$B$801)))),""))</f>
        <v/>
      </c>
      <c r="W24" s="25">
        <f>IF($A24="","",IFERROR(IF(INDEX(inventory!$J$2:$J$801,MATCH($A24&amp;"|"&amp;$B24&amp;"|delivered",inventory!$R$2:$R$801,0))="","",INDEX(inventory!$J$2:$J$801,MATCH($A24&amp;"|"&amp;$B24&amp;"|delivered",inventory!$R$2:$R$801,0))),""))</f>
        <v/>
      </c>
      <c r="X24" s="25">
        <f>IF($A24="","",IFERROR(IF(INDEX(photos!$H$2:$H$701,MATCH($A24&amp;"|"&amp;$B24&amp;"|placement|Y",photos!$R$2:$R$701,0))="","",INDEX(photos!$H$2:$H$701,MATCH($A24&amp;"|"&amp;$B24&amp;"|placement|Y",photos!$R$2:$R$701,0))),""))</f>
        <v/>
      </c>
      <c r="Y24" s="26">
        <f>IF($A24="","",IFERROR(IF(INDEX(photos!$E$2:$E$701,MATCH($A24&amp;"|"&amp;$B24&amp;"|placement|Y",photos!$R$2:$R$701,0))="","",INDEX(photos!$E$2:$E$701,MATCH($A24&amp;"|"&amp;$B24&amp;"|placement|Y",photos!$R$2:$R$701,0))),""))</f>
        <v/>
      </c>
      <c r="Z24" s="25">
        <f>IF($A24="","",IF(COUNTIFS(counts!$C$2:$C$701,$A24,counts!$D$2:$D$701,$B24,counts!$E$2:$E$701,"placed")=0,"",SUMIFS(counts!$F$2:$F$701,counts!$C$2:$C$701,$A24,counts!$D$2:$D$701,$B24,counts!$E$2:$E$701,"placed")))</f>
        <v/>
      </c>
      <c r="AA24" s="25">
        <f>IF($A24="","",IF($Y24="",0,N($Z24)))</f>
        <v/>
      </c>
      <c r="AB24" s="25">
        <f>IF($A24="","",IF(OR($Y24="",$I24=""),"N",IF($Y24&lt;=WORKDAY(N($I24),1,calendar!$A$2:$A$80),"Y","N")))</f>
        <v/>
      </c>
      <c r="AC24" s="28">
        <f>IF(OR($A24="",$V24="",$Y24=""),"",ROUND(($Y24+N(IFERROR(IF(INDEX(photos!$F$2:$F$701,MATCH($A24&amp;"|"&amp;$B24&amp;"|placement|Y",photos!$R$2:$R$701,0))="","",INDEX(photos!$F$2:$F$701,MATCH($A24&amp;"|"&amp;$B24&amp;"|placement|Y",photos!$R$2:$R$701,0))),""))-$V24)*24,1))</f>
        <v/>
      </c>
      <c r="AD24" s="25">
        <f>IF($A24="","",SUMIFS(inventory!$G$2:$G$801,inventory!$C$2:$C$801,$A24,inventory!$D$2:$D$801,$B24,inventory!$E$2:$E$801,"topped_up"))</f>
        <v/>
      </c>
      <c r="AE24" s="25">
        <f>IF($A24="","",IF(COUNTIFS(counts!$C$2:$C$701,$A24,counts!$D$2:$D$701,$B24,counts!$E$2:$E$701,"remaining_day3")=0,"",SUMIFS(counts!$F$2:$F$701,counts!$C$2:$C$701,$A24,counts!$D$2:$D$701,$B24,counts!$E$2:$E$701,"remaining_day3")))</f>
        <v/>
      </c>
      <c r="AF24" s="25">
        <f>IF($A24="","",IF(COUNTIFS(counts!$C$2:$C$701,$A24,counts!$D$2:$D$701,$B24,counts!$E$2:$E$701,"remaining_day5")=0,"",SUMIFS(counts!$F$2:$F$701,counts!$C$2:$C$701,$A24,counts!$D$2:$D$701,$B24,counts!$E$2:$E$701,"remaining_day5")))</f>
        <v/>
      </c>
      <c r="AG24" s="25">
        <f>IF(OR($A24="",$AF24=""),"",MAX(0,$AA24+$AD24-$AF24))</f>
        <v/>
      </c>
      <c r="AH24" s="25">
        <f>IF(OR($A24="",$AI24=""),"",IFERROR(IF(INDEX(photos!$H$2:$H$701,MATCH($A24&amp;"|"&amp;$B24&amp;"|later|Y|"&amp;$AI24,photos!$S$2:$S$701,0))="","",INDEX(photos!$H$2:$H$701,MATCH($A24&amp;"|"&amp;$B24&amp;"|later|Y|"&amp;$AI24,photos!$S$2:$S$701,0))),""))</f>
        <v/>
      </c>
      <c r="AI24" s="26">
        <f>IF($A24="","",IFERROR(1/(1/SUMPRODUCT(MAX((photos!$B$2:$B$701=$A24)*(photos!$C$2:$C$701=$B24)*(photos!$D$2:$D$701="later")*(photos!$O$2:$O$701="Y")*photos!$E$2:$E$701))),""))</f>
        <v/>
      </c>
      <c r="AJ24" s="25">
        <f>IF(OR($A24="",$AI24="",$I24=""),"",NETWORKDAYS($I24,$AI24,calendar!$A$2:$A$80))</f>
        <v/>
      </c>
      <c r="AK24" s="25">
        <f>IF($A24="","",IF(AND($X24&lt;&gt;"",$AH24&lt;&gt;""),"Y","N"))</f>
        <v/>
      </c>
      <c r="AL24" s="25">
        <f>IF(OR($A24="",$I24=""),"",IF($BC24="Y",SUMIFS(survey_frozen!$C$2:$C$251,survey_frozen!$P$2:$P$251,$A24&amp;"|"&amp;$B24),IFERROR(COUNTIFS(INDIRECT("'"&amp;$A24&amp;"'!$B$2:$B$501"),$T24,INDIRECT("'"&amp;$A24&amp;"'!$A$2:$A$501"),"&gt;="&amp;$I24,INDIRECT("'"&amp;$A24&amp;"'!$A$2:$A$501"),"&lt;"&amp;($BA24+1)),0)))</f>
        <v/>
      </c>
      <c r="AM24" s="25">
        <f>IF(OR($A24="",$I24=""),"",IF($BC24="Y",SUMIFS(survey_frozen!$D$2:$D$251,survey_frozen!$P$2:$P$251,$A24&amp;"|"&amp;$B24),IFERROR(COUNTIFS(INDIRECT("'"&amp;$A24&amp;"'!$B$2:$B$501"),$T24,INDIRECT("'"&amp;$A24&amp;"'!$A$2:$A$501"),"&gt;="&amp;$I24,INDIRECT("'"&amp;$A24&amp;"'!$A$2:$A$501"),"&lt;"&amp;($BA24+1),INDIRECT("'"&amp;$A24&amp;"'!$C$2:$C$501"),"Yes"),0)))</f>
        <v/>
      </c>
      <c r="AN24" s="25">
        <f>IF($A24="","",IF(COUNTIFS(scans!$C$2:$C$1601,(IF(LEFT($A24,7)="SAMPLE-","SAMPLE-","")&amp;LOWER(SUBSTITUTE(SUBSTITUTE($A24,"SAMPLE-",""),"CMP-","c"))&amp;"-"&amp;LOWER(SUBSTITUTE(SUBSTITUTE($B24,"SAMPLE-",""),"O-","o"))&amp;"-q"),scans!$D$2:$D$1601,"close")=0,"",SUMPRODUCT(MAX((scans!$C$2:$C$1601=(IF(LEFT($A24,7)="SAMPLE-","SAMPLE-","")&amp;LOWER(SUBSTITUTE(SUBSTITUTE($A24,"SAMPLE-",""),"CMP-","c"))&amp;"-"&amp;LOWER(SUBSTITUTE(SUBSTITUTE($B24,"SAMPLE-",""),"O-","o"))&amp;"-q"))*(scans!$D$2:$D$1601="close")*scans!$E$2:$E$1601))-SUMPRODUCT(MAX((scans!$C$2:$C$1601=(IF(LEFT($A24,7)="SAMPLE-","SAMPLE-","")&amp;LOWER(SUBSTITUTE(SUBSTITUTE($A24,"SAMPLE-",""),"CMP-","c"))&amp;"-"&amp;LOWER(SUBSTITUTE(SUBSTITUTE($B24,"SAMPLE-",""),"O-","o"))&amp;"-q"))*(scans!$D$2:$D$1601="baseline")*scans!$E$2:$E$1601))))</f>
        <v/>
      </c>
      <c r="AO24" s="25">
        <f>IF($A24="","",IF(COUNTIFS(scans!$C$2:$C$1601,(IF(LEFT($A24,7)="SAMPLE-","SAMPLE-","")&amp;LOWER(SUBSTITUTE(SUBSTITUTE($A24,"SAMPLE-",""),"CMP-","c"))&amp;"-"&amp;LOWER(SUBSTITUTE(SUBSTITUTE($B24,"SAMPLE-",""),"O-","o"))&amp;"-p"),scans!$D$2:$D$1601,"close")=0,"",SUMPRODUCT(MAX((scans!$C$2:$C$1601=(IF(LEFT($A24,7)="SAMPLE-","SAMPLE-","")&amp;LOWER(SUBSTITUTE(SUBSTITUTE($A24,"SAMPLE-",""),"CMP-","c"))&amp;"-"&amp;LOWER(SUBSTITUTE(SUBSTITUTE($B24,"SAMPLE-",""),"O-","o"))&amp;"-p"))*(scans!$D$2:$D$1601="close")*scans!$E$2:$E$1601))-SUMPRODUCT(MAX((scans!$C$2:$C$1601=(IF(LEFT($A24,7)="SAMPLE-","SAMPLE-","")&amp;LOWER(SUBSTITUTE(SUBSTITUTE($A24,"SAMPLE-",""),"CMP-","c"))&amp;"-"&amp;LOWER(SUBSTITUTE(SUBSTITUTE($B24,"SAMPLE-",""),"O-","o"))&amp;"-p"))*(scans!$D$2:$D$1601="baseline")*scans!$E$2:$E$1601))))</f>
        <v/>
      </c>
      <c r="AP24" s="25">
        <f>IF($A24="","",IF(COUNTIF(offices!$A$2:$A$61,$B24)=0,"office_id not on offices; ","")&amp;IF(COUNTIF(campaigns!$A$2:$A$51,$A24)=0,"campaign_id not on campaigns; ","")&amp;IF($P24="pending","approval pending; ","")&amp;IF(AND($U24&gt;0,$Y24="",OR($I24="",IF(config!$B$37&lt;&gt;"",config!$B$37,TODAY())&lt;=WORKDAY(N($I24),4,calendar!$A$2:$A$80))),"no usable placement photo yet; ","")&amp;IF(AND($Y24&lt;&gt;"",$Z24=""),"log the placed count; ","")&amp;IF(N($AA24)&gt;N($U24),"placed more than delivered; ","")&amp;IF(AND($AF24&lt;&gt;"",N($AF24)&gt;N($AA24)+N($AD24)),"day-5 count above placed plus top-ups; ","")&amp;IF(AND($U24&gt;0,$I24&lt;&gt;"",IF(config!$B$37&lt;&gt;"",config!$B$37,TODAY())&gt;WORKDAY(N($I24),4,calendar!$A$2:$A$80),$AF24=""),"day-5 count missing; ","")&amp;IF(AND($U24&gt;0,$I24&lt;&gt;"",IF(config!$B$37&lt;&gt;"",config!$B$37,TODAY())&gt;WORKDAY(N($I24),4,calendar!$A$2:$A$80),$AN24=""),"no close link reading; ","")&amp;$R24&amp;IF($P24="N","info: office said no; ","")&amp;IF(AND($P24="Y",$Q24="N"),"info: turned away at the door, so not on the drop (no letter, not in the report or Gate 2; the credit check is on campaigns); ","")&amp;IF(AND($U24&gt;0,$Y24="",$I24&lt;&gt;"",IF(config!$B$37&lt;&gt;"",config!$B$37,TODAY())&gt;WORKDAY(N($I24),4,calendar!$A$2:$A$80)),"info: no usable placement photo, so nothing counts as placed; ","")&amp;IF(AND($U24&gt;0,$I24&lt;&gt;"",IF(config!$B$37&lt;&gt;"",config!$B$37,TODAY())&gt;WORKDAY(N($I24),4,calendar!$A$2:$A$80),N($AL24)&lt;config!$B$30),"info: under "&amp;config!$B$30&amp;" responses; ","")&amp;IF($W24="packing_list","info: delivered count not verified; ",""))</f>
        <v/>
      </c>
      <c r="AQ24" s="25">
        <f>IF(OR($A24="",$I24=""),"",IF($BC24="Y",SUMIFS(survey_frozen!$E$2:$E$251,survey_frozen!$P$2:$P$251,$A24&amp;"|"&amp;$B24),IFERROR(COUNTIFS(INDIRECT("'"&amp;$A24&amp;"'!$B$2:$B$501"),$T24,INDIRECT("'"&amp;$A24&amp;"'!$A$2:$A$501"),"&gt;="&amp;$I24,INDIRECT("'"&amp;$A24&amp;"'!$A$2:$A$501"),"&lt;"&amp;($BA24+1),INDIRECT("'"&amp;$A24&amp;"'!$F$2:$F$501"),"Didn't see it"),0)))</f>
        <v/>
      </c>
      <c r="AR24" s="25">
        <f>IF(OR($A24="",$I24=""),"",IF($BC24="Y",SUMIFS(survey_frozen!$F$2:$F$251,survey_frozen!$P$2:$P$251,$A24&amp;"|"&amp;$B24),IFERROR(COUNTIFS(INDIRECT("'"&amp;$A24&amp;"'!$B$2:$B$501"),$T24,INDIRECT("'"&amp;$A24&amp;"'!$A$2:$A$501"),"&gt;="&amp;$I24,INDIRECT("'"&amp;$A24&amp;"'!$A$2:$A$501"),"&lt;"&amp;($BA24+1),INDIRECT("'"&amp;$A24&amp;"'!$F$2:$F$501"),"Not for me"),0)))</f>
        <v/>
      </c>
      <c r="AS24" s="25">
        <f>IF(OR($A24="",$I24=""),"",IF($BC24="Y",SUMIFS(survey_frozen!$G$2:$G$251,survey_frozen!$P$2:$P$251,$A24&amp;"|"&amp;$B24),IFERROR(COUNTIFS(INDIRECT("'"&amp;$A24&amp;"'!$B$2:$B$501"),$T24,INDIRECT("'"&amp;$A24&amp;"'!$A$2:$A$501"),"&gt;="&amp;$I24,INDIRECT("'"&amp;$A24&amp;"'!$A$2:$A$501"),"&lt;"&amp;($BA24+1),INDIRECT("'"&amp;$A24&amp;"'!$F$2:$F$501"),"Gone by the time I looked"),0)))</f>
        <v/>
      </c>
      <c r="AT24" s="25">
        <f>IF(OR($A24="",$I24=""),"",IF($BC24="Y",SUMIFS(survey_frozen!$H$2:$H$251,survey_frozen!$P$2:$P$251,$A24&amp;"|"&amp;$B24),IFERROR(COUNTIFS(INDIRECT("'"&amp;$A24&amp;"'!$B$2:$B$501"),$T24,INDIRECT("'"&amp;$A24&amp;"'!$A$2:$A$501"),"&gt;="&amp;$I24,INDIRECT("'"&amp;$A24&amp;"'!$A$2:$A$501"),"&lt;"&amp;($BA24+1),INDIRECT("'"&amp;$A24&amp;"'!$D$2:$D$501"),"&gt;=1"),0)))</f>
        <v/>
      </c>
      <c r="AU24" s="25">
        <f>IF(OR($A24="",$I24=""),"",IF($BC24="Y",SUMIFS(survey_frozen!$I$2:$I$251,survey_frozen!$P$2:$P$251,$A24&amp;"|"&amp;$B24),IFERROR(SUMIFS(INDIRECT("'"&amp;$A24&amp;"'!$D$2:$D$501"),INDIRECT("'"&amp;$A24&amp;"'!$B$2:$B$501"),$T24,INDIRECT("'"&amp;$A24&amp;"'!$A$2:$A$501"),"&gt;="&amp;$I24,INDIRECT("'"&amp;$A24&amp;"'!$A$2:$A$501"),"&lt;"&amp;($BA24+1)),0)))</f>
        <v/>
      </c>
      <c r="AV24" s="25">
        <f>IF(OR($A24="",$I24=""),"",IF($BC24="Y",SUMIFS(survey_frozen!$J$2:$J$251,survey_frozen!$P$2:$P$251,$A24&amp;"|"&amp;$B24),IFERROR(COUNTIFS(INDIRECT("'"&amp;$A24&amp;"'!$B$2:$B$501"),$T24,INDIRECT("'"&amp;$A24&amp;"'!$A$2:$A$501"),"&gt;="&amp;$I24,INDIRECT("'"&amp;$A24&amp;"'!$A$2:$A$501"),"&lt;"&amp;($BA24+1),INDIRECT("'"&amp;$A24&amp;"'!$E$2:$E$501"),"Yes"),0)))</f>
        <v/>
      </c>
      <c r="AW24" s="25">
        <f>IF(OR($A24="",$I24=""),"",IF($BC24="Y",SUMIFS(survey_frozen!$K$2:$K$251,survey_frozen!$P$2:$P$251,$A24&amp;"|"&amp;$B24),IFERROR(COUNTIFS(INDIRECT("'"&amp;$A24&amp;"'!$B$2:$B$501"),$T24,INDIRECT("'"&amp;$A24&amp;"'!$A$2:$A$501"),"&gt;="&amp;$I24,INDIRECT("'"&amp;$A24&amp;"'!$A$2:$A$501"),"&lt;"&amp;($BA24+1),INDIRECT("'"&amp;$A24&amp;"'!$E$2:$E$501"),"Maybe"),0)))</f>
        <v/>
      </c>
      <c r="AX24" s="25">
        <f>IF(OR($A24="",$I24=""),"",IF($BC24="Y",SUMIFS(survey_frozen!$L$2:$L$251,survey_frozen!$P$2:$P$251,$A24&amp;"|"&amp;$B24),IFERROR(COUNTIFS(INDIRECT("'"&amp;$A24&amp;"'!$B$2:$B$501"),$T24,INDIRECT("'"&amp;$A24&amp;"'!$A$2:$A$501"),"&gt;="&amp;$I24,INDIRECT("'"&amp;$A24&amp;"'!$A$2:$A$501"),"&lt;"&amp;($BA24+1),INDIRECT("'"&amp;$A24&amp;"'!$E$2:$E$501"),"No"),0)))</f>
        <v/>
      </c>
      <c r="AY24" s="25">
        <f>IF(OR($A24="",$I24=""),"",IF($BC24="Y",SUMIFS(survey_frozen!$M$2:$M$251,survey_frozen!$P$2:$P$251,$A24&amp;"|"&amp;$B24),IFERROR(COUNTIFS(INDIRECT("'"&amp;$A24&amp;"'!$B$2:$B$501"),$T24,INDIRECT("'"&amp;$A24&amp;"'!$A$2:$A$501"),"&gt;="&amp;$I24,INDIRECT("'"&amp;$A24&amp;"'!$A$2:$A$501"),"&lt;"&amp;($BA24+1),INDIRECT("'"&amp;$A24&amp;"'!$G$2:$G$501"),"&lt;&gt;"),0)))</f>
        <v/>
      </c>
      <c r="AZ24" s="25">
        <f>IF($A24="","",$A24&amp;"|"&amp;$L24)</f>
        <v/>
      </c>
      <c r="BA24" s="26">
        <f>IF($A24="","",IFERROR(IF(INDEX(drops!$R$2:$R$21,MATCH($H24,drops!$A$2:$A$21,0))="","",INDEX(drops!$R$2:$R$21,MATCH($H24,drops!$A$2:$A$21,0))),""))</f>
        <v/>
      </c>
      <c r="BB24" s="25">
        <f>IF(OR($A24="",$Q24&lt;&gt;"Y"),1000000,N($AL24))</f>
        <v/>
      </c>
      <c r="BC24" s="25">
        <f>IF($A24="","",IF(COUNTIF(survey_frozen!$P$2:$P$251,$A24&amp;"|"&amp;$B24)&gt;0,"Y",""))</f>
        <v/>
      </c>
    </row>
    <row r="25">
      <c r="A25" t="inlineStr">
        <is>
          <t>SAMPLE-CMP-004</t>
        </is>
      </c>
      <c r="B25" t="inlineStr">
        <is>
          <t>SAMPLE-O-004</t>
        </is>
      </c>
      <c r="C25" s="9" t="n">
        <v>46393</v>
      </c>
      <c r="D25" t="inlineStr">
        <is>
          <t>yes</t>
        </is>
      </c>
      <c r="E25" s="9" t="n">
        <v>46394</v>
      </c>
      <c r="F25" t="inlineStr">
        <is>
          <t>SAMPLE replied by email</t>
        </is>
      </c>
      <c r="H25" s="25">
        <f>IF($A25="","",IFERROR(IF(INDEX(campaigns!$B$2:$B$51,MATCH($A25,campaigns!$A$2:$A$51,0))="","",INDEX(campaigns!$B$2:$B$51,MATCH($A25,campaigns!$A$2:$A$51,0))),""))</f>
        <v/>
      </c>
      <c r="I25" s="26">
        <f>IF($A25="","",IFERROR(IF(INDEX(campaigns!$BG$2:$BG$51,MATCH($A25,campaigns!$A$2:$A$51,0))="","",INDEX(campaigns!$BG$2:$BG$51,MATCH($A25,campaigns!$A$2:$A$51,0))),""))</f>
        <v/>
      </c>
      <c r="J25" s="25">
        <f>IF($A25="","",IFERROR(IF(INDEX(campaigns!$BE$2:$BE$51,MATCH($A25,campaigns!$A$2:$A$51,0))="","",INDEX(campaigns!$BE$2:$BE$51,MATCH($A25,campaigns!$A$2:$A$51,0))),""))</f>
        <v/>
      </c>
      <c r="K25" s="25">
        <f>IF($B25="","",IFERROR(IF(INDEX(offices!$N$2:$N$61,MATCH($B25,offices!$A$2:$A$61,0))="","",INDEX(offices!$N$2:$N$61,MATCH($B25,offices!$A$2:$A$61,0))),""))</f>
        <v/>
      </c>
      <c r="L25" s="25">
        <f>IF($A25="","",IF($Q25="N","",COUNTIFS($A$2:$A25,$A25,$Q$2:$Q25,"&lt;&gt;N")))</f>
        <v/>
      </c>
      <c r="M25" s="25">
        <f>IF(OR($A25="",$L25=""),"",IF(AND(config!$B$34="names_if_public",IFERROR(IF(INDEX(offices!$AF$2:$AF$61,MATCH($B25,offices!$A$2:$A$61,0))="","",INDEX(offices!$AF$2:$AF$61,MATCH($B25,offices!$A$2:$A$61,0))),"")="Y"),$K25,CHAR(64+$L25)))</f>
        <v/>
      </c>
      <c r="N25" s="25">
        <f>IF(OR($A25="",$I25=""),"",COUNTIFS(stops!$B$2:$B$151,$B25,stops!$P$2:$P$151,"&lt;"&amp;$I25,stops!$L$2:$L$151,"&lt;&gt;not_delivered")+1)</f>
        <v/>
      </c>
      <c r="O25" s="25">
        <f>IF($A25="","",IF(N($N25)&lt;=config!$B$29,"explicit","opt-out"))</f>
        <v/>
      </c>
      <c r="P25" s="25">
        <f>IF($A25="","",IF($O25="explicit",IF($D25="yes","Y",IF($D25="no","N","pending")),IF($D25="no","N",IF(AND($C25&lt;&gt;"",$I25&lt;&gt;"",$C25&lt;=WORKDAY(N($I25),-5,calendar!$A$2:$A$80)),"Y","pending"))))</f>
        <v/>
      </c>
      <c r="Q25" s="25">
        <f>IF($A25="","",IF($P25="N","N",IF($P25&lt;&gt;"Y","pending",IF(AND((COUNTIFS(stops!$A$2:$A$151,$H25,stops!$B$2:$B$151,$B25,stops!$L$2:$L$151,"declined")+COUNTIFS(stops!$A$2:$A$151,$H25,stops!$B$2:$B$151,$B25,stops!$L$2:$L$151,"building_refused")+COUNTIFS(stops!$A$2:$A$151,$H25,stops!$B$2:$B$151,$B25,stops!$L$2:$L$151,"not_delivered"))&gt;0,N($U25)=0),"N","Y"))))</f>
        <v/>
      </c>
      <c r="R25" s="25">
        <f>IF($A25="","",IF(COUNTIFS($A$2:$A$251,$A25,$B$2:$B$251,$B25)&gt;1,"DUPLICATE ROW; ","")&amp;IF(AND(IFERROR(IF(INDEX(offices!$AC$2:$AC$61,MATCH($B25,offices!$A$2:$A$61,0))="","",INDEX(offices!$AC$2:$AC$61,MATCH($B25,offices!$A$2:$A$61,0))),"")&lt;&gt;"",ISNUMBER(SEARCH($J25,IFERROR(IF(INDEX(offices!$AC$2:$AC$61,MATCH($B25,offices!$A$2:$A$61,0))="","",INDEX(offices!$AC$2:$AC$61,MATCH($B25,offices!$A$2:$A$61,0))),"")))),"BRAND VETOED; ","")&amp;IF(ISNUMBER(SEARCH(IFERROR(IF(INDEX(campaigns!$BF$2:$BF$51,MATCH($A25,campaigns!$A$2:$A$51,0))="","",INDEX(campaigns!$BF$2:$BF$51,MATCH($A25,campaigns!$A$2:$A$51,0))),""),IFERROR(IF(INDEX(offices!$AB$2:$AB$61,MATCH($B25,offices!$A$2:$A$61,0))="","",INDEX(offices!$AB$2:$AB$61,MATCH($B25,offices!$A$2:$A$61,0))),""))),"","info: category not on the office's list; ")&amp;IF(IFERROR(IF(INDEX(offices!$AC$2:$AC$61,MATCH($B25,offices!$A$2:$A$61,0))="","",INDEX(offices!$AC$2:$AC$61,MATCH($B25,offices!$A$2:$A$61,0))),"")&lt;&gt;"","info: read the vetoes against the label; ",""))</f>
        <v/>
      </c>
      <c r="S25" s="25">
        <f>IF($A25="","",IF($G25&lt;&gt;"",$G25,IFERROR(IF(INDEX(offices!$AL$2:$AL$61,MATCH($B25,offices!$A$2:$A$61,0))="","",INDEX(offices!$AL$2:$AL$61,MATCH($B25,offices!$A$2:$A$61,0))),"")))</f>
        <v/>
      </c>
      <c r="T25" s="25">
        <f>IF($A25="","",$A25&amp;"."&amp;$B25)</f>
        <v/>
      </c>
      <c r="U25" s="25">
        <f>IF($A25="","",SUMIFS(inventory!$G$2:$G$801,inventory!$C$2:$C$801,$A25,inventory!$D$2:$D$801,$B25,inventory!$E$2:$E$801,"delivered"))</f>
        <v/>
      </c>
      <c r="V25" s="32">
        <f>IF($A25="","",IFERROR(1/(1/SUMPRODUCT(MAX((inventory!$C$2:$C$801=$A25)*(inventory!$D$2:$D$801=$B25)*(inventory!$E$2:$E$801="delivered")*(inventory!$A$2:$A$801+inventory!$B$2:$B$801)))),""))</f>
        <v/>
      </c>
      <c r="W25" s="25">
        <f>IF($A25="","",IFERROR(IF(INDEX(inventory!$J$2:$J$801,MATCH($A25&amp;"|"&amp;$B25&amp;"|delivered",inventory!$R$2:$R$801,0))="","",INDEX(inventory!$J$2:$J$801,MATCH($A25&amp;"|"&amp;$B25&amp;"|delivered",inventory!$R$2:$R$801,0))),""))</f>
        <v/>
      </c>
      <c r="X25" s="25">
        <f>IF($A25="","",IFERROR(IF(INDEX(photos!$H$2:$H$701,MATCH($A25&amp;"|"&amp;$B25&amp;"|placement|Y",photos!$R$2:$R$701,0))="","",INDEX(photos!$H$2:$H$701,MATCH($A25&amp;"|"&amp;$B25&amp;"|placement|Y",photos!$R$2:$R$701,0))),""))</f>
        <v/>
      </c>
      <c r="Y25" s="26">
        <f>IF($A25="","",IFERROR(IF(INDEX(photos!$E$2:$E$701,MATCH($A25&amp;"|"&amp;$B25&amp;"|placement|Y",photos!$R$2:$R$701,0))="","",INDEX(photos!$E$2:$E$701,MATCH($A25&amp;"|"&amp;$B25&amp;"|placement|Y",photos!$R$2:$R$701,0))),""))</f>
        <v/>
      </c>
      <c r="Z25" s="25">
        <f>IF($A25="","",IF(COUNTIFS(counts!$C$2:$C$701,$A25,counts!$D$2:$D$701,$B25,counts!$E$2:$E$701,"placed")=0,"",SUMIFS(counts!$F$2:$F$701,counts!$C$2:$C$701,$A25,counts!$D$2:$D$701,$B25,counts!$E$2:$E$701,"placed")))</f>
        <v/>
      </c>
      <c r="AA25" s="25">
        <f>IF($A25="","",IF($Y25="",0,N($Z25)))</f>
        <v/>
      </c>
      <c r="AB25" s="25">
        <f>IF($A25="","",IF(OR($Y25="",$I25=""),"N",IF($Y25&lt;=WORKDAY(N($I25),1,calendar!$A$2:$A$80),"Y","N")))</f>
        <v/>
      </c>
      <c r="AC25" s="28">
        <f>IF(OR($A25="",$V25="",$Y25=""),"",ROUND(($Y25+N(IFERROR(IF(INDEX(photos!$F$2:$F$701,MATCH($A25&amp;"|"&amp;$B25&amp;"|placement|Y",photos!$R$2:$R$701,0))="","",INDEX(photos!$F$2:$F$701,MATCH($A25&amp;"|"&amp;$B25&amp;"|placement|Y",photos!$R$2:$R$701,0))),""))-$V25)*24,1))</f>
        <v/>
      </c>
      <c r="AD25" s="25">
        <f>IF($A25="","",SUMIFS(inventory!$G$2:$G$801,inventory!$C$2:$C$801,$A25,inventory!$D$2:$D$801,$B25,inventory!$E$2:$E$801,"topped_up"))</f>
        <v/>
      </c>
      <c r="AE25" s="25">
        <f>IF($A25="","",IF(COUNTIFS(counts!$C$2:$C$701,$A25,counts!$D$2:$D$701,$B25,counts!$E$2:$E$701,"remaining_day3")=0,"",SUMIFS(counts!$F$2:$F$701,counts!$C$2:$C$701,$A25,counts!$D$2:$D$701,$B25,counts!$E$2:$E$701,"remaining_day3")))</f>
        <v/>
      </c>
      <c r="AF25" s="25">
        <f>IF($A25="","",IF(COUNTIFS(counts!$C$2:$C$701,$A25,counts!$D$2:$D$701,$B25,counts!$E$2:$E$701,"remaining_day5")=0,"",SUMIFS(counts!$F$2:$F$701,counts!$C$2:$C$701,$A25,counts!$D$2:$D$701,$B25,counts!$E$2:$E$701,"remaining_day5")))</f>
        <v/>
      </c>
      <c r="AG25" s="25">
        <f>IF(OR($A25="",$AF25=""),"",MAX(0,$AA25+$AD25-$AF25))</f>
        <v/>
      </c>
      <c r="AH25" s="25">
        <f>IF(OR($A25="",$AI25=""),"",IFERROR(IF(INDEX(photos!$H$2:$H$701,MATCH($A25&amp;"|"&amp;$B25&amp;"|later|Y|"&amp;$AI25,photos!$S$2:$S$701,0))="","",INDEX(photos!$H$2:$H$701,MATCH($A25&amp;"|"&amp;$B25&amp;"|later|Y|"&amp;$AI25,photos!$S$2:$S$701,0))),""))</f>
        <v/>
      </c>
      <c r="AI25" s="26">
        <f>IF($A25="","",IFERROR(1/(1/SUMPRODUCT(MAX((photos!$B$2:$B$701=$A25)*(photos!$C$2:$C$701=$B25)*(photos!$D$2:$D$701="later")*(photos!$O$2:$O$701="Y")*photos!$E$2:$E$701))),""))</f>
        <v/>
      </c>
      <c r="AJ25" s="25">
        <f>IF(OR($A25="",$AI25="",$I25=""),"",NETWORKDAYS($I25,$AI25,calendar!$A$2:$A$80))</f>
        <v/>
      </c>
      <c r="AK25" s="25">
        <f>IF($A25="","",IF(AND($X25&lt;&gt;"",$AH25&lt;&gt;""),"Y","N"))</f>
        <v/>
      </c>
      <c r="AL25" s="25">
        <f>IF(OR($A25="",$I25=""),"",IF($BC25="Y",SUMIFS(survey_frozen!$C$2:$C$251,survey_frozen!$P$2:$P$251,$A25&amp;"|"&amp;$B25),IFERROR(COUNTIFS(INDIRECT("'"&amp;$A25&amp;"'!$B$2:$B$501"),$T25,INDIRECT("'"&amp;$A25&amp;"'!$A$2:$A$501"),"&gt;="&amp;$I25,INDIRECT("'"&amp;$A25&amp;"'!$A$2:$A$501"),"&lt;"&amp;($BA25+1)),0)))</f>
        <v/>
      </c>
      <c r="AM25" s="25">
        <f>IF(OR($A25="",$I25=""),"",IF($BC25="Y",SUMIFS(survey_frozen!$D$2:$D$251,survey_frozen!$P$2:$P$251,$A25&amp;"|"&amp;$B25),IFERROR(COUNTIFS(INDIRECT("'"&amp;$A25&amp;"'!$B$2:$B$501"),$T25,INDIRECT("'"&amp;$A25&amp;"'!$A$2:$A$501"),"&gt;="&amp;$I25,INDIRECT("'"&amp;$A25&amp;"'!$A$2:$A$501"),"&lt;"&amp;($BA25+1),INDIRECT("'"&amp;$A25&amp;"'!$C$2:$C$501"),"Yes"),0)))</f>
        <v/>
      </c>
      <c r="AN25" s="25">
        <f>IF($A25="","",IF(COUNTIFS(scans!$C$2:$C$1601,(IF(LEFT($A25,7)="SAMPLE-","SAMPLE-","")&amp;LOWER(SUBSTITUTE(SUBSTITUTE($A25,"SAMPLE-",""),"CMP-","c"))&amp;"-"&amp;LOWER(SUBSTITUTE(SUBSTITUTE($B25,"SAMPLE-",""),"O-","o"))&amp;"-q"),scans!$D$2:$D$1601,"close")=0,"",SUMPRODUCT(MAX((scans!$C$2:$C$1601=(IF(LEFT($A25,7)="SAMPLE-","SAMPLE-","")&amp;LOWER(SUBSTITUTE(SUBSTITUTE($A25,"SAMPLE-",""),"CMP-","c"))&amp;"-"&amp;LOWER(SUBSTITUTE(SUBSTITUTE($B25,"SAMPLE-",""),"O-","o"))&amp;"-q"))*(scans!$D$2:$D$1601="close")*scans!$E$2:$E$1601))-SUMPRODUCT(MAX((scans!$C$2:$C$1601=(IF(LEFT($A25,7)="SAMPLE-","SAMPLE-","")&amp;LOWER(SUBSTITUTE(SUBSTITUTE($A25,"SAMPLE-",""),"CMP-","c"))&amp;"-"&amp;LOWER(SUBSTITUTE(SUBSTITUTE($B25,"SAMPLE-",""),"O-","o"))&amp;"-q"))*(scans!$D$2:$D$1601="baseline")*scans!$E$2:$E$1601))))</f>
        <v/>
      </c>
      <c r="AO25" s="25">
        <f>IF($A25="","",IF(COUNTIFS(scans!$C$2:$C$1601,(IF(LEFT($A25,7)="SAMPLE-","SAMPLE-","")&amp;LOWER(SUBSTITUTE(SUBSTITUTE($A25,"SAMPLE-",""),"CMP-","c"))&amp;"-"&amp;LOWER(SUBSTITUTE(SUBSTITUTE($B25,"SAMPLE-",""),"O-","o"))&amp;"-p"),scans!$D$2:$D$1601,"close")=0,"",SUMPRODUCT(MAX((scans!$C$2:$C$1601=(IF(LEFT($A25,7)="SAMPLE-","SAMPLE-","")&amp;LOWER(SUBSTITUTE(SUBSTITUTE($A25,"SAMPLE-",""),"CMP-","c"))&amp;"-"&amp;LOWER(SUBSTITUTE(SUBSTITUTE($B25,"SAMPLE-",""),"O-","o"))&amp;"-p"))*(scans!$D$2:$D$1601="close")*scans!$E$2:$E$1601))-SUMPRODUCT(MAX((scans!$C$2:$C$1601=(IF(LEFT($A25,7)="SAMPLE-","SAMPLE-","")&amp;LOWER(SUBSTITUTE(SUBSTITUTE($A25,"SAMPLE-",""),"CMP-","c"))&amp;"-"&amp;LOWER(SUBSTITUTE(SUBSTITUTE($B25,"SAMPLE-",""),"O-","o"))&amp;"-p"))*(scans!$D$2:$D$1601="baseline")*scans!$E$2:$E$1601))))</f>
        <v/>
      </c>
      <c r="AP25" s="25">
        <f>IF($A25="","",IF(COUNTIF(offices!$A$2:$A$61,$B25)=0,"office_id not on offices; ","")&amp;IF(COUNTIF(campaigns!$A$2:$A$51,$A25)=0,"campaign_id not on campaigns; ","")&amp;IF($P25="pending","approval pending; ","")&amp;IF(AND($U25&gt;0,$Y25="",OR($I25="",IF(config!$B$37&lt;&gt;"",config!$B$37,TODAY())&lt;=WORKDAY(N($I25),4,calendar!$A$2:$A$80))),"no usable placement photo yet; ","")&amp;IF(AND($Y25&lt;&gt;"",$Z25=""),"log the placed count; ","")&amp;IF(N($AA25)&gt;N($U25),"placed more than delivered; ","")&amp;IF(AND($AF25&lt;&gt;"",N($AF25)&gt;N($AA25)+N($AD25)),"day-5 count above placed plus top-ups; ","")&amp;IF(AND($U25&gt;0,$I25&lt;&gt;"",IF(config!$B$37&lt;&gt;"",config!$B$37,TODAY())&gt;WORKDAY(N($I25),4,calendar!$A$2:$A$80),$AF25=""),"day-5 count missing; ","")&amp;IF(AND($U25&gt;0,$I25&lt;&gt;"",IF(config!$B$37&lt;&gt;"",config!$B$37,TODAY())&gt;WORKDAY(N($I25),4,calendar!$A$2:$A$80),$AN25=""),"no close link reading; ","")&amp;$R25&amp;IF($P25="N","info: office said no; ","")&amp;IF(AND($P25="Y",$Q25="N"),"info: turned away at the door, so not on the drop (no letter, not in the report or Gate 2; the credit check is on campaigns); ","")&amp;IF(AND($U25&gt;0,$Y25="",$I25&lt;&gt;"",IF(config!$B$37&lt;&gt;"",config!$B$37,TODAY())&gt;WORKDAY(N($I25),4,calendar!$A$2:$A$80)),"info: no usable placement photo, so nothing counts as placed; ","")&amp;IF(AND($U25&gt;0,$I25&lt;&gt;"",IF(config!$B$37&lt;&gt;"",config!$B$37,TODAY())&gt;WORKDAY(N($I25),4,calendar!$A$2:$A$80),N($AL25)&lt;config!$B$30),"info: under "&amp;config!$B$30&amp;" responses; ","")&amp;IF($W25="packing_list","info: delivered count not verified; ",""))</f>
        <v/>
      </c>
      <c r="AQ25" s="25">
        <f>IF(OR($A25="",$I25=""),"",IF($BC25="Y",SUMIFS(survey_frozen!$E$2:$E$251,survey_frozen!$P$2:$P$251,$A25&amp;"|"&amp;$B25),IFERROR(COUNTIFS(INDIRECT("'"&amp;$A25&amp;"'!$B$2:$B$501"),$T25,INDIRECT("'"&amp;$A25&amp;"'!$A$2:$A$501"),"&gt;="&amp;$I25,INDIRECT("'"&amp;$A25&amp;"'!$A$2:$A$501"),"&lt;"&amp;($BA25+1),INDIRECT("'"&amp;$A25&amp;"'!$F$2:$F$501"),"Didn't see it"),0)))</f>
        <v/>
      </c>
      <c r="AR25" s="25">
        <f>IF(OR($A25="",$I25=""),"",IF($BC25="Y",SUMIFS(survey_frozen!$F$2:$F$251,survey_frozen!$P$2:$P$251,$A25&amp;"|"&amp;$B25),IFERROR(COUNTIFS(INDIRECT("'"&amp;$A25&amp;"'!$B$2:$B$501"),$T25,INDIRECT("'"&amp;$A25&amp;"'!$A$2:$A$501"),"&gt;="&amp;$I25,INDIRECT("'"&amp;$A25&amp;"'!$A$2:$A$501"),"&lt;"&amp;($BA25+1),INDIRECT("'"&amp;$A25&amp;"'!$F$2:$F$501"),"Not for me"),0)))</f>
        <v/>
      </c>
      <c r="AS25" s="25">
        <f>IF(OR($A25="",$I25=""),"",IF($BC25="Y",SUMIFS(survey_frozen!$G$2:$G$251,survey_frozen!$P$2:$P$251,$A25&amp;"|"&amp;$B25),IFERROR(COUNTIFS(INDIRECT("'"&amp;$A25&amp;"'!$B$2:$B$501"),$T25,INDIRECT("'"&amp;$A25&amp;"'!$A$2:$A$501"),"&gt;="&amp;$I25,INDIRECT("'"&amp;$A25&amp;"'!$A$2:$A$501"),"&lt;"&amp;($BA25+1),INDIRECT("'"&amp;$A25&amp;"'!$F$2:$F$501"),"Gone by the time I looked"),0)))</f>
        <v/>
      </c>
      <c r="AT25" s="25">
        <f>IF(OR($A25="",$I25=""),"",IF($BC25="Y",SUMIFS(survey_frozen!$H$2:$H$251,survey_frozen!$P$2:$P$251,$A25&amp;"|"&amp;$B25),IFERROR(COUNTIFS(INDIRECT("'"&amp;$A25&amp;"'!$B$2:$B$501"),$T25,INDIRECT("'"&amp;$A25&amp;"'!$A$2:$A$501"),"&gt;="&amp;$I25,INDIRECT("'"&amp;$A25&amp;"'!$A$2:$A$501"),"&lt;"&amp;($BA25+1),INDIRECT("'"&amp;$A25&amp;"'!$D$2:$D$501"),"&gt;=1"),0)))</f>
        <v/>
      </c>
      <c r="AU25" s="25">
        <f>IF(OR($A25="",$I25=""),"",IF($BC25="Y",SUMIFS(survey_frozen!$I$2:$I$251,survey_frozen!$P$2:$P$251,$A25&amp;"|"&amp;$B25),IFERROR(SUMIFS(INDIRECT("'"&amp;$A25&amp;"'!$D$2:$D$501"),INDIRECT("'"&amp;$A25&amp;"'!$B$2:$B$501"),$T25,INDIRECT("'"&amp;$A25&amp;"'!$A$2:$A$501"),"&gt;="&amp;$I25,INDIRECT("'"&amp;$A25&amp;"'!$A$2:$A$501"),"&lt;"&amp;($BA25+1)),0)))</f>
        <v/>
      </c>
      <c r="AV25" s="25">
        <f>IF(OR($A25="",$I25=""),"",IF($BC25="Y",SUMIFS(survey_frozen!$J$2:$J$251,survey_frozen!$P$2:$P$251,$A25&amp;"|"&amp;$B25),IFERROR(COUNTIFS(INDIRECT("'"&amp;$A25&amp;"'!$B$2:$B$501"),$T25,INDIRECT("'"&amp;$A25&amp;"'!$A$2:$A$501"),"&gt;="&amp;$I25,INDIRECT("'"&amp;$A25&amp;"'!$A$2:$A$501"),"&lt;"&amp;($BA25+1),INDIRECT("'"&amp;$A25&amp;"'!$E$2:$E$501"),"Yes"),0)))</f>
        <v/>
      </c>
      <c r="AW25" s="25">
        <f>IF(OR($A25="",$I25=""),"",IF($BC25="Y",SUMIFS(survey_frozen!$K$2:$K$251,survey_frozen!$P$2:$P$251,$A25&amp;"|"&amp;$B25),IFERROR(COUNTIFS(INDIRECT("'"&amp;$A25&amp;"'!$B$2:$B$501"),$T25,INDIRECT("'"&amp;$A25&amp;"'!$A$2:$A$501"),"&gt;="&amp;$I25,INDIRECT("'"&amp;$A25&amp;"'!$A$2:$A$501"),"&lt;"&amp;($BA25+1),INDIRECT("'"&amp;$A25&amp;"'!$E$2:$E$501"),"Maybe"),0)))</f>
        <v/>
      </c>
      <c r="AX25" s="25">
        <f>IF(OR($A25="",$I25=""),"",IF($BC25="Y",SUMIFS(survey_frozen!$L$2:$L$251,survey_frozen!$P$2:$P$251,$A25&amp;"|"&amp;$B25),IFERROR(COUNTIFS(INDIRECT("'"&amp;$A25&amp;"'!$B$2:$B$501"),$T25,INDIRECT("'"&amp;$A25&amp;"'!$A$2:$A$501"),"&gt;="&amp;$I25,INDIRECT("'"&amp;$A25&amp;"'!$A$2:$A$501"),"&lt;"&amp;($BA25+1),INDIRECT("'"&amp;$A25&amp;"'!$E$2:$E$501"),"No"),0)))</f>
        <v/>
      </c>
      <c r="AY25" s="25">
        <f>IF(OR($A25="",$I25=""),"",IF($BC25="Y",SUMIFS(survey_frozen!$M$2:$M$251,survey_frozen!$P$2:$P$251,$A25&amp;"|"&amp;$B25),IFERROR(COUNTIFS(INDIRECT("'"&amp;$A25&amp;"'!$B$2:$B$501"),$T25,INDIRECT("'"&amp;$A25&amp;"'!$A$2:$A$501"),"&gt;="&amp;$I25,INDIRECT("'"&amp;$A25&amp;"'!$A$2:$A$501"),"&lt;"&amp;($BA25+1),INDIRECT("'"&amp;$A25&amp;"'!$G$2:$G$501"),"&lt;&gt;"),0)))</f>
        <v/>
      </c>
      <c r="AZ25" s="25">
        <f>IF($A25="","",$A25&amp;"|"&amp;$L25)</f>
        <v/>
      </c>
      <c r="BA25" s="26">
        <f>IF($A25="","",IFERROR(IF(INDEX(drops!$R$2:$R$21,MATCH($H25,drops!$A$2:$A$21,0))="","",INDEX(drops!$R$2:$R$21,MATCH($H25,drops!$A$2:$A$21,0))),""))</f>
        <v/>
      </c>
      <c r="BB25" s="25">
        <f>IF(OR($A25="",$Q25&lt;&gt;"Y"),1000000,N($AL25))</f>
        <v/>
      </c>
      <c r="BC25" s="25">
        <f>IF($A25="","",IF(COUNTIF(survey_frozen!$P$2:$P$251,$A25&amp;"|"&amp;$B25)&gt;0,"Y",""))</f>
        <v/>
      </c>
    </row>
    <row r="26">
      <c r="A26" t="inlineStr">
        <is>
          <t>SAMPLE-CMP-004</t>
        </is>
      </c>
      <c r="B26" t="inlineStr">
        <is>
          <t>SAMPLE-O-005</t>
        </is>
      </c>
      <c r="C26" s="9" t="n">
        <v>46393</v>
      </c>
      <c r="D26" t="inlineStr">
        <is>
          <t>yes</t>
        </is>
      </c>
      <c r="E26" s="9" t="n">
        <v>46395</v>
      </c>
      <c r="F26" t="inlineStr">
        <is>
          <t>SAMPLE replied by email</t>
        </is>
      </c>
      <c r="H26" s="25">
        <f>IF($A26="","",IFERROR(IF(INDEX(campaigns!$B$2:$B$51,MATCH($A26,campaigns!$A$2:$A$51,0))="","",INDEX(campaigns!$B$2:$B$51,MATCH($A26,campaigns!$A$2:$A$51,0))),""))</f>
        <v/>
      </c>
      <c r="I26" s="26">
        <f>IF($A26="","",IFERROR(IF(INDEX(campaigns!$BG$2:$BG$51,MATCH($A26,campaigns!$A$2:$A$51,0))="","",INDEX(campaigns!$BG$2:$BG$51,MATCH($A26,campaigns!$A$2:$A$51,0))),""))</f>
        <v/>
      </c>
      <c r="J26" s="25">
        <f>IF($A26="","",IFERROR(IF(INDEX(campaigns!$BE$2:$BE$51,MATCH($A26,campaigns!$A$2:$A$51,0))="","",INDEX(campaigns!$BE$2:$BE$51,MATCH($A26,campaigns!$A$2:$A$51,0))),""))</f>
        <v/>
      </c>
      <c r="K26" s="25">
        <f>IF($B26="","",IFERROR(IF(INDEX(offices!$N$2:$N$61,MATCH($B26,offices!$A$2:$A$61,0))="","",INDEX(offices!$N$2:$N$61,MATCH($B26,offices!$A$2:$A$61,0))),""))</f>
        <v/>
      </c>
      <c r="L26" s="25">
        <f>IF($A26="","",IF($Q26="N","",COUNTIFS($A$2:$A26,$A26,$Q$2:$Q26,"&lt;&gt;N")))</f>
        <v/>
      </c>
      <c r="M26" s="25">
        <f>IF(OR($A26="",$L26=""),"",IF(AND(config!$B$34="names_if_public",IFERROR(IF(INDEX(offices!$AF$2:$AF$61,MATCH($B26,offices!$A$2:$A$61,0))="","",INDEX(offices!$AF$2:$AF$61,MATCH($B26,offices!$A$2:$A$61,0))),"")="Y"),$K26,CHAR(64+$L26)))</f>
        <v/>
      </c>
      <c r="N26" s="25">
        <f>IF(OR($A26="",$I26=""),"",COUNTIFS(stops!$B$2:$B$151,$B26,stops!$P$2:$P$151,"&lt;"&amp;$I26,stops!$L$2:$L$151,"&lt;&gt;not_delivered")+1)</f>
        <v/>
      </c>
      <c r="O26" s="25">
        <f>IF($A26="","",IF(N($N26)&lt;=config!$B$29,"explicit","opt-out"))</f>
        <v/>
      </c>
      <c r="P26" s="25">
        <f>IF($A26="","",IF($O26="explicit",IF($D26="yes","Y",IF($D26="no","N","pending")),IF($D26="no","N",IF(AND($C26&lt;&gt;"",$I26&lt;&gt;"",$C26&lt;=WORKDAY(N($I26),-5,calendar!$A$2:$A$80)),"Y","pending"))))</f>
        <v/>
      </c>
      <c r="Q26" s="25">
        <f>IF($A26="","",IF($P26="N","N",IF($P26&lt;&gt;"Y","pending",IF(AND((COUNTIFS(stops!$A$2:$A$151,$H26,stops!$B$2:$B$151,$B26,stops!$L$2:$L$151,"declined")+COUNTIFS(stops!$A$2:$A$151,$H26,stops!$B$2:$B$151,$B26,stops!$L$2:$L$151,"building_refused")+COUNTIFS(stops!$A$2:$A$151,$H26,stops!$B$2:$B$151,$B26,stops!$L$2:$L$151,"not_delivered"))&gt;0,N($U26)=0),"N","Y"))))</f>
        <v/>
      </c>
      <c r="R26" s="25">
        <f>IF($A26="","",IF(COUNTIFS($A$2:$A$251,$A26,$B$2:$B$251,$B26)&gt;1,"DUPLICATE ROW; ","")&amp;IF(AND(IFERROR(IF(INDEX(offices!$AC$2:$AC$61,MATCH($B26,offices!$A$2:$A$61,0))="","",INDEX(offices!$AC$2:$AC$61,MATCH($B26,offices!$A$2:$A$61,0))),"")&lt;&gt;"",ISNUMBER(SEARCH($J26,IFERROR(IF(INDEX(offices!$AC$2:$AC$61,MATCH($B26,offices!$A$2:$A$61,0))="","",INDEX(offices!$AC$2:$AC$61,MATCH($B26,offices!$A$2:$A$61,0))),"")))),"BRAND VETOED; ","")&amp;IF(ISNUMBER(SEARCH(IFERROR(IF(INDEX(campaigns!$BF$2:$BF$51,MATCH($A26,campaigns!$A$2:$A$51,0))="","",INDEX(campaigns!$BF$2:$BF$51,MATCH($A26,campaigns!$A$2:$A$51,0))),""),IFERROR(IF(INDEX(offices!$AB$2:$AB$61,MATCH($B26,offices!$A$2:$A$61,0))="","",INDEX(offices!$AB$2:$AB$61,MATCH($B26,offices!$A$2:$A$61,0))),""))),"","info: category not on the office's list; ")&amp;IF(IFERROR(IF(INDEX(offices!$AC$2:$AC$61,MATCH($B26,offices!$A$2:$A$61,0))="","",INDEX(offices!$AC$2:$AC$61,MATCH($B26,offices!$A$2:$A$61,0))),"")&lt;&gt;"","info: read the vetoes against the label; ",""))</f>
        <v/>
      </c>
      <c r="S26" s="25">
        <f>IF($A26="","",IF($G26&lt;&gt;"",$G26,IFERROR(IF(INDEX(offices!$AL$2:$AL$61,MATCH($B26,offices!$A$2:$A$61,0))="","",INDEX(offices!$AL$2:$AL$61,MATCH($B26,offices!$A$2:$A$61,0))),"")))</f>
        <v/>
      </c>
      <c r="T26" s="25">
        <f>IF($A26="","",$A26&amp;"."&amp;$B26)</f>
        <v/>
      </c>
      <c r="U26" s="25">
        <f>IF($A26="","",SUMIFS(inventory!$G$2:$G$801,inventory!$C$2:$C$801,$A26,inventory!$D$2:$D$801,$B26,inventory!$E$2:$E$801,"delivered"))</f>
        <v/>
      </c>
      <c r="V26" s="32">
        <f>IF($A26="","",IFERROR(1/(1/SUMPRODUCT(MAX((inventory!$C$2:$C$801=$A26)*(inventory!$D$2:$D$801=$B26)*(inventory!$E$2:$E$801="delivered")*(inventory!$A$2:$A$801+inventory!$B$2:$B$801)))),""))</f>
        <v/>
      </c>
      <c r="W26" s="25">
        <f>IF($A26="","",IFERROR(IF(INDEX(inventory!$J$2:$J$801,MATCH($A26&amp;"|"&amp;$B26&amp;"|delivered",inventory!$R$2:$R$801,0))="","",INDEX(inventory!$J$2:$J$801,MATCH($A26&amp;"|"&amp;$B26&amp;"|delivered",inventory!$R$2:$R$801,0))),""))</f>
        <v/>
      </c>
      <c r="X26" s="25">
        <f>IF($A26="","",IFERROR(IF(INDEX(photos!$H$2:$H$701,MATCH($A26&amp;"|"&amp;$B26&amp;"|placement|Y",photos!$R$2:$R$701,0))="","",INDEX(photos!$H$2:$H$701,MATCH($A26&amp;"|"&amp;$B26&amp;"|placement|Y",photos!$R$2:$R$701,0))),""))</f>
        <v/>
      </c>
      <c r="Y26" s="26">
        <f>IF($A26="","",IFERROR(IF(INDEX(photos!$E$2:$E$701,MATCH($A26&amp;"|"&amp;$B26&amp;"|placement|Y",photos!$R$2:$R$701,0))="","",INDEX(photos!$E$2:$E$701,MATCH($A26&amp;"|"&amp;$B26&amp;"|placement|Y",photos!$R$2:$R$701,0))),""))</f>
        <v/>
      </c>
      <c r="Z26" s="25">
        <f>IF($A26="","",IF(COUNTIFS(counts!$C$2:$C$701,$A26,counts!$D$2:$D$701,$B26,counts!$E$2:$E$701,"placed")=0,"",SUMIFS(counts!$F$2:$F$701,counts!$C$2:$C$701,$A26,counts!$D$2:$D$701,$B26,counts!$E$2:$E$701,"placed")))</f>
        <v/>
      </c>
      <c r="AA26" s="25">
        <f>IF($A26="","",IF($Y26="",0,N($Z26)))</f>
        <v/>
      </c>
      <c r="AB26" s="25">
        <f>IF($A26="","",IF(OR($Y26="",$I26=""),"N",IF($Y26&lt;=WORKDAY(N($I26),1,calendar!$A$2:$A$80),"Y","N")))</f>
        <v/>
      </c>
      <c r="AC26" s="28">
        <f>IF(OR($A26="",$V26="",$Y26=""),"",ROUND(($Y26+N(IFERROR(IF(INDEX(photos!$F$2:$F$701,MATCH($A26&amp;"|"&amp;$B26&amp;"|placement|Y",photos!$R$2:$R$701,0))="","",INDEX(photos!$F$2:$F$701,MATCH($A26&amp;"|"&amp;$B26&amp;"|placement|Y",photos!$R$2:$R$701,0))),""))-$V26)*24,1))</f>
        <v/>
      </c>
      <c r="AD26" s="25">
        <f>IF($A26="","",SUMIFS(inventory!$G$2:$G$801,inventory!$C$2:$C$801,$A26,inventory!$D$2:$D$801,$B26,inventory!$E$2:$E$801,"topped_up"))</f>
        <v/>
      </c>
      <c r="AE26" s="25">
        <f>IF($A26="","",IF(COUNTIFS(counts!$C$2:$C$701,$A26,counts!$D$2:$D$701,$B26,counts!$E$2:$E$701,"remaining_day3")=0,"",SUMIFS(counts!$F$2:$F$701,counts!$C$2:$C$701,$A26,counts!$D$2:$D$701,$B26,counts!$E$2:$E$701,"remaining_day3")))</f>
        <v/>
      </c>
      <c r="AF26" s="25">
        <f>IF($A26="","",IF(COUNTIFS(counts!$C$2:$C$701,$A26,counts!$D$2:$D$701,$B26,counts!$E$2:$E$701,"remaining_day5")=0,"",SUMIFS(counts!$F$2:$F$701,counts!$C$2:$C$701,$A26,counts!$D$2:$D$701,$B26,counts!$E$2:$E$701,"remaining_day5")))</f>
        <v/>
      </c>
      <c r="AG26" s="25">
        <f>IF(OR($A26="",$AF26=""),"",MAX(0,$AA26+$AD26-$AF26))</f>
        <v/>
      </c>
      <c r="AH26" s="25">
        <f>IF(OR($A26="",$AI26=""),"",IFERROR(IF(INDEX(photos!$H$2:$H$701,MATCH($A26&amp;"|"&amp;$B26&amp;"|later|Y|"&amp;$AI26,photos!$S$2:$S$701,0))="","",INDEX(photos!$H$2:$H$701,MATCH($A26&amp;"|"&amp;$B26&amp;"|later|Y|"&amp;$AI26,photos!$S$2:$S$701,0))),""))</f>
        <v/>
      </c>
      <c r="AI26" s="26">
        <f>IF($A26="","",IFERROR(1/(1/SUMPRODUCT(MAX((photos!$B$2:$B$701=$A26)*(photos!$C$2:$C$701=$B26)*(photos!$D$2:$D$701="later")*(photos!$O$2:$O$701="Y")*photos!$E$2:$E$701))),""))</f>
        <v/>
      </c>
      <c r="AJ26" s="25">
        <f>IF(OR($A26="",$AI26="",$I26=""),"",NETWORKDAYS($I26,$AI26,calendar!$A$2:$A$80))</f>
        <v/>
      </c>
      <c r="AK26" s="25">
        <f>IF($A26="","",IF(AND($X26&lt;&gt;"",$AH26&lt;&gt;""),"Y","N"))</f>
        <v/>
      </c>
      <c r="AL26" s="25">
        <f>IF(OR($A26="",$I26=""),"",IF($BC26="Y",SUMIFS(survey_frozen!$C$2:$C$251,survey_frozen!$P$2:$P$251,$A26&amp;"|"&amp;$B26),IFERROR(COUNTIFS(INDIRECT("'"&amp;$A26&amp;"'!$B$2:$B$501"),$T26,INDIRECT("'"&amp;$A26&amp;"'!$A$2:$A$501"),"&gt;="&amp;$I26,INDIRECT("'"&amp;$A26&amp;"'!$A$2:$A$501"),"&lt;"&amp;($BA26+1)),0)))</f>
        <v/>
      </c>
      <c r="AM26" s="25">
        <f>IF(OR($A26="",$I26=""),"",IF($BC26="Y",SUMIFS(survey_frozen!$D$2:$D$251,survey_frozen!$P$2:$P$251,$A26&amp;"|"&amp;$B26),IFERROR(COUNTIFS(INDIRECT("'"&amp;$A26&amp;"'!$B$2:$B$501"),$T26,INDIRECT("'"&amp;$A26&amp;"'!$A$2:$A$501"),"&gt;="&amp;$I26,INDIRECT("'"&amp;$A26&amp;"'!$A$2:$A$501"),"&lt;"&amp;($BA26+1),INDIRECT("'"&amp;$A26&amp;"'!$C$2:$C$501"),"Yes"),0)))</f>
        <v/>
      </c>
      <c r="AN26" s="25">
        <f>IF($A26="","",IF(COUNTIFS(scans!$C$2:$C$1601,(IF(LEFT($A26,7)="SAMPLE-","SAMPLE-","")&amp;LOWER(SUBSTITUTE(SUBSTITUTE($A26,"SAMPLE-",""),"CMP-","c"))&amp;"-"&amp;LOWER(SUBSTITUTE(SUBSTITUTE($B26,"SAMPLE-",""),"O-","o"))&amp;"-q"),scans!$D$2:$D$1601,"close")=0,"",SUMPRODUCT(MAX((scans!$C$2:$C$1601=(IF(LEFT($A26,7)="SAMPLE-","SAMPLE-","")&amp;LOWER(SUBSTITUTE(SUBSTITUTE($A26,"SAMPLE-",""),"CMP-","c"))&amp;"-"&amp;LOWER(SUBSTITUTE(SUBSTITUTE($B26,"SAMPLE-",""),"O-","o"))&amp;"-q"))*(scans!$D$2:$D$1601="close")*scans!$E$2:$E$1601))-SUMPRODUCT(MAX((scans!$C$2:$C$1601=(IF(LEFT($A26,7)="SAMPLE-","SAMPLE-","")&amp;LOWER(SUBSTITUTE(SUBSTITUTE($A26,"SAMPLE-",""),"CMP-","c"))&amp;"-"&amp;LOWER(SUBSTITUTE(SUBSTITUTE($B26,"SAMPLE-",""),"O-","o"))&amp;"-q"))*(scans!$D$2:$D$1601="baseline")*scans!$E$2:$E$1601))))</f>
        <v/>
      </c>
      <c r="AO26" s="25">
        <f>IF($A26="","",IF(COUNTIFS(scans!$C$2:$C$1601,(IF(LEFT($A26,7)="SAMPLE-","SAMPLE-","")&amp;LOWER(SUBSTITUTE(SUBSTITUTE($A26,"SAMPLE-",""),"CMP-","c"))&amp;"-"&amp;LOWER(SUBSTITUTE(SUBSTITUTE($B26,"SAMPLE-",""),"O-","o"))&amp;"-p"),scans!$D$2:$D$1601,"close")=0,"",SUMPRODUCT(MAX((scans!$C$2:$C$1601=(IF(LEFT($A26,7)="SAMPLE-","SAMPLE-","")&amp;LOWER(SUBSTITUTE(SUBSTITUTE($A26,"SAMPLE-",""),"CMP-","c"))&amp;"-"&amp;LOWER(SUBSTITUTE(SUBSTITUTE($B26,"SAMPLE-",""),"O-","o"))&amp;"-p"))*(scans!$D$2:$D$1601="close")*scans!$E$2:$E$1601))-SUMPRODUCT(MAX((scans!$C$2:$C$1601=(IF(LEFT($A26,7)="SAMPLE-","SAMPLE-","")&amp;LOWER(SUBSTITUTE(SUBSTITUTE($A26,"SAMPLE-",""),"CMP-","c"))&amp;"-"&amp;LOWER(SUBSTITUTE(SUBSTITUTE($B26,"SAMPLE-",""),"O-","o"))&amp;"-p"))*(scans!$D$2:$D$1601="baseline")*scans!$E$2:$E$1601))))</f>
        <v/>
      </c>
      <c r="AP26" s="25">
        <f>IF($A26="","",IF(COUNTIF(offices!$A$2:$A$61,$B26)=0,"office_id not on offices; ","")&amp;IF(COUNTIF(campaigns!$A$2:$A$51,$A26)=0,"campaign_id not on campaigns; ","")&amp;IF($P26="pending","approval pending; ","")&amp;IF(AND($U26&gt;0,$Y26="",OR($I26="",IF(config!$B$37&lt;&gt;"",config!$B$37,TODAY())&lt;=WORKDAY(N($I26),4,calendar!$A$2:$A$80))),"no usable placement photo yet; ","")&amp;IF(AND($Y26&lt;&gt;"",$Z26=""),"log the placed count; ","")&amp;IF(N($AA26)&gt;N($U26),"placed more than delivered; ","")&amp;IF(AND($AF26&lt;&gt;"",N($AF26)&gt;N($AA26)+N($AD26)),"day-5 count above placed plus top-ups; ","")&amp;IF(AND($U26&gt;0,$I26&lt;&gt;"",IF(config!$B$37&lt;&gt;"",config!$B$37,TODAY())&gt;WORKDAY(N($I26),4,calendar!$A$2:$A$80),$AF26=""),"day-5 count missing; ","")&amp;IF(AND($U26&gt;0,$I26&lt;&gt;"",IF(config!$B$37&lt;&gt;"",config!$B$37,TODAY())&gt;WORKDAY(N($I26),4,calendar!$A$2:$A$80),$AN26=""),"no close link reading; ","")&amp;$R26&amp;IF($P26="N","info: office said no; ","")&amp;IF(AND($P26="Y",$Q26="N"),"info: turned away at the door, so not on the drop (no letter, not in the report or Gate 2; the credit check is on campaigns); ","")&amp;IF(AND($U26&gt;0,$Y26="",$I26&lt;&gt;"",IF(config!$B$37&lt;&gt;"",config!$B$37,TODAY())&gt;WORKDAY(N($I26),4,calendar!$A$2:$A$80)),"info: no usable placement photo, so nothing counts as placed; ","")&amp;IF(AND($U26&gt;0,$I26&lt;&gt;"",IF(config!$B$37&lt;&gt;"",config!$B$37,TODAY())&gt;WORKDAY(N($I26),4,calendar!$A$2:$A$80),N($AL26)&lt;config!$B$30),"info: under "&amp;config!$B$30&amp;" responses; ","")&amp;IF($W26="packing_list","info: delivered count not verified; ",""))</f>
        <v/>
      </c>
      <c r="AQ26" s="25">
        <f>IF(OR($A26="",$I26=""),"",IF($BC26="Y",SUMIFS(survey_frozen!$E$2:$E$251,survey_frozen!$P$2:$P$251,$A26&amp;"|"&amp;$B26),IFERROR(COUNTIFS(INDIRECT("'"&amp;$A26&amp;"'!$B$2:$B$501"),$T26,INDIRECT("'"&amp;$A26&amp;"'!$A$2:$A$501"),"&gt;="&amp;$I26,INDIRECT("'"&amp;$A26&amp;"'!$A$2:$A$501"),"&lt;"&amp;($BA26+1),INDIRECT("'"&amp;$A26&amp;"'!$F$2:$F$501"),"Didn't see it"),0)))</f>
        <v/>
      </c>
      <c r="AR26" s="25">
        <f>IF(OR($A26="",$I26=""),"",IF($BC26="Y",SUMIFS(survey_frozen!$F$2:$F$251,survey_frozen!$P$2:$P$251,$A26&amp;"|"&amp;$B26),IFERROR(COUNTIFS(INDIRECT("'"&amp;$A26&amp;"'!$B$2:$B$501"),$T26,INDIRECT("'"&amp;$A26&amp;"'!$A$2:$A$501"),"&gt;="&amp;$I26,INDIRECT("'"&amp;$A26&amp;"'!$A$2:$A$501"),"&lt;"&amp;($BA26+1),INDIRECT("'"&amp;$A26&amp;"'!$F$2:$F$501"),"Not for me"),0)))</f>
        <v/>
      </c>
      <c r="AS26" s="25">
        <f>IF(OR($A26="",$I26=""),"",IF($BC26="Y",SUMIFS(survey_frozen!$G$2:$G$251,survey_frozen!$P$2:$P$251,$A26&amp;"|"&amp;$B26),IFERROR(COUNTIFS(INDIRECT("'"&amp;$A26&amp;"'!$B$2:$B$501"),$T26,INDIRECT("'"&amp;$A26&amp;"'!$A$2:$A$501"),"&gt;="&amp;$I26,INDIRECT("'"&amp;$A26&amp;"'!$A$2:$A$501"),"&lt;"&amp;($BA26+1),INDIRECT("'"&amp;$A26&amp;"'!$F$2:$F$501"),"Gone by the time I looked"),0)))</f>
        <v/>
      </c>
      <c r="AT26" s="25">
        <f>IF(OR($A26="",$I26=""),"",IF($BC26="Y",SUMIFS(survey_frozen!$H$2:$H$251,survey_frozen!$P$2:$P$251,$A26&amp;"|"&amp;$B26),IFERROR(COUNTIFS(INDIRECT("'"&amp;$A26&amp;"'!$B$2:$B$501"),$T26,INDIRECT("'"&amp;$A26&amp;"'!$A$2:$A$501"),"&gt;="&amp;$I26,INDIRECT("'"&amp;$A26&amp;"'!$A$2:$A$501"),"&lt;"&amp;($BA26+1),INDIRECT("'"&amp;$A26&amp;"'!$D$2:$D$501"),"&gt;=1"),0)))</f>
        <v/>
      </c>
      <c r="AU26" s="25">
        <f>IF(OR($A26="",$I26=""),"",IF($BC26="Y",SUMIFS(survey_frozen!$I$2:$I$251,survey_frozen!$P$2:$P$251,$A26&amp;"|"&amp;$B26),IFERROR(SUMIFS(INDIRECT("'"&amp;$A26&amp;"'!$D$2:$D$501"),INDIRECT("'"&amp;$A26&amp;"'!$B$2:$B$501"),$T26,INDIRECT("'"&amp;$A26&amp;"'!$A$2:$A$501"),"&gt;="&amp;$I26,INDIRECT("'"&amp;$A26&amp;"'!$A$2:$A$501"),"&lt;"&amp;($BA26+1)),0)))</f>
        <v/>
      </c>
      <c r="AV26" s="25">
        <f>IF(OR($A26="",$I26=""),"",IF($BC26="Y",SUMIFS(survey_frozen!$J$2:$J$251,survey_frozen!$P$2:$P$251,$A26&amp;"|"&amp;$B26),IFERROR(COUNTIFS(INDIRECT("'"&amp;$A26&amp;"'!$B$2:$B$501"),$T26,INDIRECT("'"&amp;$A26&amp;"'!$A$2:$A$501"),"&gt;="&amp;$I26,INDIRECT("'"&amp;$A26&amp;"'!$A$2:$A$501"),"&lt;"&amp;($BA26+1),INDIRECT("'"&amp;$A26&amp;"'!$E$2:$E$501"),"Yes"),0)))</f>
        <v/>
      </c>
      <c r="AW26" s="25">
        <f>IF(OR($A26="",$I26=""),"",IF($BC26="Y",SUMIFS(survey_frozen!$K$2:$K$251,survey_frozen!$P$2:$P$251,$A26&amp;"|"&amp;$B26),IFERROR(COUNTIFS(INDIRECT("'"&amp;$A26&amp;"'!$B$2:$B$501"),$T26,INDIRECT("'"&amp;$A26&amp;"'!$A$2:$A$501"),"&gt;="&amp;$I26,INDIRECT("'"&amp;$A26&amp;"'!$A$2:$A$501"),"&lt;"&amp;($BA26+1),INDIRECT("'"&amp;$A26&amp;"'!$E$2:$E$501"),"Maybe"),0)))</f>
        <v/>
      </c>
      <c r="AX26" s="25">
        <f>IF(OR($A26="",$I26=""),"",IF($BC26="Y",SUMIFS(survey_frozen!$L$2:$L$251,survey_frozen!$P$2:$P$251,$A26&amp;"|"&amp;$B26),IFERROR(COUNTIFS(INDIRECT("'"&amp;$A26&amp;"'!$B$2:$B$501"),$T26,INDIRECT("'"&amp;$A26&amp;"'!$A$2:$A$501"),"&gt;="&amp;$I26,INDIRECT("'"&amp;$A26&amp;"'!$A$2:$A$501"),"&lt;"&amp;($BA26+1),INDIRECT("'"&amp;$A26&amp;"'!$E$2:$E$501"),"No"),0)))</f>
        <v/>
      </c>
      <c r="AY26" s="25">
        <f>IF(OR($A26="",$I26=""),"",IF($BC26="Y",SUMIFS(survey_frozen!$M$2:$M$251,survey_frozen!$P$2:$P$251,$A26&amp;"|"&amp;$B26),IFERROR(COUNTIFS(INDIRECT("'"&amp;$A26&amp;"'!$B$2:$B$501"),$T26,INDIRECT("'"&amp;$A26&amp;"'!$A$2:$A$501"),"&gt;="&amp;$I26,INDIRECT("'"&amp;$A26&amp;"'!$A$2:$A$501"),"&lt;"&amp;($BA26+1),INDIRECT("'"&amp;$A26&amp;"'!$G$2:$G$501"),"&lt;&gt;"),0)))</f>
        <v/>
      </c>
      <c r="AZ26" s="25">
        <f>IF($A26="","",$A26&amp;"|"&amp;$L26)</f>
        <v/>
      </c>
      <c r="BA26" s="26">
        <f>IF($A26="","",IFERROR(IF(INDEX(drops!$R$2:$R$21,MATCH($H26,drops!$A$2:$A$21,0))="","",INDEX(drops!$R$2:$R$21,MATCH($H26,drops!$A$2:$A$21,0))),""))</f>
        <v/>
      </c>
      <c r="BB26" s="25">
        <f>IF(OR($A26="",$Q26&lt;&gt;"Y"),1000000,N($AL26))</f>
        <v/>
      </c>
      <c r="BC26" s="25">
        <f>IF($A26="","",IF(COUNTIF(survey_frozen!$P$2:$P$251,$A26&amp;"|"&amp;$B26)&gt;0,"Y",""))</f>
        <v/>
      </c>
    </row>
    <row r="27">
      <c r="A27" t="inlineStr">
        <is>
          <t>SAMPLE-CMP-004</t>
        </is>
      </c>
      <c r="B27" t="inlineStr">
        <is>
          <t>SAMPLE-O-006</t>
        </is>
      </c>
      <c r="C27" s="9" t="n">
        <v>46393</v>
      </c>
      <c r="D27" t="inlineStr">
        <is>
          <t>yes</t>
        </is>
      </c>
      <c r="E27" s="9" t="n">
        <v>46396</v>
      </c>
      <c r="F27" t="inlineStr">
        <is>
          <t>SAMPLE replied by email</t>
        </is>
      </c>
      <c r="H27" s="25">
        <f>IF($A27="","",IFERROR(IF(INDEX(campaigns!$B$2:$B$51,MATCH($A27,campaigns!$A$2:$A$51,0))="","",INDEX(campaigns!$B$2:$B$51,MATCH($A27,campaigns!$A$2:$A$51,0))),""))</f>
        <v/>
      </c>
      <c r="I27" s="26">
        <f>IF($A27="","",IFERROR(IF(INDEX(campaigns!$BG$2:$BG$51,MATCH($A27,campaigns!$A$2:$A$51,0))="","",INDEX(campaigns!$BG$2:$BG$51,MATCH($A27,campaigns!$A$2:$A$51,0))),""))</f>
        <v/>
      </c>
      <c r="J27" s="25">
        <f>IF($A27="","",IFERROR(IF(INDEX(campaigns!$BE$2:$BE$51,MATCH($A27,campaigns!$A$2:$A$51,0))="","",INDEX(campaigns!$BE$2:$BE$51,MATCH($A27,campaigns!$A$2:$A$51,0))),""))</f>
        <v/>
      </c>
      <c r="K27" s="25">
        <f>IF($B27="","",IFERROR(IF(INDEX(offices!$N$2:$N$61,MATCH($B27,offices!$A$2:$A$61,0))="","",INDEX(offices!$N$2:$N$61,MATCH($B27,offices!$A$2:$A$61,0))),""))</f>
        <v/>
      </c>
      <c r="L27" s="25">
        <f>IF($A27="","",IF($Q27="N","",COUNTIFS($A$2:$A27,$A27,$Q$2:$Q27,"&lt;&gt;N")))</f>
        <v/>
      </c>
      <c r="M27" s="25">
        <f>IF(OR($A27="",$L27=""),"",IF(AND(config!$B$34="names_if_public",IFERROR(IF(INDEX(offices!$AF$2:$AF$61,MATCH($B27,offices!$A$2:$A$61,0))="","",INDEX(offices!$AF$2:$AF$61,MATCH($B27,offices!$A$2:$A$61,0))),"")="Y"),$K27,CHAR(64+$L27)))</f>
        <v/>
      </c>
      <c r="N27" s="25">
        <f>IF(OR($A27="",$I27=""),"",COUNTIFS(stops!$B$2:$B$151,$B27,stops!$P$2:$P$151,"&lt;"&amp;$I27,stops!$L$2:$L$151,"&lt;&gt;not_delivered")+1)</f>
        <v/>
      </c>
      <c r="O27" s="25">
        <f>IF($A27="","",IF(N($N27)&lt;=config!$B$29,"explicit","opt-out"))</f>
        <v/>
      </c>
      <c r="P27" s="25">
        <f>IF($A27="","",IF($O27="explicit",IF($D27="yes","Y",IF($D27="no","N","pending")),IF($D27="no","N",IF(AND($C27&lt;&gt;"",$I27&lt;&gt;"",$C27&lt;=WORKDAY(N($I27),-5,calendar!$A$2:$A$80)),"Y","pending"))))</f>
        <v/>
      </c>
      <c r="Q27" s="25">
        <f>IF($A27="","",IF($P27="N","N",IF($P27&lt;&gt;"Y","pending",IF(AND((COUNTIFS(stops!$A$2:$A$151,$H27,stops!$B$2:$B$151,$B27,stops!$L$2:$L$151,"declined")+COUNTIFS(stops!$A$2:$A$151,$H27,stops!$B$2:$B$151,$B27,stops!$L$2:$L$151,"building_refused")+COUNTIFS(stops!$A$2:$A$151,$H27,stops!$B$2:$B$151,$B27,stops!$L$2:$L$151,"not_delivered"))&gt;0,N($U27)=0),"N","Y"))))</f>
        <v/>
      </c>
      <c r="R27" s="25">
        <f>IF($A27="","",IF(COUNTIFS($A$2:$A$251,$A27,$B$2:$B$251,$B27)&gt;1,"DUPLICATE ROW; ","")&amp;IF(AND(IFERROR(IF(INDEX(offices!$AC$2:$AC$61,MATCH($B27,offices!$A$2:$A$61,0))="","",INDEX(offices!$AC$2:$AC$61,MATCH($B27,offices!$A$2:$A$61,0))),"")&lt;&gt;"",ISNUMBER(SEARCH($J27,IFERROR(IF(INDEX(offices!$AC$2:$AC$61,MATCH($B27,offices!$A$2:$A$61,0))="","",INDEX(offices!$AC$2:$AC$61,MATCH($B27,offices!$A$2:$A$61,0))),"")))),"BRAND VETOED; ","")&amp;IF(ISNUMBER(SEARCH(IFERROR(IF(INDEX(campaigns!$BF$2:$BF$51,MATCH($A27,campaigns!$A$2:$A$51,0))="","",INDEX(campaigns!$BF$2:$BF$51,MATCH($A27,campaigns!$A$2:$A$51,0))),""),IFERROR(IF(INDEX(offices!$AB$2:$AB$61,MATCH($B27,offices!$A$2:$A$61,0))="","",INDEX(offices!$AB$2:$AB$61,MATCH($B27,offices!$A$2:$A$61,0))),""))),"","info: category not on the office's list; ")&amp;IF(IFERROR(IF(INDEX(offices!$AC$2:$AC$61,MATCH($B27,offices!$A$2:$A$61,0))="","",INDEX(offices!$AC$2:$AC$61,MATCH($B27,offices!$A$2:$A$61,0))),"")&lt;&gt;"","info: read the vetoes against the label; ",""))</f>
        <v/>
      </c>
      <c r="S27" s="25">
        <f>IF($A27="","",IF($G27&lt;&gt;"",$G27,IFERROR(IF(INDEX(offices!$AL$2:$AL$61,MATCH($B27,offices!$A$2:$A$61,0))="","",INDEX(offices!$AL$2:$AL$61,MATCH($B27,offices!$A$2:$A$61,0))),"")))</f>
        <v/>
      </c>
      <c r="T27" s="25">
        <f>IF($A27="","",$A27&amp;"."&amp;$B27)</f>
        <v/>
      </c>
      <c r="U27" s="25">
        <f>IF($A27="","",SUMIFS(inventory!$G$2:$G$801,inventory!$C$2:$C$801,$A27,inventory!$D$2:$D$801,$B27,inventory!$E$2:$E$801,"delivered"))</f>
        <v/>
      </c>
      <c r="V27" s="32">
        <f>IF($A27="","",IFERROR(1/(1/SUMPRODUCT(MAX((inventory!$C$2:$C$801=$A27)*(inventory!$D$2:$D$801=$B27)*(inventory!$E$2:$E$801="delivered")*(inventory!$A$2:$A$801+inventory!$B$2:$B$801)))),""))</f>
        <v/>
      </c>
      <c r="W27" s="25">
        <f>IF($A27="","",IFERROR(IF(INDEX(inventory!$J$2:$J$801,MATCH($A27&amp;"|"&amp;$B27&amp;"|delivered",inventory!$R$2:$R$801,0))="","",INDEX(inventory!$J$2:$J$801,MATCH($A27&amp;"|"&amp;$B27&amp;"|delivered",inventory!$R$2:$R$801,0))),""))</f>
        <v/>
      </c>
      <c r="X27" s="25">
        <f>IF($A27="","",IFERROR(IF(INDEX(photos!$H$2:$H$701,MATCH($A27&amp;"|"&amp;$B27&amp;"|placement|Y",photos!$R$2:$R$701,0))="","",INDEX(photos!$H$2:$H$701,MATCH($A27&amp;"|"&amp;$B27&amp;"|placement|Y",photos!$R$2:$R$701,0))),""))</f>
        <v/>
      </c>
      <c r="Y27" s="26">
        <f>IF($A27="","",IFERROR(IF(INDEX(photos!$E$2:$E$701,MATCH($A27&amp;"|"&amp;$B27&amp;"|placement|Y",photos!$R$2:$R$701,0))="","",INDEX(photos!$E$2:$E$701,MATCH($A27&amp;"|"&amp;$B27&amp;"|placement|Y",photos!$R$2:$R$701,0))),""))</f>
        <v/>
      </c>
      <c r="Z27" s="25">
        <f>IF($A27="","",IF(COUNTIFS(counts!$C$2:$C$701,$A27,counts!$D$2:$D$701,$B27,counts!$E$2:$E$701,"placed")=0,"",SUMIFS(counts!$F$2:$F$701,counts!$C$2:$C$701,$A27,counts!$D$2:$D$701,$B27,counts!$E$2:$E$701,"placed")))</f>
        <v/>
      </c>
      <c r="AA27" s="25">
        <f>IF($A27="","",IF($Y27="",0,N($Z27)))</f>
        <v/>
      </c>
      <c r="AB27" s="25">
        <f>IF($A27="","",IF(OR($Y27="",$I27=""),"N",IF($Y27&lt;=WORKDAY(N($I27),1,calendar!$A$2:$A$80),"Y","N")))</f>
        <v/>
      </c>
      <c r="AC27" s="28">
        <f>IF(OR($A27="",$V27="",$Y27=""),"",ROUND(($Y27+N(IFERROR(IF(INDEX(photos!$F$2:$F$701,MATCH($A27&amp;"|"&amp;$B27&amp;"|placement|Y",photos!$R$2:$R$701,0))="","",INDEX(photos!$F$2:$F$701,MATCH($A27&amp;"|"&amp;$B27&amp;"|placement|Y",photos!$R$2:$R$701,0))),""))-$V27)*24,1))</f>
        <v/>
      </c>
      <c r="AD27" s="25">
        <f>IF($A27="","",SUMIFS(inventory!$G$2:$G$801,inventory!$C$2:$C$801,$A27,inventory!$D$2:$D$801,$B27,inventory!$E$2:$E$801,"topped_up"))</f>
        <v/>
      </c>
      <c r="AE27" s="25">
        <f>IF($A27="","",IF(COUNTIFS(counts!$C$2:$C$701,$A27,counts!$D$2:$D$701,$B27,counts!$E$2:$E$701,"remaining_day3")=0,"",SUMIFS(counts!$F$2:$F$701,counts!$C$2:$C$701,$A27,counts!$D$2:$D$701,$B27,counts!$E$2:$E$701,"remaining_day3")))</f>
        <v/>
      </c>
      <c r="AF27" s="25">
        <f>IF($A27="","",IF(COUNTIFS(counts!$C$2:$C$701,$A27,counts!$D$2:$D$701,$B27,counts!$E$2:$E$701,"remaining_day5")=0,"",SUMIFS(counts!$F$2:$F$701,counts!$C$2:$C$701,$A27,counts!$D$2:$D$701,$B27,counts!$E$2:$E$701,"remaining_day5")))</f>
        <v/>
      </c>
      <c r="AG27" s="25">
        <f>IF(OR($A27="",$AF27=""),"",MAX(0,$AA27+$AD27-$AF27))</f>
        <v/>
      </c>
      <c r="AH27" s="25">
        <f>IF(OR($A27="",$AI27=""),"",IFERROR(IF(INDEX(photos!$H$2:$H$701,MATCH($A27&amp;"|"&amp;$B27&amp;"|later|Y|"&amp;$AI27,photos!$S$2:$S$701,0))="","",INDEX(photos!$H$2:$H$701,MATCH($A27&amp;"|"&amp;$B27&amp;"|later|Y|"&amp;$AI27,photos!$S$2:$S$701,0))),""))</f>
        <v/>
      </c>
      <c r="AI27" s="26">
        <f>IF($A27="","",IFERROR(1/(1/SUMPRODUCT(MAX((photos!$B$2:$B$701=$A27)*(photos!$C$2:$C$701=$B27)*(photos!$D$2:$D$701="later")*(photos!$O$2:$O$701="Y")*photos!$E$2:$E$701))),""))</f>
        <v/>
      </c>
      <c r="AJ27" s="25">
        <f>IF(OR($A27="",$AI27="",$I27=""),"",NETWORKDAYS($I27,$AI27,calendar!$A$2:$A$80))</f>
        <v/>
      </c>
      <c r="AK27" s="25">
        <f>IF($A27="","",IF(AND($X27&lt;&gt;"",$AH27&lt;&gt;""),"Y","N"))</f>
        <v/>
      </c>
      <c r="AL27" s="25">
        <f>IF(OR($A27="",$I27=""),"",IF($BC27="Y",SUMIFS(survey_frozen!$C$2:$C$251,survey_frozen!$P$2:$P$251,$A27&amp;"|"&amp;$B27),IFERROR(COUNTIFS(INDIRECT("'"&amp;$A27&amp;"'!$B$2:$B$501"),$T27,INDIRECT("'"&amp;$A27&amp;"'!$A$2:$A$501"),"&gt;="&amp;$I27,INDIRECT("'"&amp;$A27&amp;"'!$A$2:$A$501"),"&lt;"&amp;($BA27+1)),0)))</f>
        <v/>
      </c>
      <c r="AM27" s="25">
        <f>IF(OR($A27="",$I27=""),"",IF($BC27="Y",SUMIFS(survey_frozen!$D$2:$D$251,survey_frozen!$P$2:$P$251,$A27&amp;"|"&amp;$B27),IFERROR(COUNTIFS(INDIRECT("'"&amp;$A27&amp;"'!$B$2:$B$501"),$T27,INDIRECT("'"&amp;$A27&amp;"'!$A$2:$A$501"),"&gt;="&amp;$I27,INDIRECT("'"&amp;$A27&amp;"'!$A$2:$A$501"),"&lt;"&amp;($BA27+1),INDIRECT("'"&amp;$A27&amp;"'!$C$2:$C$501"),"Yes"),0)))</f>
        <v/>
      </c>
      <c r="AN27" s="25">
        <f>IF($A27="","",IF(COUNTIFS(scans!$C$2:$C$1601,(IF(LEFT($A27,7)="SAMPLE-","SAMPLE-","")&amp;LOWER(SUBSTITUTE(SUBSTITUTE($A27,"SAMPLE-",""),"CMP-","c"))&amp;"-"&amp;LOWER(SUBSTITUTE(SUBSTITUTE($B27,"SAMPLE-",""),"O-","o"))&amp;"-q"),scans!$D$2:$D$1601,"close")=0,"",SUMPRODUCT(MAX((scans!$C$2:$C$1601=(IF(LEFT($A27,7)="SAMPLE-","SAMPLE-","")&amp;LOWER(SUBSTITUTE(SUBSTITUTE($A27,"SAMPLE-",""),"CMP-","c"))&amp;"-"&amp;LOWER(SUBSTITUTE(SUBSTITUTE($B27,"SAMPLE-",""),"O-","o"))&amp;"-q"))*(scans!$D$2:$D$1601="close")*scans!$E$2:$E$1601))-SUMPRODUCT(MAX((scans!$C$2:$C$1601=(IF(LEFT($A27,7)="SAMPLE-","SAMPLE-","")&amp;LOWER(SUBSTITUTE(SUBSTITUTE($A27,"SAMPLE-",""),"CMP-","c"))&amp;"-"&amp;LOWER(SUBSTITUTE(SUBSTITUTE($B27,"SAMPLE-",""),"O-","o"))&amp;"-q"))*(scans!$D$2:$D$1601="baseline")*scans!$E$2:$E$1601))))</f>
        <v/>
      </c>
      <c r="AO27" s="25">
        <f>IF($A27="","",IF(COUNTIFS(scans!$C$2:$C$1601,(IF(LEFT($A27,7)="SAMPLE-","SAMPLE-","")&amp;LOWER(SUBSTITUTE(SUBSTITUTE($A27,"SAMPLE-",""),"CMP-","c"))&amp;"-"&amp;LOWER(SUBSTITUTE(SUBSTITUTE($B27,"SAMPLE-",""),"O-","o"))&amp;"-p"),scans!$D$2:$D$1601,"close")=0,"",SUMPRODUCT(MAX((scans!$C$2:$C$1601=(IF(LEFT($A27,7)="SAMPLE-","SAMPLE-","")&amp;LOWER(SUBSTITUTE(SUBSTITUTE($A27,"SAMPLE-",""),"CMP-","c"))&amp;"-"&amp;LOWER(SUBSTITUTE(SUBSTITUTE($B27,"SAMPLE-",""),"O-","o"))&amp;"-p"))*(scans!$D$2:$D$1601="close")*scans!$E$2:$E$1601))-SUMPRODUCT(MAX((scans!$C$2:$C$1601=(IF(LEFT($A27,7)="SAMPLE-","SAMPLE-","")&amp;LOWER(SUBSTITUTE(SUBSTITUTE($A27,"SAMPLE-",""),"CMP-","c"))&amp;"-"&amp;LOWER(SUBSTITUTE(SUBSTITUTE($B27,"SAMPLE-",""),"O-","o"))&amp;"-p"))*(scans!$D$2:$D$1601="baseline")*scans!$E$2:$E$1601))))</f>
        <v/>
      </c>
      <c r="AP27" s="25">
        <f>IF($A27="","",IF(COUNTIF(offices!$A$2:$A$61,$B27)=0,"office_id not on offices; ","")&amp;IF(COUNTIF(campaigns!$A$2:$A$51,$A27)=0,"campaign_id not on campaigns; ","")&amp;IF($P27="pending","approval pending; ","")&amp;IF(AND($U27&gt;0,$Y27="",OR($I27="",IF(config!$B$37&lt;&gt;"",config!$B$37,TODAY())&lt;=WORKDAY(N($I27),4,calendar!$A$2:$A$80))),"no usable placement photo yet; ","")&amp;IF(AND($Y27&lt;&gt;"",$Z27=""),"log the placed count; ","")&amp;IF(N($AA27)&gt;N($U27),"placed more than delivered; ","")&amp;IF(AND($AF27&lt;&gt;"",N($AF27)&gt;N($AA27)+N($AD27)),"day-5 count above placed plus top-ups; ","")&amp;IF(AND($U27&gt;0,$I27&lt;&gt;"",IF(config!$B$37&lt;&gt;"",config!$B$37,TODAY())&gt;WORKDAY(N($I27),4,calendar!$A$2:$A$80),$AF27=""),"day-5 count missing; ","")&amp;IF(AND($U27&gt;0,$I27&lt;&gt;"",IF(config!$B$37&lt;&gt;"",config!$B$37,TODAY())&gt;WORKDAY(N($I27),4,calendar!$A$2:$A$80),$AN27=""),"no close link reading; ","")&amp;$R27&amp;IF($P27="N","info: office said no; ","")&amp;IF(AND($P27="Y",$Q27="N"),"info: turned away at the door, so not on the drop (no letter, not in the report or Gate 2; the credit check is on campaigns); ","")&amp;IF(AND($U27&gt;0,$Y27="",$I27&lt;&gt;"",IF(config!$B$37&lt;&gt;"",config!$B$37,TODAY())&gt;WORKDAY(N($I27),4,calendar!$A$2:$A$80)),"info: no usable placement photo, so nothing counts as placed; ","")&amp;IF(AND($U27&gt;0,$I27&lt;&gt;"",IF(config!$B$37&lt;&gt;"",config!$B$37,TODAY())&gt;WORKDAY(N($I27),4,calendar!$A$2:$A$80),N($AL27)&lt;config!$B$30),"info: under "&amp;config!$B$30&amp;" responses; ","")&amp;IF($W27="packing_list","info: delivered count not verified; ",""))</f>
        <v/>
      </c>
      <c r="AQ27" s="25">
        <f>IF(OR($A27="",$I27=""),"",IF($BC27="Y",SUMIFS(survey_frozen!$E$2:$E$251,survey_frozen!$P$2:$P$251,$A27&amp;"|"&amp;$B27),IFERROR(COUNTIFS(INDIRECT("'"&amp;$A27&amp;"'!$B$2:$B$501"),$T27,INDIRECT("'"&amp;$A27&amp;"'!$A$2:$A$501"),"&gt;="&amp;$I27,INDIRECT("'"&amp;$A27&amp;"'!$A$2:$A$501"),"&lt;"&amp;($BA27+1),INDIRECT("'"&amp;$A27&amp;"'!$F$2:$F$501"),"Didn't see it"),0)))</f>
        <v/>
      </c>
      <c r="AR27" s="25">
        <f>IF(OR($A27="",$I27=""),"",IF($BC27="Y",SUMIFS(survey_frozen!$F$2:$F$251,survey_frozen!$P$2:$P$251,$A27&amp;"|"&amp;$B27),IFERROR(COUNTIFS(INDIRECT("'"&amp;$A27&amp;"'!$B$2:$B$501"),$T27,INDIRECT("'"&amp;$A27&amp;"'!$A$2:$A$501"),"&gt;="&amp;$I27,INDIRECT("'"&amp;$A27&amp;"'!$A$2:$A$501"),"&lt;"&amp;($BA27+1),INDIRECT("'"&amp;$A27&amp;"'!$F$2:$F$501"),"Not for me"),0)))</f>
        <v/>
      </c>
      <c r="AS27" s="25">
        <f>IF(OR($A27="",$I27=""),"",IF($BC27="Y",SUMIFS(survey_frozen!$G$2:$G$251,survey_frozen!$P$2:$P$251,$A27&amp;"|"&amp;$B27),IFERROR(COUNTIFS(INDIRECT("'"&amp;$A27&amp;"'!$B$2:$B$501"),$T27,INDIRECT("'"&amp;$A27&amp;"'!$A$2:$A$501"),"&gt;="&amp;$I27,INDIRECT("'"&amp;$A27&amp;"'!$A$2:$A$501"),"&lt;"&amp;($BA27+1),INDIRECT("'"&amp;$A27&amp;"'!$F$2:$F$501"),"Gone by the time I looked"),0)))</f>
        <v/>
      </c>
      <c r="AT27" s="25">
        <f>IF(OR($A27="",$I27=""),"",IF($BC27="Y",SUMIFS(survey_frozen!$H$2:$H$251,survey_frozen!$P$2:$P$251,$A27&amp;"|"&amp;$B27),IFERROR(COUNTIFS(INDIRECT("'"&amp;$A27&amp;"'!$B$2:$B$501"),$T27,INDIRECT("'"&amp;$A27&amp;"'!$A$2:$A$501"),"&gt;="&amp;$I27,INDIRECT("'"&amp;$A27&amp;"'!$A$2:$A$501"),"&lt;"&amp;($BA27+1),INDIRECT("'"&amp;$A27&amp;"'!$D$2:$D$501"),"&gt;=1"),0)))</f>
        <v/>
      </c>
      <c r="AU27" s="25">
        <f>IF(OR($A27="",$I27=""),"",IF($BC27="Y",SUMIFS(survey_frozen!$I$2:$I$251,survey_frozen!$P$2:$P$251,$A27&amp;"|"&amp;$B27),IFERROR(SUMIFS(INDIRECT("'"&amp;$A27&amp;"'!$D$2:$D$501"),INDIRECT("'"&amp;$A27&amp;"'!$B$2:$B$501"),$T27,INDIRECT("'"&amp;$A27&amp;"'!$A$2:$A$501"),"&gt;="&amp;$I27,INDIRECT("'"&amp;$A27&amp;"'!$A$2:$A$501"),"&lt;"&amp;($BA27+1)),0)))</f>
        <v/>
      </c>
      <c r="AV27" s="25">
        <f>IF(OR($A27="",$I27=""),"",IF($BC27="Y",SUMIFS(survey_frozen!$J$2:$J$251,survey_frozen!$P$2:$P$251,$A27&amp;"|"&amp;$B27),IFERROR(COUNTIFS(INDIRECT("'"&amp;$A27&amp;"'!$B$2:$B$501"),$T27,INDIRECT("'"&amp;$A27&amp;"'!$A$2:$A$501"),"&gt;="&amp;$I27,INDIRECT("'"&amp;$A27&amp;"'!$A$2:$A$501"),"&lt;"&amp;($BA27+1),INDIRECT("'"&amp;$A27&amp;"'!$E$2:$E$501"),"Yes"),0)))</f>
        <v/>
      </c>
      <c r="AW27" s="25">
        <f>IF(OR($A27="",$I27=""),"",IF($BC27="Y",SUMIFS(survey_frozen!$K$2:$K$251,survey_frozen!$P$2:$P$251,$A27&amp;"|"&amp;$B27),IFERROR(COUNTIFS(INDIRECT("'"&amp;$A27&amp;"'!$B$2:$B$501"),$T27,INDIRECT("'"&amp;$A27&amp;"'!$A$2:$A$501"),"&gt;="&amp;$I27,INDIRECT("'"&amp;$A27&amp;"'!$A$2:$A$501"),"&lt;"&amp;($BA27+1),INDIRECT("'"&amp;$A27&amp;"'!$E$2:$E$501"),"Maybe"),0)))</f>
        <v/>
      </c>
      <c r="AX27" s="25">
        <f>IF(OR($A27="",$I27=""),"",IF($BC27="Y",SUMIFS(survey_frozen!$L$2:$L$251,survey_frozen!$P$2:$P$251,$A27&amp;"|"&amp;$B27),IFERROR(COUNTIFS(INDIRECT("'"&amp;$A27&amp;"'!$B$2:$B$501"),$T27,INDIRECT("'"&amp;$A27&amp;"'!$A$2:$A$501"),"&gt;="&amp;$I27,INDIRECT("'"&amp;$A27&amp;"'!$A$2:$A$501"),"&lt;"&amp;($BA27+1),INDIRECT("'"&amp;$A27&amp;"'!$E$2:$E$501"),"No"),0)))</f>
        <v/>
      </c>
      <c r="AY27" s="25">
        <f>IF(OR($A27="",$I27=""),"",IF($BC27="Y",SUMIFS(survey_frozen!$M$2:$M$251,survey_frozen!$P$2:$P$251,$A27&amp;"|"&amp;$B27),IFERROR(COUNTIFS(INDIRECT("'"&amp;$A27&amp;"'!$B$2:$B$501"),$T27,INDIRECT("'"&amp;$A27&amp;"'!$A$2:$A$501"),"&gt;="&amp;$I27,INDIRECT("'"&amp;$A27&amp;"'!$A$2:$A$501"),"&lt;"&amp;($BA27+1),INDIRECT("'"&amp;$A27&amp;"'!$G$2:$G$501"),"&lt;&gt;"),0)))</f>
        <v/>
      </c>
      <c r="AZ27" s="25">
        <f>IF($A27="","",$A27&amp;"|"&amp;$L27)</f>
        <v/>
      </c>
      <c r="BA27" s="26">
        <f>IF($A27="","",IFERROR(IF(INDEX(drops!$R$2:$R$21,MATCH($H27,drops!$A$2:$A$21,0))="","",INDEX(drops!$R$2:$R$21,MATCH($H27,drops!$A$2:$A$21,0))),""))</f>
        <v/>
      </c>
      <c r="BB27" s="25">
        <f>IF(OR($A27="",$Q27&lt;&gt;"Y"),1000000,N($AL27))</f>
        <v/>
      </c>
      <c r="BC27" s="25">
        <f>IF($A27="","",IF(COUNTIF(survey_frozen!$P$2:$P$251,$A27&amp;"|"&amp;$B27)&gt;0,"Y",""))</f>
        <v/>
      </c>
    </row>
    <row r="28">
      <c r="A28" t="inlineStr">
        <is>
          <t>SAMPLE-CMP-004</t>
        </is>
      </c>
      <c r="B28" t="inlineStr">
        <is>
          <t>SAMPLE-O-007</t>
        </is>
      </c>
      <c r="C28" s="9" t="n">
        <v>46393</v>
      </c>
      <c r="D28" t="inlineStr">
        <is>
          <t>no</t>
        </is>
      </c>
      <c r="E28" s="9" t="n">
        <v>46395</v>
      </c>
      <c r="F28" t="inlineStr">
        <is>
          <t>SAMPLE replied by email</t>
        </is>
      </c>
      <c r="H28" s="25">
        <f>IF($A28="","",IFERROR(IF(INDEX(campaigns!$B$2:$B$51,MATCH($A28,campaigns!$A$2:$A$51,0))="","",INDEX(campaigns!$B$2:$B$51,MATCH($A28,campaigns!$A$2:$A$51,0))),""))</f>
        <v/>
      </c>
      <c r="I28" s="26">
        <f>IF($A28="","",IFERROR(IF(INDEX(campaigns!$BG$2:$BG$51,MATCH($A28,campaigns!$A$2:$A$51,0))="","",INDEX(campaigns!$BG$2:$BG$51,MATCH($A28,campaigns!$A$2:$A$51,0))),""))</f>
        <v/>
      </c>
      <c r="J28" s="25">
        <f>IF($A28="","",IFERROR(IF(INDEX(campaigns!$BE$2:$BE$51,MATCH($A28,campaigns!$A$2:$A$51,0))="","",INDEX(campaigns!$BE$2:$BE$51,MATCH($A28,campaigns!$A$2:$A$51,0))),""))</f>
        <v/>
      </c>
      <c r="K28" s="25">
        <f>IF($B28="","",IFERROR(IF(INDEX(offices!$N$2:$N$61,MATCH($B28,offices!$A$2:$A$61,0))="","",INDEX(offices!$N$2:$N$61,MATCH($B28,offices!$A$2:$A$61,0))),""))</f>
        <v/>
      </c>
      <c r="L28" s="25">
        <f>IF($A28="","",IF($Q28="N","",COUNTIFS($A$2:$A28,$A28,$Q$2:$Q28,"&lt;&gt;N")))</f>
        <v/>
      </c>
      <c r="M28" s="25">
        <f>IF(OR($A28="",$L28=""),"",IF(AND(config!$B$34="names_if_public",IFERROR(IF(INDEX(offices!$AF$2:$AF$61,MATCH($B28,offices!$A$2:$A$61,0))="","",INDEX(offices!$AF$2:$AF$61,MATCH($B28,offices!$A$2:$A$61,0))),"")="Y"),$K28,CHAR(64+$L28)))</f>
        <v/>
      </c>
      <c r="N28" s="25">
        <f>IF(OR($A28="",$I28=""),"",COUNTIFS(stops!$B$2:$B$151,$B28,stops!$P$2:$P$151,"&lt;"&amp;$I28,stops!$L$2:$L$151,"&lt;&gt;not_delivered")+1)</f>
        <v/>
      </c>
      <c r="O28" s="25">
        <f>IF($A28="","",IF(N($N28)&lt;=config!$B$29,"explicit","opt-out"))</f>
        <v/>
      </c>
      <c r="P28" s="25">
        <f>IF($A28="","",IF($O28="explicit",IF($D28="yes","Y",IF($D28="no","N","pending")),IF($D28="no","N",IF(AND($C28&lt;&gt;"",$I28&lt;&gt;"",$C28&lt;=WORKDAY(N($I28),-5,calendar!$A$2:$A$80)),"Y","pending"))))</f>
        <v/>
      </c>
      <c r="Q28" s="25">
        <f>IF($A28="","",IF($P28="N","N",IF($P28&lt;&gt;"Y","pending",IF(AND((COUNTIFS(stops!$A$2:$A$151,$H28,stops!$B$2:$B$151,$B28,stops!$L$2:$L$151,"declined")+COUNTIFS(stops!$A$2:$A$151,$H28,stops!$B$2:$B$151,$B28,stops!$L$2:$L$151,"building_refused")+COUNTIFS(stops!$A$2:$A$151,$H28,stops!$B$2:$B$151,$B28,stops!$L$2:$L$151,"not_delivered"))&gt;0,N($U28)=0),"N","Y"))))</f>
        <v/>
      </c>
      <c r="R28" s="25">
        <f>IF($A28="","",IF(COUNTIFS($A$2:$A$251,$A28,$B$2:$B$251,$B28)&gt;1,"DUPLICATE ROW; ","")&amp;IF(AND(IFERROR(IF(INDEX(offices!$AC$2:$AC$61,MATCH($B28,offices!$A$2:$A$61,0))="","",INDEX(offices!$AC$2:$AC$61,MATCH($B28,offices!$A$2:$A$61,0))),"")&lt;&gt;"",ISNUMBER(SEARCH($J28,IFERROR(IF(INDEX(offices!$AC$2:$AC$61,MATCH($B28,offices!$A$2:$A$61,0))="","",INDEX(offices!$AC$2:$AC$61,MATCH($B28,offices!$A$2:$A$61,0))),"")))),"BRAND VETOED; ","")&amp;IF(ISNUMBER(SEARCH(IFERROR(IF(INDEX(campaigns!$BF$2:$BF$51,MATCH($A28,campaigns!$A$2:$A$51,0))="","",INDEX(campaigns!$BF$2:$BF$51,MATCH($A28,campaigns!$A$2:$A$51,0))),""),IFERROR(IF(INDEX(offices!$AB$2:$AB$61,MATCH($B28,offices!$A$2:$A$61,0))="","",INDEX(offices!$AB$2:$AB$61,MATCH($B28,offices!$A$2:$A$61,0))),""))),"","info: category not on the office's list; ")&amp;IF(IFERROR(IF(INDEX(offices!$AC$2:$AC$61,MATCH($B28,offices!$A$2:$A$61,0))="","",INDEX(offices!$AC$2:$AC$61,MATCH($B28,offices!$A$2:$A$61,0))),"")&lt;&gt;"","info: read the vetoes against the label; ",""))</f>
        <v/>
      </c>
      <c r="S28" s="25">
        <f>IF($A28="","",IF($G28&lt;&gt;"",$G28,IFERROR(IF(INDEX(offices!$AL$2:$AL$61,MATCH($B28,offices!$A$2:$A$61,0))="","",INDEX(offices!$AL$2:$AL$61,MATCH($B28,offices!$A$2:$A$61,0))),"")))</f>
        <v/>
      </c>
      <c r="T28" s="25">
        <f>IF($A28="","",$A28&amp;"."&amp;$B28)</f>
        <v/>
      </c>
      <c r="U28" s="25">
        <f>IF($A28="","",SUMIFS(inventory!$G$2:$G$801,inventory!$C$2:$C$801,$A28,inventory!$D$2:$D$801,$B28,inventory!$E$2:$E$801,"delivered"))</f>
        <v/>
      </c>
      <c r="V28" s="32">
        <f>IF($A28="","",IFERROR(1/(1/SUMPRODUCT(MAX((inventory!$C$2:$C$801=$A28)*(inventory!$D$2:$D$801=$B28)*(inventory!$E$2:$E$801="delivered")*(inventory!$A$2:$A$801+inventory!$B$2:$B$801)))),""))</f>
        <v/>
      </c>
      <c r="W28" s="25">
        <f>IF($A28="","",IFERROR(IF(INDEX(inventory!$J$2:$J$801,MATCH($A28&amp;"|"&amp;$B28&amp;"|delivered",inventory!$R$2:$R$801,0))="","",INDEX(inventory!$J$2:$J$801,MATCH($A28&amp;"|"&amp;$B28&amp;"|delivered",inventory!$R$2:$R$801,0))),""))</f>
        <v/>
      </c>
      <c r="X28" s="25">
        <f>IF($A28="","",IFERROR(IF(INDEX(photos!$H$2:$H$701,MATCH($A28&amp;"|"&amp;$B28&amp;"|placement|Y",photos!$R$2:$R$701,0))="","",INDEX(photos!$H$2:$H$701,MATCH($A28&amp;"|"&amp;$B28&amp;"|placement|Y",photos!$R$2:$R$701,0))),""))</f>
        <v/>
      </c>
      <c r="Y28" s="26">
        <f>IF($A28="","",IFERROR(IF(INDEX(photos!$E$2:$E$701,MATCH($A28&amp;"|"&amp;$B28&amp;"|placement|Y",photos!$R$2:$R$701,0))="","",INDEX(photos!$E$2:$E$701,MATCH($A28&amp;"|"&amp;$B28&amp;"|placement|Y",photos!$R$2:$R$701,0))),""))</f>
        <v/>
      </c>
      <c r="Z28" s="25">
        <f>IF($A28="","",IF(COUNTIFS(counts!$C$2:$C$701,$A28,counts!$D$2:$D$701,$B28,counts!$E$2:$E$701,"placed")=0,"",SUMIFS(counts!$F$2:$F$701,counts!$C$2:$C$701,$A28,counts!$D$2:$D$701,$B28,counts!$E$2:$E$701,"placed")))</f>
        <v/>
      </c>
      <c r="AA28" s="25">
        <f>IF($A28="","",IF($Y28="",0,N($Z28)))</f>
        <v/>
      </c>
      <c r="AB28" s="25">
        <f>IF($A28="","",IF(OR($Y28="",$I28=""),"N",IF($Y28&lt;=WORKDAY(N($I28),1,calendar!$A$2:$A$80),"Y","N")))</f>
        <v/>
      </c>
      <c r="AC28" s="28">
        <f>IF(OR($A28="",$V28="",$Y28=""),"",ROUND(($Y28+N(IFERROR(IF(INDEX(photos!$F$2:$F$701,MATCH($A28&amp;"|"&amp;$B28&amp;"|placement|Y",photos!$R$2:$R$701,0))="","",INDEX(photos!$F$2:$F$701,MATCH($A28&amp;"|"&amp;$B28&amp;"|placement|Y",photos!$R$2:$R$701,0))),""))-$V28)*24,1))</f>
        <v/>
      </c>
      <c r="AD28" s="25">
        <f>IF($A28="","",SUMIFS(inventory!$G$2:$G$801,inventory!$C$2:$C$801,$A28,inventory!$D$2:$D$801,$B28,inventory!$E$2:$E$801,"topped_up"))</f>
        <v/>
      </c>
      <c r="AE28" s="25">
        <f>IF($A28="","",IF(COUNTIFS(counts!$C$2:$C$701,$A28,counts!$D$2:$D$701,$B28,counts!$E$2:$E$701,"remaining_day3")=0,"",SUMIFS(counts!$F$2:$F$701,counts!$C$2:$C$701,$A28,counts!$D$2:$D$701,$B28,counts!$E$2:$E$701,"remaining_day3")))</f>
        <v/>
      </c>
      <c r="AF28" s="25">
        <f>IF($A28="","",IF(COUNTIFS(counts!$C$2:$C$701,$A28,counts!$D$2:$D$701,$B28,counts!$E$2:$E$701,"remaining_day5")=0,"",SUMIFS(counts!$F$2:$F$701,counts!$C$2:$C$701,$A28,counts!$D$2:$D$701,$B28,counts!$E$2:$E$701,"remaining_day5")))</f>
        <v/>
      </c>
      <c r="AG28" s="25">
        <f>IF(OR($A28="",$AF28=""),"",MAX(0,$AA28+$AD28-$AF28))</f>
        <v/>
      </c>
      <c r="AH28" s="25">
        <f>IF(OR($A28="",$AI28=""),"",IFERROR(IF(INDEX(photos!$H$2:$H$701,MATCH($A28&amp;"|"&amp;$B28&amp;"|later|Y|"&amp;$AI28,photos!$S$2:$S$701,0))="","",INDEX(photos!$H$2:$H$701,MATCH($A28&amp;"|"&amp;$B28&amp;"|later|Y|"&amp;$AI28,photos!$S$2:$S$701,0))),""))</f>
        <v/>
      </c>
      <c r="AI28" s="26">
        <f>IF($A28="","",IFERROR(1/(1/SUMPRODUCT(MAX((photos!$B$2:$B$701=$A28)*(photos!$C$2:$C$701=$B28)*(photos!$D$2:$D$701="later")*(photos!$O$2:$O$701="Y")*photos!$E$2:$E$701))),""))</f>
        <v/>
      </c>
      <c r="AJ28" s="25">
        <f>IF(OR($A28="",$AI28="",$I28=""),"",NETWORKDAYS($I28,$AI28,calendar!$A$2:$A$80))</f>
        <v/>
      </c>
      <c r="AK28" s="25">
        <f>IF($A28="","",IF(AND($X28&lt;&gt;"",$AH28&lt;&gt;""),"Y","N"))</f>
        <v/>
      </c>
      <c r="AL28" s="25">
        <f>IF(OR($A28="",$I28=""),"",IF($BC28="Y",SUMIFS(survey_frozen!$C$2:$C$251,survey_frozen!$P$2:$P$251,$A28&amp;"|"&amp;$B28),IFERROR(COUNTIFS(INDIRECT("'"&amp;$A28&amp;"'!$B$2:$B$501"),$T28,INDIRECT("'"&amp;$A28&amp;"'!$A$2:$A$501"),"&gt;="&amp;$I28,INDIRECT("'"&amp;$A28&amp;"'!$A$2:$A$501"),"&lt;"&amp;($BA28+1)),0)))</f>
        <v/>
      </c>
      <c r="AM28" s="25">
        <f>IF(OR($A28="",$I28=""),"",IF($BC28="Y",SUMIFS(survey_frozen!$D$2:$D$251,survey_frozen!$P$2:$P$251,$A28&amp;"|"&amp;$B28),IFERROR(COUNTIFS(INDIRECT("'"&amp;$A28&amp;"'!$B$2:$B$501"),$T28,INDIRECT("'"&amp;$A28&amp;"'!$A$2:$A$501"),"&gt;="&amp;$I28,INDIRECT("'"&amp;$A28&amp;"'!$A$2:$A$501"),"&lt;"&amp;($BA28+1),INDIRECT("'"&amp;$A28&amp;"'!$C$2:$C$501"),"Yes"),0)))</f>
        <v/>
      </c>
      <c r="AN28" s="25">
        <f>IF($A28="","",IF(COUNTIFS(scans!$C$2:$C$1601,(IF(LEFT($A28,7)="SAMPLE-","SAMPLE-","")&amp;LOWER(SUBSTITUTE(SUBSTITUTE($A28,"SAMPLE-",""),"CMP-","c"))&amp;"-"&amp;LOWER(SUBSTITUTE(SUBSTITUTE($B28,"SAMPLE-",""),"O-","o"))&amp;"-q"),scans!$D$2:$D$1601,"close")=0,"",SUMPRODUCT(MAX((scans!$C$2:$C$1601=(IF(LEFT($A28,7)="SAMPLE-","SAMPLE-","")&amp;LOWER(SUBSTITUTE(SUBSTITUTE($A28,"SAMPLE-",""),"CMP-","c"))&amp;"-"&amp;LOWER(SUBSTITUTE(SUBSTITUTE($B28,"SAMPLE-",""),"O-","o"))&amp;"-q"))*(scans!$D$2:$D$1601="close")*scans!$E$2:$E$1601))-SUMPRODUCT(MAX((scans!$C$2:$C$1601=(IF(LEFT($A28,7)="SAMPLE-","SAMPLE-","")&amp;LOWER(SUBSTITUTE(SUBSTITUTE($A28,"SAMPLE-",""),"CMP-","c"))&amp;"-"&amp;LOWER(SUBSTITUTE(SUBSTITUTE($B28,"SAMPLE-",""),"O-","o"))&amp;"-q"))*(scans!$D$2:$D$1601="baseline")*scans!$E$2:$E$1601))))</f>
        <v/>
      </c>
      <c r="AO28" s="25">
        <f>IF($A28="","",IF(COUNTIFS(scans!$C$2:$C$1601,(IF(LEFT($A28,7)="SAMPLE-","SAMPLE-","")&amp;LOWER(SUBSTITUTE(SUBSTITUTE($A28,"SAMPLE-",""),"CMP-","c"))&amp;"-"&amp;LOWER(SUBSTITUTE(SUBSTITUTE($B28,"SAMPLE-",""),"O-","o"))&amp;"-p"),scans!$D$2:$D$1601,"close")=0,"",SUMPRODUCT(MAX((scans!$C$2:$C$1601=(IF(LEFT($A28,7)="SAMPLE-","SAMPLE-","")&amp;LOWER(SUBSTITUTE(SUBSTITUTE($A28,"SAMPLE-",""),"CMP-","c"))&amp;"-"&amp;LOWER(SUBSTITUTE(SUBSTITUTE($B28,"SAMPLE-",""),"O-","o"))&amp;"-p"))*(scans!$D$2:$D$1601="close")*scans!$E$2:$E$1601))-SUMPRODUCT(MAX((scans!$C$2:$C$1601=(IF(LEFT($A28,7)="SAMPLE-","SAMPLE-","")&amp;LOWER(SUBSTITUTE(SUBSTITUTE($A28,"SAMPLE-",""),"CMP-","c"))&amp;"-"&amp;LOWER(SUBSTITUTE(SUBSTITUTE($B28,"SAMPLE-",""),"O-","o"))&amp;"-p"))*(scans!$D$2:$D$1601="baseline")*scans!$E$2:$E$1601))))</f>
        <v/>
      </c>
      <c r="AP28" s="25">
        <f>IF($A28="","",IF(COUNTIF(offices!$A$2:$A$61,$B28)=0,"office_id not on offices; ","")&amp;IF(COUNTIF(campaigns!$A$2:$A$51,$A28)=0,"campaign_id not on campaigns; ","")&amp;IF($P28="pending","approval pending; ","")&amp;IF(AND($U28&gt;0,$Y28="",OR($I28="",IF(config!$B$37&lt;&gt;"",config!$B$37,TODAY())&lt;=WORKDAY(N($I28),4,calendar!$A$2:$A$80))),"no usable placement photo yet; ","")&amp;IF(AND($Y28&lt;&gt;"",$Z28=""),"log the placed count; ","")&amp;IF(N($AA28)&gt;N($U28),"placed more than delivered; ","")&amp;IF(AND($AF28&lt;&gt;"",N($AF28)&gt;N($AA28)+N($AD28)),"day-5 count above placed plus top-ups; ","")&amp;IF(AND($U28&gt;0,$I28&lt;&gt;"",IF(config!$B$37&lt;&gt;"",config!$B$37,TODAY())&gt;WORKDAY(N($I28),4,calendar!$A$2:$A$80),$AF28=""),"day-5 count missing; ","")&amp;IF(AND($U28&gt;0,$I28&lt;&gt;"",IF(config!$B$37&lt;&gt;"",config!$B$37,TODAY())&gt;WORKDAY(N($I28),4,calendar!$A$2:$A$80),$AN28=""),"no close link reading; ","")&amp;$R28&amp;IF($P28="N","info: office said no; ","")&amp;IF(AND($P28="Y",$Q28="N"),"info: turned away at the door, so not on the drop (no letter, not in the report or Gate 2; the credit check is on campaigns); ","")&amp;IF(AND($U28&gt;0,$Y28="",$I28&lt;&gt;"",IF(config!$B$37&lt;&gt;"",config!$B$37,TODAY())&gt;WORKDAY(N($I28),4,calendar!$A$2:$A$80)),"info: no usable placement photo, so nothing counts as placed; ","")&amp;IF(AND($U28&gt;0,$I28&lt;&gt;"",IF(config!$B$37&lt;&gt;"",config!$B$37,TODAY())&gt;WORKDAY(N($I28),4,calendar!$A$2:$A$80),N($AL28)&lt;config!$B$30),"info: under "&amp;config!$B$30&amp;" responses; ","")&amp;IF($W28="packing_list","info: delivered count not verified; ",""))</f>
        <v/>
      </c>
      <c r="AQ28" s="25">
        <f>IF(OR($A28="",$I28=""),"",IF($BC28="Y",SUMIFS(survey_frozen!$E$2:$E$251,survey_frozen!$P$2:$P$251,$A28&amp;"|"&amp;$B28),IFERROR(COUNTIFS(INDIRECT("'"&amp;$A28&amp;"'!$B$2:$B$501"),$T28,INDIRECT("'"&amp;$A28&amp;"'!$A$2:$A$501"),"&gt;="&amp;$I28,INDIRECT("'"&amp;$A28&amp;"'!$A$2:$A$501"),"&lt;"&amp;($BA28+1),INDIRECT("'"&amp;$A28&amp;"'!$F$2:$F$501"),"Didn't see it"),0)))</f>
        <v/>
      </c>
      <c r="AR28" s="25">
        <f>IF(OR($A28="",$I28=""),"",IF($BC28="Y",SUMIFS(survey_frozen!$F$2:$F$251,survey_frozen!$P$2:$P$251,$A28&amp;"|"&amp;$B28),IFERROR(COUNTIFS(INDIRECT("'"&amp;$A28&amp;"'!$B$2:$B$501"),$T28,INDIRECT("'"&amp;$A28&amp;"'!$A$2:$A$501"),"&gt;="&amp;$I28,INDIRECT("'"&amp;$A28&amp;"'!$A$2:$A$501"),"&lt;"&amp;($BA28+1),INDIRECT("'"&amp;$A28&amp;"'!$F$2:$F$501"),"Not for me"),0)))</f>
        <v/>
      </c>
      <c r="AS28" s="25">
        <f>IF(OR($A28="",$I28=""),"",IF($BC28="Y",SUMIFS(survey_frozen!$G$2:$G$251,survey_frozen!$P$2:$P$251,$A28&amp;"|"&amp;$B28),IFERROR(COUNTIFS(INDIRECT("'"&amp;$A28&amp;"'!$B$2:$B$501"),$T28,INDIRECT("'"&amp;$A28&amp;"'!$A$2:$A$501"),"&gt;="&amp;$I28,INDIRECT("'"&amp;$A28&amp;"'!$A$2:$A$501"),"&lt;"&amp;($BA28+1),INDIRECT("'"&amp;$A28&amp;"'!$F$2:$F$501"),"Gone by the time I looked"),0)))</f>
        <v/>
      </c>
      <c r="AT28" s="25">
        <f>IF(OR($A28="",$I28=""),"",IF($BC28="Y",SUMIFS(survey_frozen!$H$2:$H$251,survey_frozen!$P$2:$P$251,$A28&amp;"|"&amp;$B28),IFERROR(COUNTIFS(INDIRECT("'"&amp;$A28&amp;"'!$B$2:$B$501"),$T28,INDIRECT("'"&amp;$A28&amp;"'!$A$2:$A$501"),"&gt;="&amp;$I28,INDIRECT("'"&amp;$A28&amp;"'!$A$2:$A$501"),"&lt;"&amp;($BA28+1),INDIRECT("'"&amp;$A28&amp;"'!$D$2:$D$501"),"&gt;=1"),0)))</f>
        <v/>
      </c>
      <c r="AU28" s="25">
        <f>IF(OR($A28="",$I28=""),"",IF($BC28="Y",SUMIFS(survey_frozen!$I$2:$I$251,survey_frozen!$P$2:$P$251,$A28&amp;"|"&amp;$B28),IFERROR(SUMIFS(INDIRECT("'"&amp;$A28&amp;"'!$D$2:$D$501"),INDIRECT("'"&amp;$A28&amp;"'!$B$2:$B$501"),$T28,INDIRECT("'"&amp;$A28&amp;"'!$A$2:$A$501"),"&gt;="&amp;$I28,INDIRECT("'"&amp;$A28&amp;"'!$A$2:$A$501"),"&lt;"&amp;($BA28+1)),0)))</f>
        <v/>
      </c>
      <c r="AV28" s="25">
        <f>IF(OR($A28="",$I28=""),"",IF($BC28="Y",SUMIFS(survey_frozen!$J$2:$J$251,survey_frozen!$P$2:$P$251,$A28&amp;"|"&amp;$B28),IFERROR(COUNTIFS(INDIRECT("'"&amp;$A28&amp;"'!$B$2:$B$501"),$T28,INDIRECT("'"&amp;$A28&amp;"'!$A$2:$A$501"),"&gt;="&amp;$I28,INDIRECT("'"&amp;$A28&amp;"'!$A$2:$A$501"),"&lt;"&amp;($BA28+1),INDIRECT("'"&amp;$A28&amp;"'!$E$2:$E$501"),"Yes"),0)))</f>
        <v/>
      </c>
      <c r="AW28" s="25">
        <f>IF(OR($A28="",$I28=""),"",IF($BC28="Y",SUMIFS(survey_frozen!$K$2:$K$251,survey_frozen!$P$2:$P$251,$A28&amp;"|"&amp;$B28),IFERROR(COUNTIFS(INDIRECT("'"&amp;$A28&amp;"'!$B$2:$B$501"),$T28,INDIRECT("'"&amp;$A28&amp;"'!$A$2:$A$501"),"&gt;="&amp;$I28,INDIRECT("'"&amp;$A28&amp;"'!$A$2:$A$501"),"&lt;"&amp;($BA28+1),INDIRECT("'"&amp;$A28&amp;"'!$E$2:$E$501"),"Maybe"),0)))</f>
        <v/>
      </c>
      <c r="AX28" s="25">
        <f>IF(OR($A28="",$I28=""),"",IF($BC28="Y",SUMIFS(survey_frozen!$L$2:$L$251,survey_frozen!$P$2:$P$251,$A28&amp;"|"&amp;$B28),IFERROR(COUNTIFS(INDIRECT("'"&amp;$A28&amp;"'!$B$2:$B$501"),$T28,INDIRECT("'"&amp;$A28&amp;"'!$A$2:$A$501"),"&gt;="&amp;$I28,INDIRECT("'"&amp;$A28&amp;"'!$A$2:$A$501"),"&lt;"&amp;($BA28+1),INDIRECT("'"&amp;$A28&amp;"'!$E$2:$E$501"),"No"),0)))</f>
        <v/>
      </c>
      <c r="AY28" s="25">
        <f>IF(OR($A28="",$I28=""),"",IF($BC28="Y",SUMIFS(survey_frozen!$M$2:$M$251,survey_frozen!$P$2:$P$251,$A28&amp;"|"&amp;$B28),IFERROR(COUNTIFS(INDIRECT("'"&amp;$A28&amp;"'!$B$2:$B$501"),$T28,INDIRECT("'"&amp;$A28&amp;"'!$A$2:$A$501"),"&gt;="&amp;$I28,INDIRECT("'"&amp;$A28&amp;"'!$A$2:$A$501"),"&lt;"&amp;($BA28+1),INDIRECT("'"&amp;$A28&amp;"'!$G$2:$G$501"),"&lt;&gt;"),0)))</f>
        <v/>
      </c>
      <c r="AZ28" s="25">
        <f>IF($A28="","",$A28&amp;"|"&amp;$L28)</f>
        <v/>
      </c>
      <c r="BA28" s="26">
        <f>IF($A28="","",IFERROR(IF(INDEX(drops!$R$2:$R$21,MATCH($H28,drops!$A$2:$A$21,0))="","",INDEX(drops!$R$2:$R$21,MATCH($H28,drops!$A$2:$A$21,0))),""))</f>
        <v/>
      </c>
      <c r="BB28" s="25">
        <f>IF(OR($A28="",$Q28&lt;&gt;"Y"),1000000,N($AL28))</f>
        <v/>
      </c>
      <c r="BC28" s="25">
        <f>IF($A28="","",IF(COUNTIF(survey_frozen!$P$2:$P$251,$A28&amp;"|"&amp;$B28)&gt;0,"Y",""))</f>
        <v/>
      </c>
    </row>
    <row r="29">
      <c r="A29" t="inlineStr">
        <is>
          <t>SAMPLE-CMP-004</t>
        </is>
      </c>
      <c r="B29" t="inlineStr">
        <is>
          <t>SAMPLE-O-008</t>
        </is>
      </c>
      <c r="C29" s="9" t="n">
        <v>46394</v>
      </c>
      <c r="D29" t="inlineStr">
        <is>
          <t>yes</t>
        </is>
      </c>
      <c r="E29" s="9" t="n">
        <v>46396</v>
      </c>
      <c r="F29" t="inlineStr">
        <is>
          <t>SAMPLE replied by email</t>
        </is>
      </c>
      <c r="H29" s="25">
        <f>IF($A29="","",IFERROR(IF(INDEX(campaigns!$B$2:$B$51,MATCH($A29,campaigns!$A$2:$A$51,0))="","",INDEX(campaigns!$B$2:$B$51,MATCH($A29,campaigns!$A$2:$A$51,0))),""))</f>
        <v/>
      </c>
      <c r="I29" s="26">
        <f>IF($A29="","",IFERROR(IF(INDEX(campaigns!$BG$2:$BG$51,MATCH($A29,campaigns!$A$2:$A$51,0))="","",INDEX(campaigns!$BG$2:$BG$51,MATCH($A29,campaigns!$A$2:$A$51,0))),""))</f>
        <v/>
      </c>
      <c r="J29" s="25">
        <f>IF($A29="","",IFERROR(IF(INDEX(campaigns!$BE$2:$BE$51,MATCH($A29,campaigns!$A$2:$A$51,0))="","",INDEX(campaigns!$BE$2:$BE$51,MATCH($A29,campaigns!$A$2:$A$51,0))),""))</f>
        <v/>
      </c>
      <c r="K29" s="25">
        <f>IF($B29="","",IFERROR(IF(INDEX(offices!$N$2:$N$61,MATCH($B29,offices!$A$2:$A$61,0))="","",INDEX(offices!$N$2:$N$61,MATCH($B29,offices!$A$2:$A$61,0))),""))</f>
        <v/>
      </c>
      <c r="L29" s="25">
        <f>IF($A29="","",IF($Q29="N","",COUNTIFS($A$2:$A29,$A29,$Q$2:$Q29,"&lt;&gt;N")))</f>
        <v/>
      </c>
      <c r="M29" s="25">
        <f>IF(OR($A29="",$L29=""),"",IF(AND(config!$B$34="names_if_public",IFERROR(IF(INDEX(offices!$AF$2:$AF$61,MATCH($B29,offices!$A$2:$A$61,0))="","",INDEX(offices!$AF$2:$AF$61,MATCH($B29,offices!$A$2:$A$61,0))),"")="Y"),$K29,CHAR(64+$L29)))</f>
        <v/>
      </c>
      <c r="N29" s="25">
        <f>IF(OR($A29="",$I29=""),"",COUNTIFS(stops!$B$2:$B$151,$B29,stops!$P$2:$P$151,"&lt;"&amp;$I29,stops!$L$2:$L$151,"&lt;&gt;not_delivered")+1)</f>
        <v/>
      </c>
      <c r="O29" s="25">
        <f>IF($A29="","",IF(N($N29)&lt;=config!$B$29,"explicit","opt-out"))</f>
        <v/>
      </c>
      <c r="P29" s="25">
        <f>IF($A29="","",IF($O29="explicit",IF($D29="yes","Y",IF($D29="no","N","pending")),IF($D29="no","N",IF(AND($C29&lt;&gt;"",$I29&lt;&gt;"",$C29&lt;=WORKDAY(N($I29),-5,calendar!$A$2:$A$80)),"Y","pending"))))</f>
        <v/>
      </c>
      <c r="Q29" s="25">
        <f>IF($A29="","",IF($P29="N","N",IF($P29&lt;&gt;"Y","pending",IF(AND((COUNTIFS(stops!$A$2:$A$151,$H29,stops!$B$2:$B$151,$B29,stops!$L$2:$L$151,"declined")+COUNTIFS(stops!$A$2:$A$151,$H29,stops!$B$2:$B$151,$B29,stops!$L$2:$L$151,"building_refused")+COUNTIFS(stops!$A$2:$A$151,$H29,stops!$B$2:$B$151,$B29,stops!$L$2:$L$151,"not_delivered"))&gt;0,N($U29)=0),"N","Y"))))</f>
        <v/>
      </c>
      <c r="R29" s="25">
        <f>IF($A29="","",IF(COUNTIFS($A$2:$A$251,$A29,$B$2:$B$251,$B29)&gt;1,"DUPLICATE ROW; ","")&amp;IF(AND(IFERROR(IF(INDEX(offices!$AC$2:$AC$61,MATCH($B29,offices!$A$2:$A$61,0))="","",INDEX(offices!$AC$2:$AC$61,MATCH($B29,offices!$A$2:$A$61,0))),"")&lt;&gt;"",ISNUMBER(SEARCH($J29,IFERROR(IF(INDEX(offices!$AC$2:$AC$61,MATCH($B29,offices!$A$2:$A$61,0))="","",INDEX(offices!$AC$2:$AC$61,MATCH($B29,offices!$A$2:$A$61,0))),"")))),"BRAND VETOED; ","")&amp;IF(ISNUMBER(SEARCH(IFERROR(IF(INDEX(campaigns!$BF$2:$BF$51,MATCH($A29,campaigns!$A$2:$A$51,0))="","",INDEX(campaigns!$BF$2:$BF$51,MATCH($A29,campaigns!$A$2:$A$51,0))),""),IFERROR(IF(INDEX(offices!$AB$2:$AB$61,MATCH($B29,offices!$A$2:$A$61,0))="","",INDEX(offices!$AB$2:$AB$61,MATCH($B29,offices!$A$2:$A$61,0))),""))),"","info: category not on the office's list; ")&amp;IF(IFERROR(IF(INDEX(offices!$AC$2:$AC$61,MATCH($B29,offices!$A$2:$A$61,0))="","",INDEX(offices!$AC$2:$AC$61,MATCH($B29,offices!$A$2:$A$61,0))),"")&lt;&gt;"","info: read the vetoes against the label; ",""))</f>
        <v/>
      </c>
      <c r="S29" s="25">
        <f>IF($A29="","",IF($G29&lt;&gt;"",$G29,IFERROR(IF(INDEX(offices!$AL$2:$AL$61,MATCH($B29,offices!$A$2:$A$61,0))="","",INDEX(offices!$AL$2:$AL$61,MATCH($B29,offices!$A$2:$A$61,0))),"")))</f>
        <v/>
      </c>
      <c r="T29" s="25">
        <f>IF($A29="","",$A29&amp;"."&amp;$B29)</f>
        <v/>
      </c>
      <c r="U29" s="25">
        <f>IF($A29="","",SUMIFS(inventory!$G$2:$G$801,inventory!$C$2:$C$801,$A29,inventory!$D$2:$D$801,$B29,inventory!$E$2:$E$801,"delivered"))</f>
        <v/>
      </c>
      <c r="V29" s="32">
        <f>IF($A29="","",IFERROR(1/(1/SUMPRODUCT(MAX((inventory!$C$2:$C$801=$A29)*(inventory!$D$2:$D$801=$B29)*(inventory!$E$2:$E$801="delivered")*(inventory!$A$2:$A$801+inventory!$B$2:$B$801)))),""))</f>
        <v/>
      </c>
      <c r="W29" s="25">
        <f>IF($A29="","",IFERROR(IF(INDEX(inventory!$J$2:$J$801,MATCH($A29&amp;"|"&amp;$B29&amp;"|delivered",inventory!$R$2:$R$801,0))="","",INDEX(inventory!$J$2:$J$801,MATCH($A29&amp;"|"&amp;$B29&amp;"|delivered",inventory!$R$2:$R$801,0))),""))</f>
        <v/>
      </c>
      <c r="X29" s="25">
        <f>IF($A29="","",IFERROR(IF(INDEX(photos!$H$2:$H$701,MATCH($A29&amp;"|"&amp;$B29&amp;"|placement|Y",photos!$R$2:$R$701,0))="","",INDEX(photos!$H$2:$H$701,MATCH($A29&amp;"|"&amp;$B29&amp;"|placement|Y",photos!$R$2:$R$701,0))),""))</f>
        <v/>
      </c>
      <c r="Y29" s="26">
        <f>IF($A29="","",IFERROR(IF(INDEX(photos!$E$2:$E$701,MATCH($A29&amp;"|"&amp;$B29&amp;"|placement|Y",photos!$R$2:$R$701,0))="","",INDEX(photos!$E$2:$E$701,MATCH($A29&amp;"|"&amp;$B29&amp;"|placement|Y",photos!$R$2:$R$701,0))),""))</f>
        <v/>
      </c>
      <c r="Z29" s="25">
        <f>IF($A29="","",IF(COUNTIFS(counts!$C$2:$C$701,$A29,counts!$D$2:$D$701,$B29,counts!$E$2:$E$701,"placed")=0,"",SUMIFS(counts!$F$2:$F$701,counts!$C$2:$C$701,$A29,counts!$D$2:$D$701,$B29,counts!$E$2:$E$701,"placed")))</f>
        <v/>
      </c>
      <c r="AA29" s="25">
        <f>IF($A29="","",IF($Y29="",0,N($Z29)))</f>
        <v/>
      </c>
      <c r="AB29" s="25">
        <f>IF($A29="","",IF(OR($Y29="",$I29=""),"N",IF($Y29&lt;=WORKDAY(N($I29),1,calendar!$A$2:$A$80),"Y","N")))</f>
        <v/>
      </c>
      <c r="AC29" s="28">
        <f>IF(OR($A29="",$V29="",$Y29=""),"",ROUND(($Y29+N(IFERROR(IF(INDEX(photos!$F$2:$F$701,MATCH($A29&amp;"|"&amp;$B29&amp;"|placement|Y",photos!$R$2:$R$701,0))="","",INDEX(photos!$F$2:$F$701,MATCH($A29&amp;"|"&amp;$B29&amp;"|placement|Y",photos!$R$2:$R$701,0))),""))-$V29)*24,1))</f>
        <v/>
      </c>
      <c r="AD29" s="25">
        <f>IF($A29="","",SUMIFS(inventory!$G$2:$G$801,inventory!$C$2:$C$801,$A29,inventory!$D$2:$D$801,$B29,inventory!$E$2:$E$801,"topped_up"))</f>
        <v/>
      </c>
      <c r="AE29" s="25">
        <f>IF($A29="","",IF(COUNTIFS(counts!$C$2:$C$701,$A29,counts!$D$2:$D$701,$B29,counts!$E$2:$E$701,"remaining_day3")=0,"",SUMIFS(counts!$F$2:$F$701,counts!$C$2:$C$701,$A29,counts!$D$2:$D$701,$B29,counts!$E$2:$E$701,"remaining_day3")))</f>
        <v/>
      </c>
      <c r="AF29" s="25">
        <f>IF($A29="","",IF(COUNTIFS(counts!$C$2:$C$701,$A29,counts!$D$2:$D$701,$B29,counts!$E$2:$E$701,"remaining_day5")=0,"",SUMIFS(counts!$F$2:$F$701,counts!$C$2:$C$701,$A29,counts!$D$2:$D$701,$B29,counts!$E$2:$E$701,"remaining_day5")))</f>
        <v/>
      </c>
      <c r="AG29" s="25">
        <f>IF(OR($A29="",$AF29=""),"",MAX(0,$AA29+$AD29-$AF29))</f>
        <v/>
      </c>
      <c r="AH29" s="25">
        <f>IF(OR($A29="",$AI29=""),"",IFERROR(IF(INDEX(photos!$H$2:$H$701,MATCH($A29&amp;"|"&amp;$B29&amp;"|later|Y|"&amp;$AI29,photos!$S$2:$S$701,0))="","",INDEX(photos!$H$2:$H$701,MATCH($A29&amp;"|"&amp;$B29&amp;"|later|Y|"&amp;$AI29,photos!$S$2:$S$701,0))),""))</f>
        <v/>
      </c>
      <c r="AI29" s="26">
        <f>IF($A29="","",IFERROR(1/(1/SUMPRODUCT(MAX((photos!$B$2:$B$701=$A29)*(photos!$C$2:$C$701=$B29)*(photos!$D$2:$D$701="later")*(photos!$O$2:$O$701="Y")*photos!$E$2:$E$701))),""))</f>
        <v/>
      </c>
      <c r="AJ29" s="25">
        <f>IF(OR($A29="",$AI29="",$I29=""),"",NETWORKDAYS($I29,$AI29,calendar!$A$2:$A$80))</f>
        <v/>
      </c>
      <c r="AK29" s="25">
        <f>IF($A29="","",IF(AND($X29&lt;&gt;"",$AH29&lt;&gt;""),"Y","N"))</f>
        <v/>
      </c>
      <c r="AL29" s="25">
        <f>IF(OR($A29="",$I29=""),"",IF($BC29="Y",SUMIFS(survey_frozen!$C$2:$C$251,survey_frozen!$P$2:$P$251,$A29&amp;"|"&amp;$B29),IFERROR(COUNTIFS(INDIRECT("'"&amp;$A29&amp;"'!$B$2:$B$501"),$T29,INDIRECT("'"&amp;$A29&amp;"'!$A$2:$A$501"),"&gt;="&amp;$I29,INDIRECT("'"&amp;$A29&amp;"'!$A$2:$A$501"),"&lt;"&amp;($BA29+1)),0)))</f>
        <v/>
      </c>
      <c r="AM29" s="25">
        <f>IF(OR($A29="",$I29=""),"",IF($BC29="Y",SUMIFS(survey_frozen!$D$2:$D$251,survey_frozen!$P$2:$P$251,$A29&amp;"|"&amp;$B29),IFERROR(COUNTIFS(INDIRECT("'"&amp;$A29&amp;"'!$B$2:$B$501"),$T29,INDIRECT("'"&amp;$A29&amp;"'!$A$2:$A$501"),"&gt;="&amp;$I29,INDIRECT("'"&amp;$A29&amp;"'!$A$2:$A$501"),"&lt;"&amp;($BA29+1),INDIRECT("'"&amp;$A29&amp;"'!$C$2:$C$501"),"Yes"),0)))</f>
        <v/>
      </c>
      <c r="AN29" s="25">
        <f>IF($A29="","",IF(COUNTIFS(scans!$C$2:$C$1601,(IF(LEFT($A29,7)="SAMPLE-","SAMPLE-","")&amp;LOWER(SUBSTITUTE(SUBSTITUTE($A29,"SAMPLE-",""),"CMP-","c"))&amp;"-"&amp;LOWER(SUBSTITUTE(SUBSTITUTE($B29,"SAMPLE-",""),"O-","o"))&amp;"-q"),scans!$D$2:$D$1601,"close")=0,"",SUMPRODUCT(MAX((scans!$C$2:$C$1601=(IF(LEFT($A29,7)="SAMPLE-","SAMPLE-","")&amp;LOWER(SUBSTITUTE(SUBSTITUTE($A29,"SAMPLE-",""),"CMP-","c"))&amp;"-"&amp;LOWER(SUBSTITUTE(SUBSTITUTE($B29,"SAMPLE-",""),"O-","o"))&amp;"-q"))*(scans!$D$2:$D$1601="close")*scans!$E$2:$E$1601))-SUMPRODUCT(MAX((scans!$C$2:$C$1601=(IF(LEFT($A29,7)="SAMPLE-","SAMPLE-","")&amp;LOWER(SUBSTITUTE(SUBSTITUTE($A29,"SAMPLE-",""),"CMP-","c"))&amp;"-"&amp;LOWER(SUBSTITUTE(SUBSTITUTE($B29,"SAMPLE-",""),"O-","o"))&amp;"-q"))*(scans!$D$2:$D$1601="baseline")*scans!$E$2:$E$1601))))</f>
        <v/>
      </c>
      <c r="AO29" s="25">
        <f>IF($A29="","",IF(COUNTIFS(scans!$C$2:$C$1601,(IF(LEFT($A29,7)="SAMPLE-","SAMPLE-","")&amp;LOWER(SUBSTITUTE(SUBSTITUTE($A29,"SAMPLE-",""),"CMP-","c"))&amp;"-"&amp;LOWER(SUBSTITUTE(SUBSTITUTE($B29,"SAMPLE-",""),"O-","o"))&amp;"-p"),scans!$D$2:$D$1601,"close")=0,"",SUMPRODUCT(MAX((scans!$C$2:$C$1601=(IF(LEFT($A29,7)="SAMPLE-","SAMPLE-","")&amp;LOWER(SUBSTITUTE(SUBSTITUTE($A29,"SAMPLE-",""),"CMP-","c"))&amp;"-"&amp;LOWER(SUBSTITUTE(SUBSTITUTE($B29,"SAMPLE-",""),"O-","o"))&amp;"-p"))*(scans!$D$2:$D$1601="close")*scans!$E$2:$E$1601))-SUMPRODUCT(MAX((scans!$C$2:$C$1601=(IF(LEFT($A29,7)="SAMPLE-","SAMPLE-","")&amp;LOWER(SUBSTITUTE(SUBSTITUTE($A29,"SAMPLE-",""),"CMP-","c"))&amp;"-"&amp;LOWER(SUBSTITUTE(SUBSTITUTE($B29,"SAMPLE-",""),"O-","o"))&amp;"-p"))*(scans!$D$2:$D$1601="baseline")*scans!$E$2:$E$1601))))</f>
        <v/>
      </c>
      <c r="AP29" s="25">
        <f>IF($A29="","",IF(COUNTIF(offices!$A$2:$A$61,$B29)=0,"office_id not on offices; ","")&amp;IF(COUNTIF(campaigns!$A$2:$A$51,$A29)=0,"campaign_id not on campaigns; ","")&amp;IF($P29="pending","approval pending; ","")&amp;IF(AND($U29&gt;0,$Y29="",OR($I29="",IF(config!$B$37&lt;&gt;"",config!$B$37,TODAY())&lt;=WORKDAY(N($I29),4,calendar!$A$2:$A$80))),"no usable placement photo yet; ","")&amp;IF(AND($Y29&lt;&gt;"",$Z29=""),"log the placed count; ","")&amp;IF(N($AA29)&gt;N($U29),"placed more than delivered; ","")&amp;IF(AND($AF29&lt;&gt;"",N($AF29)&gt;N($AA29)+N($AD29)),"day-5 count above placed plus top-ups; ","")&amp;IF(AND($U29&gt;0,$I29&lt;&gt;"",IF(config!$B$37&lt;&gt;"",config!$B$37,TODAY())&gt;WORKDAY(N($I29),4,calendar!$A$2:$A$80),$AF29=""),"day-5 count missing; ","")&amp;IF(AND($U29&gt;0,$I29&lt;&gt;"",IF(config!$B$37&lt;&gt;"",config!$B$37,TODAY())&gt;WORKDAY(N($I29),4,calendar!$A$2:$A$80),$AN29=""),"no close link reading; ","")&amp;$R29&amp;IF($P29="N","info: office said no; ","")&amp;IF(AND($P29="Y",$Q29="N"),"info: turned away at the door, so not on the drop (no letter, not in the report or Gate 2; the credit check is on campaigns); ","")&amp;IF(AND($U29&gt;0,$Y29="",$I29&lt;&gt;"",IF(config!$B$37&lt;&gt;"",config!$B$37,TODAY())&gt;WORKDAY(N($I29),4,calendar!$A$2:$A$80)),"info: no usable placement photo, so nothing counts as placed; ","")&amp;IF(AND($U29&gt;0,$I29&lt;&gt;"",IF(config!$B$37&lt;&gt;"",config!$B$37,TODAY())&gt;WORKDAY(N($I29),4,calendar!$A$2:$A$80),N($AL29)&lt;config!$B$30),"info: under "&amp;config!$B$30&amp;" responses; ","")&amp;IF($W29="packing_list","info: delivered count not verified; ",""))</f>
        <v/>
      </c>
      <c r="AQ29" s="25">
        <f>IF(OR($A29="",$I29=""),"",IF($BC29="Y",SUMIFS(survey_frozen!$E$2:$E$251,survey_frozen!$P$2:$P$251,$A29&amp;"|"&amp;$B29),IFERROR(COUNTIFS(INDIRECT("'"&amp;$A29&amp;"'!$B$2:$B$501"),$T29,INDIRECT("'"&amp;$A29&amp;"'!$A$2:$A$501"),"&gt;="&amp;$I29,INDIRECT("'"&amp;$A29&amp;"'!$A$2:$A$501"),"&lt;"&amp;($BA29+1),INDIRECT("'"&amp;$A29&amp;"'!$F$2:$F$501"),"Didn't see it"),0)))</f>
        <v/>
      </c>
      <c r="AR29" s="25">
        <f>IF(OR($A29="",$I29=""),"",IF($BC29="Y",SUMIFS(survey_frozen!$F$2:$F$251,survey_frozen!$P$2:$P$251,$A29&amp;"|"&amp;$B29),IFERROR(COUNTIFS(INDIRECT("'"&amp;$A29&amp;"'!$B$2:$B$501"),$T29,INDIRECT("'"&amp;$A29&amp;"'!$A$2:$A$501"),"&gt;="&amp;$I29,INDIRECT("'"&amp;$A29&amp;"'!$A$2:$A$501"),"&lt;"&amp;($BA29+1),INDIRECT("'"&amp;$A29&amp;"'!$F$2:$F$501"),"Not for me"),0)))</f>
        <v/>
      </c>
      <c r="AS29" s="25">
        <f>IF(OR($A29="",$I29=""),"",IF($BC29="Y",SUMIFS(survey_frozen!$G$2:$G$251,survey_frozen!$P$2:$P$251,$A29&amp;"|"&amp;$B29),IFERROR(COUNTIFS(INDIRECT("'"&amp;$A29&amp;"'!$B$2:$B$501"),$T29,INDIRECT("'"&amp;$A29&amp;"'!$A$2:$A$501"),"&gt;="&amp;$I29,INDIRECT("'"&amp;$A29&amp;"'!$A$2:$A$501"),"&lt;"&amp;($BA29+1),INDIRECT("'"&amp;$A29&amp;"'!$F$2:$F$501"),"Gone by the time I looked"),0)))</f>
        <v/>
      </c>
      <c r="AT29" s="25">
        <f>IF(OR($A29="",$I29=""),"",IF($BC29="Y",SUMIFS(survey_frozen!$H$2:$H$251,survey_frozen!$P$2:$P$251,$A29&amp;"|"&amp;$B29),IFERROR(COUNTIFS(INDIRECT("'"&amp;$A29&amp;"'!$B$2:$B$501"),$T29,INDIRECT("'"&amp;$A29&amp;"'!$A$2:$A$501"),"&gt;="&amp;$I29,INDIRECT("'"&amp;$A29&amp;"'!$A$2:$A$501"),"&lt;"&amp;($BA29+1),INDIRECT("'"&amp;$A29&amp;"'!$D$2:$D$501"),"&gt;=1"),0)))</f>
        <v/>
      </c>
      <c r="AU29" s="25">
        <f>IF(OR($A29="",$I29=""),"",IF($BC29="Y",SUMIFS(survey_frozen!$I$2:$I$251,survey_frozen!$P$2:$P$251,$A29&amp;"|"&amp;$B29),IFERROR(SUMIFS(INDIRECT("'"&amp;$A29&amp;"'!$D$2:$D$501"),INDIRECT("'"&amp;$A29&amp;"'!$B$2:$B$501"),$T29,INDIRECT("'"&amp;$A29&amp;"'!$A$2:$A$501"),"&gt;="&amp;$I29,INDIRECT("'"&amp;$A29&amp;"'!$A$2:$A$501"),"&lt;"&amp;($BA29+1)),0)))</f>
        <v/>
      </c>
      <c r="AV29" s="25">
        <f>IF(OR($A29="",$I29=""),"",IF($BC29="Y",SUMIFS(survey_frozen!$J$2:$J$251,survey_frozen!$P$2:$P$251,$A29&amp;"|"&amp;$B29),IFERROR(COUNTIFS(INDIRECT("'"&amp;$A29&amp;"'!$B$2:$B$501"),$T29,INDIRECT("'"&amp;$A29&amp;"'!$A$2:$A$501"),"&gt;="&amp;$I29,INDIRECT("'"&amp;$A29&amp;"'!$A$2:$A$501"),"&lt;"&amp;($BA29+1),INDIRECT("'"&amp;$A29&amp;"'!$E$2:$E$501"),"Yes"),0)))</f>
        <v/>
      </c>
      <c r="AW29" s="25">
        <f>IF(OR($A29="",$I29=""),"",IF($BC29="Y",SUMIFS(survey_frozen!$K$2:$K$251,survey_frozen!$P$2:$P$251,$A29&amp;"|"&amp;$B29),IFERROR(COUNTIFS(INDIRECT("'"&amp;$A29&amp;"'!$B$2:$B$501"),$T29,INDIRECT("'"&amp;$A29&amp;"'!$A$2:$A$501"),"&gt;="&amp;$I29,INDIRECT("'"&amp;$A29&amp;"'!$A$2:$A$501"),"&lt;"&amp;($BA29+1),INDIRECT("'"&amp;$A29&amp;"'!$E$2:$E$501"),"Maybe"),0)))</f>
        <v/>
      </c>
      <c r="AX29" s="25">
        <f>IF(OR($A29="",$I29=""),"",IF($BC29="Y",SUMIFS(survey_frozen!$L$2:$L$251,survey_frozen!$P$2:$P$251,$A29&amp;"|"&amp;$B29),IFERROR(COUNTIFS(INDIRECT("'"&amp;$A29&amp;"'!$B$2:$B$501"),$T29,INDIRECT("'"&amp;$A29&amp;"'!$A$2:$A$501"),"&gt;="&amp;$I29,INDIRECT("'"&amp;$A29&amp;"'!$A$2:$A$501"),"&lt;"&amp;($BA29+1),INDIRECT("'"&amp;$A29&amp;"'!$E$2:$E$501"),"No"),0)))</f>
        <v/>
      </c>
      <c r="AY29" s="25">
        <f>IF(OR($A29="",$I29=""),"",IF($BC29="Y",SUMIFS(survey_frozen!$M$2:$M$251,survey_frozen!$P$2:$P$251,$A29&amp;"|"&amp;$B29),IFERROR(COUNTIFS(INDIRECT("'"&amp;$A29&amp;"'!$B$2:$B$501"),$T29,INDIRECT("'"&amp;$A29&amp;"'!$A$2:$A$501"),"&gt;="&amp;$I29,INDIRECT("'"&amp;$A29&amp;"'!$A$2:$A$501"),"&lt;"&amp;($BA29+1),INDIRECT("'"&amp;$A29&amp;"'!$G$2:$G$501"),"&lt;&gt;"),0)))</f>
        <v/>
      </c>
      <c r="AZ29" s="25">
        <f>IF($A29="","",$A29&amp;"|"&amp;$L29)</f>
        <v/>
      </c>
      <c r="BA29" s="26">
        <f>IF($A29="","",IFERROR(IF(INDEX(drops!$R$2:$R$21,MATCH($H29,drops!$A$2:$A$21,0))="","",INDEX(drops!$R$2:$R$21,MATCH($H29,drops!$A$2:$A$21,0))),""))</f>
        <v/>
      </c>
      <c r="BB29" s="25">
        <f>IF(OR($A29="",$Q29&lt;&gt;"Y"),1000000,N($AL29))</f>
        <v/>
      </c>
      <c r="BC29" s="25">
        <f>IF($A29="","",IF(COUNTIF(survey_frozen!$P$2:$P$251,$A29&amp;"|"&amp;$B29)&gt;0,"Y",""))</f>
        <v/>
      </c>
    </row>
    <row r="30">
      <c r="A30" t="inlineStr">
        <is>
          <t>SAMPLE-CMP-004</t>
        </is>
      </c>
      <c r="B30" t="inlineStr">
        <is>
          <t>SAMPLE-O-009</t>
        </is>
      </c>
      <c r="C30" s="9" t="n">
        <v>46395</v>
      </c>
      <c r="D30" t="inlineStr">
        <is>
          <t>yes</t>
        </is>
      </c>
      <c r="E30" s="9" t="n">
        <v>46398</v>
      </c>
      <c r="F30" t="inlineStr">
        <is>
          <t>SAMPLE replied by email</t>
        </is>
      </c>
      <c r="H30" s="25">
        <f>IF($A30="","",IFERROR(IF(INDEX(campaigns!$B$2:$B$51,MATCH($A30,campaigns!$A$2:$A$51,0))="","",INDEX(campaigns!$B$2:$B$51,MATCH($A30,campaigns!$A$2:$A$51,0))),""))</f>
        <v/>
      </c>
      <c r="I30" s="26">
        <f>IF($A30="","",IFERROR(IF(INDEX(campaigns!$BG$2:$BG$51,MATCH($A30,campaigns!$A$2:$A$51,0))="","",INDEX(campaigns!$BG$2:$BG$51,MATCH($A30,campaigns!$A$2:$A$51,0))),""))</f>
        <v/>
      </c>
      <c r="J30" s="25">
        <f>IF($A30="","",IFERROR(IF(INDEX(campaigns!$BE$2:$BE$51,MATCH($A30,campaigns!$A$2:$A$51,0))="","",INDEX(campaigns!$BE$2:$BE$51,MATCH($A30,campaigns!$A$2:$A$51,0))),""))</f>
        <v/>
      </c>
      <c r="K30" s="25">
        <f>IF($B30="","",IFERROR(IF(INDEX(offices!$N$2:$N$61,MATCH($B30,offices!$A$2:$A$61,0))="","",INDEX(offices!$N$2:$N$61,MATCH($B30,offices!$A$2:$A$61,0))),""))</f>
        <v/>
      </c>
      <c r="L30" s="25">
        <f>IF($A30="","",IF($Q30="N","",COUNTIFS($A$2:$A30,$A30,$Q$2:$Q30,"&lt;&gt;N")))</f>
        <v/>
      </c>
      <c r="M30" s="25">
        <f>IF(OR($A30="",$L30=""),"",IF(AND(config!$B$34="names_if_public",IFERROR(IF(INDEX(offices!$AF$2:$AF$61,MATCH($B30,offices!$A$2:$A$61,0))="","",INDEX(offices!$AF$2:$AF$61,MATCH($B30,offices!$A$2:$A$61,0))),"")="Y"),$K30,CHAR(64+$L30)))</f>
        <v/>
      </c>
      <c r="N30" s="25">
        <f>IF(OR($A30="",$I30=""),"",COUNTIFS(stops!$B$2:$B$151,$B30,stops!$P$2:$P$151,"&lt;"&amp;$I30,stops!$L$2:$L$151,"&lt;&gt;not_delivered")+1)</f>
        <v/>
      </c>
      <c r="O30" s="25">
        <f>IF($A30="","",IF(N($N30)&lt;=config!$B$29,"explicit","opt-out"))</f>
        <v/>
      </c>
      <c r="P30" s="25">
        <f>IF($A30="","",IF($O30="explicit",IF($D30="yes","Y",IF($D30="no","N","pending")),IF($D30="no","N",IF(AND($C30&lt;&gt;"",$I30&lt;&gt;"",$C30&lt;=WORKDAY(N($I30),-5,calendar!$A$2:$A$80)),"Y","pending"))))</f>
        <v/>
      </c>
      <c r="Q30" s="25">
        <f>IF($A30="","",IF($P30="N","N",IF($P30&lt;&gt;"Y","pending",IF(AND((COUNTIFS(stops!$A$2:$A$151,$H30,stops!$B$2:$B$151,$B30,stops!$L$2:$L$151,"declined")+COUNTIFS(stops!$A$2:$A$151,$H30,stops!$B$2:$B$151,$B30,stops!$L$2:$L$151,"building_refused")+COUNTIFS(stops!$A$2:$A$151,$H30,stops!$B$2:$B$151,$B30,stops!$L$2:$L$151,"not_delivered"))&gt;0,N($U30)=0),"N","Y"))))</f>
        <v/>
      </c>
      <c r="R30" s="25">
        <f>IF($A30="","",IF(COUNTIFS($A$2:$A$251,$A30,$B$2:$B$251,$B30)&gt;1,"DUPLICATE ROW; ","")&amp;IF(AND(IFERROR(IF(INDEX(offices!$AC$2:$AC$61,MATCH($B30,offices!$A$2:$A$61,0))="","",INDEX(offices!$AC$2:$AC$61,MATCH($B30,offices!$A$2:$A$61,0))),"")&lt;&gt;"",ISNUMBER(SEARCH($J30,IFERROR(IF(INDEX(offices!$AC$2:$AC$61,MATCH($B30,offices!$A$2:$A$61,0))="","",INDEX(offices!$AC$2:$AC$61,MATCH($B30,offices!$A$2:$A$61,0))),"")))),"BRAND VETOED; ","")&amp;IF(ISNUMBER(SEARCH(IFERROR(IF(INDEX(campaigns!$BF$2:$BF$51,MATCH($A30,campaigns!$A$2:$A$51,0))="","",INDEX(campaigns!$BF$2:$BF$51,MATCH($A30,campaigns!$A$2:$A$51,0))),""),IFERROR(IF(INDEX(offices!$AB$2:$AB$61,MATCH($B30,offices!$A$2:$A$61,0))="","",INDEX(offices!$AB$2:$AB$61,MATCH($B30,offices!$A$2:$A$61,0))),""))),"","info: category not on the office's list; ")&amp;IF(IFERROR(IF(INDEX(offices!$AC$2:$AC$61,MATCH($B30,offices!$A$2:$A$61,0))="","",INDEX(offices!$AC$2:$AC$61,MATCH($B30,offices!$A$2:$A$61,0))),"")&lt;&gt;"","info: read the vetoes against the label; ",""))</f>
        <v/>
      </c>
      <c r="S30" s="25">
        <f>IF($A30="","",IF($G30&lt;&gt;"",$G30,IFERROR(IF(INDEX(offices!$AL$2:$AL$61,MATCH($B30,offices!$A$2:$A$61,0))="","",INDEX(offices!$AL$2:$AL$61,MATCH($B30,offices!$A$2:$A$61,0))),"")))</f>
        <v/>
      </c>
      <c r="T30" s="25">
        <f>IF($A30="","",$A30&amp;"."&amp;$B30)</f>
        <v/>
      </c>
      <c r="U30" s="25">
        <f>IF($A30="","",SUMIFS(inventory!$G$2:$G$801,inventory!$C$2:$C$801,$A30,inventory!$D$2:$D$801,$B30,inventory!$E$2:$E$801,"delivered"))</f>
        <v/>
      </c>
      <c r="V30" s="32">
        <f>IF($A30="","",IFERROR(1/(1/SUMPRODUCT(MAX((inventory!$C$2:$C$801=$A30)*(inventory!$D$2:$D$801=$B30)*(inventory!$E$2:$E$801="delivered")*(inventory!$A$2:$A$801+inventory!$B$2:$B$801)))),""))</f>
        <v/>
      </c>
      <c r="W30" s="25">
        <f>IF($A30="","",IFERROR(IF(INDEX(inventory!$J$2:$J$801,MATCH($A30&amp;"|"&amp;$B30&amp;"|delivered",inventory!$R$2:$R$801,0))="","",INDEX(inventory!$J$2:$J$801,MATCH($A30&amp;"|"&amp;$B30&amp;"|delivered",inventory!$R$2:$R$801,0))),""))</f>
        <v/>
      </c>
      <c r="X30" s="25">
        <f>IF($A30="","",IFERROR(IF(INDEX(photos!$H$2:$H$701,MATCH($A30&amp;"|"&amp;$B30&amp;"|placement|Y",photos!$R$2:$R$701,0))="","",INDEX(photos!$H$2:$H$701,MATCH($A30&amp;"|"&amp;$B30&amp;"|placement|Y",photos!$R$2:$R$701,0))),""))</f>
        <v/>
      </c>
      <c r="Y30" s="26">
        <f>IF($A30="","",IFERROR(IF(INDEX(photos!$E$2:$E$701,MATCH($A30&amp;"|"&amp;$B30&amp;"|placement|Y",photos!$R$2:$R$701,0))="","",INDEX(photos!$E$2:$E$701,MATCH($A30&amp;"|"&amp;$B30&amp;"|placement|Y",photos!$R$2:$R$701,0))),""))</f>
        <v/>
      </c>
      <c r="Z30" s="25">
        <f>IF($A30="","",IF(COUNTIFS(counts!$C$2:$C$701,$A30,counts!$D$2:$D$701,$B30,counts!$E$2:$E$701,"placed")=0,"",SUMIFS(counts!$F$2:$F$701,counts!$C$2:$C$701,$A30,counts!$D$2:$D$701,$B30,counts!$E$2:$E$701,"placed")))</f>
        <v/>
      </c>
      <c r="AA30" s="25">
        <f>IF($A30="","",IF($Y30="",0,N($Z30)))</f>
        <v/>
      </c>
      <c r="AB30" s="25">
        <f>IF($A30="","",IF(OR($Y30="",$I30=""),"N",IF($Y30&lt;=WORKDAY(N($I30),1,calendar!$A$2:$A$80),"Y","N")))</f>
        <v/>
      </c>
      <c r="AC30" s="28">
        <f>IF(OR($A30="",$V30="",$Y30=""),"",ROUND(($Y30+N(IFERROR(IF(INDEX(photos!$F$2:$F$701,MATCH($A30&amp;"|"&amp;$B30&amp;"|placement|Y",photos!$R$2:$R$701,0))="","",INDEX(photos!$F$2:$F$701,MATCH($A30&amp;"|"&amp;$B30&amp;"|placement|Y",photos!$R$2:$R$701,0))),""))-$V30)*24,1))</f>
        <v/>
      </c>
      <c r="AD30" s="25">
        <f>IF($A30="","",SUMIFS(inventory!$G$2:$G$801,inventory!$C$2:$C$801,$A30,inventory!$D$2:$D$801,$B30,inventory!$E$2:$E$801,"topped_up"))</f>
        <v/>
      </c>
      <c r="AE30" s="25">
        <f>IF($A30="","",IF(COUNTIFS(counts!$C$2:$C$701,$A30,counts!$D$2:$D$701,$B30,counts!$E$2:$E$701,"remaining_day3")=0,"",SUMIFS(counts!$F$2:$F$701,counts!$C$2:$C$701,$A30,counts!$D$2:$D$701,$B30,counts!$E$2:$E$701,"remaining_day3")))</f>
        <v/>
      </c>
      <c r="AF30" s="25">
        <f>IF($A30="","",IF(COUNTIFS(counts!$C$2:$C$701,$A30,counts!$D$2:$D$701,$B30,counts!$E$2:$E$701,"remaining_day5")=0,"",SUMIFS(counts!$F$2:$F$701,counts!$C$2:$C$701,$A30,counts!$D$2:$D$701,$B30,counts!$E$2:$E$701,"remaining_day5")))</f>
        <v/>
      </c>
      <c r="AG30" s="25">
        <f>IF(OR($A30="",$AF30=""),"",MAX(0,$AA30+$AD30-$AF30))</f>
        <v/>
      </c>
      <c r="AH30" s="25">
        <f>IF(OR($A30="",$AI30=""),"",IFERROR(IF(INDEX(photos!$H$2:$H$701,MATCH($A30&amp;"|"&amp;$B30&amp;"|later|Y|"&amp;$AI30,photos!$S$2:$S$701,0))="","",INDEX(photos!$H$2:$H$701,MATCH($A30&amp;"|"&amp;$B30&amp;"|later|Y|"&amp;$AI30,photos!$S$2:$S$701,0))),""))</f>
        <v/>
      </c>
      <c r="AI30" s="26">
        <f>IF($A30="","",IFERROR(1/(1/SUMPRODUCT(MAX((photos!$B$2:$B$701=$A30)*(photos!$C$2:$C$701=$B30)*(photos!$D$2:$D$701="later")*(photos!$O$2:$O$701="Y")*photos!$E$2:$E$701))),""))</f>
        <v/>
      </c>
      <c r="AJ30" s="25">
        <f>IF(OR($A30="",$AI30="",$I30=""),"",NETWORKDAYS($I30,$AI30,calendar!$A$2:$A$80))</f>
        <v/>
      </c>
      <c r="AK30" s="25">
        <f>IF($A30="","",IF(AND($X30&lt;&gt;"",$AH30&lt;&gt;""),"Y","N"))</f>
        <v/>
      </c>
      <c r="AL30" s="25">
        <f>IF(OR($A30="",$I30=""),"",IF($BC30="Y",SUMIFS(survey_frozen!$C$2:$C$251,survey_frozen!$P$2:$P$251,$A30&amp;"|"&amp;$B30),IFERROR(COUNTIFS(INDIRECT("'"&amp;$A30&amp;"'!$B$2:$B$501"),$T30,INDIRECT("'"&amp;$A30&amp;"'!$A$2:$A$501"),"&gt;="&amp;$I30,INDIRECT("'"&amp;$A30&amp;"'!$A$2:$A$501"),"&lt;"&amp;($BA30+1)),0)))</f>
        <v/>
      </c>
      <c r="AM30" s="25">
        <f>IF(OR($A30="",$I30=""),"",IF($BC30="Y",SUMIFS(survey_frozen!$D$2:$D$251,survey_frozen!$P$2:$P$251,$A30&amp;"|"&amp;$B30),IFERROR(COUNTIFS(INDIRECT("'"&amp;$A30&amp;"'!$B$2:$B$501"),$T30,INDIRECT("'"&amp;$A30&amp;"'!$A$2:$A$501"),"&gt;="&amp;$I30,INDIRECT("'"&amp;$A30&amp;"'!$A$2:$A$501"),"&lt;"&amp;($BA30+1),INDIRECT("'"&amp;$A30&amp;"'!$C$2:$C$501"),"Yes"),0)))</f>
        <v/>
      </c>
      <c r="AN30" s="25">
        <f>IF($A30="","",IF(COUNTIFS(scans!$C$2:$C$1601,(IF(LEFT($A30,7)="SAMPLE-","SAMPLE-","")&amp;LOWER(SUBSTITUTE(SUBSTITUTE($A30,"SAMPLE-",""),"CMP-","c"))&amp;"-"&amp;LOWER(SUBSTITUTE(SUBSTITUTE($B30,"SAMPLE-",""),"O-","o"))&amp;"-q"),scans!$D$2:$D$1601,"close")=0,"",SUMPRODUCT(MAX((scans!$C$2:$C$1601=(IF(LEFT($A30,7)="SAMPLE-","SAMPLE-","")&amp;LOWER(SUBSTITUTE(SUBSTITUTE($A30,"SAMPLE-",""),"CMP-","c"))&amp;"-"&amp;LOWER(SUBSTITUTE(SUBSTITUTE($B30,"SAMPLE-",""),"O-","o"))&amp;"-q"))*(scans!$D$2:$D$1601="close")*scans!$E$2:$E$1601))-SUMPRODUCT(MAX((scans!$C$2:$C$1601=(IF(LEFT($A30,7)="SAMPLE-","SAMPLE-","")&amp;LOWER(SUBSTITUTE(SUBSTITUTE($A30,"SAMPLE-",""),"CMP-","c"))&amp;"-"&amp;LOWER(SUBSTITUTE(SUBSTITUTE($B30,"SAMPLE-",""),"O-","o"))&amp;"-q"))*(scans!$D$2:$D$1601="baseline")*scans!$E$2:$E$1601))))</f>
        <v/>
      </c>
      <c r="AO30" s="25">
        <f>IF($A30="","",IF(COUNTIFS(scans!$C$2:$C$1601,(IF(LEFT($A30,7)="SAMPLE-","SAMPLE-","")&amp;LOWER(SUBSTITUTE(SUBSTITUTE($A30,"SAMPLE-",""),"CMP-","c"))&amp;"-"&amp;LOWER(SUBSTITUTE(SUBSTITUTE($B30,"SAMPLE-",""),"O-","o"))&amp;"-p"),scans!$D$2:$D$1601,"close")=0,"",SUMPRODUCT(MAX((scans!$C$2:$C$1601=(IF(LEFT($A30,7)="SAMPLE-","SAMPLE-","")&amp;LOWER(SUBSTITUTE(SUBSTITUTE($A30,"SAMPLE-",""),"CMP-","c"))&amp;"-"&amp;LOWER(SUBSTITUTE(SUBSTITUTE($B30,"SAMPLE-",""),"O-","o"))&amp;"-p"))*(scans!$D$2:$D$1601="close")*scans!$E$2:$E$1601))-SUMPRODUCT(MAX((scans!$C$2:$C$1601=(IF(LEFT($A30,7)="SAMPLE-","SAMPLE-","")&amp;LOWER(SUBSTITUTE(SUBSTITUTE($A30,"SAMPLE-",""),"CMP-","c"))&amp;"-"&amp;LOWER(SUBSTITUTE(SUBSTITUTE($B30,"SAMPLE-",""),"O-","o"))&amp;"-p"))*(scans!$D$2:$D$1601="baseline")*scans!$E$2:$E$1601))))</f>
        <v/>
      </c>
      <c r="AP30" s="25">
        <f>IF($A30="","",IF(COUNTIF(offices!$A$2:$A$61,$B30)=0,"office_id not on offices; ","")&amp;IF(COUNTIF(campaigns!$A$2:$A$51,$A30)=0,"campaign_id not on campaigns; ","")&amp;IF($P30="pending","approval pending; ","")&amp;IF(AND($U30&gt;0,$Y30="",OR($I30="",IF(config!$B$37&lt;&gt;"",config!$B$37,TODAY())&lt;=WORKDAY(N($I30),4,calendar!$A$2:$A$80))),"no usable placement photo yet; ","")&amp;IF(AND($Y30&lt;&gt;"",$Z30=""),"log the placed count; ","")&amp;IF(N($AA30)&gt;N($U30),"placed more than delivered; ","")&amp;IF(AND($AF30&lt;&gt;"",N($AF30)&gt;N($AA30)+N($AD30)),"day-5 count above placed plus top-ups; ","")&amp;IF(AND($U30&gt;0,$I30&lt;&gt;"",IF(config!$B$37&lt;&gt;"",config!$B$37,TODAY())&gt;WORKDAY(N($I30),4,calendar!$A$2:$A$80),$AF30=""),"day-5 count missing; ","")&amp;IF(AND($U30&gt;0,$I30&lt;&gt;"",IF(config!$B$37&lt;&gt;"",config!$B$37,TODAY())&gt;WORKDAY(N($I30),4,calendar!$A$2:$A$80),$AN30=""),"no close link reading; ","")&amp;$R30&amp;IF($P30="N","info: office said no; ","")&amp;IF(AND($P30="Y",$Q30="N"),"info: turned away at the door, so not on the drop (no letter, not in the report or Gate 2; the credit check is on campaigns); ","")&amp;IF(AND($U30&gt;0,$Y30="",$I30&lt;&gt;"",IF(config!$B$37&lt;&gt;"",config!$B$37,TODAY())&gt;WORKDAY(N($I30),4,calendar!$A$2:$A$80)),"info: no usable placement photo, so nothing counts as placed; ","")&amp;IF(AND($U30&gt;0,$I30&lt;&gt;"",IF(config!$B$37&lt;&gt;"",config!$B$37,TODAY())&gt;WORKDAY(N($I30),4,calendar!$A$2:$A$80),N($AL30)&lt;config!$B$30),"info: under "&amp;config!$B$30&amp;" responses; ","")&amp;IF($W30="packing_list","info: delivered count not verified; ",""))</f>
        <v/>
      </c>
      <c r="AQ30" s="25">
        <f>IF(OR($A30="",$I30=""),"",IF($BC30="Y",SUMIFS(survey_frozen!$E$2:$E$251,survey_frozen!$P$2:$P$251,$A30&amp;"|"&amp;$B30),IFERROR(COUNTIFS(INDIRECT("'"&amp;$A30&amp;"'!$B$2:$B$501"),$T30,INDIRECT("'"&amp;$A30&amp;"'!$A$2:$A$501"),"&gt;="&amp;$I30,INDIRECT("'"&amp;$A30&amp;"'!$A$2:$A$501"),"&lt;"&amp;($BA30+1),INDIRECT("'"&amp;$A30&amp;"'!$F$2:$F$501"),"Didn't see it"),0)))</f>
        <v/>
      </c>
      <c r="AR30" s="25">
        <f>IF(OR($A30="",$I30=""),"",IF($BC30="Y",SUMIFS(survey_frozen!$F$2:$F$251,survey_frozen!$P$2:$P$251,$A30&amp;"|"&amp;$B30),IFERROR(COUNTIFS(INDIRECT("'"&amp;$A30&amp;"'!$B$2:$B$501"),$T30,INDIRECT("'"&amp;$A30&amp;"'!$A$2:$A$501"),"&gt;="&amp;$I30,INDIRECT("'"&amp;$A30&amp;"'!$A$2:$A$501"),"&lt;"&amp;($BA30+1),INDIRECT("'"&amp;$A30&amp;"'!$F$2:$F$501"),"Not for me"),0)))</f>
        <v/>
      </c>
      <c r="AS30" s="25">
        <f>IF(OR($A30="",$I30=""),"",IF($BC30="Y",SUMIFS(survey_frozen!$G$2:$G$251,survey_frozen!$P$2:$P$251,$A30&amp;"|"&amp;$B30),IFERROR(COUNTIFS(INDIRECT("'"&amp;$A30&amp;"'!$B$2:$B$501"),$T30,INDIRECT("'"&amp;$A30&amp;"'!$A$2:$A$501"),"&gt;="&amp;$I30,INDIRECT("'"&amp;$A30&amp;"'!$A$2:$A$501"),"&lt;"&amp;($BA30+1),INDIRECT("'"&amp;$A30&amp;"'!$F$2:$F$501"),"Gone by the time I looked"),0)))</f>
        <v/>
      </c>
      <c r="AT30" s="25">
        <f>IF(OR($A30="",$I30=""),"",IF($BC30="Y",SUMIFS(survey_frozen!$H$2:$H$251,survey_frozen!$P$2:$P$251,$A30&amp;"|"&amp;$B30),IFERROR(COUNTIFS(INDIRECT("'"&amp;$A30&amp;"'!$B$2:$B$501"),$T30,INDIRECT("'"&amp;$A30&amp;"'!$A$2:$A$501"),"&gt;="&amp;$I30,INDIRECT("'"&amp;$A30&amp;"'!$A$2:$A$501"),"&lt;"&amp;($BA30+1),INDIRECT("'"&amp;$A30&amp;"'!$D$2:$D$501"),"&gt;=1"),0)))</f>
        <v/>
      </c>
      <c r="AU30" s="25">
        <f>IF(OR($A30="",$I30=""),"",IF($BC30="Y",SUMIFS(survey_frozen!$I$2:$I$251,survey_frozen!$P$2:$P$251,$A30&amp;"|"&amp;$B30),IFERROR(SUMIFS(INDIRECT("'"&amp;$A30&amp;"'!$D$2:$D$501"),INDIRECT("'"&amp;$A30&amp;"'!$B$2:$B$501"),$T30,INDIRECT("'"&amp;$A30&amp;"'!$A$2:$A$501"),"&gt;="&amp;$I30,INDIRECT("'"&amp;$A30&amp;"'!$A$2:$A$501"),"&lt;"&amp;($BA30+1)),0)))</f>
        <v/>
      </c>
      <c r="AV30" s="25">
        <f>IF(OR($A30="",$I30=""),"",IF($BC30="Y",SUMIFS(survey_frozen!$J$2:$J$251,survey_frozen!$P$2:$P$251,$A30&amp;"|"&amp;$B30),IFERROR(COUNTIFS(INDIRECT("'"&amp;$A30&amp;"'!$B$2:$B$501"),$T30,INDIRECT("'"&amp;$A30&amp;"'!$A$2:$A$501"),"&gt;="&amp;$I30,INDIRECT("'"&amp;$A30&amp;"'!$A$2:$A$501"),"&lt;"&amp;($BA30+1),INDIRECT("'"&amp;$A30&amp;"'!$E$2:$E$501"),"Yes"),0)))</f>
        <v/>
      </c>
      <c r="AW30" s="25">
        <f>IF(OR($A30="",$I30=""),"",IF($BC30="Y",SUMIFS(survey_frozen!$K$2:$K$251,survey_frozen!$P$2:$P$251,$A30&amp;"|"&amp;$B30),IFERROR(COUNTIFS(INDIRECT("'"&amp;$A30&amp;"'!$B$2:$B$501"),$T30,INDIRECT("'"&amp;$A30&amp;"'!$A$2:$A$501"),"&gt;="&amp;$I30,INDIRECT("'"&amp;$A30&amp;"'!$A$2:$A$501"),"&lt;"&amp;($BA30+1),INDIRECT("'"&amp;$A30&amp;"'!$E$2:$E$501"),"Maybe"),0)))</f>
        <v/>
      </c>
      <c r="AX30" s="25">
        <f>IF(OR($A30="",$I30=""),"",IF($BC30="Y",SUMIFS(survey_frozen!$L$2:$L$251,survey_frozen!$P$2:$P$251,$A30&amp;"|"&amp;$B30),IFERROR(COUNTIFS(INDIRECT("'"&amp;$A30&amp;"'!$B$2:$B$501"),$T30,INDIRECT("'"&amp;$A30&amp;"'!$A$2:$A$501"),"&gt;="&amp;$I30,INDIRECT("'"&amp;$A30&amp;"'!$A$2:$A$501"),"&lt;"&amp;($BA30+1),INDIRECT("'"&amp;$A30&amp;"'!$E$2:$E$501"),"No"),0)))</f>
        <v/>
      </c>
      <c r="AY30" s="25">
        <f>IF(OR($A30="",$I30=""),"",IF($BC30="Y",SUMIFS(survey_frozen!$M$2:$M$251,survey_frozen!$P$2:$P$251,$A30&amp;"|"&amp;$B30),IFERROR(COUNTIFS(INDIRECT("'"&amp;$A30&amp;"'!$B$2:$B$501"),$T30,INDIRECT("'"&amp;$A30&amp;"'!$A$2:$A$501"),"&gt;="&amp;$I30,INDIRECT("'"&amp;$A30&amp;"'!$A$2:$A$501"),"&lt;"&amp;($BA30+1),INDIRECT("'"&amp;$A30&amp;"'!$G$2:$G$501"),"&lt;&gt;"),0)))</f>
        <v/>
      </c>
      <c r="AZ30" s="25">
        <f>IF($A30="","",$A30&amp;"|"&amp;$L30)</f>
        <v/>
      </c>
      <c r="BA30" s="26">
        <f>IF($A30="","",IFERROR(IF(INDEX(drops!$R$2:$R$21,MATCH($H30,drops!$A$2:$A$21,0))="","",INDEX(drops!$R$2:$R$21,MATCH($H30,drops!$A$2:$A$21,0))),""))</f>
        <v/>
      </c>
      <c r="BB30" s="25">
        <f>IF(OR($A30="",$Q30&lt;&gt;"Y"),1000000,N($AL30))</f>
        <v/>
      </c>
      <c r="BC30" s="25">
        <f>IF($A30="","",IF(COUNTIF(survey_frozen!$P$2:$P$251,$A30&amp;"|"&amp;$B30)&gt;0,"Y",""))</f>
        <v/>
      </c>
    </row>
    <row r="31">
      <c r="A31" t="inlineStr">
        <is>
          <t>SAMPLE-CMP-004</t>
        </is>
      </c>
      <c r="B31" t="inlineStr">
        <is>
          <t>SAMPLE-O-010</t>
        </is>
      </c>
      <c r="C31" s="9" t="n">
        <v>46400</v>
      </c>
      <c r="D31" t="inlineStr">
        <is>
          <t>yes</t>
        </is>
      </c>
      <c r="E31" s="9" t="n">
        <v>46401</v>
      </c>
      <c r="F31" t="inlineStr">
        <is>
          <t>SAMPLE replied by email</t>
        </is>
      </c>
      <c r="H31" s="25">
        <f>IF($A31="","",IFERROR(IF(INDEX(campaigns!$B$2:$B$51,MATCH($A31,campaigns!$A$2:$A$51,0))="","",INDEX(campaigns!$B$2:$B$51,MATCH($A31,campaigns!$A$2:$A$51,0))),""))</f>
        <v/>
      </c>
      <c r="I31" s="26">
        <f>IF($A31="","",IFERROR(IF(INDEX(campaigns!$BG$2:$BG$51,MATCH($A31,campaigns!$A$2:$A$51,0))="","",INDEX(campaigns!$BG$2:$BG$51,MATCH($A31,campaigns!$A$2:$A$51,0))),""))</f>
        <v/>
      </c>
      <c r="J31" s="25">
        <f>IF($A31="","",IFERROR(IF(INDEX(campaigns!$BE$2:$BE$51,MATCH($A31,campaigns!$A$2:$A$51,0))="","",INDEX(campaigns!$BE$2:$BE$51,MATCH($A31,campaigns!$A$2:$A$51,0))),""))</f>
        <v/>
      </c>
      <c r="K31" s="25">
        <f>IF($B31="","",IFERROR(IF(INDEX(offices!$N$2:$N$61,MATCH($B31,offices!$A$2:$A$61,0))="","",INDEX(offices!$N$2:$N$61,MATCH($B31,offices!$A$2:$A$61,0))),""))</f>
        <v/>
      </c>
      <c r="L31" s="25">
        <f>IF($A31="","",IF($Q31="N","",COUNTIFS($A$2:$A31,$A31,$Q$2:$Q31,"&lt;&gt;N")))</f>
        <v/>
      </c>
      <c r="M31" s="25">
        <f>IF(OR($A31="",$L31=""),"",IF(AND(config!$B$34="names_if_public",IFERROR(IF(INDEX(offices!$AF$2:$AF$61,MATCH($B31,offices!$A$2:$A$61,0))="","",INDEX(offices!$AF$2:$AF$61,MATCH($B31,offices!$A$2:$A$61,0))),"")="Y"),$K31,CHAR(64+$L31)))</f>
        <v/>
      </c>
      <c r="N31" s="25">
        <f>IF(OR($A31="",$I31=""),"",COUNTIFS(stops!$B$2:$B$151,$B31,stops!$P$2:$P$151,"&lt;"&amp;$I31,stops!$L$2:$L$151,"&lt;&gt;not_delivered")+1)</f>
        <v/>
      </c>
      <c r="O31" s="25">
        <f>IF($A31="","",IF(N($N31)&lt;=config!$B$29,"explicit","opt-out"))</f>
        <v/>
      </c>
      <c r="P31" s="25">
        <f>IF($A31="","",IF($O31="explicit",IF($D31="yes","Y",IF($D31="no","N","pending")),IF($D31="no","N",IF(AND($C31&lt;&gt;"",$I31&lt;&gt;"",$C31&lt;=WORKDAY(N($I31),-5,calendar!$A$2:$A$80)),"Y","pending"))))</f>
        <v/>
      </c>
      <c r="Q31" s="25">
        <f>IF($A31="","",IF($P31="N","N",IF($P31&lt;&gt;"Y","pending",IF(AND((COUNTIFS(stops!$A$2:$A$151,$H31,stops!$B$2:$B$151,$B31,stops!$L$2:$L$151,"declined")+COUNTIFS(stops!$A$2:$A$151,$H31,stops!$B$2:$B$151,$B31,stops!$L$2:$L$151,"building_refused")+COUNTIFS(stops!$A$2:$A$151,$H31,stops!$B$2:$B$151,$B31,stops!$L$2:$L$151,"not_delivered"))&gt;0,N($U31)=0),"N","Y"))))</f>
        <v/>
      </c>
      <c r="R31" s="25">
        <f>IF($A31="","",IF(COUNTIFS($A$2:$A$251,$A31,$B$2:$B$251,$B31)&gt;1,"DUPLICATE ROW; ","")&amp;IF(AND(IFERROR(IF(INDEX(offices!$AC$2:$AC$61,MATCH($B31,offices!$A$2:$A$61,0))="","",INDEX(offices!$AC$2:$AC$61,MATCH($B31,offices!$A$2:$A$61,0))),"")&lt;&gt;"",ISNUMBER(SEARCH($J31,IFERROR(IF(INDEX(offices!$AC$2:$AC$61,MATCH($B31,offices!$A$2:$A$61,0))="","",INDEX(offices!$AC$2:$AC$61,MATCH($B31,offices!$A$2:$A$61,0))),"")))),"BRAND VETOED; ","")&amp;IF(ISNUMBER(SEARCH(IFERROR(IF(INDEX(campaigns!$BF$2:$BF$51,MATCH($A31,campaigns!$A$2:$A$51,0))="","",INDEX(campaigns!$BF$2:$BF$51,MATCH($A31,campaigns!$A$2:$A$51,0))),""),IFERROR(IF(INDEX(offices!$AB$2:$AB$61,MATCH($B31,offices!$A$2:$A$61,0))="","",INDEX(offices!$AB$2:$AB$61,MATCH($B31,offices!$A$2:$A$61,0))),""))),"","info: category not on the office's list; ")&amp;IF(IFERROR(IF(INDEX(offices!$AC$2:$AC$61,MATCH($B31,offices!$A$2:$A$61,0))="","",INDEX(offices!$AC$2:$AC$61,MATCH($B31,offices!$A$2:$A$61,0))),"")&lt;&gt;"","info: read the vetoes against the label; ",""))</f>
        <v/>
      </c>
      <c r="S31" s="25">
        <f>IF($A31="","",IF($G31&lt;&gt;"",$G31,IFERROR(IF(INDEX(offices!$AL$2:$AL$61,MATCH($B31,offices!$A$2:$A$61,0))="","",INDEX(offices!$AL$2:$AL$61,MATCH($B31,offices!$A$2:$A$61,0))),"")))</f>
        <v/>
      </c>
      <c r="T31" s="25">
        <f>IF($A31="","",$A31&amp;"."&amp;$B31)</f>
        <v/>
      </c>
      <c r="U31" s="25">
        <f>IF($A31="","",SUMIFS(inventory!$G$2:$G$801,inventory!$C$2:$C$801,$A31,inventory!$D$2:$D$801,$B31,inventory!$E$2:$E$801,"delivered"))</f>
        <v/>
      </c>
      <c r="V31" s="32">
        <f>IF($A31="","",IFERROR(1/(1/SUMPRODUCT(MAX((inventory!$C$2:$C$801=$A31)*(inventory!$D$2:$D$801=$B31)*(inventory!$E$2:$E$801="delivered")*(inventory!$A$2:$A$801+inventory!$B$2:$B$801)))),""))</f>
        <v/>
      </c>
      <c r="W31" s="25">
        <f>IF($A31="","",IFERROR(IF(INDEX(inventory!$J$2:$J$801,MATCH($A31&amp;"|"&amp;$B31&amp;"|delivered",inventory!$R$2:$R$801,0))="","",INDEX(inventory!$J$2:$J$801,MATCH($A31&amp;"|"&amp;$B31&amp;"|delivered",inventory!$R$2:$R$801,0))),""))</f>
        <v/>
      </c>
      <c r="X31" s="25">
        <f>IF($A31="","",IFERROR(IF(INDEX(photos!$H$2:$H$701,MATCH($A31&amp;"|"&amp;$B31&amp;"|placement|Y",photos!$R$2:$R$701,0))="","",INDEX(photos!$H$2:$H$701,MATCH($A31&amp;"|"&amp;$B31&amp;"|placement|Y",photos!$R$2:$R$701,0))),""))</f>
        <v/>
      </c>
      <c r="Y31" s="26">
        <f>IF($A31="","",IFERROR(IF(INDEX(photos!$E$2:$E$701,MATCH($A31&amp;"|"&amp;$B31&amp;"|placement|Y",photos!$R$2:$R$701,0))="","",INDEX(photos!$E$2:$E$701,MATCH($A31&amp;"|"&amp;$B31&amp;"|placement|Y",photos!$R$2:$R$701,0))),""))</f>
        <v/>
      </c>
      <c r="Z31" s="25">
        <f>IF($A31="","",IF(COUNTIFS(counts!$C$2:$C$701,$A31,counts!$D$2:$D$701,$B31,counts!$E$2:$E$701,"placed")=0,"",SUMIFS(counts!$F$2:$F$701,counts!$C$2:$C$701,$A31,counts!$D$2:$D$701,$B31,counts!$E$2:$E$701,"placed")))</f>
        <v/>
      </c>
      <c r="AA31" s="25">
        <f>IF($A31="","",IF($Y31="",0,N($Z31)))</f>
        <v/>
      </c>
      <c r="AB31" s="25">
        <f>IF($A31="","",IF(OR($Y31="",$I31=""),"N",IF($Y31&lt;=WORKDAY(N($I31),1,calendar!$A$2:$A$80),"Y","N")))</f>
        <v/>
      </c>
      <c r="AC31" s="28">
        <f>IF(OR($A31="",$V31="",$Y31=""),"",ROUND(($Y31+N(IFERROR(IF(INDEX(photos!$F$2:$F$701,MATCH($A31&amp;"|"&amp;$B31&amp;"|placement|Y",photos!$R$2:$R$701,0))="","",INDEX(photos!$F$2:$F$701,MATCH($A31&amp;"|"&amp;$B31&amp;"|placement|Y",photos!$R$2:$R$701,0))),""))-$V31)*24,1))</f>
        <v/>
      </c>
      <c r="AD31" s="25">
        <f>IF($A31="","",SUMIFS(inventory!$G$2:$G$801,inventory!$C$2:$C$801,$A31,inventory!$D$2:$D$801,$B31,inventory!$E$2:$E$801,"topped_up"))</f>
        <v/>
      </c>
      <c r="AE31" s="25">
        <f>IF($A31="","",IF(COUNTIFS(counts!$C$2:$C$701,$A31,counts!$D$2:$D$701,$B31,counts!$E$2:$E$701,"remaining_day3")=0,"",SUMIFS(counts!$F$2:$F$701,counts!$C$2:$C$701,$A31,counts!$D$2:$D$701,$B31,counts!$E$2:$E$701,"remaining_day3")))</f>
        <v/>
      </c>
      <c r="AF31" s="25">
        <f>IF($A31="","",IF(COUNTIFS(counts!$C$2:$C$701,$A31,counts!$D$2:$D$701,$B31,counts!$E$2:$E$701,"remaining_day5")=0,"",SUMIFS(counts!$F$2:$F$701,counts!$C$2:$C$701,$A31,counts!$D$2:$D$701,$B31,counts!$E$2:$E$701,"remaining_day5")))</f>
        <v/>
      </c>
      <c r="AG31" s="25">
        <f>IF(OR($A31="",$AF31=""),"",MAX(0,$AA31+$AD31-$AF31))</f>
        <v/>
      </c>
      <c r="AH31" s="25">
        <f>IF(OR($A31="",$AI31=""),"",IFERROR(IF(INDEX(photos!$H$2:$H$701,MATCH($A31&amp;"|"&amp;$B31&amp;"|later|Y|"&amp;$AI31,photos!$S$2:$S$701,0))="","",INDEX(photos!$H$2:$H$701,MATCH($A31&amp;"|"&amp;$B31&amp;"|later|Y|"&amp;$AI31,photos!$S$2:$S$701,0))),""))</f>
        <v/>
      </c>
      <c r="AI31" s="26">
        <f>IF($A31="","",IFERROR(1/(1/SUMPRODUCT(MAX((photos!$B$2:$B$701=$A31)*(photos!$C$2:$C$701=$B31)*(photos!$D$2:$D$701="later")*(photos!$O$2:$O$701="Y")*photos!$E$2:$E$701))),""))</f>
        <v/>
      </c>
      <c r="AJ31" s="25">
        <f>IF(OR($A31="",$AI31="",$I31=""),"",NETWORKDAYS($I31,$AI31,calendar!$A$2:$A$80))</f>
        <v/>
      </c>
      <c r="AK31" s="25">
        <f>IF($A31="","",IF(AND($X31&lt;&gt;"",$AH31&lt;&gt;""),"Y","N"))</f>
        <v/>
      </c>
      <c r="AL31" s="25">
        <f>IF(OR($A31="",$I31=""),"",IF($BC31="Y",SUMIFS(survey_frozen!$C$2:$C$251,survey_frozen!$P$2:$P$251,$A31&amp;"|"&amp;$B31),IFERROR(COUNTIFS(INDIRECT("'"&amp;$A31&amp;"'!$B$2:$B$501"),$T31,INDIRECT("'"&amp;$A31&amp;"'!$A$2:$A$501"),"&gt;="&amp;$I31,INDIRECT("'"&amp;$A31&amp;"'!$A$2:$A$501"),"&lt;"&amp;($BA31+1)),0)))</f>
        <v/>
      </c>
      <c r="AM31" s="25">
        <f>IF(OR($A31="",$I31=""),"",IF($BC31="Y",SUMIFS(survey_frozen!$D$2:$D$251,survey_frozen!$P$2:$P$251,$A31&amp;"|"&amp;$B31),IFERROR(COUNTIFS(INDIRECT("'"&amp;$A31&amp;"'!$B$2:$B$501"),$T31,INDIRECT("'"&amp;$A31&amp;"'!$A$2:$A$501"),"&gt;="&amp;$I31,INDIRECT("'"&amp;$A31&amp;"'!$A$2:$A$501"),"&lt;"&amp;($BA31+1),INDIRECT("'"&amp;$A31&amp;"'!$C$2:$C$501"),"Yes"),0)))</f>
        <v/>
      </c>
      <c r="AN31" s="25">
        <f>IF($A31="","",IF(COUNTIFS(scans!$C$2:$C$1601,(IF(LEFT($A31,7)="SAMPLE-","SAMPLE-","")&amp;LOWER(SUBSTITUTE(SUBSTITUTE($A31,"SAMPLE-",""),"CMP-","c"))&amp;"-"&amp;LOWER(SUBSTITUTE(SUBSTITUTE($B31,"SAMPLE-",""),"O-","o"))&amp;"-q"),scans!$D$2:$D$1601,"close")=0,"",SUMPRODUCT(MAX((scans!$C$2:$C$1601=(IF(LEFT($A31,7)="SAMPLE-","SAMPLE-","")&amp;LOWER(SUBSTITUTE(SUBSTITUTE($A31,"SAMPLE-",""),"CMP-","c"))&amp;"-"&amp;LOWER(SUBSTITUTE(SUBSTITUTE($B31,"SAMPLE-",""),"O-","o"))&amp;"-q"))*(scans!$D$2:$D$1601="close")*scans!$E$2:$E$1601))-SUMPRODUCT(MAX((scans!$C$2:$C$1601=(IF(LEFT($A31,7)="SAMPLE-","SAMPLE-","")&amp;LOWER(SUBSTITUTE(SUBSTITUTE($A31,"SAMPLE-",""),"CMP-","c"))&amp;"-"&amp;LOWER(SUBSTITUTE(SUBSTITUTE($B31,"SAMPLE-",""),"O-","o"))&amp;"-q"))*(scans!$D$2:$D$1601="baseline")*scans!$E$2:$E$1601))))</f>
        <v/>
      </c>
      <c r="AO31" s="25">
        <f>IF($A31="","",IF(COUNTIFS(scans!$C$2:$C$1601,(IF(LEFT($A31,7)="SAMPLE-","SAMPLE-","")&amp;LOWER(SUBSTITUTE(SUBSTITUTE($A31,"SAMPLE-",""),"CMP-","c"))&amp;"-"&amp;LOWER(SUBSTITUTE(SUBSTITUTE($B31,"SAMPLE-",""),"O-","o"))&amp;"-p"),scans!$D$2:$D$1601,"close")=0,"",SUMPRODUCT(MAX((scans!$C$2:$C$1601=(IF(LEFT($A31,7)="SAMPLE-","SAMPLE-","")&amp;LOWER(SUBSTITUTE(SUBSTITUTE($A31,"SAMPLE-",""),"CMP-","c"))&amp;"-"&amp;LOWER(SUBSTITUTE(SUBSTITUTE($B31,"SAMPLE-",""),"O-","o"))&amp;"-p"))*(scans!$D$2:$D$1601="close")*scans!$E$2:$E$1601))-SUMPRODUCT(MAX((scans!$C$2:$C$1601=(IF(LEFT($A31,7)="SAMPLE-","SAMPLE-","")&amp;LOWER(SUBSTITUTE(SUBSTITUTE($A31,"SAMPLE-",""),"CMP-","c"))&amp;"-"&amp;LOWER(SUBSTITUTE(SUBSTITUTE($B31,"SAMPLE-",""),"O-","o"))&amp;"-p"))*(scans!$D$2:$D$1601="baseline")*scans!$E$2:$E$1601))))</f>
        <v/>
      </c>
      <c r="AP31" s="25">
        <f>IF($A31="","",IF(COUNTIF(offices!$A$2:$A$61,$B31)=0,"office_id not on offices; ","")&amp;IF(COUNTIF(campaigns!$A$2:$A$51,$A31)=0,"campaign_id not on campaigns; ","")&amp;IF($P31="pending","approval pending; ","")&amp;IF(AND($U31&gt;0,$Y31="",OR($I31="",IF(config!$B$37&lt;&gt;"",config!$B$37,TODAY())&lt;=WORKDAY(N($I31),4,calendar!$A$2:$A$80))),"no usable placement photo yet; ","")&amp;IF(AND($Y31&lt;&gt;"",$Z31=""),"log the placed count; ","")&amp;IF(N($AA31)&gt;N($U31),"placed more than delivered; ","")&amp;IF(AND($AF31&lt;&gt;"",N($AF31)&gt;N($AA31)+N($AD31)),"day-5 count above placed plus top-ups; ","")&amp;IF(AND($U31&gt;0,$I31&lt;&gt;"",IF(config!$B$37&lt;&gt;"",config!$B$37,TODAY())&gt;WORKDAY(N($I31),4,calendar!$A$2:$A$80),$AF31=""),"day-5 count missing; ","")&amp;IF(AND($U31&gt;0,$I31&lt;&gt;"",IF(config!$B$37&lt;&gt;"",config!$B$37,TODAY())&gt;WORKDAY(N($I31),4,calendar!$A$2:$A$80),$AN31=""),"no close link reading; ","")&amp;$R31&amp;IF($P31="N","info: office said no; ","")&amp;IF(AND($P31="Y",$Q31="N"),"info: turned away at the door, so not on the drop (no letter, not in the report or Gate 2; the credit check is on campaigns); ","")&amp;IF(AND($U31&gt;0,$Y31="",$I31&lt;&gt;"",IF(config!$B$37&lt;&gt;"",config!$B$37,TODAY())&gt;WORKDAY(N($I31),4,calendar!$A$2:$A$80)),"info: no usable placement photo, so nothing counts as placed; ","")&amp;IF(AND($U31&gt;0,$I31&lt;&gt;"",IF(config!$B$37&lt;&gt;"",config!$B$37,TODAY())&gt;WORKDAY(N($I31),4,calendar!$A$2:$A$80),N($AL31)&lt;config!$B$30),"info: under "&amp;config!$B$30&amp;" responses; ","")&amp;IF($W31="packing_list","info: delivered count not verified; ",""))</f>
        <v/>
      </c>
      <c r="AQ31" s="25">
        <f>IF(OR($A31="",$I31=""),"",IF($BC31="Y",SUMIFS(survey_frozen!$E$2:$E$251,survey_frozen!$P$2:$P$251,$A31&amp;"|"&amp;$B31),IFERROR(COUNTIFS(INDIRECT("'"&amp;$A31&amp;"'!$B$2:$B$501"),$T31,INDIRECT("'"&amp;$A31&amp;"'!$A$2:$A$501"),"&gt;="&amp;$I31,INDIRECT("'"&amp;$A31&amp;"'!$A$2:$A$501"),"&lt;"&amp;($BA31+1),INDIRECT("'"&amp;$A31&amp;"'!$F$2:$F$501"),"Didn't see it"),0)))</f>
        <v/>
      </c>
      <c r="AR31" s="25">
        <f>IF(OR($A31="",$I31=""),"",IF($BC31="Y",SUMIFS(survey_frozen!$F$2:$F$251,survey_frozen!$P$2:$P$251,$A31&amp;"|"&amp;$B31),IFERROR(COUNTIFS(INDIRECT("'"&amp;$A31&amp;"'!$B$2:$B$501"),$T31,INDIRECT("'"&amp;$A31&amp;"'!$A$2:$A$501"),"&gt;="&amp;$I31,INDIRECT("'"&amp;$A31&amp;"'!$A$2:$A$501"),"&lt;"&amp;($BA31+1),INDIRECT("'"&amp;$A31&amp;"'!$F$2:$F$501"),"Not for me"),0)))</f>
        <v/>
      </c>
      <c r="AS31" s="25">
        <f>IF(OR($A31="",$I31=""),"",IF($BC31="Y",SUMIFS(survey_frozen!$G$2:$G$251,survey_frozen!$P$2:$P$251,$A31&amp;"|"&amp;$B31),IFERROR(COUNTIFS(INDIRECT("'"&amp;$A31&amp;"'!$B$2:$B$501"),$T31,INDIRECT("'"&amp;$A31&amp;"'!$A$2:$A$501"),"&gt;="&amp;$I31,INDIRECT("'"&amp;$A31&amp;"'!$A$2:$A$501"),"&lt;"&amp;($BA31+1),INDIRECT("'"&amp;$A31&amp;"'!$F$2:$F$501"),"Gone by the time I looked"),0)))</f>
        <v/>
      </c>
      <c r="AT31" s="25">
        <f>IF(OR($A31="",$I31=""),"",IF($BC31="Y",SUMIFS(survey_frozen!$H$2:$H$251,survey_frozen!$P$2:$P$251,$A31&amp;"|"&amp;$B31),IFERROR(COUNTIFS(INDIRECT("'"&amp;$A31&amp;"'!$B$2:$B$501"),$T31,INDIRECT("'"&amp;$A31&amp;"'!$A$2:$A$501"),"&gt;="&amp;$I31,INDIRECT("'"&amp;$A31&amp;"'!$A$2:$A$501"),"&lt;"&amp;($BA31+1),INDIRECT("'"&amp;$A31&amp;"'!$D$2:$D$501"),"&gt;=1"),0)))</f>
        <v/>
      </c>
      <c r="AU31" s="25">
        <f>IF(OR($A31="",$I31=""),"",IF($BC31="Y",SUMIFS(survey_frozen!$I$2:$I$251,survey_frozen!$P$2:$P$251,$A31&amp;"|"&amp;$B31),IFERROR(SUMIFS(INDIRECT("'"&amp;$A31&amp;"'!$D$2:$D$501"),INDIRECT("'"&amp;$A31&amp;"'!$B$2:$B$501"),$T31,INDIRECT("'"&amp;$A31&amp;"'!$A$2:$A$501"),"&gt;="&amp;$I31,INDIRECT("'"&amp;$A31&amp;"'!$A$2:$A$501"),"&lt;"&amp;($BA31+1)),0)))</f>
        <v/>
      </c>
      <c r="AV31" s="25">
        <f>IF(OR($A31="",$I31=""),"",IF($BC31="Y",SUMIFS(survey_frozen!$J$2:$J$251,survey_frozen!$P$2:$P$251,$A31&amp;"|"&amp;$B31),IFERROR(COUNTIFS(INDIRECT("'"&amp;$A31&amp;"'!$B$2:$B$501"),$T31,INDIRECT("'"&amp;$A31&amp;"'!$A$2:$A$501"),"&gt;="&amp;$I31,INDIRECT("'"&amp;$A31&amp;"'!$A$2:$A$501"),"&lt;"&amp;($BA31+1),INDIRECT("'"&amp;$A31&amp;"'!$E$2:$E$501"),"Yes"),0)))</f>
        <v/>
      </c>
      <c r="AW31" s="25">
        <f>IF(OR($A31="",$I31=""),"",IF($BC31="Y",SUMIFS(survey_frozen!$K$2:$K$251,survey_frozen!$P$2:$P$251,$A31&amp;"|"&amp;$B31),IFERROR(COUNTIFS(INDIRECT("'"&amp;$A31&amp;"'!$B$2:$B$501"),$T31,INDIRECT("'"&amp;$A31&amp;"'!$A$2:$A$501"),"&gt;="&amp;$I31,INDIRECT("'"&amp;$A31&amp;"'!$A$2:$A$501"),"&lt;"&amp;($BA31+1),INDIRECT("'"&amp;$A31&amp;"'!$E$2:$E$501"),"Maybe"),0)))</f>
        <v/>
      </c>
      <c r="AX31" s="25">
        <f>IF(OR($A31="",$I31=""),"",IF($BC31="Y",SUMIFS(survey_frozen!$L$2:$L$251,survey_frozen!$P$2:$P$251,$A31&amp;"|"&amp;$B31),IFERROR(COUNTIFS(INDIRECT("'"&amp;$A31&amp;"'!$B$2:$B$501"),$T31,INDIRECT("'"&amp;$A31&amp;"'!$A$2:$A$501"),"&gt;="&amp;$I31,INDIRECT("'"&amp;$A31&amp;"'!$A$2:$A$501"),"&lt;"&amp;($BA31+1),INDIRECT("'"&amp;$A31&amp;"'!$E$2:$E$501"),"No"),0)))</f>
        <v/>
      </c>
      <c r="AY31" s="25">
        <f>IF(OR($A31="",$I31=""),"",IF($BC31="Y",SUMIFS(survey_frozen!$M$2:$M$251,survey_frozen!$P$2:$P$251,$A31&amp;"|"&amp;$B31),IFERROR(COUNTIFS(INDIRECT("'"&amp;$A31&amp;"'!$B$2:$B$501"),$T31,INDIRECT("'"&amp;$A31&amp;"'!$A$2:$A$501"),"&gt;="&amp;$I31,INDIRECT("'"&amp;$A31&amp;"'!$A$2:$A$501"),"&lt;"&amp;($BA31+1),INDIRECT("'"&amp;$A31&amp;"'!$G$2:$G$501"),"&lt;&gt;"),0)))</f>
        <v/>
      </c>
      <c r="AZ31" s="25">
        <f>IF($A31="","",$A31&amp;"|"&amp;$L31)</f>
        <v/>
      </c>
      <c r="BA31" s="26">
        <f>IF($A31="","",IFERROR(IF(INDEX(drops!$R$2:$R$21,MATCH($H31,drops!$A$2:$A$21,0))="","",INDEX(drops!$R$2:$R$21,MATCH($H31,drops!$A$2:$A$21,0))),""))</f>
        <v/>
      </c>
      <c r="BB31" s="25">
        <f>IF(OR($A31="",$Q31&lt;&gt;"Y"),1000000,N($AL31))</f>
        <v/>
      </c>
      <c r="BC31" s="25">
        <f>IF($A31="","",IF(COUNTIF(survey_frozen!$P$2:$P$251,$A31&amp;"|"&amp;$B31)&gt;0,"Y",""))</f>
        <v/>
      </c>
    </row>
    <row r="32">
      <c r="A32" t="inlineStr">
        <is>
          <t>SAMPLE-CMP-005</t>
        </is>
      </c>
      <c r="B32" t="inlineStr">
        <is>
          <t>SAMPLE-O-001</t>
        </is>
      </c>
      <c r="C32" s="9" t="n">
        <v>46395</v>
      </c>
      <c r="D32" t="inlineStr">
        <is>
          <t>yes</t>
        </is>
      </c>
      <c r="E32" s="9" t="n">
        <v>46396</v>
      </c>
      <c r="F32" t="inlineStr">
        <is>
          <t>SAMPLE replied by email</t>
        </is>
      </c>
      <c r="H32" s="25">
        <f>IF($A32="","",IFERROR(IF(INDEX(campaigns!$B$2:$B$51,MATCH($A32,campaigns!$A$2:$A$51,0))="","",INDEX(campaigns!$B$2:$B$51,MATCH($A32,campaigns!$A$2:$A$51,0))),""))</f>
        <v/>
      </c>
      <c r="I32" s="26">
        <f>IF($A32="","",IFERROR(IF(INDEX(campaigns!$BG$2:$BG$51,MATCH($A32,campaigns!$A$2:$A$51,0))="","",INDEX(campaigns!$BG$2:$BG$51,MATCH($A32,campaigns!$A$2:$A$51,0))),""))</f>
        <v/>
      </c>
      <c r="J32" s="25">
        <f>IF($A32="","",IFERROR(IF(INDEX(campaigns!$BE$2:$BE$51,MATCH($A32,campaigns!$A$2:$A$51,0))="","",INDEX(campaigns!$BE$2:$BE$51,MATCH($A32,campaigns!$A$2:$A$51,0))),""))</f>
        <v/>
      </c>
      <c r="K32" s="25">
        <f>IF($B32="","",IFERROR(IF(INDEX(offices!$N$2:$N$61,MATCH($B32,offices!$A$2:$A$61,0))="","",INDEX(offices!$N$2:$N$61,MATCH($B32,offices!$A$2:$A$61,0))),""))</f>
        <v/>
      </c>
      <c r="L32" s="25">
        <f>IF($A32="","",IF($Q32="N","",COUNTIFS($A$2:$A32,$A32,$Q$2:$Q32,"&lt;&gt;N")))</f>
        <v/>
      </c>
      <c r="M32" s="25">
        <f>IF(OR($A32="",$L32=""),"",IF(AND(config!$B$34="names_if_public",IFERROR(IF(INDEX(offices!$AF$2:$AF$61,MATCH($B32,offices!$A$2:$A$61,0))="","",INDEX(offices!$AF$2:$AF$61,MATCH($B32,offices!$A$2:$A$61,0))),"")="Y"),$K32,CHAR(64+$L32)))</f>
        <v/>
      </c>
      <c r="N32" s="25">
        <f>IF(OR($A32="",$I32=""),"",COUNTIFS(stops!$B$2:$B$151,$B32,stops!$P$2:$P$151,"&lt;"&amp;$I32,stops!$L$2:$L$151,"&lt;&gt;not_delivered")+1)</f>
        <v/>
      </c>
      <c r="O32" s="25">
        <f>IF($A32="","",IF(N($N32)&lt;=config!$B$29,"explicit","opt-out"))</f>
        <v/>
      </c>
      <c r="P32" s="25">
        <f>IF($A32="","",IF($O32="explicit",IF($D32="yes","Y",IF($D32="no","N","pending")),IF($D32="no","N",IF(AND($C32&lt;&gt;"",$I32&lt;&gt;"",$C32&lt;=WORKDAY(N($I32),-5,calendar!$A$2:$A$80)),"Y","pending"))))</f>
        <v/>
      </c>
      <c r="Q32" s="25">
        <f>IF($A32="","",IF($P32="N","N",IF($P32&lt;&gt;"Y","pending",IF(AND((COUNTIFS(stops!$A$2:$A$151,$H32,stops!$B$2:$B$151,$B32,stops!$L$2:$L$151,"declined")+COUNTIFS(stops!$A$2:$A$151,$H32,stops!$B$2:$B$151,$B32,stops!$L$2:$L$151,"building_refused")+COUNTIFS(stops!$A$2:$A$151,$H32,stops!$B$2:$B$151,$B32,stops!$L$2:$L$151,"not_delivered"))&gt;0,N($U32)=0),"N","Y"))))</f>
        <v/>
      </c>
      <c r="R32" s="25">
        <f>IF($A32="","",IF(COUNTIFS($A$2:$A$251,$A32,$B$2:$B$251,$B32)&gt;1,"DUPLICATE ROW; ","")&amp;IF(AND(IFERROR(IF(INDEX(offices!$AC$2:$AC$61,MATCH($B32,offices!$A$2:$A$61,0))="","",INDEX(offices!$AC$2:$AC$61,MATCH($B32,offices!$A$2:$A$61,0))),"")&lt;&gt;"",ISNUMBER(SEARCH($J32,IFERROR(IF(INDEX(offices!$AC$2:$AC$61,MATCH($B32,offices!$A$2:$A$61,0))="","",INDEX(offices!$AC$2:$AC$61,MATCH($B32,offices!$A$2:$A$61,0))),"")))),"BRAND VETOED; ","")&amp;IF(ISNUMBER(SEARCH(IFERROR(IF(INDEX(campaigns!$BF$2:$BF$51,MATCH($A32,campaigns!$A$2:$A$51,0))="","",INDEX(campaigns!$BF$2:$BF$51,MATCH($A32,campaigns!$A$2:$A$51,0))),""),IFERROR(IF(INDEX(offices!$AB$2:$AB$61,MATCH($B32,offices!$A$2:$A$61,0))="","",INDEX(offices!$AB$2:$AB$61,MATCH($B32,offices!$A$2:$A$61,0))),""))),"","info: category not on the office's list; ")&amp;IF(IFERROR(IF(INDEX(offices!$AC$2:$AC$61,MATCH($B32,offices!$A$2:$A$61,0))="","",INDEX(offices!$AC$2:$AC$61,MATCH($B32,offices!$A$2:$A$61,0))),"")&lt;&gt;"","info: read the vetoes against the label; ",""))</f>
        <v/>
      </c>
      <c r="S32" s="25">
        <f>IF($A32="","",IF($G32&lt;&gt;"",$G32,IFERROR(IF(INDEX(offices!$AL$2:$AL$61,MATCH($B32,offices!$A$2:$A$61,0))="","",INDEX(offices!$AL$2:$AL$61,MATCH($B32,offices!$A$2:$A$61,0))),"")))</f>
        <v/>
      </c>
      <c r="T32" s="25">
        <f>IF($A32="","",$A32&amp;"."&amp;$B32)</f>
        <v/>
      </c>
      <c r="U32" s="25">
        <f>IF($A32="","",SUMIFS(inventory!$G$2:$G$801,inventory!$C$2:$C$801,$A32,inventory!$D$2:$D$801,$B32,inventory!$E$2:$E$801,"delivered"))</f>
        <v/>
      </c>
      <c r="V32" s="32">
        <f>IF($A32="","",IFERROR(1/(1/SUMPRODUCT(MAX((inventory!$C$2:$C$801=$A32)*(inventory!$D$2:$D$801=$B32)*(inventory!$E$2:$E$801="delivered")*(inventory!$A$2:$A$801+inventory!$B$2:$B$801)))),""))</f>
        <v/>
      </c>
      <c r="W32" s="25">
        <f>IF($A32="","",IFERROR(IF(INDEX(inventory!$J$2:$J$801,MATCH($A32&amp;"|"&amp;$B32&amp;"|delivered",inventory!$R$2:$R$801,0))="","",INDEX(inventory!$J$2:$J$801,MATCH($A32&amp;"|"&amp;$B32&amp;"|delivered",inventory!$R$2:$R$801,0))),""))</f>
        <v/>
      </c>
      <c r="X32" s="25">
        <f>IF($A32="","",IFERROR(IF(INDEX(photos!$H$2:$H$701,MATCH($A32&amp;"|"&amp;$B32&amp;"|placement|Y",photos!$R$2:$R$701,0))="","",INDEX(photos!$H$2:$H$701,MATCH($A32&amp;"|"&amp;$B32&amp;"|placement|Y",photos!$R$2:$R$701,0))),""))</f>
        <v/>
      </c>
      <c r="Y32" s="26">
        <f>IF($A32="","",IFERROR(IF(INDEX(photos!$E$2:$E$701,MATCH($A32&amp;"|"&amp;$B32&amp;"|placement|Y",photos!$R$2:$R$701,0))="","",INDEX(photos!$E$2:$E$701,MATCH($A32&amp;"|"&amp;$B32&amp;"|placement|Y",photos!$R$2:$R$701,0))),""))</f>
        <v/>
      </c>
      <c r="Z32" s="25">
        <f>IF($A32="","",IF(COUNTIFS(counts!$C$2:$C$701,$A32,counts!$D$2:$D$701,$B32,counts!$E$2:$E$701,"placed")=0,"",SUMIFS(counts!$F$2:$F$701,counts!$C$2:$C$701,$A32,counts!$D$2:$D$701,$B32,counts!$E$2:$E$701,"placed")))</f>
        <v/>
      </c>
      <c r="AA32" s="25">
        <f>IF($A32="","",IF($Y32="",0,N($Z32)))</f>
        <v/>
      </c>
      <c r="AB32" s="25">
        <f>IF($A32="","",IF(OR($Y32="",$I32=""),"N",IF($Y32&lt;=WORKDAY(N($I32),1,calendar!$A$2:$A$80),"Y","N")))</f>
        <v/>
      </c>
      <c r="AC32" s="28">
        <f>IF(OR($A32="",$V32="",$Y32=""),"",ROUND(($Y32+N(IFERROR(IF(INDEX(photos!$F$2:$F$701,MATCH($A32&amp;"|"&amp;$B32&amp;"|placement|Y",photos!$R$2:$R$701,0))="","",INDEX(photos!$F$2:$F$701,MATCH($A32&amp;"|"&amp;$B32&amp;"|placement|Y",photos!$R$2:$R$701,0))),""))-$V32)*24,1))</f>
        <v/>
      </c>
      <c r="AD32" s="25">
        <f>IF($A32="","",SUMIFS(inventory!$G$2:$G$801,inventory!$C$2:$C$801,$A32,inventory!$D$2:$D$801,$B32,inventory!$E$2:$E$801,"topped_up"))</f>
        <v/>
      </c>
      <c r="AE32" s="25">
        <f>IF($A32="","",IF(COUNTIFS(counts!$C$2:$C$701,$A32,counts!$D$2:$D$701,$B32,counts!$E$2:$E$701,"remaining_day3")=0,"",SUMIFS(counts!$F$2:$F$701,counts!$C$2:$C$701,$A32,counts!$D$2:$D$701,$B32,counts!$E$2:$E$701,"remaining_day3")))</f>
        <v/>
      </c>
      <c r="AF32" s="25">
        <f>IF($A32="","",IF(COUNTIFS(counts!$C$2:$C$701,$A32,counts!$D$2:$D$701,$B32,counts!$E$2:$E$701,"remaining_day5")=0,"",SUMIFS(counts!$F$2:$F$701,counts!$C$2:$C$701,$A32,counts!$D$2:$D$701,$B32,counts!$E$2:$E$701,"remaining_day5")))</f>
        <v/>
      </c>
      <c r="AG32" s="25">
        <f>IF(OR($A32="",$AF32=""),"",MAX(0,$AA32+$AD32-$AF32))</f>
        <v/>
      </c>
      <c r="AH32" s="25">
        <f>IF(OR($A32="",$AI32=""),"",IFERROR(IF(INDEX(photos!$H$2:$H$701,MATCH($A32&amp;"|"&amp;$B32&amp;"|later|Y|"&amp;$AI32,photos!$S$2:$S$701,0))="","",INDEX(photos!$H$2:$H$701,MATCH($A32&amp;"|"&amp;$B32&amp;"|later|Y|"&amp;$AI32,photos!$S$2:$S$701,0))),""))</f>
        <v/>
      </c>
      <c r="AI32" s="26">
        <f>IF($A32="","",IFERROR(1/(1/SUMPRODUCT(MAX((photos!$B$2:$B$701=$A32)*(photos!$C$2:$C$701=$B32)*(photos!$D$2:$D$701="later")*(photos!$O$2:$O$701="Y")*photos!$E$2:$E$701))),""))</f>
        <v/>
      </c>
      <c r="AJ32" s="25">
        <f>IF(OR($A32="",$AI32="",$I32=""),"",NETWORKDAYS($I32,$AI32,calendar!$A$2:$A$80))</f>
        <v/>
      </c>
      <c r="AK32" s="25">
        <f>IF($A32="","",IF(AND($X32&lt;&gt;"",$AH32&lt;&gt;""),"Y","N"))</f>
        <v/>
      </c>
      <c r="AL32" s="25">
        <f>IF(OR($A32="",$I32=""),"",IF($BC32="Y",SUMIFS(survey_frozen!$C$2:$C$251,survey_frozen!$P$2:$P$251,$A32&amp;"|"&amp;$B32),IFERROR(COUNTIFS(INDIRECT("'"&amp;$A32&amp;"'!$B$2:$B$501"),$T32,INDIRECT("'"&amp;$A32&amp;"'!$A$2:$A$501"),"&gt;="&amp;$I32,INDIRECT("'"&amp;$A32&amp;"'!$A$2:$A$501"),"&lt;"&amp;($BA32+1)),0)))</f>
        <v/>
      </c>
      <c r="AM32" s="25">
        <f>IF(OR($A32="",$I32=""),"",IF($BC32="Y",SUMIFS(survey_frozen!$D$2:$D$251,survey_frozen!$P$2:$P$251,$A32&amp;"|"&amp;$B32),IFERROR(COUNTIFS(INDIRECT("'"&amp;$A32&amp;"'!$B$2:$B$501"),$T32,INDIRECT("'"&amp;$A32&amp;"'!$A$2:$A$501"),"&gt;="&amp;$I32,INDIRECT("'"&amp;$A32&amp;"'!$A$2:$A$501"),"&lt;"&amp;($BA32+1),INDIRECT("'"&amp;$A32&amp;"'!$C$2:$C$501"),"Yes"),0)))</f>
        <v/>
      </c>
      <c r="AN32" s="25">
        <f>IF($A32="","",IF(COUNTIFS(scans!$C$2:$C$1601,(IF(LEFT($A32,7)="SAMPLE-","SAMPLE-","")&amp;LOWER(SUBSTITUTE(SUBSTITUTE($A32,"SAMPLE-",""),"CMP-","c"))&amp;"-"&amp;LOWER(SUBSTITUTE(SUBSTITUTE($B32,"SAMPLE-",""),"O-","o"))&amp;"-q"),scans!$D$2:$D$1601,"close")=0,"",SUMPRODUCT(MAX((scans!$C$2:$C$1601=(IF(LEFT($A32,7)="SAMPLE-","SAMPLE-","")&amp;LOWER(SUBSTITUTE(SUBSTITUTE($A32,"SAMPLE-",""),"CMP-","c"))&amp;"-"&amp;LOWER(SUBSTITUTE(SUBSTITUTE($B32,"SAMPLE-",""),"O-","o"))&amp;"-q"))*(scans!$D$2:$D$1601="close")*scans!$E$2:$E$1601))-SUMPRODUCT(MAX((scans!$C$2:$C$1601=(IF(LEFT($A32,7)="SAMPLE-","SAMPLE-","")&amp;LOWER(SUBSTITUTE(SUBSTITUTE($A32,"SAMPLE-",""),"CMP-","c"))&amp;"-"&amp;LOWER(SUBSTITUTE(SUBSTITUTE($B32,"SAMPLE-",""),"O-","o"))&amp;"-q"))*(scans!$D$2:$D$1601="baseline")*scans!$E$2:$E$1601))))</f>
        <v/>
      </c>
      <c r="AO32" s="25">
        <f>IF($A32="","",IF(COUNTIFS(scans!$C$2:$C$1601,(IF(LEFT($A32,7)="SAMPLE-","SAMPLE-","")&amp;LOWER(SUBSTITUTE(SUBSTITUTE($A32,"SAMPLE-",""),"CMP-","c"))&amp;"-"&amp;LOWER(SUBSTITUTE(SUBSTITUTE($B32,"SAMPLE-",""),"O-","o"))&amp;"-p"),scans!$D$2:$D$1601,"close")=0,"",SUMPRODUCT(MAX((scans!$C$2:$C$1601=(IF(LEFT($A32,7)="SAMPLE-","SAMPLE-","")&amp;LOWER(SUBSTITUTE(SUBSTITUTE($A32,"SAMPLE-",""),"CMP-","c"))&amp;"-"&amp;LOWER(SUBSTITUTE(SUBSTITUTE($B32,"SAMPLE-",""),"O-","o"))&amp;"-p"))*(scans!$D$2:$D$1601="close")*scans!$E$2:$E$1601))-SUMPRODUCT(MAX((scans!$C$2:$C$1601=(IF(LEFT($A32,7)="SAMPLE-","SAMPLE-","")&amp;LOWER(SUBSTITUTE(SUBSTITUTE($A32,"SAMPLE-",""),"CMP-","c"))&amp;"-"&amp;LOWER(SUBSTITUTE(SUBSTITUTE($B32,"SAMPLE-",""),"O-","o"))&amp;"-p"))*(scans!$D$2:$D$1601="baseline")*scans!$E$2:$E$1601))))</f>
        <v/>
      </c>
      <c r="AP32" s="25">
        <f>IF($A32="","",IF(COUNTIF(offices!$A$2:$A$61,$B32)=0,"office_id not on offices; ","")&amp;IF(COUNTIF(campaigns!$A$2:$A$51,$A32)=0,"campaign_id not on campaigns; ","")&amp;IF($P32="pending","approval pending; ","")&amp;IF(AND($U32&gt;0,$Y32="",OR($I32="",IF(config!$B$37&lt;&gt;"",config!$B$37,TODAY())&lt;=WORKDAY(N($I32),4,calendar!$A$2:$A$80))),"no usable placement photo yet; ","")&amp;IF(AND($Y32&lt;&gt;"",$Z32=""),"log the placed count; ","")&amp;IF(N($AA32)&gt;N($U32),"placed more than delivered; ","")&amp;IF(AND($AF32&lt;&gt;"",N($AF32)&gt;N($AA32)+N($AD32)),"day-5 count above placed plus top-ups; ","")&amp;IF(AND($U32&gt;0,$I32&lt;&gt;"",IF(config!$B$37&lt;&gt;"",config!$B$37,TODAY())&gt;WORKDAY(N($I32),4,calendar!$A$2:$A$80),$AF32=""),"day-5 count missing; ","")&amp;IF(AND($U32&gt;0,$I32&lt;&gt;"",IF(config!$B$37&lt;&gt;"",config!$B$37,TODAY())&gt;WORKDAY(N($I32),4,calendar!$A$2:$A$80),$AN32=""),"no close link reading; ","")&amp;$R32&amp;IF($P32="N","info: office said no; ","")&amp;IF(AND($P32="Y",$Q32="N"),"info: turned away at the door, so not on the drop (no letter, not in the report or Gate 2; the credit check is on campaigns); ","")&amp;IF(AND($U32&gt;0,$Y32="",$I32&lt;&gt;"",IF(config!$B$37&lt;&gt;"",config!$B$37,TODAY())&gt;WORKDAY(N($I32),4,calendar!$A$2:$A$80)),"info: no usable placement photo, so nothing counts as placed; ","")&amp;IF(AND($U32&gt;0,$I32&lt;&gt;"",IF(config!$B$37&lt;&gt;"",config!$B$37,TODAY())&gt;WORKDAY(N($I32),4,calendar!$A$2:$A$80),N($AL32)&lt;config!$B$30),"info: under "&amp;config!$B$30&amp;" responses; ","")&amp;IF($W32="packing_list","info: delivered count not verified; ",""))</f>
        <v/>
      </c>
      <c r="AQ32" s="25">
        <f>IF(OR($A32="",$I32=""),"",IF($BC32="Y",SUMIFS(survey_frozen!$E$2:$E$251,survey_frozen!$P$2:$P$251,$A32&amp;"|"&amp;$B32),IFERROR(COUNTIFS(INDIRECT("'"&amp;$A32&amp;"'!$B$2:$B$501"),$T32,INDIRECT("'"&amp;$A32&amp;"'!$A$2:$A$501"),"&gt;="&amp;$I32,INDIRECT("'"&amp;$A32&amp;"'!$A$2:$A$501"),"&lt;"&amp;($BA32+1),INDIRECT("'"&amp;$A32&amp;"'!$F$2:$F$501"),"Didn't see it"),0)))</f>
        <v/>
      </c>
      <c r="AR32" s="25">
        <f>IF(OR($A32="",$I32=""),"",IF($BC32="Y",SUMIFS(survey_frozen!$F$2:$F$251,survey_frozen!$P$2:$P$251,$A32&amp;"|"&amp;$B32),IFERROR(COUNTIFS(INDIRECT("'"&amp;$A32&amp;"'!$B$2:$B$501"),$T32,INDIRECT("'"&amp;$A32&amp;"'!$A$2:$A$501"),"&gt;="&amp;$I32,INDIRECT("'"&amp;$A32&amp;"'!$A$2:$A$501"),"&lt;"&amp;($BA32+1),INDIRECT("'"&amp;$A32&amp;"'!$F$2:$F$501"),"Not for me"),0)))</f>
        <v/>
      </c>
      <c r="AS32" s="25">
        <f>IF(OR($A32="",$I32=""),"",IF($BC32="Y",SUMIFS(survey_frozen!$G$2:$G$251,survey_frozen!$P$2:$P$251,$A32&amp;"|"&amp;$B32),IFERROR(COUNTIFS(INDIRECT("'"&amp;$A32&amp;"'!$B$2:$B$501"),$T32,INDIRECT("'"&amp;$A32&amp;"'!$A$2:$A$501"),"&gt;="&amp;$I32,INDIRECT("'"&amp;$A32&amp;"'!$A$2:$A$501"),"&lt;"&amp;($BA32+1),INDIRECT("'"&amp;$A32&amp;"'!$F$2:$F$501"),"Gone by the time I looked"),0)))</f>
        <v/>
      </c>
      <c r="AT32" s="25">
        <f>IF(OR($A32="",$I32=""),"",IF($BC32="Y",SUMIFS(survey_frozen!$H$2:$H$251,survey_frozen!$P$2:$P$251,$A32&amp;"|"&amp;$B32),IFERROR(COUNTIFS(INDIRECT("'"&amp;$A32&amp;"'!$B$2:$B$501"),$T32,INDIRECT("'"&amp;$A32&amp;"'!$A$2:$A$501"),"&gt;="&amp;$I32,INDIRECT("'"&amp;$A32&amp;"'!$A$2:$A$501"),"&lt;"&amp;($BA32+1),INDIRECT("'"&amp;$A32&amp;"'!$D$2:$D$501"),"&gt;=1"),0)))</f>
        <v/>
      </c>
      <c r="AU32" s="25">
        <f>IF(OR($A32="",$I32=""),"",IF($BC32="Y",SUMIFS(survey_frozen!$I$2:$I$251,survey_frozen!$P$2:$P$251,$A32&amp;"|"&amp;$B32),IFERROR(SUMIFS(INDIRECT("'"&amp;$A32&amp;"'!$D$2:$D$501"),INDIRECT("'"&amp;$A32&amp;"'!$B$2:$B$501"),$T32,INDIRECT("'"&amp;$A32&amp;"'!$A$2:$A$501"),"&gt;="&amp;$I32,INDIRECT("'"&amp;$A32&amp;"'!$A$2:$A$501"),"&lt;"&amp;($BA32+1)),0)))</f>
        <v/>
      </c>
      <c r="AV32" s="25">
        <f>IF(OR($A32="",$I32=""),"",IF($BC32="Y",SUMIFS(survey_frozen!$J$2:$J$251,survey_frozen!$P$2:$P$251,$A32&amp;"|"&amp;$B32),IFERROR(COUNTIFS(INDIRECT("'"&amp;$A32&amp;"'!$B$2:$B$501"),$T32,INDIRECT("'"&amp;$A32&amp;"'!$A$2:$A$501"),"&gt;="&amp;$I32,INDIRECT("'"&amp;$A32&amp;"'!$A$2:$A$501"),"&lt;"&amp;($BA32+1),INDIRECT("'"&amp;$A32&amp;"'!$E$2:$E$501"),"Yes"),0)))</f>
        <v/>
      </c>
      <c r="AW32" s="25">
        <f>IF(OR($A32="",$I32=""),"",IF($BC32="Y",SUMIFS(survey_frozen!$K$2:$K$251,survey_frozen!$P$2:$P$251,$A32&amp;"|"&amp;$B32),IFERROR(COUNTIFS(INDIRECT("'"&amp;$A32&amp;"'!$B$2:$B$501"),$T32,INDIRECT("'"&amp;$A32&amp;"'!$A$2:$A$501"),"&gt;="&amp;$I32,INDIRECT("'"&amp;$A32&amp;"'!$A$2:$A$501"),"&lt;"&amp;($BA32+1),INDIRECT("'"&amp;$A32&amp;"'!$E$2:$E$501"),"Maybe"),0)))</f>
        <v/>
      </c>
      <c r="AX32" s="25">
        <f>IF(OR($A32="",$I32=""),"",IF($BC32="Y",SUMIFS(survey_frozen!$L$2:$L$251,survey_frozen!$P$2:$P$251,$A32&amp;"|"&amp;$B32),IFERROR(COUNTIFS(INDIRECT("'"&amp;$A32&amp;"'!$B$2:$B$501"),$T32,INDIRECT("'"&amp;$A32&amp;"'!$A$2:$A$501"),"&gt;="&amp;$I32,INDIRECT("'"&amp;$A32&amp;"'!$A$2:$A$501"),"&lt;"&amp;($BA32+1),INDIRECT("'"&amp;$A32&amp;"'!$E$2:$E$501"),"No"),0)))</f>
        <v/>
      </c>
      <c r="AY32" s="25">
        <f>IF(OR($A32="",$I32=""),"",IF($BC32="Y",SUMIFS(survey_frozen!$M$2:$M$251,survey_frozen!$P$2:$P$251,$A32&amp;"|"&amp;$B32),IFERROR(COUNTIFS(INDIRECT("'"&amp;$A32&amp;"'!$B$2:$B$501"),$T32,INDIRECT("'"&amp;$A32&amp;"'!$A$2:$A$501"),"&gt;="&amp;$I32,INDIRECT("'"&amp;$A32&amp;"'!$A$2:$A$501"),"&lt;"&amp;($BA32+1),INDIRECT("'"&amp;$A32&amp;"'!$G$2:$G$501"),"&lt;&gt;"),0)))</f>
        <v/>
      </c>
      <c r="AZ32" s="25">
        <f>IF($A32="","",$A32&amp;"|"&amp;$L32)</f>
        <v/>
      </c>
      <c r="BA32" s="26">
        <f>IF($A32="","",IFERROR(IF(INDEX(drops!$R$2:$R$21,MATCH($H32,drops!$A$2:$A$21,0))="","",INDEX(drops!$R$2:$R$21,MATCH($H32,drops!$A$2:$A$21,0))),""))</f>
        <v/>
      </c>
      <c r="BB32" s="25">
        <f>IF(OR($A32="",$Q32&lt;&gt;"Y"),1000000,N($AL32))</f>
        <v/>
      </c>
      <c r="BC32" s="25">
        <f>IF($A32="","",IF(COUNTIF(survey_frozen!$P$2:$P$251,$A32&amp;"|"&amp;$B32)&gt;0,"Y",""))</f>
        <v/>
      </c>
    </row>
    <row r="33">
      <c r="A33" t="inlineStr">
        <is>
          <t>SAMPLE-CMP-005</t>
        </is>
      </c>
      <c r="B33" t="inlineStr">
        <is>
          <t>SAMPLE-O-002</t>
        </is>
      </c>
      <c r="C33" s="9" t="n">
        <v>46395</v>
      </c>
      <c r="D33" t="inlineStr">
        <is>
          <t>yes</t>
        </is>
      </c>
      <c r="E33" s="9" t="n">
        <v>46397</v>
      </c>
      <c r="F33" t="inlineStr">
        <is>
          <t>SAMPLE replied by email</t>
        </is>
      </c>
      <c r="H33" s="25">
        <f>IF($A33="","",IFERROR(IF(INDEX(campaigns!$B$2:$B$51,MATCH($A33,campaigns!$A$2:$A$51,0))="","",INDEX(campaigns!$B$2:$B$51,MATCH($A33,campaigns!$A$2:$A$51,0))),""))</f>
        <v/>
      </c>
      <c r="I33" s="26">
        <f>IF($A33="","",IFERROR(IF(INDEX(campaigns!$BG$2:$BG$51,MATCH($A33,campaigns!$A$2:$A$51,0))="","",INDEX(campaigns!$BG$2:$BG$51,MATCH($A33,campaigns!$A$2:$A$51,0))),""))</f>
        <v/>
      </c>
      <c r="J33" s="25">
        <f>IF($A33="","",IFERROR(IF(INDEX(campaigns!$BE$2:$BE$51,MATCH($A33,campaigns!$A$2:$A$51,0))="","",INDEX(campaigns!$BE$2:$BE$51,MATCH($A33,campaigns!$A$2:$A$51,0))),""))</f>
        <v/>
      </c>
      <c r="K33" s="25">
        <f>IF($B33="","",IFERROR(IF(INDEX(offices!$N$2:$N$61,MATCH($B33,offices!$A$2:$A$61,0))="","",INDEX(offices!$N$2:$N$61,MATCH($B33,offices!$A$2:$A$61,0))),""))</f>
        <v/>
      </c>
      <c r="L33" s="25">
        <f>IF($A33="","",IF($Q33="N","",COUNTIFS($A$2:$A33,$A33,$Q$2:$Q33,"&lt;&gt;N")))</f>
        <v/>
      </c>
      <c r="M33" s="25">
        <f>IF(OR($A33="",$L33=""),"",IF(AND(config!$B$34="names_if_public",IFERROR(IF(INDEX(offices!$AF$2:$AF$61,MATCH($B33,offices!$A$2:$A$61,0))="","",INDEX(offices!$AF$2:$AF$61,MATCH($B33,offices!$A$2:$A$61,0))),"")="Y"),$K33,CHAR(64+$L33)))</f>
        <v/>
      </c>
      <c r="N33" s="25">
        <f>IF(OR($A33="",$I33=""),"",COUNTIFS(stops!$B$2:$B$151,$B33,stops!$P$2:$P$151,"&lt;"&amp;$I33,stops!$L$2:$L$151,"&lt;&gt;not_delivered")+1)</f>
        <v/>
      </c>
      <c r="O33" s="25">
        <f>IF($A33="","",IF(N($N33)&lt;=config!$B$29,"explicit","opt-out"))</f>
        <v/>
      </c>
      <c r="P33" s="25">
        <f>IF($A33="","",IF($O33="explicit",IF($D33="yes","Y",IF($D33="no","N","pending")),IF($D33="no","N",IF(AND($C33&lt;&gt;"",$I33&lt;&gt;"",$C33&lt;=WORKDAY(N($I33),-5,calendar!$A$2:$A$80)),"Y","pending"))))</f>
        <v/>
      </c>
      <c r="Q33" s="25">
        <f>IF($A33="","",IF($P33="N","N",IF($P33&lt;&gt;"Y","pending",IF(AND((COUNTIFS(stops!$A$2:$A$151,$H33,stops!$B$2:$B$151,$B33,stops!$L$2:$L$151,"declined")+COUNTIFS(stops!$A$2:$A$151,$H33,stops!$B$2:$B$151,$B33,stops!$L$2:$L$151,"building_refused")+COUNTIFS(stops!$A$2:$A$151,$H33,stops!$B$2:$B$151,$B33,stops!$L$2:$L$151,"not_delivered"))&gt;0,N($U33)=0),"N","Y"))))</f>
        <v/>
      </c>
      <c r="R33" s="25">
        <f>IF($A33="","",IF(COUNTIFS($A$2:$A$251,$A33,$B$2:$B$251,$B33)&gt;1,"DUPLICATE ROW; ","")&amp;IF(AND(IFERROR(IF(INDEX(offices!$AC$2:$AC$61,MATCH($B33,offices!$A$2:$A$61,0))="","",INDEX(offices!$AC$2:$AC$61,MATCH($B33,offices!$A$2:$A$61,0))),"")&lt;&gt;"",ISNUMBER(SEARCH($J33,IFERROR(IF(INDEX(offices!$AC$2:$AC$61,MATCH($B33,offices!$A$2:$A$61,0))="","",INDEX(offices!$AC$2:$AC$61,MATCH($B33,offices!$A$2:$A$61,0))),"")))),"BRAND VETOED; ","")&amp;IF(ISNUMBER(SEARCH(IFERROR(IF(INDEX(campaigns!$BF$2:$BF$51,MATCH($A33,campaigns!$A$2:$A$51,0))="","",INDEX(campaigns!$BF$2:$BF$51,MATCH($A33,campaigns!$A$2:$A$51,0))),""),IFERROR(IF(INDEX(offices!$AB$2:$AB$61,MATCH($B33,offices!$A$2:$A$61,0))="","",INDEX(offices!$AB$2:$AB$61,MATCH($B33,offices!$A$2:$A$61,0))),""))),"","info: category not on the office's list; ")&amp;IF(IFERROR(IF(INDEX(offices!$AC$2:$AC$61,MATCH($B33,offices!$A$2:$A$61,0))="","",INDEX(offices!$AC$2:$AC$61,MATCH($B33,offices!$A$2:$A$61,0))),"")&lt;&gt;"","info: read the vetoes against the label; ",""))</f>
        <v/>
      </c>
      <c r="S33" s="25">
        <f>IF($A33="","",IF($G33&lt;&gt;"",$G33,IFERROR(IF(INDEX(offices!$AL$2:$AL$61,MATCH($B33,offices!$A$2:$A$61,0))="","",INDEX(offices!$AL$2:$AL$61,MATCH($B33,offices!$A$2:$A$61,0))),"")))</f>
        <v/>
      </c>
      <c r="T33" s="25">
        <f>IF($A33="","",$A33&amp;"."&amp;$B33)</f>
        <v/>
      </c>
      <c r="U33" s="25">
        <f>IF($A33="","",SUMIFS(inventory!$G$2:$G$801,inventory!$C$2:$C$801,$A33,inventory!$D$2:$D$801,$B33,inventory!$E$2:$E$801,"delivered"))</f>
        <v/>
      </c>
      <c r="V33" s="32">
        <f>IF($A33="","",IFERROR(1/(1/SUMPRODUCT(MAX((inventory!$C$2:$C$801=$A33)*(inventory!$D$2:$D$801=$B33)*(inventory!$E$2:$E$801="delivered")*(inventory!$A$2:$A$801+inventory!$B$2:$B$801)))),""))</f>
        <v/>
      </c>
      <c r="W33" s="25">
        <f>IF($A33="","",IFERROR(IF(INDEX(inventory!$J$2:$J$801,MATCH($A33&amp;"|"&amp;$B33&amp;"|delivered",inventory!$R$2:$R$801,0))="","",INDEX(inventory!$J$2:$J$801,MATCH($A33&amp;"|"&amp;$B33&amp;"|delivered",inventory!$R$2:$R$801,0))),""))</f>
        <v/>
      </c>
      <c r="X33" s="25">
        <f>IF($A33="","",IFERROR(IF(INDEX(photos!$H$2:$H$701,MATCH($A33&amp;"|"&amp;$B33&amp;"|placement|Y",photos!$R$2:$R$701,0))="","",INDEX(photos!$H$2:$H$701,MATCH($A33&amp;"|"&amp;$B33&amp;"|placement|Y",photos!$R$2:$R$701,0))),""))</f>
        <v/>
      </c>
      <c r="Y33" s="26">
        <f>IF($A33="","",IFERROR(IF(INDEX(photos!$E$2:$E$701,MATCH($A33&amp;"|"&amp;$B33&amp;"|placement|Y",photos!$R$2:$R$701,0))="","",INDEX(photos!$E$2:$E$701,MATCH($A33&amp;"|"&amp;$B33&amp;"|placement|Y",photos!$R$2:$R$701,0))),""))</f>
        <v/>
      </c>
      <c r="Z33" s="25">
        <f>IF($A33="","",IF(COUNTIFS(counts!$C$2:$C$701,$A33,counts!$D$2:$D$701,$B33,counts!$E$2:$E$701,"placed")=0,"",SUMIFS(counts!$F$2:$F$701,counts!$C$2:$C$701,$A33,counts!$D$2:$D$701,$B33,counts!$E$2:$E$701,"placed")))</f>
        <v/>
      </c>
      <c r="AA33" s="25">
        <f>IF($A33="","",IF($Y33="",0,N($Z33)))</f>
        <v/>
      </c>
      <c r="AB33" s="25">
        <f>IF($A33="","",IF(OR($Y33="",$I33=""),"N",IF($Y33&lt;=WORKDAY(N($I33),1,calendar!$A$2:$A$80),"Y","N")))</f>
        <v/>
      </c>
      <c r="AC33" s="28">
        <f>IF(OR($A33="",$V33="",$Y33=""),"",ROUND(($Y33+N(IFERROR(IF(INDEX(photos!$F$2:$F$701,MATCH($A33&amp;"|"&amp;$B33&amp;"|placement|Y",photos!$R$2:$R$701,0))="","",INDEX(photos!$F$2:$F$701,MATCH($A33&amp;"|"&amp;$B33&amp;"|placement|Y",photos!$R$2:$R$701,0))),""))-$V33)*24,1))</f>
        <v/>
      </c>
      <c r="AD33" s="25">
        <f>IF($A33="","",SUMIFS(inventory!$G$2:$G$801,inventory!$C$2:$C$801,$A33,inventory!$D$2:$D$801,$B33,inventory!$E$2:$E$801,"topped_up"))</f>
        <v/>
      </c>
      <c r="AE33" s="25">
        <f>IF($A33="","",IF(COUNTIFS(counts!$C$2:$C$701,$A33,counts!$D$2:$D$701,$B33,counts!$E$2:$E$701,"remaining_day3")=0,"",SUMIFS(counts!$F$2:$F$701,counts!$C$2:$C$701,$A33,counts!$D$2:$D$701,$B33,counts!$E$2:$E$701,"remaining_day3")))</f>
        <v/>
      </c>
      <c r="AF33" s="25">
        <f>IF($A33="","",IF(COUNTIFS(counts!$C$2:$C$701,$A33,counts!$D$2:$D$701,$B33,counts!$E$2:$E$701,"remaining_day5")=0,"",SUMIFS(counts!$F$2:$F$701,counts!$C$2:$C$701,$A33,counts!$D$2:$D$701,$B33,counts!$E$2:$E$701,"remaining_day5")))</f>
        <v/>
      </c>
      <c r="AG33" s="25">
        <f>IF(OR($A33="",$AF33=""),"",MAX(0,$AA33+$AD33-$AF33))</f>
        <v/>
      </c>
      <c r="AH33" s="25">
        <f>IF(OR($A33="",$AI33=""),"",IFERROR(IF(INDEX(photos!$H$2:$H$701,MATCH($A33&amp;"|"&amp;$B33&amp;"|later|Y|"&amp;$AI33,photos!$S$2:$S$701,0))="","",INDEX(photos!$H$2:$H$701,MATCH($A33&amp;"|"&amp;$B33&amp;"|later|Y|"&amp;$AI33,photos!$S$2:$S$701,0))),""))</f>
        <v/>
      </c>
      <c r="AI33" s="26">
        <f>IF($A33="","",IFERROR(1/(1/SUMPRODUCT(MAX((photos!$B$2:$B$701=$A33)*(photos!$C$2:$C$701=$B33)*(photos!$D$2:$D$701="later")*(photos!$O$2:$O$701="Y")*photos!$E$2:$E$701))),""))</f>
        <v/>
      </c>
      <c r="AJ33" s="25">
        <f>IF(OR($A33="",$AI33="",$I33=""),"",NETWORKDAYS($I33,$AI33,calendar!$A$2:$A$80))</f>
        <v/>
      </c>
      <c r="AK33" s="25">
        <f>IF($A33="","",IF(AND($X33&lt;&gt;"",$AH33&lt;&gt;""),"Y","N"))</f>
        <v/>
      </c>
      <c r="AL33" s="25">
        <f>IF(OR($A33="",$I33=""),"",IF($BC33="Y",SUMIFS(survey_frozen!$C$2:$C$251,survey_frozen!$P$2:$P$251,$A33&amp;"|"&amp;$B33),IFERROR(COUNTIFS(INDIRECT("'"&amp;$A33&amp;"'!$B$2:$B$501"),$T33,INDIRECT("'"&amp;$A33&amp;"'!$A$2:$A$501"),"&gt;="&amp;$I33,INDIRECT("'"&amp;$A33&amp;"'!$A$2:$A$501"),"&lt;"&amp;($BA33+1)),0)))</f>
        <v/>
      </c>
      <c r="AM33" s="25">
        <f>IF(OR($A33="",$I33=""),"",IF($BC33="Y",SUMIFS(survey_frozen!$D$2:$D$251,survey_frozen!$P$2:$P$251,$A33&amp;"|"&amp;$B33),IFERROR(COUNTIFS(INDIRECT("'"&amp;$A33&amp;"'!$B$2:$B$501"),$T33,INDIRECT("'"&amp;$A33&amp;"'!$A$2:$A$501"),"&gt;="&amp;$I33,INDIRECT("'"&amp;$A33&amp;"'!$A$2:$A$501"),"&lt;"&amp;($BA33+1),INDIRECT("'"&amp;$A33&amp;"'!$C$2:$C$501"),"Yes"),0)))</f>
        <v/>
      </c>
      <c r="AN33" s="25">
        <f>IF($A33="","",IF(COUNTIFS(scans!$C$2:$C$1601,(IF(LEFT($A33,7)="SAMPLE-","SAMPLE-","")&amp;LOWER(SUBSTITUTE(SUBSTITUTE($A33,"SAMPLE-",""),"CMP-","c"))&amp;"-"&amp;LOWER(SUBSTITUTE(SUBSTITUTE($B33,"SAMPLE-",""),"O-","o"))&amp;"-q"),scans!$D$2:$D$1601,"close")=0,"",SUMPRODUCT(MAX((scans!$C$2:$C$1601=(IF(LEFT($A33,7)="SAMPLE-","SAMPLE-","")&amp;LOWER(SUBSTITUTE(SUBSTITUTE($A33,"SAMPLE-",""),"CMP-","c"))&amp;"-"&amp;LOWER(SUBSTITUTE(SUBSTITUTE($B33,"SAMPLE-",""),"O-","o"))&amp;"-q"))*(scans!$D$2:$D$1601="close")*scans!$E$2:$E$1601))-SUMPRODUCT(MAX((scans!$C$2:$C$1601=(IF(LEFT($A33,7)="SAMPLE-","SAMPLE-","")&amp;LOWER(SUBSTITUTE(SUBSTITUTE($A33,"SAMPLE-",""),"CMP-","c"))&amp;"-"&amp;LOWER(SUBSTITUTE(SUBSTITUTE($B33,"SAMPLE-",""),"O-","o"))&amp;"-q"))*(scans!$D$2:$D$1601="baseline")*scans!$E$2:$E$1601))))</f>
        <v/>
      </c>
      <c r="AO33" s="25">
        <f>IF($A33="","",IF(COUNTIFS(scans!$C$2:$C$1601,(IF(LEFT($A33,7)="SAMPLE-","SAMPLE-","")&amp;LOWER(SUBSTITUTE(SUBSTITUTE($A33,"SAMPLE-",""),"CMP-","c"))&amp;"-"&amp;LOWER(SUBSTITUTE(SUBSTITUTE($B33,"SAMPLE-",""),"O-","o"))&amp;"-p"),scans!$D$2:$D$1601,"close")=0,"",SUMPRODUCT(MAX((scans!$C$2:$C$1601=(IF(LEFT($A33,7)="SAMPLE-","SAMPLE-","")&amp;LOWER(SUBSTITUTE(SUBSTITUTE($A33,"SAMPLE-",""),"CMP-","c"))&amp;"-"&amp;LOWER(SUBSTITUTE(SUBSTITUTE($B33,"SAMPLE-",""),"O-","o"))&amp;"-p"))*(scans!$D$2:$D$1601="close")*scans!$E$2:$E$1601))-SUMPRODUCT(MAX((scans!$C$2:$C$1601=(IF(LEFT($A33,7)="SAMPLE-","SAMPLE-","")&amp;LOWER(SUBSTITUTE(SUBSTITUTE($A33,"SAMPLE-",""),"CMP-","c"))&amp;"-"&amp;LOWER(SUBSTITUTE(SUBSTITUTE($B33,"SAMPLE-",""),"O-","o"))&amp;"-p"))*(scans!$D$2:$D$1601="baseline")*scans!$E$2:$E$1601))))</f>
        <v/>
      </c>
      <c r="AP33" s="25">
        <f>IF($A33="","",IF(COUNTIF(offices!$A$2:$A$61,$B33)=0,"office_id not on offices; ","")&amp;IF(COUNTIF(campaigns!$A$2:$A$51,$A33)=0,"campaign_id not on campaigns; ","")&amp;IF($P33="pending","approval pending; ","")&amp;IF(AND($U33&gt;0,$Y33="",OR($I33="",IF(config!$B$37&lt;&gt;"",config!$B$37,TODAY())&lt;=WORKDAY(N($I33),4,calendar!$A$2:$A$80))),"no usable placement photo yet; ","")&amp;IF(AND($Y33&lt;&gt;"",$Z33=""),"log the placed count; ","")&amp;IF(N($AA33)&gt;N($U33),"placed more than delivered; ","")&amp;IF(AND($AF33&lt;&gt;"",N($AF33)&gt;N($AA33)+N($AD33)),"day-5 count above placed plus top-ups; ","")&amp;IF(AND($U33&gt;0,$I33&lt;&gt;"",IF(config!$B$37&lt;&gt;"",config!$B$37,TODAY())&gt;WORKDAY(N($I33),4,calendar!$A$2:$A$80),$AF33=""),"day-5 count missing; ","")&amp;IF(AND($U33&gt;0,$I33&lt;&gt;"",IF(config!$B$37&lt;&gt;"",config!$B$37,TODAY())&gt;WORKDAY(N($I33),4,calendar!$A$2:$A$80),$AN33=""),"no close link reading; ","")&amp;$R33&amp;IF($P33="N","info: office said no; ","")&amp;IF(AND($P33="Y",$Q33="N"),"info: turned away at the door, so not on the drop (no letter, not in the report or Gate 2; the credit check is on campaigns); ","")&amp;IF(AND($U33&gt;0,$Y33="",$I33&lt;&gt;"",IF(config!$B$37&lt;&gt;"",config!$B$37,TODAY())&gt;WORKDAY(N($I33),4,calendar!$A$2:$A$80)),"info: no usable placement photo, so nothing counts as placed; ","")&amp;IF(AND($U33&gt;0,$I33&lt;&gt;"",IF(config!$B$37&lt;&gt;"",config!$B$37,TODAY())&gt;WORKDAY(N($I33),4,calendar!$A$2:$A$80),N($AL33)&lt;config!$B$30),"info: under "&amp;config!$B$30&amp;" responses; ","")&amp;IF($W33="packing_list","info: delivered count not verified; ",""))</f>
        <v/>
      </c>
      <c r="AQ33" s="25">
        <f>IF(OR($A33="",$I33=""),"",IF($BC33="Y",SUMIFS(survey_frozen!$E$2:$E$251,survey_frozen!$P$2:$P$251,$A33&amp;"|"&amp;$B33),IFERROR(COUNTIFS(INDIRECT("'"&amp;$A33&amp;"'!$B$2:$B$501"),$T33,INDIRECT("'"&amp;$A33&amp;"'!$A$2:$A$501"),"&gt;="&amp;$I33,INDIRECT("'"&amp;$A33&amp;"'!$A$2:$A$501"),"&lt;"&amp;($BA33+1),INDIRECT("'"&amp;$A33&amp;"'!$F$2:$F$501"),"Didn't see it"),0)))</f>
        <v/>
      </c>
      <c r="AR33" s="25">
        <f>IF(OR($A33="",$I33=""),"",IF($BC33="Y",SUMIFS(survey_frozen!$F$2:$F$251,survey_frozen!$P$2:$P$251,$A33&amp;"|"&amp;$B33),IFERROR(COUNTIFS(INDIRECT("'"&amp;$A33&amp;"'!$B$2:$B$501"),$T33,INDIRECT("'"&amp;$A33&amp;"'!$A$2:$A$501"),"&gt;="&amp;$I33,INDIRECT("'"&amp;$A33&amp;"'!$A$2:$A$501"),"&lt;"&amp;($BA33+1),INDIRECT("'"&amp;$A33&amp;"'!$F$2:$F$501"),"Not for me"),0)))</f>
        <v/>
      </c>
      <c r="AS33" s="25">
        <f>IF(OR($A33="",$I33=""),"",IF($BC33="Y",SUMIFS(survey_frozen!$G$2:$G$251,survey_frozen!$P$2:$P$251,$A33&amp;"|"&amp;$B33),IFERROR(COUNTIFS(INDIRECT("'"&amp;$A33&amp;"'!$B$2:$B$501"),$T33,INDIRECT("'"&amp;$A33&amp;"'!$A$2:$A$501"),"&gt;="&amp;$I33,INDIRECT("'"&amp;$A33&amp;"'!$A$2:$A$501"),"&lt;"&amp;($BA33+1),INDIRECT("'"&amp;$A33&amp;"'!$F$2:$F$501"),"Gone by the time I looked"),0)))</f>
        <v/>
      </c>
      <c r="AT33" s="25">
        <f>IF(OR($A33="",$I33=""),"",IF($BC33="Y",SUMIFS(survey_frozen!$H$2:$H$251,survey_frozen!$P$2:$P$251,$A33&amp;"|"&amp;$B33),IFERROR(COUNTIFS(INDIRECT("'"&amp;$A33&amp;"'!$B$2:$B$501"),$T33,INDIRECT("'"&amp;$A33&amp;"'!$A$2:$A$501"),"&gt;="&amp;$I33,INDIRECT("'"&amp;$A33&amp;"'!$A$2:$A$501"),"&lt;"&amp;($BA33+1),INDIRECT("'"&amp;$A33&amp;"'!$D$2:$D$501"),"&gt;=1"),0)))</f>
        <v/>
      </c>
      <c r="AU33" s="25">
        <f>IF(OR($A33="",$I33=""),"",IF($BC33="Y",SUMIFS(survey_frozen!$I$2:$I$251,survey_frozen!$P$2:$P$251,$A33&amp;"|"&amp;$B33),IFERROR(SUMIFS(INDIRECT("'"&amp;$A33&amp;"'!$D$2:$D$501"),INDIRECT("'"&amp;$A33&amp;"'!$B$2:$B$501"),$T33,INDIRECT("'"&amp;$A33&amp;"'!$A$2:$A$501"),"&gt;="&amp;$I33,INDIRECT("'"&amp;$A33&amp;"'!$A$2:$A$501"),"&lt;"&amp;($BA33+1)),0)))</f>
        <v/>
      </c>
      <c r="AV33" s="25">
        <f>IF(OR($A33="",$I33=""),"",IF($BC33="Y",SUMIFS(survey_frozen!$J$2:$J$251,survey_frozen!$P$2:$P$251,$A33&amp;"|"&amp;$B33),IFERROR(COUNTIFS(INDIRECT("'"&amp;$A33&amp;"'!$B$2:$B$501"),$T33,INDIRECT("'"&amp;$A33&amp;"'!$A$2:$A$501"),"&gt;="&amp;$I33,INDIRECT("'"&amp;$A33&amp;"'!$A$2:$A$501"),"&lt;"&amp;($BA33+1),INDIRECT("'"&amp;$A33&amp;"'!$E$2:$E$501"),"Yes"),0)))</f>
        <v/>
      </c>
      <c r="AW33" s="25">
        <f>IF(OR($A33="",$I33=""),"",IF($BC33="Y",SUMIFS(survey_frozen!$K$2:$K$251,survey_frozen!$P$2:$P$251,$A33&amp;"|"&amp;$B33),IFERROR(COUNTIFS(INDIRECT("'"&amp;$A33&amp;"'!$B$2:$B$501"),$T33,INDIRECT("'"&amp;$A33&amp;"'!$A$2:$A$501"),"&gt;="&amp;$I33,INDIRECT("'"&amp;$A33&amp;"'!$A$2:$A$501"),"&lt;"&amp;($BA33+1),INDIRECT("'"&amp;$A33&amp;"'!$E$2:$E$501"),"Maybe"),0)))</f>
        <v/>
      </c>
      <c r="AX33" s="25">
        <f>IF(OR($A33="",$I33=""),"",IF($BC33="Y",SUMIFS(survey_frozen!$L$2:$L$251,survey_frozen!$P$2:$P$251,$A33&amp;"|"&amp;$B33),IFERROR(COUNTIFS(INDIRECT("'"&amp;$A33&amp;"'!$B$2:$B$501"),$T33,INDIRECT("'"&amp;$A33&amp;"'!$A$2:$A$501"),"&gt;="&amp;$I33,INDIRECT("'"&amp;$A33&amp;"'!$A$2:$A$501"),"&lt;"&amp;($BA33+1),INDIRECT("'"&amp;$A33&amp;"'!$E$2:$E$501"),"No"),0)))</f>
        <v/>
      </c>
      <c r="AY33" s="25">
        <f>IF(OR($A33="",$I33=""),"",IF($BC33="Y",SUMIFS(survey_frozen!$M$2:$M$251,survey_frozen!$P$2:$P$251,$A33&amp;"|"&amp;$B33),IFERROR(COUNTIFS(INDIRECT("'"&amp;$A33&amp;"'!$B$2:$B$501"),$T33,INDIRECT("'"&amp;$A33&amp;"'!$A$2:$A$501"),"&gt;="&amp;$I33,INDIRECT("'"&amp;$A33&amp;"'!$A$2:$A$501"),"&lt;"&amp;($BA33+1),INDIRECT("'"&amp;$A33&amp;"'!$G$2:$G$501"),"&lt;&gt;"),0)))</f>
        <v/>
      </c>
      <c r="AZ33" s="25">
        <f>IF($A33="","",$A33&amp;"|"&amp;$L33)</f>
        <v/>
      </c>
      <c r="BA33" s="26">
        <f>IF($A33="","",IFERROR(IF(INDEX(drops!$R$2:$R$21,MATCH($H33,drops!$A$2:$A$21,0))="","",INDEX(drops!$R$2:$R$21,MATCH($H33,drops!$A$2:$A$21,0))),""))</f>
        <v/>
      </c>
      <c r="BB33" s="25">
        <f>IF(OR($A33="",$Q33&lt;&gt;"Y"),1000000,N($AL33))</f>
        <v/>
      </c>
      <c r="BC33" s="25">
        <f>IF($A33="","",IF(COUNTIF(survey_frozen!$P$2:$P$251,$A33&amp;"|"&amp;$B33)&gt;0,"Y",""))</f>
        <v/>
      </c>
    </row>
    <row r="34">
      <c r="A34" t="inlineStr">
        <is>
          <t>SAMPLE-CMP-005</t>
        </is>
      </c>
      <c r="B34" t="inlineStr">
        <is>
          <t>SAMPLE-O-003</t>
        </is>
      </c>
      <c r="C34" s="9" t="n">
        <v>46395</v>
      </c>
      <c r="D34" t="inlineStr">
        <is>
          <t>yes</t>
        </is>
      </c>
      <c r="E34" s="9" t="n">
        <v>46398</v>
      </c>
      <c r="F34" t="inlineStr">
        <is>
          <t>SAMPLE replied by email</t>
        </is>
      </c>
      <c r="H34" s="25">
        <f>IF($A34="","",IFERROR(IF(INDEX(campaigns!$B$2:$B$51,MATCH($A34,campaigns!$A$2:$A$51,0))="","",INDEX(campaigns!$B$2:$B$51,MATCH($A34,campaigns!$A$2:$A$51,0))),""))</f>
        <v/>
      </c>
      <c r="I34" s="26">
        <f>IF($A34="","",IFERROR(IF(INDEX(campaigns!$BG$2:$BG$51,MATCH($A34,campaigns!$A$2:$A$51,0))="","",INDEX(campaigns!$BG$2:$BG$51,MATCH($A34,campaigns!$A$2:$A$51,0))),""))</f>
        <v/>
      </c>
      <c r="J34" s="25">
        <f>IF($A34="","",IFERROR(IF(INDEX(campaigns!$BE$2:$BE$51,MATCH($A34,campaigns!$A$2:$A$51,0))="","",INDEX(campaigns!$BE$2:$BE$51,MATCH($A34,campaigns!$A$2:$A$51,0))),""))</f>
        <v/>
      </c>
      <c r="K34" s="25">
        <f>IF($B34="","",IFERROR(IF(INDEX(offices!$N$2:$N$61,MATCH($B34,offices!$A$2:$A$61,0))="","",INDEX(offices!$N$2:$N$61,MATCH($B34,offices!$A$2:$A$61,0))),""))</f>
        <v/>
      </c>
      <c r="L34" s="25">
        <f>IF($A34="","",IF($Q34="N","",COUNTIFS($A$2:$A34,$A34,$Q$2:$Q34,"&lt;&gt;N")))</f>
        <v/>
      </c>
      <c r="M34" s="25">
        <f>IF(OR($A34="",$L34=""),"",IF(AND(config!$B$34="names_if_public",IFERROR(IF(INDEX(offices!$AF$2:$AF$61,MATCH($B34,offices!$A$2:$A$61,0))="","",INDEX(offices!$AF$2:$AF$61,MATCH($B34,offices!$A$2:$A$61,0))),"")="Y"),$K34,CHAR(64+$L34)))</f>
        <v/>
      </c>
      <c r="N34" s="25">
        <f>IF(OR($A34="",$I34=""),"",COUNTIFS(stops!$B$2:$B$151,$B34,stops!$P$2:$P$151,"&lt;"&amp;$I34,stops!$L$2:$L$151,"&lt;&gt;not_delivered")+1)</f>
        <v/>
      </c>
      <c r="O34" s="25">
        <f>IF($A34="","",IF(N($N34)&lt;=config!$B$29,"explicit","opt-out"))</f>
        <v/>
      </c>
      <c r="P34" s="25">
        <f>IF($A34="","",IF($O34="explicit",IF($D34="yes","Y",IF($D34="no","N","pending")),IF($D34="no","N",IF(AND($C34&lt;&gt;"",$I34&lt;&gt;"",$C34&lt;=WORKDAY(N($I34),-5,calendar!$A$2:$A$80)),"Y","pending"))))</f>
        <v/>
      </c>
      <c r="Q34" s="25">
        <f>IF($A34="","",IF($P34="N","N",IF($P34&lt;&gt;"Y","pending",IF(AND((COUNTIFS(stops!$A$2:$A$151,$H34,stops!$B$2:$B$151,$B34,stops!$L$2:$L$151,"declined")+COUNTIFS(stops!$A$2:$A$151,$H34,stops!$B$2:$B$151,$B34,stops!$L$2:$L$151,"building_refused")+COUNTIFS(stops!$A$2:$A$151,$H34,stops!$B$2:$B$151,$B34,stops!$L$2:$L$151,"not_delivered"))&gt;0,N($U34)=0),"N","Y"))))</f>
        <v/>
      </c>
      <c r="R34" s="25">
        <f>IF($A34="","",IF(COUNTIFS($A$2:$A$251,$A34,$B$2:$B$251,$B34)&gt;1,"DUPLICATE ROW; ","")&amp;IF(AND(IFERROR(IF(INDEX(offices!$AC$2:$AC$61,MATCH($B34,offices!$A$2:$A$61,0))="","",INDEX(offices!$AC$2:$AC$61,MATCH($B34,offices!$A$2:$A$61,0))),"")&lt;&gt;"",ISNUMBER(SEARCH($J34,IFERROR(IF(INDEX(offices!$AC$2:$AC$61,MATCH($B34,offices!$A$2:$A$61,0))="","",INDEX(offices!$AC$2:$AC$61,MATCH($B34,offices!$A$2:$A$61,0))),"")))),"BRAND VETOED; ","")&amp;IF(ISNUMBER(SEARCH(IFERROR(IF(INDEX(campaigns!$BF$2:$BF$51,MATCH($A34,campaigns!$A$2:$A$51,0))="","",INDEX(campaigns!$BF$2:$BF$51,MATCH($A34,campaigns!$A$2:$A$51,0))),""),IFERROR(IF(INDEX(offices!$AB$2:$AB$61,MATCH($B34,offices!$A$2:$A$61,0))="","",INDEX(offices!$AB$2:$AB$61,MATCH($B34,offices!$A$2:$A$61,0))),""))),"","info: category not on the office's list; ")&amp;IF(IFERROR(IF(INDEX(offices!$AC$2:$AC$61,MATCH($B34,offices!$A$2:$A$61,0))="","",INDEX(offices!$AC$2:$AC$61,MATCH($B34,offices!$A$2:$A$61,0))),"")&lt;&gt;"","info: read the vetoes against the label; ",""))</f>
        <v/>
      </c>
      <c r="S34" s="25">
        <f>IF($A34="","",IF($G34&lt;&gt;"",$G34,IFERROR(IF(INDEX(offices!$AL$2:$AL$61,MATCH($B34,offices!$A$2:$A$61,0))="","",INDEX(offices!$AL$2:$AL$61,MATCH($B34,offices!$A$2:$A$61,0))),"")))</f>
        <v/>
      </c>
      <c r="T34" s="25">
        <f>IF($A34="","",$A34&amp;"."&amp;$B34)</f>
        <v/>
      </c>
      <c r="U34" s="25">
        <f>IF($A34="","",SUMIFS(inventory!$G$2:$G$801,inventory!$C$2:$C$801,$A34,inventory!$D$2:$D$801,$B34,inventory!$E$2:$E$801,"delivered"))</f>
        <v/>
      </c>
      <c r="V34" s="32">
        <f>IF($A34="","",IFERROR(1/(1/SUMPRODUCT(MAX((inventory!$C$2:$C$801=$A34)*(inventory!$D$2:$D$801=$B34)*(inventory!$E$2:$E$801="delivered")*(inventory!$A$2:$A$801+inventory!$B$2:$B$801)))),""))</f>
        <v/>
      </c>
      <c r="W34" s="25">
        <f>IF($A34="","",IFERROR(IF(INDEX(inventory!$J$2:$J$801,MATCH($A34&amp;"|"&amp;$B34&amp;"|delivered",inventory!$R$2:$R$801,0))="","",INDEX(inventory!$J$2:$J$801,MATCH($A34&amp;"|"&amp;$B34&amp;"|delivered",inventory!$R$2:$R$801,0))),""))</f>
        <v/>
      </c>
      <c r="X34" s="25">
        <f>IF($A34="","",IFERROR(IF(INDEX(photos!$H$2:$H$701,MATCH($A34&amp;"|"&amp;$B34&amp;"|placement|Y",photos!$R$2:$R$701,0))="","",INDEX(photos!$H$2:$H$701,MATCH($A34&amp;"|"&amp;$B34&amp;"|placement|Y",photos!$R$2:$R$701,0))),""))</f>
        <v/>
      </c>
      <c r="Y34" s="26">
        <f>IF($A34="","",IFERROR(IF(INDEX(photos!$E$2:$E$701,MATCH($A34&amp;"|"&amp;$B34&amp;"|placement|Y",photos!$R$2:$R$701,0))="","",INDEX(photos!$E$2:$E$701,MATCH($A34&amp;"|"&amp;$B34&amp;"|placement|Y",photos!$R$2:$R$701,0))),""))</f>
        <v/>
      </c>
      <c r="Z34" s="25">
        <f>IF($A34="","",IF(COUNTIFS(counts!$C$2:$C$701,$A34,counts!$D$2:$D$701,$B34,counts!$E$2:$E$701,"placed")=0,"",SUMIFS(counts!$F$2:$F$701,counts!$C$2:$C$701,$A34,counts!$D$2:$D$701,$B34,counts!$E$2:$E$701,"placed")))</f>
        <v/>
      </c>
      <c r="AA34" s="25">
        <f>IF($A34="","",IF($Y34="",0,N($Z34)))</f>
        <v/>
      </c>
      <c r="AB34" s="25">
        <f>IF($A34="","",IF(OR($Y34="",$I34=""),"N",IF($Y34&lt;=WORKDAY(N($I34),1,calendar!$A$2:$A$80),"Y","N")))</f>
        <v/>
      </c>
      <c r="AC34" s="28">
        <f>IF(OR($A34="",$V34="",$Y34=""),"",ROUND(($Y34+N(IFERROR(IF(INDEX(photos!$F$2:$F$701,MATCH($A34&amp;"|"&amp;$B34&amp;"|placement|Y",photos!$R$2:$R$701,0))="","",INDEX(photos!$F$2:$F$701,MATCH($A34&amp;"|"&amp;$B34&amp;"|placement|Y",photos!$R$2:$R$701,0))),""))-$V34)*24,1))</f>
        <v/>
      </c>
      <c r="AD34" s="25">
        <f>IF($A34="","",SUMIFS(inventory!$G$2:$G$801,inventory!$C$2:$C$801,$A34,inventory!$D$2:$D$801,$B34,inventory!$E$2:$E$801,"topped_up"))</f>
        <v/>
      </c>
      <c r="AE34" s="25">
        <f>IF($A34="","",IF(COUNTIFS(counts!$C$2:$C$701,$A34,counts!$D$2:$D$701,$B34,counts!$E$2:$E$701,"remaining_day3")=0,"",SUMIFS(counts!$F$2:$F$701,counts!$C$2:$C$701,$A34,counts!$D$2:$D$701,$B34,counts!$E$2:$E$701,"remaining_day3")))</f>
        <v/>
      </c>
      <c r="AF34" s="25">
        <f>IF($A34="","",IF(COUNTIFS(counts!$C$2:$C$701,$A34,counts!$D$2:$D$701,$B34,counts!$E$2:$E$701,"remaining_day5")=0,"",SUMIFS(counts!$F$2:$F$701,counts!$C$2:$C$701,$A34,counts!$D$2:$D$701,$B34,counts!$E$2:$E$701,"remaining_day5")))</f>
        <v/>
      </c>
      <c r="AG34" s="25">
        <f>IF(OR($A34="",$AF34=""),"",MAX(0,$AA34+$AD34-$AF34))</f>
        <v/>
      </c>
      <c r="AH34" s="25">
        <f>IF(OR($A34="",$AI34=""),"",IFERROR(IF(INDEX(photos!$H$2:$H$701,MATCH($A34&amp;"|"&amp;$B34&amp;"|later|Y|"&amp;$AI34,photos!$S$2:$S$701,0))="","",INDEX(photos!$H$2:$H$701,MATCH($A34&amp;"|"&amp;$B34&amp;"|later|Y|"&amp;$AI34,photos!$S$2:$S$701,0))),""))</f>
        <v/>
      </c>
      <c r="AI34" s="26">
        <f>IF($A34="","",IFERROR(1/(1/SUMPRODUCT(MAX((photos!$B$2:$B$701=$A34)*(photos!$C$2:$C$701=$B34)*(photos!$D$2:$D$701="later")*(photos!$O$2:$O$701="Y")*photos!$E$2:$E$701))),""))</f>
        <v/>
      </c>
      <c r="AJ34" s="25">
        <f>IF(OR($A34="",$AI34="",$I34=""),"",NETWORKDAYS($I34,$AI34,calendar!$A$2:$A$80))</f>
        <v/>
      </c>
      <c r="AK34" s="25">
        <f>IF($A34="","",IF(AND($X34&lt;&gt;"",$AH34&lt;&gt;""),"Y","N"))</f>
        <v/>
      </c>
      <c r="AL34" s="25">
        <f>IF(OR($A34="",$I34=""),"",IF($BC34="Y",SUMIFS(survey_frozen!$C$2:$C$251,survey_frozen!$P$2:$P$251,$A34&amp;"|"&amp;$B34),IFERROR(COUNTIFS(INDIRECT("'"&amp;$A34&amp;"'!$B$2:$B$501"),$T34,INDIRECT("'"&amp;$A34&amp;"'!$A$2:$A$501"),"&gt;="&amp;$I34,INDIRECT("'"&amp;$A34&amp;"'!$A$2:$A$501"),"&lt;"&amp;($BA34+1)),0)))</f>
        <v/>
      </c>
      <c r="AM34" s="25">
        <f>IF(OR($A34="",$I34=""),"",IF($BC34="Y",SUMIFS(survey_frozen!$D$2:$D$251,survey_frozen!$P$2:$P$251,$A34&amp;"|"&amp;$B34),IFERROR(COUNTIFS(INDIRECT("'"&amp;$A34&amp;"'!$B$2:$B$501"),$T34,INDIRECT("'"&amp;$A34&amp;"'!$A$2:$A$501"),"&gt;="&amp;$I34,INDIRECT("'"&amp;$A34&amp;"'!$A$2:$A$501"),"&lt;"&amp;($BA34+1),INDIRECT("'"&amp;$A34&amp;"'!$C$2:$C$501"),"Yes"),0)))</f>
        <v/>
      </c>
      <c r="AN34" s="25">
        <f>IF($A34="","",IF(COUNTIFS(scans!$C$2:$C$1601,(IF(LEFT($A34,7)="SAMPLE-","SAMPLE-","")&amp;LOWER(SUBSTITUTE(SUBSTITUTE($A34,"SAMPLE-",""),"CMP-","c"))&amp;"-"&amp;LOWER(SUBSTITUTE(SUBSTITUTE($B34,"SAMPLE-",""),"O-","o"))&amp;"-q"),scans!$D$2:$D$1601,"close")=0,"",SUMPRODUCT(MAX((scans!$C$2:$C$1601=(IF(LEFT($A34,7)="SAMPLE-","SAMPLE-","")&amp;LOWER(SUBSTITUTE(SUBSTITUTE($A34,"SAMPLE-",""),"CMP-","c"))&amp;"-"&amp;LOWER(SUBSTITUTE(SUBSTITUTE($B34,"SAMPLE-",""),"O-","o"))&amp;"-q"))*(scans!$D$2:$D$1601="close")*scans!$E$2:$E$1601))-SUMPRODUCT(MAX((scans!$C$2:$C$1601=(IF(LEFT($A34,7)="SAMPLE-","SAMPLE-","")&amp;LOWER(SUBSTITUTE(SUBSTITUTE($A34,"SAMPLE-",""),"CMP-","c"))&amp;"-"&amp;LOWER(SUBSTITUTE(SUBSTITUTE($B34,"SAMPLE-",""),"O-","o"))&amp;"-q"))*(scans!$D$2:$D$1601="baseline")*scans!$E$2:$E$1601))))</f>
        <v/>
      </c>
      <c r="AO34" s="25">
        <f>IF($A34="","",IF(COUNTIFS(scans!$C$2:$C$1601,(IF(LEFT($A34,7)="SAMPLE-","SAMPLE-","")&amp;LOWER(SUBSTITUTE(SUBSTITUTE($A34,"SAMPLE-",""),"CMP-","c"))&amp;"-"&amp;LOWER(SUBSTITUTE(SUBSTITUTE($B34,"SAMPLE-",""),"O-","o"))&amp;"-p"),scans!$D$2:$D$1601,"close")=0,"",SUMPRODUCT(MAX((scans!$C$2:$C$1601=(IF(LEFT($A34,7)="SAMPLE-","SAMPLE-","")&amp;LOWER(SUBSTITUTE(SUBSTITUTE($A34,"SAMPLE-",""),"CMP-","c"))&amp;"-"&amp;LOWER(SUBSTITUTE(SUBSTITUTE($B34,"SAMPLE-",""),"O-","o"))&amp;"-p"))*(scans!$D$2:$D$1601="close")*scans!$E$2:$E$1601))-SUMPRODUCT(MAX((scans!$C$2:$C$1601=(IF(LEFT($A34,7)="SAMPLE-","SAMPLE-","")&amp;LOWER(SUBSTITUTE(SUBSTITUTE($A34,"SAMPLE-",""),"CMP-","c"))&amp;"-"&amp;LOWER(SUBSTITUTE(SUBSTITUTE($B34,"SAMPLE-",""),"O-","o"))&amp;"-p"))*(scans!$D$2:$D$1601="baseline")*scans!$E$2:$E$1601))))</f>
        <v/>
      </c>
      <c r="AP34" s="25">
        <f>IF($A34="","",IF(COUNTIF(offices!$A$2:$A$61,$B34)=0,"office_id not on offices; ","")&amp;IF(COUNTIF(campaigns!$A$2:$A$51,$A34)=0,"campaign_id not on campaigns; ","")&amp;IF($P34="pending","approval pending; ","")&amp;IF(AND($U34&gt;0,$Y34="",OR($I34="",IF(config!$B$37&lt;&gt;"",config!$B$37,TODAY())&lt;=WORKDAY(N($I34),4,calendar!$A$2:$A$80))),"no usable placement photo yet; ","")&amp;IF(AND($Y34&lt;&gt;"",$Z34=""),"log the placed count; ","")&amp;IF(N($AA34)&gt;N($U34),"placed more than delivered; ","")&amp;IF(AND($AF34&lt;&gt;"",N($AF34)&gt;N($AA34)+N($AD34)),"day-5 count above placed plus top-ups; ","")&amp;IF(AND($U34&gt;0,$I34&lt;&gt;"",IF(config!$B$37&lt;&gt;"",config!$B$37,TODAY())&gt;WORKDAY(N($I34),4,calendar!$A$2:$A$80),$AF34=""),"day-5 count missing; ","")&amp;IF(AND($U34&gt;0,$I34&lt;&gt;"",IF(config!$B$37&lt;&gt;"",config!$B$37,TODAY())&gt;WORKDAY(N($I34),4,calendar!$A$2:$A$80),$AN34=""),"no close link reading; ","")&amp;$R34&amp;IF($P34="N","info: office said no; ","")&amp;IF(AND($P34="Y",$Q34="N"),"info: turned away at the door, so not on the drop (no letter, not in the report or Gate 2; the credit check is on campaigns); ","")&amp;IF(AND($U34&gt;0,$Y34="",$I34&lt;&gt;"",IF(config!$B$37&lt;&gt;"",config!$B$37,TODAY())&gt;WORKDAY(N($I34),4,calendar!$A$2:$A$80)),"info: no usable placement photo, so nothing counts as placed; ","")&amp;IF(AND($U34&gt;0,$I34&lt;&gt;"",IF(config!$B$37&lt;&gt;"",config!$B$37,TODAY())&gt;WORKDAY(N($I34),4,calendar!$A$2:$A$80),N($AL34)&lt;config!$B$30),"info: under "&amp;config!$B$30&amp;" responses; ","")&amp;IF($W34="packing_list","info: delivered count not verified; ",""))</f>
        <v/>
      </c>
      <c r="AQ34" s="25">
        <f>IF(OR($A34="",$I34=""),"",IF($BC34="Y",SUMIFS(survey_frozen!$E$2:$E$251,survey_frozen!$P$2:$P$251,$A34&amp;"|"&amp;$B34),IFERROR(COUNTIFS(INDIRECT("'"&amp;$A34&amp;"'!$B$2:$B$501"),$T34,INDIRECT("'"&amp;$A34&amp;"'!$A$2:$A$501"),"&gt;="&amp;$I34,INDIRECT("'"&amp;$A34&amp;"'!$A$2:$A$501"),"&lt;"&amp;($BA34+1),INDIRECT("'"&amp;$A34&amp;"'!$F$2:$F$501"),"Didn't see it"),0)))</f>
        <v/>
      </c>
      <c r="AR34" s="25">
        <f>IF(OR($A34="",$I34=""),"",IF($BC34="Y",SUMIFS(survey_frozen!$F$2:$F$251,survey_frozen!$P$2:$P$251,$A34&amp;"|"&amp;$B34),IFERROR(COUNTIFS(INDIRECT("'"&amp;$A34&amp;"'!$B$2:$B$501"),$T34,INDIRECT("'"&amp;$A34&amp;"'!$A$2:$A$501"),"&gt;="&amp;$I34,INDIRECT("'"&amp;$A34&amp;"'!$A$2:$A$501"),"&lt;"&amp;($BA34+1),INDIRECT("'"&amp;$A34&amp;"'!$F$2:$F$501"),"Not for me"),0)))</f>
        <v/>
      </c>
      <c r="AS34" s="25">
        <f>IF(OR($A34="",$I34=""),"",IF($BC34="Y",SUMIFS(survey_frozen!$G$2:$G$251,survey_frozen!$P$2:$P$251,$A34&amp;"|"&amp;$B34),IFERROR(COUNTIFS(INDIRECT("'"&amp;$A34&amp;"'!$B$2:$B$501"),$T34,INDIRECT("'"&amp;$A34&amp;"'!$A$2:$A$501"),"&gt;="&amp;$I34,INDIRECT("'"&amp;$A34&amp;"'!$A$2:$A$501"),"&lt;"&amp;($BA34+1),INDIRECT("'"&amp;$A34&amp;"'!$F$2:$F$501"),"Gone by the time I looked"),0)))</f>
        <v/>
      </c>
      <c r="AT34" s="25">
        <f>IF(OR($A34="",$I34=""),"",IF($BC34="Y",SUMIFS(survey_frozen!$H$2:$H$251,survey_frozen!$P$2:$P$251,$A34&amp;"|"&amp;$B34),IFERROR(COUNTIFS(INDIRECT("'"&amp;$A34&amp;"'!$B$2:$B$501"),$T34,INDIRECT("'"&amp;$A34&amp;"'!$A$2:$A$501"),"&gt;="&amp;$I34,INDIRECT("'"&amp;$A34&amp;"'!$A$2:$A$501"),"&lt;"&amp;($BA34+1),INDIRECT("'"&amp;$A34&amp;"'!$D$2:$D$501"),"&gt;=1"),0)))</f>
        <v/>
      </c>
      <c r="AU34" s="25">
        <f>IF(OR($A34="",$I34=""),"",IF($BC34="Y",SUMIFS(survey_frozen!$I$2:$I$251,survey_frozen!$P$2:$P$251,$A34&amp;"|"&amp;$B34),IFERROR(SUMIFS(INDIRECT("'"&amp;$A34&amp;"'!$D$2:$D$501"),INDIRECT("'"&amp;$A34&amp;"'!$B$2:$B$501"),$T34,INDIRECT("'"&amp;$A34&amp;"'!$A$2:$A$501"),"&gt;="&amp;$I34,INDIRECT("'"&amp;$A34&amp;"'!$A$2:$A$501"),"&lt;"&amp;($BA34+1)),0)))</f>
        <v/>
      </c>
      <c r="AV34" s="25">
        <f>IF(OR($A34="",$I34=""),"",IF($BC34="Y",SUMIFS(survey_frozen!$J$2:$J$251,survey_frozen!$P$2:$P$251,$A34&amp;"|"&amp;$B34),IFERROR(COUNTIFS(INDIRECT("'"&amp;$A34&amp;"'!$B$2:$B$501"),$T34,INDIRECT("'"&amp;$A34&amp;"'!$A$2:$A$501"),"&gt;="&amp;$I34,INDIRECT("'"&amp;$A34&amp;"'!$A$2:$A$501"),"&lt;"&amp;($BA34+1),INDIRECT("'"&amp;$A34&amp;"'!$E$2:$E$501"),"Yes"),0)))</f>
        <v/>
      </c>
      <c r="AW34" s="25">
        <f>IF(OR($A34="",$I34=""),"",IF($BC34="Y",SUMIFS(survey_frozen!$K$2:$K$251,survey_frozen!$P$2:$P$251,$A34&amp;"|"&amp;$B34),IFERROR(COUNTIFS(INDIRECT("'"&amp;$A34&amp;"'!$B$2:$B$501"),$T34,INDIRECT("'"&amp;$A34&amp;"'!$A$2:$A$501"),"&gt;="&amp;$I34,INDIRECT("'"&amp;$A34&amp;"'!$A$2:$A$501"),"&lt;"&amp;($BA34+1),INDIRECT("'"&amp;$A34&amp;"'!$E$2:$E$501"),"Maybe"),0)))</f>
        <v/>
      </c>
      <c r="AX34" s="25">
        <f>IF(OR($A34="",$I34=""),"",IF($BC34="Y",SUMIFS(survey_frozen!$L$2:$L$251,survey_frozen!$P$2:$P$251,$A34&amp;"|"&amp;$B34),IFERROR(COUNTIFS(INDIRECT("'"&amp;$A34&amp;"'!$B$2:$B$501"),$T34,INDIRECT("'"&amp;$A34&amp;"'!$A$2:$A$501"),"&gt;="&amp;$I34,INDIRECT("'"&amp;$A34&amp;"'!$A$2:$A$501"),"&lt;"&amp;($BA34+1),INDIRECT("'"&amp;$A34&amp;"'!$E$2:$E$501"),"No"),0)))</f>
        <v/>
      </c>
      <c r="AY34" s="25">
        <f>IF(OR($A34="",$I34=""),"",IF($BC34="Y",SUMIFS(survey_frozen!$M$2:$M$251,survey_frozen!$P$2:$P$251,$A34&amp;"|"&amp;$B34),IFERROR(COUNTIFS(INDIRECT("'"&amp;$A34&amp;"'!$B$2:$B$501"),$T34,INDIRECT("'"&amp;$A34&amp;"'!$A$2:$A$501"),"&gt;="&amp;$I34,INDIRECT("'"&amp;$A34&amp;"'!$A$2:$A$501"),"&lt;"&amp;($BA34+1),INDIRECT("'"&amp;$A34&amp;"'!$G$2:$G$501"),"&lt;&gt;"),0)))</f>
        <v/>
      </c>
      <c r="AZ34" s="25">
        <f>IF($A34="","",$A34&amp;"|"&amp;$L34)</f>
        <v/>
      </c>
      <c r="BA34" s="26">
        <f>IF($A34="","",IFERROR(IF(INDEX(drops!$R$2:$R$21,MATCH($H34,drops!$A$2:$A$21,0))="","",INDEX(drops!$R$2:$R$21,MATCH($H34,drops!$A$2:$A$21,0))),""))</f>
        <v/>
      </c>
      <c r="BB34" s="25">
        <f>IF(OR($A34="",$Q34&lt;&gt;"Y"),1000000,N($AL34))</f>
        <v/>
      </c>
      <c r="BC34" s="25">
        <f>IF($A34="","",IF(COUNTIF(survey_frozen!$P$2:$P$251,$A34&amp;"|"&amp;$B34)&gt;0,"Y",""))</f>
        <v/>
      </c>
    </row>
    <row r="35">
      <c r="A35" t="inlineStr">
        <is>
          <t>SAMPLE-CMP-005</t>
        </is>
      </c>
      <c r="B35" t="inlineStr">
        <is>
          <t>SAMPLE-O-004</t>
        </is>
      </c>
      <c r="C35" s="9" t="n">
        <v>46395</v>
      </c>
      <c r="D35" t="inlineStr">
        <is>
          <t>yes</t>
        </is>
      </c>
      <c r="E35" s="9" t="n">
        <v>46396</v>
      </c>
      <c r="F35" t="inlineStr">
        <is>
          <t>SAMPLE replied by email</t>
        </is>
      </c>
      <c r="H35" s="25">
        <f>IF($A35="","",IFERROR(IF(INDEX(campaigns!$B$2:$B$51,MATCH($A35,campaigns!$A$2:$A$51,0))="","",INDEX(campaigns!$B$2:$B$51,MATCH($A35,campaigns!$A$2:$A$51,0))),""))</f>
        <v/>
      </c>
      <c r="I35" s="26">
        <f>IF($A35="","",IFERROR(IF(INDEX(campaigns!$BG$2:$BG$51,MATCH($A35,campaigns!$A$2:$A$51,0))="","",INDEX(campaigns!$BG$2:$BG$51,MATCH($A35,campaigns!$A$2:$A$51,0))),""))</f>
        <v/>
      </c>
      <c r="J35" s="25">
        <f>IF($A35="","",IFERROR(IF(INDEX(campaigns!$BE$2:$BE$51,MATCH($A35,campaigns!$A$2:$A$51,0))="","",INDEX(campaigns!$BE$2:$BE$51,MATCH($A35,campaigns!$A$2:$A$51,0))),""))</f>
        <v/>
      </c>
      <c r="K35" s="25">
        <f>IF($B35="","",IFERROR(IF(INDEX(offices!$N$2:$N$61,MATCH($B35,offices!$A$2:$A$61,0))="","",INDEX(offices!$N$2:$N$61,MATCH($B35,offices!$A$2:$A$61,0))),""))</f>
        <v/>
      </c>
      <c r="L35" s="25">
        <f>IF($A35="","",IF($Q35="N","",COUNTIFS($A$2:$A35,$A35,$Q$2:$Q35,"&lt;&gt;N")))</f>
        <v/>
      </c>
      <c r="M35" s="25">
        <f>IF(OR($A35="",$L35=""),"",IF(AND(config!$B$34="names_if_public",IFERROR(IF(INDEX(offices!$AF$2:$AF$61,MATCH($B35,offices!$A$2:$A$61,0))="","",INDEX(offices!$AF$2:$AF$61,MATCH($B35,offices!$A$2:$A$61,0))),"")="Y"),$K35,CHAR(64+$L35)))</f>
        <v/>
      </c>
      <c r="N35" s="25">
        <f>IF(OR($A35="",$I35=""),"",COUNTIFS(stops!$B$2:$B$151,$B35,stops!$P$2:$P$151,"&lt;"&amp;$I35,stops!$L$2:$L$151,"&lt;&gt;not_delivered")+1)</f>
        <v/>
      </c>
      <c r="O35" s="25">
        <f>IF($A35="","",IF(N($N35)&lt;=config!$B$29,"explicit","opt-out"))</f>
        <v/>
      </c>
      <c r="P35" s="25">
        <f>IF($A35="","",IF($O35="explicit",IF($D35="yes","Y",IF($D35="no","N","pending")),IF($D35="no","N",IF(AND($C35&lt;&gt;"",$I35&lt;&gt;"",$C35&lt;=WORKDAY(N($I35),-5,calendar!$A$2:$A$80)),"Y","pending"))))</f>
        <v/>
      </c>
      <c r="Q35" s="25">
        <f>IF($A35="","",IF($P35="N","N",IF($P35&lt;&gt;"Y","pending",IF(AND((COUNTIFS(stops!$A$2:$A$151,$H35,stops!$B$2:$B$151,$B35,stops!$L$2:$L$151,"declined")+COUNTIFS(stops!$A$2:$A$151,$H35,stops!$B$2:$B$151,$B35,stops!$L$2:$L$151,"building_refused")+COUNTIFS(stops!$A$2:$A$151,$H35,stops!$B$2:$B$151,$B35,stops!$L$2:$L$151,"not_delivered"))&gt;0,N($U35)=0),"N","Y"))))</f>
        <v/>
      </c>
      <c r="R35" s="25">
        <f>IF($A35="","",IF(COUNTIFS($A$2:$A$251,$A35,$B$2:$B$251,$B35)&gt;1,"DUPLICATE ROW; ","")&amp;IF(AND(IFERROR(IF(INDEX(offices!$AC$2:$AC$61,MATCH($B35,offices!$A$2:$A$61,0))="","",INDEX(offices!$AC$2:$AC$61,MATCH($B35,offices!$A$2:$A$61,0))),"")&lt;&gt;"",ISNUMBER(SEARCH($J35,IFERROR(IF(INDEX(offices!$AC$2:$AC$61,MATCH($B35,offices!$A$2:$A$61,0))="","",INDEX(offices!$AC$2:$AC$61,MATCH($B35,offices!$A$2:$A$61,0))),"")))),"BRAND VETOED; ","")&amp;IF(ISNUMBER(SEARCH(IFERROR(IF(INDEX(campaigns!$BF$2:$BF$51,MATCH($A35,campaigns!$A$2:$A$51,0))="","",INDEX(campaigns!$BF$2:$BF$51,MATCH($A35,campaigns!$A$2:$A$51,0))),""),IFERROR(IF(INDEX(offices!$AB$2:$AB$61,MATCH($B35,offices!$A$2:$A$61,0))="","",INDEX(offices!$AB$2:$AB$61,MATCH($B35,offices!$A$2:$A$61,0))),""))),"","info: category not on the office's list; ")&amp;IF(IFERROR(IF(INDEX(offices!$AC$2:$AC$61,MATCH($B35,offices!$A$2:$A$61,0))="","",INDEX(offices!$AC$2:$AC$61,MATCH($B35,offices!$A$2:$A$61,0))),"")&lt;&gt;"","info: read the vetoes against the label; ",""))</f>
        <v/>
      </c>
      <c r="S35" s="25">
        <f>IF($A35="","",IF($G35&lt;&gt;"",$G35,IFERROR(IF(INDEX(offices!$AL$2:$AL$61,MATCH($B35,offices!$A$2:$A$61,0))="","",INDEX(offices!$AL$2:$AL$61,MATCH($B35,offices!$A$2:$A$61,0))),"")))</f>
        <v/>
      </c>
      <c r="T35" s="25">
        <f>IF($A35="","",$A35&amp;"."&amp;$B35)</f>
        <v/>
      </c>
      <c r="U35" s="25">
        <f>IF($A35="","",SUMIFS(inventory!$G$2:$G$801,inventory!$C$2:$C$801,$A35,inventory!$D$2:$D$801,$B35,inventory!$E$2:$E$801,"delivered"))</f>
        <v/>
      </c>
      <c r="V35" s="32">
        <f>IF($A35="","",IFERROR(1/(1/SUMPRODUCT(MAX((inventory!$C$2:$C$801=$A35)*(inventory!$D$2:$D$801=$B35)*(inventory!$E$2:$E$801="delivered")*(inventory!$A$2:$A$801+inventory!$B$2:$B$801)))),""))</f>
        <v/>
      </c>
      <c r="W35" s="25">
        <f>IF($A35="","",IFERROR(IF(INDEX(inventory!$J$2:$J$801,MATCH($A35&amp;"|"&amp;$B35&amp;"|delivered",inventory!$R$2:$R$801,0))="","",INDEX(inventory!$J$2:$J$801,MATCH($A35&amp;"|"&amp;$B35&amp;"|delivered",inventory!$R$2:$R$801,0))),""))</f>
        <v/>
      </c>
      <c r="X35" s="25">
        <f>IF($A35="","",IFERROR(IF(INDEX(photos!$H$2:$H$701,MATCH($A35&amp;"|"&amp;$B35&amp;"|placement|Y",photos!$R$2:$R$701,0))="","",INDEX(photos!$H$2:$H$701,MATCH($A35&amp;"|"&amp;$B35&amp;"|placement|Y",photos!$R$2:$R$701,0))),""))</f>
        <v/>
      </c>
      <c r="Y35" s="26">
        <f>IF($A35="","",IFERROR(IF(INDEX(photos!$E$2:$E$701,MATCH($A35&amp;"|"&amp;$B35&amp;"|placement|Y",photos!$R$2:$R$701,0))="","",INDEX(photos!$E$2:$E$701,MATCH($A35&amp;"|"&amp;$B35&amp;"|placement|Y",photos!$R$2:$R$701,0))),""))</f>
        <v/>
      </c>
      <c r="Z35" s="25">
        <f>IF($A35="","",IF(COUNTIFS(counts!$C$2:$C$701,$A35,counts!$D$2:$D$701,$B35,counts!$E$2:$E$701,"placed")=0,"",SUMIFS(counts!$F$2:$F$701,counts!$C$2:$C$701,$A35,counts!$D$2:$D$701,$B35,counts!$E$2:$E$701,"placed")))</f>
        <v/>
      </c>
      <c r="AA35" s="25">
        <f>IF($A35="","",IF($Y35="",0,N($Z35)))</f>
        <v/>
      </c>
      <c r="AB35" s="25">
        <f>IF($A35="","",IF(OR($Y35="",$I35=""),"N",IF($Y35&lt;=WORKDAY(N($I35),1,calendar!$A$2:$A$80),"Y","N")))</f>
        <v/>
      </c>
      <c r="AC35" s="28">
        <f>IF(OR($A35="",$V35="",$Y35=""),"",ROUND(($Y35+N(IFERROR(IF(INDEX(photos!$F$2:$F$701,MATCH($A35&amp;"|"&amp;$B35&amp;"|placement|Y",photos!$R$2:$R$701,0))="","",INDEX(photos!$F$2:$F$701,MATCH($A35&amp;"|"&amp;$B35&amp;"|placement|Y",photos!$R$2:$R$701,0))),""))-$V35)*24,1))</f>
        <v/>
      </c>
      <c r="AD35" s="25">
        <f>IF($A35="","",SUMIFS(inventory!$G$2:$G$801,inventory!$C$2:$C$801,$A35,inventory!$D$2:$D$801,$B35,inventory!$E$2:$E$801,"topped_up"))</f>
        <v/>
      </c>
      <c r="AE35" s="25">
        <f>IF($A35="","",IF(COUNTIFS(counts!$C$2:$C$701,$A35,counts!$D$2:$D$701,$B35,counts!$E$2:$E$701,"remaining_day3")=0,"",SUMIFS(counts!$F$2:$F$701,counts!$C$2:$C$701,$A35,counts!$D$2:$D$701,$B35,counts!$E$2:$E$701,"remaining_day3")))</f>
        <v/>
      </c>
      <c r="AF35" s="25">
        <f>IF($A35="","",IF(COUNTIFS(counts!$C$2:$C$701,$A35,counts!$D$2:$D$701,$B35,counts!$E$2:$E$701,"remaining_day5")=0,"",SUMIFS(counts!$F$2:$F$701,counts!$C$2:$C$701,$A35,counts!$D$2:$D$701,$B35,counts!$E$2:$E$701,"remaining_day5")))</f>
        <v/>
      </c>
      <c r="AG35" s="25">
        <f>IF(OR($A35="",$AF35=""),"",MAX(0,$AA35+$AD35-$AF35))</f>
        <v/>
      </c>
      <c r="AH35" s="25">
        <f>IF(OR($A35="",$AI35=""),"",IFERROR(IF(INDEX(photos!$H$2:$H$701,MATCH($A35&amp;"|"&amp;$B35&amp;"|later|Y|"&amp;$AI35,photos!$S$2:$S$701,0))="","",INDEX(photos!$H$2:$H$701,MATCH($A35&amp;"|"&amp;$B35&amp;"|later|Y|"&amp;$AI35,photos!$S$2:$S$701,0))),""))</f>
        <v/>
      </c>
      <c r="AI35" s="26">
        <f>IF($A35="","",IFERROR(1/(1/SUMPRODUCT(MAX((photos!$B$2:$B$701=$A35)*(photos!$C$2:$C$701=$B35)*(photos!$D$2:$D$701="later")*(photos!$O$2:$O$701="Y")*photos!$E$2:$E$701))),""))</f>
        <v/>
      </c>
      <c r="AJ35" s="25">
        <f>IF(OR($A35="",$AI35="",$I35=""),"",NETWORKDAYS($I35,$AI35,calendar!$A$2:$A$80))</f>
        <v/>
      </c>
      <c r="AK35" s="25">
        <f>IF($A35="","",IF(AND($X35&lt;&gt;"",$AH35&lt;&gt;""),"Y","N"))</f>
        <v/>
      </c>
      <c r="AL35" s="25">
        <f>IF(OR($A35="",$I35=""),"",IF($BC35="Y",SUMIFS(survey_frozen!$C$2:$C$251,survey_frozen!$P$2:$P$251,$A35&amp;"|"&amp;$B35),IFERROR(COUNTIFS(INDIRECT("'"&amp;$A35&amp;"'!$B$2:$B$501"),$T35,INDIRECT("'"&amp;$A35&amp;"'!$A$2:$A$501"),"&gt;="&amp;$I35,INDIRECT("'"&amp;$A35&amp;"'!$A$2:$A$501"),"&lt;"&amp;($BA35+1)),0)))</f>
        <v/>
      </c>
      <c r="AM35" s="25">
        <f>IF(OR($A35="",$I35=""),"",IF($BC35="Y",SUMIFS(survey_frozen!$D$2:$D$251,survey_frozen!$P$2:$P$251,$A35&amp;"|"&amp;$B35),IFERROR(COUNTIFS(INDIRECT("'"&amp;$A35&amp;"'!$B$2:$B$501"),$T35,INDIRECT("'"&amp;$A35&amp;"'!$A$2:$A$501"),"&gt;="&amp;$I35,INDIRECT("'"&amp;$A35&amp;"'!$A$2:$A$501"),"&lt;"&amp;($BA35+1),INDIRECT("'"&amp;$A35&amp;"'!$C$2:$C$501"),"Yes"),0)))</f>
        <v/>
      </c>
      <c r="AN35" s="25">
        <f>IF($A35="","",IF(COUNTIFS(scans!$C$2:$C$1601,(IF(LEFT($A35,7)="SAMPLE-","SAMPLE-","")&amp;LOWER(SUBSTITUTE(SUBSTITUTE($A35,"SAMPLE-",""),"CMP-","c"))&amp;"-"&amp;LOWER(SUBSTITUTE(SUBSTITUTE($B35,"SAMPLE-",""),"O-","o"))&amp;"-q"),scans!$D$2:$D$1601,"close")=0,"",SUMPRODUCT(MAX((scans!$C$2:$C$1601=(IF(LEFT($A35,7)="SAMPLE-","SAMPLE-","")&amp;LOWER(SUBSTITUTE(SUBSTITUTE($A35,"SAMPLE-",""),"CMP-","c"))&amp;"-"&amp;LOWER(SUBSTITUTE(SUBSTITUTE($B35,"SAMPLE-",""),"O-","o"))&amp;"-q"))*(scans!$D$2:$D$1601="close")*scans!$E$2:$E$1601))-SUMPRODUCT(MAX((scans!$C$2:$C$1601=(IF(LEFT($A35,7)="SAMPLE-","SAMPLE-","")&amp;LOWER(SUBSTITUTE(SUBSTITUTE($A35,"SAMPLE-",""),"CMP-","c"))&amp;"-"&amp;LOWER(SUBSTITUTE(SUBSTITUTE($B35,"SAMPLE-",""),"O-","o"))&amp;"-q"))*(scans!$D$2:$D$1601="baseline")*scans!$E$2:$E$1601))))</f>
        <v/>
      </c>
      <c r="AO35" s="25">
        <f>IF($A35="","",IF(COUNTIFS(scans!$C$2:$C$1601,(IF(LEFT($A35,7)="SAMPLE-","SAMPLE-","")&amp;LOWER(SUBSTITUTE(SUBSTITUTE($A35,"SAMPLE-",""),"CMP-","c"))&amp;"-"&amp;LOWER(SUBSTITUTE(SUBSTITUTE($B35,"SAMPLE-",""),"O-","o"))&amp;"-p"),scans!$D$2:$D$1601,"close")=0,"",SUMPRODUCT(MAX((scans!$C$2:$C$1601=(IF(LEFT($A35,7)="SAMPLE-","SAMPLE-","")&amp;LOWER(SUBSTITUTE(SUBSTITUTE($A35,"SAMPLE-",""),"CMP-","c"))&amp;"-"&amp;LOWER(SUBSTITUTE(SUBSTITUTE($B35,"SAMPLE-",""),"O-","o"))&amp;"-p"))*(scans!$D$2:$D$1601="close")*scans!$E$2:$E$1601))-SUMPRODUCT(MAX((scans!$C$2:$C$1601=(IF(LEFT($A35,7)="SAMPLE-","SAMPLE-","")&amp;LOWER(SUBSTITUTE(SUBSTITUTE($A35,"SAMPLE-",""),"CMP-","c"))&amp;"-"&amp;LOWER(SUBSTITUTE(SUBSTITUTE($B35,"SAMPLE-",""),"O-","o"))&amp;"-p"))*(scans!$D$2:$D$1601="baseline")*scans!$E$2:$E$1601))))</f>
        <v/>
      </c>
      <c r="AP35" s="25">
        <f>IF($A35="","",IF(COUNTIF(offices!$A$2:$A$61,$B35)=0,"office_id not on offices; ","")&amp;IF(COUNTIF(campaigns!$A$2:$A$51,$A35)=0,"campaign_id not on campaigns; ","")&amp;IF($P35="pending","approval pending; ","")&amp;IF(AND($U35&gt;0,$Y35="",OR($I35="",IF(config!$B$37&lt;&gt;"",config!$B$37,TODAY())&lt;=WORKDAY(N($I35),4,calendar!$A$2:$A$80))),"no usable placement photo yet; ","")&amp;IF(AND($Y35&lt;&gt;"",$Z35=""),"log the placed count; ","")&amp;IF(N($AA35)&gt;N($U35),"placed more than delivered; ","")&amp;IF(AND($AF35&lt;&gt;"",N($AF35)&gt;N($AA35)+N($AD35)),"day-5 count above placed plus top-ups; ","")&amp;IF(AND($U35&gt;0,$I35&lt;&gt;"",IF(config!$B$37&lt;&gt;"",config!$B$37,TODAY())&gt;WORKDAY(N($I35),4,calendar!$A$2:$A$80),$AF35=""),"day-5 count missing; ","")&amp;IF(AND($U35&gt;0,$I35&lt;&gt;"",IF(config!$B$37&lt;&gt;"",config!$B$37,TODAY())&gt;WORKDAY(N($I35),4,calendar!$A$2:$A$80),$AN35=""),"no close link reading; ","")&amp;$R35&amp;IF($P35="N","info: office said no; ","")&amp;IF(AND($P35="Y",$Q35="N"),"info: turned away at the door, so not on the drop (no letter, not in the report or Gate 2; the credit check is on campaigns); ","")&amp;IF(AND($U35&gt;0,$Y35="",$I35&lt;&gt;"",IF(config!$B$37&lt;&gt;"",config!$B$37,TODAY())&gt;WORKDAY(N($I35),4,calendar!$A$2:$A$80)),"info: no usable placement photo, so nothing counts as placed; ","")&amp;IF(AND($U35&gt;0,$I35&lt;&gt;"",IF(config!$B$37&lt;&gt;"",config!$B$37,TODAY())&gt;WORKDAY(N($I35),4,calendar!$A$2:$A$80),N($AL35)&lt;config!$B$30),"info: under "&amp;config!$B$30&amp;" responses; ","")&amp;IF($W35="packing_list","info: delivered count not verified; ",""))</f>
        <v/>
      </c>
      <c r="AQ35" s="25">
        <f>IF(OR($A35="",$I35=""),"",IF($BC35="Y",SUMIFS(survey_frozen!$E$2:$E$251,survey_frozen!$P$2:$P$251,$A35&amp;"|"&amp;$B35),IFERROR(COUNTIFS(INDIRECT("'"&amp;$A35&amp;"'!$B$2:$B$501"),$T35,INDIRECT("'"&amp;$A35&amp;"'!$A$2:$A$501"),"&gt;="&amp;$I35,INDIRECT("'"&amp;$A35&amp;"'!$A$2:$A$501"),"&lt;"&amp;($BA35+1),INDIRECT("'"&amp;$A35&amp;"'!$F$2:$F$501"),"Didn't see it"),0)))</f>
        <v/>
      </c>
      <c r="AR35" s="25">
        <f>IF(OR($A35="",$I35=""),"",IF($BC35="Y",SUMIFS(survey_frozen!$F$2:$F$251,survey_frozen!$P$2:$P$251,$A35&amp;"|"&amp;$B35),IFERROR(COUNTIFS(INDIRECT("'"&amp;$A35&amp;"'!$B$2:$B$501"),$T35,INDIRECT("'"&amp;$A35&amp;"'!$A$2:$A$501"),"&gt;="&amp;$I35,INDIRECT("'"&amp;$A35&amp;"'!$A$2:$A$501"),"&lt;"&amp;($BA35+1),INDIRECT("'"&amp;$A35&amp;"'!$F$2:$F$501"),"Not for me"),0)))</f>
        <v/>
      </c>
      <c r="AS35" s="25">
        <f>IF(OR($A35="",$I35=""),"",IF($BC35="Y",SUMIFS(survey_frozen!$G$2:$G$251,survey_frozen!$P$2:$P$251,$A35&amp;"|"&amp;$B35),IFERROR(COUNTIFS(INDIRECT("'"&amp;$A35&amp;"'!$B$2:$B$501"),$T35,INDIRECT("'"&amp;$A35&amp;"'!$A$2:$A$501"),"&gt;="&amp;$I35,INDIRECT("'"&amp;$A35&amp;"'!$A$2:$A$501"),"&lt;"&amp;($BA35+1),INDIRECT("'"&amp;$A35&amp;"'!$F$2:$F$501"),"Gone by the time I looked"),0)))</f>
        <v/>
      </c>
      <c r="AT35" s="25">
        <f>IF(OR($A35="",$I35=""),"",IF($BC35="Y",SUMIFS(survey_frozen!$H$2:$H$251,survey_frozen!$P$2:$P$251,$A35&amp;"|"&amp;$B35),IFERROR(COUNTIFS(INDIRECT("'"&amp;$A35&amp;"'!$B$2:$B$501"),$T35,INDIRECT("'"&amp;$A35&amp;"'!$A$2:$A$501"),"&gt;="&amp;$I35,INDIRECT("'"&amp;$A35&amp;"'!$A$2:$A$501"),"&lt;"&amp;($BA35+1),INDIRECT("'"&amp;$A35&amp;"'!$D$2:$D$501"),"&gt;=1"),0)))</f>
        <v/>
      </c>
      <c r="AU35" s="25">
        <f>IF(OR($A35="",$I35=""),"",IF($BC35="Y",SUMIFS(survey_frozen!$I$2:$I$251,survey_frozen!$P$2:$P$251,$A35&amp;"|"&amp;$B35),IFERROR(SUMIFS(INDIRECT("'"&amp;$A35&amp;"'!$D$2:$D$501"),INDIRECT("'"&amp;$A35&amp;"'!$B$2:$B$501"),$T35,INDIRECT("'"&amp;$A35&amp;"'!$A$2:$A$501"),"&gt;="&amp;$I35,INDIRECT("'"&amp;$A35&amp;"'!$A$2:$A$501"),"&lt;"&amp;($BA35+1)),0)))</f>
        <v/>
      </c>
      <c r="AV35" s="25">
        <f>IF(OR($A35="",$I35=""),"",IF($BC35="Y",SUMIFS(survey_frozen!$J$2:$J$251,survey_frozen!$P$2:$P$251,$A35&amp;"|"&amp;$B35),IFERROR(COUNTIFS(INDIRECT("'"&amp;$A35&amp;"'!$B$2:$B$501"),$T35,INDIRECT("'"&amp;$A35&amp;"'!$A$2:$A$501"),"&gt;="&amp;$I35,INDIRECT("'"&amp;$A35&amp;"'!$A$2:$A$501"),"&lt;"&amp;($BA35+1),INDIRECT("'"&amp;$A35&amp;"'!$E$2:$E$501"),"Yes"),0)))</f>
        <v/>
      </c>
      <c r="AW35" s="25">
        <f>IF(OR($A35="",$I35=""),"",IF($BC35="Y",SUMIFS(survey_frozen!$K$2:$K$251,survey_frozen!$P$2:$P$251,$A35&amp;"|"&amp;$B35),IFERROR(COUNTIFS(INDIRECT("'"&amp;$A35&amp;"'!$B$2:$B$501"),$T35,INDIRECT("'"&amp;$A35&amp;"'!$A$2:$A$501"),"&gt;="&amp;$I35,INDIRECT("'"&amp;$A35&amp;"'!$A$2:$A$501"),"&lt;"&amp;($BA35+1),INDIRECT("'"&amp;$A35&amp;"'!$E$2:$E$501"),"Maybe"),0)))</f>
        <v/>
      </c>
      <c r="AX35" s="25">
        <f>IF(OR($A35="",$I35=""),"",IF($BC35="Y",SUMIFS(survey_frozen!$L$2:$L$251,survey_frozen!$P$2:$P$251,$A35&amp;"|"&amp;$B35),IFERROR(COUNTIFS(INDIRECT("'"&amp;$A35&amp;"'!$B$2:$B$501"),$T35,INDIRECT("'"&amp;$A35&amp;"'!$A$2:$A$501"),"&gt;="&amp;$I35,INDIRECT("'"&amp;$A35&amp;"'!$A$2:$A$501"),"&lt;"&amp;($BA35+1),INDIRECT("'"&amp;$A35&amp;"'!$E$2:$E$501"),"No"),0)))</f>
        <v/>
      </c>
      <c r="AY35" s="25">
        <f>IF(OR($A35="",$I35=""),"",IF($BC35="Y",SUMIFS(survey_frozen!$M$2:$M$251,survey_frozen!$P$2:$P$251,$A35&amp;"|"&amp;$B35),IFERROR(COUNTIFS(INDIRECT("'"&amp;$A35&amp;"'!$B$2:$B$501"),$T35,INDIRECT("'"&amp;$A35&amp;"'!$A$2:$A$501"),"&gt;="&amp;$I35,INDIRECT("'"&amp;$A35&amp;"'!$A$2:$A$501"),"&lt;"&amp;($BA35+1),INDIRECT("'"&amp;$A35&amp;"'!$G$2:$G$501"),"&lt;&gt;"),0)))</f>
        <v/>
      </c>
      <c r="AZ35" s="25">
        <f>IF($A35="","",$A35&amp;"|"&amp;$L35)</f>
        <v/>
      </c>
      <c r="BA35" s="26">
        <f>IF($A35="","",IFERROR(IF(INDEX(drops!$R$2:$R$21,MATCH($H35,drops!$A$2:$A$21,0))="","",INDEX(drops!$R$2:$R$21,MATCH($H35,drops!$A$2:$A$21,0))),""))</f>
        <v/>
      </c>
      <c r="BB35" s="25">
        <f>IF(OR($A35="",$Q35&lt;&gt;"Y"),1000000,N($AL35))</f>
        <v/>
      </c>
      <c r="BC35" s="25">
        <f>IF($A35="","",IF(COUNTIF(survey_frozen!$P$2:$P$251,$A35&amp;"|"&amp;$B35)&gt;0,"Y",""))</f>
        <v/>
      </c>
    </row>
    <row r="36">
      <c r="A36" t="inlineStr">
        <is>
          <t>SAMPLE-CMP-005</t>
        </is>
      </c>
      <c r="B36" t="inlineStr">
        <is>
          <t>SAMPLE-O-005</t>
        </is>
      </c>
      <c r="C36" s="9" t="n">
        <v>46395</v>
      </c>
      <c r="D36" t="inlineStr">
        <is>
          <t>yes</t>
        </is>
      </c>
      <c r="E36" s="9" t="n">
        <v>46397</v>
      </c>
      <c r="F36" t="inlineStr">
        <is>
          <t>SAMPLE replied by email</t>
        </is>
      </c>
      <c r="H36" s="25">
        <f>IF($A36="","",IFERROR(IF(INDEX(campaigns!$B$2:$B$51,MATCH($A36,campaigns!$A$2:$A$51,0))="","",INDEX(campaigns!$B$2:$B$51,MATCH($A36,campaigns!$A$2:$A$51,0))),""))</f>
        <v/>
      </c>
      <c r="I36" s="26">
        <f>IF($A36="","",IFERROR(IF(INDEX(campaigns!$BG$2:$BG$51,MATCH($A36,campaigns!$A$2:$A$51,0))="","",INDEX(campaigns!$BG$2:$BG$51,MATCH($A36,campaigns!$A$2:$A$51,0))),""))</f>
        <v/>
      </c>
      <c r="J36" s="25">
        <f>IF($A36="","",IFERROR(IF(INDEX(campaigns!$BE$2:$BE$51,MATCH($A36,campaigns!$A$2:$A$51,0))="","",INDEX(campaigns!$BE$2:$BE$51,MATCH($A36,campaigns!$A$2:$A$51,0))),""))</f>
        <v/>
      </c>
      <c r="K36" s="25">
        <f>IF($B36="","",IFERROR(IF(INDEX(offices!$N$2:$N$61,MATCH($B36,offices!$A$2:$A$61,0))="","",INDEX(offices!$N$2:$N$61,MATCH($B36,offices!$A$2:$A$61,0))),""))</f>
        <v/>
      </c>
      <c r="L36" s="25">
        <f>IF($A36="","",IF($Q36="N","",COUNTIFS($A$2:$A36,$A36,$Q$2:$Q36,"&lt;&gt;N")))</f>
        <v/>
      </c>
      <c r="M36" s="25">
        <f>IF(OR($A36="",$L36=""),"",IF(AND(config!$B$34="names_if_public",IFERROR(IF(INDEX(offices!$AF$2:$AF$61,MATCH($B36,offices!$A$2:$A$61,0))="","",INDEX(offices!$AF$2:$AF$61,MATCH($B36,offices!$A$2:$A$61,0))),"")="Y"),$K36,CHAR(64+$L36)))</f>
        <v/>
      </c>
      <c r="N36" s="25">
        <f>IF(OR($A36="",$I36=""),"",COUNTIFS(stops!$B$2:$B$151,$B36,stops!$P$2:$P$151,"&lt;"&amp;$I36,stops!$L$2:$L$151,"&lt;&gt;not_delivered")+1)</f>
        <v/>
      </c>
      <c r="O36" s="25">
        <f>IF($A36="","",IF(N($N36)&lt;=config!$B$29,"explicit","opt-out"))</f>
        <v/>
      </c>
      <c r="P36" s="25">
        <f>IF($A36="","",IF($O36="explicit",IF($D36="yes","Y",IF($D36="no","N","pending")),IF($D36="no","N",IF(AND($C36&lt;&gt;"",$I36&lt;&gt;"",$C36&lt;=WORKDAY(N($I36),-5,calendar!$A$2:$A$80)),"Y","pending"))))</f>
        <v/>
      </c>
      <c r="Q36" s="25">
        <f>IF($A36="","",IF($P36="N","N",IF($P36&lt;&gt;"Y","pending",IF(AND((COUNTIFS(stops!$A$2:$A$151,$H36,stops!$B$2:$B$151,$B36,stops!$L$2:$L$151,"declined")+COUNTIFS(stops!$A$2:$A$151,$H36,stops!$B$2:$B$151,$B36,stops!$L$2:$L$151,"building_refused")+COUNTIFS(stops!$A$2:$A$151,$H36,stops!$B$2:$B$151,$B36,stops!$L$2:$L$151,"not_delivered"))&gt;0,N($U36)=0),"N","Y"))))</f>
        <v/>
      </c>
      <c r="R36" s="25">
        <f>IF($A36="","",IF(COUNTIFS($A$2:$A$251,$A36,$B$2:$B$251,$B36)&gt;1,"DUPLICATE ROW; ","")&amp;IF(AND(IFERROR(IF(INDEX(offices!$AC$2:$AC$61,MATCH($B36,offices!$A$2:$A$61,0))="","",INDEX(offices!$AC$2:$AC$61,MATCH($B36,offices!$A$2:$A$61,0))),"")&lt;&gt;"",ISNUMBER(SEARCH($J36,IFERROR(IF(INDEX(offices!$AC$2:$AC$61,MATCH($B36,offices!$A$2:$A$61,0))="","",INDEX(offices!$AC$2:$AC$61,MATCH($B36,offices!$A$2:$A$61,0))),"")))),"BRAND VETOED; ","")&amp;IF(ISNUMBER(SEARCH(IFERROR(IF(INDEX(campaigns!$BF$2:$BF$51,MATCH($A36,campaigns!$A$2:$A$51,0))="","",INDEX(campaigns!$BF$2:$BF$51,MATCH($A36,campaigns!$A$2:$A$51,0))),""),IFERROR(IF(INDEX(offices!$AB$2:$AB$61,MATCH($B36,offices!$A$2:$A$61,0))="","",INDEX(offices!$AB$2:$AB$61,MATCH($B36,offices!$A$2:$A$61,0))),""))),"","info: category not on the office's list; ")&amp;IF(IFERROR(IF(INDEX(offices!$AC$2:$AC$61,MATCH($B36,offices!$A$2:$A$61,0))="","",INDEX(offices!$AC$2:$AC$61,MATCH($B36,offices!$A$2:$A$61,0))),"")&lt;&gt;"","info: read the vetoes against the label; ",""))</f>
        <v/>
      </c>
      <c r="S36" s="25">
        <f>IF($A36="","",IF($G36&lt;&gt;"",$G36,IFERROR(IF(INDEX(offices!$AL$2:$AL$61,MATCH($B36,offices!$A$2:$A$61,0))="","",INDEX(offices!$AL$2:$AL$61,MATCH($B36,offices!$A$2:$A$61,0))),"")))</f>
        <v/>
      </c>
      <c r="T36" s="25">
        <f>IF($A36="","",$A36&amp;"."&amp;$B36)</f>
        <v/>
      </c>
      <c r="U36" s="25">
        <f>IF($A36="","",SUMIFS(inventory!$G$2:$G$801,inventory!$C$2:$C$801,$A36,inventory!$D$2:$D$801,$B36,inventory!$E$2:$E$801,"delivered"))</f>
        <v/>
      </c>
      <c r="V36" s="32">
        <f>IF($A36="","",IFERROR(1/(1/SUMPRODUCT(MAX((inventory!$C$2:$C$801=$A36)*(inventory!$D$2:$D$801=$B36)*(inventory!$E$2:$E$801="delivered")*(inventory!$A$2:$A$801+inventory!$B$2:$B$801)))),""))</f>
        <v/>
      </c>
      <c r="W36" s="25">
        <f>IF($A36="","",IFERROR(IF(INDEX(inventory!$J$2:$J$801,MATCH($A36&amp;"|"&amp;$B36&amp;"|delivered",inventory!$R$2:$R$801,0))="","",INDEX(inventory!$J$2:$J$801,MATCH($A36&amp;"|"&amp;$B36&amp;"|delivered",inventory!$R$2:$R$801,0))),""))</f>
        <v/>
      </c>
      <c r="X36" s="25">
        <f>IF($A36="","",IFERROR(IF(INDEX(photos!$H$2:$H$701,MATCH($A36&amp;"|"&amp;$B36&amp;"|placement|Y",photos!$R$2:$R$701,0))="","",INDEX(photos!$H$2:$H$701,MATCH($A36&amp;"|"&amp;$B36&amp;"|placement|Y",photos!$R$2:$R$701,0))),""))</f>
        <v/>
      </c>
      <c r="Y36" s="26">
        <f>IF($A36="","",IFERROR(IF(INDEX(photos!$E$2:$E$701,MATCH($A36&amp;"|"&amp;$B36&amp;"|placement|Y",photos!$R$2:$R$701,0))="","",INDEX(photos!$E$2:$E$701,MATCH($A36&amp;"|"&amp;$B36&amp;"|placement|Y",photos!$R$2:$R$701,0))),""))</f>
        <v/>
      </c>
      <c r="Z36" s="25">
        <f>IF($A36="","",IF(COUNTIFS(counts!$C$2:$C$701,$A36,counts!$D$2:$D$701,$B36,counts!$E$2:$E$701,"placed")=0,"",SUMIFS(counts!$F$2:$F$701,counts!$C$2:$C$701,$A36,counts!$D$2:$D$701,$B36,counts!$E$2:$E$701,"placed")))</f>
        <v/>
      </c>
      <c r="AA36" s="25">
        <f>IF($A36="","",IF($Y36="",0,N($Z36)))</f>
        <v/>
      </c>
      <c r="AB36" s="25">
        <f>IF($A36="","",IF(OR($Y36="",$I36=""),"N",IF($Y36&lt;=WORKDAY(N($I36),1,calendar!$A$2:$A$80),"Y","N")))</f>
        <v/>
      </c>
      <c r="AC36" s="28">
        <f>IF(OR($A36="",$V36="",$Y36=""),"",ROUND(($Y36+N(IFERROR(IF(INDEX(photos!$F$2:$F$701,MATCH($A36&amp;"|"&amp;$B36&amp;"|placement|Y",photos!$R$2:$R$701,0))="","",INDEX(photos!$F$2:$F$701,MATCH($A36&amp;"|"&amp;$B36&amp;"|placement|Y",photos!$R$2:$R$701,0))),""))-$V36)*24,1))</f>
        <v/>
      </c>
      <c r="AD36" s="25">
        <f>IF($A36="","",SUMIFS(inventory!$G$2:$G$801,inventory!$C$2:$C$801,$A36,inventory!$D$2:$D$801,$B36,inventory!$E$2:$E$801,"topped_up"))</f>
        <v/>
      </c>
      <c r="AE36" s="25">
        <f>IF($A36="","",IF(COUNTIFS(counts!$C$2:$C$701,$A36,counts!$D$2:$D$701,$B36,counts!$E$2:$E$701,"remaining_day3")=0,"",SUMIFS(counts!$F$2:$F$701,counts!$C$2:$C$701,$A36,counts!$D$2:$D$701,$B36,counts!$E$2:$E$701,"remaining_day3")))</f>
        <v/>
      </c>
      <c r="AF36" s="25">
        <f>IF($A36="","",IF(COUNTIFS(counts!$C$2:$C$701,$A36,counts!$D$2:$D$701,$B36,counts!$E$2:$E$701,"remaining_day5")=0,"",SUMIFS(counts!$F$2:$F$701,counts!$C$2:$C$701,$A36,counts!$D$2:$D$701,$B36,counts!$E$2:$E$701,"remaining_day5")))</f>
        <v/>
      </c>
      <c r="AG36" s="25">
        <f>IF(OR($A36="",$AF36=""),"",MAX(0,$AA36+$AD36-$AF36))</f>
        <v/>
      </c>
      <c r="AH36" s="25">
        <f>IF(OR($A36="",$AI36=""),"",IFERROR(IF(INDEX(photos!$H$2:$H$701,MATCH($A36&amp;"|"&amp;$B36&amp;"|later|Y|"&amp;$AI36,photos!$S$2:$S$701,0))="","",INDEX(photos!$H$2:$H$701,MATCH($A36&amp;"|"&amp;$B36&amp;"|later|Y|"&amp;$AI36,photos!$S$2:$S$701,0))),""))</f>
        <v/>
      </c>
      <c r="AI36" s="26">
        <f>IF($A36="","",IFERROR(1/(1/SUMPRODUCT(MAX((photos!$B$2:$B$701=$A36)*(photos!$C$2:$C$701=$B36)*(photos!$D$2:$D$701="later")*(photos!$O$2:$O$701="Y")*photos!$E$2:$E$701))),""))</f>
        <v/>
      </c>
      <c r="AJ36" s="25">
        <f>IF(OR($A36="",$AI36="",$I36=""),"",NETWORKDAYS($I36,$AI36,calendar!$A$2:$A$80))</f>
        <v/>
      </c>
      <c r="AK36" s="25">
        <f>IF($A36="","",IF(AND($X36&lt;&gt;"",$AH36&lt;&gt;""),"Y","N"))</f>
        <v/>
      </c>
      <c r="AL36" s="25">
        <f>IF(OR($A36="",$I36=""),"",IF($BC36="Y",SUMIFS(survey_frozen!$C$2:$C$251,survey_frozen!$P$2:$P$251,$A36&amp;"|"&amp;$B36),IFERROR(COUNTIFS(INDIRECT("'"&amp;$A36&amp;"'!$B$2:$B$501"),$T36,INDIRECT("'"&amp;$A36&amp;"'!$A$2:$A$501"),"&gt;="&amp;$I36,INDIRECT("'"&amp;$A36&amp;"'!$A$2:$A$501"),"&lt;"&amp;($BA36+1)),0)))</f>
        <v/>
      </c>
      <c r="AM36" s="25">
        <f>IF(OR($A36="",$I36=""),"",IF($BC36="Y",SUMIFS(survey_frozen!$D$2:$D$251,survey_frozen!$P$2:$P$251,$A36&amp;"|"&amp;$B36),IFERROR(COUNTIFS(INDIRECT("'"&amp;$A36&amp;"'!$B$2:$B$501"),$T36,INDIRECT("'"&amp;$A36&amp;"'!$A$2:$A$501"),"&gt;="&amp;$I36,INDIRECT("'"&amp;$A36&amp;"'!$A$2:$A$501"),"&lt;"&amp;($BA36+1),INDIRECT("'"&amp;$A36&amp;"'!$C$2:$C$501"),"Yes"),0)))</f>
        <v/>
      </c>
      <c r="AN36" s="25">
        <f>IF($A36="","",IF(COUNTIFS(scans!$C$2:$C$1601,(IF(LEFT($A36,7)="SAMPLE-","SAMPLE-","")&amp;LOWER(SUBSTITUTE(SUBSTITUTE($A36,"SAMPLE-",""),"CMP-","c"))&amp;"-"&amp;LOWER(SUBSTITUTE(SUBSTITUTE($B36,"SAMPLE-",""),"O-","o"))&amp;"-q"),scans!$D$2:$D$1601,"close")=0,"",SUMPRODUCT(MAX((scans!$C$2:$C$1601=(IF(LEFT($A36,7)="SAMPLE-","SAMPLE-","")&amp;LOWER(SUBSTITUTE(SUBSTITUTE($A36,"SAMPLE-",""),"CMP-","c"))&amp;"-"&amp;LOWER(SUBSTITUTE(SUBSTITUTE($B36,"SAMPLE-",""),"O-","o"))&amp;"-q"))*(scans!$D$2:$D$1601="close")*scans!$E$2:$E$1601))-SUMPRODUCT(MAX((scans!$C$2:$C$1601=(IF(LEFT($A36,7)="SAMPLE-","SAMPLE-","")&amp;LOWER(SUBSTITUTE(SUBSTITUTE($A36,"SAMPLE-",""),"CMP-","c"))&amp;"-"&amp;LOWER(SUBSTITUTE(SUBSTITUTE($B36,"SAMPLE-",""),"O-","o"))&amp;"-q"))*(scans!$D$2:$D$1601="baseline")*scans!$E$2:$E$1601))))</f>
        <v/>
      </c>
      <c r="AO36" s="25">
        <f>IF($A36="","",IF(COUNTIFS(scans!$C$2:$C$1601,(IF(LEFT($A36,7)="SAMPLE-","SAMPLE-","")&amp;LOWER(SUBSTITUTE(SUBSTITUTE($A36,"SAMPLE-",""),"CMP-","c"))&amp;"-"&amp;LOWER(SUBSTITUTE(SUBSTITUTE($B36,"SAMPLE-",""),"O-","o"))&amp;"-p"),scans!$D$2:$D$1601,"close")=0,"",SUMPRODUCT(MAX((scans!$C$2:$C$1601=(IF(LEFT($A36,7)="SAMPLE-","SAMPLE-","")&amp;LOWER(SUBSTITUTE(SUBSTITUTE($A36,"SAMPLE-",""),"CMP-","c"))&amp;"-"&amp;LOWER(SUBSTITUTE(SUBSTITUTE($B36,"SAMPLE-",""),"O-","o"))&amp;"-p"))*(scans!$D$2:$D$1601="close")*scans!$E$2:$E$1601))-SUMPRODUCT(MAX((scans!$C$2:$C$1601=(IF(LEFT($A36,7)="SAMPLE-","SAMPLE-","")&amp;LOWER(SUBSTITUTE(SUBSTITUTE($A36,"SAMPLE-",""),"CMP-","c"))&amp;"-"&amp;LOWER(SUBSTITUTE(SUBSTITUTE($B36,"SAMPLE-",""),"O-","o"))&amp;"-p"))*(scans!$D$2:$D$1601="baseline")*scans!$E$2:$E$1601))))</f>
        <v/>
      </c>
      <c r="AP36" s="25">
        <f>IF($A36="","",IF(COUNTIF(offices!$A$2:$A$61,$B36)=0,"office_id not on offices; ","")&amp;IF(COUNTIF(campaigns!$A$2:$A$51,$A36)=0,"campaign_id not on campaigns; ","")&amp;IF($P36="pending","approval pending; ","")&amp;IF(AND($U36&gt;0,$Y36="",OR($I36="",IF(config!$B$37&lt;&gt;"",config!$B$37,TODAY())&lt;=WORKDAY(N($I36),4,calendar!$A$2:$A$80))),"no usable placement photo yet; ","")&amp;IF(AND($Y36&lt;&gt;"",$Z36=""),"log the placed count; ","")&amp;IF(N($AA36)&gt;N($U36),"placed more than delivered; ","")&amp;IF(AND($AF36&lt;&gt;"",N($AF36)&gt;N($AA36)+N($AD36)),"day-5 count above placed plus top-ups; ","")&amp;IF(AND($U36&gt;0,$I36&lt;&gt;"",IF(config!$B$37&lt;&gt;"",config!$B$37,TODAY())&gt;WORKDAY(N($I36),4,calendar!$A$2:$A$80),$AF36=""),"day-5 count missing; ","")&amp;IF(AND($U36&gt;0,$I36&lt;&gt;"",IF(config!$B$37&lt;&gt;"",config!$B$37,TODAY())&gt;WORKDAY(N($I36),4,calendar!$A$2:$A$80),$AN36=""),"no close link reading; ","")&amp;$R36&amp;IF($P36="N","info: office said no; ","")&amp;IF(AND($P36="Y",$Q36="N"),"info: turned away at the door, so not on the drop (no letter, not in the report or Gate 2; the credit check is on campaigns); ","")&amp;IF(AND($U36&gt;0,$Y36="",$I36&lt;&gt;"",IF(config!$B$37&lt;&gt;"",config!$B$37,TODAY())&gt;WORKDAY(N($I36),4,calendar!$A$2:$A$80)),"info: no usable placement photo, so nothing counts as placed; ","")&amp;IF(AND($U36&gt;0,$I36&lt;&gt;"",IF(config!$B$37&lt;&gt;"",config!$B$37,TODAY())&gt;WORKDAY(N($I36),4,calendar!$A$2:$A$80),N($AL36)&lt;config!$B$30),"info: under "&amp;config!$B$30&amp;" responses; ","")&amp;IF($W36="packing_list","info: delivered count not verified; ",""))</f>
        <v/>
      </c>
      <c r="AQ36" s="25">
        <f>IF(OR($A36="",$I36=""),"",IF($BC36="Y",SUMIFS(survey_frozen!$E$2:$E$251,survey_frozen!$P$2:$P$251,$A36&amp;"|"&amp;$B36),IFERROR(COUNTIFS(INDIRECT("'"&amp;$A36&amp;"'!$B$2:$B$501"),$T36,INDIRECT("'"&amp;$A36&amp;"'!$A$2:$A$501"),"&gt;="&amp;$I36,INDIRECT("'"&amp;$A36&amp;"'!$A$2:$A$501"),"&lt;"&amp;($BA36+1),INDIRECT("'"&amp;$A36&amp;"'!$F$2:$F$501"),"Didn't see it"),0)))</f>
        <v/>
      </c>
      <c r="AR36" s="25">
        <f>IF(OR($A36="",$I36=""),"",IF($BC36="Y",SUMIFS(survey_frozen!$F$2:$F$251,survey_frozen!$P$2:$P$251,$A36&amp;"|"&amp;$B36),IFERROR(COUNTIFS(INDIRECT("'"&amp;$A36&amp;"'!$B$2:$B$501"),$T36,INDIRECT("'"&amp;$A36&amp;"'!$A$2:$A$501"),"&gt;="&amp;$I36,INDIRECT("'"&amp;$A36&amp;"'!$A$2:$A$501"),"&lt;"&amp;($BA36+1),INDIRECT("'"&amp;$A36&amp;"'!$F$2:$F$501"),"Not for me"),0)))</f>
        <v/>
      </c>
      <c r="AS36" s="25">
        <f>IF(OR($A36="",$I36=""),"",IF($BC36="Y",SUMIFS(survey_frozen!$G$2:$G$251,survey_frozen!$P$2:$P$251,$A36&amp;"|"&amp;$B36),IFERROR(COUNTIFS(INDIRECT("'"&amp;$A36&amp;"'!$B$2:$B$501"),$T36,INDIRECT("'"&amp;$A36&amp;"'!$A$2:$A$501"),"&gt;="&amp;$I36,INDIRECT("'"&amp;$A36&amp;"'!$A$2:$A$501"),"&lt;"&amp;($BA36+1),INDIRECT("'"&amp;$A36&amp;"'!$F$2:$F$501"),"Gone by the time I looked"),0)))</f>
        <v/>
      </c>
      <c r="AT36" s="25">
        <f>IF(OR($A36="",$I36=""),"",IF($BC36="Y",SUMIFS(survey_frozen!$H$2:$H$251,survey_frozen!$P$2:$P$251,$A36&amp;"|"&amp;$B36),IFERROR(COUNTIFS(INDIRECT("'"&amp;$A36&amp;"'!$B$2:$B$501"),$T36,INDIRECT("'"&amp;$A36&amp;"'!$A$2:$A$501"),"&gt;="&amp;$I36,INDIRECT("'"&amp;$A36&amp;"'!$A$2:$A$501"),"&lt;"&amp;($BA36+1),INDIRECT("'"&amp;$A36&amp;"'!$D$2:$D$501"),"&gt;=1"),0)))</f>
        <v/>
      </c>
      <c r="AU36" s="25">
        <f>IF(OR($A36="",$I36=""),"",IF($BC36="Y",SUMIFS(survey_frozen!$I$2:$I$251,survey_frozen!$P$2:$P$251,$A36&amp;"|"&amp;$B36),IFERROR(SUMIFS(INDIRECT("'"&amp;$A36&amp;"'!$D$2:$D$501"),INDIRECT("'"&amp;$A36&amp;"'!$B$2:$B$501"),$T36,INDIRECT("'"&amp;$A36&amp;"'!$A$2:$A$501"),"&gt;="&amp;$I36,INDIRECT("'"&amp;$A36&amp;"'!$A$2:$A$501"),"&lt;"&amp;($BA36+1)),0)))</f>
        <v/>
      </c>
      <c r="AV36" s="25">
        <f>IF(OR($A36="",$I36=""),"",IF($BC36="Y",SUMIFS(survey_frozen!$J$2:$J$251,survey_frozen!$P$2:$P$251,$A36&amp;"|"&amp;$B36),IFERROR(COUNTIFS(INDIRECT("'"&amp;$A36&amp;"'!$B$2:$B$501"),$T36,INDIRECT("'"&amp;$A36&amp;"'!$A$2:$A$501"),"&gt;="&amp;$I36,INDIRECT("'"&amp;$A36&amp;"'!$A$2:$A$501"),"&lt;"&amp;($BA36+1),INDIRECT("'"&amp;$A36&amp;"'!$E$2:$E$501"),"Yes"),0)))</f>
        <v/>
      </c>
      <c r="AW36" s="25">
        <f>IF(OR($A36="",$I36=""),"",IF($BC36="Y",SUMIFS(survey_frozen!$K$2:$K$251,survey_frozen!$P$2:$P$251,$A36&amp;"|"&amp;$B36),IFERROR(COUNTIFS(INDIRECT("'"&amp;$A36&amp;"'!$B$2:$B$501"),$T36,INDIRECT("'"&amp;$A36&amp;"'!$A$2:$A$501"),"&gt;="&amp;$I36,INDIRECT("'"&amp;$A36&amp;"'!$A$2:$A$501"),"&lt;"&amp;($BA36+1),INDIRECT("'"&amp;$A36&amp;"'!$E$2:$E$501"),"Maybe"),0)))</f>
        <v/>
      </c>
      <c r="AX36" s="25">
        <f>IF(OR($A36="",$I36=""),"",IF($BC36="Y",SUMIFS(survey_frozen!$L$2:$L$251,survey_frozen!$P$2:$P$251,$A36&amp;"|"&amp;$B36),IFERROR(COUNTIFS(INDIRECT("'"&amp;$A36&amp;"'!$B$2:$B$501"),$T36,INDIRECT("'"&amp;$A36&amp;"'!$A$2:$A$501"),"&gt;="&amp;$I36,INDIRECT("'"&amp;$A36&amp;"'!$A$2:$A$501"),"&lt;"&amp;($BA36+1),INDIRECT("'"&amp;$A36&amp;"'!$E$2:$E$501"),"No"),0)))</f>
        <v/>
      </c>
      <c r="AY36" s="25">
        <f>IF(OR($A36="",$I36=""),"",IF($BC36="Y",SUMIFS(survey_frozen!$M$2:$M$251,survey_frozen!$P$2:$P$251,$A36&amp;"|"&amp;$B36),IFERROR(COUNTIFS(INDIRECT("'"&amp;$A36&amp;"'!$B$2:$B$501"),$T36,INDIRECT("'"&amp;$A36&amp;"'!$A$2:$A$501"),"&gt;="&amp;$I36,INDIRECT("'"&amp;$A36&amp;"'!$A$2:$A$501"),"&lt;"&amp;($BA36+1),INDIRECT("'"&amp;$A36&amp;"'!$G$2:$G$501"),"&lt;&gt;"),0)))</f>
        <v/>
      </c>
      <c r="AZ36" s="25">
        <f>IF($A36="","",$A36&amp;"|"&amp;$L36)</f>
        <v/>
      </c>
      <c r="BA36" s="26">
        <f>IF($A36="","",IFERROR(IF(INDEX(drops!$R$2:$R$21,MATCH($H36,drops!$A$2:$A$21,0))="","",INDEX(drops!$R$2:$R$21,MATCH($H36,drops!$A$2:$A$21,0))),""))</f>
        <v/>
      </c>
      <c r="BB36" s="25">
        <f>IF(OR($A36="",$Q36&lt;&gt;"Y"),1000000,N($AL36))</f>
        <v/>
      </c>
      <c r="BC36" s="25">
        <f>IF($A36="","",IF(COUNTIF(survey_frozen!$P$2:$P$251,$A36&amp;"|"&amp;$B36)&gt;0,"Y",""))</f>
        <v/>
      </c>
    </row>
    <row r="37">
      <c r="A37" t="inlineStr">
        <is>
          <t>SAMPLE-CMP-005</t>
        </is>
      </c>
      <c r="B37" t="inlineStr">
        <is>
          <t>SAMPLE-O-006</t>
        </is>
      </c>
      <c r="C37" s="9" t="n">
        <v>46395</v>
      </c>
      <c r="D37" t="inlineStr">
        <is>
          <t>yes</t>
        </is>
      </c>
      <c r="E37" s="9" t="n">
        <v>46398</v>
      </c>
      <c r="F37" t="inlineStr">
        <is>
          <t>SAMPLE replied by email</t>
        </is>
      </c>
      <c r="H37" s="25">
        <f>IF($A37="","",IFERROR(IF(INDEX(campaigns!$B$2:$B$51,MATCH($A37,campaigns!$A$2:$A$51,0))="","",INDEX(campaigns!$B$2:$B$51,MATCH($A37,campaigns!$A$2:$A$51,0))),""))</f>
        <v/>
      </c>
      <c r="I37" s="26">
        <f>IF($A37="","",IFERROR(IF(INDEX(campaigns!$BG$2:$BG$51,MATCH($A37,campaigns!$A$2:$A$51,0))="","",INDEX(campaigns!$BG$2:$BG$51,MATCH($A37,campaigns!$A$2:$A$51,0))),""))</f>
        <v/>
      </c>
      <c r="J37" s="25">
        <f>IF($A37="","",IFERROR(IF(INDEX(campaigns!$BE$2:$BE$51,MATCH($A37,campaigns!$A$2:$A$51,0))="","",INDEX(campaigns!$BE$2:$BE$51,MATCH($A37,campaigns!$A$2:$A$51,0))),""))</f>
        <v/>
      </c>
      <c r="K37" s="25">
        <f>IF($B37="","",IFERROR(IF(INDEX(offices!$N$2:$N$61,MATCH($B37,offices!$A$2:$A$61,0))="","",INDEX(offices!$N$2:$N$61,MATCH($B37,offices!$A$2:$A$61,0))),""))</f>
        <v/>
      </c>
      <c r="L37" s="25">
        <f>IF($A37="","",IF($Q37="N","",COUNTIFS($A$2:$A37,$A37,$Q$2:$Q37,"&lt;&gt;N")))</f>
        <v/>
      </c>
      <c r="M37" s="25">
        <f>IF(OR($A37="",$L37=""),"",IF(AND(config!$B$34="names_if_public",IFERROR(IF(INDEX(offices!$AF$2:$AF$61,MATCH($B37,offices!$A$2:$A$61,0))="","",INDEX(offices!$AF$2:$AF$61,MATCH($B37,offices!$A$2:$A$61,0))),"")="Y"),$K37,CHAR(64+$L37)))</f>
        <v/>
      </c>
      <c r="N37" s="25">
        <f>IF(OR($A37="",$I37=""),"",COUNTIFS(stops!$B$2:$B$151,$B37,stops!$P$2:$P$151,"&lt;"&amp;$I37,stops!$L$2:$L$151,"&lt;&gt;not_delivered")+1)</f>
        <v/>
      </c>
      <c r="O37" s="25">
        <f>IF($A37="","",IF(N($N37)&lt;=config!$B$29,"explicit","opt-out"))</f>
        <v/>
      </c>
      <c r="P37" s="25">
        <f>IF($A37="","",IF($O37="explicit",IF($D37="yes","Y",IF($D37="no","N","pending")),IF($D37="no","N",IF(AND($C37&lt;&gt;"",$I37&lt;&gt;"",$C37&lt;=WORKDAY(N($I37),-5,calendar!$A$2:$A$80)),"Y","pending"))))</f>
        <v/>
      </c>
      <c r="Q37" s="25">
        <f>IF($A37="","",IF($P37="N","N",IF($P37&lt;&gt;"Y","pending",IF(AND((COUNTIFS(stops!$A$2:$A$151,$H37,stops!$B$2:$B$151,$B37,stops!$L$2:$L$151,"declined")+COUNTIFS(stops!$A$2:$A$151,$H37,stops!$B$2:$B$151,$B37,stops!$L$2:$L$151,"building_refused")+COUNTIFS(stops!$A$2:$A$151,$H37,stops!$B$2:$B$151,$B37,stops!$L$2:$L$151,"not_delivered"))&gt;0,N($U37)=0),"N","Y"))))</f>
        <v/>
      </c>
      <c r="R37" s="25">
        <f>IF($A37="","",IF(COUNTIFS($A$2:$A$251,$A37,$B$2:$B$251,$B37)&gt;1,"DUPLICATE ROW; ","")&amp;IF(AND(IFERROR(IF(INDEX(offices!$AC$2:$AC$61,MATCH($B37,offices!$A$2:$A$61,0))="","",INDEX(offices!$AC$2:$AC$61,MATCH($B37,offices!$A$2:$A$61,0))),"")&lt;&gt;"",ISNUMBER(SEARCH($J37,IFERROR(IF(INDEX(offices!$AC$2:$AC$61,MATCH($B37,offices!$A$2:$A$61,0))="","",INDEX(offices!$AC$2:$AC$61,MATCH($B37,offices!$A$2:$A$61,0))),"")))),"BRAND VETOED; ","")&amp;IF(ISNUMBER(SEARCH(IFERROR(IF(INDEX(campaigns!$BF$2:$BF$51,MATCH($A37,campaigns!$A$2:$A$51,0))="","",INDEX(campaigns!$BF$2:$BF$51,MATCH($A37,campaigns!$A$2:$A$51,0))),""),IFERROR(IF(INDEX(offices!$AB$2:$AB$61,MATCH($B37,offices!$A$2:$A$61,0))="","",INDEX(offices!$AB$2:$AB$61,MATCH($B37,offices!$A$2:$A$61,0))),""))),"","info: category not on the office's list; ")&amp;IF(IFERROR(IF(INDEX(offices!$AC$2:$AC$61,MATCH($B37,offices!$A$2:$A$61,0))="","",INDEX(offices!$AC$2:$AC$61,MATCH($B37,offices!$A$2:$A$61,0))),"")&lt;&gt;"","info: read the vetoes against the label; ",""))</f>
        <v/>
      </c>
      <c r="S37" s="25">
        <f>IF($A37="","",IF($G37&lt;&gt;"",$G37,IFERROR(IF(INDEX(offices!$AL$2:$AL$61,MATCH($B37,offices!$A$2:$A$61,0))="","",INDEX(offices!$AL$2:$AL$61,MATCH($B37,offices!$A$2:$A$61,0))),"")))</f>
        <v/>
      </c>
      <c r="T37" s="25">
        <f>IF($A37="","",$A37&amp;"."&amp;$B37)</f>
        <v/>
      </c>
      <c r="U37" s="25">
        <f>IF($A37="","",SUMIFS(inventory!$G$2:$G$801,inventory!$C$2:$C$801,$A37,inventory!$D$2:$D$801,$B37,inventory!$E$2:$E$801,"delivered"))</f>
        <v/>
      </c>
      <c r="V37" s="32">
        <f>IF($A37="","",IFERROR(1/(1/SUMPRODUCT(MAX((inventory!$C$2:$C$801=$A37)*(inventory!$D$2:$D$801=$B37)*(inventory!$E$2:$E$801="delivered")*(inventory!$A$2:$A$801+inventory!$B$2:$B$801)))),""))</f>
        <v/>
      </c>
      <c r="W37" s="25">
        <f>IF($A37="","",IFERROR(IF(INDEX(inventory!$J$2:$J$801,MATCH($A37&amp;"|"&amp;$B37&amp;"|delivered",inventory!$R$2:$R$801,0))="","",INDEX(inventory!$J$2:$J$801,MATCH($A37&amp;"|"&amp;$B37&amp;"|delivered",inventory!$R$2:$R$801,0))),""))</f>
        <v/>
      </c>
      <c r="X37" s="25">
        <f>IF($A37="","",IFERROR(IF(INDEX(photos!$H$2:$H$701,MATCH($A37&amp;"|"&amp;$B37&amp;"|placement|Y",photos!$R$2:$R$701,0))="","",INDEX(photos!$H$2:$H$701,MATCH($A37&amp;"|"&amp;$B37&amp;"|placement|Y",photos!$R$2:$R$701,0))),""))</f>
        <v/>
      </c>
      <c r="Y37" s="26">
        <f>IF($A37="","",IFERROR(IF(INDEX(photos!$E$2:$E$701,MATCH($A37&amp;"|"&amp;$B37&amp;"|placement|Y",photos!$R$2:$R$701,0))="","",INDEX(photos!$E$2:$E$701,MATCH($A37&amp;"|"&amp;$B37&amp;"|placement|Y",photos!$R$2:$R$701,0))),""))</f>
        <v/>
      </c>
      <c r="Z37" s="25">
        <f>IF($A37="","",IF(COUNTIFS(counts!$C$2:$C$701,$A37,counts!$D$2:$D$701,$B37,counts!$E$2:$E$701,"placed")=0,"",SUMIFS(counts!$F$2:$F$701,counts!$C$2:$C$701,$A37,counts!$D$2:$D$701,$B37,counts!$E$2:$E$701,"placed")))</f>
        <v/>
      </c>
      <c r="AA37" s="25">
        <f>IF($A37="","",IF($Y37="",0,N($Z37)))</f>
        <v/>
      </c>
      <c r="AB37" s="25">
        <f>IF($A37="","",IF(OR($Y37="",$I37=""),"N",IF($Y37&lt;=WORKDAY(N($I37),1,calendar!$A$2:$A$80),"Y","N")))</f>
        <v/>
      </c>
      <c r="AC37" s="28">
        <f>IF(OR($A37="",$V37="",$Y37=""),"",ROUND(($Y37+N(IFERROR(IF(INDEX(photos!$F$2:$F$701,MATCH($A37&amp;"|"&amp;$B37&amp;"|placement|Y",photos!$R$2:$R$701,0))="","",INDEX(photos!$F$2:$F$701,MATCH($A37&amp;"|"&amp;$B37&amp;"|placement|Y",photos!$R$2:$R$701,0))),""))-$V37)*24,1))</f>
        <v/>
      </c>
      <c r="AD37" s="25">
        <f>IF($A37="","",SUMIFS(inventory!$G$2:$G$801,inventory!$C$2:$C$801,$A37,inventory!$D$2:$D$801,$B37,inventory!$E$2:$E$801,"topped_up"))</f>
        <v/>
      </c>
      <c r="AE37" s="25">
        <f>IF($A37="","",IF(COUNTIFS(counts!$C$2:$C$701,$A37,counts!$D$2:$D$701,$B37,counts!$E$2:$E$701,"remaining_day3")=0,"",SUMIFS(counts!$F$2:$F$701,counts!$C$2:$C$701,$A37,counts!$D$2:$D$701,$B37,counts!$E$2:$E$701,"remaining_day3")))</f>
        <v/>
      </c>
      <c r="AF37" s="25">
        <f>IF($A37="","",IF(COUNTIFS(counts!$C$2:$C$701,$A37,counts!$D$2:$D$701,$B37,counts!$E$2:$E$701,"remaining_day5")=0,"",SUMIFS(counts!$F$2:$F$701,counts!$C$2:$C$701,$A37,counts!$D$2:$D$701,$B37,counts!$E$2:$E$701,"remaining_day5")))</f>
        <v/>
      </c>
      <c r="AG37" s="25">
        <f>IF(OR($A37="",$AF37=""),"",MAX(0,$AA37+$AD37-$AF37))</f>
        <v/>
      </c>
      <c r="AH37" s="25">
        <f>IF(OR($A37="",$AI37=""),"",IFERROR(IF(INDEX(photos!$H$2:$H$701,MATCH($A37&amp;"|"&amp;$B37&amp;"|later|Y|"&amp;$AI37,photos!$S$2:$S$701,0))="","",INDEX(photos!$H$2:$H$701,MATCH($A37&amp;"|"&amp;$B37&amp;"|later|Y|"&amp;$AI37,photos!$S$2:$S$701,0))),""))</f>
        <v/>
      </c>
      <c r="AI37" s="26">
        <f>IF($A37="","",IFERROR(1/(1/SUMPRODUCT(MAX((photos!$B$2:$B$701=$A37)*(photos!$C$2:$C$701=$B37)*(photos!$D$2:$D$701="later")*(photos!$O$2:$O$701="Y")*photos!$E$2:$E$701))),""))</f>
        <v/>
      </c>
      <c r="AJ37" s="25">
        <f>IF(OR($A37="",$AI37="",$I37=""),"",NETWORKDAYS($I37,$AI37,calendar!$A$2:$A$80))</f>
        <v/>
      </c>
      <c r="AK37" s="25">
        <f>IF($A37="","",IF(AND($X37&lt;&gt;"",$AH37&lt;&gt;""),"Y","N"))</f>
        <v/>
      </c>
      <c r="AL37" s="25">
        <f>IF(OR($A37="",$I37=""),"",IF($BC37="Y",SUMIFS(survey_frozen!$C$2:$C$251,survey_frozen!$P$2:$P$251,$A37&amp;"|"&amp;$B37),IFERROR(COUNTIFS(INDIRECT("'"&amp;$A37&amp;"'!$B$2:$B$501"),$T37,INDIRECT("'"&amp;$A37&amp;"'!$A$2:$A$501"),"&gt;="&amp;$I37,INDIRECT("'"&amp;$A37&amp;"'!$A$2:$A$501"),"&lt;"&amp;($BA37+1)),0)))</f>
        <v/>
      </c>
      <c r="AM37" s="25">
        <f>IF(OR($A37="",$I37=""),"",IF($BC37="Y",SUMIFS(survey_frozen!$D$2:$D$251,survey_frozen!$P$2:$P$251,$A37&amp;"|"&amp;$B37),IFERROR(COUNTIFS(INDIRECT("'"&amp;$A37&amp;"'!$B$2:$B$501"),$T37,INDIRECT("'"&amp;$A37&amp;"'!$A$2:$A$501"),"&gt;="&amp;$I37,INDIRECT("'"&amp;$A37&amp;"'!$A$2:$A$501"),"&lt;"&amp;($BA37+1),INDIRECT("'"&amp;$A37&amp;"'!$C$2:$C$501"),"Yes"),0)))</f>
        <v/>
      </c>
      <c r="AN37" s="25">
        <f>IF($A37="","",IF(COUNTIFS(scans!$C$2:$C$1601,(IF(LEFT($A37,7)="SAMPLE-","SAMPLE-","")&amp;LOWER(SUBSTITUTE(SUBSTITUTE($A37,"SAMPLE-",""),"CMP-","c"))&amp;"-"&amp;LOWER(SUBSTITUTE(SUBSTITUTE($B37,"SAMPLE-",""),"O-","o"))&amp;"-q"),scans!$D$2:$D$1601,"close")=0,"",SUMPRODUCT(MAX((scans!$C$2:$C$1601=(IF(LEFT($A37,7)="SAMPLE-","SAMPLE-","")&amp;LOWER(SUBSTITUTE(SUBSTITUTE($A37,"SAMPLE-",""),"CMP-","c"))&amp;"-"&amp;LOWER(SUBSTITUTE(SUBSTITUTE($B37,"SAMPLE-",""),"O-","o"))&amp;"-q"))*(scans!$D$2:$D$1601="close")*scans!$E$2:$E$1601))-SUMPRODUCT(MAX((scans!$C$2:$C$1601=(IF(LEFT($A37,7)="SAMPLE-","SAMPLE-","")&amp;LOWER(SUBSTITUTE(SUBSTITUTE($A37,"SAMPLE-",""),"CMP-","c"))&amp;"-"&amp;LOWER(SUBSTITUTE(SUBSTITUTE($B37,"SAMPLE-",""),"O-","o"))&amp;"-q"))*(scans!$D$2:$D$1601="baseline")*scans!$E$2:$E$1601))))</f>
        <v/>
      </c>
      <c r="AO37" s="25">
        <f>IF($A37="","",IF(COUNTIFS(scans!$C$2:$C$1601,(IF(LEFT($A37,7)="SAMPLE-","SAMPLE-","")&amp;LOWER(SUBSTITUTE(SUBSTITUTE($A37,"SAMPLE-",""),"CMP-","c"))&amp;"-"&amp;LOWER(SUBSTITUTE(SUBSTITUTE($B37,"SAMPLE-",""),"O-","o"))&amp;"-p"),scans!$D$2:$D$1601,"close")=0,"",SUMPRODUCT(MAX((scans!$C$2:$C$1601=(IF(LEFT($A37,7)="SAMPLE-","SAMPLE-","")&amp;LOWER(SUBSTITUTE(SUBSTITUTE($A37,"SAMPLE-",""),"CMP-","c"))&amp;"-"&amp;LOWER(SUBSTITUTE(SUBSTITUTE($B37,"SAMPLE-",""),"O-","o"))&amp;"-p"))*(scans!$D$2:$D$1601="close")*scans!$E$2:$E$1601))-SUMPRODUCT(MAX((scans!$C$2:$C$1601=(IF(LEFT($A37,7)="SAMPLE-","SAMPLE-","")&amp;LOWER(SUBSTITUTE(SUBSTITUTE($A37,"SAMPLE-",""),"CMP-","c"))&amp;"-"&amp;LOWER(SUBSTITUTE(SUBSTITUTE($B37,"SAMPLE-",""),"O-","o"))&amp;"-p"))*(scans!$D$2:$D$1601="baseline")*scans!$E$2:$E$1601))))</f>
        <v/>
      </c>
      <c r="AP37" s="25">
        <f>IF($A37="","",IF(COUNTIF(offices!$A$2:$A$61,$B37)=0,"office_id not on offices; ","")&amp;IF(COUNTIF(campaigns!$A$2:$A$51,$A37)=0,"campaign_id not on campaigns; ","")&amp;IF($P37="pending","approval pending; ","")&amp;IF(AND($U37&gt;0,$Y37="",OR($I37="",IF(config!$B$37&lt;&gt;"",config!$B$37,TODAY())&lt;=WORKDAY(N($I37),4,calendar!$A$2:$A$80))),"no usable placement photo yet; ","")&amp;IF(AND($Y37&lt;&gt;"",$Z37=""),"log the placed count; ","")&amp;IF(N($AA37)&gt;N($U37),"placed more than delivered; ","")&amp;IF(AND($AF37&lt;&gt;"",N($AF37)&gt;N($AA37)+N($AD37)),"day-5 count above placed plus top-ups; ","")&amp;IF(AND($U37&gt;0,$I37&lt;&gt;"",IF(config!$B$37&lt;&gt;"",config!$B$37,TODAY())&gt;WORKDAY(N($I37),4,calendar!$A$2:$A$80),$AF37=""),"day-5 count missing; ","")&amp;IF(AND($U37&gt;0,$I37&lt;&gt;"",IF(config!$B$37&lt;&gt;"",config!$B$37,TODAY())&gt;WORKDAY(N($I37),4,calendar!$A$2:$A$80),$AN37=""),"no close link reading; ","")&amp;$R37&amp;IF($P37="N","info: office said no; ","")&amp;IF(AND($P37="Y",$Q37="N"),"info: turned away at the door, so not on the drop (no letter, not in the report or Gate 2; the credit check is on campaigns); ","")&amp;IF(AND($U37&gt;0,$Y37="",$I37&lt;&gt;"",IF(config!$B$37&lt;&gt;"",config!$B$37,TODAY())&gt;WORKDAY(N($I37),4,calendar!$A$2:$A$80)),"info: no usable placement photo, so nothing counts as placed; ","")&amp;IF(AND($U37&gt;0,$I37&lt;&gt;"",IF(config!$B$37&lt;&gt;"",config!$B$37,TODAY())&gt;WORKDAY(N($I37),4,calendar!$A$2:$A$80),N($AL37)&lt;config!$B$30),"info: under "&amp;config!$B$30&amp;" responses; ","")&amp;IF($W37="packing_list","info: delivered count not verified; ",""))</f>
        <v/>
      </c>
      <c r="AQ37" s="25">
        <f>IF(OR($A37="",$I37=""),"",IF($BC37="Y",SUMIFS(survey_frozen!$E$2:$E$251,survey_frozen!$P$2:$P$251,$A37&amp;"|"&amp;$B37),IFERROR(COUNTIFS(INDIRECT("'"&amp;$A37&amp;"'!$B$2:$B$501"),$T37,INDIRECT("'"&amp;$A37&amp;"'!$A$2:$A$501"),"&gt;="&amp;$I37,INDIRECT("'"&amp;$A37&amp;"'!$A$2:$A$501"),"&lt;"&amp;($BA37+1),INDIRECT("'"&amp;$A37&amp;"'!$F$2:$F$501"),"Didn't see it"),0)))</f>
        <v/>
      </c>
      <c r="AR37" s="25">
        <f>IF(OR($A37="",$I37=""),"",IF($BC37="Y",SUMIFS(survey_frozen!$F$2:$F$251,survey_frozen!$P$2:$P$251,$A37&amp;"|"&amp;$B37),IFERROR(COUNTIFS(INDIRECT("'"&amp;$A37&amp;"'!$B$2:$B$501"),$T37,INDIRECT("'"&amp;$A37&amp;"'!$A$2:$A$501"),"&gt;="&amp;$I37,INDIRECT("'"&amp;$A37&amp;"'!$A$2:$A$501"),"&lt;"&amp;($BA37+1),INDIRECT("'"&amp;$A37&amp;"'!$F$2:$F$501"),"Not for me"),0)))</f>
        <v/>
      </c>
      <c r="AS37" s="25">
        <f>IF(OR($A37="",$I37=""),"",IF($BC37="Y",SUMIFS(survey_frozen!$G$2:$G$251,survey_frozen!$P$2:$P$251,$A37&amp;"|"&amp;$B37),IFERROR(COUNTIFS(INDIRECT("'"&amp;$A37&amp;"'!$B$2:$B$501"),$T37,INDIRECT("'"&amp;$A37&amp;"'!$A$2:$A$501"),"&gt;="&amp;$I37,INDIRECT("'"&amp;$A37&amp;"'!$A$2:$A$501"),"&lt;"&amp;($BA37+1),INDIRECT("'"&amp;$A37&amp;"'!$F$2:$F$501"),"Gone by the time I looked"),0)))</f>
        <v/>
      </c>
      <c r="AT37" s="25">
        <f>IF(OR($A37="",$I37=""),"",IF($BC37="Y",SUMIFS(survey_frozen!$H$2:$H$251,survey_frozen!$P$2:$P$251,$A37&amp;"|"&amp;$B37),IFERROR(COUNTIFS(INDIRECT("'"&amp;$A37&amp;"'!$B$2:$B$501"),$T37,INDIRECT("'"&amp;$A37&amp;"'!$A$2:$A$501"),"&gt;="&amp;$I37,INDIRECT("'"&amp;$A37&amp;"'!$A$2:$A$501"),"&lt;"&amp;($BA37+1),INDIRECT("'"&amp;$A37&amp;"'!$D$2:$D$501"),"&gt;=1"),0)))</f>
        <v/>
      </c>
      <c r="AU37" s="25">
        <f>IF(OR($A37="",$I37=""),"",IF($BC37="Y",SUMIFS(survey_frozen!$I$2:$I$251,survey_frozen!$P$2:$P$251,$A37&amp;"|"&amp;$B37),IFERROR(SUMIFS(INDIRECT("'"&amp;$A37&amp;"'!$D$2:$D$501"),INDIRECT("'"&amp;$A37&amp;"'!$B$2:$B$501"),$T37,INDIRECT("'"&amp;$A37&amp;"'!$A$2:$A$501"),"&gt;="&amp;$I37,INDIRECT("'"&amp;$A37&amp;"'!$A$2:$A$501"),"&lt;"&amp;($BA37+1)),0)))</f>
        <v/>
      </c>
      <c r="AV37" s="25">
        <f>IF(OR($A37="",$I37=""),"",IF($BC37="Y",SUMIFS(survey_frozen!$J$2:$J$251,survey_frozen!$P$2:$P$251,$A37&amp;"|"&amp;$B37),IFERROR(COUNTIFS(INDIRECT("'"&amp;$A37&amp;"'!$B$2:$B$501"),$T37,INDIRECT("'"&amp;$A37&amp;"'!$A$2:$A$501"),"&gt;="&amp;$I37,INDIRECT("'"&amp;$A37&amp;"'!$A$2:$A$501"),"&lt;"&amp;($BA37+1),INDIRECT("'"&amp;$A37&amp;"'!$E$2:$E$501"),"Yes"),0)))</f>
        <v/>
      </c>
      <c r="AW37" s="25">
        <f>IF(OR($A37="",$I37=""),"",IF($BC37="Y",SUMIFS(survey_frozen!$K$2:$K$251,survey_frozen!$P$2:$P$251,$A37&amp;"|"&amp;$B37),IFERROR(COUNTIFS(INDIRECT("'"&amp;$A37&amp;"'!$B$2:$B$501"),$T37,INDIRECT("'"&amp;$A37&amp;"'!$A$2:$A$501"),"&gt;="&amp;$I37,INDIRECT("'"&amp;$A37&amp;"'!$A$2:$A$501"),"&lt;"&amp;($BA37+1),INDIRECT("'"&amp;$A37&amp;"'!$E$2:$E$501"),"Maybe"),0)))</f>
        <v/>
      </c>
      <c r="AX37" s="25">
        <f>IF(OR($A37="",$I37=""),"",IF($BC37="Y",SUMIFS(survey_frozen!$L$2:$L$251,survey_frozen!$P$2:$P$251,$A37&amp;"|"&amp;$B37),IFERROR(COUNTIFS(INDIRECT("'"&amp;$A37&amp;"'!$B$2:$B$501"),$T37,INDIRECT("'"&amp;$A37&amp;"'!$A$2:$A$501"),"&gt;="&amp;$I37,INDIRECT("'"&amp;$A37&amp;"'!$A$2:$A$501"),"&lt;"&amp;($BA37+1),INDIRECT("'"&amp;$A37&amp;"'!$E$2:$E$501"),"No"),0)))</f>
        <v/>
      </c>
      <c r="AY37" s="25">
        <f>IF(OR($A37="",$I37=""),"",IF($BC37="Y",SUMIFS(survey_frozen!$M$2:$M$251,survey_frozen!$P$2:$P$251,$A37&amp;"|"&amp;$B37),IFERROR(COUNTIFS(INDIRECT("'"&amp;$A37&amp;"'!$B$2:$B$501"),$T37,INDIRECT("'"&amp;$A37&amp;"'!$A$2:$A$501"),"&gt;="&amp;$I37,INDIRECT("'"&amp;$A37&amp;"'!$A$2:$A$501"),"&lt;"&amp;($BA37+1),INDIRECT("'"&amp;$A37&amp;"'!$G$2:$G$501"),"&lt;&gt;"),0)))</f>
        <v/>
      </c>
      <c r="AZ37" s="25">
        <f>IF($A37="","",$A37&amp;"|"&amp;$L37)</f>
        <v/>
      </c>
      <c r="BA37" s="26">
        <f>IF($A37="","",IFERROR(IF(INDEX(drops!$R$2:$R$21,MATCH($H37,drops!$A$2:$A$21,0))="","",INDEX(drops!$R$2:$R$21,MATCH($H37,drops!$A$2:$A$21,0))),""))</f>
        <v/>
      </c>
      <c r="BB37" s="25">
        <f>IF(OR($A37="",$Q37&lt;&gt;"Y"),1000000,N($AL37))</f>
        <v/>
      </c>
      <c r="BC37" s="25">
        <f>IF($A37="","",IF(COUNTIF(survey_frozen!$P$2:$P$251,$A37&amp;"|"&amp;$B37)&gt;0,"Y",""))</f>
        <v/>
      </c>
    </row>
    <row r="38">
      <c r="A38" t="inlineStr">
        <is>
          <t>SAMPLE-CMP-005</t>
        </is>
      </c>
      <c r="B38" t="inlineStr">
        <is>
          <t>SAMPLE-O-007</t>
        </is>
      </c>
      <c r="C38" s="9" t="n">
        <v>46395</v>
      </c>
      <c r="D38" t="inlineStr">
        <is>
          <t>yes</t>
        </is>
      </c>
      <c r="E38" s="9" t="n">
        <v>46396</v>
      </c>
      <c r="F38" t="inlineStr">
        <is>
          <t>SAMPLE replied by email</t>
        </is>
      </c>
      <c r="H38" s="25">
        <f>IF($A38="","",IFERROR(IF(INDEX(campaigns!$B$2:$B$51,MATCH($A38,campaigns!$A$2:$A$51,0))="","",INDEX(campaigns!$B$2:$B$51,MATCH($A38,campaigns!$A$2:$A$51,0))),""))</f>
        <v/>
      </c>
      <c r="I38" s="26">
        <f>IF($A38="","",IFERROR(IF(INDEX(campaigns!$BG$2:$BG$51,MATCH($A38,campaigns!$A$2:$A$51,0))="","",INDEX(campaigns!$BG$2:$BG$51,MATCH($A38,campaigns!$A$2:$A$51,0))),""))</f>
        <v/>
      </c>
      <c r="J38" s="25">
        <f>IF($A38="","",IFERROR(IF(INDEX(campaigns!$BE$2:$BE$51,MATCH($A38,campaigns!$A$2:$A$51,0))="","",INDEX(campaigns!$BE$2:$BE$51,MATCH($A38,campaigns!$A$2:$A$51,0))),""))</f>
        <v/>
      </c>
      <c r="K38" s="25">
        <f>IF($B38="","",IFERROR(IF(INDEX(offices!$N$2:$N$61,MATCH($B38,offices!$A$2:$A$61,0))="","",INDEX(offices!$N$2:$N$61,MATCH($B38,offices!$A$2:$A$61,0))),""))</f>
        <v/>
      </c>
      <c r="L38" s="25">
        <f>IF($A38="","",IF($Q38="N","",COUNTIFS($A$2:$A38,$A38,$Q$2:$Q38,"&lt;&gt;N")))</f>
        <v/>
      </c>
      <c r="M38" s="25">
        <f>IF(OR($A38="",$L38=""),"",IF(AND(config!$B$34="names_if_public",IFERROR(IF(INDEX(offices!$AF$2:$AF$61,MATCH($B38,offices!$A$2:$A$61,0))="","",INDEX(offices!$AF$2:$AF$61,MATCH($B38,offices!$A$2:$A$61,0))),"")="Y"),$K38,CHAR(64+$L38)))</f>
        <v/>
      </c>
      <c r="N38" s="25">
        <f>IF(OR($A38="",$I38=""),"",COUNTIFS(stops!$B$2:$B$151,$B38,stops!$P$2:$P$151,"&lt;"&amp;$I38,stops!$L$2:$L$151,"&lt;&gt;not_delivered")+1)</f>
        <v/>
      </c>
      <c r="O38" s="25">
        <f>IF($A38="","",IF(N($N38)&lt;=config!$B$29,"explicit","opt-out"))</f>
        <v/>
      </c>
      <c r="P38" s="25">
        <f>IF($A38="","",IF($O38="explicit",IF($D38="yes","Y",IF($D38="no","N","pending")),IF($D38="no","N",IF(AND($C38&lt;&gt;"",$I38&lt;&gt;"",$C38&lt;=WORKDAY(N($I38),-5,calendar!$A$2:$A$80)),"Y","pending"))))</f>
        <v/>
      </c>
      <c r="Q38" s="25">
        <f>IF($A38="","",IF($P38="N","N",IF($P38&lt;&gt;"Y","pending",IF(AND((COUNTIFS(stops!$A$2:$A$151,$H38,stops!$B$2:$B$151,$B38,stops!$L$2:$L$151,"declined")+COUNTIFS(stops!$A$2:$A$151,$H38,stops!$B$2:$B$151,$B38,stops!$L$2:$L$151,"building_refused")+COUNTIFS(stops!$A$2:$A$151,$H38,stops!$B$2:$B$151,$B38,stops!$L$2:$L$151,"not_delivered"))&gt;0,N($U38)=0),"N","Y"))))</f>
        <v/>
      </c>
      <c r="R38" s="25">
        <f>IF($A38="","",IF(COUNTIFS($A$2:$A$251,$A38,$B$2:$B$251,$B38)&gt;1,"DUPLICATE ROW; ","")&amp;IF(AND(IFERROR(IF(INDEX(offices!$AC$2:$AC$61,MATCH($B38,offices!$A$2:$A$61,0))="","",INDEX(offices!$AC$2:$AC$61,MATCH($B38,offices!$A$2:$A$61,0))),"")&lt;&gt;"",ISNUMBER(SEARCH($J38,IFERROR(IF(INDEX(offices!$AC$2:$AC$61,MATCH($B38,offices!$A$2:$A$61,0))="","",INDEX(offices!$AC$2:$AC$61,MATCH($B38,offices!$A$2:$A$61,0))),"")))),"BRAND VETOED; ","")&amp;IF(ISNUMBER(SEARCH(IFERROR(IF(INDEX(campaigns!$BF$2:$BF$51,MATCH($A38,campaigns!$A$2:$A$51,0))="","",INDEX(campaigns!$BF$2:$BF$51,MATCH($A38,campaigns!$A$2:$A$51,0))),""),IFERROR(IF(INDEX(offices!$AB$2:$AB$61,MATCH($B38,offices!$A$2:$A$61,0))="","",INDEX(offices!$AB$2:$AB$61,MATCH($B38,offices!$A$2:$A$61,0))),""))),"","info: category not on the office's list; ")&amp;IF(IFERROR(IF(INDEX(offices!$AC$2:$AC$61,MATCH($B38,offices!$A$2:$A$61,0))="","",INDEX(offices!$AC$2:$AC$61,MATCH($B38,offices!$A$2:$A$61,0))),"")&lt;&gt;"","info: read the vetoes against the label; ",""))</f>
        <v/>
      </c>
      <c r="S38" s="25">
        <f>IF($A38="","",IF($G38&lt;&gt;"",$G38,IFERROR(IF(INDEX(offices!$AL$2:$AL$61,MATCH($B38,offices!$A$2:$A$61,0))="","",INDEX(offices!$AL$2:$AL$61,MATCH($B38,offices!$A$2:$A$61,0))),"")))</f>
        <v/>
      </c>
      <c r="T38" s="25">
        <f>IF($A38="","",$A38&amp;"."&amp;$B38)</f>
        <v/>
      </c>
      <c r="U38" s="25">
        <f>IF($A38="","",SUMIFS(inventory!$G$2:$G$801,inventory!$C$2:$C$801,$A38,inventory!$D$2:$D$801,$B38,inventory!$E$2:$E$801,"delivered"))</f>
        <v/>
      </c>
      <c r="V38" s="32">
        <f>IF($A38="","",IFERROR(1/(1/SUMPRODUCT(MAX((inventory!$C$2:$C$801=$A38)*(inventory!$D$2:$D$801=$B38)*(inventory!$E$2:$E$801="delivered")*(inventory!$A$2:$A$801+inventory!$B$2:$B$801)))),""))</f>
        <v/>
      </c>
      <c r="W38" s="25">
        <f>IF($A38="","",IFERROR(IF(INDEX(inventory!$J$2:$J$801,MATCH($A38&amp;"|"&amp;$B38&amp;"|delivered",inventory!$R$2:$R$801,0))="","",INDEX(inventory!$J$2:$J$801,MATCH($A38&amp;"|"&amp;$B38&amp;"|delivered",inventory!$R$2:$R$801,0))),""))</f>
        <v/>
      </c>
      <c r="X38" s="25">
        <f>IF($A38="","",IFERROR(IF(INDEX(photos!$H$2:$H$701,MATCH($A38&amp;"|"&amp;$B38&amp;"|placement|Y",photos!$R$2:$R$701,0))="","",INDEX(photos!$H$2:$H$701,MATCH($A38&amp;"|"&amp;$B38&amp;"|placement|Y",photos!$R$2:$R$701,0))),""))</f>
        <v/>
      </c>
      <c r="Y38" s="26">
        <f>IF($A38="","",IFERROR(IF(INDEX(photos!$E$2:$E$701,MATCH($A38&amp;"|"&amp;$B38&amp;"|placement|Y",photos!$R$2:$R$701,0))="","",INDEX(photos!$E$2:$E$701,MATCH($A38&amp;"|"&amp;$B38&amp;"|placement|Y",photos!$R$2:$R$701,0))),""))</f>
        <v/>
      </c>
      <c r="Z38" s="25">
        <f>IF($A38="","",IF(COUNTIFS(counts!$C$2:$C$701,$A38,counts!$D$2:$D$701,$B38,counts!$E$2:$E$701,"placed")=0,"",SUMIFS(counts!$F$2:$F$701,counts!$C$2:$C$701,$A38,counts!$D$2:$D$701,$B38,counts!$E$2:$E$701,"placed")))</f>
        <v/>
      </c>
      <c r="AA38" s="25">
        <f>IF($A38="","",IF($Y38="",0,N($Z38)))</f>
        <v/>
      </c>
      <c r="AB38" s="25">
        <f>IF($A38="","",IF(OR($Y38="",$I38=""),"N",IF($Y38&lt;=WORKDAY(N($I38),1,calendar!$A$2:$A$80),"Y","N")))</f>
        <v/>
      </c>
      <c r="AC38" s="28">
        <f>IF(OR($A38="",$V38="",$Y38=""),"",ROUND(($Y38+N(IFERROR(IF(INDEX(photos!$F$2:$F$701,MATCH($A38&amp;"|"&amp;$B38&amp;"|placement|Y",photos!$R$2:$R$701,0))="","",INDEX(photos!$F$2:$F$701,MATCH($A38&amp;"|"&amp;$B38&amp;"|placement|Y",photos!$R$2:$R$701,0))),""))-$V38)*24,1))</f>
        <v/>
      </c>
      <c r="AD38" s="25">
        <f>IF($A38="","",SUMIFS(inventory!$G$2:$G$801,inventory!$C$2:$C$801,$A38,inventory!$D$2:$D$801,$B38,inventory!$E$2:$E$801,"topped_up"))</f>
        <v/>
      </c>
      <c r="AE38" s="25">
        <f>IF($A38="","",IF(COUNTIFS(counts!$C$2:$C$701,$A38,counts!$D$2:$D$701,$B38,counts!$E$2:$E$701,"remaining_day3")=0,"",SUMIFS(counts!$F$2:$F$701,counts!$C$2:$C$701,$A38,counts!$D$2:$D$701,$B38,counts!$E$2:$E$701,"remaining_day3")))</f>
        <v/>
      </c>
      <c r="AF38" s="25">
        <f>IF($A38="","",IF(COUNTIFS(counts!$C$2:$C$701,$A38,counts!$D$2:$D$701,$B38,counts!$E$2:$E$701,"remaining_day5")=0,"",SUMIFS(counts!$F$2:$F$701,counts!$C$2:$C$701,$A38,counts!$D$2:$D$701,$B38,counts!$E$2:$E$701,"remaining_day5")))</f>
        <v/>
      </c>
      <c r="AG38" s="25">
        <f>IF(OR($A38="",$AF38=""),"",MAX(0,$AA38+$AD38-$AF38))</f>
        <v/>
      </c>
      <c r="AH38" s="25">
        <f>IF(OR($A38="",$AI38=""),"",IFERROR(IF(INDEX(photos!$H$2:$H$701,MATCH($A38&amp;"|"&amp;$B38&amp;"|later|Y|"&amp;$AI38,photos!$S$2:$S$701,0))="","",INDEX(photos!$H$2:$H$701,MATCH($A38&amp;"|"&amp;$B38&amp;"|later|Y|"&amp;$AI38,photos!$S$2:$S$701,0))),""))</f>
        <v/>
      </c>
      <c r="AI38" s="26">
        <f>IF($A38="","",IFERROR(1/(1/SUMPRODUCT(MAX((photos!$B$2:$B$701=$A38)*(photos!$C$2:$C$701=$B38)*(photos!$D$2:$D$701="later")*(photos!$O$2:$O$701="Y")*photos!$E$2:$E$701))),""))</f>
        <v/>
      </c>
      <c r="AJ38" s="25">
        <f>IF(OR($A38="",$AI38="",$I38=""),"",NETWORKDAYS($I38,$AI38,calendar!$A$2:$A$80))</f>
        <v/>
      </c>
      <c r="AK38" s="25">
        <f>IF($A38="","",IF(AND($X38&lt;&gt;"",$AH38&lt;&gt;""),"Y","N"))</f>
        <v/>
      </c>
      <c r="AL38" s="25">
        <f>IF(OR($A38="",$I38=""),"",IF($BC38="Y",SUMIFS(survey_frozen!$C$2:$C$251,survey_frozen!$P$2:$P$251,$A38&amp;"|"&amp;$B38),IFERROR(COUNTIFS(INDIRECT("'"&amp;$A38&amp;"'!$B$2:$B$501"),$T38,INDIRECT("'"&amp;$A38&amp;"'!$A$2:$A$501"),"&gt;="&amp;$I38,INDIRECT("'"&amp;$A38&amp;"'!$A$2:$A$501"),"&lt;"&amp;($BA38+1)),0)))</f>
        <v/>
      </c>
      <c r="AM38" s="25">
        <f>IF(OR($A38="",$I38=""),"",IF($BC38="Y",SUMIFS(survey_frozen!$D$2:$D$251,survey_frozen!$P$2:$P$251,$A38&amp;"|"&amp;$B38),IFERROR(COUNTIFS(INDIRECT("'"&amp;$A38&amp;"'!$B$2:$B$501"),$T38,INDIRECT("'"&amp;$A38&amp;"'!$A$2:$A$501"),"&gt;="&amp;$I38,INDIRECT("'"&amp;$A38&amp;"'!$A$2:$A$501"),"&lt;"&amp;($BA38+1),INDIRECT("'"&amp;$A38&amp;"'!$C$2:$C$501"),"Yes"),0)))</f>
        <v/>
      </c>
      <c r="AN38" s="25">
        <f>IF($A38="","",IF(COUNTIFS(scans!$C$2:$C$1601,(IF(LEFT($A38,7)="SAMPLE-","SAMPLE-","")&amp;LOWER(SUBSTITUTE(SUBSTITUTE($A38,"SAMPLE-",""),"CMP-","c"))&amp;"-"&amp;LOWER(SUBSTITUTE(SUBSTITUTE($B38,"SAMPLE-",""),"O-","o"))&amp;"-q"),scans!$D$2:$D$1601,"close")=0,"",SUMPRODUCT(MAX((scans!$C$2:$C$1601=(IF(LEFT($A38,7)="SAMPLE-","SAMPLE-","")&amp;LOWER(SUBSTITUTE(SUBSTITUTE($A38,"SAMPLE-",""),"CMP-","c"))&amp;"-"&amp;LOWER(SUBSTITUTE(SUBSTITUTE($B38,"SAMPLE-",""),"O-","o"))&amp;"-q"))*(scans!$D$2:$D$1601="close")*scans!$E$2:$E$1601))-SUMPRODUCT(MAX((scans!$C$2:$C$1601=(IF(LEFT($A38,7)="SAMPLE-","SAMPLE-","")&amp;LOWER(SUBSTITUTE(SUBSTITUTE($A38,"SAMPLE-",""),"CMP-","c"))&amp;"-"&amp;LOWER(SUBSTITUTE(SUBSTITUTE($B38,"SAMPLE-",""),"O-","o"))&amp;"-q"))*(scans!$D$2:$D$1601="baseline")*scans!$E$2:$E$1601))))</f>
        <v/>
      </c>
      <c r="AO38" s="25">
        <f>IF($A38="","",IF(COUNTIFS(scans!$C$2:$C$1601,(IF(LEFT($A38,7)="SAMPLE-","SAMPLE-","")&amp;LOWER(SUBSTITUTE(SUBSTITUTE($A38,"SAMPLE-",""),"CMP-","c"))&amp;"-"&amp;LOWER(SUBSTITUTE(SUBSTITUTE($B38,"SAMPLE-",""),"O-","o"))&amp;"-p"),scans!$D$2:$D$1601,"close")=0,"",SUMPRODUCT(MAX((scans!$C$2:$C$1601=(IF(LEFT($A38,7)="SAMPLE-","SAMPLE-","")&amp;LOWER(SUBSTITUTE(SUBSTITUTE($A38,"SAMPLE-",""),"CMP-","c"))&amp;"-"&amp;LOWER(SUBSTITUTE(SUBSTITUTE($B38,"SAMPLE-",""),"O-","o"))&amp;"-p"))*(scans!$D$2:$D$1601="close")*scans!$E$2:$E$1601))-SUMPRODUCT(MAX((scans!$C$2:$C$1601=(IF(LEFT($A38,7)="SAMPLE-","SAMPLE-","")&amp;LOWER(SUBSTITUTE(SUBSTITUTE($A38,"SAMPLE-",""),"CMP-","c"))&amp;"-"&amp;LOWER(SUBSTITUTE(SUBSTITUTE($B38,"SAMPLE-",""),"O-","o"))&amp;"-p"))*(scans!$D$2:$D$1601="baseline")*scans!$E$2:$E$1601))))</f>
        <v/>
      </c>
      <c r="AP38" s="25">
        <f>IF($A38="","",IF(COUNTIF(offices!$A$2:$A$61,$B38)=0,"office_id not on offices; ","")&amp;IF(COUNTIF(campaigns!$A$2:$A$51,$A38)=0,"campaign_id not on campaigns; ","")&amp;IF($P38="pending","approval pending; ","")&amp;IF(AND($U38&gt;0,$Y38="",OR($I38="",IF(config!$B$37&lt;&gt;"",config!$B$37,TODAY())&lt;=WORKDAY(N($I38),4,calendar!$A$2:$A$80))),"no usable placement photo yet; ","")&amp;IF(AND($Y38&lt;&gt;"",$Z38=""),"log the placed count; ","")&amp;IF(N($AA38)&gt;N($U38),"placed more than delivered; ","")&amp;IF(AND($AF38&lt;&gt;"",N($AF38)&gt;N($AA38)+N($AD38)),"day-5 count above placed plus top-ups; ","")&amp;IF(AND($U38&gt;0,$I38&lt;&gt;"",IF(config!$B$37&lt;&gt;"",config!$B$37,TODAY())&gt;WORKDAY(N($I38),4,calendar!$A$2:$A$80),$AF38=""),"day-5 count missing; ","")&amp;IF(AND($U38&gt;0,$I38&lt;&gt;"",IF(config!$B$37&lt;&gt;"",config!$B$37,TODAY())&gt;WORKDAY(N($I38),4,calendar!$A$2:$A$80),$AN38=""),"no close link reading; ","")&amp;$R38&amp;IF($P38="N","info: office said no; ","")&amp;IF(AND($P38="Y",$Q38="N"),"info: turned away at the door, so not on the drop (no letter, not in the report or Gate 2; the credit check is on campaigns); ","")&amp;IF(AND($U38&gt;0,$Y38="",$I38&lt;&gt;"",IF(config!$B$37&lt;&gt;"",config!$B$37,TODAY())&gt;WORKDAY(N($I38),4,calendar!$A$2:$A$80)),"info: no usable placement photo, so nothing counts as placed; ","")&amp;IF(AND($U38&gt;0,$I38&lt;&gt;"",IF(config!$B$37&lt;&gt;"",config!$B$37,TODAY())&gt;WORKDAY(N($I38),4,calendar!$A$2:$A$80),N($AL38)&lt;config!$B$30),"info: under "&amp;config!$B$30&amp;" responses; ","")&amp;IF($W38="packing_list","info: delivered count not verified; ",""))</f>
        <v/>
      </c>
      <c r="AQ38" s="25">
        <f>IF(OR($A38="",$I38=""),"",IF($BC38="Y",SUMIFS(survey_frozen!$E$2:$E$251,survey_frozen!$P$2:$P$251,$A38&amp;"|"&amp;$B38),IFERROR(COUNTIFS(INDIRECT("'"&amp;$A38&amp;"'!$B$2:$B$501"),$T38,INDIRECT("'"&amp;$A38&amp;"'!$A$2:$A$501"),"&gt;="&amp;$I38,INDIRECT("'"&amp;$A38&amp;"'!$A$2:$A$501"),"&lt;"&amp;($BA38+1),INDIRECT("'"&amp;$A38&amp;"'!$F$2:$F$501"),"Didn't see it"),0)))</f>
        <v/>
      </c>
      <c r="AR38" s="25">
        <f>IF(OR($A38="",$I38=""),"",IF($BC38="Y",SUMIFS(survey_frozen!$F$2:$F$251,survey_frozen!$P$2:$P$251,$A38&amp;"|"&amp;$B38),IFERROR(COUNTIFS(INDIRECT("'"&amp;$A38&amp;"'!$B$2:$B$501"),$T38,INDIRECT("'"&amp;$A38&amp;"'!$A$2:$A$501"),"&gt;="&amp;$I38,INDIRECT("'"&amp;$A38&amp;"'!$A$2:$A$501"),"&lt;"&amp;($BA38+1),INDIRECT("'"&amp;$A38&amp;"'!$F$2:$F$501"),"Not for me"),0)))</f>
        <v/>
      </c>
      <c r="AS38" s="25">
        <f>IF(OR($A38="",$I38=""),"",IF($BC38="Y",SUMIFS(survey_frozen!$G$2:$G$251,survey_frozen!$P$2:$P$251,$A38&amp;"|"&amp;$B38),IFERROR(COUNTIFS(INDIRECT("'"&amp;$A38&amp;"'!$B$2:$B$501"),$T38,INDIRECT("'"&amp;$A38&amp;"'!$A$2:$A$501"),"&gt;="&amp;$I38,INDIRECT("'"&amp;$A38&amp;"'!$A$2:$A$501"),"&lt;"&amp;($BA38+1),INDIRECT("'"&amp;$A38&amp;"'!$F$2:$F$501"),"Gone by the time I looked"),0)))</f>
        <v/>
      </c>
      <c r="AT38" s="25">
        <f>IF(OR($A38="",$I38=""),"",IF($BC38="Y",SUMIFS(survey_frozen!$H$2:$H$251,survey_frozen!$P$2:$P$251,$A38&amp;"|"&amp;$B38),IFERROR(COUNTIFS(INDIRECT("'"&amp;$A38&amp;"'!$B$2:$B$501"),$T38,INDIRECT("'"&amp;$A38&amp;"'!$A$2:$A$501"),"&gt;="&amp;$I38,INDIRECT("'"&amp;$A38&amp;"'!$A$2:$A$501"),"&lt;"&amp;($BA38+1),INDIRECT("'"&amp;$A38&amp;"'!$D$2:$D$501"),"&gt;=1"),0)))</f>
        <v/>
      </c>
      <c r="AU38" s="25">
        <f>IF(OR($A38="",$I38=""),"",IF($BC38="Y",SUMIFS(survey_frozen!$I$2:$I$251,survey_frozen!$P$2:$P$251,$A38&amp;"|"&amp;$B38),IFERROR(SUMIFS(INDIRECT("'"&amp;$A38&amp;"'!$D$2:$D$501"),INDIRECT("'"&amp;$A38&amp;"'!$B$2:$B$501"),$T38,INDIRECT("'"&amp;$A38&amp;"'!$A$2:$A$501"),"&gt;="&amp;$I38,INDIRECT("'"&amp;$A38&amp;"'!$A$2:$A$501"),"&lt;"&amp;($BA38+1)),0)))</f>
        <v/>
      </c>
      <c r="AV38" s="25">
        <f>IF(OR($A38="",$I38=""),"",IF($BC38="Y",SUMIFS(survey_frozen!$J$2:$J$251,survey_frozen!$P$2:$P$251,$A38&amp;"|"&amp;$B38),IFERROR(COUNTIFS(INDIRECT("'"&amp;$A38&amp;"'!$B$2:$B$501"),$T38,INDIRECT("'"&amp;$A38&amp;"'!$A$2:$A$501"),"&gt;="&amp;$I38,INDIRECT("'"&amp;$A38&amp;"'!$A$2:$A$501"),"&lt;"&amp;($BA38+1),INDIRECT("'"&amp;$A38&amp;"'!$E$2:$E$501"),"Yes"),0)))</f>
        <v/>
      </c>
      <c r="AW38" s="25">
        <f>IF(OR($A38="",$I38=""),"",IF($BC38="Y",SUMIFS(survey_frozen!$K$2:$K$251,survey_frozen!$P$2:$P$251,$A38&amp;"|"&amp;$B38),IFERROR(COUNTIFS(INDIRECT("'"&amp;$A38&amp;"'!$B$2:$B$501"),$T38,INDIRECT("'"&amp;$A38&amp;"'!$A$2:$A$501"),"&gt;="&amp;$I38,INDIRECT("'"&amp;$A38&amp;"'!$A$2:$A$501"),"&lt;"&amp;($BA38+1),INDIRECT("'"&amp;$A38&amp;"'!$E$2:$E$501"),"Maybe"),0)))</f>
        <v/>
      </c>
      <c r="AX38" s="25">
        <f>IF(OR($A38="",$I38=""),"",IF($BC38="Y",SUMIFS(survey_frozen!$L$2:$L$251,survey_frozen!$P$2:$P$251,$A38&amp;"|"&amp;$B38),IFERROR(COUNTIFS(INDIRECT("'"&amp;$A38&amp;"'!$B$2:$B$501"),$T38,INDIRECT("'"&amp;$A38&amp;"'!$A$2:$A$501"),"&gt;="&amp;$I38,INDIRECT("'"&amp;$A38&amp;"'!$A$2:$A$501"),"&lt;"&amp;($BA38+1),INDIRECT("'"&amp;$A38&amp;"'!$E$2:$E$501"),"No"),0)))</f>
        <v/>
      </c>
      <c r="AY38" s="25">
        <f>IF(OR($A38="",$I38=""),"",IF($BC38="Y",SUMIFS(survey_frozen!$M$2:$M$251,survey_frozen!$P$2:$P$251,$A38&amp;"|"&amp;$B38),IFERROR(COUNTIFS(INDIRECT("'"&amp;$A38&amp;"'!$B$2:$B$501"),$T38,INDIRECT("'"&amp;$A38&amp;"'!$A$2:$A$501"),"&gt;="&amp;$I38,INDIRECT("'"&amp;$A38&amp;"'!$A$2:$A$501"),"&lt;"&amp;($BA38+1),INDIRECT("'"&amp;$A38&amp;"'!$G$2:$G$501"),"&lt;&gt;"),0)))</f>
        <v/>
      </c>
      <c r="AZ38" s="25">
        <f>IF($A38="","",$A38&amp;"|"&amp;$L38)</f>
        <v/>
      </c>
      <c r="BA38" s="26">
        <f>IF($A38="","",IFERROR(IF(INDEX(drops!$R$2:$R$21,MATCH($H38,drops!$A$2:$A$21,0))="","",INDEX(drops!$R$2:$R$21,MATCH($H38,drops!$A$2:$A$21,0))),""))</f>
        <v/>
      </c>
      <c r="BB38" s="25">
        <f>IF(OR($A38="",$Q38&lt;&gt;"Y"),1000000,N($AL38))</f>
        <v/>
      </c>
      <c r="BC38" s="25">
        <f>IF($A38="","",IF(COUNTIF(survey_frozen!$P$2:$P$251,$A38&amp;"|"&amp;$B38)&gt;0,"Y",""))</f>
        <v/>
      </c>
    </row>
    <row r="39">
      <c r="A39" t="inlineStr">
        <is>
          <t>SAMPLE-CMP-005</t>
        </is>
      </c>
      <c r="B39" t="inlineStr">
        <is>
          <t>SAMPLE-O-008</t>
        </is>
      </c>
      <c r="C39" s="9" t="n">
        <v>46395</v>
      </c>
      <c r="D39" t="inlineStr">
        <is>
          <t>yes</t>
        </is>
      </c>
      <c r="E39" s="9" t="n">
        <v>46397</v>
      </c>
      <c r="F39" t="inlineStr">
        <is>
          <t>SAMPLE replied by email</t>
        </is>
      </c>
      <c r="H39" s="25">
        <f>IF($A39="","",IFERROR(IF(INDEX(campaigns!$B$2:$B$51,MATCH($A39,campaigns!$A$2:$A$51,0))="","",INDEX(campaigns!$B$2:$B$51,MATCH($A39,campaigns!$A$2:$A$51,0))),""))</f>
        <v/>
      </c>
      <c r="I39" s="26">
        <f>IF($A39="","",IFERROR(IF(INDEX(campaigns!$BG$2:$BG$51,MATCH($A39,campaigns!$A$2:$A$51,0))="","",INDEX(campaigns!$BG$2:$BG$51,MATCH($A39,campaigns!$A$2:$A$51,0))),""))</f>
        <v/>
      </c>
      <c r="J39" s="25">
        <f>IF($A39="","",IFERROR(IF(INDEX(campaigns!$BE$2:$BE$51,MATCH($A39,campaigns!$A$2:$A$51,0))="","",INDEX(campaigns!$BE$2:$BE$51,MATCH($A39,campaigns!$A$2:$A$51,0))),""))</f>
        <v/>
      </c>
      <c r="K39" s="25">
        <f>IF($B39="","",IFERROR(IF(INDEX(offices!$N$2:$N$61,MATCH($B39,offices!$A$2:$A$61,0))="","",INDEX(offices!$N$2:$N$61,MATCH($B39,offices!$A$2:$A$61,0))),""))</f>
        <v/>
      </c>
      <c r="L39" s="25">
        <f>IF($A39="","",IF($Q39="N","",COUNTIFS($A$2:$A39,$A39,$Q$2:$Q39,"&lt;&gt;N")))</f>
        <v/>
      </c>
      <c r="M39" s="25">
        <f>IF(OR($A39="",$L39=""),"",IF(AND(config!$B$34="names_if_public",IFERROR(IF(INDEX(offices!$AF$2:$AF$61,MATCH($B39,offices!$A$2:$A$61,0))="","",INDEX(offices!$AF$2:$AF$61,MATCH($B39,offices!$A$2:$A$61,0))),"")="Y"),$K39,CHAR(64+$L39)))</f>
        <v/>
      </c>
      <c r="N39" s="25">
        <f>IF(OR($A39="",$I39=""),"",COUNTIFS(stops!$B$2:$B$151,$B39,stops!$P$2:$P$151,"&lt;"&amp;$I39,stops!$L$2:$L$151,"&lt;&gt;not_delivered")+1)</f>
        <v/>
      </c>
      <c r="O39" s="25">
        <f>IF($A39="","",IF(N($N39)&lt;=config!$B$29,"explicit","opt-out"))</f>
        <v/>
      </c>
      <c r="P39" s="25">
        <f>IF($A39="","",IF($O39="explicit",IF($D39="yes","Y",IF($D39="no","N","pending")),IF($D39="no","N",IF(AND($C39&lt;&gt;"",$I39&lt;&gt;"",$C39&lt;=WORKDAY(N($I39),-5,calendar!$A$2:$A$80)),"Y","pending"))))</f>
        <v/>
      </c>
      <c r="Q39" s="25">
        <f>IF($A39="","",IF($P39="N","N",IF($P39&lt;&gt;"Y","pending",IF(AND((COUNTIFS(stops!$A$2:$A$151,$H39,stops!$B$2:$B$151,$B39,stops!$L$2:$L$151,"declined")+COUNTIFS(stops!$A$2:$A$151,$H39,stops!$B$2:$B$151,$B39,stops!$L$2:$L$151,"building_refused")+COUNTIFS(stops!$A$2:$A$151,$H39,stops!$B$2:$B$151,$B39,stops!$L$2:$L$151,"not_delivered"))&gt;0,N($U39)=0),"N","Y"))))</f>
        <v/>
      </c>
      <c r="R39" s="25">
        <f>IF($A39="","",IF(COUNTIFS($A$2:$A$251,$A39,$B$2:$B$251,$B39)&gt;1,"DUPLICATE ROW; ","")&amp;IF(AND(IFERROR(IF(INDEX(offices!$AC$2:$AC$61,MATCH($B39,offices!$A$2:$A$61,0))="","",INDEX(offices!$AC$2:$AC$61,MATCH($B39,offices!$A$2:$A$61,0))),"")&lt;&gt;"",ISNUMBER(SEARCH($J39,IFERROR(IF(INDEX(offices!$AC$2:$AC$61,MATCH($B39,offices!$A$2:$A$61,0))="","",INDEX(offices!$AC$2:$AC$61,MATCH($B39,offices!$A$2:$A$61,0))),"")))),"BRAND VETOED; ","")&amp;IF(ISNUMBER(SEARCH(IFERROR(IF(INDEX(campaigns!$BF$2:$BF$51,MATCH($A39,campaigns!$A$2:$A$51,0))="","",INDEX(campaigns!$BF$2:$BF$51,MATCH($A39,campaigns!$A$2:$A$51,0))),""),IFERROR(IF(INDEX(offices!$AB$2:$AB$61,MATCH($B39,offices!$A$2:$A$61,0))="","",INDEX(offices!$AB$2:$AB$61,MATCH($B39,offices!$A$2:$A$61,0))),""))),"","info: category not on the office's list; ")&amp;IF(IFERROR(IF(INDEX(offices!$AC$2:$AC$61,MATCH($B39,offices!$A$2:$A$61,0))="","",INDEX(offices!$AC$2:$AC$61,MATCH($B39,offices!$A$2:$A$61,0))),"")&lt;&gt;"","info: read the vetoes against the label; ",""))</f>
        <v/>
      </c>
      <c r="S39" s="25">
        <f>IF($A39="","",IF($G39&lt;&gt;"",$G39,IFERROR(IF(INDEX(offices!$AL$2:$AL$61,MATCH($B39,offices!$A$2:$A$61,0))="","",INDEX(offices!$AL$2:$AL$61,MATCH($B39,offices!$A$2:$A$61,0))),"")))</f>
        <v/>
      </c>
      <c r="T39" s="25">
        <f>IF($A39="","",$A39&amp;"."&amp;$B39)</f>
        <v/>
      </c>
      <c r="U39" s="25">
        <f>IF($A39="","",SUMIFS(inventory!$G$2:$G$801,inventory!$C$2:$C$801,$A39,inventory!$D$2:$D$801,$B39,inventory!$E$2:$E$801,"delivered"))</f>
        <v/>
      </c>
      <c r="V39" s="32">
        <f>IF($A39="","",IFERROR(1/(1/SUMPRODUCT(MAX((inventory!$C$2:$C$801=$A39)*(inventory!$D$2:$D$801=$B39)*(inventory!$E$2:$E$801="delivered")*(inventory!$A$2:$A$801+inventory!$B$2:$B$801)))),""))</f>
        <v/>
      </c>
      <c r="W39" s="25">
        <f>IF($A39="","",IFERROR(IF(INDEX(inventory!$J$2:$J$801,MATCH($A39&amp;"|"&amp;$B39&amp;"|delivered",inventory!$R$2:$R$801,0))="","",INDEX(inventory!$J$2:$J$801,MATCH($A39&amp;"|"&amp;$B39&amp;"|delivered",inventory!$R$2:$R$801,0))),""))</f>
        <v/>
      </c>
      <c r="X39" s="25">
        <f>IF($A39="","",IFERROR(IF(INDEX(photos!$H$2:$H$701,MATCH($A39&amp;"|"&amp;$B39&amp;"|placement|Y",photos!$R$2:$R$701,0))="","",INDEX(photos!$H$2:$H$701,MATCH($A39&amp;"|"&amp;$B39&amp;"|placement|Y",photos!$R$2:$R$701,0))),""))</f>
        <v/>
      </c>
      <c r="Y39" s="26">
        <f>IF($A39="","",IFERROR(IF(INDEX(photos!$E$2:$E$701,MATCH($A39&amp;"|"&amp;$B39&amp;"|placement|Y",photos!$R$2:$R$701,0))="","",INDEX(photos!$E$2:$E$701,MATCH($A39&amp;"|"&amp;$B39&amp;"|placement|Y",photos!$R$2:$R$701,0))),""))</f>
        <v/>
      </c>
      <c r="Z39" s="25">
        <f>IF($A39="","",IF(COUNTIFS(counts!$C$2:$C$701,$A39,counts!$D$2:$D$701,$B39,counts!$E$2:$E$701,"placed")=0,"",SUMIFS(counts!$F$2:$F$701,counts!$C$2:$C$701,$A39,counts!$D$2:$D$701,$B39,counts!$E$2:$E$701,"placed")))</f>
        <v/>
      </c>
      <c r="AA39" s="25">
        <f>IF($A39="","",IF($Y39="",0,N($Z39)))</f>
        <v/>
      </c>
      <c r="AB39" s="25">
        <f>IF($A39="","",IF(OR($Y39="",$I39=""),"N",IF($Y39&lt;=WORKDAY(N($I39),1,calendar!$A$2:$A$80),"Y","N")))</f>
        <v/>
      </c>
      <c r="AC39" s="28">
        <f>IF(OR($A39="",$V39="",$Y39=""),"",ROUND(($Y39+N(IFERROR(IF(INDEX(photos!$F$2:$F$701,MATCH($A39&amp;"|"&amp;$B39&amp;"|placement|Y",photos!$R$2:$R$701,0))="","",INDEX(photos!$F$2:$F$701,MATCH($A39&amp;"|"&amp;$B39&amp;"|placement|Y",photos!$R$2:$R$701,0))),""))-$V39)*24,1))</f>
        <v/>
      </c>
      <c r="AD39" s="25">
        <f>IF($A39="","",SUMIFS(inventory!$G$2:$G$801,inventory!$C$2:$C$801,$A39,inventory!$D$2:$D$801,$B39,inventory!$E$2:$E$801,"topped_up"))</f>
        <v/>
      </c>
      <c r="AE39" s="25">
        <f>IF($A39="","",IF(COUNTIFS(counts!$C$2:$C$701,$A39,counts!$D$2:$D$701,$B39,counts!$E$2:$E$701,"remaining_day3")=0,"",SUMIFS(counts!$F$2:$F$701,counts!$C$2:$C$701,$A39,counts!$D$2:$D$701,$B39,counts!$E$2:$E$701,"remaining_day3")))</f>
        <v/>
      </c>
      <c r="AF39" s="25">
        <f>IF($A39="","",IF(COUNTIFS(counts!$C$2:$C$701,$A39,counts!$D$2:$D$701,$B39,counts!$E$2:$E$701,"remaining_day5")=0,"",SUMIFS(counts!$F$2:$F$701,counts!$C$2:$C$701,$A39,counts!$D$2:$D$701,$B39,counts!$E$2:$E$701,"remaining_day5")))</f>
        <v/>
      </c>
      <c r="AG39" s="25">
        <f>IF(OR($A39="",$AF39=""),"",MAX(0,$AA39+$AD39-$AF39))</f>
        <v/>
      </c>
      <c r="AH39" s="25">
        <f>IF(OR($A39="",$AI39=""),"",IFERROR(IF(INDEX(photos!$H$2:$H$701,MATCH($A39&amp;"|"&amp;$B39&amp;"|later|Y|"&amp;$AI39,photos!$S$2:$S$701,0))="","",INDEX(photos!$H$2:$H$701,MATCH($A39&amp;"|"&amp;$B39&amp;"|later|Y|"&amp;$AI39,photos!$S$2:$S$701,0))),""))</f>
        <v/>
      </c>
      <c r="AI39" s="26">
        <f>IF($A39="","",IFERROR(1/(1/SUMPRODUCT(MAX((photos!$B$2:$B$701=$A39)*(photos!$C$2:$C$701=$B39)*(photos!$D$2:$D$701="later")*(photos!$O$2:$O$701="Y")*photos!$E$2:$E$701))),""))</f>
        <v/>
      </c>
      <c r="AJ39" s="25">
        <f>IF(OR($A39="",$AI39="",$I39=""),"",NETWORKDAYS($I39,$AI39,calendar!$A$2:$A$80))</f>
        <v/>
      </c>
      <c r="AK39" s="25">
        <f>IF($A39="","",IF(AND($X39&lt;&gt;"",$AH39&lt;&gt;""),"Y","N"))</f>
        <v/>
      </c>
      <c r="AL39" s="25">
        <f>IF(OR($A39="",$I39=""),"",IF($BC39="Y",SUMIFS(survey_frozen!$C$2:$C$251,survey_frozen!$P$2:$P$251,$A39&amp;"|"&amp;$B39),IFERROR(COUNTIFS(INDIRECT("'"&amp;$A39&amp;"'!$B$2:$B$501"),$T39,INDIRECT("'"&amp;$A39&amp;"'!$A$2:$A$501"),"&gt;="&amp;$I39,INDIRECT("'"&amp;$A39&amp;"'!$A$2:$A$501"),"&lt;"&amp;($BA39+1)),0)))</f>
        <v/>
      </c>
      <c r="AM39" s="25">
        <f>IF(OR($A39="",$I39=""),"",IF($BC39="Y",SUMIFS(survey_frozen!$D$2:$D$251,survey_frozen!$P$2:$P$251,$A39&amp;"|"&amp;$B39),IFERROR(COUNTIFS(INDIRECT("'"&amp;$A39&amp;"'!$B$2:$B$501"),$T39,INDIRECT("'"&amp;$A39&amp;"'!$A$2:$A$501"),"&gt;="&amp;$I39,INDIRECT("'"&amp;$A39&amp;"'!$A$2:$A$501"),"&lt;"&amp;($BA39+1),INDIRECT("'"&amp;$A39&amp;"'!$C$2:$C$501"),"Yes"),0)))</f>
        <v/>
      </c>
      <c r="AN39" s="25">
        <f>IF($A39="","",IF(COUNTIFS(scans!$C$2:$C$1601,(IF(LEFT($A39,7)="SAMPLE-","SAMPLE-","")&amp;LOWER(SUBSTITUTE(SUBSTITUTE($A39,"SAMPLE-",""),"CMP-","c"))&amp;"-"&amp;LOWER(SUBSTITUTE(SUBSTITUTE($B39,"SAMPLE-",""),"O-","o"))&amp;"-q"),scans!$D$2:$D$1601,"close")=0,"",SUMPRODUCT(MAX((scans!$C$2:$C$1601=(IF(LEFT($A39,7)="SAMPLE-","SAMPLE-","")&amp;LOWER(SUBSTITUTE(SUBSTITUTE($A39,"SAMPLE-",""),"CMP-","c"))&amp;"-"&amp;LOWER(SUBSTITUTE(SUBSTITUTE($B39,"SAMPLE-",""),"O-","o"))&amp;"-q"))*(scans!$D$2:$D$1601="close")*scans!$E$2:$E$1601))-SUMPRODUCT(MAX((scans!$C$2:$C$1601=(IF(LEFT($A39,7)="SAMPLE-","SAMPLE-","")&amp;LOWER(SUBSTITUTE(SUBSTITUTE($A39,"SAMPLE-",""),"CMP-","c"))&amp;"-"&amp;LOWER(SUBSTITUTE(SUBSTITUTE($B39,"SAMPLE-",""),"O-","o"))&amp;"-q"))*(scans!$D$2:$D$1601="baseline")*scans!$E$2:$E$1601))))</f>
        <v/>
      </c>
      <c r="AO39" s="25">
        <f>IF($A39="","",IF(COUNTIFS(scans!$C$2:$C$1601,(IF(LEFT($A39,7)="SAMPLE-","SAMPLE-","")&amp;LOWER(SUBSTITUTE(SUBSTITUTE($A39,"SAMPLE-",""),"CMP-","c"))&amp;"-"&amp;LOWER(SUBSTITUTE(SUBSTITUTE($B39,"SAMPLE-",""),"O-","o"))&amp;"-p"),scans!$D$2:$D$1601,"close")=0,"",SUMPRODUCT(MAX((scans!$C$2:$C$1601=(IF(LEFT($A39,7)="SAMPLE-","SAMPLE-","")&amp;LOWER(SUBSTITUTE(SUBSTITUTE($A39,"SAMPLE-",""),"CMP-","c"))&amp;"-"&amp;LOWER(SUBSTITUTE(SUBSTITUTE($B39,"SAMPLE-",""),"O-","o"))&amp;"-p"))*(scans!$D$2:$D$1601="close")*scans!$E$2:$E$1601))-SUMPRODUCT(MAX((scans!$C$2:$C$1601=(IF(LEFT($A39,7)="SAMPLE-","SAMPLE-","")&amp;LOWER(SUBSTITUTE(SUBSTITUTE($A39,"SAMPLE-",""),"CMP-","c"))&amp;"-"&amp;LOWER(SUBSTITUTE(SUBSTITUTE($B39,"SAMPLE-",""),"O-","o"))&amp;"-p"))*(scans!$D$2:$D$1601="baseline")*scans!$E$2:$E$1601))))</f>
        <v/>
      </c>
      <c r="AP39" s="25">
        <f>IF($A39="","",IF(COUNTIF(offices!$A$2:$A$61,$B39)=0,"office_id not on offices; ","")&amp;IF(COUNTIF(campaigns!$A$2:$A$51,$A39)=0,"campaign_id not on campaigns; ","")&amp;IF($P39="pending","approval pending; ","")&amp;IF(AND($U39&gt;0,$Y39="",OR($I39="",IF(config!$B$37&lt;&gt;"",config!$B$37,TODAY())&lt;=WORKDAY(N($I39),4,calendar!$A$2:$A$80))),"no usable placement photo yet; ","")&amp;IF(AND($Y39&lt;&gt;"",$Z39=""),"log the placed count; ","")&amp;IF(N($AA39)&gt;N($U39),"placed more than delivered; ","")&amp;IF(AND($AF39&lt;&gt;"",N($AF39)&gt;N($AA39)+N($AD39)),"day-5 count above placed plus top-ups; ","")&amp;IF(AND($U39&gt;0,$I39&lt;&gt;"",IF(config!$B$37&lt;&gt;"",config!$B$37,TODAY())&gt;WORKDAY(N($I39),4,calendar!$A$2:$A$80),$AF39=""),"day-5 count missing; ","")&amp;IF(AND($U39&gt;0,$I39&lt;&gt;"",IF(config!$B$37&lt;&gt;"",config!$B$37,TODAY())&gt;WORKDAY(N($I39),4,calendar!$A$2:$A$80),$AN39=""),"no close link reading; ","")&amp;$R39&amp;IF($P39="N","info: office said no; ","")&amp;IF(AND($P39="Y",$Q39="N"),"info: turned away at the door, so not on the drop (no letter, not in the report or Gate 2; the credit check is on campaigns); ","")&amp;IF(AND($U39&gt;0,$Y39="",$I39&lt;&gt;"",IF(config!$B$37&lt;&gt;"",config!$B$37,TODAY())&gt;WORKDAY(N($I39),4,calendar!$A$2:$A$80)),"info: no usable placement photo, so nothing counts as placed; ","")&amp;IF(AND($U39&gt;0,$I39&lt;&gt;"",IF(config!$B$37&lt;&gt;"",config!$B$37,TODAY())&gt;WORKDAY(N($I39),4,calendar!$A$2:$A$80),N($AL39)&lt;config!$B$30),"info: under "&amp;config!$B$30&amp;" responses; ","")&amp;IF($W39="packing_list","info: delivered count not verified; ",""))</f>
        <v/>
      </c>
      <c r="AQ39" s="25">
        <f>IF(OR($A39="",$I39=""),"",IF($BC39="Y",SUMIFS(survey_frozen!$E$2:$E$251,survey_frozen!$P$2:$P$251,$A39&amp;"|"&amp;$B39),IFERROR(COUNTIFS(INDIRECT("'"&amp;$A39&amp;"'!$B$2:$B$501"),$T39,INDIRECT("'"&amp;$A39&amp;"'!$A$2:$A$501"),"&gt;="&amp;$I39,INDIRECT("'"&amp;$A39&amp;"'!$A$2:$A$501"),"&lt;"&amp;($BA39+1),INDIRECT("'"&amp;$A39&amp;"'!$F$2:$F$501"),"Didn't see it"),0)))</f>
        <v/>
      </c>
      <c r="AR39" s="25">
        <f>IF(OR($A39="",$I39=""),"",IF($BC39="Y",SUMIFS(survey_frozen!$F$2:$F$251,survey_frozen!$P$2:$P$251,$A39&amp;"|"&amp;$B39),IFERROR(COUNTIFS(INDIRECT("'"&amp;$A39&amp;"'!$B$2:$B$501"),$T39,INDIRECT("'"&amp;$A39&amp;"'!$A$2:$A$501"),"&gt;="&amp;$I39,INDIRECT("'"&amp;$A39&amp;"'!$A$2:$A$501"),"&lt;"&amp;($BA39+1),INDIRECT("'"&amp;$A39&amp;"'!$F$2:$F$501"),"Not for me"),0)))</f>
        <v/>
      </c>
      <c r="AS39" s="25">
        <f>IF(OR($A39="",$I39=""),"",IF($BC39="Y",SUMIFS(survey_frozen!$G$2:$G$251,survey_frozen!$P$2:$P$251,$A39&amp;"|"&amp;$B39),IFERROR(COUNTIFS(INDIRECT("'"&amp;$A39&amp;"'!$B$2:$B$501"),$T39,INDIRECT("'"&amp;$A39&amp;"'!$A$2:$A$501"),"&gt;="&amp;$I39,INDIRECT("'"&amp;$A39&amp;"'!$A$2:$A$501"),"&lt;"&amp;($BA39+1),INDIRECT("'"&amp;$A39&amp;"'!$F$2:$F$501"),"Gone by the time I looked"),0)))</f>
        <v/>
      </c>
      <c r="AT39" s="25">
        <f>IF(OR($A39="",$I39=""),"",IF($BC39="Y",SUMIFS(survey_frozen!$H$2:$H$251,survey_frozen!$P$2:$P$251,$A39&amp;"|"&amp;$B39),IFERROR(COUNTIFS(INDIRECT("'"&amp;$A39&amp;"'!$B$2:$B$501"),$T39,INDIRECT("'"&amp;$A39&amp;"'!$A$2:$A$501"),"&gt;="&amp;$I39,INDIRECT("'"&amp;$A39&amp;"'!$A$2:$A$501"),"&lt;"&amp;($BA39+1),INDIRECT("'"&amp;$A39&amp;"'!$D$2:$D$501"),"&gt;=1"),0)))</f>
        <v/>
      </c>
      <c r="AU39" s="25">
        <f>IF(OR($A39="",$I39=""),"",IF($BC39="Y",SUMIFS(survey_frozen!$I$2:$I$251,survey_frozen!$P$2:$P$251,$A39&amp;"|"&amp;$B39),IFERROR(SUMIFS(INDIRECT("'"&amp;$A39&amp;"'!$D$2:$D$501"),INDIRECT("'"&amp;$A39&amp;"'!$B$2:$B$501"),$T39,INDIRECT("'"&amp;$A39&amp;"'!$A$2:$A$501"),"&gt;="&amp;$I39,INDIRECT("'"&amp;$A39&amp;"'!$A$2:$A$501"),"&lt;"&amp;($BA39+1)),0)))</f>
        <v/>
      </c>
      <c r="AV39" s="25">
        <f>IF(OR($A39="",$I39=""),"",IF($BC39="Y",SUMIFS(survey_frozen!$J$2:$J$251,survey_frozen!$P$2:$P$251,$A39&amp;"|"&amp;$B39),IFERROR(COUNTIFS(INDIRECT("'"&amp;$A39&amp;"'!$B$2:$B$501"),$T39,INDIRECT("'"&amp;$A39&amp;"'!$A$2:$A$501"),"&gt;="&amp;$I39,INDIRECT("'"&amp;$A39&amp;"'!$A$2:$A$501"),"&lt;"&amp;($BA39+1),INDIRECT("'"&amp;$A39&amp;"'!$E$2:$E$501"),"Yes"),0)))</f>
        <v/>
      </c>
      <c r="AW39" s="25">
        <f>IF(OR($A39="",$I39=""),"",IF($BC39="Y",SUMIFS(survey_frozen!$K$2:$K$251,survey_frozen!$P$2:$P$251,$A39&amp;"|"&amp;$B39),IFERROR(COUNTIFS(INDIRECT("'"&amp;$A39&amp;"'!$B$2:$B$501"),$T39,INDIRECT("'"&amp;$A39&amp;"'!$A$2:$A$501"),"&gt;="&amp;$I39,INDIRECT("'"&amp;$A39&amp;"'!$A$2:$A$501"),"&lt;"&amp;($BA39+1),INDIRECT("'"&amp;$A39&amp;"'!$E$2:$E$501"),"Maybe"),0)))</f>
        <v/>
      </c>
      <c r="AX39" s="25">
        <f>IF(OR($A39="",$I39=""),"",IF($BC39="Y",SUMIFS(survey_frozen!$L$2:$L$251,survey_frozen!$P$2:$P$251,$A39&amp;"|"&amp;$B39),IFERROR(COUNTIFS(INDIRECT("'"&amp;$A39&amp;"'!$B$2:$B$501"),$T39,INDIRECT("'"&amp;$A39&amp;"'!$A$2:$A$501"),"&gt;="&amp;$I39,INDIRECT("'"&amp;$A39&amp;"'!$A$2:$A$501"),"&lt;"&amp;($BA39+1),INDIRECT("'"&amp;$A39&amp;"'!$E$2:$E$501"),"No"),0)))</f>
        <v/>
      </c>
      <c r="AY39" s="25">
        <f>IF(OR($A39="",$I39=""),"",IF($BC39="Y",SUMIFS(survey_frozen!$M$2:$M$251,survey_frozen!$P$2:$P$251,$A39&amp;"|"&amp;$B39),IFERROR(COUNTIFS(INDIRECT("'"&amp;$A39&amp;"'!$B$2:$B$501"),$T39,INDIRECT("'"&amp;$A39&amp;"'!$A$2:$A$501"),"&gt;="&amp;$I39,INDIRECT("'"&amp;$A39&amp;"'!$A$2:$A$501"),"&lt;"&amp;($BA39+1),INDIRECT("'"&amp;$A39&amp;"'!$G$2:$G$501"),"&lt;&gt;"),0)))</f>
        <v/>
      </c>
      <c r="AZ39" s="25">
        <f>IF($A39="","",$A39&amp;"|"&amp;$L39)</f>
        <v/>
      </c>
      <c r="BA39" s="26">
        <f>IF($A39="","",IFERROR(IF(INDEX(drops!$R$2:$R$21,MATCH($H39,drops!$A$2:$A$21,0))="","",INDEX(drops!$R$2:$R$21,MATCH($H39,drops!$A$2:$A$21,0))),""))</f>
        <v/>
      </c>
      <c r="BB39" s="25">
        <f>IF(OR($A39="",$Q39&lt;&gt;"Y"),1000000,N($AL39))</f>
        <v/>
      </c>
      <c r="BC39" s="25">
        <f>IF($A39="","",IF(COUNTIF(survey_frozen!$P$2:$P$251,$A39&amp;"|"&amp;$B39)&gt;0,"Y",""))</f>
        <v/>
      </c>
    </row>
    <row r="40">
      <c r="A40" t="inlineStr">
        <is>
          <t>SAMPLE-CMP-005</t>
        </is>
      </c>
      <c r="B40" t="inlineStr">
        <is>
          <t>SAMPLE-O-009</t>
        </is>
      </c>
      <c r="C40" s="9" t="n">
        <v>46395</v>
      </c>
      <c r="D40" t="inlineStr">
        <is>
          <t>yes</t>
        </is>
      </c>
      <c r="E40" s="9" t="n">
        <v>46398</v>
      </c>
      <c r="F40" t="inlineStr">
        <is>
          <t>SAMPLE replied by email</t>
        </is>
      </c>
      <c r="H40" s="25">
        <f>IF($A40="","",IFERROR(IF(INDEX(campaigns!$B$2:$B$51,MATCH($A40,campaigns!$A$2:$A$51,0))="","",INDEX(campaigns!$B$2:$B$51,MATCH($A40,campaigns!$A$2:$A$51,0))),""))</f>
        <v/>
      </c>
      <c r="I40" s="26">
        <f>IF($A40="","",IFERROR(IF(INDEX(campaigns!$BG$2:$BG$51,MATCH($A40,campaigns!$A$2:$A$51,0))="","",INDEX(campaigns!$BG$2:$BG$51,MATCH($A40,campaigns!$A$2:$A$51,0))),""))</f>
        <v/>
      </c>
      <c r="J40" s="25">
        <f>IF($A40="","",IFERROR(IF(INDEX(campaigns!$BE$2:$BE$51,MATCH($A40,campaigns!$A$2:$A$51,0))="","",INDEX(campaigns!$BE$2:$BE$51,MATCH($A40,campaigns!$A$2:$A$51,0))),""))</f>
        <v/>
      </c>
      <c r="K40" s="25">
        <f>IF($B40="","",IFERROR(IF(INDEX(offices!$N$2:$N$61,MATCH($B40,offices!$A$2:$A$61,0))="","",INDEX(offices!$N$2:$N$61,MATCH($B40,offices!$A$2:$A$61,0))),""))</f>
        <v/>
      </c>
      <c r="L40" s="25">
        <f>IF($A40="","",IF($Q40="N","",COUNTIFS($A$2:$A40,$A40,$Q$2:$Q40,"&lt;&gt;N")))</f>
        <v/>
      </c>
      <c r="M40" s="25">
        <f>IF(OR($A40="",$L40=""),"",IF(AND(config!$B$34="names_if_public",IFERROR(IF(INDEX(offices!$AF$2:$AF$61,MATCH($B40,offices!$A$2:$A$61,0))="","",INDEX(offices!$AF$2:$AF$61,MATCH($B40,offices!$A$2:$A$61,0))),"")="Y"),$K40,CHAR(64+$L40)))</f>
        <v/>
      </c>
      <c r="N40" s="25">
        <f>IF(OR($A40="",$I40=""),"",COUNTIFS(stops!$B$2:$B$151,$B40,stops!$P$2:$P$151,"&lt;"&amp;$I40,stops!$L$2:$L$151,"&lt;&gt;not_delivered")+1)</f>
        <v/>
      </c>
      <c r="O40" s="25">
        <f>IF($A40="","",IF(N($N40)&lt;=config!$B$29,"explicit","opt-out"))</f>
        <v/>
      </c>
      <c r="P40" s="25">
        <f>IF($A40="","",IF($O40="explicit",IF($D40="yes","Y",IF($D40="no","N","pending")),IF($D40="no","N",IF(AND($C40&lt;&gt;"",$I40&lt;&gt;"",$C40&lt;=WORKDAY(N($I40),-5,calendar!$A$2:$A$80)),"Y","pending"))))</f>
        <v/>
      </c>
      <c r="Q40" s="25">
        <f>IF($A40="","",IF($P40="N","N",IF($P40&lt;&gt;"Y","pending",IF(AND((COUNTIFS(stops!$A$2:$A$151,$H40,stops!$B$2:$B$151,$B40,stops!$L$2:$L$151,"declined")+COUNTIFS(stops!$A$2:$A$151,$H40,stops!$B$2:$B$151,$B40,stops!$L$2:$L$151,"building_refused")+COUNTIFS(stops!$A$2:$A$151,$H40,stops!$B$2:$B$151,$B40,stops!$L$2:$L$151,"not_delivered"))&gt;0,N($U40)=0),"N","Y"))))</f>
        <v/>
      </c>
      <c r="R40" s="25">
        <f>IF($A40="","",IF(COUNTIFS($A$2:$A$251,$A40,$B$2:$B$251,$B40)&gt;1,"DUPLICATE ROW; ","")&amp;IF(AND(IFERROR(IF(INDEX(offices!$AC$2:$AC$61,MATCH($B40,offices!$A$2:$A$61,0))="","",INDEX(offices!$AC$2:$AC$61,MATCH($B40,offices!$A$2:$A$61,0))),"")&lt;&gt;"",ISNUMBER(SEARCH($J40,IFERROR(IF(INDEX(offices!$AC$2:$AC$61,MATCH($B40,offices!$A$2:$A$61,0))="","",INDEX(offices!$AC$2:$AC$61,MATCH($B40,offices!$A$2:$A$61,0))),"")))),"BRAND VETOED; ","")&amp;IF(ISNUMBER(SEARCH(IFERROR(IF(INDEX(campaigns!$BF$2:$BF$51,MATCH($A40,campaigns!$A$2:$A$51,0))="","",INDEX(campaigns!$BF$2:$BF$51,MATCH($A40,campaigns!$A$2:$A$51,0))),""),IFERROR(IF(INDEX(offices!$AB$2:$AB$61,MATCH($B40,offices!$A$2:$A$61,0))="","",INDEX(offices!$AB$2:$AB$61,MATCH($B40,offices!$A$2:$A$61,0))),""))),"","info: category not on the office's list; ")&amp;IF(IFERROR(IF(INDEX(offices!$AC$2:$AC$61,MATCH($B40,offices!$A$2:$A$61,0))="","",INDEX(offices!$AC$2:$AC$61,MATCH($B40,offices!$A$2:$A$61,0))),"")&lt;&gt;"","info: read the vetoes against the label; ",""))</f>
        <v/>
      </c>
      <c r="S40" s="25">
        <f>IF($A40="","",IF($G40&lt;&gt;"",$G40,IFERROR(IF(INDEX(offices!$AL$2:$AL$61,MATCH($B40,offices!$A$2:$A$61,0))="","",INDEX(offices!$AL$2:$AL$61,MATCH($B40,offices!$A$2:$A$61,0))),"")))</f>
        <v/>
      </c>
      <c r="T40" s="25">
        <f>IF($A40="","",$A40&amp;"."&amp;$B40)</f>
        <v/>
      </c>
      <c r="U40" s="25">
        <f>IF($A40="","",SUMIFS(inventory!$G$2:$G$801,inventory!$C$2:$C$801,$A40,inventory!$D$2:$D$801,$B40,inventory!$E$2:$E$801,"delivered"))</f>
        <v/>
      </c>
      <c r="V40" s="32">
        <f>IF($A40="","",IFERROR(1/(1/SUMPRODUCT(MAX((inventory!$C$2:$C$801=$A40)*(inventory!$D$2:$D$801=$B40)*(inventory!$E$2:$E$801="delivered")*(inventory!$A$2:$A$801+inventory!$B$2:$B$801)))),""))</f>
        <v/>
      </c>
      <c r="W40" s="25">
        <f>IF($A40="","",IFERROR(IF(INDEX(inventory!$J$2:$J$801,MATCH($A40&amp;"|"&amp;$B40&amp;"|delivered",inventory!$R$2:$R$801,0))="","",INDEX(inventory!$J$2:$J$801,MATCH($A40&amp;"|"&amp;$B40&amp;"|delivered",inventory!$R$2:$R$801,0))),""))</f>
        <v/>
      </c>
      <c r="X40" s="25">
        <f>IF($A40="","",IFERROR(IF(INDEX(photos!$H$2:$H$701,MATCH($A40&amp;"|"&amp;$B40&amp;"|placement|Y",photos!$R$2:$R$701,0))="","",INDEX(photos!$H$2:$H$701,MATCH($A40&amp;"|"&amp;$B40&amp;"|placement|Y",photos!$R$2:$R$701,0))),""))</f>
        <v/>
      </c>
      <c r="Y40" s="26">
        <f>IF($A40="","",IFERROR(IF(INDEX(photos!$E$2:$E$701,MATCH($A40&amp;"|"&amp;$B40&amp;"|placement|Y",photos!$R$2:$R$701,0))="","",INDEX(photos!$E$2:$E$701,MATCH($A40&amp;"|"&amp;$B40&amp;"|placement|Y",photos!$R$2:$R$701,0))),""))</f>
        <v/>
      </c>
      <c r="Z40" s="25">
        <f>IF($A40="","",IF(COUNTIFS(counts!$C$2:$C$701,$A40,counts!$D$2:$D$701,$B40,counts!$E$2:$E$701,"placed")=0,"",SUMIFS(counts!$F$2:$F$701,counts!$C$2:$C$701,$A40,counts!$D$2:$D$701,$B40,counts!$E$2:$E$701,"placed")))</f>
        <v/>
      </c>
      <c r="AA40" s="25">
        <f>IF($A40="","",IF($Y40="",0,N($Z40)))</f>
        <v/>
      </c>
      <c r="AB40" s="25">
        <f>IF($A40="","",IF(OR($Y40="",$I40=""),"N",IF($Y40&lt;=WORKDAY(N($I40),1,calendar!$A$2:$A$80),"Y","N")))</f>
        <v/>
      </c>
      <c r="AC40" s="28">
        <f>IF(OR($A40="",$V40="",$Y40=""),"",ROUND(($Y40+N(IFERROR(IF(INDEX(photos!$F$2:$F$701,MATCH($A40&amp;"|"&amp;$B40&amp;"|placement|Y",photos!$R$2:$R$701,0))="","",INDEX(photos!$F$2:$F$701,MATCH($A40&amp;"|"&amp;$B40&amp;"|placement|Y",photos!$R$2:$R$701,0))),""))-$V40)*24,1))</f>
        <v/>
      </c>
      <c r="AD40" s="25">
        <f>IF($A40="","",SUMIFS(inventory!$G$2:$G$801,inventory!$C$2:$C$801,$A40,inventory!$D$2:$D$801,$B40,inventory!$E$2:$E$801,"topped_up"))</f>
        <v/>
      </c>
      <c r="AE40" s="25">
        <f>IF($A40="","",IF(COUNTIFS(counts!$C$2:$C$701,$A40,counts!$D$2:$D$701,$B40,counts!$E$2:$E$701,"remaining_day3")=0,"",SUMIFS(counts!$F$2:$F$701,counts!$C$2:$C$701,$A40,counts!$D$2:$D$701,$B40,counts!$E$2:$E$701,"remaining_day3")))</f>
        <v/>
      </c>
      <c r="AF40" s="25">
        <f>IF($A40="","",IF(COUNTIFS(counts!$C$2:$C$701,$A40,counts!$D$2:$D$701,$B40,counts!$E$2:$E$701,"remaining_day5")=0,"",SUMIFS(counts!$F$2:$F$701,counts!$C$2:$C$701,$A40,counts!$D$2:$D$701,$B40,counts!$E$2:$E$701,"remaining_day5")))</f>
        <v/>
      </c>
      <c r="AG40" s="25">
        <f>IF(OR($A40="",$AF40=""),"",MAX(0,$AA40+$AD40-$AF40))</f>
        <v/>
      </c>
      <c r="AH40" s="25">
        <f>IF(OR($A40="",$AI40=""),"",IFERROR(IF(INDEX(photos!$H$2:$H$701,MATCH($A40&amp;"|"&amp;$B40&amp;"|later|Y|"&amp;$AI40,photos!$S$2:$S$701,0))="","",INDEX(photos!$H$2:$H$701,MATCH($A40&amp;"|"&amp;$B40&amp;"|later|Y|"&amp;$AI40,photos!$S$2:$S$701,0))),""))</f>
        <v/>
      </c>
      <c r="AI40" s="26">
        <f>IF($A40="","",IFERROR(1/(1/SUMPRODUCT(MAX((photos!$B$2:$B$701=$A40)*(photos!$C$2:$C$701=$B40)*(photos!$D$2:$D$701="later")*(photos!$O$2:$O$701="Y")*photos!$E$2:$E$701))),""))</f>
        <v/>
      </c>
      <c r="AJ40" s="25">
        <f>IF(OR($A40="",$AI40="",$I40=""),"",NETWORKDAYS($I40,$AI40,calendar!$A$2:$A$80))</f>
        <v/>
      </c>
      <c r="AK40" s="25">
        <f>IF($A40="","",IF(AND($X40&lt;&gt;"",$AH40&lt;&gt;""),"Y","N"))</f>
        <v/>
      </c>
      <c r="AL40" s="25">
        <f>IF(OR($A40="",$I40=""),"",IF($BC40="Y",SUMIFS(survey_frozen!$C$2:$C$251,survey_frozen!$P$2:$P$251,$A40&amp;"|"&amp;$B40),IFERROR(COUNTIFS(INDIRECT("'"&amp;$A40&amp;"'!$B$2:$B$501"),$T40,INDIRECT("'"&amp;$A40&amp;"'!$A$2:$A$501"),"&gt;="&amp;$I40,INDIRECT("'"&amp;$A40&amp;"'!$A$2:$A$501"),"&lt;"&amp;($BA40+1)),0)))</f>
        <v/>
      </c>
      <c r="AM40" s="25">
        <f>IF(OR($A40="",$I40=""),"",IF($BC40="Y",SUMIFS(survey_frozen!$D$2:$D$251,survey_frozen!$P$2:$P$251,$A40&amp;"|"&amp;$B40),IFERROR(COUNTIFS(INDIRECT("'"&amp;$A40&amp;"'!$B$2:$B$501"),$T40,INDIRECT("'"&amp;$A40&amp;"'!$A$2:$A$501"),"&gt;="&amp;$I40,INDIRECT("'"&amp;$A40&amp;"'!$A$2:$A$501"),"&lt;"&amp;($BA40+1),INDIRECT("'"&amp;$A40&amp;"'!$C$2:$C$501"),"Yes"),0)))</f>
        <v/>
      </c>
      <c r="AN40" s="25">
        <f>IF($A40="","",IF(COUNTIFS(scans!$C$2:$C$1601,(IF(LEFT($A40,7)="SAMPLE-","SAMPLE-","")&amp;LOWER(SUBSTITUTE(SUBSTITUTE($A40,"SAMPLE-",""),"CMP-","c"))&amp;"-"&amp;LOWER(SUBSTITUTE(SUBSTITUTE($B40,"SAMPLE-",""),"O-","o"))&amp;"-q"),scans!$D$2:$D$1601,"close")=0,"",SUMPRODUCT(MAX((scans!$C$2:$C$1601=(IF(LEFT($A40,7)="SAMPLE-","SAMPLE-","")&amp;LOWER(SUBSTITUTE(SUBSTITUTE($A40,"SAMPLE-",""),"CMP-","c"))&amp;"-"&amp;LOWER(SUBSTITUTE(SUBSTITUTE($B40,"SAMPLE-",""),"O-","o"))&amp;"-q"))*(scans!$D$2:$D$1601="close")*scans!$E$2:$E$1601))-SUMPRODUCT(MAX((scans!$C$2:$C$1601=(IF(LEFT($A40,7)="SAMPLE-","SAMPLE-","")&amp;LOWER(SUBSTITUTE(SUBSTITUTE($A40,"SAMPLE-",""),"CMP-","c"))&amp;"-"&amp;LOWER(SUBSTITUTE(SUBSTITUTE($B40,"SAMPLE-",""),"O-","o"))&amp;"-q"))*(scans!$D$2:$D$1601="baseline")*scans!$E$2:$E$1601))))</f>
        <v/>
      </c>
      <c r="AO40" s="25">
        <f>IF($A40="","",IF(COUNTIFS(scans!$C$2:$C$1601,(IF(LEFT($A40,7)="SAMPLE-","SAMPLE-","")&amp;LOWER(SUBSTITUTE(SUBSTITUTE($A40,"SAMPLE-",""),"CMP-","c"))&amp;"-"&amp;LOWER(SUBSTITUTE(SUBSTITUTE($B40,"SAMPLE-",""),"O-","o"))&amp;"-p"),scans!$D$2:$D$1601,"close")=0,"",SUMPRODUCT(MAX((scans!$C$2:$C$1601=(IF(LEFT($A40,7)="SAMPLE-","SAMPLE-","")&amp;LOWER(SUBSTITUTE(SUBSTITUTE($A40,"SAMPLE-",""),"CMP-","c"))&amp;"-"&amp;LOWER(SUBSTITUTE(SUBSTITUTE($B40,"SAMPLE-",""),"O-","o"))&amp;"-p"))*(scans!$D$2:$D$1601="close")*scans!$E$2:$E$1601))-SUMPRODUCT(MAX((scans!$C$2:$C$1601=(IF(LEFT($A40,7)="SAMPLE-","SAMPLE-","")&amp;LOWER(SUBSTITUTE(SUBSTITUTE($A40,"SAMPLE-",""),"CMP-","c"))&amp;"-"&amp;LOWER(SUBSTITUTE(SUBSTITUTE($B40,"SAMPLE-",""),"O-","o"))&amp;"-p"))*(scans!$D$2:$D$1601="baseline")*scans!$E$2:$E$1601))))</f>
        <v/>
      </c>
      <c r="AP40" s="25">
        <f>IF($A40="","",IF(COUNTIF(offices!$A$2:$A$61,$B40)=0,"office_id not on offices; ","")&amp;IF(COUNTIF(campaigns!$A$2:$A$51,$A40)=0,"campaign_id not on campaigns; ","")&amp;IF($P40="pending","approval pending; ","")&amp;IF(AND($U40&gt;0,$Y40="",OR($I40="",IF(config!$B$37&lt;&gt;"",config!$B$37,TODAY())&lt;=WORKDAY(N($I40),4,calendar!$A$2:$A$80))),"no usable placement photo yet; ","")&amp;IF(AND($Y40&lt;&gt;"",$Z40=""),"log the placed count; ","")&amp;IF(N($AA40)&gt;N($U40),"placed more than delivered; ","")&amp;IF(AND($AF40&lt;&gt;"",N($AF40)&gt;N($AA40)+N($AD40)),"day-5 count above placed plus top-ups; ","")&amp;IF(AND($U40&gt;0,$I40&lt;&gt;"",IF(config!$B$37&lt;&gt;"",config!$B$37,TODAY())&gt;WORKDAY(N($I40),4,calendar!$A$2:$A$80),$AF40=""),"day-5 count missing; ","")&amp;IF(AND($U40&gt;0,$I40&lt;&gt;"",IF(config!$B$37&lt;&gt;"",config!$B$37,TODAY())&gt;WORKDAY(N($I40),4,calendar!$A$2:$A$80),$AN40=""),"no close link reading; ","")&amp;$R40&amp;IF($P40="N","info: office said no; ","")&amp;IF(AND($P40="Y",$Q40="N"),"info: turned away at the door, so not on the drop (no letter, not in the report or Gate 2; the credit check is on campaigns); ","")&amp;IF(AND($U40&gt;0,$Y40="",$I40&lt;&gt;"",IF(config!$B$37&lt;&gt;"",config!$B$37,TODAY())&gt;WORKDAY(N($I40),4,calendar!$A$2:$A$80)),"info: no usable placement photo, so nothing counts as placed; ","")&amp;IF(AND($U40&gt;0,$I40&lt;&gt;"",IF(config!$B$37&lt;&gt;"",config!$B$37,TODAY())&gt;WORKDAY(N($I40),4,calendar!$A$2:$A$80),N($AL40)&lt;config!$B$30),"info: under "&amp;config!$B$30&amp;" responses; ","")&amp;IF($W40="packing_list","info: delivered count not verified; ",""))</f>
        <v/>
      </c>
      <c r="AQ40" s="25">
        <f>IF(OR($A40="",$I40=""),"",IF($BC40="Y",SUMIFS(survey_frozen!$E$2:$E$251,survey_frozen!$P$2:$P$251,$A40&amp;"|"&amp;$B40),IFERROR(COUNTIFS(INDIRECT("'"&amp;$A40&amp;"'!$B$2:$B$501"),$T40,INDIRECT("'"&amp;$A40&amp;"'!$A$2:$A$501"),"&gt;="&amp;$I40,INDIRECT("'"&amp;$A40&amp;"'!$A$2:$A$501"),"&lt;"&amp;($BA40+1),INDIRECT("'"&amp;$A40&amp;"'!$F$2:$F$501"),"Didn't see it"),0)))</f>
        <v/>
      </c>
      <c r="AR40" s="25">
        <f>IF(OR($A40="",$I40=""),"",IF($BC40="Y",SUMIFS(survey_frozen!$F$2:$F$251,survey_frozen!$P$2:$P$251,$A40&amp;"|"&amp;$B40),IFERROR(COUNTIFS(INDIRECT("'"&amp;$A40&amp;"'!$B$2:$B$501"),$T40,INDIRECT("'"&amp;$A40&amp;"'!$A$2:$A$501"),"&gt;="&amp;$I40,INDIRECT("'"&amp;$A40&amp;"'!$A$2:$A$501"),"&lt;"&amp;($BA40+1),INDIRECT("'"&amp;$A40&amp;"'!$F$2:$F$501"),"Not for me"),0)))</f>
        <v/>
      </c>
      <c r="AS40" s="25">
        <f>IF(OR($A40="",$I40=""),"",IF($BC40="Y",SUMIFS(survey_frozen!$G$2:$G$251,survey_frozen!$P$2:$P$251,$A40&amp;"|"&amp;$B40),IFERROR(COUNTIFS(INDIRECT("'"&amp;$A40&amp;"'!$B$2:$B$501"),$T40,INDIRECT("'"&amp;$A40&amp;"'!$A$2:$A$501"),"&gt;="&amp;$I40,INDIRECT("'"&amp;$A40&amp;"'!$A$2:$A$501"),"&lt;"&amp;($BA40+1),INDIRECT("'"&amp;$A40&amp;"'!$F$2:$F$501"),"Gone by the time I looked"),0)))</f>
        <v/>
      </c>
      <c r="AT40" s="25">
        <f>IF(OR($A40="",$I40=""),"",IF($BC40="Y",SUMIFS(survey_frozen!$H$2:$H$251,survey_frozen!$P$2:$P$251,$A40&amp;"|"&amp;$B40),IFERROR(COUNTIFS(INDIRECT("'"&amp;$A40&amp;"'!$B$2:$B$501"),$T40,INDIRECT("'"&amp;$A40&amp;"'!$A$2:$A$501"),"&gt;="&amp;$I40,INDIRECT("'"&amp;$A40&amp;"'!$A$2:$A$501"),"&lt;"&amp;($BA40+1),INDIRECT("'"&amp;$A40&amp;"'!$D$2:$D$501"),"&gt;=1"),0)))</f>
        <v/>
      </c>
      <c r="AU40" s="25">
        <f>IF(OR($A40="",$I40=""),"",IF($BC40="Y",SUMIFS(survey_frozen!$I$2:$I$251,survey_frozen!$P$2:$P$251,$A40&amp;"|"&amp;$B40),IFERROR(SUMIFS(INDIRECT("'"&amp;$A40&amp;"'!$D$2:$D$501"),INDIRECT("'"&amp;$A40&amp;"'!$B$2:$B$501"),$T40,INDIRECT("'"&amp;$A40&amp;"'!$A$2:$A$501"),"&gt;="&amp;$I40,INDIRECT("'"&amp;$A40&amp;"'!$A$2:$A$501"),"&lt;"&amp;($BA40+1)),0)))</f>
        <v/>
      </c>
      <c r="AV40" s="25">
        <f>IF(OR($A40="",$I40=""),"",IF($BC40="Y",SUMIFS(survey_frozen!$J$2:$J$251,survey_frozen!$P$2:$P$251,$A40&amp;"|"&amp;$B40),IFERROR(COUNTIFS(INDIRECT("'"&amp;$A40&amp;"'!$B$2:$B$501"),$T40,INDIRECT("'"&amp;$A40&amp;"'!$A$2:$A$501"),"&gt;="&amp;$I40,INDIRECT("'"&amp;$A40&amp;"'!$A$2:$A$501"),"&lt;"&amp;($BA40+1),INDIRECT("'"&amp;$A40&amp;"'!$E$2:$E$501"),"Yes"),0)))</f>
        <v/>
      </c>
      <c r="AW40" s="25">
        <f>IF(OR($A40="",$I40=""),"",IF($BC40="Y",SUMIFS(survey_frozen!$K$2:$K$251,survey_frozen!$P$2:$P$251,$A40&amp;"|"&amp;$B40),IFERROR(COUNTIFS(INDIRECT("'"&amp;$A40&amp;"'!$B$2:$B$501"),$T40,INDIRECT("'"&amp;$A40&amp;"'!$A$2:$A$501"),"&gt;="&amp;$I40,INDIRECT("'"&amp;$A40&amp;"'!$A$2:$A$501"),"&lt;"&amp;($BA40+1),INDIRECT("'"&amp;$A40&amp;"'!$E$2:$E$501"),"Maybe"),0)))</f>
        <v/>
      </c>
      <c r="AX40" s="25">
        <f>IF(OR($A40="",$I40=""),"",IF($BC40="Y",SUMIFS(survey_frozen!$L$2:$L$251,survey_frozen!$P$2:$P$251,$A40&amp;"|"&amp;$B40),IFERROR(COUNTIFS(INDIRECT("'"&amp;$A40&amp;"'!$B$2:$B$501"),$T40,INDIRECT("'"&amp;$A40&amp;"'!$A$2:$A$501"),"&gt;="&amp;$I40,INDIRECT("'"&amp;$A40&amp;"'!$A$2:$A$501"),"&lt;"&amp;($BA40+1),INDIRECT("'"&amp;$A40&amp;"'!$E$2:$E$501"),"No"),0)))</f>
        <v/>
      </c>
      <c r="AY40" s="25">
        <f>IF(OR($A40="",$I40=""),"",IF($BC40="Y",SUMIFS(survey_frozen!$M$2:$M$251,survey_frozen!$P$2:$P$251,$A40&amp;"|"&amp;$B40),IFERROR(COUNTIFS(INDIRECT("'"&amp;$A40&amp;"'!$B$2:$B$501"),$T40,INDIRECT("'"&amp;$A40&amp;"'!$A$2:$A$501"),"&gt;="&amp;$I40,INDIRECT("'"&amp;$A40&amp;"'!$A$2:$A$501"),"&lt;"&amp;($BA40+1),INDIRECT("'"&amp;$A40&amp;"'!$G$2:$G$501"),"&lt;&gt;"),0)))</f>
        <v/>
      </c>
      <c r="AZ40" s="25">
        <f>IF($A40="","",$A40&amp;"|"&amp;$L40)</f>
        <v/>
      </c>
      <c r="BA40" s="26">
        <f>IF($A40="","",IFERROR(IF(INDEX(drops!$R$2:$R$21,MATCH($H40,drops!$A$2:$A$21,0))="","",INDEX(drops!$R$2:$R$21,MATCH($H40,drops!$A$2:$A$21,0))),""))</f>
        <v/>
      </c>
      <c r="BB40" s="25">
        <f>IF(OR($A40="",$Q40&lt;&gt;"Y"),1000000,N($AL40))</f>
        <v/>
      </c>
      <c r="BC40" s="25">
        <f>IF($A40="","",IF(COUNTIF(survey_frozen!$P$2:$P$251,$A40&amp;"|"&amp;$B40)&gt;0,"Y",""))</f>
        <v/>
      </c>
    </row>
    <row r="41">
      <c r="A41" t="inlineStr">
        <is>
          <t>SAMPLE-CMP-005</t>
        </is>
      </c>
      <c r="B41" t="inlineStr">
        <is>
          <t>SAMPLE-O-010</t>
        </is>
      </c>
      <c r="C41" s="9" t="n">
        <v>46400</v>
      </c>
      <c r="D41" t="inlineStr">
        <is>
          <t>yes</t>
        </is>
      </c>
      <c r="E41" s="9" t="n">
        <v>46401</v>
      </c>
      <c r="F41" t="inlineStr">
        <is>
          <t>SAMPLE replied by email</t>
        </is>
      </c>
      <c r="H41" s="25">
        <f>IF($A41="","",IFERROR(IF(INDEX(campaigns!$B$2:$B$51,MATCH($A41,campaigns!$A$2:$A$51,0))="","",INDEX(campaigns!$B$2:$B$51,MATCH($A41,campaigns!$A$2:$A$51,0))),""))</f>
        <v/>
      </c>
      <c r="I41" s="26">
        <f>IF($A41="","",IFERROR(IF(INDEX(campaigns!$BG$2:$BG$51,MATCH($A41,campaigns!$A$2:$A$51,0))="","",INDEX(campaigns!$BG$2:$BG$51,MATCH($A41,campaigns!$A$2:$A$51,0))),""))</f>
        <v/>
      </c>
      <c r="J41" s="25">
        <f>IF($A41="","",IFERROR(IF(INDEX(campaigns!$BE$2:$BE$51,MATCH($A41,campaigns!$A$2:$A$51,0))="","",INDEX(campaigns!$BE$2:$BE$51,MATCH($A41,campaigns!$A$2:$A$51,0))),""))</f>
        <v/>
      </c>
      <c r="K41" s="25">
        <f>IF($B41="","",IFERROR(IF(INDEX(offices!$N$2:$N$61,MATCH($B41,offices!$A$2:$A$61,0))="","",INDEX(offices!$N$2:$N$61,MATCH($B41,offices!$A$2:$A$61,0))),""))</f>
        <v/>
      </c>
      <c r="L41" s="25">
        <f>IF($A41="","",IF($Q41="N","",COUNTIFS($A$2:$A41,$A41,$Q$2:$Q41,"&lt;&gt;N")))</f>
        <v/>
      </c>
      <c r="M41" s="25">
        <f>IF(OR($A41="",$L41=""),"",IF(AND(config!$B$34="names_if_public",IFERROR(IF(INDEX(offices!$AF$2:$AF$61,MATCH($B41,offices!$A$2:$A$61,0))="","",INDEX(offices!$AF$2:$AF$61,MATCH($B41,offices!$A$2:$A$61,0))),"")="Y"),$K41,CHAR(64+$L41)))</f>
        <v/>
      </c>
      <c r="N41" s="25">
        <f>IF(OR($A41="",$I41=""),"",COUNTIFS(stops!$B$2:$B$151,$B41,stops!$P$2:$P$151,"&lt;"&amp;$I41,stops!$L$2:$L$151,"&lt;&gt;not_delivered")+1)</f>
        <v/>
      </c>
      <c r="O41" s="25">
        <f>IF($A41="","",IF(N($N41)&lt;=config!$B$29,"explicit","opt-out"))</f>
        <v/>
      </c>
      <c r="P41" s="25">
        <f>IF($A41="","",IF($O41="explicit",IF($D41="yes","Y",IF($D41="no","N","pending")),IF($D41="no","N",IF(AND($C41&lt;&gt;"",$I41&lt;&gt;"",$C41&lt;=WORKDAY(N($I41),-5,calendar!$A$2:$A$80)),"Y","pending"))))</f>
        <v/>
      </c>
      <c r="Q41" s="25">
        <f>IF($A41="","",IF($P41="N","N",IF($P41&lt;&gt;"Y","pending",IF(AND((COUNTIFS(stops!$A$2:$A$151,$H41,stops!$B$2:$B$151,$B41,stops!$L$2:$L$151,"declined")+COUNTIFS(stops!$A$2:$A$151,$H41,stops!$B$2:$B$151,$B41,stops!$L$2:$L$151,"building_refused")+COUNTIFS(stops!$A$2:$A$151,$H41,stops!$B$2:$B$151,$B41,stops!$L$2:$L$151,"not_delivered"))&gt;0,N($U41)=0),"N","Y"))))</f>
        <v/>
      </c>
      <c r="R41" s="25">
        <f>IF($A41="","",IF(COUNTIFS($A$2:$A$251,$A41,$B$2:$B$251,$B41)&gt;1,"DUPLICATE ROW; ","")&amp;IF(AND(IFERROR(IF(INDEX(offices!$AC$2:$AC$61,MATCH($B41,offices!$A$2:$A$61,0))="","",INDEX(offices!$AC$2:$AC$61,MATCH($B41,offices!$A$2:$A$61,0))),"")&lt;&gt;"",ISNUMBER(SEARCH($J41,IFERROR(IF(INDEX(offices!$AC$2:$AC$61,MATCH($B41,offices!$A$2:$A$61,0))="","",INDEX(offices!$AC$2:$AC$61,MATCH($B41,offices!$A$2:$A$61,0))),"")))),"BRAND VETOED; ","")&amp;IF(ISNUMBER(SEARCH(IFERROR(IF(INDEX(campaigns!$BF$2:$BF$51,MATCH($A41,campaigns!$A$2:$A$51,0))="","",INDEX(campaigns!$BF$2:$BF$51,MATCH($A41,campaigns!$A$2:$A$51,0))),""),IFERROR(IF(INDEX(offices!$AB$2:$AB$61,MATCH($B41,offices!$A$2:$A$61,0))="","",INDEX(offices!$AB$2:$AB$61,MATCH($B41,offices!$A$2:$A$61,0))),""))),"","info: category not on the office's list; ")&amp;IF(IFERROR(IF(INDEX(offices!$AC$2:$AC$61,MATCH($B41,offices!$A$2:$A$61,0))="","",INDEX(offices!$AC$2:$AC$61,MATCH($B41,offices!$A$2:$A$61,0))),"")&lt;&gt;"","info: read the vetoes against the label; ",""))</f>
        <v/>
      </c>
      <c r="S41" s="25">
        <f>IF($A41="","",IF($G41&lt;&gt;"",$G41,IFERROR(IF(INDEX(offices!$AL$2:$AL$61,MATCH($B41,offices!$A$2:$A$61,0))="","",INDEX(offices!$AL$2:$AL$61,MATCH($B41,offices!$A$2:$A$61,0))),"")))</f>
        <v/>
      </c>
      <c r="T41" s="25">
        <f>IF($A41="","",$A41&amp;"."&amp;$B41)</f>
        <v/>
      </c>
      <c r="U41" s="25">
        <f>IF($A41="","",SUMIFS(inventory!$G$2:$G$801,inventory!$C$2:$C$801,$A41,inventory!$D$2:$D$801,$B41,inventory!$E$2:$E$801,"delivered"))</f>
        <v/>
      </c>
      <c r="V41" s="32">
        <f>IF($A41="","",IFERROR(1/(1/SUMPRODUCT(MAX((inventory!$C$2:$C$801=$A41)*(inventory!$D$2:$D$801=$B41)*(inventory!$E$2:$E$801="delivered")*(inventory!$A$2:$A$801+inventory!$B$2:$B$801)))),""))</f>
        <v/>
      </c>
      <c r="W41" s="25">
        <f>IF($A41="","",IFERROR(IF(INDEX(inventory!$J$2:$J$801,MATCH($A41&amp;"|"&amp;$B41&amp;"|delivered",inventory!$R$2:$R$801,0))="","",INDEX(inventory!$J$2:$J$801,MATCH($A41&amp;"|"&amp;$B41&amp;"|delivered",inventory!$R$2:$R$801,0))),""))</f>
        <v/>
      </c>
      <c r="X41" s="25">
        <f>IF($A41="","",IFERROR(IF(INDEX(photos!$H$2:$H$701,MATCH($A41&amp;"|"&amp;$B41&amp;"|placement|Y",photos!$R$2:$R$701,0))="","",INDEX(photos!$H$2:$H$701,MATCH($A41&amp;"|"&amp;$B41&amp;"|placement|Y",photos!$R$2:$R$701,0))),""))</f>
        <v/>
      </c>
      <c r="Y41" s="26">
        <f>IF($A41="","",IFERROR(IF(INDEX(photos!$E$2:$E$701,MATCH($A41&amp;"|"&amp;$B41&amp;"|placement|Y",photos!$R$2:$R$701,0))="","",INDEX(photos!$E$2:$E$701,MATCH($A41&amp;"|"&amp;$B41&amp;"|placement|Y",photos!$R$2:$R$701,0))),""))</f>
        <v/>
      </c>
      <c r="Z41" s="25">
        <f>IF($A41="","",IF(COUNTIFS(counts!$C$2:$C$701,$A41,counts!$D$2:$D$701,$B41,counts!$E$2:$E$701,"placed")=0,"",SUMIFS(counts!$F$2:$F$701,counts!$C$2:$C$701,$A41,counts!$D$2:$D$701,$B41,counts!$E$2:$E$701,"placed")))</f>
        <v/>
      </c>
      <c r="AA41" s="25">
        <f>IF($A41="","",IF($Y41="",0,N($Z41)))</f>
        <v/>
      </c>
      <c r="AB41" s="25">
        <f>IF($A41="","",IF(OR($Y41="",$I41=""),"N",IF($Y41&lt;=WORKDAY(N($I41),1,calendar!$A$2:$A$80),"Y","N")))</f>
        <v/>
      </c>
      <c r="AC41" s="28">
        <f>IF(OR($A41="",$V41="",$Y41=""),"",ROUND(($Y41+N(IFERROR(IF(INDEX(photos!$F$2:$F$701,MATCH($A41&amp;"|"&amp;$B41&amp;"|placement|Y",photos!$R$2:$R$701,0))="","",INDEX(photos!$F$2:$F$701,MATCH($A41&amp;"|"&amp;$B41&amp;"|placement|Y",photos!$R$2:$R$701,0))),""))-$V41)*24,1))</f>
        <v/>
      </c>
      <c r="AD41" s="25">
        <f>IF($A41="","",SUMIFS(inventory!$G$2:$G$801,inventory!$C$2:$C$801,$A41,inventory!$D$2:$D$801,$B41,inventory!$E$2:$E$801,"topped_up"))</f>
        <v/>
      </c>
      <c r="AE41" s="25">
        <f>IF($A41="","",IF(COUNTIFS(counts!$C$2:$C$701,$A41,counts!$D$2:$D$701,$B41,counts!$E$2:$E$701,"remaining_day3")=0,"",SUMIFS(counts!$F$2:$F$701,counts!$C$2:$C$701,$A41,counts!$D$2:$D$701,$B41,counts!$E$2:$E$701,"remaining_day3")))</f>
        <v/>
      </c>
      <c r="AF41" s="25">
        <f>IF($A41="","",IF(COUNTIFS(counts!$C$2:$C$701,$A41,counts!$D$2:$D$701,$B41,counts!$E$2:$E$701,"remaining_day5")=0,"",SUMIFS(counts!$F$2:$F$701,counts!$C$2:$C$701,$A41,counts!$D$2:$D$701,$B41,counts!$E$2:$E$701,"remaining_day5")))</f>
        <v/>
      </c>
      <c r="AG41" s="25">
        <f>IF(OR($A41="",$AF41=""),"",MAX(0,$AA41+$AD41-$AF41))</f>
        <v/>
      </c>
      <c r="AH41" s="25">
        <f>IF(OR($A41="",$AI41=""),"",IFERROR(IF(INDEX(photos!$H$2:$H$701,MATCH($A41&amp;"|"&amp;$B41&amp;"|later|Y|"&amp;$AI41,photos!$S$2:$S$701,0))="","",INDEX(photos!$H$2:$H$701,MATCH($A41&amp;"|"&amp;$B41&amp;"|later|Y|"&amp;$AI41,photos!$S$2:$S$701,0))),""))</f>
        <v/>
      </c>
      <c r="AI41" s="26">
        <f>IF($A41="","",IFERROR(1/(1/SUMPRODUCT(MAX((photos!$B$2:$B$701=$A41)*(photos!$C$2:$C$701=$B41)*(photos!$D$2:$D$701="later")*(photos!$O$2:$O$701="Y")*photos!$E$2:$E$701))),""))</f>
        <v/>
      </c>
      <c r="AJ41" s="25">
        <f>IF(OR($A41="",$AI41="",$I41=""),"",NETWORKDAYS($I41,$AI41,calendar!$A$2:$A$80))</f>
        <v/>
      </c>
      <c r="AK41" s="25">
        <f>IF($A41="","",IF(AND($X41&lt;&gt;"",$AH41&lt;&gt;""),"Y","N"))</f>
        <v/>
      </c>
      <c r="AL41" s="25">
        <f>IF(OR($A41="",$I41=""),"",IF($BC41="Y",SUMIFS(survey_frozen!$C$2:$C$251,survey_frozen!$P$2:$P$251,$A41&amp;"|"&amp;$B41),IFERROR(COUNTIFS(INDIRECT("'"&amp;$A41&amp;"'!$B$2:$B$501"),$T41,INDIRECT("'"&amp;$A41&amp;"'!$A$2:$A$501"),"&gt;="&amp;$I41,INDIRECT("'"&amp;$A41&amp;"'!$A$2:$A$501"),"&lt;"&amp;($BA41+1)),0)))</f>
        <v/>
      </c>
      <c r="AM41" s="25">
        <f>IF(OR($A41="",$I41=""),"",IF($BC41="Y",SUMIFS(survey_frozen!$D$2:$D$251,survey_frozen!$P$2:$P$251,$A41&amp;"|"&amp;$B41),IFERROR(COUNTIFS(INDIRECT("'"&amp;$A41&amp;"'!$B$2:$B$501"),$T41,INDIRECT("'"&amp;$A41&amp;"'!$A$2:$A$501"),"&gt;="&amp;$I41,INDIRECT("'"&amp;$A41&amp;"'!$A$2:$A$501"),"&lt;"&amp;($BA41+1),INDIRECT("'"&amp;$A41&amp;"'!$C$2:$C$501"),"Yes"),0)))</f>
        <v/>
      </c>
      <c r="AN41" s="25">
        <f>IF($A41="","",IF(COUNTIFS(scans!$C$2:$C$1601,(IF(LEFT($A41,7)="SAMPLE-","SAMPLE-","")&amp;LOWER(SUBSTITUTE(SUBSTITUTE($A41,"SAMPLE-",""),"CMP-","c"))&amp;"-"&amp;LOWER(SUBSTITUTE(SUBSTITUTE($B41,"SAMPLE-",""),"O-","o"))&amp;"-q"),scans!$D$2:$D$1601,"close")=0,"",SUMPRODUCT(MAX((scans!$C$2:$C$1601=(IF(LEFT($A41,7)="SAMPLE-","SAMPLE-","")&amp;LOWER(SUBSTITUTE(SUBSTITUTE($A41,"SAMPLE-",""),"CMP-","c"))&amp;"-"&amp;LOWER(SUBSTITUTE(SUBSTITUTE($B41,"SAMPLE-",""),"O-","o"))&amp;"-q"))*(scans!$D$2:$D$1601="close")*scans!$E$2:$E$1601))-SUMPRODUCT(MAX((scans!$C$2:$C$1601=(IF(LEFT($A41,7)="SAMPLE-","SAMPLE-","")&amp;LOWER(SUBSTITUTE(SUBSTITUTE($A41,"SAMPLE-",""),"CMP-","c"))&amp;"-"&amp;LOWER(SUBSTITUTE(SUBSTITUTE($B41,"SAMPLE-",""),"O-","o"))&amp;"-q"))*(scans!$D$2:$D$1601="baseline")*scans!$E$2:$E$1601))))</f>
        <v/>
      </c>
      <c r="AO41" s="25">
        <f>IF($A41="","",IF(COUNTIFS(scans!$C$2:$C$1601,(IF(LEFT($A41,7)="SAMPLE-","SAMPLE-","")&amp;LOWER(SUBSTITUTE(SUBSTITUTE($A41,"SAMPLE-",""),"CMP-","c"))&amp;"-"&amp;LOWER(SUBSTITUTE(SUBSTITUTE($B41,"SAMPLE-",""),"O-","o"))&amp;"-p"),scans!$D$2:$D$1601,"close")=0,"",SUMPRODUCT(MAX((scans!$C$2:$C$1601=(IF(LEFT($A41,7)="SAMPLE-","SAMPLE-","")&amp;LOWER(SUBSTITUTE(SUBSTITUTE($A41,"SAMPLE-",""),"CMP-","c"))&amp;"-"&amp;LOWER(SUBSTITUTE(SUBSTITUTE($B41,"SAMPLE-",""),"O-","o"))&amp;"-p"))*(scans!$D$2:$D$1601="close")*scans!$E$2:$E$1601))-SUMPRODUCT(MAX((scans!$C$2:$C$1601=(IF(LEFT($A41,7)="SAMPLE-","SAMPLE-","")&amp;LOWER(SUBSTITUTE(SUBSTITUTE($A41,"SAMPLE-",""),"CMP-","c"))&amp;"-"&amp;LOWER(SUBSTITUTE(SUBSTITUTE($B41,"SAMPLE-",""),"O-","o"))&amp;"-p"))*(scans!$D$2:$D$1601="baseline")*scans!$E$2:$E$1601))))</f>
        <v/>
      </c>
      <c r="AP41" s="25">
        <f>IF($A41="","",IF(COUNTIF(offices!$A$2:$A$61,$B41)=0,"office_id not on offices; ","")&amp;IF(COUNTIF(campaigns!$A$2:$A$51,$A41)=0,"campaign_id not on campaigns; ","")&amp;IF($P41="pending","approval pending; ","")&amp;IF(AND($U41&gt;0,$Y41="",OR($I41="",IF(config!$B$37&lt;&gt;"",config!$B$37,TODAY())&lt;=WORKDAY(N($I41),4,calendar!$A$2:$A$80))),"no usable placement photo yet; ","")&amp;IF(AND($Y41&lt;&gt;"",$Z41=""),"log the placed count; ","")&amp;IF(N($AA41)&gt;N($U41),"placed more than delivered; ","")&amp;IF(AND($AF41&lt;&gt;"",N($AF41)&gt;N($AA41)+N($AD41)),"day-5 count above placed plus top-ups; ","")&amp;IF(AND($U41&gt;0,$I41&lt;&gt;"",IF(config!$B$37&lt;&gt;"",config!$B$37,TODAY())&gt;WORKDAY(N($I41),4,calendar!$A$2:$A$80),$AF41=""),"day-5 count missing; ","")&amp;IF(AND($U41&gt;0,$I41&lt;&gt;"",IF(config!$B$37&lt;&gt;"",config!$B$37,TODAY())&gt;WORKDAY(N($I41),4,calendar!$A$2:$A$80),$AN41=""),"no close link reading; ","")&amp;$R41&amp;IF($P41="N","info: office said no; ","")&amp;IF(AND($P41="Y",$Q41="N"),"info: turned away at the door, so not on the drop (no letter, not in the report or Gate 2; the credit check is on campaigns); ","")&amp;IF(AND($U41&gt;0,$Y41="",$I41&lt;&gt;"",IF(config!$B$37&lt;&gt;"",config!$B$37,TODAY())&gt;WORKDAY(N($I41),4,calendar!$A$2:$A$80)),"info: no usable placement photo, so nothing counts as placed; ","")&amp;IF(AND($U41&gt;0,$I41&lt;&gt;"",IF(config!$B$37&lt;&gt;"",config!$B$37,TODAY())&gt;WORKDAY(N($I41),4,calendar!$A$2:$A$80),N($AL41)&lt;config!$B$30),"info: under "&amp;config!$B$30&amp;" responses; ","")&amp;IF($W41="packing_list","info: delivered count not verified; ",""))</f>
        <v/>
      </c>
      <c r="AQ41" s="25">
        <f>IF(OR($A41="",$I41=""),"",IF($BC41="Y",SUMIFS(survey_frozen!$E$2:$E$251,survey_frozen!$P$2:$P$251,$A41&amp;"|"&amp;$B41),IFERROR(COUNTIFS(INDIRECT("'"&amp;$A41&amp;"'!$B$2:$B$501"),$T41,INDIRECT("'"&amp;$A41&amp;"'!$A$2:$A$501"),"&gt;="&amp;$I41,INDIRECT("'"&amp;$A41&amp;"'!$A$2:$A$501"),"&lt;"&amp;($BA41+1),INDIRECT("'"&amp;$A41&amp;"'!$F$2:$F$501"),"Didn't see it"),0)))</f>
        <v/>
      </c>
      <c r="AR41" s="25">
        <f>IF(OR($A41="",$I41=""),"",IF($BC41="Y",SUMIFS(survey_frozen!$F$2:$F$251,survey_frozen!$P$2:$P$251,$A41&amp;"|"&amp;$B41),IFERROR(COUNTIFS(INDIRECT("'"&amp;$A41&amp;"'!$B$2:$B$501"),$T41,INDIRECT("'"&amp;$A41&amp;"'!$A$2:$A$501"),"&gt;="&amp;$I41,INDIRECT("'"&amp;$A41&amp;"'!$A$2:$A$501"),"&lt;"&amp;($BA41+1),INDIRECT("'"&amp;$A41&amp;"'!$F$2:$F$501"),"Not for me"),0)))</f>
        <v/>
      </c>
      <c r="AS41" s="25">
        <f>IF(OR($A41="",$I41=""),"",IF($BC41="Y",SUMIFS(survey_frozen!$G$2:$G$251,survey_frozen!$P$2:$P$251,$A41&amp;"|"&amp;$B41),IFERROR(COUNTIFS(INDIRECT("'"&amp;$A41&amp;"'!$B$2:$B$501"),$T41,INDIRECT("'"&amp;$A41&amp;"'!$A$2:$A$501"),"&gt;="&amp;$I41,INDIRECT("'"&amp;$A41&amp;"'!$A$2:$A$501"),"&lt;"&amp;($BA41+1),INDIRECT("'"&amp;$A41&amp;"'!$F$2:$F$501"),"Gone by the time I looked"),0)))</f>
        <v/>
      </c>
      <c r="AT41" s="25">
        <f>IF(OR($A41="",$I41=""),"",IF($BC41="Y",SUMIFS(survey_frozen!$H$2:$H$251,survey_frozen!$P$2:$P$251,$A41&amp;"|"&amp;$B41),IFERROR(COUNTIFS(INDIRECT("'"&amp;$A41&amp;"'!$B$2:$B$501"),$T41,INDIRECT("'"&amp;$A41&amp;"'!$A$2:$A$501"),"&gt;="&amp;$I41,INDIRECT("'"&amp;$A41&amp;"'!$A$2:$A$501"),"&lt;"&amp;($BA41+1),INDIRECT("'"&amp;$A41&amp;"'!$D$2:$D$501"),"&gt;=1"),0)))</f>
        <v/>
      </c>
      <c r="AU41" s="25">
        <f>IF(OR($A41="",$I41=""),"",IF($BC41="Y",SUMIFS(survey_frozen!$I$2:$I$251,survey_frozen!$P$2:$P$251,$A41&amp;"|"&amp;$B41),IFERROR(SUMIFS(INDIRECT("'"&amp;$A41&amp;"'!$D$2:$D$501"),INDIRECT("'"&amp;$A41&amp;"'!$B$2:$B$501"),$T41,INDIRECT("'"&amp;$A41&amp;"'!$A$2:$A$501"),"&gt;="&amp;$I41,INDIRECT("'"&amp;$A41&amp;"'!$A$2:$A$501"),"&lt;"&amp;($BA41+1)),0)))</f>
        <v/>
      </c>
      <c r="AV41" s="25">
        <f>IF(OR($A41="",$I41=""),"",IF($BC41="Y",SUMIFS(survey_frozen!$J$2:$J$251,survey_frozen!$P$2:$P$251,$A41&amp;"|"&amp;$B41),IFERROR(COUNTIFS(INDIRECT("'"&amp;$A41&amp;"'!$B$2:$B$501"),$T41,INDIRECT("'"&amp;$A41&amp;"'!$A$2:$A$501"),"&gt;="&amp;$I41,INDIRECT("'"&amp;$A41&amp;"'!$A$2:$A$501"),"&lt;"&amp;($BA41+1),INDIRECT("'"&amp;$A41&amp;"'!$E$2:$E$501"),"Yes"),0)))</f>
        <v/>
      </c>
      <c r="AW41" s="25">
        <f>IF(OR($A41="",$I41=""),"",IF($BC41="Y",SUMIFS(survey_frozen!$K$2:$K$251,survey_frozen!$P$2:$P$251,$A41&amp;"|"&amp;$B41),IFERROR(COUNTIFS(INDIRECT("'"&amp;$A41&amp;"'!$B$2:$B$501"),$T41,INDIRECT("'"&amp;$A41&amp;"'!$A$2:$A$501"),"&gt;="&amp;$I41,INDIRECT("'"&amp;$A41&amp;"'!$A$2:$A$501"),"&lt;"&amp;($BA41+1),INDIRECT("'"&amp;$A41&amp;"'!$E$2:$E$501"),"Maybe"),0)))</f>
        <v/>
      </c>
      <c r="AX41" s="25">
        <f>IF(OR($A41="",$I41=""),"",IF($BC41="Y",SUMIFS(survey_frozen!$L$2:$L$251,survey_frozen!$P$2:$P$251,$A41&amp;"|"&amp;$B41),IFERROR(COUNTIFS(INDIRECT("'"&amp;$A41&amp;"'!$B$2:$B$501"),$T41,INDIRECT("'"&amp;$A41&amp;"'!$A$2:$A$501"),"&gt;="&amp;$I41,INDIRECT("'"&amp;$A41&amp;"'!$A$2:$A$501"),"&lt;"&amp;($BA41+1),INDIRECT("'"&amp;$A41&amp;"'!$E$2:$E$501"),"No"),0)))</f>
        <v/>
      </c>
      <c r="AY41" s="25">
        <f>IF(OR($A41="",$I41=""),"",IF($BC41="Y",SUMIFS(survey_frozen!$M$2:$M$251,survey_frozen!$P$2:$P$251,$A41&amp;"|"&amp;$B41),IFERROR(COUNTIFS(INDIRECT("'"&amp;$A41&amp;"'!$B$2:$B$501"),$T41,INDIRECT("'"&amp;$A41&amp;"'!$A$2:$A$501"),"&gt;="&amp;$I41,INDIRECT("'"&amp;$A41&amp;"'!$A$2:$A$501"),"&lt;"&amp;($BA41+1),INDIRECT("'"&amp;$A41&amp;"'!$G$2:$G$501"),"&lt;&gt;"),0)))</f>
        <v/>
      </c>
      <c r="AZ41" s="25">
        <f>IF($A41="","",$A41&amp;"|"&amp;$L41)</f>
        <v/>
      </c>
      <c r="BA41" s="26">
        <f>IF($A41="","",IFERROR(IF(INDEX(drops!$R$2:$R$21,MATCH($H41,drops!$A$2:$A$21,0))="","",INDEX(drops!$R$2:$R$21,MATCH($H41,drops!$A$2:$A$21,0))),""))</f>
        <v/>
      </c>
      <c r="BB41" s="25">
        <f>IF(OR($A41="",$Q41&lt;&gt;"Y"),1000000,N($AL41))</f>
        <v/>
      </c>
      <c r="BC41" s="25">
        <f>IF($A41="","",IF(COUNTIF(survey_frozen!$P$2:$P$251,$A41&amp;"|"&amp;$B41)&gt;0,"Y",""))</f>
        <v/>
      </c>
    </row>
    <row r="42">
      <c r="C42" s="9" t="n"/>
      <c r="E42" s="9" t="n"/>
      <c r="H42" s="25">
        <f>IF($A42="","",IFERROR(IF(INDEX(campaigns!$B$2:$B$51,MATCH($A42,campaigns!$A$2:$A$51,0))="","",INDEX(campaigns!$B$2:$B$51,MATCH($A42,campaigns!$A$2:$A$51,0))),""))</f>
        <v/>
      </c>
      <c r="I42" s="26">
        <f>IF($A42="","",IFERROR(IF(INDEX(campaigns!$BG$2:$BG$51,MATCH($A42,campaigns!$A$2:$A$51,0))="","",INDEX(campaigns!$BG$2:$BG$51,MATCH($A42,campaigns!$A$2:$A$51,0))),""))</f>
        <v/>
      </c>
      <c r="J42" s="25">
        <f>IF($A42="","",IFERROR(IF(INDEX(campaigns!$BE$2:$BE$51,MATCH($A42,campaigns!$A$2:$A$51,0))="","",INDEX(campaigns!$BE$2:$BE$51,MATCH($A42,campaigns!$A$2:$A$51,0))),""))</f>
        <v/>
      </c>
      <c r="K42" s="25">
        <f>IF($B42="","",IFERROR(IF(INDEX(offices!$N$2:$N$61,MATCH($B42,offices!$A$2:$A$61,0))="","",INDEX(offices!$N$2:$N$61,MATCH($B42,offices!$A$2:$A$61,0))),""))</f>
        <v/>
      </c>
      <c r="L42" s="25">
        <f>IF($A42="","",IF($Q42="N","",COUNTIFS($A$2:$A42,$A42,$Q$2:$Q42,"&lt;&gt;N")))</f>
        <v/>
      </c>
      <c r="M42" s="25">
        <f>IF(OR($A42="",$L42=""),"",IF(AND(config!$B$34="names_if_public",IFERROR(IF(INDEX(offices!$AF$2:$AF$61,MATCH($B42,offices!$A$2:$A$61,0))="","",INDEX(offices!$AF$2:$AF$61,MATCH($B42,offices!$A$2:$A$61,0))),"")="Y"),$K42,CHAR(64+$L42)))</f>
        <v/>
      </c>
      <c r="N42" s="25">
        <f>IF(OR($A42="",$I42=""),"",COUNTIFS(stops!$B$2:$B$151,$B42,stops!$P$2:$P$151,"&lt;"&amp;$I42,stops!$L$2:$L$151,"&lt;&gt;not_delivered")+1)</f>
        <v/>
      </c>
      <c r="O42" s="25">
        <f>IF($A42="","",IF(N($N42)&lt;=config!$B$29,"explicit","opt-out"))</f>
        <v/>
      </c>
      <c r="P42" s="25">
        <f>IF($A42="","",IF($O42="explicit",IF($D42="yes","Y",IF($D42="no","N","pending")),IF($D42="no","N",IF(AND($C42&lt;&gt;"",$I42&lt;&gt;"",$C42&lt;=WORKDAY(N($I42),-5,calendar!$A$2:$A$80)),"Y","pending"))))</f>
        <v/>
      </c>
      <c r="Q42" s="25">
        <f>IF($A42="","",IF($P42="N","N",IF($P42&lt;&gt;"Y","pending",IF(AND((COUNTIFS(stops!$A$2:$A$151,$H42,stops!$B$2:$B$151,$B42,stops!$L$2:$L$151,"declined")+COUNTIFS(stops!$A$2:$A$151,$H42,stops!$B$2:$B$151,$B42,stops!$L$2:$L$151,"building_refused")+COUNTIFS(stops!$A$2:$A$151,$H42,stops!$B$2:$B$151,$B42,stops!$L$2:$L$151,"not_delivered"))&gt;0,N($U42)=0),"N","Y"))))</f>
        <v/>
      </c>
      <c r="R42" s="25">
        <f>IF($A42="","",IF(COUNTIFS($A$2:$A$251,$A42,$B$2:$B$251,$B42)&gt;1,"DUPLICATE ROW; ","")&amp;IF(AND(IFERROR(IF(INDEX(offices!$AC$2:$AC$61,MATCH($B42,offices!$A$2:$A$61,0))="","",INDEX(offices!$AC$2:$AC$61,MATCH($B42,offices!$A$2:$A$61,0))),"")&lt;&gt;"",ISNUMBER(SEARCH($J42,IFERROR(IF(INDEX(offices!$AC$2:$AC$61,MATCH($B42,offices!$A$2:$A$61,0))="","",INDEX(offices!$AC$2:$AC$61,MATCH($B42,offices!$A$2:$A$61,0))),"")))),"BRAND VETOED; ","")&amp;IF(ISNUMBER(SEARCH(IFERROR(IF(INDEX(campaigns!$BF$2:$BF$51,MATCH($A42,campaigns!$A$2:$A$51,0))="","",INDEX(campaigns!$BF$2:$BF$51,MATCH($A42,campaigns!$A$2:$A$51,0))),""),IFERROR(IF(INDEX(offices!$AB$2:$AB$61,MATCH($B42,offices!$A$2:$A$61,0))="","",INDEX(offices!$AB$2:$AB$61,MATCH($B42,offices!$A$2:$A$61,0))),""))),"","info: category not on the office's list; ")&amp;IF(IFERROR(IF(INDEX(offices!$AC$2:$AC$61,MATCH($B42,offices!$A$2:$A$61,0))="","",INDEX(offices!$AC$2:$AC$61,MATCH($B42,offices!$A$2:$A$61,0))),"")&lt;&gt;"","info: read the vetoes against the label; ",""))</f>
        <v/>
      </c>
      <c r="S42" s="25">
        <f>IF($A42="","",IF($G42&lt;&gt;"",$G42,IFERROR(IF(INDEX(offices!$AL$2:$AL$61,MATCH($B42,offices!$A$2:$A$61,0))="","",INDEX(offices!$AL$2:$AL$61,MATCH($B42,offices!$A$2:$A$61,0))),"")))</f>
        <v/>
      </c>
      <c r="T42" s="25">
        <f>IF($A42="","",$A42&amp;"."&amp;$B42)</f>
        <v/>
      </c>
      <c r="U42" s="25">
        <f>IF($A42="","",SUMIFS(inventory!$G$2:$G$801,inventory!$C$2:$C$801,$A42,inventory!$D$2:$D$801,$B42,inventory!$E$2:$E$801,"delivered"))</f>
        <v/>
      </c>
      <c r="V42" s="32">
        <f>IF($A42="","",IFERROR(1/(1/SUMPRODUCT(MAX((inventory!$C$2:$C$801=$A42)*(inventory!$D$2:$D$801=$B42)*(inventory!$E$2:$E$801="delivered")*(inventory!$A$2:$A$801+inventory!$B$2:$B$801)))),""))</f>
        <v/>
      </c>
      <c r="W42" s="25">
        <f>IF($A42="","",IFERROR(IF(INDEX(inventory!$J$2:$J$801,MATCH($A42&amp;"|"&amp;$B42&amp;"|delivered",inventory!$R$2:$R$801,0))="","",INDEX(inventory!$J$2:$J$801,MATCH($A42&amp;"|"&amp;$B42&amp;"|delivered",inventory!$R$2:$R$801,0))),""))</f>
        <v/>
      </c>
      <c r="X42" s="25">
        <f>IF($A42="","",IFERROR(IF(INDEX(photos!$H$2:$H$701,MATCH($A42&amp;"|"&amp;$B42&amp;"|placement|Y",photos!$R$2:$R$701,0))="","",INDEX(photos!$H$2:$H$701,MATCH($A42&amp;"|"&amp;$B42&amp;"|placement|Y",photos!$R$2:$R$701,0))),""))</f>
        <v/>
      </c>
      <c r="Y42" s="26">
        <f>IF($A42="","",IFERROR(IF(INDEX(photos!$E$2:$E$701,MATCH($A42&amp;"|"&amp;$B42&amp;"|placement|Y",photos!$R$2:$R$701,0))="","",INDEX(photos!$E$2:$E$701,MATCH($A42&amp;"|"&amp;$B42&amp;"|placement|Y",photos!$R$2:$R$701,0))),""))</f>
        <v/>
      </c>
      <c r="Z42" s="25">
        <f>IF($A42="","",IF(COUNTIFS(counts!$C$2:$C$701,$A42,counts!$D$2:$D$701,$B42,counts!$E$2:$E$701,"placed")=0,"",SUMIFS(counts!$F$2:$F$701,counts!$C$2:$C$701,$A42,counts!$D$2:$D$701,$B42,counts!$E$2:$E$701,"placed")))</f>
        <v/>
      </c>
      <c r="AA42" s="25">
        <f>IF($A42="","",IF($Y42="",0,N($Z42)))</f>
        <v/>
      </c>
      <c r="AB42" s="25">
        <f>IF($A42="","",IF(OR($Y42="",$I42=""),"N",IF($Y42&lt;=WORKDAY(N($I42),1,calendar!$A$2:$A$80),"Y","N")))</f>
        <v/>
      </c>
      <c r="AC42" s="28">
        <f>IF(OR($A42="",$V42="",$Y42=""),"",ROUND(($Y42+N(IFERROR(IF(INDEX(photos!$F$2:$F$701,MATCH($A42&amp;"|"&amp;$B42&amp;"|placement|Y",photos!$R$2:$R$701,0))="","",INDEX(photos!$F$2:$F$701,MATCH($A42&amp;"|"&amp;$B42&amp;"|placement|Y",photos!$R$2:$R$701,0))),""))-$V42)*24,1))</f>
        <v/>
      </c>
      <c r="AD42" s="25">
        <f>IF($A42="","",SUMIFS(inventory!$G$2:$G$801,inventory!$C$2:$C$801,$A42,inventory!$D$2:$D$801,$B42,inventory!$E$2:$E$801,"topped_up"))</f>
        <v/>
      </c>
      <c r="AE42" s="25">
        <f>IF($A42="","",IF(COUNTIFS(counts!$C$2:$C$701,$A42,counts!$D$2:$D$701,$B42,counts!$E$2:$E$701,"remaining_day3")=0,"",SUMIFS(counts!$F$2:$F$701,counts!$C$2:$C$701,$A42,counts!$D$2:$D$701,$B42,counts!$E$2:$E$701,"remaining_day3")))</f>
        <v/>
      </c>
      <c r="AF42" s="25">
        <f>IF($A42="","",IF(COUNTIFS(counts!$C$2:$C$701,$A42,counts!$D$2:$D$701,$B42,counts!$E$2:$E$701,"remaining_day5")=0,"",SUMIFS(counts!$F$2:$F$701,counts!$C$2:$C$701,$A42,counts!$D$2:$D$701,$B42,counts!$E$2:$E$701,"remaining_day5")))</f>
        <v/>
      </c>
      <c r="AG42" s="25">
        <f>IF(OR($A42="",$AF42=""),"",MAX(0,$AA42+$AD42-$AF42))</f>
        <v/>
      </c>
      <c r="AH42" s="25">
        <f>IF(OR($A42="",$AI42=""),"",IFERROR(IF(INDEX(photos!$H$2:$H$701,MATCH($A42&amp;"|"&amp;$B42&amp;"|later|Y|"&amp;$AI42,photos!$S$2:$S$701,0))="","",INDEX(photos!$H$2:$H$701,MATCH($A42&amp;"|"&amp;$B42&amp;"|later|Y|"&amp;$AI42,photos!$S$2:$S$701,0))),""))</f>
        <v/>
      </c>
      <c r="AI42" s="26">
        <f>IF($A42="","",IFERROR(1/(1/SUMPRODUCT(MAX((photos!$B$2:$B$701=$A42)*(photos!$C$2:$C$701=$B42)*(photos!$D$2:$D$701="later")*(photos!$O$2:$O$701="Y")*photos!$E$2:$E$701))),""))</f>
        <v/>
      </c>
      <c r="AJ42" s="25">
        <f>IF(OR($A42="",$AI42="",$I42=""),"",NETWORKDAYS($I42,$AI42,calendar!$A$2:$A$80))</f>
        <v/>
      </c>
      <c r="AK42" s="25">
        <f>IF($A42="","",IF(AND($X42&lt;&gt;"",$AH42&lt;&gt;""),"Y","N"))</f>
        <v/>
      </c>
      <c r="AL42" s="25">
        <f>IF(OR($A42="",$I42=""),"",IF($BC42="Y",SUMIFS(survey_frozen!$C$2:$C$251,survey_frozen!$P$2:$P$251,$A42&amp;"|"&amp;$B42),IFERROR(COUNTIFS(INDIRECT("'"&amp;$A42&amp;"'!$B$2:$B$501"),$T42,INDIRECT("'"&amp;$A42&amp;"'!$A$2:$A$501"),"&gt;="&amp;$I42,INDIRECT("'"&amp;$A42&amp;"'!$A$2:$A$501"),"&lt;"&amp;($BA42+1)),0)))</f>
        <v/>
      </c>
      <c r="AM42" s="25">
        <f>IF(OR($A42="",$I42=""),"",IF($BC42="Y",SUMIFS(survey_frozen!$D$2:$D$251,survey_frozen!$P$2:$P$251,$A42&amp;"|"&amp;$B42),IFERROR(COUNTIFS(INDIRECT("'"&amp;$A42&amp;"'!$B$2:$B$501"),$T42,INDIRECT("'"&amp;$A42&amp;"'!$A$2:$A$501"),"&gt;="&amp;$I42,INDIRECT("'"&amp;$A42&amp;"'!$A$2:$A$501"),"&lt;"&amp;($BA42+1),INDIRECT("'"&amp;$A42&amp;"'!$C$2:$C$501"),"Yes"),0)))</f>
        <v/>
      </c>
      <c r="AN42" s="25">
        <f>IF($A42="","",IF(COUNTIFS(scans!$C$2:$C$1601,(IF(LEFT($A42,7)="SAMPLE-","SAMPLE-","")&amp;LOWER(SUBSTITUTE(SUBSTITUTE($A42,"SAMPLE-",""),"CMP-","c"))&amp;"-"&amp;LOWER(SUBSTITUTE(SUBSTITUTE($B42,"SAMPLE-",""),"O-","o"))&amp;"-q"),scans!$D$2:$D$1601,"close")=0,"",SUMPRODUCT(MAX((scans!$C$2:$C$1601=(IF(LEFT($A42,7)="SAMPLE-","SAMPLE-","")&amp;LOWER(SUBSTITUTE(SUBSTITUTE($A42,"SAMPLE-",""),"CMP-","c"))&amp;"-"&amp;LOWER(SUBSTITUTE(SUBSTITUTE($B42,"SAMPLE-",""),"O-","o"))&amp;"-q"))*(scans!$D$2:$D$1601="close")*scans!$E$2:$E$1601))-SUMPRODUCT(MAX((scans!$C$2:$C$1601=(IF(LEFT($A42,7)="SAMPLE-","SAMPLE-","")&amp;LOWER(SUBSTITUTE(SUBSTITUTE($A42,"SAMPLE-",""),"CMP-","c"))&amp;"-"&amp;LOWER(SUBSTITUTE(SUBSTITUTE($B42,"SAMPLE-",""),"O-","o"))&amp;"-q"))*(scans!$D$2:$D$1601="baseline")*scans!$E$2:$E$1601))))</f>
        <v/>
      </c>
      <c r="AO42" s="25">
        <f>IF($A42="","",IF(COUNTIFS(scans!$C$2:$C$1601,(IF(LEFT($A42,7)="SAMPLE-","SAMPLE-","")&amp;LOWER(SUBSTITUTE(SUBSTITUTE($A42,"SAMPLE-",""),"CMP-","c"))&amp;"-"&amp;LOWER(SUBSTITUTE(SUBSTITUTE($B42,"SAMPLE-",""),"O-","o"))&amp;"-p"),scans!$D$2:$D$1601,"close")=0,"",SUMPRODUCT(MAX((scans!$C$2:$C$1601=(IF(LEFT($A42,7)="SAMPLE-","SAMPLE-","")&amp;LOWER(SUBSTITUTE(SUBSTITUTE($A42,"SAMPLE-",""),"CMP-","c"))&amp;"-"&amp;LOWER(SUBSTITUTE(SUBSTITUTE($B42,"SAMPLE-",""),"O-","o"))&amp;"-p"))*(scans!$D$2:$D$1601="close")*scans!$E$2:$E$1601))-SUMPRODUCT(MAX((scans!$C$2:$C$1601=(IF(LEFT($A42,7)="SAMPLE-","SAMPLE-","")&amp;LOWER(SUBSTITUTE(SUBSTITUTE($A42,"SAMPLE-",""),"CMP-","c"))&amp;"-"&amp;LOWER(SUBSTITUTE(SUBSTITUTE($B42,"SAMPLE-",""),"O-","o"))&amp;"-p"))*(scans!$D$2:$D$1601="baseline")*scans!$E$2:$E$1601))))</f>
        <v/>
      </c>
      <c r="AP42" s="25">
        <f>IF($A42="","",IF(COUNTIF(offices!$A$2:$A$61,$B42)=0,"office_id not on offices; ","")&amp;IF(COUNTIF(campaigns!$A$2:$A$51,$A42)=0,"campaign_id not on campaigns; ","")&amp;IF($P42="pending","approval pending; ","")&amp;IF(AND($U42&gt;0,$Y42="",OR($I42="",IF(config!$B$37&lt;&gt;"",config!$B$37,TODAY())&lt;=WORKDAY(N($I42),4,calendar!$A$2:$A$80))),"no usable placement photo yet; ","")&amp;IF(AND($Y42&lt;&gt;"",$Z42=""),"log the placed count; ","")&amp;IF(N($AA42)&gt;N($U42),"placed more than delivered; ","")&amp;IF(AND($AF42&lt;&gt;"",N($AF42)&gt;N($AA42)+N($AD42)),"day-5 count above placed plus top-ups; ","")&amp;IF(AND($U42&gt;0,$I42&lt;&gt;"",IF(config!$B$37&lt;&gt;"",config!$B$37,TODAY())&gt;WORKDAY(N($I42),4,calendar!$A$2:$A$80),$AF42=""),"day-5 count missing; ","")&amp;IF(AND($U42&gt;0,$I42&lt;&gt;"",IF(config!$B$37&lt;&gt;"",config!$B$37,TODAY())&gt;WORKDAY(N($I42),4,calendar!$A$2:$A$80),$AN42=""),"no close link reading; ","")&amp;$R42&amp;IF($P42="N","info: office said no; ","")&amp;IF(AND($P42="Y",$Q42="N"),"info: turned away at the door, so not on the drop (no letter, not in the report or Gate 2; the credit check is on campaigns); ","")&amp;IF(AND($U42&gt;0,$Y42="",$I42&lt;&gt;"",IF(config!$B$37&lt;&gt;"",config!$B$37,TODAY())&gt;WORKDAY(N($I42),4,calendar!$A$2:$A$80)),"info: no usable placement photo, so nothing counts as placed; ","")&amp;IF(AND($U42&gt;0,$I42&lt;&gt;"",IF(config!$B$37&lt;&gt;"",config!$B$37,TODAY())&gt;WORKDAY(N($I42),4,calendar!$A$2:$A$80),N($AL42)&lt;config!$B$30),"info: under "&amp;config!$B$30&amp;" responses; ","")&amp;IF($W42="packing_list","info: delivered count not verified; ",""))</f>
        <v/>
      </c>
      <c r="AQ42" s="25">
        <f>IF(OR($A42="",$I42=""),"",IF($BC42="Y",SUMIFS(survey_frozen!$E$2:$E$251,survey_frozen!$P$2:$P$251,$A42&amp;"|"&amp;$B42),IFERROR(COUNTIFS(INDIRECT("'"&amp;$A42&amp;"'!$B$2:$B$501"),$T42,INDIRECT("'"&amp;$A42&amp;"'!$A$2:$A$501"),"&gt;="&amp;$I42,INDIRECT("'"&amp;$A42&amp;"'!$A$2:$A$501"),"&lt;"&amp;($BA42+1),INDIRECT("'"&amp;$A42&amp;"'!$F$2:$F$501"),"Didn't see it"),0)))</f>
        <v/>
      </c>
      <c r="AR42" s="25">
        <f>IF(OR($A42="",$I42=""),"",IF($BC42="Y",SUMIFS(survey_frozen!$F$2:$F$251,survey_frozen!$P$2:$P$251,$A42&amp;"|"&amp;$B42),IFERROR(COUNTIFS(INDIRECT("'"&amp;$A42&amp;"'!$B$2:$B$501"),$T42,INDIRECT("'"&amp;$A42&amp;"'!$A$2:$A$501"),"&gt;="&amp;$I42,INDIRECT("'"&amp;$A42&amp;"'!$A$2:$A$501"),"&lt;"&amp;($BA42+1),INDIRECT("'"&amp;$A42&amp;"'!$F$2:$F$501"),"Not for me"),0)))</f>
        <v/>
      </c>
      <c r="AS42" s="25">
        <f>IF(OR($A42="",$I42=""),"",IF($BC42="Y",SUMIFS(survey_frozen!$G$2:$G$251,survey_frozen!$P$2:$P$251,$A42&amp;"|"&amp;$B42),IFERROR(COUNTIFS(INDIRECT("'"&amp;$A42&amp;"'!$B$2:$B$501"),$T42,INDIRECT("'"&amp;$A42&amp;"'!$A$2:$A$501"),"&gt;="&amp;$I42,INDIRECT("'"&amp;$A42&amp;"'!$A$2:$A$501"),"&lt;"&amp;($BA42+1),INDIRECT("'"&amp;$A42&amp;"'!$F$2:$F$501"),"Gone by the time I looked"),0)))</f>
        <v/>
      </c>
      <c r="AT42" s="25">
        <f>IF(OR($A42="",$I42=""),"",IF($BC42="Y",SUMIFS(survey_frozen!$H$2:$H$251,survey_frozen!$P$2:$P$251,$A42&amp;"|"&amp;$B42),IFERROR(COUNTIFS(INDIRECT("'"&amp;$A42&amp;"'!$B$2:$B$501"),$T42,INDIRECT("'"&amp;$A42&amp;"'!$A$2:$A$501"),"&gt;="&amp;$I42,INDIRECT("'"&amp;$A42&amp;"'!$A$2:$A$501"),"&lt;"&amp;($BA42+1),INDIRECT("'"&amp;$A42&amp;"'!$D$2:$D$501"),"&gt;=1"),0)))</f>
        <v/>
      </c>
      <c r="AU42" s="25">
        <f>IF(OR($A42="",$I42=""),"",IF($BC42="Y",SUMIFS(survey_frozen!$I$2:$I$251,survey_frozen!$P$2:$P$251,$A42&amp;"|"&amp;$B42),IFERROR(SUMIFS(INDIRECT("'"&amp;$A42&amp;"'!$D$2:$D$501"),INDIRECT("'"&amp;$A42&amp;"'!$B$2:$B$501"),$T42,INDIRECT("'"&amp;$A42&amp;"'!$A$2:$A$501"),"&gt;="&amp;$I42,INDIRECT("'"&amp;$A42&amp;"'!$A$2:$A$501"),"&lt;"&amp;($BA42+1)),0)))</f>
        <v/>
      </c>
      <c r="AV42" s="25">
        <f>IF(OR($A42="",$I42=""),"",IF($BC42="Y",SUMIFS(survey_frozen!$J$2:$J$251,survey_frozen!$P$2:$P$251,$A42&amp;"|"&amp;$B42),IFERROR(COUNTIFS(INDIRECT("'"&amp;$A42&amp;"'!$B$2:$B$501"),$T42,INDIRECT("'"&amp;$A42&amp;"'!$A$2:$A$501"),"&gt;="&amp;$I42,INDIRECT("'"&amp;$A42&amp;"'!$A$2:$A$501"),"&lt;"&amp;($BA42+1),INDIRECT("'"&amp;$A42&amp;"'!$E$2:$E$501"),"Yes"),0)))</f>
        <v/>
      </c>
      <c r="AW42" s="25">
        <f>IF(OR($A42="",$I42=""),"",IF($BC42="Y",SUMIFS(survey_frozen!$K$2:$K$251,survey_frozen!$P$2:$P$251,$A42&amp;"|"&amp;$B42),IFERROR(COUNTIFS(INDIRECT("'"&amp;$A42&amp;"'!$B$2:$B$501"),$T42,INDIRECT("'"&amp;$A42&amp;"'!$A$2:$A$501"),"&gt;="&amp;$I42,INDIRECT("'"&amp;$A42&amp;"'!$A$2:$A$501"),"&lt;"&amp;($BA42+1),INDIRECT("'"&amp;$A42&amp;"'!$E$2:$E$501"),"Maybe"),0)))</f>
        <v/>
      </c>
      <c r="AX42" s="25">
        <f>IF(OR($A42="",$I42=""),"",IF($BC42="Y",SUMIFS(survey_frozen!$L$2:$L$251,survey_frozen!$P$2:$P$251,$A42&amp;"|"&amp;$B42),IFERROR(COUNTIFS(INDIRECT("'"&amp;$A42&amp;"'!$B$2:$B$501"),$T42,INDIRECT("'"&amp;$A42&amp;"'!$A$2:$A$501"),"&gt;="&amp;$I42,INDIRECT("'"&amp;$A42&amp;"'!$A$2:$A$501"),"&lt;"&amp;($BA42+1),INDIRECT("'"&amp;$A42&amp;"'!$E$2:$E$501"),"No"),0)))</f>
        <v/>
      </c>
      <c r="AY42" s="25">
        <f>IF(OR($A42="",$I42=""),"",IF($BC42="Y",SUMIFS(survey_frozen!$M$2:$M$251,survey_frozen!$P$2:$P$251,$A42&amp;"|"&amp;$B42),IFERROR(COUNTIFS(INDIRECT("'"&amp;$A42&amp;"'!$B$2:$B$501"),$T42,INDIRECT("'"&amp;$A42&amp;"'!$A$2:$A$501"),"&gt;="&amp;$I42,INDIRECT("'"&amp;$A42&amp;"'!$A$2:$A$501"),"&lt;"&amp;($BA42+1),INDIRECT("'"&amp;$A42&amp;"'!$G$2:$G$501"),"&lt;&gt;"),0)))</f>
        <v/>
      </c>
      <c r="AZ42" s="25">
        <f>IF($A42="","",$A42&amp;"|"&amp;$L42)</f>
        <v/>
      </c>
      <c r="BA42" s="26">
        <f>IF($A42="","",IFERROR(IF(INDEX(drops!$R$2:$R$21,MATCH($H42,drops!$A$2:$A$21,0))="","",INDEX(drops!$R$2:$R$21,MATCH($H42,drops!$A$2:$A$21,0))),""))</f>
        <v/>
      </c>
      <c r="BB42" s="25">
        <f>IF(OR($A42="",$Q42&lt;&gt;"Y"),1000000,N($AL42))</f>
        <v/>
      </c>
      <c r="BC42" s="25">
        <f>IF($A42="","",IF(COUNTIF(survey_frozen!$P$2:$P$251,$A42&amp;"|"&amp;$B42)&gt;0,"Y",""))</f>
        <v/>
      </c>
    </row>
    <row r="43">
      <c r="C43" s="9" t="n"/>
      <c r="E43" s="9" t="n"/>
      <c r="H43" s="25">
        <f>IF($A43="","",IFERROR(IF(INDEX(campaigns!$B$2:$B$51,MATCH($A43,campaigns!$A$2:$A$51,0))="","",INDEX(campaigns!$B$2:$B$51,MATCH($A43,campaigns!$A$2:$A$51,0))),""))</f>
        <v/>
      </c>
      <c r="I43" s="26">
        <f>IF($A43="","",IFERROR(IF(INDEX(campaigns!$BG$2:$BG$51,MATCH($A43,campaigns!$A$2:$A$51,0))="","",INDEX(campaigns!$BG$2:$BG$51,MATCH($A43,campaigns!$A$2:$A$51,0))),""))</f>
        <v/>
      </c>
      <c r="J43" s="25">
        <f>IF($A43="","",IFERROR(IF(INDEX(campaigns!$BE$2:$BE$51,MATCH($A43,campaigns!$A$2:$A$51,0))="","",INDEX(campaigns!$BE$2:$BE$51,MATCH($A43,campaigns!$A$2:$A$51,0))),""))</f>
        <v/>
      </c>
      <c r="K43" s="25">
        <f>IF($B43="","",IFERROR(IF(INDEX(offices!$N$2:$N$61,MATCH($B43,offices!$A$2:$A$61,0))="","",INDEX(offices!$N$2:$N$61,MATCH($B43,offices!$A$2:$A$61,0))),""))</f>
        <v/>
      </c>
      <c r="L43" s="25">
        <f>IF($A43="","",IF($Q43="N","",COUNTIFS($A$2:$A43,$A43,$Q$2:$Q43,"&lt;&gt;N")))</f>
        <v/>
      </c>
      <c r="M43" s="25">
        <f>IF(OR($A43="",$L43=""),"",IF(AND(config!$B$34="names_if_public",IFERROR(IF(INDEX(offices!$AF$2:$AF$61,MATCH($B43,offices!$A$2:$A$61,0))="","",INDEX(offices!$AF$2:$AF$61,MATCH($B43,offices!$A$2:$A$61,0))),"")="Y"),$K43,CHAR(64+$L43)))</f>
        <v/>
      </c>
      <c r="N43" s="25">
        <f>IF(OR($A43="",$I43=""),"",COUNTIFS(stops!$B$2:$B$151,$B43,stops!$P$2:$P$151,"&lt;"&amp;$I43,stops!$L$2:$L$151,"&lt;&gt;not_delivered")+1)</f>
        <v/>
      </c>
      <c r="O43" s="25">
        <f>IF($A43="","",IF(N($N43)&lt;=config!$B$29,"explicit","opt-out"))</f>
        <v/>
      </c>
      <c r="P43" s="25">
        <f>IF($A43="","",IF($O43="explicit",IF($D43="yes","Y",IF($D43="no","N","pending")),IF($D43="no","N",IF(AND($C43&lt;&gt;"",$I43&lt;&gt;"",$C43&lt;=WORKDAY(N($I43),-5,calendar!$A$2:$A$80)),"Y","pending"))))</f>
        <v/>
      </c>
      <c r="Q43" s="25">
        <f>IF($A43="","",IF($P43="N","N",IF($P43&lt;&gt;"Y","pending",IF(AND((COUNTIFS(stops!$A$2:$A$151,$H43,stops!$B$2:$B$151,$B43,stops!$L$2:$L$151,"declined")+COUNTIFS(stops!$A$2:$A$151,$H43,stops!$B$2:$B$151,$B43,stops!$L$2:$L$151,"building_refused")+COUNTIFS(stops!$A$2:$A$151,$H43,stops!$B$2:$B$151,$B43,stops!$L$2:$L$151,"not_delivered"))&gt;0,N($U43)=0),"N","Y"))))</f>
        <v/>
      </c>
      <c r="R43" s="25">
        <f>IF($A43="","",IF(COUNTIFS($A$2:$A$251,$A43,$B$2:$B$251,$B43)&gt;1,"DUPLICATE ROW; ","")&amp;IF(AND(IFERROR(IF(INDEX(offices!$AC$2:$AC$61,MATCH($B43,offices!$A$2:$A$61,0))="","",INDEX(offices!$AC$2:$AC$61,MATCH($B43,offices!$A$2:$A$61,0))),"")&lt;&gt;"",ISNUMBER(SEARCH($J43,IFERROR(IF(INDEX(offices!$AC$2:$AC$61,MATCH($B43,offices!$A$2:$A$61,0))="","",INDEX(offices!$AC$2:$AC$61,MATCH($B43,offices!$A$2:$A$61,0))),"")))),"BRAND VETOED; ","")&amp;IF(ISNUMBER(SEARCH(IFERROR(IF(INDEX(campaigns!$BF$2:$BF$51,MATCH($A43,campaigns!$A$2:$A$51,0))="","",INDEX(campaigns!$BF$2:$BF$51,MATCH($A43,campaigns!$A$2:$A$51,0))),""),IFERROR(IF(INDEX(offices!$AB$2:$AB$61,MATCH($B43,offices!$A$2:$A$61,0))="","",INDEX(offices!$AB$2:$AB$61,MATCH($B43,offices!$A$2:$A$61,0))),""))),"","info: category not on the office's list; ")&amp;IF(IFERROR(IF(INDEX(offices!$AC$2:$AC$61,MATCH($B43,offices!$A$2:$A$61,0))="","",INDEX(offices!$AC$2:$AC$61,MATCH($B43,offices!$A$2:$A$61,0))),"")&lt;&gt;"","info: read the vetoes against the label; ",""))</f>
        <v/>
      </c>
      <c r="S43" s="25">
        <f>IF($A43="","",IF($G43&lt;&gt;"",$G43,IFERROR(IF(INDEX(offices!$AL$2:$AL$61,MATCH($B43,offices!$A$2:$A$61,0))="","",INDEX(offices!$AL$2:$AL$61,MATCH($B43,offices!$A$2:$A$61,0))),"")))</f>
        <v/>
      </c>
      <c r="T43" s="25">
        <f>IF($A43="","",$A43&amp;"."&amp;$B43)</f>
        <v/>
      </c>
      <c r="U43" s="25">
        <f>IF($A43="","",SUMIFS(inventory!$G$2:$G$801,inventory!$C$2:$C$801,$A43,inventory!$D$2:$D$801,$B43,inventory!$E$2:$E$801,"delivered"))</f>
        <v/>
      </c>
      <c r="V43" s="32">
        <f>IF($A43="","",IFERROR(1/(1/SUMPRODUCT(MAX((inventory!$C$2:$C$801=$A43)*(inventory!$D$2:$D$801=$B43)*(inventory!$E$2:$E$801="delivered")*(inventory!$A$2:$A$801+inventory!$B$2:$B$801)))),""))</f>
        <v/>
      </c>
      <c r="W43" s="25">
        <f>IF($A43="","",IFERROR(IF(INDEX(inventory!$J$2:$J$801,MATCH($A43&amp;"|"&amp;$B43&amp;"|delivered",inventory!$R$2:$R$801,0))="","",INDEX(inventory!$J$2:$J$801,MATCH($A43&amp;"|"&amp;$B43&amp;"|delivered",inventory!$R$2:$R$801,0))),""))</f>
        <v/>
      </c>
      <c r="X43" s="25">
        <f>IF($A43="","",IFERROR(IF(INDEX(photos!$H$2:$H$701,MATCH($A43&amp;"|"&amp;$B43&amp;"|placement|Y",photos!$R$2:$R$701,0))="","",INDEX(photos!$H$2:$H$701,MATCH($A43&amp;"|"&amp;$B43&amp;"|placement|Y",photos!$R$2:$R$701,0))),""))</f>
        <v/>
      </c>
      <c r="Y43" s="26">
        <f>IF($A43="","",IFERROR(IF(INDEX(photos!$E$2:$E$701,MATCH($A43&amp;"|"&amp;$B43&amp;"|placement|Y",photos!$R$2:$R$701,0))="","",INDEX(photos!$E$2:$E$701,MATCH($A43&amp;"|"&amp;$B43&amp;"|placement|Y",photos!$R$2:$R$701,0))),""))</f>
        <v/>
      </c>
      <c r="Z43" s="25">
        <f>IF($A43="","",IF(COUNTIFS(counts!$C$2:$C$701,$A43,counts!$D$2:$D$701,$B43,counts!$E$2:$E$701,"placed")=0,"",SUMIFS(counts!$F$2:$F$701,counts!$C$2:$C$701,$A43,counts!$D$2:$D$701,$B43,counts!$E$2:$E$701,"placed")))</f>
        <v/>
      </c>
      <c r="AA43" s="25">
        <f>IF($A43="","",IF($Y43="",0,N($Z43)))</f>
        <v/>
      </c>
      <c r="AB43" s="25">
        <f>IF($A43="","",IF(OR($Y43="",$I43=""),"N",IF($Y43&lt;=WORKDAY(N($I43),1,calendar!$A$2:$A$80),"Y","N")))</f>
        <v/>
      </c>
      <c r="AC43" s="28">
        <f>IF(OR($A43="",$V43="",$Y43=""),"",ROUND(($Y43+N(IFERROR(IF(INDEX(photos!$F$2:$F$701,MATCH($A43&amp;"|"&amp;$B43&amp;"|placement|Y",photos!$R$2:$R$701,0))="","",INDEX(photos!$F$2:$F$701,MATCH($A43&amp;"|"&amp;$B43&amp;"|placement|Y",photos!$R$2:$R$701,0))),""))-$V43)*24,1))</f>
        <v/>
      </c>
      <c r="AD43" s="25">
        <f>IF($A43="","",SUMIFS(inventory!$G$2:$G$801,inventory!$C$2:$C$801,$A43,inventory!$D$2:$D$801,$B43,inventory!$E$2:$E$801,"topped_up"))</f>
        <v/>
      </c>
      <c r="AE43" s="25">
        <f>IF($A43="","",IF(COUNTIFS(counts!$C$2:$C$701,$A43,counts!$D$2:$D$701,$B43,counts!$E$2:$E$701,"remaining_day3")=0,"",SUMIFS(counts!$F$2:$F$701,counts!$C$2:$C$701,$A43,counts!$D$2:$D$701,$B43,counts!$E$2:$E$701,"remaining_day3")))</f>
        <v/>
      </c>
      <c r="AF43" s="25">
        <f>IF($A43="","",IF(COUNTIFS(counts!$C$2:$C$701,$A43,counts!$D$2:$D$701,$B43,counts!$E$2:$E$701,"remaining_day5")=0,"",SUMIFS(counts!$F$2:$F$701,counts!$C$2:$C$701,$A43,counts!$D$2:$D$701,$B43,counts!$E$2:$E$701,"remaining_day5")))</f>
        <v/>
      </c>
      <c r="AG43" s="25">
        <f>IF(OR($A43="",$AF43=""),"",MAX(0,$AA43+$AD43-$AF43))</f>
        <v/>
      </c>
      <c r="AH43" s="25">
        <f>IF(OR($A43="",$AI43=""),"",IFERROR(IF(INDEX(photos!$H$2:$H$701,MATCH($A43&amp;"|"&amp;$B43&amp;"|later|Y|"&amp;$AI43,photos!$S$2:$S$701,0))="","",INDEX(photos!$H$2:$H$701,MATCH($A43&amp;"|"&amp;$B43&amp;"|later|Y|"&amp;$AI43,photos!$S$2:$S$701,0))),""))</f>
        <v/>
      </c>
      <c r="AI43" s="26">
        <f>IF($A43="","",IFERROR(1/(1/SUMPRODUCT(MAX((photos!$B$2:$B$701=$A43)*(photos!$C$2:$C$701=$B43)*(photos!$D$2:$D$701="later")*(photos!$O$2:$O$701="Y")*photos!$E$2:$E$701))),""))</f>
        <v/>
      </c>
      <c r="AJ43" s="25">
        <f>IF(OR($A43="",$AI43="",$I43=""),"",NETWORKDAYS($I43,$AI43,calendar!$A$2:$A$80))</f>
        <v/>
      </c>
      <c r="AK43" s="25">
        <f>IF($A43="","",IF(AND($X43&lt;&gt;"",$AH43&lt;&gt;""),"Y","N"))</f>
        <v/>
      </c>
      <c r="AL43" s="25">
        <f>IF(OR($A43="",$I43=""),"",IF($BC43="Y",SUMIFS(survey_frozen!$C$2:$C$251,survey_frozen!$P$2:$P$251,$A43&amp;"|"&amp;$B43),IFERROR(COUNTIFS(INDIRECT("'"&amp;$A43&amp;"'!$B$2:$B$501"),$T43,INDIRECT("'"&amp;$A43&amp;"'!$A$2:$A$501"),"&gt;="&amp;$I43,INDIRECT("'"&amp;$A43&amp;"'!$A$2:$A$501"),"&lt;"&amp;($BA43+1)),0)))</f>
        <v/>
      </c>
      <c r="AM43" s="25">
        <f>IF(OR($A43="",$I43=""),"",IF($BC43="Y",SUMIFS(survey_frozen!$D$2:$D$251,survey_frozen!$P$2:$P$251,$A43&amp;"|"&amp;$B43),IFERROR(COUNTIFS(INDIRECT("'"&amp;$A43&amp;"'!$B$2:$B$501"),$T43,INDIRECT("'"&amp;$A43&amp;"'!$A$2:$A$501"),"&gt;="&amp;$I43,INDIRECT("'"&amp;$A43&amp;"'!$A$2:$A$501"),"&lt;"&amp;($BA43+1),INDIRECT("'"&amp;$A43&amp;"'!$C$2:$C$501"),"Yes"),0)))</f>
        <v/>
      </c>
      <c r="AN43" s="25">
        <f>IF($A43="","",IF(COUNTIFS(scans!$C$2:$C$1601,(IF(LEFT($A43,7)="SAMPLE-","SAMPLE-","")&amp;LOWER(SUBSTITUTE(SUBSTITUTE($A43,"SAMPLE-",""),"CMP-","c"))&amp;"-"&amp;LOWER(SUBSTITUTE(SUBSTITUTE($B43,"SAMPLE-",""),"O-","o"))&amp;"-q"),scans!$D$2:$D$1601,"close")=0,"",SUMPRODUCT(MAX((scans!$C$2:$C$1601=(IF(LEFT($A43,7)="SAMPLE-","SAMPLE-","")&amp;LOWER(SUBSTITUTE(SUBSTITUTE($A43,"SAMPLE-",""),"CMP-","c"))&amp;"-"&amp;LOWER(SUBSTITUTE(SUBSTITUTE($B43,"SAMPLE-",""),"O-","o"))&amp;"-q"))*(scans!$D$2:$D$1601="close")*scans!$E$2:$E$1601))-SUMPRODUCT(MAX((scans!$C$2:$C$1601=(IF(LEFT($A43,7)="SAMPLE-","SAMPLE-","")&amp;LOWER(SUBSTITUTE(SUBSTITUTE($A43,"SAMPLE-",""),"CMP-","c"))&amp;"-"&amp;LOWER(SUBSTITUTE(SUBSTITUTE($B43,"SAMPLE-",""),"O-","o"))&amp;"-q"))*(scans!$D$2:$D$1601="baseline")*scans!$E$2:$E$1601))))</f>
        <v/>
      </c>
      <c r="AO43" s="25">
        <f>IF($A43="","",IF(COUNTIFS(scans!$C$2:$C$1601,(IF(LEFT($A43,7)="SAMPLE-","SAMPLE-","")&amp;LOWER(SUBSTITUTE(SUBSTITUTE($A43,"SAMPLE-",""),"CMP-","c"))&amp;"-"&amp;LOWER(SUBSTITUTE(SUBSTITUTE($B43,"SAMPLE-",""),"O-","o"))&amp;"-p"),scans!$D$2:$D$1601,"close")=0,"",SUMPRODUCT(MAX((scans!$C$2:$C$1601=(IF(LEFT($A43,7)="SAMPLE-","SAMPLE-","")&amp;LOWER(SUBSTITUTE(SUBSTITUTE($A43,"SAMPLE-",""),"CMP-","c"))&amp;"-"&amp;LOWER(SUBSTITUTE(SUBSTITUTE($B43,"SAMPLE-",""),"O-","o"))&amp;"-p"))*(scans!$D$2:$D$1601="close")*scans!$E$2:$E$1601))-SUMPRODUCT(MAX((scans!$C$2:$C$1601=(IF(LEFT($A43,7)="SAMPLE-","SAMPLE-","")&amp;LOWER(SUBSTITUTE(SUBSTITUTE($A43,"SAMPLE-",""),"CMP-","c"))&amp;"-"&amp;LOWER(SUBSTITUTE(SUBSTITUTE($B43,"SAMPLE-",""),"O-","o"))&amp;"-p"))*(scans!$D$2:$D$1601="baseline")*scans!$E$2:$E$1601))))</f>
        <v/>
      </c>
      <c r="AP43" s="25">
        <f>IF($A43="","",IF(COUNTIF(offices!$A$2:$A$61,$B43)=0,"office_id not on offices; ","")&amp;IF(COUNTIF(campaigns!$A$2:$A$51,$A43)=0,"campaign_id not on campaigns; ","")&amp;IF($P43="pending","approval pending; ","")&amp;IF(AND($U43&gt;0,$Y43="",OR($I43="",IF(config!$B$37&lt;&gt;"",config!$B$37,TODAY())&lt;=WORKDAY(N($I43),4,calendar!$A$2:$A$80))),"no usable placement photo yet; ","")&amp;IF(AND($Y43&lt;&gt;"",$Z43=""),"log the placed count; ","")&amp;IF(N($AA43)&gt;N($U43),"placed more than delivered; ","")&amp;IF(AND($AF43&lt;&gt;"",N($AF43)&gt;N($AA43)+N($AD43)),"day-5 count above placed plus top-ups; ","")&amp;IF(AND($U43&gt;0,$I43&lt;&gt;"",IF(config!$B$37&lt;&gt;"",config!$B$37,TODAY())&gt;WORKDAY(N($I43),4,calendar!$A$2:$A$80),$AF43=""),"day-5 count missing; ","")&amp;IF(AND($U43&gt;0,$I43&lt;&gt;"",IF(config!$B$37&lt;&gt;"",config!$B$37,TODAY())&gt;WORKDAY(N($I43),4,calendar!$A$2:$A$80),$AN43=""),"no close link reading; ","")&amp;$R43&amp;IF($P43="N","info: office said no; ","")&amp;IF(AND($P43="Y",$Q43="N"),"info: turned away at the door, so not on the drop (no letter, not in the report or Gate 2; the credit check is on campaigns); ","")&amp;IF(AND($U43&gt;0,$Y43="",$I43&lt;&gt;"",IF(config!$B$37&lt;&gt;"",config!$B$37,TODAY())&gt;WORKDAY(N($I43),4,calendar!$A$2:$A$80)),"info: no usable placement photo, so nothing counts as placed; ","")&amp;IF(AND($U43&gt;0,$I43&lt;&gt;"",IF(config!$B$37&lt;&gt;"",config!$B$37,TODAY())&gt;WORKDAY(N($I43),4,calendar!$A$2:$A$80),N($AL43)&lt;config!$B$30),"info: under "&amp;config!$B$30&amp;" responses; ","")&amp;IF($W43="packing_list","info: delivered count not verified; ",""))</f>
        <v/>
      </c>
      <c r="AQ43" s="25">
        <f>IF(OR($A43="",$I43=""),"",IF($BC43="Y",SUMIFS(survey_frozen!$E$2:$E$251,survey_frozen!$P$2:$P$251,$A43&amp;"|"&amp;$B43),IFERROR(COUNTIFS(INDIRECT("'"&amp;$A43&amp;"'!$B$2:$B$501"),$T43,INDIRECT("'"&amp;$A43&amp;"'!$A$2:$A$501"),"&gt;="&amp;$I43,INDIRECT("'"&amp;$A43&amp;"'!$A$2:$A$501"),"&lt;"&amp;($BA43+1),INDIRECT("'"&amp;$A43&amp;"'!$F$2:$F$501"),"Didn't see it"),0)))</f>
        <v/>
      </c>
      <c r="AR43" s="25">
        <f>IF(OR($A43="",$I43=""),"",IF($BC43="Y",SUMIFS(survey_frozen!$F$2:$F$251,survey_frozen!$P$2:$P$251,$A43&amp;"|"&amp;$B43),IFERROR(COUNTIFS(INDIRECT("'"&amp;$A43&amp;"'!$B$2:$B$501"),$T43,INDIRECT("'"&amp;$A43&amp;"'!$A$2:$A$501"),"&gt;="&amp;$I43,INDIRECT("'"&amp;$A43&amp;"'!$A$2:$A$501"),"&lt;"&amp;($BA43+1),INDIRECT("'"&amp;$A43&amp;"'!$F$2:$F$501"),"Not for me"),0)))</f>
        <v/>
      </c>
      <c r="AS43" s="25">
        <f>IF(OR($A43="",$I43=""),"",IF($BC43="Y",SUMIFS(survey_frozen!$G$2:$G$251,survey_frozen!$P$2:$P$251,$A43&amp;"|"&amp;$B43),IFERROR(COUNTIFS(INDIRECT("'"&amp;$A43&amp;"'!$B$2:$B$501"),$T43,INDIRECT("'"&amp;$A43&amp;"'!$A$2:$A$501"),"&gt;="&amp;$I43,INDIRECT("'"&amp;$A43&amp;"'!$A$2:$A$501"),"&lt;"&amp;($BA43+1),INDIRECT("'"&amp;$A43&amp;"'!$F$2:$F$501"),"Gone by the time I looked"),0)))</f>
        <v/>
      </c>
      <c r="AT43" s="25">
        <f>IF(OR($A43="",$I43=""),"",IF($BC43="Y",SUMIFS(survey_frozen!$H$2:$H$251,survey_frozen!$P$2:$P$251,$A43&amp;"|"&amp;$B43),IFERROR(COUNTIFS(INDIRECT("'"&amp;$A43&amp;"'!$B$2:$B$501"),$T43,INDIRECT("'"&amp;$A43&amp;"'!$A$2:$A$501"),"&gt;="&amp;$I43,INDIRECT("'"&amp;$A43&amp;"'!$A$2:$A$501"),"&lt;"&amp;($BA43+1),INDIRECT("'"&amp;$A43&amp;"'!$D$2:$D$501"),"&gt;=1"),0)))</f>
        <v/>
      </c>
      <c r="AU43" s="25">
        <f>IF(OR($A43="",$I43=""),"",IF($BC43="Y",SUMIFS(survey_frozen!$I$2:$I$251,survey_frozen!$P$2:$P$251,$A43&amp;"|"&amp;$B43),IFERROR(SUMIFS(INDIRECT("'"&amp;$A43&amp;"'!$D$2:$D$501"),INDIRECT("'"&amp;$A43&amp;"'!$B$2:$B$501"),$T43,INDIRECT("'"&amp;$A43&amp;"'!$A$2:$A$501"),"&gt;="&amp;$I43,INDIRECT("'"&amp;$A43&amp;"'!$A$2:$A$501"),"&lt;"&amp;($BA43+1)),0)))</f>
        <v/>
      </c>
      <c r="AV43" s="25">
        <f>IF(OR($A43="",$I43=""),"",IF($BC43="Y",SUMIFS(survey_frozen!$J$2:$J$251,survey_frozen!$P$2:$P$251,$A43&amp;"|"&amp;$B43),IFERROR(COUNTIFS(INDIRECT("'"&amp;$A43&amp;"'!$B$2:$B$501"),$T43,INDIRECT("'"&amp;$A43&amp;"'!$A$2:$A$501"),"&gt;="&amp;$I43,INDIRECT("'"&amp;$A43&amp;"'!$A$2:$A$501"),"&lt;"&amp;($BA43+1),INDIRECT("'"&amp;$A43&amp;"'!$E$2:$E$501"),"Yes"),0)))</f>
        <v/>
      </c>
      <c r="AW43" s="25">
        <f>IF(OR($A43="",$I43=""),"",IF($BC43="Y",SUMIFS(survey_frozen!$K$2:$K$251,survey_frozen!$P$2:$P$251,$A43&amp;"|"&amp;$B43),IFERROR(COUNTIFS(INDIRECT("'"&amp;$A43&amp;"'!$B$2:$B$501"),$T43,INDIRECT("'"&amp;$A43&amp;"'!$A$2:$A$501"),"&gt;="&amp;$I43,INDIRECT("'"&amp;$A43&amp;"'!$A$2:$A$501"),"&lt;"&amp;($BA43+1),INDIRECT("'"&amp;$A43&amp;"'!$E$2:$E$501"),"Maybe"),0)))</f>
        <v/>
      </c>
      <c r="AX43" s="25">
        <f>IF(OR($A43="",$I43=""),"",IF($BC43="Y",SUMIFS(survey_frozen!$L$2:$L$251,survey_frozen!$P$2:$P$251,$A43&amp;"|"&amp;$B43),IFERROR(COUNTIFS(INDIRECT("'"&amp;$A43&amp;"'!$B$2:$B$501"),$T43,INDIRECT("'"&amp;$A43&amp;"'!$A$2:$A$501"),"&gt;="&amp;$I43,INDIRECT("'"&amp;$A43&amp;"'!$A$2:$A$501"),"&lt;"&amp;($BA43+1),INDIRECT("'"&amp;$A43&amp;"'!$E$2:$E$501"),"No"),0)))</f>
        <v/>
      </c>
      <c r="AY43" s="25">
        <f>IF(OR($A43="",$I43=""),"",IF($BC43="Y",SUMIFS(survey_frozen!$M$2:$M$251,survey_frozen!$P$2:$P$251,$A43&amp;"|"&amp;$B43),IFERROR(COUNTIFS(INDIRECT("'"&amp;$A43&amp;"'!$B$2:$B$501"),$T43,INDIRECT("'"&amp;$A43&amp;"'!$A$2:$A$501"),"&gt;="&amp;$I43,INDIRECT("'"&amp;$A43&amp;"'!$A$2:$A$501"),"&lt;"&amp;($BA43+1),INDIRECT("'"&amp;$A43&amp;"'!$G$2:$G$501"),"&lt;&gt;"),0)))</f>
        <v/>
      </c>
      <c r="AZ43" s="25">
        <f>IF($A43="","",$A43&amp;"|"&amp;$L43)</f>
        <v/>
      </c>
      <c r="BA43" s="26">
        <f>IF($A43="","",IFERROR(IF(INDEX(drops!$R$2:$R$21,MATCH($H43,drops!$A$2:$A$21,0))="","",INDEX(drops!$R$2:$R$21,MATCH($H43,drops!$A$2:$A$21,0))),""))</f>
        <v/>
      </c>
      <c r="BB43" s="25">
        <f>IF(OR($A43="",$Q43&lt;&gt;"Y"),1000000,N($AL43))</f>
        <v/>
      </c>
      <c r="BC43" s="25">
        <f>IF($A43="","",IF(COUNTIF(survey_frozen!$P$2:$P$251,$A43&amp;"|"&amp;$B43)&gt;0,"Y",""))</f>
        <v/>
      </c>
    </row>
    <row r="44">
      <c r="C44" s="9" t="n"/>
      <c r="E44" s="9" t="n"/>
      <c r="H44" s="25">
        <f>IF($A44="","",IFERROR(IF(INDEX(campaigns!$B$2:$B$51,MATCH($A44,campaigns!$A$2:$A$51,0))="","",INDEX(campaigns!$B$2:$B$51,MATCH($A44,campaigns!$A$2:$A$51,0))),""))</f>
        <v/>
      </c>
      <c r="I44" s="26">
        <f>IF($A44="","",IFERROR(IF(INDEX(campaigns!$BG$2:$BG$51,MATCH($A44,campaigns!$A$2:$A$51,0))="","",INDEX(campaigns!$BG$2:$BG$51,MATCH($A44,campaigns!$A$2:$A$51,0))),""))</f>
        <v/>
      </c>
      <c r="J44" s="25">
        <f>IF($A44="","",IFERROR(IF(INDEX(campaigns!$BE$2:$BE$51,MATCH($A44,campaigns!$A$2:$A$51,0))="","",INDEX(campaigns!$BE$2:$BE$51,MATCH($A44,campaigns!$A$2:$A$51,0))),""))</f>
        <v/>
      </c>
      <c r="K44" s="25">
        <f>IF($B44="","",IFERROR(IF(INDEX(offices!$N$2:$N$61,MATCH($B44,offices!$A$2:$A$61,0))="","",INDEX(offices!$N$2:$N$61,MATCH($B44,offices!$A$2:$A$61,0))),""))</f>
        <v/>
      </c>
      <c r="L44" s="25">
        <f>IF($A44="","",IF($Q44="N","",COUNTIFS($A$2:$A44,$A44,$Q$2:$Q44,"&lt;&gt;N")))</f>
        <v/>
      </c>
      <c r="M44" s="25">
        <f>IF(OR($A44="",$L44=""),"",IF(AND(config!$B$34="names_if_public",IFERROR(IF(INDEX(offices!$AF$2:$AF$61,MATCH($B44,offices!$A$2:$A$61,0))="","",INDEX(offices!$AF$2:$AF$61,MATCH($B44,offices!$A$2:$A$61,0))),"")="Y"),$K44,CHAR(64+$L44)))</f>
        <v/>
      </c>
      <c r="N44" s="25">
        <f>IF(OR($A44="",$I44=""),"",COUNTIFS(stops!$B$2:$B$151,$B44,stops!$P$2:$P$151,"&lt;"&amp;$I44,stops!$L$2:$L$151,"&lt;&gt;not_delivered")+1)</f>
        <v/>
      </c>
      <c r="O44" s="25">
        <f>IF($A44="","",IF(N($N44)&lt;=config!$B$29,"explicit","opt-out"))</f>
        <v/>
      </c>
      <c r="P44" s="25">
        <f>IF($A44="","",IF($O44="explicit",IF($D44="yes","Y",IF($D44="no","N","pending")),IF($D44="no","N",IF(AND($C44&lt;&gt;"",$I44&lt;&gt;"",$C44&lt;=WORKDAY(N($I44),-5,calendar!$A$2:$A$80)),"Y","pending"))))</f>
        <v/>
      </c>
      <c r="Q44" s="25">
        <f>IF($A44="","",IF($P44="N","N",IF($P44&lt;&gt;"Y","pending",IF(AND((COUNTIFS(stops!$A$2:$A$151,$H44,stops!$B$2:$B$151,$B44,stops!$L$2:$L$151,"declined")+COUNTIFS(stops!$A$2:$A$151,$H44,stops!$B$2:$B$151,$B44,stops!$L$2:$L$151,"building_refused")+COUNTIFS(stops!$A$2:$A$151,$H44,stops!$B$2:$B$151,$B44,stops!$L$2:$L$151,"not_delivered"))&gt;0,N($U44)=0),"N","Y"))))</f>
        <v/>
      </c>
      <c r="R44" s="25">
        <f>IF($A44="","",IF(COUNTIFS($A$2:$A$251,$A44,$B$2:$B$251,$B44)&gt;1,"DUPLICATE ROW; ","")&amp;IF(AND(IFERROR(IF(INDEX(offices!$AC$2:$AC$61,MATCH($B44,offices!$A$2:$A$61,0))="","",INDEX(offices!$AC$2:$AC$61,MATCH($B44,offices!$A$2:$A$61,0))),"")&lt;&gt;"",ISNUMBER(SEARCH($J44,IFERROR(IF(INDEX(offices!$AC$2:$AC$61,MATCH($B44,offices!$A$2:$A$61,0))="","",INDEX(offices!$AC$2:$AC$61,MATCH($B44,offices!$A$2:$A$61,0))),"")))),"BRAND VETOED; ","")&amp;IF(ISNUMBER(SEARCH(IFERROR(IF(INDEX(campaigns!$BF$2:$BF$51,MATCH($A44,campaigns!$A$2:$A$51,0))="","",INDEX(campaigns!$BF$2:$BF$51,MATCH($A44,campaigns!$A$2:$A$51,0))),""),IFERROR(IF(INDEX(offices!$AB$2:$AB$61,MATCH($B44,offices!$A$2:$A$61,0))="","",INDEX(offices!$AB$2:$AB$61,MATCH($B44,offices!$A$2:$A$61,0))),""))),"","info: category not on the office's list; ")&amp;IF(IFERROR(IF(INDEX(offices!$AC$2:$AC$61,MATCH($B44,offices!$A$2:$A$61,0))="","",INDEX(offices!$AC$2:$AC$61,MATCH($B44,offices!$A$2:$A$61,0))),"")&lt;&gt;"","info: read the vetoes against the label; ",""))</f>
        <v/>
      </c>
      <c r="S44" s="25">
        <f>IF($A44="","",IF($G44&lt;&gt;"",$G44,IFERROR(IF(INDEX(offices!$AL$2:$AL$61,MATCH($B44,offices!$A$2:$A$61,0))="","",INDEX(offices!$AL$2:$AL$61,MATCH($B44,offices!$A$2:$A$61,0))),"")))</f>
        <v/>
      </c>
      <c r="T44" s="25">
        <f>IF($A44="","",$A44&amp;"."&amp;$B44)</f>
        <v/>
      </c>
      <c r="U44" s="25">
        <f>IF($A44="","",SUMIFS(inventory!$G$2:$G$801,inventory!$C$2:$C$801,$A44,inventory!$D$2:$D$801,$B44,inventory!$E$2:$E$801,"delivered"))</f>
        <v/>
      </c>
      <c r="V44" s="32">
        <f>IF($A44="","",IFERROR(1/(1/SUMPRODUCT(MAX((inventory!$C$2:$C$801=$A44)*(inventory!$D$2:$D$801=$B44)*(inventory!$E$2:$E$801="delivered")*(inventory!$A$2:$A$801+inventory!$B$2:$B$801)))),""))</f>
        <v/>
      </c>
      <c r="W44" s="25">
        <f>IF($A44="","",IFERROR(IF(INDEX(inventory!$J$2:$J$801,MATCH($A44&amp;"|"&amp;$B44&amp;"|delivered",inventory!$R$2:$R$801,0))="","",INDEX(inventory!$J$2:$J$801,MATCH($A44&amp;"|"&amp;$B44&amp;"|delivered",inventory!$R$2:$R$801,0))),""))</f>
        <v/>
      </c>
      <c r="X44" s="25">
        <f>IF($A44="","",IFERROR(IF(INDEX(photos!$H$2:$H$701,MATCH($A44&amp;"|"&amp;$B44&amp;"|placement|Y",photos!$R$2:$R$701,0))="","",INDEX(photos!$H$2:$H$701,MATCH($A44&amp;"|"&amp;$B44&amp;"|placement|Y",photos!$R$2:$R$701,0))),""))</f>
        <v/>
      </c>
      <c r="Y44" s="26">
        <f>IF($A44="","",IFERROR(IF(INDEX(photos!$E$2:$E$701,MATCH($A44&amp;"|"&amp;$B44&amp;"|placement|Y",photos!$R$2:$R$701,0))="","",INDEX(photos!$E$2:$E$701,MATCH($A44&amp;"|"&amp;$B44&amp;"|placement|Y",photos!$R$2:$R$701,0))),""))</f>
        <v/>
      </c>
      <c r="Z44" s="25">
        <f>IF($A44="","",IF(COUNTIFS(counts!$C$2:$C$701,$A44,counts!$D$2:$D$701,$B44,counts!$E$2:$E$701,"placed")=0,"",SUMIFS(counts!$F$2:$F$701,counts!$C$2:$C$701,$A44,counts!$D$2:$D$701,$B44,counts!$E$2:$E$701,"placed")))</f>
        <v/>
      </c>
      <c r="AA44" s="25">
        <f>IF($A44="","",IF($Y44="",0,N($Z44)))</f>
        <v/>
      </c>
      <c r="AB44" s="25">
        <f>IF($A44="","",IF(OR($Y44="",$I44=""),"N",IF($Y44&lt;=WORKDAY(N($I44),1,calendar!$A$2:$A$80),"Y","N")))</f>
        <v/>
      </c>
      <c r="AC44" s="28">
        <f>IF(OR($A44="",$V44="",$Y44=""),"",ROUND(($Y44+N(IFERROR(IF(INDEX(photos!$F$2:$F$701,MATCH($A44&amp;"|"&amp;$B44&amp;"|placement|Y",photos!$R$2:$R$701,0))="","",INDEX(photos!$F$2:$F$701,MATCH($A44&amp;"|"&amp;$B44&amp;"|placement|Y",photos!$R$2:$R$701,0))),""))-$V44)*24,1))</f>
        <v/>
      </c>
      <c r="AD44" s="25">
        <f>IF($A44="","",SUMIFS(inventory!$G$2:$G$801,inventory!$C$2:$C$801,$A44,inventory!$D$2:$D$801,$B44,inventory!$E$2:$E$801,"topped_up"))</f>
        <v/>
      </c>
      <c r="AE44" s="25">
        <f>IF($A44="","",IF(COUNTIFS(counts!$C$2:$C$701,$A44,counts!$D$2:$D$701,$B44,counts!$E$2:$E$701,"remaining_day3")=0,"",SUMIFS(counts!$F$2:$F$701,counts!$C$2:$C$701,$A44,counts!$D$2:$D$701,$B44,counts!$E$2:$E$701,"remaining_day3")))</f>
        <v/>
      </c>
      <c r="AF44" s="25">
        <f>IF($A44="","",IF(COUNTIFS(counts!$C$2:$C$701,$A44,counts!$D$2:$D$701,$B44,counts!$E$2:$E$701,"remaining_day5")=0,"",SUMIFS(counts!$F$2:$F$701,counts!$C$2:$C$701,$A44,counts!$D$2:$D$701,$B44,counts!$E$2:$E$701,"remaining_day5")))</f>
        <v/>
      </c>
      <c r="AG44" s="25">
        <f>IF(OR($A44="",$AF44=""),"",MAX(0,$AA44+$AD44-$AF44))</f>
        <v/>
      </c>
      <c r="AH44" s="25">
        <f>IF(OR($A44="",$AI44=""),"",IFERROR(IF(INDEX(photos!$H$2:$H$701,MATCH($A44&amp;"|"&amp;$B44&amp;"|later|Y|"&amp;$AI44,photos!$S$2:$S$701,0))="","",INDEX(photos!$H$2:$H$701,MATCH($A44&amp;"|"&amp;$B44&amp;"|later|Y|"&amp;$AI44,photos!$S$2:$S$701,0))),""))</f>
        <v/>
      </c>
      <c r="AI44" s="26">
        <f>IF($A44="","",IFERROR(1/(1/SUMPRODUCT(MAX((photos!$B$2:$B$701=$A44)*(photos!$C$2:$C$701=$B44)*(photos!$D$2:$D$701="later")*(photos!$O$2:$O$701="Y")*photos!$E$2:$E$701))),""))</f>
        <v/>
      </c>
      <c r="AJ44" s="25">
        <f>IF(OR($A44="",$AI44="",$I44=""),"",NETWORKDAYS($I44,$AI44,calendar!$A$2:$A$80))</f>
        <v/>
      </c>
      <c r="AK44" s="25">
        <f>IF($A44="","",IF(AND($X44&lt;&gt;"",$AH44&lt;&gt;""),"Y","N"))</f>
        <v/>
      </c>
      <c r="AL44" s="25">
        <f>IF(OR($A44="",$I44=""),"",IF($BC44="Y",SUMIFS(survey_frozen!$C$2:$C$251,survey_frozen!$P$2:$P$251,$A44&amp;"|"&amp;$B44),IFERROR(COUNTIFS(INDIRECT("'"&amp;$A44&amp;"'!$B$2:$B$501"),$T44,INDIRECT("'"&amp;$A44&amp;"'!$A$2:$A$501"),"&gt;="&amp;$I44,INDIRECT("'"&amp;$A44&amp;"'!$A$2:$A$501"),"&lt;"&amp;($BA44+1)),0)))</f>
        <v/>
      </c>
      <c r="AM44" s="25">
        <f>IF(OR($A44="",$I44=""),"",IF($BC44="Y",SUMIFS(survey_frozen!$D$2:$D$251,survey_frozen!$P$2:$P$251,$A44&amp;"|"&amp;$B44),IFERROR(COUNTIFS(INDIRECT("'"&amp;$A44&amp;"'!$B$2:$B$501"),$T44,INDIRECT("'"&amp;$A44&amp;"'!$A$2:$A$501"),"&gt;="&amp;$I44,INDIRECT("'"&amp;$A44&amp;"'!$A$2:$A$501"),"&lt;"&amp;($BA44+1),INDIRECT("'"&amp;$A44&amp;"'!$C$2:$C$501"),"Yes"),0)))</f>
        <v/>
      </c>
      <c r="AN44" s="25">
        <f>IF($A44="","",IF(COUNTIFS(scans!$C$2:$C$1601,(IF(LEFT($A44,7)="SAMPLE-","SAMPLE-","")&amp;LOWER(SUBSTITUTE(SUBSTITUTE($A44,"SAMPLE-",""),"CMP-","c"))&amp;"-"&amp;LOWER(SUBSTITUTE(SUBSTITUTE($B44,"SAMPLE-",""),"O-","o"))&amp;"-q"),scans!$D$2:$D$1601,"close")=0,"",SUMPRODUCT(MAX((scans!$C$2:$C$1601=(IF(LEFT($A44,7)="SAMPLE-","SAMPLE-","")&amp;LOWER(SUBSTITUTE(SUBSTITUTE($A44,"SAMPLE-",""),"CMP-","c"))&amp;"-"&amp;LOWER(SUBSTITUTE(SUBSTITUTE($B44,"SAMPLE-",""),"O-","o"))&amp;"-q"))*(scans!$D$2:$D$1601="close")*scans!$E$2:$E$1601))-SUMPRODUCT(MAX((scans!$C$2:$C$1601=(IF(LEFT($A44,7)="SAMPLE-","SAMPLE-","")&amp;LOWER(SUBSTITUTE(SUBSTITUTE($A44,"SAMPLE-",""),"CMP-","c"))&amp;"-"&amp;LOWER(SUBSTITUTE(SUBSTITUTE($B44,"SAMPLE-",""),"O-","o"))&amp;"-q"))*(scans!$D$2:$D$1601="baseline")*scans!$E$2:$E$1601))))</f>
        <v/>
      </c>
      <c r="AO44" s="25">
        <f>IF($A44="","",IF(COUNTIFS(scans!$C$2:$C$1601,(IF(LEFT($A44,7)="SAMPLE-","SAMPLE-","")&amp;LOWER(SUBSTITUTE(SUBSTITUTE($A44,"SAMPLE-",""),"CMP-","c"))&amp;"-"&amp;LOWER(SUBSTITUTE(SUBSTITUTE($B44,"SAMPLE-",""),"O-","o"))&amp;"-p"),scans!$D$2:$D$1601,"close")=0,"",SUMPRODUCT(MAX((scans!$C$2:$C$1601=(IF(LEFT($A44,7)="SAMPLE-","SAMPLE-","")&amp;LOWER(SUBSTITUTE(SUBSTITUTE($A44,"SAMPLE-",""),"CMP-","c"))&amp;"-"&amp;LOWER(SUBSTITUTE(SUBSTITUTE($B44,"SAMPLE-",""),"O-","o"))&amp;"-p"))*(scans!$D$2:$D$1601="close")*scans!$E$2:$E$1601))-SUMPRODUCT(MAX((scans!$C$2:$C$1601=(IF(LEFT($A44,7)="SAMPLE-","SAMPLE-","")&amp;LOWER(SUBSTITUTE(SUBSTITUTE($A44,"SAMPLE-",""),"CMP-","c"))&amp;"-"&amp;LOWER(SUBSTITUTE(SUBSTITUTE($B44,"SAMPLE-",""),"O-","o"))&amp;"-p"))*(scans!$D$2:$D$1601="baseline")*scans!$E$2:$E$1601))))</f>
        <v/>
      </c>
      <c r="AP44" s="25">
        <f>IF($A44="","",IF(COUNTIF(offices!$A$2:$A$61,$B44)=0,"office_id not on offices; ","")&amp;IF(COUNTIF(campaigns!$A$2:$A$51,$A44)=0,"campaign_id not on campaigns; ","")&amp;IF($P44="pending","approval pending; ","")&amp;IF(AND($U44&gt;0,$Y44="",OR($I44="",IF(config!$B$37&lt;&gt;"",config!$B$37,TODAY())&lt;=WORKDAY(N($I44),4,calendar!$A$2:$A$80))),"no usable placement photo yet; ","")&amp;IF(AND($Y44&lt;&gt;"",$Z44=""),"log the placed count; ","")&amp;IF(N($AA44)&gt;N($U44),"placed more than delivered; ","")&amp;IF(AND($AF44&lt;&gt;"",N($AF44)&gt;N($AA44)+N($AD44)),"day-5 count above placed plus top-ups; ","")&amp;IF(AND($U44&gt;0,$I44&lt;&gt;"",IF(config!$B$37&lt;&gt;"",config!$B$37,TODAY())&gt;WORKDAY(N($I44),4,calendar!$A$2:$A$80),$AF44=""),"day-5 count missing; ","")&amp;IF(AND($U44&gt;0,$I44&lt;&gt;"",IF(config!$B$37&lt;&gt;"",config!$B$37,TODAY())&gt;WORKDAY(N($I44),4,calendar!$A$2:$A$80),$AN44=""),"no close link reading; ","")&amp;$R44&amp;IF($P44="N","info: office said no; ","")&amp;IF(AND($P44="Y",$Q44="N"),"info: turned away at the door, so not on the drop (no letter, not in the report or Gate 2; the credit check is on campaigns); ","")&amp;IF(AND($U44&gt;0,$Y44="",$I44&lt;&gt;"",IF(config!$B$37&lt;&gt;"",config!$B$37,TODAY())&gt;WORKDAY(N($I44),4,calendar!$A$2:$A$80)),"info: no usable placement photo, so nothing counts as placed; ","")&amp;IF(AND($U44&gt;0,$I44&lt;&gt;"",IF(config!$B$37&lt;&gt;"",config!$B$37,TODAY())&gt;WORKDAY(N($I44),4,calendar!$A$2:$A$80),N($AL44)&lt;config!$B$30),"info: under "&amp;config!$B$30&amp;" responses; ","")&amp;IF($W44="packing_list","info: delivered count not verified; ",""))</f>
        <v/>
      </c>
      <c r="AQ44" s="25">
        <f>IF(OR($A44="",$I44=""),"",IF($BC44="Y",SUMIFS(survey_frozen!$E$2:$E$251,survey_frozen!$P$2:$P$251,$A44&amp;"|"&amp;$B44),IFERROR(COUNTIFS(INDIRECT("'"&amp;$A44&amp;"'!$B$2:$B$501"),$T44,INDIRECT("'"&amp;$A44&amp;"'!$A$2:$A$501"),"&gt;="&amp;$I44,INDIRECT("'"&amp;$A44&amp;"'!$A$2:$A$501"),"&lt;"&amp;($BA44+1),INDIRECT("'"&amp;$A44&amp;"'!$F$2:$F$501"),"Didn't see it"),0)))</f>
        <v/>
      </c>
      <c r="AR44" s="25">
        <f>IF(OR($A44="",$I44=""),"",IF($BC44="Y",SUMIFS(survey_frozen!$F$2:$F$251,survey_frozen!$P$2:$P$251,$A44&amp;"|"&amp;$B44),IFERROR(COUNTIFS(INDIRECT("'"&amp;$A44&amp;"'!$B$2:$B$501"),$T44,INDIRECT("'"&amp;$A44&amp;"'!$A$2:$A$501"),"&gt;="&amp;$I44,INDIRECT("'"&amp;$A44&amp;"'!$A$2:$A$501"),"&lt;"&amp;($BA44+1),INDIRECT("'"&amp;$A44&amp;"'!$F$2:$F$501"),"Not for me"),0)))</f>
        <v/>
      </c>
      <c r="AS44" s="25">
        <f>IF(OR($A44="",$I44=""),"",IF($BC44="Y",SUMIFS(survey_frozen!$G$2:$G$251,survey_frozen!$P$2:$P$251,$A44&amp;"|"&amp;$B44),IFERROR(COUNTIFS(INDIRECT("'"&amp;$A44&amp;"'!$B$2:$B$501"),$T44,INDIRECT("'"&amp;$A44&amp;"'!$A$2:$A$501"),"&gt;="&amp;$I44,INDIRECT("'"&amp;$A44&amp;"'!$A$2:$A$501"),"&lt;"&amp;($BA44+1),INDIRECT("'"&amp;$A44&amp;"'!$F$2:$F$501"),"Gone by the time I looked"),0)))</f>
        <v/>
      </c>
      <c r="AT44" s="25">
        <f>IF(OR($A44="",$I44=""),"",IF($BC44="Y",SUMIFS(survey_frozen!$H$2:$H$251,survey_frozen!$P$2:$P$251,$A44&amp;"|"&amp;$B44),IFERROR(COUNTIFS(INDIRECT("'"&amp;$A44&amp;"'!$B$2:$B$501"),$T44,INDIRECT("'"&amp;$A44&amp;"'!$A$2:$A$501"),"&gt;="&amp;$I44,INDIRECT("'"&amp;$A44&amp;"'!$A$2:$A$501"),"&lt;"&amp;($BA44+1),INDIRECT("'"&amp;$A44&amp;"'!$D$2:$D$501"),"&gt;=1"),0)))</f>
        <v/>
      </c>
      <c r="AU44" s="25">
        <f>IF(OR($A44="",$I44=""),"",IF($BC44="Y",SUMIFS(survey_frozen!$I$2:$I$251,survey_frozen!$P$2:$P$251,$A44&amp;"|"&amp;$B44),IFERROR(SUMIFS(INDIRECT("'"&amp;$A44&amp;"'!$D$2:$D$501"),INDIRECT("'"&amp;$A44&amp;"'!$B$2:$B$501"),$T44,INDIRECT("'"&amp;$A44&amp;"'!$A$2:$A$501"),"&gt;="&amp;$I44,INDIRECT("'"&amp;$A44&amp;"'!$A$2:$A$501"),"&lt;"&amp;($BA44+1)),0)))</f>
        <v/>
      </c>
      <c r="AV44" s="25">
        <f>IF(OR($A44="",$I44=""),"",IF($BC44="Y",SUMIFS(survey_frozen!$J$2:$J$251,survey_frozen!$P$2:$P$251,$A44&amp;"|"&amp;$B44),IFERROR(COUNTIFS(INDIRECT("'"&amp;$A44&amp;"'!$B$2:$B$501"),$T44,INDIRECT("'"&amp;$A44&amp;"'!$A$2:$A$501"),"&gt;="&amp;$I44,INDIRECT("'"&amp;$A44&amp;"'!$A$2:$A$501"),"&lt;"&amp;($BA44+1),INDIRECT("'"&amp;$A44&amp;"'!$E$2:$E$501"),"Yes"),0)))</f>
        <v/>
      </c>
      <c r="AW44" s="25">
        <f>IF(OR($A44="",$I44=""),"",IF($BC44="Y",SUMIFS(survey_frozen!$K$2:$K$251,survey_frozen!$P$2:$P$251,$A44&amp;"|"&amp;$B44),IFERROR(COUNTIFS(INDIRECT("'"&amp;$A44&amp;"'!$B$2:$B$501"),$T44,INDIRECT("'"&amp;$A44&amp;"'!$A$2:$A$501"),"&gt;="&amp;$I44,INDIRECT("'"&amp;$A44&amp;"'!$A$2:$A$501"),"&lt;"&amp;($BA44+1),INDIRECT("'"&amp;$A44&amp;"'!$E$2:$E$501"),"Maybe"),0)))</f>
        <v/>
      </c>
      <c r="AX44" s="25">
        <f>IF(OR($A44="",$I44=""),"",IF($BC44="Y",SUMIFS(survey_frozen!$L$2:$L$251,survey_frozen!$P$2:$P$251,$A44&amp;"|"&amp;$B44),IFERROR(COUNTIFS(INDIRECT("'"&amp;$A44&amp;"'!$B$2:$B$501"),$T44,INDIRECT("'"&amp;$A44&amp;"'!$A$2:$A$501"),"&gt;="&amp;$I44,INDIRECT("'"&amp;$A44&amp;"'!$A$2:$A$501"),"&lt;"&amp;($BA44+1),INDIRECT("'"&amp;$A44&amp;"'!$E$2:$E$501"),"No"),0)))</f>
        <v/>
      </c>
      <c r="AY44" s="25">
        <f>IF(OR($A44="",$I44=""),"",IF($BC44="Y",SUMIFS(survey_frozen!$M$2:$M$251,survey_frozen!$P$2:$P$251,$A44&amp;"|"&amp;$B44),IFERROR(COUNTIFS(INDIRECT("'"&amp;$A44&amp;"'!$B$2:$B$501"),$T44,INDIRECT("'"&amp;$A44&amp;"'!$A$2:$A$501"),"&gt;="&amp;$I44,INDIRECT("'"&amp;$A44&amp;"'!$A$2:$A$501"),"&lt;"&amp;($BA44+1),INDIRECT("'"&amp;$A44&amp;"'!$G$2:$G$501"),"&lt;&gt;"),0)))</f>
        <v/>
      </c>
      <c r="AZ44" s="25">
        <f>IF($A44="","",$A44&amp;"|"&amp;$L44)</f>
        <v/>
      </c>
      <c r="BA44" s="26">
        <f>IF($A44="","",IFERROR(IF(INDEX(drops!$R$2:$R$21,MATCH($H44,drops!$A$2:$A$21,0))="","",INDEX(drops!$R$2:$R$21,MATCH($H44,drops!$A$2:$A$21,0))),""))</f>
        <v/>
      </c>
      <c r="BB44" s="25">
        <f>IF(OR($A44="",$Q44&lt;&gt;"Y"),1000000,N($AL44))</f>
        <v/>
      </c>
      <c r="BC44" s="25">
        <f>IF($A44="","",IF(COUNTIF(survey_frozen!$P$2:$P$251,$A44&amp;"|"&amp;$B44)&gt;0,"Y",""))</f>
        <v/>
      </c>
    </row>
    <row r="45">
      <c r="C45" s="9" t="n"/>
      <c r="E45" s="9" t="n"/>
      <c r="H45" s="25">
        <f>IF($A45="","",IFERROR(IF(INDEX(campaigns!$B$2:$B$51,MATCH($A45,campaigns!$A$2:$A$51,0))="","",INDEX(campaigns!$B$2:$B$51,MATCH($A45,campaigns!$A$2:$A$51,0))),""))</f>
        <v/>
      </c>
      <c r="I45" s="26">
        <f>IF($A45="","",IFERROR(IF(INDEX(campaigns!$BG$2:$BG$51,MATCH($A45,campaigns!$A$2:$A$51,0))="","",INDEX(campaigns!$BG$2:$BG$51,MATCH($A45,campaigns!$A$2:$A$51,0))),""))</f>
        <v/>
      </c>
      <c r="J45" s="25">
        <f>IF($A45="","",IFERROR(IF(INDEX(campaigns!$BE$2:$BE$51,MATCH($A45,campaigns!$A$2:$A$51,0))="","",INDEX(campaigns!$BE$2:$BE$51,MATCH($A45,campaigns!$A$2:$A$51,0))),""))</f>
        <v/>
      </c>
      <c r="K45" s="25">
        <f>IF($B45="","",IFERROR(IF(INDEX(offices!$N$2:$N$61,MATCH($B45,offices!$A$2:$A$61,0))="","",INDEX(offices!$N$2:$N$61,MATCH($B45,offices!$A$2:$A$61,0))),""))</f>
        <v/>
      </c>
      <c r="L45" s="25">
        <f>IF($A45="","",IF($Q45="N","",COUNTIFS($A$2:$A45,$A45,$Q$2:$Q45,"&lt;&gt;N")))</f>
        <v/>
      </c>
      <c r="M45" s="25">
        <f>IF(OR($A45="",$L45=""),"",IF(AND(config!$B$34="names_if_public",IFERROR(IF(INDEX(offices!$AF$2:$AF$61,MATCH($B45,offices!$A$2:$A$61,0))="","",INDEX(offices!$AF$2:$AF$61,MATCH($B45,offices!$A$2:$A$61,0))),"")="Y"),$K45,CHAR(64+$L45)))</f>
        <v/>
      </c>
      <c r="N45" s="25">
        <f>IF(OR($A45="",$I45=""),"",COUNTIFS(stops!$B$2:$B$151,$B45,stops!$P$2:$P$151,"&lt;"&amp;$I45,stops!$L$2:$L$151,"&lt;&gt;not_delivered")+1)</f>
        <v/>
      </c>
      <c r="O45" s="25">
        <f>IF($A45="","",IF(N($N45)&lt;=config!$B$29,"explicit","opt-out"))</f>
        <v/>
      </c>
      <c r="P45" s="25">
        <f>IF($A45="","",IF($O45="explicit",IF($D45="yes","Y",IF($D45="no","N","pending")),IF($D45="no","N",IF(AND($C45&lt;&gt;"",$I45&lt;&gt;"",$C45&lt;=WORKDAY(N($I45),-5,calendar!$A$2:$A$80)),"Y","pending"))))</f>
        <v/>
      </c>
      <c r="Q45" s="25">
        <f>IF($A45="","",IF($P45="N","N",IF($P45&lt;&gt;"Y","pending",IF(AND((COUNTIFS(stops!$A$2:$A$151,$H45,stops!$B$2:$B$151,$B45,stops!$L$2:$L$151,"declined")+COUNTIFS(stops!$A$2:$A$151,$H45,stops!$B$2:$B$151,$B45,stops!$L$2:$L$151,"building_refused")+COUNTIFS(stops!$A$2:$A$151,$H45,stops!$B$2:$B$151,$B45,stops!$L$2:$L$151,"not_delivered"))&gt;0,N($U45)=0),"N","Y"))))</f>
        <v/>
      </c>
      <c r="R45" s="25">
        <f>IF($A45="","",IF(COUNTIFS($A$2:$A$251,$A45,$B$2:$B$251,$B45)&gt;1,"DUPLICATE ROW; ","")&amp;IF(AND(IFERROR(IF(INDEX(offices!$AC$2:$AC$61,MATCH($B45,offices!$A$2:$A$61,0))="","",INDEX(offices!$AC$2:$AC$61,MATCH($B45,offices!$A$2:$A$61,0))),"")&lt;&gt;"",ISNUMBER(SEARCH($J45,IFERROR(IF(INDEX(offices!$AC$2:$AC$61,MATCH($B45,offices!$A$2:$A$61,0))="","",INDEX(offices!$AC$2:$AC$61,MATCH($B45,offices!$A$2:$A$61,0))),"")))),"BRAND VETOED; ","")&amp;IF(ISNUMBER(SEARCH(IFERROR(IF(INDEX(campaigns!$BF$2:$BF$51,MATCH($A45,campaigns!$A$2:$A$51,0))="","",INDEX(campaigns!$BF$2:$BF$51,MATCH($A45,campaigns!$A$2:$A$51,0))),""),IFERROR(IF(INDEX(offices!$AB$2:$AB$61,MATCH($B45,offices!$A$2:$A$61,0))="","",INDEX(offices!$AB$2:$AB$61,MATCH($B45,offices!$A$2:$A$61,0))),""))),"","info: category not on the office's list; ")&amp;IF(IFERROR(IF(INDEX(offices!$AC$2:$AC$61,MATCH($B45,offices!$A$2:$A$61,0))="","",INDEX(offices!$AC$2:$AC$61,MATCH($B45,offices!$A$2:$A$61,0))),"")&lt;&gt;"","info: read the vetoes against the label; ",""))</f>
        <v/>
      </c>
      <c r="S45" s="25">
        <f>IF($A45="","",IF($G45&lt;&gt;"",$G45,IFERROR(IF(INDEX(offices!$AL$2:$AL$61,MATCH($B45,offices!$A$2:$A$61,0))="","",INDEX(offices!$AL$2:$AL$61,MATCH($B45,offices!$A$2:$A$61,0))),"")))</f>
        <v/>
      </c>
      <c r="T45" s="25">
        <f>IF($A45="","",$A45&amp;"."&amp;$B45)</f>
        <v/>
      </c>
      <c r="U45" s="25">
        <f>IF($A45="","",SUMIFS(inventory!$G$2:$G$801,inventory!$C$2:$C$801,$A45,inventory!$D$2:$D$801,$B45,inventory!$E$2:$E$801,"delivered"))</f>
        <v/>
      </c>
      <c r="V45" s="32">
        <f>IF($A45="","",IFERROR(1/(1/SUMPRODUCT(MAX((inventory!$C$2:$C$801=$A45)*(inventory!$D$2:$D$801=$B45)*(inventory!$E$2:$E$801="delivered")*(inventory!$A$2:$A$801+inventory!$B$2:$B$801)))),""))</f>
        <v/>
      </c>
      <c r="W45" s="25">
        <f>IF($A45="","",IFERROR(IF(INDEX(inventory!$J$2:$J$801,MATCH($A45&amp;"|"&amp;$B45&amp;"|delivered",inventory!$R$2:$R$801,0))="","",INDEX(inventory!$J$2:$J$801,MATCH($A45&amp;"|"&amp;$B45&amp;"|delivered",inventory!$R$2:$R$801,0))),""))</f>
        <v/>
      </c>
      <c r="X45" s="25">
        <f>IF($A45="","",IFERROR(IF(INDEX(photos!$H$2:$H$701,MATCH($A45&amp;"|"&amp;$B45&amp;"|placement|Y",photos!$R$2:$R$701,0))="","",INDEX(photos!$H$2:$H$701,MATCH($A45&amp;"|"&amp;$B45&amp;"|placement|Y",photos!$R$2:$R$701,0))),""))</f>
        <v/>
      </c>
      <c r="Y45" s="26">
        <f>IF($A45="","",IFERROR(IF(INDEX(photos!$E$2:$E$701,MATCH($A45&amp;"|"&amp;$B45&amp;"|placement|Y",photos!$R$2:$R$701,0))="","",INDEX(photos!$E$2:$E$701,MATCH($A45&amp;"|"&amp;$B45&amp;"|placement|Y",photos!$R$2:$R$701,0))),""))</f>
        <v/>
      </c>
      <c r="Z45" s="25">
        <f>IF($A45="","",IF(COUNTIFS(counts!$C$2:$C$701,$A45,counts!$D$2:$D$701,$B45,counts!$E$2:$E$701,"placed")=0,"",SUMIFS(counts!$F$2:$F$701,counts!$C$2:$C$701,$A45,counts!$D$2:$D$701,$B45,counts!$E$2:$E$701,"placed")))</f>
        <v/>
      </c>
      <c r="AA45" s="25">
        <f>IF($A45="","",IF($Y45="",0,N($Z45)))</f>
        <v/>
      </c>
      <c r="AB45" s="25">
        <f>IF($A45="","",IF(OR($Y45="",$I45=""),"N",IF($Y45&lt;=WORKDAY(N($I45),1,calendar!$A$2:$A$80),"Y","N")))</f>
        <v/>
      </c>
      <c r="AC45" s="28">
        <f>IF(OR($A45="",$V45="",$Y45=""),"",ROUND(($Y45+N(IFERROR(IF(INDEX(photos!$F$2:$F$701,MATCH($A45&amp;"|"&amp;$B45&amp;"|placement|Y",photos!$R$2:$R$701,0))="","",INDEX(photos!$F$2:$F$701,MATCH($A45&amp;"|"&amp;$B45&amp;"|placement|Y",photos!$R$2:$R$701,0))),""))-$V45)*24,1))</f>
        <v/>
      </c>
      <c r="AD45" s="25">
        <f>IF($A45="","",SUMIFS(inventory!$G$2:$G$801,inventory!$C$2:$C$801,$A45,inventory!$D$2:$D$801,$B45,inventory!$E$2:$E$801,"topped_up"))</f>
        <v/>
      </c>
      <c r="AE45" s="25">
        <f>IF($A45="","",IF(COUNTIFS(counts!$C$2:$C$701,$A45,counts!$D$2:$D$701,$B45,counts!$E$2:$E$701,"remaining_day3")=0,"",SUMIFS(counts!$F$2:$F$701,counts!$C$2:$C$701,$A45,counts!$D$2:$D$701,$B45,counts!$E$2:$E$701,"remaining_day3")))</f>
        <v/>
      </c>
      <c r="AF45" s="25">
        <f>IF($A45="","",IF(COUNTIFS(counts!$C$2:$C$701,$A45,counts!$D$2:$D$701,$B45,counts!$E$2:$E$701,"remaining_day5")=0,"",SUMIFS(counts!$F$2:$F$701,counts!$C$2:$C$701,$A45,counts!$D$2:$D$701,$B45,counts!$E$2:$E$701,"remaining_day5")))</f>
        <v/>
      </c>
      <c r="AG45" s="25">
        <f>IF(OR($A45="",$AF45=""),"",MAX(0,$AA45+$AD45-$AF45))</f>
        <v/>
      </c>
      <c r="AH45" s="25">
        <f>IF(OR($A45="",$AI45=""),"",IFERROR(IF(INDEX(photos!$H$2:$H$701,MATCH($A45&amp;"|"&amp;$B45&amp;"|later|Y|"&amp;$AI45,photos!$S$2:$S$701,0))="","",INDEX(photos!$H$2:$H$701,MATCH($A45&amp;"|"&amp;$B45&amp;"|later|Y|"&amp;$AI45,photos!$S$2:$S$701,0))),""))</f>
        <v/>
      </c>
      <c r="AI45" s="26">
        <f>IF($A45="","",IFERROR(1/(1/SUMPRODUCT(MAX((photos!$B$2:$B$701=$A45)*(photos!$C$2:$C$701=$B45)*(photos!$D$2:$D$701="later")*(photos!$O$2:$O$701="Y")*photos!$E$2:$E$701))),""))</f>
        <v/>
      </c>
      <c r="AJ45" s="25">
        <f>IF(OR($A45="",$AI45="",$I45=""),"",NETWORKDAYS($I45,$AI45,calendar!$A$2:$A$80))</f>
        <v/>
      </c>
      <c r="AK45" s="25">
        <f>IF($A45="","",IF(AND($X45&lt;&gt;"",$AH45&lt;&gt;""),"Y","N"))</f>
        <v/>
      </c>
      <c r="AL45" s="25">
        <f>IF(OR($A45="",$I45=""),"",IF($BC45="Y",SUMIFS(survey_frozen!$C$2:$C$251,survey_frozen!$P$2:$P$251,$A45&amp;"|"&amp;$B45),IFERROR(COUNTIFS(INDIRECT("'"&amp;$A45&amp;"'!$B$2:$B$501"),$T45,INDIRECT("'"&amp;$A45&amp;"'!$A$2:$A$501"),"&gt;="&amp;$I45,INDIRECT("'"&amp;$A45&amp;"'!$A$2:$A$501"),"&lt;"&amp;($BA45+1)),0)))</f>
        <v/>
      </c>
      <c r="AM45" s="25">
        <f>IF(OR($A45="",$I45=""),"",IF($BC45="Y",SUMIFS(survey_frozen!$D$2:$D$251,survey_frozen!$P$2:$P$251,$A45&amp;"|"&amp;$B45),IFERROR(COUNTIFS(INDIRECT("'"&amp;$A45&amp;"'!$B$2:$B$501"),$T45,INDIRECT("'"&amp;$A45&amp;"'!$A$2:$A$501"),"&gt;="&amp;$I45,INDIRECT("'"&amp;$A45&amp;"'!$A$2:$A$501"),"&lt;"&amp;($BA45+1),INDIRECT("'"&amp;$A45&amp;"'!$C$2:$C$501"),"Yes"),0)))</f>
        <v/>
      </c>
      <c r="AN45" s="25">
        <f>IF($A45="","",IF(COUNTIFS(scans!$C$2:$C$1601,(IF(LEFT($A45,7)="SAMPLE-","SAMPLE-","")&amp;LOWER(SUBSTITUTE(SUBSTITUTE($A45,"SAMPLE-",""),"CMP-","c"))&amp;"-"&amp;LOWER(SUBSTITUTE(SUBSTITUTE($B45,"SAMPLE-",""),"O-","o"))&amp;"-q"),scans!$D$2:$D$1601,"close")=0,"",SUMPRODUCT(MAX((scans!$C$2:$C$1601=(IF(LEFT($A45,7)="SAMPLE-","SAMPLE-","")&amp;LOWER(SUBSTITUTE(SUBSTITUTE($A45,"SAMPLE-",""),"CMP-","c"))&amp;"-"&amp;LOWER(SUBSTITUTE(SUBSTITUTE($B45,"SAMPLE-",""),"O-","o"))&amp;"-q"))*(scans!$D$2:$D$1601="close")*scans!$E$2:$E$1601))-SUMPRODUCT(MAX((scans!$C$2:$C$1601=(IF(LEFT($A45,7)="SAMPLE-","SAMPLE-","")&amp;LOWER(SUBSTITUTE(SUBSTITUTE($A45,"SAMPLE-",""),"CMP-","c"))&amp;"-"&amp;LOWER(SUBSTITUTE(SUBSTITUTE($B45,"SAMPLE-",""),"O-","o"))&amp;"-q"))*(scans!$D$2:$D$1601="baseline")*scans!$E$2:$E$1601))))</f>
        <v/>
      </c>
      <c r="AO45" s="25">
        <f>IF($A45="","",IF(COUNTIFS(scans!$C$2:$C$1601,(IF(LEFT($A45,7)="SAMPLE-","SAMPLE-","")&amp;LOWER(SUBSTITUTE(SUBSTITUTE($A45,"SAMPLE-",""),"CMP-","c"))&amp;"-"&amp;LOWER(SUBSTITUTE(SUBSTITUTE($B45,"SAMPLE-",""),"O-","o"))&amp;"-p"),scans!$D$2:$D$1601,"close")=0,"",SUMPRODUCT(MAX((scans!$C$2:$C$1601=(IF(LEFT($A45,7)="SAMPLE-","SAMPLE-","")&amp;LOWER(SUBSTITUTE(SUBSTITUTE($A45,"SAMPLE-",""),"CMP-","c"))&amp;"-"&amp;LOWER(SUBSTITUTE(SUBSTITUTE($B45,"SAMPLE-",""),"O-","o"))&amp;"-p"))*(scans!$D$2:$D$1601="close")*scans!$E$2:$E$1601))-SUMPRODUCT(MAX((scans!$C$2:$C$1601=(IF(LEFT($A45,7)="SAMPLE-","SAMPLE-","")&amp;LOWER(SUBSTITUTE(SUBSTITUTE($A45,"SAMPLE-",""),"CMP-","c"))&amp;"-"&amp;LOWER(SUBSTITUTE(SUBSTITUTE($B45,"SAMPLE-",""),"O-","o"))&amp;"-p"))*(scans!$D$2:$D$1601="baseline")*scans!$E$2:$E$1601))))</f>
        <v/>
      </c>
      <c r="AP45" s="25">
        <f>IF($A45="","",IF(COUNTIF(offices!$A$2:$A$61,$B45)=0,"office_id not on offices; ","")&amp;IF(COUNTIF(campaigns!$A$2:$A$51,$A45)=0,"campaign_id not on campaigns; ","")&amp;IF($P45="pending","approval pending; ","")&amp;IF(AND($U45&gt;0,$Y45="",OR($I45="",IF(config!$B$37&lt;&gt;"",config!$B$37,TODAY())&lt;=WORKDAY(N($I45),4,calendar!$A$2:$A$80))),"no usable placement photo yet; ","")&amp;IF(AND($Y45&lt;&gt;"",$Z45=""),"log the placed count; ","")&amp;IF(N($AA45)&gt;N($U45),"placed more than delivered; ","")&amp;IF(AND($AF45&lt;&gt;"",N($AF45)&gt;N($AA45)+N($AD45)),"day-5 count above placed plus top-ups; ","")&amp;IF(AND($U45&gt;0,$I45&lt;&gt;"",IF(config!$B$37&lt;&gt;"",config!$B$37,TODAY())&gt;WORKDAY(N($I45),4,calendar!$A$2:$A$80),$AF45=""),"day-5 count missing; ","")&amp;IF(AND($U45&gt;0,$I45&lt;&gt;"",IF(config!$B$37&lt;&gt;"",config!$B$37,TODAY())&gt;WORKDAY(N($I45),4,calendar!$A$2:$A$80),$AN45=""),"no close link reading; ","")&amp;$R45&amp;IF($P45="N","info: office said no; ","")&amp;IF(AND($P45="Y",$Q45="N"),"info: turned away at the door, so not on the drop (no letter, not in the report or Gate 2; the credit check is on campaigns); ","")&amp;IF(AND($U45&gt;0,$Y45="",$I45&lt;&gt;"",IF(config!$B$37&lt;&gt;"",config!$B$37,TODAY())&gt;WORKDAY(N($I45),4,calendar!$A$2:$A$80)),"info: no usable placement photo, so nothing counts as placed; ","")&amp;IF(AND($U45&gt;0,$I45&lt;&gt;"",IF(config!$B$37&lt;&gt;"",config!$B$37,TODAY())&gt;WORKDAY(N($I45),4,calendar!$A$2:$A$80),N($AL45)&lt;config!$B$30),"info: under "&amp;config!$B$30&amp;" responses; ","")&amp;IF($W45="packing_list","info: delivered count not verified; ",""))</f>
        <v/>
      </c>
      <c r="AQ45" s="25">
        <f>IF(OR($A45="",$I45=""),"",IF($BC45="Y",SUMIFS(survey_frozen!$E$2:$E$251,survey_frozen!$P$2:$P$251,$A45&amp;"|"&amp;$B45),IFERROR(COUNTIFS(INDIRECT("'"&amp;$A45&amp;"'!$B$2:$B$501"),$T45,INDIRECT("'"&amp;$A45&amp;"'!$A$2:$A$501"),"&gt;="&amp;$I45,INDIRECT("'"&amp;$A45&amp;"'!$A$2:$A$501"),"&lt;"&amp;($BA45+1),INDIRECT("'"&amp;$A45&amp;"'!$F$2:$F$501"),"Didn't see it"),0)))</f>
        <v/>
      </c>
      <c r="AR45" s="25">
        <f>IF(OR($A45="",$I45=""),"",IF($BC45="Y",SUMIFS(survey_frozen!$F$2:$F$251,survey_frozen!$P$2:$P$251,$A45&amp;"|"&amp;$B45),IFERROR(COUNTIFS(INDIRECT("'"&amp;$A45&amp;"'!$B$2:$B$501"),$T45,INDIRECT("'"&amp;$A45&amp;"'!$A$2:$A$501"),"&gt;="&amp;$I45,INDIRECT("'"&amp;$A45&amp;"'!$A$2:$A$501"),"&lt;"&amp;($BA45+1),INDIRECT("'"&amp;$A45&amp;"'!$F$2:$F$501"),"Not for me"),0)))</f>
        <v/>
      </c>
      <c r="AS45" s="25">
        <f>IF(OR($A45="",$I45=""),"",IF($BC45="Y",SUMIFS(survey_frozen!$G$2:$G$251,survey_frozen!$P$2:$P$251,$A45&amp;"|"&amp;$B45),IFERROR(COUNTIFS(INDIRECT("'"&amp;$A45&amp;"'!$B$2:$B$501"),$T45,INDIRECT("'"&amp;$A45&amp;"'!$A$2:$A$501"),"&gt;="&amp;$I45,INDIRECT("'"&amp;$A45&amp;"'!$A$2:$A$501"),"&lt;"&amp;($BA45+1),INDIRECT("'"&amp;$A45&amp;"'!$F$2:$F$501"),"Gone by the time I looked"),0)))</f>
        <v/>
      </c>
      <c r="AT45" s="25">
        <f>IF(OR($A45="",$I45=""),"",IF($BC45="Y",SUMIFS(survey_frozen!$H$2:$H$251,survey_frozen!$P$2:$P$251,$A45&amp;"|"&amp;$B45),IFERROR(COUNTIFS(INDIRECT("'"&amp;$A45&amp;"'!$B$2:$B$501"),$T45,INDIRECT("'"&amp;$A45&amp;"'!$A$2:$A$501"),"&gt;="&amp;$I45,INDIRECT("'"&amp;$A45&amp;"'!$A$2:$A$501"),"&lt;"&amp;($BA45+1),INDIRECT("'"&amp;$A45&amp;"'!$D$2:$D$501"),"&gt;=1"),0)))</f>
        <v/>
      </c>
      <c r="AU45" s="25">
        <f>IF(OR($A45="",$I45=""),"",IF($BC45="Y",SUMIFS(survey_frozen!$I$2:$I$251,survey_frozen!$P$2:$P$251,$A45&amp;"|"&amp;$B45),IFERROR(SUMIFS(INDIRECT("'"&amp;$A45&amp;"'!$D$2:$D$501"),INDIRECT("'"&amp;$A45&amp;"'!$B$2:$B$501"),$T45,INDIRECT("'"&amp;$A45&amp;"'!$A$2:$A$501"),"&gt;="&amp;$I45,INDIRECT("'"&amp;$A45&amp;"'!$A$2:$A$501"),"&lt;"&amp;($BA45+1)),0)))</f>
        <v/>
      </c>
      <c r="AV45" s="25">
        <f>IF(OR($A45="",$I45=""),"",IF($BC45="Y",SUMIFS(survey_frozen!$J$2:$J$251,survey_frozen!$P$2:$P$251,$A45&amp;"|"&amp;$B45),IFERROR(COUNTIFS(INDIRECT("'"&amp;$A45&amp;"'!$B$2:$B$501"),$T45,INDIRECT("'"&amp;$A45&amp;"'!$A$2:$A$501"),"&gt;="&amp;$I45,INDIRECT("'"&amp;$A45&amp;"'!$A$2:$A$501"),"&lt;"&amp;($BA45+1),INDIRECT("'"&amp;$A45&amp;"'!$E$2:$E$501"),"Yes"),0)))</f>
        <v/>
      </c>
      <c r="AW45" s="25">
        <f>IF(OR($A45="",$I45=""),"",IF($BC45="Y",SUMIFS(survey_frozen!$K$2:$K$251,survey_frozen!$P$2:$P$251,$A45&amp;"|"&amp;$B45),IFERROR(COUNTIFS(INDIRECT("'"&amp;$A45&amp;"'!$B$2:$B$501"),$T45,INDIRECT("'"&amp;$A45&amp;"'!$A$2:$A$501"),"&gt;="&amp;$I45,INDIRECT("'"&amp;$A45&amp;"'!$A$2:$A$501"),"&lt;"&amp;($BA45+1),INDIRECT("'"&amp;$A45&amp;"'!$E$2:$E$501"),"Maybe"),0)))</f>
        <v/>
      </c>
      <c r="AX45" s="25">
        <f>IF(OR($A45="",$I45=""),"",IF($BC45="Y",SUMIFS(survey_frozen!$L$2:$L$251,survey_frozen!$P$2:$P$251,$A45&amp;"|"&amp;$B45),IFERROR(COUNTIFS(INDIRECT("'"&amp;$A45&amp;"'!$B$2:$B$501"),$T45,INDIRECT("'"&amp;$A45&amp;"'!$A$2:$A$501"),"&gt;="&amp;$I45,INDIRECT("'"&amp;$A45&amp;"'!$A$2:$A$501"),"&lt;"&amp;($BA45+1),INDIRECT("'"&amp;$A45&amp;"'!$E$2:$E$501"),"No"),0)))</f>
        <v/>
      </c>
      <c r="AY45" s="25">
        <f>IF(OR($A45="",$I45=""),"",IF($BC45="Y",SUMIFS(survey_frozen!$M$2:$M$251,survey_frozen!$P$2:$P$251,$A45&amp;"|"&amp;$B45),IFERROR(COUNTIFS(INDIRECT("'"&amp;$A45&amp;"'!$B$2:$B$501"),$T45,INDIRECT("'"&amp;$A45&amp;"'!$A$2:$A$501"),"&gt;="&amp;$I45,INDIRECT("'"&amp;$A45&amp;"'!$A$2:$A$501"),"&lt;"&amp;($BA45+1),INDIRECT("'"&amp;$A45&amp;"'!$G$2:$G$501"),"&lt;&gt;"),0)))</f>
        <v/>
      </c>
      <c r="AZ45" s="25">
        <f>IF($A45="","",$A45&amp;"|"&amp;$L45)</f>
        <v/>
      </c>
      <c r="BA45" s="26">
        <f>IF($A45="","",IFERROR(IF(INDEX(drops!$R$2:$R$21,MATCH($H45,drops!$A$2:$A$21,0))="","",INDEX(drops!$R$2:$R$21,MATCH($H45,drops!$A$2:$A$21,0))),""))</f>
        <v/>
      </c>
      <c r="BB45" s="25">
        <f>IF(OR($A45="",$Q45&lt;&gt;"Y"),1000000,N($AL45))</f>
        <v/>
      </c>
      <c r="BC45" s="25">
        <f>IF($A45="","",IF(COUNTIF(survey_frozen!$P$2:$P$251,$A45&amp;"|"&amp;$B45)&gt;0,"Y",""))</f>
        <v/>
      </c>
    </row>
    <row r="46">
      <c r="C46" s="9" t="n"/>
      <c r="E46" s="9" t="n"/>
      <c r="H46" s="25">
        <f>IF($A46="","",IFERROR(IF(INDEX(campaigns!$B$2:$B$51,MATCH($A46,campaigns!$A$2:$A$51,0))="","",INDEX(campaigns!$B$2:$B$51,MATCH($A46,campaigns!$A$2:$A$51,0))),""))</f>
        <v/>
      </c>
      <c r="I46" s="26">
        <f>IF($A46="","",IFERROR(IF(INDEX(campaigns!$BG$2:$BG$51,MATCH($A46,campaigns!$A$2:$A$51,0))="","",INDEX(campaigns!$BG$2:$BG$51,MATCH($A46,campaigns!$A$2:$A$51,0))),""))</f>
        <v/>
      </c>
      <c r="J46" s="25">
        <f>IF($A46="","",IFERROR(IF(INDEX(campaigns!$BE$2:$BE$51,MATCH($A46,campaigns!$A$2:$A$51,0))="","",INDEX(campaigns!$BE$2:$BE$51,MATCH($A46,campaigns!$A$2:$A$51,0))),""))</f>
        <v/>
      </c>
      <c r="K46" s="25">
        <f>IF($B46="","",IFERROR(IF(INDEX(offices!$N$2:$N$61,MATCH($B46,offices!$A$2:$A$61,0))="","",INDEX(offices!$N$2:$N$61,MATCH($B46,offices!$A$2:$A$61,0))),""))</f>
        <v/>
      </c>
      <c r="L46" s="25">
        <f>IF($A46="","",IF($Q46="N","",COUNTIFS($A$2:$A46,$A46,$Q$2:$Q46,"&lt;&gt;N")))</f>
        <v/>
      </c>
      <c r="M46" s="25">
        <f>IF(OR($A46="",$L46=""),"",IF(AND(config!$B$34="names_if_public",IFERROR(IF(INDEX(offices!$AF$2:$AF$61,MATCH($B46,offices!$A$2:$A$61,0))="","",INDEX(offices!$AF$2:$AF$61,MATCH($B46,offices!$A$2:$A$61,0))),"")="Y"),$K46,CHAR(64+$L46)))</f>
        <v/>
      </c>
      <c r="N46" s="25">
        <f>IF(OR($A46="",$I46=""),"",COUNTIFS(stops!$B$2:$B$151,$B46,stops!$P$2:$P$151,"&lt;"&amp;$I46,stops!$L$2:$L$151,"&lt;&gt;not_delivered")+1)</f>
        <v/>
      </c>
      <c r="O46" s="25">
        <f>IF($A46="","",IF(N($N46)&lt;=config!$B$29,"explicit","opt-out"))</f>
        <v/>
      </c>
      <c r="P46" s="25">
        <f>IF($A46="","",IF($O46="explicit",IF($D46="yes","Y",IF($D46="no","N","pending")),IF($D46="no","N",IF(AND($C46&lt;&gt;"",$I46&lt;&gt;"",$C46&lt;=WORKDAY(N($I46),-5,calendar!$A$2:$A$80)),"Y","pending"))))</f>
        <v/>
      </c>
      <c r="Q46" s="25">
        <f>IF($A46="","",IF($P46="N","N",IF($P46&lt;&gt;"Y","pending",IF(AND((COUNTIFS(stops!$A$2:$A$151,$H46,stops!$B$2:$B$151,$B46,stops!$L$2:$L$151,"declined")+COUNTIFS(stops!$A$2:$A$151,$H46,stops!$B$2:$B$151,$B46,stops!$L$2:$L$151,"building_refused")+COUNTIFS(stops!$A$2:$A$151,$H46,stops!$B$2:$B$151,$B46,stops!$L$2:$L$151,"not_delivered"))&gt;0,N($U46)=0),"N","Y"))))</f>
        <v/>
      </c>
      <c r="R46" s="25">
        <f>IF($A46="","",IF(COUNTIFS($A$2:$A$251,$A46,$B$2:$B$251,$B46)&gt;1,"DUPLICATE ROW; ","")&amp;IF(AND(IFERROR(IF(INDEX(offices!$AC$2:$AC$61,MATCH($B46,offices!$A$2:$A$61,0))="","",INDEX(offices!$AC$2:$AC$61,MATCH($B46,offices!$A$2:$A$61,0))),"")&lt;&gt;"",ISNUMBER(SEARCH($J46,IFERROR(IF(INDEX(offices!$AC$2:$AC$61,MATCH($B46,offices!$A$2:$A$61,0))="","",INDEX(offices!$AC$2:$AC$61,MATCH($B46,offices!$A$2:$A$61,0))),"")))),"BRAND VETOED; ","")&amp;IF(ISNUMBER(SEARCH(IFERROR(IF(INDEX(campaigns!$BF$2:$BF$51,MATCH($A46,campaigns!$A$2:$A$51,0))="","",INDEX(campaigns!$BF$2:$BF$51,MATCH($A46,campaigns!$A$2:$A$51,0))),""),IFERROR(IF(INDEX(offices!$AB$2:$AB$61,MATCH($B46,offices!$A$2:$A$61,0))="","",INDEX(offices!$AB$2:$AB$61,MATCH($B46,offices!$A$2:$A$61,0))),""))),"","info: category not on the office's list; ")&amp;IF(IFERROR(IF(INDEX(offices!$AC$2:$AC$61,MATCH($B46,offices!$A$2:$A$61,0))="","",INDEX(offices!$AC$2:$AC$61,MATCH($B46,offices!$A$2:$A$61,0))),"")&lt;&gt;"","info: read the vetoes against the label; ",""))</f>
        <v/>
      </c>
      <c r="S46" s="25">
        <f>IF($A46="","",IF($G46&lt;&gt;"",$G46,IFERROR(IF(INDEX(offices!$AL$2:$AL$61,MATCH($B46,offices!$A$2:$A$61,0))="","",INDEX(offices!$AL$2:$AL$61,MATCH($B46,offices!$A$2:$A$61,0))),"")))</f>
        <v/>
      </c>
      <c r="T46" s="25">
        <f>IF($A46="","",$A46&amp;"."&amp;$B46)</f>
        <v/>
      </c>
      <c r="U46" s="25">
        <f>IF($A46="","",SUMIFS(inventory!$G$2:$G$801,inventory!$C$2:$C$801,$A46,inventory!$D$2:$D$801,$B46,inventory!$E$2:$E$801,"delivered"))</f>
        <v/>
      </c>
      <c r="V46" s="32">
        <f>IF($A46="","",IFERROR(1/(1/SUMPRODUCT(MAX((inventory!$C$2:$C$801=$A46)*(inventory!$D$2:$D$801=$B46)*(inventory!$E$2:$E$801="delivered")*(inventory!$A$2:$A$801+inventory!$B$2:$B$801)))),""))</f>
        <v/>
      </c>
      <c r="W46" s="25">
        <f>IF($A46="","",IFERROR(IF(INDEX(inventory!$J$2:$J$801,MATCH($A46&amp;"|"&amp;$B46&amp;"|delivered",inventory!$R$2:$R$801,0))="","",INDEX(inventory!$J$2:$J$801,MATCH($A46&amp;"|"&amp;$B46&amp;"|delivered",inventory!$R$2:$R$801,0))),""))</f>
        <v/>
      </c>
      <c r="X46" s="25">
        <f>IF($A46="","",IFERROR(IF(INDEX(photos!$H$2:$H$701,MATCH($A46&amp;"|"&amp;$B46&amp;"|placement|Y",photos!$R$2:$R$701,0))="","",INDEX(photos!$H$2:$H$701,MATCH($A46&amp;"|"&amp;$B46&amp;"|placement|Y",photos!$R$2:$R$701,0))),""))</f>
        <v/>
      </c>
      <c r="Y46" s="26">
        <f>IF($A46="","",IFERROR(IF(INDEX(photos!$E$2:$E$701,MATCH($A46&amp;"|"&amp;$B46&amp;"|placement|Y",photos!$R$2:$R$701,0))="","",INDEX(photos!$E$2:$E$701,MATCH($A46&amp;"|"&amp;$B46&amp;"|placement|Y",photos!$R$2:$R$701,0))),""))</f>
        <v/>
      </c>
      <c r="Z46" s="25">
        <f>IF($A46="","",IF(COUNTIFS(counts!$C$2:$C$701,$A46,counts!$D$2:$D$701,$B46,counts!$E$2:$E$701,"placed")=0,"",SUMIFS(counts!$F$2:$F$701,counts!$C$2:$C$701,$A46,counts!$D$2:$D$701,$B46,counts!$E$2:$E$701,"placed")))</f>
        <v/>
      </c>
      <c r="AA46" s="25">
        <f>IF($A46="","",IF($Y46="",0,N($Z46)))</f>
        <v/>
      </c>
      <c r="AB46" s="25">
        <f>IF($A46="","",IF(OR($Y46="",$I46=""),"N",IF($Y46&lt;=WORKDAY(N($I46),1,calendar!$A$2:$A$80),"Y","N")))</f>
        <v/>
      </c>
      <c r="AC46" s="28">
        <f>IF(OR($A46="",$V46="",$Y46=""),"",ROUND(($Y46+N(IFERROR(IF(INDEX(photos!$F$2:$F$701,MATCH($A46&amp;"|"&amp;$B46&amp;"|placement|Y",photos!$R$2:$R$701,0))="","",INDEX(photos!$F$2:$F$701,MATCH($A46&amp;"|"&amp;$B46&amp;"|placement|Y",photos!$R$2:$R$701,0))),""))-$V46)*24,1))</f>
        <v/>
      </c>
      <c r="AD46" s="25">
        <f>IF($A46="","",SUMIFS(inventory!$G$2:$G$801,inventory!$C$2:$C$801,$A46,inventory!$D$2:$D$801,$B46,inventory!$E$2:$E$801,"topped_up"))</f>
        <v/>
      </c>
      <c r="AE46" s="25">
        <f>IF($A46="","",IF(COUNTIFS(counts!$C$2:$C$701,$A46,counts!$D$2:$D$701,$B46,counts!$E$2:$E$701,"remaining_day3")=0,"",SUMIFS(counts!$F$2:$F$701,counts!$C$2:$C$701,$A46,counts!$D$2:$D$701,$B46,counts!$E$2:$E$701,"remaining_day3")))</f>
        <v/>
      </c>
      <c r="AF46" s="25">
        <f>IF($A46="","",IF(COUNTIFS(counts!$C$2:$C$701,$A46,counts!$D$2:$D$701,$B46,counts!$E$2:$E$701,"remaining_day5")=0,"",SUMIFS(counts!$F$2:$F$701,counts!$C$2:$C$701,$A46,counts!$D$2:$D$701,$B46,counts!$E$2:$E$701,"remaining_day5")))</f>
        <v/>
      </c>
      <c r="AG46" s="25">
        <f>IF(OR($A46="",$AF46=""),"",MAX(0,$AA46+$AD46-$AF46))</f>
        <v/>
      </c>
      <c r="AH46" s="25">
        <f>IF(OR($A46="",$AI46=""),"",IFERROR(IF(INDEX(photos!$H$2:$H$701,MATCH($A46&amp;"|"&amp;$B46&amp;"|later|Y|"&amp;$AI46,photos!$S$2:$S$701,0))="","",INDEX(photos!$H$2:$H$701,MATCH($A46&amp;"|"&amp;$B46&amp;"|later|Y|"&amp;$AI46,photos!$S$2:$S$701,0))),""))</f>
        <v/>
      </c>
      <c r="AI46" s="26">
        <f>IF($A46="","",IFERROR(1/(1/SUMPRODUCT(MAX((photos!$B$2:$B$701=$A46)*(photos!$C$2:$C$701=$B46)*(photos!$D$2:$D$701="later")*(photos!$O$2:$O$701="Y")*photos!$E$2:$E$701))),""))</f>
        <v/>
      </c>
      <c r="AJ46" s="25">
        <f>IF(OR($A46="",$AI46="",$I46=""),"",NETWORKDAYS($I46,$AI46,calendar!$A$2:$A$80))</f>
        <v/>
      </c>
      <c r="AK46" s="25">
        <f>IF($A46="","",IF(AND($X46&lt;&gt;"",$AH46&lt;&gt;""),"Y","N"))</f>
        <v/>
      </c>
      <c r="AL46" s="25">
        <f>IF(OR($A46="",$I46=""),"",IF($BC46="Y",SUMIFS(survey_frozen!$C$2:$C$251,survey_frozen!$P$2:$P$251,$A46&amp;"|"&amp;$B46),IFERROR(COUNTIFS(INDIRECT("'"&amp;$A46&amp;"'!$B$2:$B$501"),$T46,INDIRECT("'"&amp;$A46&amp;"'!$A$2:$A$501"),"&gt;="&amp;$I46,INDIRECT("'"&amp;$A46&amp;"'!$A$2:$A$501"),"&lt;"&amp;($BA46+1)),0)))</f>
        <v/>
      </c>
      <c r="AM46" s="25">
        <f>IF(OR($A46="",$I46=""),"",IF($BC46="Y",SUMIFS(survey_frozen!$D$2:$D$251,survey_frozen!$P$2:$P$251,$A46&amp;"|"&amp;$B46),IFERROR(COUNTIFS(INDIRECT("'"&amp;$A46&amp;"'!$B$2:$B$501"),$T46,INDIRECT("'"&amp;$A46&amp;"'!$A$2:$A$501"),"&gt;="&amp;$I46,INDIRECT("'"&amp;$A46&amp;"'!$A$2:$A$501"),"&lt;"&amp;($BA46+1),INDIRECT("'"&amp;$A46&amp;"'!$C$2:$C$501"),"Yes"),0)))</f>
        <v/>
      </c>
      <c r="AN46" s="25">
        <f>IF($A46="","",IF(COUNTIFS(scans!$C$2:$C$1601,(IF(LEFT($A46,7)="SAMPLE-","SAMPLE-","")&amp;LOWER(SUBSTITUTE(SUBSTITUTE($A46,"SAMPLE-",""),"CMP-","c"))&amp;"-"&amp;LOWER(SUBSTITUTE(SUBSTITUTE($B46,"SAMPLE-",""),"O-","o"))&amp;"-q"),scans!$D$2:$D$1601,"close")=0,"",SUMPRODUCT(MAX((scans!$C$2:$C$1601=(IF(LEFT($A46,7)="SAMPLE-","SAMPLE-","")&amp;LOWER(SUBSTITUTE(SUBSTITUTE($A46,"SAMPLE-",""),"CMP-","c"))&amp;"-"&amp;LOWER(SUBSTITUTE(SUBSTITUTE($B46,"SAMPLE-",""),"O-","o"))&amp;"-q"))*(scans!$D$2:$D$1601="close")*scans!$E$2:$E$1601))-SUMPRODUCT(MAX((scans!$C$2:$C$1601=(IF(LEFT($A46,7)="SAMPLE-","SAMPLE-","")&amp;LOWER(SUBSTITUTE(SUBSTITUTE($A46,"SAMPLE-",""),"CMP-","c"))&amp;"-"&amp;LOWER(SUBSTITUTE(SUBSTITUTE($B46,"SAMPLE-",""),"O-","o"))&amp;"-q"))*(scans!$D$2:$D$1601="baseline")*scans!$E$2:$E$1601))))</f>
        <v/>
      </c>
      <c r="AO46" s="25">
        <f>IF($A46="","",IF(COUNTIFS(scans!$C$2:$C$1601,(IF(LEFT($A46,7)="SAMPLE-","SAMPLE-","")&amp;LOWER(SUBSTITUTE(SUBSTITUTE($A46,"SAMPLE-",""),"CMP-","c"))&amp;"-"&amp;LOWER(SUBSTITUTE(SUBSTITUTE($B46,"SAMPLE-",""),"O-","o"))&amp;"-p"),scans!$D$2:$D$1601,"close")=0,"",SUMPRODUCT(MAX((scans!$C$2:$C$1601=(IF(LEFT($A46,7)="SAMPLE-","SAMPLE-","")&amp;LOWER(SUBSTITUTE(SUBSTITUTE($A46,"SAMPLE-",""),"CMP-","c"))&amp;"-"&amp;LOWER(SUBSTITUTE(SUBSTITUTE($B46,"SAMPLE-",""),"O-","o"))&amp;"-p"))*(scans!$D$2:$D$1601="close")*scans!$E$2:$E$1601))-SUMPRODUCT(MAX((scans!$C$2:$C$1601=(IF(LEFT($A46,7)="SAMPLE-","SAMPLE-","")&amp;LOWER(SUBSTITUTE(SUBSTITUTE($A46,"SAMPLE-",""),"CMP-","c"))&amp;"-"&amp;LOWER(SUBSTITUTE(SUBSTITUTE($B46,"SAMPLE-",""),"O-","o"))&amp;"-p"))*(scans!$D$2:$D$1601="baseline")*scans!$E$2:$E$1601))))</f>
        <v/>
      </c>
      <c r="AP46" s="25">
        <f>IF($A46="","",IF(COUNTIF(offices!$A$2:$A$61,$B46)=0,"office_id not on offices; ","")&amp;IF(COUNTIF(campaigns!$A$2:$A$51,$A46)=0,"campaign_id not on campaigns; ","")&amp;IF($P46="pending","approval pending; ","")&amp;IF(AND($U46&gt;0,$Y46="",OR($I46="",IF(config!$B$37&lt;&gt;"",config!$B$37,TODAY())&lt;=WORKDAY(N($I46),4,calendar!$A$2:$A$80))),"no usable placement photo yet; ","")&amp;IF(AND($Y46&lt;&gt;"",$Z46=""),"log the placed count; ","")&amp;IF(N($AA46)&gt;N($U46),"placed more than delivered; ","")&amp;IF(AND($AF46&lt;&gt;"",N($AF46)&gt;N($AA46)+N($AD46)),"day-5 count above placed plus top-ups; ","")&amp;IF(AND($U46&gt;0,$I46&lt;&gt;"",IF(config!$B$37&lt;&gt;"",config!$B$37,TODAY())&gt;WORKDAY(N($I46),4,calendar!$A$2:$A$80),$AF46=""),"day-5 count missing; ","")&amp;IF(AND($U46&gt;0,$I46&lt;&gt;"",IF(config!$B$37&lt;&gt;"",config!$B$37,TODAY())&gt;WORKDAY(N($I46),4,calendar!$A$2:$A$80),$AN46=""),"no close link reading; ","")&amp;$R46&amp;IF($P46="N","info: office said no; ","")&amp;IF(AND($P46="Y",$Q46="N"),"info: turned away at the door, so not on the drop (no letter, not in the report or Gate 2; the credit check is on campaigns); ","")&amp;IF(AND($U46&gt;0,$Y46="",$I46&lt;&gt;"",IF(config!$B$37&lt;&gt;"",config!$B$37,TODAY())&gt;WORKDAY(N($I46),4,calendar!$A$2:$A$80)),"info: no usable placement photo, so nothing counts as placed; ","")&amp;IF(AND($U46&gt;0,$I46&lt;&gt;"",IF(config!$B$37&lt;&gt;"",config!$B$37,TODAY())&gt;WORKDAY(N($I46),4,calendar!$A$2:$A$80),N($AL46)&lt;config!$B$30),"info: under "&amp;config!$B$30&amp;" responses; ","")&amp;IF($W46="packing_list","info: delivered count not verified; ",""))</f>
        <v/>
      </c>
      <c r="AQ46" s="25">
        <f>IF(OR($A46="",$I46=""),"",IF($BC46="Y",SUMIFS(survey_frozen!$E$2:$E$251,survey_frozen!$P$2:$P$251,$A46&amp;"|"&amp;$B46),IFERROR(COUNTIFS(INDIRECT("'"&amp;$A46&amp;"'!$B$2:$B$501"),$T46,INDIRECT("'"&amp;$A46&amp;"'!$A$2:$A$501"),"&gt;="&amp;$I46,INDIRECT("'"&amp;$A46&amp;"'!$A$2:$A$501"),"&lt;"&amp;($BA46+1),INDIRECT("'"&amp;$A46&amp;"'!$F$2:$F$501"),"Didn't see it"),0)))</f>
        <v/>
      </c>
      <c r="AR46" s="25">
        <f>IF(OR($A46="",$I46=""),"",IF($BC46="Y",SUMIFS(survey_frozen!$F$2:$F$251,survey_frozen!$P$2:$P$251,$A46&amp;"|"&amp;$B46),IFERROR(COUNTIFS(INDIRECT("'"&amp;$A46&amp;"'!$B$2:$B$501"),$T46,INDIRECT("'"&amp;$A46&amp;"'!$A$2:$A$501"),"&gt;="&amp;$I46,INDIRECT("'"&amp;$A46&amp;"'!$A$2:$A$501"),"&lt;"&amp;($BA46+1),INDIRECT("'"&amp;$A46&amp;"'!$F$2:$F$501"),"Not for me"),0)))</f>
        <v/>
      </c>
      <c r="AS46" s="25">
        <f>IF(OR($A46="",$I46=""),"",IF($BC46="Y",SUMIFS(survey_frozen!$G$2:$G$251,survey_frozen!$P$2:$P$251,$A46&amp;"|"&amp;$B46),IFERROR(COUNTIFS(INDIRECT("'"&amp;$A46&amp;"'!$B$2:$B$501"),$T46,INDIRECT("'"&amp;$A46&amp;"'!$A$2:$A$501"),"&gt;="&amp;$I46,INDIRECT("'"&amp;$A46&amp;"'!$A$2:$A$501"),"&lt;"&amp;($BA46+1),INDIRECT("'"&amp;$A46&amp;"'!$F$2:$F$501"),"Gone by the time I looked"),0)))</f>
        <v/>
      </c>
      <c r="AT46" s="25">
        <f>IF(OR($A46="",$I46=""),"",IF($BC46="Y",SUMIFS(survey_frozen!$H$2:$H$251,survey_frozen!$P$2:$P$251,$A46&amp;"|"&amp;$B46),IFERROR(COUNTIFS(INDIRECT("'"&amp;$A46&amp;"'!$B$2:$B$501"),$T46,INDIRECT("'"&amp;$A46&amp;"'!$A$2:$A$501"),"&gt;="&amp;$I46,INDIRECT("'"&amp;$A46&amp;"'!$A$2:$A$501"),"&lt;"&amp;($BA46+1),INDIRECT("'"&amp;$A46&amp;"'!$D$2:$D$501"),"&gt;=1"),0)))</f>
        <v/>
      </c>
      <c r="AU46" s="25">
        <f>IF(OR($A46="",$I46=""),"",IF($BC46="Y",SUMIFS(survey_frozen!$I$2:$I$251,survey_frozen!$P$2:$P$251,$A46&amp;"|"&amp;$B46),IFERROR(SUMIFS(INDIRECT("'"&amp;$A46&amp;"'!$D$2:$D$501"),INDIRECT("'"&amp;$A46&amp;"'!$B$2:$B$501"),$T46,INDIRECT("'"&amp;$A46&amp;"'!$A$2:$A$501"),"&gt;="&amp;$I46,INDIRECT("'"&amp;$A46&amp;"'!$A$2:$A$501"),"&lt;"&amp;($BA46+1)),0)))</f>
        <v/>
      </c>
      <c r="AV46" s="25">
        <f>IF(OR($A46="",$I46=""),"",IF($BC46="Y",SUMIFS(survey_frozen!$J$2:$J$251,survey_frozen!$P$2:$P$251,$A46&amp;"|"&amp;$B46),IFERROR(COUNTIFS(INDIRECT("'"&amp;$A46&amp;"'!$B$2:$B$501"),$T46,INDIRECT("'"&amp;$A46&amp;"'!$A$2:$A$501"),"&gt;="&amp;$I46,INDIRECT("'"&amp;$A46&amp;"'!$A$2:$A$501"),"&lt;"&amp;($BA46+1),INDIRECT("'"&amp;$A46&amp;"'!$E$2:$E$501"),"Yes"),0)))</f>
        <v/>
      </c>
      <c r="AW46" s="25">
        <f>IF(OR($A46="",$I46=""),"",IF($BC46="Y",SUMIFS(survey_frozen!$K$2:$K$251,survey_frozen!$P$2:$P$251,$A46&amp;"|"&amp;$B46),IFERROR(COUNTIFS(INDIRECT("'"&amp;$A46&amp;"'!$B$2:$B$501"),$T46,INDIRECT("'"&amp;$A46&amp;"'!$A$2:$A$501"),"&gt;="&amp;$I46,INDIRECT("'"&amp;$A46&amp;"'!$A$2:$A$501"),"&lt;"&amp;($BA46+1),INDIRECT("'"&amp;$A46&amp;"'!$E$2:$E$501"),"Maybe"),0)))</f>
        <v/>
      </c>
      <c r="AX46" s="25">
        <f>IF(OR($A46="",$I46=""),"",IF($BC46="Y",SUMIFS(survey_frozen!$L$2:$L$251,survey_frozen!$P$2:$P$251,$A46&amp;"|"&amp;$B46),IFERROR(COUNTIFS(INDIRECT("'"&amp;$A46&amp;"'!$B$2:$B$501"),$T46,INDIRECT("'"&amp;$A46&amp;"'!$A$2:$A$501"),"&gt;="&amp;$I46,INDIRECT("'"&amp;$A46&amp;"'!$A$2:$A$501"),"&lt;"&amp;($BA46+1),INDIRECT("'"&amp;$A46&amp;"'!$E$2:$E$501"),"No"),0)))</f>
        <v/>
      </c>
      <c r="AY46" s="25">
        <f>IF(OR($A46="",$I46=""),"",IF($BC46="Y",SUMIFS(survey_frozen!$M$2:$M$251,survey_frozen!$P$2:$P$251,$A46&amp;"|"&amp;$B46),IFERROR(COUNTIFS(INDIRECT("'"&amp;$A46&amp;"'!$B$2:$B$501"),$T46,INDIRECT("'"&amp;$A46&amp;"'!$A$2:$A$501"),"&gt;="&amp;$I46,INDIRECT("'"&amp;$A46&amp;"'!$A$2:$A$501"),"&lt;"&amp;($BA46+1),INDIRECT("'"&amp;$A46&amp;"'!$G$2:$G$501"),"&lt;&gt;"),0)))</f>
        <v/>
      </c>
      <c r="AZ46" s="25">
        <f>IF($A46="","",$A46&amp;"|"&amp;$L46)</f>
        <v/>
      </c>
      <c r="BA46" s="26">
        <f>IF($A46="","",IFERROR(IF(INDEX(drops!$R$2:$R$21,MATCH($H46,drops!$A$2:$A$21,0))="","",INDEX(drops!$R$2:$R$21,MATCH($H46,drops!$A$2:$A$21,0))),""))</f>
        <v/>
      </c>
      <c r="BB46" s="25">
        <f>IF(OR($A46="",$Q46&lt;&gt;"Y"),1000000,N($AL46))</f>
        <v/>
      </c>
      <c r="BC46" s="25">
        <f>IF($A46="","",IF(COUNTIF(survey_frozen!$P$2:$P$251,$A46&amp;"|"&amp;$B46)&gt;0,"Y",""))</f>
        <v/>
      </c>
    </row>
    <row r="47">
      <c r="C47" s="9" t="n"/>
      <c r="E47" s="9" t="n"/>
      <c r="H47" s="25">
        <f>IF($A47="","",IFERROR(IF(INDEX(campaigns!$B$2:$B$51,MATCH($A47,campaigns!$A$2:$A$51,0))="","",INDEX(campaigns!$B$2:$B$51,MATCH($A47,campaigns!$A$2:$A$51,0))),""))</f>
        <v/>
      </c>
      <c r="I47" s="26">
        <f>IF($A47="","",IFERROR(IF(INDEX(campaigns!$BG$2:$BG$51,MATCH($A47,campaigns!$A$2:$A$51,0))="","",INDEX(campaigns!$BG$2:$BG$51,MATCH($A47,campaigns!$A$2:$A$51,0))),""))</f>
        <v/>
      </c>
      <c r="J47" s="25">
        <f>IF($A47="","",IFERROR(IF(INDEX(campaigns!$BE$2:$BE$51,MATCH($A47,campaigns!$A$2:$A$51,0))="","",INDEX(campaigns!$BE$2:$BE$51,MATCH($A47,campaigns!$A$2:$A$51,0))),""))</f>
        <v/>
      </c>
      <c r="K47" s="25">
        <f>IF($B47="","",IFERROR(IF(INDEX(offices!$N$2:$N$61,MATCH($B47,offices!$A$2:$A$61,0))="","",INDEX(offices!$N$2:$N$61,MATCH($B47,offices!$A$2:$A$61,0))),""))</f>
        <v/>
      </c>
      <c r="L47" s="25">
        <f>IF($A47="","",IF($Q47="N","",COUNTIFS($A$2:$A47,$A47,$Q$2:$Q47,"&lt;&gt;N")))</f>
        <v/>
      </c>
      <c r="M47" s="25">
        <f>IF(OR($A47="",$L47=""),"",IF(AND(config!$B$34="names_if_public",IFERROR(IF(INDEX(offices!$AF$2:$AF$61,MATCH($B47,offices!$A$2:$A$61,0))="","",INDEX(offices!$AF$2:$AF$61,MATCH($B47,offices!$A$2:$A$61,0))),"")="Y"),$K47,CHAR(64+$L47)))</f>
        <v/>
      </c>
      <c r="N47" s="25">
        <f>IF(OR($A47="",$I47=""),"",COUNTIFS(stops!$B$2:$B$151,$B47,stops!$P$2:$P$151,"&lt;"&amp;$I47,stops!$L$2:$L$151,"&lt;&gt;not_delivered")+1)</f>
        <v/>
      </c>
      <c r="O47" s="25">
        <f>IF($A47="","",IF(N($N47)&lt;=config!$B$29,"explicit","opt-out"))</f>
        <v/>
      </c>
      <c r="P47" s="25">
        <f>IF($A47="","",IF($O47="explicit",IF($D47="yes","Y",IF($D47="no","N","pending")),IF($D47="no","N",IF(AND($C47&lt;&gt;"",$I47&lt;&gt;"",$C47&lt;=WORKDAY(N($I47),-5,calendar!$A$2:$A$80)),"Y","pending"))))</f>
        <v/>
      </c>
      <c r="Q47" s="25">
        <f>IF($A47="","",IF($P47="N","N",IF($P47&lt;&gt;"Y","pending",IF(AND((COUNTIFS(stops!$A$2:$A$151,$H47,stops!$B$2:$B$151,$B47,stops!$L$2:$L$151,"declined")+COUNTIFS(stops!$A$2:$A$151,$H47,stops!$B$2:$B$151,$B47,stops!$L$2:$L$151,"building_refused")+COUNTIFS(stops!$A$2:$A$151,$H47,stops!$B$2:$B$151,$B47,stops!$L$2:$L$151,"not_delivered"))&gt;0,N($U47)=0),"N","Y"))))</f>
        <v/>
      </c>
      <c r="R47" s="25">
        <f>IF($A47="","",IF(COUNTIFS($A$2:$A$251,$A47,$B$2:$B$251,$B47)&gt;1,"DUPLICATE ROW; ","")&amp;IF(AND(IFERROR(IF(INDEX(offices!$AC$2:$AC$61,MATCH($B47,offices!$A$2:$A$61,0))="","",INDEX(offices!$AC$2:$AC$61,MATCH($B47,offices!$A$2:$A$61,0))),"")&lt;&gt;"",ISNUMBER(SEARCH($J47,IFERROR(IF(INDEX(offices!$AC$2:$AC$61,MATCH($B47,offices!$A$2:$A$61,0))="","",INDEX(offices!$AC$2:$AC$61,MATCH($B47,offices!$A$2:$A$61,0))),"")))),"BRAND VETOED; ","")&amp;IF(ISNUMBER(SEARCH(IFERROR(IF(INDEX(campaigns!$BF$2:$BF$51,MATCH($A47,campaigns!$A$2:$A$51,0))="","",INDEX(campaigns!$BF$2:$BF$51,MATCH($A47,campaigns!$A$2:$A$51,0))),""),IFERROR(IF(INDEX(offices!$AB$2:$AB$61,MATCH($B47,offices!$A$2:$A$61,0))="","",INDEX(offices!$AB$2:$AB$61,MATCH($B47,offices!$A$2:$A$61,0))),""))),"","info: category not on the office's list; ")&amp;IF(IFERROR(IF(INDEX(offices!$AC$2:$AC$61,MATCH($B47,offices!$A$2:$A$61,0))="","",INDEX(offices!$AC$2:$AC$61,MATCH($B47,offices!$A$2:$A$61,0))),"")&lt;&gt;"","info: read the vetoes against the label; ",""))</f>
        <v/>
      </c>
      <c r="S47" s="25">
        <f>IF($A47="","",IF($G47&lt;&gt;"",$G47,IFERROR(IF(INDEX(offices!$AL$2:$AL$61,MATCH($B47,offices!$A$2:$A$61,0))="","",INDEX(offices!$AL$2:$AL$61,MATCH($B47,offices!$A$2:$A$61,0))),"")))</f>
        <v/>
      </c>
      <c r="T47" s="25">
        <f>IF($A47="","",$A47&amp;"."&amp;$B47)</f>
        <v/>
      </c>
      <c r="U47" s="25">
        <f>IF($A47="","",SUMIFS(inventory!$G$2:$G$801,inventory!$C$2:$C$801,$A47,inventory!$D$2:$D$801,$B47,inventory!$E$2:$E$801,"delivered"))</f>
        <v/>
      </c>
      <c r="V47" s="32">
        <f>IF($A47="","",IFERROR(1/(1/SUMPRODUCT(MAX((inventory!$C$2:$C$801=$A47)*(inventory!$D$2:$D$801=$B47)*(inventory!$E$2:$E$801="delivered")*(inventory!$A$2:$A$801+inventory!$B$2:$B$801)))),""))</f>
        <v/>
      </c>
      <c r="W47" s="25">
        <f>IF($A47="","",IFERROR(IF(INDEX(inventory!$J$2:$J$801,MATCH($A47&amp;"|"&amp;$B47&amp;"|delivered",inventory!$R$2:$R$801,0))="","",INDEX(inventory!$J$2:$J$801,MATCH($A47&amp;"|"&amp;$B47&amp;"|delivered",inventory!$R$2:$R$801,0))),""))</f>
        <v/>
      </c>
      <c r="X47" s="25">
        <f>IF($A47="","",IFERROR(IF(INDEX(photos!$H$2:$H$701,MATCH($A47&amp;"|"&amp;$B47&amp;"|placement|Y",photos!$R$2:$R$701,0))="","",INDEX(photos!$H$2:$H$701,MATCH($A47&amp;"|"&amp;$B47&amp;"|placement|Y",photos!$R$2:$R$701,0))),""))</f>
        <v/>
      </c>
      <c r="Y47" s="26">
        <f>IF($A47="","",IFERROR(IF(INDEX(photos!$E$2:$E$701,MATCH($A47&amp;"|"&amp;$B47&amp;"|placement|Y",photos!$R$2:$R$701,0))="","",INDEX(photos!$E$2:$E$701,MATCH($A47&amp;"|"&amp;$B47&amp;"|placement|Y",photos!$R$2:$R$701,0))),""))</f>
        <v/>
      </c>
      <c r="Z47" s="25">
        <f>IF($A47="","",IF(COUNTIFS(counts!$C$2:$C$701,$A47,counts!$D$2:$D$701,$B47,counts!$E$2:$E$701,"placed")=0,"",SUMIFS(counts!$F$2:$F$701,counts!$C$2:$C$701,$A47,counts!$D$2:$D$701,$B47,counts!$E$2:$E$701,"placed")))</f>
        <v/>
      </c>
      <c r="AA47" s="25">
        <f>IF($A47="","",IF($Y47="",0,N($Z47)))</f>
        <v/>
      </c>
      <c r="AB47" s="25">
        <f>IF($A47="","",IF(OR($Y47="",$I47=""),"N",IF($Y47&lt;=WORKDAY(N($I47),1,calendar!$A$2:$A$80),"Y","N")))</f>
        <v/>
      </c>
      <c r="AC47" s="28">
        <f>IF(OR($A47="",$V47="",$Y47=""),"",ROUND(($Y47+N(IFERROR(IF(INDEX(photos!$F$2:$F$701,MATCH($A47&amp;"|"&amp;$B47&amp;"|placement|Y",photos!$R$2:$R$701,0))="","",INDEX(photos!$F$2:$F$701,MATCH($A47&amp;"|"&amp;$B47&amp;"|placement|Y",photos!$R$2:$R$701,0))),""))-$V47)*24,1))</f>
        <v/>
      </c>
      <c r="AD47" s="25">
        <f>IF($A47="","",SUMIFS(inventory!$G$2:$G$801,inventory!$C$2:$C$801,$A47,inventory!$D$2:$D$801,$B47,inventory!$E$2:$E$801,"topped_up"))</f>
        <v/>
      </c>
      <c r="AE47" s="25">
        <f>IF($A47="","",IF(COUNTIFS(counts!$C$2:$C$701,$A47,counts!$D$2:$D$701,$B47,counts!$E$2:$E$701,"remaining_day3")=0,"",SUMIFS(counts!$F$2:$F$701,counts!$C$2:$C$701,$A47,counts!$D$2:$D$701,$B47,counts!$E$2:$E$701,"remaining_day3")))</f>
        <v/>
      </c>
      <c r="AF47" s="25">
        <f>IF($A47="","",IF(COUNTIFS(counts!$C$2:$C$701,$A47,counts!$D$2:$D$701,$B47,counts!$E$2:$E$701,"remaining_day5")=0,"",SUMIFS(counts!$F$2:$F$701,counts!$C$2:$C$701,$A47,counts!$D$2:$D$701,$B47,counts!$E$2:$E$701,"remaining_day5")))</f>
        <v/>
      </c>
      <c r="AG47" s="25">
        <f>IF(OR($A47="",$AF47=""),"",MAX(0,$AA47+$AD47-$AF47))</f>
        <v/>
      </c>
      <c r="AH47" s="25">
        <f>IF(OR($A47="",$AI47=""),"",IFERROR(IF(INDEX(photos!$H$2:$H$701,MATCH($A47&amp;"|"&amp;$B47&amp;"|later|Y|"&amp;$AI47,photos!$S$2:$S$701,0))="","",INDEX(photos!$H$2:$H$701,MATCH($A47&amp;"|"&amp;$B47&amp;"|later|Y|"&amp;$AI47,photos!$S$2:$S$701,0))),""))</f>
        <v/>
      </c>
      <c r="AI47" s="26">
        <f>IF($A47="","",IFERROR(1/(1/SUMPRODUCT(MAX((photos!$B$2:$B$701=$A47)*(photos!$C$2:$C$701=$B47)*(photos!$D$2:$D$701="later")*(photos!$O$2:$O$701="Y")*photos!$E$2:$E$701))),""))</f>
        <v/>
      </c>
      <c r="AJ47" s="25">
        <f>IF(OR($A47="",$AI47="",$I47=""),"",NETWORKDAYS($I47,$AI47,calendar!$A$2:$A$80))</f>
        <v/>
      </c>
      <c r="AK47" s="25">
        <f>IF($A47="","",IF(AND($X47&lt;&gt;"",$AH47&lt;&gt;""),"Y","N"))</f>
        <v/>
      </c>
      <c r="AL47" s="25">
        <f>IF(OR($A47="",$I47=""),"",IF($BC47="Y",SUMIFS(survey_frozen!$C$2:$C$251,survey_frozen!$P$2:$P$251,$A47&amp;"|"&amp;$B47),IFERROR(COUNTIFS(INDIRECT("'"&amp;$A47&amp;"'!$B$2:$B$501"),$T47,INDIRECT("'"&amp;$A47&amp;"'!$A$2:$A$501"),"&gt;="&amp;$I47,INDIRECT("'"&amp;$A47&amp;"'!$A$2:$A$501"),"&lt;"&amp;($BA47+1)),0)))</f>
        <v/>
      </c>
      <c r="AM47" s="25">
        <f>IF(OR($A47="",$I47=""),"",IF($BC47="Y",SUMIFS(survey_frozen!$D$2:$D$251,survey_frozen!$P$2:$P$251,$A47&amp;"|"&amp;$B47),IFERROR(COUNTIFS(INDIRECT("'"&amp;$A47&amp;"'!$B$2:$B$501"),$T47,INDIRECT("'"&amp;$A47&amp;"'!$A$2:$A$501"),"&gt;="&amp;$I47,INDIRECT("'"&amp;$A47&amp;"'!$A$2:$A$501"),"&lt;"&amp;($BA47+1),INDIRECT("'"&amp;$A47&amp;"'!$C$2:$C$501"),"Yes"),0)))</f>
        <v/>
      </c>
      <c r="AN47" s="25">
        <f>IF($A47="","",IF(COUNTIFS(scans!$C$2:$C$1601,(IF(LEFT($A47,7)="SAMPLE-","SAMPLE-","")&amp;LOWER(SUBSTITUTE(SUBSTITUTE($A47,"SAMPLE-",""),"CMP-","c"))&amp;"-"&amp;LOWER(SUBSTITUTE(SUBSTITUTE($B47,"SAMPLE-",""),"O-","o"))&amp;"-q"),scans!$D$2:$D$1601,"close")=0,"",SUMPRODUCT(MAX((scans!$C$2:$C$1601=(IF(LEFT($A47,7)="SAMPLE-","SAMPLE-","")&amp;LOWER(SUBSTITUTE(SUBSTITUTE($A47,"SAMPLE-",""),"CMP-","c"))&amp;"-"&amp;LOWER(SUBSTITUTE(SUBSTITUTE($B47,"SAMPLE-",""),"O-","o"))&amp;"-q"))*(scans!$D$2:$D$1601="close")*scans!$E$2:$E$1601))-SUMPRODUCT(MAX((scans!$C$2:$C$1601=(IF(LEFT($A47,7)="SAMPLE-","SAMPLE-","")&amp;LOWER(SUBSTITUTE(SUBSTITUTE($A47,"SAMPLE-",""),"CMP-","c"))&amp;"-"&amp;LOWER(SUBSTITUTE(SUBSTITUTE($B47,"SAMPLE-",""),"O-","o"))&amp;"-q"))*(scans!$D$2:$D$1601="baseline")*scans!$E$2:$E$1601))))</f>
        <v/>
      </c>
      <c r="AO47" s="25">
        <f>IF($A47="","",IF(COUNTIFS(scans!$C$2:$C$1601,(IF(LEFT($A47,7)="SAMPLE-","SAMPLE-","")&amp;LOWER(SUBSTITUTE(SUBSTITUTE($A47,"SAMPLE-",""),"CMP-","c"))&amp;"-"&amp;LOWER(SUBSTITUTE(SUBSTITUTE($B47,"SAMPLE-",""),"O-","o"))&amp;"-p"),scans!$D$2:$D$1601,"close")=0,"",SUMPRODUCT(MAX((scans!$C$2:$C$1601=(IF(LEFT($A47,7)="SAMPLE-","SAMPLE-","")&amp;LOWER(SUBSTITUTE(SUBSTITUTE($A47,"SAMPLE-",""),"CMP-","c"))&amp;"-"&amp;LOWER(SUBSTITUTE(SUBSTITUTE($B47,"SAMPLE-",""),"O-","o"))&amp;"-p"))*(scans!$D$2:$D$1601="close")*scans!$E$2:$E$1601))-SUMPRODUCT(MAX((scans!$C$2:$C$1601=(IF(LEFT($A47,7)="SAMPLE-","SAMPLE-","")&amp;LOWER(SUBSTITUTE(SUBSTITUTE($A47,"SAMPLE-",""),"CMP-","c"))&amp;"-"&amp;LOWER(SUBSTITUTE(SUBSTITUTE($B47,"SAMPLE-",""),"O-","o"))&amp;"-p"))*(scans!$D$2:$D$1601="baseline")*scans!$E$2:$E$1601))))</f>
        <v/>
      </c>
      <c r="AP47" s="25">
        <f>IF($A47="","",IF(COUNTIF(offices!$A$2:$A$61,$B47)=0,"office_id not on offices; ","")&amp;IF(COUNTIF(campaigns!$A$2:$A$51,$A47)=0,"campaign_id not on campaigns; ","")&amp;IF($P47="pending","approval pending; ","")&amp;IF(AND($U47&gt;0,$Y47="",OR($I47="",IF(config!$B$37&lt;&gt;"",config!$B$37,TODAY())&lt;=WORKDAY(N($I47),4,calendar!$A$2:$A$80))),"no usable placement photo yet; ","")&amp;IF(AND($Y47&lt;&gt;"",$Z47=""),"log the placed count; ","")&amp;IF(N($AA47)&gt;N($U47),"placed more than delivered; ","")&amp;IF(AND($AF47&lt;&gt;"",N($AF47)&gt;N($AA47)+N($AD47)),"day-5 count above placed plus top-ups; ","")&amp;IF(AND($U47&gt;0,$I47&lt;&gt;"",IF(config!$B$37&lt;&gt;"",config!$B$37,TODAY())&gt;WORKDAY(N($I47),4,calendar!$A$2:$A$80),$AF47=""),"day-5 count missing; ","")&amp;IF(AND($U47&gt;0,$I47&lt;&gt;"",IF(config!$B$37&lt;&gt;"",config!$B$37,TODAY())&gt;WORKDAY(N($I47),4,calendar!$A$2:$A$80),$AN47=""),"no close link reading; ","")&amp;$R47&amp;IF($P47="N","info: office said no; ","")&amp;IF(AND($P47="Y",$Q47="N"),"info: turned away at the door, so not on the drop (no letter, not in the report or Gate 2; the credit check is on campaigns); ","")&amp;IF(AND($U47&gt;0,$Y47="",$I47&lt;&gt;"",IF(config!$B$37&lt;&gt;"",config!$B$37,TODAY())&gt;WORKDAY(N($I47),4,calendar!$A$2:$A$80)),"info: no usable placement photo, so nothing counts as placed; ","")&amp;IF(AND($U47&gt;0,$I47&lt;&gt;"",IF(config!$B$37&lt;&gt;"",config!$B$37,TODAY())&gt;WORKDAY(N($I47),4,calendar!$A$2:$A$80),N($AL47)&lt;config!$B$30),"info: under "&amp;config!$B$30&amp;" responses; ","")&amp;IF($W47="packing_list","info: delivered count not verified; ",""))</f>
        <v/>
      </c>
      <c r="AQ47" s="25">
        <f>IF(OR($A47="",$I47=""),"",IF($BC47="Y",SUMIFS(survey_frozen!$E$2:$E$251,survey_frozen!$P$2:$P$251,$A47&amp;"|"&amp;$B47),IFERROR(COUNTIFS(INDIRECT("'"&amp;$A47&amp;"'!$B$2:$B$501"),$T47,INDIRECT("'"&amp;$A47&amp;"'!$A$2:$A$501"),"&gt;="&amp;$I47,INDIRECT("'"&amp;$A47&amp;"'!$A$2:$A$501"),"&lt;"&amp;($BA47+1),INDIRECT("'"&amp;$A47&amp;"'!$F$2:$F$501"),"Didn't see it"),0)))</f>
        <v/>
      </c>
      <c r="AR47" s="25">
        <f>IF(OR($A47="",$I47=""),"",IF($BC47="Y",SUMIFS(survey_frozen!$F$2:$F$251,survey_frozen!$P$2:$P$251,$A47&amp;"|"&amp;$B47),IFERROR(COUNTIFS(INDIRECT("'"&amp;$A47&amp;"'!$B$2:$B$501"),$T47,INDIRECT("'"&amp;$A47&amp;"'!$A$2:$A$501"),"&gt;="&amp;$I47,INDIRECT("'"&amp;$A47&amp;"'!$A$2:$A$501"),"&lt;"&amp;($BA47+1),INDIRECT("'"&amp;$A47&amp;"'!$F$2:$F$501"),"Not for me"),0)))</f>
        <v/>
      </c>
      <c r="AS47" s="25">
        <f>IF(OR($A47="",$I47=""),"",IF($BC47="Y",SUMIFS(survey_frozen!$G$2:$G$251,survey_frozen!$P$2:$P$251,$A47&amp;"|"&amp;$B47),IFERROR(COUNTIFS(INDIRECT("'"&amp;$A47&amp;"'!$B$2:$B$501"),$T47,INDIRECT("'"&amp;$A47&amp;"'!$A$2:$A$501"),"&gt;="&amp;$I47,INDIRECT("'"&amp;$A47&amp;"'!$A$2:$A$501"),"&lt;"&amp;($BA47+1),INDIRECT("'"&amp;$A47&amp;"'!$F$2:$F$501"),"Gone by the time I looked"),0)))</f>
        <v/>
      </c>
      <c r="AT47" s="25">
        <f>IF(OR($A47="",$I47=""),"",IF($BC47="Y",SUMIFS(survey_frozen!$H$2:$H$251,survey_frozen!$P$2:$P$251,$A47&amp;"|"&amp;$B47),IFERROR(COUNTIFS(INDIRECT("'"&amp;$A47&amp;"'!$B$2:$B$501"),$T47,INDIRECT("'"&amp;$A47&amp;"'!$A$2:$A$501"),"&gt;="&amp;$I47,INDIRECT("'"&amp;$A47&amp;"'!$A$2:$A$501"),"&lt;"&amp;($BA47+1),INDIRECT("'"&amp;$A47&amp;"'!$D$2:$D$501"),"&gt;=1"),0)))</f>
        <v/>
      </c>
      <c r="AU47" s="25">
        <f>IF(OR($A47="",$I47=""),"",IF($BC47="Y",SUMIFS(survey_frozen!$I$2:$I$251,survey_frozen!$P$2:$P$251,$A47&amp;"|"&amp;$B47),IFERROR(SUMIFS(INDIRECT("'"&amp;$A47&amp;"'!$D$2:$D$501"),INDIRECT("'"&amp;$A47&amp;"'!$B$2:$B$501"),$T47,INDIRECT("'"&amp;$A47&amp;"'!$A$2:$A$501"),"&gt;="&amp;$I47,INDIRECT("'"&amp;$A47&amp;"'!$A$2:$A$501"),"&lt;"&amp;($BA47+1)),0)))</f>
        <v/>
      </c>
      <c r="AV47" s="25">
        <f>IF(OR($A47="",$I47=""),"",IF($BC47="Y",SUMIFS(survey_frozen!$J$2:$J$251,survey_frozen!$P$2:$P$251,$A47&amp;"|"&amp;$B47),IFERROR(COUNTIFS(INDIRECT("'"&amp;$A47&amp;"'!$B$2:$B$501"),$T47,INDIRECT("'"&amp;$A47&amp;"'!$A$2:$A$501"),"&gt;="&amp;$I47,INDIRECT("'"&amp;$A47&amp;"'!$A$2:$A$501"),"&lt;"&amp;($BA47+1),INDIRECT("'"&amp;$A47&amp;"'!$E$2:$E$501"),"Yes"),0)))</f>
        <v/>
      </c>
      <c r="AW47" s="25">
        <f>IF(OR($A47="",$I47=""),"",IF($BC47="Y",SUMIFS(survey_frozen!$K$2:$K$251,survey_frozen!$P$2:$P$251,$A47&amp;"|"&amp;$B47),IFERROR(COUNTIFS(INDIRECT("'"&amp;$A47&amp;"'!$B$2:$B$501"),$T47,INDIRECT("'"&amp;$A47&amp;"'!$A$2:$A$501"),"&gt;="&amp;$I47,INDIRECT("'"&amp;$A47&amp;"'!$A$2:$A$501"),"&lt;"&amp;($BA47+1),INDIRECT("'"&amp;$A47&amp;"'!$E$2:$E$501"),"Maybe"),0)))</f>
        <v/>
      </c>
      <c r="AX47" s="25">
        <f>IF(OR($A47="",$I47=""),"",IF($BC47="Y",SUMIFS(survey_frozen!$L$2:$L$251,survey_frozen!$P$2:$P$251,$A47&amp;"|"&amp;$B47),IFERROR(COUNTIFS(INDIRECT("'"&amp;$A47&amp;"'!$B$2:$B$501"),$T47,INDIRECT("'"&amp;$A47&amp;"'!$A$2:$A$501"),"&gt;="&amp;$I47,INDIRECT("'"&amp;$A47&amp;"'!$A$2:$A$501"),"&lt;"&amp;($BA47+1),INDIRECT("'"&amp;$A47&amp;"'!$E$2:$E$501"),"No"),0)))</f>
        <v/>
      </c>
      <c r="AY47" s="25">
        <f>IF(OR($A47="",$I47=""),"",IF($BC47="Y",SUMIFS(survey_frozen!$M$2:$M$251,survey_frozen!$P$2:$P$251,$A47&amp;"|"&amp;$B47),IFERROR(COUNTIFS(INDIRECT("'"&amp;$A47&amp;"'!$B$2:$B$501"),$T47,INDIRECT("'"&amp;$A47&amp;"'!$A$2:$A$501"),"&gt;="&amp;$I47,INDIRECT("'"&amp;$A47&amp;"'!$A$2:$A$501"),"&lt;"&amp;($BA47+1),INDIRECT("'"&amp;$A47&amp;"'!$G$2:$G$501"),"&lt;&gt;"),0)))</f>
        <v/>
      </c>
      <c r="AZ47" s="25">
        <f>IF($A47="","",$A47&amp;"|"&amp;$L47)</f>
        <v/>
      </c>
      <c r="BA47" s="26">
        <f>IF($A47="","",IFERROR(IF(INDEX(drops!$R$2:$R$21,MATCH($H47,drops!$A$2:$A$21,0))="","",INDEX(drops!$R$2:$R$21,MATCH($H47,drops!$A$2:$A$21,0))),""))</f>
        <v/>
      </c>
      <c r="BB47" s="25">
        <f>IF(OR($A47="",$Q47&lt;&gt;"Y"),1000000,N($AL47))</f>
        <v/>
      </c>
      <c r="BC47" s="25">
        <f>IF($A47="","",IF(COUNTIF(survey_frozen!$P$2:$P$251,$A47&amp;"|"&amp;$B47)&gt;0,"Y",""))</f>
        <v/>
      </c>
    </row>
    <row r="48">
      <c r="C48" s="9" t="n"/>
      <c r="E48" s="9" t="n"/>
      <c r="H48" s="25">
        <f>IF($A48="","",IFERROR(IF(INDEX(campaigns!$B$2:$B$51,MATCH($A48,campaigns!$A$2:$A$51,0))="","",INDEX(campaigns!$B$2:$B$51,MATCH($A48,campaigns!$A$2:$A$51,0))),""))</f>
        <v/>
      </c>
      <c r="I48" s="26">
        <f>IF($A48="","",IFERROR(IF(INDEX(campaigns!$BG$2:$BG$51,MATCH($A48,campaigns!$A$2:$A$51,0))="","",INDEX(campaigns!$BG$2:$BG$51,MATCH($A48,campaigns!$A$2:$A$51,0))),""))</f>
        <v/>
      </c>
      <c r="J48" s="25">
        <f>IF($A48="","",IFERROR(IF(INDEX(campaigns!$BE$2:$BE$51,MATCH($A48,campaigns!$A$2:$A$51,0))="","",INDEX(campaigns!$BE$2:$BE$51,MATCH($A48,campaigns!$A$2:$A$51,0))),""))</f>
        <v/>
      </c>
      <c r="K48" s="25">
        <f>IF($B48="","",IFERROR(IF(INDEX(offices!$N$2:$N$61,MATCH($B48,offices!$A$2:$A$61,0))="","",INDEX(offices!$N$2:$N$61,MATCH($B48,offices!$A$2:$A$61,0))),""))</f>
        <v/>
      </c>
      <c r="L48" s="25">
        <f>IF($A48="","",IF($Q48="N","",COUNTIFS($A$2:$A48,$A48,$Q$2:$Q48,"&lt;&gt;N")))</f>
        <v/>
      </c>
      <c r="M48" s="25">
        <f>IF(OR($A48="",$L48=""),"",IF(AND(config!$B$34="names_if_public",IFERROR(IF(INDEX(offices!$AF$2:$AF$61,MATCH($B48,offices!$A$2:$A$61,0))="","",INDEX(offices!$AF$2:$AF$61,MATCH($B48,offices!$A$2:$A$61,0))),"")="Y"),$K48,CHAR(64+$L48)))</f>
        <v/>
      </c>
      <c r="N48" s="25">
        <f>IF(OR($A48="",$I48=""),"",COUNTIFS(stops!$B$2:$B$151,$B48,stops!$P$2:$P$151,"&lt;"&amp;$I48,stops!$L$2:$L$151,"&lt;&gt;not_delivered")+1)</f>
        <v/>
      </c>
      <c r="O48" s="25">
        <f>IF($A48="","",IF(N($N48)&lt;=config!$B$29,"explicit","opt-out"))</f>
        <v/>
      </c>
      <c r="P48" s="25">
        <f>IF($A48="","",IF($O48="explicit",IF($D48="yes","Y",IF($D48="no","N","pending")),IF($D48="no","N",IF(AND($C48&lt;&gt;"",$I48&lt;&gt;"",$C48&lt;=WORKDAY(N($I48),-5,calendar!$A$2:$A$80)),"Y","pending"))))</f>
        <v/>
      </c>
      <c r="Q48" s="25">
        <f>IF($A48="","",IF($P48="N","N",IF($P48&lt;&gt;"Y","pending",IF(AND((COUNTIFS(stops!$A$2:$A$151,$H48,stops!$B$2:$B$151,$B48,stops!$L$2:$L$151,"declined")+COUNTIFS(stops!$A$2:$A$151,$H48,stops!$B$2:$B$151,$B48,stops!$L$2:$L$151,"building_refused")+COUNTIFS(stops!$A$2:$A$151,$H48,stops!$B$2:$B$151,$B48,stops!$L$2:$L$151,"not_delivered"))&gt;0,N($U48)=0),"N","Y"))))</f>
        <v/>
      </c>
      <c r="R48" s="25">
        <f>IF($A48="","",IF(COUNTIFS($A$2:$A$251,$A48,$B$2:$B$251,$B48)&gt;1,"DUPLICATE ROW; ","")&amp;IF(AND(IFERROR(IF(INDEX(offices!$AC$2:$AC$61,MATCH($B48,offices!$A$2:$A$61,0))="","",INDEX(offices!$AC$2:$AC$61,MATCH($B48,offices!$A$2:$A$61,0))),"")&lt;&gt;"",ISNUMBER(SEARCH($J48,IFERROR(IF(INDEX(offices!$AC$2:$AC$61,MATCH($B48,offices!$A$2:$A$61,0))="","",INDEX(offices!$AC$2:$AC$61,MATCH($B48,offices!$A$2:$A$61,0))),"")))),"BRAND VETOED; ","")&amp;IF(ISNUMBER(SEARCH(IFERROR(IF(INDEX(campaigns!$BF$2:$BF$51,MATCH($A48,campaigns!$A$2:$A$51,0))="","",INDEX(campaigns!$BF$2:$BF$51,MATCH($A48,campaigns!$A$2:$A$51,0))),""),IFERROR(IF(INDEX(offices!$AB$2:$AB$61,MATCH($B48,offices!$A$2:$A$61,0))="","",INDEX(offices!$AB$2:$AB$61,MATCH($B48,offices!$A$2:$A$61,0))),""))),"","info: category not on the office's list; ")&amp;IF(IFERROR(IF(INDEX(offices!$AC$2:$AC$61,MATCH($B48,offices!$A$2:$A$61,0))="","",INDEX(offices!$AC$2:$AC$61,MATCH($B48,offices!$A$2:$A$61,0))),"")&lt;&gt;"","info: read the vetoes against the label; ",""))</f>
        <v/>
      </c>
      <c r="S48" s="25">
        <f>IF($A48="","",IF($G48&lt;&gt;"",$G48,IFERROR(IF(INDEX(offices!$AL$2:$AL$61,MATCH($B48,offices!$A$2:$A$61,0))="","",INDEX(offices!$AL$2:$AL$61,MATCH($B48,offices!$A$2:$A$61,0))),"")))</f>
        <v/>
      </c>
      <c r="T48" s="25">
        <f>IF($A48="","",$A48&amp;"."&amp;$B48)</f>
        <v/>
      </c>
      <c r="U48" s="25">
        <f>IF($A48="","",SUMIFS(inventory!$G$2:$G$801,inventory!$C$2:$C$801,$A48,inventory!$D$2:$D$801,$B48,inventory!$E$2:$E$801,"delivered"))</f>
        <v/>
      </c>
      <c r="V48" s="32">
        <f>IF($A48="","",IFERROR(1/(1/SUMPRODUCT(MAX((inventory!$C$2:$C$801=$A48)*(inventory!$D$2:$D$801=$B48)*(inventory!$E$2:$E$801="delivered")*(inventory!$A$2:$A$801+inventory!$B$2:$B$801)))),""))</f>
        <v/>
      </c>
      <c r="W48" s="25">
        <f>IF($A48="","",IFERROR(IF(INDEX(inventory!$J$2:$J$801,MATCH($A48&amp;"|"&amp;$B48&amp;"|delivered",inventory!$R$2:$R$801,0))="","",INDEX(inventory!$J$2:$J$801,MATCH($A48&amp;"|"&amp;$B48&amp;"|delivered",inventory!$R$2:$R$801,0))),""))</f>
        <v/>
      </c>
      <c r="X48" s="25">
        <f>IF($A48="","",IFERROR(IF(INDEX(photos!$H$2:$H$701,MATCH($A48&amp;"|"&amp;$B48&amp;"|placement|Y",photos!$R$2:$R$701,0))="","",INDEX(photos!$H$2:$H$701,MATCH($A48&amp;"|"&amp;$B48&amp;"|placement|Y",photos!$R$2:$R$701,0))),""))</f>
        <v/>
      </c>
      <c r="Y48" s="26">
        <f>IF($A48="","",IFERROR(IF(INDEX(photos!$E$2:$E$701,MATCH($A48&amp;"|"&amp;$B48&amp;"|placement|Y",photos!$R$2:$R$701,0))="","",INDEX(photos!$E$2:$E$701,MATCH($A48&amp;"|"&amp;$B48&amp;"|placement|Y",photos!$R$2:$R$701,0))),""))</f>
        <v/>
      </c>
      <c r="Z48" s="25">
        <f>IF($A48="","",IF(COUNTIFS(counts!$C$2:$C$701,$A48,counts!$D$2:$D$701,$B48,counts!$E$2:$E$701,"placed")=0,"",SUMIFS(counts!$F$2:$F$701,counts!$C$2:$C$701,$A48,counts!$D$2:$D$701,$B48,counts!$E$2:$E$701,"placed")))</f>
        <v/>
      </c>
      <c r="AA48" s="25">
        <f>IF($A48="","",IF($Y48="",0,N($Z48)))</f>
        <v/>
      </c>
      <c r="AB48" s="25">
        <f>IF($A48="","",IF(OR($Y48="",$I48=""),"N",IF($Y48&lt;=WORKDAY(N($I48),1,calendar!$A$2:$A$80),"Y","N")))</f>
        <v/>
      </c>
      <c r="AC48" s="28">
        <f>IF(OR($A48="",$V48="",$Y48=""),"",ROUND(($Y48+N(IFERROR(IF(INDEX(photos!$F$2:$F$701,MATCH($A48&amp;"|"&amp;$B48&amp;"|placement|Y",photos!$R$2:$R$701,0))="","",INDEX(photos!$F$2:$F$701,MATCH($A48&amp;"|"&amp;$B48&amp;"|placement|Y",photos!$R$2:$R$701,0))),""))-$V48)*24,1))</f>
        <v/>
      </c>
      <c r="AD48" s="25">
        <f>IF($A48="","",SUMIFS(inventory!$G$2:$G$801,inventory!$C$2:$C$801,$A48,inventory!$D$2:$D$801,$B48,inventory!$E$2:$E$801,"topped_up"))</f>
        <v/>
      </c>
      <c r="AE48" s="25">
        <f>IF($A48="","",IF(COUNTIFS(counts!$C$2:$C$701,$A48,counts!$D$2:$D$701,$B48,counts!$E$2:$E$701,"remaining_day3")=0,"",SUMIFS(counts!$F$2:$F$701,counts!$C$2:$C$701,$A48,counts!$D$2:$D$701,$B48,counts!$E$2:$E$701,"remaining_day3")))</f>
        <v/>
      </c>
      <c r="AF48" s="25">
        <f>IF($A48="","",IF(COUNTIFS(counts!$C$2:$C$701,$A48,counts!$D$2:$D$701,$B48,counts!$E$2:$E$701,"remaining_day5")=0,"",SUMIFS(counts!$F$2:$F$701,counts!$C$2:$C$701,$A48,counts!$D$2:$D$701,$B48,counts!$E$2:$E$701,"remaining_day5")))</f>
        <v/>
      </c>
      <c r="AG48" s="25">
        <f>IF(OR($A48="",$AF48=""),"",MAX(0,$AA48+$AD48-$AF48))</f>
        <v/>
      </c>
      <c r="AH48" s="25">
        <f>IF(OR($A48="",$AI48=""),"",IFERROR(IF(INDEX(photos!$H$2:$H$701,MATCH($A48&amp;"|"&amp;$B48&amp;"|later|Y|"&amp;$AI48,photos!$S$2:$S$701,0))="","",INDEX(photos!$H$2:$H$701,MATCH($A48&amp;"|"&amp;$B48&amp;"|later|Y|"&amp;$AI48,photos!$S$2:$S$701,0))),""))</f>
        <v/>
      </c>
      <c r="AI48" s="26">
        <f>IF($A48="","",IFERROR(1/(1/SUMPRODUCT(MAX((photos!$B$2:$B$701=$A48)*(photos!$C$2:$C$701=$B48)*(photos!$D$2:$D$701="later")*(photos!$O$2:$O$701="Y")*photos!$E$2:$E$701))),""))</f>
        <v/>
      </c>
      <c r="AJ48" s="25">
        <f>IF(OR($A48="",$AI48="",$I48=""),"",NETWORKDAYS($I48,$AI48,calendar!$A$2:$A$80))</f>
        <v/>
      </c>
      <c r="AK48" s="25">
        <f>IF($A48="","",IF(AND($X48&lt;&gt;"",$AH48&lt;&gt;""),"Y","N"))</f>
        <v/>
      </c>
      <c r="AL48" s="25">
        <f>IF(OR($A48="",$I48=""),"",IF($BC48="Y",SUMIFS(survey_frozen!$C$2:$C$251,survey_frozen!$P$2:$P$251,$A48&amp;"|"&amp;$B48),IFERROR(COUNTIFS(INDIRECT("'"&amp;$A48&amp;"'!$B$2:$B$501"),$T48,INDIRECT("'"&amp;$A48&amp;"'!$A$2:$A$501"),"&gt;="&amp;$I48,INDIRECT("'"&amp;$A48&amp;"'!$A$2:$A$501"),"&lt;"&amp;($BA48+1)),0)))</f>
        <v/>
      </c>
      <c r="AM48" s="25">
        <f>IF(OR($A48="",$I48=""),"",IF($BC48="Y",SUMIFS(survey_frozen!$D$2:$D$251,survey_frozen!$P$2:$P$251,$A48&amp;"|"&amp;$B48),IFERROR(COUNTIFS(INDIRECT("'"&amp;$A48&amp;"'!$B$2:$B$501"),$T48,INDIRECT("'"&amp;$A48&amp;"'!$A$2:$A$501"),"&gt;="&amp;$I48,INDIRECT("'"&amp;$A48&amp;"'!$A$2:$A$501"),"&lt;"&amp;($BA48+1),INDIRECT("'"&amp;$A48&amp;"'!$C$2:$C$501"),"Yes"),0)))</f>
        <v/>
      </c>
      <c r="AN48" s="25">
        <f>IF($A48="","",IF(COUNTIFS(scans!$C$2:$C$1601,(IF(LEFT($A48,7)="SAMPLE-","SAMPLE-","")&amp;LOWER(SUBSTITUTE(SUBSTITUTE($A48,"SAMPLE-",""),"CMP-","c"))&amp;"-"&amp;LOWER(SUBSTITUTE(SUBSTITUTE($B48,"SAMPLE-",""),"O-","o"))&amp;"-q"),scans!$D$2:$D$1601,"close")=0,"",SUMPRODUCT(MAX((scans!$C$2:$C$1601=(IF(LEFT($A48,7)="SAMPLE-","SAMPLE-","")&amp;LOWER(SUBSTITUTE(SUBSTITUTE($A48,"SAMPLE-",""),"CMP-","c"))&amp;"-"&amp;LOWER(SUBSTITUTE(SUBSTITUTE($B48,"SAMPLE-",""),"O-","o"))&amp;"-q"))*(scans!$D$2:$D$1601="close")*scans!$E$2:$E$1601))-SUMPRODUCT(MAX((scans!$C$2:$C$1601=(IF(LEFT($A48,7)="SAMPLE-","SAMPLE-","")&amp;LOWER(SUBSTITUTE(SUBSTITUTE($A48,"SAMPLE-",""),"CMP-","c"))&amp;"-"&amp;LOWER(SUBSTITUTE(SUBSTITUTE($B48,"SAMPLE-",""),"O-","o"))&amp;"-q"))*(scans!$D$2:$D$1601="baseline")*scans!$E$2:$E$1601))))</f>
        <v/>
      </c>
      <c r="AO48" s="25">
        <f>IF($A48="","",IF(COUNTIFS(scans!$C$2:$C$1601,(IF(LEFT($A48,7)="SAMPLE-","SAMPLE-","")&amp;LOWER(SUBSTITUTE(SUBSTITUTE($A48,"SAMPLE-",""),"CMP-","c"))&amp;"-"&amp;LOWER(SUBSTITUTE(SUBSTITUTE($B48,"SAMPLE-",""),"O-","o"))&amp;"-p"),scans!$D$2:$D$1601,"close")=0,"",SUMPRODUCT(MAX((scans!$C$2:$C$1601=(IF(LEFT($A48,7)="SAMPLE-","SAMPLE-","")&amp;LOWER(SUBSTITUTE(SUBSTITUTE($A48,"SAMPLE-",""),"CMP-","c"))&amp;"-"&amp;LOWER(SUBSTITUTE(SUBSTITUTE($B48,"SAMPLE-",""),"O-","o"))&amp;"-p"))*(scans!$D$2:$D$1601="close")*scans!$E$2:$E$1601))-SUMPRODUCT(MAX((scans!$C$2:$C$1601=(IF(LEFT($A48,7)="SAMPLE-","SAMPLE-","")&amp;LOWER(SUBSTITUTE(SUBSTITUTE($A48,"SAMPLE-",""),"CMP-","c"))&amp;"-"&amp;LOWER(SUBSTITUTE(SUBSTITUTE($B48,"SAMPLE-",""),"O-","o"))&amp;"-p"))*(scans!$D$2:$D$1601="baseline")*scans!$E$2:$E$1601))))</f>
        <v/>
      </c>
      <c r="AP48" s="25">
        <f>IF($A48="","",IF(COUNTIF(offices!$A$2:$A$61,$B48)=0,"office_id not on offices; ","")&amp;IF(COUNTIF(campaigns!$A$2:$A$51,$A48)=0,"campaign_id not on campaigns; ","")&amp;IF($P48="pending","approval pending; ","")&amp;IF(AND($U48&gt;0,$Y48="",OR($I48="",IF(config!$B$37&lt;&gt;"",config!$B$37,TODAY())&lt;=WORKDAY(N($I48),4,calendar!$A$2:$A$80))),"no usable placement photo yet; ","")&amp;IF(AND($Y48&lt;&gt;"",$Z48=""),"log the placed count; ","")&amp;IF(N($AA48)&gt;N($U48),"placed more than delivered; ","")&amp;IF(AND($AF48&lt;&gt;"",N($AF48)&gt;N($AA48)+N($AD48)),"day-5 count above placed plus top-ups; ","")&amp;IF(AND($U48&gt;0,$I48&lt;&gt;"",IF(config!$B$37&lt;&gt;"",config!$B$37,TODAY())&gt;WORKDAY(N($I48),4,calendar!$A$2:$A$80),$AF48=""),"day-5 count missing; ","")&amp;IF(AND($U48&gt;0,$I48&lt;&gt;"",IF(config!$B$37&lt;&gt;"",config!$B$37,TODAY())&gt;WORKDAY(N($I48),4,calendar!$A$2:$A$80),$AN48=""),"no close link reading; ","")&amp;$R48&amp;IF($P48="N","info: office said no; ","")&amp;IF(AND($P48="Y",$Q48="N"),"info: turned away at the door, so not on the drop (no letter, not in the report or Gate 2; the credit check is on campaigns); ","")&amp;IF(AND($U48&gt;0,$Y48="",$I48&lt;&gt;"",IF(config!$B$37&lt;&gt;"",config!$B$37,TODAY())&gt;WORKDAY(N($I48),4,calendar!$A$2:$A$80)),"info: no usable placement photo, so nothing counts as placed; ","")&amp;IF(AND($U48&gt;0,$I48&lt;&gt;"",IF(config!$B$37&lt;&gt;"",config!$B$37,TODAY())&gt;WORKDAY(N($I48),4,calendar!$A$2:$A$80),N($AL48)&lt;config!$B$30),"info: under "&amp;config!$B$30&amp;" responses; ","")&amp;IF($W48="packing_list","info: delivered count not verified; ",""))</f>
        <v/>
      </c>
      <c r="AQ48" s="25">
        <f>IF(OR($A48="",$I48=""),"",IF($BC48="Y",SUMIFS(survey_frozen!$E$2:$E$251,survey_frozen!$P$2:$P$251,$A48&amp;"|"&amp;$B48),IFERROR(COUNTIFS(INDIRECT("'"&amp;$A48&amp;"'!$B$2:$B$501"),$T48,INDIRECT("'"&amp;$A48&amp;"'!$A$2:$A$501"),"&gt;="&amp;$I48,INDIRECT("'"&amp;$A48&amp;"'!$A$2:$A$501"),"&lt;"&amp;($BA48+1),INDIRECT("'"&amp;$A48&amp;"'!$F$2:$F$501"),"Didn't see it"),0)))</f>
        <v/>
      </c>
      <c r="AR48" s="25">
        <f>IF(OR($A48="",$I48=""),"",IF($BC48="Y",SUMIFS(survey_frozen!$F$2:$F$251,survey_frozen!$P$2:$P$251,$A48&amp;"|"&amp;$B48),IFERROR(COUNTIFS(INDIRECT("'"&amp;$A48&amp;"'!$B$2:$B$501"),$T48,INDIRECT("'"&amp;$A48&amp;"'!$A$2:$A$501"),"&gt;="&amp;$I48,INDIRECT("'"&amp;$A48&amp;"'!$A$2:$A$501"),"&lt;"&amp;($BA48+1),INDIRECT("'"&amp;$A48&amp;"'!$F$2:$F$501"),"Not for me"),0)))</f>
        <v/>
      </c>
      <c r="AS48" s="25">
        <f>IF(OR($A48="",$I48=""),"",IF($BC48="Y",SUMIFS(survey_frozen!$G$2:$G$251,survey_frozen!$P$2:$P$251,$A48&amp;"|"&amp;$B48),IFERROR(COUNTIFS(INDIRECT("'"&amp;$A48&amp;"'!$B$2:$B$501"),$T48,INDIRECT("'"&amp;$A48&amp;"'!$A$2:$A$501"),"&gt;="&amp;$I48,INDIRECT("'"&amp;$A48&amp;"'!$A$2:$A$501"),"&lt;"&amp;($BA48+1),INDIRECT("'"&amp;$A48&amp;"'!$F$2:$F$501"),"Gone by the time I looked"),0)))</f>
        <v/>
      </c>
      <c r="AT48" s="25">
        <f>IF(OR($A48="",$I48=""),"",IF($BC48="Y",SUMIFS(survey_frozen!$H$2:$H$251,survey_frozen!$P$2:$P$251,$A48&amp;"|"&amp;$B48),IFERROR(COUNTIFS(INDIRECT("'"&amp;$A48&amp;"'!$B$2:$B$501"),$T48,INDIRECT("'"&amp;$A48&amp;"'!$A$2:$A$501"),"&gt;="&amp;$I48,INDIRECT("'"&amp;$A48&amp;"'!$A$2:$A$501"),"&lt;"&amp;($BA48+1),INDIRECT("'"&amp;$A48&amp;"'!$D$2:$D$501"),"&gt;=1"),0)))</f>
        <v/>
      </c>
      <c r="AU48" s="25">
        <f>IF(OR($A48="",$I48=""),"",IF($BC48="Y",SUMIFS(survey_frozen!$I$2:$I$251,survey_frozen!$P$2:$P$251,$A48&amp;"|"&amp;$B48),IFERROR(SUMIFS(INDIRECT("'"&amp;$A48&amp;"'!$D$2:$D$501"),INDIRECT("'"&amp;$A48&amp;"'!$B$2:$B$501"),$T48,INDIRECT("'"&amp;$A48&amp;"'!$A$2:$A$501"),"&gt;="&amp;$I48,INDIRECT("'"&amp;$A48&amp;"'!$A$2:$A$501"),"&lt;"&amp;($BA48+1)),0)))</f>
        <v/>
      </c>
      <c r="AV48" s="25">
        <f>IF(OR($A48="",$I48=""),"",IF($BC48="Y",SUMIFS(survey_frozen!$J$2:$J$251,survey_frozen!$P$2:$P$251,$A48&amp;"|"&amp;$B48),IFERROR(COUNTIFS(INDIRECT("'"&amp;$A48&amp;"'!$B$2:$B$501"),$T48,INDIRECT("'"&amp;$A48&amp;"'!$A$2:$A$501"),"&gt;="&amp;$I48,INDIRECT("'"&amp;$A48&amp;"'!$A$2:$A$501"),"&lt;"&amp;($BA48+1),INDIRECT("'"&amp;$A48&amp;"'!$E$2:$E$501"),"Yes"),0)))</f>
        <v/>
      </c>
      <c r="AW48" s="25">
        <f>IF(OR($A48="",$I48=""),"",IF($BC48="Y",SUMIFS(survey_frozen!$K$2:$K$251,survey_frozen!$P$2:$P$251,$A48&amp;"|"&amp;$B48),IFERROR(COUNTIFS(INDIRECT("'"&amp;$A48&amp;"'!$B$2:$B$501"),$T48,INDIRECT("'"&amp;$A48&amp;"'!$A$2:$A$501"),"&gt;="&amp;$I48,INDIRECT("'"&amp;$A48&amp;"'!$A$2:$A$501"),"&lt;"&amp;($BA48+1),INDIRECT("'"&amp;$A48&amp;"'!$E$2:$E$501"),"Maybe"),0)))</f>
        <v/>
      </c>
      <c r="AX48" s="25">
        <f>IF(OR($A48="",$I48=""),"",IF($BC48="Y",SUMIFS(survey_frozen!$L$2:$L$251,survey_frozen!$P$2:$P$251,$A48&amp;"|"&amp;$B48),IFERROR(COUNTIFS(INDIRECT("'"&amp;$A48&amp;"'!$B$2:$B$501"),$T48,INDIRECT("'"&amp;$A48&amp;"'!$A$2:$A$501"),"&gt;="&amp;$I48,INDIRECT("'"&amp;$A48&amp;"'!$A$2:$A$501"),"&lt;"&amp;($BA48+1),INDIRECT("'"&amp;$A48&amp;"'!$E$2:$E$501"),"No"),0)))</f>
        <v/>
      </c>
      <c r="AY48" s="25">
        <f>IF(OR($A48="",$I48=""),"",IF($BC48="Y",SUMIFS(survey_frozen!$M$2:$M$251,survey_frozen!$P$2:$P$251,$A48&amp;"|"&amp;$B48),IFERROR(COUNTIFS(INDIRECT("'"&amp;$A48&amp;"'!$B$2:$B$501"),$T48,INDIRECT("'"&amp;$A48&amp;"'!$A$2:$A$501"),"&gt;="&amp;$I48,INDIRECT("'"&amp;$A48&amp;"'!$A$2:$A$501"),"&lt;"&amp;($BA48+1),INDIRECT("'"&amp;$A48&amp;"'!$G$2:$G$501"),"&lt;&gt;"),0)))</f>
        <v/>
      </c>
      <c r="AZ48" s="25">
        <f>IF($A48="","",$A48&amp;"|"&amp;$L48)</f>
        <v/>
      </c>
      <c r="BA48" s="26">
        <f>IF($A48="","",IFERROR(IF(INDEX(drops!$R$2:$R$21,MATCH($H48,drops!$A$2:$A$21,0))="","",INDEX(drops!$R$2:$R$21,MATCH($H48,drops!$A$2:$A$21,0))),""))</f>
        <v/>
      </c>
      <c r="BB48" s="25">
        <f>IF(OR($A48="",$Q48&lt;&gt;"Y"),1000000,N($AL48))</f>
        <v/>
      </c>
      <c r="BC48" s="25">
        <f>IF($A48="","",IF(COUNTIF(survey_frozen!$P$2:$P$251,$A48&amp;"|"&amp;$B48)&gt;0,"Y",""))</f>
        <v/>
      </c>
    </row>
    <row r="49">
      <c r="C49" s="9" t="n"/>
      <c r="E49" s="9" t="n"/>
      <c r="H49" s="25">
        <f>IF($A49="","",IFERROR(IF(INDEX(campaigns!$B$2:$B$51,MATCH($A49,campaigns!$A$2:$A$51,0))="","",INDEX(campaigns!$B$2:$B$51,MATCH($A49,campaigns!$A$2:$A$51,0))),""))</f>
        <v/>
      </c>
      <c r="I49" s="26">
        <f>IF($A49="","",IFERROR(IF(INDEX(campaigns!$BG$2:$BG$51,MATCH($A49,campaigns!$A$2:$A$51,0))="","",INDEX(campaigns!$BG$2:$BG$51,MATCH($A49,campaigns!$A$2:$A$51,0))),""))</f>
        <v/>
      </c>
      <c r="J49" s="25">
        <f>IF($A49="","",IFERROR(IF(INDEX(campaigns!$BE$2:$BE$51,MATCH($A49,campaigns!$A$2:$A$51,0))="","",INDEX(campaigns!$BE$2:$BE$51,MATCH($A49,campaigns!$A$2:$A$51,0))),""))</f>
        <v/>
      </c>
      <c r="K49" s="25">
        <f>IF($B49="","",IFERROR(IF(INDEX(offices!$N$2:$N$61,MATCH($B49,offices!$A$2:$A$61,0))="","",INDEX(offices!$N$2:$N$61,MATCH($B49,offices!$A$2:$A$61,0))),""))</f>
        <v/>
      </c>
      <c r="L49" s="25">
        <f>IF($A49="","",IF($Q49="N","",COUNTIFS($A$2:$A49,$A49,$Q$2:$Q49,"&lt;&gt;N")))</f>
        <v/>
      </c>
      <c r="M49" s="25">
        <f>IF(OR($A49="",$L49=""),"",IF(AND(config!$B$34="names_if_public",IFERROR(IF(INDEX(offices!$AF$2:$AF$61,MATCH($B49,offices!$A$2:$A$61,0))="","",INDEX(offices!$AF$2:$AF$61,MATCH($B49,offices!$A$2:$A$61,0))),"")="Y"),$K49,CHAR(64+$L49)))</f>
        <v/>
      </c>
      <c r="N49" s="25">
        <f>IF(OR($A49="",$I49=""),"",COUNTIFS(stops!$B$2:$B$151,$B49,stops!$P$2:$P$151,"&lt;"&amp;$I49,stops!$L$2:$L$151,"&lt;&gt;not_delivered")+1)</f>
        <v/>
      </c>
      <c r="O49" s="25">
        <f>IF($A49="","",IF(N($N49)&lt;=config!$B$29,"explicit","opt-out"))</f>
        <v/>
      </c>
      <c r="P49" s="25">
        <f>IF($A49="","",IF($O49="explicit",IF($D49="yes","Y",IF($D49="no","N","pending")),IF($D49="no","N",IF(AND($C49&lt;&gt;"",$I49&lt;&gt;"",$C49&lt;=WORKDAY(N($I49),-5,calendar!$A$2:$A$80)),"Y","pending"))))</f>
        <v/>
      </c>
      <c r="Q49" s="25">
        <f>IF($A49="","",IF($P49="N","N",IF($P49&lt;&gt;"Y","pending",IF(AND((COUNTIFS(stops!$A$2:$A$151,$H49,stops!$B$2:$B$151,$B49,stops!$L$2:$L$151,"declined")+COUNTIFS(stops!$A$2:$A$151,$H49,stops!$B$2:$B$151,$B49,stops!$L$2:$L$151,"building_refused")+COUNTIFS(stops!$A$2:$A$151,$H49,stops!$B$2:$B$151,$B49,stops!$L$2:$L$151,"not_delivered"))&gt;0,N($U49)=0),"N","Y"))))</f>
        <v/>
      </c>
      <c r="R49" s="25">
        <f>IF($A49="","",IF(COUNTIFS($A$2:$A$251,$A49,$B$2:$B$251,$B49)&gt;1,"DUPLICATE ROW; ","")&amp;IF(AND(IFERROR(IF(INDEX(offices!$AC$2:$AC$61,MATCH($B49,offices!$A$2:$A$61,0))="","",INDEX(offices!$AC$2:$AC$61,MATCH($B49,offices!$A$2:$A$61,0))),"")&lt;&gt;"",ISNUMBER(SEARCH($J49,IFERROR(IF(INDEX(offices!$AC$2:$AC$61,MATCH($B49,offices!$A$2:$A$61,0))="","",INDEX(offices!$AC$2:$AC$61,MATCH($B49,offices!$A$2:$A$61,0))),"")))),"BRAND VETOED; ","")&amp;IF(ISNUMBER(SEARCH(IFERROR(IF(INDEX(campaigns!$BF$2:$BF$51,MATCH($A49,campaigns!$A$2:$A$51,0))="","",INDEX(campaigns!$BF$2:$BF$51,MATCH($A49,campaigns!$A$2:$A$51,0))),""),IFERROR(IF(INDEX(offices!$AB$2:$AB$61,MATCH($B49,offices!$A$2:$A$61,0))="","",INDEX(offices!$AB$2:$AB$61,MATCH($B49,offices!$A$2:$A$61,0))),""))),"","info: category not on the office's list; ")&amp;IF(IFERROR(IF(INDEX(offices!$AC$2:$AC$61,MATCH($B49,offices!$A$2:$A$61,0))="","",INDEX(offices!$AC$2:$AC$61,MATCH($B49,offices!$A$2:$A$61,0))),"")&lt;&gt;"","info: read the vetoes against the label; ",""))</f>
        <v/>
      </c>
      <c r="S49" s="25">
        <f>IF($A49="","",IF($G49&lt;&gt;"",$G49,IFERROR(IF(INDEX(offices!$AL$2:$AL$61,MATCH($B49,offices!$A$2:$A$61,0))="","",INDEX(offices!$AL$2:$AL$61,MATCH($B49,offices!$A$2:$A$61,0))),"")))</f>
        <v/>
      </c>
      <c r="T49" s="25">
        <f>IF($A49="","",$A49&amp;"."&amp;$B49)</f>
        <v/>
      </c>
      <c r="U49" s="25">
        <f>IF($A49="","",SUMIFS(inventory!$G$2:$G$801,inventory!$C$2:$C$801,$A49,inventory!$D$2:$D$801,$B49,inventory!$E$2:$E$801,"delivered"))</f>
        <v/>
      </c>
      <c r="V49" s="32">
        <f>IF($A49="","",IFERROR(1/(1/SUMPRODUCT(MAX((inventory!$C$2:$C$801=$A49)*(inventory!$D$2:$D$801=$B49)*(inventory!$E$2:$E$801="delivered")*(inventory!$A$2:$A$801+inventory!$B$2:$B$801)))),""))</f>
        <v/>
      </c>
      <c r="W49" s="25">
        <f>IF($A49="","",IFERROR(IF(INDEX(inventory!$J$2:$J$801,MATCH($A49&amp;"|"&amp;$B49&amp;"|delivered",inventory!$R$2:$R$801,0))="","",INDEX(inventory!$J$2:$J$801,MATCH($A49&amp;"|"&amp;$B49&amp;"|delivered",inventory!$R$2:$R$801,0))),""))</f>
        <v/>
      </c>
      <c r="X49" s="25">
        <f>IF($A49="","",IFERROR(IF(INDEX(photos!$H$2:$H$701,MATCH($A49&amp;"|"&amp;$B49&amp;"|placement|Y",photos!$R$2:$R$701,0))="","",INDEX(photos!$H$2:$H$701,MATCH($A49&amp;"|"&amp;$B49&amp;"|placement|Y",photos!$R$2:$R$701,0))),""))</f>
        <v/>
      </c>
      <c r="Y49" s="26">
        <f>IF($A49="","",IFERROR(IF(INDEX(photos!$E$2:$E$701,MATCH($A49&amp;"|"&amp;$B49&amp;"|placement|Y",photos!$R$2:$R$701,0))="","",INDEX(photos!$E$2:$E$701,MATCH($A49&amp;"|"&amp;$B49&amp;"|placement|Y",photos!$R$2:$R$701,0))),""))</f>
        <v/>
      </c>
      <c r="Z49" s="25">
        <f>IF($A49="","",IF(COUNTIFS(counts!$C$2:$C$701,$A49,counts!$D$2:$D$701,$B49,counts!$E$2:$E$701,"placed")=0,"",SUMIFS(counts!$F$2:$F$701,counts!$C$2:$C$701,$A49,counts!$D$2:$D$701,$B49,counts!$E$2:$E$701,"placed")))</f>
        <v/>
      </c>
      <c r="AA49" s="25">
        <f>IF($A49="","",IF($Y49="",0,N($Z49)))</f>
        <v/>
      </c>
      <c r="AB49" s="25">
        <f>IF($A49="","",IF(OR($Y49="",$I49=""),"N",IF($Y49&lt;=WORKDAY(N($I49),1,calendar!$A$2:$A$80),"Y","N")))</f>
        <v/>
      </c>
      <c r="AC49" s="28">
        <f>IF(OR($A49="",$V49="",$Y49=""),"",ROUND(($Y49+N(IFERROR(IF(INDEX(photos!$F$2:$F$701,MATCH($A49&amp;"|"&amp;$B49&amp;"|placement|Y",photos!$R$2:$R$701,0))="","",INDEX(photos!$F$2:$F$701,MATCH($A49&amp;"|"&amp;$B49&amp;"|placement|Y",photos!$R$2:$R$701,0))),""))-$V49)*24,1))</f>
        <v/>
      </c>
      <c r="AD49" s="25">
        <f>IF($A49="","",SUMIFS(inventory!$G$2:$G$801,inventory!$C$2:$C$801,$A49,inventory!$D$2:$D$801,$B49,inventory!$E$2:$E$801,"topped_up"))</f>
        <v/>
      </c>
      <c r="AE49" s="25">
        <f>IF($A49="","",IF(COUNTIFS(counts!$C$2:$C$701,$A49,counts!$D$2:$D$701,$B49,counts!$E$2:$E$701,"remaining_day3")=0,"",SUMIFS(counts!$F$2:$F$701,counts!$C$2:$C$701,$A49,counts!$D$2:$D$701,$B49,counts!$E$2:$E$701,"remaining_day3")))</f>
        <v/>
      </c>
      <c r="AF49" s="25">
        <f>IF($A49="","",IF(COUNTIFS(counts!$C$2:$C$701,$A49,counts!$D$2:$D$701,$B49,counts!$E$2:$E$701,"remaining_day5")=0,"",SUMIFS(counts!$F$2:$F$701,counts!$C$2:$C$701,$A49,counts!$D$2:$D$701,$B49,counts!$E$2:$E$701,"remaining_day5")))</f>
        <v/>
      </c>
      <c r="AG49" s="25">
        <f>IF(OR($A49="",$AF49=""),"",MAX(0,$AA49+$AD49-$AF49))</f>
        <v/>
      </c>
      <c r="AH49" s="25">
        <f>IF(OR($A49="",$AI49=""),"",IFERROR(IF(INDEX(photos!$H$2:$H$701,MATCH($A49&amp;"|"&amp;$B49&amp;"|later|Y|"&amp;$AI49,photos!$S$2:$S$701,0))="","",INDEX(photos!$H$2:$H$701,MATCH($A49&amp;"|"&amp;$B49&amp;"|later|Y|"&amp;$AI49,photos!$S$2:$S$701,0))),""))</f>
        <v/>
      </c>
      <c r="AI49" s="26">
        <f>IF($A49="","",IFERROR(1/(1/SUMPRODUCT(MAX((photos!$B$2:$B$701=$A49)*(photos!$C$2:$C$701=$B49)*(photos!$D$2:$D$701="later")*(photos!$O$2:$O$701="Y")*photos!$E$2:$E$701))),""))</f>
        <v/>
      </c>
      <c r="AJ49" s="25">
        <f>IF(OR($A49="",$AI49="",$I49=""),"",NETWORKDAYS($I49,$AI49,calendar!$A$2:$A$80))</f>
        <v/>
      </c>
      <c r="AK49" s="25">
        <f>IF($A49="","",IF(AND($X49&lt;&gt;"",$AH49&lt;&gt;""),"Y","N"))</f>
        <v/>
      </c>
      <c r="AL49" s="25">
        <f>IF(OR($A49="",$I49=""),"",IF($BC49="Y",SUMIFS(survey_frozen!$C$2:$C$251,survey_frozen!$P$2:$P$251,$A49&amp;"|"&amp;$B49),IFERROR(COUNTIFS(INDIRECT("'"&amp;$A49&amp;"'!$B$2:$B$501"),$T49,INDIRECT("'"&amp;$A49&amp;"'!$A$2:$A$501"),"&gt;="&amp;$I49,INDIRECT("'"&amp;$A49&amp;"'!$A$2:$A$501"),"&lt;"&amp;($BA49+1)),0)))</f>
        <v/>
      </c>
      <c r="AM49" s="25">
        <f>IF(OR($A49="",$I49=""),"",IF($BC49="Y",SUMIFS(survey_frozen!$D$2:$D$251,survey_frozen!$P$2:$P$251,$A49&amp;"|"&amp;$B49),IFERROR(COUNTIFS(INDIRECT("'"&amp;$A49&amp;"'!$B$2:$B$501"),$T49,INDIRECT("'"&amp;$A49&amp;"'!$A$2:$A$501"),"&gt;="&amp;$I49,INDIRECT("'"&amp;$A49&amp;"'!$A$2:$A$501"),"&lt;"&amp;($BA49+1),INDIRECT("'"&amp;$A49&amp;"'!$C$2:$C$501"),"Yes"),0)))</f>
        <v/>
      </c>
      <c r="AN49" s="25">
        <f>IF($A49="","",IF(COUNTIFS(scans!$C$2:$C$1601,(IF(LEFT($A49,7)="SAMPLE-","SAMPLE-","")&amp;LOWER(SUBSTITUTE(SUBSTITUTE($A49,"SAMPLE-",""),"CMP-","c"))&amp;"-"&amp;LOWER(SUBSTITUTE(SUBSTITUTE($B49,"SAMPLE-",""),"O-","o"))&amp;"-q"),scans!$D$2:$D$1601,"close")=0,"",SUMPRODUCT(MAX((scans!$C$2:$C$1601=(IF(LEFT($A49,7)="SAMPLE-","SAMPLE-","")&amp;LOWER(SUBSTITUTE(SUBSTITUTE($A49,"SAMPLE-",""),"CMP-","c"))&amp;"-"&amp;LOWER(SUBSTITUTE(SUBSTITUTE($B49,"SAMPLE-",""),"O-","o"))&amp;"-q"))*(scans!$D$2:$D$1601="close")*scans!$E$2:$E$1601))-SUMPRODUCT(MAX((scans!$C$2:$C$1601=(IF(LEFT($A49,7)="SAMPLE-","SAMPLE-","")&amp;LOWER(SUBSTITUTE(SUBSTITUTE($A49,"SAMPLE-",""),"CMP-","c"))&amp;"-"&amp;LOWER(SUBSTITUTE(SUBSTITUTE($B49,"SAMPLE-",""),"O-","o"))&amp;"-q"))*(scans!$D$2:$D$1601="baseline")*scans!$E$2:$E$1601))))</f>
        <v/>
      </c>
      <c r="AO49" s="25">
        <f>IF($A49="","",IF(COUNTIFS(scans!$C$2:$C$1601,(IF(LEFT($A49,7)="SAMPLE-","SAMPLE-","")&amp;LOWER(SUBSTITUTE(SUBSTITUTE($A49,"SAMPLE-",""),"CMP-","c"))&amp;"-"&amp;LOWER(SUBSTITUTE(SUBSTITUTE($B49,"SAMPLE-",""),"O-","o"))&amp;"-p"),scans!$D$2:$D$1601,"close")=0,"",SUMPRODUCT(MAX((scans!$C$2:$C$1601=(IF(LEFT($A49,7)="SAMPLE-","SAMPLE-","")&amp;LOWER(SUBSTITUTE(SUBSTITUTE($A49,"SAMPLE-",""),"CMP-","c"))&amp;"-"&amp;LOWER(SUBSTITUTE(SUBSTITUTE($B49,"SAMPLE-",""),"O-","o"))&amp;"-p"))*(scans!$D$2:$D$1601="close")*scans!$E$2:$E$1601))-SUMPRODUCT(MAX((scans!$C$2:$C$1601=(IF(LEFT($A49,7)="SAMPLE-","SAMPLE-","")&amp;LOWER(SUBSTITUTE(SUBSTITUTE($A49,"SAMPLE-",""),"CMP-","c"))&amp;"-"&amp;LOWER(SUBSTITUTE(SUBSTITUTE($B49,"SAMPLE-",""),"O-","o"))&amp;"-p"))*(scans!$D$2:$D$1601="baseline")*scans!$E$2:$E$1601))))</f>
        <v/>
      </c>
      <c r="AP49" s="25">
        <f>IF($A49="","",IF(COUNTIF(offices!$A$2:$A$61,$B49)=0,"office_id not on offices; ","")&amp;IF(COUNTIF(campaigns!$A$2:$A$51,$A49)=0,"campaign_id not on campaigns; ","")&amp;IF($P49="pending","approval pending; ","")&amp;IF(AND($U49&gt;0,$Y49="",OR($I49="",IF(config!$B$37&lt;&gt;"",config!$B$37,TODAY())&lt;=WORKDAY(N($I49),4,calendar!$A$2:$A$80))),"no usable placement photo yet; ","")&amp;IF(AND($Y49&lt;&gt;"",$Z49=""),"log the placed count; ","")&amp;IF(N($AA49)&gt;N($U49),"placed more than delivered; ","")&amp;IF(AND($AF49&lt;&gt;"",N($AF49)&gt;N($AA49)+N($AD49)),"day-5 count above placed plus top-ups; ","")&amp;IF(AND($U49&gt;0,$I49&lt;&gt;"",IF(config!$B$37&lt;&gt;"",config!$B$37,TODAY())&gt;WORKDAY(N($I49),4,calendar!$A$2:$A$80),$AF49=""),"day-5 count missing; ","")&amp;IF(AND($U49&gt;0,$I49&lt;&gt;"",IF(config!$B$37&lt;&gt;"",config!$B$37,TODAY())&gt;WORKDAY(N($I49),4,calendar!$A$2:$A$80),$AN49=""),"no close link reading; ","")&amp;$R49&amp;IF($P49="N","info: office said no; ","")&amp;IF(AND($P49="Y",$Q49="N"),"info: turned away at the door, so not on the drop (no letter, not in the report or Gate 2; the credit check is on campaigns); ","")&amp;IF(AND($U49&gt;0,$Y49="",$I49&lt;&gt;"",IF(config!$B$37&lt;&gt;"",config!$B$37,TODAY())&gt;WORKDAY(N($I49),4,calendar!$A$2:$A$80)),"info: no usable placement photo, so nothing counts as placed; ","")&amp;IF(AND($U49&gt;0,$I49&lt;&gt;"",IF(config!$B$37&lt;&gt;"",config!$B$37,TODAY())&gt;WORKDAY(N($I49),4,calendar!$A$2:$A$80),N($AL49)&lt;config!$B$30),"info: under "&amp;config!$B$30&amp;" responses; ","")&amp;IF($W49="packing_list","info: delivered count not verified; ",""))</f>
        <v/>
      </c>
      <c r="AQ49" s="25">
        <f>IF(OR($A49="",$I49=""),"",IF($BC49="Y",SUMIFS(survey_frozen!$E$2:$E$251,survey_frozen!$P$2:$P$251,$A49&amp;"|"&amp;$B49),IFERROR(COUNTIFS(INDIRECT("'"&amp;$A49&amp;"'!$B$2:$B$501"),$T49,INDIRECT("'"&amp;$A49&amp;"'!$A$2:$A$501"),"&gt;="&amp;$I49,INDIRECT("'"&amp;$A49&amp;"'!$A$2:$A$501"),"&lt;"&amp;($BA49+1),INDIRECT("'"&amp;$A49&amp;"'!$F$2:$F$501"),"Didn't see it"),0)))</f>
        <v/>
      </c>
      <c r="AR49" s="25">
        <f>IF(OR($A49="",$I49=""),"",IF($BC49="Y",SUMIFS(survey_frozen!$F$2:$F$251,survey_frozen!$P$2:$P$251,$A49&amp;"|"&amp;$B49),IFERROR(COUNTIFS(INDIRECT("'"&amp;$A49&amp;"'!$B$2:$B$501"),$T49,INDIRECT("'"&amp;$A49&amp;"'!$A$2:$A$501"),"&gt;="&amp;$I49,INDIRECT("'"&amp;$A49&amp;"'!$A$2:$A$501"),"&lt;"&amp;($BA49+1),INDIRECT("'"&amp;$A49&amp;"'!$F$2:$F$501"),"Not for me"),0)))</f>
        <v/>
      </c>
      <c r="AS49" s="25">
        <f>IF(OR($A49="",$I49=""),"",IF($BC49="Y",SUMIFS(survey_frozen!$G$2:$G$251,survey_frozen!$P$2:$P$251,$A49&amp;"|"&amp;$B49),IFERROR(COUNTIFS(INDIRECT("'"&amp;$A49&amp;"'!$B$2:$B$501"),$T49,INDIRECT("'"&amp;$A49&amp;"'!$A$2:$A$501"),"&gt;="&amp;$I49,INDIRECT("'"&amp;$A49&amp;"'!$A$2:$A$501"),"&lt;"&amp;($BA49+1),INDIRECT("'"&amp;$A49&amp;"'!$F$2:$F$501"),"Gone by the time I looked"),0)))</f>
        <v/>
      </c>
      <c r="AT49" s="25">
        <f>IF(OR($A49="",$I49=""),"",IF($BC49="Y",SUMIFS(survey_frozen!$H$2:$H$251,survey_frozen!$P$2:$P$251,$A49&amp;"|"&amp;$B49),IFERROR(COUNTIFS(INDIRECT("'"&amp;$A49&amp;"'!$B$2:$B$501"),$T49,INDIRECT("'"&amp;$A49&amp;"'!$A$2:$A$501"),"&gt;="&amp;$I49,INDIRECT("'"&amp;$A49&amp;"'!$A$2:$A$501"),"&lt;"&amp;($BA49+1),INDIRECT("'"&amp;$A49&amp;"'!$D$2:$D$501"),"&gt;=1"),0)))</f>
        <v/>
      </c>
      <c r="AU49" s="25">
        <f>IF(OR($A49="",$I49=""),"",IF($BC49="Y",SUMIFS(survey_frozen!$I$2:$I$251,survey_frozen!$P$2:$P$251,$A49&amp;"|"&amp;$B49),IFERROR(SUMIFS(INDIRECT("'"&amp;$A49&amp;"'!$D$2:$D$501"),INDIRECT("'"&amp;$A49&amp;"'!$B$2:$B$501"),$T49,INDIRECT("'"&amp;$A49&amp;"'!$A$2:$A$501"),"&gt;="&amp;$I49,INDIRECT("'"&amp;$A49&amp;"'!$A$2:$A$501"),"&lt;"&amp;($BA49+1)),0)))</f>
        <v/>
      </c>
      <c r="AV49" s="25">
        <f>IF(OR($A49="",$I49=""),"",IF($BC49="Y",SUMIFS(survey_frozen!$J$2:$J$251,survey_frozen!$P$2:$P$251,$A49&amp;"|"&amp;$B49),IFERROR(COUNTIFS(INDIRECT("'"&amp;$A49&amp;"'!$B$2:$B$501"),$T49,INDIRECT("'"&amp;$A49&amp;"'!$A$2:$A$501"),"&gt;="&amp;$I49,INDIRECT("'"&amp;$A49&amp;"'!$A$2:$A$501"),"&lt;"&amp;($BA49+1),INDIRECT("'"&amp;$A49&amp;"'!$E$2:$E$501"),"Yes"),0)))</f>
        <v/>
      </c>
      <c r="AW49" s="25">
        <f>IF(OR($A49="",$I49=""),"",IF($BC49="Y",SUMIFS(survey_frozen!$K$2:$K$251,survey_frozen!$P$2:$P$251,$A49&amp;"|"&amp;$B49),IFERROR(COUNTIFS(INDIRECT("'"&amp;$A49&amp;"'!$B$2:$B$501"),$T49,INDIRECT("'"&amp;$A49&amp;"'!$A$2:$A$501"),"&gt;="&amp;$I49,INDIRECT("'"&amp;$A49&amp;"'!$A$2:$A$501"),"&lt;"&amp;($BA49+1),INDIRECT("'"&amp;$A49&amp;"'!$E$2:$E$501"),"Maybe"),0)))</f>
        <v/>
      </c>
      <c r="AX49" s="25">
        <f>IF(OR($A49="",$I49=""),"",IF($BC49="Y",SUMIFS(survey_frozen!$L$2:$L$251,survey_frozen!$P$2:$P$251,$A49&amp;"|"&amp;$B49),IFERROR(COUNTIFS(INDIRECT("'"&amp;$A49&amp;"'!$B$2:$B$501"),$T49,INDIRECT("'"&amp;$A49&amp;"'!$A$2:$A$501"),"&gt;="&amp;$I49,INDIRECT("'"&amp;$A49&amp;"'!$A$2:$A$501"),"&lt;"&amp;($BA49+1),INDIRECT("'"&amp;$A49&amp;"'!$E$2:$E$501"),"No"),0)))</f>
        <v/>
      </c>
      <c r="AY49" s="25">
        <f>IF(OR($A49="",$I49=""),"",IF($BC49="Y",SUMIFS(survey_frozen!$M$2:$M$251,survey_frozen!$P$2:$P$251,$A49&amp;"|"&amp;$B49),IFERROR(COUNTIFS(INDIRECT("'"&amp;$A49&amp;"'!$B$2:$B$501"),$T49,INDIRECT("'"&amp;$A49&amp;"'!$A$2:$A$501"),"&gt;="&amp;$I49,INDIRECT("'"&amp;$A49&amp;"'!$A$2:$A$501"),"&lt;"&amp;($BA49+1),INDIRECT("'"&amp;$A49&amp;"'!$G$2:$G$501"),"&lt;&gt;"),0)))</f>
        <v/>
      </c>
      <c r="AZ49" s="25">
        <f>IF($A49="","",$A49&amp;"|"&amp;$L49)</f>
        <v/>
      </c>
      <c r="BA49" s="26">
        <f>IF($A49="","",IFERROR(IF(INDEX(drops!$R$2:$R$21,MATCH($H49,drops!$A$2:$A$21,0))="","",INDEX(drops!$R$2:$R$21,MATCH($H49,drops!$A$2:$A$21,0))),""))</f>
        <v/>
      </c>
      <c r="BB49" s="25">
        <f>IF(OR($A49="",$Q49&lt;&gt;"Y"),1000000,N($AL49))</f>
        <v/>
      </c>
      <c r="BC49" s="25">
        <f>IF($A49="","",IF(COUNTIF(survey_frozen!$P$2:$P$251,$A49&amp;"|"&amp;$B49)&gt;0,"Y",""))</f>
        <v/>
      </c>
    </row>
    <row r="50">
      <c r="C50" s="9" t="n"/>
      <c r="E50" s="9" t="n"/>
      <c r="H50" s="25">
        <f>IF($A50="","",IFERROR(IF(INDEX(campaigns!$B$2:$B$51,MATCH($A50,campaigns!$A$2:$A$51,0))="","",INDEX(campaigns!$B$2:$B$51,MATCH($A50,campaigns!$A$2:$A$51,0))),""))</f>
        <v/>
      </c>
      <c r="I50" s="26">
        <f>IF($A50="","",IFERROR(IF(INDEX(campaigns!$BG$2:$BG$51,MATCH($A50,campaigns!$A$2:$A$51,0))="","",INDEX(campaigns!$BG$2:$BG$51,MATCH($A50,campaigns!$A$2:$A$51,0))),""))</f>
        <v/>
      </c>
      <c r="J50" s="25">
        <f>IF($A50="","",IFERROR(IF(INDEX(campaigns!$BE$2:$BE$51,MATCH($A50,campaigns!$A$2:$A$51,0))="","",INDEX(campaigns!$BE$2:$BE$51,MATCH($A50,campaigns!$A$2:$A$51,0))),""))</f>
        <v/>
      </c>
      <c r="K50" s="25">
        <f>IF($B50="","",IFERROR(IF(INDEX(offices!$N$2:$N$61,MATCH($B50,offices!$A$2:$A$61,0))="","",INDEX(offices!$N$2:$N$61,MATCH($B50,offices!$A$2:$A$61,0))),""))</f>
        <v/>
      </c>
      <c r="L50" s="25">
        <f>IF($A50="","",IF($Q50="N","",COUNTIFS($A$2:$A50,$A50,$Q$2:$Q50,"&lt;&gt;N")))</f>
        <v/>
      </c>
      <c r="M50" s="25">
        <f>IF(OR($A50="",$L50=""),"",IF(AND(config!$B$34="names_if_public",IFERROR(IF(INDEX(offices!$AF$2:$AF$61,MATCH($B50,offices!$A$2:$A$61,0))="","",INDEX(offices!$AF$2:$AF$61,MATCH($B50,offices!$A$2:$A$61,0))),"")="Y"),$K50,CHAR(64+$L50)))</f>
        <v/>
      </c>
      <c r="N50" s="25">
        <f>IF(OR($A50="",$I50=""),"",COUNTIFS(stops!$B$2:$B$151,$B50,stops!$P$2:$P$151,"&lt;"&amp;$I50,stops!$L$2:$L$151,"&lt;&gt;not_delivered")+1)</f>
        <v/>
      </c>
      <c r="O50" s="25">
        <f>IF($A50="","",IF(N($N50)&lt;=config!$B$29,"explicit","opt-out"))</f>
        <v/>
      </c>
      <c r="P50" s="25">
        <f>IF($A50="","",IF($O50="explicit",IF($D50="yes","Y",IF($D50="no","N","pending")),IF($D50="no","N",IF(AND($C50&lt;&gt;"",$I50&lt;&gt;"",$C50&lt;=WORKDAY(N($I50),-5,calendar!$A$2:$A$80)),"Y","pending"))))</f>
        <v/>
      </c>
      <c r="Q50" s="25">
        <f>IF($A50="","",IF($P50="N","N",IF($P50&lt;&gt;"Y","pending",IF(AND((COUNTIFS(stops!$A$2:$A$151,$H50,stops!$B$2:$B$151,$B50,stops!$L$2:$L$151,"declined")+COUNTIFS(stops!$A$2:$A$151,$H50,stops!$B$2:$B$151,$B50,stops!$L$2:$L$151,"building_refused")+COUNTIFS(stops!$A$2:$A$151,$H50,stops!$B$2:$B$151,$B50,stops!$L$2:$L$151,"not_delivered"))&gt;0,N($U50)=0),"N","Y"))))</f>
        <v/>
      </c>
      <c r="R50" s="25">
        <f>IF($A50="","",IF(COUNTIFS($A$2:$A$251,$A50,$B$2:$B$251,$B50)&gt;1,"DUPLICATE ROW; ","")&amp;IF(AND(IFERROR(IF(INDEX(offices!$AC$2:$AC$61,MATCH($B50,offices!$A$2:$A$61,0))="","",INDEX(offices!$AC$2:$AC$61,MATCH($B50,offices!$A$2:$A$61,0))),"")&lt;&gt;"",ISNUMBER(SEARCH($J50,IFERROR(IF(INDEX(offices!$AC$2:$AC$61,MATCH($B50,offices!$A$2:$A$61,0))="","",INDEX(offices!$AC$2:$AC$61,MATCH($B50,offices!$A$2:$A$61,0))),"")))),"BRAND VETOED; ","")&amp;IF(ISNUMBER(SEARCH(IFERROR(IF(INDEX(campaigns!$BF$2:$BF$51,MATCH($A50,campaigns!$A$2:$A$51,0))="","",INDEX(campaigns!$BF$2:$BF$51,MATCH($A50,campaigns!$A$2:$A$51,0))),""),IFERROR(IF(INDEX(offices!$AB$2:$AB$61,MATCH($B50,offices!$A$2:$A$61,0))="","",INDEX(offices!$AB$2:$AB$61,MATCH($B50,offices!$A$2:$A$61,0))),""))),"","info: category not on the office's list; ")&amp;IF(IFERROR(IF(INDEX(offices!$AC$2:$AC$61,MATCH($B50,offices!$A$2:$A$61,0))="","",INDEX(offices!$AC$2:$AC$61,MATCH($B50,offices!$A$2:$A$61,0))),"")&lt;&gt;"","info: read the vetoes against the label; ",""))</f>
        <v/>
      </c>
      <c r="S50" s="25">
        <f>IF($A50="","",IF($G50&lt;&gt;"",$G50,IFERROR(IF(INDEX(offices!$AL$2:$AL$61,MATCH($B50,offices!$A$2:$A$61,0))="","",INDEX(offices!$AL$2:$AL$61,MATCH($B50,offices!$A$2:$A$61,0))),"")))</f>
        <v/>
      </c>
      <c r="T50" s="25">
        <f>IF($A50="","",$A50&amp;"."&amp;$B50)</f>
        <v/>
      </c>
      <c r="U50" s="25">
        <f>IF($A50="","",SUMIFS(inventory!$G$2:$G$801,inventory!$C$2:$C$801,$A50,inventory!$D$2:$D$801,$B50,inventory!$E$2:$E$801,"delivered"))</f>
        <v/>
      </c>
      <c r="V50" s="32">
        <f>IF($A50="","",IFERROR(1/(1/SUMPRODUCT(MAX((inventory!$C$2:$C$801=$A50)*(inventory!$D$2:$D$801=$B50)*(inventory!$E$2:$E$801="delivered")*(inventory!$A$2:$A$801+inventory!$B$2:$B$801)))),""))</f>
        <v/>
      </c>
      <c r="W50" s="25">
        <f>IF($A50="","",IFERROR(IF(INDEX(inventory!$J$2:$J$801,MATCH($A50&amp;"|"&amp;$B50&amp;"|delivered",inventory!$R$2:$R$801,0))="","",INDEX(inventory!$J$2:$J$801,MATCH($A50&amp;"|"&amp;$B50&amp;"|delivered",inventory!$R$2:$R$801,0))),""))</f>
        <v/>
      </c>
      <c r="X50" s="25">
        <f>IF($A50="","",IFERROR(IF(INDEX(photos!$H$2:$H$701,MATCH($A50&amp;"|"&amp;$B50&amp;"|placement|Y",photos!$R$2:$R$701,0))="","",INDEX(photos!$H$2:$H$701,MATCH($A50&amp;"|"&amp;$B50&amp;"|placement|Y",photos!$R$2:$R$701,0))),""))</f>
        <v/>
      </c>
      <c r="Y50" s="26">
        <f>IF($A50="","",IFERROR(IF(INDEX(photos!$E$2:$E$701,MATCH($A50&amp;"|"&amp;$B50&amp;"|placement|Y",photos!$R$2:$R$701,0))="","",INDEX(photos!$E$2:$E$701,MATCH($A50&amp;"|"&amp;$B50&amp;"|placement|Y",photos!$R$2:$R$701,0))),""))</f>
        <v/>
      </c>
      <c r="Z50" s="25">
        <f>IF($A50="","",IF(COUNTIFS(counts!$C$2:$C$701,$A50,counts!$D$2:$D$701,$B50,counts!$E$2:$E$701,"placed")=0,"",SUMIFS(counts!$F$2:$F$701,counts!$C$2:$C$701,$A50,counts!$D$2:$D$701,$B50,counts!$E$2:$E$701,"placed")))</f>
        <v/>
      </c>
      <c r="AA50" s="25">
        <f>IF($A50="","",IF($Y50="",0,N($Z50)))</f>
        <v/>
      </c>
      <c r="AB50" s="25">
        <f>IF($A50="","",IF(OR($Y50="",$I50=""),"N",IF($Y50&lt;=WORKDAY(N($I50),1,calendar!$A$2:$A$80),"Y","N")))</f>
        <v/>
      </c>
      <c r="AC50" s="28">
        <f>IF(OR($A50="",$V50="",$Y50=""),"",ROUND(($Y50+N(IFERROR(IF(INDEX(photos!$F$2:$F$701,MATCH($A50&amp;"|"&amp;$B50&amp;"|placement|Y",photos!$R$2:$R$701,0))="","",INDEX(photos!$F$2:$F$701,MATCH($A50&amp;"|"&amp;$B50&amp;"|placement|Y",photos!$R$2:$R$701,0))),""))-$V50)*24,1))</f>
        <v/>
      </c>
      <c r="AD50" s="25">
        <f>IF($A50="","",SUMIFS(inventory!$G$2:$G$801,inventory!$C$2:$C$801,$A50,inventory!$D$2:$D$801,$B50,inventory!$E$2:$E$801,"topped_up"))</f>
        <v/>
      </c>
      <c r="AE50" s="25">
        <f>IF($A50="","",IF(COUNTIFS(counts!$C$2:$C$701,$A50,counts!$D$2:$D$701,$B50,counts!$E$2:$E$701,"remaining_day3")=0,"",SUMIFS(counts!$F$2:$F$701,counts!$C$2:$C$701,$A50,counts!$D$2:$D$701,$B50,counts!$E$2:$E$701,"remaining_day3")))</f>
        <v/>
      </c>
      <c r="AF50" s="25">
        <f>IF($A50="","",IF(COUNTIFS(counts!$C$2:$C$701,$A50,counts!$D$2:$D$701,$B50,counts!$E$2:$E$701,"remaining_day5")=0,"",SUMIFS(counts!$F$2:$F$701,counts!$C$2:$C$701,$A50,counts!$D$2:$D$701,$B50,counts!$E$2:$E$701,"remaining_day5")))</f>
        <v/>
      </c>
      <c r="AG50" s="25">
        <f>IF(OR($A50="",$AF50=""),"",MAX(0,$AA50+$AD50-$AF50))</f>
        <v/>
      </c>
      <c r="AH50" s="25">
        <f>IF(OR($A50="",$AI50=""),"",IFERROR(IF(INDEX(photos!$H$2:$H$701,MATCH($A50&amp;"|"&amp;$B50&amp;"|later|Y|"&amp;$AI50,photos!$S$2:$S$701,0))="","",INDEX(photos!$H$2:$H$701,MATCH($A50&amp;"|"&amp;$B50&amp;"|later|Y|"&amp;$AI50,photos!$S$2:$S$701,0))),""))</f>
        <v/>
      </c>
      <c r="AI50" s="26">
        <f>IF($A50="","",IFERROR(1/(1/SUMPRODUCT(MAX((photos!$B$2:$B$701=$A50)*(photos!$C$2:$C$701=$B50)*(photos!$D$2:$D$701="later")*(photos!$O$2:$O$701="Y")*photos!$E$2:$E$701))),""))</f>
        <v/>
      </c>
      <c r="AJ50" s="25">
        <f>IF(OR($A50="",$AI50="",$I50=""),"",NETWORKDAYS($I50,$AI50,calendar!$A$2:$A$80))</f>
        <v/>
      </c>
      <c r="AK50" s="25">
        <f>IF($A50="","",IF(AND($X50&lt;&gt;"",$AH50&lt;&gt;""),"Y","N"))</f>
        <v/>
      </c>
      <c r="AL50" s="25">
        <f>IF(OR($A50="",$I50=""),"",IF($BC50="Y",SUMIFS(survey_frozen!$C$2:$C$251,survey_frozen!$P$2:$P$251,$A50&amp;"|"&amp;$B50),IFERROR(COUNTIFS(INDIRECT("'"&amp;$A50&amp;"'!$B$2:$B$501"),$T50,INDIRECT("'"&amp;$A50&amp;"'!$A$2:$A$501"),"&gt;="&amp;$I50,INDIRECT("'"&amp;$A50&amp;"'!$A$2:$A$501"),"&lt;"&amp;($BA50+1)),0)))</f>
        <v/>
      </c>
      <c r="AM50" s="25">
        <f>IF(OR($A50="",$I50=""),"",IF($BC50="Y",SUMIFS(survey_frozen!$D$2:$D$251,survey_frozen!$P$2:$P$251,$A50&amp;"|"&amp;$B50),IFERROR(COUNTIFS(INDIRECT("'"&amp;$A50&amp;"'!$B$2:$B$501"),$T50,INDIRECT("'"&amp;$A50&amp;"'!$A$2:$A$501"),"&gt;="&amp;$I50,INDIRECT("'"&amp;$A50&amp;"'!$A$2:$A$501"),"&lt;"&amp;($BA50+1),INDIRECT("'"&amp;$A50&amp;"'!$C$2:$C$501"),"Yes"),0)))</f>
        <v/>
      </c>
      <c r="AN50" s="25">
        <f>IF($A50="","",IF(COUNTIFS(scans!$C$2:$C$1601,(IF(LEFT($A50,7)="SAMPLE-","SAMPLE-","")&amp;LOWER(SUBSTITUTE(SUBSTITUTE($A50,"SAMPLE-",""),"CMP-","c"))&amp;"-"&amp;LOWER(SUBSTITUTE(SUBSTITUTE($B50,"SAMPLE-",""),"O-","o"))&amp;"-q"),scans!$D$2:$D$1601,"close")=0,"",SUMPRODUCT(MAX((scans!$C$2:$C$1601=(IF(LEFT($A50,7)="SAMPLE-","SAMPLE-","")&amp;LOWER(SUBSTITUTE(SUBSTITUTE($A50,"SAMPLE-",""),"CMP-","c"))&amp;"-"&amp;LOWER(SUBSTITUTE(SUBSTITUTE($B50,"SAMPLE-",""),"O-","o"))&amp;"-q"))*(scans!$D$2:$D$1601="close")*scans!$E$2:$E$1601))-SUMPRODUCT(MAX((scans!$C$2:$C$1601=(IF(LEFT($A50,7)="SAMPLE-","SAMPLE-","")&amp;LOWER(SUBSTITUTE(SUBSTITUTE($A50,"SAMPLE-",""),"CMP-","c"))&amp;"-"&amp;LOWER(SUBSTITUTE(SUBSTITUTE($B50,"SAMPLE-",""),"O-","o"))&amp;"-q"))*(scans!$D$2:$D$1601="baseline")*scans!$E$2:$E$1601))))</f>
        <v/>
      </c>
      <c r="AO50" s="25">
        <f>IF($A50="","",IF(COUNTIFS(scans!$C$2:$C$1601,(IF(LEFT($A50,7)="SAMPLE-","SAMPLE-","")&amp;LOWER(SUBSTITUTE(SUBSTITUTE($A50,"SAMPLE-",""),"CMP-","c"))&amp;"-"&amp;LOWER(SUBSTITUTE(SUBSTITUTE($B50,"SAMPLE-",""),"O-","o"))&amp;"-p"),scans!$D$2:$D$1601,"close")=0,"",SUMPRODUCT(MAX((scans!$C$2:$C$1601=(IF(LEFT($A50,7)="SAMPLE-","SAMPLE-","")&amp;LOWER(SUBSTITUTE(SUBSTITUTE($A50,"SAMPLE-",""),"CMP-","c"))&amp;"-"&amp;LOWER(SUBSTITUTE(SUBSTITUTE($B50,"SAMPLE-",""),"O-","o"))&amp;"-p"))*(scans!$D$2:$D$1601="close")*scans!$E$2:$E$1601))-SUMPRODUCT(MAX((scans!$C$2:$C$1601=(IF(LEFT($A50,7)="SAMPLE-","SAMPLE-","")&amp;LOWER(SUBSTITUTE(SUBSTITUTE($A50,"SAMPLE-",""),"CMP-","c"))&amp;"-"&amp;LOWER(SUBSTITUTE(SUBSTITUTE($B50,"SAMPLE-",""),"O-","o"))&amp;"-p"))*(scans!$D$2:$D$1601="baseline")*scans!$E$2:$E$1601))))</f>
        <v/>
      </c>
      <c r="AP50" s="25">
        <f>IF($A50="","",IF(COUNTIF(offices!$A$2:$A$61,$B50)=0,"office_id not on offices; ","")&amp;IF(COUNTIF(campaigns!$A$2:$A$51,$A50)=0,"campaign_id not on campaigns; ","")&amp;IF($P50="pending","approval pending; ","")&amp;IF(AND($U50&gt;0,$Y50="",OR($I50="",IF(config!$B$37&lt;&gt;"",config!$B$37,TODAY())&lt;=WORKDAY(N($I50),4,calendar!$A$2:$A$80))),"no usable placement photo yet; ","")&amp;IF(AND($Y50&lt;&gt;"",$Z50=""),"log the placed count; ","")&amp;IF(N($AA50)&gt;N($U50),"placed more than delivered; ","")&amp;IF(AND($AF50&lt;&gt;"",N($AF50)&gt;N($AA50)+N($AD50)),"day-5 count above placed plus top-ups; ","")&amp;IF(AND($U50&gt;0,$I50&lt;&gt;"",IF(config!$B$37&lt;&gt;"",config!$B$37,TODAY())&gt;WORKDAY(N($I50),4,calendar!$A$2:$A$80),$AF50=""),"day-5 count missing; ","")&amp;IF(AND($U50&gt;0,$I50&lt;&gt;"",IF(config!$B$37&lt;&gt;"",config!$B$37,TODAY())&gt;WORKDAY(N($I50),4,calendar!$A$2:$A$80),$AN50=""),"no close link reading; ","")&amp;$R50&amp;IF($P50="N","info: office said no; ","")&amp;IF(AND($P50="Y",$Q50="N"),"info: turned away at the door, so not on the drop (no letter, not in the report or Gate 2; the credit check is on campaigns); ","")&amp;IF(AND($U50&gt;0,$Y50="",$I50&lt;&gt;"",IF(config!$B$37&lt;&gt;"",config!$B$37,TODAY())&gt;WORKDAY(N($I50),4,calendar!$A$2:$A$80)),"info: no usable placement photo, so nothing counts as placed; ","")&amp;IF(AND($U50&gt;0,$I50&lt;&gt;"",IF(config!$B$37&lt;&gt;"",config!$B$37,TODAY())&gt;WORKDAY(N($I50),4,calendar!$A$2:$A$80),N($AL50)&lt;config!$B$30),"info: under "&amp;config!$B$30&amp;" responses; ","")&amp;IF($W50="packing_list","info: delivered count not verified; ",""))</f>
        <v/>
      </c>
      <c r="AQ50" s="25">
        <f>IF(OR($A50="",$I50=""),"",IF($BC50="Y",SUMIFS(survey_frozen!$E$2:$E$251,survey_frozen!$P$2:$P$251,$A50&amp;"|"&amp;$B50),IFERROR(COUNTIFS(INDIRECT("'"&amp;$A50&amp;"'!$B$2:$B$501"),$T50,INDIRECT("'"&amp;$A50&amp;"'!$A$2:$A$501"),"&gt;="&amp;$I50,INDIRECT("'"&amp;$A50&amp;"'!$A$2:$A$501"),"&lt;"&amp;($BA50+1),INDIRECT("'"&amp;$A50&amp;"'!$F$2:$F$501"),"Didn't see it"),0)))</f>
        <v/>
      </c>
      <c r="AR50" s="25">
        <f>IF(OR($A50="",$I50=""),"",IF($BC50="Y",SUMIFS(survey_frozen!$F$2:$F$251,survey_frozen!$P$2:$P$251,$A50&amp;"|"&amp;$B50),IFERROR(COUNTIFS(INDIRECT("'"&amp;$A50&amp;"'!$B$2:$B$501"),$T50,INDIRECT("'"&amp;$A50&amp;"'!$A$2:$A$501"),"&gt;="&amp;$I50,INDIRECT("'"&amp;$A50&amp;"'!$A$2:$A$501"),"&lt;"&amp;($BA50+1),INDIRECT("'"&amp;$A50&amp;"'!$F$2:$F$501"),"Not for me"),0)))</f>
        <v/>
      </c>
      <c r="AS50" s="25">
        <f>IF(OR($A50="",$I50=""),"",IF($BC50="Y",SUMIFS(survey_frozen!$G$2:$G$251,survey_frozen!$P$2:$P$251,$A50&amp;"|"&amp;$B50),IFERROR(COUNTIFS(INDIRECT("'"&amp;$A50&amp;"'!$B$2:$B$501"),$T50,INDIRECT("'"&amp;$A50&amp;"'!$A$2:$A$501"),"&gt;="&amp;$I50,INDIRECT("'"&amp;$A50&amp;"'!$A$2:$A$501"),"&lt;"&amp;($BA50+1),INDIRECT("'"&amp;$A50&amp;"'!$F$2:$F$501"),"Gone by the time I looked"),0)))</f>
        <v/>
      </c>
      <c r="AT50" s="25">
        <f>IF(OR($A50="",$I50=""),"",IF($BC50="Y",SUMIFS(survey_frozen!$H$2:$H$251,survey_frozen!$P$2:$P$251,$A50&amp;"|"&amp;$B50),IFERROR(COUNTIFS(INDIRECT("'"&amp;$A50&amp;"'!$B$2:$B$501"),$T50,INDIRECT("'"&amp;$A50&amp;"'!$A$2:$A$501"),"&gt;="&amp;$I50,INDIRECT("'"&amp;$A50&amp;"'!$A$2:$A$501"),"&lt;"&amp;($BA50+1),INDIRECT("'"&amp;$A50&amp;"'!$D$2:$D$501"),"&gt;=1"),0)))</f>
        <v/>
      </c>
      <c r="AU50" s="25">
        <f>IF(OR($A50="",$I50=""),"",IF($BC50="Y",SUMIFS(survey_frozen!$I$2:$I$251,survey_frozen!$P$2:$P$251,$A50&amp;"|"&amp;$B50),IFERROR(SUMIFS(INDIRECT("'"&amp;$A50&amp;"'!$D$2:$D$501"),INDIRECT("'"&amp;$A50&amp;"'!$B$2:$B$501"),$T50,INDIRECT("'"&amp;$A50&amp;"'!$A$2:$A$501"),"&gt;="&amp;$I50,INDIRECT("'"&amp;$A50&amp;"'!$A$2:$A$501"),"&lt;"&amp;($BA50+1)),0)))</f>
        <v/>
      </c>
      <c r="AV50" s="25">
        <f>IF(OR($A50="",$I50=""),"",IF($BC50="Y",SUMIFS(survey_frozen!$J$2:$J$251,survey_frozen!$P$2:$P$251,$A50&amp;"|"&amp;$B50),IFERROR(COUNTIFS(INDIRECT("'"&amp;$A50&amp;"'!$B$2:$B$501"),$T50,INDIRECT("'"&amp;$A50&amp;"'!$A$2:$A$501"),"&gt;="&amp;$I50,INDIRECT("'"&amp;$A50&amp;"'!$A$2:$A$501"),"&lt;"&amp;($BA50+1),INDIRECT("'"&amp;$A50&amp;"'!$E$2:$E$501"),"Yes"),0)))</f>
        <v/>
      </c>
      <c r="AW50" s="25">
        <f>IF(OR($A50="",$I50=""),"",IF($BC50="Y",SUMIFS(survey_frozen!$K$2:$K$251,survey_frozen!$P$2:$P$251,$A50&amp;"|"&amp;$B50),IFERROR(COUNTIFS(INDIRECT("'"&amp;$A50&amp;"'!$B$2:$B$501"),$T50,INDIRECT("'"&amp;$A50&amp;"'!$A$2:$A$501"),"&gt;="&amp;$I50,INDIRECT("'"&amp;$A50&amp;"'!$A$2:$A$501"),"&lt;"&amp;($BA50+1),INDIRECT("'"&amp;$A50&amp;"'!$E$2:$E$501"),"Maybe"),0)))</f>
        <v/>
      </c>
      <c r="AX50" s="25">
        <f>IF(OR($A50="",$I50=""),"",IF($BC50="Y",SUMIFS(survey_frozen!$L$2:$L$251,survey_frozen!$P$2:$P$251,$A50&amp;"|"&amp;$B50),IFERROR(COUNTIFS(INDIRECT("'"&amp;$A50&amp;"'!$B$2:$B$501"),$T50,INDIRECT("'"&amp;$A50&amp;"'!$A$2:$A$501"),"&gt;="&amp;$I50,INDIRECT("'"&amp;$A50&amp;"'!$A$2:$A$501"),"&lt;"&amp;($BA50+1),INDIRECT("'"&amp;$A50&amp;"'!$E$2:$E$501"),"No"),0)))</f>
        <v/>
      </c>
      <c r="AY50" s="25">
        <f>IF(OR($A50="",$I50=""),"",IF($BC50="Y",SUMIFS(survey_frozen!$M$2:$M$251,survey_frozen!$P$2:$P$251,$A50&amp;"|"&amp;$B50),IFERROR(COUNTIFS(INDIRECT("'"&amp;$A50&amp;"'!$B$2:$B$501"),$T50,INDIRECT("'"&amp;$A50&amp;"'!$A$2:$A$501"),"&gt;="&amp;$I50,INDIRECT("'"&amp;$A50&amp;"'!$A$2:$A$501"),"&lt;"&amp;($BA50+1),INDIRECT("'"&amp;$A50&amp;"'!$G$2:$G$501"),"&lt;&gt;"),0)))</f>
        <v/>
      </c>
      <c r="AZ50" s="25">
        <f>IF($A50="","",$A50&amp;"|"&amp;$L50)</f>
        <v/>
      </c>
      <c r="BA50" s="26">
        <f>IF($A50="","",IFERROR(IF(INDEX(drops!$R$2:$R$21,MATCH($H50,drops!$A$2:$A$21,0))="","",INDEX(drops!$R$2:$R$21,MATCH($H50,drops!$A$2:$A$21,0))),""))</f>
        <v/>
      </c>
      <c r="BB50" s="25">
        <f>IF(OR($A50="",$Q50&lt;&gt;"Y"),1000000,N($AL50))</f>
        <v/>
      </c>
      <c r="BC50" s="25">
        <f>IF($A50="","",IF(COUNTIF(survey_frozen!$P$2:$P$251,$A50&amp;"|"&amp;$B50)&gt;0,"Y",""))</f>
        <v/>
      </c>
    </row>
    <row r="51">
      <c r="C51" s="9" t="n"/>
      <c r="E51" s="9" t="n"/>
      <c r="H51" s="25">
        <f>IF($A51="","",IFERROR(IF(INDEX(campaigns!$B$2:$B$51,MATCH($A51,campaigns!$A$2:$A$51,0))="","",INDEX(campaigns!$B$2:$B$51,MATCH($A51,campaigns!$A$2:$A$51,0))),""))</f>
        <v/>
      </c>
      <c r="I51" s="26">
        <f>IF($A51="","",IFERROR(IF(INDEX(campaigns!$BG$2:$BG$51,MATCH($A51,campaigns!$A$2:$A$51,0))="","",INDEX(campaigns!$BG$2:$BG$51,MATCH($A51,campaigns!$A$2:$A$51,0))),""))</f>
        <v/>
      </c>
      <c r="J51" s="25">
        <f>IF($A51="","",IFERROR(IF(INDEX(campaigns!$BE$2:$BE$51,MATCH($A51,campaigns!$A$2:$A$51,0))="","",INDEX(campaigns!$BE$2:$BE$51,MATCH($A51,campaigns!$A$2:$A$51,0))),""))</f>
        <v/>
      </c>
      <c r="K51" s="25">
        <f>IF($B51="","",IFERROR(IF(INDEX(offices!$N$2:$N$61,MATCH($B51,offices!$A$2:$A$61,0))="","",INDEX(offices!$N$2:$N$61,MATCH($B51,offices!$A$2:$A$61,0))),""))</f>
        <v/>
      </c>
      <c r="L51" s="25">
        <f>IF($A51="","",IF($Q51="N","",COUNTIFS($A$2:$A51,$A51,$Q$2:$Q51,"&lt;&gt;N")))</f>
        <v/>
      </c>
      <c r="M51" s="25">
        <f>IF(OR($A51="",$L51=""),"",IF(AND(config!$B$34="names_if_public",IFERROR(IF(INDEX(offices!$AF$2:$AF$61,MATCH($B51,offices!$A$2:$A$61,0))="","",INDEX(offices!$AF$2:$AF$61,MATCH($B51,offices!$A$2:$A$61,0))),"")="Y"),$K51,CHAR(64+$L51)))</f>
        <v/>
      </c>
      <c r="N51" s="25">
        <f>IF(OR($A51="",$I51=""),"",COUNTIFS(stops!$B$2:$B$151,$B51,stops!$P$2:$P$151,"&lt;"&amp;$I51,stops!$L$2:$L$151,"&lt;&gt;not_delivered")+1)</f>
        <v/>
      </c>
      <c r="O51" s="25">
        <f>IF($A51="","",IF(N($N51)&lt;=config!$B$29,"explicit","opt-out"))</f>
        <v/>
      </c>
      <c r="P51" s="25">
        <f>IF($A51="","",IF($O51="explicit",IF($D51="yes","Y",IF($D51="no","N","pending")),IF($D51="no","N",IF(AND($C51&lt;&gt;"",$I51&lt;&gt;"",$C51&lt;=WORKDAY(N($I51),-5,calendar!$A$2:$A$80)),"Y","pending"))))</f>
        <v/>
      </c>
      <c r="Q51" s="25">
        <f>IF($A51="","",IF($P51="N","N",IF($P51&lt;&gt;"Y","pending",IF(AND((COUNTIFS(stops!$A$2:$A$151,$H51,stops!$B$2:$B$151,$B51,stops!$L$2:$L$151,"declined")+COUNTIFS(stops!$A$2:$A$151,$H51,stops!$B$2:$B$151,$B51,stops!$L$2:$L$151,"building_refused")+COUNTIFS(stops!$A$2:$A$151,$H51,stops!$B$2:$B$151,$B51,stops!$L$2:$L$151,"not_delivered"))&gt;0,N($U51)=0),"N","Y"))))</f>
        <v/>
      </c>
      <c r="R51" s="25">
        <f>IF($A51="","",IF(COUNTIFS($A$2:$A$251,$A51,$B$2:$B$251,$B51)&gt;1,"DUPLICATE ROW; ","")&amp;IF(AND(IFERROR(IF(INDEX(offices!$AC$2:$AC$61,MATCH($B51,offices!$A$2:$A$61,0))="","",INDEX(offices!$AC$2:$AC$61,MATCH($B51,offices!$A$2:$A$61,0))),"")&lt;&gt;"",ISNUMBER(SEARCH($J51,IFERROR(IF(INDEX(offices!$AC$2:$AC$61,MATCH($B51,offices!$A$2:$A$61,0))="","",INDEX(offices!$AC$2:$AC$61,MATCH($B51,offices!$A$2:$A$61,0))),"")))),"BRAND VETOED; ","")&amp;IF(ISNUMBER(SEARCH(IFERROR(IF(INDEX(campaigns!$BF$2:$BF$51,MATCH($A51,campaigns!$A$2:$A$51,0))="","",INDEX(campaigns!$BF$2:$BF$51,MATCH($A51,campaigns!$A$2:$A$51,0))),""),IFERROR(IF(INDEX(offices!$AB$2:$AB$61,MATCH($B51,offices!$A$2:$A$61,0))="","",INDEX(offices!$AB$2:$AB$61,MATCH($B51,offices!$A$2:$A$61,0))),""))),"","info: category not on the office's list; ")&amp;IF(IFERROR(IF(INDEX(offices!$AC$2:$AC$61,MATCH($B51,offices!$A$2:$A$61,0))="","",INDEX(offices!$AC$2:$AC$61,MATCH($B51,offices!$A$2:$A$61,0))),"")&lt;&gt;"","info: read the vetoes against the label; ",""))</f>
        <v/>
      </c>
      <c r="S51" s="25">
        <f>IF($A51="","",IF($G51&lt;&gt;"",$G51,IFERROR(IF(INDEX(offices!$AL$2:$AL$61,MATCH($B51,offices!$A$2:$A$61,0))="","",INDEX(offices!$AL$2:$AL$61,MATCH($B51,offices!$A$2:$A$61,0))),"")))</f>
        <v/>
      </c>
      <c r="T51" s="25">
        <f>IF($A51="","",$A51&amp;"."&amp;$B51)</f>
        <v/>
      </c>
      <c r="U51" s="25">
        <f>IF($A51="","",SUMIFS(inventory!$G$2:$G$801,inventory!$C$2:$C$801,$A51,inventory!$D$2:$D$801,$B51,inventory!$E$2:$E$801,"delivered"))</f>
        <v/>
      </c>
      <c r="V51" s="32">
        <f>IF($A51="","",IFERROR(1/(1/SUMPRODUCT(MAX((inventory!$C$2:$C$801=$A51)*(inventory!$D$2:$D$801=$B51)*(inventory!$E$2:$E$801="delivered")*(inventory!$A$2:$A$801+inventory!$B$2:$B$801)))),""))</f>
        <v/>
      </c>
      <c r="W51" s="25">
        <f>IF($A51="","",IFERROR(IF(INDEX(inventory!$J$2:$J$801,MATCH($A51&amp;"|"&amp;$B51&amp;"|delivered",inventory!$R$2:$R$801,0))="","",INDEX(inventory!$J$2:$J$801,MATCH($A51&amp;"|"&amp;$B51&amp;"|delivered",inventory!$R$2:$R$801,0))),""))</f>
        <v/>
      </c>
      <c r="X51" s="25">
        <f>IF($A51="","",IFERROR(IF(INDEX(photos!$H$2:$H$701,MATCH($A51&amp;"|"&amp;$B51&amp;"|placement|Y",photos!$R$2:$R$701,0))="","",INDEX(photos!$H$2:$H$701,MATCH($A51&amp;"|"&amp;$B51&amp;"|placement|Y",photos!$R$2:$R$701,0))),""))</f>
        <v/>
      </c>
      <c r="Y51" s="26">
        <f>IF($A51="","",IFERROR(IF(INDEX(photos!$E$2:$E$701,MATCH($A51&amp;"|"&amp;$B51&amp;"|placement|Y",photos!$R$2:$R$701,0))="","",INDEX(photos!$E$2:$E$701,MATCH($A51&amp;"|"&amp;$B51&amp;"|placement|Y",photos!$R$2:$R$701,0))),""))</f>
        <v/>
      </c>
      <c r="Z51" s="25">
        <f>IF($A51="","",IF(COUNTIFS(counts!$C$2:$C$701,$A51,counts!$D$2:$D$701,$B51,counts!$E$2:$E$701,"placed")=0,"",SUMIFS(counts!$F$2:$F$701,counts!$C$2:$C$701,$A51,counts!$D$2:$D$701,$B51,counts!$E$2:$E$701,"placed")))</f>
        <v/>
      </c>
      <c r="AA51" s="25">
        <f>IF($A51="","",IF($Y51="",0,N($Z51)))</f>
        <v/>
      </c>
      <c r="AB51" s="25">
        <f>IF($A51="","",IF(OR($Y51="",$I51=""),"N",IF($Y51&lt;=WORKDAY(N($I51),1,calendar!$A$2:$A$80),"Y","N")))</f>
        <v/>
      </c>
      <c r="AC51" s="28">
        <f>IF(OR($A51="",$V51="",$Y51=""),"",ROUND(($Y51+N(IFERROR(IF(INDEX(photos!$F$2:$F$701,MATCH($A51&amp;"|"&amp;$B51&amp;"|placement|Y",photos!$R$2:$R$701,0))="","",INDEX(photos!$F$2:$F$701,MATCH($A51&amp;"|"&amp;$B51&amp;"|placement|Y",photos!$R$2:$R$701,0))),""))-$V51)*24,1))</f>
        <v/>
      </c>
      <c r="AD51" s="25">
        <f>IF($A51="","",SUMIFS(inventory!$G$2:$G$801,inventory!$C$2:$C$801,$A51,inventory!$D$2:$D$801,$B51,inventory!$E$2:$E$801,"topped_up"))</f>
        <v/>
      </c>
      <c r="AE51" s="25">
        <f>IF($A51="","",IF(COUNTIFS(counts!$C$2:$C$701,$A51,counts!$D$2:$D$701,$B51,counts!$E$2:$E$701,"remaining_day3")=0,"",SUMIFS(counts!$F$2:$F$701,counts!$C$2:$C$701,$A51,counts!$D$2:$D$701,$B51,counts!$E$2:$E$701,"remaining_day3")))</f>
        <v/>
      </c>
      <c r="AF51" s="25">
        <f>IF($A51="","",IF(COUNTIFS(counts!$C$2:$C$701,$A51,counts!$D$2:$D$701,$B51,counts!$E$2:$E$701,"remaining_day5")=0,"",SUMIFS(counts!$F$2:$F$701,counts!$C$2:$C$701,$A51,counts!$D$2:$D$701,$B51,counts!$E$2:$E$701,"remaining_day5")))</f>
        <v/>
      </c>
      <c r="AG51" s="25">
        <f>IF(OR($A51="",$AF51=""),"",MAX(0,$AA51+$AD51-$AF51))</f>
        <v/>
      </c>
      <c r="AH51" s="25">
        <f>IF(OR($A51="",$AI51=""),"",IFERROR(IF(INDEX(photos!$H$2:$H$701,MATCH($A51&amp;"|"&amp;$B51&amp;"|later|Y|"&amp;$AI51,photos!$S$2:$S$701,0))="","",INDEX(photos!$H$2:$H$701,MATCH($A51&amp;"|"&amp;$B51&amp;"|later|Y|"&amp;$AI51,photos!$S$2:$S$701,0))),""))</f>
        <v/>
      </c>
      <c r="AI51" s="26">
        <f>IF($A51="","",IFERROR(1/(1/SUMPRODUCT(MAX((photos!$B$2:$B$701=$A51)*(photos!$C$2:$C$701=$B51)*(photos!$D$2:$D$701="later")*(photos!$O$2:$O$701="Y")*photos!$E$2:$E$701))),""))</f>
        <v/>
      </c>
      <c r="AJ51" s="25">
        <f>IF(OR($A51="",$AI51="",$I51=""),"",NETWORKDAYS($I51,$AI51,calendar!$A$2:$A$80))</f>
        <v/>
      </c>
      <c r="AK51" s="25">
        <f>IF($A51="","",IF(AND($X51&lt;&gt;"",$AH51&lt;&gt;""),"Y","N"))</f>
        <v/>
      </c>
      <c r="AL51" s="25">
        <f>IF(OR($A51="",$I51=""),"",IF($BC51="Y",SUMIFS(survey_frozen!$C$2:$C$251,survey_frozen!$P$2:$P$251,$A51&amp;"|"&amp;$B51),IFERROR(COUNTIFS(INDIRECT("'"&amp;$A51&amp;"'!$B$2:$B$501"),$T51,INDIRECT("'"&amp;$A51&amp;"'!$A$2:$A$501"),"&gt;="&amp;$I51,INDIRECT("'"&amp;$A51&amp;"'!$A$2:$A$501"),"&lt;"&amp;($BA51+1)),0)))</f>
        <v/>
      </c>
      <c r="AM51" s="25">
        <f>IF(OR($A51="",$I51=""),"",IF($BC51="Y",SUMIFS(survey_frozen!$D$2:$D$251,survey_frozen!$P$2:$P$251,$A51&amp;"|"&amp;$B51),IFERROR(COUNTIFS(INDIRECT("'"&amp;$A51&amp;"'!$B$2:$B$501"),$T51,INDIRECT("'"&amp;$A51&amp;"'!$A$2:$A$501"),"&gt;="&amp;$I51,INDIRECT("'"&amp;$A51&amp;"'!$A$2:$A$501"),"&lt;"&amp;($BA51+1),INDIRECT("'"&amp;$A51&amp;"'!$C$2:$C$501"),"Yes"),0)))</f>
        <v/>
      </c>
      <c r="AN51" s="25">
        <f>IF($A51="","",IF(COUNTIFS(scans!$C$2:$C$1601,(IF(LEFT($A51,7)="SAMPLE-","SAMPLE-","")&amp;LOWER(SUBSTITUTE(SUBSTITUTE($A51,"SAMPLE-",""),"CMP-","c"))&amp;"-"&amp;LOWER(SUBSTITUTE(SUBSTITUTE($B51,"SAMPLE-",""),"O-","o"))&amp;"-q"),scans!$D$2:$D$1601,"close")=0,"",SUMPRODUCT(MAX((scans!$C$2:$C$1601=(IF(LEFT($A51,7)="SAMPLE-","SAMPLE-","")&amp;LOWER(SUBSTITUTE(SUBSTITUTE($A51,"SAMPLE-",""),"CMP-","c"))&amp;"-"&amp;LOWER(SUBSTITUTE(SUBSTITUTE($B51,"SAMPLE-",""),"O-","o"))&amp;"-q"))*(scans!$D$2:$D$1601="close")*scans!$E$2:$E$1601))-SUMPRODUCT(MAX((scans!$C$2:$C$1601=(IF(LEFT($A51,7)="SAMPLE-","SAMPLE-","")&amp;LOWER(SUBSTITUTE(SUBSTITUTE($A51,"SAMPLE-",""),"CMP-","c"))&amp;"-"&amp;LOWER(SUBSTITUTE(SUBSTITUTE($B51,"SAMPLE-",""),"O-","o"))&amp;"-q"))*(scans!$D$2:$D$1601="baseline")*scans!$E$2:$E$1601))))</f>
        <v/>
      </c>
      <c r="AO51" s="25">
        <f>IF($A51="","",IF(COUNTIFS(scans!$C$2:$C$1601,(IF(LEFT($A51,7)="SAMPLE-","SAMPLE-","")&amp;LOWER(SUBSTITUTE(SUBSTITUTE($A51,"SAMPLE-",""),"CMP-","c"))&amp;"-"&amp;LOWER(SUBSTITUTE(SUBSTITUTE($B51,"SAMPLE-",""),"O-","o"))&amp;"-p"),scans!$D$2:$D$1601,"close")=0,"",SUMPRODUCT(MAX((scans!$C$2:$C$1601=(IF(LEFT($A51,7)="SAMPLE-","SAMPLE-","")&amp;LOWER(SUBSTITUTE(SUBSTITUTE($A51,"SAMPLE-",""),"CMP-","c"))&amp;"-"&amp;LOWER(SUBSTITUTE(SUBSTITUTE($B51,"SAMPLE-",""),"O-","o"))&amp;"-p"))*(scans!$D$2:$D$1601="close")*scans!$E$2:$E$1601))-SUMPRODUCT(MAX((scans!$C$2:$C$1601=(IF(LEFT($A51,7)="SAMPLE-","SAMPLE-","")&amp;LOWER(SUBSTITUTE(SUBSTITUTE($A51,"SAMPLE-",""),"CMP-","c"))&amp;"-"&amp;LOWER(SUBSTITUTE(SUBSTITUTE($B51,"SAMPLE-",""),"O-","o"))&amp;"-p"))*(scans!$D$2:$D$1601="baseline")*scans!$E$2:$E$1601))))</f>
        <v/>
      </c>
      <c r="AP51" s="25">
        <f>IF($A51="","",IF(COUNTIF(offices!$A$2:$A$61,$B51)=0,"office_id not on offices; ","")&amp;IF(COUNTIF(campaigns!$A$2:$A$51,$A51)=0,"campaign_id not on campaigns; ","")&amp;IF($P51="pending","approval pending; ","")&amp;IF(AND($U51&gt;0,$Y51="",OR($I51="",IF(config!$B$37&lt;&gt;"",config!$B$37,TODAY())&lt;=WORKDAY(N($I51),4,calendar!$A$2:$A$80))),"no usable placement photo yet; ","")&amp;IF(AND($Y51&lt;&gt;"",$Z51=""),"log the placed count; ","")&amp;IF(N($AA51)&gt;N($U51),"placed more than delivered; ","")&amp;IF(AND($AF51&lt;&gt;"",N($AF51)&gt;N($AA51)+N($AD51)),"day-5 count above placed plus top-ups; ","")&amp;IF(AND($U51&gt;0,$I51&lt;&gt;"",IF(config!$B$37&lt;&gt;"",config!$B$37,TODAY())&gt;WORKDAY(N($I51),4,calendar!$A$2:$A$80),$AF51=""),"day-5 count missing; ","")&amp;IF(AND($U51&gt;0,$I51&lt;&gt;"",IF(config!$B$37&lt;&gt;"",config!$B$37,TODAY())&gt;WORKDAY(N($I51),4,calendar!$A$2:$A$80),$AN51=""),"no close link reading; ","")&amp;$R51&amp;IF($P51="N","info: office said no; ","")&amp;IF(AND($P51="Y",$Q51="N"),"info: turned away at the door, so not on the drop (no letter, not in the report or Gate 2; the credit check is on campaigns); ","")&amp;IF(AND($U51&gt;0,$Y51="",$I51&lt;&gt;"",IF(config!$B$37&lt;&gt;"",config!$B$37,TODAY())&gt;WORKDAY(N($I51),4,calendar!$A$2:$A$80)),"info: no usable placement photo, so nothing counts as placed; ","")&amp;IF(AND($U51&gt;0,$I51&lt;&gt;"",IF(config!$B$37&lt;&gt;"",config!$B$37,TODAY())&gt;WORKDAY(N($I51),4,calendar!$A$2:$A$80),N($AL51)&lt;config!$B$30),"info: under "&amp;config!$B$30&amp;" responses; ","")&amp;IF($W51="packing_list","info: delivered count not verified; ",""))</f>
        <v/>
      </c>
      <c r="AQ51" s="25">
        <f>IF(OR($A51="",$I51=""),"",IF($BC51="Y",SUMIFS(survey_frozen!$E$2:$E$251,survey_frozen!$P$2:$P$251,$A51&amp;"|"&amp;$B51),IFERROR(COUNTIFS(INDIRECT("'"&amp;$A51&amp;"'!$B$2:$B$501"),$T51,INDIRECT("'"&amp;$A51&amp;"'!$A$2:$A$501"),"&gt;="&amp;$I51,INDIRECT("'"&amp;$A51&amp;"'!$A$2:$A$501"),"&lt;"&amp;($BA51+1),INDIRECT("'"&amp;$A51&amp;"'!$F$2:$F$501"),"Didn't see it"),0)))</f>
        <v/>
      </c>
      <c r="AR51" s="25">
        <f>IF(OR($A51="",$I51=""),"",IF($BC51="Y",SUMIFS(survey_frozen!$F$2:$F$251,survey_frozen!$P$2:$P$251,$A51&amp;"|"&amp;$B51),IFERROR(COUNTIFS(INDIRECT("'"&amp;$A51&amp;"'!$B$2:$B$501"),$T51,INDIRECT("'"&amp;$A51&amp;"'!$A$2:$A$501"),"&gt;="&amp;$I51,INDIRECT("'"&amp;$A51&amp;"'!$A$2:$A$501"),"&lt;"&amp;($BA51+1),INDIRECT("'"&amp;$A51&amp;"'!$F$2:$F$501"),"Not for me"),0)))</f>
        <v/>
      </c>
      <c r="AS51" s="25">
        <f>IF(OR($A51="",$I51=""),"",IF($BC51="Y",SUMIFS(survey_frozen!$G$2:$G$251,survey_frozen!$P$2:$P$251,$A51&amp;"|"&amp;$B51),IFERROR(COUNTIFS(INDIRECT("'"&amp;$A51&amp;"'!$B$2:$B$501"),$T51,INDIRECT("'"&amp;$A51&amp;"'!$A$2:$A$501"),"&gt;="&amp;$I51,INDIRECT("'"&amp;$A51&amp;"'!$A$2:$A$501"),"&lt;"&amp;($BA51+1),INDIRECT("'"&amp;$A51&amp;"'!$F$2:$F$501"),"Gone by the time I looked"),0)))</f>
        <v/>
      </c>
      <c r="AT51" s="25">
        <f>IF(OR($A51="",$I51=""),"",IF($BC51="Y",SUMIFS(survey_frozen!$H$2:$H$251,survey_frozen!$P$2:$P$251,$A51&amp;"|"&amp;$B51),IFERROR(COUNTIFS(INDIRECT("'"&amp;$A51&amp;"'!$B$2:$B$501"),$T51,INDIRECT("'"&amp;$A51&amp;"'!$A$2:$A$501"),"&gt;="&amp;$I51,INDIRECT("'"&amp;$A51&amp;"'!$A$2:$A$501"),"&lt;"&amp;($BA51+1),INDIRECT("'"&amp;$A51&amp;"'!$D$2:$D$501"),"&gt;=1"),0)))</f>
        <v/>
      </c>
      <c r="AU51" s="25">
        <f>IF(OR($A51="",$I51=""),"",IF($BC51="Y",SUMIFS(survey_frozen!$I$2:$I$251,survey_frozen!$P$2:$P$251,$A51&amp;"|"&amp;$B51),IFERROR(SUMIFS(INDIRECT("'"&amp;$A51&amp;"'!$D$2:$D$501"),INDIRECT("'"&amp;$A51&amp;"'!$B$2:$B$501"),$T51,INDIRECT("'"&amp;$A51&amp;"'!$A$2:$A$501"),"&gt;="&amp;$I51,INDIRECT("'"&amp;$A51&amp;"'!$A$2:$A$501"),"&lt;"&amp;($BA51+1)),0)))</f>
        <v/>
      </c>
      <c r="AV51" s="25">
        <f>IF(OR($A51="",$I51=""),"",IF($BC51="Y",SUMIFS(survey_frozen!$J$2:$J$251,survey_frozen!$P$2:$P$251,$A51&amp;"|"&amp;$B51),IFERROR(COUNTIFS(INDIRECT("'"&amp;$A51&amp;"'!$B$2:$B$501"),$T51,INDIRECT("'"&amp;$A51&amp;"'!$A$2:$A$501"),"&gt;="&amp;$I51,INDIRECT("'"&amp;$A51&amp;"'!$A$2:$A$501"),"&lt;"&amp;($BA51+1),INDIRECT("'"&amp;$A51&amp;"'!$E$2:$E$501"),"Yes"),0)))</f>
        <v/>
      </c>
      <c r="AW51" s="25">
        <f>IF(OR($A51="",$I51=""),"",IF($BC51="Y",SUMIFS(survey_frozen!$K$2:$K$251,survey_frozen!$P$2:$P$251,$A51&amp;"|"&amp;$B51),IFERROR(COUNTIFS(INDIRECT("'"&amp;$A51&amp;"'!$B$2:$B$501"),$T51,INDIRECT("'"&amp;$A51&amp;"'!$A$2:$A$501"),"&gt;="&amp;$I51,INDIRECT("'"&amp;$A51&amp;"'!$A$2:$A$501"),"&lt;"&amp;($BA51+1),INDIRECT("'"&amp;$A51&amp;"'!$E$2:$E$501"),"Maybe"),0)))</f>
        <v/>
      </c>
      <c r="AX51" s="25">
        <f>IF(OR($A51="",$I51=""),"",IF($BC51="Y",SUMIFS(survey_frozen!$L$2:$L$251,survey_frozen!$P$2:$P$251,$A51&amp;"|"&amp;$B51),IFERROR(COUNTIFS(INDIRECT("'"&amp;$A51&amp;"'!$B$2:$B$501"),$T51,INDIRECT("'"&amp;$A51&amp;"'!$A$2:$A$501"),"&gt;="&amp;$I51,INDIRECT("'"&amp;$A51&amp;"'!$A$2:$A$501"),"&lt;"&amp;($BA51+1),INDIRECT("'"&amp;$A51&amp;"'!$E$2:$E$501"),"No"),0)))</f>
        <v/>
      </c>
      <c r="AY51" s="25">
        <f>IF(OR($A51="",$I51=""),"",IF($BC51="Y",SUMIFS(survey_frozen!$M$2:$M$251,survey_frozen!$P$2:$P$251,$A51&amp;"|"&amp;$B51),IFERROR(COUNTIFS(INDIRECT("'"&amp;$A51&amp;"'!$B$2:$B$501"),$T51,INDIRECT("'"&amp;$A51&amp;"'!$A$2:$A$501"),"&gt;="&amp;$I51,INDIRECT("'"&amp;$A51&amp;"'!$A$2:$A$501"),"&lt;"&amp;($BA51+1),INDIRECT("'"&amp;$A51&amp;"'!$G$2:$G$501"),"&lt;&gt;"),0)))</f>
        <v/>
      </c>
      <c r="AZ51" s="25">
        <f>IF($A51="","",$A51&amp;"|"&amp;$L51)</f>
        <v/>
      </c>
      <c r="BA51" s="26">
        <f>IF($A51="","",IFERROR(IF(INDEX(drops!$R$2:$R$21,MATCH($H51,drops!$A$2:$A$21,0))="","",INDEX(drops!$R$2:$R$21,MATCH($H51,drops!$A$2:$A$21,0))),""))</f>
        <v/>
      </c>
      <c r="BB51" s="25">
        <f>IF(OR($A51="",$Q51&lt;&gt;"Y"),1000000,N($AL51))</f>
        <v/>
      </c>
      <c r="BC51" s="25">
        <f>IF($A51="","",IF(COUNTIF(survey_frozen!$P$2:$P$251,$A51&amp;"|"&amp;$B51)&gt;0,"Y",""))</f>
        <v/>
      </c>
    </row>
    <row r="52">
      <c r="C52" s="9" t="n"/>
      <c r="E52" s="9" t="n"/>
      <c r="H52" s="25">
        <f>IF($A52="","",IFERROR(IF(INDEX(campaigns!$B$2:$B$51,MATCH($A52,campaigns!$A$2:$A$51,0))="","",INDEX(campaigns!$B$2:$B$51,MATCH($A52,campaigns!$A$2:$A$51,0))),""))</f>
        <v/>
      </c>
      <c r="I52" s="26">
        <f>IF($A52="","",IFERROR(IF(INDEX(campaigns!$BG$2:$BG$51,MATCH($A52,campaigns!$A$2:$A$51,0))="","",INDEX(campaigns!$BG$2:$BG$51,MATCH($A52,campaigns!$A$2:$A$51,0))),""))</f>
        <v/>
      </c>
      <c r="J52" s="25">
        <f>IF($A52="","",IFERROR(IF(INDEX(campaigns!$BE$2:$BE$51,MATCH($A52,campaigns!$A$2:$A$51,0))="","",INDEX(campaigns!$BE$2:$BE$51,MATCH($A52,campaigns!$A$2:$A$51,0))),""))</f>
        <v/>
      </c>
      <c r="K52" s="25">
        <f>IF($B52="","",IFERROR(IF(INDEX(offices!$N$2:$N$61,MATCH($B52,offices!$A$2:$A$61,0))="","",INDEX(offices!$N$2:$N$61,MATCH($B52,offices!$A$2:$A$61,0))),""))</f>
        <v/>
      </c>
      <c r="L52" s="25">
        <f>IF($A52="","",IF($Q52="N","",COUNTIFS($A$2:$A52,$A52,$Q$2:$Q52,"&lt;&gt;N")))</f>
        <v/>
      </c>
      <c r="M52" s="25">
        <f>IF(OR($A52="",$L52=""),"",IF(AND(config!$B$34="names_if_public",IFERROR(IF(INDEX(offices!$AF$2:$AF$61,MATCH($B52,offices!$A$2:$A$61,0))="","",INDEX(offices!$AF$2:$AF$61,MATCH($B52,offices!$A$2:$A$61,0))),"")="Y"),$K52,CHAR(64+$L52)))</f>
        <v/>
      </c>
      <c r="N52" s="25">
        <f>IF(OR($A52="",$I52=""),"",COUNTIFS(stops!$B$2:$B$151,$B52,stops!$P$2:$P$151,"&lt;"&amp;$I52,stops!$L$2:$L$151,"&lt;&gt;not_delivered")+1)</f>
        <v/>
      </c>
      <c r="O52" s="25">
        <f>IF($A52="","",IF(N($N52)&lt;=config!$B$29,"explicit","opt-out"))</f>
        <v/>
      </c>
      <c r="P52" s="25">
        <f>IF($A52="","",IF($O52="explicit",IF($D52="yes","Y",IF($D52="no","N","pending")),IF($D52="no","N",IF(AND($C52&lt;&gt;"",$I52&lt;&gt;"",$C52&lt;=WORKDAY(N($I52),-5,calendar!$A$2:$A$80)),"Y","pending"))))</f>
        <v/>
      </c>
      <c r="Q52" s="25">
        <f>IF($A52="","",IF($P52="N","N",IF($P52&lt;&gt;"Y","pending",IF(AND((COUNTIFS(stops!$A$2:$A$151,$H52,stops!$B$2:$B$151,$B52,stops!$L$2:$L$151,"declined")+COUNTIFS(stops!$A$2:$A$151,$H52,stops!$B$2:$B$151,$B52,stops!$L$2:$L$151,"building_refused")+COUNTIFS(stops!$A$2:$A$151,$H52,stops!$B$2:$B$151,$B52,stops!$L$2:$L$151,"not_delivered"))&gt;0,N($U52)=0),"N","Y"))))</f>
        <v/>
      </c>
      <c r="R52" s="25">
        <f>IF($A52="","",IF(COUNTIFS($A$2:$A$251,$A52,$B$2:$B$251,$B52)&gt;1,"DUPLICATE ROW; ","")&amp;IF(AND(IFERROR(IF(INDEX(offices!$AC$2:$AC$61,MATCH($B52,offices!$A$2:$A$61,0))="","",INDEX(offices!$AC$2:$AC$61,MATCH($B52,offices!$A$2:$A$61,0))),"")&lt;&gt;"",ISNUMBER(SEARCH($J52,IFERROR(IF(INDEX(offices!$AC$2:$AC$61,MATCH($B52,offices!$A$2:$A$61,0))="","",INDEX(offices!$AC$2:$AC$61,MATCH($B52,offices!$A$2:$A$61,0))),"")))),"BRAND VETOED; ","")&amp;IF(ISNUMBER(SEARCH(IFERROR(IF(INDEX(campaigns!$BF$2:$BF$51,MATCH($A52,campaigns!$A$2:$A$51,0))="","",INDEX(campaigns!$BF$2:$BF$51,MATCH($A52,campaigns!$A$2:$A$51,0))),""),IFERROR(IF(INDEX(offices!$AB$2:$AB$61,MATCH($B52,offices!$A$2:$A$61,0))="","",INDEX(offices!$AB$2:$AB$61,MATCH($B52,offices!$A$2:$A$61,0))),""))),"","info: category not on the office's list; ")&amp;IF(IFERROR(IF(INDEX(offices!$AC$2:$AC$61,MATCH($B52,offices!$A$2:$A$61,0))="","",INDEX(offices!$AC$2:$AC$61,MATCH($B52,offices!$A$2:$A$61,0))),"")&lt;&gt;"","info: read the vetoes against the label; ",""))</f>
        <v/>
      </c>
      <c r="S52" s="25">
        <f>IF($A52="","",IF($G52&lt;&gt;"",$G52,IFERROR(IF(INDEX(offices!$AL$2:$AL$61,MATCH($B52,offices!$A$2:$A$61,0))="","",INDEX(offices!$AL$2:$AL$61,MATCH($B52,offices!$A$2:$A$61,0))),"")))</f>
        <v/>
      </c>
      <c r="T52" s="25">
        <f>IF($A52="","",$A52&amp;"."&amp;$B52)</f>
        <v/>
      </c>
      <c r="U52" s="25">
        <f>IF($A52="","",SUMIFS(inventory!$G$2:$G$801,inventory!$C$2:$C$801,$A52,inventory!$D$2:$D$801,$B52,inventory!$E$2:$E$801,"delivered"))</f>
        <v/>
      </c>
      <c r="V52" s="32">
        <f>IF($A52="","",IFERROR(1/(1/SUMPRODUCT(MAX((inventory!$C$2:$C$801=$A52)*(inventory!$D$2:$D$801=$B52)*(inventory!$E$2:$E$801="delivered")*(inventory!$A$2:$A$801+inventory!$B$2:$B$801)))),""))</f>
        <v/>
      </c>
      <c r="W52" s="25">
        <f>IF($A52="","",IFERROR(IF(INDEX(inventory!$J$2:$J$801,MATCH($A52&amp;"|"&amp;$B52&amp;"|delivered",inventory!$R$2:$R$801,0))="","",INDEX(inventory!$J$2:$J$801,MATCH($A52&amp;"|"&amp;$B52&amp;"|delivered",inventory!$R$2:$R$801,0))),""))</f>
        <v/>
      </c>
      <c r="X52" s="25">
        <f>IF($A52="","",IFERROR(IF(INDEX(photos!$H$2:$H$701,MATCH($A52&amp;"|"&amp;$B52&amp;"|placement|Y",photos!$R$2:$R$701,0))="","",INDEX(photos!$H$2:$H$701,MATCH($A52&amp;"|"&amp;$B52&amp;"|placement|Y",photos!$R$2:$R$701,0))),""))</f>
        <v/>
      </c>
      <c r="Y52" s="26">
        <f>IF($A52="","",IFERROR(IF(INDEX(photos!$E$2:$E$701,MATCH($A52&amp;"|"&amp;$B52&amp;"|placement|Y",photos!$R$2:$R$701,0))="","",INDEX(photos!$E$2:$E$701,MATCH($A52&amp;"|"&amp;$B52&amp;"|placement|Y",photos!$R$2:$R$701,0))),""))</f>
        <v/>
      </c>
      <c r="Z52" s="25">
        <f>IF($A52="","",IF(COUNTIFS(counts!$C$2:$C$701,$A52,counts!$D$2:$D$701,$B52,counts!$E$2:$E$701,"placed")=0,"",SUMIFS(counts!$F$2:$F$701,counts!$C$2:$C$701,$A52,counts!$D$2:$D$701,$B52,counts!$E$2:$E$701,"placed")))</f>
        <v/>
      </c>
      <c r="AA52" s="25">
        <f>IF($A52="","",IF($Y52="",0,N($Z52)))</f>
        <v/>
      </c>
      <c r="AB52" s="25">
        <f>IF($A52="","",IF(OR($Y52="",$I52=""),"N",IF($Y52&lt;=WORKDAY(N($I52),1,calendar!$A$2:$A$80),"Y","N")))</f>
        <v/>
      </c>
      <c r="AC52" s="28">
        <f>IF(OR($A52="",$V52="",$Y52=""),"",ROUND(($Y52+N(IFERROR(IF(INDEX(photos!$F$2:$F$701,MATCH($A52&amp;"|"&amp;$B52&amp;"|placement|Y",photos!$R$2:$R$701,0))="","",INDEX(photos!$F$2:$F$701,MATCH($A52&amp;"|"&amp;$B52&amp;"|placement|Y",photos!$R$2:$R$701,0))),""))-$V52)*24,1))</f>
        <v/>
      </c>
      <c r="AD52" s="25">
        <f>IF($A52="","",SUMIFS(inventory!$G$2:$G$801,inventory!$C$2:$C$801,$A52,inventory!$D$2:$D$801,$B52,inventory!$E$2:$E$801,"topped_up"))</f>
        <v/>
      </c>
      <c r="AE52" s="25">
        <f>IF($A52="","",IF(COUNTIFS(counts!$C$2:$C$701,$A52,counts!$D$2:$D$701,$B52,counts!$E$2:$E$701,"remaining_day3")=0,"",SUMIFS(counts!$F$2:$F$701,counts!$C$2:$C$701,$A52,counts!$D$2:$D$701,$B52,counts!$E$2:$E$701,"remaining_day3")))</f>
        <v/>
      </c>
      <c r="AF52" s="25">
        <f>IF($A52="","",IF(COUNTIFS(counts!$C$2:$C$701,$A52,counts!$D$2:$D$701,$B52,counts!$E$2:$E$701,"remaining_day5")=0,"",SUMIFS(counts!$F$2:$F$701,counts!$C$2:$C$701,$A52,counts!$D$2:$D$701,$B52,counts!$E$2:$E$701,"remaining_day5")))</f>
        <v/>
      </c>
      <c r="AG52" s="25">
        <f>IF(OR($A52="",$AF52=""),"",MAX(0,$AA52+$AD52-$AF52))</f>
        <v/>
      </c>
      <c r="AH52" s="25">
        <f>IF(OR($A52="",$AI52=""),"",IFERROR(IF(INDEX(photos!$H$2:$H$701,MATCH($A52&amp;"|"&amp;$B52&amp;"|later|Y|"&amp;$AI52,photos!$S$2:$S$701,0))="","",INDEX(photos!$H$2:$H$701,MATCH($A52&amp;"|"&amp;$B52&amp;"|later|Y|"&amp;$AI52,photos!$S$2:$S$701,0))),""))</f>
        <v/>
      </c>
      <c r="AI52" s="26">
        <f>IF($A52="","",IFERROR(1/(1/SUMPRODUCT(MAX((photos!$B$2:$B$701=$A52)*(photos!$C$2:$C$701=$B52)*(photos!$D$2:$D$701="later")*(photos!$O$2:$O$701="Y")*photos!$E$2:$E$701))),""))</f>
        <v/>
      </c>
      <c r="AJ52" s="25">
        <f>IF(OR($A52="",$AI52="",$I52=""),"",NETWORKDAYS($I52,$AI52,calendar!$A$2:$A$80))</f>
        <v/>
      </c>
      <c r="AK52" s="25">
        <f>IF($A52="","",IF(AND($X52&lt;&gt;"",$AH52&lt;&gt;""),"Y","N"))</f>
        <v/>
      </c>
      <c r="AL52" s="25">
        <f>IF(OR($A52="",$I52=""),"",IF($BC52="Y",SUMIFS(survey_frozen!$C$2:$C$251,survey_frozen!$P$2:$P$251,$A52&amp;"|"&amp;$B52),IFERROR(COUNTIFS(INDIRECT("'"&amp;$A52&amp;"'!$B$2:$B$501"),$T52,INDIRECT("'"&amp;$A52&amp;"'!$A$2:$A$501"),"&gt;="&amp;$I52,INDIRECT("'"&amp;$A52&amp;"'!$A$2:$A$501"),"&lt;"&amp;($BA52+1)),0)))</f>
        <v/>
      </c>
      <c r="AM52" s="25">
        <f>IF(OR($A52="",$I52=""),"",IF($BC52="Y",SUMIFS(survey_frozen!$D$2:$D$251,survey_frozen!$P$2:$P$251,$A52&amp;"|"&amp;$B52),IFERROR(COUNTIFS(INDIRECT("'"&amp;$A52&amp;"'!$B$2:$B$501"),$T52,INDIRECT("'"&amp;$A52&amp;"'!$A$2:$A$501"),"&gt;="&amp;$I52,INDIRECT("'"&amp;$A52&amp;"'!$A$2:$A$501"),"&lt;"&amp;($BA52+1),INDIRECT("'"&amp;$A52&amp;"'!$C$2:$C$501"),"Yes"),0)))</f>
        <v/>
      </c>
      <c r="AN52" s="25">
        <f>IF($A52="","",IF(COUNTIFS(scans!$C$2:$C$1601,(IF(LEFT($A52,7)="SAMPLE-","SAMPLE-","")&amp;LOWER(SUBSTITUTE(SUBSTITUTE($A52,"SAMPLE-",""),"CMP-","c"))&amp;"-"&amp;LOWER(SUBSTITUTE(SUBSTITUTE($B52,"SAMPLE-",""),"O-","o"))&amp;"-q"),scans!$D$2:$D$1601,"close")=0,"",SUMPRODUCT(MAX((scans!$C$2:$C$1601=(IF(LEFT($A52,7)="SAMPLE-","SAMPLE-","")&amp;LOWER(SUBSTITUTE(SUBSTITUTE($A52,"SAMPLE-",""),"CMP-","c"))&amp;"-"&amp;LOWER(SUBSTITUTE(SUBSTITUTE($B52,"SAMPLE-",""),"O-","o"))&amp;"-q"))*(scans!$D$2:$D$1601="close")*scans!$E$2:$E$1601))-SUMPRODUCT(MAX((scans!$C$2:$C$1601=(IF(LEFT($A52,7)="SAMPLE-","SAMPLE-","")&amp;LOWER(SUBSTITUTE(SUBSTITUTE($A52,"SAMPLE-",""),"CMP-","c"))&amp;"-"&amp;LOWER(SUBSTITUTE(SUBSTITUTE($B52,"SAMPLE-",""),"O-","o"))&amp;"-q"))*(scans!$D$2:$D$1601="baseline")*scans!$E$2:$E$1601))))</f>
        <v/>
      </c>
      <c r="AO52" s="25">
        <f>IF($A52="","",IF(COUNTIFS(scans!$C$2:$C$1601,(IF(LEFT($A52,7)="SAMPLE-","SAMPLE-","")&amp;LOWER(SUBSTITUTE(SUBSTITUTE($A52,"SAMPLE-",""),"CMP-","c"))&amp;"-"&amp;LOWER(SUBSTITUTE(SUBSTITUTE($B52,"SAMPLE-",""),"O-","o"))&amp;"-p"),scans!$D$2:$D$1601,"close")=0,"",SUMPRODUCT(MAX((scans!$C$2:$C$1601=(IF(LEFT($A52,7)="SAMPLE-","SAMPLE-","")&amp;LOWER(SUBSTITUTE(SUBSTITUTE($A52,"SAMPLE-",""),"CMP-","c"))&amp;"-"&amp;LOWER(SUBSTITUTE(SUBSTITUTE($B52,"SAMPLE-",""),"O-","o"))&amp;"-p"))*(scans!$D$2:$D$1601="close")*scans!$E$2:$E$1601))-SUMPRODUCT(MAX((scans!$C$2:$C$1601=(IF(LEFT($A52,7)="SAMPLE-","SAMPLE-","")&amp;LOWER(SUBSTITUTE(SUBSTITUTE($A52,"SAMPLE-",""),"CMP-","c"))&amp;"-"&amp;LOWER(SUBSTITUTE(SUBSTITUTE($B52,"SAMPLE-",""),"O-","o"))&amp;"-p"))*(scans!$D$2:$D$1601="baseline")*scans!$E$2:$E$1601))))</f>
        <v/>
      </c>
      <c r="AP52" s="25">
        <f>IF($A52="","",IF(COUNTIF(offices!$A$2:$A$61,$B52)=0,"office_id not on offices; ","")&amp;IF(COUNTIF(campaigns!$A$2:$A$51,$A52)=0,"campaign_id not on campaigns; ","")&amp;IF($P52="pending","approval pending; ","")&amp;IF(AND($U52&gt;0,$Y52="",OR($I52="",IF(config!$B$37&lt;&gt;"",config!$B$37,TODAY())&lt;=WORKDAY(N($I52),4,calendar!$A$2:$A$80))),"no usable placement photo yet; ","")&amp;IF(AND($Y52&lt;&gt;"",$Z52=""),"log the placed count; ","")&amp;IF(N($AA52)&gt;N($U52),"placed more than delivered; ","")&amp;IF(AND($AF52&lt;&gt;"",N($AF52)&gt;N($AA52)+N($AD52)),"day-5 count above placed plus top-ups; ","")&amp;IF(AND($U52&gt;0,$I52&lt;&gt;"",IF(config!$B$37&lt;&gt;"",config!$B$37,TODAY())&gt;WORKDAY(N($I52),4,calendar!$A$2:$A$80),$AF52=""),"day-5 count missing; ","")&amp;IF(AND($U52&gt;0,$I52&lt;&gt;"",IF(config!$B$37&lt;&gt;"",config!$B$37,TODAY())&gt;WORKDAY(N($I52),4,calendar!$A$2:$A$80),$AN52=""),"no close link reading; ","")&amp;$R52&amp;IF($P52="N","info: office said no; ","")&amp;IF(AND($P52="Y",$Q52="N"),"info: turned away at the door, so not on the drop (no letter, not in the report or Gate 2; the credit check is on campaigns); ","")&amp;IF(AND($U52&gt;0,$Y52="",$I52&lt;&gt;"",IF(config!$B$37&lt;&gt;"",config!$B$37,TODAY())&gt;WORKDAY(N($I52),4,calendar!$A$2:$A$80)),"info: no usable placement photo, so nothing counts as placed; ","")&amp;IF(AND($U52&gt;0,$I52&lt;&gt;"",IF(config!$B$37&lt;&gt;"",config!$B$37,TODAY())&gt;WORKDAY(N($I52),4,calendar!$A$2:$A$80),N($AL52)&lt;config!$B$30),"info: under "&amp;config!$B$30&amp;" responses; ","")&amp;IF($W52="packing_list","info: delivered count not verified; ",""))</f>
        <v/>
      </c>
      <c r="AQ52" s="25">
        <f>IF(OR($A52="",$I52=""),"",IF($BC52="Y",SUMIFS(survey_frozen!$E$2:$E$251,survey_frozen!$P$2:$P$251,$A52&amp;"|"&amp;$B52),IFERROR(COUNTIFS(INDIRECT("'"&amp;$A52&amp;"'!$B$2:$B$501"),$T52,INDIRECT("'"&amp;$A52&amp;"'!$A$2:$A$501"),"&gt;="&amp;$I52,INDIRECT("'"&amp;$A52&amp;"'!$A$2:$A$501"),"&lt;"&amp;($BA52+1),INDIRECT("'"&amp;$A52&amp;"'!$F$2:$F$501"),"Didn't see it"),0)))</f>
        <v/>
      </c>
      <c r="AR52" s="25">
        <f>IF(OR($A52="",$I52=""),"",IF($BC52="Y",SUMIFS(survey_frozen!$F$2:$F$251,survey_frozen!$P$2:$P$251,$A52&amp;"|"&amp;$B52),IFERROR(COUNTIFS(INDIRECT("'"&amp;$A52&amp;"'!$B$2:$B$501"),$T52,INDIRECT("'"&amp;$A52&amp;"'!$A$2:$A$501"),"&gt;="&amp;$I52,INDIRECT("'"&amp;$A52&amp;"'!$A$2:$A$501"),"&lt;"&amp;($BA52+1),INDIRECT("'"&amp;$A52&amp;"'!$F$2:$F$501"),"Not for me"),0)))</f>
        <v/>
      </c>
      <c r="AS52" s="25">
        <f>IF(OR($A52="",$I52=""),"",IF($BC52="Y",SUMIFS(survey_frozen!$G$2:$G$251,survey_frozen!$P$2:$P$251,$A52&amp;"|"&amp;$B52),IFERROR(COUNTIFS(INDIRECT("'"&amp;$A52&amp;"'!$B$2:$B$501"),$T52,INDIRECT("'"&amp;$A52&amp;"'!$A$2:$A$501"),"&gt;="&amp;$I52,INDIRECT("'"&amp;$A52&amp;"'!$A$2:$A$501"),"&lt;"&amp;($BA52+1),INDIRECT("'"&amp;$A52&amp;"'!$F$2:$F$501"),"Gone by the time I looked"),0)))</f>
        <v/>
      </c>
      <c r="AT52" s="25">
        <f>IF(OR($A52="",$I52=""),"",IF($BC52="Y",SUMIFS(survey_frozen!$H$2:$H$251,survey_frozen!$P$2:$P$251,$A52&amp;"|"&amp;$B52),IFERROR(COUNTIFS(INDIRECT("'"&amp;$A52&amp;"'!$B$2:$B$501"),$T52,INDIRECT("'"&amp;$A52&amp;"'!$A$2:$A$501"),"&gt;="&amp;$I52,INDIRECT("'"&amp;$A52&amp;"'!$A$2:$A$501"),"&lt;"&amp;($BA52+1),INDIRECT("'"&amp;$A52&amp;"'!$D$2:$D$501"),"&gt;=1"),0)))</f>
        <v/>
      </c>
      <c r="AU52" s="25">
        <f>IF(OR($A52="",$I52=""),"",IF($BC52="Y",SUMIFS(survey_frozen!$I$2:$I$251,survey_frozen!$P$2:$P$251,$A52&amp;"|"&amp;$B52),IFERROR(SUMIFS(INDIRECT("'"&amp;$A52&amp;"'!$D$2:$D$501"),INDIRECT("'"&amp;$A52&amp;"'!$B$2:$B$501"),$T52,INDIRECT("'"&amp;$A52&amp;"'!$A$2:$A$501"),"&gt;="&amp;$I52,INDIRECT("'"&amp;$A52&amp;"'!$A$2:$A$501"),"&lt;"&amp;($BA52+1)),0)))</f>
        <v/>
      </c>
      <c r="AV52" s="25">
        <f>IF(OR($A52="",$I52=""),"",IF($BC52="Y",SUMIFS(survey_frozen!$J$2:$J$251,survey_frozen!$P$2:$P$251,$A52&amp;"|"&amp;$B52),IFERROR(COUNTIFS(INDIRECT("'"&amp;$A52&amp;"'!$B$2:$B$501"),$T52,INDIRECT("'"&amp;$A52&amp;"'!$A$2:$A$501"),"&gt;="&amp;$I52,INDIRECT("'"&amp;$A52&amp;"'!$A$2:$A$501"),"&lt;"&amp;($BA52+1),INDIRECT("'"&amp;$A52&amp;"'!$E$2:$E$501"),"Yes"),0)))</f>
        <v/>
      </c>
      <c r="AW52" s="25">
        <f>IF(OR($A52="",$I52=""),"",IF($BC52="Y",SUMIFS(survey_frozen!$K$2:$K$251,survey_frozen!$P$2:$P$251,$A52&amp;"|"&amp;$B52),IFERROR(COUNTIFS(INDIRECT("'"&amp;$A52&amp;"'!$B$2:$B$501"),$T52,INDIRECT("'"&amp;$A52&amp;"'!$A$2:$A$501"),"&gt;="&amp;$I52,INDIRECT("'"&amp;$A52&amp;"'!$A$2:$A$501"),"&lt;"&amp;($BA52+1),INDIRECT("'"&amp;$A52&amp;"'!$E$2:$E$501"),"Maybe"),0)))</f>
        <v/>
      </c>
      <c r="AX52" s="25">
        <f>IF(OR($A52="",$I52=""),"",IF($BC52="Y",SUMIFS(survey_frozen!$L$2:$L$251,survey_frozen!$P$2:$P$251,$A52&amp;"|"&amp;$B52),IFERROR(COUNTIFS(INDIRECT("'"&amp;$A52&amp;"'!$B$2:$B$501"),$T52,INDIRECT("'"&amp;$A52&amp;"'!$A$2:$A$501"),"&gt;="&amp;$I52,INDIRECT("'"&amp;$A52&amp;"'!$A$2:$A$501"),"&lt;"&amp;($BA52+1),INDIRECT("'"&amp;$A52&amp;"'!$E$2:$E$501"),"No"),0)))</f>
        <v/>
      </c>
      <c r="AY52" s="25">
        <f>IF(OR($A52="",$I52=""),"",IF($BC52="Y",SUMIFS(survey_frozen!$M$2:$M$251,survey_frozen!$P$2:$P$251,$A52&amp;"|"&amp;$B52),IFERROR(COUNTIFS(INDIRECT("'"&amp;$A52&amp;"'!$B$2:$B$501"),$T52,INDIRECT("'"&amp;$A52&amp;"'!$A$2:$A$501"),"&gt;="&amp;$I52,INDIRECT("'"&amp;$A52&amp;"'!$A$2:$A$501"),"&lt;"&amp;($BA52+1),INDIRECT("'"&amp;$A52&amp;"'!$G$2:$G$501"),"&lt;&gt;"),0)))</f>
        <v/>
      </c>
      <c r="AZ52" s="25">
        <f>IF($A52="","",$A52&amp;"|"&amp;$L52)</f>
        <v/>
      </c>
      <c r="BA52" s="26">
        <f>IF($A52="","",IFERROR(IF(INDEX(drops!$R$2:$R$21,MATCH($H52,drops!$A$2:$A$21,0))="","",INDEX(drops!$R$2:$R$21,MATCH($H52,drops!$A$2:$A$21,0))),""))</f>
        <v/>
      </c>
      <c r="BB52" s="25">
        <f>IF(OR($A52="",$Q52&lt;&gt;"Y"),1000000,N($AL52))</f>
        <v/>
      </c>
      <c r="BC52" s="25">
        <f>IF($A52="","",IF(COUNTIF(survey_frozen!$P$2:$P$251,$A52&amp;"|"&amp;$B52)&gt;0,"Y",""))</f>
        <v/>
      </c>
    </row>
    <row r="53">
      <c r="C53" s="9" t="n"/>
      <c r="E53" s="9" t="n"/>
      <c r="H53" s="25">
        <f>IF($A53="","",IFERROR(IF(INDEX(campaigns!$B$2:$B$51,MATCH($A53,campaigns!$A$2:$A$51,0))="","",INDEX(campaigns!$B$2:$B$51,MATCH($A53,campaigns!$A$2:$A$51,0))),""))</f>
        <v/>
      </c>
      <c r="I53" s="26">
        <f>IF($A53="","",IFERROR(IF(INDEX(campaigns!$BG$2:$BG$51,MATCH($A53,campaigns!$A$2:$A$51,0))="","",INDEX(campaigns!$BG$2:$BG$51,MATCH($A53,campaigns!$A$2:$A$51,0))),""))</f>
        <v/>
      </c>
      <c r="J53" s="25">
        <f>IF($A53="","",IFERROR(IF(INDEX(campaigns!$BE$2:$BE$51,MATCH($A53,campaigns!$A$2:$A$51,0))="","",INDEX(campaigns!$BE$2:$BE$51,MATCH($A53,campaigns!$A$2:$A$51,0))),""))</f>
        <v/>
      </c>
      <c r="K53" s="25">
        <f>IF($B53="","",IFERROR(IF(INDEX(offices!$N$2:$N$61,MATCH($B53,offices!$A$2:$A$61,0))="","",INDEX(offices!$N$2:$N$61,MATCH($B53,offices!$A$2:$A$61,0))),""))</f>
        <v/>
      </c>
      <c r="L53" s="25">
        <f>IF($A53="","",IF($Q53="N","",COUNTIFS($A$2:$A53,$A53,$Q$2:$Q53,"&lt;&gt;N")))</f>
        <v/>
      </c>
      <c r="M53" s="25">
        <f>IF(OR($A53="",$L53=""),"",IF(AND(config!$B$34="names_if_public",IFERROR(IF(INDEX(offices!$AF$2:$AF$61,MATCH($B53,offices!$A$2:$A$61,0))="","",INDEX(offices!$AF$2:$AF$61,MATCH($B53,offices!$A$2:$A$61,0))),"")="Y"),$K53,CHAR(64+$L53)))</f>
        <v/>
      </c>
      <c r="N53" s="25">
        <f>IF(OR($A53="",$I53=""),"",COUNTIFS(stops!$B$2:$B$151,$B53,stops!$P$2:$P$151,"&lt;"&amp;$I53,stops!$L$2:$L$151,"&lt;&gt;not_delivered")+1)</f>
        <v/>
      </c>
      <c r="O53" s="25">
        <f>IF($A53="","",IF(N($N53)&lt;=config!$B$29,"explicit","opt-out"))</f>
        <v/>
      </c>
      <c r="P53" s="25">
        <f>IF($A53="","",IF($O53="explicit",IF($D53="yes","Y",IF($D53="no","N","pending")),IF($D53="no","N",IF(AND($C53&lt;&gt;"",$I53&lt;&gt;"",$C53&lt;=WORKDAY(N($I53),-5,calendar!$A$2:$A$80)),"Y","pending"))))</f>
        <v/>
      </c>
      <c r="Q53" s="25">
        <f>IF($A53="","",IF($P53="N","N",IF($P53&lt;&gt;"Y","pending",IF(AND((COUNTIFS(stops!$A$2:$A$151,$H53,stops!$B$2:$B$151,$B53,stops!$L$2:$L$151,"declined")+COUNTIFS(stops!$A$2:$A$151,$H53,stops!$B$2:$B$151,$B53,stops!$L$2:$L$151,"building_refused")+COUNTIFS(stops!$A$2:$A$151,$H53,stops!$B$2:$B$151,$B53,stops!$L$2:$L$151,"not_delivered"))&gt;0,N($U53)=0),"N","Y"))))</f>
        <v/>
      </c>
      <c r="R53" s="25">
        <f>IF($A53="","",IF(COUNTIFS($A$2:$A$251,$A53,$B$2:$B$251,$B53)&gt;1,"DUPLICATE ROW; ","")&amp;IF(AND(IFERROR(IF(INDEX(offices!$AC$2:$AC$61,MATCH($B53,offices!$A$2:$A$61,0))="","",INDEX(offices!$AC$2:$AC$61,MATCH($B53,offices!$A$2:$A$61,0))),"")&lt;&gt;"",ISNUMBER(SEARCH($J53,IFERROR(IF(INDEX(offices!$AC$2:$AC$61,MATCH($B53,offices!$A$2:$A$61,0))="","",INDEX(offices!$AC$2:$AC$61,MATCH($B53,offices!$A$2:$A$61,0))),"")))),"BRAND VETOED; ","")&amp;IF(ISNUMBER(SEARCH(IFERROR(IF(INDEX(campaigns!$BF$2:$BF$51,MATCH($A53,campaigns!$A$2:$A$51,0))="","",INDEX(campaigns!$BF$2:$BF$51,MATCH($A53,campaigns!$A$2:$A$51,0))),""),IFERROR(IF(INDEX(offices!$AB$2:$AB$61,MATCH($B53,offices!$A$2:$A$61,0))="","",INDEX(offices!$AB$2:$AB$61,MATCH($B53,offices!$A$2:$A$61,0))),""))),"","info: category not on the office's list; ")&amp;IF(IFERROR(IF(INDEX(offices!$AC$2:$AC$61,MATCH($B53,offices!$A$2:$A$61,0))="","",INDEX(offices!$AC$2:$AC$61,MATCH($B53,offices!$A$2:$A$61,0))),"")&lt;&gt;"","info: read the vetoes against the label; ",""))</f>
        <v/>
      </c>
      <c r="S53" s="25">
        <f>IF($A53="","",IF($G53&lt;&gt;"",$G53,IFERROR(IF(INDEX(offices!$AL$2:$AL$61,MATCH($B53,offices!$A$2:$A$61,0))="","",INDEX(offices!$AL$2:$AL$61,MATCH($B53,offices!$A$2:$A$61,0))),"")))</f>
        <v/>
      </c>
      <c r="T53" s="25">
        <f>IF($A53="","",$A53&amp;"."&amp;$B53)</f>
        <v/>
      </c>
      <c r="U53" s="25">
        <f>IF($A53="","",SUMIFS(inventory!$G$2:$G$801,inventory!$C$2:$C$801,$A53,inventory!$D$2:$D$801,$B53,inventory!$E$2:$E$801,"delivered"))</f>
        <v/>
      </c>
      <c r="V53" s="32">
        <f>IF($A53="","",IFERROR(1/(1/SUMPRODUCT(MAX((inventory!$C$2:$C$801=$A53)*(inventory!$D$2:$D$801=$B53)*(inventory!$E$2:$E$801="delivered")*(inventory!$A$2:$A$801+inventory!$B$2:$B$801)))),""))</f>
        <v/>
      </c>
      <c r="W53" s="25">
        <f>IF($A53="","",IFERROR(IF(INDEX(inventory!$J$2:$J$801,MATCH($A53&amp;"|"&amp;$B53&amp;"|delivered",inventory!$R$2:$R$801,0))="","",INDEX(inventory!$J$2:$J$801,MATCH($A53&amp;"|"&amp;$B53&amp;"|delivered",inventory!$R$2:$R$801,0))),""))</f>
        <v/>
      </c>
      <c r="X53" s="25">
        <f>IF($A53="","",IFERROR(IF(INDEX(photos!$H$2:$H$701,MATCH($A53&amp;"|"&amp;$B53&amp;"|placement|Y",photos!$R$2:$R$701,0))="","",INDEX(photos!$H$2:$H$701,MATCH($A53&amp;"|"&amp;$B53&amp;"|placement|Y",photos!$R$2:$R$701,0))),""))</f>
        <v/>
      </c>
      <c r="Y53" s="26">
        <f>IF($A53="","",IFERROR(IF(INDEX(photos!$E$2:$E$701,MATCH($A53&amp;"|"&amp;$B53&amp;"|placement|Y",photos!$R$2:$R$701,0))="","",INDEX(photos!$E$2:$E$701,MATCH($A53&amp;"|"&amp;$B53&amp;"|placement|Y",photos!$R$2:$R$701,0))),""))</f>
        <v/>
      </c>
      <c r="Z53" s="25">
        <f>IF($A53="","",IF(COUNTIFS(counts!$C$2:$C$701,$A53,counts!$D$2:$D$701,$B53,counts!$E$2:$E$701,"placed")=0,"",SUMIFS(counts!$F$2:$F$701,counts!$C$2:$C$701,$A53,counts!$D$2:$D$701,$B53,counts!$E$2:$E$701,"placed")))</f>
        <v/>
      </c>
      <c r="AA53" s="25">
        <f>IF($A53="","",IF($Y53="",0,N($Z53)))</f>
        <v/>
      </c>
      <c r="AB53" s="25">
        <f>IF($A53="","",IF(OR($Y53="",$I53=""),"N",IF($Y53&lt;=WORKDAY(N($I53),1,calendar!$A$2:$A$80),"Y","N")))</f>
        <v/>
      </c>
      <c r="AC53" s="28">
        <f>IF(OR($A53="",$V53="",$Y53=""),"",ROUND(($Y53+N(IFERROR(IF(INDEX(photos!$F$2:$F$701,MATCH($A53&amp;"|"&amp;$B53&amp;"|placement|Y",photos!$R$2:$R$701,0))="","",INDEX(photos!$F$2:$F$701,MATCH($A53&amp;"|"&amp;$B53&amp;"|placement|Y",photos!$R$2:$R$701,0))),""))-$V53)*24,1))</f>
        <v/>
      </c>
      <c r="AD53" s="25">
        <f>IF($A53="","",SUMIFS(inventory!$G$2:$G$801,inventory!$C$2:$C$801,$A53,inventory!$D$2:$D$801,$B53,inventory!$E$2:$E$801,"topped_up"))</f>
        <v/>
      </c>
      <c r="AE53" s="25">
        <f>IF($A53="","",IF(COUNTIFS(counts!$C$2:$C$701,$A53,counts!$D$2:$D$701,$B53,counts!$E$2:$E$701,"remaining_day3")=0,"",SUMIFS(counts!$F$2:$F$701,counts!$C$2:$C$701,$A53,counts!$D$2:$D$701,$B53,counts!$E$2:$E$701,"remaining_day3")))</f>
        <v/>
      </c>
      <c r="AF53" s="25">
        <f>IF($A53="","",IF(COUNTIFS(counts!$C$2:$C$701,$A53,counts!$D$2:$D$701,$B53,counts!$E$2:$E$701,"remaining_day5")=0,"",SUMIFS(counts!$F$2:$F$701,counts!$C$2:$C$701,$A53,counts!$D$2:$D$701,$B53,counts!$E$2:$E$701,"remaining_day5")))</f>
        <v/>
      </c>
      <c r="AG53" s="25">
        <f>IF(OR($A53="",$AF53=""),"",MAX(0,$AA53+$AD53-$AF53))</f>
        <v/>
      </c>
      <c r="AH53" s="25">
        <f>IF(OR($A53="",$AI53=""),"",IFERROR(IF(INDEX(photos!$H$2:$H$701,MATCH($A53&amp;"|"&amp;$B53&amp;"|later|Y|"&amp;$AI53,photos!$S$2:$S$701,0))="","",INDEX(photos!$H$2:$H$701,MATCH($A53&amp;"|"&amp;$B53&amp;"|later|Y|"&amp;$AI53,photos!$S$2:$S$701,0))),""))</f>
        <v/>
      </c>
      <c r="AI53" s="26">
        <f>IF($A53="","",IFERROR(1/(1/SUMPRODUCT(MAX((photos!$B$2:$B$701=$A53)*(photos!$C$2:$C$701=$B53)*(photos!$D$2:$D$701="later")*(photos!$O$2:$O$701="Y")*photos!$E$2:$E$701))),""))</f>
        <v/>
      </c>
      <c r="AJ53" s="25">
        <f>IF(OR($A53="",$AI53="",$I53=""),"",NETWORKDAYS($I53,$AI53,calendar!$A$2:$A$80))</f>
        <v/>
      </c>
      <c r="AK53" s="25">
        <f>IF($A53="","",IF(AND($X53&lt;&gt;"",$AH53&lt;&gt;""),"Y","N"))</f>
        <v/>
      </c>
      <c r="AL53" s="25">
        <f>IF(OR($A53="",$I53=""),"",IF($BC53="Y",SUMIFS(survey_frozen!$C$2:$C$251,survey_frozen!$P$2:$P$251,$A53&amp;"|"&amp;$B53),IFERROR(COUNTIFS(INDIRECT("'"&amp;$A53&amp;"'!$B$2:$B$501"),$T53,INDIRECT("'"&amp;$A53&amp;"'!$A$2:$A$501"),"&gt;="&amp;$I53,INDIRECT("'"&amp;$A53&amp;"'!$A$2:$A$501"),"&lt;"&amp;($BA53+1)),0)))</f>
        <v/>
      </c>
      <c r="AM53" s="25">
        <f>IF(OR($A53="",$I53=""),"",IF($BC53="Y",SUMIFS(survey_frozen!$D$2:$D$251,survey_frozen!$P$2:$P$251,$A53&amp;"|"&amp;$B53),IFERROR(COUNTIFS(INDIRECT("'"&amp;$A53&amp;"'!$B$2:$B$501"),$T53,INDIRECT("'"&amp;$A53&amp;"'!$A$2:$A$501"),"&gt;="&amp;$I53,INDIRECT("'"&amp;$A53&amp;"'!$A$2:$A$501"),"&lt;"&amp;($BA53+1),INDIRECT("'"&amp;$A53&amp;"'!$C$2:$C$501"),"Yes"),0)))</f>
        <v/>
      </c>
      <c r="AN53" s="25">
        <f>IF($A53="","",IF(COUNTIFS(scans!$C$2:$C$1601,(IF(LEFT($A53,7)="SAMPLE-","SAMPLE-","")&amp;LOWER(SUBSTITUTE(SUBSTITUTE($A53,"SAMPLE-",""),"CMP-","c"))&amp;"-"&amp;LOWER(SUBSTITUTE(SUBSTITUTE($B53,"SAMPLE-",""),"O-","o"))&amp;"-q"),scans!$D$2:$D$1601,"close")=0,"",SUMPRODUCT(MAX((scans!$C$2:$C$1601=(IF(LEFT($A53,7)="SAMPLE-","SAMPLE-","")&amp;LOWER(SUBSTITUTE(SUBSTITUTE($A53,"SAMPLE-",""),"CMP-","c"))&amp;"-"&amp;LOWER(SUBSTITUTE(SUBSTITUTE($B53,"SAMPLE-",""),"O-","o"))&amp;"-q"))*(scans!$D$2:$D$1601="close")*scans!$E$2:$E$1601))-SUMPRODUCT(MAX((scans!$C$2:$C$1601=(IF(LEFT($A53,7)="SAMPLE-","SAMPLE-","")&amp;LOWER(SUBSTITUTE(SUBSTITUTE($A53,"SAMPLE-",""),"CMP-","c"))&amp;"-"&amp;LOWER(SUBSTITUTE(SUBSTITUTE($B53,"SAMPLE-",""),"O-","o"))&amp;"-q"))*(scans!$D$2:$D$1601="baseline")*scans!$E$2:$E$1601))))</f>
        <v/>
      </c>
      <c r="AO53" s="25">
        <f>IF($A53="","",IF(COUNTIFS(scans!$C$2:$C$1601,(IF(LEFT($A53,7)="SAMPLE-","SAMPLE-","")&amp;LOWER(SUBSTITUTE(SUBSTITUTE($A53,"SAMPLE-",""),"CMP-","c"))&amp;"-"&amp;LOWER(SUBSTITUTE(SUBSTITUTE($B53,"SAMPLE-",""),"O-","o"))&amp;"-p"),scans!$D$2:$D$1601,"close")=0,"",SUMPRODUCT(MAX((scans!$C$2:$C$1601=(IF(LEFT($A53,7)="SAMPLE-","SAMPLE-","")&amp;LOWER(SUBSTITUTE(SUBSTITUTE($A53,"SAMPLE-",""),"CMP-","c"))&amp;"-"&amp;LOWER(SUBSTITUTE(SUBSTITUTE($B53,"SAMPLE-",""),"O-","o"))&amp;"-p"))*(scans!$D$2:$D$1601="close")*scans!$E$2:$E$1601))-SUMPRODUCT(MAX((scans!$C$2:$C$1601=(IF(LEFT($A53,7)="SAMPLE-","SAMPLE-","")&amp;LOWER(SUBSTITUTE(SUBSTITUTE($A53,"SAMPLE-",""),"CMP-","c"))&amp;"-"&amp;LOWER(SUBSTITUTE(SUBSTITUTE($B53,"SAMPLE-",""),"O-","o"))&amp;"-p"))*(scans!$D$2:$D$1601="baseline")*scans!$E$2:$E$1601))))</f>
        <v/>
      </c>
      <c r="AP53" s="25">
        <f>IF($A53="","",IF(COUNTIF(offices!$A$2:$A$61,$B53)=0,"office_id not on offices; ","")&amp;IF(COUNTIF(campaigns!$A$2:$A$51,$A53)=0,"campaign_id not on campaigns; ","")&amp;IF($P53="pending","approval pending; ","")&amp;IF(AND($U53&gt;0,$Y53="",OR($I53="",IF(config!$B$37&lt;&gt;"",config!$B$37,TODAY())&lt;=WORKDAY(N($I53),4,calendar!$A$2:$A$80))),"no usable placement photo yet; ","")&amp;IF(AND($Y53&lt;&gt;"",$Z53=""),"log the placed count; ","")&amp;IF(N($AA53)&gt;N($U53),"placed more than delivered; ","")&amp;IF(AND($AF53&lt;&gt;"",N($AF53)&gt;N($AA53)+N($AD53)),"day-5 count above placed plus top-ups; ","")&amp;IF(AND($U53&gt;0,$I53&lt;&gt;"",IF(config!$B$37&lt;&gt;"",config!$B$37,TODAY())&gt;WORKDAY(N($I53),4,calendar!$A$2:$A$80),$AF53=""),"day-5 count missing; ","")&amp;IF(AND($U53&gt;0,$I53&lt;&gt;"",IF(config!$B$37&lt;&gt;"",config!$B$37,TODAY())&gt;WORKDAY(N($I53),4,calendar!$A$2:$A$80),$AN53=""),"no close link reading; ","")&amp;$R53&amp;IF($P53="N","info: office said no; ","")&amp;IF(AND($P53="Y",$Q53="N"),"info: turned away at the door, so not on the drop (no letter, not in the report or Gate 2; the credit check is on campaigns); ","")&amp;IF(AND($U53&gt;0,$Y53="",$I53&lt;&gt;"",IF(config!$B$37&lt;&gt;"",config!$B$37,TODAY())&gt;WORKDAY(N($I53),4,calendar!$A$2:$A$80)),"info: no usable placement photo, so nothing counts as placed; ","")&amp;IF(AND($U53&gt;0,$I53&lt;&gt;"",IF(config!$B$37&lt;&gt;"",config!$B$37,TODAY())&gt;WORKDAY(N($I53),4,calendar!$A$2:$A$80),N($AL53)&lt;config!$B$30),"info: under "&amp;config!$B$30&amp;" responses; ","")&amp;IF($W53="packing_list","info: delivered count not verified; ",""))</f>
        <v/>
      </c>
      <c r="AQ53" s="25">
        <f>IF(OR($A53="",$I53=""),"",IF($BC53="Y",SUMIFS(survey_frozen!$E$2:$E$251,survey_frozen!$P$2:$P$251,$A53&amp;"|"&amp;$B53),IFERROR(COUNTIFS(INDIRECT("'"&amp;$A53&amp;"'!$B$2:$B$501"),$T53,INDIRECT("'"&amp;$A53&amp;"'!$A$2:$A$501"),"&gt;="&amp;$I53,INDIRECT("'"&amp;$A53&amp;"'!$A$2:$A$501"),"&lt;"&amp;($BA53+1),INDIRECT("'"&amp;$A53&amp;"'!$F$2:$F$501"),"Didn't see it"),0)))</f>
        <v/>
      </c>
      <c r="AR53" s="25">
        <f>IF(OR($A53="",$I53=""),"",IF($BC53="Y",SUMIFS(survey_frozen!$F$2:$F$251,survey_frozen!$P$2:$P$251,$A53&amp;"|"&amp;$B53),IFERROR(COUNTIFS(INDIRECT("'"&amp;$A53&amp;"'!$B$2:$B$501"),$T53,INDIRECT("'"&amp;$A53&amp;"'!$A$2:$A$501"),"&gt;="&amp;$I53,INDIRECT("'"&amp;$A53&amp;"'!$A$2:$A$501"),"&lt;"&amp;($BA53+1),INDIRECT("'"&amp;$A53&amp;"'!$F$2:$F$501"),"Not for me"),0)))</f>
        <v/>
      </c>
      <c r="AS53" s="25">
        <f>IF(OR($A53="",$I53=""),"",IF($BC53="Y",SUMIFS(survey_frozen!$G$2:$G$251,survey_frozen!$P$2:$P$251,$A53&amp;"|"&amp;$B53),IFERROR(COUNTIFS(INDIRECT("'"&amp;$A53&amp;"'!$B$2:$B$501"),$T53,INDIRECT("'"&amp;$A53&amp;"'!$A$2:$A$501"),"&gt;="&amp;$I53,INDIRECT("'"&amp;$A53&amp;"'!$A$2:$A$501"),"&lt;"&amp;($BA53+1),INDIRECT("'"&amp;$A53&amp;"'!$F$2:$F$501"),"Gone by the time I looked"),0)))</f>
        <v/>
      </c>
      <c r="AT53" s="25">
        <f>IF(OR($A53="",$I53=""),"",IF($BC53="Y",SUMIFS(survey_frozen!$H$2:$H$251,survey_frozen!$P$2:$P$251,$A53&amp;"|"&amp;$B53),IFERROR(COUNTIFS(INDIRECT("'"&amp;$A53&amp;"'!$B$2:$B$501"),$T53,INDIRECT("'"&amp;$A53&amp;"'!$A$2:$A$501"),"&gt;="&amp;$I53,INDIRECT("'"&amp;$A53&amp;"'!$A$2:$A$501"),"&lt;"&amp;($BA53+1),INDIRECT("'"&amp;$A53&amp;"'!$D$2:$D$501"),"&gt;=1"),0)))</f>
        <v/>
      </c>
      <c r="AU53" s="25">
        <f>IF(OR($A53="",$I53=""),"",IF($BC53="Y",SUMIFS(survey_frozen!$I$2:$I$251,survey_frozen!$P$2:$P$251,$A53&amp;"|"&amp;$B53),IFERROR(SUMIFS(INDIRECT("'"&amp;$A53&amp;"'!$D$2:$D$501"),INDIRECT("'"&amp;$A53&amp;"'!$B$2:$B$501"),$T53,INDIRECT("'"&amp;$A53&amp;"'!$A$2:$A$501"),"&gt;="&amp;$I53,INDIRECT("'"&amp;$A53&amp;"'!$A$2:$A$501"),"&lt;"&amp;($BA53+1)),0)))</f>
        <v/>
      </c>
      <c r="AV53" s="25">
        <f>IF(OR($A53="",$I53=""),"",IF($BC53="Y",SUMIFS(survey_frozen!$J$2:$J$251,survey_frozen!$P$2:$P$251,$A53&amp;"|"&amp;$B53),IFERROR(COUNTIFS(INDIRECT("'"&amp;$A53&amp;"'!$B$2:$B$501"),$T53,INDIRECT("'"&amp;$A53&amp;"'!$A$2:$A$501"),"&gt;="&amp;$I53,INDIRECT("'"&amp;$A53&amp;"'!$A$2:$A$501"),"&lt;"&amp;($BA53+1),INDIRECT("'"&amp;$A53&amp;"'!$E$2:$E$501"),"Yes"),0)))</f>
        <v/>
      </c>
      <c r="AW53" s="25">
        <f>IF(OR($A53="",$I53=""),"",IF($BC53="Y",SUMIFS(survey_frozen!$K$2:$K$251,survey_frozen!$P$2:$P$251,$A53&amp;"|"&amp;$B53),IFERROR(COUNTIFS(INDIRECT("'"&amp;$A53&amp;"'!$B$2:$B$501"),$T53,INDIRECT("'"&amp;$A53&amp;"'!$A$2:$A$501"),"&gt;="&amp;$I53,INDIRECT("'"&amp;$A53&amp;"'!$A$2:$A$501"),"&lt;"&amp;($BA53+1),INDIRECT("'"&amp;$A53&amp;"'!$E$2:$E$501"),"Maybe"),0)))</f>
        <v/>
      </c>
      <c r="AX53" s="25">
        <f>IF(OR($A53="",$I53=""),"",IF($BC53="Y",SUMIFS(survey_frozen!$L$2:$L$251,survey_frozen!$P$2:$P$251,$A53&amp;"|"&amp;$B53),IFERROR(COUNTIFS(INDIRECT("'"&amp;$A53&amp;"'!$B$2:$B$501"),$T53,INDIRECT("'"&amp;$A53&amp;"'!$A$2:$A$501"),"&gt;="&amp;$I53,INDIRECT("'"&amp;$A53&amp;"'!$A$2:$A$501"),"&lt;"&amp;($BA53+1),INDIRECT("'"&amp;$A53&amp;"'!$E$2:$E$501"),"No"),0)))</f>
        <v/>
      </c>
      <c r="AY53" s="25">
        <f>IF(OR($A53="",$I53=""),"",IF($BC53="Y",SUMIFS(survey_frozen!$M$2:$M$251,survey_frozen!$P$2:$P$251,$A53&amp;"|"&amp;$B53),IFERROR(COUNTIFS(INDIRECT("'"&amp;$A53&amp;"'!$B$2:$B$501"),$T53,INDIRECT("'"&amp;$A53&amp;"'!$A$2:$A$501"),"&gt;="&amp;$I53,INDIRECT("'"&amp;$A53&amp;"'!$A$2:$A$501"),"&lt;"&amp;($BA53+1),INDIRECT("'"&amp;$A53&amp;"'!$G$2:$G$501"),"&lt;&gt;"),0)))</f>
        <v/>
      </c>
      <c r="AZ53" s="25">
        <f>IF($A53="","",$A53&amp;"|"&amp;$L53)</f>
        <v/>
      </c>
      <c r="BA53" s="26">
        <f>IF($A53="","",IFERROR(IF(INDEX(drops!$R$2:$R$21,MATCH($H53,drops!$A$2:$A$21,0))="","",INDEX(drops!$R$2:$R$21,MATCH($H53,drops!$A$2:$A$21,0))),""))</f>
        <v/>
      </c>
      <c r="BB53" s="25">
        <f>IF(OR($A53="",$Q53&lt;&gt;"Y"),1000000,N($AL53))</f>
        <v/>
      </c>
      <c r="BC53" s="25">
        <f>IF($A53="","",IF(COUNTIF(survey_frozen!$P$2:$P$251,$A53&amp;"|"&amp;$B53)&gt;0,"Y",""))</f>
        <v/>
      </c>
    </row>
    <row r="54">
      <c r="C54" s="9" t="n"/>
      <c r="E54" s="9" t="n"/>
      <c r="H54" s="25">
        <f>IF($A54="","",IFERROR(IF(INDEX(campaigns!$B$2:$B$51,MATCH($A54,campaigns!$A$2:$A$51,0))="","",INDEX(campaigns!$B$2:$B$51,MATCH($A54,campaigns!$A$2:$A$51,0))),""))</f>
        <v/>
      </c>
      <c r="I54" s="26">
        <f>IF($A54="","",IFERROR(IF(INDEX(campaigns!$BG$2:$BG$51,MATCH($A54,campaigns!$A$2:$A$51,0))="","",INDEX(campaigns!$BG$2:$BG$51,MATCH($A54,campaigns!$A$2:$A$51,0))),""))</f>
        <v/>
      </c>
      <c r="J54" s="25">
        <f>IF($A54="","",IFERROR(IF(INDEX(campaigns!$BE$2:$BE$51,MATCH($A54,campaigns!$A$2:$A$51,0))="","",INDEX(campaigns!$BE$2:$BE$51,MATCH($A54,campaigns!$A$2:$A$51,0))),""))</f>
        <v/>
      </c>
      <c r="K54" s="25">
        <f>IF($B54="","",IFERROR(IF(INDEX(offices!$N$2:$N$61,MATCH($B54,offices!$A$2:$A$61,0))="","",INDEX(offices!$N$2:$N$61,MATCH($B54,offices!$A$2:$A$61,0))),""))</f>
        <v/>
      </c>
      <c r="L54" s="25">
        <f>IF($A54="","",IF($Q54="N","",COUNTIFS($A$2:$A54,$A54,$Q$2:$Q54,"&lt;&gt;N")))</f>
        <v/>
      </c>
      <c r="M54" s="25">
        <f>IF(OR($A54="",$L54=""),"",IF(AND(config!$B$34="names_if_public",IFERROR(IF(INDEX(offices!$AF$2:$AF$61,MATCH($B54,offices!$A$2:$A$61,0))="","",INDEX(offices!$AF$2:$AF$61,MATCH($B54,offices!$A$2:$A$61,0))),"")="Y"),$K54,CHAR(64+$L54)))</f>
        <v/>
      </c>
      <c r="N54" s="25">
        <f>IF(OR($A54="",$I54=""),"",COUNTIFS(stops!$B$2:$B$151,$B54,stops!$P$2:$P$151,"&lt;"&amp;$I54,stops!$L$2:$L$151,"&lt;&gt;not_delivered")+1)</f>
        <v/>
      </c>
      <c r="O54" s="25">
        <f>IF($A54="","",IF(N($N54)&lt;=config!$B$29,"explicit","opt-out"))</f>
        <v/>
      </c>
      <c r="P54" s="25">
        <f>IF($A54="","",IF($O54="explicit",IF($D54="yes","Y",IF($D54="no","N","pending")),IF($D54="no","N",IF(AND($C54&lt;&gt;"",$I54&lt;&gt;"",$C54&lt;=WORKDAY(N($I54),-5,calendar!$A$2:$A$80)),"Y","pending"))))</f>
        <v/>
      </c>
      <c r="Q54" s="25">
        <f>IF($A54="","",IF($P54="N","N",IF($P54&lt;&gt;"Y","pending",IF(AND((COUNTIFS(stops!$A$2:$A$151,$H54,stops!$B$2:$B$151,$B54,stops!$L$2:$L$151,"declined")+COUNTIFS(stops!$A$2:$A$151,$H54,stops!$B$2:$B$151,$B54,stops!$L$2:$L$151,"building_refused")+COUNTIFS(stops!$A$2:$A$151,$H54,stops!$B$2:$B$151,$B54,stops!$L$2:$L$151,"not_delivered"))&gt;0,N($U54)=0),"N","Y"))))</f>
        <v/>
      </c>
      <c r="R54" s="25">
        <f>IF($A54="","",IF(COUNTIFS($A$2:$A$251,$A54,$B$2:$B$251,$B54)&gt;1,"DUPLICATE ROW; ","")&amp;IF(AND(IFERROR(IF(INDEX(offices!$AC$2:$AC$61,MATCH($B54,offices!$A$2:$A$61,0))="","",INDEX(offices!$AC$2:$AC$61,MATCH($B54,offices!$A$2:$A$61,0))),"")&lt;&gt;"",ISNUMBER(SEARCH($J54,IFERROR(IF(INDEX(offices!$AC$2:$AC$61,MATCH($B54,offices!$A$2:$A$61,0))="","",INDEX(offices!$AC$2:$AC$61,MATCH($B54,offices!$A$2:$A$61,0))),"")))),"BRAND VETOED; ","")&amp;IF(ISNUMBER(SEARCH(IFERROR(IF(INDEX(campaigns!$BF$2:$BF$51,MATCH($A54,campaigns!$A$2:$A$51,0))="","",INDEX(campaigns!$BF$2:$BF$51,MATCH($A54,campaigns!$A$2:$A$51,0))),""),IFERROR(IF(INDEX(offices!$AB$2:$AB$61,MATCH($B54,offices!$A$2:$A$61,0))="","",INDEX(offices!$AB$2:$AB$61,MATCH($B54,offices!$A$2:$A$61,0))),""))),"","info: category not on the office's list; ")&amp;IF(IFERROR(IF(INDEX(offices!$AC$2:$AC$61,MATCH($B54,offices!$A$2:$A$61,0))="","",INDEX(offices!$AC$2:$AC$61,MATCH($B54,offices!$A$2:$A$61,0))),"")&lt;&gt;"","info: read the vetoes against the label; ",""))</f>
        <v/>
      </c>
      <c r="S54" s="25">
        <f>IF($A54="","",IF($G54&lt;&gt;"",$G54,IFERROR(IF(INDEX(offices!$AL$2:$AL$61,MATCH($B54,offices!$A$2:$A$61,0))="","",INDEX(offices!$AL$2:$AL$61,MATCH($B54,offices!$A$2:$A$61,0))),"")))</f>
        <v/>
      </c>
      <c r="T54" s="25">
        <f>IF($A54="","",$A54&amp;"."&amp;$B54)</f>
        <v/>
      </c>
      <c r="U54" s="25">
        <f>IF($A54="","",SUMIFS(inventory!$G$2:$G$801,inventory!$C$2:$C$801,$A54,inventory!$D$2:$D$801,$B54,inventory!$E$2:$E$801,"delivered"))</f>
        <v/>
      </c>
      <c r="V54" s="32">
        <f>IF($A54="","",IFERROR(1/(1/SUMPRODUCT(MAX((inventory!$C$2:$C$801=$A54)*(inventory!$D$2:$D$801=$B54)*(inventory!$E$2:$E$801="delivered")*(inventory!$A$2:$A$801+inventory!$B$2:$B$801)))),""))</f>
        <v/>
      </c>
      <c r="W54" s="25">
        <f>IF($A54="","",IFERROR(IF(INDEX(inventory!$J$2:$J$801,MATCH($A54&amp;"|"&amp;$B54&amp;"|delivered",inventory!$R$2:$R$801,0))="","",INDEX(inventory!$J$2:$J$801,MATCH($A54&amp;"|"&amp;$B54&amp;"|delivered",inventory!$R$2:$R$801,0))),""))</f>
        <v/>
      </c>
      <c r="X54" s="25">
        <f>IF($A54="","",IFERROR(IF(INDEX(photos!$H$2:$H$701,MATCH($A54&amp;"|"&amp;$B54&amp;"|placement|Y",photos!$R$2:$R$701,0))="","",INDEX(photos!$H$2:$H$701,MATCH($A54&amp;"|"&amp;$B54&amp;"|placement|Y",photos!$R$2:$R$701,0))),""))</f>
        <v/>
      </c>
      <c r="Y54" s="26">
        <f>IF($A54="","",IFERROR(IF(INDEX(photos!$E$2:$E$701,MATCH($A54&amp;"|"&amp;$B54&amp;"|placement|Y",photos!$R$2:$R$701,0))="","",INDEX(photos!$E$2:$E$701,MATCH($A54&amp;"|"&amp;$B54&amp;"|placement|Y",photos!$R$2:$R$701,0))),""))</f>
        <v/>
      </c>
      <c r="Z54" s="25">
        <f>IF($A54="","",IF(COUNTIFS(counts!$C$2:$C$701,$A54,counts!$D$2:$D$701,$B54,counts!$E$2:$E$701,"placed")=0,"",SUMIFS(counts!$F$2:$F$701,counts!$C$2:$C$701,$A54,counts!$D$2:$D$701,$B54,counts!$E$2:$E$701,"placed")))</f>
        <v/>
      </c>
      <c r="AA54" s="25">
        <f>IF($A54="","",IF($Y54="",0,N($Z54)))</f>
        <v/>
      </c>
      <c r="AB54" s="25">
        <f>IF($A54="","",IF(OR($Y54="",$I54=""),"N",IF($Y54&lt;=WORKDAY(N($I54),1,calendar!$A$2:$A$80),"Y","N")))</f>
        <v/>
      </c>
      <c r="AC54" s="28">
        <f>IF(OR($A54="",$V54="",$Y54=""),"",ROUND(($Y54+N(IFERROR(IF(INDEX(photos!$F$2:$F$701,MATCH($A54&amp;"|"&amp;$B54&amp;"|placement|Y",photos!$R$2:$R$701,0))="","",INDEX(photos!$F$2:$F$701,MATCH($A54&amp;"|"&amp;$B54&amp;"|placement|Y",photos!$R$2:$R$701,0))),""))-$V54)*24,1))</f>
        <v/>
      </c>
      <c r="AD54" s="25">
        <f>IF($A54="","",SUMIFS(inventory!$G$2:$G$801,inventory!$C$2:$C$801,$A54,inventory!$D$2:$D$801,$B54,inventory!$E$2:$E$801,"topped_up"))</f>
        <v/>
      </c>
      <c r="AE54" s="25">
        <f>IF($A54="","",IF(COUNTIFS(counts!$C$2:$C$701,$A54,counts!$D$2:$D$701,$B54,counts!$E$2:$E$701,"remaining_day3")=0,"",SUMIFS(counts!$F$2:$F$701,counts!$C$2:$C$701,$A54,counts!$D$2:$D$701,$B54,counts!$E$2:$E$701,"remaining_day3")))</f>
        <v/>
      </c>
      <c r="AF54" s="25">
        <f>IF($A54="","",IF(COUNTIFS(counts!$C$2:$C$701,$A54,counts!$D$2:$D$701,$B54,counts!$E$2:$E$701,"remaining_day5")=0,"",SUMIFS(counts!$F$2:$F$701,counts!$C$2:$C$701,$A54,counts!$D$2:$D$701,$B54,counts!$E$2:$E$701,"remaining_day5")))</f>
        <v/>
      </c>
      <c r="AG54" s="25">
        <f>IF(OR($A54="",$AF54=""),"",MAX(0,$AA54+$AD54-$AF54))</f>
        <v/>
      </c>
      <c r="AH54" s="25">
        <f>IF(OR($A54="",$AI54=""),"",IFERROR(IF(INDEX(photos!$H$2:$H$701,MATCH($A54&amp;"|"&amp;$B54&amp;"|later|Y|"&amp;$AI54,photos!$S$2:$S$701,0))="","",INDEX(photos!$H$2:$H$701,MATCH($A54&amp;"|"&amp;$B54&amp;"|later|Y|"&amp;$AI54,photos!$S$2:$S$701,0))),""))</f>
        <v/>
      </c>
      <c r="AI54" s="26">
        <f>IF($A54="","",IFERROR(1/(1/SUMPRODUCT(MAX((photos!$B$2:$B$701=$A54)*(photos!$C$2:$C$701=$B54)*(photos!$D$2:$D$701="later")*(photos!$O$2:$O$701="Y")*photos!$E$2:$E$701))),""))</f>
        <v/>
      </c>
      <c r="AJ54" s="25">
        <f>IF(OR($A54="",$AI54="",$I54=""),"",NETWORKDAYS($I54,$AI54,calendar!$A$2:$A$80))</f>
        <v/>
      </c>
      <c r="AK54" s="25">
        <f>IF($A54="","",IF(AND($X54&lt;&gt;"",$AH54&lt;&gt;""),"Y","N"))</f>
        <v/>
      </c>
      <c r="AL54" s="25">
        <f>IF(OR($A54="",$I54=""),"",IF($BC54="Y",SUMIFS(survey_frozen!$C$2:$C$251,survey_frozen!$P$2:$P$251,$A54&amp;"|"&amp;$B54),IFERROR(COUNTIFS(INDIRECT("'"&amp;$A54&amp;"'!$B$2:$B$501"),$T54,INDIRECT("'"&amp;$A54&amp;"'!$A$2:$A$501"),"&gt;="&amp;$I54,INDIRECT("'"&amp;$A54&amp;"'!$A$2:$A$501"),"&lt;"&amp;($BA54+1)),0)))</f>
        <v/>
      </c>
      <c r="AM54" s="25">
        <f>IF(OR($A54="",$I54=""),"",IF($BC54="Y",SUMIFS(survey_frozen!$D$2:$D$251,survey_frozen!$P$2:$P$251,$A54&amp;"|"&amp;$B54),IFERROR(COUNTIFS(INDIRECT("'"&amp;$A54&amp;"'!$B$2:$B$501"),$T54,INDIRECT("'"&amp;$A54&amp;"'!$A$2:$A$501"),"&gt;="&amp;$I54,INDIRECT("'"&amp;$A54&amp;"'!$A$2:$A$501"),"&lt;"&amp;($BA54+1),INDIRECT("'"&amp;$A54&amp;"'!$C$2:$C$501"),"Yes"),0)))</f>
        <v/>
      </c>
      <c r="AN54" s="25">
        <f>IF($A54="","",IF(COUNTIFS(scans!$C$2:$C$1601,(IF(LEFT($A54,7)="SAMPLE-","SAMPLE-","")&amp;LOWER(SUBSTITUTE(SUBSTITUTE($A54,"SAMPLE-",""),"CMP-","c"))&amp;"-"&amp;LOWER(SUBSTITUTE(SUBSTITUTE($B54,"SAMPLE-",""),"O-","o"))&amp;"-q"),scans!$D$2:$D$1601,"close")=0,"",SUMPRODUCT(MAX((scans!$C$2:$C$1601=(IF(LEFT($A54,7)="SAMPLE-","SAMPLE-","")&amp;LOWER(SUBSTITUTE(SUBSTITUTE($A54,"SAMPLE-",""),"CMP-","c"))&amp;"-"&amp;LOWER(SUBSTITUTE(SUBSTITUTE($B54,"SAMPLE-",""),"O-","o"))&amp;"-q"))*(scans!$D$2:$D$1601="close")*scans!$E$2:$E$1601))-SUMPRODUCT(MAX((scans!$C$2:$C$1601=(IF(LEFT($A54,7)="SAMPLE-","SAMPLE-","")&amp;LOWER(SUBSTITUTE(SUBSTITUTE($A54,"SAMPLE-",""),"CMP-","c"))&amp;"-"&amp;LOWER(SUBSTITUTE(SUBSTITUTE($B54,"SAMPLE-",""),"O-","o"))&amp;"-q"))*(scans!$D$2:$D$1601="baseline")*scans!$E$2:$E$1601))))</f>
        <v/>
      </c>
      <c r="AO54" s="25">
        <f>IF($A54="","",IF(COUNTIFS(scans!$C$2:$C$1601,(IF(LEFT($A54,7)="SAMPLE-","SAMPLE-","")&amp;LOWER(SUBSTITUTE(SUBSTITUTE($A54,"SAMPLE-",""),"CMP-","c"))&amp;"-"&amp;LOWER(SUBSTITUTE(SUBSTITUTE($B54,"SAMPLE-",""),"O-","o"))&amp;"-p"),scans!$D$2:$D$1601,"close")=0,"",SUMPRODUCT(MAX((scans!$C$2:$C$1601=(IF(LEFT($A54,7)="SAMPLE-","SAMPLE-","")&amp;LOWER(SUBSTITUTE(SUBSTITUTE($A54,"SAMPLE-",""),"CMP-","c"))&amp;"-"&amp;LOWER(SUBSTITUTE(SUBSTITUTE($B54,"SAMPLE-",""),"O-","o"))&amp;"-p"))*(scans!$D$2:$D$1601="close")*scans!$E$2:$E$1601))-SUMPRODUCT(MAX((scans!$C$2:$C$1601=(IF(LEFT($A54,7)="SAMPLE-","SAMPLE-","")&amp;LOWER(SUBSTITUTE(SUBSTITUTE($A54,"SAMPLE-",""),"CMP-","c"))&amp;"-"&amp;LOWER(SUBSTITUTE(SUBSTITUTE($B54,"SAMPLE-",""),"O-","o"))&amp;"-p"))*(scans!$D$2:$D$1601="baseline")*scans!$E$2:$E$1601))))</f>
        <v/>
      </c>
      <c r="AP54" s="25">
        <f>IF($A54="","",IF(COUNTIF(offices!$A$2:$A$61,$B54)=0,"office_id not on offices; ","")&amp;IF(COUNTIF(campaigns!$A$2:$A$51,$A54)=0,"campaign_id not on campaigns; ","")&amp;IF($P54="pending","approval pending; ","")&amp;IF(AND($U54&gt;0,$Y54="",OR($I54="",IF(config!$B$37&lt;&gt;"",config!$B$37,TODAY())&lt;=WORKDAY(N($I54),4,calendar!$A$2:$A$80))),"no usable placement photo yet; ","")&amp;IF(AND($Y54&lt;&gt;"",$Z54=""),"log the placed count; ","")&amp;IF(N($AA54)&gt;N($U54),"placed more than delivered; ","")&amp;IF(AND($AF54&lt;&gt;"",N($AF54)&gt;N($AA54)+N($AD54)),"day-5 count above placed plus top-ups; ","")&amp;IF(AND($U54&gt;0,$I54&lt;&gt;"",IF(config!$B$37&lt;&gt;"",config!$B$37,TODAY())&gt;WORKDAY(N($I54),4,calendar!$A$2:$A$80),$AF54=""),"day-5 count missing; ","")&amp;IF(AND($U54&gt;0,$I54&lt;&gt;"",IF(config!$B$37&lt;&gt;"",config!$B$37,TODAY())&gt;WORKDAY(N($I54),4,calendar!$A$2:$A$80),$AN54=""),"no close link reading; ","")&amp;$R54&amp;IF($P54="N","info: office said no; ","")&amp;IF(AND($P54="Y",$Q54="N"),"info: turned away at the door, so not on the drop (no letter, not in the report or Gate 2; the credit check is on campaigns); ","")&amp;IF(AND($U54&gt;0,$Y54="",$I54&lt;&gt;"",IF(config!$B$37&lt;&gt;"",config!$B$37,TODAY())&gt;WORKDAY(N($I54),4,calendar!$A$2:$A$80)),"info: no usable placement photo, so nothing counts as placed; ","")&amp;IF(AND($U54&gt;0,$I54&lt;&gt;"",IF(config!$B$37&lt;&gt;"",config!$B$37,TODAY())&gt;WORKDAY(N($I54),4,calendar!$A$2:$A$80),N($AL54)&lt;config!$B$30),"info: under "&amp;config!$B$30&amp;" responses; ","")&amp;IF($W54="packing_list","info: delivered count not verified; ",""))</f>
        <v/>
      </c>
      <c r="AQ54" s="25">
        <f>IF(OR($A54="",$I54=""),"",IF($BC54="Y",SUMIFS(survey_frozen!$E$2:$E$251,survey_frozen!$P$2:$P$251,$A54&amp;"|"&amp;$B54),IFERROR(COUNTIFS(INDIRECT("'"&amp;$A54&amp;"'!$B$2:$B$501"),$T54,INDIRECT("'"&amp;$A54&amp;"'!$A$2:$A$501"),"&gt;="&amp;$I54,INDIRECT("'"&amp;$A54&amp;"'!$A$2:$A$501"),"&lt;"&amp;($BA54+1),INDIRECT("'"&amp;$A54&amp;"'!$F$2:$F$501"),"Didn't see it"),0)))</f>
        <v/>
      </c>
      <c r="AR54" s="25">
        <f>IF(OR($A54="",$I54=""),"",IF($BC54="Y",SUMIFS(survey_frozen!$F$2:$F$251,survey_frozen!$P$2:$P$251,$A54&amp;"|"&amp;$B54),IFERROR(COUNTIFS(INDIRECT("'"&amp;$A54&amp;"'!$B$2:$B$501"),$T54,INDIRECT("'"&amp;$A54&amp;"'!$A$2:$A$501"),"&gt;="&amp;$I54,INDIRECT("'"&amp;$A54&amp;"'!$A$2:$A$501"),"&lt;"&amp;($BA54+1),INDIRECT("'"&amp;$A54&amp;"'!$F$2:$F$501"),"Not for me"),0)))</f>
        <v/>
      </c>
      <c r="AS54" s="25">
        <f>IF(OR($A54="",$I54=""),"",IF($BC54="Y",SUMIFS(survey_frozen!$G$2:$G$251,survey_frozen!$P$2:$P$251,$A54&amp;"|"&amp;$B54),IFERROR(COUNTIFS(INDIRECT("'"&amp;$A54&amp;"'!$B$2:$B$501"),$T54,INDIRECT("'"&amp;$A54&amp;"'!$A$2:$A$501"),"&gt;="&amp;$I54,INDIRECT("'"&amp;$A54&amp;"'!$A$2:$A$501"),"&lt;"&amp;($BA54+1),INDIRECT("'"&amp;$A54&amp;"'!$F$2:$F$501"),"Gone by the time I looked"),0)))</f>
        <v/>
      </c>
      <c r="AT54" s="25">
        <f>IF(OR($A54="",$I54=""),"",IF($BC54="Y",SUMIFS(survey_frozen!$H$2:$H$251,survey_frozen!$P$2:$P$251,$A54&amp;"|"&amp;$B54),IFERROR(COUNTIFS(INDIRECT("'"&amp;$A54&amp;"'!$B$2:$B$501"),$T54,INDIRECT("'"&amp;$A54&amp;"'!$A$2:$A$501"),"&gt;="&amp;$I54,INDIRECT("'"&amp;$A54&amp;"'!$A$2:$A$501"),"&lt;"&amp;($BA54+1),INDIRECT("'"&amp;$A54&amp;"'!$D$2:$D$501"),"&gt;=1"),0)))</f>
        <v/>
      </c>
      <c r="AU54" s="25">
        <f>IF(OR($A54="",$I54=""),"",IF($BC54="Y",SUMIFS(survey_frozen!$I$2:$I$251,survey_frozen!$P$2:$P$251,$A54&amp;"|"&amp;$B54),IFERROR(SUMIFS(INDIRECT("'"&amp;$A54&amp;"'!$D$2:$D$501"),INDIRECT("'"&amp;$A54&amp;"'!$B$2:$B$501"),$T54,INDIRECT("'"&amp;$A54&amp;"'!$A$2:$A$501"),"&gt;="&amp;$I54,INDIRECT("'"&amp;$A54&amp;"'!$A$2:$A$501"),"&lt;"&amp;($BA54+1)),0)))</f>
        <v/>
      </c>
      <c r="AV54" s="25">
        <f>IF(OR($A54="",$I54=""),"",IF($BC54="Y",SUMIFS(survey_frozen!$J$2:$J$251,survey_frozen!$P$2:$P$251,$A54&amp;"|"&amp;$B54),IFERROR(COUNTIFS(INDIRECT("'"&amp;$A54&amp;"'!$B$2:$B$501"),$T54,INDIRECT("'"&amp;$A54&amp;"'!$A$2:$A$501"),"&gt;="&amp;$I54,INDIRECT("'"&amp;$A54&amp;"'!$A$2:$A$501"),"&lt;"&amp;($BA54+1),INDIRECT("'"&amp;$A54&amp;"'!$E$2:$E$501"),"Yes"),0)))</f>
        <v/>
      </c>
      <c r="AW54" s="25">
        <f>IF(OR($A54="",$I54=""),"",IF($BC54="Y",SUMIFS(survey_frozen!$K$2:$K$251,survey_frozen!$P$2:$P$251,$A54&amp;"|"&amp;$B54),IFERROR(COUNTIFS(INDIRECT("'"&amp;$A54&amp;"'!$B$2:$B$501"),$T54,INDIRECT("'"&amp;$A54&amp;"'!$A$2:$A$501"),"&gt;="&amp;$I54,INDIRECT("'"&amp;$A54&amp;"'!$A$2:$A$501"),"&lt;"&amp;($BA54+1),INDIRECT("'"&amp;$A54&amp;"'!$E$2:$E$501"),"Maybe"),0)))</f>
        <v/>
      </c>
      <c r="AX54" s="25">
        <f>IF(OR($A54="",$I54=""),"",IF($BC54="Y",SUMIFS(survey_frozen!$L$2:$L$251,survey_frozen!$P$2:$P$251,$A54&amp;"|"&amp;$B54),IFERROR(COUNTIFS(INDIRECT("'"&amp;$A54&amp;"'!$B$2:$B$501"),$T54,INDIRECT("'"&amp;$A54&amp;"'!$A$2:$A$501"),"&gt;="&amp;$I54,INDIRECT("'"&amp;$A54&amp;"'!$A$2:$A$501"),"&lt;"&amp;($BA54+1),INDIRECT("'"&amp;$A54&amp;"'!$E$2:$E$501"),"No"),0)))</f>
        <v/>
      </c>
      <c r="AY54" s="25">
        <f>IF(OR($A54="",$I54=""),"",IF($BC54="Y",SUMIFS(survey_frozen!$M$2:$M$251,survey_frozen!$P$2:$P$251,$A54&amp;"|"&amp;$B54),IFERROR(COUNTIFS(INDIRECT("'"&amp;$A54&amp;"'!$B$2:$B$501"),$T54,INDIRECT("'"&amp;$A54&amp;"'!$A$2:$A$501"),"&gt;="&amp;$I54,INDIRECT("'"&amp;$A54&amp;"'!$A$2:$A$501"),"&lt;"&amp;($BA54+1),INDIRECT("'"&amp;$A54&amp;"'!$G$2:$G$501"),"&lt;&gt;"),0)))</f>
        <v/>
      </c>
      <c r="AZ54" s="25">
        <f>IF($A54="","",$A54&amp;"|"&amp;$L54)</f>
        <v/>
      </c>
      <c r="BA54" s="26">
        <f>IF($A54="","",IFERROR(IF(INDEX(drops!$R$2:$R$21,MATCH($H54,drops!$A$2:$A$21,0))="","",INDEX(drops!$R$2:$R$21,MATCH($H54,drops!$A$2:$A$21,0))),""))</f>
        <v/>
      </c>
      <c r="BB54" s="25">
        <f>IF(OR($A54="",$Q54&lt;&gt;"Y"),1000000,N($AL54))</f>
        <v/>
      </c>
      <c r="BC54" s="25">
        <f>IF($A54="","",IF(COUNTIF(survey_frozen!$P$2:$P$251,$A54&amp;"|"&amp;$B54)&gt;0,"Y",""))</f>
        <v/>
      </c>
    </row>
    <row r="55">
      <c r="C55" s="9" t="n"/>
      <c r="E55" s="9" t="n"/>
      <c r="H55" s="25">
        <f>IF($A55="","",IFERROR(IF(INDEX(campaigns!$B$2:$B$51,MATCH($A55,campaigns!$A$2:$A$51,0))="","",INDEX(campaigns!$B$2:$B$51,MATCH($A55,campaigns!$A$2:$A$51,0))),""))</f>
        <v/>
      </c>
      <c r="I55" s="26">
        <f>IF($A55="","",IFERROR(IF(INDEX(campaigns!$BG$2:$BG$51,MATCH($A55,campaigns!$A$2:$A$51,0))="","",INDEX(campaigns!$BG$2:$BG$51,MATCH($A55,campaigns!$A$2:$A$51,0))),""))</f>
        <v/>
      </c>
      <c r="J55" s="25">
        <f>IF($A55="","",IFERROR(IF(INDEX(campaigns!$BE$2:$BE$51,MATCH($A55,campaigns!$A$2:$A$51,0))="","",INDEX(campaigns!$BE$2:$BE$51,MATCH($A55,campaigns!$A$2:$A$51,0))),""))</f>
        <v/>
      </c>
      <c r="K55" s="25">
        <f>IF($B55="","",IFERROR(IF(INDEX(offices!$N$2:$N$61,MATCH($B55,offices!$A$2:$A$61,0))="","",INDEX(offices!$N$2:$N$61,MATCH($B55,offices!$A$2:$A$61,0))),""))</f>
        <v/>
      </c>
      <c r="L55" s="25">
        <f>IF($A55="","",IF($Q55="N","",COUNTIFS($A$2:$A55,$A55,$Q$2:$Q55,"&lt;&gt;N")))</f>
        <v/>
      </c>
      <c r="M55" s="25">
        <f>IF(OR($A55="",$L55=""),"",IF(AND(config!$B$34="names_if_public",IFERROR(IF(INDEX(offices!$AF$2:$AF$61,MATCH($B55,offices!$A$2:$A$61,0))="","",INDEX(offices!$AF$2:$AF$61,MATCH($B55,offices!$A$2:$A$61,0))),"")="Y"),$K55,CHAR(64+$L55)))</f>
        <v/>
      </c>
      <c r="N55" s="25">
        <f>IF(OR($A55="",$I55=""),"",COUNTIFS(stops!$B$2:$B$151,$B55,stops!$P$2:$P$151,"&lt;"&amp;$I55,stops!$L$2:$L$151,"&lt;&gt;not_delivered")+1)</f>
        <v/>
      </c>
      <c r="O55" s="25">
        <f>IF($A55="","",IF(N($N55)&lt;=config!$B$29,"explicit","opt-out"))</f>
        <v/>
      </c>
      <c r="P55" s="25">
        <f>IF($A55="","",IF($O55="explicit",IF($D55="yes","Y",IF($D55="no","N","pending")),IF($D55="no","N",IF(AND($C55&lt;&gt;"",$I55&lt;&gt;"",$C55&lt;=WORKDAY(N($I55),-5,calendar!$A$2:$A$80)),"Y","pending"))))</f>
        <v/>
      </c>
      <c r="Q55" s="25">
        <f>IF($A55="","",IF($P55="N","N",IF($P55&lt;&gt;"Y","pending",IF(AND((COUNTIFS(stops!$A$2:$A$151,$H55,stops!$B$2:$B$151,$B55,stops!$L$2:$L$151,"declined")+COUNTIFS(stops!$A$2:$A$151,$H55,stops!$B$2:$B$151,$B55,stops!$L$2:$L$151,"building_refused")+COUNTIFS(stops!$A$2:$A$151,$H55,stops!$B$2:$B$151,$B55,stops!$L$2:$L$151,"not_delivered"))&gt;0,N($U55)=0),"N","Y"))))</f>
        <v/>
      </c>
      <c r="R55" s="25">
        <f>IF($A55="","",IF(COUNTIFS($A$2:$A$251,$A55,$B$2:$B$251,$B55)&gt;1,"DUPLICATE ROW; ","")&amp;IF(AND(IFERROR(IF(INDEX(offices!$AC$2:$AC$61,MATCH($B55,offices!$A$2:$A$61,0))="","",INDEX(offices!$AC$2:$AC$61,MATCH($B55,offices!$A$2:$A$61,0))),"")&lt;&gt;"",ISNUMBER(SEARCH($J55,IFERROR(IF(INDEX(offices!$AC$2:$AC$61,MATCH($B55,offices!$A$2:$A$61,0))="","",INDEX(offices!$AC$2:$AC$61,MATCH($B55,offices!$A$2:$A$61,0))),"")))),"BRAND VETOED; ","")&amp;IF(ISNUMBER(SEARCH(IFERROR(IF(INDEX(campaigns!$BF$2:$BF$51,MATCH($A55,campaigns!$A$2:$A$51,0))="","",INDEX(campaigns!$BF$2:$BF$51,MATCH($A55,campaigns!$A$2:$A$51,0))),""),IFERROR(IF(INDEX(offices!$AB$2:$AB$61,MATCH($B55,offices!$A$2:$A$61,0))="","",INDEX(offices!$AB$2:$AB$61,MATCH($B55,offices!$A$2:$A$61,0))),""))),"","info: category not on the office's list; ")&amp;IF(IFERROR(IF(INDEX(offices!$AC$2:$AC$61,MATCH($B55,offices!$A$2:$A$61,0))="","",INDEX(offices!$AC$2:$AC$61,MATCH($B55,offices!$A$2:$A$61,0))),"")&lt;&gt;"","info: read the vetoes against the label; ",""))</f>
        <v/>
      </c>
      <c r="S55" s="25">
        <f>IF($A55="","",IF($G55&lt;&gt;"",$G55,IFERROR(IF(INDEX(offices!$AL$2:$AL$61,MATCH($B55,offices!$A$2:$A$61,0))="","",INDEX(offices!$AL$2:$AL$61,MATCH($B55,offices!$A$2:$A$61,0))),"")))</f>
        <v/>
      </c>
      <c r="T55" s="25">
        <f>IF($A55="","",$A55&amp;"."&amp;$B55)</f>
        <v/>
      </c>
      <c r="U55" s="25">
        <f>IF($A55="","",SUMIFS(inventory!$G$2:$G$801,inventory!$C$2:$C$801,$A55,inventory!$D$2:$D$801,$B55,inventory!$E$2:$E$801,"delivered"))</f>
        <v/>
      </c>
      <c r="V55" s="32">
        <f>IF($A55="","",IFERROR(1/(1/SUMPRODUCT(MAX((inventory!$C$2:$C$801=$A55)*(inventory!$D$2:$D$801=$B55)*(inventory!$E$2:$E$801="delivered")*(inventory!$A$2:$A$801+inventory!$B$2:$B$801)))),""))</f>
        <v/>
      </c>
      <c r="W55" s="25">
        <f>IF($A55="","",IFERROR(IF(INDEX(inventory!$J$2:$J$801,MATCH($A55&amp;"|"&amp;$B55&amp;"|delivered",inventory!$R$2:$R$801,0))="","",INDEX(inventory!$J$2:$J$801,MATCH($A55&amp;"|"&amp;$B55&amp;"|delivered",inventory!$R$2:$R$801,0))),""))</f>
        <v/>
      </c>
      <c r="X55" s="25">
        <f>IF($A55="","",IFERROR(IF(INDEX(photos!$H$2:$H$701,MATCH($A55&amp;"|"&amp;$B55&amp;"|placement|Y",photos!$R$2:$R$701,0))="","",INDEX(photos!$H$2:$H$701,MATCH($A55&amp;"|"&amp;$B55&amp;"|placement|Y",photos!$R$2:$R$701,0))),""))</f>
        <v/>
      </c>
      <c r="Y55" s="26">
        <f>IF($A55="","",IFERROR(IF(INDEX(photos!$E$2:$E$701,MATCH($A55&amp;"|"&amp;$B55&amp;"|placement|Y",photos!$R$2:$R$701,0))="","",INDEX(photos!$E$2:$E$701,MATCH($A55&amp;"|"&amp;$B55&amp;"|placement|Y",photos!$R$2:$R$701,0))),""))</f>
        <v/>
      </c>
      <c r="Z55" s="25">
        <f>IF($A55="","",IF(COUNTIFS(counts!$C$2:$C$701,$A55,counts!$D$2:$D$701,$B55,counts!$E$2:$E$701,"placed")=0,"",SUMIFS(counts!$F$2:$F$701,counts!$C$2:$C$701,$A55,counts!$D$2:$D$701,$B55,counts!$E$2:$E$701,"placed")))</f>
        <v/>
      </c>
      <c r="AA55" s="25">
        <f>IF($A55="","",IF($Y55="",0,N($Z55)))</f>
        <v/>
      </c>
      <c r="AB55" s="25">
        <f>IF($A55="","",IF(OR($Y55="",$I55=""),"N",IF($Y55&lt;=WORKDAY(N($I55),1,calendar!$A$2:$A$80),"Y","N")))</f>
        <v/>
      </c>
      <c r="AC55" s="28">
        <f>IF(OR($A55="",$V55="",$Y55=""),"",ROUND(($Y55+N(IFERROR(IF(INDEX(photos!$F$2:$F$701,MATCH($A55&amp;"|"&amp;$B55&amp;"|placement|Y",photos!$R$2:$R$701,0))="","",INDEX(photos!$F$2:$F$701,MATCH($A55&amp;"|"&amp;$B55&amp;"|placement|Y",photos!$R$2:$R$701,0))),""))-$V55)*24,1))</f>
        <v/>
      </c>
      <c r="AD55" s="25">
        <f>IF($A55="","",SUMIFS(inventory!$G$2:$G$801,inventory!$C$2:$C$801,$A55,inventory!$D$2:$D$801,$B55,inventory!$E$2:$E$801,"topped_up"))</f>
        <v/>
      </c>
      <c r="AE55" s="25">
        <f>IF($A55="","",IF(COUNTIFS(counts!$C$2:$C$701,$A55,counts!$D$2:$D$701,$B55,counts!$E$2:$E$701,"remaining_day3")=0,"",SUMIFS(counts!$F$2:$F$701,counts!$C$2:$C$701,$A55,counts!$D$2:$D$701,$B55,counts!$E$2:$E$701,"remaining_day3")))</f>
        <v/>
      </c>
      <c r="AF55" s="25">
        <f>IF($A55="","",IF(COUNTIFS(counts!$C$2:$C$701,$A55,counts!$D$2:$D$701,$B55,counts!$E$2:$E$701,"remaining_day5")=0,"",SUMIFS(counts!$F$2:$F$701,counts!$C$2:$C$701,$A55,counts!$D$2:$D$701,$B55,counts!$E$2:$E$701,"remaining_day5")))</f>
        <v/>
      </c>
      <c r="AG55" s="25">
        <f>IF(OR($A55="",$AF55=""),"",MAX(0,$AA55+$AD55-$AF55))</f>
        <v/>
      </c>
      <c r="AH55" s="25">
        <f>IF(OR($A55="",$AI55=""),"",IFERROR(IF(INDEX(photos!$H$2:$H$701,MATCH($A55&amp;"|"&amp;$B55&amp;"|later|Y|"&amp;$AI55,photos!$S$2:$S$701,0))="","",INDEX(photos!$H$2:$H$701,MATCH($A55&amp;"|"&amp;$B55&amp;"|later|Y|"&amp;$AI55,photos!$S$2:$S$701,0))),""))</f>
        <v/>
      </c>
      <c r="AI55" s="26">
        <f>IF($A55="","",IFERROR(1/(1/SUMPRODUCT(MAX((photos!$B$2:$B$701=$A55)*(photos!$C$2:$C$701=$B55)*(photos!$D$2:$D$701="later")*(photos!$O$2:$O$701="Y")*photos!$E$2:$E$701))),""))</f>
        <v/>
      </c>
      <c r="AJ55" s="25">
        <f>IF(OR($A55="",$AI55="",$I55=""),"",NETWORKDAYS($I55,$AI55,calendar!$A$2:$A$80))</f>
        <v/>
      </c>
      <c r="AK55" s="25">
        <f>IF($A55="","",IF(AND($X55&lt;&gt;"",$AH55&lt;&gt;""),"Y","N"))</f>
        <v/>
      </c>
      <c r="AL55" s="25">
        <f>IF(OR($A55="",$I55=""),"",IF($BC55="Y",SUMIFS(survey_frozen!$C$2:$C$251,survey_frozen!$P$2:$P$251,$A55&amp;"|"&amp;$B55),IFERROR(COUNTIFS(INDIRECT("'"&amp;$A55&amp;"'!$B$2:$B$501"),$T55,INDIRECT("'"&amp;$A55&amp;"'!$A$2:$A$501"),"&gt;="&amp;$I55,INDIRECT("'"&amp;$A55&amp;"'!$A$2:$A$501"),"&lt;"&amp;($BA55+1)),0)))</f>
        <v/>
      </c>
      <c r="AM55" s="25">
        <f>IF(OR($A55="",$I55=""),"",IF($BC55="Y",SUMIFS(survey_frozen!$D$2:$D$251,survey_frozen!$P$2:$P$251,$A55&amp;"|"&amp;$B55),IFERROR(COUNTIFS(INDIRECT("'"&amp;$A55&amp;"'!$B$2:$B$501"),$T55,INDIRECT("'"&amp;$A55&amp;"'!$A$2:$A$501"),"&gt;="&amp;$I55,INDIRECT("'"&amp;$A55&amp;"'!$A$2:$A$501"),"&lt;"&amp;($BA55+1),INDIRECT("'"&amp;$A55&amp;"'!$C$2:$C$501"),"Yes"),0)))</f>
        <v/>
      </c>
      <c r="AN55" s="25">
        <f>IF($A55="","",IF(COUNTIFS(scans!$C$2:$C$1601,(IF(LEFT($A55,7)="SAMPLE-","SAMPLE-","")&amp;LOWER(SUBSTITUTE(SUBSTITUTE($A55,"SAMPLE-",""),"CMP-","c"))&amp;"-"&amp;LOWER(SUBSTITUTE(SUBSTITUTE($B55,"SAMPLE-",""),"O-","o"))&amp;"-q"),scans!$D$2:$D$1601,"close")=0,"",SUMPRODUCT(MAX((scans!$C$2:$C$1601=(IF(LEFT($A55,7)="SAMPLE-","SAMPLE-","")&amp;LOWER(SUBSTITUTE(SUBSTITUTE($A55,"SAMPLE-",""),"CMP-","c"))&amp;"-"&amp;LOWER(SUBSTITUTE(SUBSTITUTE($B55,"SAMPLE-",""),"O-","o"))&amp;"-q"))*(scans!$D$2:$D$1601="close")*scans!$E$2:$E$1601))-SUMPRODUCT(MAX((scans!$C$2:$C$1601=(IF(LEFT($A55,7)="SAMPLE-","SAMPLE-","")&amp;LOWER(SUBSTITUTE(SUBSTITUTE($A55,"SAMPLE-",""),"CMP-","c"))&amp;"-"&amp;LOWER(SUBSTITUTE(SUBSTITUTE($B55,"SAMPLE-",""),"O-","o"))&amp;"-q"))*(scans!$D$2:$D$1601="baseline")*scans!$E$2:$E$1601))))</f>
        <v/>
      </c>
      <c r="AO55" s="25">
        <f>IF($A55="","",IF(COUNTIFS(scans!$C$2:$C$1601,(IF(LEFT($A55,7)="SAMPLE-","SAMPLE-","")&amp;LOWER(SUBSTITUTE(SUBSTITUTE($A55,"SAMPLE-",""),"CMP-","c"))&amp;"-"&amp;LOWER(SUBSTITUTE(SUBSTITUTE($B55,"SAMPLE-",""),"O-","o"))&amp;"-p"),scans!$D$2:$D$1601,"close")=0,"",SUMPRODUCT(MAX((scans!$C$2:$C$1601=(IF(LEFT($A55,7)="SAMPLE-","SAMPLE-","")&amp;LOWER(SUBSTITUTE(SUBSTITUTE($A55,"SAMPLE-",""),"CMP-","c"))&amp;"-"&amp;LOWER(SUBSTITUTE(SUBSTITUTE($B55,"SAMPLE-",""),"O-","o"))&amp;"-p"))*(scans!$D$2:$D$1601="close")*scans!$E$2:$E$1601))-SUMPRODUCT(MAX((scans!$C$2:$C$1601=(IF(LEFT($A55,7)="SAMPLE-","SAMPLE-","")&amp;LOWER(SUBSTITUTE(SUBSTITUTE($A55,"SAMPLE-",""),"CMP-","c"))&amp;"-"&amp;LOWER(SUBSTITUTE(SUBSTITUTE($B55,"SAMPLE-",""),"O-","o"))&amp;"-p"))*(scans!$D$2:$D$1601="baseline")*scans!$E$2:$E$1601))))</f>
        <v/>
      </c>
      <c r="AP55" s="25">
        <f>IF($A55="","",IF(COUNTIF(offices!$A$2:$A$61,$B55)=0,"office_id not on offices; ","")&amp;IF(COUNTIF(campaigns!$A$2:$A$51,$A55)=0,"campaign_id not on campaigns; ","")&amp;IF($P55="pending","approval pending; ","")&amp;IF(AND($U55&gt;0,$Y55="",OR($I55="",IF(config!$B$37&lt;&gt;"",config!$B$37,TODAY())&lt;=WORKDAY(N($I55),4,calendar!$A$2:$A$80))),"no usable placement photo yet; ","")&amp;IF(AND($Y55&lt;&gt;"",$Z55=""),"log the placed count; ","")&amp;IF(N($AA55)&gt;N($U55),"placed more than delivered; ","")&amp;IF(AND($AF55&lt;&gt;"",N($AF55)&gt;N($AA55)+N($AD55)),"day-5 count above placed plus top-ups; ","")&amp;IF(AND($U55&gt;0,$I55&lt;&gt;"",IF(config!$B$37&lt;&gt;"",config!$B$37,TODAY())&gt;WORKDAY(N($I55),4,calendar!$A$2:$A$80),$AF55=""),"day-5 count missing; ","")&amp;IF(AND($U55&gt;0,$I55&lt;&gt;"",IF(config!$B$37&lt;&gt;"",config!$B$37,TODAY())&gt;WORKDAY(N($I55),4,calendar!$A$2:$A$80),$AN55=""),"no close link reading; ","")&amp;$R55&amp;IF($P55="N","info: office said no; ","")&amp;IF(AND($P55="Y",$Q55="N"),"info: turned away at the door, so not on the drop (no letter, not in the report or Gate 2; the credit check is on campaigns); ","")&amp;IF(AND($U55&gt;0,$Y55="",$I55&lt;&gt;"",IF(config!$B$37&lt;&gt;"",config!$B$37,TODAY())&gt;WORKDAY(N($I55),4,calendar!$A$2:$A$80)),"info: no usable placement photo, so nothing counts as placed; ","")&amp;IF(AND($U55&gt;0,$I55&lt;&gt;"",IF(config!$B$37&lt;&gt;"",config!$B$37,TODAY())&gt;WORKDAY(N($I55),4,calendar!$A$2:$A$80),N($AL55)&lt;config!$B$30),"info: under "&amp;config!$B$30&amp;" responses; ","")&amp;IF($W55="packing_list","info: delivered count not verified; ",""))</f>
        <v/>
      </c>
      <c r="AQ55" s="25">
        <f>IF(OR($A55="",$I55=""),"",IF($BC55="Y",SUMIFS(survey_frozen!$E$2:$E$251,survey_frozen!$P$2:$P$251,$A55&amp;"|"&amp;$B55),IFERROR(COUNTIFS(INDIRECT("'"&amp;$A55&amp;"'!$B$2:$B$501"),$T55,INDIRECT("'"&amp;$A55&amp;"'!$A$2:$A$501"),"&gt;="&amp;$I55,INDIRECT("'"&amp;$A55&amp;"'!$A$2:$A$501"),"&lt;"&amp;($BA55+1),INDIRECT("'"&amp;$A55&amp;"'!$F$2:$F$501"),"Didn't see it"),0)))</f>
        <v/>
      </c>
      <c r="AR55" s="25">
        <f>IF(OR($A55="",$I55=""),"",IF($BC55="Y",SUMIFS(survey_frozen!$F$2:$F$251,survey_frozen!$P$2:$P$251,$A55&amp;"|"&amp;$B55),IFERROR(COUNTIFS(INDIRECT("'"&amp;$A55&amp;"'!$B$2:$B$501"),$T55,INDIRECT("'"&amp;$A55&amp;"'!$A$2:$A$501"),"&gt;="&amp;$I55,INDIRECT("'"&amp;$A55&amp;"'!$A$2:$A$501"),"&lt;"&amp;($BA55+1),INDIRECT("'"&amp;$A55&amp;"'!$F$2:$F$501"),"Not for me"),0)))</f>
        <v/>
      </c>
      <c r="AS55" s="25">
        <f>IF(OR($A55="",$I55=""),"",IF($BC55="Y",SUMIFS(survey_frozen!$G$2:$G$251,survey_frozen!$P$2:$P$251,$A55&amp;"|"&amp;$B55),IFERROR(COUNTIFS(INDIRECT("'"&amp;$A55&amp;"'!$B$2:$B$501"),$T55,INDIRECT("'"&amp;$A55&amp;"'!$A$2:$A$501"),"&gt;="&amp;$I55,INDIRECT("'"&amp;$A55&amp;"'!$A$2:$A$501"),"&lt;"&amp;($BA55+1),INDIRECT("'"&amp;$A55&amp;"'!$F$2:$F$501"),"Gone by the time I looked"),0)))</f>
        <v/>
      </c>
      <c r="AT55" s="25">
        <f>IF(OR($A55="",$I55=""),"",IF($BC55="Y",SUMIFS(survey_frozen!$H$2:$H$251,survey_frozen!$P$2:$P$251,$A55&amp;"|"&amp;$B55),IFERROR(COUNTIFS(INDIRECT("'"&amp;$A55&amp;"'!$B$2:$B$501"),$T55,INDIRECT("'"&amp;$A55&amp;"'!$A$2:$A$501"),"&gt;="&amp;$I55,INDIRECT("'"&amp;$A55&amp;"'!$A$2:$A$501"),"&lt;"&amp;($BA55+1),INDIRECT("'"&amp;$A55&amp;"'!$D$2:$D$501"),"&gt;=1"),0)))</f>
        <v/>
      </c>
      <c r="AU55" s="25">
        <f>IF(OR($A55="",$I55=""),"",IF($BC55="Y",SUMIFS(survey_frozen!$I$2:$I$251,survey_frozen!$P$2:$P$251,$A55&amp;"|"&amp;$B55),IFERROR(SUMIFS(INDIRECT("'"&amp;$A55&amp;"'!$D$2:$D$501"),INDIRECT("'"&amp;$A55&amp;"'!$B$2:$B$501"),$T55,INDIRECT("'"&amp;$A55&amp;"'!$A$2:$A$501"),"&gt;="&amp;$I55,INDIRECT("'"&amp;$A55&amp;"'!$A$2:$A$501"),"&lt;"&amp;($BA55+1)),0)))</f>
        <v/>
      </c>
      <c r="AV55" s="25">
        <f>IF(OR($A55="",$I55=""),"",IF($BC55="Y",SUMIFS(survey_frozen!$J$2:$J$251,survey_frozen!$P$2:$P$251,$A55&amp;"|"&amp;$B55),IFERROR(COUNTIFS(INDIRECT("'"&amp;$A55&amp;"'!$B$2:$B$501"),$T55,INDIRECT("'"&amp;$A55&amp;"'!$A$2:$A$501"),"&gt;="&amp;$I55,INDIRECT("'"&amp;$A55&amp;"'!$A$2:$A$501"),"&lt;"&amp;($BA55+1),INDIRECT("'"&amp;$A55&amp;"'!$E$2:$E$501"),"Yes"),0)))</f>
        <v/>
      </c>
      <c r="AW55" s="25">
        <f>IF(OR($A55="",$I55=""),"",IF($BC55="Y",SUMIFS(survey_frozen!$K$2:$K$251,survey_frozen!$P$2:$P$251,$A55&amp;"|"&amp;$B55),IFERROR(COUNTIFS(INDIRECT("'"&amp;$A55&amp;"'!$B$2:$B$501"),$T55,INDIRECT("'"&amp;$A55&amp;"'!$A$2:$A$501"),"&gt;="&amp;$I55,INDIRECT("'"&amp;$A55&amp;"'!$A$2:$A$501"),"&lt;"&amp;($BA55+1),INDIRECT("'"&amp;$A55&amp;"'!$E$2:$E$501"),"Maybe"),0)))</f>
        <v/>
      </c>
      <c r="AX55" s="25">
        <f>IF(OR($A55="",$I55=""),"",IF($BC55="Y",SUMIFS(survey_frozen!$L$2:$L$251,survey_frozen!$P$2:$P$251,$A55&amp;"|"&amp;$B55),IFERROR(COUNTIFS(INDIRECT("'"&amp;$A55&amp;"'!$B$2:$B$501"),$T55,INDIRECT("'"&amp;$A55&amp;"'!$A$2:$A$501"),"&gt;="&amp;$I55,INDIRECT("'"&amp;$A55&amp;"'!$A$2:$A$501"),"&lt;"&amp;($BA55+1),INDIRECT("'"&amp;$A55&amp;"'!$E$2:$E$501"),"No"),0)))</f>
        <v/>
      </c>
      <c r="AY55" s="25">
        <f>IF(OR($A55="",$I55=""),"",IF($BC55="Y",SUMIFS(survey_frozen!$M$2:$M$251,survey_frozen!$P$2:$P$251,$A55&amp;"|"&amp;$B55),IFERROR(COUNTIFS(INDIRECT("'"&amp;$A55&amp;"'!$B$2:$B$501"),$T55,INDIRECT("'"&amp;$A55&amp;"'!$A$2:$A$501"),"&gt;="&amp;$I55,INDIRECT("'"&amp;$A55&amp;"'!$A$2:$A$501"),"&lt;"&amp;($BA55+1),INDIRECT("'"&amp;$A55&amp;"'!$G$2:$G$501"),"&lt;&gt;"),0)))</f>
        <v/>
      </c>
      <c r="AZ55" s="25">
        <f>IF($A55="","",$A55&amp;"|"&amp;$L55)</f>
        <v/>
      </c>
      <c r="BA55" s="26">
        <f>IF($A55="","",IFERROR(IF(INDEX(drops!$R$2:$R$21,MATCH($H55,drops!$A$2:$A$21,0))="","",INDEX(drops!$R$2:$R$21,MATCH($H55,drops!$A$2:$A$21,0))),""))</f>
        <v/>
      </c>
      <c r="BB55" s="25">
        <f>IF(OR($A55="",$Q55&lt;&gt;"Y"),1000000,N($AL55))</f>
        <v/>
      </c>
      <c r="BC55" s="25">
        <f>IF($A55="","",IF(COUNTIF(survey_frozen!$P$2:$P$251,$A55&amp;"|"&amp;$B55)&gt;0,"Y",""))</f>
        <v/>
      </c>
    </row>
    <row r="56">
      <c r="C56" s="9" t="n"/>
      <c r="E56" s="9" t="n"/>
      <c r="H56" s="25">
        <f>IF($A56="","",IFERROR(IF(INDEX(campaigns!$B$2:$B$51,MATCH($A56,campaigns!$A$2:$A$51,0))="","",INDEX(campaigns!$B$2:$B$51,MATCH($A56,campaigns!$A$2:$A$51,0))),""))</f>
        <v/>
      </c>
      <c r="I56" s="26">
        <f>IF($A56="","",IFERROR(IF(INDEX(campaigns!$BG$2:$BG$51,MATCH($A56,campaigns!$A$2:$A$51,0))="","",INDEX(campaigns!$BG$2:$BG$51,MATCH($A56,campaigns!$A$2:$A$51,0))),""))</f>
        <v/>
      </c>
      <c r="J56" s="25">
        <f>IF($A56="","",IFERROR(IF(INDEX(campaigns!$BE$2:$BE$51,MATCH($A56,campaigns!$A$2:$A$51,0))="","",INDEX(campaigns!$BE$2:$BE$51,MATCH($A56,campaigns!$A$2:$A$51,0))),""))</f>
        <v/>
      </c>
      <c r="K56" s="25">
        <f>IF($B56="","",IFERROR(IF(INDEX(offices!$N$2:$N$61,MATCH($B56,offices!$A$2:$A$61,0))="","",INDEX(offices!$N$2:$N$61,MATCH($B56,offices!$A$2:$A$61,0))),""))</f>
        <v/>
      </c>
      <c r="L56" s="25">
        <f>IF($A56="","",IF($Q56="N","",COUNTIFS($A$2:$A56,$A56,$Q$2:$Q56,"&lt;&gt;N")))</f>
        <v/>
      </c>
      <c r="M56" s="25">
        <f>IF(OR($A56="",$L56=""),"",IF(AND(config!$B$34="names_if_public",IFERROR(IF(INDEX(offices!$AF$2:$AF$61,MATCH($B56,offices!$A$2:$A$61,0))="","",INDEX(offices!$AF$2:$AF$61,MATCH($B56,offices!$A$2:$A$61,0))),"")="Y"),$K56,CHAR(64+$L56)))</f>
        <v/>
      </c>
      <c r="N56" s="25">
        <f>IF(OR($A56="",$I56=""),"",COUNTIFS(stops!$B$2:$B$151,$B56,stops!$P$2:$P$151,"&lt;"&amp;$I56,stops!$L$2:$L$151,"&lt;&gt;not_delivered")+1)</f>
        <v/>
      </c>
      <c r="O56" s="25">
        <f>IF($A56="","",IF(N($N56)&lt;=config!$B$29,"explicit","opt-out"))</f>
        <v/>
      </c>
      <c r="P56" s="25">
        <f>IF($A56="","",IF($O56="explicit",IF($D56="yes","Y",IF($D56="no","N","pending")),IF($D56="no","N",IF(AND($C56&lt;&gt;"",$I56&lt;&gt;"",$C56&lt;=WORKDAY(N($I56),-5,calendar!$A$2:$A$80)),"Y","pending"))))</f>
        <v/>
      </c>
      <c r="Q56" s="25">
        <f>IF($A56="","",IF($P56="N","N",IF($P56&lt;&gt;"Y","pending",IF(AND((COUNTIFS(stops!$A$2:$A$151,$H56,stops!$B$2:$B$151,$B56,stops!$L$2:$L$151,"declined")+COUNTIFS(stops!$A$2:$A$151,$H56,stops!$B$2:$B$151,$B56,stops!$L$2:$L$151,"building_refused")+COUNTIFS(stops!$A$2:$A$151,$H56,stops!$B$2:$B$151,$B56,stops!$L$2:$L$151,"not_delivered"))&gt;0,N($U56)=0),"N","Y"))))</f>
        <v/>
      </c>
      <c r="R56" s="25">
        <f>IF($A56="","",IF(COUNTIFS($A$2:$A$251,$A56,$B$2:$B$251,$B56)&gt;1,"DUPLICATE ROW; ","")&amp;IF(AND(IFERROR(IF(INDEX(offices!$AC$2:$AC$61,MATCH($B56,offices!$A$2:$A$61,0))="","",INDEX(offices!$AC$2:$AC$61,MATCH($B56,offices!$A$2:$A$61,0))),"")&lt;&gt;"",ISNUMBER(SEARCH($J56,IFERROR(IF(INDEX(offices!$AC$2:$AC$61,MATCH($B56,offices!$A$2:$A$61,0))="","",INDEX(offices!$AC$2:$AC$61,MATCH($B56,offices!$A$2:$A$61,0))),"")))),"BRAND VETOED; ","")&amp;IF(ISNUMBER(SEARCH(IFERROR(IF(INDEX(campaigns!$BF$2:$BF$51,MATCH($A56,campaigns!$A$2:$A$51,0))="","",INDEX(campaigns!$BF$2:$BF$51,MATCH($A56,campaigns!$A$2:$A$51,0))),""),IFERROR(IF(INDEX(offices!$AB$2:$AB$61,MATCH($B56,offices!$A$2:$A$61,0))="","",INDEX(offices!$AB$2:$AB$61,MATCH($B56,offices!$A$2:$A$61,0))),""))),"","info: category not on the office's list; ")&amp;IF(IFERROR(IF(INDEX(offices!$AC$2:$AC$61,MATCH($B56,offices!$A$2:$A$61,0))="","",INDEX(offices!$AC$2:$AC$61,MATCH($B56,offices!$A$2:$A$61,0))),"")&lt;&gt;"","info: read the vetoes against the label; ",""))</f>
        <v/>
      </c>
      <c r="S56" s="25">
        <f>IF($A56="","",IF($G56&lt;&gt;"",$G56,IFERROR(IF(INDEX(offices!$AL$2:$AL$61,MATCH($B56,offices!$A$2:$A$61,0))="","",INDEX(offices!$AL$2:$AL$61,MATCH($B56,offices!$A$2:$A$61,0))),"")))</f>
        <v/>
      </c>
      <c r="T56" s="25">
        <f>IF($A56="","",$A56&amp;"."&amp;$B56)</f>
        <v/>
      </c>
      <c r="U56" s="25">
        <f>IF($A56="","",SUMIFS(inventory!$G$2:$G$801,inventory!$C$2:$C$801,$A56,inventory!$D$2:$D$801,$B56,inventory!$E$2:$E$801,"delivered"))</f>
        <v/>
      </c>
      <c r="V56" s="32">
        <f>IF($A56="","",IFERROR(1/(1/SUMPRODUCT(MAX((inventory!$C$2:$C$801=$A56)*(inventory!$D$2:$D$801=$B56)*(inventory!$E$2:$E$801="delivered")*(inventory!$A$2:$A$801+inventory!$B$2:$B$801)))),""))</f>
        <v/>
      </c>
      <c r="W56" s="25">
        <f>IF($A56="","",IFERROR(IF(INDEX(inventory!$J$2:$J$801,MATCH($A56&amp;"|"&amp;$B56&amp;"|delivered",inventory!$R$2:$R$801,0))="","",INDEX(inventory!$J$2:$J$801,MATCH($A56&amp;"|"&amp;$B56&amp;"|delivered",inventory!$R$2:$R$801,0))),""))</f>
        <v/>
      </c>
      <c r="X56" s="25">
        <f>IF($A56="","",IFERROR(IF(INDEX(photos!$H$2:$H$701,MATCH($A56&amp;"|"&amp;$B56&amp;"|placement|Y",photos!$R$2:$R$701,0))="","",INDEX(photos!$H$2:$H$701,MATCH($A56&amp;"|"&amp;$B56&amp;"|placement|Y",photos!$R$2:$R$701,0))),""))</f>
        <v/>
      </c>
      <c r="Y56" s="26">
        <f>IF($A56="","",IFERROR(IF(INDEX(photos!$E$2:$E$701,MATCH($A56&amp;"|"&amp;$B56&amp;"|placement|Y",photos!$R$2:$R$701,0))="","",INDEX(photos!$E$2:$E$701,MATCH($A56&amp;"|"&amp;$B56&amp;"|placement|Y",photos!$R$2:$R$701,0))),""))</f>
        <v/>
      </c>
      <c r="Z56" s="25">
        <f>IF($A56="","",IF(COUNTIFS(counts!$C$2:$C$701,$A56,counts!$D$2:$D$701,$B56,counts!$E$2:$E$701,"placed")=0,"",SUMIFS(counts!$F$2:$F$701,counts!$C$2:$C$701,$A56,counts!$D$2:$D$701,$B56,counts!$E$2:$E$701,"placed")))</f>
        <v/>
      </c>
      <c r="AA56" s="25">
        <f>IF($A56="","",IF($Y56="",0,N($Z56)))</f>
        <v/>
      </c>
      <c r="AB56" s="25">
        <f>IF($A56="","",IF(OR($Y56="",$I56=""),"N",IF($Y56&lt;=WORKDAY(N($I56),1,calendar!$A$2:$A$80),"Y","N")))</f>
        <v/>
      </c>
      <c r="AC56" s="28">
        <f>IF(OR($A56="",$V56="",$Y56=""),"",ROUND(($Y56+N(IFERROR(IF(INDEX(photos!$F$2:$F$701,MATCH($A56&amp;"|"&amp;$B56&amp;"|placement|Y",photos!$R$2:$R$701,0))="","",INDEX(photos!$F$2:$F$701,MATCH($A56&amp;"|"&amp;$B56&amp;"|placement|Y",photos!$R$2:$R$701,0))),""))-$V56)*24,1))</f>
        <v/>
      </c>
      <c r="AD56" s="25">
        <f>IF($A56="","",SUMIFS(inventory!$G$2:$G$801,inventory!$C$2:$C$801,$A56,inventory!$D$2:$D$801,$B56,inventory!$E$2:$E$801,"topped_up"))</f>
        <v/>
      </c>
      <c r="AE56" s="25">
        <f>IF($A56="","",IF(COUNTIFS(counts!$C$2:$C$701,$A56,counts!$D$2:$D$701,$B56,counts!$E$2:$E$701,"remaining_day3")=0,"",SUMIFS(counts!$F$2:$F$701,counts!$C$2:$C$701,$A56,counts!$D$2:$D$701,$B56,counts!$E$2:$E$701,"remaining_day3")))</f>
        <v/>
      </c>
      <c r="AF56" s="25">
        <f>IF($A56="","",IF(COUNTIFS(counts!$C$2:$C$701,$A56,counts!$D$2:$D$701,$B56,counts!$E$2:$E$701,"remaining_day5")=0,"",SUMIFS(counts!$F$2:$F$701,counts!$C$2:$C$701,$A56,counts!$D$2:$D$701,$B56,counts!$E$2:$E$701,"remaining_day5")))</f>
        <v/>
      </c>
      <c r="AG56" s="25">
        <f>IF(OR($A56="",$AF56=""),"",MAX(0,$AA56+$AD56-$AF56))</f>
        <v/>
      </c>
      <c r="AH56" s="25">
        <f>IF(OR($A56="",$AI56=""),"",IFERROR(IF(INDEX(photos!$H$2:$H$701,MATCH($A56&amp;"|"&amp;$B56&amp;"|later|Y|"&amp;$AI56,photos!$S$2:$S$701,0))="","",INDEX(photos!$H$2:$H$701,MATCH($A56&amp;"|"&amp;$B56&amp;"|later|Y|"&amp;$AI56,photos!$S$2:$S$701,0))),""))</f>
        <v/>
      </c>
      <c r="AI56" s="26">
        <f>IF($A56="","",IFERROR(1/(1/SUMPRODUCT(MAX((photos!$B$2:$B$701=$A56)*(photos!$C$2:$C$701=$B56)*(photos!$D$2:$D$701="later")*(photos!$O$2:$O$701="Y")*photos!$E$2:$E$701))),""))</f>
        <v/>
      </c>
      <c r="AJ56" s="25">
        <f>IF(OR($A56="",$AI56="",$I56=""),"",NETWORKDAYS($I56,$AI56,calendar!$A$2:$A$80))</f>
        <v/>
      </c>
      <c r="AK56" s="25">
        <f>IF($A56="","",IF(AND($X56&lt;&gt;"",$AH56&lt;&gt;""),"Y","N"))</f>
        <v/>
      </c>
      <c r="AL56" s="25">
        <f>IF(OR($A56="",$I56=""),"",IF($BC56="Y",SUMIFS(survey_frozen!$C$2:$C$251,survey_frozen!$P$2:$P$251,$A56&amp;"|"&amp;$B56),IFERROR(COUNTIFS(INDIRECT("'"&amp;$A56&amp;"'!$B$2:$B$501"),$T56,INDIRECT("'"&amp;$A56&amp;"'!$A$2:$A$501"),"&gt;="&amp;$I56,INDIRECT("'"&amp;$A56&amp;"'!$A$2:$A$501"),"&lt;"&amp;($BA56+1)),0)))</f>
        <v/>
      </c>
      <c r="AM56" s="25">
        <f>IF(OR($A56="",$I56=""),"",IF($BC56="Y",SUMIFS(survey_frozen!$D$2:$D$251,survey_frozen!$P$2:$P$251,$A56&amp;"|"&amp;$B56),IFERROR(COUNTIFS(INDIRECT("'"&amp;$A56&amp;"'!$B$2:$B$501"),$T56,INDIRECT("'"&amp;$A56&amp;"'!$A$2:$A$501"),"&gt;="&amp;$I56,INDIRECT("'"&amp;$A56&amp;"'!$A$2:$A$501"),"&lt;"&amp;($BA56+1),INDIRECT("'"&amp;$A56&amp;"'!$C$2:$C$501"),"Yes"),0)))</f>
        <v/>
      </c>
      <c r="AN56" s="25">
        <f>IF($A56="","",IF(COUNTIFS(scans!$C$2:$C$1601,(IF(LEFT($A56,7)="SAMPLE-","SAMPLE-","")&amp;LOWER(SUBSTITUTE(SUBSTITUTE($A56,"SAMPLE-",""),"CMP-","c"))&amp;"-"&amp;LOWER(SUBSTITUTE(SUBSTITUTE($B56,"SAMPLE-",""),"O-","o"))&amp;"-q"),scans!$D$2:$D$1601,"close")=0,"",SUMPRODUCT(MAX((scans!$C$2:$C$1601=(IF(LEFT($A56,7)="SAMPLE-","SAMPLE-","")&amp;LOWER(SUBSTITUTE(SUBSTITUTE($A56,"SAMPLE-",""),"CMP-","c"))&amp;"-"&amp;LOWER(SUBSTITUTE(SUBSTITUTE($B56,"SAMPLE-",""),"O-","o"))&amp;"-q"))*(scans!$D$2:$D$1601="close")*scans!$E$2:$E$1601))-SUMPRODUCT(MAX((scans!$C$2:$C$1601=(IF(LEFT($A56,7)="SAMPLE-","SAMPLE-","")&amp;LOWER(SUBSTITUTE(SUBSTITUTE($A56,"SAMPLE-",""),"CMP-","c"))&amp;"-"&amp;LOWER(SUBSTITUTE(SUBSTITUTE($B56,"SAMPLE-",""),"O-","o"))&amp;"-q"))*(scans!$D$2:$D$1601="baseline")*scans!$E$2:$E$1601))))</f>
        <v/>
      </c>
      <c r="AO56" s="25">
        <f>IF($A56="","",IF(COUNTIFS(scans!$C$2:$C$1601,(IF(LEFT($A56,7)="SAMPLE-","SAMPLE-","")&amp;LOWER(SUBSTITUTE(SUBSTITUTE($A56,"SAMPLE-",""),"CMP-","c"))&amp;"-"&amp;LOWER(SUBSTITUTE(SUBSTITUTE($B56,"SAMPLE-",""),"O-","o"))&amp;"-p"),scans!$D$2:$D$1601,"close")=0,"",SUMPRODUCT(MAX((scans!$C$2:$C$1601=(IF(LEFT($A56,7)="SAMPLE-","SAMPLE-","")&amp;LOWER(SUBSTITUTE(SUBSTITUTE($A56,"SAMPLE-",""),"CMP-","c"))&amp;"-"&amp;LOWER(SUBSTITUTE(SUBSTITUTE($B56,"SAMPLE-",""),"O-","o"))&amp;"-p"))*(scans!$D$2:$D$1601="close")*scans!$E$2:$E$1601))-SUMPRODUCT(MAX((scans!$C$2:$C$1601=(IF(LEFT($A56,7)="SAMPLE-","SAMPLE-","")&amp;LOWER(SUBSTITUTE(SUBSTITUTE($A56,"SAMPLE-",""),"CMP-","c"))&amp;"-"&amp;LOWER(SUBSTITUTE(SUBSTITUTE($B56,"SAMPLE-",""),"O-","o"))&amp;"-p"))*(scans!$D$2:$D$1601="baseline")*scans!$E$2:$E$1601))))</f>
        <v/>
      </c>
      <c r="AP56" s="25">
        <f>IF($A56="","",IF(COUNTIF(offices!$A$2:$A$61,$B56)=0,"office_id not on offices; ","")&amp;IF(COUNTIF(campaigns!$A$2:$A$51,$A56)=0,"campaign_id not on campaigns; ","")&amp;IF($P56="pending","approval pending; ","")&amp;IF(AND($U56&gt;0,$Y56="",OR($I56="",IF(config!$B$37&lt;&gt;"",config!$B$37,TODAY())&lt;=WORKDAY(N($I56),4,calendar!$A$2:$A$80))),"no usable placement photo yet; ","")&amp;IF(AND($Y56&lt;&gt;"",$Z56=""),"log the placed count; ","")&amp;IF(N($AA56)&gt;N($U56),"placed more than delivered; ","")&amp;IF(AND($AF56&lt;&gt;"",N($AF56)&gt;N($AA56)+N($AD56)),"day-5 count above placed plus top-ups; ","")&amp;IF(AND($U56&gt;0,$I56&lt;&gt;"",IF(config!$B$37&lt;&gt;"",config!$B$37,TODAY())&gt;WORKDAY(N($I56),4,calendar!$A$2:$A$80),$AF56=""),"day-5 count missing; ","")&amp;IF(AND($U56&gt;0,$I56&lt;&gt;"",IF(config!$B$37&lt;&gt;"",config!$B$37,TODAY())&gt;WORKDAY(N($I56),4,calendar!$A$2:$A$80),$AN56=""),"no close link reading; ","")&amp;$R56&amp;IF($P56="N","info: office said no; ","")&amp;IF(AND($P56="Y",$Q56="N"),"info: turned away at the door, so not on the drop (no letter, not in the report or Gate 2; the credit check is on campaigns); ","")&amp;IF(AND($U56&gt;0,$Y56="",$I56&lt;&gt;"",IF(config!$B$37&lt;&gt;"",config!$B$37,TODAY())&gt;WORKDAY(N($I56),4,calendar!$A$2:$A$80)),"info: no usable placement photo, so nothing counts as placed; ","")&amp;IF(AND($U56&gt;0,$I56&lt;&gt;"",IF(config!$B$37&lt;&gt;"",config!$B$37,TODAY())&gt;WORKDAY(N($I56),4,calendar!$A$2:$A$80),N($AL56)&lt;config!$B$30),"info: under "&amp;config!$B$30&amp;" responses; ","")&amp;IF($W56="packing_list","info: delivered count not verified; ",""))</f>
        <v/>
      </c>
      <c r="AQ56" s="25">
        <f>IF(OR($A56="",$I56=""),"",IF($BC56="Y",SUMIFS(survey_frozen!$E$2:$E$251,survey_frozen!$P$2:$P$251,$A56&amp;"|"&amp;$B56),IFERROR(COUNTIFS(INDIRECT("'"&amp;$A56&amp;"'!$B$2:$B$501"),$T56,INDIRECT("'"&amp;$A56&amp;"'!$A$2:$A$501"),"&gt;="&amp;$I56,INDIRECT("'"&amp;$A56&amp;"'!$A$2:$A$501"),"&lt;"&amp;($BA56+1),INDIRECT("'"&amp;$A56&amp;"'!$F$2:$F$501"),"Didn't see it"),0)))</f>
        <v/>
      </c>
      <c r="AR56" s="25">
        <f>IF(OR($A56="",$I56=""),"",IF($BC56="Y",SUMIFS(survey_frozen!$F$2:$F$251,survey_frozen!$P$2:$P$251,$A56&amp;"|"&amp;$B56),IFERROR(COUNTIFS(INDIRECT("'"&amp;$A56&amp;"'!$B$2:$B$501"),$T56,INDIRECT("'"&amp;$A56&amp;"'!$A$2:$A$501"),"&gt;="&amp;$I56,INDIRECT("'"&amp;$A56&amp;"'!$A$2:$A$501"),"&lt;"&amp;($BA56+1),INDIRECT("'"&amp;$A56&amp;"'!$F$2:$F$501"),"Not for me"),0)))</f>
        <v/>
      </c>
      <c r="AS56" s="25">
        <f>IF(OR($A56="",$I56=""),"",IF($BC56="Y",SUMIFS(survey_frozen!$G$2:$G$251,survey_frozen!$P$2:$P$251,$A56&amp;"|"&amp;$B56),IFERROR(COUNTIFS(INDIRECT("'"&amp;$A56&amp;"'!$B$2:$B$501"),$T56,INDIRECT("'"&amp;$A56&amp;"'!$A$2:$A$501"),"&gt;="&amp;$I56,INDIRECT("'"&amp;$A56&amp;"'!$A$2:$A$501"),"&lt;"&amp;($BA56+1),INDIRECT("'"&amp;$A56&amp;"'!$F$2:$F$501"),"Gone by the time I looked"),0)))</f>
        <v/>
      </c>
      <c r="AT56" s="25">
        <f>IF(OR($A56="",$I56=""),"",IF($BC56="Y",SUMIFS(survey_frozen!$H$2:$H$251,survey_frozen!$P$2:$P$251,$A56&amp;"|"&amp;$B56),IFERROR(COUNTIFS(INDIRECT("'"&amp;$A56&amp;"'!$B$2:$B$501"),$T56,INDIRECT("'"&amp;$A56&amp;"'!$A$2:$A$501"),"&gt;="&amp;$I56,INDIRECT("'"&amp;$A56&amp;"'!$A$2:$A$501"),"&lt;"&amp;($BA56+1),INDIRECT("'"&amp;$A56&amp;"'!$D$2:$D$501"),"&gt;=1"),0)))</f>
        <v/>
      </c>
      <c r="AU56" s="25">
        <f>IF(OR($A56="",$I56=""),"",IF($BC56="Y",SUMIFS(survey_frozen!$I$2:$I$251,survey_frozen!$P$2:$P$251,$A56&amp;"|"&amp;$B56),IFERROR(SUMIFS(INDIRECT("'"&amp;$A56&amp;"'!$D$2:$D$501"),INDIRECT("'"&amp;$A56&amp;"'!$B$2:$B$501"),$T56,INDIRECT("'"&amp;$A56&amp;"'!$A$2:$A$501"),"&gt;="&amp;$I56,INDIRECT("'"&amp;$A56&amp;"'!$A$2:$A$501"),"&lt;"&amp;($BA56+1)),0)))</f>
        <v/>
      </c>
      <c r="AV56" s="25">
        <f>IF(OR($A56="",$I56=""),"",IF($BC56="Y",SUMIFS(survey_frozen!$J$2:$J$251,survey_frozen!$P$2:$P$251,$A56&amp;"|"&amp;$B56),IFERROR(COUNTIFS(INDIRECT("'"&amp;$A56&amp;"'!$B$2:$B$501"),$T56,INDIRECT("'"&amp;$A56&amp;"'!$A$2:$A$501"),"&gt;="&amp;$I56,INDIRECT("'"&amp;$A56&amp;"'!$A$2:$A$501"),"&lt;"&amp;($BA56+1),INDIRECT("'"&amp;$A56&amp;"'!$E$2:$E$501"),"Yes"),0)))</f>
        <v/>
      </c>
      <c r="AW56" s="25">
        <f>IF(OR($A56="",$I56=""),"",IF($BC56="Y",SUMIFS(survey_frozen!$K$2:$K$251,survey_frozen!$P$2:$P$251,$A56&amp;"|"&amp;$B56),IFERROR(COUNTIFS(INDIRECT("'"&amp;$A56&amp;"'!$B$2:$B$501"),$T56,INDIRECT("'"&amp;$A56&amp;"'!$A$2:$A$501"),"&gt;="&amp;$I56,INDIRECT("'"&amp;$A56&amp;"'!$A$2:$A$501"),"&lt;"&amp;($BA56+1),INDIRECT("'"&amp;$A56&amp;"'!$E$2:$E$501"),"Maybe"),0)))</f>
        <v/>
      </c>
      <c r="AX56" s="25">
        <f>IF(OR($A56="",$I56=""),"",IF($BC56="Y",SUMIFS(survey_frozen!$L$2:$L$251,survey_frozen!$P$2:$P$251,$A56&amp;"|"&amp;$B56),IFERROR(COUNTIFS(INDIRECT("'"&amp;$A56&amp;"'!$B$2:$B$501"),$T56,INDIRECT("'"&amp;$A56&amp;"'!$A$2:$A$501"),"&gt;="&amp;$I56,INDIRECT("'"&amp;$A56&amp;"'!$A$2:$A$501"),"&lt;"&amp;($BA56+1),INDIRECT("'"&amp;$A56&amp;"'!$E$2:$E$501"),"No"),0)))</f>
        <v/>
      </c>
      <c r="AY56" s="25">
        <f>IF(OR($A56="",$I56=""),"",IF($BC56="Y",SUMIFS(survey_frozen!$M$2:$M$251,survey_frozen!$P$2:$P$251,$A56&amp;"|"&amp;$B56),IFERROR(COUNTIFS(INDIRECT("'"&amp;$A56&amp;"'!$B$2:$B$501"),$T56,INDIRECT("'"&amp;$A56&amp;"'!$A$2:$A$501"),"&gt;="&amp;$I56,INDIRECT("'"&amp;$A56&amp;"'!$A$2:$A$501"),"&lt;"&amp;($BA56+1),INDIRECT("'"&amp;$A56&amp;"'!$G$2:$G$501"),"&lt;&gt;"),0)))</f>
        <v/>
      </c>
      <c r="AZ56" s="25">
        <f>IF($A56="","",$A56&amp;"|"&amp;$L56)</f>
        <v/>
      </c>
      <c r="BA56" s="26">
        <f>IF($A56="","",IFERROR(IF(INDEX(drops!$R$2:$R$21,MATCH($H56,drops!$A$2:$A$21,0))="","",INDEX(drops!$R$2:$R$21,MATCH($H56,drops!$A$2:$A$21,0))),""))</f>
        <v/>
      </c>
      <c r="BB56" s="25">
        <f>IF(OR($A56="",$Q56&lt;&gt;"Y"),1000000,N($AL56))</f>
        <v/>
      </c>
      <c r="BC56" s="25">
        <f>IF($A56="","",IF(COUNTIF(survey_frozen!$P$2:$P$251,$A56&amp;"|"&amp;$B56)&gt;0,"Y",""))</f>
        <v/>
      </c>
    </row>
    <row r="57">
      <c r="C57" s="9" t="n"/>
      <c r="E57" s="9" t="n"/>
      <c r="H57" s="25">
        <f>IF($A57="","",IFERROR(IF(INDEX(campaigns!$B$2:$B$51,MATCH($A57,campaigns!$A$2:$A$51,0))="","",INDEX(campaigns!$B$2:$B$51,MATCH($A57,campaigns!$A$2:$A$51,0))),""))</f>
        <v/>
      </c>
      <c r="I57" s="26">
        <f>IF($A57="","",IFERROR(IF(INDEX(campaigns!$BG$2:$BG$51,MATCH($A57,campaigns!$A$2:$A$51,0))="","",INDEX(campaigns!$BG$2:$BG$51,MATCH($A57,campaigns!$A$2:$A$51,0))),""))</f>
        <v/>
      </c>
      <c r="J57" s="25">
        <f>IF($A57="","",IFERROR(IF(INDEX(campaigns!$BE$2:$BE$51,MATCH($A57,campaigns!$A$2:$A$51,0))="","",INDEX(campaigns!$BE$2:$BE$51,MATCH($A57,campaigns!$A$2:$A$51,0))),""))</f>
        <v/>
      </c>
      <c r="K57" s="25">
        <f>IF($B57="","",IFERROR(IF(INDEX(offices!$N$2:$N$61,MATCH($B57,offices!$A$2:$A$61,0))="","",INDEX(offices!$N$2:$N$61,MATCH($B57,offices!$A$2:$A$61,0))),""))</f>
        <v/>
      </c>
      <c r="L57" s="25">
        <f>IF($A57="","",IF($Q57="N","",COUNTIFS($A$2:$A57,$A57,$Q$2:$Q57,"&lt;&gt;N")))</f>
        <v/>
      </c>
      <c r="M57" s="25">
        <f>IF(OR($A57="",$L57=""),"",IF(AND(config!$B$34="names_if_public",IFERROR(IF(INDEX(offices!$AF$2:$AF$61,MATCH($B57,offices!$A$2:$A$61,0))="","",INDEX(offices!$AF$2:$AF$61,MATCH($B57,offices!$A$2:$A$61,0))),"")="Y"),$K57,CHAR(64+$L57)))</f>
        <v/>
      </c>
      <c r="N57" s="25">
        <f>IF(OR($A57="",$I57=""),"",COUNTIFS(stops!$B$2:$B$151,$B57,stops!$P$2:$P$151,"&lt;"&amp;$I57,stops!$L$2:$L$151,"&lt;&gt;not_delivered")+1)</f>
        <v/>
      </c>
      <c r="O57" s="25">
        <f>IF($A57="","",IF(N($N57)&lt;=config!$B$29,"explicit","opt-out"))</f>
        <v/>
      </c>
      <c r="P57" s="25">
        <f>IF($A57="","",IF($O57="explicit",IF($D57="yes","Y",IF($D57="no","N","pending")),IF($D57="no","N",IF(AND($C57&lt;&gt;"",$I57&lt;&gt;"",$C57&lt;=WORKDAY(N($I57),-5,calendar!$A$2:$A$80)),"Y","pending"))))</f>
        <v/>
      </c>
      <c r="Q57" s="25">
        <f>IF($A57="","",IF($P57="N","N",IF($P57&lt;&gt;"Y","pending",IF(AND((COUNTIFS(stops!$A$2:$A$151,$H57,stops!$B$2:$B$151,$B57,stops!$L$2:$L$151,"declined")+COUNTIFS(stops!$A$2:$A$151,$H57,stops!$B$2:$B$151,$B57,stops!$L$2:$L$151,"building_refused")+COUNTIFS(stops!$A$2:$A$151,$H57,stops!$B$2:$B$151,$B57,stops!$L$2:$L$151,"not_delivered"))&gt;0,N($U57)=0),"N","Y"))))</f>
        <v/>
      </c>
      <c r="R57" s="25">
        <f>IF($A57="","",IF(COUNTIFS($A$2:$A$251,$A57,$B$2:$B$251,$B57)&gt;1,"DUPLICATE ROW; ","")&amp;IF(AND(IFERROR(IF(INDEX(offices!$AC$2:$AC$61,MATCH($B57,offices!$A$2:$A$61,0))="","",INDEX(offices!$AC$2:$AC$61,MATCH($B57,offices!$A$2:$A$61,0))),"")&lt;&gt;"",ISNUMBER(SEARCH($J57,IFERROR(IF(INDEX(offices!$AC$2:$AC$61,MATCH($B57,offices!$A$2:$A$61,0))="","",INDEX(offices!$AC$2:$AC$61,MATCH($B57,offices!$A$2:$A$61,0))),"")))),"BRAND VETOED; ","")&amp;IF(ISNUMBER(SEARCH(IFERROR(IF(INDEX(campaigns!$BF$2:$BF$51,MATCH($A57,campaigns!$A$2:$A$51,0))="","",INDEX(campaigns!$BF$2:$BF$51,MATCH($A57,campaigns!$A$2:$A$51,0))),""),IFERROR(IF(INDEX(offices!$AB$2:$AB$61,MATCH($B57,offices!$A$2:$A$61,0))="","",INDEX(offices!$AB$2:$AB$61,MATCH($B57,offices!$A$2:$A$61,0))),""))),"","info: category not on the office's list; ")&amp;IF(IFERROR(IF(INDEX(offices!$AC$2:$AC$61,MATCH($B57,offices!$A$2:$A$61,0))="","",INDEX(offices!$AC$2:$AC$61,MATCH($B57,offices!$A$2:$A$61,0))),"")&lt;&gt;"","info: read the vetoes against the label; ",""))</f>
        <v/>
      </c>
      <c r="S57" s="25">
        <f>IF($A57="","",IF($G57&lt;&gt;"",$G57,IFERROR(IF(INDEX(offices!$AL$2:$AL$61,MATCH($B57,offices!$A$2:$A$61,0))="","",INDEX(offices!$AL$2:$AL$61,MATCH($B57,offices!$A$2:$A$61,0))),"")))</f>
        <v/>
      </c>
      <c r="T57" s="25">
        <f>IF($A57="","",$A57&amp;"."&amp;$B57)</f>
        <v/>
      </c>
      <c r="U57" s="25">
        <f>IF($A57="","",SUMIFS(inventory!$G$2:$G$801,inventory!$C$2:$C$801,$A57,inventory!$D$2:$D$801,$B57,inventory!$E$2:$E$801,"delivered"))</f>
        <v/>
      </c>
      <c r="V57" s="32">
        <f>IF($A57="","",IFERROR(1/(1/SUMPRODUCT(MAX((inventory!$C$2:$C$801=$A57)*(inventory!$D$2:$D$801=$B57)*(inventory!$E$2:$E$801="delivered")*(inventory!$A$2:$A$801+inventory!$B$2:$B$801)))),""))</f>
        <v/>
      </c>
      <c r="W57" s="25">
        <f>IF($A57="","",IFERROR(IF(INDEX(inventory!$J$2:$J$801,MATCH($A57&amp;"|"&amp;$B57&amp;"|delivered",inventory!$R$2:$R$801,0))="","",INDEX(inventory!$J$2:$J$801,MATCH($A57&amp;"|"&amp;$B57&amp;"|delivered",inventory!$R$2:$R$801,0))),""))</f>
        <v/>
      </c>
      <c r="X57" s="25">
        <f>IF($A57="","",IFERROR(IF(INDEX(photos!$H$2:$H$701,MATCH($A57&amp;"|"&amp;$B57&amp;"|placement|Y",photos!$R$2:$R$701,0))="","",INDEX(photos!$H$2:$H$701,MATCH($A57&amp;"|"&amp;$B57&amp;"|placement|Y",photos!$R$2:$R$701,0))),""))</f>
        <v/>
      </c>
      <c r="Y57" s="26">
        <f>IF($A57="","",IFERROR(IF(INDEX(photos!$E$2:$E$701,MATCH($A57&amp;"|"&amp;$B57&amp;"|placement|Y",photos!$R$2:$R$701,0))="","",INDEX(photos!$E$2:$E$701,MATCH($A57&amp;"|"&amp;$B57&amp;"|placement|Y",photos!$R$2:$R$701,0))),""))</f>
        <v/>
      </c>
      <c r="Z57" s="25">
        <f>IF($A57="","",IF(COUNTIFS(counts!$C$2:$C$701,$A57,counts!$D$2:$D$701,$B57,counts!$E$2:$E$701,"placed")=0,"",SUMIFS(counts!$F$2:$F$701,counts!$C$2:$C$701,$A57,counts!$D$2:$D$701,$B57,counts!$E$2:$E$701,"placed")))</f>
        <v/>
      </c>
      <c r="AA57" s="25">
        <f>IF($A57="","",IF($Y57="",0,N($Z57)))</f>
        <v/>
      </c>
      <c r="AB57" s="25">
        <f>IF($A57="","",IF(OR($Y57="",$I57=""),"N",IF($Y57&lt;=WORKDAY(N($I57),1,calendar!$A$2:$A$80),"Y","N")))</f>
        <v/>
      </c>
      <c r="AC57" s="28">
        <f>IF(OR($A57="",$V57="",$Y57=""),"",ROUND(($Y57+N(IFERROR(IF(INDEX(photos!$F$2:$F$701,MATCH($A57&amp;"|"&amp;$B57&amp;"|placement|Y",photos!$R$2:$R$701,0))="","",INDEX(photos!$F$2:$F$701,MATCH($A57&amp;"|"&amp;$B57&amp;"|placement|Y",photos!$R$2:$R$701,0))),""))-$V57)*24,1))</f>
        <v/>
      </c>
      <c r="AD57" s="25">
        <f>IF($A57="","",SUMIFS(inventory!$G$2:$G$801,inventory!$C$2:$C$801,$A57,inventory!$D$2:$D$801,$B57,inventory!$E$2:$E$801,"topped_up"))</f>
        <v/>
      </c>
      <c r="AE57" s="25">
        <f>IF($A57="","",IF(COUNTIFS(counts!$C$2:$C$701,$A57,counts!$D$2:$D$701,$B57,counts!$E$2:$E$701,"remaining_day3")=0,"",SUMIFS(counts!$F$2:$F$701,counts!$C$2:$C$701,$A57,counts!$D$2:$D$701,$B57,counts!$E$2:$E$701,"remaining_day3")))</f>
        <v/>
      </c>
      <c r="AF57" s="25">
        <f>IF($A57="","",IF(COUNTIFS(counts!$C$2:$C$701,$A57,counts!$D$2:$D$701,$B57,counts!$E$2:$E$701,"remaining_day5")=0,"",SUMIFS(counts!$F$2:$F$701,counts!$C$2:$C$701,$A57,counts!$D$2:$D$701,$B57,counts!$E$2:$E$701,"remaining_day5")))</f>
        <v/>
      </c>
      <c r="AG57" s="25">
        <f>IF(OR($A57="",$AF57=""),"",MAX(0,$AA57+$AD57-$AF57))</f>
        <v/>
      </c>
      <c r="AH57" s="25">
        <f>IF(OR($A57="",$AI57=""),"",IFERROR(IF(INDEX(photos!$H$2:$H$701,MATCH($A57&amp;"|"&amp;$B57&amp;"|later|Y|"&amp;$AI57,photos!$S$2:$S$701,0))="","",INDEX(photos!$H$2:$H$701,MATCH($A57&amp;"|"&amp;$B57&amp;"|later|Y|"&amp;$AI57,photos!$S$2:$S$701,0))),""))</f>
        <v/>
      </c>
      <c r="AI57" s="26">
        <f>IF($A57="","",IFERROR(1/(1/SUMPRODUCT(MAX((photos!$B$2:$B$701=$A57)*(photos!$C$2:$C$701=$B57)*(photos!$D$2:$D$701="later")*(photos!$O$2:$O$701="Y")*photos!$E$2:$E$701))),""))</f>
        <v/>
      </c>
      <c r="AJ57" s="25">
        <f>IF(OR($A57="",$AI57="",$I57=""),"",NETWORKDAYS($I57,$AI57,calendar!$A$2:$A$80))</f>
        <v/>
      </c>
      <c r="AK57" s="25">
        <f>IF($A57="","",IF(AND($X57&lt;&gt;"",$AH57&lt;&gt;""),"Y","N"))</f>
        <v/>
      </c>
      <c r="AL57" s="25">
        <f>IF(OR($A57="",$I57=""),"",IF($BC57="Y",SUMIFS(survey_frozen!$C$2:$C$251,survey_frozen!$P$2:$P$251,$A57&amp;"|"&amp;$B57),IFERROR(COUNTIFS(INDIRECT("'"&amp;$A57&amp;"'!$B$2:$B$501"),$T57,INDIRECT("'"&amp;$A57&amp;"'!$A$2:$A$501"),"&gt;="&amp;$I57,INDIRECT("'"&amp;$A57&amp;"'!$A$2:$A$501"),"&lt;"&amp;($BA57+1)),0)))</f>
        <v/>
      </c>
      <c r="AM57" s="25">
        <f>IF(OR($A57="",$I57=""),"",IF($BC57="Y",SUMIFS(survey_frozen!$D$2:$D$251,survey_frozen!$P$2:$P$251,$A57&amp;"|"&amp;$B57),IFERROR(COUNTIFS(INDIRECT("'"&amp;$A57&amp;"'!$B$2:$B$501"),$T57,INDIRECT("'"&amp;$A57&amp;"'!$A$2:$A$501"),"&gt;="&amp;$I57,INDIRECT("'"&amp;$A57&amp;"'!$A$2:$A$501"),"&lt;"&amp;($BA57+1),INDIRECT("'"&amp;$A57&amp;"'!$C$2:$C$501"),"Yes"),0)))</f>
        <v/>
      </c>
      <c r="AN57" s="25">
        <f>IF($A57="","",IF(COUNTIFS(scans!$C$2:$C$1601,(IF(LEFT($A57,7)="SAMPLE-","SAMPLE-","")&amp;LOWER(SUBSTITUTE(SUBSTITUTE($A57,"SAMPLE-",""),"CMP-","c"))&amp;"-"&amp;LOWER(SUBSTITUTE(SUBSTITUTE($B57,"SAMPLE-",""),"O-","o"))&amp;"-q"),scans!$D$2:$D$1601,"close")=0,"",SUMPRODUCT(MAX((scans!$C$2:$C$1601=(IF(LEFT($A57,7)="SAMPLE-","SAMPLE-","")&amp;LOWER(SUBSTITUTE(SUBSTITUTE($A57,"SAMPLE-",""),"CMP-","c"))&amp;"-"&amp;LOWER(SUBSTITUTE(SUBSTITUTE($B57,"SAMPLE-",""),"O-","o"))&amp;"-q"))*(scans!$D$2:$D$1601="close")*scans!$E$2:$E$1601))-SUMPRODUCT(MAX((scans!$C$2:$C$1601=(IF(LEFT($A57,7)="SAMPLE-","SAMPLE-","")&amp;LOWER(SUBSTITUTE(SUBSTITUTE($A57,"SAMPLE-",""),"CMP-","c"))&amp;"-"&amp;LOWER(SUBSTITUTE(SUBSTITUTE($B57,"SAMPLE-",""),"O-","o"))&amp;"-q"))*(scans!$D$2:$D$1601="baseline")*scans!$E$2:$E$1601))))</f>
        <v/>
      </c>
      <c r="AO57" s="25">
        <f>IF($A57="","",IF(COUNTIFS(scans!$C$2:$C$1601,(IF(LEFT($A57,7)="SAMPLE-","SAMPLE-","")&amp;LOWER(SUBSTITUTE(SUBSTITUTE($A57,"SAMPLE-",""),"CMP-","c"))&amp;"-"&amp;LOWER(SUBSTITUTE(SUBSTITUTE($B57,"SAMPLE-",""),"O-","o"))&amp;"-p"),scans!$D$2:$D$1601,"close")=0,"",SUMPRODUCT(MAX((scans!$C$2:$C$1601=(IF(LEFT($A57,7)="SAMPLE-","SAMPLE-","")&amp;LOWER(SUBSTITUTE(SUBSTITUTE($A57,"SAMPLE-",""),"CMP-","c"))&amp;"-"&amp;LOWER(SUBSTITUTE(SUBSTITUTE($B57,"SAMPLE-",""),"O-","o"))&amp;"-p"))*(scans!$D$2:$D$1601="close")*scans!$E$2:$E$1601))-SUMPRODUCT(MAX((scans!$C$2:$C$1601=(IF(LEFT($A57,7)="SAMPLE-","SAMPLE-","")&amp;LOWER(SUBSTITUTE(SUBSTITUTE($A57,"SAMPLE-",""),"CMP-","c"))&amp;"-"&amp;LOWER(SUBSTITUTE(SUBSTITUTE($B57,"SAMPLE-",""),"O-","o"))&amp;"-p"))*(scans!$D$2:$D$1601="baseline")*scans!$E$2:$E$1601))))</f>
        <v/>
      </c>
      <c r="AP57" s="25">
        <f>IF($A57="","",IF(COUNTIF(offices!$A$2:$A$61,$B57)=0,"office_id not on offices; ","")&amp;IF(COUNTIF(campaigns!$A$2:$A$51,$A57)=0,"campaign_id not on campaigns; ","")&amp;IF($P57="pending","approval pending; ","")&amp;IF(AND($U57&gt;0,$Y57="",OR($I57="",IF(config!$B$37&lt;&gt;"",config!$B$37,TODAY())&lt;=WORKDAY(N($I57),4,calendar!$A$2:$A$80))),"no usable placement photo yet; ","")&amp;IF(AND($Y57&lt;&gt;"",$Z57=""),"log the placed count; ","")&amp;IF(N($AA57)&gt;N($U57),"placed more than delivered; ","")&amp;IF(AND($AF57&lt;&gt;"",N($AF57)&gt;N($AA57)+N($AD57)),"day-5 count above placed plus top-ups; ","")&amp;IF(AND($U57&gt;0,$I57&lt;&gt;"",IF(config!$B$37&lt;&gt;"",config!$B$37,TODAY())&gt;WORKDAY(N($I57),4,calendar!$A$2:$A$80),$AF57=""),"day-5 count missing; ","")&amp;IF(AND($U57&gt;0,$I57&lt;&gt;"",IF(config!$B$37&lt;&gt;"",config!$B$37,TODAY())&gt;WORKDAY(N($I57),4,calendar!$A$2:$A$80),$AN57=""),"no close link reading; ","")&amp;$R57&amp;IF($P57="N","info: office said no; ","")&amp;IF(AND($P57="Y",$Q57="N"),"info: turned away at the door, so not on the drop (no letter, not in the report or Gate 2; the credit check is on campaigns); ","")&amp;IF(AND($U57&gt;0,$Y57="",$I57&lt;&gt;"",IF(config!$B$37&lt;&gt;"",config!$B$37,TODAY())&gt;WORKDAY(N($I57),4,calendar!$A$2:$A$80)),"info: no usable placement photo, so nothing counts as placed; ","")&amp;IF(AND($U57&gt;0,$I57&lt;&gt;"",IF(config!$B$37&lt;&gt;"",config!$B$37,TODAY())&gt;WORKDAY(N($I57),4,calendar!$A$2:$A$80),N($AL57)&lt;config!$B$30),"info: under "&amp;config!$B$30&amp;" responses; ","")&amp;IF($W57="packing_list","info: delivered count not verified; ",""))</f>
        <v/>
      </c>
      <c r="AQ57" s="25">
        <f>IF(OR($A57="",$I57=""),"",IF($BC57="Y",SUMIFS(survey_frozen!$E$2:$E$251,survey_frozen!$P$2:$P$251,$A57&amp;"|"&amp;$B57),IFERROR(COUNTIFS(INDIRECT("'"&amp;$A57&amp;"'!$B$2:$B$501"),$T57,INDIRECT("'"&amp;$A57&amp;"'!$A$2:$A$501"),"&gt;="&amp;$I57,INDIRECT("'"&amp;$A57&amp;"'!$A$2:$A$501"),"&lt;"&amp;($BA57+1),INDIRECT("'"&amp;$A57&amp;"'!$F$2:$F$501"),"Didn't see it"),0)))</f>
        <v/>
      </c>
      <c r="AR57" s="25">
        <f>IF(OR($A57="",$I57=""),"",IF($BC57="Y",SUMIFS(survey_frozen!$F$2:$F$251,survey_frozen!$P$2:$P$251,$A57&amp;"|"&amp;$B57),IFERROR(COUNTIFS(INDIRECT("'"&amp;$A57&amp;"'!$B$2:$B$501"),$T57,INDIRECT("'"&amp;$A57&amp;"'!$A$2:$A$501"),"&gt;="&amp;$I57,INDIRECT("'"&amp;$A57&amp;"'!$A$2:$A$501"),"&lt;"&amp;($BA57+1),INDIRECT("'"&amp;$A57&amp;"'!$F$2:$F$501"),"Not for me"),0)))</f>
        <v/>
      </c>
      <c r="AS57" s="25">
        <f>IF(OR($A57="",$I57=""),"",IF($BC57="Y",SUMIFS(survey_frozen!$G$2:$G$251,survey_frozen!$P$2:$P$251,$A57&amp;"|"&amp;$B57),IFERROR(COUNTIFS(INDIRECT("'"&amp;$A57&amp;"'!$B$2:$B$501"),$T57,INDIRECT("'"&amp;$A57&amp;"'!$A$2:$A$501"),"&gt;="&amp;$I57,INDIRECT("'"&amp;$A57&amp;"'!$A$2:$A$501"),"&lt;"&amp;($BA57+1),INDIRECT("'"&amp;$A57&amp;"'!$F$2:$F$501"),"Gone by the time I looked"),0)))</f>
        <v/>
      </c>
      <c r="AT57" s="25">
        <f>IF(OR($A57="",$I57=""),"",IF($BC57="Y",SUMIFS(survey_frozen!$H$2:$H$251,survey_frozen!$P$2:$P$251,$A57&amp;"|"&amp;$B57),IFERROR(COUNTIFS(INDIRECT("'"&amp;$A57&amp;"'!$B$2:$B$501"),$T57,INDIRECT("'"&amp;$A57&amp;"'!$A$2:$A$501"),"&gt;="&amp;$I57,INDIRECT("'"&amp;$A57&amp;"'!$A$2:$A$501"),"&lt;"&amp;($BA57+1),INDIRECT("'"&amp;$A57&amp;"'!$D$2:$D$501"),"&gt;=1"),0)))</f>
        <v/>
      </c>
      <c r="AU57" s="25">
        <f>IF(OR($A57="",$I57=""),"",IF($BC57="Y",SUMIFS(survey_frozen!$I$2:$I$251,survey_frozen!$P$2:$P$251,$A57&amp;"|"&amp;$B57),IFERROR(SUMIFS(INDIRECT("'"&amp;$A57&amp;"'!$D$2:$D$501"),INDIRECT("'"&amp;$A57&amp;"'!$B$2:$B$501"),$T57,INDIRECT("'"&amp;$A57&amp;"'!$A$2:$A$501"),"&gt;="&amp;$I57,INDIRECT("'"&amp;$A57&amp;"'!$A$2:$A$501"),"&lt;"&amp;($BA57+1)),0)))</f>
        <v/>
      </c>
      <c r="AV57" s="25">
        <f>IF(OR($A57="",$I57=""),"",IF($BC57="Y",SUMIFS(survey_frozen!$J$2:$J$251,survey_frozen!$P$2:$P$251,$A57&amp;"|"&amp;$B57),IFERROR(COUNTIFS(INDIRECT("'"&amp;$A57&amp;"'!$B$2:$B$501"),$T57,INDIRECT("'"&amp;$A57&amp;"'!$A$2:$A$501"),"&gt;="&amp;$I57,INDIRECT("'"&amp;$A57&amp;"'!$A$2:$A$501"),"&lt;"&amp;($BA57+1),INDIRECT("'"&amp;$A57&amp;"'!$E$2:$E$501"),"Yes"),0)))</f>
        <v/>
      </c>
      <c r="AW57" s="25">
        <f>IF(OR($A57="",$I57=""),"",IF($BC57="Y",SUMIFS(survey_frozen!$K$2:$K$251,survey_frozen!$P$2:$P$251,$A57&amp;"|"&amp;$B57),IFERROR(COUNTIFS(INDIRECT("'"&amp;$A57&amp;"'!$B$2:$B$501"),$T57,INDIRECT("'"&amp;$A57&amp;"'!$A$2:$A$501"),"&gt;="&amp;$I57,INDIRECT("'"&amp;$A57&amp;"'!$A$2:$A$501"),"&lt;"&amp;($BA57+1),INDIRECT("'"&amp;$A57&amp;"'!$E$2:$E$501"),"Maybe"),0)))</f>
        <v/>
      </c>
      <c r="AX57" s="25">
        <f>IF(OR($A57="",$I57=""),"",IF($BC57="Y",SUMIFS(survey_frozen!$L$2:$L$251,survey_frozen!$P$2:$P$251,$A57&amp;"|"&amp;$B57),IFERROR(COUNTIFS(INDIRECT("'"&amp;$A57&amp;"'!$B$2:$B$501"),$T57,INDIRECT("'"&amp;$A57&amp;"'!$A$2:$A$501"),"&gt;="&amp;$I57,INDIRECT("'"&amp;$A57&amp;"'!$A$2:$A$501"),"&lt;"&amp;($BA57+1),INDIRECT("'"&amp;$A57&amp;"'!$E$2:$E$501"),"No"),0)))</f>
        <v/>
      </c>
      <c r="AY57" s="25">
        <f>IF(OR($A57="",$I57=""),"",IF($BC57="Y",SUMIFS(survey_frozen!$M$2:$M$251,survey_frozen!$P$2:$P$251,$A57&amp;"|"&amp;$B57),IFERROR(COUNTIFS(INDIRECT("'"&amp;$A57&amp;"'!$B$2:$B$501"),$T57,INDIRECT("'"&amp;$A57&amp;"'!$A$2:$A$501"),"&gt;="&amp;$I57,INDIRECT("'"&amp;$A57&amp;"'!$A$2:$A$501"),"&lt;"&amp;($BA57+1),INDIRECT("'"&amp;$A57&amp;"'!$G$2:$G$501"),"&lt;&gt;"),0)))</f>
        <v/>
      </c>
      <c r="AZ57" s="25">
        <f>IF($A57="","",$A57&amp;"|"&amp;$L57)</f>
        <v/>
      </c>
      <c r="BA57" s="26">
        <f>IF($A57="","",IFERROR(IF(INDEX(drops!$R$2:$R$21,MATCH($H57,drops!$A$2:$A$21,0))="","",INDEX(drops!$R$2:$R$21,MATCH($H57,drops!$A$2:$A$21,0))),""))</f>
        <v/>
      </c>
      <c r="BB57" s="25">
        <f>IF(OR($A57="",$Q57&lt;&gt;"Y"),1000000,N($AL57))</f>
        <v/>
      </c>
      <c r="BC57" s="25">
        <f>IF($A57="","",IF(COUNTIF(survey_frozen!$P$2:$P$251,$A57&amp;"|"&amp;$B57)&gt;0,"Y",""))</f>
        <v/>
      </c>
    </row>
    <row r="58">
      <c r="C58" s="9" t="n"/>
      <c r="E58" s="9" t="n"/>
      <c r="H58" s="25">
        <f>IF($A58="","",IFERROR(IF(INDEX(campaigns!$B$2:$B$51,MATCH($A58,campaigns!$A$2:$A$51,0))="","",INDEX(campaigns!$B$2:$B$51,MATCH($A58,campaigns!$A$2:$A$51,0))),""))</f>
        <v/>
      </c>
      <c r="I58" s="26">
        <f>IF($A58="","",IFERROR(IF(INDEX(campaigns!$BG$2:$BG$51,MATCH($A58,campaigns!$A$2:$A$51,0))="","",INDEX(campaigns!$BG$2:$BG$51,MATCH($A58,campaigns!$A$2:$A$51,0))),""))</f>
        <v/>
      </c>
      <c r="J58" s="25">
        <f>IF($A58="","",IFERROR(IF(INDEX(campaigns!$BE$2:$BE$51,MATCH($A58,campaigns!$A$2:$A$51,0))="","",INDEX(campaigns!$BE$2:$BE$51,MATCH($A58,campaigns!$A$2:$A$51,0))),""))</f>
        <v/>
      </c>
      <c r="K58" s="25">
        <f>IF($B58="","",IFERROR(IF(INDEX(offices!$N$2:$N$61,MATCH($B58,offices!$A$2:$A$61,0))="","",INDEX(offices!$N$2:$N$61,MATCH($B58,offices!$A$2:$A$61,0))),""))</f>
        <v/>
      </c>
      <c r="L58" s="25">
        <f>IF($A58="","",IF($Q58="N","",COUNTIFS($A$2:$A58,$A58,$Q$2:$Q58,"&lt;&gt;N")))</f>
        <v/>
      </c>
      <c r="M58" s="25">
        <f>IF(OR($A58="",$L58=""),"",IF(AND(config!$B$34="names_if_public",IFERROR(IF(INDEX(offices!$AF$2:$AF$61,MATCH($B58,offices!$A$2:$A$61,0))="","",INDEX(offices!$AF$2:$AF$61,MATCH($B58,offices!$A$2:$A$61,0))),"")="Y"),$K58,CHAR(64+$L58)))</f>
        <v/>
      </c>
      <c r="N58" s="25">
        <f>IF(OR($A58="",$I58=""),"",COUNTIFS(stops!$B$2:$B$151,$B58,stops!$P$2:$P$151,"&lt;"&amp;$I58,stops!$L$2:$L$151,"&lt;&gt;not_delivered")+1)</f>
        <v/>
      </c>
      <c r="O58" s="25">
        <f>IF($A58="","",IF(N($N58)&lt;=config!$B$29,"explicit","opt-out"))</f>
        <v/>
      </c>
      <c r="P58" s="25">
        <f>IF($A58="","",IF($O58="explicit",IF($D58="yes","Y",IF($D58="no","N","pending")),IF($D58="no","N",IF(AND($C58&lt;&gt;"",$I58&lt;&gt;"",$C58&lt;=WORKDAY(N($I58),-5,calendar!$A$2:$A$80)),"Y","pending"))))</f>
        <v/>
      </c>
      <c r="Q58" s="25">
        <f>IF($A58="","",IF($P58="N","N",IF($P58&lt;&gt;"Y","pending",IF(AND((COUNTIFS(stops!$A$2:$A$151,$H58,stops!$B$2:$B$151,$B58,stops!$L$2:$L$151,"declined")+COUNTIFS(stops!$A$2:$A$151,$H58,stops!$B$2:$B$151,$B58,stops!$L$2:$L$151,"building_refused")+COUNTIFS(stops!$A$2:$A$151,$H58,stops!$B$2:$B$151,$B58,stops!$L$2:$L$151,"not_delivered"))&gt;0,N($U58)=0),"N","Y"))))</f>
        <v/>
      </c>
      <c r="R58" s="25">
        <f>IF($A58="","",IF(COUNTIFS($A$2:$A$251,$A58,$B$2:$B$251,$B58)&gt;1,"DUPLICATE ROW; ","")&amp;IF(AND(IFERROR(IF(INDEX(offices!$AC$2:$AC$61,MATCH($B58,offices!$A$2:$A$61,0))="","",INDEX(offices!$AC$2:$AC$61,MATCH($B58,offices!$A$2:$A$61,0))),"")&lt;&gt;"",ISNUMBER(SEARCH($J58,IFERROR(IF(INDEX(offices!$AC$2:$AC$61,MATCH($B58,offices!$A$2:$A$61,0))="","",INDEX(offices!$AC$2:$AC$61,MATCH($B58,offices!$A$2:$A$61,0))),"")))),"BRAND VETOED; ","")&amp;IF(ISNUMBER(SEARCH(IFERROR(IF(INDEX(campaigns!$BF$2:$BF$51,MATCH($A58,campaigns!$A$2:$A$51,0))="","",INDEX(campaigns!$BF$2:$BF$51,MATCH($A58,campaigns!$A$2:$A$51,0))),""),IFERROR(IF(INDEX(offices!$AB$2:$AB$61,MATCH($B58,offices!$A$2:$A$61,0))="","",INDEX(offices!$AB$2:$AB$61,MATCH($B58,offices!$A$2:$A$61,0))),""))),"","info: category not on the office's list; ")&amp;IF(IFERROR(IF(INDEX(offices!$AC$2:$AC$61,MATCH($B58,offices!$A$2:$A$61,0))="","",INDEX(offices!$AC$2:$AC$61,MATCH($B58,offices!$A$2:$A$61,0))),"")&lt;&gt;"","info: read the vetoes against the label; ",""))</f>
        <v/>
      </c>
      <c r="S58" s="25">
        <f>IF($A58="","",IF($G58&lt;&gt;"",$G58,IFERROR(IF(INDEX(offices!$AL$2:$AL$61,MATCH($B58,offices!$A$2:$A$61,0))="","",INDEX(offices!$AL$2:$AL$61,MATCH($B58,offices!$A$2:$A$61,0))),"")))</f>
        <v/>
      </c>
      <c r="T58" s="25">
        <f>IF($A58="","",$A58&amp;"."&amp;$B58)</f>
        <v/>
      </c>
      <c r="U58" s="25">
        <f>IF($A58="","",SUMIFS(inventory!$G$2:$G$801,inventory!$C$2:$C$801,$A58,inventory!$D$2:$D$801,$B58,inventory!$E$2:$E$801,"delivered"))</f>
        <v/>
      </c>
      <c r="V58" s="32">
        <f>IF($A58="","",IFERROR(1/(1/SUMPRODUCT(MAX((inventory!$C$2:$C$801=$A58)*(inventory!$D$2:$D$801=$B58)*(inventory!$E$2:$E$801="delivered")*(inventory!$A$2:$A$801+inventory!$B$2:$B$801)))),""))</f>
        <v/>
      </c>
      <c r="W58" s="25">
        <f>IF($A58="","",IFERROR(IF(INDEX(inventory!$J$2:$J$801,MATCH($A58&amp;"|"&amp;$B58&amp;"|delivered",inventory!$R$2:$R$801,0))="","",INDEX(inventory!$J$2:$J$801,MATCH($A58&amp;"|"&amp;$B58&amp;"|delivered",inventory!$R$2:$R$801,0))),""))</f>
        <v/>
      </c>
      <c r="X58" s="25">
        <f>IF($A58="","",IFERROR(IF(INDEX(photos!$H$2:$H$701,MATCH($A58&amp;"|"&amp;$B58&amp;"|placement|Y",photos!$R$2:$R$701,0))="","",INDEX(photos!$H$2:$H$701,MATCH($A58&amp;"|"&amp;$B58&amp;"|placement|Y",photos!$R$2:$R$701,0))),""))</f>
        <v/>
      </c>
      <c r="Y58" s="26">
        <f>IF($A58="","",IFERROR(IF(INDEX(photos!$E$2:$E$701,MATCH($A58&amp;"|"&amp;$B58&amp;"|placement|Y",photos!$R$2:$R$701,0))="","",INDEX(photos!$E$2:$E$701,MATCH($A58&amp;"|"&amp;$B58&amp;"|placement|Y",photos!$R$2:$R$701,0))),""))</f>
        <v/>
      </c>
      <c r="Z58" s="25">
        <f>IF($A58="","",IF(COUNTIFS(counts!$C$2:$C$701,$A58,counts!$D$2:$D$701,$B58,counts!$E$2:$E$701,"placed")=0,"",SUMIFS(counts!$F$2:$F$701,counts!$C$2:$C$701,$A58,counts!$D$2:$D$701,$B58,counts!$E$2:$E$701,"placed")))</f>
        <v/>
      </c>
      <c r="AA58" s="25">
        <f>IF($A58="","",IF($Y58="",0,N($Z58)))</f>
        <v/>
      </c>
      <c r="AB58" s="25">
        <f>IF($A58="","",IF(OR($Y58="",$I58=""),"N",IF($Y58&lt;=WORKDAY(N($I58),1,calendar!$A$2:$A$80),"Y","N")))</f>
        <v/>
      </c>
      <c r="AC58" s="28">
        <f>IF(OR($A58="",$V58="",$Y58=""),"",ROUND(($Y58+N(IFERROR(IF(INDEX(photos!$F$2:$F$701,MATCH($A58&amp;"|"&amp;$B58&amp;"|placement|Y",photos!$R$2:$R$701,0))="","",INDEX(photos!$F$2:$F$701,MATCH($A58&amp;"|"&amp;$B58&amp;"|placement|Y",photos!$R$2:$R$701,0))),""))-$V58)*24,1))</f>
        <v/>
      </c>
      <c r="AD58" s="25">
        <f>IF($A58="","",SUMIFS(inventory!$G$2:$G$801,inventory!$C$2:$C$801,$A58,inventory!$D$2:$D$801,$B58,inventory!$E$2:$E$801,"topped_up"))</f>
        <v/>
      </c>
      <c r="AE58" s="25">
        <f>IF($A58="","",IF(COUNTIFS(counts!$C$2:$C$701,$A58,counts!$D$2:$D$701,$B58,counts!$E$2:$E$701,"remaining_day3")=0,"",SUMIFS(counts!$F$2:$F$701,counts!$C$2:$C$701,$A58,counts!$D$2:$D$701,$B58,counts!$E$2:$E$701,"remaining_day3")))</f>
        <v/>
      </c>
      <c r="AF58" s="25">
        <f>IF($A58="","",IF(COUNTIFS(counts!$C$2:$C$701,$A58,counts!$D$2:$D$701,$B58,counts!$E$2:$E$701,"remaining_day5")=0,"",SUMIFS(counts!$F$2:$F$701,counts!$C$2:$C$701,$A58,counts!$D$2:$D$701,$B58,counts!$E$2:$E$701,"remaining_day5")))</f>
        <v/>
      </c>
      <c r="AG58" s="25">
        <f>IF(OR($A58="",$AF58=""),"",MAX(0,$AA58+$AD58-$AF58))</f>
        <v/>
      </c>
      <c r="AH58" s="25">
        <f>IF(OR($A58="",$AI58=""),"",IFERROR(IF(INDEX(photos!$H$2:$H$701,MATCH($A58&amp;"|"&amp;$B58&amp;"|later|Y|"&amp;$AI58,photos!$S$2:$S$701,0))="","",INDEX(photos!$H$2:$H$701,MATCH($A58&amp;"|"&amp;$B58&amp;"|later|Y|"&amp;$AI58,photos!$S$2:$S$701,0))),""))</f>
        <v/>
      </c>
      <c r="AI58" s="26">
        <f>IF($A58="","",IFERROR(1/(1/SUMPRODUCT(MAX((photos!$B$2:$B$701=$A58)*(photos!$C$2:$C$701=$B58)*(photos!$D$2:$D$701="later")*(photos!$O$2:$O$701="Y")*photos!$E$2:$E$701))),""))</f>
        <v/>
      </c>
      <c r="AJ58" s="25">
        <f>IF(OR($A58="",$AI58="",$I58=""),"",NETWORKDAYS($I58,$AI58,calendar!$A$2:$A$80))</f>
        <v/>
      </c>
      <c r="AK58" s="25">
        <f>IF($A58="","",IF(AND($X58&lt;&gt;"",$AH58&lt;&gt;""),"Y","N"))</f>
        <v/>
      </c>
      <c r="AL58" s="25">
        <f>IF(OR($A58="",$I58=""),"",IF($BC58="Y",SUMIFS(survey_frozen!$C$2:$C$251,survey_frozen!$P$2:$P$251,$A58&amp;"|"&amp;$B58),IFERROR(COUNTIFS(INDIRECT("'"&amp;$A58&amp;"'!$B$2:$B$501"),$T58,INDIRECT("'"&amp;$A58&amp;"'!$A$2:$A$501"),"&gt;="&amp;$I58,INDIRECT("'"&amp;$A58&amp;"'!$A$2:$A$501"),"&lt;"&amp;($BA58+1)),0)))</f>
        <v/>
      </c>
      <c r="AM58" s="25">
        <f>IF(OR($A58="",$I58=""),"",IF($BC58="Y",SUMIFS(survey_frozen!$D$2:$D$251,survey_frozen!$P$2:$P$251,$A58&amp;"|"&amp;$B58),IFERROR(COUNTIFS(INDIRECT("'"&amp;$A58&amp;"'!$B$2:$B$501"),$T58,INDIRECT("'"&amp;$A58&amp;"'!$A$2:$A$501"),"&gt;="&amp;$I58,INDIRECT("'"&amp;$A58&amp;"'!$A$2:$A$501"),"&lt;"&amp;($BA58+1),INDIRECT("'"&amp;$A58&amp;"'!$C$2:$C$501"),"Yes"),0)))</f>
        <v/>
      </c>
      <c r="AN58" s="25">
        <f>IF($A58="","",IF(COUNTIFS(scans!$C$2:$C$1601,(IF(LEFT($A58,7)="SAMPLE-","SAMPLE-","")&amp;LOWER(SUBSTITUTE(SUBSTITUTE($A58,"SAMPLE-",""),"CMP-","c"))&amp;"-"&amp;LOWER(SUBSTITUTE(SUBSTITUTE($B58,"SAMPLE-",""),"O-","o"))&amp;"-q"),scans!$D$2:$D$1601,"close")=0,"",SUMPRODUCT(MAX((scans!$C$2:$C$1601=(IF(LEFT($A58,7)="SAMPLE-","SAMPLE-","")&amp;LOWER(SUBSTITUTE(SUBSTITUTE($A58,"SAMPLE-",""),"CMP-","c"))&amp;"-"&amp;LOWER(SUBSTITUTE(SUBSTITUTE($B58,"SAMPLE-",""),"O-","o"))&amp;"-q"))*(scans!$D$2:$D$1601="close")*scans!$E$2:$E$1601))-SUMPRODUCT(MAX((scans!$C$2:$C$1601=(IF(LEFT($A58,7)="SAMPLE-","SAMPLE-","")&amp;LOWER(SUBSTITUTE(SUBSTITUTE($A58,"SAMPLE-",""),"CMP-","c"))&amp;"-"&amp;LOWER(SUBSTITUTE(SUBSTITUTE($B58,"SAMPLE-",""),"O-","o"))&amp;"-q"))*(scans!$D$2:$D$1601="baseline")*scans!$E$2:$E$1601))))</f>
        <v/>
      </c>
      <c r="AO58" s="25">
        <f>IF($A58="","",IF(COUNTIFS(scans!$C$2:$C$1601,(IF(LEFT($A58,7)="SAMPLE-","SAMPLE-","")&amp;LOWER(SUBSTITUTE(SUBSTITUTE($A58,"SAMPLE-",""),"CMP-","c"))&amp;"-"&amp;LOWER(SUBSTITUTE(SUBSTITUTE($B58,"SAMPLE-",""),"O-","o"))&amp;"-p"),scans!$D$2:$D$1601,"close")=0,"",SUMPRODUCT(MAX((scans!$C$2:$C$1601=(IF(LEFT($A58,7)="SAMPLE-","SAMPLE-","")&amp;LOWER(SUBSTITUTE(SUBSTITUTE($A58,"SAMPLE-",""),"CMP-","c"))&amp;"-"&amp;LOWER(SUBSTITUTE(SUBSTITUTE($B58,"SAMPLE-",""),"O-","o"))&amp;"-p"))*(scans!$D$2:$D$1601="close")*scans!$E$2:$E$1601))-SUMPRODUCT(MAX((scans!$C$2:$C$1601=(IF(LEFT($A58,7)="SAMPLE-","SAMPLE-","")&amp;LOWER(SUBSTITUTE(SUBSTITUTE($A58,"SAMPLE-",""),"CMP-","c"))&amp;"-"&amp;LOWER(SUBSTITUTE(SUBSTITUTE($B58,"SAMPLE-",""),"O-","o"))&amp;"-p"))*(scans!$D$2:$D$1601="baseline")*scans!$E$2:$E$1601))))</f>
        <v/>
      </c>
      <c r="AP58" s="25">
        <f>IF($A58="","",IF(COUNTIF(offices!$A$2:$A$61,$B58)=0,"office_id not on offices; ","")&amp;IF(COUNTIF(campaigns!$A$2:$A$51,$A58)=0,"campaign_id not on campaigns; ","")&amp;IF($P58="pending","approval pending; ","")&amp;IF(AND($U58&gt;0,$Y58="",OR($I58="",IF(config!$B$37&lt;&gt;"",config!$B$37,TODAY())&lt;=WORKDAY(N($I58),4,calendar!$A$2:$A$80))),"no usable placement photo yet; ","")&amp;IF(AND($Y58&lt;&gt;"",$Z58=""),"log the placed count; ","")&amp;IF(N($AA58)&gt;N($U58),"placed more than delivered; ","")&amp;IF(AND($AF58&lt;&gt;"",N($AF58)&gt;N($AA58)+N($AD58)),"day-5 count above placed plus top-ups; ","")&amp;IF(AND($U58&gt;0,$I58&lt;&gt;"",IF(config!$B$37&lt;&gt;"",config!$B$37,TODAY())&gt;WORKDAY(N($I58),4,calendar!$A$2:$A$80),$AF58=""),"day-5 count missing; ","")&amp;IF(AND($U58&gt;0,$I58&lt;&gt;"",IF(config!$B$37&lt;&gt;"",config!$B$37,TODAY())&gt;WORKDAY(N($I58),4,calendar!$A$2:$A$80),$AN58=""),"no close link reading; ","")&amp;$R58&amp;IF($P58="N","info: office said no; ","")&amp;IF(AND($P58="Y",$Q58="N"),"info: turned away at the door, so not on the drop (no letter, not in the report or Gate 2; the credit check is on campaigns); ","")&amp;IF(AND($U58&gt;0,$Y58="",$I58&lt;&gt;"",IF(config!$B$37&lt;&gt;"",config!$B$37,TODAY())&gt;WORKDAY(N($I58),4,calendar!$A$2:$A$80)),"info: no usable placement photo, so nothing counts as placed; ","")&amp;IF(AND($U58&gt;0,$I58&lt;&gt;"",IF(config!$B$37&lt;&gt;"",config!$B$37,TODAY())&gt;WORKDAY(N($I58),4,calendar!$A$2:$A$80),N($AL58)&lt;config!$B$30),"info: under "&amp;config!$B$30&amp;" responses; ","")&amp;IF($W58="packing_list","info: delivered count not verified; ",""))</f>
        <v/>
      </c>
      <c r="AQ58" s="25">
        <f>IF(OR($A58="",$I58=""),"",IF($BC58="Y",SUMIFS(survey_frozen!$E$2:$E$251,survey_frozen!$P$2:$P$251,$A58&amp;"|"&amp;$B58),IFERROR(COUNTIFS(INDIRECT("'"&amp;$A58&amp;"'!$B$2:$B$501"),$T58,INDIRECT("'"&amp;$A58&amp;"'!$A$2:$A$501"),"&gt;="&amp;$I58,INDIRECT("'"&amp;$A58&amp;"'!$A$2:$A$501"),"&lt;"&amp;($BA58+1),INDIRECT("'"&amp;$A58&amp;"'!$F$2:$F$501"),"Didn't see it"),0)))</f>
        <v/>
      </c>
      <c r="AR58" s="25">
        <f>IF(OR($A58="",$I58=""),"",IF($BC58="Y",SUMIFS(survey_frozen!$F$2:$F$251,survey_frozen!$P$2:$P$251,$A58&amp;"|"&amp;$B58),IFERROR(COUNTIFS(INDIRECT("'"&amp;$A58&amp;"'!$B$2:$B$501"),$T58,INDIRECT("'"&amp;$A58&amp;"'!$A$2:$A$501"),"&gt;="&amp;$I58,INDIRECT("'"&amp;$A58&amp;"'!$A$2:$A$501"),"&lt;"&amp;($BA58+1),INDIRECT("'"&amp;$A58&amp;"'!$F$2:$F$501"),"Not for me"),0)))</f>
        <v/>
      </c>
      <c r="AS58" s="25">
        <f>IF(OR($A58="",$I58=""),"",IF($BC58="Y",SUMIFS(survey_frozen!$G$2:$G$251,survey_frozen!$P$2:$P$251,$A58&amp;"|"&amp;$B58),IFERROR(COUNTIFS(INDIRECT("'"&amp;$A58&amp;"'!$B$2:$B$501"),$T58,INDIRECT("'"&amp;$A58&amp;"'!$A$2:$A$501"),"&gt;="&amp;$I58,INDIRECT("'"&amp;$A58&amp;"'!$A$2:$A$501"),"&lt;"&amp;($BA58+1),INDIRECT("'"&amp;$A58&amp;"'!$F$2:$F$501"),"Gone by the time I looked"),0)))</f>
        <v/>
      </c>
      <c r="AT58" s="25">
        <f>IF(OR($A58="",$I58=""),"",IF($BC58="Y",SUMIFS(survey_frozen!$H$2:$H$251,survey_frozen!$P$2:$P$251,$A58&amp;"|"&amp;$B58),IFERROR(COUNTIFS(INDIRECT("'"&amp;$A58&amp;"'!$B$2:$B$501"),$T58,INDIRECT("'"&amp;$A58&amp;"'!$A$2:$A$501"),"&gt;="&amp;$I58,INDIRECT("'"&amp;$A58&amp;"'!$A$2:$A$501"),"&lt;"&amp;($BA58+1),INDIRECT("'"&amp;$A58&amp;"'!$D$2:$D$501"),"&gt;=1"),0)))</f>
        <v/>
      </c>
      <c r="AU58" s="25">
        <f>IF(OR($A58="",$I58=""),"",IF($BC58="Y",SUMIFS(survey_frozen!$I$2:$I$251,survey_frozen!$P$2:$P$251,$A58&amp;"|"&amp;$B58),IFERROR(SUMIFS(INDIRECT("'"&amp;$A58&amp;"'!$D$2:$D$501"),INDIRECT("'"&amp;$A58&amp;"'!$B$2:$B$501"),$T58,INDIRECT("'"&amp;$A58&amp;"'!$A$2:$A$501"),"&gt;="&amp;$I58,INDIRECT("'"&amp;$A58&amp;"'!$A$2:$A$501"),"&lt;"&amp;($BA58+1)),0)))</f>
        <v/>
      </c>
      <c r="AV58" s="25">
        <f>IF(OR($A58="",$I58=""),"",IF($BC58="Y",SUMIFS(survey_frozen!$J$2:$J$251,survey_frozen!$P$2:$P$251,$A58&amp;"|"&amp;$B58),IFERROR(COUNTIFS(INDIRECT("'"&amp;$A58&amp;"'!$B$2:$B$501"),$T58,INDIRECT("'"&amp;$A58&amp;"'!$A$2:$A$501"),"&gt;="&amp;$I58,INDIRECT("'"&amp;$A58&amp;"'!$A$2:$A$501"),"&lt;"&amp;($BA58+1),INDIRECT("'"&amp;$A58&amp;"'!$E$2:$E$501"),"Yes"),0)))</f>
        <v/>
      </c>
      <c r="AW58" s="25">
        <f>IF(OR($A58="",$I58=""),"",IF($BC58="Y",SUMIFS(survey_frozen!$K$2:$K$251,survey_frozen!$P$2:$P$251,$A58&amp;"|"&amp;$B58),IFERROR(COUNTIFS(INDIRECT("'"&amp;$A58&amp;"'!$B$2:$B$501"),$T58,INDIRECT("'"&amp;$A58&amp;"'!$A$2:$A$501"),"&gt;="&amp;$I58,INDIRECT("'"&amp;$A58&amp;"'!$A$2:$A$501"),"&lt;"&amp;($BA58+1),INDIRECT("'"&amp;$A58&amp;"'!$E$2:$E$501"),"Maybe"),0)))</f>
        <v/>
      </c>
      <c r="AX58" s="25">
        <f>IF(OR($A58="",$I58=""),"",IF($BC58="Y",SUMIFS(survey_frozen!$L$2:$L$251,survey_frozen!$P$2:$P$251,$A58&amp;"|"&amp;$B58),IFERROR(COUNTIFS(INDIRECT("'"&amp;$A58&amp;"'!$B$2:$B$501"),$T58,INDIRECT("'"&amp;$A58&amp;"'!$A$2:$A$501"),"&gt;="&amp;$I58,INDIRECT("'"&amp;$A58&amp;"'!$A$2:$A$501"),"&lt;"&amp;($BA58+1),INDIRECT("'"&amp;$A58&amp;"'!$E$2:$E$501"),"No"),0)))</f>
        <v/>
      </c>
      <c r="AY58" s="25">
        <f>IF(OR($A58="",$I58=""),"",IF($BC58="Y",SUMIFS(survey_frozen!$M$2:$M$251,survey_frozen!$P$2:$P$251,$A58&amp;"|"&amp;$B58),IFERROR(COUNTIFS(INDIRECT("'"&amp;$A58&amp;"'!$B$2:$B$501"),$T58,INDIRECT("'"&amp;$A58&amp;"'!$A$2:$A$501"),"&gt;="&amp;$I58,INDIRECT("'"&amp;$A58&amp;"'!$A$2:$A$501"),"&lt;"&amp;($BA58+1),INDIRECT("'"&amp;$A58&amp;"'!$G$2:$G$501"),"&lt;&gt;"),0)))</f>
        <v/>
      </c>
      <c r="AZ58" s="25">
        <f>IF($A58="","",$A58&amp;"|"&amp;$L58)</f>
        <v/>
      </c>
      <c r="BA58" s="26">
        <f>IF($A58="","",IFERROR(IF(INDEX(drops!$R$2:$R$21,MATCH($H58,drops!$A$2:$A$21,0))="","",INDEX(drops!$R$2:$R$21,MATCH($H58,drops!$A$2:$A$21,0))),""))</f>
        <v/>
      </c>
      <c r="BB58" s="25">
        <f>IF(OR($A58="",$Q58&lt;&gt;"Y"),1000000,N($AL58))</f>
        <v/>
      </c>
      <c r="BC58" s="25">
        <f>IF($A58="","",IF(COUNTIF(survey_frozen!$P$2:$P$251,$A58&amp;"|"&amp;$B58)&gt;0,"Y",""))</f>
        <v/>
      </c>
    </row>
    <row r="59">
      <c r="C59" s="9" t="n"/>
      <c r="E59" s="9" t="n"/>
      <c r="H59" s="25">
        <f>IF($A59="","",IFERROR(IF(INDEX(campaigns!$B$2:$B$51,MATCH($A59,campaigns!$A$2:$A$51,0))="","",INDEX(campaigns!$B$2:$B$51,MATCH($A59,campaigns!$A$2:$A$51,0))),""))</f>
        <v/>
      </c>
      <c r="I59" s="26">
        <f>IF($A59="","",IFERROR(IF(INDEX(campaigns!$BG$2:$BG$51,MATCH($A59,campaigns!$A$2:$A$51,0))="","",INDEX(campaigns!$BG$2:$BG$51,MATCH($A59,campaigns!$A$2:$A$51,0))),""))</f>
        <v/>
      </c>
      <c r="J59" s="25">
        <f>IF($A59="","",IFERROR(IF(INDEX(campaigns!$BE$2:$BE$51,MATCH($A59,campaigns!$A$2:$A$51,0))="","",INDEX(campaigns!$BE$2:$BE$51,MATCH($A59,campaigns!$A$2:$A$51,0))),""))</f>
        <v/>
      </c>
      <c r="K59" s="25">
        <f>IF($B59="","",IFERROR(IF(INDEX(offices!$N$2:$N$61,MATCH($B59,offices!$A$2:$A$61,0))="","",INDEX(offices!$N$2:$N$61,MATCH($B59,offices!$A$2:$A$61,0))),""))</f>
        <v/>
      </c>
      <c r="L59" s="25">
        <f>IF($A59="","",IF($Q59="N","",COUNTIFS($A$2:$A59,$A59,$Q$2:$Q59,"&lt;&gt;N")))</f>
        <v/>
      </c>
      <c r="M59" s="25">
        <f>IF(OR($A59="",$L59=""),"",IF(AND(config!$B$34="names_if_public",IFERROR(IF(INDEX(offices!$AF$2:$AF$61,MATCH($B59,offices!$A$2:$A$61,0))="","",INDEX(offices!$AF$2:$AF$61,MATCH($B59,offices!$A$2:$A$61,0))),"")="Y"),$K59,CHAR(64+$L59)))</f>
        <v/>
      </c>
      <c r="N59" s="25">
        <f>IF(OR($A59="",$I59=""),"",COUNTIFS(stops!$B$2:$B$151,$B59,stops!$P$2:$P$151,"&lt;"&amp;$I59,stops!$L$2:$L$151,"&lt;&gt;not_delivered")+1)</f>
        <v/>
      </c>
      <c r="O59" s="25">
        <f>IF($A59="","",IF(N($N59)&lt;=config!$B$29,"explicit","opt-out"))</f>
        <v/>
      </c>
      <c r="P59" s="25">
        <f>IF($A59="","",IF($O59="explicit",IF($D59="yes","Y",IF($D59="no","N","pending")),IF($D59="no","N",IF(AND($C59&lt;&gt;"",$I59&lt;&gt;"",$C59&lt;=WORKDAY(N($I59),-5,calendar!$A$2:$A$80)),"Y","pending"))))</f>
        <v/>
      </c>
      <c r="Q59" s="25">
        <f>IF($A59="","",IF($P59="N","N",IF($P59&lt;&gt;"Y","pending",IF(AND((COUNTIFS(stops!$A$2:$A$151,$H59,stops!$B$2:$B$151,$B59,stops!$L$2:$L$151,"declined")+COUNTIFS(stops!$A$2:$A$151,$H59,stops!$B$2:$B$151,$B59,stops!$L$2:$L$151,"building_refused")+COUNTIFS(stops!$A$2:$A$151,$H59,stops!$B$2:$B$151,$B59,stops!$L$2:$L$151,"not_delivered"))&gt;0,N($U59)=0),"N","Y"))))</f>
        <v/>
      </c>
      <c r="R59" s="25">
        <f>IF($A59="","",IF(COUNTIFS($A$2:$A$251,$A59,$B$2:$B$251,$B59)&gt;1,"DUPLICATE ROW; ","")&amp;IF(AND(IFERROR(IF(INDEX(offices!$AC$2:$AC$61,MATCH($B59,offices!$A$2:$A$61,0))="","",INDEX(offices!$AC$2:$AC$61,MATCH($B59,offices!$A$2:$A$61,0))),"")&lt;&gt;"",ISNUMBER(SEARCH($J59,IFERROR(IF(INDEX(offices!$AC$2:$AC$61,MATCH($B59,offices!$A$2:$A$61,0))="","",INDEX(offices!$AC$2:$AC$61,MATCH($B59,offices!$A$2:$A$61,0))),"")))),"BRAND VETOED; ","")&amp;IF(ISNUMBER(SEARCH(IFERROR(IF(INDEX(campaigns!$BF$2:$BF$51,MATCH($A59,campaigns!$A$2:$A$51,0))="","",INDEX(campaigns!$BF$2:$BF$51,MATCH($A59,campaigns!$A$2:$A$51,0))),""),IFERROR(IF(INDEX(offices!$AB$2:$AB$61,MATCH($B59,offices!$A$2:$A$61,0))="","",INDEX(offices!$AB$2:$AB$61,MATCH($B59,offices!$A$2:$A$61,0))),""))),"","info: category not on the office's list; ")&amp;IF(IFERROR(IF(INDEX(offices!$AC$2:$AC$61,MATCH($B59,offices!$A$2:$A$61,0))="","",INDEX(offices!$AC$2:$AC$61,MATCH($B59,offices!$A$2:$A$61,0))),"")&lt;&gt;"","info: read the vetoes against the label; ",""))</f>
        <v/>
      </c>
      <c r="S59" s="25">
        <f>IF($A59="","",IF($G59&lt;&gt;"",$G59,IFERROR(IF(INDEX(offices!$AL$2:$AL$61,MATCH($B59,offices!$A$2:$A$61,0))="","",INDEX(offices!$AL$2:$AL$61,MATCH($B59,offices!$A$2:$A$61,0))),"")))</f>
        <v/>
      </c>
      <c r="T59" s="25">
        <f>IF($A59="","",$A59&amp;"."&amp;$B59)</f>
        <v/>
      </c>
      <c r="U59" s="25">
        <f>IF($A59="","",SUMIFS(inventory!$G$2:$G$801,inventory!$C$2:$C$801,$A59,inventory!$D$2:$D$801,$B59,inventory!$E$2:$E$801,"delivered"))</f>
        <v/>
      </c>
      <c r="V59" s="32">
        <f>IF($A59="","",IFERROR(1/(1/SUMPRODUCT(MAX((inventory!$C$2:$C$801=$A59)*(inventory!$D$2:$D$801=$B59)*(inventory!$E$2:$E$801="delivered")*(inventory!$A$2:$A$801+inventory!$B$2:$B$801)))),""))</f>
        <v/>
      </c>
      <c r="W59" s="25">
        <f>IF($A59="","",IFERROR(IF(INDEX(inventory!$J$2:$J$801,MATCH($A59&amp;"|"&amp;$B59&amp;"|delivered",inventory!$R$2:$R$801,0))="","",INDEX(inventory!$J$2:$J$801,MATCH($A59&amp;"|"&amp;$B59&amp;"|delivered",inventory!$R$2:$R$801,0))),""))</f>
        <v/>
      </c>
      <c r="X59" s="25">
        <f>IF($A59="","",IFERROR(IF(INDEX(photos!$H$2:$H$701,MATCH($A59&amp;"|"&amp;$B59&amp;"|placement|Y",photos!$R$2:$R$701,0))="","",INDEX(photos!$H$2:$H$701,MATCH($A59&amp;"|"&amp;$B59&amp;"|placement|Y",photos!$R$2:$R$701,0))),""))</f>
        <v/>
      </c>
      <c r="Y59" s="26">
        <f>IF($A59="","",IFERROR(IF(INDEX(photos!$E$2:$E$701,MATCH($A59&amp;"|"&amp;$B59&amp;"|placement|Y",photos!$R$2:$R$701,0))="","",INDEX(photos!$E$2:$E$701,MATCH($A59&amp;"|"&amp;$B59&amp;"|placement|Y",photos!$R$2:$R$701,0))),""))</f>
        <v/>
      </c>
      <c r="Z59" s="25">
        <f>IF($A59="","",IF(COUNTIFS(counts!$C$2:$C$701,$A59,counts!$D$2:$D$701,$B59,counts!$E$2:$E$701,"placed")=0,"",SUMIFS(counts!$F$2:$F$701,counts!$C$2:$C$701,$A59,counts!$D$2:$D$701,$B59,counts!$E$2:$E$701,"placed")))</f>
        <v/>
      </c>
      <c r="AA59" s="25">
        <f>IF($A59="","",IF($Y59="",0,N($Z59)))</f>
        <v/>
      </c>
      <c r="AB59" s="25">
        <f>IF($A59="","",IF(OR($Y59="",$I59=""),"N",IF($Y59&lt;=WORKDAY(N($I59),1,calendar!$A$2:$A$80),"Y","N")))</f>
        <v/>
      </c>
      <c r="AC59" s="28">
        <f>IF(OR($A59="",$V59="",$Y59=""),"",ROUND(($Y59+N(IFERROR(IF(INDEX(photos!$F$2:$F$701,MATCH($A59&amp;"|"&amp;$B59&amp;"|placement|Y",photos!$R$2:$R$701,0))="","",INDEX(photos!$F$2:$F$701,MATCH($A59&amp;"|"&amp;$B59&amp;"|placement|Y",photos!$R$2:$R$701,0))),""))-$V59)*24,1))</f>
        <v/>
      </c>
      <c r="AD59" s="25">
        <f>IF($A59="","",SUMIFS(inventory!$G$2:$G$801,inventory!$C$2:$C$801,$A59,inventory!$D$2:$D$801,$B59,inventory!$E$2:$E$801,"topped_up"))</f>
        <v/>
      </c>
      <c r="AE59" s="25">
        <f>IF($A59="","",IF(COUNTIFS(counts!$C$2:$C$701,$A59,counts!$D$2:$D$701,$B59,counts!$E$2:$E$701,"remaining_day3")=0,"",SUMIFS(counts!$F$2:$F$701,counts!$C$2:$C$701,$A59,counts!$D$2:$D$701,$B59,counts!$E$2:$E$701,"remaining_day3")))</f>
        <v/>
      </c>
      <c r="AF59" s="25">
        <f>IF($A59="","",IF(COUNTIFS(counts!$C$2:$C$701,$A59,counts!$D$2:$D$701,$B59,counts!$E$2:$E$701,"remaining_day5")=0,"",SUMIFS(counts!$F$2:$F$701,counts!$C$2:$C$701,$A59,counts!$D$2:$D$701,$B59,counts!$E$2:$E$701,"remaining_day5")))</f>
        <v/>
      </c>
      <c r="AG59" s="25">
        <f>IF(OR($A59="",$AF59=""),"",MAX(0,$AA59+$AD59-$AF59))</f>
        <v/>
      </c>
      <c r="AH59" s="25">
        <f>IF(OR($A59="",$AI59=""),"",IFERROR(IF(INDEX(photos!$H$2:$H$701,MATCH($A59&amp;"|"&amp;$B59&amp;"|later|Y|"&amp;$AI59,photos!$S$2:$S$701,0))="","",INDEX(photos!$H$2:$H$701,MATCH($A59&amp;"|"&amp;$B59&amp;"|later|Y|"&amp;$AI59,photos!$S$2:$S$701,0))),""))</f>
        <v/>
      </c>
      <c r="AI59" s="26">
        <f>IF($A59="","",IFERROR(1/(1/SUMPRODUCT(MAX((photos!$B$2:$B$701=$A59)*(photos!$C$2:$C$701=$B59)*(photos!$D$2:$D$701="later")*(photos!$O$2:$O$701="Y")*photos!$E$2:$E$701))),""))</f>
        <v/>
      </c>
      <c r="AJ59" s="25">
        <f>IF(OR($A59="",$AI59="",$I59=""),"",NETWORKDAYS($I59,$AI59,calendar!$A$2:$A$80))</f>
        <v/>
      </c>
      <c r="AK59" s="25">
        <f>IF($A59="","",IF(AND($X59&lt;&gt;"",$AH59&lt;&gt;""),"Y","N"))</f>
        <v/>
      </c>
      <c r="AL59" s="25">
        <f>IF(OR($A59="",$I59=""),"",IF($BC59="Y",SUMIFS(survey_frozen!$C$2:$C$251,survey_frozen!$P$2:$P$251,$A59&amp;"|"&amp;$B59),IFERROR(COUNTIFS(INDIRECT("'"&amp;$A59&amp;"'!$B$2:$B$501"),$T59,INDIRECT("'"&amp;$A59&amp;"'!$A$2:$A$501"),"&gt;="&amp;$I59,INDIRECT("'"&amp;$A59&amp;"'!$A$2:$A$501"),"&lt;"&amp;($BA59+1)),0)))</f>
        <v/>
      </c>
      <c r="AM59" s="25">
        <f>IF(OR($A59="",$I59=""),"",IF($BC59="Y",SUMIFS(survey_frozen!$D$2:$D$251,survey_frozen!$P$2:$P$251,$A59&amp;"|"&amp;$B59),IFERROR(COUNTIFS(INDIRECT("'"&amp;$A59&amp;"'!$B$2:$B$501"),$T59,INDIRECT("'"&amp;$A59&amp;"'!$A$2:$A$501"),"&gt;="&amp;$I59,INDIRECT("'"&amp;$A59&amp;"'!$A$2:$A$501"),"&lt;"&amp;($BA59+1),INDIRECT("'"&amp;$A59&amp;"'!$C$2:$C$501"),"Yes"),0)))</f>
        <v/>
      </c>
      <c r="AN59" s="25">
        <f>IF($A59="","",IF(COUNTIFS(scans!$C$2:$C$1601,(IF(LEFT($A59,7)="SAMPLE-","SAMPLE-","")&amp;LOWER(SUBSTITUTE(SUBSTITUTE($A59,"SAMPLE-",""),"CMP-","c"))&amp;"-"&amp;LOWER(SUBSTITUTE(SUBSTITUTE($B59,"SAMPLE-",""),"O-","o"))&amp;"-q"),scans!$D$2:$D$1601,"close")=0,"",SUMPRODUCT(MAX((scans!$C$2:$C$1601=(IF(LEFT($A59,7)="SAMPLE-","SAMPLE-","")&amp;LOWER(SUBSTITUTE(SUBSTITUTE($A59,"SAMPLE-",""),"CMP-","c"))&amp;"-"&amp;LOWER(SUBSTITUTE(SUBSTITUTE($B59,"SAMPLE-",""),"O-","o"))&amp;"-q"))*(scans!$D$2:$D$1601="close")*scans!$E$2:$E$1601))-SUMPRODUCT(MAX((scans!$C$2:$C$1601=(IF(LEFT($A59,7)="SAMPLE-","SAMPLE-","")&amp;LOWER(SUBSTITUTE(SUBSTITUTE($A59,"SAMPLE-",""),"CMP-","c"))&amp;"-"&amp;LOWER(SUBSTITUTE(SUBSTITUTE($B59,"SAMPLE-",""),"O-","o"))&amp;"-q"))*(scans!$D$2:$D$1601="baseline")*scans!$E$2:$E$1601))))</f>
        <v/>
      </c>
      <c r="AO59" s="25">
        <f>IF($A59="","",IF(COUNTIFS(scans!$C$2:$C$1601,(IF(LEFT($A59,7)="SAMPLE-","SAMPLE-","")&amp;LOWER(SUBSTITUTE(SUBSTITUTE($A59,"SAMPLE-",""),"CMP-","c"))&amp;"-"&amp;LOWER(SUBSTITUTE(SUBSTITUTE($B59,"SAMPLE-",""),"O-","o"))&amp;"-p"),scans!$D$2:$D$1601,"close")=0,"",SUMPRODUCT(MAX((scans!$C$2:$C$1601=(IF(LEFT($A59,7)="SAMPLE-","SAMPLE-","")&amp;LOWER(SUBSTITUTE(SUBSTITUTE($A59,"SAMPLE-",""),"CMP-","c"))&amp;"-"&amp;LOWER(SUBSTITUTE(SUBSTITUTE($B59,"SAMPLE-",""),"O-","o"))&amp;"-p"))*(scans!$D$2:$D$1601="close")*scans!$E$2:$E$1601))-SUMPRODUCT(MAX((scans!$C$2:$C$1601=(IF(LEFT($A59,7)="SAMPLE-","SAMPLE-","")&amp;LOWER(SUBSTITUTE(SUBSTITUTE($A59,"SAMPLE-",""),"CMP-","c"))&amp;"-"&amp;LOWER(SUBSTITUTE(SUBSTITUTE($B59,"SAMPLE-",""),"O-","o"))&amp;"-p"))*(scans!$D$2:$D$1601="baseline")*scans!$E$2:$E$1601))))</f>
        <v/>
      </c>
      <c r="AP59" s="25">
        <f>IF($A59="","",IF(COUNTIF(offices!$A$2:$A$61,$B59)=0,"office_id not on offices; ","")&amp;IF(COUNTIF(campaigns!$A$2:$A$51,$A59)=0,"campaign_id not on campaigns; ","")&amp;IF($P59="pending","approval pending; ","")&amp;IF(AND($U59&gt;0,$Y59="",OR($I59="",IF(config!$B$37&lt;&gt;"",config!$B$37,TODAY())&lt;=WORKDAY(N($I59),4,calendar!$A$2:$A$80))),"no usable placement photo yet; ","")&amp;IF(AND($Y59&lt;&gt;"",$Z59=""),"log the placed count; ","")&amp;IF(N($AA59)&gt;N($U59),"placed more than delivered; ","")&amp;IF(AND($AF59&lt;&gt;"",N($AF59)&gt;N($AA59)+N($AD59)),"day-5 count above placed plus top-ups; ","")&amp;IF(AND($U59&gt;0,$I59&lt;&gt;"",IF(config!$B$37&lt;&gt;"",config!$B$37,TODAY())&gt;WORKDAY(N($I59),4,calendar!$A$2:$A$80),$AF59=""),"day-5 count missing; ","")&amp;IF(AND($U59&gt;0,$I59&lt;&gt;"",IF(config!$B$37&lt;&gt;"",config!$B$37,TODAY())&gt;WORKDAY(N($I59),4,calendar!$A$2:$A$80),$AN59=""),"no close link reading; ","")&amp;$R59&amp;IF($P59="N","info: office said no; ","")&amp;IF(AND($P59="Y",$Q59="N"),"info: turned away at the door, so not on the drop (no letter, not in the report or Gate 2; the credit check is on campaigns); ","")&amp;IF(AND($U59&gt;0,$Y59="",$I59&lt;&gt;"",IF(config!$B$37&lt;&gt;"",config!$B$37,TODAY())&gt;WORKDAY(N($I59),4,calendar!$A$2:$A$80)),"info: no usable placement photo, so nothing counts as placed; ","")&amp;IF(AND($U59&gt;0,$I59&lt;&gt;"",IF(config!$B$37&lt;&gt;"",config!$B$37,TODAY())&gt;WORKDAY(N($I59),4,calendar!$A$2:$A$80),N($AL59)&lt;config!$B$30),"info: under "&amp;config!$B$30&amp;" responses; ","")&amp;IF($W59="packing_list","info: delivered count not verified; ",""))</f>
        <v/>
      </c>
      <c r="AQ59" s="25">
        <f>IF(OR($A59="",$I59=""),"",IF($BC59="Y",SUMIFS(survey_frozen!$E$2:$E$251,survey_frozen!$P$2:$P$251,$A59&amp;"|"&amp;$B59),IFERROR(COUNTIFS(INDIRECT("'"&amp;$A59&amp;"'!$B$2:$B$501"),$T59,INDIRECT("'"&amp;$A59&amp;"'!$A$2:$A$501"),"&gt;="&amp;$I59,INDIRECT("'"&amp;$A59&amp;"'!$A$2:$A$501"),"&lt;"&amp;($BA59+1),INDIRECT("'"&amp;$A59&amp;"'!$F$2:$F$501"),"Didn't see it"),0)))</f>
        <v/>
      </c>
      <c r="AR59" s="25">
        <f>IF(OR($A59="",$I59=""),"",IF($BC59="Y",SUMIFS(survey_frozen!$F$2:$F$251,survey_frozen!$P$2:$P$251,$A59&amp;"|"&amp;$B59),IFERROR(COUNTIFS(INDIRECT("'"&amp;$A59&amp;"'!$B$2:$B$501"),$T59,INDIRECT("'"&amp;$A59&amp;"'!$A$2:$A$501"),"&gt;="&amp;$I59,INDIRECT("'"&amp;$A59&amp;"'!$A$2:$A$501"),"&lt;"&amp;($BA59+1),INDIRECT("'"&amp;$A59&amp;"'!$F$2:$F$501"),"Not for me"),0)))</f>
        <v/>
      </c>
      <c r="AS59" s="25">
        <f>IF(OR($A59="",$I59=""),"",IF($BC59="Y",SUMIFS(survey_frozen!$G$2:$G$251,survey_frozen!$P$2:$P$251,$A59&amp;"|"&amp;$B59),IFERROR(COUNTIFS(INDIRECT("'"&amp;$A59&amp;"'!$B$2:$B$501"),$T59,INDIRECT("'"&amp;$A59&amp;"'!$A$2:$A$501"),"&gt;="&amp;$I59,INDIRECT("'"&amp;$A59&amp;"'!$A$2:$A$501"),"&lt;"&amp;($BA59+1),INDIRECT("'"&amp;$A59&amp;"'!$F$2:$F$501"),"Gone by the time I looked"),0)))</f>
        <v/>
      </c>
      <c r="AT59" s="25">
        <f>IF(OR($A59="",$I59=""),"",IF($BC59="Y",SUMIFS(survey_frozen!$H$2:$H$251,survey_frozen!$P$2:$P$251,$A59&amp;"|"&amp;$B59),IFERROR(COUNTIFS(INDIRECT("'"&amp;$A59&amp;"'!$B$2:$B$501"),$T59,INDIRECT("'"&amp;$A59&amp;"'!$A$2:$A$501"),"&gt;="&amp;$I59,INDIRECT("'"&amp;$A59&amp;"'!$A$2:$A$501"),"&lt;"&amp;($BA59+1),INDIRECT("'"&amp;$A59&amp;"'!$D$2:$D$501"),"&gt;=1"),0)))</f>
        <v/>
      </c>
      <c r="AU59" s="25">
        <f>IF(OR($A59="",$I59=""),"",IF($BC59="Y",SUMIFS(survey_frozen!$I$2:$I$251,survey_frozen!$P$2:$P$251,$A59&amp;"|"&amp;$B59),IFERROR(SUMIFS(INDIRECT("'"&amp;$A59&amp;"'!$D$2:$D$501"),INDIRECT("'"&amp;$A59&amp;"'!$B$2:$B$501"),$T59,INDIRECT("'"&amp;$A59&amp;"'!$A$2:$A$501"),"&gt;="&amp;$I59,INDIRECT("'"&amp;$A59&amp;"'!$A$2:$A$501"),"&lt;"&amp;($BA59+1)),0)))</f>
        <v/>
      </c>
      <c r="AV59" s="25">
        <f>IF(OR($A59="",$I59=""),"",IF($BC59="Y",SUMIFS(survey_frozen!$J$2:$J$251,survey_frozen!$P$2:$P$251,$A59&amp;"|"&amp;$B59),IFERROR(COUNTIFS(INDIRECT("'"&amp;$A59&amp;"'!$B$2:$B$501"),$T59,INDIRECT("'"&amp;$A59&amp;"'!$A$2:$A$501"),"&gt;="&amp;$I59,INDIRECT("'"&amp;$A59&amp;"'!$A$2:$A$501"),"&lt;"&amp;($BA59+1),INDIRECT("'"&amp;$A59&amp;"'!$E$2:$E$501"),"Yes"),0)))</f>
        <v/>
      </c>
      <c r="AW59" s="25">
        <f>IF(OR($A59="",$I59=""),"",IF($BC59="Y",SUMIFS(survey_frozen!$K$2:$K$251,survey_frozen!$P$2:$P$251,$A59&amp;"|"&amp;$B59),IFERROR(COUNTIFS(INDIRECT("'"&amp;$A59&amp;"'!$B$2:$B$501"),$T59,INDIRECT("'"&amp;$A59&amp;"'!$A$2:$A$501"),"&gt;="&amp;$I59,INDIRECT("'"&amp;$A59&amp;"'!$A$2:$A$501"),"&lt;"&amp;($BA59+1),INDIRECT("'"&amp;$A59&amp;"'!$E$2:$E$501"),"Maybe"),0)))</f>
        <v/>
      </c>
      <c r="AX59" s="25">
        <f>IF(OR($A59="",$I59=""),"",IF($BC59="Y",SUMIFS(survey_frozen!$L$2:$L$251,survey_frozen!$P$2:$P$251,$A59&amp;"|"&amp;$B59),IFERROR(COUNTIFS(INDIRECT("'"&amp;$A59&amp;"'!$B$2:$B$501"),$T59,INDIRECT("'"&amp;$A59&amp;"'!$A$2:$A$501"),"&gt;="&amp;$I59,INDIRECT("'"&amp;$A59&amp;"'!$A$2:$A$501"),"&lt;"&amp;($BA59+1),INDIRECT("'"&amp;$A59&amp;"'!$E$2:$E$501"),"No"),0)))</f>
        <v/>
      </c>
      <c r="AY59" s="25">
        <f>IF(OR($A59="",$I59=""),"",IF($BC59="Y",SUMIFS(survey_frozen!$M$2:$M$251,survey_frozen!$P$2:$P$251,$A59&amp;"|"&amp;$B59),IFERROR(COUNTIFS(INDIRECT("'"&amp;$A59&amp;"'!$B$2:$B$501"),$T59,INDIRECT("'"&amp;$A59&amp;"'!$A$2:$A$501"),"&gt;="&amp;$I59,INDIRECT("'"&amp;$A59&amp;"'!$A$2:$A$501"),"&lt;"&amp;($BA59+1),INDIRECT("'"&amp;$A59&amp;"'!$G$2:$G$501"),"&lt;&gt;"),0)))</f>
        <v/>
      </c>
      <c r="AZ59" s="25">
        <f>IF($A59="","",$A59&amp;"|"&amp;$L59)</f>
        <v/>
      </c>
      <c r="BA59" s="26">
        <f>IF($A59="","",IFERROR(IF(INDEX(drops!$R$2:$R$21,MATCH($H59,drops!$A$2:$A$21,0))="","",INDEX(drops!$R$2:$R$21,MATCH($H59,drops!$A$2:$A$21,0))),""))</f>
        <v/>
      </c>
      <c r="BB59" s="25">
        <f>IF(OR($A59="",$Q59&lt;&gt;"Y"),1000000,N($AL59))</f>
        <v/>
      </c>
      <c r="BC59" s="25">
        <f>IF($A59="","",IF(COUNTIF(survey_frozen!$P$2:$P$251,$A59&amp;"|"&amp;$B59)&gt;0,"Y",""))</f>
        <v/>
      </c>
    </row>
    <row r="60">
      <c r="C60" s="9" t="n"/>
      <c r="E60" s="9" t="n"/>
      <c r="H60" s="25">
        <f>IF($A60="","",IFERROR(IF(INDEX(campaigns!$B$2:$B$51,MATCH($A60,campaigns!$A$2:$A$51,0))="","",INDEX(campaigns!$B$2:$B$51,MATCH($A60,campaigns!$A$2:$A$51,0))),""))</f>
        <v/>
      </c>
      <c r="I60" s="26">
        <f>IF($A60="","",IFERROR(IF(INDEX(campaigns!$BG$2:$BG$51,MATCH($A60,campaigns!$A$2:$A$51,0))="","",INDEX(campaigns!$BG$2:$BG$51,MATCH($A60,campaigns!$A$2:$A$51,0))),""))</f>
        <v/>
      </c>
      <c r="J60" s="25">
        <f>IF($A60="","",IFERROR(IF(INDEX(campaigns!$BE$2:$BE$51,MATCH($A60,campaigns!$A$2:$A$51,0))="","",INDEX(campaigns!$BE$2:$BE$51,MATCH($A60,campaigns!$A$2:$A$51,0))),""))</f>
        <v/>
      </c>
      <c r="K60" s="25">
        <f>IF($B60="","",IFERROR(IF(INDEX(offices!$N$2:$N$61,MATCH($B60,offices!$A$2:$A$61,0))="","",INDEX(offices!$N$2:$N$61,MATCH($B60,offices!$A$2:$A$61,0))),""))</f>
        <v/>
      </c>
      <c r="L60" s="25">
        <f>IF($A60="","",IF($Q60="N","",COUNTIFS($A$2:$A60,$A60,$Q$2:$Q60,"&lt;&gt;N")))</f>
        <v/>
      </c>
      <c r="M60" s="25">
        <f>IF(OR($A60="",$L60=""),"",IF(AND(config!$B$34="names_if_public",IFERROR(IF(INDEX(offices!$AF$2:$AF$61,MATCH($B60,offices!$A$2:$A$61,0))="","",INDEX(offices!$AF$2:$AF$61,MATCH($B60,offices!$A$2:$A$61,0))),"")="Y"),$K60,CHAR(64+$L60)))</f>
        <v/>
      </c>
      <c r="N60" s="25">
        <f>IF(OR($A60="",$I60=""),"",COUNTIFS(stops!$B$2:$B$151,$B60,stops!$P$2:$P$151,"&lt;"&amp;$I60,stops!$L$2:$L$151,"&lt;&gt;not_delivered")+1)</f>
        <v/>
      </c>
      <c r="O60" s="25">
        <f>IF($A60="","",IF(N($N60)&lt;=config!$B$29,"explicit","opt-out"))</f>
        <v/>
      </c>
      <c r="P60" s="25">
        <f>IF($A60="","",IF($O60="explicit",IF($D60="yes","Y",IF($D60="no","N","pending")),IF($D60="no","N",IF(AND($C60&lt;&gt;"",$I60&lt;&gt;"",$C60&lt;=WORKDAY(N($I60),-5,calendar!$A$2:$A$80)),"Y","pending"))))</f>
        <v/>
      </c>
      <c r="Q60" s="25">
        <f>IF($A60="","",IF($P60="N","N",IF($P60&lt;&gt;"Y","pending",IF(AND((COUNTIFS(stops!$A$2:$A$151,$H60,stops!$B$2:$B$151,$B60,stops!$L$2:$L$151,"declined")+COUNTIFS(stops!$A$2:$A$151,$H60,stops!$B$2:$B$151,$B60,stops!$L$2:$L$151,"building_refused")+COUNTIFS(stops!$A$2:$A$151,$H60,stops!$B$2:$B$151,$B60,stops!$L$2:$L$151,"not_delivered"))&gt;0,N($U60)=0),"N","Y"))))</f>
        <v/>
      </c>
      <c r="R60" s="25">
        <f>IF($A60="","",IF(COUNTIFS($A$2:$A$251,$A60,$B$2:$B$251,$B60)&gt;1,"DUPLICATE ROW; ","")&amp;IF(AND(IFERROR(IF(INDEX(offices!$AC$2:$AC$61,MATCH($B60,offices!$A$2:$A$61,0))="","",INDEX(offices!$AC$2:$AC$61,MATCH($B60,offices!$A$2:$A$61,0))),"")&lt;&gt;"",ISNUMBER(SEARCH($J60,IFERROR(IF(INDEX(offices!$AC$2:$AC$61,MATCH($B60,offices!$A$2:$A$61,0))="","",INDEX(offices!$AC$2:$AC$61,MATCH($B60,offices!$A$2:$A$61,0))),"")))),"BRAND VETOED; ","")&amp;IF(ISNUMBER(SEARCH(IFERROR(IF(INDEX(campaigns!$BF$2:$BF$51,MATCH($A60,campaigns!$A$2:$A$51,0))="","",INDEX(campaigns!$BF$2:$BF$51,MATCH($A60,campaigns!$A$2:$A$51,0))),""),IFERROR(IF(INDEX(offices!$AB$2:$AB$61,MATCH($B60,offices!$A$2:$A$61,0))="","",INDEX(offices!$AB$2:$AB$61,MATCH($B60,offices!$A$2:$A$61,0))),""))),"","info: category not on the office's list; ")&amp;IF(IFERROR(IF(INDEX(offices!$AC$2:$AC$61,MATCH($B60,offices!$A$2:$A$61,0))="","",INDEX(offices!$AC$2:$AC$61,MATCH($B60,offices!$A$2:$A$61,0))),"")&lt;&gt;"","info: read the vetoes against the label; ",""))</f>
        <v/>
      </c>
      <c r="S60" s="25">
        <f>IF($A60="","",IF($G60&lt;&gt;"",$G60,IFERROR(IF(INDEX(offices!$AL$2:$AL$61,MATCH($B60,offices!$A$2:$A$61,0))="","",INDEX(offices!$AL$2:$AL$61,MATCH($B60,offices!$A$2:$A$61,0))),"")))</f>
        <v/>
      </c>
      <c r="T60" s="25">
        <f>IF($A60="","",$A60&amp;"."&amp;$B60)</f>
        <v/>
      </c>
      <c r="U60" s="25">
        <f>IF($A60="","",SUMIFS(inventory!$G$2:$G$801,inventory!$C$2:$C$801,$A60,inventory!$D$2:$D$801,$B60,inventory!$E$2:$E$801,"delivered"))</f>
        <v/>
      </c>
      <c r="V60" s="32">
        <f>IF($A60="","",IFERROR(1/(1/SUMPRODUCT(MAX((inventory!$C$2:$C$801=$A60)*(inventory!$D$2:$D$801=$B60)*(inventory!$E$2:$E$801="delivered")*(inventory!$A$2:$A$801+inventory!$B$2:$B$801)))),""))</f>
        <v/>
      </c>
      <c r="W60" s="25">
        <f>IF($A60="","",IFERROR(IF(INDEX(inventory!$J$2:$J$801,MATCH($A60&amp;"|"&amp;$B60&amp;"|delivered",inventory!$R$2:$R$801,0))="","",INDEX(inventory!$J$2:$J$801,MATCH($A60&amp;"|"&amp;$B60&amp;"|delivered",inventory!$R$2:$R$801,0))),""))</f>
        <v/>
      </c>
      <c r="X60" s="25">
        <f>IF($A60="","",IFERROR(IF(INDEX(photos!$H$2:$H$701,MATCH($A60&amp;"|"&amp;$B60&amp;"|placement|Y",photos!$R$2:$R$701,0))="","",INDEX(photos!$H$2:$H$701,MATCH($A60&amp;"|"&amp;$B60&amp;"|placement|Y",photos!$R$2:$R$701,0))),""))</f>
        <v/>
      </c>
      <c r="Y60" s="26">
        <f>IF($A60="","",IFERROR(IF(INDEX(photos!$E$2:$E$701,MATCH($A60&amp;"|"&amp;$B60&amp;"|placement|Y",photos!$R$2:$R$701,0))="","",INDEX(photos!$E$2:$E$701,MATCH($A60&amp;"|"&amp;$B60&amp;"|placement|Y",photos!$R$2:$R$701,0))),""))</f>
        <v/>
      </c>
      <c r="Z60" s="25">
        <f>IF($A60="","",IF(COUNTIFS(counts!$C$2:$C$701,$A60,counts!$D$2:$D$701,$B60,counts!$E$2:$E$701,"placed")=0,"",SUMIFS(counts!$F$2:$F$701,counts!$C$2:$C$701,$A60,counts!$D$2:$D$701,$B60,counts!$E$2:$E$701,"placed")))</f>
        <v/>
      </c>
      <c r="AA60" s="25">
        <f>IF($A60="","",IF($Y60="",0,N($Z60)))</f>
        <v/>
      </c>
      <c r="AB60" s="25">
        <f>IF($A60="","",IF(OR($Y60="",$I60=""),"N",IF($Y60&lt;=WORKDAY(N($I60),1,calendar!$A$2:$A$80),"Y","N")))</f>
        <v/>
      </c>
      <c r="AC60" s="28">
        <f>IF(OR($A60="",$V60="",$Y60=""),"",ROUND(($Y60+N(IFERROR(IF(INDEX(photos!$F$2:$F$701,MATCH($A60&amp;"|"&amp;$B60&amp;"|placement|Y",photos!$R$2:$R$701,0))="","",INDEX(photos!$F$2:$F$701,MATCH($A60&amp;"|"&amp;$B60&amp;"|placement|Y",photos!$R$2:$R$701,0))),""))-$V60)*24,1))</f>
        <v/>
      </c>
      <c r="AD60" s="25">
        <f>IF($A60="","",SUMIFS(inventory!$G$2:$G$801,inventory!$C$2:$C$801,$A60,inventory!$D$2:$D$801,$B60,inventory!$E$2:$E$801,"topped_up"))</f>
        <v/>
      </c>
      <c r="AE60" s="25">
        <f>IF($A60="","",IF(COUNTIFS(counts!$C$2:$C$701,$A60,counts!$D$2:$D$701,$B60,counts!$E$2:$E$701,"remaining_day3")=0,"",SUMIFS(counts!$F$2:$F$701,counts!$C$2:$C$701,$A60,counts!$D$2:$D$701,$B60,counts!$E$2:$E$701,"remaining_day3")))</f>
        <v/>
      </c>
      <c r="AF60" s="25">
        <f>IF($A60="","",IF(COUNTIFS(counts!$C$2:$C$701,$A60,counts!$D$2:$D$701,$B60,counts!$E$2:$E$701,"remaining_day5")=0,"",SUMIFS(counts!$F$2:$F$701,counts!$C$2:$C$701,$A60,counts!$D$2:$D$701,$B60,counts!$E$2:$E$701,"remaining_day5")))</f>
        <v/>
      </c>
      <c r="AG60" s="25">
        <f>IF(OR($A60="",$AF60=""),"",MAX(0,$AA60+$AD60-$AF60))</f>
        <v/>
      </c>
      <c r="AH60" s="25">
        <f>IF(OR($A60="",$AI60=""),"",IFERROR(IF(INDEX(photos!$H$2:$H$701,MATCH($A60&amp;"|"&amp;$B60&amp;"|later|Y|"&amp;$AI60,photos!$S$2:$S$701,0))="","",INDEX(photos!$H$2:$H$701,MATCH($A60&amp;"|"&amp;$B60&amp;"|later|Y|"&amp;$AI60,photos!$S$2:$S$701,0))),""))</f>
        <v/>
      </c>
      <c r="AI60" s="26">
        <f>IF($A60="","",IFERROR(1/(1/SUMPRODUCT(MAX((photos!$B$2:$B$701=$A60)*(photos!$C$2:$C$701=$B60)*(photos!$D$2:$D$701="later")*(photos!$O$2:$O$701="Y")*photos!$E$2:$E$701))),""))</f>
        <v/>
      </c>
      <c r="AJ60" s="25">
        <f>IF(OR($A60="",$AI60="",$I60=""),"",NETWORKDAYS($I60,$AI60,calendar!$A$2:$A$80))</f>
        <v/>
      </c>
      <c r="AK60" s="25">
        <f>IF($A60="","",IF(AND($X60&lt;&gt;"",$AH60&lt;&gt;""),"Y","N"))</f>
        <v/>
      </c>
      <c r="AL60" s="25">
        <f>IF(OR($A60="",$I60=""),"",IF($BC60="Y",SUMIFS(survey_frozen!$C$2:$C$251,survey_frozen!$P$2:$P$251,$A60&amp;"|"&amp;$B60),IFERROR(COUNTIFS(INDIRECT("'"&amp;$A60&amp;"'!$B$2:$B$501"),$T60,INDIRECT("'"&amp;$A60&amp;"'!$A$2:$A$501"),"&gt;="&amp;$I60,INDIRECT("'"&amp;$A60&amp;"'!$A$2:$A$501"),"&lt;"&amp;($BA60+1)),0)))</f>
        <v/>
      </c>
      <c r="AM60" s="25">
        <f>IF(OR($A60="",$I60=""),"",IF($BC60="Y",SUMIFS(survey_frozen!$D$2:$D$251,survey_frozen!$P$2:$P$251,$A60&amp;"|"&amp;$B60),IFERROR(COUNTIFS(INDIRECT("'"&amp;$A60&amp;"'!$B$2:$B$501"),$T60,INDIRECT("'"&amp;$A60&amp;"'!$A$2:$A$501"),"&gt;="&amp;$I60,INDIRECT("'"&amp;$A60&amp;"'!$A$2:$A$501"),"&lt;"&amp;($BA60+1),INDIRECT("'"&amp;$A60&amp;"'!$C$2:$C$501"),"Yes"),0)))</f>
        <v/>
      </c>
      <c r="AN60" s="25">
        <f>IF($A60="","",IF(COUNTIFS(scans!$C$2:$C$1601,(IF(LEFT($A60,7)="SAMPLE-","SAMPLE-","")&amp;LOWER(SUBSTITUTE(SUBSTITUTE($A60,"SAMPLE-",""),"CMP-","c"))&amp;"-"&amp;LOWER(SUBSTITUTE(SUBSTITUTE($B60,"SAMPLE-",""),"O-","o"))&amp;"-q"),scans!$D$2:$D$1601,"close")=0,"",SUMPRODUCT(MAX((scans!$C$2:$C$1601=(IF(LEFT($A60,7)="SAMPLE-","SAMPLE-","")&amp;LOWER(SUBSTITUTE(SUBSTITUTE($A60,"SAMPLE-",""),"CMP-","c"))&amp;"-"&amp;LOWER(SUBSTITUTE(SUBSTITUTE($B60,"SAMPLE-",""),"O-","o"))&amp;"-q"))*(scans!$D$2:$D$1601="close")*scans!$E$2:$E$1601))-SUMPRODUCT(MAX((scans!$C$2:$C$1601=(IF(LEFT($A60,7)="SAMPLE-","SAMPLE-","")&amp;LOWER(SUBSTITUTE(SUBSTITUTE($A60,"SAMPLE-",""),"CMP-","c"))&amp;"-"&amp;LOWER(SUBSTITUTE(SUBSTITUTE($B60,"SAMPLE-",""),"O-","o"))&amp;"-q"))*(scans!$D$2:$D$1601="baseline")*scans!$E$2:$E$1601))))</f>
        <v/>
      </c>
      <c r="AO60" s="25">
        <f>IF($A60="","",IF(COUNTIFS(scans!$C$2:$C$1601,(IF(LEFT($A60,7)="SAMPLE-","SAMPLE-","")&amp;LOWER(SUBSTITUTE(SUBSTITUTE($A60,"SAMPLE-",""),"CMP-","c"))&amp;"-"&amp;LOWER(SUBSTITUTE(SUBSTITUTE($B60,"SAMPLE-",""),"O-","o"))&amp;"-p"),scans!$D$2:$D$1601,"close")=0,"",SUMPRODUCT(MAX((scans!$C$2:$C$1601=(IF(LEFT($A60,7)="SAMPLE-","SAMPLE-","")&amp;LOWER(SUBSTITUTE(SUBSTITUTE($A60,"SAMPLE-",""),"CMP-","c"))&amp;"-"&amp;LOWER(SUBSTITUTE(SUBSTITUTE($B60,"SAMPLE-",""),"O-","o"))&amp;"-p"))*(scans!$D$2:$D$1601="close")*scans!$E$2:$E$1601))-SUMPRODUCT(MAX((scans!$C$2:$C$1601=(IF(LEFT($A60,7)="SAMPLE-","SAMPLE-","")&amp;LOWER(SUBSTITUTE(SUBSTITUTE($A60,"SAMPLE-",""),"CMP-","c"))&amp;"-"&amp;LOWER(SUBSTITUTE(SUBSTITUTE($B60,"SAMPLE-",""),"O-","o"))&amp;"-p"))*(scans!$D$2:$D$1601="baseline")*scans!$E$2:$E$1601))))</f>
        <v/>
      </c>
      <c r="AP60" s="25">
        <f>IF($A60="","",IF(COUNTIF(offices!$A$2:$A$61,$B60)=0,"office_id not on offices; ","")&amp;IF(COUNTIF(campaigns!$A$2:$A$51,$A60)=0,"campaign_id not on campaigns; ","")&amp;IF($P60="pending","approval pending; ","")&amp;IF(AND($U60&gt;0,$Y60="",OR($I60="",IF(config!$B$37&lt;&gt;"",config!$B$37,TODAY())&lt;=WORKDAY(N($I60),4,calendar!$A$2:$A$80))),"no usable placement photo yet; ","")&amp;IF(AND($Y60&lt;&gt;"",$Z60=""),"log the placed count; ","")&amp;IF(N($AA60)&gt;N($U60),"placed more than delivered; ","")&amp;IF(AND($AF60&lt;&gt;"",N($AF60)&gt;N($AA60)+N($AD60)),"day-5 count above placed plus top-ups; ","")&amp;IF(AND($U60&gt;0,$I60&lt;&gt;"",IF(config!$B$37&lt;&gt;"",config!$B$37,TODAY())&gt;WORKDAY(N($I60),4,calendar!$A$2:$A$80),$AF60=""),"day-5 count missing; ","")&amp;IF(AND($U60&gt;0,$I60&lt;&gt;"",IF(config!$B$37&lt;&gt;"",config!$B$37,TODAY())&gt;WORKDAY(N($I60),4,calendar!$A$2:$A$80),$AN60=""),"no close link reading; ","")&amp;$R60&amp;IF($P60="N","info: office said no; ","")&amp;IF(AND($P60="Y",$Q60="N"),"info: turned away at the door, so not on the drop (no letter, not in the report or Gate 2; the credit check is on campaigns); ","")&amp;IF(AND($U60&gt;0,$Y60="",$I60&lt;&gt;"",IF(config!$B$37&lt;&gt;"",config!$B$37,TODAY())&gt;WORKDAY(N($I60),4,calendar!$A$2:$A$80)),"info: no usable placement photo, so nothing counts as placed; ","")&amp;IF(AND($U60&gt;0,$I60&lt;&gt;"",IF(config!$B$37&lt;&gt;"",config!$B$37,TODAY())&gt;WORKDAY(N($I60),4,calendar!$A$2:$A$80),N($AL60)&lt;config!$B$30),"info: under "&amp;config!$B$30&amp;" responses; ","")&amp;IF($W60="packing_list","info: delivered count not verified; ",""))</f>
        <v/>
      </c>
      <c r="AQ60" s="25">
        <f>IF(OR($A60="",$I60=""),"",IF($BC60="Y",SUMIFS(survey_frozen!$E$2:$E$251,survey_frozen!$P$2:$P$251,$A60&amp;"|"&amp;$B60),IFERROR(COUNTIFS(INDIRECT("'"&amp;$A60&amp;"'!$B$2:$B$501"),$T60,INDIRECT("'"&amp;$A60&amp;"'!$A$2:$A$501"),"&gt;="&amp;$I60,INDIRECT("'"&amp;$A60&amp;"'!$A$2:$A$501"),"&lt;"&amp;($BA60+1),INDIRECT("'"&amp;$A60&amp;"'!$F$2:$F$501"),"Didn't see it"),0)))</f>
        <v/>
      </c>
      <c r="AR60" s="25">
        <f>IF(OR($A60="",$I60=""),"",IF($BC60="Y",SUMIFS(survey_frozen!$F$2:$F$251,survey_frozen!$P$2:$P$251,$A60&amp;"|"&amp;$B60),IFERROR(COUNTIFS(INDIRECT("'"&amp;$A60&amp;"'!$B$2:$B$501"),$T60,INDIRECT("'"&amp;$A60&amp;"'!$A$2:$A$501"),"&gt;="&amp;$I60,INDIRECT("'"&amp;$A60&amp;"'!$A$2:$A$501"),"&lt;"&amp;($BA60+1),INDIRECT("'"&amp;$A60&amp;"'!$F$2:$F$501"),"Not for me"),0)))</f>
        <v/>
      </c>
      <c r="AS60" s="25">
        <f>IF(OR($A60="",$I60=""),"",IF($BC60="Y",SUMIFS(survey_frozen!$G$2:$G$251,survey_frozen!$P$2:$P$251,$A60&amp;"|"&amp;$B60),IFERROR(COUNTIFS(INDIRECT("'"&amp;$A60&amp;"'!$B$2:$B$501"),$T60,INDIRECT("'"&amp;$A60&amp;"'!$A$2:$A$501"),"&gt;="&amp;$I60,INDIRECT("'"&amp;$A60&amp;"'!$A$2:$A$501"),"&lt;"&amp;($BA60+1),INDIRECT("'"&amp;$A60&amp;"'!$F$2:$F$501"),"Gone by the time I looked"),0)))</f>
        <v/>
      </c>
      <c r="AT60" s="25">
        <f>IF(OR($A60="",$I60=""),"",IF($BC60="Y",SUMIFS(survey_frozen!$H$2:$H$251,survey_frozen!$P$2:$P$251,$A60&amp;"|"&amp;$B60),IFERROR(COUNTIFS(INDIRECT("'"&amp;$A60&amp;"'!$B$2:$B$501"),$T60,INDIRECT("'"&amp;$A60&amp;"'!$A$2:$A$501"),"&gt;="&amp;$I60,INDIRECT("'"&amp;$A60&amp;"'!$A$2:$A$501"),"&lt;"&amp;($BA60+1),INDIRECT("'"&amp;$A60&amp;"'!$D$2:$D$501"),"&gt;=1"),0)))</f>
        <v/>
      </c>
      <c r="AU60" s="25">
        <f>IF(OR($A60="",$I60=""),"",IF($BC60="Y",SUMIFS(survey_frozen!$I$2:$I$251,survey_frozen!$P$2:$P$251,$A60&amp;"|"&amp;$B60),IFERROR(SUMIFS(INDIRECT("'"&amp;$A60&amp;"'!$D$2:$D$501"),INDIRECT("'"&amp;$A60&amp;"'!$B$2:$B$501"),$T60,INDIRECT("'"&amp;$A60&amp;"'!$A$2:$A$501"),"&gt;="&amp;$I60,INDIRECT("'"&amp;$A60&amp;"'!$A$2:$A$501"),"&lt;"&amp;($BA60+1)),0)))</f>
        <v/>
      </c>
      <c r="AV60" s="25">
        <f>IF(OR($A60="",$I60=""),"",IF($BC60="Y",SUMIFS(survey_frozen!$J$2:$J$251,survey_frozen!$P$2:$P$251,$A60&amp;"|"&amp;$B60),IFERROR(COUNTIFS(INDIRECT("'"&amp;$A60&amp;"'!$B$2:$B$501"),$T60,INDIRECT("'"&amp;$A60&amp;"'!$A$2:$A$501"),"&gt;="&amp;$I60,INDIRECT("'"&amp;$A60&amp;"'!$A$2:$A$501"),"&lt;"&amp;($BA60+1),INDIRECT("'"&amp;$A60&amp;"'!$E$2:$E$501"),"Yes"),0)))</f>
        <v/>
      </c>
      <c r="AW60" s="25">
        <f>IF(OR($A60="",$I60=""),"",IF($BC60="Y",SUMIFS(survey_frozen!$K$2:$K$251,survey_frozen!$P$2:$P$251,$A60&amp;"|"&amp;$B60),IFERROR(COUNTIFS(INDIRECT("'"&amp;$A60&amp;"'!$B$2:$B$501"),$T60,INDIRECT("'"&amp;$A60&amp;"'!$A$2:$A$501"),"&gt;="&amp;$I60,INDIRECT("'"&amp;$A60&amp;"'!$A$2:$A$501"),"&lt;"&amp;($BA60+1),INDIRECT("'"&amp;$A60&amp;"'!$E$2:$E$501"),"Maybe"),0)))</f>
        <v/>
      </c>
      <c r="AX60" s="25">
        <f>IF(OR($A60="",$I60=""),"",IF($BC60="Y",SUMIFS(survey_frozen!$L$2:$L$251,survey_frozen!$P$2:$P$251,$A60&amp;"|"&amp;$B60),IFERROR(COUNTIFS(INDIRECT("'"&amp;$A60&amp;"'!$B$2:$B$501"),$T60,INDIRECT("'"&amp;$A60&amp;"'!$A$2:$A$501"),"&gt;="&amp;$I60,INDIRECT("'"&amp;$A60&amp;"'!$A$2:$A$501"),"&lt;"&amp;($BA60+1),INDIRECT("'"&amp;$A60&amp;"'!$E$2:$E$501"),"No"),0)))</f>
        <v/>
      </c>
      <c r="AY60" s="25">
        <f>IF(OR($A60="",$I60=""),"",IF($BC60="Y",SUMIFS(survey_frozen!$M$2:$M$251,survey_frozen!$P$2:$P$251,$A60&amp;"|"&amp;$B60),IFERROR(COUNTIFS(INDIRECT("'"&amp;$A60&amp;"'!$B$2:$B$501"),$T60,INDIRECT("'"&amp;$A60&amp;"'!$A$2:$A$501"),"&gt;="&amp;$I60,INDIRECT("'"&amp;$A60&amp;"'!$A$2:$A$501"),"&lt;"&amp;($BA60+1),INDIRECT("'"&amp;$A60&amp;"'!$G$2:$G$501"),"&lt;&gt;"),0)))</f>
        <v/>
      </c>
      <c r="AZ60" s="25">
        <f>IF($A60="","",$A60&amp;"|"&amp;$L60)</f>
        <v/>
      </c>
      <c r="BA60" s="26">
        <f>IF($A60="","",IFERROR(IF(INDEX(drops!$R$2:$R$21,MATCH($H60,drops!$A$2:$A$21,0))="","",INDEX(drops!$R$2:$R$21,MATCH($H60,drops!$A$2:$A$21,0))),""))</f>
        <v/>
      </c>
      <c r="BB60" s="25">
        <f>IF(OR($A60="",$Q60&lt;&gt;"Y"),1000000,N($AL60))</f>
        <v/>
      </c>
      <c r="BC60" s="25">
        <f>IF($A60="","",IF(COUNTIF(survey_frozen!$P$2:$P$251,$A60&amp;"|"&amp;$B60)&gt;0,"Y",""))</f>
        <v/>
      </c>
    </row>
    <row r="61">
      <c r="C61" s="9" t="n"/>
      <c r="E61" s="9" t="n"/>
      <c r="H61" s="25">
        <f>IF($A61="","",IFERROR(IF(INDEX(campaigns!$B$2:$B$51,MATCH($A61,campaigns!$A$2:$A$51,0))="","",INDEX(campaigns!$B$2:$B$51,MATCH($A61,campaigns!$A$2:$A$51,0))),""))</f>
        <v/>
      </c>
      <c r="I61" s="26">
        <f>IF($A61="","",IFERROR(IF(INDEX(campaigns!$BG$2:$BG$51,MATCH($A61,campaigns!$A$2:$A$51,0))="","",INDEX(campaigns!$BG$2:$BG$51,MATCH($A61,campaigns!$A$2:$A$51,0))),""))</f>
        <v/>
      </c>
      <c r="J61" s="25">
        <f>IF($A61="","",IFERROR(IF(INDEX(campaigns!$BE$2:$BE$51,MATCH($A61,campaigns!$A$2:$A$51,0))="","",INDEX(campaigns!$BE$2:$BE$51,MATCH($A61,campaigns!$A$2:$A$51,0))),""))</f>
        <v/>
      </c>
      <c r="K61" s="25">
        <f>IF($B61="","",IFERROR(IF(INDEX(offices!$N$2:$N$61,MATCH($B61,offices!$A$2:$A$61,0))="","",INDEX(offices!$N$2:$N$61,MATCH($B61,offices!$A$2:$A$61,0))),""))</f>
        <v/>
      </c>
      <c r="L61" s="25">
        <f>IF($A61="","",IF($Q61="N","",COUNTIFS($A$2:$A61,$A61,$Q$2:$Q61,"&lt;&gt;N")))</f>
        <v/>
      </c>
      <c r="M61" s="25">
        <f>IF(OR($A61="",$L61=""),"",IF(AND(config!$B$34="names_if_public",IFERROR(IF(INDEX(offices!$AF$2:$AF$61,MATCH($B61,offices!$A$2:$A$61,0))="","",INDEX(offices!$AF$2:$AF$61,MATCH($B61,offices!$A$2:$A$61,0))),"")="Y"),$K61,CHAR(64+$L61)))</f>
        <v/>
      </c>
      <c r="N61" s="25">
        <f>IF(OR($A61="",$I61=""),"",COUNTIFS(stops!$B$2:$B$151,$B61,stops!$P$2:$P$151,"&lt;"&amp;$I61,stops!$L$2:$L$151,"&lt;&gt;not_delivered")+1)</f>
        <v/>
      </c>
      <c r="O61" s="25">
        <f>IF($A61="","",IF(N($N61)&lt;=config!$B$29,"explicit","opt-out"))</f>
        <v/>
      </c>
      <c r="P61" s="25">
        <f>IF($A61="","",IF($O61="explicit",IF($D61="yes","Y",IF($D61="no","N","pending")),IF($D61="no","N",IF(AND($C61&lt;&gt;"",$I61&lt;&gt;"",$C61&lt;=WORKDAY(N($I61),-5,calendar!$A$2:$A$80)),"Y","pending"))))</f>
        <v/>
      </c>
      <c r="Q61" s="25">
        <f>IF($A61="","",IF($P61="N","N",IF($P61&lt;&gt;"Y","pending",IF(AND((COUNTIFS(stops!$A$2:$A$151,$H61,stops!$B$2:$B$151,$B61,stops!$L$2:$L$151,"declined")+COUNTIFS(stops!$A$2:$A$151,$H61,stops!$B$2:$B$151,$B61,stops!$L$2:$L$151,"building_refused")+COUNTIFS(stops!$A$2:$A$151,$H61,stops!$B$2:$B$151,$B61,stops!$L$2:$L$151,"not_delivered"))&gt;0,N($U61)=0),"N","Y"))))</f>
        <v/>
      </c>
      <c r="R61" s="25">
        <f>IF($A61="","",IF(COUNTIFS($A$2:$A$251,$A61,$B$2:$B$251,$B61)&gt;1,"DUPLICATE ROW; ","")&amp;IF(AND(IFERROR(IF(INDEX(offices!$AC$2:$AC$61,MATCH($B61,offices!$A$2:$A$61,0))="","",INDEX(offices!$AC$2:$AC$61,MATCH($B61,offices!$A$2:$A$61,0))),"")&lt;&gt;"",ISNUMBER(SEARCH($J61,IFERROR(IF(INDEX(offices!$AC$2:$AC$61,MATCH($B61,offices!$A$2:$A$61,0))="","",INDEX(offices!$AC$2:$AC$61,MATCH($B61,offices!$A$2:$A$61,0))),"")))),"BRAND VETOED; ","")&amp;IF(ISNUMBER(SEARCH(IFERROR(IF(INDEX(campaigns!$BF$2:$BF$51,MATCH($A61,campaigns!$A$2:$A$51,0))="","",INDEX(campaigns!$BF$2:$BF$51,MATCH($A61,campaigns!$A$2:$A$51,0))),""),IFERROR(IF(INDEX(offices!$AB$2:$AB$61,MATCH($B61,offices!$A$2:$A$61,0))="","",INDEX(offices!$AB$2:$AB$61,MATCH($B61,offices!$A$2:$A$61,0))),""))),"","info: category not on the office's list; ")&amp;IF(IFERROR(IF(INDEX(offices!$AC$2:$AC$61,MATCH($B61,offices!$A$2:$A$61,0))="","",INDEX(offices!$AC$2:$AC$61,MATCH($B61,offices!$A$2:$A$61,0))),"")&lt;&gt;"","info: read the vetoes against the label; ",""))</f>
        <v/>
      </c>
      <c r="S61" s="25">
        <f>IF($A61="","",IF($G61&lt;&gt;"",$G61,IFERROR(IF(INDEX(offices!$AL$2:$AL$61,MATCH($B61,offices!$A$2:$A$61,0))="","",INDEX(offices!$AL$2:$AL$61,MATCH($B61,offices!$A$2:$A$61,0))),"")))</f>
        <v/>
      </c>
      <c r="T61" s="25">
        <f>IF($A61="","",$A61&amp;"."&amp;$B61)</f>
        <v/>
      </c>
      <c r="U61" s="25">
        <f>IF($A61="","",SUMIFS(inventory!$G$2:$G$801,inventory!$C$2:$C$801,$A61,inventory!$D$2:$D$801,$B61,inventory!$E$2:$E$801,"delivered"))</f>
        <v/>
      </c>
      <c r="V61" s="32">
        <f>IF($A61="","",IFERROR(1/(1/SUMPRODUCT(MAX((inventory!$C$2:$C$801=$A61)*(inventory!$D$2:$D$801=$B61)*(inventory!$E$2:$E$801="delivered")*(inventory!$A$2:$A$801+inventory!$B$2:$B$801)))),""))</f>
        <v/>
      </c>
      <c r="W61" s="25">
        <f>IF($A61="","",IFERROR(IF(INDEX(inventory!$J$2:$J$801,MATCH($A61&amp;"|"&amp;$B61&amp;"|delivered",inventory!$R$2:$R$801,0))="","",INDEX(inventory!$J$2:$J$801,MATCH($A61&amp;"|"&amp;$B61&amp;"|delivered",inventory!$R$2:$R$801,0))),""))</f>
        <v/>
      </c>
      <c r="X61" s="25">
        <f>IF($A61="","",IFERROR(IF(INDEX(photos!$H$2:$H$701,MATCH($A61&amp;"|"&amp;$B61&amp;"|placement|Y",photos!$R$2:$R$701,0))="","",INDEX(photos!$H$2:$H$701,MATCH($A61&amp;"|"&amp;$B61&amp;"|placement|Y",photos!$R$2:$R$701,0))),""))</f>
        <v/>
      </c>
      <c r="Y61" s="26">
        <f>IF($A61="","",IFERROR(IF(INDEX(photos!$E$2:$E$701,MATCH($A61&amp;"|"&amp;$B61&amp;"|placement|Y",photos!$R$2:$R$701,0))="","",INDEX(photos!$E$2:$E$701,MATCH($A61&amp;"|"&amp;$B61&amp;"|placement|Y",photos!$R$2:$R$701,0))),""))</f>
        <v/>
      </c>
      <c r="Z61" s="25">
        <f>IF($A61="","",IF(COUNTIFS(counts!$C$2:$C$701,$A61,counts!$D$2:$D$701,$B61,counts!$E$2:$E$701,"placed")=0,"",SUMIFS(counts!$F$2:$F$701,counts!$C$2:$C$701,$A61,counts!$D$2:$D$701,$B61,counts!$E$2:$E$701,"placed")))</f>
        <v/>
      </c>
      <c r="AA61" s="25">
        <f>IF($A61="","",IF($Y61="",0,N($Z61)))</f>
        <v/>
      </c>
      <c r="AB61" s="25">
        <f>IF($A61="","",IF(OR($Y61="",$I61=""),"N",IF($Y61&lt;=WORKDAY(N($I61),1,calendar!$A$2:$A$80),"Y","N")))</f>
        <v/>
      </c>
      <c r="AC61" s="28">
        <f>IF(OR($A61="",$V61="",$Y61=""),"",ROUND(($Y61+N(IFERROR(IF(INDEX(photos!$F$2:$F$701,MATCH($A61&amp;"|"&amp;$B61&amp;"|placement|Y",photos!$R$2:$R$701,0))="","",INDEX(photos!$F$2:$F$701,MATCH($A61&amp;"|"&amp;$B61&amp;"|placement|Y",photos!$R$2:$R$701,0))),""))-$V61)*24,1))</f>
        <v/>
      </c>
      <c r="AD61" s="25">
        <f>IF($A61="","",SUMIFS(inventory!$G$2:$G$801,inventory!$C$2:$C$801,$A61,inventory!$D$2:$D$801,$B61,inventory!$E$2:$E$801,"topped_up"))</f>
        <v/>
      </c>
      <c r="AE61" s="25">
        <f>IF($A61="","",IF(COUNTIFS(counts!$C$2:$C$701,$A61,counts!$D$2:$D$701,$B61,counts!$E$2:$E$701,"remaining_day3")=0,"",SUMIFS(counts!$F$2:$F$701,counts!$C$2:$C$701,$A61,counts!$D$2:$D$701,$B61,counts!$E$2:$E$701,"remaining_day3")))</f>
        <v/>
      </c>
      <c r="AF61" s="25">
        <f>IF($A61="","",IF(COUNTIFS(counts!$C$2:$C$701,$A61,counts!$D$2:$D$701,$B61,counts!$E$2:$E$701,"remaining_day5")=0,"",SUMIFS(counts!$F$2:$F$701,counts!$C$2:$C$701,$A61,counts!$D$2:$D$701,$B61,counts!$E$2:$E$701,"remaining_day5")))</f>
        <v/>
      </c>
      <c r="AG61" s="25">
        <f>IF(OR($A61="",$AF61=""),"",MAX(0,$AA61+$AD61-$AF61))</f>
        <v/>
      </c>
      <c r="AH61" s="25">
        <f>IF(OR($A61="",$AI61=""),"",IFERROR(IF(INDEX(photos!$H$2:$H$701,MATCH($A61&amp;"|"&amp;$B61&amp;"|later|Y|"&amp;$AI61,photos!$S$2:$S$701,0))="","",INDEX(photos!$H$2:$H$701,MATCH($A61&amp;"|"&amp;$B61&amp;"|later|Y|"&amp;$AI61,photos!$S$2:$S$701,0))),""))</f>
        <v/>
      </c>
      <c r="AI61" s="26">
        <f>IF($A61="","",IFERROR(1/(1/SUMPRODUCT(MAX((photos!$B$2:$B$701=$A61)*(photos!$C$2:$C$701=$B61)*(photos!$D$2:$D$701="later")*(photos!$O$2:$O$701="Y")*photos!$E$2:$E$701))),""))</f>
        <v/>
      </c>
      <c r="AJ61" s="25">
        <f>IF(OR($A61="",$AI61="",$I61=""),"",NETWORKDAYS($I61,$AI61,calendar!$A$2:$A$80))</f>
        <v/>
      </c>
      <c r="AK61" s="25">
        <f>IF($A61="","",IF(AND($X61&lt;&gt;"",$AH61&lt;&gt;""),"Y","N"))</f>
        <v/>
      </c>
      <c r="AL61" s="25">
        <f>IF(OR($A61="",$I61=""),"",IF($BC61="Y",SUMIFS(survey_frozen!$C$2:$C$251,survey_frozen!$P$2:$P$251,$A61&amp;"|"&amp;$B61),IFERROR(COUNTIFS(INDIRECT("'"&amp;$A61&amp;"'!$B$2:$B$501"),$T61,INDIRECT("'"&amp;$A61&amp;"'!$A$2:$A$501"),"&gt;="&amp;$I61,INDIRECT("'"&amp;$A61&amp;"'!$A$2:$A$501"),"&lt;"&amp;($BA61+1)),0)))</f>
        <v/>
      </c>
      <c r="AM61" s="25">
        <f>IF(OR($A61="",$I61=""),"",IF($BC61="Y",SUMIFS(survey_frozen!$D$2:$D$251,survey_frozen!$P$2:$P$251,$A61&amp;"|"&amp;$B61),IFERROR(COUNTIFS(INDIRECT("'"&amp;$A61&amp;"'!$B$2:$B$501"),$T61,INDIRECT("'"&amp;$A61&amp;"'!$A$2:$A$501"),"&gt;="&amp;$I61,INDIRECT("'"&amp;$A61&amp;"'!$A$2:$A$501"),"&lt;"&amp;($BA61+1),INDIRECT("'"&amp;$A61&amp;"'!$C$2:$C$501"),"Yes"),0)))</f>
        <v/>
      </c>
      <c r="AN61" s="25">
        <f>IF($A61="","",IF(COUNTIFS(scans!$C$2:$C$1601,(IF(LEFT($A61,7)="SAMPLE-","SAMPLE-","")&amp;LOWER(SUBSTITUTE(SUBSTITUTE($A61,"SAMPLE-",""),"CMP-","c"))&amp;"-"&amp;LOWER(SUBSTITUTE(SUBSTITUTE($B61,"SAMPLE-",""),"O-","o"))&amp;"-q"),scans!$D$2:$D$1601,"close")=0,"",SUMPRODUCT(MAX((scans!$C$2:$C$1601=(IF(LEFT($A61,7)="SAMPLE-","SAMPLE-","")&amp;LOWER(SUBSTITUTE(SUBSTITUTE($A61,"SAMPLE-",""),"CMP-","c"))&amp;"-"&amp;LOWER(SUBSTITUTE(SUBSTITUTE($B61,"SAMPLE-",""),"O-","o"))&amp;"-q"))*(scans!$D$2:$D$1601="close")*scans!$E$2:$E$1601))-SUMPRODUCT(MAX((scans!$C$2:$C$1601=(IF(LEFT($A61,7)="SAMPLE-","SAMPLE-","")&amp;LOWER(SUBSTITUTE(SUBSTITUTE($A61,"SAMPLE-",""),"CMP-","c"))&amp;"-"&amp;LOWER(SUBSTITUTE(SUBSTITUTE($B61,"SAMPLE-",""),"O-","o"))&amp;"-q"))*(scans!$D$2:$D$1601="baseline")*scans!$E$2:$E$1601))))</f>
        <v/>
      </c>
      <c r="AO61" s="25">
        <f>IF($A61="","",IF(COUNTIFS(scans!$C$2:$C$1601,(IF(LEFT($A61,7)="SAMPLE-","SAMPLE-","")&amp;LOWER(SUBSTITUTE(SUBSTITUTE($A61,"SAMPLE-",""),"CMP-","c"))&amp;"-"&amp;LOWER(SUBSTITUTE(SUBSTITUTE($B61,"SAMPLE-",""),"O-","o"))&amp;"-p"),scans!$D$2:$D$1601,"close")=0,"",SUMPRODUCT(MAX((scans!$C$2:$C$1601=(IF(LEFT($A61,7)="SAMPLE-","SAMPLE-","")&amp;LOWER(SUBSTITUTE(SUBSTITUTE($A61,"SAMPLE-",""),"CMP-","c"))&amp;"-"&amp;LOWER(SUBSTITUTE(SUBSTITUTE($B61,"SAMPLE-",""),"O-","o"))&amp;"-p"))*(scans!$D$2:$D$1601="close")*scans!$E$2:$E$1601))-SUMPRODUCT(MAX((scans!$C$2:$C$1601=(IF(LEFT($A61,7)="SAMPLE-","SAMPLE-","")&amp;LOWER(SUBSTITUTE(SUBSTITUTE($A61,"SAMPLE-",""),"CMP-","c"))&amp;"-"&amp;LOWER(SUBSTITUTE(SUBSTITUTE($B61,"SAMPLE-",""),"O-","o"))&amp;"-p"))*(scans!$D$2:$D$1601="baseline")*scans!$E$2:$E$1601))))</f>
        <v/>
      </c>
      <c r="AP61" s="25">
        <f>IF($A61="","",IF(COUNTIF(offices!$A$2:$A$61,$B61)=0,"office_id not on offices; ","")&amp;IF(COUNTIF(campaigns!$A$2:$A$51,$A61)=0,"campaign_id not on campaigns; ","")&amp;IF($P61="pending","approval pending; ","")&amp;IF(AND($U61&gt;0,$Y61="",OR($I61="",IF(config!$B$37&lt;&gt;"",config!$B$37,TODAY())&lt;=WORKDAY(N($I61),4,calendar!$A$2:$A$80))),"no usable placement photo yet; ","")&amp;IF(AND($Y61&lt;&gt;"",$Z61=""),"log the placed count; ","")&amp;IF(N($AA61)&gt;N($U61),"placed more than delivered; ","")&amp;IF(AND($AF61&lt;&gt;"",N($AF61)&gt;N($AA61)+N($AD61)),"day-5 count above placed plus top-ups; ","")&amp;IF(AND($U61&gt;0,$I61&lt;&gt;"",IF(config!$B$37&lt;&gt;"",config!$B$37,TODAY())&gt;WORKDAY(N($I61),4,calendar!$A$2:$A$80),$AF61=""),"day-5 count missing; ","")&amp;IF(AND($U61&gt;0,$I61&lt;&gt;"",IF(config!$B$37&lt;&gt;"",config!$B$37,TODAY())&gt;WORKDAY(N($I61),4,calendar!$A$2:$A$80),$AN61=""),"no close link reading; ","")&amp;$R61&amp;IF($P61="N","info: office said no; ","")&amp;IF(AND($P61="Y",$Q61="N"),"info: turned away at the door, so not on the drop (no letter, not in the report or Gate 2; the credit check is on campaigns); ","")&amp;IF(AND($U61&gt;0,$Y61="",$I61&lt;&gt;"",IF(config!$B$37&lt;&gt;"",config!$B$37,TODAY())&gt;WORKDAY(N($I61),4,calendar!$A$2:$A$80)),"info: no usable placement photo, so nothing counts as placed; ","")&amp;IF(AND($U61&gt;0,$I61&lt;&gt;"",IF(config!$B$37&lt;&gt;"",config!$B$37,TODAY())&gt;WORKDAY(N($I61),4,calendar!$A$2:$A$80),N($AL61)&lt;config!$B$30),"info: under "&amp;config!$B$30&amp;" responses; ","")&amp;IF($W61="packing_list","info: delivered count not verified; ",""))</f>
        <v/>
      </c>
      <c r="AQ61" s="25">
        <f>IF(OR($A61="",$I61=""),"",IF($BC61="Y",SUMIFS(survey_frozen!$E$2:$E$251,survey_frozen!$P$2:$P$251,$A61&amp;"|"&amp;$B61),IFERROR(COUNTIFS(INDIRECT("'"&amp;$A61&amp;"'!$B$2:$B$501"),$T61,INDIRECT("'"&amp;$A61&amp;"'!$A$2:$A$501"),"&gt;="&amp;$I61,INDIRECT("'"&amp;$A61&amp;"'!$A$2:$A$501"),"&lt;"&amp;($BA61+1),INDIRECT("'"&amp;$A61&amp;"'!$F$2:$F$501"),"Didn't see it"),0)))</f>
        <v/>
      </c>
      <c r="AR61" s="25">
        <f>IF(OR($A61="",$I61=""),"",IF($BC61="Y",SUMIFS(survey_frozen!$F$2:$F$251,survey_frozen!$P$2:$P$251,$A61&amp;"|"&amp;$B61),IFERROR(COUNTIFS(INDIRECT("'"&amp;$A61&amp;"'!$B$2:$B$501"),$T61,INDIRECT("'"&amp;$A61&amp;"'!$A$2:$A$501"),"&gt;="&amp;$I61,INDIRECT("'"&amp;$A61&amp;"'!$A$2:$A$501"),"&lt;"&amp;($BA61+1),INDIRECT("'"&amp;$A61&amp;"'!$F$2:$F$501"),"Not for me"),0)))</f>
        <v/>
      </c>
      <c r="AS61" s="25">
        <f>IF(OR($A61="",$I61=""),"",IF($BC61="Y",SUMIFS(survey_frozen!$G$2:$G$251,survey_frozen!$P$2:$P$251,$A61&amp;"|"&amp;$B61),IFERROR(COUNTIFS(INDIRECT("'"&amp;$A61&amp;"'!$B$2:$B$501"),$T61,INDIRECT("'"&amp;$A61&amp;"'!$A$2:$A$501"),"&gt;="&amp;$I61,INDIRECT("'"&amp;$A61&amp;"'!$A$2:$A$501"),"&lt;"&amp;($BA61+1),INDIRECT("'"&amp;$A61&amp;"'!$F$2:$F$501"),"Gone by the time I looked"),0)))</f>
        <v/>
      </c>
      <c r="AT61" s="25">
        <f>IF(OR($A61="",$I61=""),"",IF($BC61="Y",SUMIFS(survey_frozen!$H$2:$H$251,survey_frozen!$P$2:$P$251,$A61&amp;"|"&amp;$B61),IFERROR(COUNTIFS(INDIRECT("'"&amp;$A61&amp;"'!$B$2:$B$501"),$T61,INDIRECT("'"&amp;$A61&amp;"'!$A$2:$A$501"),"&gt;="&amp;$I61,INDIRECT("'"&amp;$A61&amp;"'!$A$2:$A$501"),"&lt;"&amp;($BA61+1),INDIRECT("'"&amp;$A61&amp;"'!$D$2:$D$501"),"&gt;=1"),0)))</f>
        <v/>
      </c>
      <c r="AU61" s="25">
        <f>IF(OR($A61="",$I61=""),"",IF($BC61="Y",SUMIFS(survey_frozen!$I$2:$I$251,survey_frozen!$P$2:$P$251,$A61&amp;"|"&amp;$B61),IFERROR(SUMIFS(INDIRECT("'"&amp;$A61&amp;"'!$D$2:$D$501"),INDIRECT("'"&amp;$A61&amp;"'!$B$2:$B$501"),$T61,INDIRECT("'"&amp;$A61&amp;"'!$A$2:$A$501"),"&gt;="&amp;$I61,INDIRECT("'"&amp;$A61&amp;"'!$A$2:$A$501"),"&lt;"&amp;($BA61+1)),0)))</f>
        <v/>
      </c>
      <c r="AV61" s="25">
        <f>IF(OR($A61="",$I61=""),"",IF($BC61="Y",SUMIFS(survey_frozen!$J$2:$J$251,survey_frozen!$P$2:$P$251,$A61&amp;"|"&amp;$B61),IFERROR(COUNTIFS(INDIRECT("'"&amp;$A61&amp;"'!$B$2:$B$501"),$T61,INDIRECT("'"&amp;$A61&amp;"'!$A$2:$A$501"),"&gt;="&amp;$I61,INDIRECT("'"&amp;$A61&amp;"'!$A$2:$A$501"),"&lt;"&amp;($BA61+1),INDIRECT("'"&amp;$A61&amp;"'!$E$2:$E$501"),"Yes"),0)))</f>
        <v/>
      </c>
      <c r="AW61" s="25">
        <f>IF(OR($A61="",$I61=""),"",IF($BC61="Y",SUMIFS(survey_frozen!$K$2:$K$251,survey_frozen!$P$2:$P$251,$A61&amp;"|"&amp;$B61),IFERROR(COUNTIFS(INDIRECT("'"&amp;$A61&amp;"'!$B$2:$B$501"),$T61,INDIRECT("'"&amp;$A61&amp;"'!$A$2:$A$501"),"&gt;="&amp;$I61,INDIRECT("'"&amp;$A61&amp;"'!$A$2:$A$501"),"&lt;"&amp;($BA61+1),INDIRECT("'"&amp;$A61&amp;"'!$E$2:$E$501"),"Maybe"),0)))</f>
        <v/>
      </c>
      <c r="AX61" s="25">
        <f>IF(OR($A61="",$I61=""),"",IF($BC61="Y",SUMIFS(survey_frozen!$L$2:$L$251,survey_frozen!$P$2:$P$251,$A61&amp;"|"&amp;$B61),IFERROR(COUNTIFS(INDIRECT("'"&amp;$A61&amp;"'!$B$2:$B$501"),$T61,INDIRECT("'"&amp;$A61&amp;"'!$A$2:$A$501"),"&gt;="&amp;$I61,INDIRECT("'"&amp;$A61&amp;"'!$A$2:$A$501"),"&lt;"&amp;($BA61+1),INDIRECT("'"&amp;$A61&amp;"'!$E$2:$E$501"),"No"),0)))</f>
        <v/>
      </c>
      <c r="AY61" s="25">
        <f>IF(OR($A61="",$I61=""),"",IF($BC61="Y",SUMIFS(survey_frozen!$M$2:$M$251,survey_frozen!$P$2:$P$251,$A61&amp;"|"&amp;$B61),IFERROR(COUNTIFS(INDIRECT("'"&amp;$A61&amp;"'!$B$2:$B$501"),$T61,INDIRECT("'"&amp;$A61&amp;"'!$A$2:$A$501"),"&gt;="&amp;$I61,INDIRECT("'"&amp;$A61&amp;"'!$A$2:$A$501"),"&lt;"&amp;($BA61+1),INDIRECT("'"&amp;$A61&amp;"'!$G$2:$G$501"),"&lt;&gt;"),0)))</f>
        <v/>
      </c>
      <c r="AZ61" s="25">
        <f>IF($A61="","",$A61&amp;"|"&amp;$L61)</f>
        <v/>
      </c>
      <c r="BA61" s="26">
        <f>IF($A61="","",IFERROR(IF(INDEX(drops!$R$2:$R$21,MATCH($H61,drops!$A$2:$A$21,0))="","",INDEX(drops!$R$2:$R$21,MATCH($H61,drops!$A$2:$A$21,0))),""))</f>
        <v/>
      </c>
      <c r="BB61" s="25">
        <f>IF(OR($A61="",$Q61&lt;&gt;"Y"),1000000,N($AL61))</f>
        <v/>
      </c>
      <c r="BC61" s="25">
        <f>IF($A61="","",IF(COUNTIF(survey_frozen!$P$2:$P$251,$A61&amp;"|"&amp;$B61)&gt;0,"Y",""))</f>
        <v/>
      </c>
    </row>
    <row r="62">
      <c r="C62" s="9" t="n"/>
      <c r="E62" s="9" t="n"/>
      <c r="H62" s="25">
        <f>IF($A62="","",IFERROR(IF(INDEX(campaigns!$B$2:$B$51,MATCH($A62,campaigns!$A$2:$A$51,0))="","",INDEX(campaigns!$B$2:$B$51,MATCH($A62,campaigns!$A$2:$A$51,0))),""))</f>
        <v/>
      </c>
      <c r="I62" s="26">
        <f>IF($A62="","",IFERROR(IF(INDEX(campaigns!$BG$2:$BG$51,MATCH($A62,campaigns!$A$2:$A$51,0))="","",INDEX(campaigns!$BG$2:$BG$51,MATCH($A62,campaigns!$A$2:$A$51,0))),""))</f>
        <v/>
      </c>
      <c r="J62" s="25">
        <f>IF($A62="","",IFERROR(IF(INDEX(campaigns!$BE$2:$BE$51,MATCH($A62,campaigns!$A$2:$A$51,0))="","",INDEX(campaigns!$BE$2:$BE$51,MATCH($A62,campaigns!$A$2:$A$51,0))),""))</f>
        <v/>
      </c>
      <c r="K62" s="25">
        <f>IF($B62="","",IFERROR(IF(INDEX(offices!$N$2:$N$61,MATCH($B62,offices!$A$2:$A$61,0))="","",INDEX(offices!$N$2:$N$61,MATCH($B62,offices!$A$2:$A$61,0))),""))</f>
        <v/>
      </c>
      <c r="L62" s="25">
        <f>IF($A62="","",IF($Q62="N","",COUNTIFS($A$2:$A62,$A62,$Q$2:$Q62,"&lt;&gt;N")))</f>
        <v/>
      </c>
      <c r="M62" s="25">
        <f>IF(OR($A62="",$L62=""),"",IF(AND(config!$B$34="names_if_public",IFERROR(IF(INDEX(offices!$AF$2:$AF$61,MATCH($B62,offices!$A$2:$A$61,0))="","",INDEX(offices!$AF$2:$AF$61,MATCH($B62,offices!$A$2:$A$61,0))),"")="Y"),$K62,CHAR(64+$L62)))</f>
        <v/>
      </c>
      <c r="N62" s="25">
        <f>IF(OR($A62="",$I62=""),"",COUNTIFS(stops!$B$2:$B$151,$B62,stops!$P$2:$P$151,"&lt;"&amp;$I62,stops!$L$2:$L$151,"&lt;&gt;not_delivered")+1)</f>
        <v/>
      </c>
      <c r="O62" s="25">
        <f>IF($A62="","",IF(N($N62)&lt;=config!$B$29,"explicit","opt-out"))</f>
        <v/>
      </c>
      <c r="P62" s="25">
        <f>IF($A62="","",IF($O62="explicit",IF($D62="yes","Y",IF($D62="no","N","pending")),IF($D62="no","N",IF(AND($C62&lt;&gt;"",$I62&lt;&gt;"",$C62&lt;=WORKDAY(N($I62),-5,calendar!$A$2:$A$80)),"Y","pending"))))</f>
        <v/>
      </c>
      <c r="Q62" s="25">
        <f>IF($A62="","",IF($P62="N","N",IF($P62&lt;&gt;"Y","pending",IF(AND((COUNTIFS(stops!$A$2:$A$151,$H62,stops!$B$2:$B$151,$B62,stops!$L$2:$L$151,"declined")+COUNTIFS(stops!$A$2:$A$151,$H62,stops!$B$2:$B$151,$B62,stops!$L$2:$L$151,"building_refused")+COUNTIFS(stops!$A$2:$A$151,$H62,stops!$B$2:$B$151,$B62,stops!$L$2:$L$151,"not_delivered"))&gt;0,N($U62)=0),"N","Y"))))</f>
        <v/>
      </c>
      <c r="R62" s="25">
        <f>IF($A62="","",IF(COUNTIFS($A$2:$A$251,$A62,$B$2:$B$251,$B62)&gt;1,"DUPLICATE ROW; ","")&amp;IF(AND(IFERROR(IF(INDEX(offices!$AC$2:$AC$61,MATCH($B62,offices!$A$2:$A$61,0))="","",INDEX(offices!$AC$2:$AC$61,MATCH($B62,offices!$A$2:$A$61,0))),"")&lt;&gt;"",ISNUMBER(SEARCH($J62,IFERROR(IF(INDEX(offices!$AC$2:$AC$61,MATCH($B62,offices!$A$2:$A$61,0))="","",INDEX(offices!$AC$2:$AC$61,MATCH($B62,offices!$A$2:$A$61,0))),"")))),"BRAND VETOED; ","")&amp;IF(ISNUMBER(SEARCH(IFERROR(IF(INDEX(campaigns!$BF$2:$BF$51,MATCH($A62,campaigns!$A$2:$A$51,0))="","",INDEX(campaigns!$BF$2:$BF$51,MATCH($A62,campaigns!$A$2:$A$51,0))),""),IFERROR(IF(INDEX(offices!$AB$2:$AB$61,MATCH($B62,offices!$A$2:$A$61,0))="","",INDEX(offices!$AB$2:$AB$61,MATCH($B62,offices!$A$2:$A$61,0))),""))),"","info: category not on the office's list; ")&amp;IF(IFERROR(IF(INDEX(offices!$AC$2:$AC$61,MATCH($B62,offices!$A$2:$A$61,0))="","",INDEX(offices!$AC$2:$AC$61,MATCH($B62,offices!$A$2:$A$61,0))),"")&lt;&gt;"","info: read the vetoes against the label; ",""))</f>
        <v/>
      </c>
      <c r="S62" s="25">
        <f>IF($A62="","",IF($G62&lt;&gt;"",$G62,IFERROR(IF(INDEX(offices!$AL$2:$AL$61,MATCH($B62,offices!$A$2:$A$61,0))="","",INDEX(offices!$AL$2:$AL$61,MATCH($B62,offices!$A$2:$A$61,0))),"")))</f>
        <v/>
      </c>
      <c r="T62" s="25">
        <f>IF($A62="","",$A62&amp;"."&amp;$B62)</f>
        <v/>
      </c>
      <c r="U62" s="25">
        <f>IF($A62="","",SUMIFS(inventory!$G$2:$G$801,inventory!$C$2:$C$801,$A62,inventory!$D$2:$D$801,$B62,inventory!$E$2:$E$801,"delivered"))</f>
        <v/>
      </c>
      <c r="V62" s="32">
        <f>IF($A62="","",IFERROR(1/(1/SUMPRODUCT(MAX((inventory!$C$2:$C$801=$A62)*(inventory!$D$2:$D$801=$B62)*(inventory!$E$2:$E$801="delivered")*(inventory!$A$2:$A$801+inventory!$B$2:$B$801)))),""))</f>
        <v/>
      </c>
      <c r="W62" s="25">
        <f>IF($A62="","",IFERROR(IF(INDEX(inventory!$J$2:$J$801,MATCH($A62&amp;"|"&amp;$B62&amp;"|delivered",inventory!$R$2:$R$801,0))="","",INDEX(inventory!$J$2:$J$801,MATCH($A62&amp;"|"&amp;$B62&amp;"|delivered",inventory!$R$2:$R$801,0))),""))</f>
        <v/>
      </c>
      <c r="X62" s="25">
        <f>IF($A62="","",IFERROR(IF(INDEX(photos!$H$2:$H$701,MATCH($A62&amp;"|"&amp;$B62&amp;"|placement|Y",photos!$R$2:$R$701,0))="","",INDEX(photos!$H$2:$H$701,MATCH($A62&amp;"|"&amp;$B62&amp;"|placement|Y",photos!$R$2:$R$701,0))),""))</f>
        <v/>
      </c>
      <c r="Y62" s="26">
        <f>IF($A62="","",IFERROR(IF(INDEX(photos!$E$2:$E$701,MATCH($A62&amp;"|"&amp;$B62&amp;"|placement|Y",photos!$R$2:$R$701,0))="","",INDEX(photos!$E$2:$E$701,MATCH($A62&amp;"|"&amp;$B62&amp;"|placement|Y",photos!$R$2:$R$701,0))),""))</f>
        <v/>
      </c>
      <c r="Z62" s="25">
        <f>IF($A62="","",IF(COUNTIFS(counts!$C$2:$C$701,$A62,counts!$D$2:$D$701,$B62,counts!$E$2:$E$701,"placed")=0,"",SUMIFS(counts!$F$2:$F$701,counts!$C$2:$C$701,$A62,counts!$D$2:$D$701,$B62,counts!$E$2:$E$701,"placed")))</f>
        <v/>
      </c>
      <c r="AA62" s="25">
        <f>IF($A62="","",IF($Y62="",0,N($Z62)))</f>
        <v/>
      </c>
      <c r="AB62" s="25">
        <f>IF($A62="","",IF(OR($Y62="",$I62=""),"N",IF($Y62&lt;=WORKDAY(N($I62),1,calendar!$A$2:$A$80),"Y","N")))</f>
        <v/>
      </c>
      <c r="AC62" s="28">
        <f>IF(OR($A62="",$V62="",$Y62=""),"",ROUND(($Y62+N(IFERROR(IF(INDEX(photos!$F$2:$F$701,MATCH($A62&amp;"|"&amp;$B62&amp;"|placement|Y",photos!$R$2:$R$701,0))="","",INDEX(photos!$F$2:$F$701,MATCH($A62&amp;"|"&amp;$B62&amp;"|placement|Y",photos!$R$2:$R$701,0))),""))-$V62)*24,1))</f>
        <v/>
      </c>
      <c r="AD62" s="25">
        <f>IF($A62="","",SUMIFS(inventory!$G$2:$G$801,inventory!$C$2:$C$801,$A62,inventory!$D$2:$D$801,$B62,inventory!$E$2:$E$801,"topped_up"))</f>
        <v/>
      </c>
      <c r="AE62" s="25">
        <f>IF($A62="","",IF(COUNTIFS(counts!$C$2:$C$701,$A62,counts!$D$2:$D$701,$B62,counts!$E$2:$E$701,"remaining_day3")=0,"",SUMIFS(counts!$F$2:$F$701,counts!$C$2:$C$701,$A62,counts!$D$2:$D$701,$B62,counts!$E$2:$E$701,"remaining_day3")))</f>
        <v/>
      </c>
      <c r="AF62" s="25">
        <f>IF($A62="","",IF(COUNTIFS(counts!$C$2:$C$701,$A62,counts!$D$2:$D$701,$B62,counts!$E$2:$E$701,"remaining_day5")=0,"",SUMIFS(counts!$F$2:$F$701,counts!$C$2:$C$701,$A62,counts!$D$2:$D$701,$B62,counts!$E$2:$E$701,"remaining_day5")))</f>
        <v/>
      </c>
      <c r="AG62" s="25">
        <f>IF(OR($A62="",$AF62=""),"",MAX(0,$AA62+$AD62-$AF62))</f>
        <v/>
      </c>
      <c r="AH62" s="25">
        <f>IF(OR($A62="",$AI62=""),"",IFERROR(IF(INDEX(photos!$H$2:$H$701,MATCH($A62&amp;"|"&amp;$B62&amp;"|later|Y|"&amp;$AI62,photos!$S$2:$S$701,0))="","",INDEX(photos!$H$2:$H$701,MATCH($A62&amp;"|"&amp;$B62&amp;"|later|Y|"&amp;$AI62,photos!$S$2:$S$701,0))),""))</f>
        <v/>
      </c>
      <c r="AI62" s="26">
        <f>IF($A62="","",IFERROR(1/(1/SUMPRODUCT(MAX((photos!$B$2:$B$701=$A62)*(photos!$C$2:$C$701=$B62)*(photos!$D$2:$D$701="later")*(photos!$O$2:$O$701="Y")*photos!$E$2:$E$701))),""))</f>
        <v/>
      </c>
      <c r="AJ62" s="25">
        <f>IF(OR($A62="",$AI62="",$I62=""),"",NETWORKDAYS($I62,$AI62,calendar!$A$2:$A$80))</f>
        <v/>
      </c>
      <c r="AK62" s="25">
        <f>IF($A62="","",IF(AND($X62&lt;&gt;"",$AH62&lt;&gt;""),"Y","N"))</f>
        <v/>
      </c>
      <c r="AL62" s="25">
        <f>IF(OR($A62="",$I62=""),"",IF($BC62="Y",SUMIFS(survey_frozen!$C$2:$C$251,survey_frozen!$P$2:$P$251,$A62&amp;"|"&amp;$B62),IFERROR(COUNTIFS(INDIRECT("'"&amp;$A62&amp;"'!$B$2:$B$501"),$T62,INDIRECT("'"&amp;$A62&amp;"'!$A$2:$A$501"),"&gt;="&amp;$I62,INDIRECT("'"&amp;$A62&amp;"'!$A$2:$A$501"),"&lt;"&amp;($BA62+1)),0)))</f>
        <v/>
      </c>
      <c r="AM62" s="25">
        <f>IF(OR($A62="",$I62=""),"",IF($BC62="Y",SUMIFS(survey_frozen!$D$2:$D$251,survey_frozen!$P$2:$P$251,$A62&amp;"|"&amp;$B62),IFERROR(COUNTIFS(INDIRECT("'"&amp;$A62&amp;"'!$B$2:$B$501"),$T62,INDIRECT("'"&amp;$A62&amp;"'!$A$2:$A$501"),"&gt;="&amp;$I62,INDIRECT("'"&amp;$A62&amp;"'!$A$2:$A$501"),"&lt;"&amp;($BA62+1),INDIRECT("'"&amp;$A62&amp;"'!$C$2:$C$501"),"Yes"),0)))</f>
        <v/>
      </c>
      <c r="AN62" s="25">
        <f>IF($A62="","",IF(COUNTIFS(scans!$C$2:$C$1601,(IF(LEFT($A62,7)="SAMPLE-","SAMPLE-","")&amp;LOWER(SUBSTITUTE(SUBSTITUTE($A62,"SAMPLE-",""),"CMP-","c"))&amp;"-"&amp;LOWER(SUBSTITUTE(SUBSTITUTE($B62,"SAMPLE-",""),"O-","o"))&amp;"-q"),scans!$D$2:$D$1601,"close")=0,"",SUMPRODUCT(MAX((scans!$C$2:$C$1601=(IF(LEFT($A62,7)="SAMPLE-","SAMPLE-","")&amp;LOWER(SUBSTITUTE(SUBSTITUTE($A62,"SAMPLE-",""),"CMP-","c"))&amp;"-"&amp;LOWER(SUBSTITUTE(SUBSTITUTE($B62,"SAMPLE-",""),"O-","o"))&amp;"-q"))*(scans!$D$2:$D$1601="close")*scans!$E$2:$E$1601))-SUMPRODUCT(MAX((scans!$C$2:$C$1601=(IF(LEFT($A62,7)="SAMPLE-","SAMPLE-","")&amp;LOWER(SUBSTITUTE(SUBSTITUTE($A62,"SAMPLE-",""),"CMP-","c"))&amp;"-"&amp;LOWER(SUBSTITUTE(SUBSTITUTE($B62,"SAMPLE-",""),"O-","o"))&amp;"-q"))*(scans!$D$2:$D$1601="baseline")*scans!$E$2:$E$1601))))</f>
        <v/>
      </c>
      <c r="AO62" s="25">
        <f>IF($A62="","",IF(COUNTIFS(scans!$C$2:$C$1601,(IF(LEFT($A62,7)="SAMPLE-","SAMPLE-","")&amp;LOWER(SUBSTITUTE(SUBSTITUTE($A62,"SAMPLE-",""),"CMP-","c"))&amp;"-"&amp;LOWER(SUBSTITUTE(SUBSTITUTE($B62,"SAMPLE-",""),"O-","o"))&amp;"-p"),scans!$D$2:$D$1601,"close")=0,"",SUMPRODUCT(MAX((scans!$C$2:$C$1601=(IF(LEFT($A62,7)="SAMPLE-","SAMPLE-","")&amp;LOWER(SUBSTITUTE(SUBSTITUTE($A62,"SAMPLE-",""),"CMP-","c"))&amp;"-"&amp;LOWER(SUBSTITUTE(SUBSTITUTE($B62,"SAMPLE-",""),"O-","o"))&amp;"-p"))*(scans!$D$2:$D$1601="close")*scans!$E$2:$E$1601))-SUMPRODUCT(MAX((scans!$C$2:$C$1601=(IF(LEFT($A62,7)="SAMPLE-","SAMPLE-","")&amp;LOWER(SUBSTITUTE(SUBSTITUTE($A62,"SAMPLE-",""),"CMP-","c"))&amp;"-"&amp;LOWER(SUBSTITUTE(SUBSTITUTE($B62,"SAMPLE-",""),"O-","o"))&amp;"-p"))*(scans!$D$2:$D$1601="baseline")*scans!$E$2:$E$1601))))</f>
        <v/>
      </c>
      <c r="AP62" s="25">
        <f>IF($A62="","",IF(COUNTIF(offices!$A$2:$A$61,$B62)=0,"office_id not on offices; ","")&amp;IF(COUNTIF(campaigns!$A$2:$A$51,$A62)=0,"campaign_id not on campaigns; ","")&amp;IF($P62="pending","approval pending; ","")&amp;IF(AND($U62&gt;0,$Y62="",OR($I62="",IF(config!$B$37&lt;&gt;"",config!$B$37,TODAY())&lt;=WORKDAY(N($I62),4,calendar!$A$2:$A$80))),"no usable placement photo yet; ","")&amp;IF(AND($Y62&lt;&gt;"",$Z62=""),"log the placed count; ","")&amp;IF(N($AA62)&gt;N($U62),"placed more than delivered; ","")&amp;IF(AND($AF62&lt;&gt;"",N($AF62)&gt;N($AA62)+N($AD62)),"day-5 count above placed plus top-ups; ","")&amp;IF(AND($U62&gt;0,$I62&lt;&gt;"",IF(config!$B$37&lt;&gt;"",config!$B$37,TODAY())&gt;WORKDAY(N($I62),4,calendar!$A$2:$A$80),$AF62=""),"day-5 count missing; ","")&amp;IF(AND($U62&gt;0,$I62&lt;&gt;"",IF(config!$B$37&lt;&gt;"",config!$B$37,TODAY())&gt;WORKDAY(N($I62),4,calendar!$A$2:$A$80),$AN62=""),"no close link reading; ","")&amp;$R62&amp;IF($P62="N","info: office said no; ","")&amp;IF(AND($P62="Y",$Q62="N"),"info: turned away at the door, so not on the drop (no letter, not in the report or Gate 2; the credit check is on campaigns); ","")&amp;IF(AND($U62&gt;0,$Y62="",$I62&lt;&gt;"",IF(config!$B$37&lt;&gt;"",config!$B$37,TODAY())&gt;WORKDAY(N($I62),4,calendar!$A$2:$A$80)),"info: no usable placement photo, so nothing counts as placed; ","")&amp;IF(AND($U62&gt;0,$I62&lt;&gt;"",IF(config!$B$37&lt;&gt;"",config!$B$37,TODAY())&gt;WORKDAY(N($I62),4,calendar!$A$2:$A$80),N($AL62)&lt;config!$B$30),"info: under "&amp;config!$B$30&amp;" responses; ","")&amp;IF($W62="packing_list","info: delivered count not verified; ",""))</f>
        <v/>
      </c>
      <c r="AQ62" s="25">
        <f>IF(OR($A62="",$I62=""),"",IF($BC62="Y",SUMIFS(survey_frozen!$E$2:$E$251,survey_frozen!$P$2:$P$251,$A62&amp;"|"&amp;$B62),IFERROR(COUNTIFS(INDIRECT("'"&amp;$A62&amp;"'!$B$2:$B$501"),$T62,INDIRECT("'"&amp;$A62&amp;"'!$A$2:$A$501"),"&gt;="&amp;$I62,INDIRECT("'"&amp;$A62&amp;"'!$A$2:$A$501"),"&lt;"&amp;($BA62+1),INDIRECT("'"&amp;$A62&amp;"'!$F$2:$F$501"),"Didn't see it"),0)))</f>
        <v/>
      </c>
      <c r="AR62" s="25">
        <f>IF(OR($A62="",$I62=""),"",IF($BC62="Y",SUMIFS(survey_frozen!$F$2:$F$251,survey_frozen!$P$2:$P$251,$A62&amp;"|"&amp;$B62),IFERROR(COUNTIFS(INDIRECT("'"&amp;$A62&amp;"'!$B$2:$B$501"),$T62,INDIRECT("'"&amp;$A62&amp;"'!$A$2:$A$501"),"&gt;="&amp;$I62,INDIRECT("'"&amp;$A62&amp;"'!$A$2:$A$501"),"&lt;"&amp;($BA62+1),INDIRECT("'"&amp;$A62&amp;"'!$F$2:$F$501"),"Not for me"),0)))</f>
        <v/>
      </c>
      <c r="AS62" s="25">
        <f>IF(OR($A62="",$I62=""),"",IF($BC62="Y",SUMIFS(survey_frozen!$G$2:$G$251,survey_frozen!$P$2:$P$251,$A62&amp;"|"&amp;$B62),IFERROR(COUNTIFS(INDIRECT("'"&amp;$A62&amp;"'!$B$2:$B$501"),$T62,INDIRECT("'"&amp;$A62&amp;"'!$A$2:$A$501"),"&gt;="&amp;$I62,INDIRECT("'"&amp;$A62&amp;"'!$A$2:$A$501"),"&lt;"&amp;($BA62+1),INDIRECT("'"&amp;$A62&amp;"'!$F$2:$F$501"),"Gone by the time I looked"),0)))</f>
        <v/>
      </c>
      <c r="AT62" s="25">
        <f>IF(OR($A62="",$I62=""),"",IF($BC62="Y",SUMIFS(survey_frozen!$H$2:$H$251,survey_frozen!$P$2:$P$251,$A62&amp;"|"&amp;$B62),IFERROR(COUNTIFS(INDIRECT("'"&amp;$A62&amp;"'!$B$2:$B$501"),$T62,INDIRECT("'"&amp;$A62&amp;"'!$A$2:$A$501"),"&gt;="&amp;$I62,INDIRECT("'"&amp;$A62&amp;"'!$A$2:$A$501"),"&lt;"&amp;($BA62+1),INDIRECT("'"&amp;$A62&amp;"'!$D$2:$D$501"),"&gt;=1"),0)))</f>
        <v/>
      </c>
      <c r="AU62" s="25">
        <f>IF(OR($A62="",$I62=""),"",IF($BC62="Y",SUMIFS(survey_frozen!$I$2:$I$251,survey_frozen!$P$2:$P$251,$A62&amp;"|"&amp;$B62),IFERROR(SUMIFS(INDIRECT("'"&amp;$A62&amp;"'!$D$2:$D$501"),INDIRECT("'"&amp;$A62&amp;"'!$B$2:$B$501"),$T62,INDIRECT("'"&amp;$A62&amp;"'!$A$2:$A$501"),"&gt;="&amp;$I62,INDIRECT("'"&amp;$A62&amp;"'!$A$2:$A$501"),"&lt;"&amp;($BA62+1)),0)))</f>
        <v/>
      </c>
      <c r="AV62" s="25">
        <f>IF(OR($A62="",$I62=""),"",IF($BC62="Y",SUMIFS(survey_frozen!$J$2:$J$251,survey_frozen!$P$2:$P$251,$A62&amp;"|"&amp;$B62),IFERROR(COUNTIFS(INDIRECT("'"&amp;$A62&amp;"'!$B$2:$B$501"),$T62,INDIRECT("'"&amp;$A62&amp;"'!$A$2:$A$501"),"&gt;="&amp;$I62,INDIRECT("'"&amp;$A62&amp;"'!$A$2:$A$501"),"&lt;"&amp;($BA62+1),INDIRECT("'"&amp;$A62&amp;"'!$E$2:$E$501"),"Yes"),0)))</f>
        <v/>
      </c>
      <c r="AW62" s="25">
        <f>IF(OR($A62="",$I62=""),"",IF($BC62="Y",SUMIFS(survey_frozen!$K$2:$K$251,survey_frozen!$P$2:$P$251,$A62&amp;"|"&amp;$B62),IFERROR(COUNTIFS(INDIRECT("'"&amp;$A62&amp;"'!$B$2:$B$501"),$T62,INDIRECT("'"&amp;$A62&amp;"'!$A$2:$A$501"),"&gt;="&amp;$I62,INDIRECT("'"&amp;$A62&amp;"'!$A$2:$A$501"),"&lt;"&amp;($BA62+1),INDIRECT("'"&amp;$A62&amp;"'!$E$2:$E$501"),"Maybe"),0)))</f>
        <v/>
      </c>
      <c r="AX62" s="25">
        <f>IF(OR($A62="",$I62=""),"",IF($BC62="Y",SUMIFS(survey_frozen!$L$2:$L$251,survey_frozen!$P$2:$P$251,$A62&amp;"|"&amp;$B62),IFERROR(COUNTIFS(INDIRECT("'"&amp;$A62&amp;"'!$B$2:$B$501"),$T62,INDIRECT("'"&amp;$A62&amp;"'!$A$2:$A$501"),"&gt;="&amp;$I62,INDIRECT("'"&amp;$A62&amp;"'!$A$2:$A$501"),"&lt;"&amp;($BA62+1),INDIRECT("'"&amp;$A62&amp;"'!$E$2:$E$501"),"No"),0)))</f>
        <v/>
      </c>
      <c r="AY62" s="25">
        <f>IF(OR($A62="",$I62=""),"",IF($BC62="Y",SUMIFS(survey_frozen!$M$2:$M$251,survey_frozen!$P$2:$P$251,$A62&amp;"|"&amp;$B62),IFERROR(COUNTIFS(INDIRECT("'"&amp;$A62&amp;"'!$B$2:$B$501"),$T62,INDIRECT("'"&amp;$A62&amp;"'!$A$2:$A$501"),"&gt;="&amp;$I62,INDIRECT("'"&amp;$A62&amp;"'!$A$2:$A$501"),"&lt;"&amp;($BA62+1),INDIRECT("'"&amp;$A62&amp;"'!$G$2:$G$501"),"&lt;&gt;"),0)))</f>
        <v/>
      </c>
      <c r="AZ62" s="25">
        <f>IF($A62="","",$A62&amp;"|"&amp;$L62)</f>
        <v/>
      </c>
      <c r="BA62" s="26">
        <f>IF($A62="","",IFERROR(IF(INDEX(drops!$R$2:$R$21,MATCH($H62,drops!$A$2:$A$21,0))="","",INDEX(drops!$R$2:$R$21,MATCH($H62,drops!$A$2:$A$21,0))),""))</f>
        <v/>
      </c>
      <c r="BB62" s="25">
        <f>IF(OR($A62="",$Q62&lt;&gt;"Y"),1000000,N($AL62))</f>
        <v/>
      </c>
      <c r="BC62" s="25">
        <f>IF($A62="","",IF(COUNTIF(survey_frozen!$P$2:$P$251,$A62&amp;"|"&amp;$B62)&gt;0,"Y",""))</f>
        <v/>
      </c>
    </row>
    <row r="63">
      <c r="C63" s="9" t="n"/>
      <c r="E63" s="9" t="n"/>
      <c r="H63" s="25">
        <f>IF($A63="","",IFERROR(IF(INDEX(campaigns!$B$2:$B$51,MATCH($A63,campaigns!$A$2:$A$51,0))="","",INDEX(campaigns!$B$2:$B$51,MATCH($A63,campaigns!$A$2:$A$51,0))),""))</f>
        <v/>
      </c>
      <c r="I63" s="26">
        <f>IF($A63="","",IFERROR(IF(INDEX(campaigns!$BG$2:$BG$51,MATCH($A63,campaigns!$A$2:$A$51,0))="","",INDEX(campaigns!$BG$2:$BG$51,MATCH($A63,campaigns!$A$2:$A$51,0))),""))</f>
        <v/>
      </c>
      <c r="J63" s="25">
        <f>IF($A63="","",IFERROR(IF(INDEX(campaigns!$BE$2:$BE$51,MATCH($A63,campaigns!$A$2:$A$51,0))="","",INDEX(campaigns!$BE$2:$BE$51,MATCH($A63,campaigns!$A$2:$A$51,0))),""))</f>
        <v/>
      </c>
      <c r="K63" s="25">
        <f>IF($B63="","",IFERROR(IF(INDEX(offices!$N$2:$N$61,MATCH($B63,offices!$A$2:$A$61,0))="","",INDEX(offices!$N$2:$N$61,MATCH($B63,offices!$A$2:$A$61,0))),""))</f>
        <v/>
      </c>
      <c r="L63" s="25">
        <f>IF($A63="","",IF($Q63="N","",COUNTIFS($A$2:$A63,$A63,$Q$2:$Q63,"&lt;&gt;N")))</f>
        <v/>
      </c>
      <c r="M63" s="25">
        <f>IF(OR($A63="",$L63=""),"",IF(AND(config!$B$34="names_if_public",IFERROR(IF(INDEX(offices!$AF$2:$AF$61,MATCH($B63,offices!$A$2:$A$61,0))="","",INDEX(offices!$AF$2:$AF$61,MATCH($B63,offices!$A$2:$A$61,0))),"")="Y"),$K63,CHAR(64+$L63)))</f>
        <v/>
      </c>
      <c r="N63" s="25">
        <f>IF(OR($A63="",$I63=""),"",COUNTIFS(stops!$B$2:$B$151,$B63,stops!$P$2:$P$151,"&lt;"&amp;$I63,stops!$L$2:$L$151,"&lt;&gt;not_delivered")+1)</f>
        <v/>
      </c>
      <c r="O63" s="25">
        <f>IF($A63="","",IF(N($N63)&lt;=config!$B$29,"explicit","opt-out"))</f>
        <v/>
      </c>
      <c r="P63" s="25">
        <f>IF($A63="","",IF($O63="explicit",IF($D63="yes","Y",IF($D63="no","N","pending")),IF($D63="no","N",IF(AND($C63&lt;&gt;"",$I63&lt;&gt;"",$C63&lt;=WORKDAY(N($I63),-5,calendar!$A$2:$A$80)),"Y","pending"))))</f>
        <v/>
      </c>
      <c r="Q63" s="25">
        <f>IF($A63="","",IF($P63="N","N",IF($P63&lt;&gt;"Y","pending",IF(AND((COUNTIFS(stops!$A$2:$A$151,$H63,stops!$B$2:$B$151,$B63,stops!$L$2:$L$151,"declined")+COUNTIFS(stops!$A$2:$A$151,$H63,stops!$B$2:$B$151,$B63,stops!$L$2:$L$151,"building_refused")+COUNTIFS(stops!$A$2:$A$151,$H63,stops!$B$2:$B$151,$B63,stops!$L$2:$L$151,"not_delivered"))&gt;0,N($U63)=0),"N","Y"))))</f>
        <v/>
      </c>
      <c r="R63" s="25">
        <f>IF($A63="","",IF(COUNTIFS($A$2:$A$251,$A63,$B$2:$B$251,$B63)&gt;1,"DUPLICATE ROW; ","")&amp;IF(AND(IFERROR(IF(INDEX(offices!$AC$2:$AC$61,MATCH($B63,offices!$A$2:$A$61,0))="","",INDEX(offices!$AC$2:$AC$61,MATCH($B63,offices!$A$2:$A$61,0))),"")&lt;&gt;"",ISNUMBER(SEARCH($J63,IFERROR(IF(INDEX(offices!$AC$2:$AC$61,MATCH($B63,offices!$A$2:$A$61,0))="","",INDEX(offices!$AC$2:$AC$61,MATCH($B63,offices!$A$2:$A$61,0))),"")))),"BRAND VETOED; ","")&amp;IF(ISNUMBER(SEARCH(IFERROR(IF(INDEX(campaigns!$BF$2:$BF$51,MATCH($A63,campaigns!$A$2:$A$51,0))="","",INDEX(campaigns!$BF$2:$BF$51,MATCH($A63,campaigns!$A$2:$A$51,0))),""),IFERROR(IF(INDEX(offices!$AB$2:$AB$61,MATCH($B63,offices!$A$2:$A$61,0))="","",INDEX(offices!$AB$2:$AB$61,MATCH($B63,offices!$A$2:$A$61,0))),""))),"","info: category not on the office's list; ")&amp;IF(IFERROR(IF(INDEX(offices!$AC$2:$AC$61,MATCH($B63,offices!$A$2:$A$61,0))="","",INDEX(offices!$AC$2:$AC$61,MATCH($B63,offices!$A$2:$A$61,0))),"")&lt;&gt;"","info: read the vetoes against the label; ",""))</f>
        <v/>
      </c>
      <c r="S63" s="25">
        <f>IF($A63="","",IF($G63&lt;&gt;"",$G63,IFERROR(IF(INDEX(offices!$AL$2:$AL$61,MATCH($B63,offices!$A$2:$A$61,0))="","",INDEX(offices!$AL$2:$AL$61,MATCH($B63,offices!$A$2:$A$61,0))),"")))</f>
        <v/>
      </c>
      <c r="T63" s="25">
        <f>IF($A63="","",$A63&amp;"."&amp;$B63)</f>
        <v/>
      </c>
      <c r="U63" s="25">
        <f>IF($A63="","",SUMIFS(inventory!$G$2:$G$801,inventory!$C$2:$C$801,$A63,inventory!$D$2:$D$801,$B63,inventory!$E$2:$E$801,"delivered"))</f>
        <v/>
      </c>
      <c r="V63" s="32">
        <f>IF($A63="","",IFERROR(1/(1/SUMPRODUCT(MAX((inventory!$C$2:$C$801=$A63)*(inventory!$D$2:$D$801=$B63)*(inventory!$E$2:$E$801="delivered")*(inventory!$A$2:$A$801+inventory!$B$2:$B$801)))),""))</f>
        <v/>
      </c>
      <c r="W63" s="25">
        <f>IF($A63="","",IFERROR(IF(INDEX(inventory!$J$2:$J$801,MATCH($A63&amp;"|"&amp;$B63&amp;"|delivered",inventory!$R$2:$R$801,0))="","",INDEX(inventory!$J$2:$J$801,MATCH($A63&amp;"|"&amp;$B63&amp;"|delivered",inventory!$R$2:$R$801,0))),""))</f>
        <v/>
      </c>
      <c r="X63" s="25">
        <f>IF($A63="","",IFERROR(IF(INDEX(photos!$H$2:$H$701,MATCH($A63&amp;"|"&amp;$B63&amp;"|placement|Y",photos!$R$2:$R$701,0))="","",INDEX(photos!$H$2:$H$701,MATCH($A63&amp;"|"&amp;$B63&amp;"|placement|Y",photos!$R$2:$R$701,0))),""))</f>
        <v/>
      </c>
      <c r="Y63" s="26">
        <f>IF($A63="","",IFERROR(IF(INDEX(photos!$E$2:$E$701,MATCH($A63&amp;"|"&amp;$B63&amp;"|placement|Y",photos!$R$2:$R$701,0))="","",INDEX(photos!$E$2:$E$701,MATCH($A63&amp;"|"&amp;$B63&amp;"|placement|Y",photos!$R$2:$R$701,0))),""))</f>
        <v/>
      </c>
      <c r="Z63" s="25">
        <f>IF($A63="","",IF(COUNTIFS(counts!$C$2:$C$701,$A63,counts!$D$2:$D$701,$B63,counts!$E$2:$E$701,"placed")=0,"",SUMIFS(counts!$F$2:$F$701,counts!$C$2:$C$701,$A63,counts!$D$2:$D$701,$B63,counts!$E$2:$E$701,"placed")))</f>
        <v/>
      </c>
      <c r="AA63" s="25">
        <f>IF($A63="","",IF($Y63="",0,N($Z63)))</f>
        <v/>
      </c>
      <c r="AB63" s="25">
        <f>IF($A63="","",IF(OR($Y63="",$I63=""),"N",IF($Y63&lt;=WORKDAY(N($I63),1,calendar!$A$2:$A$80),"Y","N")))</f>
        <v/>
      </c>
      <c r="AC63" s="28">
        <f>IF(OR($A63="",$V63="",$Y63=""),"",ROUND(($Y63+N(IFERROR(IF(INDEX(photos!$F$2:$F$701,MATCH($A63&amp;"|"&amp;$B63&amp;"|placement|Y",photos!$R$2:$R$701,0))="","",INDEX(photos!$F$2:$F$701,MATCH($A63&amp;"|"&amp;$B63&amp;"|placement|Y",photos!$R$2:$R$701,0))),""))-$V63)*24,1))</f>
        <v/>
      </c>
      <c r="AD63" s="25">
        <f>IF($A63="","",SUMIFS(inventory!$G$2:$G$801,inventory!$C$2:$C$801,$A63,inventory!$D$2:$D$801,$B63,inventory!$E$2:$E$801,"topped_up"))</f>
        <v/>
      </c>
      <c r="AE63" s="25">
        <f>IF($A63="","",IF(COUNTIFS(counts!$C$2:$C$701,$A63,counts!$D$2:$D$701,$B63,counts!$E$2:$E$701,"remaining_day3")=0,"",SUMIFS(counts!$F$2:$F$701,counts!$C$2:$C$701,$A63,counts!$D$2:$D$701,$B63,counts!$E$2:$E$701,"remaining_day3")))</f>
        <v/>
      </c>
      <c r="AF63" s="25">
        <f>IF($A63="","",IF(COUNTIFS(counts!$C$2:$C$701,$A63,counts!$D$2:$D$701,$B63,counts!$E$2:$E$701,"remaining_day5")=0,"",SUMIFS(counts!$F$2:$F$701,counts!$C$2:$C$701,$A63,counts!$D$2:$D$701,$B63,counts!$E$2:$E$701,"remaining_day5")))</f>
        <v/>
      </c>
      <c r="AG63" s="25">
        <f>IF(OR($A63="",$AF63=""),"",MAX(0,$AA63+$AD63-$AF63))</f>
        <v/>
      </c>
      <c r="AH63" s="25">
        <f>IF(OR($A63="",$AI63=""),"",IFERROR(IF(INDEX(photos!$H$2:$H$701,MATCH($A63&amp;"|"&amp;$B63&amp;"|later|Y|"&amp;$AI63,photos!$S$2:$S$701,0))="","",INDEX(photos!$H$2:$H$701,MATCH($A63&amp;"|"&amp;$B63&amp;"|later|Y|"&amp;$AI63,photos!$S$2:$S$701,0))),""))</f>
        <v/>
      </c>
      <c r="AI63" s="26">
        <f>IF($A63="","",IFERROR(1/(1/SUMPRODUCT(MAX((photos!$B$2:$B$701=$A63)*(photos!$C$2:$C$701=$B63)*(photos!$D$2:$D$701="later")*(photos!$O$2:$O$701="Y")*photos!$E$2:$E$701))),""))</f>
        <v/>
      </c>
      <c r="AJ63" s="25">
        <f>IF(OR($A63="",$AI63="",$I63=""),"",NETWORKDAYS($I63,$AI63,calendar!$A$2:$A$80))</f>
        <v/>
      </c>
      <c r="AK63" s="25">
        <f>IF($A63="","",IF(AND($X63&lt;&gt;"",$AH63&lt;&gt;""),"Y","N"))</f>
        <v/>
      </c>
      <c r="AL63" s="25">
        <f>IF(OR($A63="",$I63=""),"",IF($BC63="Y",SUMIFS(survey_frozen!$C$2:$C$251,survey_frozen!$P$2:$P$251,$A63&amp;"|"&amp;$B63),IFERROR(COUNTIFS(INDIRECT("'"&amp;$A63&amp;"'!$B$2:$B$501"),$T63,INDIRECT("'"&amp;$A63&amp;"'!$A$2:$A$501"),"&gt;="&amp;$I63,INDIRECT("'"&amp;$A63&amp;"'!$A$2:$A$501"),"&lt;"&amp;($BA63+1)),0)))</f>
        <v/>
      </c>
      <c r="AM63" s="25">
        <f>IF(OR($A63="",$I63=""),"",IF($BC63="Y",SUMIFS(survey_frozen!$D$2:$D$251,survey_frozen!$P$2:$P$251,$A63&amp;"|"&amp;$B63),IFERROR(COUNTIFS(INDIRECT("'"&amp;$A63&amp;"'!$B$2:$B$501"),$T63,INDIRECT("'"&amp;$A63&amp;"'!$A$2:$A$501"),"&gt;="&amp;$I63,INDIRECT("'"&amp;$A63&amp;"'!$A$2:$A$501"),"&lt;"&amp;($BA63+1),INDIRECT("'"&amp;$A63&amp;"'!$C$2:$C$501"),"Yes"),0)))</f>
        <v/>
      </c>
      <c r="AN63" s="25">
        <f>IF($A63="","",IF(COUNTIFS(scans!$C$2:$C$1601,(IF(LEFT($A63,7)="SAMPLE-","SAMPLE-","")&amp;LOWER(SUBSTITUTE(SUBSTITUTE($A63,"SAMPLE-",""),"CMP-","c"))&amp;"-"&amp;LOWER(SUBSTITUTE(SUBSTITUTE($B63,"SAMPLE-",""),"O-","o"))&amp;"-q"),scans!$D$2:$D$1601,"close")=0,"",SUMPRODUCT(MAX((scans!$C$2:$C$1601=(IF(LEFT($A63,7)="SAMPLE-","SAMPLE-","")&amp;LOWER(SUBSTITUTE(SUBSTITUTE($A63,"SAMPLE-",""),"CMP-","c"))&amp;"-"&amp;LOWER(SUBSTITUTE(SUBSTITUTE($B63,"SAMPLE-",""),"O-","o"))&amp;"-q"))*(scans!$D$2:$D$1601="close")*scans!$E$2:$E$1601))-SUMPRODUCT(MAX((scans!$C$2:$C$1601=(IF(LEFT($A63,7)="SAMPLE-","SAMPLE-","")&amp;LOWER(SUBSTITUTE(SUBSTITUTE($A63,"SAMPLE-",""),"CMP-","c"))&amp;"-"&amp;LOWER(SUBSTITUTE(SUBSTITUTE($B63,"SAMPLE-",""),"O-","o"))&amp;"-q"))*(scans!$D$2:$D$1601="baseline")*scans!$E$2:$E$1601))))</f>
        <v/>
      </c>
      <c r="AO63" s="25">
        <f>IF($A63="","",IF(COUNTIFS(scans!$C$2:$C$1601,(IF(LEFT($A63,7)="SAMPLE-","SAMPLE-","")&amp;LOWER(SUBSTITUTE(SUBSTITUTE($A63,"SAMPLE-",""),"CMP-","c"))&amp;"-"&amp;LOWER(SUBSTITUTE(SUBSTITUTE($B63,"SAMPLE-",""),"O-","o"))&amp;"-p"),scans!$D$2:$D$1601,"close")=0,"",SUMPRODUCT(MAX((scans!$C$2:$C$1601=(IF(LEFT($A63,7)="SAMPLE-","SAMPLE-","")&amp;LOWER(SUBSTITUTE(SUBSTITUTE($A63,"SAMPLE-",""),"CMP-","c"))&amp;"-"&amp;LOWER(SUBSTITUTE(SUBSTITUTE($B63,"SAMPLE-",""),"O-","o"))&amp;"-p"))*(scans!$D$2:$D$1601="close")*scans!$E$2:$E$1601))-SUMPRODUCT(MAX((scans!$C$2:$C$1601=(IF(LEFT($A63,7)="SAMPLE-","SAMPLE-","")&amp;LOWER(SUBSTITUTE(SUBSTITUTE($A63,"SAMPLE-",""),"CMP-","c"))&amp;"-"&amp;LOWER(SUBSTITUTE(SUBSTITUTE($B63,"SAMPLE-",""),"O-","o"))&amp;"-p"))*(scans!$D$2:$D$1601="baseline")*scans!$E$2:$E$1601))))</f>
        <v/>
      </c>
      <c r="AP63" s="25">
        <f>IF($A63="","",IF(COUNTIF(offices!$A$2:$A$61,$B63)=0,"office_id not on offices; ","")&amp;IF(COUNTIF(campaigns!$A$2:$A$51,$A63)=0,"campaign_id not on campaigns; ","")&amp;IF($P63="pending","approval pending; ","")&amp;IF(AND($U63&gt;0,$Y63="",OR($I63="",IF(config!$B$37&lt;&gt;"",config!$B$37,TODAY())&lt;=WORKDAY(N($I63),4,calendar!$A$2:$A$80))),"no usable placement photo yet; ","")&amp;IF(AND($Y63&lt;&gt;"",$Z63=""),"log the placed count; ","")&amp;IF(N($AA63)&gt;N($U63),"placed more than delivered; ","")&amp;IF(AND($AF63&lt;&gt;"",N($AF63)&gt;N($AA63)+N($AD63)),"day-5 count above placed plus top-ups; ","")&amp;IF(AND($U63&gt;0,$I63&lt;&gt;"",IF(config!$B$37&lt;&gt;"",config!$B$37,TODAY())&gt;WORKDAY(N($I63),4,calendar!$A$2:$A$80),$AF63=""),"day-5 count missing; ","")&amp;IF(AND($U63&gt;0,$I63&lt;&gt;"",IF(config!$B$37&lt;&gt;"",config!$B$37,TODAY())&gt;WORKDAY(N($I63),4,calendar!$A$2:$A$80),$AN63=""),"no close link reading; ","")&amp;$R63&amp;IF($P63="N","info: office said no; ","")&amp;IF(AND($P63="Y",$Q63="N"),"info: turned away at the door, so not on the drop (no letter, not in the report or Gate 2; the credit check is on campaigns); ","")&amp;IF(AND($U63&gt;0,$Y63="",$I63&lt;&gt;"",IF(config!$B$37&lt;&gt;"",config!$B$37,TODAY())&gt;WORKDAY(N($I63),4,calendar!$A$2:$A$80)),"info: no usable placement photo, so nothing counts as placed; ","")&amp;IF(AND($U63&gt;0,$I63&lt;&gt;"",IF(config!$B$37&lt;&gt;"",config!$B$37,TODAY())&gt;WORKDAY(N($I63),4,calendar!$A$2:$A$80),N($AL63)&lt;config!$B$30),"info: under "&amp;config!$B$30&amp;" responses; ","")&amp;IF($W63="packing_list","info: delivered count not verified; ",""))</f>
        <v/>
      </c>
      <c r="AQ63" s="25">
        <f>IF(OR($A63="",$I63=""),"",IF($BC63="Y",SUMIFS(survey_frozen!$E$2:$E$251,survey_frozen!$P$2:$P$251,$A63&amp;"|"&amp;$B63),IFERROR(COUNTIFS(INDIRECT("'"&amp;$A63&amp;"'!$B$2:$B$501"),$T63,INDIRECT("'"&amp;$A63&amp;"'!$A$2:$A$501"),"&gt;="&amp;$I63,INDIRECT("'"&amp;$A63&amp;"'!$A$2:$A$501"),"&lt;"&amp;($BA63+1),INDIRECT("'"&amp;$A63&amp;"'!$F$2:$F$501"),"Didn't see it"),0)))</f>
        <v/>
      </c>
      <c r="AR63" s="25">
        <f>IF(OR($A63="",$I63=""),"",IF($BC63="Y",SUMIFS(survey_frozen!$F$2:$F$251,survey_frozen!$P$2:$P$251,$A63&amp;"|"&amp;$B63),IFERROR(COUNTIFS(INDIRECT("'"&amp;$A63&amp;"'!$B$2:$B$501"),$T63,INDIRECT("'"&amp;$A63&amp;"'!$A$2:$A$501"),"&gt;="&amp;$I63,INDIRECT("'"&amp;$A63&amp;"'!$A$2:$A$501"),"&lt;"&amp;($BA63+1),INDIRECT("'"&amp;$A63&amp;"'!$F$2:$F$501"),"Not for me"),0)))</f>
        <v/>
      </c>
      <c r="AS63" s="25">
        <f>IF(OR($A63="",$I63=""),"",IF($BC63="Y",SUMIFS(survey_frozen!$G$2:$G$251,survey_frozen!$P$2:$P$251,$A63&amp;"|"&amp;$B63),IFERROR(COUNTIFS(INDIRECT("'"&amp;$A63&amp;"'!$B$2:$B$501"),$T63,INDIRECT("'"&amp;$A63&amp;"'!$A$2:$A$501"),"&gt;="&amp;$I63,INDIRECT("'"&amp;$A63&amp;"'!$A$2:$A$501"),"&lt;"&amp;($BA63+1),INDIRECT("'"&amp;$A63&amp;"'!$F$2:$F$501"),"Gone by the time I looked"),0)))</f>
        <v/>
      </c>
      <c r="AT63" s="25">
        <f>IF(OR($A63="",$I63=""),"",IF($BC63="Y",SUMIFS(survey_frozen!$H$2:$H$251,survey_frozen!$P$2:$P$251,$A63&amp;"|"&amp;$B63),IFERROR(COUNTIFS(INDIRECT("'"&amp;$A63&amp;"'!$B$2:$B$501"),$T63,INDIRECT("'"&amp;$A63&amp;"'!$A$2:$A$501"),"&gt;="&amp;$I63,INDIRECT("'"&amp;$A63&amp;"'!$A$2:$A$501"),"&lt;"&amp;($BA63+1),INDIRECT("'"&amp;$A63&amp;"'!$D$2:$D$501"),"&gt;=1"),0)))</f>
        <v/>
      </c>
      <c r="AU63" s="25">
        <f>IF(OR($A63="",$I63=""),"",IF($BC63="Y",SUMIFS(survey_frozen!$I$2:$I$251,survey_frozen!$P$2:$P$251,$A63&amp;"|"&amp;$B63),IFERROR(SUMIFS(INDIRECT("'"&amp;$A63&amp;"'!$D$2:$D$501"),INDIRECT("'"&amp;$A63&amp;"'!$B$2:$B$501"),$T63,INDIRECT("'"&amp;$A63&amp;"'!$A$2:$A$501"),"&gt;="&amp;$I63,INDIRECT("'"&amp;$A63&amp;"'!$A$2:$A$501"),"&lt;"&amp;($BA63+1)),0)))</f>
        <v/>
      </c>
      <c r="AV63" s="25">
        <f>IF(OR($A63="",$I63=""),"",IF($BC63="Y",SUMIFS(survey_frozen!$J$2:$J$251,survey_frozen!$P$2:$P$251,$A63&amp;"|"&amp;$B63),IFERROR(COUNTIFS(INDIRECT("'"&amp;$A63&amp;"'!$B$2:$B$501"),$T63,INDIRECT("'"&amp;$A63&amp;"'!$A$2:$A$501"),"&gt;="&amp;$I63,INDIRECT("'"&amp;$A63&amp;"'!$A$2:$A$501"),"&lt;"&amp;($BA63+1),INDIRECT("'"&amp;$A63&amp;"'!$E$2:$E$501"),"Yes"),0)))</f>
        <v/>
      </c>
      <c r="AW63" s="25">
        <f>IF(OR($A63="",$I63=""),"",IF($BC63="Y",SUMIFS(survey_frozen!$K$2:$K$251,survey_frozen!$P$2:$P$251,$A63&amp;"|"&amp;$B63),IFERROR(COUNTIFS(INDIRECT("'"&amp;$A63&amp;"'!$B$2:$B$501"),$T63,INDIRECT("'"&amp;$A63&amp;"'!$A$2:$A$501"),"&gt;="&amp;$I63,INDIRECT("'"&amp;$A63&amp;"'!$A$2:$A$501"),"&lt;"&amp;($BA63+1),INDIRECT("'"&amp;$A63&amp;"'!$E$2:$E$501"),"Maybe"),0)))</f>
        <v/>
      </c>
      <c r="AX63" s="25">
        <f>IF(OR($A63="",$I63=""),"",IF($BC63="Y",SUMIFS(survey_frozen!$L$2:$L$251,survey_frozen!$P$2:$P$251,$A63&amp;"|"&amp;$B63),IFERROR(COUNTIFS(INDIRECT("'"&amp;$A63&amp;"'!$B$2:$B$501"),$T63,INDIRECT("'"&amp;$A63&amp;"'!$A$2:$A$501"),"&gt;="&amp;$I63,INDIRECT("'"&amp;$A63&amp;"'!$A$2:$A$501"),"&lt;"&amp;($BA63+1),INDIRECT("'"&amp;$A63&amp;"'!$E$2:$E$501"),"No"),0)))</f>
        <v/>
      </c>
      <c r="AY63" s="25">
        <f>IF(OR($A63="",$I63=""),"",IF($BC63="Y",SUMIFS(survey_frozen!$M$2:$M$251,survey_frozen!$P$2:$P$251,$A63&amp;"|"&amp;$B63),IFERROR(COUNTIFS(INDIRECT("'"&amp;$A63&amp;"'!$B$2:$B$501"),$T63,INDIRECT("'"&amp;$A63&amp;"'!$A$2:$A$501"),"&gt;="&amp;$I63,INDIRECT("'"&amp;$A63&amp;"'!$A$2:$A$501"),"&lt;"&amp;($BA63+1),INDIRECT("'"&amp;$A63&amp;"'!$G$2:$G$501"),"&lt;&gt;"),0)))</f>
        <v/>
      </c>
      <c r="AZ63" s="25">
        <f>IF($A63="","",$A63&amp;"|"&amp;$L63)</f>
        <v/>
      </c>
      <c r="BA63" s="26">
        <f>IF($A63="","",IFERROR(IF(INDEX(drops!$R$2:$R$21,MATCH($H63,drops!$A$2:$A$21,0))="","",INDEX(drops!$R$2:$R$21,MATCH($H63,drops!$A$2:$A$21,0))),""))</f>
        <v/>
      </c>
      <c r="BB63" s="25">
        <f>IF(OR($A63="",$Q63&lt;&gt;"Y"),1000000,N($AL63))</f>
        <v/>
      </c>
      <c r="BC63" s="25">
        <f>IF($A63="","",IF(COUNTIF(survey_frozen!$P$2:$P$251,$A63&amp;"|"&amp;$B63)&gt;0,"Y",""))</f>
        <v/>
      </c>
    </row>
    <row r="64">
      <c r="C64" s="9" t="n"/>
      <c r="E64" s="9" t="n"/>
      <c r="H64" s="25">
        <f>IF($A64="","",IFERROR(IF(INDEX(campaigns!$B$2:$B$51,MATCH($A64,campaigns!$A$2:$A$51,0))="","",INDEX(campaigns!$B$2:$B$51,MATCH($A64,campaigns!$A$2:$A$51,0))),""))</f>
        <v/>
      </c>
      <c r="I64" s="26">
        <f>IF($A64="","",IFERROR(IF(INDEX(campaigns!$BG$2:$BG$51,MATCH($A64,campaigns!$A$2:$A$51,0))="","",INDEX(campaigns!$BG$2:$BG$51,MATCH($A64,campaigns!$A$2:$A$51,0))),""))</f>
        <v/>
      </c>
      <c r="J64" s="25">
        <f>IF($A64="","",IFERROR(IF(INDEX(campaigns!$BE$2:$BE$51,MATCH($A64,campaigns!$A$2:$A$51,0))="","",INDEX(campaigns!$BE$2:$BE$51,MATCH($A64,campaigns!$A$2:$A$51,0))),""))</f>
        <v/>
      </c>
      <c r="K64" s="25">
        <f>IF($B64="","",IFERROR(IF(INDEX(offices!$N$2:$N$61,MATCH($B64,offices!$A$2:$A$61,0))="","",INDEX(offices!$N$2:$N$61,MATCH($B64,offices!$A$2:$A$61,0))),""))</f>
        <v/>
      </c>
      <c r="L64" s="25">
        <f>IF($A64="","",IF($Q64="N","",COUNTIFS($A$2:$A64,$A64,$Q$2:$Q64,"&lt;&gt;N")))</f>
        <v/>
      </c>
      <c r="M64" s="25">
        <f>IF(OR($A64="",$L64=""),"",IF(AND(config!$B$34="names_if_public",IFERROR(IF(INDEX(offices!$AF$2:$AF$61,MATCH($B64,offices!$A$2:$A$61,0))="","",INDEX(offices!$AF$2:$AF$61,MATCH($B64,offices!$A$2:$A$61,0))),"")="Y"),$K64,CHAR(64+$L64)))</f>
        <v/>
      </c>
      <c r="N64" s="25">
        <f>IF(OR($A64="",$I64=""),"",COUNTIFS(stops!$B$2:$B$151,$B64,stops!$P$2:$P$151,"&lt;"&amp;$I64,stops!$L$2:$L$151,"&lt;&gt;not_delivered")+1)</f>
        <v/>
      </c>
      <c r="O64" s="25">
        <f>IF($A64="","",IF(N($N64)&lt;=config!$B$29,"explicit","opt-out"))</f>
        <v/>
      </c>
      <c r="P64" s="25">
        <f>IF($A64="","",IF($O64="explicit",IF($D64="yes","Y",IF($D64="no","N","pending")),IF($D64="no","N",IF(AND($C64&lt;&gt;"",$I64&lt;&gt;"",$C64&lt;=WORKDAY(N($I64),-5,calendar!$A$2:$A$80)),"Y","pending"))))</f>
        <v/>
      </c>
      <c r="Q64" s="25">
        <f>IF($A64="","",IF($P64="N","N",IF($P64&lt;&gt;"Y","pending",IF(AND((COUNTIFS(stops!$A$2:$A$151,$H64,stops!$B$2:$B$151,$B64,stops!$L$2:$L$151,"declined")+COUNTIFS(stops!$A$2:$A$151,$H64,stops!$B$2:$B$151,$B64,stops!$L$2:$L$151,"building_refused")+COUNTIFS(stops!$A$2:$A$151,$H64,stops!$B$2:$B$151,$B64,stops!$L$2:$L$151,"not_delivered"))&gt;0,N($U64)=0),"N","Y"))))</f>
        <v/>
      </c>
      <c r="R64" s="25">
        <f>IF($A64="","",IF(COUNTIFS($A$2:$A$251,$A64,$B$2:$B$251,$B64)&gt;1,"DUPLICATE ROW; ","")&amp;IF(AND(IFERROR(IF(INDEX(offices!$AC$2:$AC$61,MATCH($B64,offices!$A$2:$A$61,0))="","",INDEX(offices!$AC$2:$AC$61,MATCH($B64,offices!$A$2:$A$61,0))),"")&lt;&gt;"",ISNUMBER(SEARCH($J64,IFERROR(IF(INDEX(offices!$AC$2:$AC$61,MATCH($B64,offices!$A$2:$A$61,0))="","",INDEX(offices!$AC$2:$AC$61,MATCH($B64,offices!$A$2:$A$61,0))),"")))),"BRAND VETOED; ","")&amp;IF(ISNUMBER(SEARCH(IFERROR(IF(INDEX(campaigns!$BF$2:$BF$51,MATCH($A64,campaigns!$A$2:$A$51,0))="","",INDEX(campaigns!$BF$2:$BF$51,MATCH($A64,campaigns!$A$2:$A$51,0))),""),IFERROR(IF(INDEX(offices!$AB$2:$AB$61,MATCH($B64,offices!$A$2:$A$61,0))="","",INDEX(offices!$AB$2:$AB$61,MATCH($B64,offices!$A$2:$A$61,0))),""))),"","info: category not on the office's list; ")&amp;IF(IFERROR(IF(INDEX(offices!$AC$2:$AC$61,MATCH($B64,offices!$A$2:$A$61,0))="","",INDEX(offices!$AC$2:$AC$61,MATCH($B64,offices!$A$2:$A$61,0))),"")&lt;&gt;"","info: read the vetoes against the label; ",""))</f>
        <v/>
      </c>
      <c r="S64" s="25">
        <f>IF($A64="","",IF($G64&lt;&gt;"",$G64,IFERROR(IF(INDEX(offices!$AL$2:$AL$61,MATCH($B64,offices!$A$2:$A$61,0))="","",INDEX(offices!$AL$2:$AL$61,MATCH($B64,offices!$A$2:$A$61,0))),"")))</f>
        <v/>
      </c>
      <c r="T64" s="25">
        <f>IF($A64="","",$A64&amp;"."&amp;$B64)</f>
        <v/>
      </c>
      <c r="U64" s="25">
        <f>IF($A64="","",SUMIFS(inventory!$G$2:$G$801,inventory!$C$2:$C$801,$A64,inventory!$D$2:$D$801,$B64,inventory!$E$2:$E$801,"delivered"))</f>
        <v/>
      </c>
      <c r="V64" s="32">
        <f>IF($A64="","",IFERROR(1/(1/SUMPRODUCT(MAX((inventory!$C$2:$C$801=$A64)*(inventory!$D$2:$D$801=$B64)*(inventory!$E$2:$E$801="delivered")*(inventory!$A$2:$A$801+inventory!$B$2:$B$801)))),""))</f>
        <v/>
      </c>
      <c r="W64" s="25">
        <f>IF($A64="","",IFERROR(IF(INDEX(inventory!$J$2:$J$801,MATCH($A64&amp;"|"&amp;$B64&amp;"|delivered",inventory!$R$2:$R$801,0))="","",INDEX(inventory!$J$2:$J$801,MATCH($A64&amp;"|"&amp;$B64&amp;"|delivered",inventory!$R$2:$R$801,0))),""))</f>
        <v/>
      </c>
      <c r="X64" s="25">
        <f>IF($A64="","",IFERROR(IF(INDEX(photos!$H$2:$H$701,MATCH($A64&amp;"|"&amp;$B64&amp;"|placement|Y",photos!$R$2:$R$701,0))="","",INDEX(photos!$H$2:$H$701,MATCH($A64&amp;"|"&amp;$B64&amp;"|placement|Y",photos!$R$2:$R$701,0))),""))</f>
        <v/>
      </c>
      <c r="Y64" s="26">
        <f>IF($A64="","",IFERROR(IF(INDEX(photos!$E$2:$E$701,MATCH($A64&amp;"|"&amp;$B64&amp;"|placement|Y",photos!$R$2:$R$701,0))="","",INDEX(photos!$E$2:$E$701,MATCH($A64&amp;"|"&amp;$B64&amp;"|placement|Y",photos!$R$2:$R$701,0))),""))</f>
        <v/>
      </c>
      <c r="Z64" s="25">
        <f>IF($A64="","",IF(COUNTIFS(counts!$C$2:$C$701,$A64,counts!$D$2:$D$701,$B64,counts!$E$2:$E$701,"placed")=0,"",SUMIFS(counts!$F$2:$F$701,counts!$C$2:$C$701,$A64,counts!$D$2:$D$701,$B64,counts!$E$2:$E$701,"placed")))</f>
        <v/>
      </c>
      <c r="AA64" s="25">
        <f>IF($A64="","",IF($Y64="",0,N($Z64)))</f>
        <v/>
      </c>
      <c r="AB64" s="25">
        <f>IF($A64="","",IF(OR($Y64="",$I64=""),"N",IF($Y64&lt;=WORKDAY(N($I64),1,calendar!$A$2:$A$80),"Y","N")))</f>
        <v/>
      </c>
      <c r="AC64" s="28">
        <f>IF(OR($A64="",$V64="",$Y64=""),"",ROUND(($Y64+N(IFERROR(IF(INDEX(photos!$F$2:$F$701,MATCH($A64&amp;"|"&amp;$B64&amp;"|placement|Y",photos!$R$2:$R$701,0))="","",INDEX(photos!$F$2:$F$701,MATCH($A64&amp;"|"&amp;$B64&amp;"|placement|Y",photos!$R$2:$R$701,0))),""))-$V64)*24,1))</f>
        <v/>
      </c>
      <c r="AD64" s="25">
        <f>IF($A64="","",SUMIFS(inventory!$G$2:$G$801,inventory!$C$2:$C$801,$A64,inventory!$D$2:$D$801,$B64,inventory!$E$2:$E$801,"topped_up"))</f>
        <v/>
      </c>
      <c r="AE64" s="25">
        <f>IF($A64="","",IF(COUNTIFS(counts!$C$2:$C$701,$A64,counts!$D$2:$D$701,$B64,counts!$E$2:$E$701,"remaining_day3")=0,"",SUMIFS(counts!$F$2:$F$701,counts!$C$2:$C$701,$A64,counts!$D$2:$D$701,$B64,counts!$E$2:$E$701,"remaining_day3")))</f>
        <v/>
      </c>
      <c r="AF64" s="25">
        <f>IF($A64="","",IF(COUNTIFS(counts!$C$2:$C$701,$A64,counts!$D$2:$D$701,$B64,counts!$E$2:$E$701,"remaining_day5")=0,"",SUMIFS(counts!$F$2:$F$701,counts!$C$2:$C$701,$A64,counts!$D$2:$D$701,$B64,counts!$E$2:$E$701,"remaining_day5")))</f>
        <v/>
      </c>
      <c r="AG64" s="25">
        <f>IF(OR($A64="",$AF64=""),"",MAX(0,$AA64+$AD64-$AF64))</f>
        <v/>
      </c>
      <c r="AH64" s="25">
        <f>IF(OR($A64="",$AI64=""),"",IFERROR(IF(INDEX(photos!$H$2:$H$701,MATCH($A64&amp;"|"&amp;$B64&amp;"|later|Y|"&amp;$AI64,photos!$S$2:$S$701,0))="","",INDEX(photos!$H$2:$H$701,MATCH($A64&amp;"|"&amp;$B64&amp;"|later|Y|"&amp;$AI64,photos!$S$2:$S$701,0))),""))</f>
        <v/>
      </c>
      <c r="AI64" s="26">
        <f>IF($A64="","",IFERROR(1/(1/SUMPRODUCT(MAX((photos!$B$2:$B$701=$A64)*(photos!$C$2:$C$701=$B64)*(photos!$D$2:$D$701="later")*(photos!$O$2:$O$701="Y")*photos!$E$2:$E$701))),""))</f>
        <v/>
      </c>
      <c r="AJ64" s="25">
        <f>IF(OR($A64="",$AI64="",$I64=""),"",NETWORKDAYS($I64,$AI64,calendar!$A$2:$A$80))</f>
        <v/>
      </c>
      <c r="AK64" s="25">
        <f>IF($A64="","",IF(AND($X64&lt;&gt;"",$AH64&lt;&gt;""),"Y","N"))</f>
        <v/>
      </c>
      <c r="AL64" s="25">
        <f>IF(OR($A64="",$I64=""),"",IF($BC64="Y",SUMIFS(survey_frozen!$C$2:$C$251,survey_frozen!$P$2:$P$251,$A64&amp;"|"&amp;$B64),IFERROR(COUNTIFS(INDIRECT("'"&amp;$A64&amp;"'!$B$2:$B$501"),$T64,INDIRECT("'"&amp;$A64&amp;"'!$A$2:$A$501"),"&gt;="&amp;$I64,INDIRECT("'"&amp;$A64&amp;"'!$A$2:$A$501"),"&lt;"&amp;($BA64+1)),0)))</f>
        <v/>
      </c>
      <c r="AM64" s="25">
        <f>IF(OR($A64="",$I64=""),"",IF($BC64="Y",SUMIFS(survey_frozen!$D$2:$D$251,survey_frozen!$P$2:$P$251,$A64&amp;"|"&amp;$B64),IFERROR(COUNTIFS(INDIRECT("'"&amp;$A64&amp;"'!$B$2:$B$501"),$T64,INDIRECT("'"&amp;$A64&amp;"'!$A$2:$A$501"),"&gt;="&amp;$I64,INDIRECT("'"&amp;$A64&amp;"'!$A$2:$A$501"),"&lt;"&amp;($BA64+1),INDIRECT("'"&amp;$A64&amp;"'!$C$2:$C$501"),"Yes"),0)))</f>
        <v/>
      </c>
      <c r="AN64" s="25">
        <f>IF($A64="","",IF(COUNTIFS(scans!$C$2:$C$1601,(IF(LEFT($A64,7)="SAMPLE-","SAMPLE-","")&amp;LOWER(SUBSTITUTE(SUBSTITUTE($A64,"SAMPLE-",""),"CMP-","c"))&amp;"-"&amp;LOWER(SUBSTITUTE(SUBSTITUTE($B64,"SAMPLE-",""),"O-","o"))&amp;"-q"),scans!$D$2:$D$1601,"close")=0,"",SUMPRODUCT(MAX((scans!$C$2:$C$1601=(IF(LEFT($A64,7)="SAMPLE-","SAMPLE-","")&amp;LOWER(SUBSTITUTE(SUBSTITUTE($A64,"SAMPLE-",""),"CMP-","c"))&amp;"-"&amp;LOWER(SUBSTITUTE(SUBSTITUTE($B64,"SAMPLE-",""),"O-","o"))&amp;"-q"))*(scans!$D$2:$D$1601="close")*scans!$E$2:$E$1601))-SUMPRODUCT(MAX((scans!$C$2:$C$1601=(IF(LEFT($A64,7)="SAMPLE-","SAMPLE-","")&amp;LOWER(SUBSTITUTE(SUBSTITUTE($A64,"SAMPLE-",""),"CMP-","c"))&amp;"-"&amp;LOWER(SUBSTITUTE(SUBSTITUTE($B64,"SAMPLE-",""),"O-","o"))&amp;"-q"))*(scans!$D$2:$D$1601="baseline")*scans!$E$2:$E$1601))))</f>
        <v/>
      </c>
      <c r="AO64" s="25">
        <f>IF($A64="","",IF(COUNTIFS(scans!$C$2:$C$1601,(IF(LEFT($A64,7)="SAMPLE-","SAMPLE-","")&amp;LOWER(SUBSTITUTE(SUBSTITUTE($A64,"SAMPLE-",""),"CMP-","c"))&amp;"-"&amp;LOWER(SUBSTITUTE(SUBSTITUTE($B64,"SAMPLE-",""),"O-","o"))&amp;"-p"),scans!$D$2:$D$1601,"close")=0,"",SUMPRODUCT(MAX((scans!$C$2:$C$1601=(IF(LEFT($A64,7)="SAMPLE-","SAMPLE-","")&amp;LOWER(SUBSTITUTE(SUBSTITUTE($A64,"SAMPLE-",""),"CMP-","c"))&amp;"-"&amp;LOWER(SUBSTITUTE(SUBSTITUTE($B64,"SAMPLE-",""),"O-","o"))&amp;"-p"))*(scans!$D$2:$D$1601="close")*scans!$E$2:$E$1601))-SUMPRODUCT(MAX((scans!$C$2:$C$1601=(IF(LEFT($A64,7)="SAMPLE-","SAMPLE-","")&amp;LOWER(SUBSTITUTE(SUBSTITUTE($A64,"SAMPLE-",""),"CMP-","c"))&amp;"-"&amp;LOWER(SUBSTITUTE(SUBSTITUTE($B64,"SAMPLE-",""),"O-","o"))&amp;"-p"))*(scans!$D$2:$D$1601="baseline")*scans!$E$2:$E$1601))))</f>
        <v/>
      </c>
      <c r="AP64" s="25">
        <f>IF($A64="","",IF(COUNTIF(offices!$A$2:$A$61,$B64)=0,"office_id not on offices; ","")&amp;IF(COUNTIF(campaigns!$A$2:$A$51,$A64)=0,"campaign_id not on campaigns; ","")&amp;IF($P64="pending","approval pending; ","")&amp;IF(AND($U64&gt;0,$Y64="",OR($I64="",IF(config!$B$37&lt;&gt;"",config!$B$37,TODAY())&lt;=WORKDAY(N($I64),4,calendar!$A$2:$A$80))),"no usable placement photo yet; ","")&amp;IF(AND($Y64&lt;&gt;"",$Z64=""),"log the placed count; ","")&amp;IF(N($AA64)&gt;N($U64),"placed more than delivered; ","")&amp;IF(AND($AF64&lt;&gt;"",N($AF64)&gt;N($AA64)+N($AD64)),"day-5 count above placed plus top-ups; ","")&amp;IF(AND($U64&gt;0,$I64&lt;&gt;"",IF(config!$B$37&lt;&gt;"",config!$B$37,TODAY())&gt;WORKDAY(N($I64),4,calendar!$A$2:$A$80),$AF64=""),"day-5 count missing; ","")&amp;IF(AND($U64&gt;0,$I64&lt;&gt;"",IF(config!$B$37&lt;&gt;"",config!$B$37,TODAY())&gt;WORKDAY(N($I64),4,calendar!$A$2:$A$80),$AN64=""),"no close link reading; ","")&amp;$R64&amp;IF($P64="N","info: office said no; ","")&amp;IF(AND($P64="Y",$Q64="N"),"info: turned away at the door, so not on the drop (no letter, not in the report or Gate 2; the credit check is on campaigns); ","")&amp;IF(AND($U64&gt;0,$Y64="",$I64&lt;&gt;"",IF(config!$B$37&lt;&gt;"",config!$B$37,TODAY())&gt;WORKDAY(N($I64),4,calendar!$A$2:$A$80)),"info: no usable placement photo, so nothing counts as placed; ","")&amp;IF(AND($U64&gt;0,$I64&lt;&gt;"",IF(config!$B$37&lt;&gt;"",config!$B$37,TODAY())&gt;WORKDAY(N($I64),4,calendar!$A$2:$A$80),N($AL64)&lt;config!$B$30),"info: under "&amp;config!$B$30&amp;" responses; ","")&amp;IF($W64="packing_list","info: delivered count not verified; ",""))</f>
        <v/>
      </c>
      <c r="AQ64" s="25">
        <f>IF(OR($A64="",$I64=""),"",IF($BC64="Y",SUMIFS(survey_frozen!$E$2:$E$251,survey_frozen!$P$2:$P$251,$A64&amp;"|"&amp;$B64),IFERROR(COUNTIFS(INDIRECT("'"&amp;$A64&amp;"'!$B$2:$B$501"),$T64,INDIRECT("'"&amp;$A64&amp;"'!$A$2:$A$501"),"&gt;="&amp;$I64,INDIRECT("'"&amp;$A64&amp;"'!$A$2:$A$501"),"&lt;"&amp;($BA64+1),INDIRECT("'"&amp;$A64&amp;"'!$F$2:$F$501"),"Didn't see it"),0)))</f>
        <v/>
      </c>
      <c r="AR64" s="25">
        <f>IF(OR($A64="",$I64=""),"",IF($BC64="Y",SUMIFS(survey_frozen!$F$2:$F$251,survey_frozen!$P$2:$P$251,$A64&amp;"|"&amp;$B64),IFERROR(COUNTIFS(INDIRECT("'"&amp;$A64&amp;"'!$B$2:$B$501"),$T64,INDIRECT("'"&amp;$A64&amp;"'!$A$2:$A$501"),"&gt;="&amp;$I64,INDIRECT("'"&amp;$A64&amp;"'!$A$2:$A$501"),"&lt;"&amp;($BA64+1),INDIRECT("'"&amp;$A64&amp;"'!$F$2:$F$501"),"Not for me"),0)))</f>
        <v/>
      </c>
      <c r="AS64" s="25">
        <f>IF(OR($A64="",$I64=""),"",IF($BC64="Y",SUMIFS(survey_frozen!$G$2:$G$251,survey_frozen!$P$2:$P$251,$A64&amp;"|"&amp;$B64),IFERROR(COUNTIFS(INDIRECT("'"&amp;$A64&amp;"'!$B$2:$B$501"),$T64,INDIRECT("'"&amp;$A64&amp;"'!$A$2:$A$501"),"&gt;="&amp;$I64,INDIRECT("'"&amp;$A64&amp;"'!$A$2:$A$501"),"&lt;"&amp;($BA64+1),INDIRECT("'"&amp;$A64&amp;"'!$F$2:$F$501"),"Gone by the time I looked"),0)))</f>
        <v/>
      </c>
      <c r="AT64" s="25">
        <f>IF(OR($A64="",$I64=""),"",IF($BC64="Y",SUMIFS(survey_frozen!$H$2:$H$251,survey_frozen!$P$2:$P$251,$A64&amp;"|"&amp;$B64),IFERROR(COUNTIFS(INDIRECT("'"&amp;$A64&amp;"'!$B$2:$B$501"),$T64,INDIRECT("'"&amp;$A64&amp;"'!$A$2:$A$501"),"&gt;="&amp;$I64,INDIRECT("'"&amp;$A64&amp;"'!$A$2:$A$501"),"&lt;"&amp;($BA64+1),INDIRECT("'"&amp;$A64&amp;"'!$D$2:$D$501"),"&gt;=1"),0)))</f>
        <v/>
      </c>
      <c r="AU64" s="25">
        <f>IF(OR($A64="",$I64=""),"",IF($BC64="Y",SUMIFS(survey_frozen!$I$2:$I$251,survey_frozen!$P$2:$P$251,$A64&amp;"|"&amp;$B64),IFERROR(SUMIFS(INDIRECT("'"&amp;$A64&amp;"'!$D$2:$D$501"),INDIRECT("'"&amp;$A64&amp;"'!$B$2:$B$501"),$T64,INDIRECT("'"&amp;$A64&amp;"'!$A$2:$A$501"),"&gt;="&amp;$I64,INDIRECT("'"&amp;$A64&amp;"'!$A$2:$A$501"),"&lt;"&amp;($BA64+1)),0)))</f>
        <v/>
      </c>
      <c r="AV64" s="25">
        <f>IF(OR($A64="",$I64=""),"",IF($BC64="Y",SUMIFS(survey_frozen!$J$2:$J$251,survey_frozen!$P$2:$P$251,$A64&amp;"|"&amp;$B64),IFERROR(COUNTIFS(INDIRECT("'"&amp;$A64&amp;"'!$B$2:$B$501"),$T64,INDIRECT("'"&amp;$A64&amp;"'!$A$2:$A$501"),"&gt;="&amp;$I64,INDIRECT("'"&amp;$A64&amp;"'!$A$2:$A$501"),"&lt;"&amp;($BA64+1),INDIRECT("'"&amp;$A64&amp;"'!$E$2:$E$501"),"Yes"),0)))</f>
        <v/>
      </c>
      <c r="AW64" s="25">
        <f>IF(OR($A64="",$I64=""),"",IF($BC64="Y",SUMIFS(survey_frozen!$K$2:$K$251,survey_frozen!$P$2:$P$251,$A64&amp;"|"&amp;$B64),IFERROR(COUNTIFS(INDIRECT("'"&amp;$A64&amp;"'!$B$2:$B$501"),$T64,INDIRECT("'"&amp;$A64&amp;"'!$A$2:$A$501"),"&gt;="&amp;$I64,INDIRECT("'"&amp;$A64&amp;"'!$A$2:$A$501"),"&lt;"&amp;($BA64+1),INDIRECT("'"&amp;$A64&amp;"'!$E$2:$E$501"),"Maybe"),0)))</f>
        <v/>
      </c>
      <c r="AX64" s="25">
        <f>IF(OR($A64="",$I64=""),"",IF($BC64="Y",SUMIFS(survey_frozen!$L$2:$L$251,survey_frozen!$P$2:$P$251,$A64&amp;"|"&amp;$B64),IFERROR(COUNTIFS(INDIRECT("'"&amp;$A64&amp;"'!$B$2:$B$501"),$T64,INDIRECT("'"&amp;$A64&amp;"'!$A$2:$A$501"),"&gt;="&amp;$I64,INDIRECT("'"&amp;$A64&amp;"'!$A$2:$A$501"),"&lt;"&amp;($BA64+1),INDIRECT("'"&amp;$A64&amp;"'!$E$2:$E$501"),"No"),0)))</f>
        <v/>
      </c>
      <c r="AY64" s="25">
        <f>IF(OR($A64="",$I64=""),"",IF($BC64="Y",SUMIFS(survey_frozen!$M$2:$M$251,survey_frozen!$P$2:$P$251,$A64&amp;"|"&amp;$B64),IFERROR(COUNTIFS(INDIRECT("'"&amp;$A64&amp;"'!$B$2:$B$501"),$T64,INDIRECT("'"&amp;$A64&amp;"'!$A$2:$A$501"),"&gt;="&amp;$I64,INDIRECT("'"&amp;$A64&amp;"'!$A$2:$A$501"),"&lt;"&amp;($BA64+1),INDIRECT("'"&amp;$A64&amp;"'!$G$2:$G$501"),"&lt;&gt;"),0)))</f>
        <v/>
      </c>
      <c r="AZ64" s="25">
        <f>IF($A64="","",$A64&amp;"|"&amp;$L64)</f>
        <v/>
      </c>
      <c r="BA64" s="26">
        <f>IF($A64="","",IFERROR(IF(INDEX(drops!$R$2:$R$21,MATCH($H64,drops!$A$2:$A$21,0))="","",INDEX(drops!$R$2:$R$21,MATCH($H64,drops!$A$2:$A$21,0))),""))</f>
        <v/>
      </c>
      <c r="BB64" s="25">
        <f>IF(OR($A64="",$Q64&lt;&gt;"Y"),1000000,N($AL64))</f>
        <v/>
      </c>
      <c r="BC64" s="25">
        <f>IF($A64="","",IF(COUNTIF(survey_frozen!$P$2:$P$251,$A64&amp;"|"&amp;$B64)&gt;0,"Y",""))</f>
        <v/>
      </c>
    </row>
    <row r="65">
      <c r="C65" s="9" t="n"/>
      <c r="E65" s="9" t="n"/>
      <c r="H65" s="25">
        <f>IF($A65="","",IFERROR(IF(INDEX(campaigns!$B$2:$B$51,MATCH($A65,campaigns!$A$2:$A$51,0))="","",INDEX(campaigns!$B$2:$B$51,MATCH($A65,campaigns!$A$2:$A$51,0))),""))</f>
        <v/>
      </c>
      <c r="I65" s="26">
        <f>IF($A65="","",IFERROR(IF(INDEX(campaigns!$BG$2:$BG$51,MATCH($A65,campaigns!$A$2:$A$51,0))="","",INDEX(campaigns!$BG$2:$BG$51,MATCH($A65,campaigns!$A$2:$A$51,0))),""))</f>
        <v/>
      </c>
      <c r="J65" s="25">
        <f>IF($A65="","",IFERROR(IF(INDEX(campaigns!$BE$2:$BE$51,MATCH($A65,campaigns!$A$2:$A$51,0))="","",INDEX(campaigns!$BE$2:$BE$51,MATCH($A65,campaigns!$A$2:$A$51,0))),""))</f>
        <v/>
      </c>
      <c r="K65" s="25">
        <f>IF($B65="","",IFERROR(IF(INDEX(offices!$N$2:$N$61,MATCH($B65,offices!$A$2:$A$61,0))="","",INDEX(offices!$N$2:$N$61,MATCH($B65,offices!$A$2:$A$61,0))),""))</f>
        <v/>
      </c>
      <c r="L65" s="25">
        <f>IF($A65="","",IF($Q65="N","",COUNTIFS($A$2:$A65,$A65,$Q$2:$Q65,"&lt;&gt;N")))</f>
        <v/>
      </c>
      <c r="M65" s="25">
        <f>IF(OR($A65="",$L65=""),"",IF(AND(config!$B$34="names_if_public",IFERROR(IF(INDEX(offices!$AF$2:$AF$61,MATCH($B65,offices!$A$2:$A$61,0))="","",INDEX(offices!$AF$2:$AF$61,MATCH($B65,offices!$A$2:$A$61,0))),"")="Y"),$K65,CHAR(64+$L65)))</f>
        <v/>
      </c>
      <c r="N65" s="25">
        <f>IF(OR($A65="",$I65=""),"",COUNTIFS(stops!$B$2:$B$151,$B65,stops!$P$2:$P$151,"&lt;"&amp;$I65,stops!$L$2:$L$151,"&lt;&gt;not_delivered")+1)</f>
        <v/>
      </c>
      <c r="O65" s="25">
        <f>IF($A65="","",IF(N($N65)&lt;=config!$B$29,"explicit","opt-out"))</f>
        <v/>
      </c>
      <c r="P65" s="25">
        <f>IF($A65="","",IF($O65="explicit",IF($D65="yes","Y",IF($D65="no","N","pending")),IF($D65="no","N",IF(AND($C65&lt;&gt;"",$I65&lt;&gt;"",$C65&lt;=WORKDAY(N($I65),-5,calendar!$A$2:$A$80)),"Y","pending"))))</f>
        <v/>
      </c>
      <c r="Q65" s="25">
        <f>IF($A65="","",IF($P65="N","N",IF($P65&lt;&gt;"Y","pending",IF(AND((COUNTIFS(stops!$A$2:$A$151,$H65,stops!$B$2:$B$151,$B65,stops!$L$2:$L$151,"declined")+COUNTIFS(stops!$A$2:$A$151,$H65,stops!$B$2:$B$151,$B65,stops!$L$2:$L$151,"building_refused")+COUNTIFS(stops!$A$2:$A$151,$H65,stops!$B$2:$B$151,$B65,stops!$L$2:$L$151,"not_delivered"))&gt;0,N($U65)=0),"N","Y"))))</f>
        <v/>
      </c>
      <c r="R65" s="25">
        <f>IF($A65="","",IF(COUNTIFS($A$2:$A$251,$A65,$B$2:$B$251,$B65)&gt;1,"DUPLICATE ROW; ","")&amp;IF(AND(IFERROR(IF(INDEX(offices!$AC$2:$AC$61,MATCH($B65,offices!$A$2:$A$61,0))="","",INDEX(offices!$AC$2:$AC$61,MATCH($B65,offices!$A$2:$A$61,0))),"")&lt;&gt;"",ISNUMBER(SEARCH($J65,IFERROR(IF(INDEX(offices!$AC$2:$AC$61,MATCH($B65,offices!$A$2:$A$61,0))="","",INDEX(offices!$AC$2:$AC$61,MATCH($B65,offices!$A$2:$A$61,0))),"")))),"BRAND VETOED; ","")&amp;IF(ISNUMBER(SEARCH(IFERROR(IF(INDEX(campaigns!$BF$2:$BF$51,MATCH($A65,campaigns!$A$2:$A$51,0))="","",INDEX(campaigns!$BF$2:$BF$51,MATCH($A65,campaigns!$A$2:$A$51,0))),""),IFERROR(IF(INDEX(offices!$AB$2:$AB$61,MATCH($B65,offices!$A$2:$A$61,0))="","",INDEX(offices!$AB$2:$AB$61,MATCH($B65,offices!$A$2:$A$61,0))),""))),"","info: category not on the office's list; ")&amp;IF(IFERROR(IF(INDEX(offices!$AC$2:$AC$61,MATCH($B65,offices!$A$2:$A$61,0))="","",INDEX(offices!$AC$2:$AC$61,MATCH($B65,offices!$A$2:$A$61,0))),"")&lt;&gt;"","info: read the vetoes against the label; ",""))</f>
        <v/>
      </c>
      <c r="S65" s="25">
        <f>IF($A65="","",IF($G65&lt;&gt;"",$G65,IFERROR(IF(INDEX(offices!$AL$2:$AL$61,MATCH($B65,offices!$A$2:$A$61,0))="","",INDEX(offices!$AL$2:$AL$61,MATCH($B65,offices!$A$2:$A$61,0))),"")))</f>
        <v/>
      </c>
      <c r="T65" s="25">
        <f>IF($A65="","",$A65&amp;"."&amp;$B65)</f>
        <v/>
      </c>
      <c r="U65" s="25">
        <f>IF($A65="","",SUMIFS(inventory!$G$2:$G$801,inventory!$C$2:$C$801,$A65,inventory!$D$2:$D$801,$B65,inventory!$E$2:$E$801,"delivered"))</f>
        <v/>
      </c>
      <c r="V65" s="32">
        <f>IF($A65="","",IFERROR(1/(1/SUMPRODUCT(MAX((inventory!$C$2:$C$801=$A65)*(inventory!$D$2:$D$801=$B65)*(inventory!$E$2:$E$801="delivered")*(inventory!$A$2:$A$801+inventory!$B$2:$B$801)))),""))</f>
        <v/>
      </c>
      <c r="W65" s="25">
        <f>IF($A65="","",IFERROR(IF(INDEX(inventory!$J$2:$J$801,MATCH($A65&amp;"|"&amp;$B65&amp;"|delivered",inventory!$R$2:$R$801,0))="","",INDEX(inventory!$J$2:$J$801,MATCH($A65&amp;"|"&amp;$B65&amp;"|delivered",inventory!$R$2:$R$801,0))),""))</f>
        <v/>
      </c>
      <c r="X65" s="25">
        <f>IF($A65="","",IFERROR(IF(INDEX(photos!$H$2:$H$701,MATCH($A65&amp;"|"&amp;$B65&amp;"|placement|Y",photos!$R$2:$R$701,0))="","",INDEX(photos!$H$2:$H$701,MATCH($A65&amp;"|"&amp;$B65&amp;"|placement|Y",photos!$R$2:$R$701,0))),""))</f>
        <v/>
      </c>
      <c r="Y65" s="26">
        <f>IF($A65="","",IFERROR(IF(INDEX(photos!$E$2:$E$701,MATCH($A65&amp;"|"&amp;$B65&amp;"|placement|Y",photos!$R$2:$R$701,0))="","",INDEX(photos!$E$2:$E$701,MATCH($A65&amp;"|"&amp;$B65&amp;"|placement|Y",photos!$R$2:$R$701,0))),""))</f>
        <v/>
      </c>
      <c r="Z65" s="25">
        <f>IF($A65="","",IF(COUNTIFS(counts!$C$2:$C$701,$A65,counts!$D$2:$D$701,$B65,counts!$E$2:$E$701,"placed")=0,"",SUMIFS(counts!$F$2:$F$701,counts!$C$2:$C$701,$A65,counts!$D$2:$D$701,$B65,counts!$E$2:$E$701,"placed")))</f>
        <v/>
      </c>
      <c r="AA65" s="25">
        <f>IF($A65="","",IF($Y65="",0,N($Z65)))</f>
        <v/>
      </c>
      <c r="AB65" s="25">
        <f>IF($A65="","",IF(OR($Y65="",$I65=""),"N",IF($Y65&lt;=WORKDAY(N($I65),1,calendar!$A$2:$A$80),"Y","N")))</f>
        <v/>
      </c>
      <c r="AC65" s="28">
        <f>IF(OR($A65="",$V65="",$Y65=""),"",ROUND(($Y65+N(IFERROR(IF(INDEX(photos!$F$2:$F$701,MATCH($A65&amp;"|"&amp;$B65&amp;"|placement|Y",photos!$R$2:$R$701,0))="","",INDEX(photos!$F$2:$F$701,MATCH($A65&amp;"|"&amp;$B65&amp;"|placement|Y",photos!$R$2:$R$701,0))),""))-$V65)*24,1))</f>
        <v/>
      </c>
      <c r="AD65" s="25">
        <f>IF($A65="","",SUMIFS(inventory!$G$2:$G$801,inventory!$C$2:$C$801,$A65,inventory!$D$2:$D$801,$B65,inventory!$E$2:$E$801,"topped_up"))</f>
        <v/>
      </c>
      <c r="AE65" s="25">
        <f>IF($A65="","",IF(COUNTIFS(counts!$C$2:$C$701,$A65,counts!$D$2:$D$701,$B65,counts!$E$2:$E$701,"remaining_day3")=0,"",SUMIFS(counts!$F$2:$F$701,counts!$C$2:$C$701,$A65,counts!$D$2:$D$701,$B65,counts!$E$2:$E$701,"remaining_day3")))</f>
        <v/>
      </c>
      <c r="AF65" s="25">
        <f>IF($A65="","",IF(COUNTIFS(counts!$C$2:$C$701,$A65,counts!$D$2:$D$701,$B65,counts!$E$2:$E$701,"remaining_day5")=0,"",SUMIFS(counts!$F$2:$F$701,counts!$C$2:$C$701,$A65,counts!$D$2:$D$701,$B65,counts!$E$2:$E$701,"remaining_day5")))</f>
        <v/>
      </c>
      <c r="AG65" s="25">
        <f>IF(OR($A65="",$AF65=""),"",MAX(0,$AA65+$AD65-$AF65))</f>
        <v/>
      </c>
      <c r="AH65" s="25">
        <f>IF(OR($A65="",$AI65=""),"",IFERROR(IF(INDEX(photos!$H$2:$H$701,MATCH($A65&amp;"|"&amp;$B65&amp;"|later|Y|"&amp;$AI65,photos!$S$2:$S$701,0))="","",INDEX(photos!$H$2:$H$701,MATCH($A65&amp;"|"&amp;$B65&amp;"|later|Y|"&amp;$AI65,photos!$S$2:$S$701,0))),""))</f>
        <v/>
      </c>
      <c r="AI65" s="26">
        <f>IF($A65="","",IFERROR(1/(1/SUMPRODUCT(MAX((photos!$B$2:$B$701=$A65)*(photos!$C$2:$C$701=$B65)*(photos!$D$2:$D$701="later")*(photos!$O$2:$O$701="Y")*photos!$E$2:$E$701))),""))</f>
        <v/>
      </c>
      <c r="AJ65" s="25">
        <f>IF(OR($A65="",$AI65="",$I65=""),"",NETWORKDAYS($I65,$AI65,calendar!$A$2:$A$80))</f>
        <v/>
      </c>
      <c r="AK65" s="25">
        <f>IF($A65="","",IF(AND($X65&lt;&gt;"",$AH65&lt;&gt;""),"Y","N"))</f>
        <v/>
      </c>
      <c r="AL65" s="25">
        <f>IF(OR($A65="",$I65=""),"",IF($BC65="Y",SUMIFS(survey_frozen!$C$2:$C$251,survey_frozen!$P$2:$P$251,$A65&amp;"|"&amp;$B65),IFERROR(COUNTIFS(INDIRECT("'"&amp;$A65&amp;"'!$B$2:$B$501"),$T65,INDIRECT("'"&amp;$A65&amp;"'!$A$2:$A$501"),"&gt;="&amp;$I65,INDIRECT("'"&amp;$A65&amp;"'!$A$2:$A$501"),"&lt;"&amp;($BA65+1)),0)))</f>
        <v/>
      </c>
      <c r="AM65" s="25">
        <f>IF(OR($A65="",$I65=""),"",IF($BC65="Y",SUMIFS(survey_frozen!$D$2:$D$251,survey_frozen!$P$2:$P$251,$A65&amp;"|"&amp;$B65),IFERROR(COUNTIFS(INDIRECT("'"&amp;$A65&amp;"'!$B$2:$B$501"),$T65,INDIRECT("'"&amp;$A65&amp;"'!$A$2:$A$501"),"&gt;="&amp;$I65,INDIRECT("'"&amp;$A65&amp;"'!$A$2:$A$501"),"&lt;"&amp;($BA65+1),INDIRECT("'"&amp;$A65&amp;"'!$C$2:$C$501"),"Yes"),0)))</f>
        <v/>
      </c>
      <c r="AN65" s="25">
        <f>IF($A65="","",IF(COUNTIFS(scans!$C$2:$C$1601,(IF(LEFT($A65,7)="SAMPLE-","SAMPLE-","")&amp;LOWER(SUBSTITUTE(SUBSTITUTE($A65,"SAMPLE-",""),"CMP-","c"))&amp;"-"&amp;LOWER(SUBSTITUTE(SUBSTITUTE($B65,"SAMPLE-",""),"O-","o"))&amp;"-q"),scans!$D$2:$D$1601,"close")=0,"",SUMPRODUCT(MAX((scans!$C$2:$C$1601=(IF(LEFT($A65,7)="SAMPLE-","SAMPLE-","")&amp;LOWER(SUBSTITUTE(SUBSTITUTE($A65,"SAMPLE-",""),"CMP-","c"))&amp;"-"&amp;LOWER(SUBSTITUTE(SUBSTITUTE($B65,"SAMPLE-",""),"O-","o"))&amp;"-q"))*(scans!$D$2:$D$1601="close")*scans!$E$2:$E$1601))-SUMPRODUCT(MAX((scans!$C$2:$C$1601=(IF(LEFT($A65,7)="SAMPLE-","SAMPLE-","")&amp;LOWER(SUBSTITUTE(SUBSTITUTE($A65,"SAMPLE-",""),"CMP-","c"))&amp;"-"&amp;LOWER(SUBSTITUTE(SUBSTITUTE($B65,"SAMPLE-",""),"O-","o"))&amp;"-q"))*(scans!$D$2:$D$1601="baseline")*scans!$E$2:$E$1601))))</f>
        <v/>
      </c>
      <c r="AO65" s="25">
        <f>IF($A65="","",IF(COUNTIFS(scans!$C$2:$C$1601,(IF(LEFT($A65,7)="SAMPLE-","SAMPLE-","")&amp;LOWER(SUBSTITUTE(SUBSTITUTE($A65,"SAMPLE-",""),"CMP-","c"))&amp;"-"&amp;LOWER(SUBSTITUTE(SUBSTITUTE($B65,"SAMPLE-",""),"O-","o"))&amp;"-p"),scans!$D$2:$D$1601,"close")=0,"",SUMPRODUCT(MAX((scans!$C$2:$C$1601=(IF(LEFT($A65,7)="SAMPLE-","SAMPLE-","")&amp;LOWER(SUBSTITUTE(SUBSTITUTE($A65,"SAMPLE-",""),"CMP-","c"))&amp;"-"&amp;LOWER(SUBSTITUTE(SUBSTITUTE($B65,"SAMPLE-",""),"O-","o"))&amp;"-p"))*(scans!$D$2:$D$1601="close")*scans!$E$2:$E$1601))-SUMPRODUCT(MAX((scans!$C$2:$C$1601=(IF(LEFT($A65,7)="SAMPLE-","SAMPLE-","")&amp;LOWER(SUBSTITUTE(SUBSTITUTE($A65,"SAMPLE-",""),"CMP-","c"))&amp;"-"&amp;LOWER(SUBSTITUTE(SUBSTITUTE($B65,"SAMPLE-",""),"O-","o"))&amp;"-p"))*(scans!$D$2:$D$1601="baseline")*scans!$E$2:$E$1601))))</f>
        <v/>
      </c>
      <c r="AP65" s="25">
        <f>IF($A65="","",IF(COUNTIF(offices!$A$2:$A$61,$B65)=0,"office_id not on offices; ","")&amp;IF(COUNTIF(campaigns!$A$2:$A$51,$A65)=0,"campaign_id not on campaigns; ","")&amp;IF($P65="pending","approval pending; ","")&amp;IF(AND($U65&gt;0,$Y65="",OR($I65="",IF(config!$B$37&lt;&gt;"",config!$B$37,TODAY())&lt;=WORKDAY(N($I65),4,calendar!$A$2:$A$80))),"no usable placement photo yet; ","")&amp;IF(AND($Y65&lt;&gt;"",$Z65=""),"log the placed count; ","")&amp;IF(N($AA65)&gt;N($U65),"placed more than delivered; ","")&amp;IF(AND($AF65&lt;&gt;"",N($AF65)&gt;N($AA65)+N($AD65)),"day-5 count above placed plus top-ups; ","")&amp;IF(AND($U65&gt;0,$I65&lt;&gt;"",IF(config!$B$37&lt;&gt;"",config!$B$37,TODAY())&gt;WORKDAY(N($I65),4,calendar!$A$2:$A$80),$AF65=""),"day-5 count missing; ","")&amp;IF(AND($U65&gt;0,$I65&lt;&gt;"",IF(config!$B$37&lt;&gt;"",config!$B$37,TODAY())&gt;WORKDAY(N($I65),4,calendar!$A$2:$A$80),$AN65=""),"no close link reading; ","")&amp;$R65&amp;IF($P65="N","info: office said no; ","")&amp;IF(AND($P65="Y",$Q65="N"),"info: turned away at the door, so not on the drop (no letter, not in the report or Gate 2; the credit check is on campaigns); ","")&amp;IF(AND($U65&gt;0,$Y65="",$I65&lt;&gt;"",IF(config!$B$37&lt;&gt;"",config!$B$37,TODAY())&gt;WORKDAY(N($I65),4,calendar!$A$2:$A$80)),"info: no usable placement photo, so nothing counts as placed; ","")&amp;IF(AND($U65&gt;0,$I65&lt;&gt;"",IF(config!$B$37&lt;&gt;"",config!$B$37,TODAY())&gt;WORKDAY(N($I65),4,calendar!$A$2:$A$80),N($AL65)&lt;config!$B$30),"info: under "&amp;config!$B$30&amp;" responses; ","")&amp;IF($W65="packing_list","info: delivered count not verified; ",""))</f>
        <v/>
      </c>
      <c r="AQ65" s="25">
        <f>IF(OR($A65="",$I65=""),"",IF($BC65="Y",SUMIFS(survey_frozen!$E$2:$E$251,survey_frozen!$P$2:$P$251,$A65&amp;"|"&amp;$B65),IFERROR(COUNTIFS(INDIRECT("'"&amp;$A65&amp;"'!$B$2:$B$501"),$T65,INDIRECT("'"&amp;$A65&amp;"'!$A$2:$A$501"),"&gt;="&amp;$I65,INDIRECT("'"&amp;$A65&amp;"'!$A$2:$A$501"),"&lt;"&amp;($BA65+1),INDIRECT("'"&amp;$A65&amp;"'!$F$2:$F$501"),"Didn't see it"),0)))</f>
        <v/>
      </c>
      <c r="AR65" s="25">
        <f>IF(OR($A65="",$I65=""),"",IF($BC65="Y",SUMIFS(survey_frozen!$F$2:$F$251,survey_frozen!$P$2:$P$251,$A65&amp;"|"&amp;$B65),IFERROR(COUNTIFS(INDIRECT("'"&amp;$A65&amp;"'!$B$2:$B$501"),$T65,INDIRECT("'"&amp;$A65&amp;"'!$A$2:$A$501"),"&gt;="&amp;$I65,INDIRECT("'"&amp;$A65&amp;"'!$A$2:$A$501"),"&lt;"&amp;($BA65+1),INDIRECT("'"&amp;$A65&amp;"'!$F$2:$F$501"),"Not for me"),0)))</f>
        <v/>
      </c>
      <c r="AS65" s="25">
        <f>IF(OR($A65="",$I65=""),"",IF($BC65="Y",SUMIFS(survey_frozen!$G$2:$G$251,survey_frozen!$P$2:$P$251,$A65&amp;"|"&amp;$B65),IFERROR(COUNTIFS(INDIRECT("'"&amp;$A65&amp;"'!$B$2:$B$501"),$T65,INDIRECT("'"&amp;$A65&amp;"'!$A$2:$A$501"),"&gt;="&amp;$I65,INDIRECT("'"&amp;$A65&amp;"'!$A$2:$A$501"),"&lt;"&amp;($BA65+1),INDIRECT("'"&amp;$A65&amp;"'!$F$2:$F$501"),"Gone by the time I looked"),0)))</f>
        <v/>
      </c>
      <c r="AT65" s="25">
        <f>IF(OR($A65="",$I65=""),"",IF($BC65="Y",SUMIFS(survey_frozen!$H$2:$H$251,survey_frozen!$P$2:$P$251,$A65&amp;"|"&amp;$B65),IFERROR(COUNTIFS(INDIRECT("'"&amp;$A65&amp;"'!$B$2:$B$501"),$T65,INDIRECT("'"&amp;$A65&amp;"'!$A$2:$A$501"),"&gt;="&amp;$I65,INDIRECT("'"&amp;$A65&amp;"'!$A$2:$A$501"),"&lt;"&amp;($BA65+1),INDIRECT("'"&amp;$A65&amp;"'!$D$2:$D$501"),"&gt;=1"),0)))</f>
        <v/>
      </c>
      <c r="AU65" s="25">
        <f>IF(OR($A65="",$I65=""),"",IF($BC65="Y",SUMIFS(survey_frozen!$I$2:$I$251,survey_frozen!$P$2:$P$251,$A65&amp;"|"&amp;$B65),IFERROR(SUMIFS(INDIRECT("'"&amp;$A65&amp;"'!$D$2:$D$501"),INDIRECT("'"&amp;$A65&amp;"'!$B$2:$B$501"),$T65,INDIRECT("'"&amp;$A65&amp;"'!$A$2:$A$501"),"&gt;="&amp;$I65,INDIRECT("'"&amp;$A65&amp;"'!$A$2:$A$501"),"&lt;"&amp;($BA65+1)),0)))</f>
        <v/>
      </c>
      <c r="AV65" s="25">
        <f>IF(OR($A65="",$I65=""),"",IF($BC65="Y",SUMIFS(survey_frozen!$J$2:$J$251,survey_frozen!$P$2:$P$251,$A65&amp;"|"&amp;$B65),IFERROR(COUNTIFS(INDIRECT("'"&amp;$A65&amp;"'!$B$2:$B$501"),$T65,INDIRECT("'"&amp;$A65&amp;"'!$A$2:$A$501"),"&gt;="&amp;$I65,INDIRECT("'"&amp;$A65&amp;"'!$A$2:$A$501"),"&lt;"&amp;($BA65+1),INDIRECT("'"&amp;$A65&amp;"'!$E$2:$E$501"),"Yes"),0)))</f>
        <v/>
      </c>
      <c r="AW65" s="25">
        <f>IF(OR($A65="",$I65=""),"",IF($BC65="Y",SUMIFS(survey_frozen!$K$2:$K$251,survey_frozen!$P$2:$P$251,$A65&amp;"|"&amp;$B65),IFERROR(COUNTIFS(INDIRECT("'"&amp;$A65&amp;"'!$B$2:$B$501"),$T65,INDIRECT("'"&amp;$A65&amp;"'!$A$2:$A$501"),"&gt;="&amp;$I65,INDIRECT("'"&amp;$A65&amp;"'!$A$2:$A$501"),"&lt;"&amp;($BA65+1),INDIRECT("'"&amp;$A65&amp;"'!$E$2:$E$501"),"Maybe"),0)))</f>
        <v/>
      </c>
      <c r="AX65" s="25">
        <f>IF(OR($A65="",$I65=""),"",IF($BC65="Y",SUMIFS(survey_frozen!$L$2:$L$251,survey_frozen!$P$2:$P$251,$A65&amp;"|"&amp;$B65),IFERROR(COUNTIFS(INDIRECT("'"&amp;$A65&amp;"'!$B$2:$B$501"),$T65,INDIRECT("'"&amp;$A65&amp;"'!$A$2:$A$501"),"&gt;="&amp;$I65,INDIRECT("'"&amp;$A65&amp;"'!$A$2:$A$501"),"&lt;"&amp;($BA65+1),INDIRECT("'"&amp;$A65&amp;"'!$E$2:$E$501"),"No"),0)))</f>
        <v/>
      </c>
      <c r="AY65" s="25">
        <f>IF(OR($A65="",$I65=""),"",IF($BC65="Y",SUMIFS(survey_frozen!$M$2:$M$251,survey_frozen!$P$2:$P$251,$A65&amp;"|"&amp;$B65),IFERROR(COUNTIFS(INDIRECT("'"&amp;$A65&amp;"'!$B$2:$B$501"),$T65,INDIRECT("'"&amp;$A65&amp;"'!$A$2:$A$501"),"&gt;="&amp;$I65,INDIRECT("'"&amp;$A65&amp;"'!$A$2:$A$501"),"&lt;"&amp;($BA65+1),INDIRECT("'"&amp;$A65&amp;"'!$G$2:$G$501"),"&lt;&gt;"),0)))</f>
        <v/>
      </c>
      <c r="AZ65" s="25">
        <f>IF($A65="","",$A65&amp;"|"&amp;$L65)</f>
        <v/>
      </c>
      <c r="BA65" s="26">
        <f>IF($A65="","",IFERROR(IF(INDEX(drops!$R$2:$R$21,MATCH($H65,drops!$A$2:$A$21,0))="","",INDEX(drops!$R$2:$R$21,MATCH($H65,drops!$A$2:$A$21,0))),""))</f>
        <v/>
      </c>
      <c r="BB65" s="25">
        <f>IF(OR($A65="",$Q65&lt;&gt;"Y"),1000000,N($AL65))</f>
        <v/>
      </c>
      <c r="BC65" s="25">
        <f>IF($A65="","",IF(COUNTIF(survey_frozen!$P$2:$P$251,$A65&amp;"|"&amp;$B65)&gt;0,"Y",""))</f>
        <v/>
      </c>
    </row>
    <row r="66">
      <c r="C66" s="9" t="n"/>
      <c r="E66" s="9" t="n"/>
      <c r="H66" s="25">
        <f>IF($A66="","",IFERROR(IF(INDEX(campaigns!$B$2:$B$51,MATCH($A66,campaigns!$A$2:$A$51,0))="","",INDEX(campaigns!$B$2:$B$51,MATCH($A66,campaigns!$A$2:$A$51,0))),""))</f>
        <v/>
      </c>
      <c r="I66" s="26">
        <f>IF($A66="","",IFERROR(IF(INDEX(campaigns!$BG$2:$BG$51,MATCH($A66,campaigns!$A$2:$A$51,0))="","",INDEX(campaigns!$BG$2:$BG$51,MATCH($A66,campaigns!$A$2:$A$51,0))),""))</f>
        <v/>
      </c>
      <c r="J66" s="25">
        <f>IF($A66="","",IFERROR(IF(INDEX(campaigns!$BE$2:$BE$51,MATCH($A66,campaigns!$A$2:$A$51,0))="","",INDEX(campaigns!$BE$2:$BE$51,MATCH($A66,campaigns!$A$2:$A$51,0))),""))</f>
        <v/>
      </c>
      <c r="K66" s="25">
        <f>IF($B66="","",IFERROR(IF(INDEX(offices!$N$2:$N$61,MATCH($B66,offices!$A$2:$A$61,0))="","",INDEX(offices!$N$2:$N$61,MATCH($B66,offices!$A$2:$A$61,0))),""))</f>
        <v/>
      </c>
      <c r="L66" s="25">
        <f>IF($A66="","",IF($Q66="N","",COUNTIFS($A$2:$A66,$A66,$Q$2:$Q66,"&lt;&gt;N")))</f>
        <v/>
      </c>
      <c r="M66" s="25">
        <f>IF(OR($A66="",$L66=""),"",IF(AND(config!$B$34="names_if_public",IFERROR(IF(INDEX(offices!$AF$2:$AF$61,MATCH($B66,offices!$A$2:$A$61,0))="","",INDEX(offices!$AF$2:$AF$61,MATCH($B66,offices!$A$2:$A$61,0))),"")="Y"),$K66,CHAR(64+$L66)))</f>
        <v/>
      </c>
      <c r="N66" s="25">
        <f>IF(OR($A66="",$I66=""),"",COUNTIFS(stops!$B$2:$B$151,$B66,stops!$P$2:$P$151,"&lt;"&amp;$I66,stops!$L$2:$L$151,"&lt;&gt;not_delivered")+1)</f>
        <v/>
      </c>
      <c r="O66" s="25">
        <f>IF($A66="","",IF(N($N66)&lt;=config!$B$29,"explicit","opt-out"))</f>
        <v/>
      </c>
      <c r="P66" s="25">
        <f>IF($A66="","",IF($O66="explicit",IF($D66="yes","Y",IF($D66="no","N","pending")),IF($D66="no","N",IF(AND($C66&lt;&gt;"",$I66&lt;&gt;"",$C66&lt;=WORKDAY(N($I66),-5,calendar!$A$2:$A$80)),"Y","pending"))))</f>
        <v/>
      </c>
      <c r="Q66" s="25">
        <f>IF($A66="","",IF($P66="N","N",IF($P66&lt;&gt;"Y","pending",IF(AND((COUNTIFS(stops!$A$2:$A$151,$H66,stops!$B$2:$B$151,$B66,stops!$L$2:$L$151,"declined")+COUNTIFS(stops!$A$2:$A$151,$H66,stops!$B$2:$B$151,$B66,stops!$L$2:$L$151,"building_refused")+COUNTIFS(stops!$A$2:$A$151,$H66,stops!$B$2:$B$151,$B66,stops!$L$2:$L$151,"not_delivered"))&gt;0,N($U66)=0),"N","Y"))))</f>
        <v/>
      </c>
      <c r="R66" s="25">
        <f>IF($A66="","",IF(COUNTIFS($A$2:$A$251,$A66,$B$2:$B$251,$B66)&gt;1,"DUPLICATE ROW; ","")&amp;IF(AND(IFERROR(IF(INDEX(offices!$AC$2:$AC$61,MATCH($B66,offices!$A$2:$A$61,0))="","",INDEX(offices!$AC$2:$AC$61,MATCH($B66,offices!$A$2:$A$61,0))),"")&lt;&gt;"",ISNUMBER(SEARCH($J66,IFERROR(IF(INDEX(offices!$AC$2:$AC$61,MATCH($B66,offices!$A$2:$A$61,0))="","",INDEX(offices!$AC$2:$AC$61,MATCH($B66,offices!$A$2:$A$61,0))),"")))),"BRAND VETOED; ","")&amp;IF(ISNUMBER(SEARCH(IFERROR(IF(INDEX(campaigns!$BF$2:$BF$51,MATCH($A66,campaigns!$A$2:$A$51,0))="","",INDEX(campaigns!$BF$2:$BF$51,MATCH($A66,campaigns!$A$2:$A$51,0))),""),IFERROR(IF(INDEX(offices!$AB$2:$AB$61,MATCH($B66,offices!$A$2:$A$61,0))="","",INDEX(offices!$AB$2:$AB$61,MATCH($B66,offices!$A$2:$A$61,0))),""))),"","info: category not on the office's list; ")&amp;IF(IFERROR(IF(INDEX(offices!$AC$2:$AC$61,MATCH($B66,offices!$A$2:$A$61,0))="","",INDEX(offices!$AC$2:$AC$61,MATCH($B66,offices!$A$2:$A$61,0))),"")&lt;&gt;"","info: read the vetoes against the label; ",""))</f>
        <v/>
      </c>
      <c r="S66" s="25">
        <f>IF($A66="","",IF($G66&lt;&gt;"",$G66,IFERROR(IF(INDEX(offices!$AL$2:$AL$61,MATCH($B66,offices!$A$2:$A$61,0))="","",INDEX(offices!$AL$2:$AL$61,MATCH($B66,offices!$A$2:$A$61,0))),"")))</f>
        <v/>
      </c>
      <c r="T66" s="25">
        <f>IF($A66="","",$A66&amp;"."&amp;$B66)</f>
        <v/>
      </c>
      <c r="U66" s="25">
        <f>IF($A66="","",SUMIFS(inventory!$G$2:$G$801,inventory!$C$2:$C$801,$A66,inventory!$D$2:$D$801,$B66,inventory!$E$2:$E$801,"delivered"))</f>
        <v/>
      </c>
      <c r="V66" s="32">
        <f>IF($A66="","",IFERROR(1/(1/SUMPRODUCT(MAX((inventory!$C$2:$C$801=$A66)*(inventory!$D$2:$D$801=$B66)*(inventory!$E$2:$E$801="delivered")*(inventory!$A$2:$A$801+inventory!$B$2:$B$801)))),""))</f>
        <v/>
      </c>
      <c r="W66" s="25">
        <f>IF($A66="","",IFERROR(IF(INDEX(inventory!$J$2:$J$801,MATCH($A66&amp;"|"&amp;$B66&amp;"|delivered",inventory!$R$2:$R$801,0))="","",INDEX(inventory!$J$2:$J$801,MATCH($A66&amp;"|"&amp;$B66&amp;"|delivered",inventory!$R$2:$R$801,0))),""))</f>
        <v/>
      </c>
      <c r="X66" s="25">
        <f>IF($A66="","",IFERROR(IF(INDEX(photos!$H$2:$H$701,MATCH($A66&amp;"|"&amp;$B66&amp;"|placement|Y",photos!$R$2:$R$701,0))="","",INDEX(photos!$H$2:$H$701,MATCH($A66&amp;"|"&amp;$B66&amp;"|placement|Y",photos!$R$2:$R$701,0))),""))</f>
        <v/>
      </c>
      <c r="Y66" s="26">
        <f>IF($A66="","",IFERROR(IF(INDEX(photos!$E$2:$E$701,MATCH($A66&amp;"|"&amp;$B66&amp;"|placement|Y",photos!$R$2:$R$701,0))="","",INDEX(photos!$E$2:$E$701,MATCH($A66&amp;"|"&amp;$B66&amp;"|placement|Y",photos!$R$2:$R$701,0))),""))</f>
        <v/>
      </c>
      <c r="Z66" s="25">
        <f>IF($A66="","",IF(COUNTIFS(counts!$C$2:$C$701,$A66,counts!$D$2:$D$701,$B66,counts!$E$2:$E$701,"placed")=0,"",SUMIFS(counts!$F$2:$F$701,counts!$C$2:$C$701,$A66,counts!$D$2:$D$701,$B66,counts!$E$2:$E$701,"placed")))</f>
        <v/>
      </c>
      <c r="AA66" s="25">
        <f>IF($A66="","",IF($Y66="",0,N($Z66)))</f>
        <v/>
      </c>
      <c r="AB66" s="25">
        <f>IF($A66="","",IF(OR($Y66="",$I66=""),"N",IF($Y66&lt;=WORKDAY(N($I66),1,calendar!$A$2:$A$80),"Y","N")))</f>
        <v/>
      </c>
      <c r="AC66" s="28">
        <f>IF(OR($A66="",$V66="",$Y66=""),"",ROUND(($Y66+N(IFERROR(IF(INDEX(photos!$F$2:$F$701,MATCH($A66&amp;"|"&amp;$B66&amp;"|placement|Y",photos!$R$2:$R$701,0))="","",INDEX(photos!$F$2:$F$701,MATCH($A66&amp;"|"&amp;$B66&amp;"|placement|Y",photos!$R$2:$R$701,0))),""))-$V66)*24,1))</f>
        <v/>
      </c>
      <c r="AD66" s="25">
        <f>IF($A66="","",SUMIFS(inventory!$G$2:$G$801,inventory!$C$2:$C$801,$A66,inventory!$D$2:$D$801,$B66,inventory!$E$2:$E$801,"topped_up"))</f>
        <v/>
      </c>
      <c r="AE66" s="25">
        <f>IF($A66="","",IF(COUNTIFS(counts!$C$2:$C$701,$A66,counts!$D$2:$D$701,$B66,counts!$E$2:$E$701,"remaining_day3")=0,"",SUMIFS(counts!$F$2:$F$701,counts!$C$2:$C$701,$A66,counts!$D$2:$D$701,$B66,counts!$E$2:$E$701,"remaining_day3")))</f>
        <v/>
      </c>
      <c r="AF66" s="25">
        <f>IF($A66="","",IF(COUNTIFS(counts!$C$2:$C$701,$A66,counts!$D$2:$D$701,$B66,counts!$E$2:$E$701,"remaining_day5")=0,"",SUMIFS(counts!$F$2:$F$701,counts!$C$2:$C$701,$A66,counts!$D$2:$D$701,$B66,counts!$E$2:$E$701,"remaining_day5")))</f>
        <v/>
      </c>
      <c r="AG66" s="25">
        <f>IF(OR($A66="",$AF66=""),"",MAX(0,$AA66+$AD66-$AF66))</f>
        <v/>
      </c>
      <c r="AH66" s="25">
        <f>IF(OR($A66="",$AI66=""),"",IFERROR(IF(INDEX(photos!$H$2:$H$701,MATCH($A66&amp;"|"&amp;$B66&amp;"|later|Y|"&amp;$AI66,photos!$S$2:$S$701,0))="","",INDEX(photos!$H$2:$H$701,MATCH($A66&amp;"|"&amp;$B66&amp;"|later|Y|"&amp;$AI66,photos!$S$2:$S$701,0))),""))</f>
        <v/>
      </c>
      <c r="AI66" s="26">
        <f>IF($A66="","",IFERROR(1/(1/SUMPRODUCT(MAX((photos!$B$2:$B$701=$A66)*(photos!$C$2:$C$701=$B66)*(photos!$D$2:$D$701="later")*(photos!$O$2:$O$701="Y")*photos!$E$2:$E$701))),""))</f>
        <v/>
      </c>
      <c r="AJ66" s="25">
        <f>IF(OR($A66="",$AI66="",$I66=""),"",NETWORKDAYS($I66,$AI66,calendar!$A$2:$A$80))</f>
        <v/>
      </c>
      <c r="AK66" s="25">
        <f>IF($A66="","",IF(AND($X66&lt;&gt;"",$AH66&lt;&gt;""),"Y","N"))</f>
        <v/>
      </c>
      <c r="AL66" s="25">
        <f>IF(OR($A66="",$I66=""),"",IF($BC66="Y",SUMIFS(survey_frozen!$C$2:$C$251,survey_frozen!$P$2:$P$251,$A66&amp;"|"&amp;$B66),IFERROR(COUNTIFS(INDIRECT("'"&amp;$A66&amp;"'!$B$2:$B$501"),$T66,INDIRECT("'"&amp;$A66&amp;"'!$A$2:$A$501"),"&gt;="&amp;$I66,INDIRECT("'"&amp;$A66&amp;"'!$A$2:$A$501"),"&lt;"&amp;($BA66+1)),0)))</f>
        <v/>
      </c>
      <c r="AM66" s="25">
        <f>IF(OR($A66="",$I66=""),"",IF($BC66="Y",SUMIFS(survey_frozen!$D$2:$D$251,survey_frozen!$P$2:$P$251,$A66&amp;"|"&amp;$B66),IFERROR(COUNTIFS(INDIRECT("'"&amp;$A66&amp;"'!$B$2:$B$501"),$T66,INDIRECT("'"&amp;$A66&amp;"'!$A$2:$A$501"),"&gt;="&amp;$I66,INDIRECT("'"&amp;$A66&amp;"'!$A$2:$A$501"),"&lt;"&amp;($BA66+1),INDIRECT("'"&amp;$A66&amp;"'!$C$2:$C$501"),"Yes"),0)))</f>
        <v/>
      </c>
      <c r="AN66" s="25">
        <f>IF($A66="","",IF(COUNTIFS(scans!$C$2:$C$1601,(IF(LEFT($A66,7)="SAMPLE-","SAMPLE-","")&amp;LOWER(SUBSTITUTE(SUBSTITUTE($A66,"SAMPLE-",""),"CMP-","c"))&amp;"-"&amp;LOWER(SUBSTITUTE(SUBSTITUTE($B66,"SAMPLE-",""),"O-","o"))&amp;"-q"),scans!$D$2:$D$1601,"close")=0,"",SUMPRODUCT(MAX((scans!$C$2:$C$1601=(IF(LEFT($A66,7)="SAMPLE-","SAMPLE-","")&amp;LOWER(SUBSTITUTE(SUBSTITUTE($A66,"SAMPLE-",""),"CMP-","c"))&amp;"-"&amp;LOWER(SUBSTITUTE(SUBSTITUTE($B66,"SAMPLE-",""),"O-","o"))&amp;"-q"))*(scans!$D$2:$D$1601="close")*scans!$E$2:$E$1601))-SUMPRODUCT(MAX((scans!$C$2:$C$1601=(IF(LEFT($A66,7)="SAMPLE-","SAMPLE-","")&amp;LOWER(SUBSTITUTE(SUBSTITUTE($A66,"SAMPLE-",""),"CMP-","c"))&amp;"-"&amp;LOWER(SUBSTITUTE(SUBSTITUTE($B66,"SAMPLE-",""),"O-","o"))&amp;"-q"))*(scans!$D$2:$D$1601="baseline")*scans!$E$2:$E$1601))))</f>
        <v/>
      </c>
      <c r="AO66" s="25">
        <f>IF($A66="","",IF(COUNTIFS(scans!$C$2:$C$1601,(IF(LEFT($A66,7)="SAMPLE-","SAMPLE-","")&amp;LOWER(SUBSTITUTE(SUBSTITUTE($A66,"SAMPLE-",""),"CMP-","c"))&amp;"-"&amp;LOWER(SUBSTITUTE(SUBSTITUTE($B66,"SAMPLE-",""),"O-","o"))&amp;"-p"),scans!$D$2:$D$1601,"close")=0,"",SUMPRODUCT(MAX((scans!$C$2:$C$1601=(IF(LEFT($A66,7)="SAMPLE-","SAMPLE-","")&amp;LOWER(SUBSTITUTE(SUBSTITUTE($A66,"SAMPLE-",""),"CMP-","c"))&amp;"-"&amp;LOWER(SUBSTITUTE(SUBSTITUTE($B66,"SAMPLE-",""),"O-","o"))&amp;"-p"))*(scans!$D$2:$D$1601="close")*scans!$E$2:$E$1601))-SUMPRODUCT(MAX((scans!$C$2:$C$1601=(IF(LEFT($A66,7)="SAMPLE-","SAMPLE-","")&amp;LOWER(SUBSTITUTE(SUBSTITUTE($A66,"SAMPLE-",""),"CMP-","c"))&amp;"-"&amp;LOWER(SUBSTITUTE(SUBSTITUTE($B66,"SAMPLE-",""),"O-","o"))&amp;"-p"))*(scans!$D$2:$D$1601="baseline")*scans!$E$2:$E$1601))))</f>
        <v/>
      </c>
      <c r="AP66" s="25">
        <f>IF($A66="","",IF(COUNTIF(offices!$A$2:$A$61,$B66)=0,"office_id not on offices; ","")&amp;IF(COUNTIF(campaigns!$A$2:$A$51,$A66)=0,"campaign_id not on campaigns; ","")&amp;IF($P66="pending","approval pending; ","")&amp;IF(AND($U66&gt;0,$Y66="",OR($I66="",IF(config!$B$37&lt;&gt;"",config!$B$37,TODAY())&lt;=WORKDAY(N($I66),4,calendar!$A$2:$A$80))),"no usable placement photo yet; ","")&amp;IF(AND($Y66&lt;&gt;"",$Z66=""),"log the placed count; ","")&amp;IF(N($AA66)&gt;N($U66),"placed more than delivered; ","")&amp;IF(AND($AF66&lt;&gt;"",N($AF66)&gt;N($AA66)+N($AD66)),"day-5 count above placed plus top-ups; ","")&amp;IF(AND($U66&gt;0,$I66&lt;&gt;"",IF(config!$B$37&lt;&gt;"",config!$B$37,TODAY())&gt;WORKDAY(N($I66),4,calendar!$A$2:$A$80),$AF66=""),"day-5 count missing; ","")&amp;IF(AND($U66&gt;0,$I66&lt;&gt;"",IF(config!$B$37&lt;&gt;"",config!$B$37,TODAY())&gt;WORKDAY(N($I66),4,calendar!$A$2:$A$80),$AN66=""),"no close link reading; ","")&amp;$R66&amp;IF($P66="N","info: office said no; ","")&amp;IF(AND($P66="Y",$Q66="N"),"info: turned away at the door, so not on the drop (no letter, not in the report or Gate 2; the credit check is on campaigns); ","")&amp;IF(AND($U66&gt;0,$Y66="",$I66&lt;&gt;"",IF(config!$B$37&lt;&gt;"",config!$B$37,TODAY())&gt;WORKDAY(N($I66),4,calendar!$A$2:$A$80)),"info: no usable placement photo, so nothing counts as placed; ","")&amp;IF(AND($U66&gt;0,$I66&lt;&gt;"",IF(config!$B$37&lt;&gt;"",config!$B$37,TODAY())&gt;WORKDAY(N($I66),4,calendar!$A$2:$A$80),N($AL66)&lt;config!$B$30),"info: under "&amp;config!$B$30&amp;" responses; ","")&amp;IF($W66="packing_list","info: delivered count not verified; ",""))</f>
        <v/>
      </c>
      <c r="AQ66" s="25">
        <f>IF(OR($A66="",$I66=""),"",IF($BC66="Y",SUMIFS(survey_frozen!$E$2:$E$251,survey_frozen!$P$2:$P$251,$A66&amp;"|"&amp;$B66),IFERROR(COUNTIFS(INDIRECT("'"&amp;$A66&amp;"'!$B$2:$B$501"),$T66,INDIRECT("'"&amp;$A66&amp;"'!$A$2:$A$501"),"&gt;="&amp;$I66,INDIRECT("'"&amp;$A66&amp;"'!$A$2:$A$501"),"&lt;"&amp;($BA66+1),INDIRECT("'"&amp;$A66&amp;"'!$F$2:$F$501"),"Didn't see it"),0)))</f>
        <v/>
      </c>
      <c r="AR66" s="25">
        <f>IF(OR($A66="",$I66=""),"",IF($BC66="Y",SUMIFS(survey_frozen!$F$2:$F$251,survey_frozen!$P$2:$P$251,$A66&amp;"|"&amp;$B66),IFERROR(COUNTIFS(INDIRECT("'"&amp;$A66&amp;"'!$B$2:$B$501"),$T66,INDIRECT("'"&amp;$A66&amp;"'!$A$2:$A$501"),"&gt;="&amp;$I66,INDIRECT("'"&amp;$A66&amp;"'!$A$2:$A$501"),"&lt;"&amp;($BA66+1),INDIRECT("'"&amp;$A66&amp;"'!$F$2:$F$501"),"Not for me"),0)))</f>
        <v/>
      </c>
      <c r="AS66" s="25">
        <f>IF(OR($A66="",$I66=""),"",IF($BC66="Y",SUMIFS(survey_frozen!$G$2:$G$251,survey_frozen!$P$2:$P$251,$A66&amp;"|"&amp;$B66),IFERROR(COUNTIFS(INDIRECT("'"&amp;$A66&amp;"'!$B$2:$B$501"),$T66,INDIRECT("'"&amp;$A66&amp;"'!$A$2:$A$501"),"&gt;="&amp;$I66,INDIRECT("'"&amp;$A66&amp;"'!$A$2:$A$501"),"&lt;"&amp;($BA66+1),INDIRECT("'"&amp;$A66&amp;"'!$F$2:$F$501"),"Gone by the time I looked"),0)))</f>
        <v/>
      </c>
      <c r="AT66" s="25">
        <f>IF(OR($A66="",$I66=""),"",IF($BC66="Y",SUMIFS(survey_frozen!$H$2:$H$251,survey_frozen!$P$2:$P$251,$A66&amp;"|"&amp;$B66),IFERROR(COUNTIFS(INDIRECT("'"&amp;$A66&amp;"'!$B$2:$B$501"),$T66,INDIRECT("'"&amp;$A66&amp;"'!$A$2:$A$501"),"&gt;="&amp;$I66,INDIRECT("'"&amp;$A66&amp;"'!$A$2:$A$501"),"&lt;"&amp;($BA66+1),INDIRECT("'"&amp;$A66&amp;"'!$D$2:$D$501"),"&gt;=1"),0)))</f>
        <v/>
      </c>
      <c r="AU66" s="25">
        <f>IF(OR($A66="",$I66=""),"",IF($BC66="Y",SUMIFS(survey_frozen!$I$2:$I$251,survey_frozen!$P$2:$P$251,$A66&amp;"|"&amp;$B66),IFERROR(SUMIFS(INDIRECT("'"&amp;$A66&amp;"'!$D$2:$D$501"),INDIRECT("'"&amp;$A66&amp;"'!$B$2:$B$501"),$T66,INDIRECT("'"&amp;$A66&amp;"'!$A$2:$A$501"),"&gt;="&amp;$I66,INDIRECT("'"&amp;$A66&amp;"'!$A$2:$A$501"),"&lt;"&amp;($BA66+1)),0)))</f>
        <v/>
      </c>
      <c r="AV66" s="25">
        <f>IF(OR($A66="",$I66=""),"",IF($BC66="Y",SUMIFS(survey_frozen!$J$2:$J$251,survey_frozen!$P$2:$P$251,$A66&amp;"|"&amp;$B66),IFERROR(COUNTIFS(INDIRECT("'"&amp;$A66&amp;"'!$B$2:$B$501"),$T66,INDIRECT("'"&amp;$A66&amp;"'!$A$2:$A$501"),"&gt;="&amp;$I66,INDIRECT("'"&amp;$A66&amp;"'!$A$2:$A$501"),"&lt;"&amp;($BA66+1),INDIRECT("'"&amp;$A66&amp;"'!$E$2:$E$501"),"Yes"),0)))</f>
        <v/>
      </c>
      <c r="AW66" s="25">
        <f>IF(OR($A66="",$I66=""),"",IF($BC66="Y",SUMIFS(survey_frozen!$K$2:$K$251,survey_frozen!$P$2:$P$251,$A66&amp;"|"&amp;$B66),IFERROR(COUNTIFS(INDIRECT("'"&amp;$A66&amp;"'!$B$2:$B$501"),$T66,INDIRECT("'"&amp;$A66&amp;"'!$A$2:$A$501"),"&gt;="&amp;$I66,INDIRECT("'"&amp;$A66&amp;"'!$A$2:$A$501"),"&lt;"&amp;($BA66+1),INDIRECT("'"&amp;$A66&amp;"'!$E$2:$E$501"),"Maybe"),0)))</f>
        <v/>
      </c>
      <c r="AX66" s="25">
        <f>IF(OR($A66="",$I66=""),"",IF($BC66="Y",SUMIFS(survey_frozen!$L$2:$L$251,survey_frozen!$P$2:$P$251,$A66&amp;"|"&amp;$B66),IFERROR(COUNTIFS(INDIRECT("'"&amp;$A66&amp;"'!$B$2:$B$501"),$T66,INDIRECT("'"&amp;$A66&amp;"'!$A$2:$A$501"),"&gt;="&amp;$I66,INDIRECT("'"&amp;$A66&amp;"'!$A$2:$A$501"),"&lt;"&amp;($BA66+1),INDIRECT("'"&amp;$A66&amp;"'!$E$2:$E$501"),"No"),0)))</f>
        <v/>
      </c>
      <c r="AY66" s="25">
        <f>IF(OR($A66="",$I66=""),"",IF($BC66="Y",SUMIFS(survey_frozen!$M$2:$M$251,survey_frozen!$P$2:$P$251,$A66&amp;"|"&amp;$B66),IFERROR(COUNTIFS(INDIRECT("'"&amp;$A66&amp;"'!$B$2:$B$501"),$T66,INDIRECT("'"&amp;$A66&amp;"'!$A$2:$A$501"),"&gt;="&amp;$I66,INDIRECT("'"&amp;$A66&amp;"'!$A$2:$A$501"),"&lt;"&amp;($BA66+1),INDIRECT("'"&amp;$A66&amp;"'!$G$2:$G$501"),"&lt;&gt;"),0)))</f>
        <v/>
      </c>
      <c r="AZ66" s="25">
        <f>IF($A66="","",$A66&amp;"|"&amp;$L66)</f>
        <v/>
      </c>
      <c r="BA66" s="26">
        <f>IF($A66="","",IFERROR(IF(INDEX(drops!$R$2:$R$21,MATCH($H66,drops!$A$2:$A$21,0))="","",INDEX(drops!$R$2:$R$21,MATCH($H66,drops!$A$2:$A$21,0))),""))</f>
        <v/>
      </c>
      <c r="BB66" s="25">
        <f>IF(OR($A66="",$Q66&lt;&gt;"Y"),1000000,N($AL66))</f>
        <v/>
      </c>
      <c r="BC66" s="25">
        <f>IF($A66="","",IF(COUNTIF(survey_frozen!$P$2:$P$251,$A66&amp;"|"&amp;$B66)&gt;0,"Y",""))</f>
        <v/>
      </c>
    </row>
    <row r="67">
      <c r="C67" s="9" t="n"/>
      <c r="E67" s="9" t="n"/>
      <c r="H67" s="25">
        <f>IF($A67="","",IFERROR(IF(INDEX(campaigns!$B$2:$B$51,MATCH($A67,campaigns!$A$2:$A$51,0))="","",INDEX(campaigns!$B$2:$B$51,MATCH($A67,campaigns!$A$2:$A$51,0))),""))</f>
        <v/>
      </c>
      <c r="I67" s="26">
        <f>IF($A67="","",IFERROR(IF(INDEX(campaigns!$BG$2:$BG$51,MATCH($A67,campaigns!$A$2:$A$51,0))="","",INDEX(campaigns!$BG$2:$BG$51,MATCH($A67,campaigns!$A$2:$A$51,0))),""))</f>
        <v/>
      </c>
      <c r="J67" s="25">
        <f>IF($A67="","",IFERROR(IF(INDEX(campaigns!$BE$2:$BE$51,MATCH($A67,campaigns!$A$2:$A$51,0))="","",INDEX(campaigns!$BE$2:$BE$51,MATCH($A67,campaigns!$A$2:$A$51,0))),""))</f>
        <v/>
      </c>
      <c r="K67" s="25">
        <f>IF($B67="","",IFERROR(IF(INDEX(offices!$N$2:$N$61,MATCH($B67,offices!$A$2:$A$61,0))="","",INDEX(offices!$N$2:$N$61,MATCH($B67,offices!$A$2:$A$61,0))),""))</f>
        <v/>
      </c>
      <c r="L67" s="25">
        <f>IF($A67="","",IF($Q67="N","",COUNTIFS($A$2:$A67,$A67,$Q$2:$Q67,"&lt;&gt;N")))</f>
        <v/>
      </c>
      <c r="M67" s="25">
        <f>IF(OR($A67="",$L67=""),"",IF(AND(config!$B$34="names_if_public",IFERROR(IF(INDEX(offices!$AF$2:$AF$61,MATCH($B67,offices!$A$2:$A$61,0))="","",INDEX(offices!$AF$2:$AF$61,MATCH($B67,offices!$A$2:$A$61,0))),"")="Y"),$K67,CHAR(64+$L67)))</f>
        <v/>
      </c>
      <c r="N67" s="25">
        <f>IF(OR($A67="",$I67=""),"",COUNTIFS(stops!$B$2:$B$151,$B67,stops!$P$2:$P$151,"&lt;"&amp;$I67,stops!$L$2:$L$151,"&lt;&gt;not_delivered")+1)</f>
        <v/>
      </c>
      <c r="O67" s="25">
        <f>IF($A67="","",IF(N($N67)&lt;=config!$B$29,"explicit","opt-out"))</f>
        <v/>
      </c>
      <c r="P67" s="25">
        <f>IF($A67="","",IF($O67="explicit",IF($D67="yes","Y",IF($D67="no","N","pending")),IF($D67="no","N",IF(AND($C67&lt;&gt;"",$I67&lt;&gt;"",$C67&lt;=WORKDAY(N($I67),-5,calendar!$A$2:$A$80)),"Y","pending"))))</f>
        <v/>
      </c>
      <c r="Q67" s="25">
        <f>IF($A67="","",IF($P67="N","N",IF($P67&lt;&gt;"Y","pending",IF(AND((COUNTIFS(stops!$A$2:$A$151,$H67,stops!$B$2:$B$151,$B67,stops!$L$2:$L$151,"declined")+COUNTIFS(stops!$A$2:$A$151,$H67,stops!$B$2:$B$151,$B67,stops!$L$2:$L$151,"building_refused")+COUNTIFS(stops!$A$2:$A$151,$H67,stops!$B$2:$B$151,$B67,stops!$L$2:$L$151,"not_delivered"))&gt;0,N($U67)=0),"N","Y"))))</f>
        <v/>
      </c>
      <c r="R67" s="25">
        <f>IF($A67="","",IF(COUNTIFS($A$2:$A$251,$A67,$B$2:$B$251,$B67)&gt;1,"DUPLICATE ROW; ","")&amp;IF(AND(IFERROR(IF(INDEX(offices!$AC$2:$AC$61,MATCH($B67,offices!$A$2:$A$61,0))="","",INDEX(offices!$AC$2:$AC$61,MATCH($B67,offices!$A$2:$A$61,0))),"")&lt;&gt;"",ISNUMBER(SEARCH($J67,IFERROR(IF(INDEX(offices!$AC$2:$AC$61,MATCH($B67,offices!$A$2:$A$61,0))="","",INDEX(offices!$AC$2:$AC$61,MATCH($B67,offices!$A$2:$A$61,0))),"")))),"BRAND VETOED; ","")&amp;IF(ISNUMBER(SEARCH(IFERROR(IF(INDEX(campaigns!$BF$2:$BF$51,MATCH($A67,campaigns!$A$2:$A$51,0))="","",INDEX(campaigns!$BF$2:$BF$51,MATCH($A67,campaigns!$A$2:$A$51,0))),""),IFERROR(IF(INDEX(offices!$AB$2:$AB$61,MATCH($B67,offices!$A$2:$A$61,0))="","",INDEX(offices!$AB$2:$AB$61,MATCH($B67,offices!$A$2:$A$61,0))),""))),"","info: category not on the office's list; ")&amp;IF(IFERROR(IF(INDEX(offices!$AC$2:$AC$61,MATCH($B67,offices!$A$2:$A$61,0))="","",INDEX(offices!$AC$2:$AC$61,MATCH($B67,offices!$A$2:$A$61,0))),"")&lt;&gt;"","info: read the vetoes against the label; ",""))</f>
        <v/>
      </c>
      <c r="S67" s="25">
        <f>IF($A67="","",IF($G67&lt;&gt;"",$G67,IFERROR(IF(INDEX(offices!$AL$2:$AL$61,MATCH($B67,offices!$A$2:$A$61,0))="","",INDEX(offices!$AL$2:$AL$61,MATCH($B67,offices!$A$2:$A$61,0))),"")))</f>
        <v/>
      </c>
      <c r="T67" s="25">
        <f>IF($A67="","",$A67&amp;"."&amp;$B67)</f>
        <v/>
      </c>
      <c r="U67" s="25">
        <f>IF($A67="","",SUMIFS(inventory!$G$2:$G$801,inventory!$C$2:$C$801,$A67,inventory!$D$2:$D$801,$B67,inventory!$E$2:$E$801,"delivered"))</f>
        <v/>
      </c>
      <c r="V67" s="32">
        <f>IF($A67="","",IFERROR(1/(1/SUMPRODUCT(MAX((inventory!$C$2:$C$801=$A67)*(inventory!$D$2:$D$801=$B67)*(inventory!$E$2:$E$801="delivered")*(inventory!$A$2:$A$801+inventory!$B$2:$B$801)))),""))</f>
        <v/>
      </c>
      <c r="W67" s="25">
        <f>IF($A67="","",IFERROR(IF(INDEX(inventory!$J$2:$J$801,MATCH($A67&amp;"|"&amp;$B67&amp;"|delivered",inventory!$R$2:$R$801,0))="","",INDEX(inventory!$J$2:$J$801,MATCH($A67&amp;"|"&amp;$B67&amp;"|delivered",inventory!$R$2:$R$801,0))),""))</f>
        <v/>
      </c>
      <c r="X67" s="25">
        <f>IF($A67="","",IFERROR(IF(INDEX(photos!$H$2:$H$701,MATCH($A67&amp;"|"&amp;$B67&amp;"|placement|Y",photos!$R$2:$R$701,0))="","",INDEX(photos!$H$2:$H$701,MATCH($A67&amp;"|"&amp;$B67&amp;"|placement|Y",photos!$R$2:$R$701,0))),""))</f>
        <v/>
      </c>
      <c r="Y67" s="26">
        <f>IF($A67="","",IFERROR(IF(INDEX(photos!$E$2:$E$701,MATCH($A67&amp;"|"&amp;$B67&amp;"|placement|Y",photos!$R$2:$R$701,0))="","",INDEX(photos!$E$2:$E$701,MATCH($A67&amp;"|"&amp;$B67&amp;"|placement|Y",photos!$R$2:$R$701,0))),""))</f>
        <v/>
      </c>
      <c r="Z67" s="25">
        <f>IF($A67="","",IF(COUNTIFS(counts!$C$2:$C$701,$A67,counts!$D$2:$D$701,$B67,counts!$E$2:$E$701,"placed")=0,"",SUMIFS(counts!$F$2:$F$701,counts!$C$2:$C$701,$A67,counts!$D$2:$D$701,$B67,counts!$E$2:$E$701,"placed")))</f>
        <v/>
      </c>
      <c r="AA67" s="25">
        <f>IF($A67="","",IF($Y67="",0,N($Z67)))</f>
        <v/>
      </c>
      <c r="AB67" s="25">
        <f>IF($A67="","",IF(OR($Y67="",$I67=""),"N",IF($Y67&lt;=WORKDAY(N($I67),1,calendar!$A$2:$A$80),"Y","N")))</f>
        <v/>
      </c>
      <c r="AC67" s="28">
        <f>IF(OR($A67="",$V67="",$Y67=""),"",ROUND(($Y67+N(IFERROR(IF(INDEX(photos!$F$2:$F$701,MATCH($A67&amp;"|"&amp;$B67&amp;"|placement|Y",photos!$R$2:$R$701,0))="","",INDEX(photos!$F$2:$F$701,MATCH($A67&amp;"|"&amp;$B67&amp;"|placement|Y",photos!$R$2:$R$701,0))),""))-$V67)*24,1))</f>
        <v/>
      </c>
      <c r="AD67" s="25">
        <f>IF($A67="","",SUMIFS(inventory!$G$2:$G$801,inventory!$C$2:$C$801,$A67,inventory!$D$2:$D$801,$B67,inventory!$E$2:$E$801,"topped_up"))</f>
        <v/>
      </c>
      <c r="AE67" s="25">
        <f>IF($A67="","",IF(COUNTIFS(counts!$C$2:$C$701,$A67,counts!$D$2:$D$701,$B67,counts!$E$2:$E$701,"remaining_day3")=0,"",SUMIFS(counts!$F$2:$F$701,counts!$C$2:$C$701,$A67,counts!$D$2:$D$701,$B67,counts!$E$2:$E$701,"remaining_day3")))</f>
        <v/>
      </c>
      <c r="AF67" s="25">
        <f>IF($A67="","",IF(COUNTIFS(counts!$C$2:$C$701,$A67,counts!$D$2:$D$701,$B67,counts!$E$2:$E$701,"remaining_day5")=0,"",SUMIFS(counts!$F$2:$F$701,counts!$C$2:$C$701,$A67,counts!$D$2:$D$701,$B67,counts!$E$2:$E$701,"remaining_day5")))</f>
        <v/>
      </c>
      <c r="AG67" s="25">
        <f>IF(OR($A67="",$AF67=""),"",MAX(0,$AA67+$AD67-$AF67))</f>
        <v/>
      </c>
      <c r="AH67" s="25">
        <f>IF(OR($A67="",$AI67=""),"",IFERROR(IF(INDEX(photos!$H$2:$H$701,MATCH($A67&amp;"|"&amp;$B67&amp;"|later|Y|"&amp;$AI67,photos!$S$2:$S$701,0))="","",INDEX(photos!$H$2:$H$701,MATCH($A67&amp;"|"&amp;$B67&amp;"|later|Y|"&amp;$AI67,photos!$S$2:$S$701,0))),""))</f>
        <v/>
      </c>
      <c r="AI67" s="26">
        <f>IF($A67="","",IFERROR(1/(1/SUMPRODUCT(MAX((photos!$B$2:$B$701=$A67)*(photos!$C$2:$C$701=$B67)*(photos!$D$2:$D$701="later")*(photos!$O$2:$O$701="Y")*photos!$E$2:$E$701))),""))</f>
        <v/>
      </c>
      <c r="AJ67" s="25">
        <f>IF(OR($A67="",$AI67="",$I67=""),"",NETWORKDAYS($I67,$AI67,calendar!$A$2:$A$80))</f>
        <v/>
      </c>
      <c r="AK67" s="25">
        <f>IF($A67="","",IF(AND($X67&lt;&gt;"",$AH67&lt;&gt;""),"Y","N"))</f>
        <v/>
      </c>
      <c r="AL67" s="25">
        <f>IF(OR($A67="",$I67=""),"",IF($BC67="Y",SUMIFS(survey_frozen!$C$2:$C$251,survey_frozen!$P$2:$P$251,$A67&amp;"|"&amp;$B67),IFERROR(COUNTIFS(INDIRECT("'"&amp;$A67&amp;"'!$B$2:$B$501"),$T67,INDIRECT("'"&amp;$A67&amp;"'!$A$2:$A$501"),"&gt;="&amp;$I67,INDIRECT("'"&amp;$A67&amp;"'!$A$2:$A$501"),"&lt;"&amp;($BA67+1)),0)))</f>
        <v/>
      </c>
      <c r="AM67" s="25">
        <f>IF(OR($A67="",$I67=""),"",IF($BC67="Y",SUMIFS(survey_frozen!$D$2:$D$251,survey_frozen!$P$2:$P$251,$A67&amp;"|"&amp;$B67),IFERROR(COUNTIFS(INDIRECT("'"&amp;$A67&amp;"'!$B$2:$B$501"),$T67,INDIRECT("'"&amp;$A67&amp;"'!$A$2:$A$501"),"&gt;="&amp;$I67,INDIRECT("'"&amp;$A67&amp;"'!$A$2:$A$501"),"&lt;"&amp;($BA67+1),INDIRECT("'"&amp;$A67&amp;"'!$C$2:$C$501"),"Yes"),0)))</f>
        <v/>
      </c>
      <c r="AN67" s="25">
        <f>IF($A67="","",IF(COUNTIFS(scans!$C$2:$C$1601,(IF(LEFT($A67,7)="SAMPLE-","SAMPLE-","")&amp;LOWER(SUBSTITUTE(SUBSTITUTE($A67,"SAMPLE-",""),"CMP-","c"))&amp;"-"&amp;LOWER(SUBSTITUTE(SUBSTITUTE($B67,"SAMPLE-",""),"O-","o"))&amp;"-q"),scans!$D$2:$D$1601,"close")=0,"",SUMPRODUCT(MAX((scans!$C$2:$C$1601=(IF(LEFT($A67,7)="SAMPLE-","SAMPLE-","")&amp;LOWER(SUBSTITUTE(SUBSTITUTE($A67,"SAMPLE-",""),"CMP-","c"))&amp;"-"&amp;LOWER(SUBSTITUTE(SUBSTITUTE($B67,"SAMPLE-",""),"O-","o"))&amp;"-q"))*(scans!$D$2:$D$1601="close")*scans!$E$2:$E$1601))-SUMPRODUCT(MAX((scans!$C$2:$C$1601=(IF(LEFT($A67,7)="SAMPLE-","SAMPLE-","")&amp;LOWER(SUBSTITUTE(SUBSTITUTE($A67,"SAMPLE-",""),"CMP-","c"))&amp;"-"&amp;LOWER(SUBSTITUTE(SUBSTITUTE($B67,"SAMPLE-",""),"O-","o"))&amp;"-q"))*(scans!$D$2:$D$1601="baseline")*scans!$E$2:$E$1601))))</f>
        <v/>
      </c>
      <c r="AO67" s="25">
        <f>IF($A67="","",IF(COUNTIFS(scans!$C$2:$C$1601,(IF(LEFT($A67,7)="SAMPLE-","SAMPLE-","")&amp;LOWER(SUBSTITUTE(SUBSTITUTE($A67,"SAMPLE-",""),"CMP-","c"))&amp;"-"&amp;LOWER(SUBSTITUTE(SUBSTITUTE($B67,"SAMPLE-",""),"O-","o"))&amp;"-p"),scans!$D$2:$D$1601,"close")=0,"",SUMPRODUCT(MAX((scans!$C$2:$C$1601=(IF(LEFT($A67,7)="SAMPLE-","SAMPLE-","")&amp;LOWER(SUBSTITUTE(SUBSTITUTE($A67,"SAMPLE-",""),"CMP-","c"))&amp;"-"&amp;LOWER(SUBSTITUTE(SUBSTITUTE($B67,"SAMPLE-",""),"O-","o"))&amp;"-p"))*(scans!$D$2:$D$1601="close")*scans!$E$2:$E$1601))-SUMPRODUCT(MAX((scans!$C$2:$C$1601=(IF(LEFT($A67,7)="SAMPLE-","SAMPLE-","")&amp;LOWER(SUBSTITUTE(SUBSTITUTE($A67,"SAMPLE-",""),"CMP-","c"))&amp;"-"&amp;LOWER(SUBSTITUTE(SUBSTITUTE($B67,"SAMPLE-",""),"O-","o"))&amp;"-p"))*(scans!$D$2:$D$1601="baseline")*scans!$E$2:$E$1601))))</f>
        <v/>
      </c>
      <c r="AP67" s="25">
        <f>IF($A67="","",IF(COUNTIF(offices!$A$2:$A$61,$B67)=0,"office_id not on offices; ","")&amp;IF(COUNTIF(campaigns!$A$2:$A$51,$A67)=0,"campaign_id not on campaigns; ","")&amp;IF($P67="pending","approval pending; ","")&amp;IF(AND($U67&gt;0,$Y67="",OR($I67="",IF(config!$B$37&lt;&gt;"",config!$B$37,TODAY())&lt;=WORKDAY(N($I67),4,calendar!$A$2:$A$80))),"no usable placement photo yet; ","")&amp;IF(AND($Y67&lt;&gt;"",$Z67=""),"log the placed count; ","")&amp;IF(N($AA67)&gt;N($U67),"placed more than delivered; ","")&amp;IF(AND($AF67&lt;&gt;"",N($AF67)&gt;N($AA67)+N($AD67)),"day-5 count above placed plus top-ups; ","")&amp;IF(AND($U67&gt;0,$I67&lt;&gt;"",IF(config!$B$37&lt;&gt;"",config!$B$37,TODAY())&gt;WORKDAY(N($I67),4,calendar!$A$2:$A$80),$AF67=""),"day-5 count missing; ","")&amp;IF(AND($U67&gt;0,$I67&lt;&gt;"",IF(config!$B$37&lt;&gt;"",config!$B$37,TODAY())&gt;WORKDAY(N($I67),4,calendar!$A$2:$A$80),$AN67=""),"no close link reading; ","")&amp;$R67&amp;IF($P67="N","info: office said no; ","")&amp;IF(AND($P67="Y",$Q67="N"),"info: turned away at the door, so not on the drop (no letter, not in the report or Gate 2; the credit check is on campaigns); ","")&amp;IF(AND($U67&gt;0,$Y67="",$I67&lt;&gt;"",IF(config!$B$37&lt;&gt;"",config!$B$37,TODAY())&gt;WORKDAY(N($I67),4,calendar!$A$2:$A$80)),"info: no usable placement photo, so nothing counts as placed; ","")&amp;IF(AND($U67&gt;0,$I67&lt;&gt;"",IF(config!$B$37&lt;&gt;"",config!$B$37,TODAY())&gt;WORKDAY(N($I67),4,calendar!$A$2:$A$80),N($AL67)&lt;config!$B$30),"info: under "&amp;config!$B$30&amp;" responses; ","")&amp;IF($W67="packing_list","info: delivered count not verified; ",""))</f>
        <v/>
      </c>
      <c r="AQ67" s="25">
        <f>IF(OR($A67="",$I67=""),"",IF($BC67="Y",SUMIFS(survey_frozen!$E$2:$E$251,survey_frozen!$P$2:$P$251,$A67&amp;"|"&amp;$B67),IFERROR(COUNTIFS(INDIRECT("'"&amp;$A67&amp;"'!$B$2:$B$501"),$T67,INDIRECT("'"&amp;$A67&amp;"'!$A$2:$A$501"),"&gt;="&amp;$I67,INDIRECT("'"&amp;$A67&amp;"'!$A$2:$A$501"),"&lt;"&amp;($BA67+1),INDIRECT("'"&amp;$A67&amp;"'!$F$2:$F$501"),"Didn't see it"),0)))</f>
        <v/>
      </c>
      <c r="AR67" s="25">
        <f>IF(OR($A67="",$I67=""),"",IF($BC67="Y",SUMIFS(survey_frozen!$F$2:$F$251,survey_frozen!$P$2:$P$251,$A67&amp;"|"&amp;$B67),IFERROR(COUNTIFS(INDIRECT("'"&amp;$A67&amp;"'!$B$2:$B$501"),$T67,INDIRECT("'"&amp;$A67&amp;"'!$A$2:$A$501"),"&gt;="&amp;$I67,INDIRECT("'"&amp;$A67&amp;"'!$A$2:$A$501"),"&lt;"&amp;($BA67+1),INDIRECT("'"&amp;$A67&amp;"'!$F$2:$F$501"),"Not for me"),0)))</f>
        <v/>
      </c>
      <c r="AS67" s="25">
        <f>IF(OR($A67="",$I67=""),"",IF($BC67="Y",SUMIFS(survey_frozen!$G$2:$G$251,survey_frozen!$P$2:$P$251,$A67&amp;"|"&amp;$B67),IFERROR(COUNTIFS(INDIRECT("'"&amp;$A67&amp;"'!$B$2:$B$501"),$T67,INDIRECT("'"&amp;$A67&amp;"'!$A$2:$A$501"),"&gt;="&amp;$I67,INDIRECT("'"&amp;$A67&amp;"'!$A$2:$A$501"),"&lt;"&amp;($BA67+1),INDIRECT("'"&amp;$A67&amp;"'!$F$2:$F$501"),"Gone by the time I looked"),0)))</f>
        <v/>
      </c>
      <c r="AT67" s="25">
        <f>IF(OR($A67="",$I67=""),"",IF($BC67="Y",SUMIFS(survey_frozen!$H$2:$H$251,survey_frozen!$P$2:$P$251,$A67&amp;"|"&amp;$B67),IFERROR(COUNTIFS(INDIRECT("'"&amp;$A67&amp;"'!$B$2:$B$501"),$T67,INDIRECT("'"&amp;$A67&amp;"'!$A$2:$A$501"),"&gt;="&amp;$I67,INDIRECT("'"&amp;$A67&amp;"'!$A$2:$A$501"),"&lt;"&amp;($BA67+1),INDIRECT("'"&amp;$A67&amp;"'!$D$2:$D$501"),"&gt;=1"),0)))</f>
        <v/>
      </c>
      <c r="AU67" s="25">
        <f>IF(OR($A67="",$I67=""),"",IF($BC67="Y",SUMIFS(survey_frozen!$I$2:$I$251,survey_frozen!$P$2:$P$251,$A67&amp;"|"&amp;$B67),IFERROR(SUMIFS(INDIRECT("'"&amp;$A67&amp;"'!$D$2:$D$501"),INDIRECT("'"&amp;$A67&amp;"'!$B$2:$B$501"),$T67,INDIRECT("'"&amp;$A67&amp;"'!$A$2:$A$501"),"&gt;="&amp;$I67,INDIRECT("'"&amp;$A67&amp;"'!$A$2:$A$501"),"&lt;"&amp;($BA67+1)),0)))</f>
        <v/>
      </c>
      <c r="AV67" s="25">
        <f>IF(OR($A67="",$I67=""),"",IF($BC67="Y",SUMIFS(survey_frozen!$J$2:$J$251,survey_frozen!$P$2:$P$251,$A67&amp;"|"&amp;$B67),IFERROR(COUNTIFS(INDIRECT("'"&amp;$A67&amp;"'!$B$2:$B$501"),$T67,INDIRECT("'"&amp;$A67&amp;"'!$A$2:$A$501"),"&gt;="&amp;$I67,INDIRECT("'"&amp;$A67&amp;"'!$A$2:$A$501"),"&lt;"&amp;($BA67+1),INDIRECT("'"&amp;$A67&amp;"'!$E$2:$E$501"),"Yes"),0)))</f>
        <v/>
      </c>
      <c r="AW67" s="25">
        <f>IF(OR($A67="",$I67=""),"",IF($BC67="Y",SUMIFS(survey_frozen!$K$2:$K$251,survey_frozen!$P$2:$P$251,$A67&amp;"|"&amp;$B67),IFERROR(COUNTIFS(INDIRECT("'"&amp;$A67&amp;"'!$B$2:$B$501"),$T67,INDIRECT("'"&amp;$A67&amp;"'!$A$2:$A$501"),"&gt;="&amp;$I67,INDIRECT("'"&amp;$A67&amp;"'!$A$2:$A$501"),"&lt;"&amp;($BA67+1),INDIRECT("'"&amp;$A67&amp;"'!$E$2:$E$501"),"Maybe"),0)))</f>
        <v/>
      </c>
      <c r="AX67" s="25">
        <f>IF(OR($A67="",$I67=""),"",IF($BC67="Y",SUMIFS(survey_frozen!$L$2:$L$251,survey_frozen!$P$2:$P$251,$A67&amp;"|"&amp;$B67),IFERROR(COUNTIFS(INDIRECT("'"&amp;$A67&amp;"'!$B$2:$B$501"),$T67,INDIRECT("'"&amp;$A67&amp;"'!$A$2:$A$501"),"&gt;="&amp;$I67,INDIRECT("'"&amp;$A67&amp;"'!$A$2:$A$501"),"&lt;"&amp;($BA67+1),INDIRECT("'"&amp;$A67&amp;"'!$E$2:$E$501"),"No"),0)))</f>
        <v/>
      </c>
      <c r="AY67" s="25">
        <f>IF(OR($A67="",$I67=""),"",IF($BC67="Y",SUMIFS(survey_frozen!$M$2:$M$251,survey_frozen!$P$2:$P$251,$A67&amp;"|"&amp;$B67),IFERROR(COUNTIFS(INDIRECT("'"&amp;$A67&amp;"'!$B$2:$B$501"),$T67,INDIRECT("'"&amp;$A67&amp;"'!$A$2:$A$501"),"&gt;="&amp;$I67,INDIRECT("'"&amp;$A67&amp;"'!$A$2:$A$501"),"&lt;"&amp;($BA67+1),INDIRECT("'"&amp;$A67&amp;"'!$G$2:$G$501"),"&lt;&gt;"),0)))</f>
        <v/>
      </c>
      <c r="AZ67" s="25">
        <f>IF($A67="","",$A67&amp;"|"&amp;$L67)</f>
        <v/>
      </c>
      <c r="BA67" s="26">
        <f>IF($A67="","",IFERROR(IF(INDEX(drops!$R$2:$R$21,MATCH($H67,drops!$A$2:$A$21,0))="","",INDEX(drops!$R$2:$R$21,MATCH($H67,drops!$A$2:$A$21,0))),""))</f>
        <v/>
      </c>
      <c r="BB67" s="25">
        <f>IF(OR($A67="",$Q67&lt;&gt;"Y"),1000000,N($AL67))</f>
        <v/>
      </c>
      <c r="BC67" s="25">
        <f>IF($A67="","",IF(COUNTIF(survey_frozen!$P$2:$P$251,$A67&amp;"|"&amp;$B67)&gt;0,"Y",""))</f>
        <v/>
      </c>
    </row>
    <row r="68">
      <c r="C68" s="9" t="n"/>
      <c r="E68" s="9" t="n"/>
      <c r="H68" s="25">
        <f>IF($A68="","",IFERROR(IF(INDEX(campaigns!$B$2:$B$51,MATCH($A68,campaigns!$A$2:$A$51,0))="","",INDEX(campaigns!$B$2:$B$51,MATCH($A68,campaigns!$A$2:$A$51,0))),""))</f>
        <v/>
      </c>
      <c r="I68" s="26">
        <f>IF($A68="","",IFERROR(IF(INDEX(campaigns!$BG$2:$BG$51,MATCH($A68,campaigns!$A$2:$A$51,0))="","",INDEX(campaigns!$BG$2:$BG$51,MATCH($A68,campaigns!$A$2:$A$51,0))),""))</f>
        <v/>
      </c>
      <c r="J68" s="25">
        <f>IF($A68="","",IFERROR(IF(INDEX(campaigns!$BE$2:$BE$51,MATCH($A68,campaigns!$A$2:$A$51,0))="","",INDEX(campaigns!$BE$2:$BE$51,MATCH($A68,campaigns!$A$2:$A$51,0))),""))</f>
        <v/>
      </c>
      <c r="K68" s="25">
        <f>IF($B68="","",IFERROR(IF(INDEX(offices!$N$2:$N$61,MATCH($B68,offices!$A$2:$A$61,0))="","",INDEX(offices!$N$2:$N$61,MATCH($B68,offices!$A$2:$A$61,0))),""))</f>
        <v/>
      </c>
      <c r="L68" s="25">
        <f>IF($A68="","",IF($Q68="N","",COUNTIFS($A$2:$A68,$A68,$Q$2:$Q68,"&lt;&gt;N")))</f>
        <v/>
      </c>
      <c r="M68" s="25">
        <f>IF(OR($A68="",$L68=""),"",IF(AND(config!$B$34="names_if_public",IFERROR(IF(INDEX(offices!$AF$2:$AF$61,MATCH($B68,offices!$A$2:$A$61,0))="","",INDEX(offices!$AF$2:$AF$61,MATCH($B68,offices!$A$2:$A$61,0))),"")="Y"),$K68,CHAR(64+$L68)))</f>
        <v/>
      </c>
      <c r="N68" s="25">
        <f>IF(OR($A68="",$I68=""),"",COUNTIFS(stops!$B$2:$B$151,$B68,stops!$P$2:$P$151,"&lt;"&amp;$I68,stops!$L$2:$L$151,"&lt;&gt;not_delivered")+1)</f>
        <v/>
      </c>
      <c r="O68" s="25">
        <f>IF($A68="","",IF(N($N68)&lt;=config!$B$29,"explicit","opt-out"))</f>
        <v/>
      </c>
      <c r="P68" s="25">
        <f>IF($A68="","",IF($O68="explicit",IF($D68="yes","Y",IF($D68="no","N","pending")),IF($D68="no","N",IF(AND($C68&lt;&gt;"",$I68&lt;&gt;"",$C68&lt;=WORKDAY(N($I68),-5,calendar!$A$2:$A$80)),"Y","pending"))))</f>
        <v/>
      </c>
      <c r="Q68" s="25">
        <f>IF($A68="","",IF($P68="N","N",IF($P68&lt;&gt;"Y","pending",IF(AND((COUNTIFS(stops!$A$2:$A$151,$H68,stops!$B$2:$B$151,$B68,stops!$L$2:$L$151,"declined")+COUNTIFS(stops!$A$2:$A$151,$H68,stops!$B$2:$B$151,$B68,stops!$L$2:$L$151,"building_refused")+COUNTIFS(stops!$A$2:$A$151,$H68,stops!$B$2:$B$151,$B68,stops!$L$2:$L$151,"not_delivered"))&gt;0,N($U68)=0),"N","Y"))))</f>
        <v/>
      </c>
      <c r="R68" s="25">
        <f>IF($A68="","",IF(COUNTIFS($A$2:$A$251,$A68,$B$2:$B$251,$B68)&gt;1,"DUPLICATE ROW; ","")&amp;IF(AND(IFERROR(IF(INDEX(offices!$AC$2:$AC$61,MATCH($B68,offices!$A$2:$A$61,0))="","",INDEX(offices!$AC$2:$AC$61,MATCH($B68,offices!$A$2:$A$61,0))),"")&lt;&gt;"",ISNUMBER(SEARCH($J68,IFERROR(IF(INDEX(offices!$AC$2:$AC$61,MATCH($B68,offices!$A$2:$A$61,0))="","",INDEX(offices!$AC$2:$AC$61,MATCH($B68,offices!$A$2:$A$61,0))),"")))),"BRAND VETOED; ","")&amp;IF(ISNUMBER(SEARCH(IFERROR(IF(INDEX(campaigns!$BF$2:$BF$51,MATCH($A68,campaigns!$A$2:$A$51,0))="","",INDEX(campaigns!$BF$2:$BF$51,MATCH($A68,campaigns!$A$2:$A$51,0))),""),IFERROR(IF(INDEX(offices!$AB$2:$AB$61,MATCH($B68,offices!$A$2:$A$61,0))="","",INDEX(offices!$AB$2:$AB$61,MATCH($B68,offices!$A$2:$A$61,0))),""))),"","info: category not on the office's list; ")&amp;IF(IFERROR(IF(INDEX(offices!$AC$2:$AC$61,MATCH($B68,offices!$A$2:$A$61,0))="","",INDEX(offices!$AC$2:$AC$61,MATCH($B68,offices!$A$2:$A$61,0))),"")&lt;&gt;"","info: read the vetoes against the label; ",""))</f>
        <v/>
      </c>
      <c r="S68" s="25">
        <f>IF($A68="","",IF($G68&lt;&gt;"",$G68,IFERROR(IF(INDEX(offices!$AL$2:$AL$61,MATCH($B68,offices!$A$2:$A$61,0))="","",INDEX(offices!$AL$2:$AL$61,MATCH($B68,offices!$A$2:$A$61,0))),"")))</f>
        <v/>
      </c>
      <c r="T68" s="25">
        <f>IF($A68="","",$A68&amp;"."&amp;$B68)</f>
        <v/>
      </c>
      <c r="U68" s="25">
        <f>IF($A68="","",SUMIFS(inventory!$G$2:$G$801,inventory!$C$2:$C$801,$A68,inventory!$D$2:$D$801,$B68,inventory!$E$2:$E$801,"delivered"))</f>
        <v/>
      </c>
      <c r="V68" s="32">
        <f>IF($A68="","",IFERROR(1/(1/SUMPRODUCT(MAX((inventory!$C$2:$C$801=$A68)*(inventory!$D$2:$D$801=$B68)*(inventory!$E$2:$E$801="delivered")*(inventory!$A$2:$A$801+inventory!$B$2:$B$801)))),""))</f>
        <v/>
      </c>
      <c r="W68" s="25">
        <f>IF($A68="","",IFERROR(IF(INDEX(inventory!$J$2:$J$801,MATCH($A68&amp;"|"&amp;$B68&amp;"|delivered",inventory!$R$2:$R$801,0))="","",INDEX(inventory!$J$2:$J$801,MATCH($A68&amp;"|"&amp;$B68&amp;"|delivered",inventory!$R$2:$R$801,0))),""))</f>
        <v/>
      </c>
      <c r="X68" s="25">
        <f>IF($A68="","",IFERROR(IF(INDEX(photos!$H$2:$H$701,MATCH($A68&amp;"|"&amp;$B68&amp;"|placement|Y",photos!$R$2:$R$701,0))="","",INDEX(photos!$H$2:$H$701,MATCH($A68&amp;"|"&amp;$B68&amp;"|placement|Y",photos!$R$2:$R$701,0))),""))</f>
        <v/>
      </c>
      <c r="Y68" s="26">
        <f>IF($A68="","",IFERROR(IF(INDEX(photos!$E$2:$E$701,MATCH($A68&amp;"|"&amp;$B68&amp;"|placement|Y",photos!$R$2:$R$701,0))="","",INDEX(photos!$E$2:$E$701,MATCH($A68&amp;"|"&amp;$B68&amp;"|placement|Y",photos!$R$2:$R$701,0))),""))</f>
        <v/>
      </c>
      <c r="Z68" s="25">
        <f>IF($A68="","",IF(COUNTIFS(counts!$C$2:$C$701,$A68,counts!$D$2:$D$701,$B68,counts!$E$2:$E$701,"placed")=0,"",SUMIFS(counts!$F$2:$F$701,counts!$C$2:$C$701,$A68,counts!$D$2:$D$701,$B68,counts!$E$2:$E$701,"placed")))</f>
        <v/>
      </c>
      <c r="AA68" s="25">
        <f>IF($A68="","",IF($Y68="",0,N($Z68)))</f>
        <v/>
      </c>
      <c r="AB68" s="25">
        <f>IF($A68="","",IF(OR($Y68="",$I68=""),"N",IF($Y68&lt;=WORKDAY(N($I68),1,calendar!$A$2:$A$80),"Y","N")))</f>
        <v/>
      </c>
      <c r="AC68" s="28">
        <f>IF(OR($A68="",$V68="",$Y68=""),"",ROUND(($Y68+N(IFERROR(IF(INDEX(photos!$F$2:$F$701,MATCH($A68&amp;"|"&amp;$B68&amp;"|placement|Y",photos!$R$2:$R$701,0))="","",INDEX(photos!$F$2:$F$701,MATCH($A68&amp;"|"&amp;$B68&amp;"|placement|Y",photos!$R$2:$R$701,0))),""))-$V68)*24,1))</f>
        <v/>
      </c>
      <c r="AD68" s="25">
        <f>IF($A68="","",SUMIFS(inventory!$G$2:$G$801,inventory!$C$2:$C$801,$A68,inventory!$D$2:$D$801,$B68,inventory!$E$2:$E$801,"topped_up"))</f>
        <v/>
      </c>
      <c r="AE68" s="25">
        <f>IF($A68="","",IF(COUNTIFS(counts!$C$2:$C$701,$A68,counts!$D$2:$D$701,$B68,counts!$E$2:$E$701,"remaining_day3")=0,"",SUMIFS(counts!$F$2:$F$701,counts!$C$2:$C$701,$A68,counts!$D$2:$D$701,$B68,counts!$E$2:$E$701,"remaining_day3")))</f>
        <v/>
      </c>
      <c r="AF68" s="25">
        <f>IF($A68="","",IF(COUNTIFS(counts!$C$2:$C$701,$A68,counts!$D$2:$D$701,$B68,counts!$E$2:$E$701,"remaining_day5")=0,"",SUMIFS(counts!$F$2:$F$701,counts!$C$2:$C$701,$A68,counts!$D$2:$D$701,$B68,counts!$E$2:$E$701,"remaining_day5")))</f>
        <v/>
      </c>
      <c r="AG68" s="25">
        <f>IF(OR($A68="",$AF68=""),"",MAX(0,$AA68+$AD68-$AF68))</f>
        <v/>
      </c>
      <c r="AH68" s="25">
        <f>IF(OR($A68="",$AI68=""),"",IFERROR(IF(INDEX(photos!$H$2:$H$701,MATCH($A68&amp;"|"&amp;$B68&amp;"|later|Y|"&amp;$AI68,photos!$S$2:$S$701,0))="","",INDEX(photos!$H$2:$H$701,MATCH($A68&amp;"|"&amp;$B68&amp;"|later|Y|"&amp;$AI68,photos!$S$2:$S$701,0))),""))</f>
        <v/>
      </c>
      <c r="AI68" s="26">
        <f>IF($A68="","",IFERROR(1/(1/SUMPRODUCT(MAX((photos!$B$2:$B$701=$A68)*(photos!$C$2:$C$701=$B68)*(photos!$D$2:$D$701="later")*(photos!$O$2:$O$701="Y")*photos!$E$2:$E$701))),""))</f>
        <v/>
      </c>
      <c r="AJ68" s="25">
        <f>IF(OR($A68="",$AI68="",$I68=""),"",NETWORKDAYS($I68,$AI68,calendar!$A$2:$A$80))</f>
        <v/>
      </c>
      <c r="AK68" s="25">
        <f>IF($A68="","",IF(AND($X68&lt;&gt;"",$AH68&lt;&gt;""),"Y","N"))</f>
        <v/>
      </c>
      <c r="AL68" s="25">
        <f>IF(OR($A68="",$I68=""),"",IF($BC68="Y",SUMIFS(survey_frozen!$C$2:$C$251,survey_frozen!$P$2:$P$251,$A68&amp;"|"&amp;$B68),IFERROR(COUNTIFS(INDIRECT("'"&amp;$A68&amp;"'!$B$2:$B$501"),$T68,INDIRECT("'"&amp;$A68&amp;"'!$A$2:$A$501"),"&gt;="&amp;$I68,INDIRECT("'"&amp;$A68&amp;"'!$A$2:$A$501"),"&lt;"&amp;($BA68+1)),0)))</f>
        <v/>
      </c>
      <c r="AM68" s="25">
        <f>IF(OR($A68="",$I68=""),"",IF($BC68="Y",SUMIFS(survey_frozen!$D$2:$D$251,survey_frozen!$P$2:$P$251,$A68&amp;"|"&amp;$B68),IFERROR(COUNTIFS(INDIRECT("'"&amp;$A68&amp;"'!$B$2:$B$501"),$T68,INDIRECT("'"&amp;$A68&amp;"'!$A$2:$A$501"),"&gt;="&amp;$I68,INDIRECT("'"&amp;$A68&amp;"'!$A$2:$A$501"),"&lt;"&amp;($BA68+1),INDIRECT("'"&amp;$A68&amp;"'!$C$2:$C$501"),"Yes"),0)))</f>
        <v/>
      </c>
      <c r="AN68" s="25">
        <f>IF($A68="","",IF(COUNTIFS(scans!$C$2:$C$1601,(IF(LEFT($A68,7)="SAMPLE-","SAMPLE-","")&amp;LOWER(SUBSTITUTE(SUBSTITUTE($A68,"SAMPLE-",""),"CMP-","c"))&amp;"-"&amp;LOWER(SUBSTITUTE(SUBSTITUTE($B68,"SAMPLE-",""),"O-","o"))&amp;"-q"),scans!$D$2:$D$1601,"close")=0,"",SUMPRODUCT(MAX((scans!$C$2:$C$1601=(IF(LEFT($A68,7)="SAMPLE-","SAMPLE-","")&amp;LOWER(SUBSTITUTE(SUBSTITUTE($A68,"SAMPLE-",""),"CMP-","c"))&amp;"-"&amp;LOWER(SUBSTITUTE(SUBSTITUTE($B68,"SAMPLE-",""),"O-","o"))&amp;"-q"))*(scans!$D$2:$D$1601="close")*scans!$E$2:$E$1601))-SUMPRODUCT(MAX((scans!$C$2:$C$1601=(IF(LEFT($A68,7)="SAMPLE-","SAMPLE-","")&amp;LOWER(SUBSTITUTE(SUBSTITUTE($A68,"SAMPLE-",""),"CMP-","c"))&amp;"-"&amp;LOWER(SUBSTITUTE(SUBSTITUTE($B68,"SAMPLE-",""),"O-","o"))&amp;"-q"))*(scans!$D$2:$D$1601="baseline")*scans!$E$2:$E$1601))))</f>
        <v/>
      </c>
      <c r="AO68" s="25">
        <f>IF($A68="","",IF(COUNTIFS(scans!$C$2:$C$1601,(IF(LEFT($A68,7)="SAMPLE-","SAMPLE-","")&amp;LOWER(SUBSTITUTE(SUBSTITUTE($A68,"SAMPLE-",""),"CMP-","c"))&amp;"-"&amp;LOWER(SUBSTITUTE(SUBSTITUTE($B68,"SAMPLE-",""),"O-","o"))&amp;"-p"),scans!$D$2:$D$1601,"close")=0,"",SUMPRODUCT(MAX((scans!$C$2:$C$1601=(IF(LEFT($A68,7)="SAMPLE-","SAMPLE-","")&amp;LOWER(SUBSTITUTE(SUBSTITUTE($A68,"SAMPLE-",""),"CMP-","c"))&amp;"-"&amp;LOWER(SUBSTITUTE(SUBSTITUTE($B68,"SAMPLE-",""),"O-","o"))&amp;"-p"))*(scans!$D$2:$D$1601="close")*scans!$E$2:$E$1601))-SUMPRODUCT(MAX((scans!$C$2:$C$1601=(IF(LEFT($A68,7)="SAMPLE-","SAMPLE-","")&amp;LOWER(SUBSTITUTE(SUBSTITUTE($A68,"SAMPLE-",""),"CMP-","c"))&amp;"-"&amp;LOWER(SUBSTITUTE(SUBSTITUTE($B68,"SAMPLE-",""),"O-","o"))&amp;"-p"))*(scans!$D$2:$D$1601="baseline")*scans!$E$2:$E$1601))))</f>
        <v/>
      </c>
      <c r="AP68" s="25">
        <f>IF($A68="","",IF(COUNTIF(offices!$A$2:$A$61,$B68)=0,"office_id not on offices; ","")&amp;IF(COUNTIF(campaigns!$A$2:$A$51,$A68)=0,"campaign_id not on campaigns; ","")&amp;IF($P68="pending","approval pending; ","")&amp;IF(AND($U68&gt;0,$Y68="",OR($I68="",IF(config!$B$37&lt;&gt;"",config!$B$37,TODAY())&lt;=WORKDAY(N($I68),4,calendar!$A$2:$A$80))),"no usable placement photo yet; ","")&amp;IF(AND($Y68&lt;&gt;"",$Z68=""),"log the placed count; ","")&amp;IF(N($AA68)&gt;N($U68),"placed more than delivered; ","")&amp;IF(AND($AF68&lt;&gt;"",N($AF68)&gt;N($AA68)+N($AD68)),"day-5 count above placed plus top-ups; ","")&amp;IF(AND($U68&gt;0,$I68&lt;&gt;"",IF(config!$B$37&lt;&gt;"",config!$B$37,TODAY())&gt;WORKDAY(N($I68),4,calendar!$A$2:$A$80),$AF68=""),"day-5 count missing; ","")&amp;IF(AND($U68&gt;0,$I68&lt;&gt;"",IF(config!$B$37&lt;&gt;"",config!$B$37,TODAY())&gt;WORKDAY(N($I68),4,calendar!$A$2:$A$80),$AN68=""),"no close link reading; ","")&amp;$R68&amp;IF($P68="N","info: office said no; ","")&amp;IF(AND($P68="Y",$Q68="N"),"info: turned away at the door, so not on the drop (no letter, not in the report or Gate 2; the credit check is on campaigns); ","")&amp;IF(AND($U68&gt;0,$Y68="",$I68&lt;&gt;"",IF(config!$B$37&lt;&gt;"",config!$B$37,TODAY())&gt;WORKDAY(N($I68),4,calendar!$A$2:$A$80)),"info: no usable placement photo, so nothing counts as placed; ","")&amp;IF(AND($U68&gt;0,$I68&lt;&gt;"",IF(config!$B$37&lt;&gt;"",config!$B$37,TODAY())&gt;WORKDAY(N($I68),4,calendar!$A$2:$A$80),N($AL68)&lt;config!$B$30),"info: under "&amp;config!$B$30&amp;" responses; ","")&amp;IF($W68="packing_list","info: delivered count not verified; ",""))</f>
        <v/>
      </c>
      <c r="AQ68" s="25">
        <f>IF(OR($A68="",$I68=""),"",IF($BC68="Y",SUMIFS(survey_frozen!$E$2:$E$251,survey_frozen!$P$2:$P$251,$A68&amp;"|"&amp;$B68),IFERROR(COUNTIFS(INDIRECT("'"&amp;$A68&amp;"'!$B$2:$B$501"),$T68,INDIRECT("'"&amp;$A68&amp;"'!$A$2:$A$501"),"&gt;="&amp;$I68,INDIRECT("'"&amp;$A68&amp;"'!$A$2:$A$501"),"&lt;"&amp;($BA68+1),INDIRECT("'"&amp;$A68&amp;"'!$F$2:$F$501"),"Didn't see it"),0)))</f>
        <v/>
      </c>
      <c r="AR68" s="25">
        <f>IF(OR($A68="",$I68=""),"",IF($BC68="Y",SUMIFS(survey_frozen!$F$2:$F$251,survey_frozen!$P$2:$P$251,$A68&amp;"|"&amp;$B68),IFERROR(COUNTIFS(INDIRECT("'"&amp;$A68&amp;"'!$B$2:$B$501"),$T68,INDIRECT("'"&amp;$A68&amp;"'!$A$2:$A$501"),"&gt;="&amp;$I68,INDIRECT("'"&amp;$A68&amp;"'!$A$2:$A$501"),"&lt;"&amp;($BA68+1),INDIRECT("'"&amp;$A68&amp;"'!$F$2:$F$501"),"Not for me"),0)))</f>
        <v/>
      </c>
      <c r="AS68" s="25">
        <f>IF(OR($A68="",$I68=""),"",IF($BC68="Y",SUMIFS(survey_frozen!$G$2:$G$251,survey_frozen!$P$2:$P$251,$A68&amp;"|"&amp;$B68),IFERROR(COUNTIFS(INDIRECT("'"&amp;$A68&amp;"'!$B$2:$B$501"),$T68,INDIRECT("'"&amp;$A68&amp;"'!$A$2:$A$501"),"&gt;="&amp;$I68,INDIRECT("'"&amp;$A68&amp;"'!$A$2:$A$501"),"&lt;"&amp;($BA68+1),INDIRECT("'"&amp;$A68&amp;"'!$F$2:$F$501"),"Gone by the time I looked"),0)))</f>
        <v/>
      </c>
      <c r="AT68" s="25">
        <f>IF(OR($A68="",$I68=""),"",IF($BC68="Y",SUMIFS(survey_frozen!$H$2:$H$251,survey_frozen!$P$2:$P$251,$A68&amp;"|"&amp;$B68),IFERROR(COUNTIFS(INDIRECT("'"&amp;$A68&amp;"'!$B$2:$B$501"),$T68,INDIRECT("'"&amp;$A68&amp;"'!$A$2:$A$501"),"&gt;="&amp;$I68,INDIRECT("'"&amp;$A68&amp;"'!$A$2:$A$501"),"&lt;"&amp;($BA68+1),INDIRECT("'"&amp;$A68&amp;"'!$D$2:$D$501"),"&gt;=1"),0)))</f>
        <v/>
      </c>
      <c r="AU68" s="25">
        <f>IF(OR($A68="",$I68=""),"",IF($BC68="Y",SUMIFS(survey_frozen!$I$2:$I$251,survey_frozen!$P$2:$P$251,$A68&amp;"|"&amp;$B68),IFERROR(SUMIFS(INDIRECT("'"&amp;$A68&amp;"'!$D$2:$D$501"),INDIRECT("'"&amp;$A68&amp;"'!$B$2:$B$501"),$T68,INDIRECT("'"&amp;$A68&amp;"'!$A$2:$A$501"),"&gt;="&amp;$I68,INDIRECT("'"&amp;$A68&amp;"'!$A$2:$A$501"),"&lt;"&amp;($BA68+1)),0)))</f>
        <v/>
      </c>
      <c r="AV68" s="25">
        <f>IF(OR($A68="",$I68=""),"",IF($BC68="Y",SUMIFS(survey_frozen!$J$2:$J$251,survey_frozen!$P$2:$P$251,$A68&amp;"|"&amp;$B68),IFERROR(COUNTIFS(INDIRECT("'"&amp;$A68&amp;"'!$B$2:$B$501"),$T68,INDIRECT("'"&amp;$A68&amp;"'!$A$2:$A$501"),"&gt;="&amp;$I68,INDIRECT("'"&amp;$A68&amp;"'!$A$2:$A$501"),"&lt;"&amp;($BA68+1),INDIRECT("'"&amp;$A68&amp;"'!$E$2:$E$501"),"Yes"),0)))</f>
        <v/>
      </c>
      <c r="AW68" s="25">
        <f>IF(OR($A68="",$I68=""),"",IF($BC68="Y",SUMIFS(survey_frozen!$K$2:$K$251,survey_frozen!$P$2:$P$251,$A68&amp;"|"&amp;$B68),IFERROR(COUNTIFS(INDIRECT("'"&amp;$A68&amp;"'!$B$2:$B$501"),$T68,INDIRECT("'"&amp;$A68&amp;"'!$A$2:$A$501"),"&gt;="&amp;$I68,INDIRECT("'"&amp;$A68&amp;"'!$A$2:$A$501"),"&lt;"&amp;($BA68+1),INDIRECT("'"&amp;$A68&amp;"'!$E$2:$E$501"),"Maybe"),0)))</f>
        <v/>
      </c>
      <c r="AX68" s="25">
        <f>IF(OR($A68="",$I68=""),"",IF($BC68="Y",SUMIFS(survey_frozen!$L$2:$L$251,survey_frozen!$P$2:$P$251,$A68&amp;"|"&amp;$B68),IFERROR(COUNTIFS(INDIRECT("'"&amp;$A68&amp;"'!$B$2:$B$501"),$T68,INDIRECT("'"&amp;$A68&amp;"'!$A$2:$A$501"),"&gt;="&amp;$I68,INDIRECT("'"&amp;$A68&amp;"'!$A$2:$A$501"),"&lt;"&amp;($BA68+1),INDIRECT("'"&amp;$A68&amp;"'!$E$2:$E$501"),"No"),0)))</f>
        <v/>
      </c>
      <c r="AY68" s="25">
        <f>IF(OR($A68="",$I68=""),"",IF($BC68="Y",SUMIFS(survey_frozen!$M$2:$M$251,survey_frozen!$P$2:$P$251,$A68&amp;"|"&amp;$B68),IFERROR(COUNTIFS(INDIRECT("'"&amp;$A68&amp;"'!$B$2:$B$501"),$T68,INDIRECT("'"&amp;$A68&amp;"'!$A$2:$A$501"),"&gt;="&amp;$I68,INDIRECT("'"&amp;$A68&amp;"'!$A$2:$A$501"),"&lt;"&amp;($BA68+1),INDIRECT("'"&amp;$A68&amp;"'!$G$2:$G$501"),"&lt;&gt;"),0)))</f>
        <v/>
      </c>
      <c r="AZ68" s="25">
        <f>IF($A68="","",$A68&amp;"|"&amp;$L68)</f>
        <v/>
      </c>
      <c r="BA68" s="26">
        <f>IF($A68="","",IFERROR(IF(INDEX(drops!$R$2:$R$21,MATCH($H68,drops!$A$2:$A$21,0))="","",INDEX(drops!$R$2:$R$21,MATCH($H68,drops!$A$2:$A$21,0))),""))</f>
        <v/>
      </c>
      <c r="BB68" s="25">
        <f>IF(OR($A68="",$Q68&lt;&gt;"Y"),1000000,N($AL68))</f>
        <v/>
      </c>
      <c r="BC68" s="25">
        <f>IF($A68="","",IF(COUNTIF(survey_frozen!$P$2:$P$251,$A68&amp;"|"&amp;$B68)&gt;0,"Y",""))</f>
        <v/>
      </c>
    </row>
    <row r="69">
      <c r="C69" s="9" t="n"/>
      <c r="E69" s="9" t="n"/>
      <c r="H69" s="25">
        <f>IF($A69="","",IFERROR(IF(INDEX(campaigns!$B$2:$B$51,MATCH($A69,campaigns!$A$2:$A$51,0))="","",INDEX(campaigns!$B$2:$B$51,MATCH($A69,campaigns!$A$2:$A$51,0))),""))</f>
        <v/>
      </c>
      <c r="I69" s="26">
        <f>IF($A69="","",IFERROR(IF(INDEX(campaigns!$BG$2:$BG$51,MATCH($A69,campaigns!$A$2:$A$51,0))="","",INDEX(campaigns!$BG$2:$BG$51,MATCH($A69,campaigns!$A$2:$A$51,0))),""))</f>
        <v/>
      </c>
      <c r="J69" s="25">
        <f>IF($A69="","",IFERROR(IF(INDEX(campaigns!$BE$2:$BE$51,MATCH($A69,campaigns!$A$2:$A$51,0))="","",INDEX(campaigns!$BE$2:$BE$51,MATCH($A69,campaigns!$A$2:$A$51,0))),""))</f>
        <v/>
      </c>
      <c r="K69" s="25">
        <f>IF($B69="","",IFERROR(IF(INDEX(offices!$N$2:$N$61,MATCH($B69,offices!$A$2:$A$61,0))="","",INDEX(offices!$N$2:$N$61,MATCH($B69,offices!$A$2:$A$61,0))),""))</f>
        <v/>
      </c>
      <c r="L69" s="25">
        <f>IF($A69="","",IF($Q69="N","",COUNTIFS($A$2:$A69,$A69,$Q$2:$Q69,"&lt;&gt;N")))</f>
        <v/>
      </c>
      <c r="M69" s="25">
        <f>IF(OR($A69="",$L69=""),"",IF(AND(config!$B$34="names_if_public",IFERROR(IF(INDEX(offices!$AF$2:$AF$61,MATCH($B69,offices!$A$2:$A$61,0))="","",INDEX(offices!$AF$2:$AF$61,MATCH($B69,offices!$A$2:$A$61,0))),"")="Y"),$K69,CHAR(64+$L69)))</f>
        <v/>
      </c>
      <c r="N69" s="25">
        <f>IF(OR($A69="",$I69=""),"",COUNTIFS(stops!$B$2:$B$151,$B69,stops!$P$2:$P$151,"&lt;"&amp;$I69,stops!$L$2:$L$151,"&lt;&gt;not_delivered")+1)</f>
        <v/>
      </c>
      <c r="O69" s="25">
        <f>IF($A69="","",IF(N($N69)&lt;=config!$B$29,"explicit","opt-out"))</f>
        <v/>
      </c>
      <c r="P69" s="25">
        <f>IF($A69="","",IF($O69="explicit",IF($D69="yes","Y",IF($D69="no","N","pending")),IF($D69="no","N",IF(AND($C69&lt;&gt;"",$I69&lt;&gt;"",$C69&lt;=WORKDAY(N($I69),-5,calendar!$A$2:$A$80)),"Y","pending"))))</f>
        <v/>
      </c>
      <c r="Q69" s="25">
        <f>IF($A69="","",IF($P69="N","N",IF($P69&lt;&gt;"Y","pending",IF(AND((COUNTIFS(stops!$A$2:$A$151,$H69,stops!$B$2:$B$151,$B69,stops!$L$2:$L$151,"declined")+COUNTIFS(stops!$A$2:$A$151,$H69,stops!$B$2:$B$151,$B69,stops!$L$2:$L$151,"building_refused")+COUNTIFS(stops!$A$2:$A$151,$H69,stops!$B$2:$B$151,$B69,stops!$L$2:$L$151,"not_delivered"))&gt;0,N($U69)=0),"N","Y"))))</f>
        <v/>
      </c>
      <c r="R69" s="25">
        <f>IF($A69="","",IF(COUNTIFS($A$2:$A$251,$A69,$B$2:$B$251,$B69)&gt;1,"DUPLICATE ROW; ","")&amp;IF(AND(IFERROR(IF(INDEX(offices!$AC$2:$AC$61,MATCH($B69,offices!$A$2:$A$61,0))="","",INDEX(offices!$AC$2:$AC$61,MATCH($B69,offices!$A$2:$A$61,0))),"")&lt;&gt;"",ISNUMBER(SEARCH($J69,IFERROR(IF(INDEX(offices!$AC$2:$AC$61,MATCH($B69,offices!$A$2:$A$61,0))="","",INDEX(offices!$AC$2:$AC$61,MATCH($B69,offices!$A$2:$A$61,0))),"")))),"BRAND VETOED; ","")&amp;IF(ISNUMBER(SEARCH(IFERROR(IF(INDEX(campaigns!$BF$2:$BF$51,MATCH($A69,campaigns!$A$2:$A$51,0))="","",INDEX(campaigns!$BF$2:$BF$51,MATCH($A69,campaigns!$A$2:$A$51,0))),""),IFERROR(IF(INDEX(offices!$AB$2:$AB$61,MATCH($B69,offices!$A$2:$A$61,0))="","",INDEX(offices!$AB$2:$AB$61,MATCH($B69,offices!$A$2:$A$61,0))),""))),"","info: category not on the office's list; ")&amp;IF(IFERROR(IF(INDEX(offices!$AC$2:$AC$61,MATCH($B69,offices!$A$2:$A$61,0))="","",INDEX(offices!$AC$2:$AC$61,MATCH($B69,offices!$A$2:$A$61,0))),"")&lt;&gt;"","info: read the vetoes against the label; ",""))</f>
        <v/>
      </c>
      <c r="S69" s="25">
        <f>IF($A69="","",IF($G69&lt;&gt;"",$G69,IFERROR(IF(INDEX(offices!$AL$2:$AL$61,MATCH($B69,offices!$A$2:$A$61,0))="","",INDEX(offices!$AL$2:$AL$61,MATCH($B69,offices!$A$2:$A$61,0))),"")))</f>
        <v/>
      </c>
      <c r="T69" s="25">
        <f>IF($A69="","",$A69&amp;"."&amp;$B69)</f>
        <v/>
      </c>
      <c r="U69" s="25">
        <f>IF($A69="","",SUMIFS(inventory!$G$2:$G$801,inventory!$C$2:$C$801,$A69,inventory!$D$2:$D$801,$B69,inventory!$E$2:$E$801,"delivered"))</f>
        <v/>
      </c>
      <c r="V69" s="32">
        <f>IF($A69="","",IFERROR(1/(1/SUMPRODUCT(MAX((inventory!$C$2:$C$801=$A69)*(inventory!$D$2:$D$801=$B69)*(inventory!$E$2:$E$801="delivered")*(inventory!$A$2:$A$801+inventory!$B$2:$B$801)))),""))</f>
        <v/>
      </c>
      <c r="W69" s="25">
        <f>IF($A69="","",IFERROR(IF(INDEX(inventory!$J$2:$J$801,MATCH($A69&amp;"|"&amp;$B69&amp;"|delivered",inventory!$R$2:$R$801,0))="","",INDEX(inventory!$J$2:$J$801,MATCH($A69&amp;"|"&amp;$B69&amp;"|delivered",inventory!$R$2:$R$801,0))),""))</f>
        <v/>
      </c>
      <c r="X69" s="25">
        <f>IF($A69="","",IFERROR(IF(INDEX(photos!$H$2:$H$701,MATCH($A69&amp;"|"&amp;$B69&amp;"|placement|Y",photos!$R$2:$R$701,0))="","",INDEX(photos!$H$2:$H$701,MATCH($A69&amp;"|"&amp;$B69&amp;"|placement|Y",photos!$R$2:$R$701,0))),""))</f>
        <v/>
      </c>
      <c r="Y69" s="26">
        <f>IF($A69="","",IFERROR(IF(INDEX(photos!$E$2:$E$701,MATCH($A69&amp;"|"&amp;$B69&amp;"|placement|Y",photos!$R$2:$R$701,0))="","",INDEX(photos!$E$2:$E$701,MATCH($A69&amp;"|"&amp;$B69&amp;"|placement|Y",photos!$R$2:$R$701,0))),""))</f>
        <v/>
      </c>
      <c r="Z69" s="25">
        <f>IF($A69="","",IF(COUNTIFS(counts!$C$2:$C$701,$A69,counts!$D$2:$D$701,$B69,counts!$E$2:$E$701,"placed")=0,"",SUMIFS(counts!$F$2:$F$701,counts!$C$2:$C$701,$A69,counts!$D$2:$D$701,$B69,counts!$E$2:$E$701,"placed")))</f>
        <v/>
      </c>
      <c r="AA69" s="25">
        <f>IF($A69="","",IF($Y69="",0,N($Z69)))</f>
        <v/>
      </c>
      <c r="AB69" s="25">
        <f>IF($A69="","",IF(OR($Y69="",$I69=""),"N",IF($Y69&lt;=WORKDAY(N($I69),1,calendar!$A$2:$A$80),"Y","N")))</f>
        <v/>
      </c>
      <c r="AC69" s="28">
        <f>IF(OR($A69="",$V69="",$Y69=""),"",ROUND(($Y69+N(IFERROR(IF(INDEX(photos!$F$2:$F$701,MATCH($A69&amp;"|"&amp;$B69&amp;"|placement|Y",photos!$R$2:$R$701,0))="","",INDEX(photos!$F$2:$F$701,MATCH($A69&amp;"|"&amp;$B69&amp;"|placement|Y",photos!$R$2:$R$701,0))),""))-$V69)*24,1))</f>
        <v/>
      </c>
      <c r="AD69" s="25">
        <f>IF($A69="","",SUMIFS(inventory!$G$2:$G$801,inventory!$C$2:$C$801,$A69,inventory!$D$2:$D$801,$B69,inventory!$E$2:$E$801,"topped_up"))</f>
        <v/>
      </c>
      <c r="AE69" s="25">
        <f>IF($A69="","",IF(COUNTIFS(counts!$C$2:$C$701,$A69,counts!$D$2:$D$701,$B69,counts!$E$2:$E$701,"remaining_day3")=0,"",SUMIFS(counts!$F$2:$F$701,counts!$C$2:$C$701,$A69,counts!$D$2:$D$701,$B69,counts!$E$2:$E$701,"remaining_day3")))</f>
        <v/>
      </c>
      <c r="AF69" s="25">
        <f>IF($A69="","",IF(COUNTIFS(counts!$C$2:$C$701,$A69,counts!$D$2:$D$701,$B69,counts!$E$2:$E$701,"remaining_day5")=0,"",SUMIFS(counts!$F$2:$F$701,counts!$C$2:$C$701,$A69,counts!$D$2:$D$701,$B69,counts!$E$2:$E$701,"remaining_day5")))</f>
        <v/>
      </c>
      <c r="AG69" s="25">
        <f>IF(OR($A69="",$AF69=""),"",MAX(0,$AA69+$AD69-$AF69))</f>
        <v/>
      </c>
      <c r="AH69" s="25">
        <f>IF(OR($A69="",$AI69=""),"",IFERROR(IF(INDEX(photos!$H$2:$H$701,MATCH($A69&amp;"|"&amp;$B69&amp;"|later|Y|"&amp;$AI69,photos!$S$2:$S$701,0))="","",INDEX(photos!$H$2:$H$701,MATCH($A69&amp;"|"&amp;$B69&amp;"|later|Y|"&amp;$AI69,photos!$S$2:$S$701,0))),""))</f>
        <v/>
      </c>
      <c r="AI69" s="26">
        <f>IF($A69="","",IFERROR(1/(1/SUMPRODUCT(MAX((photos!$B$2:$B$701=$A69)*(photos!$C$2:$C$701=$B69)*(photos!$D$2:$D$701="later")*(photos!$O$2:$O$701="Y")*photos!$E$2:$E$701))),""))</f>
        <v/>
      </c>
      <c r="AJ69" s="25">
        <f>IF(OR($A69="",$AI69="",$I69=""),"",NETWORKDAYS($I69,$AI69,calendar!$A$2:$A$80))</f>
        <v/>
      </c>
      <c r="AK69" s="25">
        <f>IF($A69="","",IF(AND($X69&lt;&gt;"",$AH69&lt;&gt;""),"Y","N"))</f>
        <v/>
      </c>
      <c r="AL69" s="25">
        <f>IF(OR($A69="",$I69=""),"",IF($BC69="Y",SUMIFS(survey_frozen!$C$2:$C$251,survey_frozen!$P$2:$P$251,$A69&amp;"|"&amp;$B69),IFERROR(COUNTIFS(INDIRECT("'"&amp;$A69&amp;"'!$B$2:$B$501"),$T69,INDIRECT("'"&amp;$A69&amp;"'!$A$2:$A$501"),"&gt;="&amp;$I69,INDIRECT("'"&amp;$A69&amp;"'!$A$2:$A$501"),"&lt;"&amp;($BA69+1)),0)))</f>
        <v/>
      </c>
      <c r="AM69" s="25">
        <f>IF(OR($A69="",$I69=""),"",IF($BC69="Y",SUMIFS(survey_frozen!$D$2:$D$251,survey_frozen!$P$2:$P$251,$A69&amp;"|"&amp;$B69),IFERROR(COUNTIFS(INDIRECT("'"&amp;$A69&amp;"'!$B$2:$B$501"),$T69,INDIRECT("'"&amp;$A69&amp;"'!$A$2:$A$501"),"&gt;="&amp;$I69,INDIRECT("'"&amp;$A69&amp;"'!$A$2:$A$501"),"&lt;"&amp;($BA69+1),INDIRECT("'"&amp;$A69&amp;"'!$C$2:$C$501"),"Yes"),0)))</f>
        <v/>
      </c>
      <c r="AN69" s="25">
        <f>IF($A69="","",IF(COUNTIFS(scans!$C$2:$C$1601,(IF(LEFT($A69,7)="SAMPLE-","SAMPLE-","")&amp;LOWER(SUBSTITUTE(SUBSTITUTE($A69,"SAMPLE-",""),"CMP-","c"))&amp;"-"&amp;LOWER(SUBSTITUTE(SUBSTITUTE($B69,"SAMPLE-",""),"O-","o"))&amp;"-q"),scans!$D$2:$D$1601,"close")=0,"",SUMPRODUCT(MAX((scans!$C$2:$C$1601=(IF(LEFT($A69,7)="SAMPLE-","SAMPLE-","")&amp;LOWER(SUBSTITUTE(SUBSTITUTE($A69,"SAMPLE-",""),"CMP-","c"))&amp;"-"&amp;LOWER(SUBSTITUTE(SUBSTITUTE($B69,"SAMPLE-",""),"O-","o"))&amp;"-q"))*(scans!$D$2:$D$1601="close")*scans!$E$2:$E$1601))-SUMPRODUCT(MAX((scans!$C$2:$C$1601=(IF(LEFT($A69,7)="SAMPLE-","SAMPLE-","")&amp;LOWER(SUBSTITUTE(SUBSTITUTE($A69,"SAMPLE-",""),"CMP-","c"))&amp;"-"&amp;LOWER(SUBSTITUTE(SUBSTITUTE($B69,"SAMPLE-",""),"O-","o"))&amp;"-q"))*(scans!$D$2:$D$1601="baseline")*scans!$E$2:$E$1601))))</f>
        <v/>
      </c>
      <c r="AO69" s="25">
        <f>IF($A69="","",IF(COUNTIFS(scans!$C$2:$C$1601,(IF(LEFT($A69,7)="SAMPLE-","SAMPLE-","")&amp;LOWER(SUBSTITUTE(SUBSTITUTE($A69,"SAMPLE-",""),"CMP-","c"))&amp;"-"&amp;LOWER(SUBSTITUTE(SUBSTITUTE($B69,"SAMPLE-",""),"O-","o"))&amp;"-p"),scans!$D$2:$D$1601,"close")=0,"",SUMPRODUCT(MAX((scans!$C$2:$C$1601=(IF(LEFT($A69,7)="SAMPLE-","SAMPLE-","")&amp;LOWER(SUBSTITUTE(SUBSTITUTE($A69,"SAMPLE-",""),"CMP-","c"))&amp;"-"&amp;LOWER(SUBSTITUTE(SUBSTITUTE($B69,"SAMPLE-",""),"O-","o"))&amp;"-p"))*(scans!$D$2:$D$1601="close")*scans!$E$2:$E$1601))-SUMPRODUCT(MAX((scans!$C$2:$C$1601=(IF(LEFT($A69,7)="SAMPLE-","SAMPLE-","")&amp;LOWER(SUBSTITUTE(SUBSTITUTE($A69,"SAMPLE-",""),"CMP-","c"))&amp;"-"&amp;LOWER(SUBSTITUTE(SUBSTITUTE($B69,"SAMPLE-",""),"O-","o"))&amp;"-p"))*(scans!$D$2:$D$1601="baseline")*scans!$E$2:$E$1601))))</f>
        <v/>
      </c>
      <c r="AP69" s="25">
        <f>IF($A69="","",IF(COUNTIF(offices!$A$2:$A$61,$B69)=0,"office_id not on offices; ","")&amp;IF(COUNTIF(campaigns!$A$2:$A$51,$A69)=0,"campaign_id not on campaigns; ","")&amp;IF($P69="pending","approval pending; ","")&amp;IF(AND($U69&gt;0,$Y69="",OR($I69="",IF(config!$B$37&lt;&gt;"",config!$B$37,TODAY())&lt;=WORKDAY(N($I69),4,calendar!$A$2:$A$80))),"no usable placement photo yet; ","")&amp;IF(AND($Y69&lt;&gt;"",$Z69=""),"log the placed count; ","")&amp;IF(N($AA69)&gt;N($U69),"placed more than delivered; ","")&amp;IF(AND($AF69&lt;&gt;"",N($AF69)&gt;N($AA69)+N($AD69)),"day-5 count above placed plus top-ups; ","")&amp;IF(AND($U69&gt;0,$I69&lt;&gt;"",IF(config!$B$37&lt;&gt;"",config!$B$37,TODAY())&gt;WORKDAY(N($I69),4,calendar!$A$2:$A$80),$AF69=""),"day-5 count missing; ","")&amp;IF(AND($U69&gt;0,$I69&lt;&gt;"",IF(config!$B$37&lt;&gt;"",config!$B$37,TODAY())&gt;WORKDAY(N($I69),4,calendar!$A$2:$A$80),$AN69=""),"no close link reading; ","")&amp;$R69&amp;IF($P69="N","info: office said no; ","")&amp;IF(AND($P69="Y",$Q69="N"),"info: turned away at the door, so not on the drop (no letter, not in the report or Gate 2; the credit check is on campaigns); ","")&amp;IF(AND($U69&gt;0,$Y69="",$I69&lt;&gt;"",IF(config!$B$37&lt;&gt;"",config!$B$37,TODAY())&gt;WORKDAY(N($I69),4,calendar!$A$2:$A$80)),"info: no usable placement photo, so nothing counts as placed; ","")&amp;IF(AND($U69&gt;0,$I69&lt;&gt;"",IF(config!$B$37&lt;&gt;"",config!$B$37,TODAY())&gt;WORKDAY(N($I69),4,calendar!$A$2:$A$80),N($AL69)&lt;config!$B$30),"info: under "&amp;config!$B$30&amp;" responses; ","")&amp;IF($W69="packing_list","info: delivered count not verified; ",""))</f>
        <v/>
      </c>
      <c r="AQ69" s="25">
        <f>IF(OR($A69="",$I69=""),"",IF($BC69="Y",SUMIFS(survey_frozen!$E$2:$E$251,survey_frozen!$P$2:$P$251,$A69&amp;"|"&amp;$B69),IFERROR(COUNTIFS(INDIRECT("'"&amp;$A69&amp;"'!$B$2:$B$501"),$T69,INDIRECT("'"&amp;$A69&amp;"'!$A$2:$A$501"),"&gt;="&amp;$I69,INDIRECT("'"&amp;$A69&amp;"'!$A$2:$A$501"),"&lt;"&amp;($BA69+1),INDIRECT("'"&amp;$A69&amp;"'!$F$2:$F$501"),"Didn't see it"),0)))</f>
        <v/>
      </c>
      <c r="AR69" s="25">
        <f>IF(OR($A69="",$I69=""),"",IF($BC69="Y",SUMIFS(survey_frozen!$F$2:$F$251,survey_frozen!$P$2:$P$251,$A69&amp;"|"&amp;$B69),IFERROR(COUNTIFS(INDIRECT("'"&amp;$A69&amp;"'!$B$2:$B$501"),$T69,INDIRECT("'"&amp;$A69&amp;"'!$A$2:$A$501"),"&gt;="&amp;$I69,INDIRECT("'"&amp;$A69&amp;"'!$A$2:$A$501"),"&lt;"&amp;($BA69+1),INDIRECT("'"&amp;$A69&amp;"'!$F$2:$F$501"),"Not for me"),0)))</f>
        <v/>
      </c>
      <c r="AS69" s="25">
        <f>IF(OR($A69="",$I69=""),"",IF($BC69="Y",SUMIFS(survey_frozen!$G$2:$G$251,survey_frozen!$P$2:$P$251,$A69&amp;"|"&amp;$B69),IFERROR(COUNTIFS(INDIRECT("'"&amp;$A69&amp;"'!$B$2:$B$501"),$T69,INDIRECT("'"&amp;$A69&amp;"'!$A$2:$A$501"),"&gt;="&amp;$I69,INDIRECT("'"&amp;$A69&amp;"'!$A$2:$A$501"),"&lt;"&amp;($BA69+1),INDIRECT("'"&amp;$A69&amp;"'!$F$2:$F$501"),"Gone by the time I looked"),0)))</f>
        <v/>
      </c>
      <c r="AT69" s="25">
        <f>IF(OR($A69="",$I69=""),"",IF($BC69="Y",SUMIFS(survey_frozen!$H$2:$H$251,survey_frozen!$P$2:$P$251,$A69&amp;"|"&amp;$B69),IFERROR(COUNTIFS(INDIRECT("'"&amp;$A69&amp;"'!$B$2:$B$501"),$T69,INDIRECT("'"&amp;$A69&amp;"'!$A$2:$A$501"),"&gt;="&amp;$I69,INDIRECT("'"&amp;$A69&amp;"'!$A$2:$A$501"),"&lt;"&amp;($BA69+1),INDIRECT("'"&amp;$A69&amp;"'!$D$2:$D$501"),"&gt;=1"),0)))</f>
        <v/>
      </c>
      <c r="AU69" s="25">
        <f>IF(OR($A69="",$I69=""),"",IF($BC69="Y",SUMIFS(survey_frozen!$I$2:$I$251,survey_frozen!$P$2:$P$251,$A69&amp;"|"&amp;$B69),IFERROR(SUMIFS(INDIRECT("'"&amp;$A69&amp;"'!$D$2:$D$501"),INDIRECT("'"&amp;$A69&amp;"'!$B$2:$B$501"),$T69,INDIRECT("'"&amp;$A69&amp;"'!$A$2:$A$501"),"&gt;="&amp;$I69,INDIRECT("'"&amp;$A69&amp;"'!$A$2:$A$501"),"&lt;"&amp;($BA69+1)),0)))</f>
        <v/>
      </c>
      <c r="AV69" s="25">
        <f>IF(OR($A69="",$I69=""),"",IF($BC69="Y",SUMIFS(survey_frozen!$J$2:$J$251,survey_frozen!$P$2:$P$251,$A69&amp;"|"&amp;$B69),IFERROR(COUNTIFS(INDIRECT("'"&amp;$A69&amp;"'!$B$2:$B$501"),$T69,INDIRECT("'"&amp;$A69&amp;"'!$A$2:$A$501"),"&gt;="&amp;$I69,INDIRECT("'"&amp;$A69&amp;"'!$A$2:$A$501"),"&lt;"&amp;($BA69+1),INDIRECT("'"&amp;$A69&amp;"'!$E$2:$E$501"),"Yes"),0)))</f>
        <v/>
      </c>
      <c r="AW69" s="25">
        <f>IF(OR($A69="",$I69=""),"",IF($BC69="Y",SUMIFS(survey_frozen!$K$2:$K$251,survey_frozen!$P$2:$P$251,$A69&amp;"|"&amp;$B69),IFERROR(COUNTIFS(INDIRECT("'"&amp;$A69&amp;"'!$B$2:$B$501"),$T69,INDIRECT("'"&amp;$A69&amp;"'!$A$2:$A$501"),"&gt;="&amp;$I69,INDIRECT("'"&amp;$A69&amp;"'!$A$2:$A$501"),"&lt;"&amp;($BA69+1),INDIRECT("'"&amp;$A69&amp;"'!$E$2:$E$501"),"Maybe"),0)))</f>
        <v/>
      </c>
      <c r="AX69" s="25">
        <f>IF(OR($A69="",$I69=""),"",IF($BC69="Y",SUMIFS(survey_frozen!$L$2:$L$251,survey_frozen!$P$2:$P$251,$A69&amp;"|"&amp;$B69),IFERROR(COUNTIFS(INDIRECT("'"&amp;$A69&amp;"'!$B$2:$B$501"),$T69,INDIRECT("'"&amp;$A69&amp;"'!$A$2:$A$501"),"&gt;="&amp;$I69,INDIRECT("'"&amp;$A69&amp;"'!$A$2:$A$501"),"&lt;"&amp;($BA69+1),INDIRECT("'"&amp;$A69&amp;"'!$E$2:$E$501"),"No"),0)))</f>
        <v/>
      </c>
      <c r="AY69" s="25">
        <f>IF(OR($A69="",$I69=""),"",IF($BC69="Y",SUMIFS(survey_frozen!$M$2:$M$251,survey_frozen!$P$2:$P$251,$A69&amp;"|"&amp;$B69),IFERROR(COUNTIFS(INDIRECT("'"&amp;$A69&amp;"'!$B$2:$B$501"),$T69,INDIRECT("'"&amp;$A69&amp;"'!$A$2:$A$501"),"&gt;="&amp;$I69,INDIRECT("'"&amp;$A69&amp;"'!$A$2:$A$501"),"&lt;"&amp;($BA69+1),INDIRECT("'"&amp;$A69&amp;"'!$G$2:$G$501"),"&lt;&gt;"),0)))</f>
        <v/>
      </c>
      <c r="AZ69" s="25">
        <f>IF($A69="","",$A69&amp;"|"&amp;$L69)</f>
        <v/>
      </c>
      <c r="BA69" s="26">
        <f>IF($A69="","",IFERROR(IF(INDEX(drops!$R$2:$R$21,MATCH($H69,drops!$A$2:$A$21,0))="","",INDEX(drops!$R$2:$R$21,MATCH($H69,drops!$A$2:$A$21,0))),""))</f>
        <v/>
      </c>
      <c r="BB69" s="25">
        <f>IF(OR($A69="",$Q69&lt;&gt;"Y"),1000000,N($AL69))</f>
        <v/>
      </c>
      <c r="BC69" s="25">
        <f>IF($A69="","",IF(COUNTIF(survey_frozen!$P$2:$P$251,$A69&amp;"|"&amp;$B69)&gt;0,"Y",""))</f>
        <v/>
      </c>
    </row>
    <row r="70">
      <c r="C70" s="9" t="n"/>
      <c r="E70" s="9" t="n"/>
      <c r="H70" s="25">
        <f>IF($A70="","",IFERROR(IF(INDEX(campaigns!$B$2:$B$51,MATCH($A70,campaigns!$A$2:$A$51,0))="","",INDEX(campaigns!$B$2:$B$51,MATCH($A70,campaigns!$A$2:$A$51,0))),""))</f>
        <v/>
      </c>
      <c r="I70" s="26">
        <f>IF($A70="","",IFERROR(IF(INDEX(campaigns!$BG$2:$BG$51,MATCH($A70,campaigns!$A$2:$A$51,0))="","",INDEX(campaigns!$BG$2:$BG$51,MATCH($A70,campaigns!$A$2:$A$51,0))),""))</f>
        <v/>
      </c>
      <c r="J70" s="25">
        <f>IF($A70="","",IFERROR(IF(INDEX(campaigns!$BE$2:$BE$51,MATCH($A70,campaigns!$A$2:$A$51,0))="","",INDEX(campaigns!$BE$2:$BE$51,MATCH($A70,campaigns!$A$2:$A$51,0))),""))</f>
        <v/>
      </c>
      <c r="K70" s="25">
        <f>IF($B70="","",IFERROR(IF(INDEX(offices!$N$2:$N$61,MATCH($B70,offices!$A$2:$A$61,0))="","",INDEX(offices!$N$2:$N$61,MATCH($B70,offices!$A$2:$A$61,0))),""))</f>
        <v/>
      </c>
      <c r="L70" s="25">
        <f>IF($A70="","",IF($Q70="N","",COUNTIFS($A$2:$A70,$A70,$Q$2:$Q70,"&lt;&gt;N")))</f>
        <v/>
      </c>
      <c r="M70" s="25">
        <f>IF(OR($A70="",$L70=""),"",IF(AND(config!$B$34="names_if_public",IFERROR(IF(INDEX(offices!$AF$2:$AF$61,MATCH($B70,offices!$A$2:$A$61,0))="","",INDEX(offices!$AF$2:$AF$61,MATCH($B70,offices!$A$2:$A$61,0))),"")="Y"),$K70,CHAR(64+$L70)))</f>
        <v/>
      </c>
      <c r="N70" s="25">
        <f>IF(OR($A70="",$I70=""),"",COUNTIFS(stops!$B$2:$B$151,$B70,stops!$P$2:$P$151,"&lt;"&amp;$I70,stops!$L$2:$L$151,"&lt;&gt;not_delivered")+1)</f>
        <v/>
      </c>
      <c r="O70" s="25">
        <f>IF($A70="","",IF(N($N70)&lt;=config!$B$29,"explicit","opt-out"))</f>
        <v/>
      </c>
      <c r="P70" s="25">
        <f>IF($A70="","",IF($O70="explicit",IF($D70="yes","Y",IF($D70="no","N","pending")),IF($D70="no","N",IF(AND($C70&lt;&gt;"",$I70&lt;&gt;"",$C70&lt;=WORKDAY(N($I70),-5,calendar!$A$2:$A$80)),"Y","pending"))))</f>
        <v/>
      </c>
      <c r="Q70" s="25">
        <f>IF($A70="","",IF($P70="N","N",IF($P70&lt;&gt;"Y","pending",IF(AND((COUNTIFS(stops!$A$2:$A$151,$H70,stops!$B$2:$B$151,$B70,stops!$L$2:$L$151,"declined")+COUNTIFS(stops!$A$2:$A$151,$H70,stops!$B$2:$B$151,$B70,stops!$L$2:$L$151,"building_refused")+COUNTIFS(stops!$A$2:$A$151,$H70,stops!$B$2:$B$151,$B70,stops!$L$2:$L$151,"not_delivered"))&gt;0,N($U70)=0),"N","Y"))))</f>
        <v/>
      </c>
      <c r="R70" s="25">
        <f>IF($A70="","",IF(COUNTIFS($A$2:$A$251,$A70,$B$2:$B$251,$B70)&gt;1,"DUPLICATE ROW; ","")&amp;IF(AND(IFERROR(IF(INDEX(offices!$AC$2:$AC$61,MATCH($B70,offices!$A$2:$A$61,0))="","",INDEX(offices!$AC$2:$AC$61,MATCH($B70,offices!$A$2:$A$61,0))),"")&lt;&gt;"",ISNUMBER(SEARCH($J70,IFERROR(IF(INDEX(offices!$AC$2:$AC$61,MATCH($B70,offices!$A$2:$A$61,0))="","",INDEX(offices!$AC$2:$AC$61,MATCH($B70,offices!$A$2:$A$61,0))),"")))),"BRAND VETOED; ","")&amp;IF(ISNUMBER(SEARCH(IFERROR(IF(INDEX(campaigns!$BF$2:$BF$51,MATCH($A70,campaigns!$A$2:$A$51,0))="","",INDEX(campaigns!$BF$2:$BF$51,MATCH($A70,campaigns!$A$2:$A$51,0))),""),IFERROR(IF(INDEX(offices!$AB$2:$AB$61,MATCH($B70,offices!$A$2:$A$61,0))="","",INDEX(offices!$AB$2:$AB$61,MATCH($B70,offices!$A$2:$A$61,0))),""))),"","info: category not on the office's list; ")&amp;IF(IFERROR(IF(INDEX(offices!$AC$2:$AC$61,MATCH($B70,offices!$A$2:$A$61,0))="","",INDEX(offices!$AC$2:$AC$61,MATCH($B70,offices!$A$2:$A$61,0))),"")&lt;&gt;"","info: read the vetoes against the label; ",""))</f>
        <v/>
      </c>
      <c r="S70" s="25">
        <f>IF($A70="","",IF($G70&lt;&gt;"",$G70,IFERROR(IF(INDEX(offices!$AL$2:$AL$61,MATCH($B70,offices!$A$2:$A$61,0))="","",INDEX(offices!$AL$2:$AL$61,MATCH($B70,offices!$A$2:$A$61,0))),"")))</f>
        <v/>
      </c>
      <c r="T70" s="25">
        <f>IF($A70="","",$A70&amp;"."&amp;$B70)</f>
        <v/>
      </c>
      <c r="U70" s="25">
        <f>IF($A70="","",SUMIFS(inventory!$G$2:$G$801,inventory!$C$2:$C$801,$A70,inventory!$D$2:$D$801,$B70,inventory!$E$2:$E$801,"delivered"))</f>
        <v/>
      </c>
      <c r="V70" s="32">
        <f>IF($A70="","",IFERROR(1/(1/SUMPRODUCT(MAX((inventory!$C$2:$C$801=$A70)*(inventory!$D$2:$D$801=$B70)*(inventory!$E$2:$E$801="delivered")*(inventory!$A$2:$A$801+inventory!$B$2:$B$801)))),""))</f>
        <v/>
      </c>
      <c r="W70" s="25">
        <f>IF($A70="","",IFERROR(IF(INDEX(inventory!$J$2:$J$801,MATCH($A70&amp;"|"&amp;$B70&amp;"|delivered",inventory!$R$2:$R$801,0))="","",INDEX(inventory!$J$2:$J$801,MATCH($A70&amp;"|"&amp;$B70&amp;"|delivered",inventory!$R$2:$R$801,0))),""))</f>
        <v/>
      </c>
      <c r="X70" s="25">
        <f>IF($A70="","",IFERROR(IF(INDEX(photos!$H$2:$H$701,MATCH($A70&amp;"|"&amp;$B70&amp;"|placement|Y",photos!$R$2:$R$701,0))="","",INDEX(photos!$H$2:$H$701,MATCH($A70&amp;"|"&amp;$B70&amp;"|placement|Y",photos!$R$2:$R$701,0))),""))</f>
        <v/>
      </c>
      <c r="Y70" s="26">
        <f>IF($A70="","",IFERROR(IF(INDEX(photos!$E$2:$E$701,MATCH($A70&amp;"|"&amp;$B70&amp;"|placement|Y",photos!$R$2:$R$701,0))="","",INDEX(photos!$E$2:$E$701,MATCH($A70&amp;"|"&amp;$B70&amp;"|placement|Y",photos!$R$2:$R$701,0))),""))</f>
        <v/>
      </c>
      <c r="Z70" s="25">
        <f>IF($A70="","",IF(COUNTIFS(counts!$C$2:$C$701,$A70,counts!$D$2:$D$701,$B70,counts!$E$2:$E$701,"placed")=0,"",SUMIFS(counts!$F$2:$F$701,counts!$C$2:$C$701,$A70,counts!$D$2:$D$701,$B70,counts!$E$2:$E$701,"placed")))</f>
        <v/>
      </c>
      <c r="AA70" s="25">
        <f>IF($A70="","",IF($Y70="",0,N($Z70)))</f>
        <v/>
      </c>
      <c r="AB70" s="25">
        <f>IF($A70="","",IF(OR($Y70="",$I70=""),"N",IF($Y70&lt;=WORKDAY(N($I70),1,calendar!$A$2:$A$80),"Y","N")))</f>
        <v/>
      </c>
      <c r="AC70" s="28">
        <f>IF(OR($A70="",$V70="",$Y70=""),"",ROUND(($Y70+N(IFERROR(IF(INDEX(photos!$F$2:$F$701,MATCH($A70&amp;"|"&amp;$B70&amp;"|placement|Y",photos!$R$2:$R$701,0))="","",INDEX(photos!$F$2:$F$701,MATCH($A70&amp;"|"&amp;$B70&amp;"|placement|Y",photos!$R$2:$R$701,0))),""))-$V70)*24,1))</f>
        <v/>
      </c>
      <c r="AD70" s="25">
        <f>IF($A70="","",SUMIFS(inventory!$G$2:$G$801,inventory!$C$2:$C$801,$A70,inventory!$D$2:$D$801,$B70,inventory!$E$2:$E$801,"topped_up"))</f>
        <v/>
      </c>
      <c r="AE70" s="25">
        <f>IF($A70="","",IF(COUNTIFS(counts!$C$2:$C$701,$A70,counts!$D$2:$D$701,$B70,counts!$E$2:$E$701,"remaining_day3")=0,"",SUMIFS(counts!$F$2:$F$701,counts!$C$2:$C$701,$A70,counts!$D$2:$D$701,$B70,counts!$E$2:$E$701,"remaining_day3")))</f>
        <v/>
      </c>
      <c r="AF70" s="25">
        <f>IF($A70="","",IF(COUNTIFS(counts!$C$2:$C$701,$A70,counts!$D$2:$D$701,$B70,counts!$E$2:$E$701,"remaining_day5")=0,"",SUMIFS(counts!$F$2:$F$701,counts!$C$2:$C$701,$A70,counts!$D$2:$D$701,$B70,counts!$E$2:$E$701,"remaining_day5")))</f>
        <v/>
      </c>
      <c r="AG70" s="25">
        <f>IF(OR($A70="",$AF70=""),"",MAX(0,$AA70+$AD70-$AF70))</f>
        <v/>
      </c>
      <c r="AH70" s="25">
        <f>IF(OR($A70="",$AI70=""),"",IFERROR(IF(INDEX(photos!$H$2:$H$701,MATCH($A70&amp;"|"&amp;$B70&amp;"|later|Y|"&amp;$AI70,photos!$S$2:$S$701,0))="","",INDEX(photos!$H$2:$H$701,MATCH($A70&amp;"|"&amp;$B70&amp;"|later|Y|"&amp;$AI70,photos!$S$2:$S$701,0))),""))</f>
        <v/>
      </c>
      <c r="AI70" s="26">
        <f>IF($A70="","",IFERROR(1/(1/SUMPRODUCT(MAX((photos!$B$2:$B$701=$A70)*(photos!$C$2:$C$701=$B70)*(photos!$D$2:$D$701="later")*(photos!$O$2:$O$701="Y")*photos!$E$2:$E$701))),""))</f>
        <v/>
      </c>
      <c r="AJ70" s="25">
        <f>IF(OR($A70="",$AI70="",$I70=""),"",NETWORKDAYS($I70,$AI70,calendar!$A$2:$A$80))</f>
        <v/>
      </c>
      <c r="AK70" s="25">
        <f>IF($A70="","",IF(AND($X70&lt;&gt;"",$AH70&lt;&gt;""),"Y","N"))</f>
        <v/>
      </c>
      <c r="AL70" s="25">
        <f>IF(OR($A70="",$I70=""),"",IF($BC70="Y",SUMIFS(survey_frozen!$C$2:$C$251,survey_frozen!$P$2:$P$251,$A70&amp;"|"&amp;$B70),IFERROR(COUNTIFS(INDIRECT("'"&amp;$A70&amp;"'!$B$2:$B$501"),$T70,INDIRECT("'"&amp;$A70&amp;"'!$A$2:$A$501"),"&gt;="&amp;$I70,INDIRECT("'"&amp;$A70&amp;"'!$A$2:$A$501"),"&lt;"&amp;($BA70+1)),0)))</f>
        <v/>
      </c>
      <c r="AM70" s="25">
        <f>IF(OR($A70="",$I70=""),"",IF($BC70="Y",SUMIFS(survey_frozen!$D$2:$D$251,survey_frozen!$P$2:$P$251,$A70&amp;"|"&amp;$B70),IFERROR(COUNTIFS(INDIRECT("'"&amp;$A70&amp;"'!$B$2:$B$501"),$T70,INDIRECT("'"&amp;$A70&amp;"'!$A$2:$A$501"),"&gt;="&amp;$I70,INDIRECT("'"&amp;$A70&amp;"'!$A$2:$A$501"),"&lt;"&amp;($BA70+1),INDIRECT("'"&amp;$A70&amp;"'!$C$2:$C$501"),"Yes"),0)))</f>
        <v/>
      </c>
      <c r="AN70" s="25">
        <f>IF($A70="","",IF(COUNTIFS(scans!$C$2:$C$1601,(IF(LEFT($A70,7)="SAMPLE-","SAMPLE-","")&amp;LOWER(SUBSTITUTE(SUBSTITUTE($A70,"SAMPLE-",""),"CMP-","c"))&amp;"-"&amp;LOWER(SUBSTITUTE(SUBSTITUTE($B70,"SAMPLE-",""),"O-","o"))&amp;"-q"),scans!$D$2:$D$1601,"close")=0,"",SUMPRODUCT(MAX((scans!$C$2:$C$1601=(IF(LEFT($A70,7)="SAMPLE-","SAMPLE-","")&amp;LOWER(SUBSTITUTE(SUBSTITUTE($A70,"SAMPLE-",""),"CMP-","c"))&amp;"-"&amp;LOWER(SUBSTITUTE(SUBSTITUTE($B70,"SAMPLE-",""),"O-","o"))&amp;"-q"))*(scans!$D$2:$D$1601="close")*scans!$E$2:$E$1601))-SUMPRODUCT(MAX((scans!$C$2:$C$1601=(IF(LEFT($A70,7)="SAMPLE-","SAMPLE-","")&amp;LOWER(SUBSTITUTE(SUBSTITUTE($A70,"SAMPLE-",""),"CMP-","c"))&amp;"-"&amp;LOWER(SUBSTITUTE(SUBSTITUTE($B70,"SAMPLE-",""),"O-","o"))&amp;"-q"))*(scans!$D$2:$D$1601="baseline")*scans!$E$2:$E$1601))))</f>
        <v/>
      </c>
      <c r="AO70" s="25">
        <f>IF($A70="","",IF(COUNTIFS(scans!$C$2:$C$1601,(IF(LEFT($A70,7)="SAMPLE-","SAMPLE-","")&amp;LOWER(SUBSTITUTE(SUBSTITUTE($A70,"SAMPLE-",""),"CMP-","c"))&amp;"-"&amp;LOWER(SUBSTITUTE(SUBSTITUTE($B70,"SAMPLE-",""),"O-","o"))&amp;"-p"),scans!$D$2:$D$1601,"close")=0,"",SUMPRODUCT(MAX((scans!$C$2:$C$1601=(IF(LEFT($A70,7)="SAMPLE-","SAMPLE-","")&amp;LOWER(SUBSTITUTE(SUBSTITUTE($A70,"SAMPLE-",""),"CMP-","c"))&amp;"-"&amp;LOWER(SUBSTITUTE(SUBSTITUTE($B70,"SAMPLE-",""),"O-","o"))&amp;"-p"))*(scans!$D$2:$D$1601="close")*scans!$E$2:$E$1601))-SUMPRODUCT(MAX((scans!$C$2:$C$1601=(IF(LEFT($A70,7)="SAMPLE-","SAMPLE-","")&amp;LOWER(SUBSTITUTE(SUBSTITUTE($A70,"SAMPLE-",""),"CMP-","c"))&amp;"-"&amp;LOWER(SUBSTITUTE(SUBSTITUTE($B70,"SAMPLE-",""),"O-","o"))&amp;"-p"))*(scans!$D$2:$D$1601="baseline")*scans!$E$2:$E$1601))))</f>
        <v/>
      </c>
      <c r="AP70" s="25">
        <f>IF($A70="","",IF(COUNTIF(offices!$A$2:$A$61,$B70)=0,"office_id not on offices; ","")&amp;IF(COUNTIF(campaigns!$A$2:$A$51,$A70)=0,"campaign_id not on campaigns; ","")&amp;IF($P70="pending","approval pending; ","")&amp;IF(AND($U70&gt;0,$Y70="",OR($I70="",IF(config!$B$37&lt;&gt;"",config!$B$37,TODAY())&lt;=WORKDAY(N($I70),4,calendar!$A$2:$A$80))),"no usable placement photo yet; ","")&amp;IF(AND($Y70&lt;&gt;"",$Z70=""),"log the placed count; ","")&amp;IF(N($AA70)&gt;N($U70),"placed more than delivered; ","")&amp;IF(AND($AF70&lt;&gt;"",N($AF70)&gt;N($AA70)+N($AD70)),"day-5 count above placed plus top-ups; ","")&amp;IF(AND($U70&gt;0,$I70&lt;&gt;"",IF(config!$B$37&lt;&gt;"",config!$B$37,TODAY())&gt;WORKDAY(N($I70),4,calendar!$A$2:$A$80),$AF70=""),"day-5 count missing; ","")&amp;IF(AND($U70&gt;0,$I70&lt;&gt;"",IF(config!$B$37&lt;&gt;"",config!$B$37,TODAY())&gt;WORKDAY(N($I70),4,calendar!$A$2:$A$80),$AN70=""),"no close link reading; ","")&amp;$R70&amp;IF($P70="N","info: office said no; ","")&amp;IF(AND($P70="Y",$Q70="N"),"info: turned away at the door, so not on the drop (no letter, not in the report or Gate 2; the credit check is on campaigns); ","")&amp;IF(AND($U70&gt;0,$Y70="",$I70&lt;&gt;"",IF(config!$B$37&lt;&gt;"",config!$B$37,TODAY())&gt;WORKDAY(N($I70),4,calendar!$A$2:$A$80)),"info: no usable placement photo, so nothing counts as placed; ","")&amp;IF(AND($U70&gt;0,$I70&lt;&gt;"",IF(config!$B$37&lt;&gt;"",config!$B$37,TODAY())&gt;WORKDAY(N($I70),4,calendar!$A$2:$A$80),N($AL70)&lt;config!$B$30),"info: under "&amp;config!$B$30&amp;" responses; ","")&amp;IF($W70="packing_list","info: delivered count not verified; ",""))</f>
        <v/>
      </c>
      <c r="AQ70" s="25">
        <f>IF(OR($A70="",$I70=""),"",IF($BC70="Y",SUMIFS(survey_frozen!$E$2:$E$251,survey_frozen!$P$2:$P$251,$A70&amp;"|"&amp;$B70),IFERROR(COUNTIFS(INDIRECT("'"&amp;$A70&amp;"'!$B$2:$B$501"),$T70,INDIRECT("'"&amp;$A70&amp;"'!$A$2:$A$501"),"&gt;="&amp;$I70,INDIRECT("'"&amp;$A70&amp;"'!$A$2:$A$501"),"&lt;"&amp;($BA70+1),INDIRECT("'"&amp;$A70&amp;"'!$F$2:$F$501"),"Didn't see it"),0)))</f>
        <v/>
      </c>
      <c r="AR70" s="25">
        <f>IF(OR($A70="",$I70=""),"",IF($BC70="Y",SUMIFS(survey_frozen!$F$2:$F$251,survey_frozen!$P$2:$P$251,$A70&amp;"|"&amp;$B70),IFERROR(COUNTIFS(INDIRECT("'"&amp;$A70&amp;"'!$B$2:$B$501"),$T70,INDIRECT("'"&amp;$A70&amp;"'!$A$2:$A$501"),"&gt;="&amp;$I70,INDIRECT("'"&amp;$A70&amp;"'!$A$2:$A$501"),"&lt;"&amp;($BA70+1),INDIRECT("'"&amp;$A70&amp;"'!$F$2:$F$501"),"Not for me"),0)))</f>
        <v/>
      </c>
      <c r="AS70" s="25">
        <f>IF(OR($A70="",$I70=""),"",IF($BC70="Y",SUMIFS(survey_frozen!$G$2:$G$251,survey_frozen!$P$2:$P$251,$A70&amp;"|"&amp;$B70),IFERROR(COUNTIFS(INDIRECT("'"&amp;$A70&amp;"'!$B$2:$B$501"),$T70,INDIRECT("'"&amp;$A70&amp;"'!$A$2:$A$501"),"&gt;="&amp;$I70,INDIRECT("'"&amp;$A70&amp;"'!$A$2:$A$501"),"&lt;"&amp;($BA70+1),INDIRECT("'"&amp;$A70&amp;"'!$F$2:$F$501"),"Gone by the time I looked"),0)))</f>
        <v/>
      </c>
      <c r="AT70" s="25">
        <f>IF(OR($A70="",$I70=""),"",IF($BC70="Y",SUMIFS(survey_frozen!$H$2:$H$251,survey_frozen!$P$2:$P$251,$A70&amp;"|"&amp;$B70),IFERROR(COUNTIFS(INDIRECT("'"&amp;$A70&amp;"'!$B$2:$B$501"),$T70,INDIRECT("'"&amp;$A70&amp;"'!$A$2:$A$501"),"&gt;="&amp;$I70,INDIRECT("'"&amp;$A70&amp;"'!$A$2:$A$501"),"&lt;"&amp;($BA70+1),INDIRECT("'"&amp;$A70&amp;"'!$D$2:$D$501"),"&gt;=1"),0)))</f>
        <v/>
      </c>
      <c r="AU70" s="25">
        <f>IF(OR($A70="",$I70=""),"",IF($BC70="Y",SUMIFS(survey_frozen!$I$2:$I$251,survey_frozen!$P$2:$P$251,$A70&amp;"|"&amp;$B70),IFERROR(SUMIFS(INDIRECT("'"&amp;$A70&amp;"'!$D$2:$D$501"),INDIRECT("'"&amp;$A70&amp;"'!$B$2:$B$501"),$T70,INDIRECT("'"&amp;$A70&amp;"'!$A$2:$A$501"),"&gt;="&amp;$I70,INDIRECT("'"&amp;$A70&amp;"'!$A$2:$A$501"),"&lt;"&amp;($BA70+1)),0)))</f>
        <v/>
      </c>
      <c r="AV70" s="25">
        <f>IF(OR($A70="",$I70=""),"",IF($BC70="Y",SUMIFS(survey_frozen!$J$2:$J$251,survey_frozen!$P$2:$P$251,$A70&amp;"|"&amp;$B70),IFERROR(COUNTIFS(INDIRECT("'"&amp;$A70&amp;"'!$B$2:$B$501"),$T70,INDIRECT("'"&amp;$A70&amp;"'!$A$2:$A$501"),"&gt;="&amp;$I70,INDIRECT("'"&amp;$A70&amp;"'!$A$2:$A$501"),"&lt;"&amp;($BA70+1),INDIRECT("'"&amp;$A70&amp;"'!$E$2:$E$501"),"Yes"),0)))</f>
        <v/>
      </c>
      <c r="AW70" s="25">
        <f>IF(OR($A70="",$I70=""),"",IF($BC70="Y",SUMIFS(survey_frozen!$K$2:$K$251,survey_frozen!$P$2:$P$251,$A70&amp;"|"&amp;$B70),IFERROR(COUNTIFS(INDIRECT("'"&amp;$A70&amp;"'!$B$2:$B$501"),$T70,INDIRECT("'"&amp;$A70&amp;"'!$A$2:$A$501"),"&gt;="&amp;$I70,INDIRECT("'"&amp;$A70&amp;"'!$A$2:$A$501"),"&lt;"&amp;($BA70+1),INDIRECT("'"&amp;$A70&amp;"'!$E$2:$E$501"),"Maybe"),0)))</f>
        <v/>
      </c>
      <c r="AX70" s="25">
        <f>IF(OR($A70="",$I70=""),"",IF($BC70="Y",SUMIFS(survey_frozen!$L$2:$L$251,survey_frozen!$P$2:$P$251,$A70&amp;"|"&amp;$B70),IFERROR(COUNTIFS(INDIRECT("'"&amp;$A70&amp;"'!$B$2:$B$501"),$T70,INDIRECT("'"&amp;$A70&amp;"'!$A$2:$A$501"),"&gt;="&amp;$I70,INDIRECT("'"&amp;$A70&amp;"'!$A$2:$A$501"),"&lt;"&amp;($BA70+1),INDIRECT("'"&amp;$A70&amp;"'!$E$2:$E$501"),"No"),0)))</f>
        <v/>
      </c>
      <c r="AY70" s="25">
        <f>IF(OR($A70="",$I70=""),"",IF($BC70="Y",SUMIFS(survey_frozen!$M$2:$M$251,survey_frozen!$P$2:$P$251,$A70&amp;"|"&amp;$B70),IFERROR(COUNTIFS(INDIRECT("'"&amp;$A70&amp;"'!$B$2:$B$501"),$T70,INDIRECT("'"&amp;$A70&amp;"'!$A$2:$A$501"),"&gt;="&amp;$I70,INDIRECT("'"&amp;$A70&amp;"'!$A$2:$A$501"),"&lt;"&amp;($BA70+1),INDIRECT("'"&amp;$A70&amp;"'!$G$2:$G$501"),"&lt;&gt;"),0)))</f>
        <v/>
      </c>
      <c r="AZ70" s="25">
        <f>IF($A70="","",$A70&amp;"|"&amp;$L70)</f>
        <v/>
      </c>
      <c r="BA70" s="26">
        <f>IF($A70="","",IFERROR(IF(INDEX(drops!$R$2:$R$21,MATCH($H70,drops!$A$2:$A$21,0))="","",INDEX(drops!$R$2:$R$21,MATCH($H70,drops!$A$2:$A$21,0))),""))</f>
        <v/>
      </c>
      <c r="BB70" s="25">
        <f>IF(OR($A70="",$Q70&lt;&gt;"Y"),1000000,N($AL70))</f>
        <v/>
      </c>
      <c r="BC70" s="25">
        <f>IF($A70="","",IF(COUNTIF(survey_frozen!$P$2:$P$251,$A70&amp;"|"&amp;$B70)&gt;0,"Y",""))</f>
        <v/>
      </c>
    </row>
    <row r="71">
      <c r="C71" s="9" t="n"/>
      <c r="E71" s="9" t="n"/>
      <c r="H71" s="25">
        <f>IF($A71="","",IFERROR(IF(INDEX(campaigns!$B$2:$B$51,MATCH($A71,campaigns!$A$2:$A$51,0))="","",INDEX(campaigns!$B$2:$B$51,MATCH($A71,campaigns!$A$2:$A$51,0))),""))</f>
        <v/>
      </c>
      <c r="I71" s="26">
        <f>IF($A71="","",IFERROR(IF(INDEX(campaigns!$BG$2:$BG$51,MATCH($A71,campaigns!$A$2:$A$51,0))="","",INDEX(campaigns!$BG$2:$BG$51,MATCH($A71,campaigns!$A$2:$A$51,0))),""))</f>
        <v/>
      </c>
      <c r="J71" s="25">
        <f>IF($A71="","",IFERROR(IF(INDEX(campaigns!$BE$2:$BE$51,MATCH($A71,campaigns!$A$2:$A$51,0))="","",INDEX(campaigns!$BE$2:$BE$51,MATCH($A71,campaigns!$A$2:$A$51,0))),""))</f>
        <v/>
      </c>
      <c r="K71" s="25">
        <f>IF($B71="","",IFERROR(IF(INDEX(offices!$N$2:$N$61,MATCH($B71,offices!$A$2:$A$61,0))="","",INDEX(offices!$N$2:$N$61,MATCH($B71,offices!$A$2:$A$61,0))),""))</f>
        <v/>
      </c>
      <c r="L71" s="25">
        <f>IF($A71="","",IF($Q71="N","",COUNTIFS($A$2:$A71,$A71,$Q$2:$Q71,"&lt;&gt;N")))</f>
        <v/>
      </c>
      <c r="M71" s="25">
        <f>IF(OR($A71="",$L71=""),"",IF(AND(config!$B$34="names_if_public",IFERROR(IF(INDEX(offices!$AF$2:$AF$61,MATCH($B71,offices!$A$2:$A$61,0))="","",INDEX(offices!$AF$2:$AF$61,MATCH($B71,offices!$A$2:$A$61,0))),"")="Y"),$K71,CHAR(64+$L71)))</f>
        <v/>
      </c>
      <c r="N71" s="25">
        <f>IF(OR($A71="",$I71=""),"",COUNTIFS(stops!$B$2:$B$151,$B71,stops!$P$2:$P$151,"&lt;"&amp;$I71,stops!$L$2:$L$151,"&lt;&gt;not_delivered")+1)</f>
        <v/>
      </c>
      <c r="O71" s="25">
        <f>IF($A71="","",IF(N($N71)&lt;=config!$B$29,"explicit","opt-out"))</f>
        <v/>
      </c>
      <c r="P71" s="25">
        <f>IF($A71="","",IF($O71="explicit",IF($D71="yes","Y",IF($D71="no","N","pending")),IF($D71="no","N",IF(AND($C71&lt;&gt;"",$I71&lt;&gt;"",$C71&lt;=WORKDAY(N($I71),-5,calendar!$A$2:$A$80)),"Y","pending"))))</f>
        <v/>
      </c>
      <c r="Q71" s="25">
        <f>IF($A71="","",IF($P71="N","N",IF($P71&lt;&gt;"Y","pending",IF(AND((COUNTIFS(stops!$A$2:$A$151,$H71,stops!$B$2:$B$151,$B71,stops!$L$2:$L$151,"declined")+COUNTIFS(stops!$A$2:$A$151,$H71,stops!$B$2:$B$151,$B71,stops!$L$2:$L$151,"building_refused")+COUNTIFS(stops!$A$2:$A$151,$H71,stops!$B$2:$B$151,$B71,stops!$L$2:$L$151,"not_delivered"))&gt;0,N($U71)=0),"N","Y"))))</f>
        <v/>
      </c>
      <c r="R71" s="25">
        <f>IF($A71="","",IF(COUNTIFS($A$2:$A$251,$A71,$B$2:$B$251,$B71)&gt;1,"DUPLICATE ROW; ","")&amp;IF(AND(IFERROR(IF(INDEX(offices!$AC$2:$AC$61,MATCH($B71,offices!$A$2:$A$61,0))="","",INDEX(offices!$AC$2:$AC$61,MATCH($B71,offices!$A$2:$A$61,0))),"")&lt;&gt;"",ISNUMBER(SEARCH($J71,IFERROR(IF(INDEX(offices!$AC$2:$AC$61,MATCH($B71,offices!$A$2:$A$61,0))="","",INDEX(offices!$AC$2:$AC$61,MATCH($B71,offices!$A$2:$A$61,0))),"")))),"BRAND VETOED; ","")&amp;IF(ISNUMBER(SEARCH(IFERROR(IF(INDEX(campaigns!$BF$2:$BF$51,MATCH($A71,campaigns!$A$2:$A$51,0))="","",INDEX(campaigns!$BF$2:$BF$51,MATCH($A71,campaigns!$A$2:$A$51,0))),""),IFERROR(IF(INDEX(offices!$AB$2:$AB$61,MATCH($B71,offices!$A$2:$A$61,0))="","",INDEX(offices!$AB$2:$AB$61,MATCH($B71,offices!$A$2:$A$61,0))),""))),"","info: category not on the office's list; ")&amp;IF(IFERROR(IF(INDEX(offices!$AC$2:$AC$61,MATCH($B71,offices!$A$2:$A$61,0))="","",INDEX(offices!$AC$2:$AC$61,MATCH($B71,offices!$A$2:$A$61,0))),"")&lt;&gt;"","info: read the vetoes against the label; ",""))</f>
        <v/>
      </c>
      <c r="S71" s="25">
        <f>IF($A71="","",IF($G71&lt;&gt;"",$G71,IFERROR(IF(INDEX(offices!$AL$2:$AL$61,MATCH($B71,offices!$A$2:$A$61,0))="","",INDEX(offices!$AL$2:$AL$61,MATCH($B71,offices!$A$2:$A$61,0))),"")))</f>
        <v/>
      </c>
      <c r="T71" s="25">
        <f>IF($A71="","",$A71&amp;"."&amp;$B71)</f>
        <v/>
      </c>
      <c r="U71" s="25">
        <f>IF($A71="","",SUMIFS(inventory!$G$2:$G$801,inventory!$C$2:$C$801,$A71,inventory!$D$2:$D$801,$B71,inventory!$E$2:$E$801,"delivered"))</f>
        <v/>
      </c>
      <c r="V71" s="32">
        <f>IF($A71="","",IFERROR(1/(1/SUMPRODUCT(MAX((inventory!$C$2:$C$801=$A71)*(inventory!$D$2:$D$801=$B71)*(inventory!$E$2:$E$801="delivered")*(inventory!$A$2:$A$801+inventory!$B$2:$B$801)))),""))</f>
        <v/>
      </c>
      <c r="W71" s="25">
        <f>IF($A71="","",IFERROR(IF(INDEX(inventory!$J$2:$J$801,MATCH($A71&amp;"|"&amp;$B71&amp;"|delivered",inventory!$R$2:$R$801,0))="","",INDEX(inventory!$J$2:$J$801,MATCH($A71&amp;"|"&amp;$B71&amp;"|delivered",inventory!$R$2:$R$801,0))),""))</f>
        <v/>
      </c>
      <c r="X71" s="25">
        <f>IF($A71="","",IFERROR(IF(INDEX(photos!$H$2:$H$701,MATCH($A71&amp;"|"&amp;$B71&amp;"|placement|Y",photos!$R$2:$R$701,0))="","",INDEX(photos!$H$2:$H$701,MATCH($A71&amp;"|"&amp;$B71&amp;"|placement|Y",photos!$R$2:$R$701,0))),""))</f>
        <v/>
      </c>
      <c r="Y71" s="26">
        <f>IF($A71="","",IFERROR(IF(INDEX(photos!$E$2:$E$701,MATCH($A71&amp;"|"&amp;$B71&amp;"|placement|Y",photos!$R$2:$R$701,0))="","",INDEX(photos!$E$2:$E$701,MATCH($A71&amp;"|"&amp;$B71&amp;"|placement|Y",photos!$R$2:$R$701,0))),""))</f>
        <v/>
      </c>
      <c r="Z71" s="25">
        <f>IF($A71="","",IF(COUNTIFS(counts!$C$2:$C$701,$A71,counts!$D$2:$D$701,$B71,counts!$E$2:$E$701,"placed")=0,"",SUMIFS(counts!$F$2:$F$701,counts!$C$2:$C$701,$A71,counts!$D$2:$D$701,$B71,counts!$E$2:$E$701,"placed")))</f>
        <v/>
      </c>
      <c r="AA71" s="25">
        <f>IF($A71="","",IF($Y71="",0,N($Z71)))</f>
        <v/>
      </c>
      <c r="AB71" s="25">
        <f>IF($A71="","",IF(OR($Y71="",$I71=""),"N",IF($Y71&lt;=WORKDAY(N($I71),1,calendar!$A$2:$A$80),"Y","N")))</f>
        <v/>
      </c>
      <c r="AC71" s="28">
        <f>IF(OR($A71="",$V71="",$Y71=""),"",ROUND(($Y71+N(IFERROR(IF(INDEX(photos!$F$2:$F$701,MATCH($A71&amp;"|"&amp;$B71&amp;"|placement|Y",photos!$R$2:$R$701,0))="","",INDEX(photos!$F$2:$F$701,MATCH($A71&amp;"|"&amp;$B71&amp;"|placement|Y",photos!$R$2:$R$701,0))),""))-$V71)*24,1))</f>
        <v/>
      </c>
      <c r="AD71" s="25">
        <f>IF($A71="","",SUMIFS(inventory!$G$2:$G$801,inventory!$C$2:$C$801,$A71,inventory!$D$2:$D$801,$B71,inventory!$E$2:$E$801,"topped_up"))</f>
        <v/>
      </c>
      <c r="AE71" s="25">
        <f>IF($A71="","",IF(COUNTIFS(counts!$C$2:$C$701,$A71,counts!$D$2:$D$701,$B71,counts!$E$2:$E$701,"remaining_day3")=0,"",SUMIFS(counts!$F$2:$F$701,counts!$C$2:$C$701,$A71,counts!$D$2:$D$701,$B71,counts!$E$2:$E$701,"remaining_day3")))</f>
        <v/>
      </c>
      <c r="AF71" s="25">
        <f>IF($A71="","",IF(COUNTIFS(counts!$C$2:$C$701,$A71,counts!$D$2:$D$701,$B71,counts!$E$2:$E$701,"remaining_day5")=0,"",SUMIFS(counts!$F$2:$F$701,counts!$C$2:$C$701,$A71,counts!$D$2:$D$701,$B71,counts!$E$2:$E$701,"remaining_day5")))</f>
        <v/>
      </c>
      <c r="AG71" s="25">
        <f>IF(OR($A71="",$AF71=""),"",MAX(0,$AA71+$AD71-$AF71))</f>
        <v/>
      </c>
      <c r="AH71" s="25">
        <f>IF(OR($A71="",$AI71=""),"",IFERROR(IF(INDEX(photos!$H$2:$H$701,MATCH($A71&amp;"|"&amp;$B71&amp;"|later|Y|"&amp;$AI71,photos!$S$2:$S$701,0))="","",INDEX(photos!$H$2:$H$701,MATCH($A71&amp;"|"&amp;$B71&amp;"|later|Y|"&amp;$AI71,photos!$S$2:$S$701,0))),""))</f>
        <v/>
      </c>
      <c r="AI71" s="26">
        <f>IF($A71="","",IFERROR(1/(1/SUMPRODUCT(MAX((photos!$B$2:$B$701=$A71)*(photos!$C$2:$C$701=$B71)*(photos!$D$2:$D$701="later")*(photos!$O$2:$O$701="Y")*photos!$E$2:$E$701))),""))</f>
        <v/>
      </c>
      <c r="AJ71" s="25">
        <f>IF(OR($A71="",$AI71="",$I71=""),"",NETWORKDAYS($I71,$AI71,calendar!$A$2:$A$80))</f>
        <v/>
      </c>
      <c r="AK71" s="25">
        <f>IF($A71="","",IF(AND($X71&lt;&gt;"",$AH71&lt;&gt;""),"Y","N"))</f>
        <v/>
      </c>
      <c r="AL71" s="25">
        <f>IF(OR($A71="",$I71=""),"",IF($BC71="Y",SUMIFS(survey_frozen!$C$2:$C$251,survey_frozen!$P$2:$P$251,$A71&amp;"|"&amp;$B71),IFERROR(COUNTIFS(INDIRECT("'"&amp;$A71&amp;"'!$B$2:$B$501"),$T71,INDIRECT("'"&amp;$A71&amp;"'!$A$2:$A$501"),"&gt;="&amp;$I71,INDIRECT("'"&amp;$A71&amp;"'!$A$2:$A$501"),"&lt;"&amp;($BA71+1)),0)))</f>
        <v/>
      </c>
      <c r="AM71" s="25">
        <f>IF(OR($A71="",$I71=""),"",IF($BC71="Y",SUMIFS(survey_frozen!$D$2:$D$251,survey_frozen!$P$2:$P$251,$A71&amp;"|"&amp;$B71),IFERROR(COUNTIFS(INDIRECT("'"&amp;$A71&amp;"'!$B$2:$B$501"),$T71,INDIRECT("'"&amp;$A71&amp;"'!$A$2:$A$501"),"&gt;="&amp;$I71,INDIRECT("'"&amp;$A71&amp;"'!$A$2:$A$501"),"&lt;"&amp;($BA71+1),INDIRECT("'"&amp;$A71&amp;"'!$C$2:$C$501"),"Yes"),0)))</f>
        <v/>
      </c>
      <c r="AN71" s="25">
        <f>IF($A71="","",IF(COUNTIFS(scans!$C$2:$C$1601,(IF(LEFT($A71,7)="SAMPLE-","SAMPLE-","")&amp;LOWER(SUBSTITUTE(SUBSTITUTE($A71,"SAMPLE-",""),"CMP-","c"))&amp;"-"&amp;LOWER(SUBSTITUTE(SUBSTITUTE($B71,"SAMPLE-",""),"O-","o"))&amp;"-q"),scans!$D$2:$D$1601,"close")=0,"",SUMPRODUCT(MAX((scans!$C$2:$C$1601=(IF(LEFT($A71,7)="SAMPLE-","SAMPLE-","")&amp;LOWER(SUBSTITUTE(SUBSTITUTE($A71,"SAMPLE-",""),"CMP-","c"))&amp;"-"&amp;LOWER(SUBSTITUTE(SUBSTITUTE($B71,"SAMPLE-",""),"O-","o"))&amp;"-q"))*(scans!$D$2:$D$1601="close")*scans!$E$2:$E$1601))-SUMPRODUCT(MAX((scans!$C$2:$C$1601=(IF(LEFT($A71,7)="SAMPLE-","SAMPLE-","")&amp;LOWER(SUBSTITUTE(SUBSTITUTE($A71,"SAMPLE-",""),"CMP-","c"))&amp;"-"&amp;LOWER(SUBSTITUTE(SUBSTITUTE($B71,"SAMPLE-",""),"O-","o"))&amp;"-q"))*(scans!$D$2:$D$1601="baseline")*scans!$E$2:$E$1601))))</f>
        <v/>
      </c>
      <c r="AO71" s="25">
        <f>IF($A71="","",IF(COUNTIFS(scans!$C$2:$C$1601,(IF(LEFT($A71,7)="SAMPLE-","SAMPLE-","")&amp;LOWER(SUBSTITUTE(SUBSTITUTE($A71,"SAMPLE-",""),"CMP-","c"))&amp;"-"&amp;LOWER(SUBSTITUTE(SUBSTITUTE($B71,"SAMPLE-",""),"O-","o"))&amp;"-p"),scans!$D$2:$D$1601,"close")=0,"",SUMPRODUCT(MAX((scans!$C$2:$C$1601=(IF(LEFT($A71,7)="SAMPLE-","SAMPLE-","")&amp;LOWER(SUBSTITUTE(SUBSTITUTE($A71,"SAMPLE-",""),"CMP-","c"))&amp;"-"&amp;LOWER(SUBSTITUTE(SUBSTITUTE($B71,"SAMPLE-",""),"O-","o"))&amp;"-p"))*(scans!$D$2:$D$1601="close")*scans!$E$2:$E$1601))-SUMPRODUCT(MAX((scans!$C$2:$C$1601=(IF(LEFT($A71,7)="SAMPLE-","SAMPLE-","")&amp;LOWER(SUBSTITUTE(SUBSTITUTE($A71,"SAMPLE-",""),"CMP-","c"))&amp;"-"&amp;LOWER(SUBSTITUTE(SUBSTITUTE($B71,"SAMPLE-",""),"O-","o"))&amp;"-p"))*(scans!$D$2:$D$1601="baseline")*scans!$E$2:$E$1601))))</f>
        <v/>
      </c>
      <c r="AP71" s="25">
        <f>IF($A71="","",IF(COUNTIF(offices!$A$2:$A$61,$B71)=0,"office_id not on offices; ","")&amp;IF(COUNTIF(campaigns!$A$2:$A$51,$A71)=0,"campaign_id not on campaigns; ","")&amp;IF($P71="pending","approval pending; ","")&amp;IF(AND($U71&gt;0,$Y71="",OR($I71="",IF(config!$B$37&lt;&gt;"",config!$B$37,TODAY())&lt;=WORKDAY(N($I71),4,calendar!$A$2:$A$80))),"no usable placement photo yet; ","")&amp;IF(AND($Y71&lt;&gt;"",$Z71=""),"log the placed count; ","")&amp;IF(N($AA71)&gt;N($U71),"placed more than delivered; ","")&amp;IF(AND($AF71&lt;&gt;"",N($AF71)&gt;N($AA71)+N($AD71)),"day-5 count above placed plus top-ups; ","")&amp;IF(AND($U71&gt;0,$I71&lt;&gt;"",IF(config!$B$37&lt;&gt;"",config!$B$37,TODAY())&gt;WORKDAY(N($I71),4,calendar!$A$2:$A$80),$AF71=""),"day-5 count missing; ","")&amp;IF(AND($U71&gt;0,$I71&lt;&gt;"",IF(config!$B$37&lt;&gt;"",config!$B$37,TODAY())&gt;WORKDAY(N($I71),4,calendar!$A$2:$A$80),$AN71=""),"no close link reading; ","")&amp;$R71&amp;IF($P71="N","info: office said no; ","")&amp;IF(AND($P71="Y",$Q71="N"),"info: turned away at the door, so not on the drop (no letter, not in the report or Gate 2; the credit check is on campaigns); ","")&amp;IF(AND($U71&gt;0,$Y71="",$I71&lt;&gt;"",IF(config!$B$37&lt;&gt;"",config!$B$37,TODAY())&gt;WORKDAY(N($I71),4,calendar!$A$2:$A$80)),"info: no usable placement photo, so nothing counts as placed; ","")&amp;IF(AND($U71&gt;0,$I71&lt;&gt;"",IF(config!$B$37&lt;&gt;"",config!$B$37,TODAY())&gt;WORKDAY(N($I71),4,calendar!$A$2:$A$80),N($AL71)&lt;config!$B$30),"info: under "&amp;config!$B$30&amp;" responses; ","")&amp;IF($W71="packing_list","info: delivered count not verified; ",""))</f>
        <v/>
      </c>
      <c r="AQ71" s="25">
        <f>IF(OR($A71="",$I71=""),"",IF($BC71="Y",SUMIFS(survey_frozen!$E$2:$E$251,survey_frozen!$P$2:$P$251,$A71&amp;"|"&amp;$B71),IFERROR(COUNTIFS(INDIRECT("'"&amp;$A71&amp;"'!$B$2:$B$501"),$T71,INDIRECT("'"&amp;$A71&amp;"'!$A$2:$A$501"),"&gt;="&amp;$I71,INDIRECT("'"&amp;$A71&amp;"'!$A$2:$A$501"),"&lt;"&amp;($BA71+1),INDIRECT("'"&amp;$A71&amp;"'!$F$2:$F$501"),"Didn't see it"),0)))</f>
        <v/>
      </c>
      <c r="AR71" s="25">
        <f>IF(OR($A71="",$I71=""),"",IF($BC71="Y",SUMIFS(survey_frozen!$F$2:$F$251,survey_frozen!$P$2:$P$251,$A71&amp;"|"&amp;$B71),IFERROR(COUNTIFS(INDIRECT("'"&amp;$A71&amp;"'!$B$2:$B$501"),$T71,INDIRECT("'"&amp;$A71&amp;"'!$A$2:$A$501"),"&gt;="&amp;$I71,INDIRECT("'"&amp;$A71&amp;"'!$A$2:$A$501"),"&lt;"&amp;($BA71+1),INDIRECT("'"&amp;$A71&amp;"'!$F$2:$F$501"),"Not for me"),0)))</f>
        <v/>
      </c>
      <c r="AS71" s="25">
        <f>IF(OR($A71="",$I71=""),"",IF($BC71="Y",SUMIFS(survey_frozen!$G$2:$G$251,survey_frozen!$P$2:$P$251,$A71&amp;"|"&amp;$B71),IFERROR(COUNTIFS(INDIRECT("'"&amp;$A71&amp;"'!$B$2:$B$501"),$T71,INDIRECT("'"&amp;$A71&amp;"'!$A$2:$A$501"),"&gt;="&amp;$I71,INDIRECT("'"&amp;$A71&amp;"'!$A$2:$A$501"),"&lt;"&amp;($BA71+1),INDIRECT("'"&amp;$A71&amp;"'!$F$2:$F$501"),"Gone by the time I looked"),0)))</f>
        <v/>
      </c>
      <c r="AT71" s="25">
        <f>IF(OR($A71="",$I71=""),"",IF($BC71="Y",SUMIFS(survey_frozen!$H$2:$H$251,survey_frozen!$P$2:$P$251,$A71&amp;"|"&amp;$B71),IFERROR(COUNTIFS(INDIRECT("'"&amp;$A71&amp;"'!$B$2:$B$501"),$T71,INDIRECT("'"&amp;$A71&amp;"'!$A$2:$A$501"),"&gt;="&amp;$I71,INDIRECT("'"&amp;$A71&amp;"'!$A$2:$A$501"),"&lt;"&amp;($BA71+1),INDIRECT("'"&amp;$A71&amp;"'!$D$2:$D$501"),"&gt;=1"),0)))</f>
        <v/>
      </c>
      <c r="AU71" s="25">
        <f>IF(OR($A71="",$I71=""),"",IF($BC71="Y",SUMIFS(survey_frozen!$I$2:$I$251,survey_frozen!$P$2:$P$251,$A71&amp;"|"&amp;$B71),IFERROR(SUMIFS(INDIRECT("'"&amp;$A71&amp;"'!$D$2:$D$501"),INDIRECT("'"&amp;$A71&amp;"'!$B$2:$B$501"),$T71,INDIRECT("'"&amp;$A71&amp;"'!$A$2:$A$501"),"&gt;="&amp;$I71,INDIRECT("'"&amp;$A71&amp;"'!$A$2:$A$501"),"&lt;"&amp;($BA71+1)),0)))</f>
        <v/>
      </c>
      <c r="AV71" s="25">
        <f>IF(OR($A71="",$I71=""),"",IF($BC71="Y",SUMIFS(survey_frozen!$J$2:$J$251,survey_frozen!$P$2:$P$251,$A71&amp;"|"&amp;$B71),IFERROR(COUNTIFS(INDIRECT("'"&amp;$A71&amp;"'!$B$2:$B$501"),$T71,INDIRECT("'"&amp;$A71&amp;"'!$A$2:$A$501"),"&gt;="&amp;$I71,INDIRECT("'"&amp;$A71&amp;"'!$A$2:$A$501"),"&lt;"&amp;($BA71+1),INDIRECT("'"&amp;$A71&amp;"'!$E$2:$E$501"),"Yes"),0)))</f>
        <v/>
      </c>
      <c r="AW71" s="25">
        <f>IF(OR($A71="",$I71=""),"",IF($BC71="Y",SUMIFS(survey_frozen!$K$2:$K$251,survey_frozen!$P$2:$P$251,$A71&amp;"|"&amp;$B71),IFERROR(COUNTIFS(INDIRECT("'"&amp;$A71&amp;"'!$B$2:$B$501"),$T71,INDIRECT("'"&amp;$A71&amp;"'!$A$2:$A$501"),"&gt;="&amp;$I71,INDIRECT("'"&amp;$A71&amp;"'!$A$2:$A$501"),"&lt;"&amp;($BA71+1),INDIRECT("'"&amp;$A71&amp;"'!$E$2:$E$501"),"Maybe"),0)))</f>
        <v/>
      </c>
      <c r="AX71" s="25">
        <f>IF(OR($A71="",$I71=""),"",IF($BC71="Y",SUMIFS(survey_frozen!$L$2:$L$251,survey_frozen!$P$2:$P$251,$A71&amp;"|"&amp;$B71),IFERROR(COUNTIFS(INDIRECT("'"&amp;$A71&amp;"'!$B$2:$B$501"),$T71,INDIRECT("'"&amp;$A71&amp;"'!$A$2:$A$501"),"&gt;="&amp;$I71,INDIRECT("'"&amp;$A71&amp;"'!$A$2:$A$501"),"&lt;"&amp;($BA71+1),INDIRECT("'"&amp;$A71&amp;"'!$E$2:$E$501"),"No"),0)))</f>
        <v/>
      </c>
      <c r="AY71" s="25">
        <f>IF(OR($A71="",$I71=""),"",IF($BC71="Y",SUMIFS(survey_frozen!$M$2:$M$251,survey_frozen!$P$2:$P$251,$A71&amp;"|"&amp;$B71),IFERROR(COUNTIFS(INDIRECT("'"&amp;$A71&amp;"'!$B$2:$B$501"),$T71,INDIRECT("'"&amp;$A71&amp;"'!$A$2:$A$501"),"&gt;="&amp;$I71,INDIRECT("'"&amp;$A71&amp;"'!$A$2:$A$501"),"&lt;"&amp;($BA71+1),INDIRECT("'"&amp;$A71&amp;"'!$G$2:$G$501"),"&lt;&gt;"),0)))</f>
        <v/>
      </c>
      <c r="AZ71" s="25">
        <f>IF($A71="","",$A71&amp;"|"&amp;$L71)</f>
        <v/>
      </c>
      <c r="BA71" s="26">
        <f>IF($A71="","",IFERROR(IF(INDEX(drops!$R$2:$R$21,MATCH($H71,drops!$A$2:$A$21,0))="","",INDEX(drops!$R$2:$R$21,MATCH($H71,drops!$A$2:$A$21,0))),""))</f>
        <v/>
      </c>
      <c r="BB71" s="25">
        <f>IF(OR($A71="",$Q71&lt;&gt;"Y"),1000000,N($AL71))</f>
        <v/>
      </c>
      <c r="BC71" s="25">
        <f>IF($A71="","",IF(COUNTIF(survey_frozen!$P$2:$P$251,$A71&amp;"|"&amp;$B71)&gt;0,"Y",""))</f>
        <v/>
      </c>
    </row>
    <row r="72">
      <c r="C72" s="9" t="n"/>
      <c r="E72" s="9" t="n"/>
      <c r="H72" s="25">
        <f>IF($A72="","",IFERROR(IF(INDEX(campaigns!$B$2:$B$51,MATCH($A72,campaigns!$A$2:$A$51,0))="","",INDEX(campaigns!$B$2:$B$51,MATCH($A72,campaigns!$A$2:$A$51,0))),""))</f>
        <v/>
      </c>
      <c r="I72" s="26">
        <f>IF($A72="","",IFERROR(IF(INDEX(campaigns!$BG$2:$BG$51,MATCH($A72,campaigns!$A$2:$A$51,0))="","",INDEX(campaigns!$BG$2:$BG$51,MATCH($A72,campaigns!$A$2:$A$51,0))),""))</f>
        <v/>
      </c>
      <c r="J72" s="25">
        <f>IF($A72="","",IFERROR(IF(INDEX(campaigns!$BE$2:$BE$51,MATCH($A72,campaigns!$A$2:$A$51,0))="","",INDEX(campaigns!$BE$2:$BE$51,MATCH($A72,campaigns!$A$2:$A$51,0))),""))</f>
        <v/>
      </c>
      <c r="K72" s="25">
        <f>IF($B72="","",IFERROR(IF(INDEX(offices!$N$2:$N$61,MATCH($B72,offices!$A$2:$A$61,0))="","",INDEX(offices!$N$2:$N$61,MATCH($B72,offices!$A$2:$A$61,0))),""))</f>
        <v/>
      </c>
      <c r="L72" s="25">
        <f>IF($A72="","",IF($Q72="N","",COUNTIFS($A$2:$A72,$A72,$Q$2:$Q72,"&lt;&gt;N")))</f>
        <v/>
      </c>
      <c r="M72" s="25">
        <f>IF(OR($A72="",$L72=""),"",IF(AND(config!$B$34="names_if_public",IFERROR(IF(INDEX(offices!$AF$2:$AF$61,MATCH($B72,offices!$A$2:$A$61,0))="","",INDEX(offices!$AF$2:$AF$61,MATCH($B72,offices!$A$2:$A$61,0))),"")="Y"),$K72,CHAR(64+$L72)))</f>
        <v/>
      </c>
      <c r="N72" s="25">
        <f>IF(OR($A72="",$I72=""),"",COUNTIFS(stops!$B$2:$B$151,$B72,stops!$P$2:$P$151,"&lt;"&amp;$I72,stops!$L$2:$L$151,"&lt;&gt;not_delivered")+1)</f>
        <v/>
      </c>
      <c r="O72" s="25">
        <f>IF($A72="","",IF(N($N72)&lt;=config!$B$29,"explicit","opt-out"))</f>
        <v/>
      </c>
      <c r="P72" s="25">
        <f>IF($A72="","",IF($O72="explicit",IF($D72="yes","Y",IF($D72="no","N","pending")),IF($D72="no","N",IF(AND($C72&lt;&gt;"",$I72&lt;&gt;"",$C72&lt;=WORKDAY(N($I72),-5,calendar!$A$2:$A$80)),"Y","pending"))))</f>
        <v/>
      </c>
      <c r="Q72" s="25">
        <f>IF($A72="","",IF($P72="N","N",IF($P72&lt;&gt;"Y","pending",IF(AND((COUNTIFS(stops!$A$2:$A$151,$H72,stops!$B$2:$B$151,$B72,stops!$L$2:$L$151,"declined")+COUNTIFS(stops!$A$2:$A$151,$H72,stops!$B$2:$B$151,$B72,stops!$L$2:$L$151,"building_refused")+COUNTIFS(stops!$A$2:$A$151,$H72,stops!$B$2:$B$151,$B72,stops!$L$2:$L$151,"not_delivered"))&gt;0,N($U72)=0),"N","Y"))))</f>
        <v/>
      </c>
      <c r="R72" s="25">
        <f>IF($A72="","",IF(COUNTIFS($A$2:$A$251,$A72,$B$2:$B$251,$B72)&gt;1,"DUPLICATE ROW; ","")&amp;IF(AND(IFERROR(IF(INDEX(offices!$AC$2:$AC$61,MATCH($B72,offices!$A$2:$A$61,0))="","",INDEX(offices!$AC$2:$AC$61,MATCH($B72,offices!$A$2:$A$61,0))),"")&lt;&gt;"",ISNUMBER(SEARCH($J72,IFERROR(IF(INDEX(offices!$AC$2:$AC$61,MATCH($B72,offices!$A$2:$A$61,0))="","",INDEX(offices!$AC$2:$AC$61,MATCH($B72,offices!$A$2:$A$61,0))),"")))),"BRAND VETOED; ","")&amp;IF(ISNUMBER(SEARCH(IFERROR(IF(INDEX(campaigns!$BF$2:$BF$51,MATCH($A72,campaigns!$A$2:$A$51,0))="","",INDEX(campaigns!$BF$2:$BF$51,MATCH($A72,campaigns!$A$2:$A$51,0))),""),IFERROR(IF(INDEX(offices!$AB$2:$AB$61,MATCH($B72,offices!$A$2:$A$61,0))="","",INDEX(offices!$AB$2:$AB$61,MATCH($B72,offices!$A$2:$A$61,0))),""))),"","info: category not on the office's list; ")&amp;IF(IFERROR(IF(INDEX(offices!$AC$2:$AC$61,MATCH($B72,offices!$A$2:$A$61,0))="","",INDEX(offices!$AC$2:$AC$61,MATCH($B72,offices!$A$2:$A$61,0))),"")&lt;&gt;"","info: read the vetoes against the label; ",""))</f>
        <v/>
      </c>
      <c r="S72" s="25">
        <f>IF($A72="","",IF($G72&lt;&gt;"",$G72,IFERROR(IF(INDEX(offices!$AL$2:$AL$61,MATCH($B72,offices!$A$2:$A$61,0))="","",INDEX(offices!$AL$2:$AL$61,MATCH($B72,offices!$A$2:$A$61,0))),"")))</f>
        <v/>
      </c>
      <c r="T72" s="25">
        <f>IF($A72="","",$A72&amp;"."&amp;$B72)</f>
        <v/>
      </c>
      <c r="U72" s="25">
        <f>IF($A72="","",SUMIFS(inventory!$G$2:$G$801,inventory!$C$2:$C$801,$A72,inventory!$D$2:$D$801,$B72,inventory!$E$2:$E$801,"delivered"))</f>
        <v/>
      </c>
      <c r="V72" s="32">
        <f>IF($A72="","",IFERROR(1/(1/SUMPRODUCT(MAX((inventory!$C$2:$C$801=$A72)*(inventory!$D$2:$D$801=$B72)*(inventory!$E$2:$E$801="delivered")*(inventory!$A$2:$A$801+inventory!$B$2:$B$801)))),""))</f>
        <v/>
      </c>
      <c r="W72" s="25">
        <f>IF($A72="","",IFERROR(IF(INDEX(inventory!$J$2:$J$801,MATCH($A72&amp;"|"&amp;$B72&amp;"|delivered",inventory!$R$2:$R$801,0))="","",INDEX(inventory!$J$2:$J$801,MATCH($A72&amp;"|"&amp;$B72&amp;"|delivered",inventory!$R$2:$R$801,0))),""))</f>
        <v/>
      </c>
      <c r="X72" s="25">
        <f>IF($A72="","",IFERROR(IF(INDEX(photos!$H$2:$H$701,MATCH($A72&amp;"|"&amp;$B72&amp;"|placement|Y",photos!$R$2:$R$701,0))="","",INDEX(photos!$H$2:$H$701,MATCH($A72&amp;"|"&amp;$B72&amp;"|placement|Y",photos!$R$2:$R$701,0))),""))</f>
        <v/>
      </c>
      <c r="Y72" s="26">
        <f>IF($A72="","",IFERROR(IF(INDEX(photos!$E$2:$E$701,MATCH($A72&amp;"|"&amp;$B72&amp;"|placement|Y",photos!$R$2:$R$701,0))="","",INDEX(photos!$E$2:$E$701,MATCH($A72&amp;"|"&amp;$B72&amp;"|placement|Y",photos!$R$2:$R$701,0))),""))</f>
        <v/>
      </c>
      <c r="Z72" s="25">
        <f>IF($A72="","",IF(COUNTIFS(counts!$C$2:$C$701,$A72,counts!$D$2:$D$701,$B72,counts!$E$2:$E$701,"placed")=0,"",SUMIFS(counts!$F$2:$F$701,counts!$C$2:$C$701,$A72,counts!$D$2:$D$701,$B72,counts!$E$2:$E$701,"placed")))</f>
        <v/>
      </c>
      <c r="AA72" s="25">
        <f>IF($A72="","",IF($Y72="",0,N($Z72)))</f>
        <v/>
      </c>
      <c r="AB72" s="25">
        <f>IF($A72="","",IF(OR($Y72="",$I72=""),"N",IF($Y72&lt;=WORKDAY(N($I72),1,calendar!$A$2:$A$80),"Y","N")))</f>
        <v/>
      </c>
      <c r="AC72" s="28">
        <f>IF(OR($A72="",$V72="",$Y72=""),"",ROUND(($Y72+N(IFERROR(IF(INDEX(photos!$F$2:$F$701,MATCH($A72&amp;"|"&amp;$B72&amp;"|placement|Y",photos!$R$2:$R$701,0))="","",INDEX(photos!$F$2:$F$701,MATCH($A72&amp;"|"&amp;$B72&amp;"|placement|Y",photos!$R$2:$R$701,0))),""))-$V72)*24,1))</f>
        <v/>
      </c>
      <c r="AD72" s="25">
        <f>IF($A72="","",SUMIFS(inventory!$G$2:$G$801,inventory!$C$2:$C$801,$A72,inventory!$D$2:$D$801,$B72,inventory!$E$2:$E$801,"topped_up"))</f>
        <v/>
      </c>
      <c r="AE72" s="25">
        <f>IF($A72="","",IF(COUNTIFS(counts!$C$2:$C$701,$A72,counts!$D$2:$D$701,$B72,counts!$E$2:$E$701,"remaining_day3")=0,"",SUMIFS(counts!$F$2:$F$701,counts!$C$2:$C$701,$A72,counts!$D$2:$D$701,$B72,counts!$E$2:$E$701,"remaining_day3")))</f>
        <v/>
      </c>
      <c r="AF72" s="25">
        <f>IF($A72="","",IF(COUNTIFS(counts!$C$2:$C$701,$A72,counts!$D$2:$D$701,$B72,counts!$E$2:$E$701,"remaining_day5")=0,"",SUMIFS(counts!$F$2:$F$701,counts!$C$2:$C$701,$A72,counts!$D$2:$D$701,$B72,counts!$E$2:$E$701,"remaining_day5")))</f>
        <v/>
      </c>
      <c r="AG72" s="25">
        <f>IF(OR($A72="",$AF72=""),"",MAX(0,$AA72+$AD72-$AF72))</f>
        <v/>
      </c>
      <c r="AH72" s="25">
        <f>IF(OR($A72="",$AI72=""),"",IFERROR(IF(INDEX(photos!$H$2:$H$701,MATCH($A72&amp;"|"&amp;$B72&amp;"|later|Y|"&amp;$AI72,photos!$S$2:$S$701,0))="","",INDEX(photos!$H$2:$H$701,MATCH($A72&amp;"|"&amp;$B72&amp;"|later|Y|"&amp;$AI72,photos!$S$2:$S$701,0))),""))</f>
        <v/>
      </c>
      <c r="AI72" s="26">
        <f>IF($A72="","",IFERROR(1/(1/SUMPRODUCT(MAX((photos!$B$2:$B$701=$A72)*(photos!$C$2:$C$701=$B72)*(photos!$D$2:$D$701="later")*(photos!$O$2:$O$701="Y")*photos!$E$2:$E$701))),""))</f>
        <v/>
      </c>
      <c r="AJ72" s="25">
        <f>IF(OR($A72="",$AI72="",$I72=""),"",NETWORKDAYS($I72,$AI72,calendar!$A$2:$A$80))</f>
        <v/>
      </c>
      <c r="AK72" s="25">
        <f>IF($A72="","",IF(AND($X72&lt;&gt;"",$AH72&lt;&gt;""),"Y","N"))</f>
        <v/>
      </c>
      <c r="AL72" s="25">
        <f>IF(OR($A72="",$I72=""),"",IF($BC72="Y",SUMIFS(survey_frozen!$C$2:$C$251,survey_frozen!$P$2:$P$251,$A72&amp;"|"&amp;$B72),IFERROR(COUNTIFS(INDIRECT("'"&amp;$A72&amp;"'!$B$2:$B$501"),$T72,INDIRECT("'"&amp;$A72&amp;"'!$A$2:$A$501"),"&gt;="&amp;$I72,INDIRECT("'"&amp;$A72&amp;"'!$A$2:$A$501"),"&lt;"&amp;($BA72+1)),0)))</f>
        <v/>
      </c>
      <c r="AM72" s="25">
        <f>IF(OR($A72="",$I72=""),"",IF($BC72="Y",SUMIFS(survey_frozen!$D$2:$D$251,survey_frozen!$P$2:$P$251,$A72&amp;"|"&amp;$B72),IFERROR(COUNTIFS(INDIRECT("'"&amp;$A72&amp;"'!$B$2:$B$501"),$T72,INDIRECT("'"&amp;$A72&amp;"'!$A$2:$A$501"),"&gt;="&amp;$I72,INDIRECT("'"&amp;$A72&amp;"'!$A$2:$A$501"),"&lt;"&amp;($BA72+1),INDIRECT("'"&amp;$A72&amp;"'!$C$2:$C$501"),"Yes"),0)))</f>
        <v/>
      </c>
      <c r="AN72" s="25">
        <f>IF($A72="","",IF(COUNTIFS(scans!$C$2:$C$1601,(IF(LEFT($A72,7)="SAMPLE-","SAMPLE-","")&amp;LOWER(SUBSTITUTE(SUBSTITUTE($A72,"SAMPLE-",""),"CMP-","c"))&amp;"-"&amp;LOWER(SUBSTITUTE(SUBSTITUTE($B72,"SAMPLE-",""),"O-","o"))&amp;"-q"),scans!$D$2:$D$1601,"close")=0,"",SUMPRODUCT(MAX((scans!$C$2:$C$1601=(IF(LEFT($A72,7)="SAMPLE-","SAMPLE-","")&amp;LOWER(SUBSTITUTE(SUBSTITUTE($A72,"SAMPLE-",""),"CMP-","c"))&amp;"-"&amp;LOWER(SUBSTITUTE(SUBSTITUTE($B72,"SAMPLE-",""),"O-","o"))&amp;"-q"))*(scans!$D$2:$D$1601="close")*scans!$E$2:$E$1601))-SUMPRODUCT(MAX((scans!$C$2:$C$1601=(IF(LEFT($A72,7)="SAMPLE-","SAMPLE-","")&amp;LOWER(SUBSTITUTE(SUBSTITUTE($A72,"SAMPLE-",""),"CMP-","c"))&amp;"-"&amp;LOWER(SUBSTITUTE(SUBSTITUTE($B72,"SAMPLE-",""),"O-","o"))&amp;"-q"))*(scans!$D$2:$D$1601="baseline")*scans!$E$2:$E$1601))))</f>
        <v/>
      </c>
      <c r="AO72" s="25">
        <f>IF($A72="","",IF(COUNTIFS(scans!$C$2:$C$1601,(IF(LEFT($A72,7)="SAMPLE-","SAMPLE-","")&amp;LOWER(SUBSTITUTE(SUBSTITUTE($A72,"SAMPLE-",""),"CMP-","c"))&amp;"-"&amp;LOWER(SUBSTITUTE(SUBSTITUTE($B72,"SAMPLE-",""),"O-","o"))&amp;"-p"),scans!$D$2:$D$1601,"close")=0,"",SUMPRODUCT(MAX((scans!$C$2:$C$1601=(IF(LEFT($A72,7)="SAMPLE-","SAMPLE-","")&amp;LOWER(SUBSTITUTE(SUBSTITUTE($A72,"SAMPLE-",""),"CMP-","c"))&amp;"-"&amp;LOWER(SUBSTITUTE(SUBSTITUTE($B72,"SAMPLE-",""),"O-","o"))&amp;"-p"))*(scans!$D$2:$D$1601="close")*scans!$E$2:$E$1601))-SUMPRODUCT(MAX((scans!$C$2:$C$1601=(IF(LEFT($A72,7)="SAMPLE-","SAMPLE-","")&amp;LOWER(SUBSTITUTE(SUBSTITUTE($A72,"SAMPLE-",""),"CMP-","c"))&amp;"-"&amp;LOWER(SUBSTITUTE(SUBSTITUTE($B72,"SAMPLE-",""),"O-","o"))&amp;"-p"))*(scans!$D$2:$D$1601="baseline")*scans!$E$2:$E$1601))))</f>
        <v/>
      </c>
      <c r="AP72" s="25">
        <f>IF($A72="","",IF(COUNTIF(offices!$A$2:$A$61,$B72)=0,"office_id not on offices; ","")&amp;IF(COUNTIF(campaigns!$A$2:$A$51,$A72)=0,"campaign_id not on campaigns; ","")&amp;IF($P72="pending","approval pending; ","")&amp;IF(AND($U72&gt;0,$Y72="",OR($I72="",IF(config!$B$37&lt;&gt;"",config!$B$37,TODAY())&lt;=WORKDAY(N($I72),4,calendar!$A$2:$A$80))),"no usable placement photo yet; ","")&amp;IF(AND($Y72&lt;&gt;"",$Z72=""),"log the placed count; ","")&amp;IF(N($AA72)&gt;N($U72),"placed more than delivered; ","")&amp;IF(AND($AF72&lt;&gt;"",N($AF72)&gt;N($AA72)+N($AD72)),"day-5 count above placed plus top-ups; ","")&amp;IF(AND($U72&gt;0,$I72&lt;&gt;"",IF(config!$B$37&lt;&gt;"",config!$B$37,TODAY())&gt;WORKDAY(N($I72),4,calendar!$A$2:$A$80),$AF72=""),"day-5 count missing; ","")&amp;IF(AND($U72&gt;0,$I72&lt;&gt;"",IF(config!$B$37&lt;&gt;"",config!$B$37,TODAY())&gt;WORKDAY(N($I72),4,calendar!$A$2:$A$80),$AN72=""),"no close link reading; ","")&amp;$R72&amp;IF($P72="N","info: office said no; ","")&amp;IF(AND($P72="Y",$Q72="N"),"info: turned away at the door, so not on the drop (no letter, not in the report or Gate 2; the credit check is on campaigns); ","")&amp;IF(AND($U72&gt;0,$Y72="",$I72&lt;&gt;"",IF(config!$B$37&lt;&gt;"",config!$B$37,TODAY())&gt;WORKDAY(N($I72),4,calendar!$A$2:$A$80)),"info: no usable placement photo, so nothing counts as placed; ","")&amp;IF(AND($U72&gt;0,$I72&lt;&gt;"",IF(config!$B$37&lt;&gt;"",config!$B$37,TODAY())&gt;WORKDAY(N($I72),4,calendar!$A$2:$A$80),N($AL72)&lt;config!$B$30),"info: under "&amp;config!$B$30&amp;" responses; ","")&amp;IF($W72="packing_list","info: delivered count not verified; ",""))</f>
        <v/>
      </c>
      <c r="AQ72" s="25">
        <f>IF(OR($A72="",$I72=""),"",IF($BC72="Y",SUMIFS(survey_frozen!$E$2:$E$251,survey_frozen!$P$2:$P$251,$A72&amp;"|"&amp;$B72),IFERROR(COUNTIFS(INDIRECT("'"&amp;$A72&amp;"'!$B$2:$B$501"),$T72,INDIRECT("'"&amp;$A72&amp;"'!$A$2:$A$501"),"&gt;="&amp;$I72,INDIRECT("'"&amp;$A72&amp;"'!$A$2:$A$501"),"&lt;"&amp;($BA72+1),INDIRECT("'"&amp;$A72&amp;"'!$F$2:$F$501"),"Didn't see it"),0)))</f>
        <v/>
      </c>
      <c r="AR72" s="25">
        <f>IF(OR($A72="",$I72=""),"",IF($BC72="Y",SUMIFS(survey_frozen!$F$2:$F$251,survey_frozen!$P$2:$P$251,$A72&amp;"|"&amp;$B72),IFERROR(COUNTIFS(INDIRECT("'"&amp;$A72&amp;"'!$B$2:$B$501"),$T72,INDIRECT("'"&amp;$A72&amp;"'!$A$2:$A$501"),"&gt;="&amp;$I72,INDIRECT("'"&amp;$A72&amp;"'!$A$2:$A$501"),"&lt;"&amp;($BA72+1),INDIRECT("'"&amp;$A72&amp;"'!$F$2:$F$501"),"Not for me"),0)))</f>
        <v/>
      </c>
      <c r="AS72" s="25">
        <f>IF(OR($A72="",$I72=""),"",IF($BC72="Y",SUMIFS(survey_frozen!$G$2:$G$251,survey_frozen!$P$2:$P$251,$A72&amp;"|"&amp;$B72),IFERROR(COUNTIFS(INDIRECT("'"&amp;$A72&amp;"'!$B$2:$B$501"),$T72,INDIRECT("'"&amp;$A72&amp;"'!$A$2:$A$501"),"&gt;="&amp;$I72,INDIRECT("'"&amp;$A72&amp;"'!$A$2:$A$501"),"&lt;"&amp;($BA72+1),INDIRECT("'"&amp;$A72&amp;"'!$F$2:$F$501"),"Gone by the time I looked"),0)))</f>
        <v/>
      </c>
      <c r="AT72" s="25">
        <f>IF(OR($A72="",$I72=""),"",IF($BC72="Y",SUMIFS(survey_frozen!$H$2:$H$251,survey_frozen!$P$2:$P$251,$A72&amp;"|"&amp;$B72),IFERROR(COUNTIFS(INDIRECT("'"&amp;$A72&amp;"'!$B$2:$B$501"),$T72,INDIRECT("'"&amp;$A72&amp;"'!$A$2:$A$501"),"&gt;="&amp;$I72,INDIRECT("'"&amp;$A72&amp;"'!$A$2:$A$501"),"&lt;"&amp;($BA72+1),INDIRECT("'"&amp;$A72&amp;"'!$D$2:$D$501"),"&gt;=1"),0)))</f>
        <v/>
      </c>
      <c r="AU72" s="25">
        <f>IF(OR($A72="",$I72=""),"",IF($BC72="Y",SUMIFS(survey_frozen!$I$2:$I$251,survey_frozen!$P$2:$P$251,$A72&amp;"|"&amp;$B72),IFERROR(SUMIFS(INDIRECT("'"&amp;$A72&amp;"'!$D$2:$D$501"),INDIRECT("'"&amp;$A72&amp;"'!$B$2:$B$501"),$T72,INDIRECT("'"&amp;$A72&amp;"'!$A$2:$A$501"),"&gt;="&amp;$I72,INDIRECT("'"&amp;$A72&amp;"'!$A$2:$A$501"),"&lt;"&amp;($BA72+1)),0)))</f>
        <v/>
      </c>
      <c r="AV72" s="25">
        <f>IF(OR($A72="",$I72=""),"",IF($BC72="Y",SUMIFS(survey_frozen!$J$2:$J$251,survey_frozen!$P$2:$P$251,$A72&amp;"|"&amp;$B72),IFERROR(COUNTIFS(INDIRECT("'"&amp;$A72&amp;"'!$B$2:$B$501"),$T72,INDIRECT("'"&amp;$A72&amp;"'!$A$2:$A$501"),"&gt;="&amp;$I72,INDIRECT("'"&amp;$A72&amp;"'!$A$2:$A$501"),"&lt;"&amp;($BA72+1),INDIRECT("'"&amp;$A72&amp;"'!$E$2:$E$501"),"Yes"),0)))</f>
        <v/>
      </c>
      <c r="AW72" s="25">
        <f>IF(OR($A72="",$I72=""),"",IF($BC72="Y",SUMIFS(survey_frozen!$K$2:$K$251,survey_frozen!$P$2:$P$251,$A72&amp;"|"&amp;$B72),IFERROR(COUNTIFS(INDIRECT("'"&amp;$A72&amp;"'!$B$2:$B$501"),$T72,INDIRECT("'"&amp;$A72&amp;"'!$A$2:$A$501"),"&gt;="&amp;$I72,INDIRECT("'"&amp;$A72&amp;"'!$A$2:$A$501"),"&lt;"&amp;($BA72+1),INDIRECT("'"&amp;$A72&amp;"'!$E$2:$E$501"),"Maybe"),0)))</f>
        <v/>
      </c>
      <c r="AX72" s="25">
        <f>IF(OR($A72="",$I72=""),"",IF($BC72="Y",SUMIFS(survey_frozen!$L$2:$L$251,survey_frozen!$P$2:$P$251,$A72&amp;"|"&amp;$B72),IFERROR(COUNTIFS(INDIRECT("'"&amp;$A72&amp;"'!$B$2:$B$501"),$T72,INDIRECT("'"&amp;$A72&amp;"'!$A$2:$A$501"),"&gt;="&amp;$I72,INDIRECT("'"&amp;$A72&amp;"'!$A$2:$A$501"),"&lt;"&amp;($BA72+1),INDIRECT("'"&amp;$A72&amp;"'!$E$2:$E$501"),"No"),0)))</f>
        <v/>
      </c>
      <c r="AY72" s="25">
        <f>IF(OR($A72="",$I72=""),"",IF($BC72="Y",SUMIFS(survey_frozen!$M$2:$M$251,survey_frozen!$P$2:$P$251,$A72&amp;"|"&amp;$B72),IFERROR(COUNTIFS(INDIRECT("'"&amp;$A72&amp;"'!$B$2:$B$501"),$T72,INDIRECT("'"&amp;$A72&amp;"'!$A$2:$A$501"),"&gt;="&amp;$I72,INDIRECT("'"&amp;$A72&amp;"'!$A$2:$A$501"),"&lt;"&amp;($BA72+1),INDIRECT("'"&amp;$A72&amp;"'!$G$2:$G$501"),"&lt;&gt;"),0)))</f>
        <v/>
      </c>
      <c r="AZ72" s="25">
        <f>IF($A72="","",$A72&amp;"|"&amp;$L72)</f>
        <v/>
      </c>
      <c r="BA72" s="26">
        <f>IF($A72="","",IFERROR(IF(INDEX(drops!$R$2:$R$21,MATCH($H72,drops!$A$2:$A$21,0))="","",INDEX(drops!$R$2:$R$21,MATCH($H72,drops!$A$2:$A$21,0))),""))</f>
        <v/>
      </c>
      <c r="BB72" s="25">
        <f>IF(OR($A72="",$Q72&lt;&gt;"Y"),1000000,N($AL72))</f>
        <v/>
      </c>
      <c r="BC72" s="25">
        <f>IF($A72="","",IF(COUNTIF(survey_frozen!$P$2:$P$251,$A72&amp;"|"&amp;$B72)&gt;0,"Y",""))</f>
        <v/>
      </c>
    </row>
    <row r="73">
      <c r="C73" s="9" t="n"/>
      <c r="E73" s="9" t="n"/>
      <c r="H73" s="25">
        <f>IF($A73="","",IFERROR(IF(INDEX(campaigns!$B$2:$B$51,MATCH($A73,campaigns!$A$2:$A$51,0))="","",INDEX(campaigns!$B$2:$B$51,MATCH($A73,campaigns!$A$2:$A$51,0))),""))</f>
        <v/>
      </c>
      <c r="I73" s="26">
        <f>IF($A73="","",IFERROR(IF(INDEX(campaigns!$BG$2:$BG$51,MATCH($A73,campaigns!$A$2:$A$51,0))="","",INDEX(campaigns!$BG$2:$BG$51,MATCH($A73,campaigns!$A$2:$A$51,0))),""))</f>
        <v/>
      </c>
      <c r="J73" s="25">
        <f>IF($A73="","",IFERROR(IF(INDEX(campaigns!$BE$2:$BE$51,MATCH($A73,campaigns!$A$2:$A$51,0))="","",INDEX(campaigns!$BE$2:$BE$51,MATCH($A73,campaigns!$A$2:$A$51,0))),""))</f>
        <v/>
      </c>
      <c r="K73" s="25">
        <f>IF($B73="","",IFERROR(IF(INDEX(offices!$N$2:$N$61,MATCH($B73,offices!$A$2:$A$61,0))="","",INDEX(offices!$N$2:$N$61,MATCH($B73,offices!$A$2:$A$61,0))),""))</f>
        <v/>
      </c>
      <c r="L73" s="25">
        <f>IF($A73="","",IF($Q73="N","",COUNTIFS($A$2:$A73,$A73,$Q$2:$Q73,"&lt;&gt;N")))</f>
        <v/>
      </c>
      <c r="M73" s="25">
        <f>IF(OR($A73="",$L73=""),"",IF(AND(config!$B$34="names_if_public",IFERROR(IF(INDEX(offices!$AF$2:$AF$61,MATCH($B73,offices!$A$2:$A$61,0))="","",INDEX(offices!$AF$2:$AF$61,MATCH($B73,offices!$A$2:$A$61,0))),"")="Y"),$K73,CHAR(64+$L73)))</f>
        <v/>
      </c>
      <c r="N73" s="25">
        <f>IF(OR($A73="",$I73=""),"",COUNTIFS(stops!$B$2:$B$151,$B73,stops!$P$2:$P$151,"&lt;"&amp;$I73,stops!$L$2:$L$151,"&lt;&gt;not_delivered")+1)</f>
        <v/>
      </c>
      <c r="O73" s="25">
        <f>IF($A73="","",IF(N($N73)&lt;=config!$B$29,"explicit","opt-out"))</f>
        <v/>
      </c>
      <c r="P73" s="25">
        <f>IF($A73="","",IF($O73="explicit",IF($D73="yes","Y",IF($D73="no","N","pending")),IF($D73="no","N",IF(AND($C73&lt;&gt;"",$I73&lt;&gt;"",$C73&lt;=WORKDAY(N($I73),-5,calendar!$A$2:$A$80)),"Y","pending"))))</f>
        <v/>
      </c>
      <c r="Q73" s="25">
        <f>IF($A73="","",IF($P73="N","N",IF($P73&lt;&gt;"Y","pending",IF(AND((COUNTIFS(stops!$A$2:$A$151,$H73,stops!$B$2:$B$151,$B73,stops!$L$2:$L$151,"declined")+COUNTIFS(stops!$A$2:$A$151,$H73,stops!$B$2:$B$151,$B73,stops!$L$2:$L$151,"building_refused")+COUNTIFS(stops!$A$2:$A$151,$H73,stops!$B$2:$B$151,$B73,stops!$L$2:$L$151,"not_delivered"))&gt;0,N($U73)=0),"N","Y"))))</f>
        <v/>
      </c>
      <c r="R73" s="25">
        <f>IF($A73="","",IF(COUNTIFS($A$2:$A$251,$A73,$B$2:$B$251,$B73)&gt;1,"DUPLICATE ROW; ","")&amp;IF(AND(IFERROR(IF(INDEX(offices!$AC$2:$AC$61,MATCH($B73,offices!$A$2:$A$61,0))="","",INDEX(offices!$AC$2:$AC$61,MATCH($B73,offices!$A$2:$A$61,0))),"")&lt;&gt;"",ISNUMBER(SEARCH($J73,IFERROR(IF(INDEX(offices!$AC$2:$AC$61,MATCH($B73,offices!$A$2:$A$61,0))="","",INDEX(offices!$AC$2:$AC$61,MATCH($B73,offices!$A$2:$A$61,0))),"")))),"BRAND VETOED; ","")&amp;IF(ISNUMBER(SEARCH(IFERROR(IF(INDEX(campaigns!$BF$2:$BF$51,MATCH($A73,campaigns!$A$2:$A$51,0))="","",INDEX(campaigns!$BF$2:$BF$51,MATCH($A73,campaigns!$A$2:$A$51,0))),""),IFERROR(IF(INDEX(offices!$AB$2:$AB$61,MATCH($B73,offices!$A$2:$A$61,0))="","",INDEX(offices!$AB$2:$AB$61,MATCH($B73,offices!$A$2:$A$61,0))),""))),"","info: category not on the office's list; ")&amp;IF(IFERROR(IF(INDEX(offices!$AC$2:$AC$61,MATCH($B73,offices!$A$2:$A$61,0))="","",INDEX(offices!$AC$2:$AC$61,MATCH($B73,offices!$A$2:$A$61,0))),"")&lt;&gt;"","info: read the vetoes against the label; ",""))</f>
        <v/>
      </c>
      <c r="S73" s="25">
        <f>IF($A73="","",IF($G73&lt;&gt;"",$G73,IFERROR(IF(INDEX(offices!$AL$2:$AL$61,MATCH($B73,offices!$A$2:$A$61,0))="","",INDEX(offices!$AL$2:$AL$61,MATCH($B73,offices!$A$2:$A$61,0))),"")))</f>
        <v/>
      </c>
      <c r="T73" s="25">
        <f>IF($A73="","",$A73&amp;"."&amp;$B73)</f>
        <v/>
      </c>
      <c r="U73" s="25">
        <f>IF($A73="","",SUMIFS(inventory!$G$2:$G$801,inventory!$C$2:$C$801,$A73,inventory!$D$2:$D$801,$B73,inventory!$E$2:$E$801,"delivered"))</f>
        <v/>
      </c>
      <c r="V73" s="32">
        <f>IF($A73="","",IFERROR(1/(1/SUMPRODUCT(MAX((inventory!$C$2:$C$801=$A73)*(inventory!$D$2:$D$801=$B73)*(inventory!$E$2:$E$801="delivered")*(inventory!$A$2:$A$801+inventory!$B$2:$B$801)))),""))</f>
        <v/>
      </c>
      <c r="W73" s="25">
        <f>IF($A73="","",IFERROR(IF(INDEX(inventory!$J$2:$J$801,MATCH($A73&amp;"|"&amp;$B73&amp;"|delivered",inventory!$R$2:$R$801,0))="","",INDEX(inventory!$J$2:$J$801,MATCH($A73&amp;"|"&amp;$B73&amp;"|delivered",inventory!$R$2:$R$801,0))),""))</f>
        <v/>
      </c>
      <c r="X73" s="25">
        <f>IF($A73="","",IFERROR(IF(INDEX(photos!$H$2:$H$701,MATCH($A73&amp;"|"&amp;$B73&amp;"|placement|Y",photos!$R$2:$R$701,0))="","",INDEX(photos!$H$2:$H$701,MATCH($A73&amp;"|"&amp;$B73&amp;"|placement|Y",photos!$R$2:$R$701,0))),""))</f>
        <v/>
      </c>
      <c r="Y73" s="26">
        <f>IF($A73="","",IFERROR(IF(INDEX(photos!$E$2:$E$701,MATCH($A73&amp;"|"&amp;$B73&amp;"|placement|Y",photos!$R$2:$R$701,0))="","",INDEX(photos!$E$2:$E$701,MATCH($A73&amp;"|"&amp;$B73&amp;"|placement|Y",photos!$R$2:$R$701,0))),""))</f>
        <v/>
      </c>
      <c r="Z73" s="25">
        <f>IF($A73="","",IF(COUNTIFS(counts!$C$2:$C$701,$A73,counts!$D$2:$D$701,$B73,counts!$E$2:$E$701,"placed")=0,"",SUMIFS(counts!$F$2:$F$701,counts!$C$2:$C$701,$A73,counts!$D$2:$D$701,$B73,counts!$E$2:$E$701,"placed")))</f>
        <v/>
      </c>
      <c r="AA73" s="25">
        <f>IF($A73="","",IF($Y73="",0,N($Z73)))</f>
        <v/>
      </c>
      <c r="AB73" s="25">
        <f>IF($A73="","",IF(OR($Y73="",$I73=""),"N",IF($Y73&lt;=WORKDAY(N($I73),1,calendar!$A$2:$A$80),"Y","N")))</f>
        <v/>
      </c>
      <c r="AC73" s="28">
        <f>IF(OR($A73="",$V73="",$Y73=""),"",ROUND(($Y73+N(IFERROR(IF(INDEX(photos!$F$2:$F$701,MATCH($A73&amp;"|"&amp;$B73&amp;"|placement|Y",photos!$R$2:$R$701,0))="","",INDEX(photos!$F$2:$F$701,MATCH($A73&amp;"|"&amp;$B73&amp;"|placement|Y",photos!$R$2:$R$701,0))),""))-$V73)*24,1))</f>
        <v/>
      </c>
      <c r="AD73" s="25">
        <f>IF($A73="","",SUMIFS(inventory!$G$2:$G$801,inventory!$C$2:$C$801,$A73,inventory!$D$2:$D$801,$B73,inventory!$E$2:$E$801,"topped_up"))</f>
        <v/>
      </c>
      <c r="AE73" s="25">
        <f>IF($A73="","",IF(COUNTIFS(counts!$C$2:$C$701,$A73,counts!$D$2:$D$701,$B73,counts!$E$2:$E$701,"remaining_day3")=0,"",SUMIFS(counts!$F$2:$F$701,counts!$C$2:$C$701,$A73,counts!$D$2:$D$701,$B73,counts!$E$2:$E$701,"remaining_day3")))</f>
        <v/>
      </c>
      <c r="AF73" s="25">
        <f>IF($A73="","",IF(COUNTIFS(counts!$C$2:$C$701,$A73,counts!$D$2:$D$701,$B73,counts!$E$2:$E$701,"remaining_day5")=0,"",SUMIFS(counts!$F$2:$F$701,counts!$C$2:$C$701,$A73,counts!$D$2:$D$701,$B73,counts!$E$2:$E$701,"remaining_day5")))</f>
        <v/>
      </c>
      <c r="AG73" s="25">
        <f>IF(OR($A73="",$AF73=""),"",MAX(0,$AA73+$AD73-$AF73))</f>
        <v/>
      </c>
      <c r="AH73" s="25">
        <f>IF(OR($A73="",$AI73=""),"",IFERROR(IF(INDEX(photos!$H$2:$H$701,MATCH($A73&amp;"|"&amp;$B73&amp;"|later|Y|"&amp;$AI73,photos!$S$2:$S$701,0))="","",INDEX(photos!$H$2:$H$701,MATCH($A73&amp;"|"&amp;$B73&amp;"|later|Y|"&amp;$AI73,photos!$S$2:$S$701,0))),""))</f>
        <v/>
      </c>
      <c r="AI73" s="26">
        <f>IF($A73="","",IFERROR(1/(1/SUMPRODUCT(MAX((photos!$B$2:$B$701=$A73)*(photos!$C$2:$C$701=$B73)*(photos!$D$2:$D$701="later")*(photos!$O$2:$O$701="Y")*photos!$E$2:$E$701))),""))</f>
        <v/>
      </c>
      <c r="AJ73" s="25">
        <f>IF(OR($A73="",$AI73="",$I73=""),"",NETWORKDAYS($I73,$AI73,calendar!$A$2:$A$80))</f>
        <v/>
      </c>
      <c r="AK73" s="25">
        <f>IF($A73="","",IF(AND($X73&lt;&gt;"",$AH73&lt;&gt;""),"Y","N"))</f>
        <v/>
      </c>
      <c r="AL73" s="25">
        <f>IF(OR($A73="",$I73=""),"",IF($BC73="Y",SUMIFS(survey_frozen!$C$2:$C$251,survey_frozen!$P$2:$P$251,$A73&amp;"|"&amp;$B73),IFERROR(COUNTIFS(INDIRECT("'"&amp;$A73&amp;"'!$B$2:$B$501"),$T73,INDIRECT("'"&amp;$A73&amp;"'!$A$2:$A$501"),"&gt;="&amp;$I73,INDIRECT("'"&amp;$A73&amp;"'!$A$2:$A$501"),"&lt;"&amp;($BA73+1)),0)))</f>
        <v/>
      </c>
      <c r="AM73" s="25">
        <f>IF(OR($A73="",$I73=""),"",IF($BC73="Y",SUMIFS(survey_frozen!$D$2:$D$251,survey_frozen!$P$2:$P$251,$A73&amp;"|"&amp;$B73),IFERROR(COUNTIFS(INDIRECT("'"&amp;$A73&amp;"'!$B$2:$B$501"),$T73,INDIRECT("'"&amp;$A73&amp;"'!$A$2:$A$501"),"&gt;="&amp;$I73,INDIRECT("'"&amp;$A73&amp;"'!$A$2:$A$501"),"&lt;"&amp;($BA73+1),INDIRECT("'"&amp;$A73&amp;"'!$C$2:$C$501"),"Yes"),0)))</f>
        <v/>
      </c>
      <c r="AN73" s="25">
        <f>IF($A73="","",IF(COUNTIFS(scans!$C$2:$C$1601,(IF(LEFT($A73,7)="SAMPLE-","SAMPLE-","")&amp;LOWER(SUBSTITUTE(SUBSTITUTE($A73,"SAMPLE-",""),"CMP-","c"))&amp;"-"&amp;LOWER(SUBSTITUTE(SUBSTITUTE($B73,"SAMPLE-",""),"O-","o"))&amp;"-q"),scans!$D$2:$D$1601,"close")=0,"",SUMPRODUCT(MAX((scans!$C$2:$C$1601=(IF(LEFT($A73,7)="SAMPLE-","SAMPLE-","")&amp;LOWER(SUBSTITUTE(SUBSTITUTE($A73,"SAMPLE-",""),"CMP-","c"))&amp;"-"&amp;LOWER(SUBSTITUTE(SUBSTITUTE($B73,"SAMPLE-",""),"O-","o"))&amp;"-q"))*(scans!$D$2:$D$1601="close")*scans!$E$2:$E$1601))-SUMPRODUCT(MAX((scans!$C$2:$C$1601=(IF(LEFT($A73,7)="SAMPLE-","SAMPLE-","")&amp;LOWER(SUBSTITUTE(SUBSTITUTE($A73,"SAMPLE-",""),"CMP-","c"))&amp;"-"&amp;LOWER(SUBSTITUTE(SUBSTITUTE($B73,"SAMPLE-",""),"O-","o"))&amp;"-q"))*(scans!$D$2:$D$1601="baseline")*scans!$E$2:$E$1601))))</f>
        <v/>
      </c>
      <c r="AO73" s="25">
        <f>IF($A73="","",IF(COUNTIFS(scans!$C$2:$C$1601,(IF(LEFT($A73,7)="SAMPLE-","SAMPLE-","")&amp;LOWER(SUBSTITUTE(SUBSTITUTE($A73,"SAMPLE-",""),"CMP-","c"))&amp;"-"&amp;LOWER(SUBSTITUTE(SUBSTITUTE($B73,"SAMPLE-",""),"O-","o"))&amp;"-p"),scans!$D$2:$D$1601,"close")=0,"",SUMPRODUCT(MAX((scans!$C$2:$C$1601=(IF(LEFT($A73,7)="SAMPLE-","SAMPLE-","")&amp;LOWER(SUBSTITUTE(SUBSTITUTE($A73,"SAMPLE-",""),"CMP-","c"))&amp;"-"&amp;LOWER(SUBSTITUTE(SUBSTITUTE($B73,"SAMPLE-",""),"O-","o"))&amp;"-p"))*(scans!$D$2:$D$1601="close")*scans!$E$2:$E$1601))-SUMPRODUCT(MAX((scans!$C$2:$C$1601=(IF(LEFT($A73,7)="SAMPLE-","SAMPLE-","")&amp;LOWER(SUBSTITUTE(SUBSTITUTE($A73,"SAMPLE-",""),"CMP-","c"))&amp;"-"&amp;LOWER(SUBSTITUTE(SUBSTITUTE($B73,"SAMPLE-",""),"O-","o"))&amp;"-p"))*(scans!$D$2:$D$1601="baseline")*scans!$E$2:$E$1601))))</f>
        <v/>
      </c>
      <c r="AP73" s="25">
        <f>IF($A73="","",IF(COUNTIF(offices!$A$2:$A$61,$B73)=0,"office_id not on offices; ","")&amp;IF(COUNTIF(campaigns!$A$2:$A$51,$A73)=0,"campaign_id not on campaigns; ","")&amp;IF($P73="pending","approval pending; ","")&amp;IF(AND($U73&gt;0,$Y73="",OR($I73="",IF(config!$B$37&lt;&gt;"",config!$B$37,TODAY())&lt;=WORKDAY(N($I73),4,calendar!$A$2:$A$80))),"no usable placement photo yet; ","")&amp;IF(AND($Y73&lt;&gt;"",$Z73=""),"log the placed count; ","")&amp;IF(N($AA73)&gt;N($U73),"placed more than delivered; ","")&amp;IF(AND($AF73&lt;&gt;"",N($AF73)&gt;N($AA73)+N($AD73)),"day-5 count above placed plus top-ups; ","")&amp;IF(AND($U73&gt;0,$I73&lt;&gt;"",IF(config!$B$37&lt;&gt;"",config!$B$37,TODAY())&gt;WORKDAY(N($I73),4,calendar!$A$2:$A$80),$AF73=""),"day-5 count missing; ","")&amp;IF(AND($U73&gt;0,$I73&lt;&gt;"",IF(config!$B$37&lt;&gt;"",config!$B$37,TODAY())&gt;WORKDAY(N($I73),4,calendar!$A$2:$A$80),$AN73=""),"no close link reading; ","")&amp;$R73&amp;IF($P73="N","info: office said no; ","")&amp;IF(AND($P73="Y",$Q73="N"),"info: turned away at the door, so not on the drop (no letter, not in the report or Gate 2; the credit check is on campaigns); ","")&amp;IF(AND($U73&gt;0,$Y73="",$I73&lt;&gt;"",IF(config!$B$37&lt;&gt;"",config!$B$37,TODAY())&gt;WORKDAY(N($I73),4,calendar!$A$2:$A$80)),"info: no usable placement photo, so nothing counts as placed; ","")&amp;IF(AND($U73&gt;0,$I73&lt;&gt;"",IF(config!$B$37&lt;&gt;"",config!$B$37,TODAY())&gt;WORKDAY(N($I73),4,calendar!$A$2:$A$80),N($AL73)&lt;config!$B$30),"info: under "&amp;config!$B$30&amp;" responses; ","")&amp;IF($W73="packing_list","info: delivered count not verified; ",""))</f>
        <v/>
      </c>
      <c r="AQ73" s="25">
        <f>IF(OR($A73="",$I73=""),"",IF($BC73="Y",SUMIFS(survey_frozen!$E$2:$E$251,survey_frozen!$P$2:$P$251,$A73&amp;"|"&amp;$B73),IFERROR(COUNTIFS(INDIRECT("'"&amp;$A73&amp;"'!$B$2:$B$501"),$T73,INDIRECT("'"&amp;$A73&amp;"'!$A$2:$A$501"),"&gt;="&amp;$I73,INDIRECT("'"&amp;$A73&amp;"'!$A$2:$A$501"),"&lt;"&amp;($BA73+1),INDIRECT("'"&amp;$A73&amp;"'!$F$2:$F$501"),"Didn't see it"),0)))</f>
        <v/>
      </c>
      <c r="AR73" s="25">
        <f>IF(OR($A73="",$I73=""),"",IF($BC73="Y",SUMIFS(survey_frozen!$F$2:$F$251,survey_frozen!$P$2:$P$251,$A73&amp;"|"&amp;$B73),IFERROR(COUNTIFS(INDIRECT("'"&amp;$A73&amp;"'!$B$2:$B$501"),$T73,INDIRECT("'"&amp;$A73&amp;"'!$A$2:$A$501"),"&gt;="&amp;$I73,INDIRECT("'"&amp;$A73&amp;"'!$A$2:$A$501"),"&lt;"&amp;($BA73+1),INDIRECT("'"&amp;$A73&amp;"'!$F$2:$F$501"),"Not for me"),0)))</f>
        <v/>
      </c>
      <c r="AS73" s="25">
        <f>IF(OR($A73="",$I73=""),"",IF($BC73="Y",SUMIFS(survey_frozen!$G$2:$G$251,survey_frozen!$P$2:$P$251,$A73&amp;"|"&amp;$B73),IFERROR(COUNTIFS(INDIRECT("'"&amp;$A73&amp;"'!$B$2:$B$501"),$T73,INDIRECT("'"&amp;$A73&amp;"'!$A$2:$A$501"),"&gt;="&amp;$I73,INDIRECT("'"&amp;$A73&amp;"'!$A$2:$A$501"),"&lt;"&amp;($BA73+1),INDIRECT("'"&amp;$A73&amp;"'!$F$2:$F$501"),"Gone by the time I looked"),0)))</f>
        <v/>
      </c>
      <c r="AT73" s="25">
        <f>IF(OR($A73="",$I73=""),"",IF($BC73="Y",SUMIFS(survey_frozen!$H$2:$H$251,survey_frozen!$P$2:$P$251,$A73&amp;"|"&amp;$B73),IFERROR(COUNTIFS(INDIRECT("'"&amp;$A73&amp;"'!$B$2:$B$501"),$T73,INDIRECT("'"&amp;$A73&amp;"'!$A$2:$A$501"),"&gt;="&amp;$I73,INDIRECT("'"&amp;$A73&amp;"'!$A$2:$A$501"),"&lt;"&amp;($BA73+1),INDIRECT("'"&amp;$A73&amp;"'!$D$2:$D$501"),"&gt;=1"),0)))</f>
        <v/>
      </c>
      <c r="AU73" s="25">
        <f>IF(OR($A73="",$I73=""),"",IF($BC73="Y",SUMIFS(survey_frozen!$I$2:$I$251,survey_frozen!$P$2:$P$251,$A73&amp;"|"&amp;$B73),IFERROR(SUMIFS(INDIRECT("'"&amp;$A73&amp;"'!$D$2:$D$501"),INDIRECT("'"&amp;$A73&amp;"'!$B$2:$B$501"),$T73,INDIRECT("'"&amp;$A73&amp;"'!$A$2:$A$501"),"&gt;="&amp;$I73,INDIRECT("'"&amp;$A73&amp;"'!$A$2:$A$501"),"&lt;"&amp;($BA73+1)),0)))</f>
        <v/>
      </c>
      <c r="AV73" s="25">
        <f>IF(OR($A73="",$I73=""),"",IF($BC73="Y",SUMIFS(survey_frozen!$J$2:$J$251,survey_frozen!$P$2:$P$251,$A73&amp;"|"&amp;$B73),IFERROR(COUNTIFS(INDIRECT("'"&amp;$A73&amp;"'!$B$2:$B$501"),$T73,INDIRECT("'"&amp;$A73&amp;"'!$A$2:$A$501"),"&gt;="&amp;$I73,INDIRECT("'"&amp;$A73&amp;"'!$A$2:$A$501"),"&lt;"&amp;($BA73+1),INDIRECT("'"&amp;$A73&amp;"'!$E$2:$E$501"),"Yes"),0)))</f>
        <v/>
      </c>
      <c r="AW73" s="25">
        <f>IF(OR($A73="",$I73=""),"",IF($BC73="Y",SUMIFS(survey_frozen!$K$2:$K$251,survey_frozen!$P$2:$P$251,$A73&amp;"|"&amp;$B73),IFERROR(COUNTIFS(INDIRECT("'"&amp;$A73&amp;"'!$B$2:$B$501"),$T73,INDIRECT("'"&amp;$A73&amp;"'!$A$2:$A$501"),"&gt;="&amp;$I73,INDIRECT("'"&amp;$A73&amp;"'!$A$2:$A$501"),"&lt;"&amp;($BA73+1),INDIRECT("'"&amp;$A73&amp;"'!$E$2:$E$501"),"Maybe"),0)))</f>
        <v/>
      </c>
      <c r="AX73" s="25">
        <f>IF(OR($A73="",$I73=""),"",IF($BC73="Y",SUMIFS(survey_frozen!$L$2:$L$251,survey_frozen!$P$2:$P$251,$A73&amp;"|"&amp;$B73),IFERROR(COUNTIFS(INDIRECT("'"&amp;$A73&amp;"'!$B$2:$B$501"),$T73,INDIRECT("'"&amp;$A73&amp;"'!$A$2:$A$501"),"&gt;="&amp;$I73,INDIRECT("'"&amp;$A73&amp;"'!$A$2:$A$501"),"&lt;"&amp;($BA73+1),INDIRECT("'"&amp;$A73&amp;"'!$E$2:$E$501"),"No"),0)))</f>
        <v/>
      </c>
      <c r="AY73" s="25">
        <f>IF(OR($A73="",$I73=""),"",IF($BC73="Y",SUMIFS(survey_frozen!$M$2:$M$251,survey_frozen!$P$2:$P$251,$A73&amp;"|"&amp;$B73),IFERROR(COUNTIFS(INDIRECT("'"&amp;$A73&amp;"'!$B$2:$B$501"),$T73,INDIRECT("'"&amp;$A73&amp;"'!$A$2:$A$501"),"&gt;="&amp;$I73,INDIRECT("'"&amp;$A73&amp;"'!$A$2:$A$501"),"&lt;"&amp;($BA73+1),INDIRECT("'"&amp;$A73&amp;"'!$G$2:$G$501"),"&lt;&gt;"),0)))</f>
        <v/>
      </c>
      <c r="AZ73" s="25">
        <f>IF($A73="","",$A73&amp;"|"&amp;$L73)</f>
        <v/>
      </c>
      <c r="BA73" s="26">
        <f>IF($A73="","",IFERROR(IF(INDEX(drops!$R$2:$R$21,MATCH($H73,drops!$A$2:$A$21,0))="","",INDEX(drops!$R$2:$R$21,MATCH($H73,drops!$A$2:$A$21,0))),""))</f>
        <v/>
      </c>
      <c r="BB73" s="25">
        <f>IF(OR($A73="",$Q73&lt;&gt;"Y"),1000000,N($AL73))</f>
        <v/>
      </c>
      <c r="BC73" s="25">
        <f>IF($A73="","",IF(COUNTIF(survey_frozen!$P$2:$P$251,$A73&amp;"|"&amp;$B73)&gt;0,"Y",""))</f>
        <v/>
      </c>
    </row>
    <row r="74">
      <c r="C74" s="9" t="n"/>
      <c r="E74" s="9" t="n"/>
      <c r="H74" s="25">
        <f>IF($A74="","",IFERROR(IF(INDEX(campaigns!$B$2:$B$51,MATCH($A74,campaigns!$A$2:$A$51,0))="","",INDEX(campaigns!$B$2:$B$51,MATCH($A74,campaigns!$A$2:$A$51,0))),""))</f>
        <v/>
      </c>
      <c r="I74" s="26">
        <f>IF($A74="","",IFERROR(IF(INDEX(campaigns!$BG$2:$BG$51,MATCH($A74,campaigns!$A$2:$A$51,0))="","",INDEX(campaigns!$BG$2:$BG$51,MATCH($A74,campaigns!$A$2:$A$51,0))),""))</f>
        <v/>
      </c>
      <c r="J74" s="25">
        <f>IF($A74="","",IFERROR(IF(INDEX(campaigns!$BE$2:$BE$51,MATCH($A74,campaigns!$A$2:$A$51,0))="","",INDEX(campaigns!$BE$2:$BE$51,MATCH($A74,campaigns!$A$2:$A$51,0))),""))</f>
        <v/>
      </c>
      <c r="K74" s="25">
        <f>IF($B74="","",IFERROR(IF(INDEX(offices!$N$2:$N$61,MATCH($B74,offices!$A$2:$A$61,0))="","",INDEX(offices!$N$2:$N$61,MATCH($B74,offices!$A$2:$A$61,0))),""))</f>
        <v/>
      </c>
      <c r="L74" s="25">
        <f>IF($A74="","",IF($Q74="N","",COUNTIFS($A$2:$A74,$A74,$Q$2:$Q74,"&lt;&gt;N")))</f>
        <v/>
      </c>
      <c r="M74" s="25">
        <f>IF(OR($A74="",$L74=""),"",IF(AND(config!$B$34="names_if_public",IFERROR(IF(INDEX(offices!$AF$2:$AF$61,MATCH($B74,offices!$A$2:$A$61,0))="","",INDEX(offices!$AF$2:$AF$61,MATCH($B74,offices!$A$2:$A$61,0))),"")="Y"),$K74,CHAR(64+$L74)))</f>
        <v/>
      </c>
      <c r="N74" s="25">
        <f>IF(OR($A74="",$I74=""),"",COUNTIFS(stops!$B$2:$B$151,$B74,stops!$P$2:$P$151,"&lt;"&amp;$I74,stops!$L$2:$L$151,"&lt;&gt;not_delivered")+1)</f>
        <v/>
      </c>
      <c r="O74" s="25">
        <f>IF($A74="","",IF(N($N74)&lt;=config!$B$29,"explicit","opt-out"))</f>
        <v/>
      </c>
      <c r="P74" s="25">
        <f>IF($A74="","",IF($O74="explicit",IF($D74="yes","Y",IF($D74="no","N","pending")),IF($D74="no","N",IF(AND($C74&lt;&gt;"",$I74&lt;&gt;"",$C74&lt;=WORKDAY(N($I74),-5,calendar!$A$2:$A$80)),"Y","pending"))))</f>
        <v/>
      </c>
      <c r="Q74" s="25">
        <f>IF($A74="","",IF($P74="N","N",IF($P74&lt;&gt;"Y","pending",IF(AND((COUNTIFS(stops!$A$2:$A$151,$H74,stops!$B$2:$B$151,$B74,stops!$L$2:$L$151,"declined")+COUNTIFS(stops!$A$2:$A$151,$H74,stops!$B$2:$B$151,$B74,stops!$L$2:$L$151,"building_refused")+COUNTIFS(stops!$A$2:$A$151,$H74,stops!$B$2:$B$151,$B74,stops!$L$2:$L$151,"not_delivered"))&gt;0,N($U74)=0),"N","Y"))))</f>
        <v/>
      </c>
      <c r="R74" s="25">
        <f>IF($A74="","",IF(COUNTIFS($A$2:$A$251,$A74,$B$2:$B$251,$B74)&gt;1,"DUPLICATE ROW; ","")&amp;IF(AND(IFERROR(IF(INDEX(offices!$AC$2:$AC$61,MATCH($B74,offices!$A$2:$A$61,0))="","",INDEX(offices!$AC$2:$AC$61,MATCH($B74,offices!$A$2:$A$61,0))),"")&lt;&gt;"",ISNUMBER(SEARCH($J74,IFERROR(IF(INDEX(offices!$AC$2:$AC$61,MATCH($B74,offices!$A$2:$A$61,0))="","",INDEX(offices!$AC$2:$AC$61,MATCH($B74,offices!$A$2:$A$61,0))),"")))),"BRAND VETOED; ","")&amp;IF(ISNUMBER(SEARCH(IFERROR(IF(INDEX(campaigns!$BF$2:$BF$51,MATCH($A74,campaigns!$A$2:$A$51,0))="","",INDEX(campaigns!$BF$2:$BF$51,MATCH($A74,campaigns!$A$2:$A$51,0))),""),IFERROR(IF(INDEX(offices!$AB$2:$AB$61,MATCH($B74,offices!$A$2:$A$61,0))="","",INDEX(offices!$AB$2:$AB$61,MATCH($B74,offices!$A$2:$A$61,0))),""))),"","info: category not on the office's list; ")&amp;IF(IFERROR(IF(INDEX(offices!$AC$2:$AC$61,MATCH($B74,offices!$A$2:$A$61,0))="","",INDEX(offices!$AC$2:$AC$61,MATCH($B74,offices!$A$2:$A$61,0))),"")&lt;&gt;"","info: read the vetoes against the label; ",""))</f>
        <v/>
      </c>
      <c r="S74" s="25">
        <f>IF($A74="","",IF($G74&lt;&gt;"",$G74,IFERROR(IF(INDEX(offices!$AL$2:$AL$61,MATCH($B74,offices!$A$2:$A$61,0))="","",INDEX(offices!$AL$2:$AL$61,MATCH($B74,offices!$A$2:$A$61,0))),"")))</f>
        <v/>
      </c>
      <c r="T74" s="25">
        <f>IF($A74="","",$A74&amp;"."&amp;$B74)</f>
        <v/>
      </c>
      <c r="U74" s="25">
        <f>IF($A74="","",SUMIFS(inventory!$G$2:$G$801,inventory!$C$2:$C$801,$A74,inventory!$D$2:$D$801,$B74,inventory!$E$2:$E$801,"delivered"))</f>
        <v/>
      </c>
      <c r="V74" s="32">
        <f>IF($A74="","",IFERROR(1/(1/SUMPRODUCT(MAX((inventory!$C$2:$C$801=$A74)*(inventory!$D$2:$D$801=$B74)*(inventory!$E$2:$E$801="delivered")*(inventory!$A$2:$A$801+inventory!$B$2:$B$801)))),""))</f>
        <v/>
      </c>
      <c r="W74" s="25">
        <f>IF($A74="","",IFERROR(IF(INDEX(inventory!$J$2:$J$801,MATCH($A74&amp;"|"&amp;$B74&amp;"|delivered",inventory!$R$2:$R$801,0))="","",INDEX(inventory!$J$2:$J$801,MATCH($A74&amp;"|"&amp;$B74&amp;"|delivered",inventory!$R$2:$R$801,0))),""))</f>
        <v/>
      </c>
      <c r="X74" s="25">
        <f>IF($A74="","",IFERROR(IF(INDEX(photos!$H$2:$H$701,MATCH($A74&amp;"|"&amp;$B74&amp;"|placement|Y",photos!$R$2:$R$701,0))="","",INDEX(photos!$H$2:$H$701,MATCH($A74&amp;"|"&amp;$B74&amp;"|placement|Y",photos!$R$2:$R$701,0))),""))</f>
        <v/>
      </c>
      <c r="Y74" s="26">
        <f>IF($A74="","",IFERROR(IF(INDEX(photos!$E$2:$E$701,MATCH($A74&amp;"|"&amp;$B74&amp;"|placement|Y",photos!$R$2:$R$701,0))="","",INDEX(photos!$E$2:$E$701,MATCH($A74&amp;"|"&amp;$B74&amp;"|placement|Y",photos!$R$2:$R$701,0))),""))</f>
        <v/>
      </c>
      <c r="Z74" s="25">
        <f>IF($A74="","",IF(COUNTIFS(counts!$C$2:$C$701,$A74,counts!$D$2:$D$701,$B74,counts!$E$2:$E$701,"placed")=0,"",SUMIFS(counts!$F$2:$F$701,counts!$C$2:$C$701,$A74,counts!$D$2:$D$701,$B74,counts!$E$2:$E$701,"placed")))</f>
        <v/>
      </c>
      <c r="AA74" s="25">
        <f>IF($A74="","",IF($Y74="",0,N($Z74)))</f>
        <v/>
      </c>
      <c r="AB74" s="25">
        <f>IF($A74="","",IF(OR($Y74="",$I74=""),"N",IF($Y74&lt;=WORKDAY(N($I74),1,calendar!$A$2:$A$80),"Y","N")))</f>
        <v/>
      </c>
      <c r="AC74" s="28">
        <f>IF(OR($A74="",$V74="",$Y74=""),"",ROUND(($Y74+N(IFERROR(IF(INDEX(photos!$F$2:$F$701,MATCH($A74&amp;"|"&amp;$B74&amp;"|placement|Y",photos!$R$2:$R$701,0))="","",INDEX(photos!$F$2:$F$701,MATCH($A74&amp;"|"&amp;$B74&amp;"|placement|Y",photos!$R$2:$R$701,0))),""))-$V74)*24,1))</f>
        <v/>
      </c>
      <c r="AD74" s="25">
        <f>IF($A74="","",SUMIFS(inventory!$G$2:$G$801,inventory!$C$2:$C$801,$A74,inventory!$D$2:$D$801,$B74,inventory!$E$2:$E$801,"topped_up"))</f>
        <v/>
      </c>
      <c r="AE74" s="25">
        <f>IF($A74="","",IF(COUNTIFS(counts!$C$2:$C$701,$A74,counts!$D$2:$D$701,$B74,counts!$E$2:$E$701,"remaining_day3")=0,"",SUMIFS(counts!$F$2:$F$701,counts!$C$2:$C$701,$A74,counts!$D$2:$D$701,$B74,counts!$E$2:$E$701,"remaining_day3")))</f>
        <v/>
      </c>
      <c r="AF74" s="25">
        <f>IF($A74="","",IF(COUNTIFS(counts!$C$2:$C$701,$A74,counts!$D$2:$D$701,$B74,counts!$E$2:$E$701,"remaining_day5")=0,"",SUMIFS(counts!$F$2:$F$701,counts!$C$2:$C$701,$A74,counts!$D$2:$D$701,$B74,counts!$E$2:$E$701,"remaining_day5")))</f>
        <v/>
      </c>
      <c r="AG74" s="25">
        <f>IF(OR($A74="",$AF74=""),"",MAX(0,$AA74+$AD74-$AF74))</f>
        <v/>
      </c>
      <c r="AH74" s="25">
        <f>IF(OR($A74="",$AI74=""),"",IFERROR(IF(INDEX(photos!$H$2:$H$701,MATCH($A74&amp;"|"&amp;$B74&amp;"|later|Y|"&amp;$AI74,photos!$S$2:$S$701,0))="","",INDEX(photos!$H$2:$H$701,MATCH($A74&amp;"|"&amp;$B74&amp;"|later|Y|"&amp;$AI74,photos!$S$2:$S$701,0))),""))</f>
        <v/>
      </c>
      <c r="AI74" s="26">
        <f>IF($A74="","",IFERROR(1/(1/SUMPRODUCT(MAX((photos!$B$2:$B$701=$A74)*(photos!$C$2:$C$701=$B74)*(photos!$D$2:$D$701="later")*(photos!$O$2:$O$701="Y")*photos!$E$2:$E$701))),""))</f>
        <v/>
      </c>
      <c r="AJ74" s="25">
        <f>IF(OR($A74="",$AI74="",$I74=""),"",NETWORKDAYS($I74,$AI74,calendar!$A$2:$A$80))</f>
        <v/>
      </c>
      <c r="AK74" s="25">
        <f>IF($A74="","",IF(AND($X74&lt;&gt;"",$AH74&lt;&gt;""),"Y","N"))</f>
        <v/>
      </c>
      <c r="AL74" s="25">
        <f>IF(OR($A74="",$I74=""),"",IF($BC74="Y",SUMIFS(survey_frozen!$C$2:$C$251,survey_frozen!$P$2:$P$251,$A74&amp;"|"&amp;$B74),IFERROR(COUNTIFS(INDIRECT("'"&amp;$A74&amp;"'!$B$2:$B$501"),$T74,INDIRECT("'"&amp;$A74&amp;"'!$A$2:$A$501"),"&gt;="&amp;$I74,INDIRECT("'"&amp;$A74&amp;"'!$A$2:$A$501"),"&lt;"&amp;($BA74+1)),0)))</f>
        <v/>
      </c>
      <c r="AM74" s="25">
        <f>IF(OR($A74="",$I74=""),"",IF($BC74="Y",SUMIFS(survey_frozen!$D$2:$D$251,survey_frozen!$P$2:$P$251,$A74&amp;"|"&amp;$B74),IFERROR(COUNTIFS(INDIRECT("'"&amp;$A74&amp;"'!$B$2:$B$501"),$T74,INDIRECT("'"&amp;$A74&amp;"'!$A$2:$A$501"),"&gt;="&amp;$I74,INDIRECT("'"&amp;$A74&amp;"'!$A$2:$A$501"),"&lt;"&amp;($BA74+1),INDIRECT("'"&amp;$A74&amp;"'!$C$2:$C$501"),"Yes"),0)))</f>
        <v/>
      </c>
      <c r="AN74" s="25">
        <f>IF($A74="","",IF(COUNTIFS(scans!$C$2:$C$1601,(IF(LEFT($A74,7)="SAMPLE-","SAMPLE-","")&amp;LOWER(SUBSTITUTE(SUBSTITUTE($A74,"SAMPLE-",""),"CMP-","c"))&amp;"-"&amp;LOWER(SUBSTITUTE(SUBSTITUTE($B74,"SAMPLE-",""),"O-","o"))&amp;"-q"),scans!$D$2:$D$1601,"close")=0,"",SUMPRODUCT(MAX((scans!$C$2:$C$1601=(IF(LEFT($A74,7)="SAMPLE-","SAMPLE-","")&amp;LOWER(SUBSTITUTE(SUBSTITUTE($A74,"SAMPLE-",""),"CMP-","c"))&amp;"-"&amp;LOWER(SUBSTITUTE(SUBSTITUTE($B74,"SAMPLE-",""),"O-","o"))&amp;"-q"))*(scans!$D$2:$D$1601="close")*scans!$E$2:$E$1601))-SUMPRODUCT(MAX((scans!$C$2:$C$1601=(IF(LEFT($A74,7)="SAMPLE-","SAMPLE-","")&amp;LOWER(SUBSTITUTE(SUBSTITUTE($A74,"SAMPLE-",""),"CMP-","c"))&amp;"-"&amp;LOWER(SUBSTITUTE(SUBSTITUTE($B74,"SAMPLE-",""),"O-","o"))&amp;"-q"))*(scans!$D$2:$D$1601="baseline")*scans!$E$2:$E$1601))))</f>
        <v/>
      </c>
      <c r="AO74" s="25">
        <f>IF($A74="","",IF(COUNTIFS(scans!$C$2:$C$1601,(IF(LEFT($A74,7)="SAMPLE-","SAMPLE-","")&amp;LOWER(SUBSTITUTE(SUBSTITUTE($A74,"SAMPLE-",""),"CMP-","c"))&amp;"-"&amp;LOWER(SUBSTITUTE(SUBSTITUTE($B74,"SAMPLE-",""),"O-","o"))&amp;"-p"),scans!$D$2:$D$1601,"close")=0,"",SUMPRODUCT(MAX((scans!$C$2:$C$1601=(IF(LEFT($A74,7)="SAMPLE-","SAMPLE-","")&amp;LOWER(SUBSTITUTE(SUBSTITUTE($A74,"SAMPLE-",""),"CMP-","c"))&amp;"-"&amp;LOWER(SUBSTITUTE(SUBSTITUTE($B74,"SAMPLE-",""),"O-","o"))&amp;"-p"))*(scans!$D$2:$D$1601="close")*scans!$E$2:$E$1601))-SUMPRODUCT(MAX((scans!$C$2:$C$1601=(IF(LEFT($A74,7)="SAMPLE-","SAMPLE-","")&amp;LOWER(SUBSTITUTE(SUBSTITUTE($A74,"SAMPLE-",""),"CMP-","c"))&amp;"-"&amp;LOWER(SUBSTITUTE(SUBSTITUTE($B74,"SAMPLE-",""),"O-","o"))&amp;"-p"))*(scans!$D$2:$D$1601="baseline")*scans!$E$2:$E$1601))))</f>
        <v/>
      </c>
      <c r="AP74" s="25">
        <f>IF($A74="","",IF(COUNTIF(offices!$A$2:$A$61,$B74)=0,"office_id not on offices; ","")&amp;IF(COUNTIF(campaigns!$A$2:$A$51,$A74)=0,"campaign_id not on campaigns; ","")&amp;IF($P74="pending","approval pending; ","")&amp;IF(AND($U74&gt;0,$Y74="",OR($I74="",IF(config!$B$37&lt;&gt;"",config!$B$37,TODAY())&lt;=WORKDAY(N($I74),4,calendar!$A$2:$A$80))),"no usable placement photo yet; ","")&amp;IF(AND($Y74&lt;&gt;"",$Z74=""),"log the placed count; ","")&amp;IF(N($AA74)&gt;N($U74),"placed more than delivered; ","")&amp;IF(AND($AF74&lt;&gt;"",N($AF74)&gt;N($AA74)+N($AD74)),"day-5 count above placed plus top-ups; ","")&amp;IF(AND($U74&gt;0,$I74&lt;&gt;"",IF(config!$B$37&lt;&gt;"",config!$B$37,TODAY())&gt;WORKDAY(N($I74),4,calendar!$A$2:$A$80),$AF74=""),"day-5 count missing; ","")&amp;IF(AND($U74&gt;0,$I74&lt;&gt;"",IF(config!$B$37&lt;&gt;"",config!$B$37,TODAY())&gt;WORKDAY(N($I74),4,calendar!$A$2:$A$80),$AN74=""),"no close link reading; ","")&amp;$R74&amp;IF($P74="N","info: office said no; ","")&amp;IF(AND($P74="Y",$Q74="N"),"info: turned away at the door, so not on the drop (no letter, not in the report or Gate 2; the credit check is on campaigns); ","")&amp;IF(AND($U74&gt;0,$Y74="",$I74&lt;&gt;"",IF(config!$B$37&lt;&gt;"",config!$B$37,TODAY())&gt;WORKDAY(N($I74),4,calendar!$A$2:$A$80)),"info: no usable placement photo, so nothing counts as placed; ","")&amp;IF(AND($U74&gt;0,$I74&lt;&gt;"",IF(config!$B$37&lt;&gt;"",config!$B$37,TODAY())&gt;WORKDAY(N($I74),4,calendar!$A$2:$A$80),N($AL74)&lt;config!$B$30),"info: under "&amp;config!$B$30&amp;" responses; ","")&amp;IF($W74="packing_list","info: delivered count not verified; ",""))</f>
        <v/>
      </c>
      <c r="AQ74" s="25">
        <f>IF(OR($A74="",$I74=""),"",IF($BC74="Y",SUMIFS(survey_frozen!$E$2:$E$251,survey_frozen!$P$2:$P$251,$A74&amp;"|"&amp;$B74),IFERROR(COUNTIFS(INDIRECT("'"&amp;$A74&amp;"'!$B$2:$B$501"),$T74,INDIRECT("'"&amp;$A74&amp;"'!$A$2:$A$501"),"&gt;="&amp;$I74,INDIRECT("'"&amp;$A74&amp;"'!$A$2:$A$501"),"&lt;"&amp;($BA74+1),INDIRECT("'"&amp;$A74&amp;"'!$F$2:$F$501"),"Didn't see it"),0)))</f>
        <v/>
      </c>
      <c r="AR74" s="25">
        <f>IF(OR($A74="",$I74=""),"",IF($BC74="Y",SUMIFS(survey_frozen!$F$2:$F$251,survey_frozen!$P$2:$P$251,$A74&amp;"|"&amp;$B74),IFERROR(COUNTIFS(INDIRECT("'"&amp;$A74&amp;"'!$B$2:$B$501"),$T74,INDIRECT("'"&amp;$A74&amp;"'!$A$2:$A$501"),"&gt;="&amp;$I74,INDIRECT("'"&amp;$A74&amp;"'!$A$2:$A$501"),"&lt;"&amp;($BA74+1),INDIRECT("'"&amp;$A74&amp;"'!$F$2:$F$501"),"Not for me"),0)))</f>
        <v/>
      </c>
      <c r="AS74" s="25">
        <f>IF(OR($A74="",$I74=""),"",IF($BC74="Y",SUMIFS(survey_frozen!$G$2:$G$251,survey_frozen!$P$2:$P$251,$A74&amp;"|"&amp;$B74),IFERROR(COUNTIFS(INDIRECT("'"&amp;$A74&amp;"'!$B$2:$B$501"),$T74,INDIRECT("'"&amp;$A74&amp;"'!$A$2:$A$501"),"&gt;="&amp;$I74,INDIRECT("'"&amp;$A74&amp;"'!$A$2:$A$501"),"&lt;"&amp;($BA74+1),INDIRECT("'"&amp;$A74&amp;"'!$F$2:$F$501"),"Gone by the time I looked"),0)))</f>
        <v/>
      </c>
      <c r="AT74" s="25">
        <f>IF(OR($A74="",$I74=""),"",IF($BC74="Y",SUMIFS(survey_frozen!$H$2:$H$251,survey_frozen!$P$2:$P$251,$A74&amp;"|"&amp;$B74),IFERROR(COUNTIFS(INDIRECT("'"&amp;$A74&amp;"'!$B$2:$B$501"),$T74,INDIRECT("'"&amp;$A74&amp;"'!$A$2:$A$501"),"&gt;="&amp;$I74,INDIRECT("'"&amp;$A74&amp;"'!$A$2:$A$501"),"&lt;"&amp;($BA74+1),INDIRECT("'"&amp;$A74&amp;"'!$D$2:$D$501"),"&gt;=1"),0)))</f>
        <v/>
      </c>
      <c r="AU74" s="25">
        <f>IF(OR($A74="",$I74=""),"",IF($BC74="Y",SUMIFS(survey_frozen!$I$2:$I$251,survey_frozen!$P$2:$P$251,$A74&amp;"|"&amp;$B74),IFERROR(SUMIFS(INDIRECT("'"&amp;$A74&amp;"'!$D$2:$D$501"),INDIRECT("'"&amp;$A74&amp;"'!$B$2:$B$501"),$T74,INDIRECT("'"&amp;$A74&amp;"'!$A$2:$A$501"),"&gt;="&amp;$I74,INDIRECT("'"&amp;$A74&amp;"'!$A$2:$A$501"),"&lt;"&amp;($BA74+1)),0)))</f>
        <v/>
      </c>
      <c r="AV74" s="25">
        <f>IF(OR($A74="",$I74=""),"",IF($BC74="Y",SUMIFS(survey_frozen!$J$2:$J$251,survey_frozen!$P$2:$P$251,$A74&amp;"|"&amp;$B74),IFERROR(COUNTIFS(INDIRECT("'"&amp;$A74&amp;"'!$B$2:$B$501"),$T74,INDIRECT("'"&amp;$A74&amp;"'!$A$2:$A$501"),"&gt;="&amp;$I74,INDIRECT("'"&amp;$A74&amp;"'!$A$2:$A$501"),"&lt;"&amp;($BA74+1),INDIRECT("'"&amp;$A74&amp;"'!$E$2:$E$501"),"Yes"),0)))</f>
        <v/>
      </c>
      <c r="AW74" s="25">
        <f>IF(OR($A74="",$I74=""),"",IF($BC74="Y",SUMIFS(survey_frozen!$K$2:$K$251,survey_frozen!$P$2:$P$251,$A74&amp;"|"&amp;$B74),IFERROR(COUNTIFS(INDIRECT("'"&amp;$A74&amp;"'!$B$2:$B$501"),$T74,INDIRECT("'"&amp;$A74&amp;"'!$A$2:$A$501"),"&gt;="&amp;$I74,INDIRECT("'"&amp;$A74&amp;"'!$A$2:$A$501"),"&lt;"&amp;($BA74+1),INDIRECT("'"&amp;$A74&amp;"'!$E$2:$E$501"),"Maybe"),0)))</f>
        <v/>
      </c>
      <c r="AX74" s="25">
        <f>IF(OR($A74="",$I74=""),"",IF($BC74="Y",SUMIFS(survey_frozen!$L$2:$L$251,survey_frozen!$P$2:$P$251,$A74&amp;"|"&amp;$B74),IFERROR(COUNTIFS(INDIRECT("'"&amp;$A74&amp;"'!$B$2:$B$501"),$T74,INDIRECT("'"&amp;$A74&amp;"'!$A$2:$A$501"),"&gt;="&amp;$I74,INDIRECT("'"&amp;$A74&amp;"'!$A$2:$A$501"),"&lt;"&amp;($BA74+1),INDIRECT("'"&amp;$A74&amp;"'!$E$2:$E$501"),"No"),0)))</f>
        <v/>
      </c>
      <c r="AY74" s="25">
        <f>IF(OR($A74="",$I74=""),"",IF($BC74="Y",SUMIFS(survey_frozen!$M$2:$M$251,survey_frozen!$P$2:$P$251,$A74&amp;"|"&amp;$B74),IFERROR(COUNTIFS(INDIRECT("'"&amp;$A74&amp;"'!$B$2:$B$501"),$T74,INDIRECT("'"&amp;$A74&amp;"'!$A$2:$A$501"),"&gt;="&amp;$I74,INDIRECT("'"&amp;$A74&amp;"'!$A$2:$A$501"),"&lt;"&amp;($BA74+1),INDIRECT("'"&amp;$A74&amp;"'!$G$2:$G$501"),"&lt;&gt;"),0)))</f>
        <v/>
      </c>
      <c r="AZ74" s="25">
        <f>IF($A74="","",$A74&amp;"|"&amp;$L74)</f>
        <v/>
      </c>
      <c r="BA74" s="26">
        <f>IF($A74="","",IFERROR(IF(INDEX(drops!$R$2:$R$21,MATCH($H74,drops!$A$2:$A$21,0))="","",INDEX(drops!$R$2:$R$21,MATCH($H74,drops!$A$2:$A$21,0))),""))</f>
        <v/>
      </c>
      <c r="BB74" s="25">
        <f>IF(OR($A74="",$Q74&lt;&gt;"Y"),1000000,N($AL74))</f>
        <v/>
      </c>
      <c r="BC74" s="25">
        <f>IF($A74="","",IF(COUNTIF(survey_frozen!$P$2:$P$251,$A74&amp;"|"&amp;$B74)&gt;0,"Y",""))</f>
        <v/>
      </c>
    </row>
    <row r="75">
      <c r="C75" s="9" t="n"/>
      <c r="E75" s="9" t="n"/>
      <c r="H75" s="25">
        <f>IF($A75="","",IFERROR(IF(INDEX(campaigns!$B$2:$B$51,MATCH($A75,campaigns!$A$2:$A$51,0))="","",INDEX(campaigns!$B$2:$B$51,MATCH($A75,campaigns!$A$2:$A$51,0))),""))</f>
        <v/>
      </c>
      <c r="I75" s="26">
        <f>IF($A75="","",IFERROR(IF(INDEX(campaigns!$BG$2:$BG$51,MATCH($A75,campaigns!$A$2:$A$51,0))="","",INDEX(campaigns!$BG$2:$BG$51,MATCH($A75,campaigns!$A$2:$A$51,0))),""))</f>
        <v/>
      </c>
      <c r="J75" s="25">
        <f>IF($A75="","",IFERROR(IF(INDEX(campaigns!$BE$2:$BE$51,MATCH($A75,campaigns!$A$2:$A$51,0))="","",INDEX(campaigns!$BE$2:$BE$51,MATCH($A75,campaigns!$A$2:$A$51,0))),""))</f>
        <v/>
      </c>
      <c r="K75" s="25">
        <f>IF($B75="","",IFERROR(IF(INDEX(offices!$N$2:$N$61,MATCH($B75,offices!$A$2:$A$61,0))="","",INDEX(offices!$N$2:$N$61,MATCH($B75,offices!$A$2:$A$61,0))),""))</f>
        <v/>
      </c>
      <c r="L75" s="25">
        <f>IF($A75="","",IF($Q75="N","",COUNTIFS($A$2:$A75,$A75,$Q$2:$Q75,"&lt;&gt;N")))</f>
        <v/>
      </c>
      <c r="M75" s="25">
        <f>IF(OR($A75="",$L75=""),"",IF(AND(config!$B$34="names_if_public",IFERROR(IF(INDEX(offices!$AF$2:$AF$61,MATCH($B75,offices!$A$2:$A$61,0))="","",INDEX(offices!$AF$2:$AF$61,MATCH($B75,offices!$A$2:$A$61,0))),"")="Y"),$K75,CHAR(64+$L75)))</f>
        <v/>
      </c>
      <c r="N75" s="25">
        <f>IF(OR($A75="",$I75=""),"",COUNTIFS(stops!$B$2:$B$151,$B75,stops!$P$2:$P$151,"&lt;"&amp;$I75,stops!$L$2:$L$151,"&lt;&gt;not_delivered")+1)</f>
        <v/>
      </c>
      <c r="O75" s="25">
        <f>IF($A75="","",IF(N($N75)&lt;=config!$B$29,"explicit","opt-out"))</f>
        <v/>
      </c>
      <c r="P75" s="25">
        <f>IF($A75="","",IF($O75="explicit",IF($D75="yes","Y",IF($D75="no","N","pending")),IF($D75="no","N",IF(AND($C75&lt;&gt;"",$I75&lt;&gt;"",$C75&lt;=WORKDAY(N($I75),-5,calendar!$A$2:$A$80)),"Y","pending"))))</f>
        <v/>
      </c>
      <c r="Q75" s="25">
        <f>IF($A75="","",IF($P75="N","N",IF($P75&lt;&gt;"Y","pending",IF(AND((COUNTIFS(stops!$A$2:$A$151,$H75,stops!$B$2:$B$151,$B75,stops!$L$2:$L$151,"declined")+COUNTIFS(stops!$A$2:$A$151,$H75,stops!$B$2:$B$151,$B75,stops!$L$2:$L$151,"building_refused")+COUNTIFS(stops!$A$2:$A$151,$H75,stops!$B$2:$B$151,$B75,stops!$L$2:$L$151,"not_delivered"))&gt;0,N($U75)=0),"N","Y"))))</f>
        <v/>
      </c>
      <c r="R75" s="25">
        <f>IF($A75="","",IF(COUNTIFS($A$2:$A$251,$A75,$B$2:$B$251,$B75)&gt;1,"DUPLICATE ROW; ","")&amp;IF(AND(IFERROR(IF(INDEX(offices!$AC$2:$AC$61,MATCH($B75,offices!$A$2:$A$61,0))="","",INDEX(offices!$AC$2:$AC$61,MATCH($B75,offices!$A$2:$A$61,0))),"")&lt;&gt;"",ISNUMBER(SEARCH($J75,IFERROR(IF(INDEX(offices!$AC$2:$AC$61,MATCH($B75,offices!$A$2:$A$61,0))="","",INDEX(offices!$AC$2:$AC$61,MATCH($B75,offices!$A$2:$A$61,0))),"")))),"BRAND VETOED; ","")&amp;IF(ISNUMBER(SEARCH(IFERROR(IF(INDEX(campaigns!$BF$2:$BF$51,MATCH($A75,campaigns!$A$2:$A$51,0))="","",INDEX(campaigns!$BF$2:$BF$51,MATCH($A75,campaigns!$A$2:$A$51,0))),""),IFERROR(IF(INDEX(offices!$AB$2:$AB$61,MATCH($B75,offices!$A$2:$A$61,0))="","",INDEX(offices!$AB$2:$AB$61,MATCH($B75,offices!$A$2:$A$61,0))),""))),"","info: category not on the office's list; ")&amp;IF(IFERROR(IF(INDEX(offices!$AC$2:$AC$61,MATCH($B75,offices!$A$2:$A$61,0))="","",INDEX(offices!$AC$2:$AC$61,MATCH($B75,offices!$A$2:$A$61,0))),"")&lt;&gt;"","info: read the vetoes against the label; ",""))</f>
        <v/>
      </c>
      <c r="S75" s="25">
        <f>IF($A75="","",IF($G75&lt;&gt;"",$G75,IFERROR(IF(INDEX(offices!$AL$2:$AL$61,MATCH($B75,offices!$A$2:$A$61,0))="","",INDEX(offices!$AL$2:$AL$61,MATCH($B75,offices!$A$2:$A$61,0))),"")))</f>
        <v/>
      </c>
      <c r="T75" s="25">
        <f>IF($A75="","",$A75&amp;"."&amp;$B75)</f>
        <v/>
      </c>
      <c r="U75" s="25">
        <f>IF($A75="","",SUMIFS(inventory!$G$2:$G$801,inventory!$C$2:$C$801,$A75,inventory!$D$2:$D$801,$B75,inventory!$E$2:$E$801,"delivered"))</f>
        <v/>
      </c>
      <c r="V75" s="32">
        <f>IF($A75="","",IFERROR(1/(1/SUMPRODUCT(MAX((inventory!$C$2:$C$801=$A75)*(inventory!$D$2:$D$801=$B75)*(inventory!$E$2:$E$801="delivered")*(inventory!$A$2:$A$801+inventory!$B$2:$B$801)))),""))</f>
        <v/>
      </c>
      <c r="W75" s="25">
        <f>IF($A75="","",IFERROR(IF(INDEX(inventory!$J$2:$J$801,MATCH($A75&amp;"|"&amp;$B75&amp;"|delivered",inventory!$R$2:$R$801,0))="","",INDEX(inventory!$J$2:$J$801,MATCH($A75&amp;"|"&amp;$B75&amp;"|delivered",inventory!$R$2:$R$801,0))),""))</f>
        <v/>
      </c>
      <c r="X75" s="25">
        <f>IF($A75="","",IFERROR(IF(INDEX(photos!$H$2:$H$701,MATCH($A75&amp;"|"&amp;$B75&amp;"|placement|Y",photos!$R$2:$R$701,0))="","",INDEX(photos!$H$2:$H$701,MATCH($A75&amp;"|"&amp;$B75&amp;"|placement|Y",photos!$R$2:$R$701,0))),""))</f>
        <v/>
      </c>
      <c r="Y75" s="26">
        <f>IF($A75="","",IFERROR(IF(INDEX(photos!$E$2:$E$701,MATCH($A75&amp;"|"&amp;$B75&amp;"|placement|Y",photos!$R$2:$R$701,0))="","",INDEX(photos!$E$2:$E$701,MATCH($A75&amp;"|"&amp;$B75&amp;"|placement|Y",photos!$R$2:$R$701,0))),""))</f>
        <v/>
      </c>
      <c r="Z75" s="25">
        <f>IF($A75="","",IF(COUNTIFS(counts!$C$2:$C$701,$A75,counts!$D$2:$D$701,$B75,counts!$E$2:$E$701,"placed")=0,"",SUMIFS(counts!$F$2:$F$701,counts!$C$2:$C$701,$A75,counts!$D$2:$D$701,$B75,counts!$E$2:$E$701,"placed")))</f>
        <v/>
      </c>
      <c r="AA75" s="25">
        <f>IF($A75="","",IF($Y75="",0,N($Z75)))</f>
        <v/>
      </c>
      <c r="AB75" s="25">
        <f>IF($A75="","",IF(OR($Y75="",$I75=""),"N",IF($Y75&lt;=WORKDAY(N($I75),1,calendar!$A$2:$A$80),"Y","N")))</f>
        <v/>
      </c>
      <c r="AC75" s="28">
        <f>IF(OR($A75="",$V75="",$Y75=""),"",ROUND(($Y75+N(IFERROR(IF(INDEX(photos!$F$2:$F$701,MATCH($A75&amp;"|"&amp;$B75&amp;"|placement|Y",photos!$R$2:$R$701,0))="","",INDEX(photos!$F$2:$F$701,MATCH($A75&amp;"|"&amp;$B75&amp;"|placement|Y",photos!$R$2:$R$701,0))),""))-$V75)*24,1))</f>
        <v/>
      </c>
      <c r="AD75" s="25">
        <f>IF($A75="","",SUMIFS(inventory!$G$2:$G$801,inventory!$C$2:$C$801,$A75,inventory!$D$2:$D$801,$B75,inventory!$E$2:$E$801,"topped_up"))</f>
        <v/>
      </c>
      <c r="AE75" s="25">
        <f>IF($A75="","",IF(COUNTIFS(counts!$C$2:$C$701,$A75,counts!$D$2:$D$701,$B75,counts!$E$2:$E$701,"remaining_day3")=0,"",SUMIFS(counts!$F$2:$F$701,counts!$C$2:$C$701,$A75,counts!$D$2:$D$701,$B75,counts!$E$2:$E$701,"remaining_day3")))</f>
        <v/>
      </c>
      <c r="AF75" s="25">
        <f>IF($A75="","",IF(COUNTIFS(counts!$C$2:$C$701,$A75,counts!$D$2:$D$701,$B75,counts!$E$2:$E$701,"remaining_day5")=0,"",SUMIFS(counts!$F$2:$F$701,counts!$C$2:$C$701,$A75,counts!$D$2:$D$701,$B75,counts!$E$2:$E$701,"remaining_day5")))</f>
        <v/>
      </c>
      <c r="AG75" s="25">
        <f>IF(OR($A75="",$AF75=""),"",MAX(0,$AA75+$AD75-$AF75))</f>
        <v/>
      </c>
      <c r="AH75" s="25">
        <f>IF(OR($A75="",$AI75=""),"",IFERROR(IF(INDEX(photos!$H$2:$H$701,MATCH($A75&amp;"|"&amp;$B75&amp;"|later|Y|"&amp;$AI75,photos!$S$2:$S$701,0))="","",INDEX(photos!$H$2:$H$701,MATCH($A75&amp;"|"&amp;$B75&amp;"|later|Y|"&amp;$AI75,photos!$S$2:$S$701,0))),""))</f>
        <v/>
      </c>
      <c r="AI75" s="26">
        <f>IF($A75="","",IFERROR(1/(1/SUMPRODUCT(MAX((photos!$B$2:$B$701=$A75)*(photos!$C$2:$C$701=$B75)*(photos!$D$2:$D$701="later")*(photos!$O$2:$O$701="Y")*photos!$E$2:$E$701))),""))</f>
        <v/>
      </c>
      <c r="AJ75" s="25">
        <f>IF(OR($A75="",$AI75="",$I75=""),"",NETWORKDAYS($I75,$AI75,calendar!$A$2:$A$80))</f>
        <v/>
      </c>
      <c r="AK75" s="25">
        <f>IF($A75="","",IF(AND($X75&lt;&gt;"",$AH75&lt;&gt;""),"Y","N"))</f>
        <v/>
      </c>
      <c r="AL75" s="25">
        <f>IF(OR($A75="",$I75=""),"",IF($BC75="Y",SUMIFS(survey_frozen!$C$2:$C$251,survey_frozen!$P$2:$P$251,$A75&amp;"|"&amp;$B75),IFERROR(COUNTIFS(INDIRECT("'"&amp;$A75&amp;"'!$B$2:$B$501"),$T75,INDIRECT("'"&amp;$A75&amp;"'!$A$2:$A$501"),"&gt;="&amp;$I75,INDIRECT("'"&amp;$A75&amp;"'!$A$2:$A$501"),"&lt;"&amp;($BA75+1)),0)))</f>
        <v/>
      </c>
      <c r="AM75" s="25">
        <f>IF(OR($A75="",$I75=""),"",IF($BC75="Y",SUMIFS(survey_frozen!$D$2:$D$251,survey_frozen!$P$2:$P$251,$A75&amp;"|"&amp;$B75),IFERROR(COUNTIFS(INDIRECT("'"&amp;$A75&amp;"'!$B$2:$B$501"),$T75,INDIRECT("'"&amp;$A75&amp;"'!$A$2:$A$501"),"&gt;="&amp;$I75,INDIRECT("'"&amp;$A75&amp;"'!$A$2:$A$501"),"&lt;"&amp;($BA75+1),INDIRECT("'"&amp;$A75&amp;"'!$C$2:$C$501"),"Yes"),0)))</f>
        <v/>
      </c>
      <c r="AN75" s="25">
        <f>IF($A75="","",IF(COUNTIFS(scans!$C$2:$C$1601,(IF(LEFT($A75,7)="SAMPLE-","SAMPLE-","")&amp;LOWER(SUBSTITUTE(SUBSTITUTE($A75,"SAMPLE-",""),"CMP-","c"))&amp;"-"&amp;LOWER(SUBSTITUTE(SUBSTITUTE($B75,"SAMPLE-",""),"O-","o"))&amp;"-q"),scans!$D$2:$D$1601,"close")=0,"",SUMPRODUCT(MAX((scans!$C$2:$C$1601=(IF(LEFT($A75,7)="SAMPLE-","SAMPLE-","")&amp;LOWER(SUBSTITUTE(SUBSTITUTE($A75,"SAMPLE-",""),"CMP-","c"))&amp;"-"&amp;LOWER(SUBSTITUTE(SUBSTITUTE($B75,"SAMPLE-",""),"O-","o"))&amp;"-q"))*(scans!$D$2:$D$1601="close")*scans!$E$2:$E$1601))-SUMPRODUCT(MAX((scans!$C$2:$C$1601=(IF(LEFT($A75,7)="SAMPLE-","SAMPLE-","")&amp;LOWER(SUBSTITUTE(SUBSTITUTE($A75,"SAMPLE-",""),"CMP-","c"))&amp;"-"&amp;LOWER(SUBSTITUTE(SUBSTITUTE($B75,"SAMPLE-",""),"O-","o"))&amp;"-q"))*(scans!$D$2:$D$1601="baseline")*scans!$E$2:$E$1601))))</f>
        <v/>
      </c>
      <c r="AO75" s="25">
        <f>IF($A75="","",IF(COUNTIFS(scans!$C$2:$C$1601,(IF(LEFT($A75,7)="SAMPLE-","SAMPLE-","")&amp;LOWER(SUBSTITUTE(SUBSTITUTE($A75,"SAMPLE-",""),"CMP-","c"))&amp;"-"&amp;LOWER(SUBSTITUTE(SUBSTITUTE($B75,"SAMPLE-",""),"O-","o"))&amp;"-p"),scans!$D$2:$D$1601,"close")=0,"",SUMPRODUCT(MAX((scans!$C$2:$C$1601=(IF(LEFT($A75,7)="SAMPLE-","SAMPLE-","")&amp;LOWER(SUBSTITUTE(SUBSTITUTE($A75,"SAMPLE-",""),"CMP-","c"))&amp;"-"&amp;LOWER(SUBSTITUTE(SUBSTITUTE($B75,"SAMPLE-",""),"O-","o"))&amp;"-p"))*(scans!$D$2:$D$1601="close")*scans!$E$2:$E$1601))-SUMPRODUCT(MAX((scans!$C$2:$C$1601=(IF(LEFT($A75,7)="SAMPLE-","SAMPLE-","")&amp;LOWER(SUBSTITUTE(SUBSTITUTE($A75,"SAMPLE-",""),"CMP-","c"))&amp;"-"&amp;LOWER(SUBSTITUTE(SUBSTITUTE($B75,"SAMPLE-",""),"O-","o"))&amp;"-p"))*(scans!$D$2:$D$1601="baseline")*scans!$E$2:$E$1601))))</f>
        <v/>
      </c>
      <c r="AP75" s="25">
        <f>IF($A75="","",IF(COUNTIF(offices!$A$2:$A$61,$B75)=0,"office_id not on offices; ","")&amp;IF(COUNTIF(campaigns!$A$2:$A$51,$A75)=0,"campaign_id not on campaigns; ","")&amp;IF($P75="pending","approval pending; ","")&amp;IF(AND($U75&gt;0,$Y75="",OR($I75="",IF(config!$B$37&lt;&gt;"",config!$B$37,TODAY())&lt;=WORKDAY(N($I75),4,calendar!$A$2:$A$80))),"no usable placement photo yet; ","")&amp;IF(AND($Y75&lt;&gt;"",$Z75=""),"log the placed count; ","")&amp;IF(N($AA75)&gt;N($U75),"placed more than delivered; ","")&amp;IF(AND($AF75&lt;&gt;"",N($AF75)&gt;N($AA75)+N($AD75)),"day-5 count above placed plus top-ups; ","")&amp;IF(AND($U75&gt;0,$I75&lt;&gt;"",IF(config!$B$37&lt;&gt;"",config!$B$37,TODAY())&gt;WORKDAY(N($I75),4,calendar!$A$2:$A$80),$AF75=""),"day-5 count missing; ","")&amp;IF(AND($U75&gt;0,$I75&lt;&gt;"",IF(config!$B$37&lt;&gt;"",config!$B$37,TODAY())&gt;WORKDAY(N($I75),4,calendar!$A$2:$A$80),$AN75=""),"no close link reading; ","")&amp;$R75&amp;IF($P75="N","info: office said no; ","")&amp;IF(AND($P75="Y",$Q75="N"),"info: turned away at the door, so not on the drop (no letter, not in the report or Gate 2; the credit check is on campaigns); ","")&amp;IF(AND($U75&gt;0,$Y75="",$I75&lt;&gt;"",IF(config!$B$37&lt;&gt;"",config!$B$37,TODAY())&gt;WORKDAY(N($I75),4,calendar!$A$2:$A$80)),"info: no usable placement photo, so nothing counts as placed; ","")&amp;IF(AND($U75&gt;0,$I75&lt;&gt;"",IF(config!$B$37&lt;&gt;"",config!$B$37,TODAY())&gt;WORKDAY(N($I75),4,calendar!$A$2:$A$80),N($AL75)&lt;config!$B$30),"info: under "&amp;config!$B$30&amp;" responses; ","")&amp;IF($W75="packing_list","info: delivered count not verified; ",""))</f>
        <v/>
      </c>
      <c r="AQ75" s="25">
        <f>IF(OR($A75="",$I75=""),"",IF($BC75="Y",SUMIFS(survey_frozen!$E$2:$E$251,survey_frozen!$P$2:$P$251,$A75&amp;"|"&amp;$B75),IFERROR(COUNTIFS(INDIRECT("'"&amp;$A75&amp;"'!$B$2:$B$501"),$T75,INDIRECT("'"&amp;$A75&amp;"'!$A$2:$A$501"),"&gt;="&amp;$I75,INDIRECT("'"&amp;$A75&amp;"'!$A$2:$A$501"),"&lt;"&amp;($BA75+1),INDIRECT("'"&amp;$A75&amp;"'!$F$2:$F$501"),"Didn't see it"),0)))</f>
        <v/>
      </c>
      <c r="AR75" s="25">
        <f>IF(OR($A75="",$I75=""),"",IF($BC75="Y",SUMIFS(survey_frozen!$F$2:$F$251,survey_frozen!$P$2:$P$251,$A75&amp;"|"&amp;$B75),IFERROR(COUNTIFS(INDIRECT("'"&amp;$A75&amp;"'!$B$2:$B$501"),$T75,INDIRECT("'"&amp;$A75&amp;"'!$A$2:$A$501"),"&gt;="&amp;$I75,INDIRECT("'"&amp;$A75&amp;"'!$A$2:$A$501"),"&lt;"&amp;($BA75+1),INDIRECT("'"&amp;$A75&amp;"'!$F$2:$F$501"),"Not for me"),0)))</f>
        <v/>
      </c>
      <c r="AS75" s="25">
        <f>IF(OR($A75="",$I75=""),"",IF($BC75="Y",SUMIFS(survey_frozen!$G$2:$G$251,survey_frozen!$P$2:$P$251,$A75&amp;"|"&amp;$B75),IFERROR(COUNTIFS(INDIRECT("'"&amp;$A75&amp;"'!$B$2:$B$501"),$T75,INDIRECT("'"&amp;$A75&amp;"'!$A$2:$A$501"),"&gt;="&amp;$I75,INDIRECT("'"&amp;$A75&amp;"'!$A$2:$A$501"),"&lt;"&amp;($BA75+1),INDIRECT("'"&amp;$A75&amp;"'!$F$2:$F$501"),"Gone by the time I looked"),0)))</f>
        <v/>
      </c>
      <c r="AT75" s="25">
        <f>IF(OR($A75="",$I75=""),"",IF($BC75="Y",SUMIFS(survey_frozen!$H$2:$H$251,survey_frozen!$P$2:$P$251,$A75&amp;"|"&amp;$B75),IFERROR(COUNTIFS(INDIRECT("'"&amp;$A75&amp;"'!$B$2:$B$501"),$T75,INDIRECT("'"&amp;$A75&amp;"'!$A$2:$A$501"),"&gt;="&amp;$I75,INDIRECT("'"&amp;$A75&amp;"'!$A$2:$A$501"),"&lt;"&amp;($BA75+1),INDIRECT("'"&amp;$A75&amp;"'!$D$2:$D$501"),"&gt;=1"),0)))</f>
        <v/>
      </c>
      <c r="AU75" s="25">
        <f>IF(OR($A75="",$I75=""),"",IF($BC75="Y",SUMIFS(survey_frozen!$I$2:$I$251,survey_frozen!$P$2:$P$251,$A75&amp;"|"&amp;$B75),IFERROR(SUMIFS(INDIRECT("'"&amp;$A75&amp;"'!$D$2:$D$501"),INDIRECT("'"&amp;$A75&amp;"'!$B$2:$B$501"),$T75,INDIRECT("'"&amp;$A75&amp;"'!$A$2:$A$501"),"&gt;="&amp;$I75,INDIRECT("'"&amp;$A75&amp;"'!$A$2:$A$501"),"&lt;"&amp;($BA75+1)),0)))</f>
        <v/>
      </c>
      <c r="AV75" s="25">
        <f>IF(OR($A75="",$I75=""),"",IF($BC75="Y",SUMIFS(survey_frozen!$J$2:$J$251,survey_frozen!$P$2:$P$251,$A75&amp;"|"&amp;$B75),IFERROR(COUNTIFS(INDIRECT("'"&amp;$A75&amp;"'!$B$2:$B$501"),$T75,INDIRECT("'"&amp;$A75&amp;"'!$A$2:$A$501"),"&gt;="&amp;$I75,INDIRECT("'"&amp;$A75&amp;"'!$A$2:$A$501"),"&lt;"&amp;($BA75+1),INDIRECT("'"&amp;$A75&amp;"'!$E$2:$E$501"),"Yes"),0)))</f>
        <v/>
      </c>
      <c r="AW75" s="25">
        <f>IF(OR($A75="",$I75=""),"",IF($BC75="Y",SUMIFS(survey_frozen!$K$2:$K$251,survey_frozen!$P$2:$P$251,$A75&amp;"|"&amp;$B75),IFERROR(COUNTIFS(INDIRECT("'"&amp;$A75&amp;"'!$B$2:$B$501"),$T75,INDIRECT("'"&amp;$A75&amp;"'!$A$2:$A$501"),"&gt;="&amp;$I75,INDIRECT("'"&amp;$A75&amp;"'!$A$2:$A$501"),"&lt;"&amp;($BA75+1),INDIRECT("'"&amp;$A75&amp;"'!$E$2:$E$501"),"Maybe"),0)))</f>
        <v/>
      </c>
      <c r="AX75" s="25">
        <f>IF(OR($A75="",$I75=""),"",IF($BC75="Y",SUMIFS(survey_frozen!$L$2:$L$251,survey_frozen!$P$2:$P$251,$A75&amp;"|"&amp;$B75),IFERROR(COUNTIFS(INDIRECT("'"&amp;$A75&amp;"'!$B$2:$B$501"),$T75,INDIRECT("'"&amp;$A75&amp;"'!$A$2:$A$501"),"&gt;="&amp;$I75,INDIRECT("'"&amp;$A75&amp;"'!$A$2:$A$501"),"&lt;"&amp;($BA75+1),INDIRECT("'"&amp;$A75&amp;"'!$E$2:$E$501"),"No"),0)))</f>
        <v/>
      </c>
      <c r="AY75" s="25">
        <f>IF(OR($A75="",$I75=""),"",IF($BC75="Y",SUMIFS(survey_frozen!$M$2:$M$251,survey_frozen!$P$2:$P$251,$A75&amp;"|"&amp;$B75),IFERROR(COUNTIFS(INDIRECT("'"&amp;$A75&amp;"'!$B$2:$B$501"),$T75,INDIRECT("'"&amp;$A75&amp;"'!$A$2:$A$501"),"&gt;="&amp;$I75,INDIRECT("'"&amp;$A75&amp;"'!$A$2:$A$501"),"&lt;"&amp;($BA75+1),INDIRECT("'"&amp;$A75&amp;"'!$G$2:$G$501"),"&lt;&gt;"),0)))</f>
        <v/>
      </c>
      <c r="AZ75" s="25">
        <f>IF($A75="","",$A75&amp;"|"&amp;$L75)</f>
        <v/>
      </c>
      <c r="BA75" s="26">
        <f>IF($A75="","",IFERROR(IF(INDEX(drops!$R$2:$R$21,MATCH($H75,drops!$A$2:$A$21,0))="","",INDEX(drops!$R$2:$R$21,MATCH($H75,drops!$A$2:$A$21,0))),""))</f>
        <v/>
      </c>
      <c r="BB75" s="25">
        <f>IF(OR($A75="",$Q75&lt;&gt;"Y"),1000000,N($AL75))</f>
        <v/>
      </c>
      <c r="BC75" s="25">
        <f>IF($A75="","",IF(COUNTIF(survey_frozen!$P$2:$P$251,$A75&amp;"|"&amp;$B75)&gt;0,"Y",""))</f>
        <v/>
      </c>
    </row>
    <row r="76">
      <c r="C76" s="9" t="n"/>
      <c r="E76" s="9" t="n"/>
      <c r="H76" s="25">
        <f>IF($A76="","",IFERROR(IF(INDEX(campaigns!$B$2:$B$51,MATCH($A76,campaigns!$A$2:$A$51,0))="","",INDEX(campaigns!$B$2:$B$51,MATCH($A76,campaigns!$A$2:$A$51,0))),""))</f>
        <v/>
      </c>
      <c r="I76" s="26">
        <f>IF($A76="","",IFERROR(IF(INDEX(campaigns!$BG$2:$BG$51,MATCH($A76,campaigns!$A$2:$A$51,0))="","",INDEX(campaigns!$BG$2:$BG$51,MATCH($A76,campaigns!$A$2:$A$51,0))),""))</f>
        <v/>
      </c>
      <c r="J76" s="25">
        <f>IF($A76="","",IFERROR(IF(INDEX(campaigns!$BE$2:$BE$51,MATCH($A76,campaigns!$A$2:$A$51,0))="","",INDEX(campaigns!$BE$2:$BE$51,MATCH($A76,campaigns!$A$2:$A$51,0))),""))</f>
        <v/>
      </c>
      <c r="K76" s="25">
        <f>IF($B76="","",IFERROR(IF(INDEX(offices!$N$2:$N$61,MATCH($B76,offices!$A$2:$A$61,0))="","",INDEX(offices!$N$2:$N$61,MATCH($B76,offices!$A$2:$A$61,0))),""))</f>
        <v/>
      </c>
      <c r="L76" s="25">
        <f>IF($A76="","",IF($Q76="N","",COUNTIFS($A$2:$A76,$A76,$Q$2:$Q76,"&lt;&gt;N")))</f>
        <v/>
      </c>
      <c r="M76" s="25">
        <f>IF(OR($A76="",$L76=""),"",IF(AND(config!$B$34="names_if_public",IFERROR(IF(INDEX(offices!$AF$2:$AF$61,MATCH($B76,offices!$A$2:$A$61,0))="","",INDEX(offices!$AF$2:$AF$61,MATCH($B76,offices!$A$2:$A$61,0))),"")="Y"),$K76,CHAR(64+$L76)))</f>
        <v/>
      </c>
      <c r="N76" s="25">
        <f>IF(OR($A76="",$I76=""),"",COUNTIFS(stops!$B$2:$B$151,$B76,stops!$P$2:$P$151,"&lt;"&amp;$I76,stops!$L$2:$L$151,"&lt;&gt;not_delivered")+1)</f>
        <v/>
      </c>
      <c r="O76" s="25">
        <f>IF($A76="","",IF(N($N76)&lt;=config!$B$29,"explicit","opt-out"))</f>
        <v/>
      </c>
      <c r="P76" s="25">
        <f>IF($A76="","",IF($O76="explicit",IF($D76="yes","Y",IF($D76="no","N","pending")),IF($D76="no","N",IF(AND($C76&lt;&gt;"",$I76&lt;&gt;"",$C76&lt;=WORKDAY(N($I76),-5,calendar!$A$2:$A$80)),"Y","pending"))))</f>
        <v/>
      </c>
      <c r="Q76" s="25">
        <f>IF($A76="","",IF($P76="N","N",IF($P76&lt;&gt;"Y","pending",IF(AND((COUNTIFS(stops!$A$2:$A$151,$H76,stops!$B$2:$B$151,$B76,stops!$L$2:$L$151,"declined")+COUNTIFS(stops!$A$2:$A$151,$H76,stops!$B$2:$B$151,$B76,stops!$L$2:$L$151,"building_refused")+COUNTIFS(stops!$A$2:$A$151,$H76,stops!$B$2:$B$151,$B76,stops!$L$2:$L$151,"not_delivered"))&gt;0,N($U76)=0),"N","Y"))))</f>
        <v/>
      </c>
      <c r="R76" s="25">
        <f>IF($A76="","",IF(COUNTIFS($A$2:$A$251,$A76,$B$2:$B$251,$B76)&gt;1,"DUPLICATE ROW; ","")&amp;IF(AND(IFERROR(IF(INDEX(offices!$AC$2:$AC$61,MATCH($B76,offices!$A$2:$A$61,0))="","",INDEX(offices!$AC$2:$AC$61,MATCH($B76,offices!$A$2:$A$61,0))),"")&lt;&gt;"",ISNUMBER(SEARCH($J76,IFERROR(IF(INDEX(offices!$AC$2:$AC$61,MATCH($B76,offices!$A$2:$A$61,0))="","",INDEX(offices!$AC$2:$AC$61,MATCH($B76,offices!$A$2:$A$61,0))),"")))),"BRAND VETOED; ","")&amp;IF(ISNUMBER(SEARCH(IFERROR(IF(INDEX(campaigns!$BF$2:$BF$51,MATCH($A76,campaigns!$A$2:$A$51,0))="","",INDEX(campaigns!$BF$2:$BF$51,MATCH($A76,campaigns!$A$2:$A$51,0))),""),IFERROR(IF(INDEX(offices!$AB$2:$AB$61,MATCH($B76,offices!$A$2:$A$61,0))="","",INDEX(offices!$AB$2:$AB$61,MATCH($B76,offices!$A$2:$A$61,0))),""))),"","info: category not on the office's list; ")&amp;IF(IFERROR(IF(INDEX(offices!$AC$2:$AC$61,MATCH($B76,offices!$A$2:$A$61,0))="","",INDEX(offices!$AC$2:$AC$61,MATCH($B76,offices!$A$2:$A$61,0))),"")&lt;&gt;"","info: read the vetoes against the label; ",""))</f>
        <v/>
      </c>
      <c r="S76" s="25">
        <f>IF($A76="","",IF($G76&lt;&gt;"",$G76,IFERROR(IF(INDEX(offices!$AL$2:$AL$61,MATCH($B76,offices!$A$2:$A$61,0))="","",INDEX(offices!$AL$2:$AL$61,MATCH($B76,offices!$A$2:$A$61,0))),"")))</f>
        <v/>
      </c>
      <c r="T76" s="25">
        <f>IF($A76="","",$A76&amp;"."&amp;$B76)</f>
        <v/>
      </c>
      <c r="U76" s="25">
        <f>IF($A76="","",SUMIFS(inventory!$G$2:$G$801,inventory!$C$2:$C$801,$A76,inventory!$D$2:$D$801,$B76,inventory!$E$2:$E$801,"delivered"))</f>
        <v/>
      </c>
      <c r="V76" s="32">
        <f>IF($A76="","",IFERROR(1/(1/SUMPRODUCT(MAX((inventory!$C$2:$C$801=$A76)*(inventory!$D$2:$D$801=$B76)*(inventory!$E$2:$E$801="delivered")*(inventory!$A$2:$A$801+inventory!$B$2:$B$801)))),""))</f>
        <v/>
      </c>
      <c r="W76" s="25">
        <f>IF($A76="","",IFERROR(IF(INDEX(inventory!$J$2:$J$801,MATCH($A76&amp;"|"&amp;$B76&amp;"|delivered",inventory!$R$2:$R$801,0))="","",INDEX(inventory!$J$2:$J$801,MATCH($A76&amp;"|"&amp;$B76&amp;"|delivered",inventory!$R$2:$R$801,0))),""))</f>
        <v/>
      </c>
      <c r="X76" s="25">
        <f>IF($A76="","",IFERROR(IF(INDEX(photos!$H$2:$H$701,MATCH($A76&amp;"|"&amp;$B76&amp;"|placement|Y",photos!$R$2:$R$701,0))="","",INDEX(photos!$H$2:$H$701,MATCH($A76&amp;"|"&amp;$B76&amp;"|placement|Y",photos!$R$2:$R$701,0))),""))</f>
        <v/>
      </c>
      <c r="Y76" s="26">
        <f>IF($A76="","",IFERROR(IF(INDEX(photos!$E$2:$E$701,MATCH($A76&amp;"|"&amp;$B76&amp;"|placement|Y",photos!$R$2:$R$701,0))="","",INDEX(photos!$E$2:$E$701,MATCH($A76&amp;"|"&amp;$B76&amp;"|placement|Y",photos!$R$2:$R$701,0))),""))</f>
        <v/>
      </c>
      <c r="Z76" s="25">
        <f>IF($A76="","",IF(COUNTIFS(counts!$C$2:$C$701,$A76,counts!$D$2:$D$701,$B76,counts!$E$2:$E$701,"placed")=0,"",SUMIFS(counts!$F$2:$F$701,counts!$C$2:$C$701,$A76,counts!$D$2:$D$701,$B76,counts!$E$2:$E$701,"placed")))</f>
        <v/>
      </c>
      <c r="AA76" s="25">
        <f>IF($A76="","",IF($Y76="",0,N($Z76)))</f>
        <v/>
      </c>
      <c r="AB76" s="25">
        <f>IF($A76="","",IF(OR($Y76="",$I76=""),"N",IF($Y76&lt;=WORKDAY(N($I76),1,calendar!$A$2:$A$80),"Y","N")))</f>
        <v/>
      </c>
      <c r="AC76" s="28">
        <f>IF(OR($A76="",$V76="",$Y76=""),"",ROUND(($Y76+N(IFERROR(IF(INDEX(photos!$F$2:$F$701,MATCH($A76&amp;"|"&amp;$B76&amp;"|placement|Y",photos!$R$2:$R$701,0))="","",INDEX(photos!$F$2:$F$701,MATCH($A76&amp;"|"&amp;$B76&amp;"|placement|Y",photos!$R$2:$R$701,0))),""))-$V76)*24,1))</f>
        <v/>
      </c>
      <c r="AD76" s="25">
        <f>IF($A76="","",SUMIFS(inventory!$G$2:$G$801,inventory!$C$2:$C$801,$A76,inventory!$D$2:$D$801,$B76,inventory!$E$2:$E$801,"topped_up"))</f>
        <v/>
      </c>
      <c r="AE76" s="25">
        <f>IF($A76="","",IF(COUNTIFS(counts!$C$2:$C$701,$A76,counts!$D$2:$D$701,$B76,counts!$E$2:$E$701,"remaining_day3")=0,"",SUMIFS(counts!$F$2:$F$701,counts!$C$2:$C$701,$A76,counts!$D$2:$D$701,$B76,counts!$E$2:$E$701,"remaining_day3")))</f>
        <v/>
      </c>
      <c r="AF76" s="25">
        <f>IF($A76="","",IF(COUNTIFS(counts!$C$2:$C$701,$A76,counts!$D$2:$D$701,$B76,counts!$E$2:$E$701,"remaining_day5")=0,"",SUMIFS(counts!$F$2:$F$701,counts!$C$2:$C$701,$A76,counts!$D$2:$D$701,$B76,counts!$E$2:$E$701,"remaining_day5")))</f>
        <v/>
      </c>
      <c r="AG76" s="25">
        <f>IF(OR($A76="",$AF76=""),"",MAX(0,$AA76+$AD76-$AF76))</f>
        <v/>
      </c>
      <c r="AH76" s="25">
        <f>IF(OR($A76="",$AI76=""),"",IFERROR(IF(INDEX(photos!$H$2:$H$701,MATCH($A76&amp;"|"&amp;$B76&amp;"|later|Y|"&amp;$AI76,photos!$S$2:$S$701,0))="","",INDEX(photos!$H$2:$H$701,MATCH($A76&amp;"|"&amp;$B76&amp;"|later|Y|"&amp;$AI76,photos!$S$2:$S$701,0))),""))</f>
        <v/>
      </c>
      <c r="AI76" s="26">
        <f>IF($A76="","",IFERROR(1/(1/SUMPRODUCT(MAX((photos!$B$2:$B$701=$A76)*(photos!$C$2:$C$701=$B76)*(photos!$D$2:$D$701="later")*(photos!$O$2:$O$701="Y")*photos!$E$2:$E$701))),""))</f>
        <v/>
      </c>
      <c r="AJ76" s="25">
        <f>IF(OR($A76="",$AI76="",$I76=""),"",NETWORKDAYS($I76,$AI76,calendar!$A$2:$A$80))</f>
        <v/>
      </c>
      <c r="AK76" s="25">
        <f>IF($A76="","",IF(AND($X76&lt;&gt;"",$AH76&lt;&gt;""),"Y","N"))</f>
        <v/>
      </c>
      <c r="AL76" s="25">
        <f>IF(OR($A76="",$I76=""),"",IF($BC76="Y",SUMIFS(survey_frozen!$C$2:$C$251,survey_frozen!$P$2:$P$251,$A76&amp;"|"&amp;$B76),IFERROR(COUNTIFS(INDIRECT("'"&amp;$A76&amp;"'!$B$2:$B$501"),$T76,INDIRECT("'"&amp;$A76&amp;"'!$A$2:$A$501"),"&gt;="&amp;$I76,INDIRECT("'"&amp;$A76&amp;"'!$A$2:$A$501"),"&lt;"&amp;($BA76+1)),0)))</f>
        <v/>
      </c>
      <c r="AM76" s="25">
        <f>IF(OR($A76="",$I76=""),"",IF($BC76="Y",SUMIFS(survey_frozen!$D$2:$D$251,survey_frozen!$P$2:$P$251,$A76&amp;"|"&amp;$B76),IFERROR(COUNTIFS(INDIRECT("'"&amp;$A76&amp;"'!$B$2:$B$501"),$T76,INDIRECT("'"&amp;$A76&amp;"'!$A$2:$A$501"),"&gt;="&amp;$I76,INDIRECT("'"&amp;$A76&amp;"'!$A$2:$A$501"),"&lt;"&amp;($BA76+1),INDIRECT("'"&amp;$A76&amp;"'!$C$2:$C$501"),"Yes"),0)))</f>
        <v/>
      </c>
      <c r="AN76" s="25">
        <f>IF($A76="","",IF(COUNTIFS(scans!$C$2:$C$1601,(IF(LEFT($A76,7)="SAMPLE-","SAMPLE-","")&amp;LOWER(SUBSTITUTE(SUBSTITUTE($A76,"SAMPLE-",""),"CMP-","c"))&amp;"-"&amp;LOWER(SUBSTITUTE(SUBSTITUTE($B76,"SAMPLE-",""),"O-","o"))&amp;"-q"),scans!$D$2:$D$1601,"close")=0,"",SUMPRODUCT(MAX((scans!$C$2:$C$1601=(IF(LEFT($A76,7)="SAMPLE-","SAMPLE-","")&amp;LOWER(SUBSTITUTE(SUBSTITUTE($A76,"SAMPLE-",""),"CMP-","c"))&amp;"-"&amp;LOWER(SUBSTITUTE(SUBSTITUTE($B76,"SAMPLE-",""),"O-","o"))&amp;"-q"))*(scans!$D$2:$D$1601="close")*scans!$E$2:$E$1601))-SUMPRODUCT(MAX((scans!$C$2:$C$1601=(IF(LEFT($A76,7)="SAMPLE-","SAMPLE-","")&amp;LOWER(SUBSTITUTE(SUBSTITUTE($A76,"SAMPLE-",""),"CMP-","c"))&amp;"-"&amp;LOWER(SUBSTITUTE(SUBSTITUTE($B76,"SAMPLE-",""),"O-","o"))&amp;"-q"))*(scans!$D$2:$D$1601="baseline")*scans!$E$2:$E$1601))))</f>
        <v/>
      </c>
      <c r="AO76" s="25">
        <f>IF($A76="","",IF(COUNTIFS(scans!$C$2:$C$1601,(IF(LEFT($A76,7)="SAMPLE-","SAMPLE-","")&amp;LOWER(SUBSTITUTE(SUBSTITUTE($A76,"SAMPLE-",""),"CMP-","c"))&amp;"-"&amp;LOWER(SUBSTITUTE(SUBSTITUTE($B76,"SAMPLE-",""),"O-","o"))&amp;"-p"),scans!$D$2:$D$1601,"close")=0,"",SUMPRODUCT(MAX((scans!$C$2:$C$1601=(IF(LEFT($A76,7)="SAMPLE-","SAMPLE-","")&amp;LOWER(SUBSTITUTE(SUBSTITUTE($A76,"SAMPLE-",""),"CMP-","c"))&amp;"-"&amp;LOWER(SUBSTITUTE(SUBSTITUTE($B76,"SAMPLE-",""),"O-","o"))&amp;"-p"))*(scans!$D$2:$D$1601="close")*scans!$E$2:$E$1601))-SUMPRODUCT(MAX((scans!$C$2:$C$1601=(IF(LEFT($A76,7)="SAMPLE-","SAMPLE-","")&amp;LOWER(SUBSTITUTE(SUBSTITUTE($A76,"SAMPLE-",""),"CMP-","c"))&amp;"-"&amp;LOWER(SUBSTITUTE(SUBSTITUTE($B76,"SAMPLE-",""),"O-","o"))&amp;"-p"))*(scans!$D$2:$D$1601="baseline")*scans!$E$2:$E$1601))))</f>
        <v/>
      </c>
      <c r="AP76" s="25">
        <f>IF($A76="","",IF(COUNTIF(offices!$A$2:$A$61,$B76)=0,"office_id not on offices; ","")&amp;IF(COUNTIF(campaigns!$A$2:$A$51,$A76)=0,"campaign_id not on campaigns; ","")&amp;IF($P76="pending","approval pending; ","")&amp;IF(AND($U76&gt;0,$Y76="",OR($I76="",IF(config!$B$37&lt;&gt;"",config!$B$37,TODAY())&lt;=WORKDAY(N($I76),4,calendar!$A$2:$A$80))),"no usable placement photo yet; ","")&amp;IF(AND($Y76&lt;&gt;"",$Z76=""),"log the placed count; ","")&amp;IF(N($AA76)&gt;N($U76),"placed more than delivered; ","")&amp;IF(AND($AF76&lt;&gt;"",N($AF76)&gt;N($AA76)+N($AD76)),"day-5 count above placed plus top-ups; ","")&amp;IF(AND($U76&gt;0,$I76&lt;&gt;"",IF(config!$B$37&lt;&gt;"",config!$B$37,TODAY())&gt;WORKDAY(N($I76),4,calendar!$A$2:$A$80),$AF76=""),"day-5 count missing; ","")&amp;IF(AND($U76&gt;0,$I76&lt;&gt;"",IF(config!$B$37&lt;&gt;"",config!$B$37,TODAY())&gt;WORKDAY(N($I76),4,calendar!$A$2:$A$80),$AN76=""),"no close link reading; ","")&amp;$R76&amp;IF($P76="N","info: office said no; ","")&amp;IF(AND($P76="Y",$Q76="N"),"info: turned away at the door, so not on the drop (no letter, not in the report or Gate 2; the credit check is on campaigns); ","")&amp;IF(AND($U76&gt;0,$Y76="",$I76&lt;&gt;"",IF(config!$B$37&lt;&gt;"",config!$B$37,TODAY())&gt;WORKDAY(N($I76),4,calendar!$A$2:$A$80)),"info: no usable placement photo, so nothing counts as placed; ","")&amp;IF(AND($U76&gt;0,$I76&lt;&gt;"",IF(config!$B$37&lt;&gt;"",config!$B$37,TODAY())&gt;WORKDAY(N($I76),4,calendar!$A$2:$A$80),N($AL76)&lt;config!$B$30),"info: under "&amp;config!$B$30&amp;" responses; ","")&amp;IF($W76="packing_list","info: delivered count not verified; ",""))</f>
        <v/>
      </c>
      <c r="AQ76" s="25">
        <f>IF(OR($A76="",$I76=""),"",IF($BC76="Y",SUMIFS(survey_frozen!$E$2:$E$251,survey_frozen!$P$2:$P$251,$A76&amp;"|"&amp;$B76),IFERROR(COUNTIFS(INDIRECT("'"&amp;$A76&amp;"'!$B$2:$B$501"),$T76,INDIRECT("'"&amp;$A76&amp;"'!$A$2:$A$501"),"&gt;="&amp;$I76,INDIRECT("'"&amp;$A76&amp;"'!$A$2:$A$501"),"&lt;"&amp;($BA76+1),INDIRECT("'"&amp;$A76&amp;"'!$F$2:$F$501"),"Didn't see it"),0)))</f>
        <v/>
      </c>
      <c r="AR76" s="25">
        <f>IF(OR($A76="",$I76=""),"",IF($BC76="Y",SUMIFS(survey_frozen!$F$2:$F$251,survey_frozen!$P$2:$P$251,$A76&amp;"|"&amp;$B76),IFERROR(COUNTIFS(INDIRECT("'"&amp;$A76&amp;"'!$B$2:$B$501"),$T76,INDIRECT("'"&amp;$A76&amp;"'!$A$2:$A$501"),"&gt;="&amp;$I76,INDIRECT("'"&amp;$A76&amp;"'!$A$2:$A$501"),"&lt;"&amp;($BA76+1),INDIRECT("'"&amp;$A76&amp;"'!$F$2:$F$501"),"Not for me"),0)))</f>
        <v/>
      </c>
      <c r="AS76" s="25">
        <f>IF(OR($A76="",$I76=""),"",IF($BC76="Y",SUMIFS(survey_frozen!$G$2:$G$251,survey_frozen!$P$2:$P$251,$A76&amp;"|"&amp;$B76),IFERROR(COUNTIFS(INDIRECT("'"&amp;$A76&amp;"'!$B$2:$B$501"),$T76,INDIRECT("'"&amp;$A76&amp;"'!$A$2:$A$501"),"&gt;="&amp;$I76,INDIRECT("'"&amp;$A76&amp;"'!$A$2:$A$501"),"&lt;"&amp;($BA76+1),INDIRECT("'"&amp;$A76&amp;"'!$F$2:$F$501"),"Gone by the time I looked"),0)))</f>
        <v/>
      </c>
      <c r="AT76" s="25">
        <f>IF(OR($A76="",$I76=""),"",IF($BC76="Y",SUMIFS(survey_frozen!$H$2:$H$251,survey_frozen!$P$2:$P$251,$A76&amp;"|"&amp;$B76),IFERROR(COUNTIFS(INDIRECT("'"&amp;$A76&amp;"'!$B$2:$B$501"),$T76,INDIRECT("'"&amp;$A76&amp;"'!$A$2:$A$501"),"&gt;="&amp;$I76,INDIRECT("'"&amp;$A76&amp;"'!$A$2:$A$501"),"&lt;"&amp;($BA76+1),INDIRECT("'"&amp;$A76&amp;"'!$D$2:$D$501"),"&gt;=1"),0)))</f>
        <v/>
      </c>
      <c r="AU76" s="25">
        <f>IF(OR($A76="",$I76=""),"",IF($BC76="Y",SUMIFS(survey_frozen!$I$2:$I$251,survey_frozen!$P$2:$P$251,$A76&amp;"|"&amp;$B76),IFERROR(SUMIFS(INDIRECT("'"&amp;$A76&amp;"'!$D$2:$D$501"),INDIRECT("'"&amp;$A76&amp;"'!$B$2:$B$501"),$T76,INDIRECT("'"&amp;$A76&amp;"'!$A$2:$A$501"),"&gt;="&amp;$I76,INDIRECT("'"&amp;$A76&amp;"'!$A$2:$A$501"),"&lt;"&amp;($BA76+1)),0)))</f>
        <v/>
      </c>
      <c r="AV76" s="25">
        <f>IF(OR($A76="",$I76=""),"",IF($BC76="Y",SUMIFS(survey_frozen!$J$2:$J$251,survey_frozen!$P$2:$P$251,$A76&amp;"|"&amp;$B76),IFERROR(COUNTIFS(INDIRECT("'"&amp;$A76&amp;"'!$B$2:$B$501"),$T76,INDIRECT("'"&amp;$A76&amp;"'!$A$2:$A$501"),"&gt;="&amp;$I76,INDIRECT("'"&amp;$A76&amp;"'!$A$2:$A$501"),"&lt;"&amp;($BA76+1),INDIRECT("'"&amp;$A76&amp;"'!$E$2:$E$501"),"Yes"),0)))</f>
        <v/>
      </c>
      <c r="AW76" s="25">
        <f>IF(OR($A76="",$I76=""),"",IF($BC76="Y",SUMIFS(survey_frozen!$K$2:$K$251,survey_frozen!$P$2:$P$251,$A76&amp;"|"&amp;$B76),IFERROR(COUNTIFS(INDIRECT("'"&amp;$A76&amp;"'!$B$2:$B$501"),$T76,INDIRECT("'"&amp;$A76&amp;"'!$A$2:$A$501"),"&gt;="&amp;$I76,INDIRECT("'"&amp;$A76&amp;"'!$A$2:$A$501"),"&lt;"&amp;($BA76+1),INDIRECT("'"&amp;$A76&amp;"'!$E$2:$E$501"),"Maybe"),0)))</f>
        <v/>
      </c>
      <c r="AX76" s="25">
        <f>IF(OR($A76="",$I76=""),"",IF($BC76="Y",SUMIFS(survey_frozen!$L$2:$L$251,survey_frozen!$P$2:$P$251,$A76&amp;"|"&amp;$B76),IFERROR(COUNTIFS(INDIRECT("'"&amp;$A76&amp;"'!$B$2:$B$501"),$T76,INDIRECT("'"&amp;$A76&amp;"'!$A$2:$A$501"),"&gt;="&amp;$I76,INDIRECT("'"&amp;$A76&amp;"'!$A$2:$A$501"),"&lt;"&amp;($BA76+1),INDIRECT("'"&amp;$A76&amp;"'!$E$2:$E$501"),"No"),0)))</f>
        <v/>
      </c>
      <c r="AY76" s="25">
        <f>IF(OR($A76="",$I76=""),"",IF($BC76="Y",SUMIFS(survey_frozen!$M$2:$M$251,survey_frozen!$P$2:$P$251,$A76&amp;"|"&amp;$B76),IFERROR(COUNTIFS(INDIRECT("'"&amp;$A76&amp;"'!$B$2:$B$501"),$T76,INDIRECT("'"&amp;$A76&amp;"'!$A$2:$A$501"),"&gt;="&amp;$I76,INDIRECT("'"&amp;$A76&amp;"'!$A$2:$A$501"),"&lt;"&amp;($BA76+1),INDIRECT("'"&amp;$A76&amp;"'!$G$2:$G$501"),"&lt;&gt;"),0)))</f>
        <v/>
      </c>
      <c r="AZ76" s="25">
        <f>IF($A76="","",$A76&amp;"|"&amp;$L76)</f>
        <v/>
      </c>
      <c r="BA76" s="26">
        <f>IF($A76="","",IFERROR(IF(INDEX(drops!$R$2:$R$21,MATCH($H76,drops!$A$2:$A$21,0))="","",INDEX(drops!$R$2:$R$21,MATCH($H76,drops!$A$2:$A$21,0))),""))</f>
        <v/>
      </c>
      <c r="BB76" s="25">
        <f>IF(OR($A76="",$Q76&lt;&gt;"Y"),1000000,N($AL76))</f>
        <v/>
      </c>
      <c r="BC76" s="25">
        <f>IF($A76="","",IF(COUNTIF(survey_frozen!$P$2:$P$251,$A76&amp;"|"&amp;$B76)&gt;0,"Y",""))</f>
        <v/>
      </c>
    </row>
    <row r="77">
      <c r="C77" s="9" t="n"/>
      <c r="E77" s="9" t="n"/>
      <c r="H77" s="25">
        <f>IF($A77="","",IFERROR(IF(INDEX(campaigns!$B$2:$B$51,MATCH($A77,campaigns!$A$2:$A$51,0))="","",INDEX(campaigns!$B$2:$B$51,MATCH($A77,campaigns!$A$2:$A$51,0))),""))</f>
        <v/>
      </c>
      <c r="I77" s="26">
        <f>IF($A77="","",IFERROR(IF(INDEX(campaigns!$BG$2:$BG$51,MATCH($A77,campaigns!$A$2:$A$51,0))="","",INDEX(campaigns!$BG$2:$BG$51,MATCH($A77,campaigns!$A$2:$A$51,0))),""))</f>
        <v/>
      </c>
      <c r="J77" s="25">
        <f>IF($A77="","",IFERROR(IF(INDEX(campaigns!$BE$2:$BE$51,MATCH($A77,campaigns!$A$2:$A$51,0))="","",INDEX(campaigns!$BE$2:$BE$51,MATCH($A77,campaigns!$A$2:$A$51,0))),""))</f>
        <v/>
      </c>
      <c r="K77" s="25">
        <f>IF($B77="","",IFERROR(IF(INDEX(offices!$N$2:$N$61,MATCH($B77,offices!$A$2:$A$61,0))="","",INDEX(offices!$N$2:$N$61,MATCH($B77,offices!$A$2:$A$61,0))),""))</f>
        <v/>
      </c>
      <c r="L77" s="25">
        <f>IF($A77="","",IF($Q77="N","",COUNTIFS($A$2:$A77,$A77,$Q$2:$Q77,"&lt;&gt;N")))</f>
        <v/>
      </c>
      <c r="M77" s="25">
        <f>IF(OR($A77="",$L77=""),"",IF(AND(config!$B$34="names_if_public",IFERROR(IF(INDEX(offices!$AF$2:$AF$61,MATCH($B77,offices!$A$2:$A$61,0))="","",INDEX(offices!$AF$2:$AF$61,MATCH($B77,offices!$A$2:$A$61,0))),"")="Y"),$K77,CHAR(64+$L77)))</f>
        <v/>
      </c>
      <c r="N77" s="25">
        <f>IF(OR($A77="",$I77=""),"",COUNTIFS(stops!$B$2:$B$151,$B77,stops!$P$2:$P$151,"&lt;"&amp;$I77,stops!$L$2:$L$151,"&lt;&gt;not_delivered")+1)</f>
        <v/>
      </c>
      <c r="O77" s="25">
        <f>IF($A77="","",IF(N($N77)&lt;=config!$B$29,"explicit","opt-out"))</f>
        <v/>
      </c>
      <c r="P77" s="25">
        <f>IF($A77="","",IF($O77="explicit",IF($D77="yes","Y",IF($D77="no","N","pending")),IF($D77="no","N",IF(AND($C77&lt;&gt;"",$I77&lt;&gt;"",$C77&lt;=WORKDAY(N($I77),-5,calendar!$A$2:$A$80)),"Y","pending"))))</f>
        <v/>
      </c>
      <c r="Q77" s="25">
        <f>IF($A77="","",IF($P77="N","N",IF($P77&lt;&gt;"Y","pending",IF(AND((COUNTIFS(stops!$A$2:$A$151,$H77,stops!$B$2:$B$151,$B77,stops!$L$2:$L$151,"declined")+COUNTIFS(stops!$A$2:$A$151,$H77,stops!$B$2:$B$151,$B77,stops!$L$2:$L$151,"building_refused")+COUNTIFS(stops!$A$2:$A$151,$H77,stops!$B$2:$B$151,$B77,stops!$L$2:$L$151,"not_delivered"))&gt;0,N($U77)=0),"N","Y"))))</f>
        <v/>
      </c>
      <c r="R77" s="25">
        <f>IF($A77="","",IF(COUNTIFS($A$2:$A$251,$A77,$B$2:$B$251,$B77)&gt;1,"DUPLICATE ROW; ","")&amp;IF(AND(IFERROR(IF(INDEX(offices!$AC$2:$AC$61,MATCH($B77,offices!$A$2:$A$61,0))="","",INDEX(offices!$AC$2:$AC$61,MATCH($B77,offices!$A$2:$A$61,0))),"")&lt;&gt;"",ISNUMBER(SEARCH($J77,IFERROR(IF(INDEX(offices!$AC$2:$AC$61,MATCH($B77,offices!$A$2:$A$61,0))="","",INDEX(offices!$AC$2:$AC$61,MATCH($B77,offices!$A$2:$A$61,0))),"")))),"BRAND VETOED; ","")&amp;IF(ISNUMBER(SEARCH(IFERROR(IF(INDEX(campaigns!$BF$2:$BF$51,MATCH($A77,campaigns!$A$2:$A$51,0))="","",INDEX(campaigns!$BF$2:$BF$51,MATCH($A77,campaigns!$A$2:$A$51,0))),""),IFERROR(IF(INDEX(offices!$AB$2:$AB$61,MATCH($B77,offices!$A$2:$A$61,0))="","",INDEX(offices!$AB$2:$AB$61,MATCH($B77,offices!$A$2:$A$61,0))),""))),"","info: category not on the office's list; ")&amp;IF(IFERROR(IF(INDEX(offices!$AC$2:$AC$61,MATCH($B77,offices!$A$2:$A$61,0))="","",INDEX(offices!$AC$2:$AC$61,MATCH($B77,offices!$A$2:$A$61,0))),"")&lt;&gt;"","info: read the vetoes against the label; ",""))</f>
        <v/>
      </c>
      <c r="S77" s="25">
        <f>IF($A77="","",IF($G77&lt;&gt;"",$G77,IFERROR(IF(INDEX(offices!$AL$2:$AL$61,MATCH($B77,offices!$A$2:$A$61,0))="","",INDEX(offices!$AL$2:$AL$61,MATCH($B77,offices!$A$2:$A$61,0))),"")))</f>
        <v/>
      </c>
      <c r="T77" s="25">
        <f>IF($A77="","",$A77&amp;"."&amp;$B77)</f>
        <v/>
      </c>
      <c r="U77" s="25">
        <f>IF($A77="","",SUMIFS(inventory!$G$2:$G$801,inventory!$C$2:$C$801,$A77,inventory!$D$2:$D$801,$B77,inventory!$E$2:$E$801,"delivered"))</f>
        <v/>
      </c>
      <c r="V77" s="32">
        <f>IF($A77="","",IFERROR(1/(1/SUMPRODUCT(MAX((inventory!$C$2:$C$801=$A77)*(inventory!$D$2:$D$801=$B77)*(inventory!$E$2:$E$801="delivered")*(inventory!$A$2:$A$801+inventory!$B$2:$B$801)))),""))</f>
        <v/>
      </c>
      <c r="W77" s="25">
        <f>IF($A77="","",IFERROR(IF(INDEX(inventory!$J$2:$J$801,MATCH($A77&amp;"|"&amp;$B77&amp;"|delivered",inventory!$R$2:$R$801,0))="","",INDEX(inventory!$J$2:$J$801,MATCH($A77&amp;"|"&amp;$B77&amp;"|delivered",inventory!$R$2:$R$801,0))),""))</f>
        <v/>
      </c>
      <c r="X77" s="25">
        <f>IF($A77="","",IFERROR(IF(INDEX(photos!$H$2:$H$701,MATCH($A77&amp;"|"&amp;$B77&amp;"|placement|Y",photos!$R$2:$R$701,0))="","",INDEX(photos!$H$2:$H$701,MATCH($A77&amp;"|"&amp;$B77&amp;"|placement|Y",photos!$R$2:$R$701,0))),""))</f>
        <v/>
      </c>
      <c r="Y77" s="26">
        <f>IF($A77="","",IFERROR(IF(INDEX(photos!$E$2:$E$701,MATCH($A77&amp;"|"&amp;$B77&amp;"|placement|Y",photos!$R$2:$R$701,0))="","",INDEX(photos!$E$2:$E$701,MATCH($A77&amp;"|"&amp;$B77&amp;"|placement|Y",photos!$R$2:$R$701,0))),""))</f>
        <v/>
      </c>
      <c r="Z77" s="25">
        <f>IF($A77="","",IF(COUNTIFS(counts!$C$2:$C$701,$A77,counts!$D$2:$D$701,$B77,counts!$E$2:$E$701,"placed")=0,"",SUMIFS(counts!$F$2:$F$701,counts!$C$2:$C$701,$A77,counts!$D$2:$D$701,$B77,counts!$E$2:$E$701,"placed")))</f>
        <v/>
      </c>
      <c r="AA77" s="25">
        <f>IF($A77="","",IF($Y77="",0,N($Z77)))</f>
        <v/>
      </c>
      <c r="AB77" s="25">
        <f>IF($A77="","",IF(OR($Y77="",$I77=""),"N",IF($Y77&lt;=WORKDAY(N($I77),1,calendar!$A$2:$A$80),"Y","N")))</f>
        <v/>
      </c>
      <c r="AC77" s="28">
        <f>IF(OR($A77="",$V77="",$Y77=""),"",ROUND(($Y77+N(IFERROR(IF(INDEX(photos!$F$2:$F$701,MATCH($A77&amp;"|"&amp;$B77&amp;"|placement|Y",photos!$R$2:$R$701,0))="","",INDEX(photos!$F$2:$F$701,MATCH($A77&amp;"|"&amp;$B77&amp;"|placement|Y",photos!$R$2:$R$701,0))),""))-$V77)*24,1))</f>
        <v/>
      </c>
      <c r="AD77" s="25">
        <f>IF($A77="","",SUMIFS(inventory!$G$2:$G$801,inventory!$C$2:$C$801,$A77,inventory!$D$2:$D$801,$B77,inventory!$E$2:$E$801,"topped_up"))</f>
        <v/>
      </c>
      <c r="AE77" s="25">
        <f>IF($A77="","",IF(COUNTIFS(counts!$C$2:$C$701,$A77,counts!$D$2:$D$701,$B77,counts!$E$2:$E$701,"remaining_day3")=0,"",SUMIFS(counts!$F$2:$F$701,counts!$C$2:$C$701,$A77,counts!$D$2:$D$701,$B77,counts!$E$2:$E$701,"remaining_day3")))</f>
        <v/>
      </c>
      <c r="AF77" s="25">
        <f>IF($A77="","",IF(COUNTIFS(counts!$C$2:$C$701,$A77,counts!$D$2:$D$701,$B77,counts!$E$2:$E$701,"remaining_day5")=0,"",SUMIFS(counts!$F$2:$F$701,counts!$C$2:$C$701,$A77,counts!$D$2:$D$701,$B77,counts!$E$2:$E$701,"remaining_day5")))</f>
        <v/>
      </c>
      <c r="AG77" s="25">
        <f>IF(OR($A77="",$AF77=""),"",MAX(0,$AA77+$AD77-$AF77))</f>
        <v/>
      </c>
      <c r="AH77" s="25">
        <f>IF(OR($A77="",$AI77=""),"",IFERROR(IF(INDEX(photos!$H$2:$H$701,MATCH($A77&amp;"|"&amp;$B77&amp;"|later|Y|"&amp;$AI77,photos!$S$2:$S$701,0))="","",INDEX(photos!$H$2:$H$701,MATCH($A77&amp;"|"&amp;$B77&amp;"|later|Y|"&amp;$AI77,photos!$S$2:$S$701,0))),""))</f>
        <v/>
      </c>
      <c r="AI77" s="26">
        <f>IF($A77="","",IFERROR(1/(1/SUMPRODUCT(MAX((photos!$B$2:$B$701=$A77)*(photos!$C$2:$C$701=$B77)*(photos!$D$2:$D$701="later")*(photos!$O$2:$O$701="Y")*photos!$E$2:$E$701))),""))</f>
        <v/>
      </c>
      <c r="AJ77" s="25">
        <f>IF(OR($A77="",$AI77="",$I77=""),"",NETWORKDAYS($I77,$AI77,calendar!$A$2:$A$80))</f>
        <v/>
      </c>
      <c r="AK77" s="25">
        <f>IF($A77="","",IF(AND($X77&lt;&gt;"",$AH77&lt;&gt;""),"Y","N"))</f>
        <v/>
      </c>
      <c r="AL77" s="25">
        <f>IF(OR($A77="",$I77=""),"",IF($BC77="Y",SUMIFS(survey_frozen!$C$2:$C$251,survey_frozen!$P$2:$P$251,$A77&amp;"|"&amp;$B77),IFERROR(COUNTIFS(INDIRECT("'"&amp;$A77&amp;"'!$B$2:$B$501"),$T77,INDIRECT("'"&amp;$A77&amp;"'!$A$2:$A$501"),"&gt;="&amp;$I77,INDIRECT("'"&amp;$A77&amp;"'!$A$2:$A$501"),"&lt;"&amp;($BA77+1)),0)))</f>
        <v/>
      </c>
      <c r="AM77" s="25">
        <f>IF(OR($A77="",$I77=""),"",IF($BC77="Y",SUMIFS(survey_frozen!$D$2:$D$251,survey_frozen!$P$2:$P$251,$A77&amp;"|"&amp;$B77),IFERROR(COUNTIFS(INDIRECT("'"&amp;$A77&amp;"'!$B$2:$B$501"),$T77,INDIRECT("'"&amp;$A77&amp;"'!$A$2:$A$501"),"&gt;="&amp;$I77,INDIRECT("'"&amp;$A77&amp;"'!$A$2:$A$501"),"&lt;"&amp;($BA77+1),INDIRECT("'"&amp;$A77&amp;"'!$C$2:$C$501"),"Yes"),0)))</f>
        <v/>
      </c>
      <c r="AN77" s="25">
        <f>IF($A77="","",IF(COUNTIFS(scans!$C$2:$C$1601,(IF(LEFT($A77,7)="SAMPLE-","SAMPLE-","")&amp;LOWER(SUBSTITUTE(SUBSTITUTE($A77,"SAMPLE-",""),"CMP-","c"))&amp;"-"&amp;LOWER(SUBSTITUTE(SUBSTITUTE($B77,"SAMPLE-",""),"O-","o"))&amp;"-q"),scans!$D$2:$D$1601,"close")=0,"",SUMPRODUCT(MAX((scans!$C$2:$C$1601=(IF(LEFT($A77,7)="SAMPLE-","SAMPLE-","")&amp;LOWER(SUBSTITUTE(SUBSTITUTE($A77,"SAMPLE-",""),"CMP-","c"))&amp;"-"&amp;LOWER(SUBSTITUTE(SUBSTITUTE($B77,"SAMPLE-",""),"O-","o"))&amp;"-q"))*(scans!$D$2:$D$1601="close")*scans!$E$2:$E$1601))-SUMPRODUCT(MAX((scans!$C$2:$C$1601=(IF(LEFT($A77,7)="SAMPLE-","SAMPLE-","")&amp;LOWER(SUBSTITUTE(SUBSTITUTE($A77,"SAMPLE-",""),"CMP-","c"))&amp;"-"&amp;LOWER(SUBSTITUTE(SUBSTITUTE($B77,"SAMPLE-",""),"O-","o"))&amp;"-q"))*(scans!$D$2:$D$1601="baseline")*scans!$E$2:$E$1601))))</f>
        <v/>
      </c>
      <c r="AO77" s="25">
        <f>IF($A77="","",IF(COUNTIFS(scans!$C$2:$C$1601,(IF(LEFT($A77,7)="SAMPLE-","SAMPLE-","")&amp;LOWER(SUBSTITUTE(SUBSTITUTE($A77,"SAMPLE-",""),"CMP-","c"))&amp;"-"&amp;LOWER(SUBSTITUTE(SUBSTITUTE($B77,"SAMPLE-",""),"O-","o"))&amp;"-p"),scans!$D$2:$D$1601,"close")=0,"",SUMPRODUCT(MAX((scans!$C$2:$C$1601=(IF(LEFT($A77,7)="SAMPLE-","SAMPLE-","")&amp;LOWER(SUBSTITUTE(SUBSTITUTE($A77,"SAMPLE-",""),"CMP-","c"))&amp;"-"&amp;LOWER(SUBSTITUTE(SUBSTITUTE($B77,"SAMPLE-",""),"O-","o"))&amp;"-p"))*(scans!$D$2:$D$1601="close")*scans!$E$2:$E$1601))-SUMPRODUCT(MAX((scans!$C$2:$C$1601=(IF(LEFT($A77,7)="SAMPLE-","SAMPLE-","")&amp;LOWER(SUBSTITUTE(SUBSTITUTE($A77,"SAMPLE-",""),"CMP-","c"))&amp;"-"&amp;LOWER(SUBSTITUTE(SUBSTITUTE($B77,"SAMPLE-",""),"O-","o"))&amp;"-p"))*(scans!$D$2:$D$1601="baseline")*scans!$E$2:$E$1601))))</f>
        <v/>
      </c>
      <c r="AP77" s="25">
        <f>IF($A77="","",IF(COUNTIF(offices!$A$2:$A$61,$B77)=0,"office_id not on offices; ","")&amp;IF(COUNTIF(campaigns!$A$2:$A$51,$A77)=0,"campaign_id not on campaigns; ","")&amp;IF($P77="pending","approval pending; ","")&amp;IF(AND($U77&gt;0,$Y77="",OR($I77="",IF(config!$B$37&lt;&gt;"",config!$B$37,TODAY())&lt;=WORKDAY(N($I77),4,calendar!$A$2:$A$80))),"no usable placement photo yet; ","")&amp;IF(AND($Y77&lt;&gt;"",$Z77=""),"log the placed count; ","")&amp;IF(N($AA77)&gt;N($U77),"placed more than delivered; ","")&amp;IF(AND($AF77&lt;&gt;"",N($AF77)&gt;N($AA77)+N($AD77)),"day-5 count above placed plus top-ups; ","")&amp;IF(AND($U77&gt;0,$I77&lt;&gt;"",IF(config!$B$37&lt;&gt;"",config!$B$37,TODAY())&gt;WORKDAY(N($I77),4,calendar!$A$2:$A$80),$AF77=""),"day-5 count missing; ","")&amp;IF(AND($U77&gt;0,$I77&lt;&gt;"",IF(config!$B$37&lt;&gt;"",config!$B$37,TODAY())&gt;WORKDAY(N($I77),4,calendar!$A$2:$A$80),$AN77=""),"no close link reading; ","")&amp;$R77&amp;IF($P77="N","info: office said no; ","")&amp;IF(AND($P77="Y",$Q77="N"),"info: turned away at the door, so not on the drop (no letter, not in the report or Gate 2; the credit check is on campaigns); ","")&amp;IF(AND($U77&gt;0,$Y77="",$I77&lt;&gt;"",IF(config!$B$37&lt;&gt;"",config!$B$37,TODAY())&gt;WORKDAY(N($I77),4,calendar!$A$2:$A$80)),"info: no usable placement photo, so nothing counts as placed; ","")&amp;IF(AND($U77&gt;0,$I77&lt;&gt;"",IF(config!$B$37&lt;&gt;"",config!$B$37,TODAY())&gt;WORKDAY(N($I77),4,calendar!$A$2:$A$80),N($AL77)&lt;config!$B$30),"info: under "&amp;config!$B$30&amp;" responses; ","")&amp;IF($W77="packing_list","info: delivered count not verified; ",""))</f>
        <v/>
      </c>
      <c r="AQ77" s="25">
        <f>IF(OR($A77="",$I77=""),"",IF($BC77="Y",SUMIFS(survey_frozen!$E$2:$E$251,survey_frozen!$P$2:$P$251,$A77&amp;"|"&amp;$B77),IFERROR(COUNTIFS(INDIRECT("'"&amp;$A77&amp;"'!$B$2:$B$501"),$T77,INDIRECT("'"&amp;$A77&amp;"'!$A$2:$A$501"),"&gt;="&amp;$I77,INDIRECT("'"&amp;$A77&amp;"'!$A$2:$A$501"),"&lt;"&amp;($BA77+1),INDIRECT("'"&amp;$A77&amp;"'!$F$2:$F$501"),"Didn't see it"),0)))</f>
        <v/>
      </c>
      <c r="AR77" s="25">
        <f>IF(OR($A77="",$I77=""),"",IF($BC77="Y",SUMIFS(survey_frozen!$F$2:$F$251,survey_frozen!$P$2:$P$251,$A77&amp;"|"&amp;$B77),IFERROR(COUNTIFS(INDIRECT("'"&amp;$A77&amp;"'!$B$2:$B$501"),$T77,INDIRECT("'"&amp;$A77&amp;"'!$A$2:$A$501"),"&gt;="&amp;$I77,INDIRECT("'"&amp;$A77&amp;"'!$A$2:$A$501"),"&lt;"&amp;($BA77+1),INDIRECT("'"&amp;$A77&amp;"'!$F$2:$F$501"),"Not for me"),0)))</f>
        <v/>
      </c>
      <c r="AS77" s="25">
        <f>IF(OR($A77="",$I77=""),"",IF($BC77="Y",SUMIFS(survey_frozen!$G$2:$G$251,survey_frozen!$P$2:$P$251,$A77&amp;"|"&amp;$B77),IFERROR(COUNTIFS(INDIRECT("'"&amp;$A77&amp;"'!$B$2:$B$501"),$T77,INDIRECT("'"&amp;$A77&amp;"'!$A$2:$A$501"),"&gt;="&amp;$I77,INDIRECT("'"&amp;$A77&amp;"'!$A$2:$A$501"),"&lt;"&amp;($BA77+1),INDIRECT("'"&amp;$A77&amp;"'!$F$2:$F$501"),"Gone by the time I looked"),0)))</f>
        <v/>
      </c>
      <c r="AT77" s="25">
        <f>IF(OR($A77="",$I77=""),"",IF($BC77="Y",SUMIFS(survey_frozen!$H$2:$H$251,survey_frozen!$P$2:$P$251,$A77&amp;"|"&amp;$B77),IFERROR(COUNTIFS(INDIRECT("'"&amp;$A77&amp;"'!$B$2:$B$501"),$T77,INDIRECT("'"&amp;$A77&amp;"'!$A$2:$A$501"),"&gt;="&amp;$I77,INDIRECT("'"&amp;$A77&amp;"'!$A$2:$A$501"),"&lt;"&amp;($BA77+1),INDIRECT("'"&amp;$A77&amp;"'!$D$2:$D$501"),"&gt;=1"),0)))</f>
        <v/>
      </c>
      <c r="AU77" s="25">
        <f>IF(OR($A77="",$I77=""),"",IF($BC77="Y",SUMIFS(survey_frozen!$I$2:$I$251,survey_frozen!$P$2:$P$251,$A77&amp;"|"&amp;$B77),IFERROR(SUMIFS(INDIRECT("'"&amp;$A77&amp;"'!$D$2:$D$501"),INDIRECT("'"&amp;$A77&amp;"'!$B$2:$B$501"),$T77,INDIRECT("'"&amp;$A77&amp;"'!$A$2:$A$501"),"&gt;="&amp;$I77,INDIRECT("'"&amp;$A77&amp;"'!$A$2:$A$501"),"&lt;"&amp;($BA77+1)),0)))</f>
        <v/>
      </c>
      <c r="AV77" s="25">
        <f>IF(OR($A77="",$I77=""),"",IF($BC77="Y",SUMIFS(survey_frozen!$J$2:$J$251,survey_frozen!$P$2:$P$251,$A77&amp;"|"&amp;$B77),IFERROR(COUNTIFS(INDIRECT("'"&amp;$A77&amp;"'!$B$2:$B$501"),$T77,INDIRECT("'"&amp;$A77&amp;"'!$A$2:$A$501"),"&gt;="&amp;$I77,INDIRECT("'"&amp;$A77&amp;"'!$A$2:$A$501"),"&lt;"&amp;($BA77+1),INDIRECT("'"&amp;$A77&amp;"'!$E$2:$E$501"),"Yes"),0)))</f>
        <v/>
      </c>
      <c r="AW77" s="25">
        <f>IF(OR($A77="",$I77=""),"",IF($BC77="Y",SUMIFS(survey_frozen!$K$2:$K$251,survey_frozen!$P$2:$P$251,$A77&amp;"|"&amp;$B77),IFERROR(COUNTIFS(INDIRECT("'"&amp;$A77&amp;"'!$B$2:$B$501"),$T77,INDIRECT("'"&amp;$A77&amp;"'!$A$2:$A$501"),"&gt;="&amp;$I77,INDIRECT("'"&amp;$A77&amp;"'!$A$2:$A$501"),"&lt;"&amp;($BA77+1),INDIRECT("'"&amp;$A77&amp;"'!$E$2:$E$501"),"Maybe"),0)))</f>
        <v/>
      </c>
      <c r="AX77" s="25">
        <f>IF(OR($A77="",$I77=""),"",IF($BC77="Y",SUMIFS(survey_frozen!$L$2:$L$251,survey_frozen!$P$2:$P$251,$A77&amp;"|"&amp;$B77),IFERROR(COUNTIFS(INDIRECT("'"&amp;$A77&amp;"'!$B$2:$B$501"),$T77,INDIRECT("'"&amp;$A77&amp;"'!$A$2:$A$501"),"&gt;="&amp;$I77,INDIRECT("'"&amp;$A77&amp;"'!$A$2:$A$501"),"&lt;"&amp;($BA77+1),INDIRECT("'"&amp;$A77&amp;"'!$E$2:$E$501"),"No"),0)))</f>
        <v/>
      </c>
      <c r="AY77" s="25">
        <f>IF(OR($A77="",$I77=""),"",IF($BC77="Y",SUMIFS(survey_frozen!$M$2:$M$251,survey_frozen!$P$2:$P$251,$A77&amp;"|"&amp;$B77),IFERROR(COUNTIFS(INDIRECT("'"&amp;$A77&amp;"'!$B$2:$B$501"),$T77,INDIRECT("'"&amp;$A77&amp;"'!$A$2:$A$501"),"&gt;="&amp;$I77,INDIRECT("'"&amp;$A77&amp;"'!$A$2:$A$501"),"&lt;"&amp;($BA77+1),INDIRECT("'"&amp;$A77&amp;"'!$G$2:$G$501"),"&lt;&gt;"),0)))</f>
        <v/>
      </c>
      <c r="AZ77" s="25">
        <f>IF($A77="","",$A77&amp;"|"&amp;$L77)</f>
        <v/>
      </c>
      <c r="BA77" s="26">
        <f>IF($A77="","",IFERROR(IF(INDEX(drops!$R$2:$R$21,MATCH($H77,drops!$A$2:$A$21,0))="","",INDEX(drops!$R$2:$R$21,MATCH($H77,drops!$A$2:$A$21,0))),""))</f>
        <v/>
      </c>
      <c r="BB77" s="25">
        <f>IF(OR($A77="",$Q77&lt;&gt;"Y"),1000000,N($AL77))</f>
        <v/>
      </c>
      <c r="BC77" s="25">
        <f>IF($A77="","",IF(COUNTIF(survey_frozen!$P$2:$P$251,$A77&amp;"|"&amp;$B77)&gt;0,"Y",""))</f>
        <v/>
      </c>
    </row>
    <row r="78">
      <c r="C78" s="9" t="n"/>
      <c r="E78" s="9" t="n"/>
      <c r="H78" s="25">
        <f>IF($A78="","",IFERROR(IF(INDEX(campaigns!$B$2:$B$51,MATCH($A78,campaigns!$A$2:$A$51,0))="","",INDEX(campaigns!$B$2:$B$51,MATCH($A78,campaigns!$A$2:$A$51,0))),""))</f>
        <v/>
      </c>
      <c r="I78" s="26">
        <f>IF($A78="","",IFERROR(IF(INDEX(campaigns!$BG$2:$BG$51,MATCH($A78,campaigns!$A$2:$A$51,0))="","",INDEX(campaigns!$BG$2:$BG$51,MATCH($A78,campaigns!$A$2:$A$51,0))),""))</f>
        <v/>
      </c>
      <c r="J78" s="25">
        <f>IF($A78="","",IFERROR(IF(INDEX(campaigns!$BE$2:$BE$51,MATCH($A78,campaigns!$A$2:$A$51,0))="","",INDEX(campaigns!$BE$2:$BE$51,MATCH($A78,campaigns!$A$2:$A$51,0))),""))</f>
        <v/>
      </c>
      <c r="K78" s="25">
        <f>IF($B78="","",IFERROR(IF(INDEX(offices!$N$2:$N$61,MATCH($B78,offices!$A$2:$A$61,0))="","",INDEX(offices!$N$2:$N$61,MATCH($B78,offices!$A$2:$A$61,0))),""))</f>
        <v/>
      </c>
      <c r="L78" s="25">
        <f>IF($A78="","",IF($Q78="N","",COUNTIFS($A$2:$A78,$A78,$Q$2:$Q78,"&lt;&gt;N")))</f>
        <v/>
      </c>
      <c r="M78" s="25">
        <f>IF(OR($A78="",$L78=""),"",IF(AND(config!$B$34="names_if_public",IFERROR(IF(INDEX(offices!$AF$2:$AF$61,MATCH($B78,offices!$A$2:$A$61,0))="","",INDEX(offices!$AF$2:$AF$61,MATCH($B78,offices!$A$2:$A$61,0))),"")="Y"),$K78,CHAR(64+$L78)))</f>
        <v/>
      </c>
      <c r="N78" s="25">
        <f>IF(OR($A78="",$I78=""),"",COUNTIFS(stops!$B$2:$B$151,$B78,stops!$P$2:$P$151,"&lt;"&amp;$I78,stops!$L$2:$L$151,"&lt;&gt;not_delivered")+1)</f>
        <v/>
      </c>
      <c r="O78" s="25">
        <f>IF($A78="","",IF(N($N78)&lt;=config!$B$29,"explicit","opt-out"))</f>
        <v/>
      </c>
      <c r="P78" s="25">
        <f>IF($A78="","",IF($O78="explicit",IF($D78="yes","Y",IF($D78="no","N","pending")),IF($D78="no","N",IF(AND($C78&lt;&gt;"",$I78&lt;&gt;"",$C78&lt;=WORKDAY(N($I78),-5,calendar!$A$2:$A$80)),"Y","pending"))))</f>
        <v/>
      </c>
      <c r="Q78" s="25">
        <f>IF($A78="","",IF($P78="N","N",IF($P78&lt;&gt;"Y","pending",IF(AND((COUNTIFS(stops!$A$2:$A$151,$H78,stops!$B$2:$B$151,$B78,stops!$L$2:$L$151,"declined")+COUNTIFS(stops!$A$2:$A$151,$H78,stops!$B$2:$B$151,$B78,stops!$L$2:$L$151,"building_refused")+COUNTIFS(stops!$A$2:$A$151,$H78,stops!$B$2:$B$151,$B78,stops!$L$2:$L$151,"not_delivered"))&gt;0,N($U78)=0),"N","Y"))))</f>
        <v/>
      </c>
      <c r="R78" s="25">
        <f>IF($A78="","",IF(COUNTIFS($A$2:$A$251,$A78,$B$2:$B$251,$B78)&gt;1,"DUPLICATE ROW; ","")&amp;IF(AND(IFERROR(IF(INDEX(offices!$AC$2:$AC$61,MATCH($B78,offices!$A$2:$A$61,0))="","",INDEX(offices!$AC$2:$AC$61,MATCH($B78,offices!$A$2:$A$61,0))),"")&lt;&gt;"",ISNUMBER(SEARCH($J78,IFERROR(IF(INDEX(offices!$AC$2:$AC$61,MATCH($B78,offices!$A$2:$A$61,0))="","",INDEX(offices!$AC$2:$AC$61,MATCH($B78,offices!$A$2:$A$61,0))),"")))),"BRAND VETOED; ","")&amp;IF(ISNUMBER(SEARCH(IFERROR(IF(INDEX(campaigns!$BF$2:$BF$51,MATCH($A78,campaigns!$A$2:$A$51,0))="","",INDEX(campaigns!$BF$2:$BF$51,MATCH($A78,campaigns!$A$2:$A$51,0))),""),IFERROR(IF(INDEX(offices!$AB$2:$AB$61,MATCH($B78,offices!$A$2:$A$61,0))="","",INDEX(offices!$AB$2:$AB$61,MATCH($B78,offices!$A$2:$A$61,0))),""))),"","info: category not on the office's list; ")&amp;IF(IFERROR(IF(INDEX(offices!$AC$2:$AC$61,MATCH($B78,offices!$A$2:$A$61,0))="","",INDEX(offices!$AC$2:$AC$61,MATCH($B78,offices!$A$2:$A$61,0))),"")&lt;&gt;"","info: read the vetoes against the label; ",""))</f>
        <v/>
      </c>
      <c r="S78" s="25">
        <f>IF($A78="","",IF($G78&lt;&gt;"",$G78,IFERROR(IF(INDEX(offices!$AL$2:$AL$61,MATCH($B78,offices!$A$2:$A$61,0))="","",INDEX(offices!$AL$2:$AL$61,MATCH($B78,offices!$A$2:$A$61,0))),"")))</f>
        <v/>
      </c>
      <c r="T78" s="25">
        <f>IF($A78="","",$A78&amp;"."&amp;$B78)</f>
        <v/>
      </c>
      <c r="U78" s="25">
        <f>IF($A78="","",SUMIFS(inventory!$G$2:$G$801,inventory!$C$2:$C$801,$A78,inventory!$D$2:$D$801,$B78,inventory!$E$2:$E$801,"delivered"))</f>
        <v/>
      </c>
      <c r="V78" s="32">
        <f>IF($A78="","",IFERROR(1/(1/SUMPRODUCT(MAX((inventory!$C$2:$C$801=$A78)*(inventory!$D$2:$D$801=$B78)*(inventory!$E$2:$E$801="delivered")*(inventory!$A$2:$A$801+inventory!$B$2:$B$801)))),""))</f>
        <v/>
      </c>
      <c r="W78" s="25">
        <f>IF($A78="","",IFERROR(IF(INDEX(inventory!$J$2:$J$801,MATCH($A78&amp;"|"&amp;$B78&amp;"|delivered",inventory!$R$2:$R$801,0))="","",INDEX(inventory!$J$2:$J$801,MATCH($A78&amp;"|"&amp;$B78&amp;"|delivered",inventory!$R$2:$R$801,0))),""))</f>
        <v/>
      </c>
      <c r="X78" s="25">
        <f>IF($A78="","",IFERROR(IF(INDEX(photos!$H$2:$H$701,MATCH($A78&amp;"|"&amp;$B78&amp;"|placement|Y",photos!$R$2:$R$701,0))="","",INDEX(photos!$H$2:$H$701,MATCH($A78&amp;"|"&amp;$B78&amp;"|placement|Y",photos!$R$2:$R$701,0))),""))</f>
        <v/>
      </c>
      <c r="Y78" s="26">
        <f>IF($A78="","",IFERROR(IF(INDEX(photos!$E$2:$E$701,MATCH($A78&amp;"|"&amp;$B78&amp;"|placement|Y",photos!$R$2:$R$701,0))="","",INDEX(photos!$E$2:$E$701,MATCH($A78&amp;"|"&amp;$B78&amp;"|placement|Y",photos!$R$2:$R$701,0))),""))</f>
        <v/>
      </c>
      <c r="Z78" s="25">
        <f>IF($A78="","",IF(COUNTIFS(counts!$C$2:$C$701,$A78,counts!$D$2:$D$701,$B78,counts!$E$2:$E$701,"placed")=0,"",SUMIFS(counts!$F$2:$F$701,counts!$C$2:$C$701,$A78,counts!$D$2:$D$701,$B78,counts!$E$2:$E$701,"placed")))</f>
        <v/>
      </c>
      <c r="AA78" s="25">
        <f>IF($A78="","",IF($Y78="",0,N($Z78)))</f>
        <v/>
      </c>
      <c r="AB78" s="25">
        <f>IF($A78="","",IF(OR($Y78="",$I78=""),"N",IF($Y78&lt;=WORKDAY(N($I78),1,calendar!$A$2:$A$80),"Y","N")))</f>
        <v/>
      </c>
      <c r="AC78" s="28">
        <f>IF(OR($A78="",$V78="",$Y78=""),"",ROUND(($Y78+N(IFERROR(IF(INDEX(photos!$F$2:$F$701,MATCH($A78&amp;"|"&amp;$B78&amp;"|placement|Y",photos!$R$2:$R$701,0))="","",INDEX(photos!$F$2:$F$701,MATCH($A78&amp;"|"&amp;$B78&amp;"|placement|Y",photos!$R$2:$R$701,0))),""))-$V78)*24,1))</f>
        <v/>
      </c>
      <c r="AD78" s="25">
        <f>IF($A78="","",SUMIFS(inventory!$G$2:$G$801,inventory!$C$2:$C$801,$A78,inventory!$D$2:$D$801,$B78,inventory!$E$2:$E$801,"topped_up"))</f>
        <v/>
      </c>
      <c r="AE78" s="25">
        <f>IF($A78="","",IF(COUNTIFS(counts!$C$2:$C$701,$A78,counts!$D$2:$D$701,$B78,counts!$E$2:$E$701,"remaining_day3")=0,"",SUMIFS(counts!$F$2:$F$701,counts!$C$2:$C$701,$A78,counts!$D$2:$D$701,$B78,counts!$E$2:$E$701,"remaining_day3")))</f>
        <v/>
      </c>
      <c r="AF78" s="25">
        <f>IF($A78="","",IF(COUNTIFS(counts!$C$2:$C$701,$A78,counts!$D$2:$D$701,$B78,counts!$E$2:$E$701,"remaining_day5")=0,"",SUMIFS(counts!$F$2:$F$701,counts!$C$2:$C$701,$A78,counts!$D$2:$D$701,$B78,counts!$E$2:$E$701,"remaining_day5")))</f>
        <v/>
      </c>
      <c r="AG78" s="25">
        <f>IF(OR($A78="",$AF78=""),"",MAX(0,$AA78+$AD78-$AF78))</f>
        <v/>
      </c>
      <c r="AH78" s="25">
        <f>IF(OR($A78="",$AI78=""),"",IFERROR(IF(INDEX(photos!$H$2:$H$701,MATCH($A78&amp;"|"&amp;$B78&amp;"|later|Y|"&amp;$AI78,photos!$S$2:$S$701,0))="","",INDEX(photos!$H$2:$H$701,MATCH($A78&amp;"|"&amp;$B78&amp;"|later|Y|"&amp;$AI78,photos!$S$2:$S$701,0))),""))</f>
        <v/>
      </c>
      <c r="AI78" s="26">
        <f>IF($A78="","",IFERROR(1/(1/SUMPRODUCT(MAX((photos!$B$2:$B$701=$A78)*(photos!$C$2:$C$701=$B78)*(photos!$D$2:$D$701="later")*(photos!$O$2:$O$701="Y")*photos!$E$2:$E$701))),""))</f>
        <v/>
      </c>
      <c r="AJ78" s="25">
        <f>IF(OR($A78="",$AI78="",$I78=""),"",NETWORKDAYS($I78,$AI78,calendar!$A$2:$A$80))</f>
        <v/>
      </c>
      <c r="AK78" s="25">
        <f>IF($A78="","",IF(AND($X78&lt;&gt;"",$AH78&lt;&gt;""),"Y","N"))</f>
        <v/>
      </c>
      <c r="AL78" s="25">
        <f>IF(OR($A78="",$I78=""),"",IF($BC78="Y",SUMIFS(survey_frozen!$C$2:$C$251,survey_frozen!$P$2:$P$251,$A78&amp;"|"&amp;$B78),IFERROR(COUNTIFS(INDIRECT("'"&amp;$A78&amp;"'!$B$2:$B$501"),$T78,INDIRECT("'"&amp;$A78&amp;"'!$A$2:$A$501"),"&gt;="&amp;$I78,INDIRECT("'"&amp;$A78&amp;"'!$A$2:$A$501"),"&lt;"&amp;($BA78+1)),0)))</f>
        <v/>
      </c>
      <c r="AM78" s="25">
        <f>IF(OR($A78="",$I78=""),"",IF($BC78="Y",SUMIFS(survey_frozen!$D$2:$D$251,survey_frozen!$P$2:$P$251,$A78&amp;"|"&amp;$B78),IFERROR(COUNTIFS(INDIRECT("'"&amp;$A78&amp;"'!$B$2:$B$501"),$T78,INDIRECT("'"&amp;$A78&amp;"'!$A$2:$A$501"),"&gt;="&amp;$I78,INDIRECT("'"&amp;$A78&amp;"'!$A$2:$A$501"),"&lt;"&amp;($BA78+1),INDIRECT("'"&amp;$A78&amp;"'!$C$2:$C$501"),"Yes"),0)))</f>
        <v/>
      </c>
      <c r="AN78" s="25">
        <f>IF($A78="","",IF(COUNTIFS(scans!$C$2:$C$1601,(IF(LEFT($A78,7)="SAMPLE-","SAMPLE-","")&amp;LOWER(SUBSTITUTE(SUBSTITUTE($A78,"SAMPLE-",""),"CMP-","c"))&amp;"-"&amp;LOWER(SUBSTITUTE(SUBSTITUTE($B78,"SAMPLE-",""),"O-","o"))&amp;"-q"),scans!$D$2:$D$1601,"close")=0,"",SUMPRODUCT(MAX((scans!$C$2:$C$1601=(IF(LEFT($A78,7)="SAMPLE-","SAMPLE-","")&amp;LOWER(SUBSTITUTE(SUBSTITUTE($A78,"SAMPLE-",""),"CMP-","c"))&amp;"-"&amp;LOWER(SUBSTITUTE(SUBSTITUTE($B78,"SAMPLE-",""),"O-","o"))&amp;"-q"))*(scans!$D$2:$D$1601="close")*scans!$E$2:$E$1601))-SUMPRODUCT(MAX((scans!$C$2:$C$1601=(IF(LEFT($A78,7)="SAMPLE-","SAMPLE-","")&amp;LOWER(SUBSTITUTE(SUBSTITUTE($A78,"SAMPLE-",""),"CMP-","c"))&amp;"-"&amp;LOWER(SUBSTITUTE(SUBSTITUTE($B78,"SAMPLE-",""),"O-","o"))&amp;"-q"))*(scans!$D$2:$D$1601="baseline")*scans!$E$2:$E$1601))))</f>
        <v/>
      </c>
      <c r="AO78" s="25">
        <f>IF($A78="","",IF(COUNTIFS(scans!$C$2:$C$1601,(IF(LEFT($A78,7)="SAMPLE-","SAMPLE-","")&amp;LOWER(SUBSTITUTE(SUBSTITUTE($A78,"SAMPLE-",""),"CMP-","c"))&amp;"-"&amp;LOWER(SUBSTITUTE(SUBSTITUTE($B78,"SAMPLE-",""),"O-","o"))&amp;"-p"),scans!$D$2:$D$1601,"close")=0,"",SUMPRODUCT(MAX((scans!$C$2:$C$1601=(IF(LEFT($A78,7)="SAMPLE-","SAMPLE-","")&amp;LOWER(SUBSTITUTE(SUBSTITUTE($A78,"SAMPLE-",""),"CMP-","c"))&amp;"-"&amp;LOWER(SUBSTITUTE(SUBSTITUTE($B78,"SAMPLE-",""),"O-","o"))&amp;"-p"))*(scans!$D$2:$D$1601="close")*scans!$E$2:$E$1601))-SUMPRODUCT(MAX((scans!$C$2:$C$1601=(IF(LEFT($A78,7)="SAMPLE-","SAMPLE-","")&amp;LOWER(SUBSTITUTE(SUBSTITUTE($A78,"SAMPLE-",""),"CMP-","c"))&amp;"-"&amp;LOWER(SUBSTITUTE(SUBSTITUTE($B78,"SAMPLE-",""),"O-","o"))&amp;"-p"))*(scans!$D$2:$D$1601="baseline")*scans!$E$2:$E$1601))))</f>
        <v/>
      </c>
      <c r="AP78" s="25">
        <f>IF($A78="","",IF(COUNTIF(offices!$A$2:$A$61,$B78)=0,"office_id not on offices; ","")&amp;IF(COUNTIF(campaigns!$A$2:$A$51,$A78)=0,"campaign_id not on campaigns; ","")&amp;IF($P78="pending","approval pending; ","")&amp;IF(AND($U78&gt;0,$Y78="",OR($I78="",IF(config!$B$37&lt;&gt;"",config!$B$37,TODAY())&lt;=WORKDAY(N($I78),4,calendar!$A$2:$A$80))),"no usable placement photo yet; ","")&amp;IF(AND($Y78&lt;&gt;"",$Z78=""),"log the placed count; ","")&amp;IF(N($AA78)&gt;N($U78),"placed more than delivered; ","")&amp;IF(AND($AF78&lt;&gt;"",N($AF78)&gt;N($AA78)+N($AD78)),"day-5 count above placed plus top-ups; ","")&amp;IF(AND($U78&gt;0,$I78&lt;&gt;"",IF(config!$B$37&lt;&gt;"",config!$B$37,TODAY())&gt;WORKDAY(N($I78),4,calendar!$A$2:$A$80),$AF78=""),"day-5 count missing; ","")&amp;IF(AND($U78&gt;0,$I78&lt;&gt;"",IF(config!$B$37&lt;&gt;"",config!$B$37,TODAY())&gt;WORKDAY(N($I78),4,calendar!$A$2:$A$80),$AN78=""),"no close link reading; ","")&amp;$R78&amp;IF($P78="N","info: office said no; ","")&amp;IF(AND($P78="Y",$Q78="N"),"info: turned away at the door, so not on the drop (no letter, not in the report or Gate 2; the credit check is on campaigns); ","")&amp;IF(AND($U78&gt;0,$Y78="",$I78&lt;&gt;"",IF(config!$B$37&lt;&gt;"",config!$B$37,TODAY())&gt;WORKDAY(N($I78),4,calendar!$A$2:$A$80)),"info: no usable placement photo, so nothing counts as placed; ","")&amp;IF(AND($U78&gt;0,$I78&lt;&gt;"",IF(config!$B$37&lt;&gt;"",config!$B$37,TODAY())&gt;WORKDAY(N($I78),4,calendar!$A$2:$A$80),N($AL78)&lt;config!$B$30),"info: under "&amp;config!$B$30&amp;" responses; ","")&amp;IF($W78="packing_list","info: delivered count not verified; ",""))</f>
        <v/>
      </c>
      <c r="AQ78" s="25">
        <f>IF(OR($A78="",$I78=""),"",IF($BC78="Y",SUMIFS(survey_frozen!$E$2:$E$251,survey_frozen!$P$2:$P$251,$A78&amp;"|"&amp;$B78),IFERROR(COUNTIFS(INDIRECT("'"&amp;$A78&amp;"'!$B$2:$B$501"),$T78,INDIRECT("'"&amp;$A78&amp;"'!$A$2:$A$501"),"&gt;="&amp;$I78,INDIRECT("'"&amp;$A78&amp;"'!$A$2:$A$501"),"&lt;"&amp;($BA78+1),INDIRECT("'"&amp;$A78&amp;"'!$F$2:$F$501"),"Didn't see it"),0)))</f>
        <v/>
      </c>
      <c r="AR78" s="25">
        <f>IF(OR($A78="",$I78=""),"",IF($BC78="Y",SUMIFS(survey_frozen!$F$2:$F$251,survey_frozen!$P$2:$P$251,$A78&amp;"|"&amp;$B78),IFERROR(COUNTIFS(INDIRECT("'"&amp;$A78&amp;"'!$B$2:$B$501"),$T78,INDIRECT("'"&amp;$A78&amp;"'!$A$2:$A$501"),"&gt;="&amp;$I78,INDIRECT("'"&amp;$A78&amp;"'!$A$2:$A$501"),"&lt;"&amp;($BA78+1),INDIRECT("'"&amp;$A78&amp;"'!$F$2:$F$501"),"Not for me"),0)))</f>
        <v/>
      </c>
      <c r="AS78" s="25">
        <f>IF(OR($A78="",$I78=""),"",IF($BC78="Y",SUMIFS(survey_frozen!$G$2:$G$251,survey_frozen!$P$2:$P$251,$A78&amp;"|"&amp;$B78),IFERROR(COUNTIFS(INDIRECT("'"&amp;$A78&amp;"'!$B$2:$B$501"),$T78,INDIRECT("'"&amp;$A78&amp;"'!$A$2:$A$501"),"&gt;="&amp;$I78,INDIRECT("'"&amp;$A78&amp;"'!$A$2:$A$501"),"&lt;"&amp;($BA78+1),INDIRECT("'"&amp;$A78&amp;"'!$F$2:$F$501"),"Gone by the time I looked"),0)))</f>
        <v/>
      </c>
      <c r="AT78" s="25">
        <f>IF(OR($A78="",$I78=""),"",IF($BC78="Y",SUMIFS(survey_frozen!$H$2:$H$251,survey_frozen!$P$2:$P$251,$A78&amp;"|"&amp;$B78),IFERROR(COUNTIFS(INDIRECT("'"&amp;$A78&amp;"'!$B$2:$B$501"),$T78,INDIRECT("'"&amp;$A78&amp;"'!$A$2:$A$501"),"&gt;="&amp;$I78,INDIRECT("'"&amp;$A78&amp;"'!$A$2:$A$501"),"&lt;"&amp;($BA78+1),INDIRECT("'"&amp;$A78&amp;"'!$D$2:$D$501"),"&gt;=1"),0)))</f>
        <v/>
      </c>
      <c r="AU78" s="25">
        <f>IF(OR($A78="",$I78=""),"",IF($BC78="Y",SUMIFS(survey_frozen!$I$2:$I$251,survey_frozen!$P$2:$P$251,$A78&amp;"|"&amp;$B78),IFERROR(SUMIFS(INDIRECT("'"&amp;$A78&amp;"'!$D$2:$D$501"),INDIRECT("'"&amp;$A78&amp;"'!$B$2:$B$501"),$T78,INDIRECT("'"&amp;$A78&amp;"'!$A$2:$A$501"),"&gt;="&amp;$I78,INDIRECT("'"&amp;$A78&amp;"'!$A$2:$A$501"),"&lt;"&amp;($BA78+1)),0)))</f>
        <v/>
      </c>
      <c r="AV78" s="25">
        <f>IF(OR($A78="",$I78=""),"",IF($BC78="Y",SUMIFS(survey_frozen!$J$2:$J$251,survey_frozen!$P$2:$P$251,$A78&amp;"|"&amp;$B78),IFERROR(COUNTIFS(INDIRECT("'"&amp;$A78&amp;"'!$B$2:$B$501"),$T78,INDIRECT("'"&amp;$A78&amp;"'!$A$2:$A$501"),"&gt;="&amp;$I78,INDIRECT("'"&amp;$A78&amp;"'!$A$2:$A$501"),"&lt;"&amp;($BA78+1),INDIRECT("'"&amp;$A78&amp;"'!$E$2:$E$501"),"Yes"),0)))</f>
        <v/>
      </c>
      <c r="AW78" s="25">
        <f>IF(OR($A78="",$I78=""),"",IF($BC78="Y",SUMIFS(survey_frozen!$K$2:$K$251,survey_frozen!$P$2:$P$251,$A78&amp;"|"&amp;$B78),IFERROR(COUNTIFS(INDIRECT("'"&amp;$A78&amp;"'!$B$2:$B$501"),$T78,INDIRECT("'"&amp;$A78&amp;"'!$A$2:$A$501"),"&gt;="&amp;$I78,INDIRECT("'"&amp;$A78&amp;"'!$A$2:$A$501"),"&lt;"&amp;($BA78+1),INDIRECT("'"&amp;$A78&amp;"'!$E$2:$E$501"),"Maybe"),0)))</f>
        <v/>
      </c>
      <c r="AX78" s="25">
        <f>IF(OR($A78="",$I78=""),"",IF($BC78="Y",SUMIFS(survey_frozen!$L$2:$L$251,survey_frozen!$P$2:$P$251,$A78&amp;"|"&amp;$B78),IFERROR(COUNTIFS(INDIRECT("'"&amp;$A78&amp;"'!$B$2:$B$501"),$T78,INDIRECT("'"&amp;$A78&amp;"'!$A$2:$A$501"),"&gt;="&amp;$I78,INDIRECT("'"&amp;$A78&amp;"'!$A$2:$A$501"),"&lt;"&amp;($BA78+1),INDIRECT("'"&amp;$A78&amp;"'!$E$2:$E$501"),"No"),0)))</f>
        <v/>
      </c>
      <c r="AY78" s="25">
        <f>IF(OR($A78="",$I78=""),"",IF($BC78="Y",SUMIFS(survey_frozen!$M$2:$M$251,survey_frozen!$P$2:$P$251,$A78&amp;"|"&amp;$B78),IFERROR(COUNTIFS(INDIRECT("'"&amp;$A78&amp;"'!$B$2:$B$501"),$T78,INDIRECT("'"&amp;$A78&amp;"'!$A$2:$A$501"),"&gt;="&amp;$I78,INDIRECT("'"&amp;$A78&amp;"'!$A$2:$A$501"),"&lt;"&amp;($BA78+1),INDIRECT("'"&amp;$A78&amp;"'!$G$2:$G$501"),"&lt;&gt;"),0)))</f>
        <v/>
      </c>
      <c r="AZ78" s="25">
        <f>IF($A78="","",$A78&amp;"|"&amp;$L78)</f>
        <v/>
      </c>
      <c r="BA78" s="26">
        <f>IF($A78="","",IFERROR(IF(INDEX(drops!$R$2:$R$21,MATCH($H78,drops!$A$2:$A$21,0))="","",INDEX(drops!$R$2:$R$21,MATCH($H78,drops!$A$2:$A$21,0))),""))</f>
        <v/>
      </c>
      <c r="BB78" s="25">
        <f>IF(OR($A78="",$Q78&lt;&gt;"Y"),1000000,N($AL78))</f>
        <v/>
      </c>
      <c r="BC78" s="25">
        <f>IF($A78="","",IF(COUNTIF(survey_frozen!$P$2:$P$251,$A78&amp;"|"&amp;$B78)&gt;0,"Y",""))</f>
        <v/>
      </c>
    </row>
    <row r="79">
      <c r="C79" s="9" t="n"/>
      <c r="E79" s="9" t="n"/>
      <c r="H79" s="25">
        <f>IF($A79="","",IFERROR(IF(INDEX(campaigns!$B$2:$B$51,MATCH($A79,campaigns!$A$2:$A$51,0))="","",INDEX(campaigns!$B$2:$B$51,MATCH($A79,campaigns!$A$2:$A$51,0))),""))</f>
        <v/>
      </c>
      <c r="I79" s="26">
        <f>IF($A79="","",IFERROR(IF(INDEX(campaigns!$BG$2:$BG$51,MATCH($A79,campaigns!$A$2:$A$51,0))="","",INDEX(campaigns!$BG$2:$BG$51,MATCH($A79,campaigns!$A$2:$A$51,0))),""))</f>
        <v/>
      </c>
      <c r="J79" s="25">
        <f>IF($A79="","",IFERROR(IF(INDEX(campaigns!$BE$2:$BE$51,MATCH($A79,campaigns!$A$2:$A$51,0))="","",INDEX(campaigns!$BE$2:$BE$51,MATCH($A79,campaigns!$A$2:$A$51,0))),""))</f>
        <v/>
      </c>
      <c r="K79" s="25">
        <f>IF($B79="","",IFERROR(IF(INDEX(offices!$N$2:$N$61,MATCH($B79,offices!$A$2:$A$61,0))="","",INDEX(offices!$N$2:$N$61,MATCH($B79,offices!$A$2:$A$61,0))),""))</f>
        <v/>
      </c>
      <c r="L79" s="25">
        <f>IF($A79="","",IF($Q79="N","",COUNTIFS($A$2:$A79,$A79,$Q$2:$Q79,"&lt;&gt;N")))</f>
        <v/>
      </c>
      <c r="M79" s="25">
        <f>IF(OR($A79="",$L79=""),"",IF(AND(config!$B$34="names_if_public",IFERROR(IF(INDEX(offices!$AF$2:$AF$61,MATCH($B79,offices!$A$2:$A$61,0))="","",INDEX(offices!$AF$2:$AF$61,MATCH($B79,offices!$A$2:$A$61,0))),"")="Y"),$K79,CHAR(64+$L79)))</f>
        <v/>
      </c>
      <c r="N79" s="25">
        <f>IF(OR($A79="",$I79=""),"",COUNTIFS(stops!$B$2:$B$151,$B79,stops!$P$2:$P$151,"&lt;"&amp;$I79,stops!$L$2:$L$151,"&lt;&gt;not_delivered")+1)</f>
        <v/>
      </c>
      <c r="O79" s="25">
        <f>IF($A79="","",IF(N($N79)&lt;=config!$B$29,"explicit","opt-out"))</f>
        <v/>
      </c>
      <c r="P79" s="25">
        <f>IF($A79="","",IF($O79="explicit",IF($D79="yes","Y",IF($D79="no","N","pending")),IF($D79="no","N",IF(AND($C79&lt;&gt;"",$I79&lt;&gt;"",$C79&lt;=WORKDAY(N($I79),-5,calendar!$A$2:$A$80)),"Y","pending"))))</f>
        <v/>
      </c>
      <c r="Q79" s="25">
        <f>IF($A79="","",IF($P79="N","N",IF($P79&lt;&gt;"Y","pending",IF(AND((COUNTIFS(stops!$A$2:$A$151,$H79,stops!$B$2:$B$151,$B79,stops!$L$2:$L$151,"declined")+COUNTIFS(stops!$A$2:$A$151,$H79,stops!$B$2:$B$151,$B79,stops!$L$2:$L$151,"building_refused")+COUNTIFS(stops!$A$2:$A$151,$H79,stops!$B$2:$B$151,$B79,stops!$L$2:$L$151,"not_delivered"))&gt;0,N($U79)=0),"N","Y"))))</f>
        <v/>
      </c>
      <c r="R79" s="25">
        <f>IF($A79="","",IF(COUNTIFS($A$2:$A$251,$A79,$B$2:$B$251,$B79)&gt;1,"DUPLICATE ROW; ","")&amp;IF(AND(IFERROR(IF(INDEX(offices!$AC$2:$AC$61,MATCH($B79,offices!$A$2:$A$61,0))="","",INDEX(offices!$AC$2:$AC$61,MATCH($B79,offices!$A$2:$A$61,0))),"")&lt;&gt;"",ISNUMBER(SEARCH($J79,IFERROR(IF(INDEX(offices!$AC$2:$AC$61,MATCH($B79,offices!$A$2:$A$61,0))="","",INDEX(offices!$AC$2:$AC$61,MATCH($B79,offices!$A$2:$A$61,0))),"")))),"BRAND VETOED; ","")&amp;IF(ISNUMBER(SEARCH(IFERROR(IF(INDEX(campaigns!$BF$2:$BF$51,MATCH($A79,campaigns!$A$2:$A$51,0))="","",INDEX(campaigns!$BF$2:$BF$51,MATCH($A79,campaigns!$A$2:$A$51,0))),""),IFERROR(IF(INDEX(offices!$AB$2:$AB$61,MATCH($B79,offices!$A$2:$A$61,0))="","",INDEX(offices!$AB$2:$AB$61,MATCH($B79,offices!$A$2:$A$61,0))),""))),"","info: category not on the office's list; ")&amp;IF(IFERROR(IF(INDEX(offices!$AC$2:$AC$61,MATCH($B79,offices!$A$2:$A$61,0))="","",INDEX(offices!$AC$2:$AC$61,MATCH($B79,offices!$A$2:$A$61,0))),"")&lt;&gt;"","info: read the vetoes against the label; ",""))</f>
        <v/>
      </c>
      <c r="S79" s="25">
        <f>IF($A79="","",IF($G79&lt;&gt;"",$G79,IFERROR(IF(INDEX(offices!$AL$2:$AL$61,MATCH($B79,offices!$A$2:$A$61,0))="","",INDEX(offices!$AL$2:$AL$61,MATCH($B79,offices!$A$2:$A$61,0))),"")))</f>
        <v/>
      </c>
      <c r="T79" s="25">
        <f>IF($A79="","",$A79&amp;"."&amp;$B79)</f>
        <v/>
      </c>
      <c r="U79" s="25">
        <f>IF($A79="","",SUMIFS(inventory!$G$2:$G$801,inventory!$C$2:$C$801,$A79,inventory!$D$2:$D$801,$B79,inventory!$E$2:$E$801,"delivered"))</f>
        <v/>
      </c>
      <c r="V79" s="32">
        <f>IF($A79="","",IFERROR(1/(1/SUMPRODUCT(MAX((inventory!$C$2:$C$801=$A79)*(inventory!$D$2:$D$801=$B79)*(inventory!$E$2:$E$801="delivered")*(inventory!$A$2:$A$801+inventory!$B$2:$B$801)))),""))</f>
        <v/>
      </c>
      <c r="W79" s="25">
        <f>IF($A79="","",IFERROR(IF(INDEX(inventory!$J$2:$J$801,MATCH($A79&amp;"|"&amp;$B79&amp;"|delivered",inventory!$R$2:$R$801,0))="","",INDEX(inventory!$J$2:$J$801,MATCH($A79&amp;"|"&amp;$B79&amp;"|delivered",inventory!$R$2:$R$801,0))),""))</f>
        <v/>
      </c>
      <c r="X79" s="25">
        <f>IF($A79="","",IFERROR(IF(INDEX(photos!$H$2:$H$701,MATCH($A79&amp;"|"&amp;$B79&amp;"|placement|Y",photos!$R$2:$R$701,0))="","",INDEX(photos!$H$2:$H$701,MATCH($A79&amp;"|"&amp;$B79&amp;"|placement|Y",photos!$R$2:$R$701,0))),""))</f>
        <v/>
      </c>
      <c r="Y79" s="26">
        <f>IF($A79="","",IFERROR(IF(INDEX(photos!$E$2:$E$701,MATCH($A79&amp;"|"&amp;$B79&amp;"|placement|Y",photos!$R$2:$R$701,0))="","",INDEX(photos!$E$2:$E$701,MATCH($A79&amp;"|"&amp;$B79&amp;"|placement|Y",photos!$R$2:$R$701,0))),""))</f>
        <v/>
      </c>
      <c r="Z79" s="25">
        <f>IF($A79="","",IF(COUNTIFS(counts!$C$2:$C$701,$A79,counts!$D$2:$D$701,$B79,counts!$E$2:$E$701,"placed")=0,"",SUMIFS(counts!$F$2:$F$701,counts!$C$2:$C$701,$A79,counts!$D$2:$D$701,$B79,counts!$E$2:$E$701,"placed")))</f>
        <v/>
      </c>
      <c r="AA79" s="25">
        <f>IF($A79="","",IF($Y79="",0,N($Z79)))</f>
        <v/>
      </c>
      <c r="AB79" s="25">
        <f>IF($A79="","",IF(OR($Y79="",$I79=""),"N",IF($Y79&lt;=WORKDAY(N($I79),1,calendar!$A$2:$A$80),"Y","N")))</f>
        <v/>
      </c>
      <c r="AC79" s="28">
        <f>IF(OR($A79="",$V79="",$Y79=""),"",ROUND(($Y79+N(IFERROR(IF(INDEX(photos!$F$2:$F$701,MATCH($A79&amp;"|"&amp;$B79&amp;"|placement|Y",photos!$R$2:$R$701,0))="","",INDEX(photos!$F$2:$F$701,MATCH($A79&amp;"|"&amp;$B79&amp;"|placement|Y",photos!$R$2:$R$701,0))),""))-$V79)*24,1))</f>
        <v/>
      </c>
      <c r="AD79" s="25">
        <f>IF($A79="","",SUMIFS(inventory!$G$2:$G$801,inventory!$C$2:$C$801,$A79,inventory!$D$2:$D$801,$B79,inventory!$E$2:$E$801,"topped_up"))</f>
        <v/>
      </c>
      <c r="AE79" s="25">
        <f>IF($A79="","",IF(COUNTIFS(counts!$C$2:$C$701,$A79,counts!$D$2:$D$701,$B79,counts!$E$2:$E$701,"remaining_day3")=0,"",SUMIFS(counts!$F$2:$F$701,counts!$C$2:$C$701,$A79,counts!$D$2:$D$701,$B79,counts!$E$2:$E$701,"remaining_day3")))</f>
        <v/>
      </c>
      <c r="AF79" s="25">
        <f>IF($A79="","",IF(COUNTIFS(counts!$C$2:$C$701,$A79,counts!$D$2:$D$701,$B79,counts!$E$2:$E$701,"remaining_day5")=0,"",SUMIFS(counts!$F$2:$F$701,counts!$C$2:$C$701,$A79,counts!$D$2:$D$701,$B79,counts!$E$2:$E$701,"remaining_day5")))</f>
        <v/>
      </c>
      <c r="AG79" s="25">
        <f>IF(OR($A79="",$AF79=""),"",MAX(0,$AA79+$AD79-$AF79))</f>
        <v/>
      </c>
      <c r="AH79" s="25">
        <f>IF(OR($A79="",$AI79=""),"",IFERROR(IF(INDEX(photos!$H$2:$H$701,MATCH($A79&amp;"|"&amp;$B79&amp;"|later|Y|"&amp;$AI79,photos!$S$2:$S$701,0))="","",INDEX(photos!$H$2:$H$701,MATCH($A79&amp;"|"&amp;$B79&amp;"|later|Y|"&amp;$AI79,photos!$S$2:$S$701,0))),""))</f>
        <v/>
      </c>
      <c r="AI79" s="26">
        <f>IF($A79="","",IFERROR(1/(1/SUMPRODUCT(MAX((photos!$B$2:$B$701=$A79)*(photos!$C$2:$C$701=$B79)*(photos!$D$2:$D$701="later")*(photos!$O$2:$O$701="Y")*photos!$E$2:$E$701))),""))</f>
        <v/>
      </c>
      <c r="AJ79" s="25">
        <f>IF(OR($A79="",$AI79="",$I79=""),"",NETWORKDAYS($I79,$AI79,calendar!$A$2:$A$80))</f>
        <v/>
      </c>
      <c r="AK79" s="25">
        <f>IF($A79="","",IF(AND($X79&lt;&gt;"",$AH79&lt;&gt;""),"Y","N"))</f>
        <v/>
      </c>
      <c r="AL79" s="25">
        <f>IF(OR($A79="",$I79=""),"",IF($BC79="Y",SUMIFS(survey_frozen!$C$2:$C$251,survey_frozen!$P$2:$P$251,$A79&amp;"|"&amp;$B79),IFERROR(COUNTIFS(INDIRECT("'"&amp;$A79&amp;"'!$B$2:$B$501"),$T79,INDIRECT("'"&amp;$A79&amp;"'!$A$2:$A$501"),"&gt;="&amp;$I79,INDIRECT("'"&amp;$A79&amp;"'!$A$2:$A$501"),"&lt;"&amp;($BA79+1)),0)))</f>
        <v/>
      </c>
      <c r="AM79" s="25">
        <f>IF(OR($A79="",$I79=""),"",IF($BC79="Y",SUMIFS(survey_frozen!$D$2:$D$251,survey_frozen!$P$2:$P$251,$A79&amp;"|"&amp;$B79),IFERROR(COUNTIFS(INDIRECT("'"&amp;$A79&amp;"'!$B$2:$B$501"),$T79,INDIRECT("'"&amp;$A79&amp;"'!$A$2:$A$501"),"&gt;="&amp;$I79,INDIRECT("'"&amp;$A79&amp;"'!$A$2:$A$501"),"&lt;"&amp;($BA79+1),INDIRECT("'"&amp;$A79&amp;"'!$C$2:$C$501"),"Yes"),0)))</f>
        <v/>
      </c>
      <c r="AN79" s="25">
        <f>IF($A79="","",IF(COUNTIFS(scans!$C$2:$C$1601,(IF(LEFT($A79,7)="SAMPLE-","SAMPLE-","")&amp;LOWER(SUBSTITUTE(SUBSTITUTE($A79,"SAMPLE-",""),"CMP-","c"))&amp;"-"&amp;LOWER(SUBSTITUTE(SUBSTITUTE($B79,"SAMPLE-",""),"O-","o"))&amp;"-q"),scans!$D$2:$D$1601,"close")=0,"",SUMPRODUCT(MAX((scans!$C$2:$C$1601=(IF(LEFT($A79,7)="SAMPLE-","SAMPLE-","")&amp;LOWER(SUBSTITUTE(SUBSTITUTE($A79,"SAMPLE-",""),"CMP-","c"))&amp;"-"&amp;LOWER(SUBSTITUTE(SUBSTITUTE($B79,"SAMPLE-",""),"O-","o"))&amp;"-q"))*(scans!$D$2:$D$1601="close")*scans!$E$2:$E$1601))-SUMPRODUCT(MAX((scans!$C$2:$C$1601=(IF(LEFT($A79,7)="SAMPLE-","SAMPLE-","")&amp;LOWER(SUBSTITUTE(SUBSTITUTE($A79,"SAMPLE-",""),"CMP-","c"))&amp;"-"&amp;LOWER(SUBSTITUTE(SUBSTITUTE($B79,"SAMPLE-",""),"O-","o"))&amp;"-q"))*(scans!$D$2:$D$1601="baseline")*scans!$E$2:$E$1601))))</f>
        <v/>
      </c>
      <c r="AO79" s="25">
        <f>IF($A79="","",IF(COUNTIFS(scans!$C$2:$C$1601,(IF(LEFT($A79,7)="SAMPLE-","SAMPLE-","")&amp;LOWER(SUBSTITUTE(SUBSTITUTE($A79,"SAMPLE-",""),"CMP-","c"))&amp;"-"&amp;LOWER(SUBSTITUTE(SUBSTITUTE($B79,"SAMPLE-",""),"O-","o"))&amp;"-p"),scans!$D$2:$D$1601,"close")=0,"",SUMPRODUCT(MAX((scans!$C$2:$C$1601=(IF(LEFT($A79,7)="SAMPLE-","SAMPLE-","")&amp;LOWER(SUBSTITUTE(SUBSTITUTE($A79,"SAMPLE-",""),"CMP-","c"))&amp;"-"&amp;LOWER(SUBSTITUTE(SUBSTITUTE($B79,"SAMPLE-",""),"O-","o"))&amp;"-p"))*(scans!$D$2:$D$1601="close")*scans!$E$2:$E$1601))-SUMPRODUCT(MAX((scans!$C$2:$C$1601=(IF(LEFT($A79,7)="SAMPLE-","SAMPLE-","")&amp;LOWER(SUBSTITUTE(SUBSTITUTE($A79,"SAMPLE-",""),"CMP-","c"))&amp;"-"&amp;LOWER(SUBSTITUTE(SUBSTITUTE($B79,"SAMPLE-",""),"O-","o"))&amp;"-p"))*(scans!$D$2:$D$1601="baseline")*scans!$E$2:$E$1601))))</f>
        <v/>
      </c>
      <c r="AP79" s="25">
        <f>IF($A79="","",IF(COUNTIF(offices!$A$2:$A$61,$B79)=0,"office_id not on offices; ","")&amp;IF(COUNTIF(campaigns!$A$2:$A$51,$A79)=0,"campaign_id not on campaigns; ","")&amp;IF($P79="pending","approval pending; ","")&amp;IF(AND($U79&gt;0,$Y79="",OR($I79="",IF(config!$B$37&lt;&gt;"",config!$B$37,TODAY())&lt;=WORKDAY(N($I79),4,calendar!$A$2:$A$80))),"no usable placement photo yet; ","")&amp;IF(AND($Y79&lt;&gt;"",$Z79=""),"log the placed count; ","")&amp;IF(N($AA79)&gt;N($U79),"placed more than delivered; ","")&amp;IF(AND($AF79&lt;&gt;"",N($AF79)&gt;N($AA79)+N($AD79)),"day-5 count above placed plus top-ups; ","")&amp;IF(AND($U79&gt;0,$I79&lt;&gt;"",IF(config!$B$37&lt;&gt;"",config!$B$37,TODAY())&gt;WORKDAY(N($I79),4,calendar!$A$2:$A$80),$AF79=""),"day-5 count missing; ","")&amp;IF(AND($U79&gt;0,$I79&lt;&gt;"",IF(config!$B$37&lt;&gt;"",config!$B$37,TODAY())&gt;WORKDAY(N($I79),4,calendar!$A$2:$A$80),$AN79=""),"no close link reading; ","")&amp;$R79&amp;IF($P79="N","info: office said no; ","")&amp;IF(AND($P79="Y",$Q79="N"),"info: turned away at the door, so not on the drop (no letter, not in the report or Gate 2; the credit check is on campaigns); ","")&amp;IF(AND($U79&gt;0,$Y79="",$I79&lt;&gt;"",IF(config!$B$37&lt;&gt;"",config!$B$37,TODAY())&gt;WORKDAY(N($I79),4,calendar!$A$2:$A$80)),"info: no usable placement photo, so nothing counts as placed; ","")&amp;IF(AND($U79&gt;0,$I79&lt;&gt;"",IF(config!$B$37&lt;&gt;"",config!$B$37,TODAY())&gt;WORKDAY(N($I79),4,calendar!$A$2:$A$80),N($AL79)&lt;config!$B$30),"info: under "&amp;config!$B$30&amp;" responses; ","")&amp;IF($W79="packing_list","info: delivered count not verified; ",""))</f>
        <v/>
      </c>
      <c r="AQ79" s="25">
        <f>IF(OR($A79="",$I79=""),"",IF($BC79="Y",SUMIFS(survey_frozen!$E$2:$E$251,survey_frozen!$P$2:$P$251,$A79&amp;"|"&amp;$B79),IFERROR(COUNTIFS(INDIRECT("'"&amp;$A79&amp;"'!$B$2:$B$501"),$T79,INDIRECT("'"&amp;$A79&amp;"'!$A$2:$A$501"),"&gt;="&amp;$I79,INDIRECT("'"&amp;$A79&amp;"'!$A$2:$A$501"),"&lt;"&amp;($BA79+1),INDIRECT("'"&amp;$A79&amp;"'!$F$2:$F$501"),"Didn't see it"),0)))</f>
        <v/>
      </c>
      <c r="AR79" s="25">
        <f>IF(OR($A79="",$I79=""),"",IF($BC79="Y",SUMIFS(survey_frozen!$F$2:$F$251,survey_frozen!$P$2:$P$251,$A79&amp;"|"&amp;$B79),IFERROR(COUNTIFS(INDIRECT("'"&amp;$A79&amp;"'!$B$2:$B$501"),$T79,INDIRECT("'"&amp;$A79&amp;"'!$A$2:$A$501"),"&gt;="&amp;$I79,INDIRECT("'"&amp;$A79&amp;"'!$A$2:$A$501"),"&lt;"&amp;($BA79+1),INDIRECT("'"&amp;$A79&amp;"'!$F$2:$F$501"),"Not for me"),0)))</f>
        <v/>
      </c>
      <c r="AS79" s="25">
        <f>IF(OR($A79="",$I79=""),"",IF($BC79="Y",SUMIFS(survey_frozen!$G$2:$G$251,survey_frozen!$P$2:$P$251,$A79&amp;"|"&amp;$B79),IFERROR(COUNTIFS(INDIRECT("'"&amp;$A79&amp;"'!$B$2:$B$501"),$T79,INDIRECT("'"&amp;$A79&amp;"'!$A$2:$A$501"),"&gt;="&amp;$I79,INDIRECT("'"&amp;$A79&amp;"'!$A$2:$A$501"),"&lt;"&amp;($BA79+1),INDIRECT("'"&amp;$A79&amp;"'!$F$2:$F$501"),"Gone by the time I looked"),0)))</f>
        <v/>
      </c>
      <c r="AT79" s="25">
        <f>IF(OR($A79="",$I79=""),"",IF($BC79="Y",SUMIFS(survey_frozen!$H$2:$H$251,survey_frozen!$P$2:$P$251,$A79&amp;"|"&amp;$B79),IFERROR(COUNTIFS(INDIRECT("'"&amp;$A79&amp;"'!$B$2:$B$501"),$T79,INDIRECT("'"&amp;$A79&amp;"'!$A$2:$A$501"),"&gt;="&amp;$I79,INDIRECT("'"&amp;$A79&amp;"'!$A$2:$A$501"),"&lt;"&amp;($BA79+1),INDIRECT("'"&amp;$A79&amp;"'!$D$2:$D$501"),"&gt;=1"),0)))</f>
        <v/>
      </c>
      <c r="AU79" s="25">
        <f>IF(OR($A79="",$I79=""),"",IF($BC79="Y",SUMIFS(survey_frozen!$I$2:$I$251,survey_frozen!$P$2:$P$251,$A79&amp;"|"&amp;$B79),IFERROR(SUMIFS(INDIRECT("'"&amp;$A79&amp;"'!$D$2:$D$501"),INDIRECT("'"&amp;$A79&amp;"'!$B$2:$B$501"),$T79,INDIRECT("'"&amp;$A79&amp;"'!$A$2:$A$501"),"&gt;="&amp;$I79,INDIRECT("'"&amp;$A79&amp;"'!$A$2:$A$501"),"&lt;"&amp;($BA79+1)),0)))</f>
        <v/>
      </c>
      <c r="AV79" s="25">
        <f>IF(OR($A79="",$I79=""),"",IF($BC79="Y",SUMIFS(survey_frozen!$J$2:$J$251,survey_frozen!$P$2:$P$251,$A79&amp;"|"&amp;$B79),IFERROR(COUNTIFS(INDIRECT("'"&amp;$A79&amp;"'!$B$2:$B$501"),$T79,INDIRECT("'"&amp;$A79&amp;"'!$A$2:$A$501"),"&gt;="&amp;$I79,INDIRECT("'"&amp;$A79&amp;"'!$A$2:$A$501"),"&lt;"&amp;($BA79+1),INDIRECT("'"&amp;$A79&amp;"'!$E$2:$E$501"),"Yes"),0)))</f>
        <v/>
      </c>
      <c r="AW79" s="25">
        <f>IF(OR($A79="",$I79=""),"",IF($BC79="Y",SUMIFS(survey_frozen!$K$2:$K$251,survey_frozen!$P$2:$P$251,$A79&amp;"|"&amp;$B79),IFERROR(COUNTIFS(INDIRECT("'"&amp;$A79&amp;"'!$B$2:$B$501"),$T79,INDIRECT("'"&amp;$A79&amp;"'!$A$2:$A$501"),"&gt;="&amp;$I79,INDIRECT("'"&amp;$A79&amp;"'!$A$2:$A$501"),"&lt;"&amp;($BA79+1),INDIRECT("'"&amp;$A79&amp;"'!$E$2:$E$501"),"Maybe"),0)))</f>
        <v/>
      </c>
      <c r="AX79" s="25">
        <f>IF(OR($A79="",$I79=""),"",IF($BC79="Y",SUMIFS(survey_frozen!$L$2:$L$251,survey_frozen!$P$2:$P$251,$A79&amp;"|"&amp;$B79),IFERROR(COUNTIFS(INDIRECT("'"&amp;$A79&amp;"'!$B$2:$B$501"),$T79,INDIRECT("'"&amp;$A79&amp;"'!$A$2:$A$501"),"&gt;="&amp;$I79,INDIRECT("'"&amp;$A79&amp;"'!$A$2:$A$501"),"&lt;"&amp;($BA79+1),INDIRECT("'"&amp;$A79&amp;"'!$E$2:$E$501"),"No"),0)))</f>
        <v/>
      </c>
      <c r="AY79" s="25">
        <f>IF(OR($A79="",$I79=""),"",IF($BC79="Y",SUMIFS(survey_frozen!$M$2:$M$251,survey_frozen!$P$2:$P$251,$A79&amp;"|"&amp;$B79),IFERROR(COUNTIFS(INDIRECT("'"&amp;$A79&amp;"'!$B$2:$B$501"),$T79,INDIRECT("'"&amp;$A79&amp;"'!$A$2:$A$501"),"&gt;="&amp;$I79,INDIRECT("'"&amp;$A79&amp;"'!$A$2:$A$501"),"&lt;"&amp;($BA79+1),INDIRECT("'"&amp;$A79&amp;"'!$G$2:$G$501"),"&lt;&gt;"),0)))</f>
        <v/>
      </c>
      <c r="AZ79" s="25">
        <f>IF($A79="","",$A79&amp;"|"&amp;$L79)</f>
        <v/>
      </c>
      <c r="BA79" s="26">
        <f>IF($A79="","",IFERROR(IF(INDEX(drops!$R$2:$R$21,MATCH($H79,drops!$A$2:$A$21,0))="","",INDEX(drops!$R$2:$R$21,MATCH($H79,drops!$A$2:$A$21,0))),""))</f>
        <v/>
      </c>
      <c r="BB79" s="25">
        <f>IF(OR($A79="",$Q79&lt;&gt;"Y"),1000000,N($AL79))</f>
        <v/>
      </c>
      <c r="BC79" s="25">
        <f>IF($A79="","",IF(COUNTIF(survey_frozen!$P$2:$P$251,$A79&amp;"|"&amp;$B79)&gt;0,"Y",""))</f>
        <v/>
      </c>
    </row>
    <row r="80">
      <c r="C80" s="9" t="n"/>
      <c r="E80" s="9" t="n"/>
      <c r="H80" s="25">
        <f>IF($A80="","",IFERROR(IF(INDEX(campaigns!$B$2:$B$51,MATCH($A80,campaigns!$A$2:$A$51,0))="","",INDEX(campaigns!$B$2:$B$51,MATCH($A80,campaigns!$A$2:$A$51,0))),""))</f>
        <v/>
      </c>
      <c r="I80" s="26">
        <f>IF($A80="","",IFERROR(IF(INDEX(campaigns!$BG$2:$BG$51,MATCH($A80,campaigns!$A$2:$A$51,0))="","",INDEX(campaigns!$BG$2:$BG$51,MATCH($A80,campaigns!$A$2:$A$51,0))),""))</f>
        <v/>
      </c>
      <c r="J80" s="25">
        <f>IF($A80="","",IFERROR(IF(INDEX(campaigns!$BE$2:$BE$51,MATCH($A80,campaigns!$A$2:$A$51,0))="","",INDEX(campaigns!$BE$2:$BE$51,MATCH($A80,campaigns!$A$2:$A$51,0))),""))</f>
        <v/>
      </c>
      <c r="K80" s="25">
        <f>IF($B80="","",IFERROR(IF(INDEX(offices!$N$2:$N$61,MATCH($B80,offices!$A$2:$A$61,0))="","",INDEX(offices!$N$2:$N$61,MATCH($B80,offices!$A$2:$A$61,0))),""))</f>
        <v/>
      </c>
      <c r="L80" s="25">
        <f>IF($A80="","",IF($Q80="N","",COUNTIFS($A$2:$A80,$A80,$Q$2:$Q80,"&lt;&gt;N")))</f>
        <v/>
      </c>
      <c r="M80" s="25">
        <f>IF(OR($A80="",$L80=""),"",IF(AND(config!$B$34="names_if_public",IFERROR(IF(INDEX(offices!$AF$2:$AF$61,MATCH($B80,offices!$A$2:$A$61,0))="","",INDEX(offices!$AF$2:$AF$61,MATCH($B80,offices!$A$2:$A$61,0))),"")="Y"),$K80,CHAR(64+$L80)))</f>
        <v/>
      </c>
      <c r="N80" s="25">
        <f>IF(OR($A80="",$I80=""),"",COUNTIFS(stops!$B$2:$B$151,$B80,stops!$P$2:$P$151,"&lt;"&amp;$I80,stops!$L$2:$L$151,"&lt;&gt;not_delivered")+1)</f>
        <v/>
      </c>
      <c r="O80" s="25">
        <f>IF($A80="","",IF(N($N80)&lt;=config!$B$29,"explicit","opt-out"))</f>
        <v/>
      </c>
      <c r="P80" s="25">
        <f>IF($A80="","",IF($O80="explicit",IF($D80="yes","Y",IF($D80="no","N","pending")),IF($D80="no","N",IF(AND($C80&lt;&gt;"",$I80&lt;&gt;"",$C80&lt;=WORKDAY(N($I80),-5,calendar!$A$2:$A$80)),"Y","pending"))))</f>
        <v/>
      </c>
      <c r="Q80" s="25">
        <f>IF($A80="","",IF($P80="N","N",IF($P80&lt;&gt;"Y","pending",IF(AND((COUNTIFS(stops!$A$2:$A$151,$H80,stops!$B$2:$B$151,$B80,stops!$L$2:$L$151,"declined")+COUNTIFS(stops!$A$2:$A$151,$H80,stops!$B$2:$B$151,$B80,stops!$L$2:$L$151,"building_refused")+COUNTIFS(stops!$A$2:$A$151,$H80,stops!$B$2:$B$151,$B80,stops!$L$2:$L$151,"not_delivered"))&gt;0,N($U80)=0),"N","Y"))))</f>
        <v/>
      </c>
      <c r="R80" s="25">
        <f>IF($A80="","",IF(COUNTIFS($A$2:$A$251,$A80,$B$2:$B$251,$B80)&gt;1,"DUPLICATE ROW; ","")&amp;IF(AND(IFERROR(IF(INDEX(offices!$AC$2:$AC$61,MATCH($B80,offices!$A$2:$A$61,0))="","",INDEX(offices!$AC$2:$AC$61,MATCH($B80,offices!$A$2:$A$61,0))),"")&lt;&gt;"",ISNUMBER(SEARCH($J80,IFERROR(IF(INDEX(offices!$AC$2:$AC$61,MATCH($B80,offices!$A$2:$A$61,0))="","",INDEX(offices!$AC$2:$AC$61,MATCH($B80,offices!$A$2:$A$61,0))),"")))),"BRAND VETOED; ","")&amp;IF(ISNUMBER(SEARCH(IFERROR(IF(INDEX(campaigns!$BF$2:$BF$51,MATCH($A80,campaigns!$A$2:$A$51,0))="","",INDEX(campaigns!$BF$2:$BF$51,MATCH($A80,campaigns!$A$2:$A$51,0))),""),IFERROR(IF(INDEX(offices!$AB$2:$AB$61,MATCH($B80,offices!$A$2:$A$61,0))="","",INDEX(offices!$AB$2:$AB$61,MATCH($B80,offices!$A$2:$A$61,0))),""))),"","info: category not on the office's list; ")&amp;IF(IFERROR(IF(INDEX(offices!$AC$2:$AC$61,MATCH($B80,offices!$A$2:$A$61,0))="","",INDEX(offices!$AC$2:$AC$61,MATCH($B80,offices!$A$2:$A$61,0))),"")&lt;&gt;"","info: read the vetoes against the label; ",""))</f>
        <v/>
      </c>
      <c r="S80" s="25">
        <f>IF($A80="","",IF($G80&lt;&gt;"",$G80,IFERROR(IF(INDEX(offices!$AL$2:$AL$61,MATCH($B80,offices!$A$2:$A$61,0))="","",INDEX(offices!$AL$2:$AL$61,MATCH($B80,offices!$A$2:$A$61,0))),"")))</f>
        <v/>
      </c>
      <c r="T80" s="25">
        <f>IF($A80="","",$A80&amp;"."&amp;$B80)</f>
        <v/>
      </c>
      <c r="U80" s="25">
        <f>IF($A80="","",SUMIFS(inventory!$G$2:$G$801,inventory!$C$2:$C$801,$A80,inventory!$D$2:$D$801,$B80,inventory!$E$2:$E$801,"delivered"))</f>
        <v/>
      </c>
      <c r="V80" s="32">
        <f>IF($A80="","",IFERROR(1/(1/SUMPRODUCT(MAX((inventory!$C$2:$C$801=$A80)*(inventory!$D$2:$D$801=$B80)*(inventory!$E$2:$E$801="delivered")*(inventory!$A$2:$A$801+inventory!$B$2:$B$801)))),""))</f>
        <v/>
      </c>
      <c r="W80" s="25">
        <f>IF($A80="","",IFERROR(IF(INDEX(inventory!$J$2:$J$801,MATCH($A80&amp;"|"&amp;$B80&amp;"|delivered",inventory!$R$2:$R$801,0))="","",INDEX(inventory!$J$2:$J$801,MATCH($A80&amp;"|"&amp;$B80&amp;"|delivered",inventory!$R$2:$R$801,0))),""))</f>
        <v/>
      </c>
      <c r="X80" s="25">
        <f>IF($A80="","",IFERROR(IF(INDEX(photos!$H$2:$H$701,MATCH($A80&amp;"|"&amp;$B80&amp;"|placement|Y",photos!$R$2:$R$701,0))="","",INDEX(photos!$H$2:$H$701,MATCH($A80&amp;"|"&amp;$B80&amp;"|placement|Y",photos!$R$2:$R$701,0))),""))</f>
        <v/>
      </c>
      <c r="Y80" s="26">
        <f>IF($A80="","",IFERROR(IF(INDEX(photos!$E$2:$E$701,MATCH($A80&amp;"|"&amp;$B80&amp;"|placement|Y",photos!$R$2:$R$701,0))="","",INDEX(photos!$E$2:$E$701,MATCH($A80&amp;"|"&amp;$B80&amp;"|placement|Y",photos!$R$2:$R$701,0))),""))</f>
        <v/>
      </c>
      <c r="Z80" s="25">
        <f>IF($A80="","",IF(COUNTIFS(counts!$C$2:$C$701,$A80,counts!$D$2:$D$701,$B80,counts!$E$2:$E$701,"placed")=0,"",SUMIFS(counts!$F$2:$F$701,counts!$C$2:$C$701,$A80,counts!$D$2:$D$701,$B80,counts!$E$2:$E$701,"placed")))</f>
        <v/>
      </c>
      <c r="AA80" s="25">
        <f>IF($A80="","",IF($Y80="",0,N($Z80)))</f>
        <v/>
      </c>
      <c r="AB80" s="25">
        <f>IF($A80="","",IF(OR($Y80="",$I80=""),"N",IF($Y80&lt;=WORKDAY(N($I80),1,calendar!$A$2:$A$80),"Y","N")))</f>
        <v/>
      </c>
      <c r="AC80" s="28">
        <f>IF(OR($A80="",$V80="",$Y80=""),"",ROUND(($Y80+N(IFERROR(IF(INDEX(photos!$F$2:$F$701,MATCH($A80&amp;"|"&amp;$B80&amp;"|placement|Y",photos!$R$2:$R$701,0))="","",INDEX(photos!$F$2:$F$701,MATCH($A80&amp;"|"&amp;$B80&amp;"|placement|Y",photos!$R$2:$R$701,0))),""))-$V80)*24,1))</f>
        <v/>
      </c>
      <c r="AD80" s="25">
        <f>IF($A80="","",SUMIFS(inventory!$G$2:$G$801,inventory!$C$2:$C$801,$A80,inventory!$D$2:$D$801,$B80,inventory!$E$2:$E$801,"topped_up"))</f>
        <v/>
      </c>
      <c r="AE80" s="25">
        <f>IF($A80="","",IF(COUNTIFS(counts!$C$2:$C$701,$A80,counts!$D$2:$D$701,$B80,counts!$E$2:$E$701,"remaining_day3")=0,"",SUMIFS(counts!$F$2:$F$701,counts!$C$2:$C$701,$A80,counts!$D$2:$D$701,$B80,counts!$E$2:$E$701,"remaining_day3")))</f>
        <v/>
      </c>
      <c r="AF80" s="25">
        <f>IF($A80="","",IF(COUNTIFS(counts!$C$2:$C$701,$A80,counts!$D$2:$D$701,$B80,counts!$E$2:$E$701,"remaining_day5")=0,"",SUMIFS(counts!$F$2:$F$701,counts!$C$2:$C$701,$A80,counts!$D$2:$D$701,$B80,counts!$E$2:$E$701,"remaining_day5")))</f>
        <v/>
      </c>
      <c r="AG80" s="25">
        <f>IF(OR($A80="",$AF80=""),"",MAX(0,$AA80+$AD80-$AF80))</f>
        <v/>
      </c>
      <c r="AH80" s="25">
        <f>IF(OR($A80="",$AI80=""),"",IFERROR(IF(INDEX(photos!$H$2:$H$701,MATCH($A80&amp;"|"&amp;$B80&amp;"|later|Y|"&amp;$AI80,photos!$S$2:$S$701,0))="","",INDEX(photos!$H$2:$H$701,MATCH($A80&amp;"|"&amp;$B80&amp;"|later|Y|"&amp;$AI80,photos!$S$2:$S$701,0))),""))</f>
        <v/>
      </c>
      <c r="AI80" s="26">
        <f>IF($A80="","",IFERROR(1/(1/SUMPRODUCT(MAX((photos!$B$2:$B$701=$A80)*(photos!$C$2:$C$701=$B80)*(photos!$D$2:$D$701="later")*(photos!$O$2:$O$701="Y")*photos!$E$2:$E$701))),""))</f>
        <v/>
      </c>
      <c r="AJ80" s="25">
        <f>IF(OR($A80="",$AI80="",$I80=""),"",NETWORKDAYS($I80,$AI80,calendar!$A$2:$A$80))</f>
        <v/>
      </c>
      <c r="AK80" s="25">
        <f>IF($A80="","",IF(AND($X80&lt;&gt;"",$AH80&lt;&gt;""),"Y","N"))</f>
        <v/>
      </c>
      <c r="AL80" s="25">
        <f>IF(OR($A80="",$I80=""),"",IF($BC80="Y",SUMIFS(survey_frozen!$C$2:$C$251,survey_frozen!$P$2:$P$251,$A80&amp;"|"&amp;$B80),IFERROR(COUNTIFS(INDIRECT("'"&amp;$A80&amp;"'!$B$2:$B$501"),$T80,INDIRECT("'"&amp;$A80&amp;"'!$A$2:$A$501"),"&gt;="&amp;$I80,INDIRECT("'"&amp;$A80&amp;"'!$A$2:$A$501"),"&lt;"&amp;($BA80+1)),0)))</f>
        <v/>
      </c>
      <c r="AM80" s="25">
        <f>IF(OR($A80="",$I80=""),"",IF($BC80="Y",SUMIFS(survey_frozen!$D$2:$D$251,survey_frozen!$P$2:$P$251,$A80&amp;"|"&amp;$B80),IFERROR(COUNTIFS(INDIRECT("'"&amp;$A80&amp;"'!$B$2:$B$501"),$T80,INDIRECT("'"&amp;$A80&amp;"'!$A$2:$A$501"),"&gt;="&amp;$I80,INDIRECT("'"&amp;$A80&amp;"'!$A$2:$A$501"),"&lt;"&amp;($BA80+1),INDIRECT("'"&amp;$A80&amp;"'!$C$2:$C$501"),"Yes"),0)))</f>
        <v/>
      </c>
      <c r="AN80" s="25">
        <f>IF($A80="","",IF(COUNTIFS(scans!$C$2:$C$1601,(IF(LEFT($A80,7)="SAMPLE-","SAMPLE-","")&amp;LOWER(SUBSTITUTE(SUBSTITUTE($A80,"SAMPLE-",""),"CMP-","c"))&amp;"-"&amp;LOWER(SUBSTITUTE(SUBSTITUTE($B80,"SAMPLE-",""),"O-","o"))&amp;"-q"),scans!$D$2:$D$1601,"close")=0,"",SUMPRODUCT(MAX((scans!$C$2:$C$1601=(IF(LEFT($A80,7)="SAMPLE-","SAMPLE-","")&amp;LOWER(SUBSTITUTE(SUBSTITUTE($A80,"SAMPLE-",""),"CMP-","c"))&amp;"-"&amp;LOWER(SUBSTITUTE(SUBSTITUTE($B80,"SAMPLE-",""),"O-","o"))&amp;"-q"))*(scans!$D$2:$D$1601="close")*scans!$E$2:$E$1601))-SUMPRODUCT(MAX((scans!$C$2:$C$1601=(IF(LEFT($A80,7)="SAMPLE-","SAMPLE-","")&amp;LOWER(SUBSTITUTE(SUBSTITUTE($A80,"SAMPLE-",""),"CMP-","c"))&amp;"-"&amp;LOWER(SUBSTITUTE(SUBSTITUTE($B80,"SAMPLE-",""),"O-","o"))&amp;"-q"))*(scans!$D$2:$D$1601="baseline")*scans!$E$2:$E$1601))))</f>
        <v/>
      </c>
      <c r="AO80" s="25">
        <f>IF($A80="","",IF(COUNTIFS(scans!$C$2:$C$1601,(IF(LEFT($A80,7)="SAMPLE-","SAMPLE-","")&amp;LOWER(SUBSTITUTE(SUBSTITUTE($A80,"SAMPLE-",""),"CMP-","c"))&amp;"-"&amp;LOWER(SUBSTITUTE(SUBSTITUTE($B80,"SAMPLE-",""),"O-","o"))&amp;"-p"),scans!$D$2:$D$1601,"close")=0,"",SUMPRODUCT(MAX((scans!$C$2:$C$1601=(IF(LEFT($A80,7)="SAMPLE-","SAMPLE-","")&amp;LOWER(SUBSTITUTE(SUBSTITUTE($A80,"SAMPLE-",""),"CMP-","c"))&amp;"-"&amp;LOWER(SUBSTITUTE(SUBSTITUTE($B80,"SAMPLE-",""),"O-","o"))&amp;"-p"))*(scans!$D$2:$D$1601="close")*scans!$E$2:$E$1601))-SUMPRODUCT(MAX((scans!$C$2:$C$1601=(IF(LEFT($A80,7)="SAMPLE-","SAMPLE-","")&amp;LOWER(SUBSTITUTE(SUBSTITUTE($A80,"SAMPLE-",""),"CMP-","c"))&amp;"-"&amp;LOWER(SUBSTITUTE(SUBSTITUTE($B80,"SAMPLE-",""),"O-","o"))&amp;"-p"))*(scans!$D$2:$D$1601="baseline")*scans!$E$2:$E$1601))))</f>
        <v/>
      </c>
      <c r="AP80" s="25">
        <f>IF($A80="","",IF(COUNTIF(offices!$A$2:$A$61,$B80)=0,"office_id not on offices; ","")&amp;IF(COUNTIF(campaigns!$A$2:$A$51,$A80)=0,"campaign_id not on campaigns; ","")&amp;IF($P80="pending","approval pending; ","")&amp;IF(AND($U80&gt;0,$Y80="",OR($I80="",IF(config!$B$37&lt;&gt;"",config!$B$37,TODAY())&lt;=WORKDAY(N($I80),4,calendar!$A$2:$A$80))),"no usable placement photo yet; ","")&amp;IF(AND($Y80&lt;&gt;"",$Z80=""),"log the placed count; ","")&amp;IF(N($AA80)&gt;N($U80),"placed more than delivered; ","")&amp;IF(AND($AF80&lt;&gt;"",N($AF80)&gt;N($AA80)+N($AD80)),"day-5 count above placed plus top-ups; ","")&amp;IF(AND($U80&gt;0,$I80&lt;&gt;"",IF(config!$B$37&lt;&gt;"",config!$B$37,TODAY())&gt;WORKDAY(N($I80),4,calendar!$A$2:$A$80),$AF80=""),"day-5 count missing; ","")&amp;IF(AND($U80&gt;0,$I80&lt;&gt;"",IF(config!$B$37&lt;&gt;"",config!$B$37,TODAY())&gt;WORKDAY(N($I80),4,calendar!$A$2:$A$80),$AN80=""),"no close link reading; ","")&amp;$R80&amp;IF($P80="N","info: office said no; ","")&amp;IF(AND($P80="Y",$Q80="N"),"info: turned away at the door, so not on the drop (no letter, not in the report or Gate 2; the credit check is on campaigns); ","")&amp;IF(AND($U80&gt;0,$Y80="",$I80&lt;&gt;"",IF(config!$B$37&lt;&gt;"",config!$B$37,TODAY())&gt;WORKDAY(N($I80),4,calendar!$A$2:$A$80)),"info: no usable placement photo, so nothing counts as placed; ","")&amp;IF(AND($U80&gt;0,$I80&lt;&gt;"",IF(config!$B$37&lt;&gt;"",config!$B$37,TODAY())&gt;WORKDAY(N($I80),4,calendar!$A$2:$A$80),N($AL80)&lt;config!$B$30),"info: under "&amp;config!$B$30&amp;" responses; ","")&amp;IF($W80="packing_list","info: delivered count not verified; ",""))</f>
        <v/>
      </c>
      <c r="AQ80" s="25">
        <f>IF(OR($A80="",$I80=""),"",IF($BC80="Y",SUMIFS(survey_frozen!$E$2:$E$251,survey_frozen!$P$2:$P$251,$A80&amp;"|"&amp;$B80),IFERROR(COUNTIFS(INDIRECT("'"&amp;$A80&amp;"'!$B$2:$B$501"),$T80,INDIRECT("'"&amp;$A80&amp;"'!$A$2:$A$501"),"&gt;="&amp;$I80,INDIRECT("'"&amp;$A80&amp;"'!$A$2:$A$501"),"&lt;"&amp;($BA80+1),INDIRECT("'"&amp;$A80&amp;"'!$F$2:$F$501"),"Didn't see it"),0)))</f>
        <v/>
      </c>
      <c r="AR80" s="25">
        <f>IF(OR($A80="",$I80=""),"",IF($BC80="Y",SUMIFS(survey_frozen!$F$2:$F$251,survey_frozen!$P$2:$P$251,$A80&amp;"|"&amp;$B80),IFERROR(COUNTIFS(INDIRECT("'"&amp;$A80&amp;"'!$B$2:$B$501"),$T80,INDIRECT("'"&amp;$A80&amp;"'!$A$2:$A$501"),"&gt;="&amp;$I80,INDIRECT("'"&amp;$A80&amp;"'!$A$2:$A$501"),"&lt;"&amp;($BA80+1),INDIRECT("'"&amp;$A80&amp;"'!$F$2:$F$501"),"Not for me"),0)))</f>
        <v/>
      </c>
      <c r="AS80" s="25">
        <f>IF(OR($A80="",$I80=""),"",IF($BC80="Y",SUMIFS(survey_frozen!$G$2:$G$251,survey_frozen!$P$2:$P$251,$A80&amp;"|"&amp;$B80),IFERROR(COUNTIFS(INDIRECT("'"&amp;$A80&amp;"'!$B$2:$B$501"),$T80,INDIRECT("'"&amp;$A80&amp;"'!$A$2:$A$501"),"&gt;="&amp;$I80,INDIRECT("'"&amp;$A80&amp;"'!$A$2:$A$501"),"&lt;"&amp;($BA80+1),INDIRECT("'"&amp;$A80&amp;"'!$F$2:$F$501"),"Gone by the time I looked"),0)))</f>
        <v/>
      </c>
      <c r="AT80" s="25">
        <f>IF(OR($A80="",$I80=""),"",IF($BC80="Y",SUMIFS(survey_frozen!$H$2:$H$251,survey_frozen!$P$2:$P$251,$A80&amp;"|"&amp;$B80),IFERROR(COUNTIFS(INDIRECT("'"&amp;$A80&amp;"'!$B$2:$B$501"),$T80,INDIRECT("'"&amp;$A80&amp;"'!$A$2:$A$501"),"&gt;="&amp;$I80,INDIRECT("'"&amp;$A80&amp;"'!$A$2:$A$501"),"&lt;"&amp;($BA80+1),INDIRECT("'"&amp;$A80&amp;"'!$D$2:$D$501"),"&gt;=1"),0)))</f>
        <v/>
      </c>
      <c r="AU80" s="25">
        <f>IF(OR($A80="",$I80=""),"",IF($BC80="Y",SUMIFS(survey_frozen!$I$2:$I$251,survey_frozen!$P$2:$P$251,$A80&amp;"|"&amp;$B80),IFERROR(SUMIFS(INDIRECT("'"&amp;$A80&amp;"'!$D$2:$D$501"),INDIRECT("'"&amp;$A80&amp;"'!$B$2:$B$501"),$T80,INDIRECT("'"&amp;$A80&amp;"'!$A$2:$A$501"),"&gt;="&amp;$I80,INDIRECT("'"&amp;$A80&amp;"'!$A$2:$A$501"),"&lt;"&amp;($BA80+1)),0)))</f>
        <v/>
      </c>
      <c r="AV80" s="25">
        <f>IF(OR($A80="",$I80=""),"",IF($BC80="Y",SUMIFS(survey_frozen!$J$2:$J$251,survey_frozen!$P$2:$P$251,$A80&amp;"|"&amp;$B80),IFERROR(COUNTIFS(INDIRECT("'"&amp;$A80&amp;"'!$B$2:$B$501"),$T80,INDIRECT("'"&amp;$A80&amp;"'!$A$2:$A$501"),"&gt;="&amp;$I80,INDIRECT("'"&amp;$A80&amp;"'!$A$2:$A$501"),"&lt;"&amp;($BA80+1),INDIRECT("'"&amp;$A80&amp;"'!$E$2:$E$501"),"Yes"),0)))</f>
        <v/>
      </c>
      <c r="AW80" s="25">
        <f>IF(OR($A80="",$I80=""),"",IF($BC80="Y",SUMIFS(survey_frozen!$K$2:$K$251,survey_frozen!$P$2:$P$251,$A80&amp;"|"&amp;$B80),IFERROR(COUNTIFS(INDIRECT("'"&amp;$A80&amp;"'!$B$2:$B$501"),$T80,INDIRECT("'"&amp;$A80&amp;"'!$A$2:$A$501"),"&gt;="&amp;$I80,INDIRECT("'"&amp;$A80&amp;"'!$A$2:$A$501"),"&lt;"&amp;($BA80+1),INDIRECT("'"&amp;$A80&amp;"'!$E$2:$E$501"),"Maybe"),0)))</f>
        <v/>
      </c>
      <c r="AX80" s="25">
        <f>IF(OR($A80="",$I80=""),"",IF($BC80="Y",SUMIFS(survey_frozen!$L$2:$L$251,survey_frozen!$P$2:$P$251,$A80&amp;"|"&amp;$B80),IFERROR(COUNTIFS(INDIRECT("'"&amp;$A80&amp;"'!$B$2:$B$501"),$T80,INDIRECT("'"&amp;$A80&amp;"'!$A$2:$A$501"),"&gt;="&amp;$I80,INDIRECT("'"&amp;$A80&amp;"'!$A$2:$A$501"),"&lt;"&amp;($BA80+1),INDIRECT("'"&amp;$A80&amp;"'!$E$2:$E$501"),"No"),0)))</f>
        <v/>
      </c>
      <c r="AY80" s="25">
        <f>IF(OR($A80="",$I80=""),"",IF($BC80="Y",SUMIFS(survey_frozen!$M$2:$M$251,survey_frozen!$P$2:$P$251,$A80&amp;"|"&amp;$B80),IFERROR(COUNTIFS(INDIRECT("'"&amp;$A80&amp;"'!$B$2:$B$501"),$T80,INDIRECT("'"&amp;$A80&amp;"'!$A$2:$A$501"),"&gt;="&amp;$I80,INDIRECT("'"&amp;$A80&amp;"'!$A$2:$A$501"),"&lt;"&amp;($BA80+1),INDIRECT("'"&amp;$A80&amp;"'!$G$2:$G$501"),"&lt;&gt;"),0)))</f>
        <v/>
      </c>
      <c r="AZ80" s="25">
        <f>IF($A80="","",$A80&amp;"|"&amp;$L80)</f>
        <v/>
      </c>
      <c r="BA80" s="26">
        <f>IF($A80="","",IFERROR(IF(INDEX(drops!$R$2:$R$21,MATCH($H80,drops!$A$2:$A$21,0))="","",INDEX(drops!$R$2:$R$21,MATCH($H80,drops!$A$2:$A$21,0))),""))</f>
        <v/>
      </c>
      <c r="BB80" s="25">
        <f>IF(OR($A80="",$Q80&lt;&gt;"Y"),1000000,N($AL80))</f>
        <v/>
      </c>
      <c r="BC80" s="25">
        <f>IF($A80="","",IF(COUNTIF(survey_frozen!$P$2:$P$251,$A80&amp;"|"&amp;$B80)&gt;0,"Y",""))</f>
        <v/>
      </c>
    </row>
    <row r="81">
      <c r="C81" s="9" t="n"/>
      <c r="E81" s="9" t="n"/>
      <c r="H81" s="25">
        <f>IF($A81="","",IFERROR(IF(INDEX(campaigns!$B$2:$B$51,MATCH($A81,campaigns!$A$2:$A$51,0))="","",INDEX(campaigns!$B$2:$B$51,MATCH($A81,campaigns!$A$2:$A$51,0))),""))</f>
        <v/>
      </c>
      <c r="I81" s="26">
        <f>IF($A81="","",IFERROR(IF(INDEX(campaigns!$BG$2:$BG$51,MATCH($A81,campaigns!$A$2:$A$51,0))="","",INDEX(campaigns!$BG$2:$BG$51,MATCH($A81,campaigns!$A$2:$A$51,0))),""))</f>
        <v/>
      </c>
      <c r="J81" s="25">
        <f>IF($A81="","",IFERROR(IF(INDEX(campaigns!$BE$2:$BE$51,MATCH($A81,campaigns!$A$2:$A$51,0))="","",INDEX(campaigns!$BE$2:$BE$51,MATCH($A81,campaigns!$A$2:$A$51,0))),""))</f>
        <v/>
      </c>
      <c r="K81" s="25">
        <f>IF($B81="","",IFERROR(IF(INDEX(offices!$N$2:$N$61,MATCH($B81,offices!$A$2:$A$61,0))="","",INDEX(offices!$N$2:$N$61,MATCH($B81,offices!$A$2:$A$61,0))),""))</f>
        <v/>
      </c>
      <c r="L81" s="25">
        <f>IF($A81="","",IF($Q81="N","",COUNTIFS($A$2:$A81,$A81,$Q$2:$Q81,"&lt;&gt;N")))</f>
        <v/>
      </c>
      <c r="M81" s="25">
        <f>IF(OR($A81="",$L81=""),"",IF(AND(config!$B$34="names_if_public",IFERROR(IF(INDEX(offices!$AF$2:$AF$61,MATCH($B81,offices!$A$2:$A$61,0))="","",INDEX(offices!$AF$2:$AF$61,MATCH($B81,offices!$A$2:$A$61,0))),"")="Y"),$K81,CHAR(64+$L81)))</f>
        <v/>
      </c>
      <c r="N81" s="25">
        <f>IF(OR($A81="",$I81=""),"",COUNTIFS(stops!$B$2:$B$151,$B81,stops!$P$2:$P$151,"&lt;"&amp;$I81,stops!$L$2:$L$151,"&lt;&gt;not_delivered")+1)</f>
        <v/>
      </c>
      <c r="O81" s="25">
        <f>IF($A81="","",IF(N($N81)&lt;=config!$B$29,"explicit","opt-out"))</f>
        <v/>
      </c>
      <c r="P81" s="25">
        <f>IF($A81="","",IF($O81="explicit",IF($D81="yes","Y",IF($D81="no","N","pending")),IF($D81="no","N",IF(AND($C81&lt;&gt;"",$I81&lt;&gt;"",$C81&lt;=WORKDAY(N($I81),-5,calendar!$A$2:$A$80)),"Y","pending"))))</f>
        <v/>
      </c>
      <c r="Q81" s="25">
        <f>IF($A81="","",IF($P81="N","N",IF($P81&lt;&gt;"Y","pending",IF(AND((COUNTIFS(stops!$A$2:$A$151,$H81,stops!$B$2:$B$151,$B81,stops!$L$2:$L$151,"declined")+COUNTIFS(stops!$A$2:$A$151,$H81,stops!$B$2:$B$151,$B81,stops!$L$2:$L$151,"building_refused")+COUNTIFS(stops!$A$2:$A$151,$H81,stops!$B$2:$B$151,$B81,stops!$L$2:$L$151,"not_delivered"))&gt;0,N($U81)=0),"N","Y"))))</f>
        <v/>
      </c>
      <c r="R81" s="25">
        <f>IF($A81="","",IF(COUNTIFS($A$2:$A$251,$A81,$B$2:$B$251,$B81)&gt;1,"DUPLICATE ROW; ","")&amp;IF(AND(IFERROR(IF(INDEX(offices!$AC$2:$AC$61,MATCH($B81,offices!$A$2:$A$61,0))="","",INDEX(offices!$AC$2:$AC$61,MATCH($B81,offices!$A$2:$A$61,0))),"")&lt;&gt;"",ISNUMBER(SEARCH($J81,IFERROR(IF(INDEX(offices!$AC$2:$AC$61,MATCH($B81,offices!$A$2:$A$61,0))="","",INDEX(offices!$AC$2:$AC$61,MATCH($B81,offices!$A$2:$A$61,0))),"")))),"BRAND VETOED; ","")&amp;IF(ISNUMBER(SEARCH(IFERROR(IF(INDEX(campaigns!$BF$2:$BF$51,MATCH($A81,campaigns!$A$2:$A$51,0))="","",INDEX(campaigns!$BF$2:$BF$51,MATCH($A81,campaigns!$A$2:$A$51,0))),""),IFERROR(IF(INDEX(offices!$AB$2:$AB$61,MATCH($B81,offices!$A$2:$A$61,0))="","",INDEX(offices!$AB$2:$AB$61,MATCH($B81,offices!$A$2:$A$61,0))),""))),"","info: category not on the office's list; ")&amp;IF(IFERROR(IF(INDEX(offices!$AC$2:$AC$61,MATCH($B81,offices!$A$2:$A$61,0))="","",INDEX(offices!$AC$2:$AC$61,MATCH($B81,offices!$A$2:$A$61,0))),"")&lt;&gt;"","info: read the vetoes against the label; ",""))</f>
        <v/>
      </c>
      <c r="S81" s="25">
        <f>IF($A81="","",IF($G81&lt;&gt;"",$G81,IFERROR(IF(INDEX(offices!$AL$2:$AL$61,MATCH($B81,offices!$A$2:$A$61,0))="","",INDEX(offices!$AL$2:$AL$61,MATCH($B81,offices!$A$2:$A$61,0))),"")))</f>
        <v/>
      </c>
      <c r="T81" s="25">
        <f>IF($A81="","",$A81&amp;"."&amp;$B81)</f>
        <v/>
      </c>
      <c r="U81" s="25">
        <f>IF($A81="","",SUMIFS(inventory!$G$2:$G$801,inventory!$C$2:$C$801,$A81,inventory!$D$2:$D$801,$B81,inventory!$E$2:$E$801,"delivered"))</f>
        <v/>
      </c>
      <c r="V81" s="32">
        <f>IF($A81="","",IFERROR(1/(1/SUMPRODUCT(MAX((inventory!$C$2:$C$801=$A81)*(inventory!$D$2:$D$801=$B81)*(inventory!$E$2:$E$801="delivered")*(inventory!$A$2:$A$801+inventory!$B$2:$B$801)))),""))</f>
        <v/>
      </c>
      <c r="W81" s="25">
        <f>IF($A81="","",IFERROR(IF(INDEX(inventory!$J$2:$J$801,MATCH($A81&amp;"|"&amp;$B81&amp;"|delivered",inventory!$R$2:$R$801,0))="","",INDEX(inventory!$J$2:$J$801,MATCH($A81&amp;"|"&amp;$B81&amp;"|delivered",inventory!$R$2:$R$801,0))),""))</f>
        <v/>
      </c>
      <c r="X81" s="25">
        <f>IF($A81="","",IFERROR(IF(INDEX(photos!$H$2:$H$701,MATCH($A81&amp;"|"&amp;$B81&amp;"|placement|Y",photos!$R$2:$R$701,0))="","",INDEX(photos!$H$2:$H$701,MATCH($A81&amp;"|"&amp;$B81&amp;"|placement|Y",photos!$R$2:$R$701,0))),""))</f>
        <v/>
      </c>
      <c r="Y81" s="26">
        <f>IF($A81="","",IFERROR(IF(INDEX(photos!$E$2:$E$701,MATCH($A81&amp;"|"&amp;$B81&amp;"|placement|Y",photos!$R$2:$R$701,0))="","",INDEX(photos!$E$2:$E$701,MATCH($A81&amp;"|"&amp;$B81&amp;"|placement|Y",photos!$R$2:$R$701,0))),""))</f>
        <v/>
      </c>
      <c r="Z81" s="25">
        <f>IF($A81="","",IF(COUNTIFS(counts!$C$2:$C$701,$A81,counts!$D$2:$D$701,$B81,counts!$E$2:$E$701,"placed")=0,"",SUMIFS(counts!$F$2:$F$701,counts!$C$2:$C$701,$A81,counts!$D$2:$D$701,$B81,counts!$E$2:$E$701,"placed")))</f>
        <v/>
      </c>
      <c r="AA81" s="25">
        <f>IF($A81="","",IF($Y81="",0,N($Z81)))</f>
        <v/>
      </c>
      <c r="AB81" s="25">
        <f>IF($A81="","",IF(OR($Y81="",$I81=""),"N",IF($Y81&lt;=WORKDAY(N($I81),1,calendar!$A$2:$A$80),"Y","N")))</f>
        <v/>
      </c>
      <c r="AC81" s="28">
        <f>IF(OR($A81="",$V81="",$Y81=""),"",ROUND(($Y81+N(IFERROR(IF(INDEX(photos!$F$2:$F$701,MATCH($A81&amp;"|"&amp;$B81&amp;"|placement|Y",photos!$R$2:$R$701,0))="","",INDEX(photos!$F$2:$F$701,MATCH($A81&amp;"|"&amp;$B81&amp;"|placement|Y",photos!$R$2:$R$701,0))),""))-$V81)*24,1))</f>
        <v/>
      </c>
      <c r="AD81" s="25">
        <f>IF($A81="","",SUMIFS(inventory!$G$2:$G$801,inventory!$C$2:$C$801,$A81,inventory!$D$2:$D$801,$B81,inventory!$E$2:$E$801,"topped_up"))</f>
        <v/>
      </c>
      <c r="AE81" s="25">
        <f>IF($A81="","",IF(COUNTIFS(counts!$C$2:$C$701,$A81,counts!$D$2:$D$701,$B81,counts!$E$2:$E$701,"remaining_day3")=0,"",SUMIFS(counts!$F$2:$F$701,counts!$C$2:$C$701,$A81,counts!$D$2:$D$701,$B81,counts!$E$2:$E$701,"remaining_day3")))</f>
        <v/>
      </c>
      <c r="AF81" s="25">
        <f>IF($A81="","",IF(COUNTIFS(counts!$C$2:$C$701,$A81,counts!$D$2:$D$701,$B81,counts!$E$2:$E$701,"remaining_day5")=0,"",SUMIFS(counts!$F$2:$F$701,counts!$C$2:$C$701,$A81,counts!$D$2:$D$701,$B81,counts!$E$2:$E$701,"remaining_day5")))</f>
        <v/>
      </c>
      <c r="AG81" s="25">
        <f>IF(OR($A81="",$AF81=""),"",MAX(0,$AA81+$AD81-$AF81))</f>
        <v/>
      </c>
      <c r="AH81" s="25">
        <f>IF(OR($A81="",$AI81=""),"",IFERROR(IF(INDEX(photos!$H$2:$H$701,MATCH($A81&amp;"|"&amp;$B81&amp;"|later|Y|"&amp;$AI81,photos!$S$2:$S$701,0))="","",INDEX(photos!$H$2:$H$701,MATCH($A81&amp;"|"&amp;$B81&amp;"|later|Y|"&amp;$AI81,photos!$S$2:$S$701,0))),""))</f>
        <v/>
      </c>
      <c r="AI81" s="26">
        <f>IF($A81="","",IFERROR(1/(1/SUMPRODUCT(MAX((photos!$B$2:$B$701=$A81)*(photos!$C$2:$C$701=$B81)*(photos!$D$2:$D$701="later")*(photos!$O$2:$O$701="Y")*photos!$E$2:$E$701))),""))</f>
        <v/>
      </c>
      <c r="AJ81" s="25">
        <f>IF(OR($A81="",$AI81="",$I81=""),"",NETWORKDAYS($I81,$AI81,calendar!$A$2:$A$80))</f>
        <v/>
      </c>
      <c r="AK81" s="25">
        <f>IF($A81="","",IF(AND($X81&lt;&gt;"",$AH81&lt;&gt;""),"Y","N"))</f>
        <v/>
      </c>
      <c r="AL81" s="25">
        <f>IF(OR($A81="",$I81=""),"",IF($BC81="Y",SUMIFS(survey_frozen!$C$2:$C$251,survey_frozen!$P$2:$P$251,$A81&amp;"|"&amp;$B81),IFERROR(COUNTIFS(INDIRECT("'"&amp;$A81&amp;"'!$B$2:$B$501"),$T81,INDIRECT("'"&amp;$A81&amp;"'!$A$2:$A$501"),"&gt;="&amp;$I81,INDIRECT("'"&amp;$A81&amp;"'!$A$2:$A$501"),"&lt;"&amp;($BA81+1)),0)))</f>
        <v/>
      </c>
      <c r="AM81" s="25">
        <f>IF(OR($A81="",$I81=""),"",IF($BC81="Y",SUMIFS(survey_frozen!$D$2:$D$251,survey_frozen!$P$2:$P$251,$A81&amp;"|"&amp;$B81),IFERROR(COUNTIFS(INDIRECT("'"&amp;$A81&amp;"'!$B$2:$B$501"),$T81,INDIRECT("'"&amp;$A81&amp;"'!$A$2:$A$501"),"&gt;="&amp;$I81,INDIRECT("'"&amp;$A81&amp;"'!$A$2:$A$501"),"&lt;"&amp;($BA81+1),INDIRECT("'"&amp;$A81&amp;"'!$C$2:$C$501"),"Yes"),0)))</f>
        <v/>
      </c>
      <c r="AN81" s="25">
        <f>IF($A81="","",IF(COUNTIFS(scans!$C$2:$C$1601,(IF(LEFT($A81,7)="SAMPLE-","SAMPLE-","")&amp;LOWER(SUBSTITUTE(SUBSTITUTE($A81,"SAMPLE-",""),"CMP-","c"))&amp;"-"&amp;LOWER(SUBSTITUTE(SUBSTITUTE($B81,"SAMPLE-",""),"O-","o"))&amp;"-q"),scans!$D$2:$D$1601,"close")=0,"",SUMPRODUCT(MAX((scans!$C$2:$C$1601=(IF(LEFT($A81,7)="SAMPLE-","SAMPLE-","")&amp;LOWER(SUBSTITUTE(SUBSTITUTE($A81,"SAMPLE-",""),"CMP-","c"))&amp;"-"&amp;LOWER(SUBSTITUTE(SUBSTITUTE($B81,"SAMPLE-",""),"O-","o"))&amp;"-q"))*(scans!$D$2:$D$1601="close")*scans!$E$2:$E$1601))-SUMPRODUCT(MAX((scans!$C$2:$C$1601=(IF(LEFT($A81,7)="SAMPLE-","SAMPLE-","")&amp;LOWER(SUBSTITUTE(SUBSTITUTE($A81,"SAMPLE-",""),"CMP-","c"))&amp;"-"&amp;LOWER(SUBSTITUTE(SUBSTITUTE($B81,"SAMPLE-",""),"O-","o"))&amp;"-q"))*(scans!$D$2:$D$1601="baseline")*scans!$E$2:$E$1601))))</f>
        <v/>
      </c>
      <c r="AO81" s="25">
        <f>IF($A81="","",IF(COUNTIFS(scans!$C$2:$C$1601,(IF(LEFT($A81,7)="SAMPLE-","SAMPLE-","")&amp;LOWER(SUBSTITUTE(SUBSTITUTE($A81,"SAMPLE-",""),"CMP-","c"))&amp;"-"&amp;LOWER(SUBSTITUTE(SUBSTITUTE($B81,"SAMPLE-",""),"O-","o"))&amp;"-p"),scans!$D$2:$D$1601,"close")=0,"",SUMPRODUCT(MAX((scans!$C$2:$C$1601=(IF(LEFT($A81,7)="SAMPLE-","SAMPLE-","")&amp;LOWER(SUBSTITUTE(SUBSTITUTE($A81,"SAMPLE-",""),"CMP-","c"))&amp;"-"&amp;LOWER(SUBSTITUTE(SUBSTITUTE($B81,"SAMPLE-",""),"O-","o"))&amp;"-p"))*(scans!$D$2:$D$1601="close")*scans!$E$2:$E$1601))-SUMPRODUCT(MAX((scans!$C$2:$C$1601=(IF(LEFT($A81,7)="SAMPLE-","SAMPLE-","")&amp;LOWER(SUBSTITUTE(SUBSTITUTE($A81,"SAMPLE-",""),"CMP-","c"))&amp;"-"&amp;LOWER(SUBSTITUTE(SUBSTITUTE($B81,"SAMPLE-",""),"O-","o"))&amp;"-p"))*(scans!$D$2:$D$1601="baseline")*scans!$E$2:$E$1601))))</f>
        <v/>
      </c>
      <c r="AP81" s="25">
        <f>IF($A81="","",IF(COUNTIF(offices!$A$2:$A$61,$B81)=0,"office_id not on offices; ","")&amp;IF(COUNTIF(campaigns!$A$2:$A$51,$A81)=0,"campaign_id not on campaigns; ","")&amp;IF($P81="pending","approval pending; ","")&amp;IF(AND($U81&gt;0,$Y81="",OR($I81="",IF(config!$B$37&lt;&gt;"",config!$B$37,TODAY())&lt;=WORKDAY(N($I81),4,calendar!$A$2:$A$80))),"no usable placement photo yet; ","")&amp;IF(AND($Y81&lt;&gt;"",$Z81=""),"log the placed count; ","")&amp;IF(N($AA81)&gt;N($U81),"placed more than delivered; ","")&amp;IF(AND($AF81&lt;&gt;"",N($AF81)&gt;N($AA81)+N($AD81)),"day-5 count above placed plus top-ups; ","")&amp;IF(AND($U81&gt;0,$I81&lt;&gt;"",IF(config!$B$37&lt;&gt;"",config!$B$37,TODAY())&gt;WORKDAY(N($I81),4,calendar!$A$2:$A$80),$AF81=""),"day-5 count missing; ","")&amp;IF(AND($U81&gt;0,$I81&lt;&gt;"",IF(config!$B$37&lt;&gt;"",config!$B$37,TODAY())&gt;WORKDAY(N($I81),4,calendar!$A$2:$A$80),$AN81=""),"no close link reading; ","")&amp;$R81&amp;IF($P81="N","info: office said no; ","")&amp;IF(AND($P81="Y",$Q81="N"),"info: turned away at the door, so not on the drop (no letter, not in the report or Gate 2; the credit check is on campaigns); ","")&amp;IF(AND($U81&gt;0,$Y81="",$I81&lt;&gt;"",IF(config!$B$37&lt;&gt;"",config!$B$37,TODAY())&gt;WORKDAY(N($I81),4,calendar!$A$2:$A$80)),"info: no usable placement photo, so nothing counts as placed; ","")&amp;IF(AND($U81&gt;0,$I81&lt;&gt;"",IF(config!$B$37&lt;&gt;"",config!$B$37,TODAY())&gt;WORKDAY(N($I81),4,calendar!$A$2:$A$80),N($AL81)&lt;config!$B$30),"info: under "&amp;config!$B$30&amp;" responses; ","")&amp;IF($W81="packing_list","info: delivered count not verified; ",""))</f>
        <v/>
      </c>
      <c r="AQ81" s="25">
        <f>IF(OR($A81="",$I81=""),"",IF($BC81="Y",SUMIFS(survey_frozen!$E$2:$E$251,survey_frozen!$P$2:$P$251,$A81&amp;"|"&amp;$B81),IFERROR(COUNTIFS(INDIRECT("'"&amp;$A81&amp;"'!$B$2:$B$501"),$T81,INDIRECT("'"&amp;$A81&amp;"'!$A$2:$A$501"),"&gt;="&amp;$I81,INDIRECT("'"&amp;$A81&amp;"'!$A$2:$A$501"),"&lt;"&amp;($BA81+1),INDIRECT("'"&amp;$A81&amp;"'!$F$2:$F$501"),"Didn't see it"),0)))</f>
        <v/>
      </c>
      <c r="AR81" s="25">
        <f>IF(OR($A81="",$I81=""),"",IF($BC81="Y",SUMIFS(survey_frozen!$F$2:$F$251,survey_frozen!$P$2:$P$251,$A81&amp;"|"&amp;$B81),IFERROR(COUNTIFS(INDIRECT("'"&amp;$A81&amp;"'!$B$2:$B$501"),$T81,INDIRECT("'"&amp;$A81&amp;"'!$A$2:$A$501"),"&gt;="&amp;$I81,INDIRECT("'"&amp;$A81&amp;"'!$A$2:$A$501"),"&lt;"&amp;($BA81+1),INDIRECT("'"&amp;$A81&amp;"'!$F$2:$F$501"),"Not for me"),0)))</f>
        <v/>
      </c>
      <c r="AS81" s="25">
        <f>IF(OR($A81="",$I81=""),"",IF($BC81="Y",SUMIFS(survey_frozen!$G$2:$G$251,survey_frozen!$P$2:$P$251,$A81&amp;"|"&amp;$B81),IFERROR(COUNTIFS(INDIRECT("'"&amp;$A81&amp;"'!$B$2:$B$501"),$T81,INDIRECT("'"&amp;$A81&amp;"'!$A$2:$A$501"),"&gt;="&amp;$I81,INDIRECT("'"&amp;$A81&amp;"'!$A$2:$A$501"),"&lt;"&amp;($BA81+1),INDIRECT("'"&amp;$A81&amp;"'!$F$2:$F$501"),"Gone by the time I looked"),0)))</f>
        <v/>
      </c>
      <c r="AT81" s="25">
        <f>IF(OR($A81="",$I81=""),"",IF($BC81="Y",SUMIFS(survey_frozen!$H$2:$H$251,survey_frozen!$P$2:$P$251,$A81&amp;"|"&amp;$B81),IFERROR(COUNTIFS(INDIRECT("'"&amp;$A81&amp;"'!$B$2:$B$501"),$T81,INDIRECT("'"&amp;$A81&amp;"'!$A$2:$A$501"),"&gt;="&amp;$I81,INDIRECT("'"&amp;$A81&amp;"'!$A$2:$A$501"),"&lt;"&amp;($BA81+1),INDIRECT("'"&amp;$A81&amp;"'!$D$2:$D$501"),"&gt;=1"),0)))</f>
        <v/>
      </c>
      <c r="AU81" s="25">
        <f>IF(OR($A81="",$I81=""),"",IF($BC81="Y",SUMIFS(survey_frozen!$I$2:$I$251,survey_frozen!$P$2:$P$251,$A81&amp;"|"&amp;$B81),IFERROR(SUMIFS(INDIRECT("'"&amp;$A81&amp;"'!$D$2:$D$501"),INDIRECT("'"&amp;$A81&amp;"'!$B$2:$B$501"),$T81,INDIRECT("'"&amp;$A81&amp;"'!$A$2:$A$501"),"&gt;="&amp;$I81,INDIRECT("'"&amp;$A81&amp;"'!$A$2:$A$501"),"&lt;"&amp;($BA81+1)),0)))</f>
        <v/>
      </c>
      <c r="AV81" s="25">
        <f>IF(OR($A81="",$I81=""),"",IF($BC81="Y",SUMIFS(survey_frozen!$J$2:$J$251,survey_frozen!$P$2:$P$251,$A81&amp;"|"&amp;$B81),IFERROR(COUNTIFS(INDIRECT("'"&amp;$A81&amp;"'!$B$2:$B$501"),$T81,INDIRECT("'"&amp;$A81&amp;"'!$A$2:$A$501"),"&gt;="&amp;$I81,INDIRECT("'"&amp;$A81&amp;"'!$A$2:$A$501"),"&lt;"&amp;($BA81+1),INDIRECT("'"&amp;$A81&amp;"'!$E$2:$E$501"),"Yes"),0)))</f>
        <v/>
      </c>
      <c r="AW81" s="25">
        <f>IF(OR($A81="",$I81=""),"",IF($BC81="Y",SUMIFS(survey_frozen!$K$2:$K$251,survey_frozen!$P$2:$P$251,$A81&amp;"|"&amp;$B81),IFERROR(COUNTIFS(INDIRECT("'"&amp;$A81&amp;"'!$B$2:$B$501"),$T81,INDIRECT("'"&amp;$A81&amp;"'!$A$2:$A$501"),"&gt;="&amp;$I81,INDIRECT("'"&amp;$A81&amp;"'!$A$2:$A$501"),"&lt;"&amp;($BA81+1),INDIRECT("'"&amp;$A81&amp;"'!$E$2:$E$501"),"Maybe"),0)))</f>
        <v/>
      </c>
      <c r="AX81" s="25">
        <f>IF(OR($A81="",$I81=""),"",IF($BC81="Y",SUMIFS(survey_frozen!$L$2:$L$251,survey_frozen!$P$2:$P$251,$A81&amp;"|"&amp;$B81),IFERROR(COUNTIFS(INDIRECT("'"&amp;$A81&amp;"'!$B$2:$B$501"),$T81,INDIRECT("'"&amp;$A81&amp;"'!$A$2:$A$501"),"&gt;="&amp;$I81,INDIRECT("'"&amp;$A81&amp;"'!$A$2:$A$501"),"&lt;"&amp;($BA81+1),INDIRECT("'"&amp;$A81&amp;"'!$E$2:$E$501"),"No"),0)))</f>
        <v/>
      </c>
      <c r="AY81" s="25">
        <f>IF(OR($A81="",$I81=""),"",IF($BC81="Y",SUMIFS(survey_frozen!$M$2:$M$251,survey_frozen!$P$2:$P$251,$A81&amp;"|"&amp;$B81),IFERROR(COUNTIFS(INDIRECT("'"&amp;$A81&amp;"'!$B$2:$B$501"),$T81,INDIRECT("'"&amp;$A81&amp;"'!$A$2:$A$501"),"&gt;="&amp;$I81,INDIRECT("'"&amp;$A81&amp;"'!$A$2:$A$501"),"&lt;"&amp;($BA81+1),INDIRECT("'"&amp;$A81&amp;"'!$G$2:$G$501"),"&lt;&gt;"),0)))</f>
        <v/>
      </c>
      <c r="AZ81" s="25">
        <f>IF($A81="","",$A81&amp;"|"&amp;$L81)</f>
        <v/>
      </c>
      <c r="BA81" s="26">
        <f>IF($A81="","",IFERROR(IF(INDEX(drops!$R$2:$R$21,MATCH($H81,drops!$A$2:$A$21,0))="","",INDEX(drops!$R$2:$R$21,MATCH($H81,drops!$A$2:$A$21,0))),""))</f>
        <v/>
      </c>
      <c r="BB81" s="25">
        <f>IF(OR($A81="",$Q81&lt;&gt;"Y"),1000000,N($AL81))</f>
        <v/>
      </c>
      <c r="BC81" s="25">
        <f>IF($A81="","",IF(COUNTIF(survey_frozen!$P$2:$P$251,$A81&amp;"|"&amp;$B81)&gt;0,"Y",""))</f>
        <v/>
      </c>
    </row>
    <row r="82">
      <c r="C82" s="9" t="n"/>
      <c r="E82" s="9" t="n"/>
      <c r="H82" s="25">
        <f>IF($A82="","",IFERROR(IF(INDEX(campaigns!$B$2:$B$51,MATCH($A82,campaigns!$A$2:$A$51,0))="","",INDEX(campaigns!$B$2:$B$51,MATCH($A82,campaigns!$A$2:$A$51,0))),""))</f>
        <v/>
      </c>
      <c r="I82" s="26">
        <f>IF($A82="","",IFERROR(IF(INDEX(campaigns!$BG$2:$BG$51,MATCH($A82,campaigns!$A$2:$A$51,0))="","",INDEX(campaigns!$BG$2:$BG$51,MATCH($A82,campaigns!$A$2:$A$51,0))),""))</f>
        <v/>
      </c>
      <c r="J82" s="25">
        <f>IF($A82="","",IFERROR(IF(INDEX(campaigns!$BE$2:$BE$51,MATCH($A82,campaigns!$A$2:$A$51,0))="","",INDEX(campaigns!$BE$2:$BE$51,MATCH($A82,campaigns!$A$2:$A$51,0))),""))</f>
        <v/>
      </c>
      <c r="K82" s="25">
        <f>IF($B82="","",IFERROR(IF(INDEX(offices!$N$2:$N$61,MATCH($B82,offices!$A$2:$A$61,0))="","",INDEX(offices!$N$2:$N$61,MATCH($B82,offices!$A$2:$A$61,0))),""))</f>
        <v/>
      </c>
      <c r="L82" s="25">
        <f>IF($A82="","",IF($Q82="N","",COUNTIFS($A$2:$A82,$A82,$Q$2:$Q82,"&lt;&gt;N")))</f>
        <v/>
      </c>
      <c r="M82" s="25">
        <f>IF(OR($A82="",$L82=""),"",IF(AND(config!$B$34="names_if_public",IFERROR(IF(INDEX(offices!$AF$2:$AF$61,MATCH($B82,offices!$A$2:$A$61,0))="","",INDEX(offices!$AF$2:$AF$61,MATCH($B82,offices!$A$2:$A$61,0))),"")="Y"),$K82,CHAR(64+$L82)))</f>
        <v/>
      </c>
      <c r="N82" s="25">
        <f>IF(OR($A82="",$I82=""),"",COUNTIFS(stops!$B$2:$B$151,$B82,stops!$P$2:$P$151,"&lt;"&amp;$I82,stops!$L$2:$L$151,"&lt;&gt;not_delivered")+1)</f>
        <v/>
      </c>
      <c r="O82" s="25">
        <f>IF($A82="","",IF(N($N82)&lt;=config!$B$29,"explicit","opt-out"))</f>
        <v/>
      </c>
      <c r="P82" s="25">
        <f>IF($A82="","",IF($O82="explicit",IF($D82="yes","Y",IF($D82="no","N","pending")),IF($D82="no","N",IF(AND($C82&lt;&gt;"",$I82&lt;&gt;"",$C82&lt;=WORKDAY(N($I82),-5,calendar!$A$2:$A$80)),"Y","pending"))))</f>
        <v/>
      </c>
      <c r="Q82" s="25">
        <f>IF($A82="","",IF($P82="N","N",IF($P82&lt;&gt;"Y","pending",IF(AND((COUNTIFS(stops!$A$2:$A$151,$H82,stops!$B$2:$B$151,$B82,stops!$L$2:$L$151,"declined")+COUNTIFS(stops!$A$2:$A$151,$H82,stops!$B$2:$B$151,$B82,stops!$L$2:$L$151,"building_refused")+COUNTIFS(stops!$A$2:$A$151,$H82,stops!$B$2:$B$151,$B82,stops!$L$2:$L$151,"not_delivered"))&gt;0,N($U82)=0),"N","Y"))))</f>
        <v/>
      </c>
      <c r="R82" s="25">
        <f>IF($A82="","",IF(COUNTIFS($A$2:$A$251,$A82,$B$2:$B$251,$B82)&gt;1,"DUPLICATE ROW; ","")&amp;IF(AND(IFERROR(IF(INDEX(offices!$AC$2:$AC$61,MATCH($B82,offices!$A$2:$A$61,0))="","",INDEX(offices!$AC$2:$AC$61,MATCH($B82,offices!$A$2:$A$61,0))),"")&lt;&gt;"",ISNUMBER(SEARCH($J82,IFERROR(IF(INDEX(offices!$AC$2:$AC$61,MATCH($B82,offices!$A$2:$A$61,0))="","",INDEX(offices!$AC$2:$AC$61,MATCH($B82,offices!$A$2:$A$61,0))),"")))),"BRAND VETOED; ","")&amp;IF(ISNUMBER(SEARCH(IFERROR(IF(INDEX(campaigns!$BF$2:$BF$51,MATCH($A82,campaigns!$A$2:$A$51,0))="","",INDEX(campaigns!$BF$2:$BF$51,MATCH($A82,campaigns!$A$2:$A$51,0))),""),IFERROR(IF(INDEX(offices!$AB$2:$AB$61,MATCH($B82,offices!$A$2:$A$61,0))="","",INDEX(offices!$AB$2:$AB$61,MATCH($B82,offices!$A$2:$A$61,0))),""))),"","info: category not on the office's list; ")&amp;IF(IFERROR(IF(INDEX(offices!$AC$2:$AC$61,MATCH($B82,offices!$A$2:$A$61,0))="","",INDEX(offices!$AC$2:$AC$61,MATCH($B82,offices!$A$2:$A$61,0))),"")&lt;&gt;"","info: read the vetoes against the label; ",""))</f>
        <v/>
      </c>
      <c r="S82" s="25">
        <f>IF($A82="","",IF($G82&lt;&gt;"",$G82,IFERROR(IF(INDEX(offices!$AL$2:$AL$61,MATCH($B82,offices!$A$2:$A$61,0))="","",INDEX(offices!$AL$2:$AL$61,MATCH($B82,offices!$A$2:$A$61,0))),"")))</f>
        <v/>
      </c>
      <c r="T82" s="25">
        <f>IF($A82="","",$A82&amp;"."&amp;$B82)</f>
        <v/>
      </c>
      <c r="U82" s="25">
        <f>IF($A82="","",SUMIFS(inventory!$G$2:$G$801,inventory!$C$2:$C$801,$A82,inventory!$D$2:$D$801,$B82,inventory!$E$2:$E$801,"delivered"))</f>
        <v/>
      </c>
      <c r="V82" s="32">
        <f>IF($A82="","",IFERROR(1/(1/SUMPRODUCT(MAX((inventory!$C$2:$C$801=$A82)*(inventory!$D$2:$D$801=$B82)*(inventory!$E$2:$E$801="delivered")*(inventory!$A$2:$A$801+inventory!$B$2:$B$801)))),""))</f>
        <v/>
      </c>
      <c r="W82" s="25">
        <f>IF($A82="","",IFERROR(IF(INDEX(inventory!$J$2:$J$801,MATCH($A82&amp;"|"&amp;$B82&amp;"|delivered",inventory!$R$2:$R$801,0))="","",INDEX(inventory!$J$2:$J$801,MATCH($A82&amp;"|"&amp;$B82&amp;"|delivered",inventory!$R$2:$R$801,0))),""))</f>
        <v/>
      </c>
      <c r="X82" s="25">
        <f>IF($A82="","",IFERROR(IF(INDEX(photos!$H$2:$H$701,MATCH($A82&amp;"|"&amp;$B82&amp;"|placement|Y",photos!$R$2:$R$701,0))="","",INDEX(photos!$H$2:$H$701,MATCH($A82&amp;"|"&amp;$B82&amp;"|placement|Y",photos!$R$2:$R$701,0))),""))</f>
        <v/>
      </c>
      <c r="Y82" s="26">
        <f>IF($A82="","",IFERROR(IF(INDEX(photos!$E$2:$E$701,MATCH($A82&amp;"|"&amp;$B82&amp;"|placement|Y",photos!$R$2:$R$701,0))="","",INDEX(photos!$E$2:$E$701,MATCH($A82&amp;"|"&amp;$B82&amp;"|placement|Y",photos!$R$2:$R$701,0))),""))</f>
        <v/>
      </c>
      <c r="Z82" s="25">
        <f>IF($A82="","",IF(COUNTIFS(counts!$C$2:$C$701,$A82,counts!$D$2:$D$701,$B82,counts!$E$2:$E$701,"placed")=0,"",SUMIFS(counts!$F$2:$F$701,counts!$C$2:$C$701,$A82,counts!$D$2:$D$701,$B82,counts!$E$2:$E$701,"placed")))</f>
        <v/>
      </c>
      <c r="AA82" s="25">
        <f>IF($A82="","",IF($Y82="",0,N($Z82)))</f>
        <v/>
      </c>
      <c r="AB82" s="25">
        <f>IF($A82="","",IF(OR($Y82="",$I82=""),"N",IF($Y82&lt;=WORKDAY(N($I82),1,calendar!$A$2:$A$80),"Y","N")))</f>
        <v/>
      </c>
      <c r="AC82" s="28">
        <f>IF(OR($A82="",$V82="",$Y82=""),"",ROUND(($Y82+N(IFERROR(IF(INDEX(photos!$F$2:$F$701,MATCH($A82&amp;"|"&amp;$B82&amp;"|placement|Y",photos!$R$2:$R$701,0))="","",INDEX(photos!$F$2:$F$701,MATCH($A82&amp;"|"&amp;$B82&amp;"|placement|Y",photos!$R$2:$R$701,0))),""))-$V82)*24,1))</f>
        <v/>
      </c>
      <c r="AD82" s="25">
        <f>IF($A82="","",SUMIFS(inventory!$G$2:$G$801,inventory!$C$2:$C$801,$A82,inventory!$D$2:$D$801,$B82,inventory!$E$2:$E$801,"topped_up"))</f>
        <v/>
      </c>
      <c r="AE82" s="25">
        <f>IF($A82="","",IF(COUNTIFS(counts!$C$2:$C$701,$A82,counts!$D$2:$D$701,$B82,counts!$E$2:$E$701,"remaining_day3")=0,"",SUMIFS(counts!$F$2:$F$701,counts!$C$2:$C$701,$A82,counts!$D$2:$D$701,$B82,counts!$E$2:$E$701,"remaining_day3")))</f>
        <v/>
      </c>
      <c r="AF82" s="25">
        <f>IF($A82="","",IF(COUNTIFS(counts!$C$2:$C$701,$A82,counts!$D$2:$D$701,$B82,counts!$E$2:$E$701,"remaining_day5")=0,"",SUMIFS(counts!$F$2:$F$701,counts!$C$2:$C$701,$A82,counts!$D$2:$D$701,$B82,counts!$E$2:$E$701,"remaining_day5")))</f>
        <v/>
      </c>
      <c r="AG82" s="25">
        <f>IF(OR($A82="",$AF82=""),"",MAX(0,$AA82+$AD82-$AF82))</f>
        <v/>
      </c>
      <c r="AH82" s="25">
        <f>IF(OR($A82="",$AI82=""),"",IFERROR(IF(INDEX(photos!$H$2:$H$701,MATCH($A82&amp;"|"&amp;$B82&amp;"|later|Y|"&amp;$AI82,photos!$S$2:$S$701,0))="","",INDEX(photos!$H$2:$H$701,MATCH($A82&amp;"|"&amp;$B82&amp;"|later|Y|"&amp;$AI82,photos!$S$2:$S$701,0))),""))</f>
        <v/>
      </c>
      <c r="AI82" s="26">
        <f>IF($A82="","",IFERROR(1/(1/SUMPRODUCT(MAX((photos!$B$2:$B$701=$A82)*(photos!$C$2:$C$701=$B82)*(photos!$D$2:$D$701="later")*(photos!$O$2:$O$701="Y")*photos!$E$2:$E$701))),""))</f>
        <v/>
      </c>
      <c r="AJ82" s="25">
        <f>IF(OR($A82="",$AI82="",$I82=""),"",NETWORKDAYS($I82,$AI82,calendar!$A$2:$A$80))</f>
        <v/>
      </c>
      <c r="AK82" s="25">
        <f>IF($A82="","",IF(AND($X82&lt;&gt;"",$AH82&lt;&gt;""),"Y","N"))</f>
        <v/>
      </c>
      <c r="AL82" s="25">
        <f>IF(OR($A82="",$I82=""),"",IF($BC82="Y",SUMIFS(survey_frozen!$C$2:$C$251,survey_frozen!$P$2:$P$251,$A82&amp;"|"&amp;$B82),IFERROR(COUNTIFS(INDIRECT("'"&amp;$A82&amp;"'!$B$2:$B$501"),$T82,INDIRECT("'"&amp;$A82&amp;"'!$A$2:$A$501"),"&gt;="&amp;$I82,INDIRECT("'"&amp;$A82&amp;"'!$A$2:$A$501"),"&lt;"&amp;($BA82+1)),0)))</f>
        <v/>
      </c>
      <c r="AM82" s="25">
        <f>IF(OR($A82="",$I82=""),"",IF($BC82="Y",SUMIFS(survey_frozen!$D$2:$D$251,survey_frozen!$P$2:$P$251,$A82&amp;"|"&amp;$B82),IFERROR(COUNTIFS(INDIRECT("'"&amp;$A82&amp;"'!$B$2:$B$501"),$T82,INDIRECT("'"&amp;$A82&amp;"'!$A$2:$A$501"),"&gt;="&amp;$I82,INDIRECT("'"&amp;$A82&amp;"'!$A$2:$A$501"),"&lt;"&amp;($BA82+1),INDIRECT("'"&amp;$A82&amp;"'!$C$2:$C$501"),"Yes"),0)))</f>
        <v/>
      </c>
      <c r="AN82" s="25">
        <f>IF($A82="","",IF(COUNTIFS(scans!$C$2:$C$1601,(IF(LEFT($A82,7)="SAMPLE-","SAMPLE-","")&amp;LOWER(SUBSTITUTE(SUBSTITUTE($A82,"SAMPLE-",""),"CMP-","c"))&amp;"-"&amp;LOWER(SUBSTITUTE(SUBSTITUTE($B82,"SAMPLE-",""),"O-","o"))&amp;"-q"),scans!$D$2:$D$1601,"close")=0,"",SUMPRODUCT(MAX((scans!$C$2:$C$1601=(IF(LEFT($A82,7)="SAMPLE-","SAMPLE-","")&amp;LOWER(SUBSTITUTE(SUBSTITUTE($A82,"SAMPLE-",""),"CMP-","c"))&amp;"-"&amp;LOWER(SUBSTITUTE(SUBSTITUTE($B82,"SAMPLE-",""),"O-","o"))&amp;"-q"))*(scans!$D$2:$D$1601="close")*scans!$E$2:$E$1601))-SUMPRODUCT(MAX((scans!$C$2:$C$1601=(IF(LEFT($A82,7)="SAMPLE-","SAMPLE-","")&amp;LOWER(SUBSTITUTE(SUBSTITUTE($A82,"SAMPLE-",""),"CMP-","c"))&amp;"-"&amp;LOWER(SUBSTITUTE(SUBSTITUTE($B82,"SAMPLE-",""),"O-","o"))&amp;"-q"))*(scans!$D$2:$D$1601="baseline")*scans!$E$2:$E$1601))))</f>
        <v/>
      </c>
      <c r="AO82" s="25">
        <f>IF($A82="","",IF(COUNTIFS(scans!$C$2:$C$1601,(IF(LEFT($A82,7)="SAMPLE-","SAMPLE-","")&amp;LOWER(SUBSTITUTE(SUBSTITUTE($A82,"SAMPLE-",""),"CMP-","c"))&amp;"-"&amp;LOWER(SUBSTITUTE(SUBSTITUTE($B82,"SAMPLE-",""),"O-","o"))&amp;"-p"),scans!$D$2:$D$1601,"close")=0,"",SUMPRODUCT(MAX((scans!$C$2:$C$1601=(IF(LEFT($A82,7)="SAMPLE-","SAMPLE-","")&amp;LOWER(SUBSTITUTE(SUBSTITUTE($A82,"SAMPLE-",""),"CMP-","c"))&amp;"-"&amp;LOWER(SUBSTITUTE(SUBSTITUTE($B82,"SAMPLE-",""),"O-","o"))&amp;"-p"))*(scans!$D$2:$D$1601="close")*scans!$E$2:$E$1601))-SUMPRODUCT(MAX((scans!$C$2:$C$1601=(IF(LEFT($A82,7)="SAMPLE-","SAMPLE-","")&amp;LOWER(SUBSTITUTE(SUBSTITUTE($A82,"SAMPLE-",""),"CMP-","c"))&amp;"-"&amp;LOWER(SUBSTITUTE(SUBSTITUTE($B82,"SAMPLE-",""),"O-","o"))&amp;"-p"))*(scans!$D$2:$D$1601="baseline")*scans!$E$2:$E$1601))))</f>
        <v/>
      </c>
      <c r="AP82" s="25">
        <f>IF($A82="","",IF(COUNTIF(offices!$A$2:$A$61,$B82)=0,"office_id not on offices; ","")&amp;IF(COUNTIF(campaigns!$A$2:$A$51,$A82)=0,"campaign_id not on campaigns; ","")&amp;IF($P82="pending","approval pending; ","")&amp;IF(AND($U82&gt;0,$Y82="",OR($I82="",IF(config!$B$37&lt;&gt;"",config!$B$37,TODAY())&lt;=WORKDAY(N($I82),4,calendar!$A$2:$A$80))),"no usable placement photo yet; ","")&amp;IF(AND($Y82&lt;&gt;"",$Z82=""),"log the placed count; ","")&amp;IF(N($AA82)&gt;N($U82),"placed more than delivered; ","")&amp;IF(AND($AF82&lt;&gt;"",N($AF82)&gt;N($AA82)+N($AD82)),"day-5 count above placed plus top-ups; ","")&amp;IF(AND($U82&gt;0,$I82&lt;&gt;"",IF(config!$B$37&lt;&gt;"",config!$B$37,TODAY())&gt;WORKDAY(N($I82),4,calendar!$A$2:$A$80),$AF82=""),"day-5 count missing; ","")&amp;IF(AND($U82&gt;0,$I82&lt;&gt;"",IF(config!$B$37&lt;&gt;"",config!$B$37,TODAY())&gt;WORKDAY(N($I82),4,calendar!$A$2:$A$80),$AN82=""),"no close link reading; ","")&amp;$R82&amp;IF($P82="N","info: office said no; ","")&amp;IF(AND($P82="Y",$Q82="N"),"info: turned away at the door, so not on the drop (no letter, not in the report or Gate 2; the credit check is on campaigns); ","")&amp;IF(AND($U82&gt;0,$Y82="",$I82&lt;&gt;"",IF(config!$B$37&lt;&gt;"",config!$B$37,TODAY())&gt;WORKDAY(N($I82),4,calendar!$A$2:$A$80)),"info: no usable placement photo, so nothing counts as placed; ","")&amp;IF(AND($U82&gt;0,$I82&lt;&gt;"",IF(config!$B$37&lt;&gt;"",config!$B$37,TODAY())&gt;WORKDAY(N($I82),4,calendar!$A$2:$A$80),N($AL82)&lt;config!$B$30),"info: under "&amp;config!$B$30&amp;" responses; ","")&amp;IF($W82="packing_list","info: delivered count not verified; ",""))</f>
        <v/>
      </c>
      <c r="AQ82" s="25">
        <f>IF(OR($A82="",$I82=""),"",IF($BC82="Y",SUMIFS(survey_frozen!$E$2:$E$251,survey_frozen!$P$2:$P$251,$A82&amp;"|"&amp;$B82),IFERROR(COUNTIFS(INDIRECT("'"&amp;$A82&amp;"'!$B$2:$B$501"),$T82,INDIRECT("'"&amp;$A82&amp;"'!$A$2:$A$501"),"&gt;="&amp;$I82,INDIRECT("'"&amp;$A82&amp;"'!$A$2:$A$501"),"&lt;"&amp;($BA82+1),INDIRECT("'"&amp;$A82&amp;"'!$F$2:$F$501"),"Didn't see it"),0)))</f>
        <v/>
      </c>
      <c r="AR82" s="25">
        <f>IF(OR($A82="",$I82=""),"",IF($BC82="Y",SUMIFS(survey_frozen!$F$2:$F$251,survey_frozen!$P$2:$P$251,$A82&amp;"|"&amp;$B82),IFERROR(COUNTIFS(INDIRECT("'"&amp;$A82&amp;"'!$B$2:$B$501"),$T82,INDIRECT("'"&amp;$A82&amp;"'!$A$2:$A$501"),"&gt;="&amp;$I82,INDIRECT("'"&amp;$A82&amp;"'!$A$2:$A$501"),"&lt;"&amp;($BA82+1),INDIRECT("'"&amp;$A82&amp;"'!$F$2:$F$501"),"Not for me"),0)))</f>
        <v/>
      </c>
      <c r="AS82" s="25">
        <f>IF(OR($A82="",$I82=""),"",IF($BC82="Y",SUMIFS(survey_frozen!$G$2:$G$251,survey_frozen!$P$2:$P$251,$A82&amp;"|"&amp;$B82),IFERROR(COUNTIFS(INDIRECT("'"&amp;$A82&amp;"'!$B$2:$B$501"),$T82,INDIRECT("'"&amp;$A82&amp;"'!$A$2:$A$501"),"&gt;="&amp;$I82,INDIRECT("'"&amp;$A82&amp;"'!$A$2:$A$501"),"&lt;"&amp;($BA82+1),INDIRECT("'"&amp;$A82&amp;"'!$F$2:$F$501"),"Gone by the time I looked"),0)))</f>
        <v/>
      </c>
      <c r="AT82" s="25">
        <f>IF(OR($A82="",$I82=""),"",IF($BC82="Y",SUMIFS(survey_frozen!$H$2:$H$251,survey_frozen!$P$2:$P$251,$A82&amp;"|"&amp;$B82),IFERROR(COUNTIFS(INDIRECT("'"&amp;$A82&amp;"'!$B$2:$B$501"),$T82,INDIRECT("'"&amp;$A82&amp;"'!$A$2:$A$501"),"&gt;="&amp;$I82,INDIRECT("'"&amp;$A82&amp;"'!$A$2:$A$501"),"&lt;"&amp;($BA82+1),INDIRECT("'"&amp;$A82&amp;"'!$D$2:$D$501"),"&gt;=1"),0)))</f>
        <v/>
      </c>
      <c r="AU82" s="25">
        <f>IF(OR($A82="",$I82=""),"",IF($BC82="Y",SUMIFS(survey_frozen!$I$2:$I$251,survey_frozen!$P$2:$P$251,$A82&amp;"|"&amp;$B82),IFERROR(SUMIFS(INDIRECT("'"&amp;$A82&amp;"'!$D$2:$D$501"),INDIRECT("'"&amp;$A82&amp;"'!$B$2:$B$501"),$T82,INDIRECT("'"&amp;$A82&amp;"'!$A$2:$A$501"),"&gt;="&amp;$I82,INDIRECT("'"&amp;$A82&amp;"'!$A$2:$A$501"),"&lt;"&amp;($BA82+1)),0)))</f>
        <v/>
      </c>
      <c r="AV82" s="25">
        <f>IF(OR($A82="",$I82=""),"",IF($BC82="Y",SUMIFS(survey_frozen!$J$2:$J$251,survey_frozen!$P$2:$P$251,$A82&amp;"|"&amp;$B82),IFERROR(COUNTIFS(INDIRECT("'"&amp;$A82&amp;"'!$B$2:$B$501"),$T82,INDIRECT("'"&amp;$A82&amp;"'!$A$2:$A$501"),"&gt;="&amp;$I82,INDIRECT("'"&amp;$A82&amp;"'!$A$2:$A$501"),"&lt;"&amp;($BA82+1),INDIRECT("'"&amp;$A82&amp;"'!$E$2:$E$501"),"Yes"),0)))</f>
        <v/>
      </c>
      <c r="AW82" s="25">
        <f>IF(OR($A82="",$I82=""),"",IF($BC82="Y",SUMIFS(survey_frozen!$K$2:$K$251,survey_frozen!$P$2:$P$251,$A82&amp;"|"&amp;$B82),IFERROR(COUNTIFS(INDIRECT("'"&amp;$A82&amp;"'!$B$2:$B$501"),$T82,INDIRECT("'"&amp;$A82&amp;"'!$A$2:$A$501"),"&gt;="&amp;$I82,INDIRECT("'"&amp;$A82&amp;"'!$A$2:$A$501"),"&lt;"&amp;($BA82+1),INDIRECT("'"&amp;$A82&amp;"'!$E$2:$E$501"),"Maybe"),0)))</f>
        <v/>
      </c>
      <c r="AX82" s="25">
        <f>IF(OR($A82="",$I82=""),"",IF($BC82="Y",SUMIFS(survey_frozen!$L$2:$L$251,survey_frozen!$P$2:$P$251,$A82&amp;"|"&amp;$B82),IFERROR(COUNTIFS(INDIRECT("'"&amp;$A82&amp;"'!$B$2:$B$501"),$T82,INDIRECT("'"&amp;$A82&amp;"'!$A$2:$A$501"),"&gt;="&amp;$I82,INDIRECT("'"&amp;$A82&amp;"'!$A$2:$A$501"),"&lt;"&amp;($BA82+1),INDIRECT("'"&amp;$A82&amp;"'!$E$2:$E$501"),"No"),0)))</f>
        <v/>
      </c>
      <c r="AY82" s="25">
        <f>IF(OR($A82="",$I82=""),"",IF($BC82="Y",SUMIFS(survey_frozen!$M$2:$M$251,survey_frozen!$P$2:$P$251,$A82&amp;"|"&amp;$B82),IFERROR(COUNTIFS(INDIRECT("'"&amp;$A82&amp;"'!$B$2:$B$501"),$T82,INDIRECT("'"&amp;$A82&amp;"'!$A$2:$A$501"),"&gt;="&amp;$I82,INDIRECT("'"&amp;$A82&amp;"'!$A$2:$A$501"),"&lt;"&amp;($BA82+1),INDIRECT("'"&amp;$A82&amp;"'!$G$2:$G$501"),"&lt;&gt;"),0)))</f>
        <v/>
      </c>
      <c r="AZ82" s="25">
        <f>IF($A82="","",$A82&amp;"|"&amp;$L82)</f>
        <v/>
      </c>
      <c r="BA82" s="26">
        <f>IF($A82="","",IFERROR(IF(INDEX(drops!$R$2:$R$21,MATCH($H82,drops!$A$2:$A$21,0))="","",INDEX(drops!$R$2:$R$21,MATCH($H82,drops!$A$2:$A$21,0))),""))</f>
        <v/>
      </c>
      <c r="BB82" s="25">
        <f>IF(OR($A82="",$Q82&lt;&gt;"Y"),1000000,N($AL82))</f>
        <v/>
      </c>
      <c r="BC82" s="25">
        <f>IF($A82="","",IF(COUNTIF(survey_frozen!$P$2:$P$251,$A82&amp;"|"&amp;$B82)&gt;0,"Y",""))</f>
        <v/>
      </c>
    </row>
    <row r="83">
      <c r="C83" s="9" t="n"/>
      <c r="E83" s="9" t="n"/>
      <c r="H83" s="25">
        <f>IF($A83="","",IFERROR(IF(INDEX(campaigns!$B$2:$B$51,MATCH($A83,campaigns!$A$2:$A$51,0))="","",INDEX(campaigns!$B$2:$B$51,MATCH($A83,campaigns!$A$2:$A$51,0))),""))</f>
        <v/>
      </c>
      <c r="I83" s="26">
        <f>IF($A83="","",IFERROR(IF(INDEX(campaigns!$BG$2:$BG$51,MATCH($A83,campaigns!$A$2:$A$51,0))="","",INDEX(campaigns!$BG$2:$BG$51,MATCH($A83,campaigns!$A$2:$A$51,0))),""))</f>
        <v/>
      </c>
      <c r="J83" s="25">
        <f>IF($A83="","",IFERROR(IF(INDEX(campaigns!$BE$2:$BE$51,MATCH($A83,campaigns!$A$2:$A$51,0))="","",INDEX(campaigns!$BE$2:$BE$51,MATCH($A83,campaigns!$A$2:$A$51,0))),""))</f>
        <v/>
      </c>
      <c r="K83" s="25">
        <f>IF($B83="","",IFERROR(IF(INDEX(offices!$N$2:$N$61,MATCH($B83,offices!$A$2:$A$61,0))="","",INDEX(offices!$N$2:$N$61,MATCH($B83,offices!$A$2:$A$61,0))),""))</f>
        <v/>
      </c>
      <c r="L83" s="25">
        <f>IF($A83="","",IF($Q83="N","",COUNTIFS($A$2:$A83,$A83,$Q$2:$Q83,"&lt;&gt;N")))</f>
        <v/>
      </c>
      <c r="M83" s="25">
        <f>IF(OR($A83="",$L83=""),"",IF(AND(config!$B$34="names_if_public",IFERROR(IF(INDEX(offices!$AF$2:$AF$61,MATCH($B83,offices!$A$2:$A$61,0))="","",INDEX(offices!$AF$2:$AF$61,MATCH($B83,offices!$A$2:$A$61,0))),"")="Y"),$K83,CHAR(64+$L83)))</f>
        <v/>
      </c>
      <c r="N83" s="25">
        <f>IF(OR($A83="",$I83=""),"",COUNTIFS(stops!$B$2:$B$151,$B83,stops!$P$2:$P$151,"&lt;"&amp;$I83,stops!$L$2:$L$151,"&lt;&gt;not_delivered")+1)</f>
        <v/>
      </c>
      <c r="O83" s="25">
        <f>IF($A83="","",IF(N($N83)&lt;=config!$B$29,"explicit","opt-out"))</f>
        <v/>
      </c>
      <c r="P83" s="25">
        <f>IF($A83="","",IF($O83="explicit",IF($D83="yes","Y",IF($D83="no","N","pending")),IF($D83="no","N",IF(AND($C83&lt;&gt;"",$I83&lt;&gt;"",$C83&lt;=WORKDAY(N($I83),-5,calendar!$A$2:$A$80)),"Y","pending"))))</f>
        <v/>
      </c>
      <c r="Q83" s="25">
        <f>IF($A83="","",IF($P83="N","N",IF($P83&lt;&gt;"Y","pending",IF(AND((COUNTIFS(stops!$A$2:$A$151,$H83,stops!$B$2:$B$151,$B83,stops!$L$2:$L$151,"declined")+COUNTIFS(stops!$A$2:$A$151,$H83,stops!$B$2:$B$151,$B83,stops!$L$2:$L$151,"building_refused")+COUNTIFS(stops!$A$2:$A$151,$H83,stops!$B$2:$B$151,$B83,stops!$L$2:$L$151,"not_delivered"))&gt;0,N($U83)=0),"N","Y"))))</f>
        <v/>
      </c>
      <c r="R83" s="25">
        <f>IF($A83="","",IF(COUNTIFS($A$2:$A$251,$A83,$B$2:$B$251,$B83)&gt;1,"DUPLICATE ROW; ","")&amp;IF(AND(IFERROR(IF(INDEX(offices!$AC$2:$AC$61,MATCH($B83,offices!$A$2:$A$61,0))="","",INDEX(offices!$AC$2:$AC$61,MATCH($B83,offices!$A$2:$A$61,0))),"")&lt;&gt;"",ISNUMBER(SEARCH($J83,IFERROR(IF(INDEX(offices!$AC$2:$AC$61,MATCH($B83,offices!$A$2:$A$61,0))="","",INDEX(offices!$AC$2:$AC$61,MATCH($B83,offices!$A$2:$A$61,0))),"")))),"BRAND VETOED; ","")&amp;IF(ISNUMBER(SEARCH(IFERROR(IF(INDEX(campaigns!$BF$2:$BF$51,MATCH($A83,campaigns!$A$2:$A$51,0))="","",INDEX(campaigns!$BF$2:$BF$51,MATCH($A83,campaigns!$A$2:$A$51,0))),""),IFERROR(IF(INDEX(offices!$AB$2:$AB$61,MATCH($B83,offices!$A$2:$A$61,0))="","",INDEX(offices!$AB$2:$AB$61,MATCH($B83,offices!$A$2:$A$61,0))),""))),"","info: category not on the office's list; ")&amp;IF(IFERROR(IF(INDEX(offices!$AC$2:$AC$61,MATCH($B83,offices!$A$2:$A$61,0))="","",INDEX(offices!$AC$2:$AC$61,MATCH($B83,offices!$A$2:$A$61,0))),"")&lt;&gt;"","info: read the vetoes against the label; ",""))</f>
        <v/>
      </c>
      <c r="S83" s="25">
        <f>IF($A83="","",IF($G83&lt;&gt;"",$G83,IFERROR(IF(INDEX(offices!$AL$2:$AL$61,MATCH($B83,offices!$A$2:$A$61,0))="","",INDEX(offices!$AL$2:$AL$61,MATCH($B83,offices!$A$2:$A$61,0))),"")))</f>
        <v/>
      </c>
      <c r="T83" s="25">
        <f>IF($A83="","",$A83&amp;"."&amp;$B83)</f>
        <v/>
      </c>
      <c r="U83" s="25">
        <f>IF($A83="","",SUMIFS(inventory!$G$2:$G$801,inventory!$C$2:$C$801,$A83,inventory!$D$2:$D$801,$B83,inventory!$E$2:$E$801,"delivered"))</f>
        <v/>
      </c>
      <c r="V83" s="32">
        <f>IF($A83="","",IFERROR(1/(1/SUMPRODUCT(MAX((inventory!$C$2:$C$801=$A83)*(inventory!$D$2:$D$801=$B83)*(inventory!$E$2:$E$801="delivered")*(inventory!$A$2:$A$801+inventory!$B$2:$B$801)))),""))</f>
        <v/>
      </c>
      <c r="W83" s="25">
        <f>IF($A83="","",IFERROR(IF(INDEX(inventory!$J$2:$J$801,MATCH($A83&amp;"|"&amp;$B83&amp;"|delivered",inventory!$R$2:$R$801,0))="","",INDEX(inventory!$J$2:$J$801,MATCH($A83&amp;"|"&amp;$B83&amp;"|delivered",inventory!$R$2:$R$801,0))),""))</f>
        <v/>
      </c>
      <c r="X83" s="25">
        <f>IF($A83="","",IFERROR(IF(INDEX(photos!$H$2:$H$701,MATCH($A83&amp;"|"&amp;$B83&amp;"|placement|Y",photos!$R$2:$R$701,0))="","",INDEX(photos!$H$2:$H$701,MATCH($A83&amp;"|"&amp;$B83&amp;"|placement|Y",photos!$R$2:$R$701,0))),""))</f>
        <v/>
      </c>
      <c r="Y83" s="26">
        <f>IF($A83="","",IFERROR(IF(INDEX(photos!$E$2:$E$701,MATCH($A83&amp;"|"&amp;$B83&amp;"|placement|Y",photos!$R$2:$R$701,0))="","",INDEX(photos!$E$2:$E$701,MATCH($A83&amp;"|"&amp;$B83&amp;"|placement|Y",photos!$R$2:$R$701,0))),""))</f>
        <v/>
      </c>
      <c r="Z83" s="25">
        <f>IF($A83="","",IF(COUNTIFS(counts!$C$2:$C$701,$A83,counts!$D$2:$D$701,$B83,counts!$E$2:$E$701,"placed")=0,"",SUMIFS(counts!$F$2:$F$701,counts!$C$2:$C$701,$A83,counts!$D$2:$D$701,$B83,counts!$E$2:$E$701,"placed")))</f>
        <v/>
      </c>
      <c r="AA83" s="25">
        <f>IF($A83="","",IF($Y83="",0,N($Z83)))</f>
        <v/>
      </c>
      <c r="AB83" s="25">
        <f>IF($A83="","",IF(OR($Y83="",$I83=""),"N",IF($Y83&lt;=WORKDAY(N($I83),1,calendar!$A$2:$A$80),"Y","N")))</f>
        <v/>
      </c>
      <c r="AC83" s="28">
        <f>IF(OR($A83="",$V83="",$Y83=""),"",ROUND(($Y83+N(IFERROR(IF(INDEX(photos!$F$2:$F$701,MATCH($A83&amp;"|"&amp;$B83&amp;"|placement|Y",photos!$R$2:$R$701,0))="","",INDEX(photos!$F$2:$F$701,MATCH($A83&amp;"|"&amp;$B83&amp;"|placement|Y",photos!$R$2:$R$701,0))),""))-$V83)*24,1))</f>
        <v/>
      </c>
      <c r="AD83" s="25">
        <f>IF($A83="","",SUMIFS(inventory!$G$2:$G$801,inventory!$C$2:$C$801,$A83,inventory!$D$2:$D$801,$B83,inventory!$E$2:$E$801,"topped_up"))</f>
        <v/>
      </c>
      <c r="AE83" s="25">
        <f>IF($A83="","",IF(COUNTIFS(counts!$C$2:$C$701,$A83,counts!$D$2:$D$701,$B83,counts!$E$2:$E$701,"remaining_day3")=0,"",SUMIFS(counts!$F$2:$F$701,counts!$C$2:$C$701,$A83,counts!$D$2:$D$701,$B83,counts!$E$2:$E$701,"remaining_day3")))</f>
        <v/>
      </c>
      <c r="AF83" s="25">
        <f>IF($A83="","",IF(COUNTIFS(counts!$C$2:$C$701,$A83,counts!$D$2:$D$701,$B83,counts!$E$2:$E$701,"remaining_day5")=0,"",SUMIFS(counts!$F$2:$F$701,counts!$C$2:$C$701,$A83,counts!$D$2:$D$701,$B83,counts!$E$2:$E$701,"remaining_day5")))</f>
        <v/>
      </c>
      <c r="AG83" s="25">
        <f>IF(OR($A83="",$AF83=""),"",MAX(0,$AA83+$AD83-$AF83))</f>
        <v/>
      </c>
      <c r="AH83" s="25">
        <f>IF(OR($A83="",$AI83=""),"",IFERROR(IF(INDEX(photos!$H$2:$H$701,MATCH($A83&amp;"|"&amp;$B83&amp;"|later|Y|"&amp;$AI83,photos!$S$2:$S$701,0))="","",INDEX(photos!$H$2:$H$701,MATCH($A83&amp;"|"&amp;$B83&amp;"|later|Y|"&amp;$AI83,photos!$S$2:$S$701,0))),""))</f>
        <v/>
      </c>
      <c r="AI83" s="26">
        <f>IF($A83="","",IFERROR(1/(1/SUMPRODUCT(MAX((photos!$B$2:$B$701=$A83)*(photos!$C$2:$C$701=$B83)*(photos!$D$2:$D$701="later")*(photos!$O$2:$O$701="Y")*photos!$E$2:$E$701))),""))</f>
        <v/>
      </c>
      <c r="AJ83" s="25">
        <f>IF(OR($A83="",$AI83="",$I83=""),"",NETWORKDAYS($I83,$AI83,calendar!$A$2:$A$80))</f>
        <v/>
      </c>
      <c r="AK83" s="25">
        <f>IF($A83="","",IF(AND($X83&lt;&gt;"",$AH83&lt;&gt;""),"Y","N"))</f>
        <v/>
      </c>
      <c r="AL83" s="25">
        <f>IF(OR($A83="",$I83=""),"",IF($BC83="Y",SUMIFS(survey_frozen!$C$2:$C$251,survey_frozen!$P$2:$P$251,$A83&amp;"|"&amp;$B83),IFERROR(COUNTIFS(INDIRECT("'"&amp;$A83&amp;"'!$B$2:$B$501"),$T83,INDIRECT("'"&amp;$A83&amp;"'!$A$2:$A$501"),"&gt;="&amp;$I83,INDIRECT("'"&amp;$A83&amp;"'!$A$2:$A$501"),"&lt;"&amp;($BA83+1)),0)))</f>
        <v/>
      </c>
      <c r="AM83" s="25">
        <f>IF(OR($A83="",$I83=""),"",IF($BC83="Y",SUMIFS(survey_frozen!$D$2:$D$251,survey_frozen!$P$2:$P$251,$A83&amp;"|"&amp;$B83),IFERROR(COUNTIFS(INDIRECT("'"&amp;$A83&amp;"'!$B$2:$B$501"),$T83,INDIRECT("'"&amp;$A83&amp;"'!$A$2:$A$501"),"&gt;="&amp;$I83,INDIRECT("'"&amp;$A83&amp;"'!$A$2:$A$501"),"&lt;"&amp;($BA83+1),INDIRECT("'"&amp;$A83&amp;"'!$C$2:$C$501"),"Yes"),0)))</f>
        <v/>
      </c>
      <c r="AN83" s="25">
        <f>IF($A83="","",IF(COUNTIFS(scans!$C$2:$C$1601,(IF(LEFT($A83,7)="SAMPLE-","SAMPLE-","")&amp;LOWER(SUBSTITUTE(SUBSTITUTE($A83,"SAMPLE-",""),"CMP-","c"))&amp;"-"&amp;LOWER(SUBSTITUTE(SUBSTITUTE($B83,"SAMPLE-",""),"O-","o"))&amp;"-q"),scans!$D$2:$D$1601,"close")=0,"",SUMPRODUCT(MAX((scans!$C$2:$C$1601=(IF(LEFT($A83,7)="SAMPLE-","SAMPLE-","")&amp;LOWER(SUBSTITUTE(SUBSTITUTE($A83,"SAMPLE-",""),"CMP-","c"))&amp;"-"&amp;LOWER(SUBSTITUTE(SUBSTITUTE($B83,"SAMPLE-",""),"O-","o"))&amp;"-q"))*(scans!$D$2:$D$1601="close")*scans!$E$2:$E$1601))-SUMPRODUCT(MAX((scans!$C$2:$C$1601=(IF(LEFT($A83,7)="SAMPLE-","SAMPLE-","")&amp;LOWER(SUBSTITUTE(SUBSTITUTE($A83,"SAMPLE-",""),"CMP-","c"))&amp;"-"&amp;LOWER(SUBSTITUTE(SUBSTITUTE($B83,"SAMPLE-",""),"O-","o"))&amp;"-q"))*(scans!$D$2:$D$1601="baseline")*scans!$E$2:$E$1601))))</f>
        <v/>
      </c>
      <c r="AO83" s="25">
        <f>IF($A83="","",IF(COUNTIFS(scans!$C$2:$C$1601,(IF(LEFT($A83,7)="SAMPLE-","SAMPLE-","")&amp;LOWER(SUBSTITUTE(SUBSTITUTE($A83,"SAMPLE-",""),"CMP-","c"))&amp;"-"&amp;LOWER(SUBSTITUTE(SUBSTITUTE($B83,"SAMPLE-",""),"O-","o"))&amp;"-p"),scans!$D$2:$D$1601,"close")=0,"",SUMPRODUCT(MAX((scans!$C$2:$C$1601=(IF(LEFT($A83,7)="SAMPLE-","SAMPLE-","")&amp;LOWER(SUBSTITUTE(SUBSTITUTE($A83,"SAMPLE-",""),"CMP-","c"))&amp;"-"&amp;LOWER(SUBSTITUTE(SUBSTITUTE($B83,"SAMPLE-",""),"O-","o"))&amp;"-p"))*(scans!$D$2:$D$1601="close")*scans!$E$2:$E$1601))-SUMPRODUCT(MAX((scans!$C$2:$C$1601=(IF(LEFT($A83,7)="SAMPLE-","SAMPLE-","")&amp;LOWER(SUBSTITUTE(SUBSTITUTE($A83,"SAMPLE-",""),"CMP-","c"))&amp;"-"&amp;LOWER(SUBSTITUTE(SUBSTITUTE($B83,"SAMPLE-",""),"O-","o"))&amp;"-p"))*(scans!$D$2:$D$1601="baseline")*scans!$E$2:$E$1601))))</f>
        <v/>
      </c>
      <c r="AP83" s="25">
        <f>IF($A83="","",IF(COUNTIF(offices!$A$2:$A$61,$B83)=0,"office_id not on offices; ","")&amp;IF(COUNTIF(campaigns!$A$2:$A$51,$A83)=0,"campaign_id not on campaigns; ","")&amp;IF($P83="pending","approval pending; ","")&amp;IF(AND($U83&gt;0,$Y83="",OR($I83="",IF(config!$B$37&lt;&gt;"",config!$B$37,TODAY())&lt;=WORKDAY(N($I83),4,calendar!$A$2:$A$80))),"no usable placement photo yet; ","")&amp;IF(AND($Y83&lt;&gt;"",$Z83=""),"log the placed count; ","")&amp;IF(N($AA83)&gt;N($U83),"placed more than delivered; ","")&amp;IF(AND($AF83&lt;&gt;"",N($AF83)&gt;N($AA83)+N($AD83)),"day-5 count above placed plus top-ups; ","")&amp;IF(AND($U83&gt;0,$I83&lt;&gt;"",IF(config!$B$37&lt;&gt;"",config!$B$37,TODAY())&gt;WORKDAY(N($I83),4,calendar!$A$2:$A$80),$AF83=""),"day-5 count missing; ","")&amp;IF(AND($U83&gt;0,$I83&lt;&gt;"",IF(config!$B$37&lt;&gt;"",config!$B$37,TODAY())&gt;WORKDAY(N($I83),4,calendar!$A$2:$A$80),$AN83=""),"no close link reading; ","")&amp;$R83&amp;IF($P83="N","info: office said no; ","")&amp;IF(AND($P83="Y",$Q83="N"),"info: turned away at the door, so not on the drop (no letter, not in the report or Gate 2; the credit check is on campaigns); ","")&amp;IF(AND($U83&gt;0,$Y83="",$I83&lt;&gt;"",IF(config!$B$37&lt;&gt;"",config!$B$37,TODAY())&gt;WORKDAY(N($I83),4,calendar!$A$2:$A$80)),"info: no usable placement photo, so nothing counts as placed; ","")&amp;IF(AND($U83&gt;0,$I83&lt;&gt;"",IF(config!$B$37&lt;&gt;"",config!$B$37,TODAY())&gt;WORKDAY(N($I83),4,calendar!$A$2:$A$80),N($AL83)&lt;config!$B$30),"info: under "&amp;config!$B$30&amp;" responses; ","")&amp;IF($W83="packing_list","info: delivered count not verified; ",""))</f>
        <v/>
      </c>
      <c r="AQ83" s="25">
        <f>IF(OR($A83="",$I83=""),"",IF($BC83="Y",SUMIFS(survey_frozen!$E$2:$E$251,survey_frozen!$P$2:$P$251,$A83&amp;"|"&amp;$B83),IFERROR(COUNTIFS(INDIRECT("'"&amp;$A83&amp;"'!$B$2:$B$501"),$T83,INDIRECT("'"&amp;$A83&amp;"'!$A$2:$A$501"),"&gt;="&amp;$I83,INDIRECT("'"&amp;$A83&amp;"'!$A$2:$A$501"),"&lt;"&amp;($BA83+1),INDIRECT("'"&amp;$A83&amp;"'!$F$2:$F$501"),"Didn't see it"),0)))</f>
        <v/>
      </c>
      <c r="AR83" s="25">
        <f>IF(OR($A83="",$I83=""),"",IF($BC83="Y",SUMIFS(survey_frozen!$F$2:$F$251,survey_frozen!$P$2:$P$251,$A83&amp;"|"&amp;$B83),IFERROR(COUNTIFS(INDIRECT("'"&amp;$A83&amp;"'!$B$2:$B$501"),$T83,INDIRECT("'"&amp;$A83&amp;"'!$A$2:$A$501"),"&gt;="&amp;$I83,INDIRECT("'"&amp;$A83&amp;"'!$A$2:$A$501"),"&lt;"&amp;($BA83+1),INDIRECT("'"&amp;$A83&amp;"'!$F$2:$F$501"),"Not for me"),0)))</f>
        <v/>
      </c>
      <c r="AS83" s="25">
        <f>IF(OR($A83="",$I83=""),"",IF($BC83="Y",SUMIFS(survey_frozen!$G$2:$G$251,survey_frozen!$P$2:$P$251,$A83&amp;"|"&amp;$B83),IFERROR(COUNTIFS(INDIRECT("'"&amp;$A83&amp;"'!$B$2:$B$501"),$T83,INDIRECT("'"&amp;$A83&amp;"'!$A$2:$A$501"),"&gt;="&amp;$I83,INDIRECT("'"&amp;$A83&amp;"'!$A$2:$A$501"),"&lt;"&amp;($BA83+1),INDIRECT("'"&amp;$A83&amp;"'!$F$2:$F$501"),"Gone by the time I looked"),0)))</f>
        <v/>
      </c>
      <c r="AT83" s="25">
        <f>IF(OR($A83="",$I83=""),"",IF($BC83="Y",SUMIFS(survey_frozen!$H$2:$H$251,survey_frozen!$P$2:$P$251,$A83&amp;"|"&amp;$B83),IFERROR(COUNTIFS(INDIRECT("'"&amp;$A83&amp;"'!$B$2:$B$501"),$T83,INDIRECT("'"&amp;$A83&amp;"'!$A$2:$A$501"),"&gt;="&amp;$I83,INDIRECT("'"&amp;$A83&amp;"'!$A$2:$A$501"),"&lt;"&amp;($BA83+1),INDIRECT("'"&amp;$A83&amp;"'!$D$2:$D$501"),"&gt;=1"),0)))</f>
        <v/>
      </c>
      <c r="AU83" s="25">
        <f>IF(OR($A83="",$I83=""),"",IF($BC83="Y",SUMIFS(survey_frozen!$I$2:$I$251,survey_frozen!$P$2:$P$251,$A83&amp;"|"&amp;$B83),IFERROR(SUMIFS(INDIRECT("'"&amp;$A83&amp;"'!$D$2:$D$501"),INDIRECT("'"&amp;$A83&amp;"'!$B$2:$B$501"),$T83,INDIRECT("'"&amp;$A83&amp;"'!$A$2:$A$501"),"&gt;="&amp;$I83,INDIRECT("'"&amp;$A83&amp;"'!$A$2:$A$501"),"&lt;"&amp;($BA83+1)),0)))</f>
        <v/>
      </c>
      <c r="AV83" s="25">
        <f>IF(OR($A83="",$I83=""),"",IF($BC83="Y",SUMIFS(survey_frozen!$J$2:$J$251,survey_frozen!$P$2:$P$251,$A83&amp;"|"&amp;$B83),IFERROR(COUNTIFS(INDIRECT("'"&amp;$A83&amp;"'!$B$2:$B$501"),$T83,INDIRECT("'"&amp;$A83&amp;"'!$A$2:$A$501"),"&gt;="&amp;$I83,INDIRECT("'"&amp;$A83&amp;"'!$A$2:$A$501"),"&lt;"&amp;($BA83+1),INDIRECT("'"&amp;$A83&amp;"'!$E$2:$E$501"),"Yes"),0)))</f>
        <v/>
      </c>
      <c r="AW83" s="25">
        <f>IF(OR($A83="",$I83=""),"",IF($BC83="Y",SUMIFS(survey_frozen!$K$2:$K$251,survey_frozen!$P$2:$P$251,$A83&amp;"|"&amp;$B83),IFERROR(COUNTIFS(INDIRECT("'"&amp;$A83&amp;"'!$B$2:$B$501"),$T83,INDIRECT("'"&amp;$A83&amp;"'!$A$2:$A$501"),"&gt;="&amp;$I83,INDIRECT("'"&amp;$A83&amp;"'!$A$2:$A$501"),"&lt;"&amp;($BA83+1),INDIRECT("'"&amp;$A83&amp;"'!$E$2:$E$501"),"Maybe"),0)))</f>
        <v/>
      </c>
      <c r="AX83" s="25">
        <f>IF(OR($A83="",$I83=""),"",IF($BC83="Y",SUMIFS(survey_frozen!$L$2:$L$251,survey_frozen!$P$2:$P$251,$A83&amp;"|"&amp;$B83),IFERROR(COUNTIFS(INDIRECT("'"&amp;$A83&amp;"'!$B$2:$B$501"),$T83,INDIRECT("'"&amp;$A83&amp;"'!$A$2:$A$501"),"&gt;="&amp;$I83,INDIRECT("'"&amp;$A83&amp;"'!$A$2:$A$501"),"&lt;"&amp;($BA83+1),INDIRECT("'"&amp;$A83&amp;"'!$E$2:$E$501"),"No"),0)))</f>
        <v/>
      </c>
      <c r="AY83" s="25">
        <f>IF(OR($A83="",$I83=""),"",IF($BC83="Y",SUMIFS(survey_frozen!$M$2:$M$251,survey_frozen!$P$2:$P$251,$A83&amp;"|"&amp;$B83),IFERROR(COUNTIFS(INDIRECT("'"&amp;$A83&amp;"'!$B$2:$B$501"),$T83,INDIRECT("'"&amp;$A83&amp;"'!$A$2:$A$501"),"&gt;="&amp;$I83,INDIRECT("'"&amp;$A83&amp;"'!$A$2:$A$501"),"&lt;"&amp;($BA83+1),INDIRECT("'"&amp;$A83&amp;"'!$G$2:$G$501"),"&lt;&gt;"),0)))</f>
        <v/>
      </c>
      <c r="AZ83" s="25">
        <f>IF($A83="","",$A83&amp;"|"&amp;$L83)</f>
        <v/>
      </c>
      <c r="BA83" s="26">
        <f>IF($A83="","",IFERROR(IF(INDEX(drops!$R$2:$R$21,MATCH($H83,drops!$A$2:$A$21,0))="","",INDEX(drops!$R$2:$R$21,MATCH($H83,drops!$A$2:$A$21,0))),""))</f>
        <v/>
      </c>
      <c r="BB83" s="25">
        <f>IF(OR($A83="",$Q83&lt;&gt;"Y"),1000000,N($AL83))</f>
        <v/>
      </c>
      <c r="BC83" s="25">
        <f>IF($A83="","",IF(COUNTIF(survey_frozen!$P$2:$P$251,$A83&amp;"|"&amp;$B83)&gt;0,"Y",""))</f>
        <v/>
      </c>
    </row>
    <row r="84">
      <c r="C84" s="9" t="n"/>
      <c r="E84" s="9" t="n"/>
      <c r="H84" s="25">
        <f>IF($A84="","",IFERROR(IF(INDEX(campaigns!$B$2:$B$51,MATCH($A84,campaigns!$A$2:$A$51,0))="","",INDEX(campaigns!$B$2:$B$51,MATCH($A84,campaigns!$A$2:$A$51,0))),""))</f>
        <v/>
      </c>
      <c r="I84" s="26">
        <f>IF($A84="","",IFERROR(IF(INDEX(campaigns!$BG$2:$BG$51,MATCH($A84,campaigns!$A$2:$A$51,0))="","",INDEX(campaigns!$BG$2:$BG$51,MATCH($A84,campaigns!$A$2:$A$51,0))),""))</f>
        <v/>
      </c>
      <c r="J84" s="25">
        <f>IF($A84="","",IFERROR(IF(INDEX(campaigns!$BE$2:$BE$51,MATCH($A84,campaigns!$A$2:$A$51,0))="","",INDEX(campaigns!$BE$2:$BE$51,MATCH($A84,campaigns!$A$2:$A$51,0))),""))</f>
        <v/>
      </c>
      <c r="K84" s="25">
        <f>IF($B84="","",IFERROR(IF(INDEX(offices!$N$2:$N$61,MATCH($B84,offices!$A$2:$A$61,0))="","",INDEX(offices!$N$2:$N$61,MATCH($B84,offices!$A$2:$A$61,0))),""))</f>
        <v/>
      </c>
      <c r="L84" s="25">
        <f>IF($A84="","",IF($Q84="N","",COUNTIFS($A$2:$A84,$A84,$Q$2:$Q84,"&lt;&gt;N")))</f>
        <v/>
      </c>
      <c r="M84" s="25">
        <f>IF(OR($A84="",$L84=""),"",IF(AND(config!$B$34="names_if_public",IFERROR(IF(INDEX(offices!$AF$2:$AF$61,MATCH($B84,offices!$A$2:$A$61,0))="","",INDEX(offices!$AF$2:$AF$61,MATCH($B84,offices!$A$2:$A$61,0))),"")="Y"),$K84,CHAR(64+$L84)))</f>
        <v/>
      </c>
      <c r="N84" s="25">
        <f>IF(OR($A84="",$I84=""),"",COUNTIFS(stops!$B$2:$B$151,$B84,stops!$P$2:$P$151,"&lt;"&amp;$I84,stops!$L$2:$L$151,"&lt;&gt;not_delivered")+1)</f>
        <v/>
      </c>
      <c r="O84" s="25">
        <f>IF($A84="","",IF(N($N84)&lt;=config!$B$29,"explicit","opt-out"))</f>
        <v/>
      </c>
      <c r="P84" s="25">
        <f>IF($A84="","",IF($O84="explicit",IF($D84="yes","Y",IF($D84="no","N","pending")),IF($D84="no","N",IF(AND($C84&lt;&gt;"",$I84&lt;&gt;"",$C84&lt;=WORKDAY(N($I84),-5,calendar!$A$2:$A$80)),"Y","pending"))))</f>
        <v/>
      </c>
      <c r="Q84" s="25">
        <f>IF($A84="","",IF($P84="N","N",IF($P84&lt;&gt;"Y","pending",IF(AND((COUNTIFS(stops!$A$2:$A$151,$H84,stops!$B$2:$B$151,$B84,stops!$L$2:$L$151,"declined")+COUNTIFS(stops!$A$2:$A$151,$H84,stops!$B$2:$B$151,$B84,stops!$L$2:$L$151,"building_refused")+COUNTIFS(stops!$A$2:$A$151,$H84,stops!$B$2:$B$151,$B84,stops!$L$2:$L$151,"not_delivered"))&gt;0,N($U84)=0),"N","Y"))))</f>
        <v/>
      </c>
      <c r="R84" s="25">
        <f>IF($A84="","",IF(COUNTIFS($A$2:$A$251,$A84,$B$2:$B$251,$B84)&gt;1,"DUPLICATE ROW; ","")&amp;IF(AND(IFERROR(IF(INDEX(offices!$AC$2:$AC$61,MATCH($B84,offices!$A$2:$A$61,0))="","",INDEX(offices!$AC$2:$AC$61,MATCH($B84,offices!$A$2:$A$61,0))),"")&lt;&gt;"",ISNUMBER(SEARCH($J84,IFERROR(IF(INDEX(offices!$AC$2:$AC$61,MATCH($B84,offices!$A$2:$A$61,0))="","",INDEX(offices!$AC$2:$AC$61,MATCH($B84,offices!$A$2:$A$61,0))),"")))),"BRAND VETOED; ","")&amp;IF(ISNUMBER(SEARCH(IFERROR(IF(INDEX(campaigns!$BF$2:$BF$51,MATCH($A84,campaigns!$A$2:$A$51,0))="","",INDEX(campaigns!$BF$2:$BF$51,MATCH($A84,campaigns!$A$2:$A$51,0))),""),IFERROR(IF(INDEX(offices!$AB$2:$AB$61,MATCH($B84,offices!$A$2:$A$61,0))="","",INDEX(offices!$AB$2:$AB$61,MATCH($B84,offices!$A$2:$A$61,0))),""))),"","info: category not on the office's list; ")&amp;IF(IFERROR(IF(INDEX(offices!$AC$2:$AC$61,MATCH($B84,offices!$A$2:$A$61,0))="","",INDEX(offices!$AC$2:$AC$61,MATCH($B84,offices!$A$2:$A$61,0))),"")&lt;&gt;"","info: read the vetoes against the label; ",""))</f>
        <v/>
      </c>
      <c r="S84" s="25">
        <f>IF($A84="","",IF($G84&lt;&gt;"",$G84,IFERROR(IF(INDEX(offices!$AL$2:$AL$61,MATCH($B84,offices!$A$2:$A$61,0))="","",INDEX(offices!$AL$2:$AL$61,MATCH($B84,offices!$A$2:$A$61,0))),"")))</f>
        <v/>
      </c>
      <c r="T84" s="25">
        <f>IF($A84="","",$A84&amp;"."&amp;$B84)</f>
        <v/>
      </c>
      <c r="U84" s="25">
        <f>IF($A84="","",SUMIFS(inventory!$G$2:$G$801,inventory!$C$2:$C$801,$A84,inventory!$D$2:$D$801,$B84,inventory!$E$2:$E$801,"delivered"))</f>
        <v/>
      </c>
      <c r="V84" s="32">
        <f>IF($A84="","",IFERROR(1/(1/SUMPRODUCT(MAX((inventory!$C$2:$C$801=$A84)*(inventory!$D$2:$D$801=$B84)*(inventory!$E$2:$E$801="delivered")*(inventory!$A$2:$A$801+inventory!$B$2:$B$801)))),""))</f>
        <v/>
      </c>
      <c r="W84" s="25">
        <f>IF($A84="","",IFERROR(IF(INDEX(inventory!$J$2:$J$801,MATCH($A84&amp;"|"&amp;$B84&amp;"|delivered",inventory!$R$2:$R$801,0))="","",INDEX(inventory!$J$2:$J$801,MATCH($A84&amp;"|"&amp;$B84&amp;"|delivered",inventory!$R$2:$R$801,0))),""))</f>
        <v/>
      </c>
      <c r="X84" s="25">
        <f>IF($A84="","",IFERROR(IF(INDEX(photos!$H$2:$H$701,MATCH($A84&amp;"|"&amp;$B84&amp;"|placement|Y",photos!$R$2:$R$701,0))="","",INDEX(photos!$H$2:$H$701,MATCH($A84&amp;"|"&amp;$B84&amp;"|placement|Y",photos!$R$2:$R$701,0))),""))</f>
        <v/>
      </c>
      <c r="Y84" s="26">
        <f>IF($A84="","",IFERROR(IF(INDEX(photos!$E$2:$E$701,MATCH($A84&amp;"|"&amp;$B84&amp;"|placement|Y",photos!$R$2:$R$701,0))="","",INDEX(photos!$E$2:$E$701,MATCH($A84&amp;"|"&amp;$B84&amp;"|placement|Y",photos!$R$2:$R$701,0))),""))</f>
        <v/>
      </c>
      <c r="Z84" s="25">
        <f>IF($A84="","",IF(COUNTIFS(counts!$C$2:$C$701,$A84,counts!$D$2:$D$701,$B84,counts!$E$2:$E$701,"placed")=0,"",SUMIFS(counts!$F$2:$F$701,counts!$C$2:$C$701,$A84,counts!$D$2:$D$701,$B84,counts!$E$2:$E$701,"placed")))</f>
        <v/>
      </c>
      <c r="AA84" s="25">
        <f>IF($A84="","",IF($Y84="",0,N($Z84)))</f>
        <v/>
      </c>
      <c r="AB84" s="25">
        <f>IF($A84="","",IF(OR($Y84="",$I84=""),"N",IF($Y84&lt;=WORKDAY(N($I84),1,calendar!$A$2:$A$80),"Y","N")))</f>
        <v/>
      </c>
      <c r="AC84" s="28">
        <f>IF(OR($A84="",$V84="",$Y84=""),"",ROUND(($Y84+N(IFERROR(IF(INDEX(photos!$F$2:$F$701,MATCH($A84&amp;"|"&amp;$B84&amp;"|placement|Y",photos!$R$2:$R$701,0))="","",INDEX(photos!$F$2:$F$701,MATCH($A84&amp;"|"&amp;$B84&amp;"|placement|Y",photos!$R$2:$R$701,0))),""))-$V84)*24,1))</f>
        <v/>
      </c>
      <c r="AD84" s="25">
        <f>IF($A84="","",SUMIFS(inventory!$G$2:$G$801,inventory!$C$2:$C$801,$A84,inventory!$D$2:$D$801,$B84,inventory!$E$2:$E$801,"topped_up"))</f>
        <v/>
      </c>
      <c r="AE84" s="25">
        <f>IF($A84="","",IF(COUNTIFS(counts!$C$2:$C$701,$A84,counts!$D$2:$D$701,$B84,counts!$E$2:$E$701,"remaining_day3")=0,"",SUMIFS(counts!$F$2:$F$701,counts!$C$2:$C$701,$A84,counts!$D$2:$D$701,$B84,counts!$E$2:$E$701,"remaining_day3")))</f>
        <v/>
      </c>
      <c r="AF84" s="25">
        <f>IF($A84="","",IF(COUNTIFS(counts!$C$2:$C$701,$A84,counts!$D$2:$D$701,$B84,counts!$E$2:$E$701,"remaining_day5")=0,"",SUMIFS(counts!$F$2:$F$701,counts!$C$2:$C$701,$A84,counts!$D$2:$D$701,$B84,counts!$E$2:$E$701,"remaining_day5")))</f>
        <v/>
      </c>
      <c r="AG84" s="25">
        <f>IF(OR($A84="",$AF84=""),"",MAX(0,$AA84+$AD84-$AF84))</f>
        <v/>
      </c>
      <c r="AH84" s="25">
        <f>IF(OR($A84="",$AI84=""),"",IFERROR(IF(INDEX(photos!$H$2:$H$701,MATCH($A84&amp;"|"&amp;$B84&amp;"|later|Y|"&amp;$AI84,photos!$S$2:$S$701,0))="","",INDEX(photos!$H$2:$H$701,MATCH($A84&amp;"|"&amp;$B84&amp;"|later|Y|"&amp;$AI84,photos!$S$2:$S$701,0))),""))</f>
        <v/>
      </c>
      <c r="AI84" s="26">
        <f>IF($A84="","",IFERROR(1/(1/SUMPRODUCT(MAX((photos!$B$2:$B$701=$A84)*(photos!$C$2:$C$701=$B84)*(photos!$D$2:$D$701="later")*(photos!$O$2:$O$701="Y")*photos!$E$2:$E$701))),""))</f>
        <v/>
      </c>
      <c r="AJ84" s="25">
        <f>IF(OR($A84="",$AI84="",$I84=""),"",NETWORKDAYS($I84,$AI84,calendar!$A$2:$A$80))</f>
        <v/>
      </c>
      <c r="AK84" s="25">
        <f>IF($A84="","",IF(AND($X84&lt;&gt;"",$AH84&lt;&gt;""),"Y","N"))</f>
        <v/>
      </c>
      <c r="AL84" s="25">
        <f>IF(OR($A84="",$I84=""),"",IF($BC84="Y",SUMIFS(survey_frozen!$C$2:$C$251,survey_frozen!$P$2:$P$251,$A84&amp;"|"&amp;$B84),IFERROR(COUNTIFS(INDIRECT("'"&amp;$A84&amp;"'!$B$2:$B$501"),$T84,INDIRECT("'"&amp;$A84&amp;"'!$A$2:$A$501"),"&gt;="&amp;$I84,INDIRECT("'"&amp;$A84&amp;"'!$A$2:$A$501"),"&lt;"&amp;($BA84+1)),0)))</f>
        <v/>
      </c>
      <c r="AM84" s="25">
        <f>IF(OR($A84="",$I84=""),"",IF($BC84="Y",SUMIFS(survey_frozen!$D$2:$D$251,survey_frozen!$P$2:$P$251,$A84&amp;"|"&amp;$B84),IFERROR(COUNTIFS(INDIRECT("'"&amp;$A84&amp;"'!$B$2:$B$501"),$T84,INDIRECT("'"&amp;$A84&amp;"'!$A$2:$A$501"),"&gt;="&amp;$I84,INDIRECT("'"&amp;$A84&amp;"'!$A$2:$A$501"),"&lt;"&amp;($BA84+1),INDIRECT("'"&amp;$A84&amp;"'!$C$2:$C$501"),"Yes"),0)))</f>
        <v/>
      </c>
      <c r="AN84" s="25">
        <f>IF($A84="","",IF(COUNTIFS(scans!$C$2:$C$1601,(IF(LEFT($A84,7)="SAMPLE-","SAMPLE-","")&amp;LOWER(SUBSTITUTE(SUBSTITUTE($A84,"SAMPLE-",""),"CMP-","c"))&amp;"-"&amp;LOWER(SUBSTITUTE(SUBSTITUTE($B84,"SAMPLE-",""),"O-","o"))&amp;"-q"),scans!$D$2:$D$1601,"close")=0,"",SUMPRODUCT(MAX((scans!$C$2:$C$1601=(IF(LEFT($A84,7)="SAMPLE-","SAMPLE-","")&amp;LOWER(SUBSTITUTE(SUBSTITUTE($A84,"SAMPLE-",""),"CMP-","c"))&amp;"-"&amp;LOWER(SUBSTITUTE(SUBSTITUTE($B84,"SAMPLE-",""),"O-","o"))&amp;"-q"))*(scans!$D$2:$D$1601="close")*scans!$E$2:$E$1601))-SUMPRODUCT(MAX((scans!$C$2:$C$1601=(IF(LEFT($A84,7)="SAMPLE-","SAMPLE-","")&amp;LOWER(SUBSTITUTE(SUBSTITUTE($A84,"SAMPLE-",""),"CMP-","c"))&amp;"-"&amp;LOWER(SUBSTITUTE(SUBSTITUTE($B84,"SAMPLE-",""),"O-","o"))&amp;"-q"))*(scans!$D$2:$D$1601="baseline")*scans!$E$2:$E$1601))))</f>
        <v/>
      </c>
      <c r="AO84" s="25">
        <f>IF($A84="","",IF(COUNTIFS(scans!$C$2:$C$1601,(IF(LEFT($A84,7)="SAMPLE-","SAMPLE-","")&amp;LOWER(SUBSTITUTE(SUBSTITUTE($A84,"SAMPLE-",""),"CMP-","c"))&amp;"-"&amp;LOWER(SUBSTITUTE(SUBSTITUTE($B84,"SAMPLE-",""),"O-","o"))&amp;"-p"),scans!$D$2:$D$1601,"close")=0,"",SUMPRODUCT(MAX((scans!$C$2:$C$1601=(IF(LEFT($A84,7)="SAMPLE-","SAMPLE-","")&amp;LOWER(SUBSTITUTE(SUBSTITUTE($A84,"SAMPLE-",""),"CMP-","c"))&amp;"-"&amp;LOWER(SUBSTITUTE(SUBSTITUTE($B84,"SAMPLE-",""),"O-","o"))&amp;"-p"))*(scans!$D$2:$D$1601="close")*scans!$E$2:$E$1601))-SUMPRODUCT(MAX((scans!$C$2:$C$1601=(IF(LEFT($A84,7)="SAMPLE-","SAMPLE-","")&amp;LOWER(SUBSTITUTE(SUBSTITUTE($A84,"SAMPLE-",""),"CMP-","c"))&amp;"-"&amp;LOWER(SUBSTITUTE(SUBSTITUTE($B84,"SAMPLE-",""),"O-","o"))&amp;"-p"))*(scans!$D$2:$D$1601="baseline")*scans!$E$2:$E$1601))))</f>
        <v/>
      </c>
      <c r="AP84" s="25">
        <f>IF($A84="","",IF(COUNTIF(offices!$A$2:$A$61,$B84)=0,"office_id not on offices; ","")&amp;IF(COUNTIF(campaigns!$A$2:$A$51,$A84)=0,"campaign_id not on campaigns; ","")&amp;IF($P84="pending","approval pending; ","")&amp;IF(AND($U84&gt;0,$Y84="",OR($I84="",IF(config!$B$37&lt;&gt;"",config!$B$37,TODAY())&lt;=WORKDAY(N($I84),4,calendar!$A$2:$A$80))),"no usable placement photo yet; ","")&amp;IF(AND($Y84&lt;&gt;"",$Z84=""),"log the placed count; ","")&amp;IF(N($AA84)&gt;N($U84),"placed more than delivered; ","")&amp;IF(AND($AF84&lt;&gt;"",N($AF84)&gt;N($AA84)+N($AD84)),"day-5 count above placed plus top-ups; ","")&amp;IF(AND($U84&gt;0,$I84&lt;&gt;"",IF(config!$B$37&lt;&gt;"",config!$B$37,TODAY())&gt;WORKDAY(N($I84),4,calendar!$A$2:$A$80),$AF84=""),"day-5 count missing; ","")&amp;IF(AND($U84&gt;0,$I84&lt;&gt;"",IF(config!$B$37&lt;&gt;"",config!$B$37,TODAY())&gt;WORKDAY(N($I84),4,calendar!$A$2:$A$80),$AN84=""),"no close link reading; ","")&amp;$R84&amp;IF($P84="N","info: office said no; ","")&amp;IF(AND($P84="Y",$Q84="N"),"info: turned away at the door, so not on the drop (no letter, not in the report or Gate 2; the credit check is on campaigns); ","")&amp;IF(AND($U84&gt;0,$Y84="",$I84&lt;&gt;"",IF(config!$B$37&lt;&gt;"",config!$B$37,TODAY())&gt;WORKDAY(N($I84),4,calendar!$A$2:$A$80)),"info: no usable placement photo, so nothing counts as placed; ","")&amp;IF(AND($U84&gt;0,$I84&lt;&gt;"",IF(config!$B$37&lt;&gt;"",config!$B$37,TODAY())&gt;WORKDAY(N($I84),4,calendar!$A$2:$A$80),N($AL84)&lt;config!$B$30),"info: under "&amp;config!$B$30&amp;" responses; ","")&amp;IF($W84="packing_list","info: delivered count not verified; ",""))</f>
        <v/>
      </c>
      <c r="AQ84" s="25">
        <f>IF(OR($A84="",$I84=""),"",IF($BC84="Y",SUMIFS(survey_frozen!$E$2:$E$251,survey_frozen!$P$2:$P$251,$A84&amp;"|"&amp;$B84),IFERROR(COUNTIFS(INDIRECT("'"&amp;$A84&amp;"'!$B$2:$B$501"),$T84,INDIRECT("'"&amp;$A84&amp;"'!$A$2:$A$501"),"&gt;="&amp;$I84,INDIRECT("'"&amp;$A84&amp;"'!$A$2:$A$501"),"&lt;"&amp;($BA84+1),INDIRECT("'"&amp;$A84&amp;"'!$F$2:$F$501"),"Didn't see it"),0)))</f>
        <v/>
      </c>
      <c r="AR84" s="25">
        <f>IF(OR($A84="",$I84=""),"",IF($BC84="Y",SUMIFS(survey_frozen!$F$2:$F$251,survey_frozen!$P$2:$P$251,$A84&amp;"|"&amp;$B84),IFERROR(COUNTIFS(INDIRECT("'"&amp;$A84&amp;"'!$B$2:$B$501"),$T84,INDIRECT("'"&amp;$A84&amp;"'!$A$2:$A$501"),"&gt;="&amp;$I84,INDIRECT("'"&amp;$A84&amp;"'!$A$2:$A$501"),"&lt;"&amp;($BA84+1),INDIRECT("'"&amp;$A84&amp;"'!$F$2:$F$501"),"Not for me"),0)))</f>
        <v/>
      </c>
      <c r="AS84" s="25">
        <f>IF(OR($A84="",$I84=""),"",IF($BC84="Y",SUMIFS(survey_frozen!$G$2:$G$251,survey_frozen!$P$2:$P$251,$A84&amp;"|"&amp;$B84),IFERROR(COUNTIFS(INDIRECT("'"&amp;$A84&amp;"'!$B$2:$B$501"),$T84,INDIRECT("'"&amp;$A84&amp;"'!$A$2:$A$501"),"&gt;="&amp;$I84,INDIRECT("'"&amp;$A84&amp;"'!$A$2:$A$501"),"&lt;"&amp;($BA84+1),INDIRECT("'"&amp;$A84&amp;"'!$F$2:$F$501"),"Gone by the time I looked"),0)))</f>
        <v/>
      </c>
      <c r="AT84" s="25">
        <f>IF(OR($A84="",$I84=""),"",IF($BC84="Y",SUMIFS(survey_frozen!$H$2:$H$251,survey_frozen!$P$2:$P$251,$A84&amp;"|"&amp;$B84),IFERROR(COUNTIFS(INDIRECT("'"&amp;$A84&amp;"'!$B$2:$B$501"),$T84,INDIRECT("'"&amp;$A84&amp;"'!$A$2:$A$501"),"&gt;="&amp;$I84,INDIRECT("'"&amp;$A84&amp;"'!$A$2:$A$501"),"&lt;"&amp;($BA84+1),INDIRECT("'"&amp;$A84&amp;"'!$D$2:$D$501"),"&gt;=1"),0)))</f>
        <v/>
      </c>
      <c r="AU84" s="25">
        <f>IF(OR($A84="",$I84=""),"",IF($BC84="Y",SUMIFS(survey_frozen!$I$2:$I$251,survey_frozen!$P$2:$P$251,$A84&amp;"|"&amp;$B84),IFERROR(SUMIFS(INDIRECT("'"&amp;$A84&amp;"'!$D$2:$D$501"),INDIRECT("'"&amp;$A84&amp;"'!$B$2:$B$501"),$T84,INDIRECT("'"&amp;$A84&amp;"'!$A$2:$A$501"),"&gt;="&amp;$I84,INDIRECT("'"&amp;$A84&amp;"'!$A$2:$A$501"),"&lt;"&amp;($BA84+1)),0)))</f>
        <v/>
      </c>
      <c r="AV84" s="25">
        <f>IF(OR($A84="",$I84=""),"",IF($BC84="Y",SUMIFS(survey_frozen!$J$2:$J$251,survey_frozen!$P$2:$P$251,$A84&amp;"|"&amp;$B84),IFERROR(COUNTIFS(INDIRECT("'"&amp;$A84&amp;"'!$B$2:$B$501"),$T84,INDIRECT("'"&amp;$A84&amp;"'!$A$2:$A$501"),"&gt;="&amp;$I84,INDIRECT("'"&amp;$A84&amp;"'!$A$2:$A$501"),"&lt;"&amp;($BA84+1),INDIRECT("'"&amp;$A84&amp;"'!$E$2:$E$501"),"Yes"),0)))</f>
        <v/>
      </c>
      <c r="AW84" s="25">
        <f>IF(OR($A84="",$I84=""),"",IF($BC84="Y",SUMIFS(survey_frozen!$K$2:$K$251,survey_frozen!$P$2:$P$251,$A84&amp;"|"&amp;$B84),IFERROR(COUNTIFS(INDIRECT("'"&amp;$A84&amp;"'!$B$2:$B$501"),$T84,INDIRECT("'"&amp;$A84&amp;"'!$A$2:$A$501"),"&gt;="&amp;$I84,INDIRECT("'"&amp;$A84&amp;"'!$A$2:$A$501"),"&lt;"&amp;($BA84+1),INDIRECT("'"&amp;$A84&amp;"'!$E$2:$E$501"),"Maybe"),0)))</f>
        <v/>
      </c>
      <c r="AX84" s="25">
        <f>IF(OR($A84="",$I84=""),"",IF($BC84="Y",SUMIFS(survey_frozen!$L$2:$L$251,survey_frozen!$P$2:$P$251,$A84&amp;"|"&amp;$B84),IFERROR(COUNTIFS(INDIRECT("'"&amp;$A84&amp;"'!$B$2:$B$501"),$T84,INDIRECT("'"&amp;$A84&amp;"'!$A$2:$A$501"),"&gt;="&amp;$I84,INDIRECT("'"&amp;$A84&amp;"'!$A$2:$A$501"),"&lt;"&amp;($BA84+1),INDIRECT("'"&amp;$A84&amp;"'!$E$2:$E$501"),"No"),0)))</f>
        <v/>
      </c>
      <c r="AY84" s="25">
        <f>IF(OR($A84="",$I84=""),"",IF($BC84="Y",SUMIFS(survey_frozen!$M$2:$M$251,survey_frozen!$P$2:$P$251,$A84&amp;"|"&amp;$B84),IFERROR(COUNTIFS(INDIRECT("'"&amp;$A84&amp;"'!$B$2:$B$501"),$T84,INDIRECT("'"&amp;$A84&amp;"'!$A$2:$A$501"),"&gt;="&amp;$I84,INDIRECT("'"&amp;$A84&amp;"'!$A$2:$A$501"),"&lt;"&amp;($BA84+1),INDIRECT("'"&amp;$A84&amp;"'!$G$2:$G$501"),"&lt;&gt;"),0)))</f>
        <v/>
      </c>
      <c r="AZ84" s="25">
        <f>IF($A84="","",$A84&amp;"|"&amp;$L84)</f>
        <v/>
      </c>
      <c r="BA84" s="26">
        <f>IF($A84="","",IFERROR(IF(INDEX(drops!$R$2:$R$21,MATCH($H84,drops!$A$2:$A$21,0))="","",INDEX(drops!$R$2:$R$21,MATCH($H84,drops!$A$2:$A$21,0))),""))</f>
        <v/>
      </c>
      <c r="BB84" s="25">
        <f>IF(OR($A84="",$Q84&lt;&gt;"Y"),1000000,N($AL84))</f>
        <v/>
      </c>
      <c r="BC84" s="25">
        <f>IF($A84="","",IF(COUNTIF(survey_frozen!$P$2:$P$251,$A84&amp;"|"&amp;$B84)&gt;0,"Y",""))</f>
        <v/>
      </c>
    </row>
    <row r="85">
      <c r="C85" s="9" t="n"/>
      <c r="E85" s="9" t="n"/>
      <c r="H85" s="25">
        <f>IF($A85="","",IFERROR(IF(INDEX(campaigns!$B$2:$B$51,MATCH($A85,campaigns!$A$2:$A$51,0))="","",INDEX(campaigns!$B$2:$B$51,MATCH($A85,campaigns!$A$2:$A$51,0))),""))</f>
        <v/>
      </c>
      <c r="I85" s="26">
        <f>IF($A85="","",IFERROR(IF(INDEX(campaigns!$BG$2:$BG$51,MATCH($A85,campaigns!$A$2:$A$51,0))="","",INDEX(campaigns!$BG$2:$BG$51,MATCH($A85,campaigns!$A$2:$A$51,0))),""))</f>
        <v/>
      </c>
      <c r="J85" s="25">
        <f>IF($A85="","",IFERROR(IF(INDEX(campaigns!$BE$2:$BE$51,MATCH($A85,campaigns!$A$2:$A$51,0))="","",INDEX(campaigns!$BE$2:$BE$51,MATCH($A85,campaigns!$A$2:$A$51,0))),""))</f>
        <v/>
      </c>
      <c r="K85" s="25">
        <f>IF($B85="","",IFERROR(IF(INDEX(offices!$N$2:$N$61,MATCH($B85,offices!$A$2:$A$61,0))="","",INDEX(offices!$N$2:$N$61,MATCH($B85,offices!$A$2:$A$61,0))),""))</f>
        <v/>
      </c>
      <c r="L85" s="25">
        <f>IF($A85="","",IF($Q85="N","",COUNTIFS($A$2:$A85,$A85,$Q$2:$Q85,"&lt;&gt;N")))</f>
        <v/>
      </c>
      <c r="M85" s="25">
        <f>IF(OR($A85="",$L85=""),"",IF(AND(config!$B$34="names_if_public",IFERROR(IF(INDEX(offices!$AF$2:$AF$61,MATCH($B85,offices!$A$2:$A$61,0))="","",INDEX(offices!$AF$2:$AF$61,MATCH($B85,offices!$A$2:$A$61,0))),"")="Y"),$K85,CHAR(64+$L85)))</f>
        <v/>
      </c>
      <c r="N85" s="25">
        <f>IF(OR($A85="",$I85=""),"",COUNTIFS(stops!$B$2:$B$151,$B85,stops!$P$2:$P$151,"&lt;"&amp;$I85,stops!$L$2:$L$151,"&lt;&gt;not_delivered")+1)</f>
        <v/>
      </c>
      <c r="O85" s="25">
        <f>IF($A85="","",IF(N($N85)&lt;=config!$B$29,"explicit","opt-out"))</f>
        <v/>
      </c>
      <c r="P85" s="25">
        <f>IF($A85="","",IF($O85="explicit",IF($D85="yes","Y",IF($D85="no","N","pending")),IF($D85="no","N",IF(AND($C85&lt;&gt;"",$I85&lt;&gt;"",$C85&lt;=WORKDAY(N($I85),-5,calendar!$A$2:$A$80)),"Y","pending"))))</f>
        <v/>
      </c>
      <c r="Q85" s="25">
        <f>IF($A85="","",IF($P85="N","N",IF($P85&lt;&gt;"Y","pending",IF(AND((COUNTIFS(stops!$A$2:$A$151,$H85,stops!$B$2:$B$151,$B85,stops!$L$2:$L$151,"declined")+COUNTIFS(stops!$A$2:$A$151,$H85,stops!$B$2:$B$151,$B85,stops!$L$2:$L$151,"building_refused")+COUNTIFS(stops!$A$2:$A$151,$H85,stops!$B$2:$B$151,$B85,stops!$L$2:$L$151,"not_delivered"))&gt;0,N($U85)=0),"N","Y"))))</f>
        <v/>
      </c>
      <c r="R85" s="25">
        <f>IF($A85="","",IF(COUNTIFS($A$2:$A$251,$A85,$B$2:$B$251,$B85)&gt;1,"DUPLICATE ROW; ","")&amp;IF(AND(IFERROR(IF(INDEX(offices!$AC$2:$AC$61,MATCH($B85,offices!$A$2:$A$61,0))="","",INDEX(offices!$AC$2:$AC$61,MATCH($B85,offices!$A$2:$A$61,0))),"")&lt;&gt;"",ISNUMBER(SEARCH($J85,IFERROR(IF(INDEX(offices!$AC$2:$AC$61,MATCH($B85,offices!$A$2:$A$61,0))="","",INDEX(offices!$AC$2:$AC$61,MATCH($B85,offices!$A$2:$A$61,0))),"")))),"BRAND VETOED; ","")&amp;IF(ISNUMBER(SEARCH(IFERROR(IF(INDEX(campaigns!$BF$2:$BF$51,MATCH($A85,campaigns!$A$2:$A$51,0))="","",INDEX(campaigns!$BF$2:$BF$51,MATCH($A85,campaigns!$A$2:$A$51,0))),""),IFERROR(IF(INDEX(offices!$AB$2:$AB$61,MATCH($B85,offices!$A$2:$A$61,0))="","",INDEX(offices!$AB$2:$AB$61,MATCH($B85,offices!$A$2:$A$61,0))),""))),"","info: category not on the office's list; ")&amp;IF(IFERROR(IF(INDEX(offices!$AC$2:$AC$61,MATCH($B85,offices!$A$2:$A$61,0))="","",INDEX(offices!$AC$2:$AC$61,MATCH($B85,offices!$A$2:$A$61,0))),"")&lt;&gt;"","info: read the vetoes against the label; ",""))</f>
        <v/>
      </c>
      <c r="S85" s="25">
        <f>IF($A85="","",IF($G85&lt;&gt;"",$G85,IFERROR(IF(INDEX(offices!$AL$2:$AL$61,MATCH($B85,offices!$A$2:$A$61,0))="","",INDEX(offices!$AL$2:$AL$61,MATCH($B85,offices!$A$2:$A$61,0))),"")))</f>
        <v/>
      </c>
      <c r="T85" s="25">
        <f>IF($A85="","",$A85&amp;"."&amp;$B85)</f>
        <v/>
      </c>
      <c r="U85" s="25">
        <f>IF($A85="","",SUMIFS(inventory!$G$2:$G$801,inventory!$C$2:$C$801,$A85,inventory!$D$2:$D$801,$B85,inventory!$E$2:$E$801,"delivered"))</f>
        <v/>
      </c>
      <c r="V85" s="32">
        <f>IF($A85="","",IFERROR(1/(1/SUMPRODUCT(MAX((inventory!$C$2:$C$801=$A85)*(inventory!$D$2:$D$801=$B85)*(inventory!$E$2:$E$801="delivered")*(inventory!$A$2:$A$801+inventory!$B$2:$B$801)))),""))</f>
        <v/>
      </c>
      <c r="W85" s="25">
        <f>IF($A85="","",IFERROR(IF(INDEX(inventory!$J$2:$J$801,MATCH($A85&amp;"|"&amp;$B85&amp;"|delivered",inventory!$R$2:$R$801,0))="","",INDEX(inventory!$J$2:$J$801,MATCH($A85&amp;"|"&amp;$B85&amp;"|delivered",inventory!$R$2:$R$801,0))),""))</f>
        <v/>
      </c>
      <c r="X85" s="25">
        <f>IF($A85="","",IFERROR(IF(INDEX(photos!$H$2:$H$701,MATCH($A85&amp;"|"&amp;$B85&amp;"|placement|Y",photos!$R$2:$R$701,0))="","",INDEX(photos!$H$2:$H$701,MATCH($A85&amp;"|"&amp;$B85&amp;"|placement|Y",photos!$R$2:$R$701,0))),""))</f>
        <v/>
      </c>
      <c r="Y85" s="26">
        <f>IF($A85="","",IFERROR(IF(INDEX(photos!$E$2:$E$701,MATCH($A85&amp;"|"&amp;$B85&amp;"|placement|Y",photos!$R$2:$R$701,0))="","",INDEX(photos!$E$2:$E$701,MATCH($A85&amp;"|"&amp;$B85&amp;"|placement|Y",photos!$R$2:$R$701,0))),""))</f>
        <v/>
      </c>
      <c r="Z85" s="25">
        <f>IF($A85="","",IF(COUNTIFS(counts!$C$2:$C$701,$A85,counts!$D$2:$D$701,$B85,counts!$E$2:$E$701,"placed")=0,"",SUMIFS(counts!$F$2:$F$701,counts!$C$2:$C$701,$A85,counts!$D$2:$D$701,$B85,counts!$E$2:$E$701,"placed")))</f>
        <v/>
      </c>
      <c r="AA85" s="25">
        <f>IF($A85="","",IF($Y85="",0,N($Z85)))</f>
        <v/>
      </c>
      <c r="AB85" s="25">
        <f>IF($A85="","",IF(OR($Y85="",$I85=""),"N",IF($Y85&lt;=WORKDAY(N($I85),1,calendar!$A$2:$A$80),"Y","N")))</f>
        <v/>
      </c>
      <c r="AC85" s="28">
        <f>IF(OR($A85="",$V85="",$Y85=""),"",ROUND(($Y85+N(IFERROR(IF(INDEX(photos!$F$2:$F$701,MATCH($A85&amp;"|"&amp;$B85&amp;"|placement|Y",photos!$R$2:$R$701,0))="","",INDEX(photos!$F$2:$F$701,MATCH($A85&amp;"|"&amp;$B85&amp;"|placement|Y",photos!$R$2:$R$701,0))),""))-$V85)*24,1))</f>
        <v/>
      </c>
      <c r="AD85" s="25">
        <f>IF($A85="","",SUMIFS(inventory!$G$2:$G$801,inventory!$C$2:$C$801,$A85,inventory!$D$2:$D$801,$B85,inventory!$E$2:$E$801,"topped_up"))</f>
        <v/>
      </c>
      <c r="AE85" s="25">
        <f>IF($A85="","",IF(COUNTIFS(counts!$C$2:$C$701,$A85,counts!$D$2:$D$701,$B85,counts!$E$2:$E$701,"remaining_day3")=0,"",SUMIFS(counts!$F$2:$F$701,counts!$C$2:$C$701,$A85,counts!$D$2:$D$701,$B85,counts!$E$2:$E$701,"remaining_day3")))</f>
        <v/>
      </c>
      <c r="AF85" s="25">
        <f>IF($A85="","",IF(COUNTIFS(counts!$C$2:$C$701,$A85,counts!$D$2:$D$701,$B85,counts!$E$2:$E$701,"remaining_day5")=0,"",SUMIFS(counts!$F$2:$F$701,counts!$C$2:$C$701,$A85,counts!$D$2:$D$701,$B85,counts!$E$2:$E$701,"remaining_day5")))</f>
        <v/>
      </c>
      <c r="AG85" s="25">
        <f>IF(OR($A85="",$AF85=""),"",MAX(0,$AA85+$AD85-$AF85))</f>
        <v/>
      </c>
      <c r="AH85" s="25">
        <f>IF(OR($A85="",$AI85=""),"",IFERROR(IF(INDEX(photos!$H$2:$H$701,MATCH($A85&amp;"|"&amp;$B85&amp;"|later|Y|"&amp;$AI85,photos!$S$2:$S$701,0))="","",INDEX(photos!$H$2:$H$701,MATCH($A85&amp;"|"&amp;$B85&amp;"|later|Y|"&amp;$AI85,photos!$S$2:$S$701,0))),""))</f>
        <v/>
      </c>
      <c r="AI85" s="26">
        <f>IF($A85="","",IFERROR(1/(1/SUMPRODUCT(MAX((photos!$B$2:$B$701=$A85)*(photos!$C$2:$C$701=$B85)*(photos!$D$2:$D$701="later")*(photos!$O$2:$O$701="Y")*photos!$E$2:$E$701))),""))</f>
        <v/>
      </c>
      <c r="AJ85" s="25">
        <f>IF(OR($A85="",$AI85="",$I85=""),"",NETWORKDAYS($I85,$AI85,calendar!$A$2:$A$80))</f>
        <v/>
      </c>
      <c r="AK85" s="25">
        <f>IF($A85="","",IF(AND($X85&lt;&gt;"",$AH85&lt;&gt;""),"Y","N"))</f>
        <v/>
      </c>
      <c r="AL85" s="25">
        <f>IF(OR($A85="",$I85=""),"",IF($BC85="Y",SUMIFS(survey_frozen!$C$2:$C$251,survey_frozen!$P$2:$P$251,$A85&amp;"|"&amp;$B85),IFERROR(COUNTIFS(INDIRECT("'"&amp;$A85&amp;"'!$B$2:$B$501"),$T85,INDIRECT("'"&amp;$A85&amp;"'!$A$2:$A$501"),"&gt;="&amp;$I85,INDIRECT("'"&amp;$A85&amp;"'!$A$2:$A$501"),"&lt;"&amp;($BA85+1)),0)))</f>
        <v/>
      </c>
      <c r="AM85" s="25">
        <f>IF(OR($A85="",$I85=""),"",IF($BC85="Y",SUMIFS(survey_frozen!$D$2:$D$251,survey_frozen!$P$2:$P$251,$A85&amp;"|"&amp;$B85),IFERROR(COUNTIFS(INDIRECT("'"&amp;$A85&amp;"'!$B$2:$B$501"),$T85,INDIRECT("'"&amp;$A85&amp;"'!$A$2:$A$501"),"&gt;="&amp;$I85,INDIRECT("'"&amp;$A85&amp;"'!$A$2:$A$501"),"&lt;"&amp;($BA85+1),INDIRECT("'"&amp;$A85&amp;"'!$C$2:$C$501"),"Yes"),0)))</f>
        <v/>
      </c>
      <c r="AN85" s="25">
        <f>IF($A85="","",IF(COUNTIFS(scans!$C$2:$C$1601,(IF(LEFT($A85,7)="SAMPLE-","SAMPLE-","")&amp;LOWER(SUBSTITUTE(SUBSTITUTE($A85,"SAMPLE-",""),"CMP-","c"))&amp;"-"&amp;LOWER(SUBSTITUTE(SUBSTITUTE($B85,"SAMPLE-",""),"O-","o"))&amp;"-q"),scans!$D$2:$D$1601,"close")=0,"",SUMPRODUCT(MAX((scans!$C$2:$C$1601=(IF(LEFT($A85,7)="SAMPLE-","SAMPLE-","")&amp;LOWER(SUBSTITUTE(SUBSTITUTE($A85,"SAMPLE-",""),"CMP-","c"))&amp;"-"&amp;LOWER(SUBSTITUTE(SUBSTITUTE($B85,"SAMPLE-",""),"O-","o"))&amp;"-q"))*(scans!$D$2:$D$1601="close")*scans!$E$2:$E$1601))-SUMPRODUCT(MAX((scans!$C$2:$C$1601=(IF(LEFT($A85,7)="SAMPLE-","SAMPLE-","")&amp;LOWER(SUBSTITUTE(SUBSTITUTE($A85,"SAMPLE-",""),"CMP-","c"))&amp;"-"&amp;LOWER(SUBSTITUTE(SUBSTITUTE($B85,"SAMPLE-",""),"O-","o"))&amp;"-q"))*(scans!$D$2:$D$1601="baseline")*scans!$E$2:$E$1601))))</f>
        <v/>
      </c>
      <c r="AO85" s="25">
        <f>IF($A85="","",IF(COUNTIFS(scans!$C$2:$C$1601,(IF(LEFT($A85,7)="SAMPLE-","SAMPLE-","")&amp;LOWER(SUBSTITUTE(SUBSTITUTE($A85,"SAMPLE-",""),"CMP-","c"))&amp;"-"&amp;LOWER(SUBSTITUTE(SUBSTITUTE($B85,"SAMPLE-",""),"O-","o"))&amp;"-p"),scans!$D$2:$D$1601,"close")=0,"",SUMPRODUCT(MAX((scans!$C$2:$C$1601=(IF(LEFT($A85,7)="SAMPLE-","SAMPLE-","")&amp;LOWER(SUBSTITUTE(SUBSTITUTE($A85,"SAMPLE-",""),"CMP-","c"))&amp;"-"&amp;LOWER(SUBSTITUTE(SUBSTITUTE($B85,"SAMPLE-",""),"O-","o"))&amp;"-p"))*(scans!$D$2:$D$1601="close")*scans!$E$2:$E$1601))-SUMPRODUCT(MAX((scans!$C$2:$C$1601=(IF(LEFT($A85,7)="SAMPLE-","SAMPLE-","")&amp;LOWER(SUBSTITUTE(SUBSTITUTE($A85,"SAMPLE-",""),"CMP-","c"))&amp;"-"&amp;LOWER(SUBSTITUTE(SUBSTITUTE($B85,"SAMPLE-",""),"O-","o"))&amp;"-p"))*(scans!$D$2:$D$1601="baseline")*scans!$E$2:$E$1601))))</f>
        <v/>
      </c>
      <c r="AP85" s="25">
        <f>IF($A85="","",IF(COUNTIF(offices!$A$2:$A$61,$B85)=0,"office_id not on offices; ","")&amp;IF(COUNTIF(campaigns!$A$2:$A$51,$A85)=0,"campaign_id not on campaigns; ","")&amp;IF($P85="pending","approval pending; ","")&amp;IF(AND($U85&gt;0,$Y85="",OR($I85="",IF(config!$B$37&lt;&gt;"",config!$B$37,TODAY())&lt;=WORKDAY(N($I85),4,calendar!$A$2:$A$80))),"no usable placement photo yet; ","")&amp;IF(AND($Y85&lt;&gt;"",$Z85=""),"log the placed count; ","")&amp;IF(N($AA85)&gt;N($U85),"placed more than delivered; ","")&amp;IF(AND($AF85&lt;&gt;"",N($AF85)&gt;N($AA85)+N($AD85)),"day-5 count above placed plus top-ups; ","")&amp;IF(AND($U85&gt;0,$I85&lt;&gt;"",IF(config!$B$37&lt;&gt;"",config!$B$37,TODAY())&gt;WORKDAY(N($I85),4,calendar!$A$2:$A$80),$AF85=""),"day-5 count missing; ","")&amp;IF(AND($U85&gt;0,$I85&lt;&gt;"",IF(config!$B$37&lt;&gt;"",config!$B$37,TODAY())&gt;WORKDAY(N($I85),4,calendar!$A$2:$A$80),$AN85=""),"no close link reading; ","")&amp;$R85&amp;IF($P85="N","info: office said no; ","")&amp;IF(AND($P85="Y",$Q85="N"),"info: turned away at the door, so not on the drop (no letter, not in the report or Gate 2; the credit check is on campaigns); ","")&amp;IF(AND($U85&gt;0,$Y85="",$I85&lt;&gt;"",IF(config!$B$37&lt;&gt;"",config!$B$37,TODAY())&gt;WORKDAY(N($I85),4,calendar!$A$2:$A$80)),"info: no usable placement photo, so nothing counts as placed; ","")&amp;IF(AND($U85&gt;0,$I85&lt;&gt;"",IF(config!$B$37&lt;&gt;"",config!$B$37,TODAY())&gt;WORKDAY(N($I85),4,calendar!$A$2:$A$80),N($AL85)&lt;config!$B$30),"info: under "&amp;config!$B$30&amp;" responses; ","")&amp;IF($W85="packing_list","info: delivered count not verified; ",""))</f>
        <v/>
      </c>
      <c r="AQ85" s="25">
        <f>IF(OR($A85="",$I85=""),"",IF($BC85="Y",SUMIFS(survey_frozen!$E$2:$E$251,survey_frozen!$P$2:$P$251,$A85&amp;"|"&amp;$B85),IFERROR(COUNTIFS(INDIRECT("'"&amp;$A85&amp;"'!$B$2:$B$501"),$T85,INDIRECT("'"&amp;$A85&amp;"'!$A$2:$A$501"),"&gt;="&amp;$I85,INDIRECT("'"&amp;$A85&amp;"'!$A$2:$A$501"),"&lt;"&amp;($BA85+1),INDIRECT("'"&amp;$A85&amp;"'!$F$2:$F$501"),"Didn't see it"),0)))</f>
        <v/>
      </c>
      <c r="AR85" s="25">
        <f>IF(OR($A85="",$I85=""),"",IF($BC85="Y",SUMIFS(survey_frozen!$F$2:$F$251,survey_frozen!$P$2:$P$251,$A85&amp;"|"&amp;$B85),IFERROR(COUNTIFS(INDIRECT("'"&amp;$A85&amp;"'!$B$2:$B$501"),$T85,INDIRECT("'"&amp;$A85&amp;"'!$A$2:$A$501"),"&gt;="&amp;$I85,INDIRECT("'"&amp;$A85&amp;"'!$A$2:$A$501"),"&lt;"&amp;($BA85+1),INDIRECT("'"&amp;$A85&amp;"'!$F$2:$F$501"),"Not for me"),0)))</f>
        <v/>
      </c>
      <c r="AS85" s="25">
        <f>IF(OR($A85="",$I85=""),"",IF($BC85="Y",SUMIFS(survey_frozen!$G$2:$G$251,survey_frozen!$P$2:$P$251,$A85&amp;"|"&amp;$B85),IFERROR(COUNTIFS(INDIRECT("'"&amp;$A85&amp;"'!$B$2:$B$501"),$T85,INDIRECT("'"&amp;$A85&amp;"'!$A$2:$A$501"),"&gt;="&amp;$I85,INDIRECT("'"&amp;$A85&amp;"'!$A$2:$A$501"),"&lt;"&amp;($BA85+1),INDIRECT("'"&amp;$A85&amp;"'!$F$2:$F$501"),"Gone by the time I looked"),0)))</f>
        <v/>
      </c>
      <c r="AT85" s="25">
        <f>IF(OR($A85="",$I85=""),"",IF($BC85="Y",SUMIFS(survey_frozen!$H$2:$H$251,survey_frozen!$P$2:$P$251,$A85&amp;"|"&amp;$B85),IFERROR(COUNTIFS(INDIRECT("'"&amp;$A85&amp;"'!$B$2:$B$501"),$T85,INDIRECT("'"&amp;$A85&amp;"'!$A$2:$A$501"),"&gt;="&amp;$I85,INDIRECT("'"&amp;$A85&amp;"'!$A$2:$A$501"),"&lt;"&amp;($BA85+1),INDIRECT("'"&amp;$A85&amp;"'!$D$2:$D$501"),"&gt;=1"),0)))</f>
        <v/>
      </c>
      <c r="AU85" s="25">
        <f>IF(OR($A85="",$I85=""),"",IF($BC85="Y",SUMIFS(survey_frozen!$I$2:$I$251,survey_frozen!$P$2:$P$251,$A85&amp;"|"&amp;$B85),IFERROR(SUMIFS(INDIRECT("'"&amp;$A85&amp;"'!$D$2:$D$501"),INDIRECT("'"&amp;$A85&amp;"'!$B$2:$B$501"),$T85,INDIRECT("'"&amp;$A85&amp;"'!$A$2:$A$501"),"&gt;="&amp;$I85,INDIRECT("'"&amp;$A85&amp;"'!$A$2:$A$501"),"&lt;"&amp;($BA85+1)),0)))</f>
        <v/>
      </c>
      <c r="AV85" s="25">
        <f>IF(OR($A85="",$I85=""),"",IF($BC85="Y",SUMIFS(survey_frozen!$J$2:$J$251,survey_frozen!$P$2:$P$251,$A85&amp;"|"&amp;$B85),IFERROR(COUNTIFS(INDIRECT("'"&amp;$A85&amp;"'!$B$2:$B$501"),$T85,INDIRECT("'"&amp;$A85&amp;"'!$A$2:$A$501"),"&gt;="&amp;$I85,INDIRECT("'"&amp;$A85&amp;"'!$A$2:$A$501"),"&lt;"&amp;($BA85+1),INDIRECT("'"&amp;$A85&amp;"'!$E$2:$E$501"),"Yes"),0)))</f>
        <v/>
      </c>
      <c r="AW85" s="25">
        <f>IF(OR($A85="",$I85=""),"",IF($BC85="Y",SUMIFS(survey_frozen!$K$2:$K$251,survey_frozen!$P$2:$P$251,$A85&amp;"|"&amp;$B85),IFERROR(COUNTIFS(INDIRECT("'"&amp;$A85&amp;"'!$B$2:$B$501"),$T85,INDIRECT("'"&amp;$A85&amp;"'!$A$2:$A$501"),"&gt;="&amp;$I85,INDIRECT("'"&amp;$A85&amp;"'!$A$2:$A$501"),"&lt;"&amp;($BA85+1),INDIRECT("'"&amp;$A85&amp;"'!$E$2:$E$501"),"Maybe"),0)))</f>
        <v/>
      </c>
      <c r="AX85" s="25">
        <f>IF(OR($A85="",$I85=""),"",IF($BC85="Y",SUMIFS(survey_frozen!$L$2:$L$251,survey_frozen!$P$2:$P$251,$A85&amp;"|"&amp;$B85),IFERROR(COUNTIFS(INDIRECT("'"&amp;$A85&amp;"'!$B$2:$B$501"),$T85,INDIRECT("'"&amp;$A85&amp;"'!$A$2:$A$501"),"&gt;="&amp;$I85,INDIRECT("'"&amp;$A85&amp;"'!$A$2:$A$501"),"&lt;"&amp;($BA85+1),INDIRECT("'"&amp;$A85&amp;"'!$E$2:$E$501"),"No"),0)))</f>
        <v/>
      </c>
      <c r="AY85" s="25">
        <f>IF(OR($A85="",$I85=""),"",IF($BC85="Y",SUMIFS(survey_frozen!$M$2:$M$251,survey_frozen!$P$2:$P$251,$A85&amp;"|"&amp;$B85),IFERROR(COUNTIFS(INDIRECT("'"&amp;$A85&amp;"'!$B$2:$B$501"),$T85,INDIRECT("'"&amp;$A85&amp;"'!$A$2:$A$501"),"&gt;="&amp;$I85,INDIRECT("'"&amp;$A85&amp;"'!$A$2:$A$501"),"&lt;"&amp;($BA85+1),INDIRECT("'"&amp;$A85&amp;"'!$G$2:$G$501"),"&lt;&gt;"),0)))</f>
        <v/>
      </c>
      <c r="AZ85" s="25">
        <f>IF($A85="","",$A85&amp;"|"&amp;$L85)</f>
        <v/>
      </c>
      <c r="BA85" s="26">
        <f>IF($A85="","",IFERROR(IF(INDEX(drops!$R$2:$R$21,MATCH($H85,drops!$A$2:$A$21,0))="","",INDEX(drops!$R$2:$R$21,MATCH($H85,drops!$A$2:$A$21,0))),""))</f>
        <v/>
      </c>
      <c r="BB85" s="25">
        <f>IF(OR($A85="",$Q85&lt;&gt;"Y"),1000000,N($AL85))</f>
        <v/>
      </c>
      <c r="BC85" s="25">
        <f>IF($A85="","",IF(COUNTIF(survey_frozen!$P$2:$P$251,$A85&amp;"|"&amp;$B85)&gt;0,"Y",""))</f>
        <v/>
      </c>
    </row>
    <row r="86">
      <c r="C86" s="9" t="n"/>
      <c r="E86" s="9" t="n"/>
      <c r="H86" s="25">
        <f>IF($A86="","",IFERROR(IF(INDEX(campaigns!$B$2:$B$51,MATCH($A86,campaigns!$A$2:$A$51,0))="","",INDEX(campaigns!$B$2:$B$51,MATCH($A86,campaigns!$A$2:$A$51,0))),""))</f>
        <v/>
      </c>
      <c r="I86" s="26">
        <f>IF($A86="","",IFERROR(IF(INDEX(campaigns!$BG$2:$BG$51,MATCH($A86,campaigns!$A$2:$A$51,0))="","",INDEX(campaigns!$BG$2:$BG$51,MATCH($A86,campaigns!$A$2:$A$51,0))),""))</f>
        <v/>
      </c>
      <c r="J86" s="25">
        <f>IF($A86="","",IFERROR(IF(INDEX(campaigns!$BE$2:$BE$51,MATCH($A86,campaigns!$A$2:$A$51,0))="","",INDEX(campaigns!$BE$2:$BE$51,MATCH($A86,campaigns!$A$2:$A$51,0))),""))</f>
        <v/>
      </c>
      <c r="K86" s="25">
        <f>IF($B86="","",IFERROR(IF(INDEX(offices!$N$2:$N$61,MATCH($B86,offices!$A$2:$A$61,0))="","",INDEX(offices!$N$2:$N$61,MATCH($B86,offices!$A$2:$A$61,0))),""))</f>
        <v/>
      </c>
      <c r="L86" s="25">
        <f>IF($A86="","",IF($Q86="N","",COUNTIFS($A$2:$A86,$A86,$Q$2:$Q86,"&lt;&gt;N")))</f>
        <v/>
      </c>
      <c r="M86" s="25">
        <f>IF(OR($A86="",$L86=""),"",IF(AND(config!$B$34="names_if_public",IFERROR(IF(INDEX(offices!$AF$2:$AF$61,MATCH($B86,offices!$A$2:$A$61,0))="","",INDEX(offices!$AF$2:$AF$61,MATCH($B86,offices!$A$2:$A$61,0))),"")="Y"),$K86,CHAR(64+$L86)))</f>
        <v/>
      </c>
      <c r="N86" s="25">
        <f>IF(OR($A86="",$I86=""),"",COUNTIFS(stops!$B$2:$B$151,$B86,stops!$P$2:$P$151,"&lt;"&amp;$I86,stops!$L$2:$L$151,"&lt;&gt;not_delivered")+1)</f>
        <v/>
      </c>
      <c r="O86" s="25">
        <f>IF($A86="","",IF(N($N86)&lt;=config!$B$29,"explicit","opt-out"))</f>
        <v/>
      </c>
      <c r="P86" s="25">
        <f>IF($A86="","",IF($O86="explicit",IF($D86="yes","Y",IF($D86="no","N","pending")),IF($D86="no","N",IF(AND($C86&lt;&gt;"",$I86&lt;&gt;"",$C86&lt;=WORKDAY(N($I86),-5,calendar!$A$2:$A$80)),"Y","pending"))))</f>
        <v/>
      </c>
      <c r="Q86" s="25">
        <f>IF($A86="","",IF($P86="N","N",IF($P86&lt;&gt;"Y","pending",IF(AND((COUNTIFS(stops!$A$2:$A$151,$H86,stops!$B$2:$B$151,$B86,stops!$L$2:$L$151,"declined")+COUNTIFS(stops!$A$2:$A$151,$H86,stops!$B$2:$B$151,$B86,stops!$L$2:$L$151,"building_refused")+COUNTIFS(stops!$A$2:$A$151,$H86,stops!$B$2:$B$151,$B86,stops!$L$2:$L$151,"not_delivered"))&gt;0,N($U86)=0),"N","Y"))))</f>
        <v/>
      </c>
      <c r="R86" s="25">
        <f>IF($A86="","",IF(COUNTIFS($A$2:$A$251,$A86,$B$2:$B$251,$B86)&gt;1,"DUPLICATE ROW; ","")&amp;IF(AND(IFERROR(IF(INDEX(offices!$AC$2:$AC$61,MATCH($B86,offices!$A$2:$A$61,0))="","",INDEX(offices!$AC$2:$AC$61,MATCH($B86,offices!$A$2:$A$61,0))),"")&lt;&gt;"",ISNUMBER(SEARCH($J86,IFERROR(IF(INDEX(offices!$AC$2:$AC$61,MATCH($B86,offices!$A$2:$A$61,0))="","",INDEX(offices!$AC$2:$AC$61,MATCH($B86,offices!$A$2:$A$61,0))),"")))),"BRAND VETOED; ","")&amp;IF(ISNUMBER(SEARCH(IFERROR(IF(INDEX(campaigns!$BF$2:$BF$51,MATCH($A86,campaigns!$A$2:$A$51,0))="","",INDEX(campaigns!$BF$2:$BF$51,MATCH($A86,campaigns!$A$2:$A$51,0))),""),IFERROR(IF(INDEX(offices!$AB$2:$AB$61,MATCH($B86,offices!$A$2:$A$61,0))="","",INDEX(offices!$AB$2:$AB$61,MATCH($B86,offices!$A$2:$A$61,0))),""))),"","info: category not on the office's list; ")&amp;IF(IFERROR(IF(INDEX(offices!$AC$2:$AC$61,MATCH($B86,offices!$A$2:$A$61,0))="","",INDEX(offices!$AC$2:$AC$61,MATCH($B86,offices!$A$2:$A$61,0))),"")&lt;&gt;"","info: read the vetoes against the label; ",""))</f>
        <v/>
      </c>
      <c r="S86" s="25">
        <f>IF($A86="","",IF($G86&lt;&gt;"",$G86,IFERROR(IF(INDEX(offices!$AL$2:$AL$61,MATCH($B86,offices!$A$2:$A$61,0))="","",INDEX(offices!$AL$2:$AL$61,MATCH($B86,offices!$A$2:$A$61,0))),"")))</f>
        <v/>
      </c>
      <c r="T86" s="25">
        <f>IF($A86="","",$A86&amp;"."&amp;$B86)</f>
        <v/>
      </c>
      <c r="U86" s="25">
        <f>IF($A86="","",SUMIFS(inventory!$G$2:$G$801,inventory!$C$2:$C$801,$A86,inventory!$D$2:$D$801,$B86,inventory!$E$2:$E$801,"delivered"))</f>
        <v/>
      </c>
      <c r="V86" s="32">
        <f>IF($A86="","",IFERROR(1/(1/SUMPRODUCT(MAX((inventory!$C$2:$C$801=$A86)*(inventory!$D$2:$D$801=$B86)*(inventory!$E$2:$E$801="delivered")*(inventory!$A$2:$A$801+inventory!$B$2:$B$801)))),""))</f>
        <v/>
      </c>
      <c r="W86" s="25">
        <f>IF($A86="","",IFERROR(IF(INDEX(inventory!$J$2:$J$801,MATCH($A86&amp;"|"&amp;$B86&amp;"|delivered",inventory!$R$2:$R$801,0))="","",INDEX(inventory!$J$2:$J$801,MATCH($A86&amp;"|"&amp;$B86&amp;"|delivered",inventory!$R$2:$R$801,0))),""))</f>
        <v/>
      </c>
      <c r="X86" s="25">
        <f>IF($A86="","",IFERROR(IF(INDEX(photos!$H$2:$H$701,MATCH($A86&amp;"|"&amp;$B86&amp;"|placement|Y",photos!$R$2:$R$701,0))="","",INDEX(photos!$H$2:$H$701,MATCH($A86&amp;"|"&amp;$B86&amp;"|placement|Y",photos!$R$2:$R$701,0))),""))</f>
        <v/>
      </c>
      <c r="Y86" s="26">
        <f>IF($A86="","",IFERROR(IF(INDEX(photos!$E$2:$E$701,MATCH($A86&amp;"|"&amp;$B86&amp;"|placement|Y",photos!$R$2:$R$701,0))="","",INDEX(photos!$E$2:$E$701,MATCH($A86&amp;"|"&amp;$B86&amp;"|placement|Y",photos!$R$2:$R$701,0))),""))</f>
        <v/>
      </c>
      <c r="Z86" s="25">
        <f>IF($A86="","",IF(COUNTIFS(counts!$C$2:$C$701,$A86,counts!$D$2:$D$701,$B86,counts!$E$2:$E$701,"placed")=0,"",SUMIFS(counts!$F$2:$F$701,counts!$C$2:$C$701,$A86,counts!$D$2:$D$701,$B86,counts!$E$2:$E$701,"placed")))</f>
        <v/>
      </c>
      <c r="AA86" s="25">
        <f>IF($A86="","",IF($Y86="",0,N($Z86)))</f>
        <v/>
      </c>
      <c r="AB86" s="25">
        <f>IF($A86="","",IF(OR($Y86="",$I86=""),"N",IF($Y86&lt;=WORKDAY(N($I86),1,calendar!$A$2:$A$80),"Y","N")))</f>
        <v/>
      </c>
      <c r="AC86" s="28">
        <f>IF(OR($A86="",$V86="",$Y86=""),"",ROUND(($Y86+N(IFERROR(IF(INDEX(photos!$F$2:$F$701,MATCH($A86&amp;"|"&amp;$B86&amp;"|placement|Y",photos!$R$2:$R$701,0))="","",INDEX(photos!$F$2:$F$701,MATCH($A86&amp;"|"&amp;$B86&amp;"|placement|Y",photos!$R$2:$R$701,0))),""))-$V86)*24,1))</f>
        <v/>
      </c>
      <c r="AD86" s="25">
        <f>IF($A86="","",SUMIFS(inventory!$G$2:$G$801,inventory!$C$2:$C$801,$A86,inventory!$D$2:$D$801,$B86,inventory!$E$2:$E$801,"topped_up"))</f>
        <v/>
      </c>
      <c r="AE86" s="25">
        <f>IF($A86="","",IF(COUNTIFS(counts!$C$2:$C$701,$A86,counts!$D$2:$D$701,$B86,counts!$E$2:$E$701,"remaining_day3")=0,"",SUMIFS(counts!$F$2:$F$701,counts!$C$2:$C$701,$A86,counts!$D$2:$D$701,$B86,counts!$E$2:$E$701,"remaining_day3")))</f>
        <v/>
      </c>
      <c r="AF86" s="25">
        <f>IF($A86="","",IF(COUNTIFS(counts!$C$2:$C$701,$A86,counts!$D$2:$D$701,$B86,counts!$E$2:$E$701,"remaining_day5")=0,"",SUMIFS(counts!$F$2:$F$701,counts!$C$2:$C$701,$A86,counts!$D$2:$D$701,$B86,counts!$E$2:$E$701,"remaining_day5")))</f>
        <v/>
      </c>
      <c r="AG86" s="25">
        <f>IF(OR($A86="",$AF86=""),"",MAX(0,$AA86+$AD86-$AF86))</f>
        <v/>
      </c>
      <c r="AH86" s="25">
        <f>IF(OR($A86="",$AI86=""),"",IFERROR(IF(INDEX(photos!$H$2:$H$701,MATCH($A86&amp;"|"&amp;$B86&amp;"|later|Y|"&amp;$AI86,photos!$S$2:$S$701,0))="","",INDEX(photos!$H$2:$H$701,MATCH($A86&amp;"|"&amp;$B86&amp;"|later|Y|"&amp;$AI86,photos!$S$2:$S$701,0))),""))</f>
        <v/>
      </c>
      <c r="AI86" s="26">
        <f>IF($A86="","",IFERROR(1/(1/SUMPRODUCT(MAX((photos!$B$2:$B$701=$A86)*(photos!$C$2:$C$701=$B86)*(photos!$D$2:$D$701="later")*(photos!$O$2:$O$701="Y")*photos!$E$2:$E$701))),""))</f>
        <v/>
      </c>
      <c r="AJ86" s="25">
        <f>IF(OR($A86="",$AI86="",$I86=""),"",NETWORKDAYS($I86,$AI86,calendar!$A$2:$A$80))</f>
        <v/>
      </c>
      <c r="AK86" s="25">
        <f>IF($A86="","",IF(AND($X86&lt;&gt;"",$AH86&lt;&gt;""),"Y","N"))</f>
        <v/>
      </c>
      <c r="AL86" s="25">
        <f>IF(OR($A86="",$I86=""),"",IF($BC86="Y",SUMIFS(survey_frozen!$C$2:$C$251,survey_frozen!$P$2:$P$251,$A86&amp;"|"&amp;$B86),IFERROR(COUNTIFS(INDIRECT("'"&amp;$A86&amp;"'!$B$2:$B$501"),$T86,INDIRECT("'"&amp;$A86&amp;"'!$A$2:$A$501"),"&gt;="&amp;$I86,INDIRECT("'"&amp;$A86&amp;"'!$A$2:$A$501"),"&lt;"&amp;($BA86+1)),0)))</f>
        <v/>
      </c>
      <c r="AM86" s="25">
        <f>IF(OR($A86="",$I86=""),"",IF($BC86="Y",SUMIFS(survey_frozen!$D$2:$D$251,survey_frozen!$P$2:$P$251,$A86&amp;"|"&amp;$B86),IFERROR(COUNTIFS(INDIRECT("'"&amp;$A86&amp;"'!$B$2:$B$501"),$T86,INDIRECT("'"&amp;$A86&amp;"'!$A$2:$A$501"),"&gt;="&amp;$I86,INDIRECT("'"&amp;$A86&amp;"'!$A$2:$A$501"),"&lt;"&amp;($BA86+1),INDIRECT("'"&amp;$A86&amp;"'!$C$2:$C$501"),"Yes"),0)))</f>
        <v/>
      </c>
      <c r="AN86" s="25">
        <f>IF($A86="","",IF(COUNTIFS(scans!$C$2:$C$1601,(IF(LEFT($A86,7)="SAMPLE-","SAMPLE-","")&amp;LOWER(SUBSTITUTE(SUBSTITUTE($A86,"SAMPLE-",""),"CMP-","c"))&amp;"-"&amp;LOWER(SUBSTITUTE(SUBSTITUTE($B86,"SAMPLE-",""),"O-","o"))&amp;"-q"),scans!$D$2:$D$1601,"close")=0,"",SUMPRODUCT(MAX((scans!$C$2:$C$1601=(IF(LEFT($A86,7)="SAMPLE-","SAMPLE-","")&amp;LOWER(SUBSTITUTE(SUBSTITUTE($A86,"SAMPLE-",""),"CMP-","c"))&amp;"-"&amp;LOWER(SUBSTITUTE(SUBSTITUTE($B86,"SAMPLE-",""),"O-","o"))&amp;"-q"))*(scans!$D$2:$D$1601="close")*scans!$E$2:$E$1601))-SUMPRODUCT(MAX((scans!$C$2:$C$1601=(IF(LEFT($A86,7)="SAMPLE-","SAMPLE-","")&amp;LOWER(SUBSTITUTE(SUBSTITUTE($A86,"SAMPLE-",""),"CMP-","c"))&amp;"-"&amp;LOWER(SUBSTITUTE(SUBSTITUTE($B86,"SAMPLE-",""),"O-","o"))&amp;"-q"))*(scans!$D$2:$D$1601="baseline")*scans!$E$2:$E$1601))))</f>
        <v/>
      </c>
      <c r="AO86" s="25">
        <f>IF($A86="","",IF(COUNTIFS(scans!$C$2:$C$1601,(IF(LEFT($A86,7)="SAMPLE-","SAMPLE-","")&amp;LOWER(SUBSTITUTE(SUBSTITUTE($A86,"SAMPLE-",""),"CMP-","c"))&amp;"-"&amp;LOWER(SUBSTITUTE(SUBSTITUTE($B86,"SAMPLE-",""),"O-","o"))&amp;"-p"),scans!$D$2:$D$1601,"close")=0,"",SUMPRODUCT(MAX((scans!$C$2:$C$1601=(IF(LEFT($A86,7)="SAMPLE-","SAMPLE-","")&amp;LOWER(SUBSTITUTE(SUBSTITUTE($A86,"SAMPLE-",""),"CMP-","c"))&amp;"-"&amp;LOWER(SUBSTITUTE(SUBSTITUTE($B86,"SAMPLE-",""),"O-","o"))&amp;"-p"))*(scans!$D$2:$D$1601="close")*scans!$E$2:$E$1601))-SUMPRODUCT(MAX((scans!$C$2:$C$1601=(IF(LEFT($A86,7)="SAMPLE-","SAMPLE-","")&amp;LOWER(SUBSTITUTE(SUBSTITUTE($A86,"SAMPLE-",""),"CMP-","c"))&amp;"-"&amp;LOWER(SUBSTITUTE(SUBSTITUTE($B86,"SAMPLE-",""),"O-","o"))&amp;"-p"))*(scans!$D$2:$D$1601="baseline")*scans!$E$2:$E$1601))))</f>
        <v/>
      </c>
      <c r="AP86" s="25">
        <f>IF($A86="","",IF(COUNTIF(offices!$A$2:$A$61,$B86)=0,"office_id not on offices; ","")&amp;IF(COUNTIF(campaigns!$A$2:$A$51,$A86)=0,"campaign_id not on campaigns; ","")&amp;IF($P86="pending","approval pending; ","")&amp;IF(AND($U86&gt;0,$Y86="",OR($I86="",IF(config!$B$37&lt;&gt;"",config!$B$37,TODAY())&lt;=WORKDAY(N($I86),4,calendar!$A$2:$A$80))),"no usable placement photo yet; ","")&amp;IF(AND($Y86&lt;&gt;"",$Z86=""),"log the placed count; ","")&amp;IF(N($AA86)&gt;N($U86),"placed more than delivered; ","")&amp;IF(AND($AF86&lt;&gt;"",N($AF86)&gt;N($AA86)+N($AD86)),"day-5 count above placed plus top-ups; ","")&amp;IF(AND($U86&gt;0,$I86&lt;&gt;"",IF(config!$B$37&lt;&gt;"",config!$B$37,TODAY())&gt;WORKDAY(N($I86),4,calendar!$A$2:$A$80),$AF86=""),"day-5 count missing; ","")&amp;IF(AND($U86&gt;0,$I86&lt;&gt;"",IF(config!$B$37&lt;&gt;"",config!$B$37,TODAY())&gt;WORKDAY(N($I86),4,calendar!$A$2:$A$80),$AN86=""),"no close link reading; ","")&amp;$R86&amp;IF($P86="N","info: office said no; ","")&amp;IF(AND($P86="Y",$Q86="N"),"info: turned away at the door, so not on the drop (no letter, not in the report or Gate 2; the credit check is on campaigns); ","")&amp;IF(AND($U86&gt;0,$Y86="",$I86&lt;&gt;"",IF(config!$B$37&lt;&gt;"",config!$B$37,TODAY())&gt;WORKDAY(N($I86),4,calendar!$A$2:$A$80)),"info: no usable placement photo, so nothing counts as placed; ","")&amp;IF(AND($U86&gt;0,$I86&lt;&gt;"",IF(config!$B$37&lt;&gt;"",config!$B$37,TODAY())&gt;WORKDAY(N($I86),4,calendar!$A$2:$A$80),N($AL86)&lt;config!$B$30),"info: under "&amp;config!$B$30&amp;" responses; ","")&amp;IF($W86="packing_list","info: delivered count not verified; ",""))</f>
        <v/>
      </c>
      <c r="AQ86" s="25">
        <f>IF(OR($A86="",$I86=""),"",IF($BC86="Y",SUMIFS(survey_frozen!$E$2:$E$251,survey_frozen!$P$2:$P$251,$A86&amp;"|"&amp;$B86),IFERROR(COUNTIFS(INDIRECT("'"&amp;$A86&amp;"'!$B$2:$B$501"),$T86,INDIRECT("'"&amp;$A86&amp;"'!$A$2:$A$501"),"&gt;="&amp;$I86,INDIRECT("'"&amp;$A86&amp;"'!$A$2:$A$501"),"&lt;"&amp;($BA86+1),INDIRECT("'"&amp;$A86&amp;"'!$F$2:$F$501"),"Didn't see it"),0)))</f>
        <v/>
      </c>
      <c r="AR86" s="25">
        <f>IF(OR($A86="",$I86=""),"",IF($BC86="Y",SUMIFS(survey_frozen!$F$2:$F$251,survey_frozen!$P$2:$P$251,$A86&amp;"|"&amp;$B86),IFERROR(COUNTIFS(INDIRECT("'"&amp;$A86&amp;"'!$B$2:$B$501"),$T86,INDIRECT("'"&amp;$A86&amp;"'!$A$2:$A$501"),"&gt;="&amp;$I86,INDIRECT("'"&amp;$A86&amp;"'!$A$2:$A$501"),"&lt;"&amp;($BA86+1),INDIRECT("'"&amp;$A86&amp;"'!$F$2:$F$501"),"Not for me"),0)))</f>
        <v/>
      </c>
      <c r="AS86" s="25">
        <f>IF(OR($A86="",$I86=""),"",IF($BC86="Y",SUMIFS(survey_frozen!$G$2:$G$251,survey_frozen!$P$2:$P$251,$A86&amp;"|"&amp;$B86),IFERROR(COUNTIFS(INDIRECT("'"&amp;$A86&amp;"'!$B$2:$B$501"),$T86,INDIRECT("'"&amp;$A86&amp;"'!$A$2:$A$501"),"&gt;="&amp;$I86,INDIRECT("'"&amp;$A86&amp;"'!$A$2:$A$501"),"&lt;"&amp;($BA86+1),INDIRECT("'"&amp;$A86&amp;"'!$F$2:$F$501"),"Gone by the time I looked"),0)))</f>
        <v/>
      </c>
      <c r="AT86" s="25">
        <f>IF(OR($A86="",$I86=""),"",IF($BC86="Y",SUMIFS(survey_frozen!$H$2:$H$251,survey_frozen!$P$2:$P$251,$A86&amp;"|"&amp;$B86),IFERROR(COUNTIFS(INDIRECT("'"&amp;$A86&amp;"'!$B$2:$B$501"),$T86,INDIRECT("'"&amp;$A86&amp;"'!$A$2:$A$501"),"&gt;="&amp;$I86,INDIRECT("'"&amp;$A86&amp;"'!$A$2:$A$501"),"&lt;"&amp;($BA86+1),INDIRECT("'"&amp;$A86&amp;"'!$D$2:$D$501"),"&gt;=1"),0)))</f>
        <v/>
      </c>
      <c r="AU86" s="25">
        <f>IF(OR($A86="",$I86=""),"",IF($BC86="Y",SUMIFS(survey_frozen!$I$2:$I$251,survey_frozen!$P$2:$P$251,$A86&amp;"|"&amp;$B86),IFERROR(SUMIFS(INDIRECT("'"&amp;$A86&amp;"'!$D$2:$D$501"),INDIRECT("'"&amp;$A86&amp;"'!$B$2:$B$501"),$T86,INDIRECT("'"&amp;$A86&amp;"'!$A$2:$A$501"),"&gt;="&amp;$I86,INDIRECT("'"&amp;$A86&amp;"'!$A$2:$A$501"),"&lt;"&amp;($BA86+1)),0)))</f>
        <v/>
      </c>
      <c r="AV86" s="25">
        <f>IF(OR($A86="",$I86=""),"",IF($BC86="Y",SUMIFS(survey_frozen!$J$2:$J$251,survey_frozen!$P$2:$P$251,$A86&amp;"|"&amp;$B86),IFERROR(COUNTIFS(INDIRECT("'"&amp;$A86&amp;"'!$B$2:$B$501"),$T86,INDIRECT("'"&amp;$A86&amp;"'!$A$2:$A$501"),"&gt;="&amp;$I86,INDIRECT("'"&amp;$A86&amp;"'!$A$2:$A$501"),"&lt;"&amp;($BA86+1),INDIRECT("'"&amp;$A86&amp;"'!$E$2:$E$501"),"Yes"),0)))</f>
        <v/>
      </c>
      <c r="AW86" s="25">
        <f>IF(OR($A86="",$I86=""),"",IF($BC86="Y",SUMIFS(survey_frozen!$K$2:$K$251,survey_frozen!$P$2:$P$251,$A86&amp;"|"&amp;$B86),IFERROR(COUNTIFS(INDIRECT("'"&amp;$A86&amp;"'!$B$2:$B$501"),$T86,INDIRECT("'"&amp;$A86&amp;"'!$A$2:$A$501"),"&gt;="&amp;$I86,INDIRECT("'"&amp;$A86&amp;"'!$A$2:$A$501"),"&lt;"&amp;($BA86+1),INDIRECT("'"&amp;$A86&amp;"'!$E$2:$E$501"),"Maybe"),0)))</f>
        <v/>
      </c>
      <c r="AX86" s="25">
        <f>IF(OR($A86="",$I86=""),"",IF($BC86="Y",SUMIFS(survey_frozen!$L$2:$L$251,survey_frozen!$P$2:$P$251,$A86&amp;"|"&amp;$B86),IFERROR(COUNTIFS(INDIRECT("'"&amp;$A86&amp;"'!$B$2:$B$501"),$T86,INDIRECT("'"&amp;$A86&amp;"'!$A$2:$A$501"),"&gt;="&amp;$I86,INDIRECT("'"&amp;$A86&amp;"'!$A$2:$A$501"),"&lt;"&amp;($BA86+1),INDIRECT("'"&amp;$A86&amp;"'!$E$2:$E$501"),"No"),0)))</f>
        <v/>
      </c>
      <c r="AY86" s="25">
        <f>IF(OR($A86="",$I86=""),"",IF($BC86="Y",SUMIFS(survey_frozen!$M$2:$M$251,survey_frozen!$P$2:$P$251,$A86&amp;"|"&amp;$B86),IFERROR(COUNTIFS(INDIRECT("'"&amp;$A86&amp;"'!$B$2:$B$501"),$T86,INDIRECT("'"&amp;$A86&amp;"'!$A$2:$A$501"),"&gt;="&amp;$I86,INDIRECT("'"&amp;$A86&amp;"'!$A$2:$A$501"),"&lt;"&amp;($BA86+1),INDIRECT("'"&amp;$A86&amp;"'!$G$2:$G$501"),"&lt;&gt;"),0)))</f>
        <v/>
      </c>
      <c r="AZ86" s="25">
        <f>IF($A86="","",$A86&amp;"|"&amp;$L86)</f>
        <v/>
      </c>
      <c r="BA86" s="26">
        <f>IF($A86="","",IFERROR(IF(INDEX(drops!$R$2:$R$21,MATCH($H86,drops!$A$2:$A$21,0))="","",INDEX(drops!$R$2:$R$21,MATCH($H86,drops!$A$2:$A$21,0))),""))</f>
        <v/>
      </c>
      <c r="BB86" s="25">
        <f>IF(OR($A86="",$Q86&lt;&gt;"Y"),1000000,N($AL86))</f>
        <v/>
      </c>
      <c r="BC86" s="25">
        <f>IF($A86="","",IF(COUNTIF(survey_frozen!$P$2:$P$251,$A86&amp;"|"&amp;$B86)&gt;0,"Y",""))</f>
        <v/>
      </c>
    </row>
    <row r="87">
      <c r="C87" s="9" t="n"/>
      <c r="E87" s="9" t="n"/>
      <c r="H87" s="25">
        <f>IF($A87="","",IFERROR(IF(INDEX(campaigns!$B$2:$B$51,MATCH($A87,campaigns!$A$2:$A$51,0))="","",INDEX(campaigns!$B$2:$B$51,MATCH($A87,campaigns!$A$2:$A$51,0))),""))</f>
        <v/>
      </c>
      <c r="I87" s="26">
        <f>IF($A87="","",IFERROR(IF(INDEX(campaigns!$BG$2:$BG$51,MATCH($A87,campaigns!$A$2:$A$51,0))="","",INDEX(campaigns!$BG$2:$BG$51,MATCH($A87,campaigns!$A$2:$A$51,0))),""))</f>
        <v/>
      </c>
      <c r="J87" s="25">
        <f>IF($A87="","",IFERROR(IF(INDEX(campaigns!$BE$2:$BE$51,MATCH($A87,campaigns!$A$2:$A$51,0))="","",INDEX(campaigns!$BE$2:$BE$51,MATCH($A87,campaigns!$A$2:$A$51,0))),""))</f>
        <v/>
      </c>
      <c r="K87" s="25">
        <f>IF($B87="","",IFERROR(IF(INDEX(offices!$N$2:$N$61,MATCH($B87,offices!$A$2:$A$61,0))="","",INDEX(offices!$N$2:$N$61,MATCH($B87,offices!$A$2:$A$61,0))),""))</f>
        <v/>
      </c>
      <c r="L87" s="25">
        <f>IF($A87="","",IF($Q87="N","",COUNTIFS($A$2:$A87,$A87,$Q$2:$Q87,"&lt;&gt;N")))</f>
        <v/>
      </c>
      <c r="M87" s="25">
        <f>IF(OR($A87="",$L87=""),"",IF(AND(config!$B$34="names_if_public",IFERROR(IF(INDEX(offices!$AF$2:$AF$61,MATCH($B87,offices!$A$2:$A$61,0))="","",INDEX(offices!$AF$2:$AF$61,MATCH($B87,offices!$A$2:$A$61,0))),"")="Y"),$K87,CHAR(64+$L87)))</f>
        <v/>
      </c>
      <c r="N87" s="25">
        <f>IF(OR($A87="",$I87=""),"",COUNTIFS(stops!$B$2:$B$151,$B87,stops!$P$2:$P$151,"&lt;"&amp;$I87,stops!$L$2:$L$151,"&lt;&gt;not_delivered")+1)</f>
        <v/>
      </c>
      <c r="O87" s="25">
        <f>IF($A87="","",IF(N($N87)&lt;=config!$B$29,"explicit","opt-out"))</f>
        <v/>
      </c>
      <c r="P87" s="25">
        <f>IF($A87="","",IF($O87="explicit",IF($D87="yes","Y",IF($D87="no","N","pending")),IF($D87="no","N",IF(AND($C87&lt;&gt;"",$I87&lt;&gt;"",$C87&lt;=WORKDAY(N($I87),-5,calendar!$A$2:$A$80)),"Y","pending"))))</f>
        <v/>
      </c>
      <c r="Q87" s="25">
        <f>IF($A87="","",IF($P87="N","N",IF($P87&lt;&gt;"Y","pending",IF(AND((COUNTIFS(stops!$A$2:$A$151,$H87,stops!$B$2:$B$151,$B87,stops!$L$2:$L$151,"declined")+COUNTIFS(stops!$A$2:$A$151,$H87,stops!$B$2:$B$151,$B87,stops!$L$2:$L$151,"building_refused")+COUNTIFS(stops!$A$2:$A$151,$H87,stops!$B$2:$B$151,$B87,stops!$L$2:$L$151,"not_delivered"))&gt;0,N($U87)=0),"N","Y"))))</f>
        <v/>
      </c>
      <c r="R87" s="25">
        <f>IF($A87="","",IF(COUNTIFS($A$2:$A$251,$A87,$B$2:$B$251,$B87)&gt;1,"DUPLICATE ROW; ","")&amp;IF(AND(IFERROR(IF(INDEX(offices!$AC$2:$AC$61,MATCH($B87,offices!$A$2:$A$61,0))="","",INDEX(offices!$AC$2:$AC$61,MATCH($B87,offices!$A$2:$A$61,0))),"")&lt;&gt;"",ISNUMBER(SEARCH($J87,IFERROR(IF(INDEX(offices!$AC$2:$AC$61,MATCH($B87,offices!$A$2:$A$61,0))="","",INDEX(offices!$AC$2:$AC$61,MATCH($B87,offices!$A$2:$A$61,0))),"")))),"BRAND VETOED; ","")&amp;IF(ISNUMBER(SEARCH(IFERROR(IF(INDEX(campaigns!$BF$2:$BF$51,MATCH($A87,campaigns!$A$2:$A$51,0))="","",INDEX(campaigns!$BF$2:$BF$51,MATCH($A87,campaigns!$A$2:$A$51,0))),""),IFERROR(IF(INDEX(offices!$AB$2:$AB$61,MATCH($B87,offices!$A$2:$A$61,0))="","",INDEX(offices!$AB$2:$AB$61,MATCH($B87,offices!$A$2:$A$61,0))),""))),"","info: category not on the office's list; ")&amp;IF(IFERROR(IF(INDEX(offices!$AC$2:$AC$61,MATCH($B87,offices!$A$2:$A$61,0))="","",INDEX(offices!$AC$2:$AC$61,MATCH($B87,offices!$A$2:$A$61,0))),"")&lt;&gt;"","info: read the vetoes against the label; ",""))</f>
        <v/>
      </c>
      <c r="S87" s="25">
        <f>IF($A87="","",IF($G87&lt;&gt;"",$G87,IFERROR(IF(INDEX(offices!$AL$2:$AL$61,MATCH($B87,offices!$A$2:$A$61,0))="","",INDEX(offices!$AL$2:$AL$61,MATCH($B87,offices!$A$2:$A$61,0))),"")))</f>
        <v/>
      </c>
      <c r="T87" s="25">
        <f>IF($A87="","",$A87&amp;"."&amp;$B87)</f>
        <v/>
      </c>
      <c r="U87" s="25">
        <f>IF($A87="","",SUMIFS(inventory!$G$2:$G$801,inventory!$C$2:$C$801,$A87,inventory!$D$2:$D$801,$B87,inventory!$E$2:$E$801,"delivered"))</f>
        <v/>
      </c>
      <c r="V87" s="32">
        <f>IF($A87="","",IFERROR(1/(1/SUMPRODUCT(MAX((inventory!$C$2:$C$801=$A87)*(inventory!$D$2:$D$801=$B87)*(inventory!$E$2:$E$801="delivered")*(inventory!$A$2:$A$801+inventory!$B$2:$B$801)))),""))</f>
        <v/>
      </c>
      <c r="W87" s="25">
        <f>IF($A87="","",IFERROR(IF(INDEX(inventory!$J$2:$J$801,MATCH($A87&amp;"|"&amp;$B87&amp;"|delivered",inventory!$R$2:$R$801,0))="","",INDEX(inventory!$J$2:$J$801,MATCH($A87&amp;"|"&amp;$B87&amp;"|delivered",inventory!$R$2:$R$801,0))),""))</f>
        <v/>
      </c>
      <c r="X87" s="25">
        <f>IF($A87="","",IFERROR(IF(INDEX(photos!$H$2:$H$701,MATCH($A87&amp;"|"&amp;$B87&amp;"|placement|Y",photos!$R$2:$R$701,0))="","",INDEX(photos!$H$2:$H$701,MATCH($A87&amp;"|"&amp;$B87&amp;"|placement|Y",photos!$R$2:$R$701,0))),""))</f>
        <v/>
      </c>
      <c r="Y87" s="26">
        <f>IF($A87="","",IFERROR(IF(INDEX(photos!$E$2:$E$701,MATCH($A87&amp;"|"&amp;$B87&amp;"|placement|Y",photos!$R$2:$R$701,0))="","",INDEX(photos!$E$2:$E$701,MATCH($A87&amp;"|"&amp;$B87&amp;"|placement|Y",photos!$R$2:$R$701,0))),""))</f>
        <v/>
      </c>
      <c r="Z87" s="25">
        <f>IF($A87="","",IF(COUNTIFS(counts!$C$2:$C$701,$A87,counts!$D$2:$D$701,$B87,counts!$E$2:$E$701,"placed")=0,"",SUMIFS(counts!$F$2:$F$701,counts!$C$2:$C$701,$A87,counts!$D$2:$D$701,$B87,counts!$E$2:$E$701,"placed")))</f>
        <v/>
      </c>
      <c r="AA87" s="25">
        <f>IF($A87="","",IF($Y87="",0,N($Z87)))</f>
        <v/>
      </c>
      <c r="AB87" s="25">
        <f>IF($A87="","",IF(OR($Y87="",$I87=""),"N",IF($Y87&lt;=WORKDAY(N($I87),1,calendar!$A$2:$A$80),"Y","N")))</f>
        <v/>
      </c>
      <c r="AC87" s="28">
        <f>IF(OR($A87="",$V87="",$Y87=""),"",ROUND(($Y87+N(IFERROR(IF(INDEX(photos!$F$2:$F$701,MATCH($A87&amp;"|"&amp;$B87&amp;"|placement|Y",photos!$R$2:$R$701,0))="","",INDEX(photos!$F$2:$F$701,MATCH($A87&amp;"|"&amp;$B87&amp;"|placement|Y",photos!$R$2:$R$701,0))),""))-$V87)*24,1))</f>
        <v/>
      </c>
      <c r="AD87" s="25">
        <f>IF($A87="","",SUMIFS(inventory!$G$2:$G$801,inventory!$C$2:$C$801,$A87,inventory!$D$2:$D$801,$B87,inventory!$E$2:$E$801,"topped_up"))</f>
        <v/>
      </c>
      <c r="AE87" s="25">
        <f>IF($A87="","",IF(COUNTIFS(counts!$C$2:$C$701,$A87,counts!$D$2:$D$701,$B87,counts!$E$2:$E$701,"remaining_day3")=0,"",SUMIFS(counts!$F$2:$F$701,counts!$C$2:$C$701,$A87,counts!$D$2:$D$701,$B87,counts!$E$2:$E$701,"remaining_day3")))</f>
        <v/>
      </c>
      <c r="AF87" s="25">
        <f>IF($A87="","",IF(COUNTIFS(counts!$C$2:$C$701,$A87,counts!$D$2:$D$701,$B87,counts!$E$2:$E$701,"remaining_day5")=0,"",SUMIFS(counts!$F$2:$F$701,counts!$C$2:$C$701,$A87,counts!$D$2:$D$701,$B87,counts!$E$2:$E$701,"remaining_day5")))</f>
        <v/>
      </c>
      <c r="AG87" s="25">
        <f>IF(OR($A87="",$AF87=""),"",MAX(0,$AA87+$AD87-$AF87))</f>
        <v/>
      </c>
      <c r="AH87" s="25">
        <f>IF(OR($A87="",$AI87=""),"",IFERROR(IF(INDEX(photos!$H$2:$H$701,MATCH($A87&amp;"|"&amp;$B87&amp;"|later|Y|"&amp;$AI87,photos!$S$2:$S$701,0))="","",INDEX(photos!$H$2:$H$701,MATCH($A87&amp;"|"&amp;$B87&amp;"|later|Y|"&amp;$AI87,photos!$S$2:$S$701,0))),""))</f>
        <v/>
      </c>
      <c r="AI87" s="26">
        <f>IF($A87="","",IFERROR(1/(1/SUMPRODUCT(MAX((photos!$B$2:$B$701=$A87)*(photos!$C$2:$C$701=$B87)*(photos!$D$2:$D$701="later")*(photos!$O$2:$O$701="Y")*photos!$E$2:$E$701))),""))</f>
        <v/>
      </c>
      <c r="AJ87" s="25">
        <f>IF(OR($A87="",$AI87="",$I87=""),"",NETWORKDAYS($I87,$AI87,calendar!$A$2:$A$80))</f>
        <v/>
      </c>
      <c r="AK87" s="25">
        <f>IF($A87="","",IF(AND($X87&lt;&gt;"",$AH87&lt;&gt;""),"Y","N"))</f>
        <v/>
      </c>
      <c r="AL87" s="25">
        <f>IF(OR($A87="",$I87=""),"",IF($BC87="Y",SUMIFS(survey_frozen!$C$2:$C$251,survey_frozen!$P$2:$P$251,$A87&amp;"|"&amp;$B87),IFERROR(COUNTIFS(INDIRECT("'"&amp;$A87&amp;"'!$B$2:$B$501"),$T87,INDIRECT("'"&amp;$A87&amp;"'!$A$2:$A$501"),"&gt;="&amp;$I87,INDIRECT("'"&amp;$A87&amp;"'!$A$2:$A$501"),"&lt;"&amp;($BA87+1)),0)))</f>
        <v/>
      </c>
      <c r="AM87" s="25">
        <f>IF(OR($A87="",$I87=""),"",IF($BC87="Y",SUMIFS(survey_frozen!$D$2:$D$251,survey_frozen!$P$2:$P$251,$A87&amp;"|"&amp;$B87),IFERROR(COUNTIFS(INDIRECT("'"&amp;$A87&amp;"'!$B$2:$B$501"),$T87,INDIRECT("'"&amp;$A87&amp;"'!$A$2:$A$501"),"&gt;="&amp;$I87,INDIRECT("'"&amp;$A87&amp;"'!$A$2:$A$501"),"&lt;"&amp;($BA87+1),INDIRECT("'"&amp;$A87&amp;"'!$C$2:$C$501"),"Yes"),0)))</f>
        <v/>
      </c>
      <c r="AN87" s="25">
        <f>IF($A87="","",IF(COUNTIFS(scans!$C$2:$C$1601,(IF(LEFT($A87,7)="SAMPLE-","SAMPLE-","")&amp;LOWER(SUBSTITUTE(SUBSTITUTE($A87,"SAMPLE-",""),"CMP-","c"))&amp;"-"&amp;LOWER(SUBSTITUTE(SUBSTITUTE($B87,"SAMPLE-",""),"O-","o"))&amp;"-q"),scans!$D$2:$D$1601,"close")=0,"",SUMPRODUCT(MAX((scans!$C$2:$C$1601=(IF(LEFT($A87,7)="SAMPLE-","SAMPLE-","")&amp;LOWER(SUBSTITUTE(SUBSTITUTE($A87,"SAMPLE-",""),"CMP-","c"))&amp;"-"&amp;LOWER(SUBSTITUTE(SUBSTITUTE($B87,"SAMPLE-",""),"O-","o"))&amp;"-q"))*(scans!$D$2:$D$1601="close")*scans!$E$2:$E$1601))-SUMPRODUCT(MAX((scans!$C$2:$C$1601=(IF(LEFT($A87,7)="SAMPLE-","SAMPLE-","")&amp;LOWER(SUBSTITUTE(SUBSTITUTE($A87,"SAMPLE-",""),"CMP-","c"))&amp;"-"&amp;LOWER(SUBSTITUTE(SUBSTITUTE($B87,"SAMPLE-",""),"O-","o"))&amp;"-q"))*(scans!$D$2:$D$1601="baseline")*scans!$E$2:$E$1601))))</f>
        <v/>
      </c>
      <c r="AO87" s="25">
        <f>IF($A87="","",IF(COUNTIFS(scans!$C$2:$C$1601,(IF(LEFT($A87,7)="SAMPLE-","SAMPLE-","")&amp;LOWER(SUBSTITUTE(SUBSTITUTE($A87,"SAMPLE-",""),"CMP-","c"))&amp;"-"&amp;LOWER(SUBSTITUTE(SUBSTITUTE($B87,"SAMPLE-",""),"O-","o"))&amp;"-p"),scans!$D$2:$D$1601,"close")=0,"",SUMPRODUCT(MAX((scans!$C$2:$C$1601=(IF(LEFT($A87,7)="SAMPLE-","SAMPLE-","")&amp;LOWER(SUBSTITUTE(SUBSTITUTE($A87,"SAMPLE-",""),"CMP-","c"))&amp;"-"&amp;LOWER(SUBSTITUTE(SUBSTITUTE($B87,"SAMPLE-",""),"O-","o"))&amp;"-p"))*(scans!$D$2:$D$1601="close")*scans!$E$2:$E$1601))-SUMPRODUCT(MAX((scans!$C$2:$C$1601=(IF(LEFT($A87,7)="SAMPLE-","SAMPLE-","")&amp;LOWER(SUBSTITUTE(SUBSTITUTE($A87,"SAMPLE-",""),"CMP-","c"))&amp;"-"&amp;LOWER(SUBSTITUTE(SUBSTITUTE($B87,"SAMPLE-",""),"O-","o"))&amp;"-p"))*(scans!$D$2:$D$1601="baseline")*scans!$E$2:$E$1601))))</f>
        <v/>
      </c>
      <c r="AP87" s="25">
        <f>IF($A87="","",IF(COUNTIF(offices!$A$2:$A$61,$B87)=0,"office_id not on offices; ","")&amp;IF(COUNTIF(campaigns!$A$2:$A$51,$A87)=0,"campaign_id not on campaigns; ","")&amp;IF($P87="pending","approval pending; ","")&amp;IF(AND($U87&gt;0,$Y87="",OR($I87="",IF(config!$B$37&lt;&gt;"",config!$B$37,TODAY())&lt;=WORKDAY(N($I87),4,calendar!$A$2:$A$80))),"no usable placement photo yet; ","")&amp;IF(AND($Y87&lt;&gt;"",$Z87=""),"log the placed count; ","")&amp;IF(N($AA87)&gt;N($U87),"placed more than delivered; ","")&amp;IF(AND($AF87&lt;&gt;"",N($AF87)&gt;N($AA87)+N($AD87)),"day-5 count above placed plus top-ups; ","")&amp;IF(AND($U87&gt;0,$I87&lt;&gt;"",IF(config!$B$37&lt;&gt;"",config!$B$37,TODAY())&gt;WORKDAY(N($I87),4,calendar!$A$2:$A$80),$AF87=""),"day-5 count missing; ","")&amp;IF(AND($U87&gt;0,$I87&lt;&gt;"",IF(config!$B$37&lt;&gt;"",config!$B$37,TODAY())&gt;WORKDAY(N($I87),4,calendar!$A$2:$A$80),$AN87=""),"no close link reading; ","")&amp;$R87&amp;IF($P87="N","info: office said no; ","")&amp;IF(AND($P87="Y",$Q87="N"),"info: turned away at the door, so not on the drop (no letter, not in the report or Gate 2; the credit check is on campaigns); ","")&amp;IF(AND($U87&gt;0,$Y87="",$I87&lt;&gt;"",IF(config!$B$37&lt;&gt;"",config!$B$37,TODAY())&gt;WORKDAY(N($I87),4,calendar!$A$2:$A$80)),"info: no usable placement photo, so nothing counts as placed; ","")&amp;IF(AND($U87&gt;0,$I87&lt;&gt;"",IF(config!$B$37&lt;&gt;"",config!$B$37,TODAY())&gt;WORKDAY(N($I87),4,calendar!$A$2:$A$80),N($AL87)&lt;config!$B$30),"info: under "&amp;config!$B$30&amp;" responses; ","")&amp;IF($W87="packing_list","info: delivered count not verified; ",""))</f>
        <v/>
      </c>
      <c r="AQ87" s="25">
        <f>IF(OR($A87="",$I87=""),"",IF($BC87="Y",SUMIFS(survey_frozen!$E$2:$E$251,survey_frozen!$P$2:$P$251,$A87&amp;"|"&amp;$B87),IFERROR(COUNTIFS(INDIRECT("'"&amp;$A87&amp;"'!$B$2:$B$501"),$T87,INDIRECT("'"&amp;$A87&amp;"'!$A$2:$A$501"),"&gt;="&amp;$I87,INDIRECT("'"&amp;$A87&amp;"'!$A$2:$A$501"),"&lt;"&amp;($BA87+1),INDIRECT("'"&amp;$A87&amp;"'!$F$2:$F$501"),"Didn't see it"),0)))</f>
        <v/>
      </c>
      <c r="AR87" s="25">
        <f>IF(OR($A87="",$I87=""),"",IF($BC87="Y",SUMIFS(survey_frozen!$F$2:$F$251,survey_frozen!$P$2:$P$251,$A87&amp;"|"&amp;$B87),IFERROR(COUNTIFS(INDIRECT("'"&amp;$A87&amp;"'!$B$2:$B$501"),$T87,INDIRECT("'"&amp;$A87&amp;"'!$A$2:$A$501"),"&gt;="&amp;$I87,INDIRECT("'"&amp;$A87&amp;"'!$A$2:$A$501"),"&lt;"&amp;($BA87+1),INDIRECT("'"&amp;$A87&amp;"'!$F$2:$F$501"),"Not for me"),0)))</f>
        <v/>
      </c>
      <c r="AS87" s="25">
        <f>IF(OR($A87="",$I87=""),"",IF($BC87="Y",SUMIFS(survey_frozen!$G$2:$G$251,survey_frozen!$P$2:$P$251,$A87&amp;"|"&amp;$B87),IFERROR(COUNTIFS(INDIRECT("'"&amp;$A87&amp;"'!$B$2:$B$501"),$T87,INDIRECT("'"&amp;$A87&amp;"'!$A$2:$A$501"),"&gt;="&amp;$I87,INDIRECT("'"&amp;$A87&amp;"'!$A$2:$A$501"),"&lt;"&amp;($BA87+1),INDIRECT("'"&amp;$A87&amp;"'!$F$2:$F$501"),"Gone by the time I looked"),0)))</f>
        <v/>
      </c>
      <c r="AT87" s="25">
        <f>IF(OR($A87="",$I87=""),"",IF($BC87="Y",SUMIFS(survey_frozen!$H$2:$H$251,survey_frozen!$P$2:$P$251,$A87&amp;"|"&amp;$B87),IFERROR(COUNTIFS(INDIRECT("'"&amp;$A87&amp;"'!$B$2:$B$501"),$T87,INDIRECT("'"&amp;$A87&amp;"'!$A$2:$A$501"),"&gt;="&amp;$I87,INDIRECT("'"&amp;$A87&amp;"'!$A$2:$A$501"),"&lt;"&amp;($BA87+1),INDIRECT("'"&amp;$A87&amp;"'!$D$2:$D$501"),"&gt;=1"),0)))</f>
        <v/>
      </c>
      <c r="AU87" s="25">
        <f>IF(OR($A87="",$I87=""),"",IF($BC87="Y",SUMIFS(survey_frozen!$I$2:$I$251,survey_frozen!$P$2:$P$251,$A87&amp;"|"&amp;$B87),IFERROR(SUMIFS(INDIRECT("'"&amp;$A87&amp;"'!$D$2:$D$501"),INDIRECT("'"&amp;$A87&amp;"'!$B$2:$B$501"),$T87,INDIRECT("'"&amp;$A87&amp;"'!$A$2:$A$501"),"&gt;="&amp;$I87,INDIRECT("'"&amp;$A87&amp;"'!$A$2:$A$501"),"&lt;"&amp;($BA87+1)),0)))</f>
        <v/>
      </c>
      <c r="AV87" s="25">
        <f>IF(OR($A87="",$I87=""),"",IF($BC87="Y",SUMIFS(survey_frozen!$J$2:$J$251,survey_frozen!$P$2:$P$251,$A87&amp;"|"&amp;$B87),IFERROR(COUNTIFS(INDIRECT("'"&amp;$A87&amp;"'!$B$2:$B$501"),$T87,INDIRECT("'"&amp;$A87&amp;"'!$A$2:$A$501"),"&gt;="&amp;$I87,INDIRECT("'"&amp;$A87&amp;"'!$A$2:$A$501"),"&lt;"&amp;($BA87+1),INDIRECT("'"&amp;$A87&amp;"'!$E$2:$E$501"),"Yes"),0)))</f>
        <v/>
      </c>
      <c r="AW87" s="25">
        <f>IF(OR($A87="",$I87=""),"",IF($BC87="Y",SUMIFS(survey_frozen!$K$2:$K$251,survey_frozen!$P$2:$P$251,$A87&amp;"|"&amp;$B87),IFERROR(COUNTIFS(INDIRECT("'"&amp;$A87&amp;"'!$B$2:$B$501"),$T87,INDIRECT("'"&amp;$A87&amp;"'!$A$2:$A$501"),"&gt;="&amp;$I87,INDIRECT("'"&amp;$A87&amp;"'!$A$2:$A$501"),"&lt;"&amp;($BA87+1),INDIRECT("'"&amp;$A87&amp;"'!$E$2:$E$501"),"Maybe"),0)))</f>
        <v/>
      </c>
      <c r="AX87" s="25">
        <f>IF(OR($A87="",$I87=""),"",IF($BC87="Y",SUMIFS(survey_frozen!$L$2:$L$251,survey_frozen!$P$2:$P$251,$A87&amp;"|"&amp;$B87),IFERROR(COUNTIFS(INDIRECT("'"&amp;$A87&amp;"'!$B$2:$B$501"),$T87,INDIRECT("'"&amp;$A87&amp;"'!$A$2:$A$501"),"&gt;="&amp;$I87,INDIRECT("'"&amp;$A87&amp;"'!$A$2:$A$501"),"&lt;"&amp;($BA87+1),INDIRECT("'"&amp;$A87&amp;"'!$E$2:$E$501"),"No"),0)))</f>
        <v/>
      </c>
      <c r="AY87" s="25">
        <f>IF(OR($A87="",$I87=""),"",IF($BC87="Y",SUMIFS(survey_frozen!$M$2:$M$251,survey_frozen!$P$2:$P$251,$A87&amp;"|"&amp;$B87),IFERROR(COUNTIFS(INDIRECT("'"&amp;$A87&amp;"'!$B$2:$B$501"),$T87,INDIRECT("'"&amp;$A87&amp;"'!$A$2:$A$501"),"&gt;="&amp;$I87,INDIRECT("'"&amp;$A87&amp;"'!$A$2:$A$501"),"&lt;"&amp;($BA87+1),INDIRECT("'"&amp;$A87&amp;"'!$G$2:$G$501"),"&lt;&gt;"),0)))</f>
        <v/>
      </c>
      <c r="AZ87" s="25">
        <f>IF($A87="","",$A87&amp;"|"&amp;$L87)</f>
        <v/>
      </c>
      <c r="BA87" s="26">
        <f>IF($A87="","",IFERROR(IF(INDEX(drops!$R$2:$R$21,MATCH($H87,drops!$A$2:$A$21,0))="","",INDEX(drops!$R$2:$R$21,MATCH($H87,drops!$A$2:$A$21,0))),""))</f>
        <v/>
      </c>
      <c r="BB87" s="25">
        <f>IF(OR($A87="",$Q87&lt;&gt;"Y"),1000000,N($AL87))</f>
        <v/>
      </c>
      <c r="BC87" s="25">
        <f>IF($A87="","",IF(COUNTIF(survey_frozen!$P$2:$P$251,$A87&amp;"|"&amp;$B87)&gt;0,"Y",""))</f>
        <v/>
      </c>
    </row>
    <row r="88">
      <c r="C88" s="9" t="n"/>
      <c r="E88" s="9" t="n"/>
      <c r="H88" s="25">
        <f>IF($A88="","",IFERROR(IF(INDEX(campaigns!$B$2:$B$51,MATCH($A88,campaigns!$A$2:$A$51,0))="","",INDEX(campaigns!$B$2:$B$51,MATCH($A88,campaigns!$A$2:$A$51,0))),""))</f>
        <v/>
      </c>
      <c r="I88" s="26">
        <f>IF($A88="","",IFERROR(IF(INDEX(campaigns!$BG$2:$BG$51,MATCH($A88,campaigns!$A$2:$A$51,0))="","",INDEX(campaigns!$BG$2:$BG$51,MATCH($A88,campaigns!$A$2:$A$51,0))),""))</f>
        <v/>
      </c>
      <c r="J88" s="25">
        <f>IF($A88="","",IFERROR(IF(INDEX(campaigns!$BE$2:$BE$51,MATCH($A88,campaigns!$A$2:$A$51,0))="","",INDEX(campaigns!$BE$2:$BE$51,MATCH($A88,campaigns!$A$2:$A$51,0))),""))</f>
        <v/>
      </c>
      <c r="K88" s="25">
        <f>IF($B88="","",IFERROR(IF(INDEX(offices!$N$2:$N$61,MATCH($B88,offices!$A$2:$A$61,0))="","",INDEX(offices!$N$2:$N$61,MATCH($B88,offices!$A$2:$A$61,0))),""))</f>
        <v/>
      </c>
      <c r="L88" s="25">
        <f>IF($A88="","",IF($Q88="N","",COUNTIFS($A$2:$A88,$A88,$Q$2:$Q88,"&lt;&gt;N")))</f>
        <v/>
      </c>
      <c r="M88" s="25">
        <f>IF(OR($A88="",$L88=""),"",IF(AND(config!$B$34="names_if_public",IFERROR(IF(INDEX(offices!$AF$2:$AF$61,MATCH($B88,offices!$A$2:$A$61,0))="","",INDEX(offices!$AF$2:$AF$61,MATCH($B88,offices!$A$2:$A$61,0))),"")="Y"),$K88,CHAR(64+$L88)))</f>
        <v/>
      </c>
      <c r="N88" s="25">
        <f>IF(OR($A88="",$I88=""),"",COUNTIFS(stops!$B$2:$B$151,$B88,stops!$P$2:$P$151,"&lt;"&amp;$I88,stops!$L$2:$L$151,"&lt;&gt;not_delivered")+1)</f>
        <v/>
      </c>
      <c r="O88" s="25">
        <f>IF($A88="","",IF(N($N88)&lt;=config!$B$29,"explicit","opt-out"))</f>
        <v/>
      </c>
      <c r="P88" s="25">
        <f>IF($A88="","",IF($O88="explicit",IF($D88="yes","Y",IF($D88="no","N","pending")),IF($D88="no","N",IF(AND($C88&lt;&gt;"",$I88&lt;&gt;"",$C88&lt;=WORKDAY(N($I88),-5,calendar!$A$2:$A$80)),"Y","pending"))))</f>
        <v/>
      </c>
      <c r="Q88" s="25">
        <f>IF($A88="","",IF($P88="N","N",IF($P88&lt;&gt;"Y","pending",IF(AND((COUNTIFS(stops!$A$2:$A$151,$H88,stops!$B$2:$B$151,$B88,stops!$L$2:$L$151,"declined")+COUNTIFS(stops!$A$2:$A$151,$H88,stops!$B$2:$B$151,$B88,stops!$L$2:$L$151,"building_refused")+COUNTIFS(stops!$A$2:$A$151,$H88,stops!$B$2:$B$151,$B88,stops!$L$2:$L$151,"not_delivered"))&gt;0,N($U88)=0),"N","Y"))))</f>
        <v/>
      </c>
      <c r="R88" s="25">
        <f>IF($A88="","",IF(COUNTIFS($A$2:$A$251,$A88,$B$2:$B$251,$B88)&gt;1,"DUPLICATE ROW; ","")&amp;IF(AND(IFERROR(IF(INDEX(offices!$AC$2:$AC$61,MATCH($B88,offices!$A$2:$A$61,0))="","",INDEX(offices!$AC$2:$AC$61,MATCH($B88,offices!$A$2:$A$61,0))),"")&lt;&gt;"",ISNUMBER(SEARCH($J88,IFERROR(IF(INDEX(offices!$AC$2:$AC$61,MATCH($B88,offices!$A$2:$A$61,0))="","",INDEX(offices!$AC$2:$AC$61,MATCH($B88,offices!$A$2:$A$61,0))),"")))),"BRAND VETOED; ","")&amp;IF(ISNUMBER(SEARCH(IFERROR(IF(INDEX(campaigns!$BF$2:$BF$51,MATCH($A88,campaigns!$A$2:$A$51,0))="","",INDEX(campaigns!$BF$2:$BF$51,MATCH($A88,campaigns!$A$2:$A$51,0))),""),IFERROR(IF(INDEX(offices!$AB$2:$AB$61,MATCH($B88,offices!$A$2:$A$61,0))="","",INDEX(offices!$AB$2:$AB$61,MATCH($B88,offices!$A$2:$A$61,0))),""))),"","info: category not on the office's list; ")&amp;IF(IFERROR(IF(INDEX(offices!$AC$2:$AC$61,MATCH($B88,offices!$A$2:$A$61,0))="","",INDEX(offices!$AC$2:$AC$61,MATCH($B88,offices!$A$2:$A$61,0))),"")&lt;&gt;"","info: read the vetoes against the label; ",""))</f>
        <v/>
      </c>
      <c r="S88" s="25">
        <f>IF($A88="","",IF($G88&lt;&gt;"",$G88,IFERROR(IF(INDEX(offices!$AL$2:$AL$61,MATCH($B88,offices!$A$2:$A$61,0))="","",INDEX(offices!$AL$2:$AL$61,MATCH($B88,offices!$A$2:$A$61,0))),"")))</f>
        <v/>
      </c>
      <c r="T88" s="25">
        <f>IF($A88="","",$A88&amp;"."&amp;$B88)</f>
        <v/>
      </c>
      <c r="U88" s="25">
        <f>IF($A88="","",SUMIFS(inventory!$G$2:$G$801,inventory!$C$2:$C$801,$A88,inventory!$D$2:$D$801,$B88,inventory!$E$2:$E$801,"delivered"))</f>
        <v/>
      </c>
      <c r="V88" s="32">
        <f>IF($A88="","",IFERROR(1/(1/SUMPRODUCT(MAX((inventory!$C$2:$C$801=$A88)*(inventory!$D$2:$D$801=$B88)*(inventory!$E$2:$E$801="delivered")*(inventory!$A$2:$A$801+inventory!$B$2:$B$801)))),""))</f>
        <v/>
      </c>
      <c r="W88" s="25">
        <f>IF($A88="","",IFERROR(IF(INDEX(inventory!$J$2:$J$801,MATCH($A88&amp;"|"&amp;$B88&amp;"|delivered",inventory!$R$2:$R$801,0))="","",INDEX(inventory!$J$2:$J$801,MATCH($A88&amp;"|"&amp;$B88&amp;"|delivered",inventory!$R$2:$R$801,0))),""))</f>
        <v/>
      </c>
      <c r="X88" s="25">
        <f>IF($A88="","",IFERROR(IF(INDEX(photos!$H$2:$H$701,MATCH($A88&amp;"|"&amp;$B88&amp;"|placement|Y",photos!$R$2:$R$701,0))="","",INDEX(photos!$H$2:$H$701,MATCH($A88&amp;"|"&amp;$B88&amp;"|placement|Y",photos!$R$2:$R$701,0))),""))</f>
        <v/>
      </c>
      <c r="Y88" s="26">
        <f>IF($A88="","",IFERROR(IF(INDEX(photos!$E$2:$E$701,MATCH($A88&amp;"|"&amp;$B88&amp;"|placement|Y",photos!$R$2:$R$701,0))="","",INDEX(photos!$E$2:$E$701,MATCH($A88&amp;"|"&amp;$B88&amp;"|placement|Y",photos!$R$2:$R$701,0))),""))</f>
        <v/>
      </c>
      <c r="Z88" s="25">
        <f>IF($A88="","",IF(COUNTIFS(counts!$C$2:$C$701,$A88,counts!$D$2:$D$701,$B88,counts!$E$2:$E$701,"placed")=0,"",SUMIFS(counts!$F$2:$F$701,counts!$C$2:$C$701,$A88,counts!$D$2:$D$701,$B88,counts!$E$2:$E$701,"placed")))</f>
        <v/>
      </c>
      <c r="AA88" s="25">
        <f>IF($A88="","",IF($Y88="",0,N($Z88)))</f>
        <v/>
      </c>
      <c r="AB88" s="25">
        <f>IF($A88="","",IF(OR($Y88="",$I88=""),"N",IF($Y88&lt;=WORKDAY(N($I88),1,calendar!$A$2:$A$80),"Y","N")))</f>
        <v/>
      </c>
      <c r="AC88" s="28">
        <f>IF(OR($A88="",$V88="",$Y88=""),"",ROUND(($Y88+N(IFERROR(IF(INDEX(photos!$F$2:$F$701,MATCH($A88&amp;"|"&amp;$B88&amp;"|placement|Y",photos!$R$2:$R$701,0))="","",INDEX(photos!$F$2:$F$701,MATCH($A88&amp;"|"&amp;$B88&amp;"|placement|Y",photos!$R$2:$R$701,0))),""))-$V88)*24,1))</f>
        <v/>
      </c>
      <c r="AD88" s="25">
        <f>IF($A88="","",SUMIFS(inventory!$G$2:$G$801,inventory!$C$2:$C$801,$A88,inventory!$D$2:$D$801,$B88,inventory!$E$2:$E$801,"topped_up"))</f>
        <v/>
      </c>
      <c r="AE88" s="25">
        <f>IF($A88="","",IF(COUNTIFS(counts!$C$2:$C$701,$A88,counts!$D$2:$D$701,$B88,counts!$E$2:$E$701,"remaining_day3")=0,"",SUMIFS(counts!$F$2:$F$701,counts!$C$2:$C$701,$A88,counts!$D$2:$D$701,$B88,counts!$E$2:$E$701,"remaining_day3")))</f>
        <v/>
      </c>
      <c r="AF88" s="25">
        <f>IF($A88="","",IF(COUNTIFS(counts!$C$2:$C$701,$A88,counts!$D$2:$D$701,$B88,counts!$E$2:$E$701,"remaining_day5")=0,"",SUMIFS(counts!$F$2:$F$701,counts!$C$2:$C$701,$A88,counts!$D$2:$D$701,$B88,counts!$E$2:$E$701,"remaining_day5")))</f>
        <v/>
      </c>
      <c r="AG88" s="25">
        <f>IF(OR($A88="",$AF88=""),"",MAX(0,$AA88+$AD88-$AF88))</f>
        <v/>
      </c>
      <c r="AH88" s="25">
        <f>IF(OR($A88="",$AI88=""),"",IFERROR(IF(INDEX(photos!$H$2:$H$701,MATCH($A88&amp;"|"&amp;$B88&amp;"|later|Y|"&amp;$AI88,photos!$S$2:$S$701,0))="","",INDEX(photos!$H$2:$H$701,MATCH($A88&amp;"|"&amp;$B88&amp;"|later|Y|"&amp;$AI88,photos!$S$2:$S$701,0))),""))</f>
        <v/>
      </c>
      <c r="AI88" s="26">
        <f>IF($A88="","",IFERROR(1/(1/SUMPRODUCT(MAX((photos!$B$2:$B$701=$A88)*(photos!$C$2:$C$701=$B88)*(photos!$D$2:$D$701="later")*(photos!$O$2:$O$701="Y")*photos!$E$2:$E$701))),""))</f>
        <v/>
      </c>
      <c r="AJ88" s="25">
        <f>IF(OR($A88="",$AI88="",$I88=""),"",NETWORKDAYS($I88,$AI88,calendar!$A$2:$A$80))</f>
        <v/>
      </c>
      <c r="AK88" s="25">
        <f>IF($A88="","",IF(AND($X88&lt;&gt;"",$AH88&lt;&gt;""),"Y","N"))</f>
        <v/>
      </c>
      <c r="AL88" s="25">
        <f>IF(OR($A88="",$I88=""),"",IF($BC88="Y",SUMIFS(survey_frozen!$C$2:$C$251,survey_frozen!$P$2:$P$251,$A88&amp;"|"&amp;$B88),IFERROR(COUNTIFS(INDIRECT("'"&amp;$A88&amp;"'!$B$2:$B$501"),$T88,INDIRECT("'"&amp;$A88&amp;"'!$A$2:$A$501"),"&gt;="&amp;$I88,INDIRECT("'"&amp;$A88&amp;"'!$A$2:$A$501"),"&lt;"&amp;($BA88+1)),0)))</f>
        <v/>
      </c>
      <c r="AM88" s="25">
        <f>IF(OR($A88="",$I88=""),"",IF($BC88="Y",SUMIFS(survey_frozen!$D$2:$D$251,survey_frozen!$P$2:$P$251,$A88&amp;"|"&amp;$B88),IFERROR(COUNTIFS(INDIRECT("'"&amp;$A88&amp;"'!$B$2:$B$501"),$T88,INDIRECT("'"&amp;$A88&amp;"'!$A$2:$A$501"),"&gt;="&amp;$I88,INDIRECT("'"&amp;$A88&amp;"'!$A$2:$A$501"),"&lt;"&amp;($BA88+1),INDIRECT("'"&amp;$A88&amp;"'!$C$2:$C$501"),"Yes"),0)))</f>
        <v/>
      </c>
      <c r="AN88" s="25">
        <f>IF($A88="","",IF(COUNTIFS(scans!$C$2:$C$1601,(IF(LEFT($A88,7)="SAMPLE-","SAMPLE-","")&amp;LOWER(SUBSTITUTE(SUBSTITUTE($A88,"SAMPLE-",""),"CMP-","c"))&amp;"-"&amp;LOWER(SUBSTITUTE(SUBSTITUTE($B88,"SAMPLE-",""),"O-","o"))&amp;"-q"),scans!$D$2:$D$1601,"close")=0,"",SUMPRODUCT(MAX((scans!$C$2:$C$1601=(IF(LEFT($A88,7)="SAMPLE-","SAMPLE-","")&amp;LOWER(SUBSTITUTE(SUBSTITUTE($A88,"SAMPLE-",""),"CMP-","c"))&amp;"-"&amp;LOWER(SUBSTITUTE(SUBSTITUTE($B88,"SAMPLE-",""),"O-","o"))&amp;"-q"))*(scans!$D$2:$D$1601="close")*scans!$E$2:$E$1601))-SUMPRODUCT(MAX((scans!$C$2:$C$1601=(IF(LEFT($A88,7)="SAMPLE-","SAMPLE-","")&amp;LOWER(SUBSTITUTE(SUBSTITUTE($A88,"SAMPLE-",""),"CMP-","c"))&amp;"-"&amp;LOWER(SUBSTITUTE(SUBSTITUTE($B88,"SAMPLE-",""),"O-","o"))&amp;"-q"))*(scans!$D$2:$D$1601="baseline")*scans!$E$2:$E$1601))))</f>
        <v/>
      </c>
      <c r="AO88" s="25">
        <f>IF($A88="","",IF(COUNTIFS(scans!$C$2:$C$1601,(IF(LEFT($A88,7)="SAMPLE-","SAMPLE-","")&amp;LOWER(SUBSTITUTE(SUBSTITUTE($A88,"SAMPLE-",""),"CMP-","c"))&amp;"-"&amp;LOWER(SUBSTITUTE(SUBSTITUTE($B88,"SAMPLE-",""),"O-","o"))&amp;"-p"),scans!$D$2:$D$1601,"close")=0,"",SUMPRODUCT(MAX((scans!$C$2:$C$1601=(IF(LEFT($A88,7)="SAMPLE-","SAMPLE-","")&amp;LOWER(SUBSTITUTE(SUBSTITUTE($A88,"SAMPLE-",""),"CMP-","c"))&amp;"-"&amp;LOWER(SUBSTITUTE(SUBSTITUTE($B88,"SAMPLE-",""),"O-","o"))&amp;"-p"))*(scans!$D$2:$D$1601="close")*scans!$E$2:$E$1601))-SUMPRODUCT(MAX((scans!$C$2:$C$1601=(IF(LEFT($A88,7)="SAMPLE-","SAMPLE-","")&amp;LOWER(SUBSTITUTE(SUBSTITUTE($A88,"SAMPLE-",""),"CMP-","c"))&amp;"-"&amp;LOWER(SUBSTITUTE(SUBSTITUTE($B88,"SAMPLE-",""),"O-","o"))&amp;"-p"))*(scans!$D$2:$D$1601="baseline")*scans!$E$2:$E$1601))))</f>
        <v/>
      </c>
      <c r="AP88" s="25">
        <f>IF($A88="","",IF(COUNTIF(offices!$A$2:$A$61,$B88)=0,"office_id not on offices; ","")&amp;IF(COUNTIF(campaigns!$A$2:$A$51,$A88)=0,"campaign_id not on campaigns; ","")&amp;IF($P88="pending","approval pending; ","")&amp;IF(AND($U88&gt;0,$Y88="",OR($I88="",IF(config!$B$37&lt;&gt;"",config!$B$37,TODAY())&lt;=WORKDAY(N($I88),4,calendar!$A$2:$A$80))),"no usable placement photo yet; ","")&amp;IF(AND($Y88&lt;&gt;"",$Z88=""),"log the placed count; ","")&amp;IF(N($AA88)&gt;N($U88),"placed more than delivered; ","")&amp;IF(AND($AF88&lt;&gt;"",N($AF88)&gt;N($AA88)+N($AD88)),"day-5 count above placed plus top-ups; ","")&amp;IF(AND($U88&gt;0,$I88&lt;&gt;"",IF(config!$B$37&lt;&gt;"",config!$B$37,TODAY())&gt;WORKDAY(N($I88),4,calendar!$A$2:$A$80),$AF88=""),"day-5 count missing; ","")&amp;IF(AND($U88&gt;0,$I88&lt;&gt;"",IF(config!$B$37&lt;&gt;"",config!$B$37,TODAY())&gt;WORKDAY(N($I88),4,calendar!$A$2:$A$80),$AN88=""),"no close link reading; ","")&amp;$R88&amp;IF($P88="N","info: office said no; ","")&amp;IF(AND($P88="Y",$Q88="N"),"info: turned away at the door, so not on the drop (no letter, not in the report or Gate 2; the credit check is on campaigns); ","")&amp;IF(AND($U88&gt;0,$Y88="",$I88&lt;&gt;"",IF(config!$B$37&lt;&gt;"",config!$B$37,TODAY())&gt;WORKDAY(N($I88),4,calendar!$A$2:$A$80)),"info: no usable placement photo, so nothing counts as placed; ","")&amp;IF(AND($U88&gt;0,$I88&lt;&gt;"",IF(config!$B$37&lt;&gt;"",config!$B$37,TODAY())&gt;WORKDAY(N($I88),4,calendar!$A$2:$A$80),N($AL88)&lt;config!$B$30),"info: under "&amp;config!$B$30&amp;" responses; ","")&amp;IF($W88="packing_list","info: delivered count not verified; ",""))</f>
        <v/>
      </c>
      <c r="AQ88" s="25">
        <f>IF(OR($A88="",$I88=""),"",IF($BC88="Y",SUMIFS(survey_frozen!$E$2:$E$251,survey_frozen!$P$2:$P$251,$A88&amp;"|"&amp;$B88),IFERROR(COUNTIFS(INDIRECT("'"&amp;$A88&amp;"'!$B$2:$B$501"),$T88,INDIRECT("'"&amp;$A88&amp;"'!$A$2:$A$501"),"&gt;="&amp;$I88,INDIRECT("'"&amp;$A88&amp;"'!$A$2:$A$501"),"&lt;"&amp;($BA88+1),INDIRECT("'"&amp;$A88&amp;"'!$F$2:$F$501"),"Didn't see it"),0)))</f>
        <v/>
      </c>
      <c r="AR88" s="25">
        <f>IF(OR($A88="",$I88=""),"",IF($BC88="Y",SUMIFS(survey_frozen!$F$2:$F$251,survey_frozen!$P$2:$P$251,$A88&amp;"|"&amp;$B88),IFERROR(COUNTIFS(INDIRECT("'"&amp;$A88&amp;"'!$B$2:$B$501"),$T88,INDIRECT("'"&amp;$A88&amp;"'!$A$2:$A$501"),"&gt;="&amp;$I88,INDIRECT("'"&amp;$A88&amp;"'!$A$2:$A$501"),"&lt;"&amp;($BA88+1),INDIRECT("'"&amp;$A88&amp;"'!$F$2:$F$501"),"Not for me"),0)))</f>
        <v/>
      </c>
      <c r="AS88" s="25">
        <f>IF(OR($A88="",$I88=""),"",IF($BC88="Y",SUMIFS(survey_frozen!$G$2:$G$251,survey_frozen!$P$2:$P$251,$A88&amp;"|"&amp;$B88),IFERROR(COUNTIFS(INDIRECT("'"&amp;$A88&amp;"'!$B$2:$B$501"),$T88,INDIRECT("'"&amp;$A88&amp;"'!$A$2:$A$501"),"&gt;="&amp;$I88,INDIRECT("'"&amp;$A88&amp;"'!$A$2:$A$501"),"&lt;"&amp;($BA88+1),INDIRECT("'"&amp;$A88&amp;"'!$F$2:$F$501"),"Gone by the time I looked"),0)))</f>
        <v/>
      </c>
      <c r="AT88" s="25">
        <f>IF(OR($A88="",$I88=""),"",IF($BC88="Y",SUMIFS(survey_frozen!$H$2:$H$251,survey_frozen!$P$2:$P$251,$A88&amp;"|"&amp;$B88),IFERROR(COUNTIFS(INDIRECT("'"&amp;$A88&amp;"'!$B$2:$B$501"),$T88,INDIRECT("'"&amp;$A88&amp;"'!$A$2:$A$501"),"&gt;="&amp;$I88,INDIRECT("'"&amp;$A88&amp;"'!$A$2:$A$501"),"&lt;"&amp;($BA88+1),INDIRECT("'"&amp;$A88&amp;"'!$D$2:$D$501"),"&gt;=1"),0)))</f>
        <v/>
      </c>
      <c r="AU88" s="25">
        <f>IF(OR($A88="",$I88=""),"",IF($BC88="Y",SUMIFS(survey_frozen!$I$2:$I$251,survey_frozen!$P$2:$P$251,$A88&amp;"|"&amp;$B88),IFERROR(SUMIFS(INDIRECT("'"&amp;$A88&amp;"'!$D$2:$D$501"),INDIRECT("'"&amp;$A88&amp;"'!$B$2:$B$501"),$T88,INDIRECT("'"&amp;$A88&amp;"'!$A$2:$A$501"),"&gt;="&amp;$I88,INDIRECT("'"&amp;$A88&amp;"'!$A$2:$A$501"),"&lt;"&amp;($BA88+1)),0)))</f>
        <v/>
      </c>
      <c r="AV88" s="25">
        <f>IF(OR($A88="",$I88=""),"",IF($BC88="Y",SUMIFS(survey_frozen!$J$2:$J$251,survey_frozen!$P$2:$P$251,$A88&amp;"|"&amp;$B88),IFERROR(COUNTIFS(INDIRECT("'"&amp;$A88&amp;"'!$B$2:$B$501"),$T88,INDIRECT("'"&amp;$A88&amp;"'!$A$2:$A$501"),"&gt;="&amp;$I88,INDIRECT("'"&amp;$A88&amp;"'!$A$2:$A$501"),"&lt;"&amp;($BA88+1),INDIRECT("'"&amp;$A88&amp;"'!$E$2:$E$501"),"Yes"),0)))</f>
        <v/>
      </c>
      <c r="AW88" s="25">
        <f>IF(OR($A88="",$I88=""),"",IF($BC88="Y",SUMIFS(survey_frozen!$K$2:$K$251,survey_frozen!$P$2:$P$251,$A88&amp;"|"&amp;$B88),IFERROR(COUNTIFS(INDIRECT("'"&amp;$A88&amp;"'!$B$2:$B$501"),$T88,INDIRECT("'"&amp;$A88&amp;"'!$A$2:$A$501"),"&gt;="&amp;$I88,INDIRECT("'"&amp;$A88&amp;"'!$A$2:$A$501"),"&lt;"&amp;($BA88+1),INDIRECT("'"&amp;$A88&amp;"'!$E$2:$E$501"),"Maybe"),0)))</f>
        <v/>
      </c>
      <c r="AX88" s="25">
        <f>IF(OR($A88="",$I88=""),"",IF($BC88="Y",SUMIFS(survey_frozen!$L$2:$L$251,survey_frozen!$P$2:$P$251,$A88&amp;"|"&amp;$B88),IFERROR(COUNTIFS(INDIRECT("'"&amp;$A88&amp;"'!$B$2:$B$501"),$T88,INDIRECT("'"&amp;$A88&amp;"'!$A$2:$A$501"),"&gt;="&amp;$I88,INDIRECT("'"&amp;$A88&amp;"'!$A$2:$A$501"),"&lt;"&amp;($BA88+1),INDIRECT("'"&amp;$A88&amp;"'!$E$2:$E$501"),"No"),0)))</f>
        <v/>
      </c>
      <c r="AY88" s="25">
        <f>IF(OR($A88="",$I88=""),"",IF($BC88="Y",SUMIFS(survey_frozen!$M$2:$M$251,survey_frozen!$P$2:$P$251,$A88&amp;"|"&amp;$B88),IFERROR(COUNTIFS(INDIRECT("'"&amp;$A88&amp;"'!$B$2:$B$501"),$T88,INDIRECT("'"&amp;$A88&amp;"'!$A$2:$A$501"),"&gt;="&amp;$I88,INDIRECT("'"&amp;$A88&amp;"'!$A$2:$A$501"),"&lt;"&amp;($BA88+1),INDIRECT("'"&amp;$A88&amp;"'!$G$2:$G$501"),"&lt;&gt;"),0)))</f>
        <v/>
      </c>
      <c r="AZ88" s="25">
        <f>IF($A88="","",$A88&amp;"|"&amp;$L88)</f>
        <v/>
      </c>
      <c r="BA88" s="26">
        <f>IF($A88="","",IFERROR(IF(INDEX(drops!$R$2:$R$21,MATCH($H88,drops!$A$2:$A$21,0))="","",INDEX(drops!$R$2:$R$21,MATCH($H88,drops!$A$2:$A$21,0))),""))</f>
        <v/>
      </c>
      <c r="BB88" s="25">
        <f>IF(OR($A88="",$Q88&lt;&gt;"Y"),1000000,N($AL88))</f>
        <v/>
      </c>
      <c r="BC88" s="25">
        <f>IF($A88="","",IF(COUNTIF(survey_frozen!$P$2:$P$251,$A88&amp;"|"&amp;$B88)&gt;0,"Y",""))</f>
        <v/>
      </c>
    </row>
    <row r="89">
      <c r="C89" s="9" t="n"/>
      <c r="E89" s="9" t="n"/>
      <c r="H89" s="25">
        <f>IF($A89="","",IFERROR(IF(INDEX(campaigns!$B$2:$B$51,MATCH($A89,campaigns!$A$2:$A$51,0))="","",INDEX(campaigns!$B$2:$B$51,MATCH($A89,campaigns!$A$2:$A$51,0))),""))</f>
        <v/>
      </c>
      <c r="I89" s="26">
        <f>IF($A89="","",IFERROR(IF(INDEX(campaigns!$BG$2:$BG$51,MATCH($A89,campaigns!$A$2:$A$51,0))="","",INDEX(campaigns!$BG$2:$BG$51,MATCH($A89,campaigns!$A$2:$A$51,0))),""))</f>
        <v/>
      </c>
      <c r="J89" s="25">
        <f>IF($A89="","",IFERROR(IF(INDEX(campaigns!$BE$2:$BE$51,MATCH($A89,campaigns!$A$2:$A$51,0))="","",INDEX(campaigns!$BE$2:$BE$51,MATCH($A89,campaigns!$A$2:$A$51,0))),""))</f>
        <v/>
      </c>
      <c r="K89" s="25">
        <f>IF($B89="","",IFERROR(IF(INDEX(offices!$N$2:$N$61,MATCH($B89,offices!$A$2:$A$61,0))="","",INDEX(offices!$N$2:$N$61,MATCH($B89,offices!$A$2:$A$61,0))),""))</f>
        <v/>
      </c>
      <c r="L89" s="25">
        <f>IF($A89="","",IF($Q89="N","",COUNTIFS($A$2:$A89,$A89,$Q$2:$Q89,"&lt;&gt;N")))</f>
        <v/>
      </c>
      <c r="M89" s="25">
        <f>IF(OR($A89="",$L89=""),"",IF(AND(config!$B$34="names_if_public",IFERROR(IF(INDEX(offices!$AF$2:$AF$61,MATCH($B89,offices!$A$2:$A$61,0))="","",INDEX(offices!$AF$2:$AF$61,MATCH($B89,offices!$A$2:$A$61,0))),"")="Y"),$K89,CHAR(64+$L89)))</f>
        <v/>
      </c>
      <c r="N89" s="25">
        <f>IF(OR($A89="",$I89=""),"",COUNTIFS(stops!$B$2:$B$151,$B89,stops!$P$2:$P$151,"&lt;"&amp;$I89,stops!$L$2:$L$151,"&lt;&gt;not_delivered")+1)</f>
        <v/>
      </c>
      <c r="O89" s="25">
        <f>IF($A89="","",IF(N($N89)&lt;=config!$B$29,"explicit","opt-out"))</f>
        <v/>
      </c>
      <c r="P89" s="25">
        <f>IF($A89="","",IF($O89="explicit",IF($D89="yes","Y",IF($D89="no","N","pending")),IF($D89="no","N",IF(AND($C89&lt;&gt;"",$I89&lt;&gt;"",$C89&lt;=WORKDAY(N($I89),-5,calendar!$A$2:$A$80)),"Y","pending"))))</f>
        <v/>
      </c>
      <c r="Q89" s="25">
        <f>IF($A89="","",IF($P89="N","N",IF($P89&lt;&gt;"Y","pending",IF(AND((COUNTIFS(stops!$A$2:$A$151,$H89,stops!$B$2:$B$151,$B89,stops!$L$2:$L$151,"declined")+COUNTIFS(stops!$A$2:$A$151,$H89,stops!$B$2:$B$151,$B89,stops!$L$2:$L$151,"building_refused")+COUNTIFS(stops!$A$2:$A$151,$H89,stops!$B$2:$B$151,$B89,stops!$L$2:$L$151,"not_delivered"))&gt;0,N($U89)=0),"N","Y"))))</f>
        <v/>
      </c>
      <c r="R89" s="25">
        <f>IF($A89="","",IF(COUNTIFS($A$2:$A$251,$A89,$B$2:$B$251,$B89)&gt;1,"DUPLICATE ROW; ","")&amp;IF(AND(IFERROR(IF(INDEX(offices!$AC$2:$AC$61,MATCH($B89,offices!$A$2:$A$61,0))="","",INDEX(offices!$AC$2:$AC$61,MATCH($B89,offices!$A$2:$A$61,0))),"")&lt;&gt;"",ISNUMBER(SEARCH($J89,IFERROR(IF(INDEX(offices!$AC$2:$AC$61,MATCH($B89,offices!$A$2:$A$61,0))="","",INDEX(offices!$AC$2:$AC$61,MATCH($B89,offices!$A$2:$A$61,0))),"")))),"BRAND VETOED; ","")&amp;IF(ISNUMBER(SEARCH(IFERROR(IF(INDEX(campaigns!$BF$2:$BF$51,MATCH($A89,campaigns!$A$2:$A$51,0))="","",INDEX(campaigns!$BF$2:$BF$51,MATCH($A89,campaigns!$A$2:$A$51,0))),""),IFERROR(IF(INDEX(offices!$AB$2:$AB$61,MATCH($B89,offices!$A$2:$A$61,0))="","",INDEX(offices!$AB$2:$AB$61,MATCH($B89,offices!$A$2:$A$61,0))),""))),"","info: category not on the office's list; ")&amp;IF(IFERROR(IF(INDEX(offices!$AC$2:$AC$61,MATCH($B89,offices!$A$2:$A$61,0))="","",INDEX(offices!$AC$2:$AC$61,MATCH($B89,offices!$A$2:$A$61,0))),"")&lt;&gt;"","info: read the vetoes against the label; ",""))</f>
        <v/>
      </c>
      <c r="S89" s="25">
        <f>IF($A89="","",IF($G89&lt;&gt;"",$G89,IFERROR(IF(INDEX(offices!$AL$2:$AL$61,MATCH($B89,offices!$A$2:$A$61,0))="","",INDEX(offices!$AL$2:$AL$61,MATCH($B89,offices!$A$2:$A$61,0))),"")))</f>
        <v/>
      </c>
      <c r="T89" s="25">
        <f>IF($A89="","",$A89&amp;"."&amp;$B89)</f>
        <v/>
      </c>
      <c r="U89" s="25">
        <f>IF($A89="","",SUMIFS(inventory!$G$2:$G$801,inventory!$C$2:$C$801,$A89,inventory!$D$2:$D$801,$B89,inventory!$E$2:$E$801,"delivered"))</f>
        <v/>
      </c>
      <c r="V89" s="32">
        <f>IF($A89="","",IFERROR(1/(1/SUMPRODUCT(MAX((inventory!$C$2:$C$801=$A89)*(inventory!$D$2:$D$801=$B89)*(inventory!$E$2:$E$801="delivered")*(inventory!$A$2:$A$801+inventory!$B$2:$B$801)))),""))</f>
        <v/>
      </c>
      <c r="W89" s="25">
        <f>IF($A89="","",IFERROR(IF(INDEX(inventory!$J$2:$J$801,MATCH($A89&amp;"|"&amp;$B89&amp;"|delivered",inventory!$R$2:$R$801,0))="","",INDEX(inventory!$J$2:$J$801,MATCH($A89&amp;"|"&amp;$B89&amp;"|delivered",inventory!$R$2:$R$801,0))),""))</f>
        <v/>
      </c>
      <c r="X89" s="25">
        <f>IF($A89="","",IFERROR(IF(INDEX(photos!$H$2:$H$701,MATCH($A89&amp;"|"&amp;$B89&amp;"|placement|Y",photos!$R$2:$R$701,0))="","",INDEX(photos!$H$2:$H$701,MATCH($A89&amp;"|"&amp;$B89&amp;"|placement|Y",photos!$R$2:$R$701,0))),""))</f>
        <v/>
      </c>
      <c r="Y89" s="26">
        <f>IF($A89="","",IFERROR(IF(INDEX(photos!$E$2:$E$701,MATCH($A89&amp;"|"&amp;$B89&amp;"|placement|Y",photos!$R$2:$R$701,0))="","",INDEX(photos!$E$2:$E$701,MATCH($A89&amp;"|"&amp;$B89&amp;"|placement|Y",photos!$R$2:$R$701,0))),""))</f>
        <v/>
      </c>
      <c r="Z89" s="25">
        <f>IF($A89="","",IF(COUNTIFS(counts!$C$2:$C$701,$A89,counts!$D$2:$D$701,$B89,counts!$E$2:$E$701,"placed")=0,"",SUMIFS(counts!$F$2:$F$701,counts!$C$2:$C$701,$A89,counts!$D$2:$D$701,$B89,counts!$E$2:$E$701,"placed")))</f>
        <v/>
      </c>
      <c r="AA89" s="25">
        <f>IF($A89="","",IF($Y89="",0,N($Z89)))</f>
        <v/>
      </c>
      <c r="AB89" s="25">
        <f>IF($A89="","",IF(OR($Y89="",$I89=""),"N",IF($Y89&lt;=WORKDAY(N($I89),1,calendar!$A$2:$A$80),"Y","N")))</f>
        <v/>
      </c>
      <c r="AC89" s="28">
        <f>IF(OR($A89="",$V89="",$Y89=""),"",ROUND(($Y89+N(IFERROR(IF(INDEX(photos!$F$2:$F$701,MATCH($A89&amp;"|"&amp;$B89&amp;"|placement|Y",photos!$R$2:$R$701,0))="","",INDEX(photos!$F$2:$F$701,MATCH($A89&amp;"|"&amp;$B89&amp;"|placement|Y",photos!$R$2:$R$701,0))),""))-$V89)*24,1))</f>
        <v/>
      </c>
      <c r="AD89" s="25">
        <f>IF($A89="","",SUMIFS(inventory!$G$2:$G$801,inventory!$C$2:$C$801,$A89,inventory!$D$2:$D$801,$B89,inventory!$E$2:$E$801,"topped_up"))</f>
        <v/>
      </c>
      <c r="AE89" s="25">
        <f>IF($A89="","",IF(COUNTIFS(counts!$C$2:$C$701,$A89,counts!$D$2:$D$701,$B89,counts!$E$2:$E$701,"remaining_day3")=0,"",SUMIFS(counts!$F$2:$F$701,counts!$C$2:$C$701,$A89,counts!$D$2:$D$701,$B89,counts!$E$2:$E$701,"remaining_day3")))</f>
        <v/>
      </c>
      <c r="AF89" s="25">
        <f>IF($A89="","",IF(COUNTIFS(counts!$C$2:$C$701,$A89,counts!$D$2:$D$701,$B89,counts!$E$2:$E$701,"remaining_day5")=0,"",SUMIFS(counts!$F$2:$F$701,counts!$C$2:$C$701,$A89,counts!$D$2:$D$701,$B89,counts!$E$2:$E$701,"remaining_day5")))</f>
        <v/>
      </c>
      <c r="AG89" s="25">
        <f>IF(OR($A89="",$AF89=""),"",MAX(0,$AA89+$AD89-$AF89))</f>
        <v/>
      </c>
      <c r="AH89" s="25">
        <f>IF(OR($A89="",$AI89=""),"",IFERROR(IF(INDEX(photos!$H$2:$H$701,MATCH($A89&amp;"|"&amp;$B89&amp;"|later|Y|"&amp;$AI89,photos!$S$2:$S$701,0))="","",INDEX(photos!$H$2:$H$701,MATCH($A89&amp;"|"&amp;$B89&amp;"|later|Y|"&amp;$AI89,photos!$S$2:$S$701,0))),""))</f>
        <v/>
      </c>
      <c r="AI89" s="26">
        <f>IF($A89="","",IFERROR(1/(1/SUMPRODUCT(MAX((photos!$B$2:$B$701=$A89)*(photos!$C$2:$C$701=$B89)*(photos!$D$2:$D$701="later")*(photos!$O$2:$O$701="Y")*photos!$E$2:$E$701))),""))</f>
        <v/>
      </c>
      <c r="AJ89" s="25">
        <f>IF(OR($A89="",$AI89="",$I89=""),"",NETWORKDAYS($I89,$AI89,calendar!$A$2:$A$80))</f>
        <v/>
      </c>
      <c r="AK89" s="25">
        <f>IF($A89="","",IF(AND($X89&lt;&gt;"",$AH89&lt;&gt;""),"Y","N"))</f>
        <v/>
      </c>
      <c r="AL89" s="25">
        <f>IF(OR($A89="",$I89=""),"",IF($BC89="Y",SUMIFS(survey_frozen!$C$2:$C$251,survey_frozen!$P$2:$P$251,$A89&amp;"|"&amp;$B89),IFERROR(COUNTIFS(INDIRECT("'"&amp;$A89&amp;"'!$B$2:$B$501"),$T89,INDIRECT("'"&amp;$A89&amp;"'!$A$2:$A$501"),"&gt;="&amp;$I89,INDIRECT("'"&amp;$A89&amp;"'!$A$2:$A$501"),"&lt;"&amp;($BA89+1)),0)))</f>
        <v/>
      </c>
      <c r="AM89" s="25">
        <f>IF(OR($A89="",$I89=""),"",IF($BC89="Y",SUMIFS(survey_frozen!$D$2:$D$251,survey_frozen!$P$2:$P$251,$A89&amp;"|"&amp;$B89),IFERROR(COUNTIFS(INDIRECT("'"&amp;$A89&amp;"'!$B$2:$B$501"),$T89,INDIRECT("'"&amp;$A89&amp;"'!$A$2:$A$501"),"&gt;="&amp;$I89,INDIRECT("'"&amp;$A89&amp;"'!$A$2:$A$501"),"&lt;"&amp;($BA89+1),INDIRECT("'"&amp;$A89&amp;"'!$C$2:$C$501"),"Yes"),0)))</f>
        <v/>
      </c>
      <c r="AN89" s="25">
        <f>IF($A89="","",IF(COUNTIFS(scans!$C$2:$C$1601,(IF(LEFT($A89,7)="SAMPLE-","SAMPLE-","")&amp;LOWER(SUBSTITUTE(SUBSTITUTE($A89,"SAMPLE-",""),"CMP-","c"))&amp;"-"&amp;LOWER(SUBSTITUTE(SUBSTITUTE($B89,"SAMPLE-",""),"O-","o"))&amp;"-q"),scans!$D$2:$D$1601,"close")=0,"",SUMPRODUCT(MAX((scans!$C$2:$C$1601=(IF(LEFT($A89,7)="SAMPLE-","SAMPLE-","")&amp;LOWER(SUBSTITUTE(SUBSTITUTE($A89,"SAMPLE-",""),"CMP-","c"))&amp;"-"&amp;LOWER(SUBSTITUTE(SUBSTITUTE($B89,"SAMPLE-",""),"O-","o"))&amp;"-q"))*(scans!$D$2:$D$1601="close")*scans!$E$2:$E$1601))-SUMPRODUCT(MAX((scans!$C$2:$C$1601=(IF(LEFT($A89,7)="SAMPLE-","SAMPLE-","")&amp;LOWER(SUBSTITUTE(SUBSTITUTE($A89,"SAMPLE-",""),"CMP-","c"))&amp;"-"&amp;LOWER(SUBSTITUTE(SUBSTITUTE($B89,"SAMPLE-",""),"O-","o"))&amp;"-q"))*(scans!$D$2:$D$1601="baseline")*scans!$E$2:$E$1601))))</f>
        <v/>
      </c>
      <c r="AO89" s="25">
        <f>IF($A89="","",IF(COUNTIFS(scans!$C$2:$C$1601,(IF(LEFT($A89,7)="SAMPLE-","SAMPLE-","")&amp;LOWER(SUBSTITUTE(SUBSTITUTE($A89,"SAMPLE-",""),"CMP-","c"))&amp;"-"&amp;LOWER(SUBSTITUTE(SUBSTITUTE($B89,"SAMPLE-",""),"O-","o"))&amp;"-p"),scans!$D$2:$D$1601,"close")=0,"",SUMPRODUCT(MAX((scans!$C$2:$C$1601=(IF(LEFT($A89,7)="SAMPLE-","SAMPLE-","")&amp;LOWER(SUBSTITUTE(SUBSTITUTE($A89,"SAMPLE-",""),"CMP-","c"))&amp;"-"&amp;LOWER(SUBSTITUTE(SUBSTITUTE($B89,"SAMPLE-",""),"O-","o"))&amp;"-p"))*(scans!$D$2:$D$1601="close")*scans!$E$2:$E$1601))-SUMPRODUCT(MAX((scans!$C$2:$C$1601=(IF(LEFT($A89,7)="SAMPLE-","SAMPLE-","")&amp;LOWER(SUBSTITUTE(SUBSTITUTE($A89,"SAMPLE-",""),"CMP-","c"))&amp;"-"&amp;LOWER(SUBSTITUTE(SUBSTITUTE($B89,"SAMPLE-",""),"O-","o"))&amp;"-p"))*(scans!$D$2:$D$1601="baseline")*scans!$E$2:$E$1601))))</f>
        <v/>
      </c>
      <c r="AP89" s="25">
        <f>IF($A89="","",IF(COUNTIF(offices!$A$2:$A$61,$B89)=0,"office_id not on offices; ","")&amp;IF(COUNTIF(campaigns!$A$2:$A$51,$A89)=0,"campaign_id not on campaigns; ","")&amp;IF($P89="pending","approval pending; ","")&amp;IF(AND($U89&gt;0,$Y89="",OR($I89="",IF(config!$B$37&lt;&gt;"",config!$B$37,TODAY())&lt;=WORKDAY(N($I89),4,calendar!$A$2:$A$80))),"no usable placement photo yet; ","")&amp;IF(AND($Y89&lt;&gt;"",$Z89=""),"log the placed count; ","")&amp;IF(N($AA89)&gt;N($U89),"placed more than delivered; ","")&amp;IF(AND($AF89&lt;&gt;"",N($AF89)&gt;N($AA89)+N($AD89)),"day-5 count above placed plus top-ups; ","")&amp;IF(AND($U89&gt;0,$I89&lt;&gt;"",IF(config!$B$37&lt;&gt;"",config!$B$37,TODAY())&gt;WORKDAY(N($I89),4,calendar!$A$2:$A$80),$AF89=""),"day-5 count missing; ","")&amp;IF(AND($U89&gt;0,$I89&lt;&gt;"",IF(config!$B$37&lt;&gt;"",config!$B$37,TODAY())&gt;WORKDAY(N($I89),4,calendar!$A$2:$A$80),$AN89=""),"no close link reading; ","")&amp;$R89&amp;IF($P89="N","info: office said no; ","")&amp;IF(AND($P89="Y",$Q89="N"),"info: turned away at the door, so not on the drop (no letter, not in the report or Gate 2; the credit check is on campaigns); ","")&amp;IF(AND($U89&gt;0,$Y89="",$I89&lt;&gt;"",IF(config!$B$37&lt;&gt;"",config!$B$37,TODAY())&gt;WORKDAY(N($I89),4,calendar!$A$2:$A$80)),"info: no usable placement photo, so nothing counts as placed; ","")&amp;IF(AND($U89&gt;0,$I89&lt;&gt;"",IF(config!$B$37&lt;&gt;"",config!$B$37,TODAY())&gt;WORKDAY(N($I89),4,calendar!$A$2:$A$80),N($AL89)&lt;config!$B$30),"info: under "&amp;config!$B$30&amp;" responses; ","")&amp;IF($W89="packing_list","info: delivered count not verified; ",""))</f>
        <v/>
      </c>
      <c r="AQ89" s="25">
        <f>IF(OR($A89="",$I89=""),"",IF($BC89="Y",SUMIFS(survey_frozen!$E$2:$E$251,survey_frozen!$P$2:$P$251,$A89&amp;"|"&amp;$B89),IFERROR(COUNTIFS(INDIRECT("'"&amp;$A89&amp;"'!$B$2:$B$501"),$T89,INDIRECT("'"&amp;$A89&amp;"'!$A$2:$A$501"),"&gt;="&amp;$I89,INDIRECT("'"&amp;$A89&amp;"'!$A$2:$A$501"),"&lt;"&amp;($BA89+1),INDIRECT("'"&amp;$A89&amp;"'!$F$2:$F$501"),"Didn't see it"),0)))</f>
        <v/>
      </c>
      <c r="AR89" s="25">
        <f>IF(OR($A89="",$I89=""),"",IF($BC89="Y",SUMIFS(survey_frozen!$F$2:$F$251,survey_frozen!$P$2:$P$251,$A89&amp;"|"&amp;$B89),IFERROR(COUNTIFS(INDIRECT("'"&amp;$A89&amp;"'!$B$2:$B$501"),$T89,INDIRECT("'"&amp;$A89&amp;"'!$A$2:$A$501"),"&gt;="&amp;$I89,INDIRECT("'"&amp;$A89&amp;"'!$A$2:$A$501"),"&lt;"&amp;($BA89+1),INDIRECT("'"&amp;$A89&amp;"'!$F$2:$F$501"),"Not for me"),0)))</f>
        <v/>
      </c>
      <c r="AS89" s="25">
        <f>IF(OR($A89="",$I89=""),"",IF($BC89="Y",SUMIFS(survey_frozen!$G$2:$G$251,survey_frozen!$P$2:$P$251,$A89&amp;"|"&amp;$B89),IFERROR(COUNTIFS(INDIRECT("'"&amp;$A89&amp;"'!$B$2:$B$501"),$T89,INDIRECT("'"&amp;$A89&amp;"'!$A$2:$A$501"),"&gt;="&amp;$I89,INDIRECT("'"&amp;$A89&amp;"'!$A$2:$A$501"),"&lt;"&amp;($BA89+1),INDIRECT("'"&amp;$A89&amp;"'!$F$2:$F$501"),"Gone by the time I looked"),0)))</f>
        <v/>
      </c>
      <c r="AT89" s="25">
        <f>IF(OR($A89="",$I89=""),"",IF($BC89="Y",SUMIFS(survey_frozen!$H$2:$H$251,survey_frozen!$P$2:$P$251,$A89&amp;"|"&amp;$B89),IFERROR(COUNTIFS(INDIRECT("'"&amp;$A89&amp;"'!$B$2:$B$501"),$T89,INDIRECT("'"&amp;$A89&amp;"'!$A$2:$A$501"),"&gt;="&amp;$I89,INDIRECT("'"&amp;$A89&amp;"'!$A$2:$A$501"),"&lt;"&amp;($BA89+1),INDIRECT("'"&amp;$A89&amp;"'!$D$2:$D$501"),"&gt;=1"),0)))</f>
        <v/>
      </c>
      <c r="AU89" s="25">
        <f>IF(OR($A89="",$I89=""),"",IF($BC89="Y",SUMIFS(survey_frozen!$I$2:$I$251,survey_frozen!$P$2:$P$251,$A89&amp;"|"&amp;$B89),IFERROR(SUMIFS(INDIRECT("'"&amp;$A89&amp;"'!$D$2:$D$501"),INDIRECT("'"&amp;$A89&amp;"'!$B$2:$B$501"),$T89,INDIRECT("'"&amp;$A89&amp;"'!$A$2:$A$501"),"&gt;="&amp;$I89,INDIRECT("'"&amp;$A89&amp;"'!$A$2:$A$501"),"&lt;"&amp;($BA89+1)),0)))</f>
        <v/>
      </c>
      <c r="AV89" s="25">
        <f>IF(OR($A89="",$I89=""),"",IF($BC89="Y",SUMIFS(survey_frozen!$J$2:$J$251,survey_frozen!$P$2:$P$251,$A89&amp;"|"&amp;$B89),IFERROR(COUNTIFS(INDIRECT("'"&amp;$A89&amp;"'!$B$2:$B$501"),$T89,INDIRECT("'"&amp;$A89&amp;"'!$A$2:$A$501"),"&gt;="&amp;$I89,INDIRECT("'"&amp;$A89&amp;"'!$A$2:$A$501"),"&lt;"&amp;($BA89+1),INDIRECT("'"&amp;$A89&amp;"'!$E$2:$E$501"),"Yes"),0)))</f>
        <v/>
      </c>
      <c r="AW89" s="25">
        <f>IF(OR($A89="",$I89=""),"",IF($BC89="Y",SUMIFS(survey_frozen!$K$2:$K$251,survey_frozen!$P$2:$P$251,$A89&amp;"|"&amp;$B89),IFERROR(COUNTIFS(INDIRECT("'"&amp;$A89&amp;"'!$B$2:$B$501"),$T89,INDIRECT("'"&amp;$A89&amp;"'!$A$2:$A$501"),"&gt;="&amp;$I89,INDIRECT("'"&amp;$A89&amp;"'!$A$2:$A$501"),"&lt;"&amp;($BA89+1),INDIRECT("'"&amp;$A89&amp;"'!$E$2:$E$501"),"Maybe"),0)))</f>
        <v/>
      </c>
      <c r="AX89" s="25">
        <f>IF(OR($A89="",$I89=""),"",IF($BC89="Y",SUMIFS(survey_frozen!$L$2:$L$251,survey_frozen!$P$2:$P$251,$A89&amp;"|"&amp;$B89),IFERROR(COUNTIFS(INDIRECT("'"&amp;$A89&amp;"'!$B$2:$B$501"),$T89,INDIRECT("'"&amp;$A89&amp;"'!$A$2:$A$501"),"&gt;="&amp;$I89,INDIRECT("'"&amp;$A89&amp;"'!$A$2:$A$501"),"&lt;"&amp;($BA89+1),INDIRECT("'"&amp;$A89&amp;"'!$E$2:$E$501"),"No"),0)))</f>
        <v/>
      </c>
      <c r="AY89" s="25">
        <f>IF(OR($A89="",$I89=""),"",IF($BC89="Y",SUMIFS(survey_frozen!$M$2:$M$251,survey_frozen!$P$2:$P$251,$A89&amp;"|"&amp;$B89),IFERROR(COUNTIFS(INDIRECT("'"&amp;$A89&amp;"'!$B$2:$B$501"),$T89,INDIRECT("'"&amp;$A89&amp;"'!$A$2:$A$501"),"&gt;="&amp;$I89,INDIRECT("'"&amp;$A89&amp;"'!$A$2:$A$501"),"&lt;"&amp;($BA89+1),INDIRECT("'"&amp;$A89&amp;"'!$G$2:$G$501"),"&lt;&gt;"),0)))</f>
        <v/>
      </c>
      <c r="AZ89" s="25">
        <f>IF($A89="","",$A89&amp;"|"&amp;$L89)</f>
        <v/>
      </c>
      <c r="BA89" s="26">
        <f>IF($A89="","",IFERROR(IF(INDEX(drops!$R$2:$R$21,MATCH($H89,drops!$A$2:$A$21,0))="","",INDEX(drops!$R$2:$R$21,MATCH($H89,drops!$A$2:$A$21,0))),""))</f>
        <v/>
      </c>
      <c r="BB89" s="25">
        <f>IF(OR($A89="",$Q89&lt;&gt;"Y"),1000000,N($AL89))</f>
        <v/>
      </c>
      <c r="BC89" s="25">
        <f>IF($A89="","",IF(COUNTIF(survey_frozen!$P$2:$P$251,$A89&amp;"|"&amp;$B89)&gt;0,"Y",""))</f>
        <v/>
      </c>
    </row>
    <row r="90">
      <c r="C90" s="9" t="n"/>
      <c r="E90" s="9" t="n"/>
      <c r="H90" s="25">
        <f>IF($A90="","",IFERROR(IF(INDEX(campaigns!$B$2:$B$51,MATCH($A90,campaigns!$A$2:$A$51,0))="","",INDEX(campaigns!$B$2:$B$51,MATCH($A90,campaigns!$A$2:$A$51,0))),""))</f>
        <v/>
      </c>
      <c r="I90" s="26">
        <f>IF($A90="","",IFERROR(IF(INDEX(campaigns!$BG$2:$BG$51,MATCH($A90,campaigns!$A$2:$A$51,0))="","",INDEX(campaigns!$BG$2:$BG$51,MATCH($A90,campaigns!$A$2:$A$51,0))),""))</f>
        <v/>
      </c>
      <c r="J90" s="25">
        <f>IF($A90="","",IFERROR(IF(INDEX(campaigns!$BE$2:$BE$51,MATCH($A90,campaigns!$A$2:$A$51,0))="","",INDEX(campaigns!$BE$2:$BE$51,MATCH($A90,campaigns!$A$2:$A$51,0))),""))</f>
        <v/>
      </c>
      <c r="K90" s="25">
        <f>IF($B90="","",IFERROR(IF(INDEX(offices!$N$2:$N$61,MATCH($B90,offices!$A$2:$A$61,0))="","",INDEX(offices!$N$2:$N$61,MATCH($B90,offices!$A$2:$A$61,0))),""))</f>
        <v/>
      </c>
      <c r="L90" s="25">
        <f>IF($A90="","",IF($Q90="N","",COUNTIFS($A$2:$A90,$A90,$Q$2:$Q90,"&lt;&gt;N")))</f>
        <v/>
      </c>
      <c r="M90" s="25">
        <f>IF(OR($A90="",$L90=""),"",IF(AND(config!$B$34="names_if_public",IFERROR(IF(INDEX(offices!$AF$2:$AF$61,MATCH($B90,offices!$A$2:$A$61,0))="","",INDEX(offices!$AF$2:$AF$61,MATCH($B90,offices!$A$2:$A$61,0))),"")="Y"),$K90,CHAR(64+$L90)))</f>
        <v/>
      </c>
      <c r="N90" s="25">
        <f>IF(OR($A90="",$I90=""),"",COUNTIFS(stops!$B$2:$B$151,$B90,stops!$P$2:$P$151,"&lt;"&amp;$I90,stops!$L$2:$L$151,"&lt;&gt;not_delivered")+1)</f>
        <v/>
      </c>
      <c r="O90" s="25">
        <f>IF($A90="","",IF(N($N90)&lt;=config!$B$29,"explicit","opt-out"))</f>
        <v/>
      </c>
      <c r="P90" s="25">
        <f>IF($A90="","",IF($O90="explicit",IF($D90="yes","Y",IF($D90="no","N","pending")),IF($D90="no","N",IF(AND($C90&lt;&gt;"",$I90&lt;&gt;"",$C90&lt;=WORKDAY(N($I90),-5,calendar!$A$2:$A$80)),"Y","pending"))))</f>
        <v/>
      </c>
      <c r="Q90" s="25">
        <f>IF($A90="","",IF($P90="N","N",IF($P90&lt;&gt;"Y","pending",IF(AND((COUNTIFS(stops!$A$2:$A$151,$H90,stops!$B$2:$B$151,$B90,stops!$L$2:$L$151,"declined")+COUNTIFS(stops!$A$2:$A$151,$H90,stops!$B$2:$B$151,$B90,stops!$L$2:$L$151,"building_refused")+COUNTIFS(stops!$A$2:$A$151,$H90,stops!$B$2:$B$151,$B90,stops!$L$2:$L$151,"not_delivered"))&gt;0,N($U90)=0),"N","Y"))))</f>
        <v/>
      </c>
      <c r="R90" s="25">
        <f>IF($A90="","",IF(COUNTIFS($A$2:$A$251,$A90,$B$2:$B$251,$B90)&gt;1,"DUPLICATE ROW; ","")&amp;IF(AND(IFERROR(IF(INDEX(offices!$AC$2:$AC$61,MATCH($B90,offices!$A$2:$A$61,0))="","",INDEX(offices!$AC$2:$AC$61,MATCH($B90,offices!$A$2:$A$61,0))),"")&lt;&gt;"",ISNUMBER(SEARCH($J90,IFERROR(IF(INDEX(offices!$AC$2:$AC$61,MATCH($B90,offices!$A$2:$A$61,0))="","",INDEX(offices!$AC$2:$AC$61,MATCH($B90,offices!$A$2:$A$61,0))),"")))),"BRAND VETOED; ","")&amp;IF(ISNUMBER(SEARCH(IFERROR(IF(INDEX(campaigns!$BF$2:$BF$51,MATCH($A90,campaigns!$A$2:$A$51,0))="","",INDEX(campaigns!$BF$2:$BF$51,MATCH($A90,campaigns!$A$2:$A$51,0))),""),IFERROR(IF(INDEX(offices!$AB$2:$AB$61,MATCH($B90,offices!$A$2:$A$61,0))="","",INDEX(offices!$AB$2:$AB$61,MATCH($B90,offices!$A$2:$A$61,0))),""))),"","info: category not on the office's list; ")&amp;IF(IFERROR(IF(INDEX(offices!$AC$2:$AC$61,MATCH($B90,offices!$A$2:$A$61,0))="","",INDEX(offices!$AC$2:$AC$61,MATCH($B90,offices!$A$2:$A$61,0))),"")&lt;&gt;"","info: read the vetoes against the label; ",""))</f>
        <v/>
      </c>
      <c r="S90" s="25">
        <f>IF($A90="","",IF($G90&lt;&gt;"",$G90,IFERROR(IF(INDEX(offices!$AL$2:$AL$61,MATCH($B90,offices!$A$2:$A$61,0))="","",INDEX(offices!$AL$2:$AL$61,MATCH($B90,offices!$A$2:$A$61,0))),"")))</f>
        <v/>
      </c>
      <c r="T90" s="25">
        <f>IF($A90="","",$A90&amp;"."&amp;$B90)</f>
        <v/>
      </c>
      <c r="U90" s="25">
        <f>IF($A90="","",SUMIFS(inventory!$G$2:$G$801,inventory!$C$2:$C$801,$A90,inventory!$D$2:$D$801,$B90,inventory!$E$2:$E$801,"delivered"))</f>
        <v/>
      </c>
      <c r="V90" s="32">
        <f>IF($A90="","",IFERROR(1/(1/SUMPRODUCT(MAX((inventory!$C$2:$C$801=$A90)*(inventory!$D$2:$D$801=$B90)*(inventory!$E$2:$E$801="delivered")*(inventory!$A$2:$A$801+inventory!$B$2:$B$801)))),""))</f>
        <v/>
      </c>
      <c r="W90" s="25">
        <f>IF($A90="","",IFERROR(IF(INDEX(inventory!$J$2:$J$801,MATCH($A90&amp;"|"&amp;$B90&amp;"|delivered",inventory!$R$2:$R$801,0))="","",INDEX(inventory!$J$2:$J$801,MATCH($A90&amp;"|"&amp;$B90&amp;"|delivered",inventory!$R$2:$R$801,0))),""))</f>
        <v/>
      </c>
      <c r="X90" s="25">
        <f>IF($A90="","",IFERROR(IF(INDEX(photos!$H$2:$H$701,MATCH($A90&amp;"|"&amp;$B90&amp;"|placement|Y",photos!$R$2:$R$701,0))="","",INDEX(photos!$H$2:$H$701,MATCH($A90&amp;"|"&amp;$B90&amp;"|placement|Y",photos!$R$2:$R$701,0))),""))</f>
        <v/>
      </c>
      <c r="Y90" s="26">
        <f>IF($A90="","",IFERROR(IF(INDEX(photos!$E$2:$E$701,MATCH($A90&amp;"|"&amp;$B90&amp;"|placement|Y",photos!$R$2:$R$701,0))="","",INDEX(photos!$E$2:$E$701,MATCH($A90&amp;"|"&amp;$B90&amp;"|placement|Y",photos!$R$2:$R$701,0))),""))</f>
        <v/>
      </c>
      <c r="Z90" s="25">
        <f>IF($A90="","",IF(COUNTIFS(counts!$C$2:$C$701,$A90,counts!$D$2:$D$701,$B90,counts!$E$2:$E$701,"placed")=0,"",SUMIFS(counts!$F$2:$F$701,counts!$C$2:$C$701,$A90,counts!$D$2:$D$701,$B90,counts!$E$2:$E$701,"placed")))</f>
        <v/>
      </c>
      <c r="AA90" s="25">
        <f>IF($A90="","",IF($Y90="",0,N($Z90)))</f>
        <v/>
      </c>
      <c r="AB90" s="25">
        <f>IF($A90="","",IF(OR($Y90="",$I90=""),"N",IF($Y90&lt;=WORKDAY(N($I90),1,calendar!$A$2:$A$80),"Y","N")))</f>
        <v/>
      </c>
      <c r="AC90" s="28">
        <f>IF(OR($A90="",$V90="",$Y90=""),"",ROUND(($Y90+N(IFERROR(IF(INDEX(photos!$F$2:$F$701,MATCH($A90&amp;"|"&amp;$B90&amp;"|placement|Y",photos!$R$2:$R$701,0))="","",INDEX(photos!$F$2:$F$701,MATCH($A90&amp;"|"&amp;$B90&amp;"|placement|Y",photos!$R$2:$R$701,0))),""))-$V90)*24,1))</f>
        <v/>
      </c>
      <c r="AD90" s="25">
        <f>IF($A90="","",SUMIFS(inventory!$G$2:$G$801,inventory!$C$2:$C$801,$A90,inventory!$D$2:$D$801,$B90,inventory!$E$2:$E$801,"topped_up"))</f>
        <v/>
      </c>
      <c r="AE90" s="25">
        <f>IF($A90="","",IF(COUNTIFS(counts!$C$2:$C$701,$A90,counts!$D$2:$D$701,$B90,counts!$E$2:$E$701,"remaining_day3")=0,"",SUMIFS(counts!$F$2:$F$701,counts!$C$2:$C$701,$A90,counts!$D$2:$D$701,$B90,counts!$E$2:$E$701,"remaining_day3")))</f>
        <v/>
      </c>
      <c r="AF90" s="25">
        <f>IF($A90="","",IF(COUNTIFS(counts!$C$2:$C$701,$A90,counts!$D$2:$D$701,$B90,counts!$E$2:$E$701,"remaining_day5")=0,"",SUMIFS(counts!$F$2:$F$701,counts!$C$2:$C$701,$A90,counts!$D$2:$D$701,$B90,counts!$E$2:$E$701,"remaining_day5")))</f>
        <v/>
      </c>
      <c r="AG90" s="25">
        <f>IF(OR($A90="",$AF90=""),"",MAX(0,$AA90+$AD90-$AF90))</f>
        <v/>
      </c>
      <c r="AH90" s="25">
        <f>IF(OR($A90="",$AI90=""),"",IFERROR(IF(INDEX(photos!$H$2:$H$701,MATCH($A90&amp;"|"&amp;$B90&amp;"|later|Y|"&amp;$AI90,photos!$S$2:$S$701,0))="","",INDEX(photos!$H$2:$H$701,MATCH($A90&amp;"|"&amp;$B90&amp;"|later|Y|"&amp;$AI90,photos!$S$2:$S$701,0))),""))</f>
        <v/>
      </c>
      <c r="AI90" s="26">
        <f>IF($A90="","",IFERROR(1/(1/SUMPRODUCT(MAX((photos!$B$2:$B$701=$A90)*(photos!$C$2:$C$701=$B90)*(photos!$D$2:$D$701="later")*(photos!$O$2:$O$701="Y")*photos!$E$2:$E$701))),""))</f>
        <v/>
      </c>
      <c r="AJ90" s="25">
        <f>IF(OR($A90="",$AI90="",$I90=""),"",NETWORKDAYS($I90,$AI90,calendar!$A$2:$A$80))</f>
        <v/>
      </c>
      <c r="AK90" s="25">
        <f>IF($A90="","",IF(AND($X90&lt;&gt;"",$AH90&lt;&gt;""),"Y","N"))</f>
        <v/>
      </c>
      <c r="AL90" s="25">
        <f>IF(OR($A90="",$I90=""),"",IF($BC90="Y",SUMIFS(survey_frozen!$C$2:$C$251,survey_frozen!$P$2:$P$251,$A90&amp;"|"&amp;$B90),IFERROR(COUNTIFS(INDIRECT("'"&amp;$A90&amp;"'!$B$2:$B$501"),$T90,INDIRECT("'"&amp;$A90&amp;"'!$A$2:$A$501"),"&gt;="&amp;$I90,INDIRECT("'"&amp;$A90&amp;"'!$A$2:$A$501"),"&lt;"&amp;($BA90+1)),0)))</f>
        <v/>
      </c>
      <c r="AM90" s="25">
        <f>IF(OR($A90="",$I90=""),"",IF($BC90="Y",SUMIFS(survey_frozen!$D$2:$D$251,survey_frozen!$P$2:$P$251,$A90&amp;"|"&amp;$B90),IFERROR(COUNTIFS(INDIRECT("'"&amp;$A90&amp;"'!$B$2:$B$501"),$T90,INDIRECT("'"&amp;$A90&amp;"'!$A$2:$A$501"),"&gt;="&amp;$I90,INDIRECT("'"&amp;$A90&amp;"'!$A$2:$A$501"),"&lt;"&amp;($BA90+1),INDIRECT("'"&amp;$A90&amp;"'!$C$2:$C$501"),"Yes"),0)))</f>
        <v/>
      </c>
      <c r="AN90" s="25">
        <f>IF($A90="","",IF(COUNTIFS(scans!$C$2:$C$1601,(IF(LEFT($A90,7)="SAMPLE-","SAMPLE-","")&amp;LOWER(SUBSTITUTE(SUBSTITUTE($A90,"SAMPLE-",""),"CMP-","c"))&amp;"-"&amp;LOWER(SUBSTITUTE(SUBSTITUTE($B90,"SAMPLE-",""),"O-","o"))&amp;"-q"),scans!$D$2:$D$1601,"close")=0,"",SUMPRODUCT(MAX((scans!$C$2:$C$1601=(IF(LEFT($A90,7)="SAMPLE-","SAMPLE-","")&amp;LOWER(SUBSTITUTE(SUBSTITUTE($A90,"SAMPLE-",""),"CMP-","c"))&amp;"-"&amp;LOWER(SUBSTITUTE(SUBSTITUTE($B90,"SAMPLE-",""),"O-","o"))&amp;"-q"))*(scans!$D$2:$D$1601="close")*scans!$E$2:$E$1601))-SUMPRODUCT(MAX((scans!$C$2:$C$1601=(IF(LEFT($A90,7)="SAMPLE-","SAMPLE-","")&amp;LOWER(SUBSTITUTE(SUBSTITUTE($A90,"SAMPLE-",""),"CMP-","c"))&amp;"-"&amp;LOWER(SUBSTITUTE(SUBSTITUTE($B90,"SAMPLE-",""),"O-","o"))&amp;"-q"))*(scans!$D$2:$D$1601="baseline")*scans!$E$2:$E$1601))))</f>
        <v/>
      </c>
      <c r="AO90" s="25">
        <f>IF($A90="","",IF(COUNTIFS(scans!$C$2:$C$1601,(IF(LEFT($A90,7)="SAMPLE-","SAMPLE-","")&amp;LOWER(SUBSTITUTE(SUBSTITUTE($A90,"SAMPLE-",""),"CMP-","c"))&amp;"-"&amp;LOWER(SUBSTITUTE(SUBSTITUTE($B90,"SAMPLE-",""),"O-","o"))&amp;"-p"),scans!$D$2:$D$1601,"close")=0,"",SUMPRODUCT(MAX((scans!$C$2:$C$1601=(IF(LEFT($A90,7)="SAMPLE-","SAMPLE-","")&amp;LOWER(SUBSTITUTE(SUBSTITUTE($A90,"SAMPLE-",""),"CMP-","c"))&amp;"-"&amp;LOWER(SUBSTITUTE(SUBSTITUTE($B90,"SAMPLE-",""),"O-","o"))&amp;"-p"))*(scans!$D$2:$D$1601="close")*scans!$E$2:$E$1601))-SUMPRODUCT(MAX((scans!$C$2:$C$1601=(IF(LEFT($A90,7)="SAMPLE-","SAMPLE-","")&amp;LOWER(SUBSTITUTE(SUBSTITUTE($A90,"SAMPLE-",""),"CMP-","c"))&amp;"-"&amp;LOWER(SUBSTITUTE(SUBSTITUTE($B90,"SAMPLE-",""),"O-","o"))&amp;"-p"))*(scans!$D$2:$D$1601="baseline")*scans!$E$2:$E$1601))))</f>
        <v/>
      </c>
      <c r="AP90" s="25">
        <f>IF($A90="","",IF(COUNTIF(offices!$A$2:$A$61,$B90)=0,"office_id not on offices; ","")&amp;IF(COUNTIF(campaigns!$A$2:$A$51,$A90)=0,"campaign_id not on campaigns; ","")&amp;IF($P90="pending","approval pending; ","")&amp;IF(AND($U90&gt;0,$Y90="",OR($I90="",IF(config!$B$37&lt;&gt;"",config!$B$37,TODAY())&lt;=WORKDAY(N($I90),4,calendar!$A$2:$A$80))),"no usable placement photo yet; ","")&amp;IF(AND($Y90&lt;&gt;"",$Z90=""),"log the placed count; ","")&amp;IF(N($AA90)&gt;N($U90),"placed more than delivered; ","")&amp;IF(AND($AF90&lt;&gt;"",N($AF90)&gt;N($AA90)+N($AD90)),"day-5 count above placed plus top-ups; ","")&amp;IF(AND($U90&gt;0,$I90&lt;&gt;"",IF(config!$B$37&lt;&gt;"",config!$B$37,TODAY())&gt;WORKDAY(N($I90),4,calendar!$A$2:$A$80),$AF90=""),"day-5 count missing; ","")&amp;IF(AND($U90&gt;0,$I90&lt;&gt;"",IF(config!$B$37&lt;&gt;"",config!$B$37,TODAY())&gt;WORKDAY(N($I90),4,calendar!$A$2:$A$80),$AN90=""),"no close link reading; ","")&amp;$R90&amp;IF($P90="N","info: office said no; ","")&amp;IF(AND($P90="Y",$Q90="N"),"info: turned away at the door, so not on the drop (no letter, not in the report or Gate 2; the credit check is on campaigns); ","")&amp;IF(AND($U90&gt;0,$Y90="",$I90&lt;&gt;"",IF(config!$B$37&lt;&gt;"",config!$B$37,TODAY())&gt;WORKDAY(N($I90),4,calendar!$A$2:$A$80)),"info: no usable placement photo, so nothing counts as placed; ","")&amp;IF(AND($U90&gt;0,$I90&lt;&gt;"",IF(config!$B$37&lt;&gt;"",config!$B$37,TODAY())&gt;WORKDAY(N($I90),4,calendar!$A$2:$A$80),N($AL90)&lt;config!$B$30),"info: under "&amp;config!$B$30&amp;" responses; ","")&amp;IF($W90="packing_list","info: delivered count not verified; ",""))</f>
        <v/>
      </c>
      <c r="AQ90" s="25">
        <f>IF(OR($A90="",$I90=""),"",IF($BC90="Y",SUMIFS(survey_frozen!$E$2:$E$251,survey_frozen!$P$2:$P$251,$A90&amp;"|"&amp;$B90),IFERROR(COUNTIFS(INDIRECT("'"&amp;$A90&amp;"'!$B$2:$B$501"),$T90,INDIRECT("'"&amp;$A90&amp;"'!$A$2:$A$501"),"&gt;="&amp;$I90,INDIRECT("'"&amp;$A90&amp;"'!$A$2:$A$501"),"&lt;"&amp;($BA90+1),INDIRECT("'"&amp;$A90&amp;"'!$F$2:$F$501"),"Didn't see it"),0)))</f>
        <v/>
      </c>
      <c r="AR90" s="25">
        <f>IF(OR($A90="",$I90=""),"",IF($BC90="Y",SUMIFS(survey_frozen!$F$2:$F$251,survey_frozen!$P$2:$P$251,$A90&amp;"|"&amp;$B90),IFERROR(COUNTIFS(INDIRECT("'"&amp;$A90&amp;"'!$B$2:$B$501"),$T90,INDIRECT("'"&amp;$A90&amp;"'!$A$2:$A$501"),"&gt;="&amp;$I90,INDIRECT("'"&amp;$A90&amp;"'!$A$2:$A$501"),"&lt;"&amp;($BA90+1),INDIRECT("'"&amp;$A90&amp;"'!$F$2:$F$501"),"Not for me"),0)))</f>
        <v/>
      </c>
      <c r="AS90" s="25">
        <f>IF(OR($A90="",$I90=""),"",IF($BC90="Y",SUMIFS(survey_frozen!$G$2:$G$251,survey_frozen!$P$2:$P$251,$A90&amp;"|"&amp;$B90),IFERROR(COUNTIFS(INDIRECT("'"&amp;$A90&amp;"'!$B$2:$B$501"),$T90,INDIRECT("'"&amp;$A90&amp;"'!$A$2:$A$501"),"&gt;="&amp;$I90,INDIRECT("'"&amp;$A90&amp;"'!$A$2:$A$501"),"&lt;"&amp;($BA90+1),INDIRECT("'"&amp;$A90&amp;"'!$F$2:$F$501"),"Gone by the time I looked"),0)))</f>
        <v/>
      </c>
      <c r="AT90" s="25">
        <f>IF(OR($A90="",$I90=""),"",IF($BC90="Y",SUMIFS(survey_frozen!$H$2:$H$251,survey_frozen!$P$2:$P$251,$A90&amp;"|"&amp;$B90),IFERROR(COUNTIFS(INDIRECT("'"&amp;$A90&amp;"'!$B$2:$B$501"),$T90,INDIRECT("'"&amp;$A90&amp;"'!$A$2:$A$501"),"&gt;="&amp;$I90,INDIRECT("'"&amp;$A90&amp;"'!$A$2:$A$501"),"&lt;"&amp;($BA90+1),INDIRECT("'"&amp;$A90&amp;"'!$D$2:$D$501"),"&gt;=1"),0)))</f>
        <v/>
      </c>
      <c r="AU90" s="25">
        <f>IF(OR($A90="",$I90=""),"",IF($BC90="Y",SUMIFS(survey_frozen!$I$2:$I$251,survey_frozen!$P$2:$P$251,$A90&amp;"|"&amp;$B90),IFERROR(SUMIFS(INDIRECT("'"&amp;$A90&amp;"'!$D$2:$D$501"),INDIRECT("'"&amp;$A90&amp;"'!$B$2:$B$501"),$T90,INDIRECT("'"&amp;$A90&amp;"'!$A$2:$A$501"),"&gt;="&amp;$I90,INDIRECT("'"&amp;$A90&amp;"'!$A$2:$A$501"),"&lt;"&amp;($BA90+1)),0)))</f>
        <v/>
      </c>
      <c r="AV90" s="25">
        <f>IF(OR($A90="",$I90=""),"",IF($BC90="Y",SUMIFS(survey_frozen!$J$2:$J$251,survey_frozen!$P$2:$P$251,$A90&amp;"|"&amp;$B90),IFERROR(COUNTIFS(INDIRECT("'"&amp;$A90&amp;"'!$B$2:$B$501"),$T90,INDIRECT("'"&amp;$A90&amp;"'!$A$2:$A$501"),"&gt;="&amp;$I90,INDIRECT("'"&amp;$A90&amp;"'!$A$2:$A$501"),"&lt;"&amp;($BA90+1),INDIRECT("'"&amp;$A90&amp;"'!$E$2:$E$501"),"Yes"),0)))</f>
        <v/>
      </c>
      <c r="AW90" s="25">
        <f>IF(OR($A90="",$I90=""),"",IF($BC90="Y",SUMIFS(survey_frozen!$K$2:$K$251,survey_frozen!$P$2:$P$251,$A90&amp;"|"&amp;$B90),IFERROR(COUNTIFS(INDIRECT("'"&amp;$A90&amp;"'!$B$2:$B$501"),$T90,INDIRECT("'"&amp;$A90&amp;"'!$A$2:$A$501"),"&gt;="&amp;$I90,INDIRECT("'"&amp;$A90&amp;"'!$A$2:$A$501"),"&lt;"&amp;($BA90+1),INDIRECT("'"&amp;$A90&amp;"'!$E$2:$E$501"),"Maybe"),0)))</f>
        <v/>
      </c>
      <c r="AX90" s="25">
        <f>IF(OR($A90="",$I90=""),"",IF($BC90="Y",SUMIFS(survey_frozen!$L$2:$L$251,survey_frozen!$P$2:$P$251,$A90&amp;"|"&amp;$B90),IFERROR(COUNTIFS(INDIRECT("'"&amp;$A90&amp;"'!$B$2:$B$501"),$T90,INDIRECT("'"&amp;$A90&amp;"'!$A$2:$A$501"),"&gt;="&amp;$I90,INDIRECT("'"&amp;$A90&amp;"'!$A$2:$A$501"),"&lt;"&amp;($BA90+1),INDIRECT("'"&amp;$A90&amp;"'!$E$2:$E$501"),"No"),0)))</f>
        <v/>
      </c>
      <c r="AY90" s="25">
        <f>IF(OR($A90="",$I90=""),"",IF($BC90="Y",SUMIFS(survey_frozen!$M$2:$M$251,survey_frozen!$P$2:$P$251,$A90&amp;"|"&amp;$B90),IFERROR(COUNTIFS(INDIRECT("'"&amp;$A90&amp;"'!$B$2:$B$501"),$T90,INDIRECT("'"&amp;$A90&amp;"'!$A$2:$A$501"),"&gt;="&amp;$I90,INDIRECT("'"&amp;$A90&amp;"'!$A$2:$A$501"),"&lt;"&amp;($BA90+1),INDIRECT("'"&amp;$A90&amp;"'!$G$2:$G$501"),"&lt;&gt;"),0)))</f>
        <v/>
      </c>
      <c r="AZ90" s="25">
        <f>IF($A90="","",$A90&amp;"|"&amp;$L90)</f>
        <v/>
      </c>
      <c r="BA90" s="26">
        <f>IF($A90="","",IFERROR(IF(INDEX(drops!$R$2:$R$21,MATCH($H90,drops!$A$2:$A$21,0))="","",INDEX(drops!$R$2:$R$21,MATCH($H90,drops!$A$2:$A$21,0))),""))</f>
        <v/>
      </c>
      <c r="BB90" s="25">
        <f>IF(OR($A90="",$Q90&lt;&gt;"Y"),1000000,N($AL90))</f>
        <v/>
      </c>
      <c r="BC90" s="25">
        <f>IF($A90="","",IF(COUNTIF(survey_frozen!$P$2:$P$251,$A90&amp;"|"&amp;$B90)&gt;0,"Y",""))</f>
        <v/>
      </c>
    </row>
    <row r="91">
      <c r="C91" s="9" t="n"/>
      <c r="E91" s="9" t="n"/>
      <c r="H91" s="25">
        <f>IF($A91="","",IFERROR(IF(INDEX(campaigns!$B$2:$B$51,MATCH($A91,campaigns!$A$2:$A$51,0))="","",INDEX(campaigns!$B$2:$B$51,MATCH($A91,campaigns!$A$2:$A$51,0))),""))</f>
        <v/>
      </c>
      <c r="I91" s="26">
        <f>IF($A91="","",IFERROR(IF(INDEX(campaigns!$BG$2:$BG$51,MATCH($A91,campaigns!$A$2:$A$51,0))="","",INDEX(campaigns!$BG$2:$BG$51,MATCH($A91,campaigns!$A$2:$A$51,0))),""))</f>
        <v/>
      </c>
      <c r="J91" s="25">
        <f>IF($A91="","",IFERROR(IF(INDEX(campaigns!$BE$2:$BE$51,MATCH($A91,campaigns!$A$2:$A$51,0))="","",INDEX(campaigns!$BE$2:$BE$51,MATCH($A91,campaigns!$A$2:$A$51,0))),""))</f>
        <v/>
      </c>
      <c r="K91" s="25">
        <f>IF($B91="","",IFERROR(IF(INDEX(offices!$N$2:$N$61,MATCH($B91,offices!$A$2:$A$61,0))="","",INDEX(offices!$N$2:$N$61,MATCH($B91,offices!$A$2:$A$61,0))),""))</f>
        <v/>
      </c>
      <c r="L91" s="25">
        <f>IF($A91="","",IF($Q91="N","",COUNTIFS($A$2:$A91,$A91,$Q$2:$Q91,"&lt;&gt;N")))</f>
        <v/>
      </c>
      <c r="M91" s="25">
        <f>IF(OR($A91="",$L91=""),"",IF(AND(config!$B$34="names_if_public",IFERROR(IF(INDEX(offices!$AF$2:$AF$61,MATCH($B91,offices!$A$2:$A$61,0))="","",INDEX(offices!$AF$2:$AF$61,MATCH($B91,offices!$A$2:$A$61,0))),"")="Y"),$K91,CHAR(64+$L91)))</f>
        <v/>
      </c>
      <c r="N91" s="25">
        <f>IF(OR($A91="",$I91=""),"",COUNTIFS(stops!$B$2:$B$151,$B91,stops!$P$2:$P$151,"&lt;"&amp;$I91,stops!$L$2:$L$151,"&lt;&gt;not_delivered")+1)</f>
        <v/>
      </c>
      <c r="O91" s="25">
        <f>IF($A91="","",IF(N($N91)&lt;=config!$B$29,"explicit","opt-out"))</f>
        <v/>
      </c>
      <c r="P91" s="25">
        <f>IF($A91="","",IF($O91="explicit",IF($D91="yes","Y",IF($D91="no","N","pending")),IF($D91="no","N",IF(AND($C91&lt;&gt;"",$I91&lt;&gt;"",$C91&lt;=WORKDAY(N($I91),-5,calendar!$A$2:$A$80)),"Y","pending"))))</f>
        <v/>
      </c>
      <c r="Q91" s="25">
        <f>IF($A91="","",IF($P91="N","N",IF($P91&lt;&gt;"Y","pending",IF(AND((COUNTIFS(stops!$A$2:$A$151,$H91,stops!$B$2:$B$151,$B91,stops!$L$2:$L$151,"declined")+COUNTIFS(stops!$A$2:$A$151,$H91,stops!$B$2:$B$151,$B91,stops!$L$2:$L$151,"building_refused")+COUNTIFS(stops!$A$2:$A$151,$H91,stops!$B$2:$B$151,$B91,stops!$L$2:$L$151,"not_delivered"))&gt;0,N($U91)=0),"N","Y"))))</f>
        <v/>
      </c>
      <c r="R91" s="25">
        <f>IF($A91="","",IF(COUNTIFS($A$2:$A$251,$A91,$B$2:$B$251,$B91)&gt;1,"DUPLICATE ROW; ","")&amp;IF(AND(IFERROR(IF(INDEX(offices!$AC$2:$AC$61,MATCH($B91,offices!$A$2:$A$61,0))="","",INDEX(offices!$AC$2:$AC$61,MATCH($B91,offices!$A$2:$A$61,0))),"")&lt;&gt;"",ISNUMBER(SEARCH($J91,IFERROR(IF(INDEX(offices!$AC$2:$AC$61,MATCH($B91,offices!$A$2:$A$61,0))="","",INDEX(offices!$AC$2:$AC$61,MATCH($B91,offices!$A$2:$A$61,0))),"")))),"BRAND VETOED; ","")&amp;IF(ISNUMBER(SEARCH(IFERROR(IF(INDEX(campaigns!$BF$2:$BF$51,MATCH($A91,campaigns!$A$2:$A$51,0))="","",INDEX(campaigns!$BF$2:$BF$51,MATCH($A91,campaigns!$A$2:$A$51,0))),""),IFERROR(IF(INDEX(offices!$AB$2:$AB$61,MATCH($B91,offices!$A$2:$A$61,0))="","",INDEX(offices!$AB$2:$AB$61,MATCH($B91,offices!$A$2:$A$61,0))),""))),"","info: category not on the office's list; ")&amp;IF(IFERROR(IF(INDEX(offices!$AC$2:$AC$61,MATCH($B91,offices!$A$2:$A$61,0))="","",INDEX(offices!$AC$2:$AC$61,MATCH($B91,offices!$A$2:$A$61,0))),"")&lt;&gt;"","info: read the vetoes against the label; ",""))</f>
        <v/>
      </c>
      <c r="S91" s="25">
        <f>IF($A91="","",IF($G91&lt;&gt;"",$G91,IFERROR(IF(INDEX(offices!$AL$2:$AL$61,MATCH($B91,offices!$A$2:$A$61,0))="","",INDEX(offices!$AL$2:$AL$61,MATCH($B91,offices!$A$2:$A$61,0))),"")))</f>
        <v/>
      </c>
      <c r="T91" s="25">
        <f>IF($A91="","",$A91&amp;"."&amp;$B91)</f>
        <v/>
      </c>
      <c r="U91" s="25">
        <f>IF($A91="","",SUMIFS(inventory!$G$2:$G$801,inventory!$C$2:$C$801,$A91,inventory!$D$2:$D$801,$B91,inventory!$E$2:$E$801,"delivered"))</f>
        <v/>
      </c>
      <c r="V91" s="32">
        <f>IF($A91="","",IFERROR(1/(1/SUMPRODUCT(MAX((inventory!$C$2:$C$801=$A91)*(inventory!$D$2:$D$801=$B91)*(inventory!$E$2:$E$801="delivered")*(inventory!$A$2:$A$801+inventory!$B$2:$B$801)))),""))</f>
        <v/>
      </c>
      <c r="W91" s="25">
        <f>IF($A91="","",IFERROR(IF(INDEX(inventory!$J$2:$J$801,MATCH($A91&amp;"|"&amp;$B91&amp;"|delivered",inventory!$R$2:$R$801,0))="","",INDEX(inventory!$J$2:$J$801,MATCH($A91&amp;"|"&amp;$B91&amp;"|delivered",inventory!$R$2:$R$801,0))),""))</f>
        <v/>
      </c>
      <c r="X91" s="25">
        <f>IF($A91="","",IFERROR(IF(INDEX(photos!$H$2:$H$701,MATCH($A91&amp;"|"&amp;$B91&amp;"|placement|Y",photos!$R$2:$R$701,0))="","",INDEX(photos!$H$2:$H$701,MATCH($A91&amp;"|"&amp;$B91&amp;"|placement|Y",photos!$R$2:$R$701,0))),""))</f>
        <v/>
      </c>
      <c r="Y91" s="26">
        <f>IF($A91="","",IFERROR(IF(INDEX(photos!$E$2:$E$701,MATCH($A91&amp;"|"&amp;$B91&amp;"|placement|Y",photos!$R$2:$R$701,0))="","",INDEX(photos!$E$2:$E$701,MATCH($A91&amp;"|"&amp;$B91&amp;"|placement|Y",photos!$R$2:$R$701,0))),""))</f>
        <v/>
      </c>
      <c r="Z91" s="25">
        <f>IF($A91="","",IF(COUNTIFS(counts!$C$2:$C$701,$A91,counts!$D$2:$D$701,$B91,counts!$E$2:$E$701,"placed")=0,"",SUMIFS(counts!$F$2:$F$701,counts!$C$2:$C$701,$A91,counts!$D$2:$D$701,$B91,counts!$E$2:$E$701,"placed")))</f>
        <v/>
      </c>
      <c r="AA91" s="25">
        <f>IF($A91="","",IF($Y91="",0,N($Z91)))</f>
        <v/>
      </c>
      <c r="AB91" s="25">
        <f>IF($A91="","",IF(OR($Y91="",$I91=""),"N",IF($Y91&lt;=WORKDAY(N($I91),1,calendar!$A$2:$A$80),"Y","N")))</f>
        <v/>
      </c>
      <c r="AC91" s="28">
        <f>IF(OR($A91="",$V91="",$Y91=""),"",ROUND(($Y91+N(IFERROR(IF(INDEX(photos!$F$2:$F$701,MATCH($A91&amp;"|"&amp;$B91&amp;"|placement|Y",photos!$R$2:$R$701,0))="","",INDEX(photos!$F$2:$F$701,MATCH($A91&amp;"|"&amp;$B91&amp;"|placement|Y",photos!$R$2:$R$701,0))),""))-$V91)*24,1))</f>
        <v/>
      </c>
      <c r="AD91" s="25">
        <f>IF($A91="","",SUMIFS(inventory!$G$2:$G$801,inventory!$C$2:$C$801,$A91,inventory!$D$2:$D$801,$B91,inventory!$E$2:$E$801,"topped_up"))</f>
        <v/>
      </c>
      <c r="AE91" s="25">
        <f>IF($A91="","",IF(COUNTIFS(counts!$C$2:$C$701,$A91,counts!$D$2:$D$701,$B91,counts!$E$2:$E$701,"remaining_day3")=0,"",SUMIFS(counts!$F$2:$F$701,counts!$C$2:$C$701,$A91,counts!$D$2:$D$701,$B91,counts!$E$2:$E$701,"remaining_day3")))</f>
        <v/>
      </c>
      <c r="AF91" s="25">
        <f>IF($A91="","",IF(COUNTIFS(counts!$C$2:$C$701,$A91,counts!$D$2:$D$701,$B91,counts!$E$2:$E$701,"remaining_day5")=0,"",SUMIFS(counts!$F$2:$F$701,counts!$C$2:$C$701,$A91,counts!$D$2:$D$701,$B91,counts!$E$2:$E$701,"remaining_day5")))</f>
        <v/>
      </c>
      <c r="AG91" s="25">
        <f>IF(OR($A91="",$AF91=""),"",MAX(0,$AA91+$AD91-$AF91))</f>
        <v/>
      </c>
      <c r="AH91" s="25">
        <f>IF(OR($A91="",$AI91=""),"",IFERROR(IF(INDEX(photos!$H$2:$H$701,MATCH($A91&amp;"|"&amp;$B91&amp;"|later|Y|"&amp;$AI91,photos!$S$2:$S$701,0))="","",INDEX(photos!$H$2:$H$701,MATCH($A91&amp;"|"&amp;$B91&amp;"|later|Y|"&amp;$AI91,photos!$S$2:$S$701,0))),""))</f>
        <v/>
      </c>
      <c r="AI91" s="26">
        <f>IF($A91="","",IFERROR(1/(1/SUMPRODUCT(MAX((photos!$B$2:$B$701=$A91)*(photos!$C$2:$C$701=$B91)*(photos!$D$2:$D$701="later")*(photos!$O$2:$O$701="Y")*photos!$E$2:$E$701))),""))</f>
        <v/>
      </c>
      <c r="AJ91" s="25">
        <f>IF(OR($A91="",$AI91="",$I91=""),"",NETWORKDAYS($I91,$AI91,calendar!$A$2:$A$80))</f>
        <v/>
      </c>
      <c r="AK91" s="25">
        <f>IF($A91="","",IF(AND($X91&lt;&gt;"",$AH91&lt;&gt;""),"Y","N"))</f>
        <v/>
      </c>
      <c r="AL91" s="25">
        <f>IF(OR($A91="",$I91=""),"",IF($BC91="Y",SUMIFS(survey_frozen!$C$2:$C$251,survey_frozen!$P$2:$P$251,$A91&amp;"|"&amp;$B91),IFERROR(COUNTIFS(INDIRECT("'"&amp;$A91&amp;"'!$B$2:$B$501"),$T91,INDIRECT("'"&amp;$A91&amp;"'!$A$2:$A$501"),"&gt;="&amp;$I91,INDIRECT("'"&amp;$A91&amp;"'!$A$2:$A$501"),"&lt;"&amp;($BA91+1)),0)))</f>
        <v/>
      </c>
      <c r="AM91" s="25">
        <f>IF(OR($A91="",$I91=""),"",IF($BC91="Y",SUMIFS(survey_frozen!$D$2:$D$251,survey_frozen!$P$2:$P$251,$A91&amp;"|"&amp;$B91),IFERROR(COUNTIFS(INDIRECT("'"&amp;$A91&amp;"'!$B$2:$B$501"),$T91,INDIRECT("'"&amp;$A91&amp;"'!$A$2:$A$501"),"&gt;="&amp;$I91,INDIRECT("'"&amp;$A91&amp;"'!$A$2:$A$501"),"&lt;"&amp;($BA91+1),INDIRECT("'"&amp;$A91&amp;"'!$C$2:$C$501"),"Yes"),0)))</f>
        <v/>
      </c>
      <c r="AN91" s="25">
        <f>IF($A91="","",IF(COUNTIFS(scans!$C$2:$C$1601,(IF(LEFT($A91,7)="SAMPLE-","SAMPLE-","")&amp;LOWER(SUBSTITUTE(SUBSTITUTE($A91,"SAMPLE-",""),"CMP-","c"))&amp;"-"&amp;LOWER(SUBSTITUTE(SUBSTITUTE($B91,"SAMPLE-",""),"O-","o"))&amp;"-q"),scans!$D$2:$D$1601,"close")=0,"",SUMPRODUCT(MAX((scans!$C$2:$C$1601=(IF(LEFT($A91,7)="SAMPLE-","SAMPLE-","")&amp;LOWER(SUBSTITUTE(SUBSTITUTE($A91,"SAMPLE-",""),"CMP-","c"))&amp;"-"&amp;LOWER(SUBSTITUTE(SUBSTITUTE($B91,"SAMPLE-",""),"O-","o"))&amp;"-q"))*(scans!$D$2:$D$1601="close")*scans!$E$2:$E$1601))-SUMPRODUCT(MAX((scans!$C$2:$C$1601=(IF(LEFT($A91,7)="SAMPLE-","SAMPLE-","")&amp;LOWER(SUBSTITUTE(SUBSTITUTE($A91,"SAMPLE-",""),"CMP-","c"))&amp;"-"&amp;LOWER(SUBSTITUTE(SUBSTITUTE($B91,"SAMPLE-",""),"O-","o"))&amp;"-q"))*(scans!$D$2:$D$1601="baseline")*scans!$E$2:$E$1601))))</f>
        <v/>
      </c>
      <c r="AO91" s="25">
        <f>IF($A91="","",IF(COUNTIFS(scans!$C$2:$C$1601,(IF(LEFT($A91,7)="SAMPLE-","SAMPLE-","")&amp;LOWER(SUBSTITUTE(SUBSTITUTE($A91,"SAMPLE-",""),"CMP-","c"))&amp;"-"&amp;LOWER(SUBSTITUTE(SUBSTITUTE($B91,"SAMPLE-",""),"O-","o"))&amp;"-p"),scans!$D$2:$D$1601,"close")=0,"",SUMPRODUCT(MAX((scans!$C$2:$C$1601=(IF(LEFT($A91,7)="SAMPLE-","SAMPLE-","")&amp;LOWER(SUBSTITUTE(SUBSTITUTE($A91,"SAMPLE-",""),"CMP-","c"))&amp;"-"&amp;LOWER(SUBSTITUTE(SUBSTITUTE($B91,"SAMPLE-",""),"O-","o"))&amp;"-p"))*(scans!$D$2:$D$1601="close")*scans!$E$2:$E$1601))-SUMPRODUCT(MAX((scans!$C$2:$C$1601=(IF(LEFT($A91,7)="SAMPLE-","SAMPLE-","")&amp;LOWER(SUBSTITUTE(SUBSTITUTE($A91,"SAMPLE-",""),"CMP-","c"))&amp;"-"&amp;LOWER(SUBSTITUTE(SUBSTITUTE($B91,"SAMPLE-",""),"O-","o"))&amp;"-p"))*(scans!$D$2:$D$1601="baseline")*scans!$E$2:$E$1601))))</f>
        <v/>
      </c>
      <c r="AP91" s="25">
        <f>IF($A91="","",IF(COUNTIF(offices!$A$2:$A$61,$B91)=0,"office_id not on offices; ","")&amp;IF(COUNTIF(campaigns!$A$2:$A$51,$A91)=0,"campaign_id not on campaigns; ","")&amp;IF($P91="pending","approval pending; ","")&amp;IF(AND($U91&gt;0,$Y91="",OR($I91="",IF(config!$B$37&lt;&gt;"",config!$B$37,TODAY())&lt;=WORKDAY(N($I91),4,calendar!$A$2:$A$80))),"no usable placement photo yet; ","")&amp;IF(AND($Y91&lt;&gt;"",$Z91=""),"log the placed count; ","")&amp;IF(N($AA91)&gt;N($U91),"placed more than delivered; ","")&amp;IF(AND($AF91&lt;&gt;"",N($AF91)&gt;N($AA91)+N($AD91)),"day-5 count above placed plus top-ups; ","")&amp;IF(AND($U91&gt;0,$I91&lt;&gt;"",IF(config!$B$37&lt;&gt;"",config!$B$37,TODAY())&gt;WORKDAY(N($I91),4,calendar!$A$2:$A$80),$AF91=""),"day-5 count missing; ","")&amp;IF(AND($U91&gt;0,$I91&lt;&gt;"",IF(config!$B$37&lt;&gt;"",config!$B$37,TODAY())&gt;WORKDAY(N($I91),4,calendar!$A$2:$A$80),$AN91=""),"no close link reading; ","")&amp;$R91&amp;IF($P91="N","info: office said no; ","")&amp;IF(AND($P91="Y",$Q91="N"),"info: turned away at the door, so not on the drop (no letter, not in the report or Gate 2; the credit check is on campaigns); ","")&amp;IF(AND($U91&gt;0,$Y91="",$I91&lt;&gt;"",IF(config!$B$37&lt;&gt;"",config!$B$37,TODAY())&gt;WORKDAY(N($I91),4,calendar!$A$2:$A$80)),"info: no usable placement photo, so nothing counts as placed; ","")&amp;IF(AND($U91&gt;0,$I91&lt;&gt;"",IF(config!$B$37&lt;&gt;"",config!$B$37,TODAY())&gt;WORKDAY(N($I91),4,calendar!$A$2:$A$80),N($AL91)&lt;config!$B$30),"info: under "&amp;config!$B$30&amp;" responses; ","")&amp;IF($W91="packing_list","info: delivered count not verified; ",""))</f>
        <v/>
      </c>
      <c r="AQ91" s="25">
        <f>IF(OR($A91="",$I91=""),"",IF($BC91="Y",SUMIFS(survey_frozen!$E$2:$E$251,survey_frozen!$P$2:$P$251,$A91&amp;"|"&amp;$B91),IFERROR(COUNTIFS(INDIRECT("'"&amp;$A91&amp;"'!$B$2:$B$501"),$T91,INDIRECT("'"&amp;$A91&amp;"'!$A$2:$A$501"),"&gt;="&amp;$I91,INDIRECT("'"&amp;$A91&amp;"'!$A$2:$A$501"),"&lt;"&amp;($BA91+1),INDIRECT("'"&amp;$A91&amp;"'!$F$2:$F$501"),"Didn't see it"),0)))</f>
        <v/>
      </c>
      <c r="AR91" s="25">
        <f>IF(OR($A91="",$I91=""),"",IF($BC91="Y",SUMIFS(survey_frozen!$F$2:$F$251,survey_frozen!$P$2:$P$251,$A91&amp;"|"&amp;$B91),IFERROR(COUNTIFS(INDIRECT("'"&amp;$A91&amp;"'!$B$2:$B$501"),$T91,INDIRECT("'"&amp;$A91&amp;"'!$A$2:$A$501"),"&gt;="&amp;$I91,INDIRECT("'"&amp;$A91&amp;"'!$A$2:$A$501"),"&lt;"&amp;($BA91+1),INDIRECT("'"&amp;$A91&amp;"'!$F$2:$F$501"),"Not for me"),0)))</f>
        <v/>
      </c>
      <c r="AS91" s="25">
        <f>IF(OR($A91="",$I91=""),"",IF($BC91="Y",SUMIFS(survey_frozen!$G$2:$G$251,survey_frozen!$P$2:$P$251,$A91&amp;"|"&amp;$B91),IFERROR(COUNTIFS(INDIRECT("'"&amp;$A91&amp;"'!$B$2:$B$501"),$T91,INDIRECT("'"&amp;$A91&amp;"'!$A$2:$A$501"),"&gt;="&amp;$I91,INDIRECT("'"&amp;$A91&amp;"'!$A$2:$A$501"),"&lt;"&amp;($BA91+1),INDIRECT("'"&amp;$A91&amp;"'!$F$2:$F$501"),"Gone by the time I looked"),0)))</f>
        <v/>
      </c>
      <c r="AT91" s="25">
        <f>IF(OR($A91="",$I91=""),"",IF($BC91="Y",SUMIFS(survey_frozen!$H$2:$H$251,survey_frozen!$P$2:$P$251,$A91&amp;"|"&amp;$B91),IFERROR(COUNTIFS(INDIRECT("'"&amp;$A91&amp;"'!$B$2:$B$501"),$T91,INDIRECT("'"&amp;$A91&amp;"'!$A$2:$A$501"),"&gt;="&amp;$I91,INDIRECT("'"&amp;$A91&amp;"'!$A$2:$A$501"),"&lt;"&amp;($BA91+1),INDIRECT("'"&amp;$A91&amp;"'!$D$2:$D$501"),"&gt;=1"),0)))</f>
        <v/>
      </c>
      <c r="AU91" s="25">
        <f>IF(OR($A91="",$I91=""),"",IF($BC91="Y",SUMIFS(survey_frozen!$I$2:$I$251,survey_frozen!$P$2:$P$251,$A91&amp;"|"&amp;$B91),IFERROR(SUMIFS(INDIRECT("'"&amp;$A91&amp;"'!$D$2:$D$501"),INDIRECT("'"&amp;$A91&amp;"'!$B$2:$B$501"),$T91,INDIRECT("'"&amp;$A91&amp;"'!$A$2:$A$501"),"&gt;="&amp;$I91,INDIRECT("'"&amp;$A91&amp;"'!$A$2:$A$501"),"&lt;"&amp;($BA91+1)),0)))</f>
        <v/>
      </c>
      <c r="AV91" s="25">
        <f>IF(OR($A91="",$I91=""),"",IF($BC91="Y",SUMIFS(survey_frozen!$J$2:$J$251,survey_frozen!$P$2:$P$251,$A91&amp;"|"&amp;$B91),IFERROR(COUNTIFS(INDIRECT("'"&amp;$A91&amp;"'!$B$2:$B$501"),$T91,INDIRECT("'"&amp;$A91&amp;"'!$A$2:$A$501"),"&gt;="&amp;$I91,INDIRECT("'"&amp;$A91&amp;"'!$A$2:$A$501"),"&lt;"&amp;($BA91+1),INDIRECT("'"&amp;$A91&amp;"'!$E$2:$E$501"),"Yes"),0)))</f>
        <v/>
      </c>
      <c r="AW91" s="25">
        <f>IF(OR($A91="",$I91=""),"",IF($BC91="Y",SUMIFS(survey_frozen!$K$2:$K$251,survey_frozen!$P$2:$P$251,$A91&amp;"|"&amp;$B91),IFERROR(COUNTIFS(INDIRECT("'"&amp;$A91&amp;"'!$B$2:$B$501"),$T91,INDIRECT("'"&amp;$A91&amp;"'!$A$2:$A$501"),"&gt;="&amp;$I91,INDIRECT("'"&amp;$A91&amp;"'!$A$2:$A$501"),"&lt;"&amp;($BA91+1),INDIRECT("'"&amp;$A91&amp;"'!$E$2:$E$501"),"Maybe"),0)))</f>
        <v/>
      </c>
      <c r="AX91" s="25">
        <f>IF(OR($A91="",$I91=""),"",IF($BC91="Y",SUMIFS(survey_frozen!$L$2:$L$251,survey_frozen!$P$2:$P$251,$A91&amp;"|"&amp;$B91),IFERROR(COUNTIFS(INDIRECT("'"&amp;$A91&amp;"'!$B$2:$B$501"),$T91,INDIRECT("'"&amp;$A91&amp;"'!$A$2:$A$501"),"&gt;="&amp;$I91,INDIRECT("'"&amp;$A91&amp;"'!$A$2:$A$501"),"&lt;"&amp;($BA91+1),INDIRECT("'"&amp;$A91&amp;"'!$E$2:$E$501"),"No"),0)))</f>
        <v/>
      </c>
      <c r="AY91" s="25">
        <f>IF(OR($A91="",$I91=""),"",IF($BC91="Y",SUMIFS(survey_frozen!$M$2:$M$251,survey_frozen!$P$2:$P$251,$A91&amp;"|"&amp;$B91),IFERROR(COUNTIFS(INDIRECT("'"&amp;$A91&amp;"'!$B$2:$B$501"),$T91,INDIRECT("'"&amp;$A91&amp;"'!$A$2:$A$501"),"&gt;="&amp;$I91,INDIRECT("'"&amp;$A91&amp;"'!$A$2:$A$501"),"&lt;"&amp;($BA91+1),INDIRECT("'"&amp;$A91&amp;"'!$G$2:$G$501"),"&lt;&gt;"),0)))</f>
        <v/>
      </c>
      <c r="AZ91" s="25">
        <f>IF($A91="","",$A91&amp;"|"&amp;$L91)</f>
        <v/>
      </c>
      <c r="BA91" s="26">
        <f>IF($A91="","",IFERROR(IF(INDEX(drops!$R$2:$R$21,MATCH($H91,drops!$A$2:$A$21,0))="","",INDEX(drops!$R$2:$R$21,MATCH($H91,drops!$A$2:$A$21,0))),""))</f>
        <v/>
      </c>
      <c r="BB91" s="25">
        <f>IF(OR($A91="",$Q91&lt;&gt;"Y"),1000000,N($AL91))</f>
        <v/>
      </c>
      <c r="BC91" s="25">
        <f>IF($A91="","",IF(COUNTIF(survey_frozen!$P$2:$P$251,$A91&amp;"|"&amp;$B91)&gt;0,"Y",""))</f>
        <v/>
      </c>
    </row>
    <row r="92">
      <c r="C92" s="9" t="n"/>
      <c r="E92" s="9" t="n"/>
      <c r="H92" s="25">
        <f>IF($A92="","",IFERROR(IF(INDEX(campaigns!$B$2:$B$51,MATCH($A92,campaigns!$A$2:$A$51,0))="","",INDEX(campaigns!$B$2:$B$51,MATCH($A92,campaigns!$A$2:$A$51,0))),""))</f>
        <v/>
      </c>
      <c r="I92" s="26">
        <f>IF($A92="","",IFERROR(IF(INDEX(campaigns!$BG$2:$BG$51,MATCH($A92,campaigns!$A$2:$A$51,0))="","",INDEX(campaigns!$BG$2:$BG$51,MATCH($A92,campaigns!$A$2:$A$51,0))),""))</f>
        <v/>
      </c>
      <c r="J92" s="25">
        <f>IF($A92="","",IFERROR(IF(INDEX(campaigns!$BE$2:$BE$51,MATCH($A92,campaigns!$A$2:$A$51,0))="","",INDEX(campaigns!$BE$2:$BE$51,MATCH($A92,campaigns!$A$2:$A$51,0))),""))</f>
        <v/>
      </c>
      <c r="K92" s="25">
        <f>IF($B92="","",IFERROR(IF(INDEX(offices!$N$2:$N$61,MATCH($B92,offices!$A$2:$A$61,0))="","",INDEX(offices!$N$2:$N$61,MATCH($B92,offices!$A$2:$A$61,0))),""))</f>
        <v/>
      </c>
      <c r="L92" s="25">
        <f>IF($A92="","",IF($Q92="N","",COUNTIFS($A$2:$A92,$A92,$Q$2:$Q92,"&lt;&gt;N")))</f>
        <v/>
      </c>
      <c r="M92" s="25">
        <f>IF(OR($A92="",$L92=""),"",IF(AND(config!$B$34="names_if_public",IFERROR(IF(INDEX(offices!$AF$2:$AF$61,MATCH($B92,offices!$A$2:$A$61,0))="","",INDEX(offices!$AF$2:$AF$61,MATCH($B92,offices!$A$2:$A$61,0))),"")="Y"),$K92,CHAR(64+$L92)))</f>
        <v/>
      </c>
      <c r="N92" s="25">
        <f>IF(OR($A92="",$I92=""),"",COUNTIFS(stops!$B$2:$B$151,$B92,stops!$P$2:$P$151,"&lt;"&amp;$I92,stops!$L$2:$L$151,"&lt;&gt;not_delivered")+1)</f>
        <v/>
      </c>
      <c r="O92" s="25">
        <f>IF($A92="","",IF(N($N92)&lt;=config!$B$29,"explicit","opt-out"))</f>
        <v/>
      </c>
      <c r="P92" s="25">
        <f>IF($A92="","",IF($O92="explicit",IF($D92="yes","Y",IF($D92="no","N","pending")),IF($D92="no","N",IF(AND($C92&lt;&gt;"",$I92&lt;&gt;"",$C92&lt;=WORKDAY(N($I92),-5,calendar!$A$2:$A$80)),"Y","pending"))))</f>
        <v/>
      </c>
      <c r="Q92" s="25">
        <f>IF($A92="","",IF($P92="N","N",IF($P92&lt;&gt;"Y","pending",IF(AND((COUNTIFS(stops!$A$2:$A$151,$H92,stops!$B$2:$B$151,$B92,stops!$L$2:$L$151,"declined")+COUNTIFS(stops!$A$2:$A$151,$H92,stops!$B$2:$B$151,$B92,stops!$L$2:$L$151,"building_refused")+COUNTIFS(stops!$A$2:$A$151,$H92,stops!$B$2:$B$151,$B92,stops!$L$2:$L$151,"not_delivered"))&gt;0,N($U92)=0),"N","Y"))))</f>
        <v/>
      </c>
      <c r="R92" s="25">
        <f>IF($A92="","",IF(COUNTIFS($A$2:$A$251,$A92,$B$2:$B$251,$B92)&gt;1,"DUPLICATE ROW; ","")&amp;IF(AND(IFERROR(IF(INDEX(offices!$AC$2:$AC$61,MATCH($B92,offices!$A$2:$A$61,0))="","",INDEX(offices!$AC$2:$AC$61,MATCH($B92,offices!$A$2:$A$61,0))),"")&lt;&gt;"",ISNUMBER(SEARCH($J92,IFERROR(IF(INDEX(offices!$AC$2:$AC$61,MATCH($B92,offices!$A$2:$A$61,0))="","",INDEX(offices!$AC$2:$AC$61,MATCH($B92,offices!$A$2:$A$61,0))),"")))),"BRAND VETOED; ","")&amp;IF(ISNUMBER(SEARCH(IFERROR(IF(INDEX(campaigns!$BF$2:$BF$51,MATCH($A92,campaigns!$A$2:$A$51,0))="","",INDEX(campaigns!$BF$2:$BF$51,MATCH($A92,campaigns!$A$2:$A$51,0))),""),IFERROR(IF(INDEX(offices!$AB$2:$AB$61,MATCH($B92,offices!$A$2:$A$61,0))="","",INDEX(offices!$AB$2:$AB$61,MATCH($B92,offices!$A$2:$A$61,0))),""))),"","info: category not on the office's list; ")&amp;IF(IFERROR(IF(INDEX(offices!$AC$2:$AC$61,MATCH($B92,offices!$A$2:$A$61,0))="","",INDEX(offices!$AC$2:$AC$61,MATCH($B92,offices!$A$2:$A$61,0))),"")&lt;&gt;"","info: read the vetoes against the label; ",""))</f>
        <v/>
      </c>
      <c r="S92" s="25">
        <f>IF($A92="","",IF($G92&lt;&gt;"",$G92,IFERROR(IF(INDEX(offices!$AL$2:$AL$61,MATCH($B92,offices!$A$2:$A$61,0))="","",INDEX(offices!$AL$2:$AL$61,MATCH($B92,offices!$A$2:$A$61,0))),"")))</f>
        <v/>
      </c>
      <c r="T92" s="25">
        <f>IF($A92="","",$A92&amp;"."&amp;$B92)</f>
        <v/>
      </c>
      <c r="U92" s="25">
        <f>IF($A92="","",SUMIFS(inventory!$G$2:$G$801,inventory!$C$2:$C$801,$A92,inventory!$D$2:$D$801,$B92,inventory!$E$2:$E$801,"delivered"))</f>
        <v/>
      </c>
      <c r="V92" s="32">
        <f>IF($A92="","",IFERROR(1/(1/SUMPRODUCT(MAX((inventory!$C$2:$C$801=$A92)*(inventory!$D$2:$D$801=$B92)*(inventory!$E$2:$E$801="delivered")*(inventory!$A$2:$A$801+inventory!$B$2:$B$801)))),""))</f>
        <v/>
      </c>
      <c r="W92" s="25">
        <f>IF($A92="","",IFERROR(IF(INDEX(inventory!$J$2:$J$801,MATCH($A92&amp;"|"&amp;$B92&amp;"|delivered",inventory!$R$2:$R$801,0))="","",INDEX(inventory!$J$2:$J$801,MATCH($A92&amp;"|"&amp;$B92&amp;"|delivered",inventory!$R$2:$R$801,0))),""))</f>
        <v/>
      </c>
      <c r="X92" s="25">
        <f>IF($A92="","",IFERROR(IF(INDEX(photos!$H$2:$H$701,MATCH($A92&amp;"|"&amp;$B92&amp;"|placement|Y",photos!$R$2:$R$701,0))="","",INDEX(photos!$H$2:$H$701,MATCH($A92&amp;"|"&amp;$B92&amp;"|placement|Y",photos!$R$2:$R$701,0))),""))</f>
        <v/>
      </c>
      <c r="Y92" s="26">
        <f>IF($A92="","",IFERROR(IF(INDEX(photos!$E$2:$E$701,MATCH($A92&amp;"|"&amp;$B92&amp;"|placement|Y",photos!$R$2:$R$701,0))="","",INDEX(photos!$E$2:$E$701,MATCH($A92&amp;"|"&amp;$B92&amp;"|placement|Y",photos!$R$2:$R$701,0))),""))</f>
        <v/>
      </c>
      <c r="Z92" s="25">
        <f>IF($A92="","",IF(COUNTIFS(counts!$C$2:$C$701,$A92,counts!$D$2:$D$701,$B92,counts!$E$2:$E$701,"placed")=0,"",SUMIFS(counts!$F$2:$F$701,counts!$C$2:$C$701,$A92,counts!$D$2:$D$701,$B92,counts!$E$2:$E$701,"placed")))</f>
        <v/>
      </c>
      <c r="AA92" s="25">
        <f>IF($A92="","",IF($Y92="",0,N($Z92)))</f>
        <v/>
      </c>
      <c r="AB92" s="25">
        <f>IF($A92="","",IF(OR($Y92="",$I92=""),"N",IF($Y92&lt;=WORKDAY(N($I92),1,calendar!$A$2:$A$80),"Y","N")))</f>
        <v/>
      </c>
      <c r="AC92" s="28">
        <f>IF(OR($A92="",$V92="",$Y92=""),"",ROUND(($Y92+N(IFERROR(IF(INDEX(photos!$F$2:$F$701,MATCH($A92&amp;"|"&amp;$B92&amp;"|placement|Y",photos!$R$2:$R$701,0))="","",INDEX(photos!$F$2:$F$701,MATCH($A92&amp;"|"&amp;$B92&amp;"|placement|Y",photos!$R$2:$R$701,0))),""))-$V92)*24,1))</f>
        <v/>
      </c>
      <c r="AD92" s="25">
        <f>IF($A92="","",SUMIFS(inventory!$G$2:$G$801,inventory!$C$2:$C$801,$A92,inventory!$D$2:$D$801,$B92,inventory!$E$2:$E$801,"topped_up"))</f>
        <v/>
      </c>
      <c r="AE92" s="25">
        <f>IF($A92="","",IF(COUNTIFS(counts!$C$2:$C$701,$A92,counts!$D$2:$D$701,$B92,counts!$E$2:$E$701,"remaining_day3")=0,"",SUMIFS(counts!$F$2:$F$701,counts!$C$2:$C$701,$A92,counts!$D$2:$D$701,$B92,counts!$E$2:$E$701,"remaining_day3")))</f>
        <v/>
      </c>
      <c r="AF92" s="25">
        <f>IF($A92="","",IF(COUNTIFS(counts!$C$2:$C$701,$A92,counts!$D$2:$D$701,$B92,counts!$E$2:$E$701,"remaining_day5")=0,"",SUMIFS(counts!$F$2:$F$701,counts!$C$2:$C$701,$A92,counts!$D$2:$D$701,$B92,counts!$E$2:$E$701,"remaining_day5")))</f>
        <v/>
      </c>
      <c r="AG92" s="25">
        <f>IF(OR($A92="",$AF92=""),"",MAX(0,$AA92+$AD92-$AF92))</f>
        <v/>
      </c>
      <c r="AH92" s="25">
        <f>IF(OR($A92="",$AI92=""),"",IFERROR(IF(INDEX(photos!$H$2:$H$701,MATCH($A92&amp;"|"&amp;$B92&amp;"|later|Y|"&amp;$AI92,photos!$S$2:$S$701,0))="","",INDEX(photos!$H$2:$H$701,MATCH($A92&amp;"|"&amp;$B92&amp;"|later|Y|"&amp;$AI92,photos!$S$2:$S$701,0))),""))</f>
        <v/>
      </c>
      <c r="AI92" s="26">
        <f>IF($A92="","",IFERROR(1/(1/SUMPRODUCT(MAX((photos!$B$2:$B$701=$A92)*(photos!$C$2:$C$701=$B92)*(photos!$D$2:$D$701="later")*(photos!$O$2:$O$701="Y")*photos!$E$2:$E$701))),""))</f>
        <v/>
      </c>
      <c r="AJ92" s="25">
        <f>IF(OR($A92="",$AI92="",$I92=""),"",NETWORKDAYS($I92,$AI92,calendar!$A$2:$A$80))</f>
        <v/>
      </c>
      <c r="AK92" s="25">
        <f>IF($A92="","",IF(AND($X92&lt;&gt;"",$AH92&lt;&gt;""),"Y","N"))</f>
        <v/>
      </c>
      <c r="AL92" s="25">
        <f>IF(OR($A92="",$I92=""),"",IF($BC92="Y",SUMIFS(survey_frozen!$C$2:$C$251,survey_frozen!$P$2:$P$251,$A92&amp;"|"&amp;$B92),IFERROR(COUNTIFS(INDIRECT("'"&amp;$A92&amp;"'!$B$2:$B$501"),$T92,INDIRECT("'"&amp;$A92&amp;"'!$A$2:$A$501"),"&gt;="&amp;$I92,INDIRECT("'"&amp;$A92&amp;"'!$A$2:$A$501"),"&lt;"&amp;($BA92+1)),0)))</f>
        <v/>
      </c>
      <c r="AM92" s="25">
        <f>IF(OR($A92="",$I92=""),"",IF($BC92="Y",SUMIFS(survey_frozen!$D$2:$D$251,survey_frozen!$P$2:$P$251,$A92&amp;"|"&amp;$B92),IFERROR(COUNTIFS(INDIRECT("'"&amp;$A92&amp;"'!$B$2:$B$501"),$T92,INDIRECT("'"&amp;$A92&amp;"'!$A$2:$A$501"),"&gt;="&amp;$I92,INDIRECT("'"&amp;$A92&amp;"'!$A$2:$A$501"),"&lt;"&amp;($BA92+1),INDIRECT("'"&amp;$A92&amp;"'!$C$2:$C$501"),"Yes"),0)))</f>
        <v/>
      </c>
      <c r="AN92" s="25">
        <f>IF($A92="","",IF(COUNTIFS(scans!$C$2:$C$1601,(IF(LEFT($A92,7)="SAMPLE-","SAMPLE-","")&amp;LOWER(SUBSTITUTE(SUBSTITUTE($A92,"SAMPLE-",""),"CMP-","c"))&amp;"-"&amp;LOWER(SUBSTITUTE(SUBSTITUTE($B92,"SAMPLE-",""),"O-","o"))&amp;"-q"),scans!$D$2:$D$1601,"close")=0,"",SUMPRODUCT(MAX((scans!$C$2:$C$1601=(IF(LEFT($A92,7)="SAMPLE-","SAMPLE-","")&amp;LOWER(SUBSTITUTE(SUBSTITUTE($A92,"SAMPLE-",""),"CMP-","c"))&amp;"-"&amp;LOWER(SUBSTITUTE(SUBSTITUTE($B92,"SAMPLE-",""),"O-","o"))&amp;"-q"))*(scans!$D$2:$D$1601="close")*scans!$E$2:$E$1601))-SUMPRODUCT(MAX((scans!$C$2:$C$1601=(IF(LEFT($A92,7)="SAMPLE-","SAMPLE-","")&amp;LOWER(SUBSTITUTE(SUBSTITUTE($A92,"SAMPLE-",""),"CMP-","c"))&amp;"-"&amp;LOWER(SUBSTITUTE(SUBSTITUTE($B92,"SAMPLE-",""),"O-","o"))&amp;"-q"))*(scans!$D$2:$D$1601="baseline")*scans!$E$2:$E$1601))))</f>
        <v/>
      </c>
      <c r="AO92" s="25">
        <f>IF($A92="","",IF(COUNTIFS(scans!$C$2:$C$1601,(IF(LEFT($A92,7)="SAMPLE-","SAMPLE-","")&amp;LOWER(SUBSTITUTE(SUBSTITUTE($A92,"SAMPLE-",""),"CMP-","c"))&amp;"-"&amp;LOWER(SUBSTITUTE(SUBSTITUTE($B92,"SAMPLE-",""),"O-","o"))&amp;"-p"),scans!$D$2:$D$1601,"close")=0,"",SUMPRODUCT(MAX((scans!$C$2:$C$1601=(IF(LEFT($A92,7)="SAMPLE-","SAMPLE-","")&amp;LOWER(SUBSTITUTE(SUBSTITUTE($A92,"SAMPLE-",""),"CMP-","c"))&amp;"-"&amp;LOWER(SUBSTITUTE(SUBSTITUTE($B92,"SAMPLE-",""),"O-","o"))&amp;"-p"))*(scans!$D$2:$D$1601="close")*scans!$E$2:$E$1601))-SUMPRODUCT(MAX((scans!$C$2:$C$1601=(IF(LEFT($A92,7)="SAMPLE-","SAMPLE-","")&amp;LOWER(SUBSTITUTE(SUBSTITUTE($A92,"SAMPLE-",""),"CMP-","c"))&amp;"-"&amp;LOWER(SUBSTITUTE(SUBSTITUTE($B92,"SAMPLE-",""),"O-","o"))&amp;"-p"))*(scans!$D$2:$D$1601="baseline")*scans!$E$2:$E$1601))))</f>
        <v/>
      </c>
      <c r="AP92" s="25">
        <f>IF($A92="","",IF(COUNTIF(offices!$A$2:$A$61,$B92)=0,"office_id not on offices; ","")&amp;IF(COUNTIF(campaigns!$A$2:$A$51,$A92)=0,"campaign_id not on campaigns; ","")&amp;IF($P92="pending","approval pending; ","")&amp;IF(AND($U92&gt;0,$Y92="",OR($I92="",IF(config!$B$37&lt;&gt;"",config!$B$37,TODAY())&lt;=WORKDAY(N($I92),4,calendar!$A$2:$A$80))),"no usable placement photo yet; ","")&amp;IF(AND($Y92&lt;&gt;"",$Z92=""),"log the placed count; ","")&amp;IF(N($AA92)&gt;N($U92),"placed more than delivered; ","")&amp;IF(AND($AF92&lt;&gt;"",N($AF92)&gt;N($AA92)+N($AD92)),"day-5 count above placed plus top-ups; ","")&amp;IF(AND($U92&gt;0,$I92&lt;&gt;"",IF(config!$B$37&lt;&gt;"",config!$B$37,TODAY())&gt;WORKDAY(N($I92),4,calendar!$A$2:$A$80),$AF92=""),"day-5 count missing; ","")&amp;IF(AND($U92&gt;0,$I92&lt;&gt;"",IF(config!$B$37&lt;&gt;"",config!$B$37,TODAY())&gt;WORKDAY(N($I92),4,calendar!$A$2:$A$80),$AN92=""),"no close link reading; ","")&amp;$R92&amp;IF($P92="N","info: office said no; ","")&amp;IF(AND($P92="Y",$Q92="N"),"info: turned away at the door, so not on the drop (no letter, not in the report or Gate 2; the credit check is on campaigns); ","")&amp;IF(AND($U92&gt;0,$Y92="",$I92&lt;&gt;"",IF(config!$B$37&lt;&gt;"",config!$B$37,TODAY())&gt;WORKDAY(N($I92),4,calendar!$A$2:$A$80)),"info: no usable placement photo, so nothing counts as placed; ","")&amp;IF(AND($U92&gt;0,$I92&lt;&gt;"",IF(config!$B$37&lt;&gt;"",config!$B$37,TODAY())&gt;WORKDAY(N($I92),4,calendar!$A$2:$A$80),N($AL92)&lt;config!$B$30),"info: under "&amp;config!$B$30&amp;" responses; ","")&amp;IF($W92="packing_list","info: delivered count not verified; ",""))</f>
        <v/>
      </c>
      <c r="AQ92" s="25">
        <f>IF(OR($A92="",$I92=""),"",IF($BC92="Y",SUMIFS(survey_frozen!$E$2:$E$251,survey_frozen!$P$2:$P$251,$A92&amp;"|"&amp;$B92),IFERROR(COUNTIFS(INDIRECT("'"&amp;$A92&amp;"'!$B$2:$B$501"),$T92,INDIRECT("'"&amp;$A92&amp;"'!$A$2:$A$501"),"&gt;="&amp;$I92,INDIRECT("'"&amp;$A92&amp;"'!$A$2:$A$501"),"&lt;"&amp;($BA92+1),INDIRECT("'"&amp;$A92&amp;"'!$F$2:$F$501"),"Didn't see it"),0)))</f>
        <v/>
      </c>
      <c r="AR92" s="25">
        <f>IF(OR($A92="",$I92=""),"",IF($BC92="Y",SUMIFS(survey_frozen!$F$2:$F$251,survey_frozen!$P$2:$P$251,$A92&amp;"|"&amp;$B92),IFERROR(COUNTIFS(INDIRECT("'"&amp;$A92&amp;"'!$B$2:$B$501"),$T92,INDIRECT("'"&amp;$A92&amp;"'!$A$2:$A$501"),"&gt;="&amp;$I92,INDIRECT("'"&amp;$A92&amp;"'!$A$2:$A$501"),"&lt;"&amp;($BA92+1),INDIRECT("'"&amp;$A92&amp;"'!$F$2:$F$501"),"Not for me"),0)))</f>
        <v/>
      </c>
      <c r="AS92" s="25">
        <f>IF(OR($A92="",$I92=""),"",IF($BC92="Y",SUMIFS(survey_frozen!$G$2:$G$251,survey_frozen!$P$2:$P$251,$A92&amp;"|"&amp;$B92),IFERROR(COUNTIFS(INDIRECT("'"&amp;$A92&amp;"'!$B$2:$B$501"),$T92,INDIRECT("'"&amp;$A92&amp;"'!$A$2:$A$501"),"&gt;="&amp;$I92,INDIRECT("'"&amp;$A92&amp;"'!$A$2:$A$501"),"&lt;"&amp;($BA92+1),INDIRECT("'"&amp;$A92&amp;"'!$F$2:$F$501"),"Gone by the time I looked"),0)))</f>
        <v/>
      </c>
      <c r="AT92" s="25">
        <f>IF(OR($A92="",$I92=""),"",IF($BC92="Y",SUMIFS(survey_frozen!$H$2:$H$251,survey_frozen!$P$2:$P$251,$A92&amp;"|"&amp;$B92),IFERROR(COUNTIFS(INDIRECT("'"&amp;$A92&amp;"'!$B$2:$B$501"),$T92,INDIRECT("'"&amp;$A92&amp;"'!$A$2:$A$501"),"&gt;="&amp;$I92,INDIRECT("'"&amp;$A92&amp;"'!$A$2:$A$501"),"&lt;"&amp;($BA92+1),INDIRECT("'"&amp;$A92&amp;"'!$D$2:$D$501"),"&gt;=1"),0)))</f>
        <v/>
      </c>
      <c r="AU92" s="25">
        <f>IF(OR($A92="",$I92=""),"",IF($BC92="Y",SUMIFS(survey_frozen!$I$2:$I$251,survey_frozen!$P$2:$P$251,$A92&amp;"|"&amp;$B92),IFERROR(SUMIFS(INDIRECT("'"&amp;$A92&amp;"'!$D$2:$D$501"),INDIRECT("'"&amp;$A92&amp;"'!$B$2:$B$501"),$T92,INDIRECT("'"&amp;$A92&amp;"'!$A$2:$A$501"),"&gt;="&amp;$I92,INDIRECT("'"&amp;$A92&amp;"'!$A$2:$A$501"),"&lt;"&amp;($BA92+1)),0)))</f>
        <v/>
      </c>
      <c r="AV92" s="25">
        <f>IF(OR($A92="",$I92=""),"",IF($BC92="Y",SUMIFS(survey_frozen!$J$2:$J$251,survey_frozen!$P$2:$P$251,$A92&amp;"|"&amp;$B92),IFERROR(COUNTIFS(INDIRECT("'"&amp;$A92&amp;"'!$B$2:$B$501"),$T92,INDIRECT("'"&amp;$A92&amp;"'!$A$2:$A$501"),"&gt;="&amp;$I92,INDIRECT("'"&amp;$A92&amp;"'!$A$2:$A$501"),"&lt;"&amp;($BA92+1),INDIRECT("'"&amp;$A92&amp;"'!$E$2:$E$501"),"Yes"),0)))</f>
        <v/>
      </c>
      <c r="AW92" s="25">
        <f>IF(OR($A92="",$I92=""),"",IF($BC92="Y",SUMIFS(survey_frozen!$K$2:$K$251,survey_frozen!$P$2:$P$251,$A92&amp;"|"&amp;$B92),IFERROR(COUNTIFS(INDIRECT("'"&amp;$A92&amp;"'!$B$2:$B$501"),$T92,INDIRECT("'"&amp;$A92&amp;"'!$A$2:$A$501"),"&gt;="&amp;$I92,INDIRECT("'"&amp;$A92&amp;"'!$A$2:$A$501"),"&lt;"&amp;($BA92+1),INDIRECT("'"&amp;$A92&amp;"'!$E$2:$E$501"),"Maybe"),0)))</f>
        <v/>
      </c>
      <c r="AX92" s="25">
        <f>IF(OR($A92="",$I92=""),"",IF($BC92="Y",SUMIFS(survey_frozen!$L$2:$L$251,survey_frozen!$P$2:$P$251,$A92&amp;"|"&amp;$B92),IFERROR(COUNTIFS(INDIRECT("'"&amp;$A92&amp;"'!$B$2:$B$501"),$T92,INDIRECT("'"&amp;$A92&amp;"'!$A$2:$A$501"),"&gt;="&amp;$I92,INDIRECT("'"&amp;$A92&amp;"'!$A$2:$A$501"),"&lt;"&amp;($BA92+1),INDIRECT("'"&amp;$A92&amp;"'!$E$2:$E$501"),"No"),0)))</f>
        <v/>
      </c>
      <c r="AY92" s="25">
        <f>IF(OR($A92="",$I92=""),"",IF($BC92="Y",SUMIFS(survey_frozen!$M$2:$M$251,survey_frozen!$P$2:$P$251,$A92&amp;"|"&amp;$B92),IFERROR(COUNTIFS(INDIRECT("'"&amp;$A92&amp;"'!$B$2:$B$501"),$T92,INDIRECT("'"&amp;$A92&amp;"'!$A$2:$A$501"),"&gt;="&amp;$I92,INDIRECT("'"&amp;$A92&amp;"'!$A$2:$A$501"),"&lt;"&amp;($BA92+1),INDIRECT("'"&amp;$A92&amp;"'!$G$2:$G$501"),"&lt;&gt;"),0)))</f>
        <v/>
      </c>
      <c r="AZ92" s="25">
        <f>IF($A92="","",$A92&amp;"|"&amp;$L92)</f>
        <v/>
      </c>
      <c r="BA92" s="26">
        <f>IF($A92="","",IFERROR(IF(INDEX(drops!$R$2:$R$21,MATCH($H92,drops!$A$2:$A$21,0))="","",INDEX(drops!$R$2:$R$21,MATCH($H92,drops!$A$2:$A$21,0))),""))</f>
        <v/>
      </c>
      <c r="BB92" s="25">
        <f>IF(OR($A92="",$Q92&lt;&gt;"Y"),1000000,N($AL92))</f>
        <v/>
      </c>
      <c r="BC92" s="25">
        <f>IF($A92="","",IF(COUNTIF(survey_frozen!$P$2:$P$251,$A92&amp;"|"&amp;$B92)&gt;0,"Y",""))</f>
        <v/>
      </c>
    </row>
    <row r="93">
      <c r="C93" s="9" t="n"/>
      <c r="E93" s="9" t="n"/>
      <c r="H93" s="25">
        <f>IF($A93="","",IFERROR(IF(INDEX(campaigns!$B$2:$B$51,MATCH($A93,campaigns!$A$2:$A$51,0))="","",INDEX(campaigns!$B$2:$B$51,MATCH($A93,campaigns!$A$2:$A$51,0))),""))</f>
        <v/>
      </c>
      <c r="I93" s="26">
        <f>IF($A93="","",IFERROR(IF(INDEX(campaigns!$BG$2:$BG$51,MATCH($A93,campaigns!$A$2:$A$51,0))="","",INDEX(campaigns!$BG$2:$BG$51,MATCH($A93,campaigns!$A$2:$A$51,0))),""))</f>
        <v/>
      </c>
      <c r="J93" s="25">
        <f>IF($A93="","",IFERROR(IF(INDEX(campaigns!$BE$2:$BE$51,MATCH($A93,campaigns!$A$2:$A$51,0))="","",INDEX(campaigns!$BE$2:$BE$51,MATCH($A93,campaigns!$A$2:$A$51,0))),""))</f>
        <v/>
      </c>
      <c r="K93" s="25">
        <f>IF($B93="","",IFERROR(IF(INDEX(offices!$N$2:$N$61,MATCH($B93,offices!$A$2:$A$61,0))="","",INDEX(offices!$N$2:$N$61,MATCH($B93,offices!$A$2:$A$61,0))),""))</f>
        <v/>
      </c>
      <c r="L93" s="25">
        <f>IF($A93="","",IF($Q93="N","",COUNTIFS($A$2:$A93,$A93,$Q$2:$Q93,"&lt;&gt;N")))</f>
        <v/>
      </c>
      <c r="M93" s="25">
        <f>IF(OR($A93="",$L93=""),"",IF(AND(config!$B$34="names_if_public",IFERROR(IF(INDEX(offices!$AF$2:$AF$61,MATCH($B93,offices!$A$2:$A$61,0))="","",INDEX(offices!$AF$2:$AF$61,MATCH($B93,offices!$A$2:$A$61,0))),"")="Y"),$K93,CHAR(64+$L93)))</f>
        <v/>
      </c>
      <c r="N93" s="25">
        <f>IF(OR($A93="",$I93=""),"",COUNTIFS(stops!$B$2:$B$151,$B93,stops!$P$2:$P$151,"&lt;"&amp;$I93,stops!$L$2:$L$151,"&lt;&gt;not_delivered")+1)</f>
        <v/>
      </c>
      <c r="O93" s="25">
        <f>IF($A93="","",IF(N($N93)&lt;=config!$B$29,"explicit","opt-out"))</f>
        <v/>
      </c>
      <c r="P93" s="25">
        <f>IF($A93="","",IF($O93="explicit",IF($D93="yes","Y",IF($D93="no","N","pending")),IF($D93="no","N",IF(AND($C93&lt;&gt;"",$I93&lt;&gt;"",$C93&lt;=WORKDAY(N($I93),-5,calendar!$A$2:$A$80)),"Y","pending"))))</f>
        <v/>
      </c>
      <c r="Q93" s="25">
        <f>IF($A93="","",IF($P93="N","N",IF($P93&lt;&gt;"Y","pending",IF(AND((COUNTIFS(stops!$A$2:$A$151,$H93,stops!$B$2:$B$151,$B93,stops!$L$2:$L$151,"declined")+COUNTIFS(stops!$A$2:$A$151,$H93,stops!$B$2:$B$151,$B93,stops!$L$2:$L$151,"building_refused")+COUNTIFS(stops!$A$2:$A$151,$H93,stops!$B$2:$B$151,$B93,stops!$L$2:$L$151,"not_delivered"))&gt;0,N($U93)=0),"N","Y"))))</f>
        <v/>
      </c>
      <c r="R93" s="25">
        <f>IF($A93="","",IF(COUNTIFS($A$2:$A$251,$A93,$B$2:$B$251,$B93)&gt;1,"DUPLICATE ROW; ","")&amp;IF(AND(IFERROR(IF(INDEX(offices!$AC$2:$AC$61,MATCH($B93,offices!$A$2:$A$61,0))="","",INDEX(offices!$AC$2:$AC$61,MATCH($B93,offices!$A$2:$A$61,0))),"")&lt;&gt;"",ISNUMBER(SEARCH($J93,IFERROR(IF(INDEX(offices!$AC$2:$AC$61,MATCH($B93,offices!$A$2:$A$61,0))="","",INDEX(offices!$AC$2:$AC$61,MATCH($B93,offices!$A$2:$A$61,0))),"")))),"BRAND VETOED; ","")&amp;IF(ISNUMBER(SEARCH(IFERROR(IF(INDEX(campaigns!$BF$2:$BF$51,MATCH($A93,campaigns!$A$2:$A$51,0))="","",INDEX(campaigns!$BF$2:$BF$51,MATCH($A93,campaigns!$A$2:$A$51,0))),""),IFERROR(IF(INDEX(offices!$AB$2:$AB$61,MATCH($B93,offices!$A$2:$A$61,0))="","",INDEX(offices!$AB$2:$AB$61,MATCH($B93,offices!$A$2:$A$61,0))),""))),"","info: category not on the office's list; ")&amp;IF(IFERROR(IF(INDEX(offices!$AC$2:$AC$61,MATCH($B93,offices!$A$2:$A$61,0))="","",INDEX(offices!$AC$2:$AC$61,MATCH($B93,offices!$A$2:$A$61,0))),"")&lt;&gt;"","info: read the vetoes against the label; ",""))</f>
        <v/>
      </c>
      <c r="S93" s="25">
        <f>IF($A93="","",IF($G93&lt;&gt;"",$G93,IFERROR(IF(INDEX(offices!$AL$2:$AL$61,MATCH($B93,offices!$A$2:$A$61,0))="","",INDEX(offices!$AL$2:$AL$61,MATCH($B93,offices!$A$2:$A$61,0))),"")))</f>
        <v/>
      </c>
      <c r="T93" s="25">
        <f>IF($A93="","",$A93&amp;"."&amp;$B93)</f>
        <v/>
      </c>
      <c r="U93" s="25">
        <f>IF($A93="","",SUMIFS(inventory!$G$2:$G$801,inventory!$C$2:$C$801,$A93,inventory!$D$2:$D$801,$B93,inventory!$E$2:$E$801,"delivered"))</f>
        <v/>
      </c>
      <c r="V93" s="32">
        <f>IF($A93="","",IFERROR(1/(1/SUMPRODUCT(MAX((inventory!$C$2:$C$801=$A93)*(inventory!$D$2:$D$801=$B93)*(inventory!$E$2:$E$801="delivered")*(inventory!$A$2:$A$801+inventory!$B$2:$B$801)))),""))</f>
        <v/>
      </c>
      <c r="W93" s="25">
        <f>IF($A93="","",IFERROR(IF(INDEX(inventory!$J$2:$J$801,MATCH($A93&amp;"|"&amp;$B93&amp;"|delivered",inventory!$R$2:$R$801,0))="","",INDEX(inventory!$J$2:$J$801,MATCH($A93&amp;"|"&amp;$B93&amp;"|delivered",inventory!$R$2:$R$801,0))),""))</f>
        <v/>
      </c>
      <c r="X93" s="25">
        <f>IF($A93="","",IFERROR(IF(INDEX(photos!$H$2:$H$701,MATCH($A93&amp;"|"&amp;$B93&amp;"|placement|Y",photos!$R$2:$R$701,0))="","",INDEX(photos!$H$2:$H$701,MATCH($A93&amp;"|"&amp;$B93&amp;"|placement|Y",photos!$R$2:$R$701,0))),""))</f>
        <v/>
      </c>
      <c r="Y93" s="26">
        <f>IF($A93="","",IFERROR(IF(INDEX(photos!$E$2:$E$701,MATCH($A93&amp;"|"&amp;$B93&amp;"|placement|Y",photos!$R$2:$R$701,0))="","",INDEX(photos!$E$2:$E$701,MATCH($A93&amp;"|"&amp;$B93&amp;"|placement|Y",photos!$R$2:$R$701,0))),""))</f>
        <v/>
      </c>
      <c r="Z93" s="25">
        <f>IF($A93="","",IF(COUNTIFS(counts!$C$2:$C$701,$A93,counts!$D$2:$D$701,$B93,counts!$E$2:$E$701,"placed")=0,"",SUMIFS(counts!$F$2:$F$701,counts!$C$2:$C$701,$A93,counts!$D$2:$D$701,$B93,counts!$E$2:$E$701,"placed")))</f>
        <v/>
      </c>
      <c r="AA93" s="25">
        <f>IF($A93="","",IF($Y93="",0,N($Z93)))</f>
        <v/>
      </c>
      <c r="AB93" s="25">
        <f>IF($A93="","",IF(OR($Y93="",$I93=""),"N",IF($Y93&lt;=WORKDAY(N($I93),1,calendar!$A$2:$A$80),"Y","N")))</f>
        <v/>
      </c>
      <c r="AC93" s="28">
        <f>IF(OR($A93="",$V93="",$Y93=""),"",ROUND(($Y93+N(IFERROR(IF(INDEX(photos!$F$2:$F$701,MATCH($A93&amp;"|"&amp;$B93&amp;"|placement|Y",photos!$R$2:$R$701,0))="","",INDEX(photos!$F$2:$F$701,MATCH($A93&amp;"|"&amp;$B93&amp;"|placement|Y",photos!$R$2:$R$701,0))),""))-$V93)*24,1))</f>
        <v/>
      </c>
      <c r="AD93" s="25">
        <f>IF($A93="","",SUMIFS(inventory!$G$2:$G$801,inventory!$C$2:$C$801,$A93,inventory!$D$2:$D$801,$B93,inventory!$E$2:$E$801,"topped_up"))</f>
        <v/>
      </c>
      <c r="AE93" s="25">
        <f>IF($A93="","",IF(COUNTIFS(counts!$C$2:$C$701,$A93,counts!$D$2:$D$701,$B93,counts!$E$2:$E$701,"remaining_day3")=0,"",SUMIFS(counts!$F$2:$F$701,counts!$C$2:$C$701,$A93,counts!$D$2:$D$701,$B93,counts!$E$2:$E$701,"remaining_day3")))</f>
        <v/>
      </c>
      <c r="AF93" s="25">
        <f>IF($A93="","",IF(COUNTIFS(counts!$C$2:$C$701,$A93,counts!$D$2:$D$701,$B93,counts!$E$2:$E$701,"remaining_day5")=0,"",SUMIFS(counts!$F$2:$F$701,counts!$C$2:$C$701,$A93,counts!$D$2:$D$701,$B93,counts!$E$2:$E$701,"remaining_day5")))</f>
        <v/>
      </c>
      <c r="AG93" s="25">
        <f>IF(OR($A93="",$AF93=""),"",MAX(0,$AA93+$AD93-$AF93))</f>
        <v/>
      </c>
      <c r="AH93" s="25">
        <f>IF(OR($A93="",$AI93=""),"",IFERROR(IF(INDEX(photos!$H$2:$H$701,MATCH($A93&amp;"|"&amp;$B93&amp;"|later|Y|"&amp;$AI93,photos!$S$2:$S$701,0))="","",INDEX(photos!$H$2:$H$701,MATCH($A93&amp;"|"&amp;$B93&amp;"|later|Y|"&amp;$AI93,photos!$S$2:$S$701,0))),""))</f>
        <v/>
      </c>
      <c r="AI93" s="26">
        <f>IF($A93="","",IFERROR(1/(1/SUMPRODUCT(MAX((photos!$B$2:$B$701=$A93)*(photos!$C$2:$C$701=$B93)*(photos!$D$2:$D$701="later")*(photos!$O$2:$O$701="Y")*photos!$E$2:$E$701))),""))</f>
        <v/>
      </c>
      <c r="AJ93" s="25">
        <f>IF(OR($A93="",$AI93="",$I93=""),"",NETWORKDAYS($I93,$AI93,calendar!$A$2:$A$80))</f>
        <v/>
      </c>
      <c r="AK93" s="25">
        <f>IF($A93="","",IF(AND($X93&lt;&gt;"",$AH93&lt;&gt;""),"Y","N"))</f>
        <v/>
      </c>
      <c r="AL93" s="25">
        <f>IF(OR($A93="",$I93=""),"",IF($BC93="Y",SUMIFS(survey_frozen!$C$2:$C$251,survey_frozen!$P$2:$P$251,$A93&amp;"|"&amp;$B93),IFERROR(COUNTIFS(INDIRECT("'"&amp;$A93&amp;"'!$B$2:$B$501"),$T93,INDIRECT("'"&amp;$A93&amp;"'!$A$2:$A$501"),"&gt;="&amp;$I93,INDIRECT("'"&amp;$A93&amp;"'!$A$2:$A$501"),"&lt;"&amp;($BA93+1)),0)))</f>
        <v/>
      </c>
      <c r="AM93" s="25">
        <f>IF(OR($A93="",$I93=""),"",IF($BC93="Y",SUMIFS(survey_frozen!$D$2:$D$251,survey_frozen!$P$2:$P$251,$A93&amp;"|"&amp;$B93),IFERROR(COUNTIFS(INDIRECT("'"&amp;$A93&amp;"'!$B$2:$B$501"),$T93,INDIRECT("'"&amp;$A93&amp;"'!$A$2:$A$501"),"&gt;="&amp;$I93,INDIRECT("'"&amp;$A93&amp;"'!$A$2:$A$501"),"&lt;"&amp;($BA93+1),INDIRECT("'"&amp;$A93&amp;"'!$C$2:$C$501"),"Yes"),0)))</f>
        <v/>
      </c>
      <c r="AN93" s="25">
        <f>IF($A93="","",IF(COUNTIFS(scans!$C$2:$C$1601,(IF(LEFT($A93,7)="SAMPLE-","SAMPLE-","")&amp;LOWER(SUBSTITUTE(SUBSTITUTE($A93,"SAMPLE-",""),"CMP-","c"))&amp;"-"&amp;LOWER(SUBSTITUTE(SUBSTITUTE($B93,"SAMPLE-",""),"O-","o"))&amp;"-q"),scans!$D$2:$D$1601,"close")=0,"",SUMPRODUCT(MAX((scans!$C$2:$C$1601=(IF(LEFT($A93,7)="SAMPLE-","SAMPLE-","")&amp;LOWER(SUBSTITUTE(SUBSTITUTE($A93,"SAMPLE-",""),"CMP-","c"))&amp;"-"&amp;LOWER(SUBSTITUTE(SUBSTITUTE($B93,"SAMPLE-",""),"O-","o"))&amp;"-q"))*(scans!$D$2:$D$1601="close")*scans!$E$2:$E$1601))-SUMPRODUCT(MAX((scans!$C$2:$C$1601=(IF(LEFT($A93,7)="SAMPLE-","SAMPLE-","")&amp;LOWER(SUBSTITUTE(SUBSTITUTE($A93,"SAMPLE-",""),"CMP-","c"))&amp;"-"&amp;LOWER(SUBSTITUTE(SUBSTITUTE($B93,"SAMPLE-",""),"O-","o"))&amp;"-q"))*(scans!$D$2:$D$1601="baseline")*scans!$E$2:$E$1601))))</f>
        <v/>
      </c>
      <c r="AO93" s="25">
        <f>IF($A93="","",IF(COUNTIFS(scans!$C$2:$C$1601,(IF(LEFT($A93,7)="SAMPLE-","SAMPLE-","")&amp;LOWER(SUBSTITUTE(SUBSTITUTE($A93,"SAMPLE-",""),"CMP-","c"))&amp;"-"&amp;LOWER(SUBSTITUTE(SUBSTITUTE($B93,"SAMPLE-",""),"O-","o"))&amp;"-p"),scans!$D$2:$D$1601,"close")=0,"",SUMPRODUCT(MAX((scans!$C$2:$C$1601=(IF(LEFT($A93,7)="SAMPLE-","SAMPLE-","")&amp;LOWER(SUBSTITUTE(SUBSTITUTE($A93,"SAMPLE-",""),"CMP-","c"))&amp;"-"&amp;LOWER(SUBSTITUTE(SUBSTITUTE($B93,"SAMPLE-",""),"O-","o"))&amp;"-p"))*(scans!$D$2:$D$1601="close")*scans!$E$2:$E$1601))-SUMPRODUCT(MAX((scans!$C$2:$C$1601=(IF(LEFT($A93,7)="SAMPLE-","SAMPLE-","")&amp;LOWER(SUBSTITUTE(SUBSTITUTE($A93,"SAMPLE-",""),"CMP-","c"))&amp;"-"&amp;LOWER(SUBSTITUTE(SUBSTITUTE($B93,"SAMPLE-",""),"O-","o"))&amp;"-p"))*(scans!$D$2:$D$1601="baseline")*scans!$E$2:$E$1601))))</f>
        <v/>
      </c>
      <c r="AP93" s="25">
        <f>IF($A93="","",IF(COUNTIF(offices!$A$2:$A$61,$B93)=0,"office_id not on offices; ","")&amp;IF(COUNTIF(campaigns!$A$2:$A$51,$A93)=0,"campaign_id not on campaigns; ","")&amp;IF($P93="pending","approval pending; ","")&amp;IF(AND($U93&gt;0,$Y93="",OR($I93="",IF(config!$B$37&lt;&gt;"",config!$B$37,TODAY())&lt;=WORKDAY(N($I93),4,calendar!$A$2:$A$80))),"no usable placement photo yet; ","")&amp;IF(AND($Y93&lt;&gt;"",$Z93=""),"log the placed count; ","")&amp;IF(N($AA93)&gt;N($U93),"placed more than delivered; ","")&amp;IF(AND($AF93&lt;&gt;"",N($AF93)&gt;N($AA93)+N($AD93)),"day-5 count above placed plus top-ups; ","")&amp;IF(AND($U93&gt;0,$I93&lt;&gt;"",IF(config!$B$37&lt;&gt;"",config!$B$37,TODAY())&gt;WORKDAY(N($I93),4,calendar!$A$2:$A$80),$AF93=""),"day-5 count missing; ","")&amp;IF(AND($U93&gt;0,$I93&lt;&gt;"",IF(config!$B$37&lt;&gt;"",config!$B$37,TODAY())&gt;WORKDAY(N($I93),4,calendar!$A$2:$A$80),$AN93=""),"no close link reading; ","")&amp;$R93&amp;IF($P93="N","info: office said no; ","")&amp;IF(AND($P93="Y",$Q93="N"),"info: turned away at the door, so not on the drop (no letter, not in the report or Gate 2; the credit check is on campaigns); ","")&amp;IF(AND($U93&gt;0,$Y93="",$I93&lt;&gt;"",IF(config!$B$37&lt;&gt;"",config!$B$37,TODAY())&gt;WORKDAY(N($I93),4,calendar!$A$2:$A$80)),"info: no usable placement photo, so nothing counts as placed; ","")&amp;IF(AND($U93&gt;0,$I93&lt;&gt;"",IF(config!$B$37&lt;&gt;"",config!$B$37,TODAY())&gt;WORKDAY(N($I93),4,calendar!$A$2:$A$80),N($AL93)&lt;config!$B$30),"info: under "&amp;config!$B$30&amp;" responses; ","")&amp;IF($W93="packing_list","info: delivered count not verified; ",""))</f>
        <v/>
      </c>
      <c r="AQ93" s="25">
        <f>IF(OR($A93="",$I93=""),"",IF($BC93="Y",SUMIFS(survey_frozen!$E$2:$E$251,survey_frozen!$P$2:$P$251,$A93&amp;"|"&amp;$B93),IFERROR(COUNTIFS(INDIRECT("'"&amp;$A93&amp;"'!$B$2:$B$501"),$T93,INDIRECT("'"&amp;$A93&amp;"'!$A$2:$A$501"),"&gt;="&amp;$I93,INDIRECT("'"&amp;$A93&amp;"'!$A$2:$A$501"),"&lt;"&amp;($BA93+1),INDIRECT("'"&amp;$A93&amp;"'!$F$2:$F$501"),"Didn't see it"),0)))</f>
        <v/>
      </c>
      <c r="AR93" s="25">
        <f>IF(OR($A93="",$I93=""),"",IF($BC93="Y",SUMIFS(survey_frozen!$F$2:$F$251,survey_frozen!$P$2:$P$251,$A93&amp;"|"&amp;$B93),IFERROR(COUNTIFS(INDIRECT("'"&amp;$A93&amp;"'!$B$2:$B$501"),$T93,INDIRECT("'"&amp;$A93&amp;"'!$A$2:$A$501"),"&gt;="&amp;$I93,INDIRECT("'"&amp;$A93&amp;"'!$A$2:$A$501"),"&lt;"&amp;($BA93+1),INDIRECT("'"&amp;$A93&amp;"'!$F$2:$F$501"),"Not for me"),0)))</f>
        <v/>
      </c>
      <c r="AS93" s="25">
        <f>IF(OR($A93="",$I93=""),"",IF($BC93="Y",SUMIFS(survey_frozen!$G$2:$G$251,survey_frozen!$P$2:$P$251,$A93&amp;"|"&amp;$B93),IFERROR(COUNTIFS(INDIRECT("'"&amp;$A93&amp;"'!$B$2:$B$501"),$T93,INDIRECT("'"&amp;$A93&amp;"'!$A$2:$A$501"),"&gt;="&amp;$I93,INDIRECT("'"&amp;$A93&amp;"'!$A$2:$A$501"),"&lt;"&amp;($BA93+1),INDIRECT("'"&amp;$A93&amp;"'!$F$2:$F$501"),"Gone by the time I looked"),0)))</f>
        <v/>
      </c>
      <c r="AT93" s="25">
        <f>IF(OR($A93="",$I93=""),"",IF($BC93="Y",SUMIFS(survey_frozen!$H$2:$H$251,survey_frozen!$P$2:$P$251,$A93&amp;"|"&amp;$B93),IFERROR(COUNTIFS(INDIRECT("'"&amp;$A93&amp;"'!$B$2:$B$501"),$T93,INDIRECT("'"&amp;$A93&amp;"'!$A$2:$A$501"),"&gt;="&amp;$I93,INDIRECT("'"&amp;$A93&amp;"'!$A$2:$A$501"),"&lt;"&amp;($BA93+1),INDIRECT("'"&amp;$A93&amp;"'!$D$2:$D$501"),"&gt;=1"),0)))</f>
        <v/>
      </c>
      <c r="AU93" s="25">
        <f>IF(OR($A93="",$I93=""),"",IF($BC93="Y",SUMIFS(survey_frozen!$I$2:$I$251,survey_frozen!$P$2:$P$251,$A93&amp;"|"&amp;$B93),IFERROR(SUMIFS(INDIRECT("'"&amp;$A93&amp;"'!$D$2:$D$501"),INDIRECT("'"&amp;$A93&amp;"'!$B$2:$B$501"),$T93,INDIRECT("'"&amp;$A93&amp;"'!$A$2:$A$501"),"&gt;="&amp;$I93,INDIRECT("'"&amp;$A93&amp;"'!$A$2:$A$501"),"&lt;"&amp;($BA93+1)),0)))</f>
        <v/>
      </c>
      <c r="AV93" s="25">
        <f>IF(OR($A93="",$I93=""),"",IF($BC93="Y",SUMIFS(survey_frozen!$J$2:$J$251,survey_frozen!$P$2:$P$251,$A93&amp;"|"&amp;$B93),IFERROR(COUNTIFS(INDIRECT("'"&amp;$A93&amp;"'!$B$2:$B$501"),$T93,INDIRECT("'"&amp;$A93&amp;"'!$A$2:$A$501"),"&gt;="&amp;$I93,INDIRECT("'"&amp;$A93&amp;"'!$A$2:$A$501"),"&lt;"&amp;($BA93+1),INDIRECT("'"&amp;$A93&amp;"'!$E$2:$E$501"),"Yes"),0)))</f>
        <v/>
      </c>
      <c r="AW93" s="25">
        <f>IF(OR($A93="",$I93=""),"",IF($BC93="Y",SUMIFS(survey_frozen!$K$2:$K$251,survey_frozen!$P$2:$P$251,$A93&amp;"|"&amp;$B93),IFERROR(COUNTIFS(INDIRECT("'"&amp;$A93&amp;"'!$B$2:$B$501"),$T93,INDIRECT("'"&amp;$A93&amp;"'!$A$2:$A$501"),"&gt;="&amp;$I93,INDIRECT("'"&amp;$A93&amp;"'!$A$2:$A$501"),"&lt;"&amp;($BA93+1),INDIRECT("'"&amp;$A93&amp;"'!$E$2:$E$501"),"Maybe"),0)))</f>
        <v/>
      </c>
      <c r="AX93" s="25">
        <f>IF(OR($A93="",$I93=""),"",IF($BC93="Y",SUMIFS(survey_frozen!$L$2:$L$251,survey_frozen!$P$2:$P$251,$A93&amp;"|"&amp;$B93),IFERROR(COUNTIFS(INDIRECT("'"&amp;$A93&amp;"'!$B$2:$B$501"),$T93,INDIRECT("'"&amp;$A93&amp;"'!$A$2:$A$501"),"&gt;="&amp;$I93,INDIRECT("'"&amp;$A93&amp;"'!$A$2:$A$501"),"&lt;"&amp;($BA93+1),INDIRECT("'"&amp;$A93&amp;"'!$E$2:$E$501"),"No"),0)))</f>
        <v/>
      </c>
      <c r="AY93" s="25">
        <f>IF(OR($A93="",$I93=""),"",IF($BC93="Y",SUMIFS(survey_frozen!$M$2:$M$251,survey_frozen!$P$2:$P$251,$A93&amp;"|"&amp;$B93),IFERROR(COUNTIFS(INDIRECT("'"&amp;$A93&amp;"'!$B$2:$B$501"),$T93,INDIRECT("'"&amp;$A93&amp;"'!$A$2:$A$501"),"&gt;="&amp;$I93,INDIRECT("'"&amp;$A93&amp;"'!$A$2:$A$501"),"&lt;"&amp;($BA93+1),INDIRECT("'"&amp;$A93&amp;"'!$G$2:$G$501"),"&lt;&gt;"),0)))</f>
        <v/>
      </c>
      <c r="AZ93" s="25">
        <f>IF($A93="","",$A93&amp;"|"&amp;$L93)</f>
        <v/>
      </c>
      <c r="BA93" s="26">
        <f>IF($A93="","",IFERROR(IF(INDEX(drops!$R$2:$R$21,MATCH($H93,drops!$A$2:$A$21,0))="","",INDEX(drops!$R$2:$R$21,MATCH($H93,drops!$A$2:$A$21,0))),""))</f>
        <v/>
      </c>
      <c r="BB93" s="25">
        <f>IF(OR($A93="",$Q93&lt;&gt;"Y"),1000000,N($AL93))</f>
        <v/>
      </c>
      <c r="BC93" s="25">
        <f>IF($A93="","",IF(COUNTIF(survey_frozen!$P$2:$P$251,$A93&amp;"|"&amp;$B93)&gt;0,"Y",""))</f>
        <v/>
      </c>
    </row>
    <row r="94">
      <c r="C94" s="9" t="n"/>
      <c r="E94" s="9" t="n"/>
      <c r="H94" s="25">
        <f>IF($A94="","",IFERROR(IF(INDEX(campaigns!$B$2:$B$51,MATCH($A94,campaigns!$A$2:$A$51,0))="","",INDEX(campaigns!$B$2:$B$51,MATCH($A94,campaigns!$A$2:$A$51,0))),""))</f>
        <v/>
      </c>
      <c r="I94" s="26">
        <f>IF($A94="","",IFERROR(IF(INDEX(campaigns!$BG$2:$BG$51,MATCH($A94,campaigns!$A$2:$A$51,0))="","",INDEX(campaigns!$BG$2:$BG$51,MATCH($A94,campaigns!$A$2:$A$51,0))),""))</f>
        <v/>
      </c>
      <c r="J94" s="25">
        <f>IF($A94="","",IFERROR(IF(INDEX(campaigns!$BE$2:$BE$51,MATCH($A94,campaigns!$A$2:$A$51,0))="","",INDEX(campaigns!$BE$2:$BE$51,MATCH($A94,campaigns!$A$2:$A$51,0))),""))</f>
        <v/>
      </c>
      <c r="K94" s="25">
        <f>IF($B94="","",IFERROR(IF(INDEX(offices!$N$2:$N$61,MATCH($B94,offices!$A$2:$A$61,0))="","",INDEX(offices!$N$2:$N$61,MATCH($B94,offices!$A$2:$A$61,0))),""))</f>
        <v/>
      </c>
      <c r="L94" s="25">
        <f>IF($A94="","",IF($Q94="N","",COUNTIFS($A$2:$A94,$A94,$Q$2:$Q94,"&lt;&gt;N")))</f>
        <v/>
      </c>
      <c r="M94" s="25">
        <f>IF(OR($A94="",$L94=""),"",IF(AND(config!$B$34="names_if_public",IFERROR(IF(INDEX(offices!$AF$2:$AF$61,MATCH($B94,offices!$A$2:$A$61,0))="","",INDEX(offices!$AF$2:$AF$61,MATCH($B94,offices!$A$2:$A$61,0))),"")="Y"),$K94,CHAR(64+$L94)))</f>
        <v/>
      </c>
      <c r="N94" s="25">
        <f>IF(OR($A94="",$I94=""),"",COUNTIFS(stops!$B$2:$B$151,$B94,stops!$P$2:$P$151,"&lt;"&amp;$I94,stops!$L$2:$L$151,"&lt;&gt;not_delivered")+1)</f>
        <v/>
      </c>
      <c r="O94" s="25">
        <f>IF($A94="","",IF(N($N94)&lt;=config!$B$29,"explicit","opt-out"))</f>
        <v/>
      </c>
      <c r="P94" s="25">
        <f>IF($A94="","",IF($O94="explicit",IF($D94="yes","Y",IF($D94="no","N","pending")),IF($D94="no","N",IF(AND($C94&lt;&gt;"",$I94&lt;&gt;"",$C94&lt;=WORKDAY(N($I94),-5,calendar!$A$2:$A$80)),"Y","pending"))))</f>
        <v/>
      </c>
      <c r="Q94" s="25">
        <f>IF($A94="","",IF($P94="N","N",IF($P94&lt;&gt;"Y","pending",IF(AND((COUNTIFS(stops!$A$2:$A$151,$H94,stops!$B$2:$B$151,$B94,stops!$L$2:$L$151,"declined")+COUNTIFS(stops!$A$2:$A$151,$H94,stops!$B$2:$B$151,$B94,stops!$L$2:$L$151,"building_refused")+COUNTIFS(stops!$A$2:$A$151,$H94,stops!$B$2:$B$151,$B94,stops!$L$2:$L$151,"not_delivered"))&gt;0,N($U94)=0),"N","Y"))))</f>
        <v/>
      </c>
      <c r="R94" s="25">
        <f>IF($A94="","",IF(COUNTIFS($A$2:$A$251,$A94,$B$2:$B$251,$B94)&gt;1,"DUPLICATE ROW; ","")&amp;IF(AND(IFERROR(IF(INDEX(offices!$AC$2:$AC$61,MATCH($B94,offices!$A$2:$A$61,0))="","",INDEX(offices!$AC$2:$AC$61,MATCH($B94,offices!$A$2:$A$61,0))),"")&lt;&gt;"",ISNUMBER(SEARCH($J94,IFERROR(IF(INDEX(offices!$AC$2:$AC$61,MATCH($B94,offices!$A$2:$A$61,0))="","",INDEX(offices!$AC$2:$AC$61,MATCH($B94,offices!$A$2:$A$61,0))),"")))),"BRAND VETOED; ","")&amp;IF(ISNUMBER(SEARCH(IFERROR(IF(INDEX(campaigns!$BF$2:$BF$51,MATCH($A94,campaigns!$A$2:$A$51,0))="","",INDEX(campaigns!$BF$2:$BF$51,MATCH($A94,campaigns!$A$2:$A$51,0))),""),IFERROR(IF(INDEX(offices!$AB$2:$AB$61,MATCH($B94,offices!$A$2:$A$61,0))="","",INDEX(offices!$AB$2:$AB$61,MATCH($B94,offices!$A$2:$A$61,0))),""))),"","info: category not on the office's list; ")&amp;IF(IFERROR(IF(INDEX(offices!$AC$2:$AC$61,MATCH($B94,offices!$A$2:$A$61,0))="","",INDEX(offices!$AC$2:$AC$61,MATCH($B94,offices!$A$2:$A$61,0))),"")&lt;&gt;"","info: read the vetoes against the label; ",""))</f>
        <v/>
      </c>
      <c r="S94" s="25">
        <f>IF($A94="","",IF($G94&lt;&gt;"",$G94,IFERROR(IF(INDEX(offices!$AL$2:$AL$61,MATCH($B94,offices!$A$2:$A$61,0))="","",INDEX(offices!$AL$2:$AL$61,MATCH($B94,offices!$A$2:$A$61,0))),"")))</f>
        <v/>
      </c>
      <c r="T94" s="25">
        <f>IF($A94="","",$A94&amp;"."&amp;$B94)</f>
        <v/>
      </c>
      <c r="U94" s="25">
        <f>IF($A94="","",SUMIFS(inventory!$G$2:$G$801,inventory!$C$2:$C$801,$A94,inventory!$D$2:$D$801,$B94,inventory!$E$2:$E$801,"delivered"))</f>
        <v/>
      </c>
      <c r="V94" s="32">
        <f>IF($A94="","",IFERROR(1/(1/SUMPRODUCT(MAX((inventory!$C$2:$C$801=$A94)*(inventory!$D$2:$D$801=$B94)*(inventory!$E$2:$E$801="delivered")*(inventory!$A$2:$A$801+inventory!$B$2:$B$801)))),""))</f>
        <v/>
      </c>
      <c r="W94" s="25">
        <f>IF($A94="","",IFERROR(IF(INDEX(inventory!$J$2:$J$801,MATCH($A94&amp;"|"&amp;$B94&amp;"|delivered",inventory!$R$2:$R$801,0))="","",INDEX(inventory!$J$2:$J$801,MATCH($A94&amp;"|"&amp;$B94&amp;"|delivered",inventory!$R$2:$R$801,0))),""))</f>
        <v/>
      </c>
      <c r="X94" s="25">
        <f>IF($A94="","",IFERROR(IF(INDEX(photos!$H$2:$H$701,MATCH($A94&amp;"|"&amp;$B94&amp;"|placement|Y",photos!$R$2:$R$701,0))="","",INDEX(photos!$H$2:$H$701,MATCH($A94&amp;"|"&amp;$B94&amp;"|placement|Y",photos!$R$2:$R$701,0))),""))</f>
        <v/>
      </c>
      <c r="Y94" s="26">
        <f>IF($A94="","",IFERROR(IF(INDEX(photos!$E$2:$E$701,MATCH($A94&amp;"|"&amp;$B94&amp;"|placement|Y",photos!$R$2:$R$701,0))="","",INDEX(photos!$E$2:$E$701,MATCH($A94&amp;"|"&amp;$B94&amp;"|placement|Y",photos!$R$2:$R$701,0))),""))</f>
        <v/>
      </c>
      <c r="Z94" s="25">
        <f>IF($A94="","",IF(COUNTIFS(counts!$C$2:$C$701,$A94,counts!$D$2:$D$701,$B94,counts!$E$2:$E$701,"placed")=0,"",SUMIFS(counts!$F$2:$F$701,counts!$C$2:$C$701,$A94,counts!$D$2:$D$701,$B94,counts!$E$2:$E$701,"placed")))</f>
        <v/>
      </c>
      <c r="AA94" s="25">
        <f>IF($A94="","",IF($Y94="",0,N($Z94)))</f>
        <v/>
      </c>
      <c r="AB94" s="25">
        <f>IF($A94="","",IF(OR($Y94="",$I94=""),"N",IF($Y94&lt;=WORKDAY(N($I94),1,calendar!$A$2:$A$80),"Y","N")))</f>
        <v/>
      </c>
      <c r="AC94" s="28">
        <f>IF(OR($A94="",$V94="",$Y94=""),"",ROUND(($Y94+N(IFERROR(IF(INDEX(photos!$F$2:$F$701,MATCH($A94&amp;"|"&amp;$B94&amp;"|placement|Y",photos!$R$2:$R$701,0))="","",INDEX(photos!$F$2:$F$701,MATCH($A94&amp;"|"&amp;$B94&amp;"|placement|Y",photos!$R$2:$R$701,0))),""))-$V94)*24,1))</f>
        <v/>
      </c>
      <c r="AD94" s="25">
        <f>IF($A94="","",SUMIFS(inventory!$G$2:$G$801,inventory!$C$2:$C$801,$A94,inventory!$D$2:$D$801,$B94,inventory!$E$2:$E$801,"topped_up"))</f>
        <v/>
      </c>
      <c r="AE94" s="25">
        <f>IF($A94="","",IF(COUNTIFS(counts!$C$2:$C$701,$A94,counts!$D$2:$D$701,$B94,counts!$E$2:$E$701,"remaining_day3")=0,"",SUMIFS(counts!$F$2:$F$701,counts!$C$2:$C$701,$A94,counts!$D$2:$D$701,$B94,counts!$E$2:$E$701,"remaining_day3")))</f>
        <v/>
      </c>
      <c r="AF94" s="25">
        <f>IF($A94="","",IF(COUNTIFS(counts!$C$2:$C$701,$A94,counts!$D$2:$D$701,$B94,counts!$E$2:$E$701,"remaining_day5")=0,"",SUMIFS(counts!$F$2:$F$701,counts!$C$2:$C$701,$A94,counts!$D$2:$D$701,$B94,counts!$E$2:$E$701,"remaining_day5")))</f>
        <v/>
      </c>
      <c r="AG94" s="25">
        <f>IF(OR($A94="",$AF94=""),"",MAX(0,$AA94+$AD94-$AF94))</f>
        <v/>
      </c>
      <c r="AH94" s="25">
        <f>IF(OR($A94="",$AI94=""),"",IFERROR(IF(INDEX(photos!$H$2:$H$701,MATCH($A94&amp;"|"&amp;$B94&amp;"|later|Y|"&amp;$AI94,photos!$S$2:$S$701,0))="","",INDEX(photos!$H$2:$H$701,MATCH($A94&amp;"|"&amp;$B94&amp;"|later|Y|"&amp;$AI94,photos!$S$2:$S$701,0))),""))</f>
        <v/>
      </c>
      <c r="AI94" s="26">
        <f>IF($A94="","",IFERROR(1/(1/SUMPRODUCT(MAX((photos!$B$2:$B$701=$A94)*(photos!$C$2:$C$701=$B94)*(photos!$D$2:$D$701="later")*(photos!$O$2:$O$701="Y")*photos!$E$2:$E$701))),""))</f>
        <v/>
      </c>
      <c r="AJ94" s="25">
        <f>IF(OR($A94="",$AI94="",$I94=""),"",NETWORKDAYS($I94,$AI94,calendar!$A$2:$A$80))</f>
        <v/>
      </c>
      <c r="AK94" s="25">
        <f>IF($A94="","",IF(AND($X94&lt;&gt;"",$AH94&lt;&gt;""),"Y","N"))</f>
        <v/>
      </c>
      <c r="AL94" s="25">
        <f>IF(OR($A94="",$I94=""),"",IF($BC94="Y",SUMIFS(survey_frozen!$C$2:$C$251,survey_frozen!$P$2:$P$251,$A94&amp;"|"&amp;$B94),IFERROR(COUNTIFS(INDIRECT("'"&amp;$A94&amp;"'!$B$2:$B$501"),$T94,INDIRECT("'"&amp;$A94&amp;"'!$A$2:$A$501"),"&gt;="&amp;$I94,INDIRECT("'"&amp;$A94&amp;"'!$A$2:$A$501"),"&lt;"&amp;($BA94+1)),0)))</f>
        <v/>
      </c>
      <c r="AM94" s="25">
        <f>IF(OR($A94="",$I94=""),"",IF($BC94="Y",SUMIFS(survey_frozen!$D$2:$D$251,survey_frozen!$P$2:$P$251,$A94&amp;"|"&amp;$B94),IFERROR(COUNTIFS(INDIRECT("'"&amp;$A94&amp;"'!$B$2:$B$501"),$T94,INDIRECT("'"&amp;$A94&amp;"'!$A$2:$A$501"),"&gt;="&amp;$I94,INDIRECT("'"&amp;$A94&amp;"'!$A$2:$A$501"),"&lt;"&amp;($BA94+1),INDIRECT("'"&amp;$A94&amp;"'!$C$2:$C$501"),"Yes"),0)))</f>
        <v/>
      </c>
      <c r="AN94" s="25">
        <f>IF($A94="","",IF(COUNTIFS(scans!$C$2:$C$1601,(IF(LEFT($A94,7)="SAMPLE-","SAMPLE-","")&amp;LOWER(SUBSTITUTE(SUBSTITUTE($A94,"SAMPLE-",""),"CMP-","c"))&amp;"-"&amp;LOWER(SUBSTITUTE(SUBSTITUTE($B94,"SAMPLE-",""),"O-","o"))&amp;"-q"),scans!$D$2:$D$1601,"close")=0,"",SUMPRODUCT(MAX((scans!$C$2:$C$1601=(IF(LEFT($A94,7)="SAMPLE-","SAMPLE-","")&amp;LOWER(SUBSTITUTE(SUBSTITUTE($A94,"SAMPLE-",""),"CMP-","c"))&amp;"-"&amp;LOWER(SUBSTITUTE(SUBSTITUTE($B94,"SAMPLE-",""),"O-","o"))&amp;"-q"))*(scans!$D$2:$D$1601="close")*scans!$E$2:$E$1601))-SUMPRODUCT(MAX((scans!$C$2:$C$1601=(IF(LEFT($A94,7)="SAMPLE-","SAMPLE-","")&amp;LOWER(SUBSTITUTE(SUBSTITUTE($A94,"SAMPLE-",""),"CMP-","c"))&amp;"-"&amp;LOWER(SUBSTITUTE(SUBSTITUTE($B94,"SAMPLE-",""),"O-","o"))&amp;"-q"))*(scans!$D$2:$D$1601="baseline")*scans!$E$2:$E$1601))))</f>
        <v/>
      </c>
      <c r="AO94" s="25">
        <f>IF($A94="","",IF(COUNTIFS(scans!$C$2:$C$1601,(IF(LEFT($A94,7)="SAMPLE-","SAMPLE-","")&amp;LOWER(SUBSTITUTE(SUBSTITUTE($A94,"SAMPLE-",""),"CMP-","c"))&amp;"-"&amp;LOWER(SUBSTITUTE(SUBSTITUTE($B94,"SAMPLE-",""),"O-","o"))&amp;"-p"),scans!$D$2:$D$1601,"close")=0,"",SUMPRODUCT(MAX((scans!$C$2:$C$1601=(IF(LEFT($A94,7)="SAMPLE-","SAMPLE-","")&amp;LOWER(SUBSTITUTE(SUBSTITUTE($A94,"SAMPLE-",""),"CMP-","c"))&amp;"-"&amp;LOWER(SUBSTITUTE(SUBSTITUTE($B94,"SAMPLE-",""),"O-","o"))&amp;"-p"))*(scans!$D$2:$D$1601="close")*scans!$E$2:$E$1601))-SUMPRODUCT(MAX((scans!$C$2:$C$1601=(IF(LEFT($A94,7)="SAMPLE-","SAMPLE-","")&amp;LOWER(SUBSTITUTE(SUBSTITUTE($A94,"SAMPLE-",""),"CMP-","c"))&amp;"-"&amp;LOWER(SUBSTITUTE(SUBSTITUTE($B94,"SAMPLE-",""),"O-","o"))&amp;"-p"))*(scans!$D$2:$D$1601="baseline")*scans!$E$2:$E$1601))))</f>
        <v/>
      </c>
      <c r="AP94" s="25">
        <f>IF($A94="","",IF(COUNTIF(offices!$A$2:$A$61,$B94)=0,"office_id not on offices; ","")&amp;IF(COUNTIF(campaigns!$A$2:$A$51,$A94)=0,"campaign_id not on campaigns; ","")&amp;IF($P94="pending","approval pending; ","")&amp;IF(AND($U94&gt;0,$Y94="",OR($I94="",IF(config!$B$37&lt;&gt;"",config!$B$37,TODAY())&lt;=WORKDAY(N($I94),4,calendar!$A$2:$A$80))),"no usable placement photo yet; ","")&amp;IF(AND($Y94&lt;&gt;"",$Z94=""),"log the placed count; ","")&amp;IF(N($AA94)&gt;N($U94),"placed more than delivered; ","")&amp;IF(AND($AF94&lt;&gt;"",N($AF94)&gt;N($AA94)+N($AD94)),"day-5 count above placed plus top-ups; ","")&amp;IF(AND($U94&gt;0,$I94&lt;&gt;"",IF(config!$B$37&lt;&gt;"",config!$B$37,TODAY())&gt;WORKDAY(N($I94),4,calendar!$A$2:$A$80),$AF94=""),"day-5 count missing; ","")&amp;IF(AND($U94&gt;0,$I94&lt;&gt;"",IF(config!$B$37&lt;&gt;"",config!$B$37,TODAY())&gt;WORKDAY(N($I94),4,calendar!$A$2:$A$80),$AN94=""),"no close link reading; ","")&amp;$R94&amp;IF($P94="N","info: office said no; ","")&amp;IF(AND($P94="Y",$Q94="N"),"info: turned away at the door, so not on the drop (no letter, not in the report or Gate 2; the credit check is on campaigns); ","")&amp;IF(AND($U94&gt;0,$Y94="",$I94&lt;&gt;"",IF(config!$B$37&lt;&gt;"",config!$B$37,TODAY())&gt;WORKDAY(N($I94),4,calendar!$A$2:$A$80)),"info: no usable placement photo, so nothing counts as placed; ","")&amp;IF(AND($U94&gt;0,$I94&lt;&gt;"",IF(config!$B$37&lt;&gt;"",config!$B$37,TODAY())&gt;WORKDAY(N($I94),4,calendar!$A$2:$A$80),N($AL94)&lt;config!$B$30),"info: under "&amp;config!$B$30&amp;" responses; ","")&amp;IF($W94="packing_list","info: delivered count not verified; ",""))</f>
        <v/>
      </c>
      <c r="AQ94" s="25">
        <f>IF(OR($A94="",$I94=""),"",IF($BC94="Y",SUMIFS(survey_frozen!$E$2:$E$251,survey_frozen!$P$2:$P$251,$A94&amp;"|"&amp;$B94),IFERROR(COUNTIFS(INDIRECT("'"&amp;$A94&amp;"'!$B$2:$B$501"),$T94,INDIRECT("'"&amp;$A94&amp;"'!$A$2:$A$501"),"&gt;="&amp;$I94,INDIRECT("'"&amp;$A94&amp;"'!$A$2:$A$501"),"&lt;"&amp;($BA94+1),INDIRECT("'"&amp;$A94&amp;"'!$F$2:$F$501"),"Didn't see it"),0)))</f>
        <v/>
      </c>
      <c r="AR94" s="25">
        <f>IF(OR($A94="",$I94=""),"",IF($BC94="Y",SUMIFS(survey_frozen!$F$2:$F$251,survey_frozen!$P$2:$P$251,$A94&amp;"|"&amp;$B94),IFERROR(COUNTIFS(INDIRECT("'"&amp;$A94&amp;"'!$B$2:$B$501"),$T94,INDIRECT("'"&amp;$A94&amp;"'!$A$2:$A$501"),"&gt;="&amp;$I94,INDIRECT("'"&amp;$A94&amp;"'!$A$2:$A$501"),"&lt;"&amp;($BA94+1),INDIRECT("'"&amp;$A94&amp;"'!$F$2:$F$501"),"Not for me"),0)))</f>
        <v/>
      </c>
      <c r="AS94" s="25">
        <f>IF(OR($A94="",$I94=""),"",IF($BC94="Y",SUMIFS(survey_frozen!$G$2:$G$251,survey_frozen!$P$2:$P$251,$A94&amp;"|"&amp;$B94),IFERROR(COUNTIFS(INDIRECT("'"&amp;$A94&amp;"'!$B$2:$B$501"),$T94,INDIRECT("'"&amp;$A94&amp;"'!$A$2:$A$501"),"&gt;="&amp;$I94,INDIRECT("'"&amp;$A94&amp;"'!$A$2:$A$501"),"&lt;"&amp;($BA94+1),INDIRECT("'"&amp;$A94&amp;"'!$F$2:$F$501"),"Gone by the time I looked"),0)))</f>
        <v/>
      </c>
      <c r="AT94" s="25">
        <f>IF(OR($A94="",$I94=""),"",IF($BC94="Y",SUMIFS(survey_frozen!$H$2:$H$251,survey_frozen!$P$2:$P$251,$A94&amp;"|"&amp;$B94),IFERROR(COUNTIFS(INDIRECT("'"&amp;$A94&amp;"'!$B$2:$B$501"),$T94,INDIRECT("'"&amp;$A94&amp;"'!$A$2:$A$501"),"&gt;="&amp;$I94,INDIRECT("'"&amp;$A94&amp;"'!$A$2:$A$501"),"&lt;"&amp;($BA94+1),INDIRECT("'"&amp;$A94&amp;"'!$D$2:$D$501"),"&gt;=1"),0)))</f>
        <v/>
      </c>
      <c r="AU94" s="25">
        <f>IF(OR($A94="",$I94=""),"",IF($BC94="Y",SUMIFS(survey_frozen!$I$2:$I$251,survey_frozen!$P$2:$P$251,$A94&amp;"|"&amp;$B94),IFERROR(SUMIFS(INDIRECT("'"&amp;$A94&amp;"'!$D$2:$D$501"),INDIRECT("'"&amp;$A94&amp;"'!$B$2:$B$501"),$T94,INDIRECT("'"&amp;$A94&amp;"'!$A$2:$A$501"),"&gt;="&amp;$I94,INDIRECT("'"&amp;$A94&amp;"'!$A$2:$A$501"),"&lt;"&amp;($BA94+1)),0)))</f>
        <v/>
      </c>
      <c r="AV94" s="25">
        <f>IF(OR($A94="",$I94=""),"",IF($BC94="Y",SUMIFS(survey_frozen!$J$2:$J$251,survey_frozen!$P$2:$P$251,$A94&amp;"|"&amp;$B94),IFERROR(COUNTIFS(INDIRECT("'"&amp;$A94&amp;"'!$B$2:$B$501"),$T94,INDIRECT("'"&amp;$A94&amp;"'!$A$2:$A$501"),"&gt;="&amp;$I94,INDIRECT("'"&amp;$A94&amp;"'!$A$2:$A$501"),"&lt;"&amp;($BA94+1),INDIRECT("'"&amp;$A94&amp;"'!$E$2:$E$501"),"Yes"),0)))</f>
        <v/>
      </c>
      <c r="AW94" s="25">
        <f>IF(OR($A94="",$I94=""),"",IF($BC94="Y",SUMIFS(survey_frozen!$K$2:$K$251,survey_frozen!$P$2:$P$251,$A94&amp;"|"&amp;$B94),IFERROR(COUNTIFS(INDIRECT("'"&amp;$A94&amp;"'!$B$2:$B$501"),$T94,INDIRECT("'"&amp;$A94&amp;"'!$A$2:$A$501"),"&gt;="&amp;$I94,INDIRECT("'"&amp;$A94&amp;"'!$A$2:$A$501"),"&lt;"&amp;($BA94+1),INDIRECT("'"&amp;$A94&amp;"'!$E$2:$E$501"),"Maybe"),0)))</f>
        <v/>
      </c>
      <c r="AX94" s="25">
        <f>IF(OR($A94="",$I94=""),"",IF($BC94="Y",SUMIFS(survey_frozen!$L$2:$L$251,survey_frozen!$P$2:$P$251,$A94&amp;"|"&amp;$B94),IFERROR(COUNTIFS(INDIRECT("'"&amp;$A94&amp;"'!$B$2:$B$501"),$T94,INDIRECT("'"&amp;$A94&amp;"'!$A$2:$A$501"),"&gt;="&amp;$I94,INDIRECT("'"&amp;$A94&amp;"'!$A$2:$A$501"),"&lt;"&amp;($BA94+1),INDIRECT("'"&amp;$A94&amp;"'!$E$2:$E$501"),"No"),0)))</f>
        <v/>
      </c>
      <c r="AY94" s="25">
        <f>IF(OR($A94="",$I94=""),"",IF($BC94="Y",SUMIFS(survey_frozen!$M$2:$M$251,survey_frozen!$P$2:$P$251,$A94&amp;"|"&amp;$B94),IFERROR(COUNTIFS(INDIRECT("'"&amp;$A94&amp;"'!$B$2:$B$501"),$T94,INDIRECT("'"&amp;$A94&amp;"'!$A$2:$A$501"),"&gt;="&amp;$I94,INDIRECT("'"&amp;$A94&amp;"'!$A$2:$A$501"),"&lt;"&amp;($BA94+1),INDIRECT("'"&amp;$A94&amp;"'!$G$2:$G$501"),"&lt;&gt;"),0)))</f>
        <v/>
      </c>
      <c r="AZ94" s="25">
        <f>IF($A94="","",$A94&amp;"|"&amp;$L94)</f>
        <v/>
      </c>
      <c r="BA94" s="26">
        <f>IF($A94="","",IFERROR(IF(INDEX(drops!$R$2:$R$21,MATCH($H94,drops!$A$2:$A$21,0))="","",INDEX(drops!$R$2:$R$21,MATCH($H94,drops!$A$2:$A$21,0))),""))</f>
        <v/>
      </c>
      <c r="BB94" s="25">
        <f>IF(OR($A94="",$Q94&lt;&gt;"Y"),1000000,N($AL94))</f>
        <v/>
      </c>
      <c r="BC94" s="25">
        <f>IF($A94="","",IF(COUNTIF(survey_frozen!$P$2:$P$251,$A94&amp;"|"&amp;$B94)&gt;0,"Y",""))</f>
        <v/>
      </c>
    </row>
    <row r="95">
      <c r="C95" s="9" t="n"/>
      <c r="E95" s="9" t="n"/>
      <c r="H95" s="25">
        <f>IF($A95="","",IFERROR(IF(INDEX(campaigns!$B$2:$B$51,MATCH($A95,campaigns!$A$2:$A$51,0))="","",INDEX(campaigns!$B$2:$B$51,MATCH($A95,campaigns!$A$2:$A$51,0))),""))</f>
        <v/>
      </c>
      <c r="I95" s="26">
        <f>IF($A95="","",IFERROR(IF(INDEX(campaigns!$BG$2:$BG$51,MATCH($A95,campaigns!$A$2:$A$51,0))="","",INDEX(campaigns!$BG$2:$BG$51,MATCH($A95,campaigns!$A$2:$A$51,0))),""))</f>
        <v/>
      </c>
      <c r="J95" s="25">
        <f>IF($A95="","",IFERROR(IF(INDEX(campaigns!$BE$2:$BE$51,MATCH($A95,campaigns!$A$2:$A$51,0))="","",INDEX(campaigns!$BE$2:$BE$51,MATCH($A95,campaigns!$A$2:$A$51,0))),""))</f>
        <v/>
      </c>
      <c r="K95" s="25">
        <f>IF($B95="","",IFERROR(IF(INDEX(offices!$N$2:$N$61,MATCH($B95,offices!$A$2:$A$61,0))="","",INDEX(offices!$N$2:$N$61,MATCH($B95,offices!$A$2:$A$61,0))),""))</f>
        <v/>
      </c>
      <c r="L95" s="25">
        <f>IF($A95="","",IF($Q95="N","",COUNTIFS($A$2:$A95,$A95,$Q$2:$Q95,"&lt;&gt;N")))</f>
        <v/>
      </c>
      <c r="M95" s="25">
        <f>IF(OR($A95="",$L95=""),"",IF(AND(config!$B$34="names_if_public",IFERROR(IF(INDEX(offices!$AF$2:$AF$61,MATCH($B95,offices!$A$2:$A$61,0))="","",INDEX(offices!$AF$2:$AF$61,MATCH($B95,offices!$A$2:$A$61,0))),"")="Y"),$K95,CHAR(64+$L95)))</f>
        <v/>
      </c>
      <c r="N95" s="25">
        <f>IF(OR($A95="",$I95=""),"",COUNTIFS(stops!$B$2:$B$151,$B95,stops!$P$2:$P$151,"&lt;"&amp;$I95,stops!$L$2:$L$151,"&lt;&gt;not_delivered")+1)</f>
        <v/>
      </c>
      <c r="O95" s="25">
        <f>IF($A95="","",IF(N($N95)&lt;=config!$B$29,"explicit","opt-out"))</f>
        <v/>
      </c>
      <c r="P95" s="25">
        <f>IF($A95="","",IF($O95="explicit",IF($D95="yes","Y",IF($D95="no","N","pending")),IF($D95="no","N",IF(AND($C95&lt;&gt;"",$I95&lt;&gt;"",$C95&lt;=WORKDAY(N($I95),-5,calendar!$A$2:$A$80)),"Y","pending"))))</f>
        <v/>
      </c>
      <c r="Q95" s="25">
        <f>IF($A95="","",IF($P95="N","N",IF($P95&lt;&gt;"Y","pending",IF(AND((COUNTIFS(stops!$A$2:$A$151,$H95,stops!$B$2:$B$151,$B95,stops!$L$2:$L$151,"declined")+COUNTIFS(stops!$A$2:$A$151,$H95,stops!$B$2:$B$151,$B95,stops!$L$2:$L$151,"building_refused")+COUNTIFS(stops!$A$2:$A$151,$H95,stops!$B$2:$B$151,$B95,stops!$L$2:$L$151,"not_delivered"))&gt;0,N($U95)=0),"N","Y"))))</f>
        <v/>
      </c>
      <c r="R95" s="25">
        <f>IF($A95="","",IF(COUNTIFS($A$2:$A$251,$A95,$B$2:$B$251,$B95)&gt;1,"DUPLICATE ROW; ","")&amp;IF(AND(IFERROR(IF(INDEX(offices!$AC$2:$AC$61,MATCH($B95,offices!$A$2:$A$61,0))="","",INDEX(offices!$AC$2:$AC$61,MATCH($B95,offices!$A$2:$A$61,0))),"")&lt;&gt;"",ISNUMBER(SEARCH($J95,IFERROR(IF(INDEX(offices!$AC$2:$AC$61,MATCH($B95,offices!$A$2:$A$61,0))="","",INDEX(offices!$AC$2:$AC$61,MATCH($B95,offices!$A$2:$A$61,0))),"")))),"BRAND VETOED; ","")&amp;IF(ISNUMBER(SEARCH(IFERROR(IF(INDEX(campaigns!$BF$2:$BF$51,MATCH($A95,campaigns!$A$2:$A$51,0))="","",INDEX(campaigns!$BF$2:$BF$51,MATCH($A95,campaigns!$A$2:$A$51,0))),""),IFERROR(IF(INDEX(offices!$AB$2:$AB$61,MATCH($B95,offices!$A$2:$A$61,0))="","",INDEX(offices!$AB$2:$AB$61,MATCH($B95,offices!$A$2:$A$61,0))),""))),"","info: category not on the office's list; ")&amp;IF(IFERROR(IF(INDEX(offices!$AC$2:$AC$61,MATCH($B95,offices!$A$2:$A$61,0))="","",INDEX(offices!$AC$2:$AC$61,MATCH($B95,offices!$A$2:$A$61,0))),"")&lt;&gt;"","info: read the vetoes against the label; ",""))</f>
        <v/>
      </c>
      <c r="S95" s="25">
        <f>IF($A95="","",IF($G95&lt;&gt;"",$G95,IFERROR(IF(INDEX(offices!$AL$2:$AL$61,MATCH($B95,offices!$A$2:$A$61,0))="","",INDEX(offices!$AL$2:$AL$61,MATCH($B95,offices!$A$2:$A$61,0))),"")))</f>
        <v/>
      </c>
      <c r="T95" s="25">
        <f>IF($A95="","",$A95&amp;"."&amp;$B95)</f>
        <v/>
      </c>
      <c r="U95" s="25">
        <f>IF($A95="","",SUMIFS(inventory!$G$2:$G$801,inventory!$C$2:$C$801,$A95,inventory!$D$2:$D$801,$B95,inventory!$E$2:$E$801,"delivered"))</f>
        <v/>
      </c>
      <c r="V95" s="32">
        <f>IF($A95="","",IFERROR(1/(1/SUMPRODUCT(MAX((inventory!$C$2:$C$801=$A95)*(inventory!$D$2:$D$801=$B95)*(inventory!$E$2:$E$801="delivered")*(inventory!$A$2:$A$801+inventory!$B$2:$B$801)))),""))</f>
        <v/>
      </c>
      <c r="W95" s="25">
        <f>IF($A95="","",IFERROR(IF(INDEX(inventory!$J$2:$J$801,MATCH($A95&amp;"|"&amp;$B95&amp;"|delivered",inventory!$R$2:$R$801,0))="","",INDEX(inventory!$J$2:$J$801,MATCH($A95&amp;"|"&amp;$B95&amp;"|delivered",inventory!$R$2:$R$801,0))),""))</f>
        <v/>
      </c>
      <c r="X95" s="25">
        <f>IF($A95="","",IFERROR(IF(INDEX(photos!$H$2:$H$701,MATCH($A95&amp;"|"&amp;$B95&amp;"|placement|Y",photos!$R$2:$R$701,0))="","",INDEX(photos!$H$2:$H$701,MATCH($A95&amp;"|"&amp;$B95&amp;"|placement|Y",photos!$R$2:$R$701,0))),""))</f>
        <v/>
      </c>
      <c r="Y95" s="26">
        <f>IF($A95="","",IFERROR(IF(INDEX(photos!$E$2:$E$701,MATCH($A95&amp;"|"&amp;$B95&amp;"|placement|Y",photos!$R$2:$R$701,0))="","",INDEX(photos!$E$2:$E$701,MATCH($A95&amp;"|"&amp;$B95&amp;"|placement|Y",photos!$R$2:$R$701,0))),""))</f>
        <v/>
      </c>
      <c r="Z95" s="25">
        <f>IF($A95="","",IF(COUNTIFS(counts!$C$2:$C$701,$A95,counts!$D$2:$D$701,$B95,counts!$E$2:$E$701,"placed")=0,"",SUMIFS(counts!$F$2:$F$701,counts!$C$2:$C$701,$A95,counts!$D$2:$D$701,$B95,counts!$E$2:$E$701,"placed")))</f>
        <v/>
      </c>
      <c r="AA95" s="25">
        <f>IF($A95="","",IF($Y95="",0,N($Z95)))</f>
        <v/>
      </c>
      <c r="AB95" s="25">
        <f>IF($A95="","",IF(OR($Y95="",$I95=""),"N",IF($Y95&lt;=WORKDAY(N($I95),1,calendar!$A$2:$A$80),"Y","N")))</f>
        <v/>
      </c>
      <c r="AC95" s="28">
        <f>IF(OR($A95="",$V95="",$Y95=""),"",ROUND(($Y95+N(IFERROR(IF(INDEX(photos!$F$2:$F$701,MATCH($A95&amp;"|"&amp;$B95&amp;"|placement|Y",photos!$R$2:$R$701,0))="","",INDEX(photos!$F$2:$F$701,MATCH($A95&amp;"|"&amp;$B95&amp;"|placement|Y",photos!$R$2:$R$701,0))),""))-$V95)*24,1))</f>
        <v/>
      </c>
      <c r="AD95" s="25">
        <f>IF($A95="","",SUMIFS(inventory!$G$2:$G$801,inventory!$C$2:$C$801,$A95,inventory!$D$2:$D$801,$B95,inventory!$E$2:$E$801,"topped_up"))</f>
        <v/>
      </c>
      <c r="AE95" s="25">
        <f>IF($A95="","",IF(COUNTIFS(counts!$C$2:$C$701,$A95,counts!$D$2:$D$701,$B95,counts!$E$2:$E$701,"remaining_day3")=0,"",SUMIFS(counts!$F$2:$F$701,counts!$C$2:$C$701,$A95,counts!$D$2:$D$701,$B95,counts!$E$2:$E$701,"remaining_day3")))</f>
        <v/>
      </c>
      <c r="AF95" s="25">
        <f>IF($A95="","",IF(COUNTIFS(counts!$C$2:$C$701,$A95,counts!$D$2:$D$701,$B95,counts!$E$2:$E$701,"remaining_day5")=0,"",SUMIFS(counts!$F$2:$F$701,counts!$C$2:$C$701,$A95,counts!$D$2:$D$701,$B95,counts!$E$2:$E$701,"remaining_day5")))</f>
        <v/>
      </c>
      <c r="AG95" s="25">
        <f>IF(OR($A95="",$AF95=""),"",MAX(0,$AA95+$AD95-$AF95))</f>
        <v/>
      </c>
      <c r="AH95" s="25">
        <f>IF(OR($A95="",$AI95=""),"",IFERROR(IF(INDEX(photos!$H$2:$H$701,MATCH($A95&amp;"|"&amp;$B95&amp;"|later|Y|"&amp;$AI95,photos!$S$2:$S$701,0))="","",INDEX(photos!$H$2:$H$701,MATCH($A95&amp;"|"&amp;$B95&amp;"|later|Y|"&amp;$AI95,photos!$S$2:$S$701,0))),""))</f>
        <v/>
      </c>
      <c r="AI95" s="26">
        <f>IF($A95="","",IFERROR(1/(1/SUMPRODUCT(MAX((photos!$B$2:$B$701=$A95)*(photos!$C$2:$C$701=$B95)*(photos!$D$2:$D$701="later")*(photos!$O$2:$O$701="Y")*photos!$E$2:$E$701))),""))</f>
        <v/>
      </c>
      <c r="AJ95" s="25">
        <f>IF(OR($A95="",$AI95="",$I95=""),"",NETWORKDAYS($I95,$AI95,calendar!$A$2:$A$80))</f>
        <v/>
      </c>
      <c r="AK95" s="25">
        <f>IF($A95="","",IF(AND($X95&lt;&gt;"",$AH95&lt;&gt;""),"Y","N"))</f>
        <v/>
      </c>
      <c r="AL95" s="25">
        <f>IF(OR($A95="",$I95=""),"",IF($BC95="Y",SUMIFS(survey_frozen!$C$2:$C$251,survey_frozen!$P$2:$P$251,$A95&amp;"|"&amp;$B95),IFERROR(COUNTIFS(INDIRECT("'"&amp;$A95&amp;"'!$B$2:$B$501"),$T95,INDIRECT("'"&amp;$A95&amp;"'!$A$2:$A$501"),"&gt;="&amp;$I95,INDIRECT("'"&amp;$A95&amp;"'!$A$2:$A$501"),"&lt;"&amp;($BA95+1)),0)))</f>
        <v/>
      </c>
      <c r="AM95" s="25">
        <f>IF(OR($A95="",$I95=""),"",IF($BC95="Y",SUMIFS(survey_frozen!$D$2:$D$251,survey_frozen!$P$2:$P$251,$A95&amp;"|"&amp;$B95),IFERROR(COUNTIFS(INDIRECT("'"&amp;$A95&amp;"'!$B$2:$B$501"),$T95,INDIRECT("'"&amp;$A95&amp;"'!$A$2:$A$501"),"&gt;="&amp;$I95,INDIRECT("'"&amp;$A95&amp;"'!$A$2:$A$501"),"&lt;"&amp;($BA95+1),INDIRECT("'"&amp;$A95&amp;"'!$C$2:$C$501"),"Yes"),0)))</f>
        <v/>
      </c>
      <c r="AN95" s="25">
        <f>IF($A95="","",IF(COUNTIFS(scans!$C$2:$C$1601,(IF(LEFT($A95,7)="SAMPLE-","SAMPLE-","")&amp;LOWER(SUBSTITUTE(SUBSTITUTE($A95,"SAMPLE-",""),"CMP-","c"))&amp;"-"&amp;LOWER(SUBSTITUTE(SUBSTITUTE($B95,"SAMPLE-",""),"O-","o"))&amp;"-q"),scans!$D$2:$D$1601,"close")=0,"",SUMPRODUCT(MAX((scans!$C$2:$C$1601=(IF(LEFT($A95,7)="SAMPLE-","SAMPLE-","")&amp;LOWER(SUBSTITUTE(SUBSTITUTE($A95,"SAMPLE-",""),"CMP-","c"))&amp;"-"&amp;LOWER(SUBSTITUTE(SUBSTITUTE($B95,"SAMPLE-",""),"O-","o"))&amp;"-q"))*(scans!$D$2:$D$1601="close")*scans!$E$2:$E$1601))-SUMPRODUCT(MAX((scans!$C$2:$C$1601=(IF(LEFT($A95,7)="SAMPLE-","SAMPLE-","")&amp;LOWER(SUBSTITUTE(SUBSTITUTE($A95,"SAMPLE-",""),"CMP-","c"))&amp;"-"&amp;LOWER(SUBSTITUTE(SUBSTITUTE($B95,"SAMPLE-",""),"O-","o"))&amp;"-q"))*(scans!$D$2:$D$1601="baseline")*scans!$E$2:$E$1601))))</f>
        <v/>
      </c>
      <c r="AO95" s="25">
        <f>IF($A95="","",IF(COUNTIFS(scans!$C$2:$C$1601,(IF(LEFT($A95,7)="SAMPLE-","SAMPLE-","")&amp;LOWER(SUBSTITUTE(SUBSTITUTE($A95,"SAMPLE-",""),"CMP-","c"))&amp;"-"&amp;LOWER(SUBSTITUTE(SUBSTITUTE($B95,"SAMPLE-",""),"O-","o"))&amp;"-p"),scans!$D$2:$D$1601,"close")=0,"",SUMPRODUCT(MAX((scans!$C$2:$C$1601=(IF(LEFT($A95,7)="SAMPLE-","SAMPLE-","")&amp;LOWER(SUBSTITUTE(SUBSTITUTE($A95,"SAMPLE-",""),"CMP-","c"))&amp;"-"&amp;LOWER(SUBSTITUTE(SUBSTITUTE($B95,"SAMPLE-",""),"O-","o"))&amp;"-p"))*(scans!$D$2:$D$1601="close")*scans!$E$2:$E$1601))-SUMPRODUCT(MAX((scans!$C$2:$C$1601=(IF(LEFT($A95,7)="SAMPLE-","SAMPLE-","")&amp;LOWER(SUBSTITUTE(SUBSTITUTE($A95,"SAMPLE-",""),"CMP-","c"))&amp;"-"&amp;LOWER(SUBSTITUTE(SUBSTITUTE($B95,"SAMPLE-",""),"O-","o"))&amp;"-p"))*(scans!$D$2:$D$1601="baseline")*scans!$E$2:$E$1601))))</f>
        <v/>
      </c>
      <c r="AP95" s="25">
        <f>IF($A95="","",IF(COUNTIF(offices!$A$2:$A$61,$B95)=0,"office_id not on offices; ","")&amp;IF(COUNTIF(campaigns!$A$2:$A$51,$A95)=0,"campaign_id not on campaigns; ","")&amp;IF($P95="pending","approval pending; ","")&amp;IF(AND($U95&gt;0,$Y95="",OR($I95="",IF(config!$B$37&lt;&gt;"",config!$B$37,TODAY())&lt;=WORKDAY(N($I95),4,calendar!$A$2:$A$80))),"no usable placement photo yet; ","")&amp;IF(AND($Y95&lt;&gt;"",$Z95=""),"log the placed count; ","")&amp;IF(N($AA95)&gt;N($U95),"placed more than delivered; ","")&amp;IF(AND($AF95&lt;&gt;"",N($AF95)&gt;N($AA95)+N($AD95)),"day-5 count above placed plus top-ups; ","")&amp;IF(AND($U95&gt;0,$I95&lt;&gt;"",IF(config!$B$37&lt;&gt;"",config!$B$37,TODAY())&gt;WORKDAY(N($I95),4,calendar!$A$2:$A$80),$AF95=""),"day-5 count missing; ","")&amp;IF(AND($U95&gt;0,$I95&lt;&gt;"",IF(config!$B$37&lt;&gt;"",config!$B$37,TODAY())&gt;WORKDAY(N($I95),4,calendar!$A$2:$A$80),$AN95=""),"no close link reading; ","")&amp;$R95&amp;IF($P95="N","info: office said no; ","")&amp;IF(AND($P95="Y",$Q95="N"),"info: turned away at the door, so not on the drop (no letter, not in the report or Gate 2; the credit check is on campaigns); ","")&amp;IF(AND($U95&gt;0,$Y95="",$I95&lt;&gt;"",IF(config!$B$37&lt;&gt;"",config!$B$37,TODAY())&gt;WORKDAY(N($I95),4,calendar!$A$2:$A$80)),"info: no usable placement photo, so nothing counts as placed; ","")&amp;IF(AND($U95&gt;0,$I95&lt;&gt;"",IF(config!$B$37&lt;&gt;"",config!$B$37,TODAY())&gt;WORKDAY(N($I95),4,calendar!$A$2:$A$80),N($AL95)&lt;config!$B$30),"info: under "&amp;config!$B$30&amp;" responses; ","")&amp;IF($W95="packing_list","info: delivered count not verified; ",""))</f>
        <v/>
      </c>
      <c r="AQ95" s="25">
        <f>IF(OR($A95="",$I95=""),"",IF($BC95="Y",SUMIFS(survey_frozen!$E$2:$E$251,survey_frozen!$P$2:$P$251,$A95&amp;"|"&amp;$B95),IFERROR(COUNTIFS(INDIRECT("'"&amp;$A95&amp;"'!$B$2:$B$501"),$T95,INDIRECT("'"&amp;$A95&amp;"'!$A$2:$A$501"),"&gt;="&amp;$I95,INDIRECT("'"&amp;$A95&amp;"'!$A$2:$A$501"),"&lt;"&amp;($BA95+1),INDIRECT("'"&amp;$A95&amp;"'!$F$2:$F$501"),"Didn't see it"),0)))</f>
        <v/>
      </c>
      <c r="AR95" s="25">
        <f>IF(OR($A95="",$I95=""),"",IF($BC95="Y",SUMIFS(survey_frozen!$F$2:$F$251,survey_frozen!$P$2:$P$251,$A95&amp;"|"&amp;$B95),IFERROR(COUNTIFS(INDIRECT("'"&amp;$A95&amp;"'!$B$2:$B$501"),$T95,INDIRECT("'"&amp;$A95&amp;"'!$A$2:$A$501"),"&gt;="&amp;$I95,INDIRECT("'"&amp;$A95&amp;"'!$A$2:$A$501"),"&lt;"&amp;($BA95+1),INDIRECT("'"&amp;$A95&amp;"'!$F$2:$F$501"),"Not for me"),0)))</f>
        <v/>
      </c>
      <c r="AS95" s="25">
        <f>IF(OR($A95="",$I95=""),"",IF($BC95="Y",SUMIFS(survey_frozen!$G$2:$G$251,survey_frozen!$P$2:$P$251,$A95&amp;"|"&amp;$B95),IFERROR(COUNTIFS(INDIRECT("'"&amp;$A95&amp;"'!$B$2:$B$501"),$T95,INDIRECT("'"&amp;$A95&amp;"'!$A$2:$A$501"),"&gt;="&amp;$I95,INDIRECT("'"&amp;$A95&amp;"'!$A$2:$A$501"),"&lt;"&amp;($BA95+1),INDIRECT("'"&amp;$A95&amp;"'!$F$2:$F$501"),"Gone by the time I looked"),0)))</f>
        <v/>
      </c>
      <c r="AT95" s="25">
        <f>IF(OR($A95="",$I95=""),"",IF($BC95="Y",SUMIFS(survey_frozen!$H$2:$H$251,survey_frozen!$P$2:$P$251,$A95&amp;"|"&amp;$B95),IFERROR(COUNTIFS(INDIRECT("'"&amp;$A95&amp;"'!$B$2:$B$501"),$T95,INDIRECT("'"&amp;$A95&amp;"'!$A$2:$A$501"),"&gt;="&amp;$I95,INDIRECT("'"&amp;$A95&amp;"'!$A$2:$A$501"),"&lt;"&amp;($BA95+1),INDIRECT("'"&amp;$A95&amp;"'!$D$2:$D$501"),"&gt;=1"),0)))</f>
        <v/>
      </c>
      <c r="AU95" s="25">
        <f>IF(OR($A95="",$I95=""),"",IF($BC95="Y",SUMIFS(survey_frozen!$I$2:$I$251,survey_frozen!$P$2:$P$251,$A95&amp;"|"&amp;$B95),IFERROR(SUMIFS(INDIRECT("'"&amp;$A95&amp;"'!$D$2:$D$501"),INDIRECT("'"&amp;$A95&amp;"'!$B$2:$B$501"),$T95,INDIRECT("'"&amp;$A95&amp;"'!$A$2:$A$501"),"&gt;="&amp;$I95,INDIRECT("'"&amp;$A95&amp;"'!$A$2:$A$501"),"&lt;"&amp;($BA95+1)),0)))</f>
        <v/>
      </c>
      <c r="AV95" s="25">
        <f>IF(OR($A95="",$I95=""),"",IF($BC95="Y",SUMIFS(survey_frozen!$J$2:$J$251,survey_frozen!$P$2:$P$251,$A95&amp;"|"&amp;$B95),IFERROR(COUNTIFS(INDIRECT("'"&amp;$A95&amp;"'!$B$2:$B$501"),$T95,INDIRECT("'"&amp;$A95&amp;"'!$A$2:$A$501"),"&gt;="&amp;$I95,INDIRECT("'"&amp;$A95&amp;"'!$A$2:$A$501"),"&lt;"&amp;($BA95+1),INDIRECT("'"&amp;$A95&amp;"'!$E$2:$E$501"),"Yes"),0)))</f>
        <v/>
      </c>
      <c r="AW95" s="25">
        <f>IF(OR($A95="",$I95=""),"",IF($BC95="Y",SUMIFS(survey_frozen!$K$2:$K$251,survey_frozen!$P$2:$P$251,$A95&amp;"|"&amp;$B95),IFERROR(COUNTIFS(INDIRECT("'"&amp;$A95&amp;"'!$B$2:$B$501"),$T95,INDIRECT("'"&amp;$A95&amp;"'!$A$2:$A$501"),"&gt;="&amp;$I95,INDIRECT("'"&amp;$A95&amp;"'!$A$2:$A$501"),"&lt;"&amp;($BA95+1),INDIRECT("'"&amp;$A95&amp;"'!$E$2:$E$501"),"Maybe"),0)))</f>
        <v/>
      </c>
      <c r="AX95" s="25">
        <f>IF(OR($A95="",$I95=""),"",IF($BC95="Y",SUMIFS(survey_frozen!$L$2:$L$251,survey_frozen!$P$2:$P$251,$A95&amp;"|"&amp;$B95),IFERROR(COUNTIFS(INDIRECT("'"&amp;$A95&amp;"'!$B$2:$B$501"),$T95,INDIRECT("'"&amp;$A95&amp;"'!$A$2:$A$501"),"&gt;="&amp;$I95,INDIRECT("'"&amp;$A95&amp;"'!$A$2:$A$501"),"&lt;"&amp;($BA95+1),INDIRECT("'"&amp;$A95&amp;"'!$E$2:$E$501"),"No"),0)))</f>
        <v/>
      </c>
      <c r="AY95" s="25">
        <f>IF(OR($A95="",$I95=""),"",IF($BC95="Y",SUMIFS(survey_frozen!$M$2:$M$251,survey_frozen!$P$2:$P$251,$A95&amp;"|"&amp;$B95),IFERROR(COUNTIFS(INDIRECT("'"&amp;$A95&amp;"'!$B$2:$B$501"),$T95,INDIRECT("'"&amp;$A95&amp;"'!$A$2:$A$501"),"&gt;="&amp;$I95,INDIRECT("'"&amp;$A95&amp;"'!$A$2:$A$501"),"&lt;"&amp;($BA95+1),INDIRECT("'"&amp;$A95&amp;"'!$G$2:$G$501"),"&lt;&gt;"),0)))</f>
        <v/>
      </c>
      <c r="AZ95" s="25">
        <f>IF($A95="","",$A95&amp;"|"&amp;$L95)</f>
        <v/>
      </c>
      <c r="BA95" s="26">
        <f>IF($A95="","",IFERROR(IF(INDEX(drops!$R$2:$R$21,MATCH($H95,drops!$A$2:$A$21,0))="","",INDEX(drops!$R$2:$R$21,MATCH($H95,drops!$A$2:$A$21,0))),""))</f>
        <v/>
      </c>
      <c r="BB95" s="25">
        <f>IF(OR($A95="",$Q95&lt;&gt;"Y"),1000000,N($AL95))</f>
        <v/>
      </c>
      <c r="BC95" s="25">
        <f>IF($A95="","",IF(COUNTIF(survey_frozen!$P$2:$P$251,$A95&amp;"|"&amp;$B95)&gt;0,"Y",""))</f>
        <v/>
      </c>
    </row>
    <row r="96">
      <c r="C96" s="9" t="n"/>
      <c r="E96" s="9" t="n"/>
      <c r="H96" s="25">
        <f>IF($A96="","",IFERROR(IF(INDEX(campaigns!$B$2:$B$51,MATCH($A96,campaigns!$A$2:$A$51,0))="","",INDEX(campaigns!$B$2:$B$51,MATCH($A96,campaigns!$A$2:$A$51,0))),""))</f>
        <v/>
      </c>
      <c r="I96" s="26">
        <f>IF($A96="","",IFERROR(IF(INDEX(campaigns!$BG$2:$BG$51,MATCH($A96,campaigns!$A$2:$A$51,0))="","",INDEX(campaigns!$BG$2:$BG$51,MATCH($A96,campaigns!$A$2:$A$51,0))),""))</f>
        <v/>
      </c>
      <c r="J96" s="25">
        <f>IF($A96="","",IFERROR(IF(INDEX(campaigns!$BE$2:$BE$51,MATCH($A96,campaigns!$A$2:$A$51,0))="","",INDEX(campaigns!$BE$2:$BE$51,MATCH($A96,campaigns!$A$2:$A$51,0))),""))</f>
        <v/>
      </c>
      <c r="K96" s="25">
        <f>IF($B96="","",IFERROR(IF(INDEX(offices!$N$2:$N$61,MATCH($B96,offices!$A$2:$A$61,0))="","",INDEX(offices!$N$2:$N$61,MATCH($B96,offices!$A$2:$A$61,0))),""))</f>
        <v/>
      </c>
      <c r="L96" s="25">
        <f>IF($A96="","",IF($Q96="N","",COUNTIFS($A$2:$A96,$A96,$Q$2:$Q96,"&lt;&gt;N")))</f>
        <v/>
      </c>
      <c r="M96" s="25">
        <f>IF(OR($A96="",$L96=""),"",IF(AND(config!$B$34="names_if_public",IFERROR(IF(INDEX(offices!$AF$2:$AF$61,MATCH($B96,offices!$A$2:$A$61,0))="","",INDEX(offices!$AF$2:$AF$61,MATCH($B96,offices!$A$2:$A$61,0))),"")="Y"),$K96,CHAR(64+$L96)))</f>
        <v/>
      </c>
      <c r="N96" s="25">
        <f>IF(OR($A96="",$I96=""),"",COUNTIFS(stops!$B$2:$B$151,$B96,stops!$P$2:$P$151,"&lt;"&amp;$I96,stops!$L$2:$L$151,"&lt;&gt;not_delivered")+1)</f>
        <v/>
      </c>
      <c r="O96" s="25">
        <f>IF($A96="","",IF(N($N96)&lt;=config!$B$29,"explicit","opt-out"))</f>
        <v/>
      </c>
      <c r="P96" s="25">
        <f>IF($A96="","",IF($O96="explicit",IF($D96="yes","Y",IF($D96="no","N","pending")),IF($D96="no","N",IF(AND($C96&lt;&gt;"",$I96&lt;&gt;"",$C96&lt;=WORKDAY(N($I96),-5,calendar!$A$2:$A$80)),"Y","pending"))))</f>
        <v/>
      </c>
      <c r="Q96" s="25">
        <f>IF($A96="","",IF($P96="N","N",IF($P96&lt;&gt;"Y","pending",IF(AND((COUNTIFS(stops!$A$2:$A$151,$H96,stops!$B$2:$B$151,$B96,stops!$L$2:$L$151,"declined")+COUNTIFS(stops!$A$2:$A$151,$H96,stops!$B$2:$B$151,$B96,stops!$L$2:$L$151,"building_refused")+COUNTIFS(stops!$A$2:$A$151,$H96,stops!$B$2:$B$151,$B96,stops!$L$2:$L$151,"not_delivered"))&gt;0,N($U96)=0),"N","Y"))))</f>
        <v/>
      </c>
      <c r="R96" s="25">
        <f>IF($A96="","",IF(COUNTIFS($A$2:$A$251,$A96,$B$2:$B$251,$B96)&gt;1,"DUPLICATE ROW; ","")&amp;IF(AND(IFERROR(IF(INDEX(offices!$AC$2:$AC$61,MATCH($B96,offices!$A$2:$A$61,0))="","",INDEX(offices!$AC$2:$AC$61,MATCH($B96,offices!$A$2:$A$61,0))),"")&lt;&gt;"",ISNUMBER(SEARCH($J96,IFERROR(IF(INDEX(offices!$AC$2:$AC$61,MATCH($B96,offices!$A$2:$A$61,0))="","",INDEX(offices!$AC$2:$AC$61,MATCH($B96,offices!$A$2:$A$61,0))),"")))),"BRAND VETOED; ","")&amp;IF(ISNUMBER(SEARCH(IFERROR(IF(INDEX(campaigns!$BF$2:$BF$51,MATCH($A96,campaigns!$A$2:$A$51,0))="","",INDEX(campaigns!$BF$2:$BF$51,MATCH($A96,campaigns!$A$2:$A$51,0))),""),IFERROR(IF(INDEX(offices!$AB$2:$AB$61,MATCH($B96,offices!$A$2:$A$61,0))="","",INDEX(offices!$AB$2:$AB$61,MATCH($B96,offices!$A$2:$A$61,0))),""))),"","info: category not on the office's list; ")&amp;IF(IFERROR(IF(INDEX(offices!$AC$2:$AC$61,MATCH($B96,offices!$A$2:$A$61,0))="","",INDEX(offices!$AC$2:$AC$61,MATCH($B96,offices!$A$2:$A$61,0))),"")&lt;&gt;"","info: read the vetoes against the label; ",""))</f>
        <v/>
      </c>
      <c r="S96" s="25">
        <f>IF($A96="","",IF($G96&lt;&gt;"",$G96,IFERROR(IF(INDEX(offices!$AL$2:$AL$61,MATCH($B96,offices!$A$2:$A$61,0))="","",INDEX(offices!$AL$2:$AL$61,MATCH($B96,offices!$A$2:$A$61,0))),"")))</f>
        <v/>
      </c>
      <c r="T96" s="25">
        <f>IF($A96="","",$A96&amp;"."&amp;$B96)</f>
        <v/>
      </c>
      <c r="U96" s="25">
        <f>IF($A96="","",SUMIFS(inventory!$G$2:$G$801,inventory!$C$2:$C$801,$A96,inventory!$D$2:$D$801,$B96,inventory!$E$2:$E$801,"delivered"))</f>
        <v/>
      </c>
      <c r="V96" s="32">
        <f>IF($A96="","",IFERROR(1/(1/SUMPRODUCT(MAX((inventory!$C$2:$C$801=$A96)*(inventory!$D$2:$D$801=$B96)*(inventory!$E$2:$E$801="delivered")*(inventory!$A$2:$A$801+inventory!$B$2:$B$801)))),""))</f>
        <v/>
      </c>
      <c r="W96" s="25">
        <f>IF($A96="","",IFERROR(IF(INDEX(inventory!$J$2:$J$801,MATCH($A96&amp;"|"&amp;$B96&amp;"|delivered",inventory!$R$2:$R$801,0))="","",INDEX(inventory!$J$2:$J$801,MATCH($A96&amp;"|"&amp;$B96&amp;"|delivered",inventory!$R$2:$R$801,0))),""))</f>
        <v/>
      </c>
      <c r="X96" s="25">
        <f>IF($A96="","",IFERROR(IF(INDEX(photos!$H$2:$H$701,MATCH($A96&amp;"|"&amp;$B96&amp;"|placement|Y",photos!$R$2:$R$701,0))="","",INDEX(photos!$H$2:$H$701,MATCH($A96&amp;"|"&amp;$B96&amp;"|placement|Y",photos!$R$2:$R$701,0))),""))</f>
        <v/>
      </c>
      <c r="Y96" s="26">
        <f>IF($A96="","",IFERROR(IF(INDEX(photos!$E$2:$E$701,MATCH($A96&amp;"|"&amp;$B96&amp;"|placement|Y",photos!$R$2:$R$701,0))="","",INDEX(photos!$E$2:$E$701,MATCH($A96&amp;"|"&amp;$B96&amp;"|placement|Y",photos!$R$2:$R$701,0))),""))</f>
        <v/>
      </c>
      <c r="Z96" s="25">
        <f>IF($A96="","",IF(COUNTIFS(counts!$C$2:$C$701,$A96,counts!$D$2:$D$701,$B96,counts!$E$2:$E$701,"placed")=0,"",SUMIFS(counts!$F$2:$F$701,counts!$C$2:$C$701,$A96,counts!$D$2:$D$701,$B96,counts!$E$2:$E$701,"placed")))</f>
        <v/>
      </c>
      <c r="AA96" s="25">
        <f>IF($A96="","",IF($Y96="",0,N($Z96)))</f>
        <v/>
      </c>
      <c r="AB96" s="25">
        <f>IF($A96="","",IF(OR($Y96="",$I96=""),"N",IF($Y96&lt;=WORKDAY(N($I96),1,calendar!$A$2:$A$80),"Y","N")))</f>
        <v/>
      </c>
      <c r="AC96" s="28">
        <f>IF(OR($A96="",$V96="",$Y96=""),"",ROUND(($Y96+N(IFERROR(IF(INDEX(photos!$F$2:$F$701,MATCH($A96&amp;"|"&amp;$B96&amp;"|placement|Y",photos!$R$2:$R$701,0))="","",INDEX(photos!$F$2:$F$701,MATCH($A96&amp;"|"&amp;$B96&amp;"|placement|Y",photos!$R$2:$R$701,0))),""))-$V96)*24,1))</f>
        <v/>
      </c>
      <c r="AD96" s="25">
        <f>IF($A96="","",SUMIFS(inventory!$G$2:$G$801,inventory!$C$2:$C$801,$A96,inventory!$D$2:$D$801,$B96,inventory!$E$2:$E$801,"topped_up"))</f>
        <v/>
      </c>
      <c r="AE96" s="25">
        <f>IF($A96="","",IF(COUNTIFS(counts!$C$2:$C$701,$A96,counts!$D$2:$D$701,$B96,counts!$E$2:$E$701,"remaining_day3")=0,"",SUMIFS(counts!$F$2:$F$701,counts!$C$2:$C$701,$A96,counts!$D$2:$D$701,$B96,counts!$E$2:$E$701,"remaining_day3")))</f>
        <v/>
      </c>
      <c r="AF96" s="25">
        <f>IF($A96="","",IF(COUNTIFS(counts!$C$2:$C$701,$A96,counts!$D$2:$D$701,$B96,counts!$E$2:$E$701,"remaining_day5")=0,"",SUMIFS(counts!$F$2:$F$701,counts!$C$2:$C$701,$A96,counts!$D$2:$D$701,$B96,counts!$E$2:$E$701,"remaining_day5")))</f>
        <v/>
      </c>
      <c r="AG96" s="25">
        <f>IF(OR($A96="",$AF96=""),"",MAX(0,$AA96+$AD96-$AF96))</f>
        <v/>
      </c>
      <c r="AH96" s="25">
        <f>IF(OR($A96="",$AI96=""),"",IFERROR(IF(INDEX(photos!$H$2:$H$701,MATCH($A96&amp;"|"&amp;$B96&amp;"|later|Y|"&amp;$AI96,photos!$S$2:$S$701,0))="","",INDEX(photos!$H$2:$H$701,MATCH($A96&amp;"|"&amp;$B96&amp;"|later|Y|"&amp;$AI96,photos!$S$2:$S$701,0))),""))</f>
        <v/>
      </c>
      <c r="AI96" s="26">
        <f>IF($A96="","",IFERROR(1/(1/SUMPRODUCT(MAX((photos!$B$2:$B$701=$A96)*(photos!$C$2:$C$701=$B96)*(photos!$D$2:$D$701="later")*(photos!$O$2:$O$701="Y")*photos!$E$2:$E$701))),""))</f>
        <v/>
      </c>
      <c r="AJ96" s="25">
        <f>IF(OR($A96="",$AI96="",$I96=""),"",NETWORKDAYS($I96,$AI96,calendar!$A$2:$A$80))</f>
        <v/>
      </c>
      <c r="AK96" s="25">
        <f>IF($A96="","",IF(AND($X96&lt;&gt;"",$AH96&lt;&gt;""),"Y","N"))</f>
        <v/>
      </c>
      <c r="AL96" s="25">
        <f>IF(OR($A96="",$I96=""),"",IF($BC96="Y",SUMIFS(survey_frozen!$C$2:$C$251,survey_frozen!$P$2:$P$251,$A96&amp;"|"&amp;$B96),IFERROR(COUNTIFS(INDIRECT("'"&amp;$A96&amp;"'!$B$2:$B$501"),$T96,INDIRECT("'"&amp;$A96&amp;"'!$A$2:$A$501"),"&gt;="&amp;$I96,INDIRECT("'"&amp;$A96&amp;"'!$A$2:$A$501"),"&lt;"&amp;($BA96+1)),0)))</f>
        <v/>
      </c>
      <c r="AM96" s="25">
        <f>IF(OR($A96="",$I96=""),"",IF($BC96="Y",SUMIFS(survey_frozen!$D$2:$D$251,survey_frozen!$P$2:$P$251,$A96&amp;"|"&amp;$B96),IFERROR(COUNTIFS(INDIRECT("'"&amp;$A96&amp;"'!$B$2:$B$501"),$T96,INDIRECT("'"&amp;$A96&amp;"'!$A$2:$A$501"),"&gt;="&amp;$I96,INDIRECT("'"&amp;$A96&amp;"'!$A$2:$A$501"),"&lt;"&amp;($BA96+1),INDIRECT("'"&amp;$A96&amp;"'!$C$2:$C$501"),"Yes"),0)))</f>
        <v/>
      </c>
      <c r="AN96" s="25">
        <f>IF($A96="","",IF(COUNTIFS(scans!$C$2:$C$1601,(IF(LEFT($A96,7)="SAMPLE-","SAMPLE-","")&amp;LOWER(SUBSTITUTE(SUBSTITUTE($A96,"SAMPLE-",""),"CMP-","c"))&amp;"-"&amp;LOWER(SUBSTITUTE(SUBSTITUTE($B96,"SAMPLE-",""),"O-","o"))&amp;"-q"),scans!$D$2:$D$1601,"close")=0,"",SUMPRODUCT(MAX((scans!$C$2:$C$1601=(IF(LEFT($A96,7)="SAMPLE-","SAMPLE-","")&amp;LOWER(SUBSTITUTE(SUBSTITUTE($A96,"SAMPLE-",""),"CMP-","c"))&amp;"-"&amp;LOWER(SUBSTITUTE(SUBSTITUTE($B96,"SAMPLE-",""),"O-","o"))&amp;"-q"))*(scans!$D$2:$D$1601="close")*scans!$E$2:$E$1601))-SUMPRODUCT(MAX((scans!$C$2:$C$1601=(IF(LEFT($A96,7)="SAMPLE-","SAMPLE-","")&amp;LOWER(SUBSTITUTE(SUBSTITUTE($A96,"SAMPLE-",""),"CMP-","c"))&amp;"-"&amp;LOWER(SUBSTITUTE(SUBSTITUTE($B96,"SAMPLE-",""),"O-","o"))&amp;"-q"))*(scans!$D$2:$D$1601="baseline")*scans!$E$2:$E$1601))))</f>
        <v/>
      </c>
      <c r="AO96" s="25">
        <f>IF($A96="","",IF(COUNTIFS(scans!$C$2:$C$1601,(IF(LEFT($A96,7)="SAMPLE-","SAMPLE-","")&amp;LOWER(SUBSTITUTE(SUBSTITUTE($A96,"SAMPLE-",""),"CMP-","c"))&amp;"-"&amp;LOWER(SUBSTITUTE(SUBSTITUTE($B96,"SAMPLE-",""),"O-","o"))&amp;"-p"),scans!$D$2:$D$1601,"close")=0,"",SUMPRODUCT(MAX((scans!$C$2:$C$1601=(IF(LEFT($A96,7)="SAMPLE-","SAMPLE-","")&amp;LOWER(SUBSTITUTE(SUBSTITUTE($A96,"SAMPLE-",""),"CMP-","c"))&amp;"-"&amp;LOWER(SUBSTITUTE(SUBSTITUTE($B96,"SAMPLE-",""),"O-","o"))&amp;"-p"))*(scans!$D$2:$D$1601="close")*scans!$E$2:$E$1601))-SUMPRODUCT(MAX((scans!$C$2:$C$1601=(IF(LEFT($A96,7)="SAMPLE-","SAMPLE-","")&amp;LOWER(SUBSTITUTE(SUBSTITUTE($A96,"SAMPLE-",""),"CMP-","c"))&amp;"-"&amp;LOWER(SUBSTITUTE(SUBSTITUTE($B96,"SAMPLE-",""),"O-","o"))&amp;"-p"))*(scans!$D$2:$D$1601="baseline")*scans!$E$2:$E$1601))))</f>
        <v/>
      </c>
      <c r="AP96" s="25">
        <f>IF($A96="","",IF(COUNTIF(offices!$A$2:$A$61,$B96)=0,"office_id not on offices; ","")&amp;IF(COUNTIF(campaigns!$A$2:$A$51,$A96)=0,"campaign_id not on campaigns; ","")&amp;IF($P96="pending","approval pending; ","")&amp;IF(AND($U96&gt;0,$Y96="",OR($I96="",IF(config!$B$37&lt;&gt;"",config!$B$37,TODAY())&lt;=WORKDAY(N($I96),4,calendar!$A$2:$A$80))),"no usable placement photo yet; ","")&amp;IF(AND($Y96&lt;&gt;"",$Z96=""),"log the placed count; ","")&amp;IF(N($AA96)&gt;N($U96),"placed more than delivered; ","")&amp;IF(AND($AF96&lt;&gt;"",N($AF96)&gt;N($AA96)+N($AD96)),"day-5 count above placed plus top-ups; ","")&amp;IF(AND($U96&gt;0,$I96&lt;&gt;"",IF(config!$B$37&lt;&gt;"",config!$B$37,TODAY())&gt;WORKDAY(N($I96),4,calendar!$A$2:$A$80),$AF96=""),"day-5 count missing; ","")&amp;IF(AND($U96&gt;0,$I96&lt;&gt;"",IF(config!$B$37&lt;&gt;"",config!$B$37,TODAY())&gt;WORKDAY(N($I96),4,calendar!$A$2:$A$80),$AN96=""),"no close link reading; ","")&amp;$R96&amp;IF($P96="N","info: office said no; ","")&amp;IF(AND($P96="Y",$Q96="N"),"info: turned away at the door, so not on the drop (no letter, not in the report or Gate 2; the credit check is on campaigns); ","")&amp;IF(AND($U96&gt;0,$Y96="",$I96&lt;&gt;"",IF(config!$B$37&lt;&gt;"",config!$B$37,TODAY())&gt;WORKDAY(N($I96),4,calendar!$A$2:$A$80)),"info: no usable placement photo, so nothing counts as placed; ","")&amp;IF(AND($U96&gt;0,$I96&lt;&gt;"",IF(config!$B$37&lt;&gt;"",config!$B$37,TODAY())&gt;WORKDAY(N($I96),4,calendar!$A$2:$A$80),N($AL96)&lt;config!$B$30),"info: under "&amp;config!$B$30&amp;" responses; ","")&amp;IF($W96="packing_list","info: delivered count not verified; ",""))</f>
        <v/>
      </c>
      <c r="AQ96" s="25">
        <f>IF(OR($A96="",$I96=""),"",IF($BC96="Y",SUMIFS(survey_frozen!$E$2:$E$251,survey_frozen!$P$2:$P$251,$A96&amp;"|"&amp;$B96),IFERROR(COUNTIFS(INDIRECT("'"&amp;$A96&amp;"'!$B$2:$B$501"),$T96,INDIRECT("'"&amp;$A96&amp;"'!$A$2:$A$501"),"&gt;="&amp;$I96,INDIRECT("'"&amp;$A96&amp;"'!$A$2:$A$501"),"&lt;"&amp;($BA96+1),INDIRECT("'"&amp;$A96&amp;"'!$F$2:$F$501"),"Didn't see it"),0)))</f>
        <v/>
      </c>
      <c r="AR96" s="25">
        <f>IF(OR($A96="",$I96=""),"",IF($BC96="Y",SUMIFS(survey_frozen!$F$2:$F$251,survey_frozen!$P$2:$P$251,$A96&amp;"|"&amp;$B96),IFERROR(COUNTIFS(INDIRECT("'"&amp;$A96&amp;"'!$B$2:$B$501"),$T96,INDIRECT("'"&amp;$A96&amp;"'!$A$2:$A$501"),"&gt;="&amp;$I96,INDIRECT("'"&amp;$A96&amp;"'!$A$2:$A$501"),"&lt;"&amp;($BA96+1),INDIRECT("'"&amp;$A96&amp;"'!$F$2:$F$501"),"Not for me"),0)))</f>
        <v/>
      </c>
      <c r="AS96" s="25">
        <f>IF(OR($A96="",$I96=""),"",IF($BC96="Y",SUMIFS(survey_frozen!$G$2:$G$251,survey_frozen!$P$2:$P$251,$A96&amp;"|"&amp;$B96),IFERROR(COUNTIFS(INDIRECT("'"&amp;$A96&amp;"'!$B$2:$B$501"),$T96,INDIRECT("'"&amp;$A96&amp;"'!$A$2:$A$501"),"&gt;="&amp;$I96,INDIRECT("'"&amp;$A96&amp;"'!$A$2:$A$501"),"&lt;"&amp;($BA96+1),INDIRECT("'"&amp;$A96&amp;"'!$F$2:$F$501"),"Gone by the time I looked"),0)))</f>
        <v/>
      </c>
      <c r="AT96" s="25">
        <f>IF(OR($A96="",$I96=""),"",IF($BC96="Y",SUMIFS(survey_frozen!$H$2:$H$251,survey_frozen!$P$2:$P$251,$A96&amp;"|"&amp;$B96),IFERROR(COUNTIFS(INDIRECT("'"&amp;$A96&amp;"'!$B$2:$B$501"),$T96,INDIRECT("'"&amp;$A96&amp;"'!$A$2:$A$501"),"&gt;="&amp;$I96,INDIRECT("'"&amp;$A96&amp;"'!$A$2:$A$501"),"&lt;"&amp;($BA96+1),INDIRECT("'"&amp;$A96&amp;"'!$D$2:$D$501"),"&gt;=1"),0)))</f>
        <v/>
      </c>
      <c r="AU96" s="25">
        <f>IF(OR($A96="",$I96=""),"",IF($BC96="Y",SUMIFS(survey_frozen!$I$2:$I$251,survey_frozen!$P$2:$P$251,$A96&amp;"|"&amp;$B96),IFERROR(SUMIFS(INDIRECT("'"&amp;$A96&amp;"'!$D$2:$D$501"),INDIRECT("'"&amp;$A96&amp;"'!$B$2:$B$501"),$T96,INDIRECT("'"&amp;$A96&amp;"'!$A$2:$A$501"),"&gt;="&amp;$I96,INDIRECT("'"&amp;$A96&amp;"'!$A$2:$A$501"),"&lt;"&amp;($BA96+1)),0)))</f>
        <v/>
      </c>
      <c r="AV96" s="25">
        <f>IF(OR($A96="",$I96=""),"",IF($BC96="Y",SUMIFS(survey_frozen!$J$2:$J$251,survey_frozen!$P$2:$P$251,$A96&amp;"|"&amp;$B96),IFERROR(COUNTIFS(INDIRECT("'"&amp;$A96&amp;"'!$B$2:$B$501"),$T96,INDIRECT("'"&amp;$A96&amp;"'!$A$2:$A$501"),"&gt;="&amp;$I96,INDIRECT("'"&amp;$A96&amp;"'!$A$2:$A$501"),"&lt;"&amp;($BA96+1),INDIRECT("'"&amp;$A96&amp;"'!$E$2:$E$501"),"Yes"),0)))</f>
        <v/>
      </c>
      <c r="AW96" s="25">
        <f>IF(OR($A96="",$I96=""),"",IF($BC96="Y",SUMIFS(survey_frozen!$K$2:$K$251,survey_frozen!$P$2:$P$251,$A96&amp;"|"&amp;$B96),IFERROR(COUNTIFS(INDIRECT("'"&amp;$A96&amp;"'!$B$2:$B$501"),$T96,INDIRECT("'"&amp;$A96&amp;"'!$A$2:$A$501"),"&gt;="&amp;$I96,INDIRECT("'"&amp;$A96&amp;"'!$A$2:$A$501"),"&lt;"&amp;($BA96+1),INDIRECT("'"&amp;$A96&amp;"'!$E$2:$E$501"),"Maybe"),0)))</f>
        <v/>
      </c>
      <c r="AX96" s="25">
        <f>IF(OR($A96="",$I96=""),"",IF($BC96="Y",SUMIFS(survey_frozen!$L$2:$L$251,survey_frozen!$P$2:$P$251,$A96&amp;"|"&amp;$B96),IFERROR(COUNTIFS(INDIRECT("'"&amp;$A96&amp;"'!$B$2:$B$501"),$T96,INDIRECT("'"&amp;$A96&amp;"'!$A$2:$A$501"),"&gt;="&amp;$I96,INDIRECT("'"&amp;$A96&amp;"'!$A$2:$A$501"),"&lt;"&amp;($BA96+1),INDIRECT("'"&amp;$A96&amp;"'!$E$2:$E$501"),"No"),0)))</f>
        <v/>
      </c>
      <c r="AY96" s="25">
        <f>IF(OR($A96="",$I96=""),"",IF($BC96="Y",SUMIFS(survey_frozen!$M$2:$M$251,survey_frozen!$P$2:$P$251,$A96&amp;"|"&amp;$B96),IFERROR(COUNTIFS(INDIRECT("'"&amp;$A96&amp;"'!$B$2:$B$501"),$T96,INDIRECT("'"&amp;$A96&amp;"'!$A$2:$A$501"),"&gt;="&amp;$I96,INDIRECT("'"&amp;$A96&amp;"'!$A$2:$A$501"),"&lt;"&amp;($BA96+1),INDIRECT("'"&amp;$A96&amp;"'!$G$2:$G$501"),"&lt;&gt;"),0)))</f>
        <v/>
      </c>
      <c r="AZ96" s="25">
        <f>IF($A96="","",$A96&amp;"|"&amp;$L96)</f>
        <v/>
      </c>
      <c r="BA96" s="26">
        <f>IF($A96="","",IFERROR(IF(INDEX(drops!$R$2:$R$21,MATCH($H96,drops!$A$2:$A$21,0))="","",INDEX(drops!$R$2:$R$21,MATCH($H96,drops!$A$2:$A$21,0))),""))</f>
        <v/>
      </c>
      <c r="BB96" s="25">
        <f>IF(OR($A96="",$Q96&lt;&gt;"Y"),1000000,N($AL96))</f>
        <v/>
      </c>
      <c r="BC96" s="25">
        <f>IF($A96="","",IF(COUNTIF(survey_frozen!$P$2:$P$251,$A96&amp;"|"&amp;$B96)&gt;0,"Y",""))</f>
        <v/>
      </c>
    </row>
    <row r="97">
      <c r="C97" s="9" t="n"/>
      <c r="E97" s="9" t="n"/>
      <c r="H97" s="25">
        <f>IF($A97="","",IFERROR(IF(INDEX(campaigns!$B$2:$B$51,MATCH($A97,campaigns!$A$2:$A$51,0))="","",INDEX(campaigns!$B$2:$B$51,MATCH($A97,campaigns!$A$2:$A$51,0))),""))</f>
        <v/>
      </c>
      <c r="I97" s="26">
        <f>IF($A97="","",IFERROR(IF(INDEX(campaigns!$BG$2:$BG$51,MATCH($A97,campaigns!$A$2:$A$51,0))="","",INDEX(campaigns!$BG$2:$BG$51,MATCH($A97,campaigns!$A$2:$A$51,0))),""))</f>
        <v/>
      </c>
      <c r="J97" s="25">
        <f>IF($A97="","",IFERROR(IF(INDEX(campaigns!$BE$2:$BE$51,MATCH($A97,campaigns!$A$2:$A$51,0))="","",INDEX(campaigns!$BE$2:$BE$51,MATCH($A97,campaigns!$A$2:$A$51,0))),""))</f>
        <v/>
      </c>
      <c r="K97" s="25">
        <f>IF($B97="","",IFERROR(IF(INDEX(offices!$N$2:$N$61,MATCH($B97,offices!$A$2:$A$61,0))="","",INDEX(offices!$N$2:$N$61,MATCH($B97,offices!$A$2:$A$61,0))),""))</f>
        <v/>
      </c>
      <c r="L97" s="25">
        <f>IF($A97="","",IF($Q97="N","",COUNTIFS($A$2:$A97,$A97,$Q$2:$Q97,"&lt;&gt;N")))</f>
        <v/>
      </c>
      <c r="M97" s="25">
        <f>IF(OR($A97="",$L97=""),"",IF(AND(config!$B$34="names_if_public",IFERROR(IF(INDEX(offices!$AF$2:$AF$61,MATCH($B97,offices!$A$2:$A$61,0))="","",INDEX(offices!$AF$2:$AF$61,MATCH($B97,offices!$A$2:$A$61,0))),"")="Y"),$K97,CHAR(64+$L97)))</f>
        <v/>
      </c>
      <c r="N97" s="25">
        <f>IF(OR($A97="",$I97=""),"",COUNTIFS(stops!$B$2:$B$151,$B97,stops!$P$2:$P$151,"&lt;"&amp;$I97,stops!$L$2:$L$151,"&lt;&gt;not_delivered")+1)</f>
        <v/>
      </c>
      <c r="O97" s="25">
        <f>IF($A97="","",IF(N($N97)&lt;=config!$B$29,"explicit","opt-out"))</f>
        <v/>
      </c>
      <c r="P97" s="25">
        <f>IF($A97="","",IF($O97="explicit",IF($D97="yes","Y",IF($D97="no","N","pending")),IF($D97="no","N",IF(AND($C97&lt;&gt;"",$I97&lt;&gt;"",$C97&lt;=WORKDAY(N($I97),-5,calendar!$A$2:$A$80)),"Y","pending"))))</f>
        <v/>
      </c>
      <c r="Q97" s="25">
        <f>IF($A97="","",IF($P97="N","N",IF($P97&lt;&gt;"Y","pending",IF(AND((COUNTIFS(stops!$A$2:$A$151,$H97,stops!$B$2:$B$151,$B97,stops!$L$2:$L$151,"declined")+COUNTIFS(stops!$A$2:$A$151,$H97,stops!$B$2:$B$151,$B97,stops!$L$2:$L$151,"building_refused")+COUNTIFS(stops!$A$2:$A$151,$H97,stops!$B$2:$B$151,$B97,stops!$L$2:$L$151,"not_delivered"))&gt;0,N($U97)=0),"N","Y"))))</f>
        <v/>
      </c>
      <c r="R97" s="25">
        <f>IF($A97="","",IF(COUNTIFS($A$2:$A$251,$A97,$B$2:$B$251,$B97)&gt;1,"DUPLICATE ROW; ","")&amp;IF(AND(IFERROR(IF(INDEX(offices!$AC$2:$AC$61,MATCH($B97,offices!$A$2:$A$61,0))="","",INDEX(offices!$AC$2:$AC$61,MATCH($B97,offices!$A$2:$A$61,0))),"")&lt;&gt;"",ISNUMBER(SEARCH($J97,IFERROR(IF(INDEX(offices!$AC$2:$AC$61,MATCH($B97,offices!$A$2:$A$61,0))="","",INDEX(offices!$AC$2:$AC$61,MATCH($B97,offices!$A$2:$A$61,0))),"")))),"BRAND VETOED; ","")&amp;IF(ISNUMBER(SEARCH(IFERROR(IF(INDEX(campaigns!$BF$2:$BF$51,MATCH($A97,campaigns!$A$2:$A$51,0))="","",INDEX(campaigns!$BF$2:$BF$51,MATCH($A97,campaigns!$A$2:$A$51,0))),""),IFERROR(IF(INDEX(offices!$AB$2:$AB$61,MATCH($B97,offices!$A$2:$A$61,0))="","",INDEX(offices!$AB$2:$AB$61,MATCH($B97,offices!$A$2:$A$61,0))),""))),"","info: category not on the office's list; ")&amp;IF(IFERROR(IF(INDEX(offices!$AC$2:$AC$61,MATCH($B97,offices!$A$2:$A$61,0))="","",INDEX(offices!$AC$2:$AC$61,MATCH($B97,offices!$A$2:$A$61,0))),"")&lt;&gt;"","info: read the vetoes against the label; ",""))</f>
        <v/>
      </c>
      <c r="S97" s="25">
        <f>IF($A97="","",IF($G97&lt;&gt;"",$G97,IFERROR(IF(INDEX(offices!$AL$2:$AL$61,MATCH($B97,offices!$A$2:$A$61,0))="","",INDEX(offices!$AL$2:$AL$61,MATCH($B97,offices!$A$2:$A$61,0))),"")))</f>
        <v/>
      </c>
      <c r="T97" s="25">
        <f>IF($A97="","",$A97&amp;"."&amp;$B97)</f>
        <v/>
      </c>
      <c r="U97" s="25">
        <f>IF($A97="","",SUMIFS(inventory!$G$2:$G$801,inventory!$C$2:$C$801,$A97,inventory!$D$2:$D$801,$B97,inventory!$E$2:$E$801,"delivered"))</f>
        <v/>
      </c>
      <c r="V97" s="32">
        <f>IF($A97="","",IFERROR(1/(1/SUMPRODUCT(MAX((inventory!$C$2:$C$801=$A97)*(inventory!$D$2:$D$801=$B97)*(inventory!$E$2:$E$801="delivered")*(inventory!$A$2:$A$801+inventory!$B$2:$B$801)))),""))</f>
        <v/>
      </c>
      <c r="W97" s="25">
        <f>IF($A97="","",IFERROR(IF(INDEX(inventory!$J$2:$J$801,MATCH($A97&amp;"|"&amp;$B97&amp;"|delivered",inventory!$R$2:$R$801,0))="","",INDEX(inventory!$J$2:$J$801,MATCH($A97&amp;"|"&amp;$B97&amp;"|delivered",inventory!$R$2:$R$801,0))),""))</f>
        <v/>
      </c>
      <c r="X97" s="25">
        <f>IF($A97="","",IFERROR(IF(INDEX(photos!$H$2:$H$701,MATCH($A97&amp;"|"&amp;$B97&amp;"|placement|Y",photos!$R$2:$R$701,0))="","",INDEX(photos!$H$2:$H$701,MATCH($A97&amp;"|"&amp;$B97&amp;"|placement|Y",photos!$R$2:$R$701,0))),""))</f>
        <v/>
      </c>
      <c r="Y97" s="26">
        <f>IF($A97="","",IFERROR(IF(INDEX(photos!$E$2:$E$701,MATCH($A97&amp;"|"&amp;$B97&amp;"|placement|Y",photos!$R$2:$R$701,0))="","",INDEX(photos!$E$2:$E$701,MATCH($A97&amp;"|"&amp;$B97&amp;"|placement|Y",photos!$R$2:$R$701,0))),""))</f>
        <v/>
      </c>
      <c r="Z97" s="25">
        <f>IF($A97="","",IF(COUNTIFS(counts!$C$2:$C$701,$A97,counts!$D$2:$D$701,$B97,counts!$E$2:$E$701,"placed")=0,"",SUMIFS(counts!$F$2:$F$701,counts!$C$2:$C$701,$A97,counts!$D$2:$D$701,$B97,counts!$E$2:$E$701,"placed")))</f>
        <v/>
      </c>
      <c r="AA97" s="25">
        <f>IF($A97="","",IF($Y97="",0,N($Z97)))</f>
        <v/>
      </c>
      <c r="AB97" s="25">
        <f>IF($A97="","",IF(OR($Y97="",$I97=""),"N",IF($Y97&lt;=WORKDAY(N($I97),1,calendar!$A$2:$A$80),"Y","N")))</f>
        <v/>
      </c>
      <c r="AC97" s="28">
        <f>IF(OR($A97="",$V97="",$Y97=""),"",ROUND(($Y97+N(IFERROR(IF(INDEX(photos!$F$2:$F$701,MATCH($A97&amp;"|"&amp;$B97&amp;"|placement|Y",photos!$R$2:$R$701,0))="","",INDEX(photos!$F$2:$F$701,MATCH($A97&amp;"|"&amp;$B97&amp;"|placement|Y",photos!$R$2:$R$701,0))),""))-$V97)*24,1))</f>
        <v/>
      </c>
      <c r="AD97" s="25">
        <f>IF($A97="","",SUMIFS(inventory!$G$2:$G$801,inventory!$C$2:$C$801,$A97,inventory!$D$2:$D$801,$B97,inventory!$E$2:$E$801,"topped_up"))</f>
        <v/>
      </c>
      <c r="AE97" s="25">
        <f>IF($A97="","",IF(COUNTIFS(counts!$C$2:$C$701,$A97,counts!$D$2:$D$701,$B97,counts!$E$2:$E$701,"remaining_day3")=0,"",SUMIFS(counts!$F$2:$F$701,counts!$C$2:$C$701,$A97,counts!$D$2:$D$701,$B97,counts!$E$2:$E$701,"remaining_day3")))</f>
        <v/>
      </c>
      <c r="AF97" s="25">
        <f>IF($A97="","",IF(COUNTIFS(counts!$C$2:$C$701,$A97,counts!$D$2:$D$701,$B97,counts!$E$2:$E$701,"remaining_day5")=0,"",SUMIFS(counts!$F$2:$F$701,counts!$C$2:$C$701,$A97,counts!$D$2:$D$701,$B97,counts!$E$2:$E$701,"remaining_day5")))</f>
        <v/>
      </c>
      <c r="AG97" s="25">
        <f>IF(OR($A97="",$AF97=""),"",MAX(0,$AA97+$AD97-$AF97))</f>
        <v/>
      </c>
      <c r="AH97" s="25">
        <f>IF(OR($A97="",$AI97=""),"",IFERROR(IF(INDEX(photos!$H$2:$H$701,MATCH($A97&amp;"|"&amp;$B97&amp;"|later|Y|"&amp;$AI97,photos!$S$2:$S$701,0))="","",INDEX(photos!$H$2:$H$701,MATCH($A97&amp;"|"&amp;$B97&amp;"|later|Y|"&amp;$AI97,photos!$S$2:$S$701,0))),""))</f>
        <v/>
      </c>
      <c r="AI97" s="26">
        <f>IF($A97="","",IFERROR(1/(1/SUMPRODUCT(MAX((photos!$B$2:$B$701=$A97)*(photos!$C$2:$C$701=$B97)*(photos!$D$2:$D$701="later")*(photos!$O$2:$O$701="Y")*photos!$E$2:$E$701))),""))</f>
        <v/>
      </c>
      <c r="AJ97" s="25">
        <f>IF(OR($A97="",$AI97="",$I97=""),"",NETWORKDAYS($I97,$AI97,calendar!$A$2:$A$80))</f>
        <v/>
      </c>
      <c r="AK97" s="25">
        <f>IF($A97="","",IF(AND($X97&lt;&gt;"",$AH97&lt;&gt;""),"Y","N"))</f>
        <v/>
      </c>
      <c r="AL97" s="25">
        <f>IF(OR($A97="",$I97=""),"",IF($BC97="Y",SUMIFS(survey_frozen!$C$2:$C$251,survey_frozen!$P$2:$P$251,$A97&amp;"|"&amp;$B97),IFERROR(COUNTIFS(INDIRECT("'"&amp;$A97&amp;"'!$B$2:$B$501"),$T97,INDIRECT("'"&amp;$A97&amp;"'!$A$2:$A$501"),"&gt;="&amp;$I97,INDIRECT("'"&amp;$A97&amp;"'!$A$2:$A$501"),"&lt;"&amp;($BA97+1)),0)))</f>
        <v/>
      </c>
      <c r="AM97" s="25">
        <f>IF(OR($A97="",$I97=""),"",IF($BC97="Y",SUMIFS(survey_frozen!$D$2:$D$251,survey_frozen!$P$2:$P$251,$A97&amp;"|"&amp;$B97),IFERROR(COUNTIFS(INDIRECT("'"&amp;$A97&amp;"'!$B$2:$B$501"),$T97,INDIRECT("'"&amp;$A97&amp;"'!$A$2:$A$501"),"&gt;="&amp;$I97,INDIRECT("'"&amp;$A97&amp;"'!$A$2:$A$501"),"&lt;"&amp;($BA97+1),INDIRECT("'"&amp;$A97&amp;"'!$C$2:$C$501"),"Yes"),0)))</f>
        <v/>
      </c>
      <c r="AN97" s="25">
        <f>IF($A97="","",IF(COUNTIFS(scans!$C$2:$C$1601,(IF(LEFT($A97,7)="SAMPLE-","SAMPLE-","")&amp;LOWER(SUBSTITUTE(SUBSTITUTE($A97,"SAMPLE-",""),"CMP-","c"))&amp;"-"&amp;LOWER(SUBSTITUTE(SUBSTITUTE($B97,"SAMPLE-",""),"O-","o"))&amp;"-q"),scans!$D$2:$D$1601,"close")=0,"",SUMPRODUCT(MAX((scans!$C$2:$C$1601=(IF(LEFT($A97,7)="SAMPLE-","SAMPLE-","")&amp;LOWER(SUBSTITUTE(SUBSTITUTE($A97,"SAMPLE-",""),"CMP-","c"))&amp;"-"&amp;LOWER(SUBSTITUTE(SUBSTITUTE($B97,"SAMPLE-",""),"O-","o"))&amp;"-q"))*(scans!$D$2:$D$1601="close")*scans!$E$2:$E$1601))-SUMPRODUCT(MAX((scans!$C$2:$C$1601=(IF(LEFT($A97,7)="SAMPLE-","SAMPLE-","")&amp;LOWER(SUBSTITUTE(SUBSTITUTE($A97,"SAMPLE-",""),"CMP-","c"))&amp;"-"&amp;LOWER(SUBSTITUTE(SUBSTITUTE($B97,"SAMPLE-",""),"O-","o"))&amp;"-q"))*(scans!$D$2:$D$1601="baseline")*scans!$E$2:$E$1601))))</f>
        <v/>
      </c>
      <c r="AO97" s="25">
        <f>IF($A97="","",IF(COUNTIFS(scans!$C$2:$C$1601,(IF(LEFT($A97,7)="SAMPLE-","SAMPLE-","")&amp;LOWER(SUBSTITUTE(SUBSTITUTE($A97,"SAMPLE-",""),"CMP-","c"))&amp;"-"&amp;LOWER(SUBSTITUTE(SUBSTITUTE($B97,"SAMPLE-",""),"O-","o"))&amp;"-p"),scans!$D$2:$D$1601,"close")=0,"",SUMPRODUCT(MAX((scans!$C$2:$C$1601=(IF(LEFT($A97,7)="SAMPLE-","SAMPLE-","")&amp;LOWER(SUBSTITUTE(SUBSTITUTE($A97,"SAMPLE-",""),"CMP-","c"))&amp;"-"&amp;LOWER(SUBSTITUTE(SUBSTITUTE($B97,"SAMPLE-",""),"O-","o"))&amp;"-p"))*(scans!$D$2:$D$1601="close")*scans!$E$2:$E$1601))-SUMPRODUCT(MAX((scans!$C$2:$C$1601=(IF(LEFT($A97,7)="SAMPLE-","SAMPLE-","")&amp;LOWER(SUBSTITUTE(SUBSTITUTE($A97,"SAMPLE-",""),"CMP-","c"))&amp;"-"&amp;LOWER(SUBSTITUTE(SUBSTITUTE($B97,"SAMPLE-",""),"O-","o"))&amp;"-p"))*(scans!$D$2:$D$1601="baseline")*scans!$E$2:$E$1601))))</f>
        <v/>
      </c>
      <c r="AP97" s="25">
        <f>IF($A97="","",IF(COUNTIF(offices!$A$2:$A$61,$B97)=0,"office_id not on offices; ","")&amp;IF(COUNTIF(campaigns!$A$2:$A$51,$A97)=0,"campaign_id not on campaigns; ","")&amp;IF($P97="pending","approval pending; ","")&amp;IF(AND($U97&gt;0,$Y97="",OR($I97="",IF(config!$B$37&lt;&gt;"",config!$B$37,TODAY())&lt;=WORKDAY(N($I97),4,calendar!$A$2:$A$80))),"no usable placement photo yet; ","")&amp;IF(AND($Y97&lt;&gt;"",$Z97=""),"log the placed count; ","")&amp;IF(N($AA97)&gt;N($U97),"placed more than delivered; ","")&amp;IF(AND($AF97&lt;&gt;"",N($AF97)&gt;N($AA97)+N($AD97)),"day-5 count above placed plus top-ups; ","")&amp;IF(AND($U97&gt;0,$I97&lt;&gt;"",IF(config!$B$37&lt;&gt;"",config!$B$37,TODAY())&gt;WORKDAY(N($I97),4,calendar!$A$2:$A$80),$AF97=""),"day-5 count missing; ","")&amp;IF(AND($U97&gt;0,$I97&lt;&gt;"",IF(config!$B$37&lt;&gt;"",config!$B$37,TODAY())&gt;WORKDAY(N($I97),4,calendar!$A$2:$A$80),$AN97=""),"no close link reading; ","")&amp;$R97&amp;IF($P97="N","info: office said no; ","")&amp;IF(AND($P97="Y",$Q97="N"),"info: turned away at the door, so not on the drop (no letter, not in the report or Gate 2; the credit check is on campaigns); ","")&amp;IF(AND($U97&gt;0,$Y97="",$I97&lt;&gt;"",IF(config!$B$37&lt;&gt;"",config!$B$37,TODAY())&gt;WORKDAY(N($I97),4,calendar!$A$2:$A$80)),"info: no usable placement photo, so nothing counts as placed; ","")&amp;IF(AND($U97&gt;0,$I97&lt;&gt;"",IF(config!$B$37&lt;&gt;"",config!$B$37,TODAY())&gt;WORKDAY(N($I97),4,calendar!$A$2:$A$80),N($AL97)&lt;config!$B$30),"info: under "&amp;config!$B$30&amp;" responses; ","")&amp;IF($W97="packing_list","info: delivered count not verified; ",""))</f>
        <v/>
      </c>
      <c r="AQ97" s="25">
        <f>IF(OR($A97="",$I97=""),"",IF($BC97="Y",SUMIFS(survey_frozen!$E$2:$E$251,survey_frozen!$P$2:$P$251,$A97&amp;"|"&amp;$B97),IFERROR(COUNTIFS(INDIRECT("'"&amp;$A97&amp;"'!$B$2:$B$501"),$T97,INDIRECT("'"&amp;$A97&amp;"'!$A$2:$A$501"),"&gt;="&amp;$I97,INDIRECT("'"&amp;$A97&amp;"'!$A$2:$A$501"),"&lt;"&amp;($BA97+1),INDIRECT("'"&amp;$A97&amp;"'!$F$2:$F$501"),"Didn't see it"),0)))</f>
        <v/>
      </c>
      <c r="AR97" s="25">
        <f>IF(OR($A97="",$I97=""),"",IF($BC97="Y",SUMIFS(survey_frozen!$F$2:$F$251,survey_frozen!$P$2:$P$251,$A97&amp;"|"&amp;$B97),IFERROR(COUNTIFS(INDIRECT("'"&amp;$A97&amp;"'!$B$2:$B$501"),$T97,INDIRECT("'"&amp;$A97&amp;"'!$A$2:$A$501"),"&gt;="&amp;$I97,INDIRECT("'"&amp;$A97&amp;"'!$A$2:$A$501"),"&lt;"&amp;($BA97+1),INDIRECT("'"&amp;$A97&amp;"'!$F$2:$F$501"),"Not for me"),0)))</f>
        <v/>
      </c>
      <c r="AS97" s="25">
        <f>IF(OR($A97="",$I97=""),"",IF($BC97="Y",SUMIFS(survey_frozen!$G$2:$G$251,survey_frozen!$P$2:$P$251,$A97&amp;"|"&amp;$B97),IFERROR(COUNTIFS(INDIRECT("'"&amp;$A97&amp;"'!$B$2:$B$501"),$T97,INDIRECT("'"&amp;$A97&amp;"'!$A$2:$A$501"),"&gt;="&amp;$I97,INDIRECT("'"&amp;$A97&amp;"'!$A$2:$A$501"),"&lt;"&amp;($BA97+1),INDIRECT("'"&amp;$A97&amp;"'!$F$2:$F$501"),"Gone by the time I looked"),0)))</f>
        <v/>
      </c>
      <c r="AT97" s="25">
        <f>IF(OR($A97="",$I97=""),"",IF($BC97="Y",SUMIFS(survey_frozen!$H$2:$H$251,survey_frozen!$P$2:$P$251,$A97&amp;"|"&amp;$B97),IFERROR(COUNTIFS(INDIRECT("'"&amp;$A97&amp;"'!$B$2:$B$501"),$T97,INDIRECT("'"&amp;$A97&amp;"'!$A$2:$A$501"),"&gt;="&amp;$I97,INDIRECT("'"&amp;$A97&amp;"'!$A$2:$A$501"),"&lt;"&amp;($BA97+1),INDIRECT("'"&amp;$A97&amp;"'!$D$2:$D$501"),"&gt;=1"),0)))</f>
        <v/>
      </c>
      <c r="AU97" s="25">
        <f>IF(OR($A97="",$I97=""),"",IF($BC97="Y",SUMIFS(survey_frozen!$I$2:$I$251,survey_frozen!$P$2:$P$251,$A97&amp;"|"&amp;$B97),IFERROR(SUMIFS(INDIRECT("'"&amp;$A97&amp;"'!$D$2:$D$501"),INDIRECT("'"&amp;$A97&amp;"'!$B$2:$B$501"),$T97,INDIRECT("'"&amp;$A97&amp;"'!$A$2:$A$501"),"&gt;="&amp;$I97,INDIRECT("'"&amp;$A97&amp;"'!$A$2:$A$501"),"&lt;"&amp;($BA97+1)),0)))</f>
        <v/>
      </c>
      <c r="AV97" s="25">
        <f>IF(OR($A97="",$I97=""),"",IF($BC97="Y",SUMIFS(survey_frozen!$J$2:$J$251,survey_frozen!$P$2:$P$251,$A97&amp;"|"&amp;$B97),IFERROR(COUNTIFS(INDIRECT("'"&amp;$A97&amp;"'!$B$2:$B$501"),$T97,INDIRECT("'"&amp;$A97&amp;"'!$A$2:$A$501"),"&gt;="&amp;$I97,INDIRECT("'"&amp;$A97&amp;"'!$A$2:$A$501"),"&lt;"&amp;($BA97+1),INDIRECT("'"&amp;$A97&amp;"'!$E$2:$E$501"),"Yes"),0)))</f>
        <v/>
      </c>
      <c r="AW97" s="25">
        <f>IF(OR($A97="",$I97=""),"",IF($BC97="Y",SUMIFS(survey_frozen!$K$2:$K$251,survey_frozen!$P$2:$P$251,$A97&amp;"|"&amp;$B97),IFERROR(COUNTIFS(INDIRECT("'"&amp;$A97&amp;"'!$B$2:$B$501"),$T97,INDIRECT("'"&amp;$A97&amp;"'!$A$2:$A$501"),"&gt;="&amp;$I97,INDIRECT("'"&amp;$A97&amp;"'!$A$2:$A$501"),"&lt;"&amp;($BA97+1),INDIRECT("'"&amp;$A97&amp;"'!$E$2:$E$501"),"Maybe"),0)))</f>
        <v/>
      </c>
      <c r="AX97" s="25">
        <f>IF(OR($A97="",$I97=""),"",IF($BC97="Y",SUMIFS(survey_frozen!$L$2:$L$251,survey_frozen!$P$2:$P$251,$A97&amp;"|"&amp;$B97),IFERROR(COUNTIFS(INDIRECT("'"&amp;$A97&amp;"'!$B$2:$B$501"),$T97,INDIRECT("'"&amp;$A97&amp;"'!$A$2:$A$501"),"&gt;="&amp;$I97,INDIRECT("'"&amp;$A97&amp;"'!$A$2:$A$501"),"&lt;"&amp;($BA97+1),INDIRECT("'"&amp;$A97&amp;"'!$E$2:$E$501"),"No"),0)))</f>
        <v/>
      </c>
      <c r="AY97" s="25">
        <f>IF(OR($A97="",$I97=""),"",IF($BC97="Y",SUMIFS(survey_frozen!$M$2:$M$251,survey_frozen!$P$2:$P$251,$A97&amp;"|"&amp;$B97),IFERROR(COUNTIFS(INDIRECT("'"&amp;$A97&amp;"'!$B$2:$B$501"),$T97,INDIRECT("'"&amp;$A97&amp;"'!$A$2:$A$501"),"&gt;="&amp;$I97,INDIRECT("'"&amp;$A97&amp;"'!$A$2:$A$501"),"&lt;"&amp;($BA97+1),INDIRECT("'"&amp;$A97&amp;"'!$G$2:$G$501"),"&lt;&gt;"),0)))</f>
        <v/>
      </c>
      <c r="AZ97" s="25">
        <f>IF($A97="","",$A97&amp;"|"&amp;$L97)</f>
        <v/>
      </c>
      <c r="BA97" s="26">
        <f>IF($A97="","",IFERROR(IF(INDEX(drops!$R$2:$R$21,MATCH($H97,drops!$A$2:$A$21,0))="","",INDEX(drops!$R$2:$R$21,MATCH($H97,drops!$A$2:$A$21,0))),""))</f>
        <v/>
      </c>
      <c r="BB97" s="25">
        <f>IF(OR($A97="",$Q97&lt;&gt;"Y"),1000000,N($AL97))</f>
        <v/>
      </c>
      <c r="BC97" s="25">
        <f>IF($A97="","",IF(COUNTIF(survey_frozen!$P$2:$P$251,$A97&amp;"|"&amp;$B97)&gt;0,"Y",""))</f>
        <v/>
      </c>
    </row>
    <row r="98">
      <c r="C98" s="9" t="n"/>
      <c r="E98" s="9" t="n"/>
      <c r="H98" s="25">
        <f>IF($A98="","",IFERROR(IF(INDEX(campaigns!$B$2:$B$51,MATCH($A98,campaigns!$A$2:$A$51,0))="","",INDEX(campaigns!$B$2:$B$51,MATCH($A98,campaigns!$A$2:$A$51,0))),""))</f>
        <v/>
      </c>
      <c r="I98" s="26">
        <f>IF($A98="","",IFERROR(IF(INDEX(campaigns!$BG$2:$BG$51,MATCH($A98,campaigns!$A$2:$A$51,0))="","",INDEX(campaigns!$BG$2:$BG$51,MATCH($A98,campaigns!$A$2:$A$51,0))),""))</f>
        <v/>
      </c>
      <c r="J98" s="25">
        <f>IF($A98="","",IFERROR(IF(INDEX(campaigns!$BE$2:$BE$51,MATCH($A98,campaigns!$A$2:$A$51,0))="","",INDEX(campaigns!$BE$2:$BE$51,MATCH($A98,campaigns!$A$2:$A$51,0))),""))</f>
        <v/>
      </c>
      <c r="K98" s="25">
        <f>IF($B98="","",IFERROR(IF(INDEX(offices!$N$2:$N$61,MATCH($B98,offices!$A$2:$A$61,0))="","",INDEX(offices!$N$2:$N$61,MATCH($B98,offices!$A$2:$A$61,0))),""))</f>
        <v/>
      </c>
      <c r="L98" s="25">
        <f>IF($A98="","",IF($Q98="N","",COUNTIFS($A$2:$A98,$A98,$Q$2:$Q98,"&lt;&gt;N")))</f>
        <v/>
      </c>
      <c r="M98" s="25">
        <f>IF(OR($A98="",$L98=""),"",IF(AND(config!$B$34="names_if_public",IFERROR(IF(INDEX(offices!$AF$2:$AF$61,MATCH($B98,offices!$A$2:$A$61,0))="","",INDEX(offices!$AF$2:$AF$61,MATCH($B98,offices!$A$2:$A$61,0))),"")="Y"),$K98,CHAR(64+$L98)))</f>
        <v/>
      </c>
      <c r="N98" s="25">
        <f>IF(OR($A98="",$I98=""),"",COUNTIFS(stops!$B$2:$B$151,$B98,stops!$P$2:$P$151,"&lt;"&amp;$I98,stops!$L$2:$L$151,"&lt;&gt;not_delivered")+1)</f>
        <v/>
      </c>
      <c r="O98" s="25">
        <f>IF($A98="","",IF(N($N98)&lt;=config!$B$29,"explicit","opt-out"))</f>
        <v/>
      </c>
      <c r="P98" s="25">
        <f>IF($A98="","",IF($O98="explicit",IF($D98="yes","Y",IF($D98="no","N","pending")),IF($D98="no","N",IF(AND($C98&lt;&gt;"",$I98&lt;&gt;"",$C98&lt;=WORKDAY(N($I98),-5,calendar!$A$2:$A$80)),"Y","pending"))))</f>
        <v/>
      </c>
      <c r="Q98" s="25">
        <f>IF($A98="","",IF($P98="N","N",IF($P98&lt;&gt;"Y","pending",IF(AND((COUNTIFS(stops!$A$2:$A$151,$H98,stops!$B$2:$B$151,$B98,stops!$L$2:$L$151,"declined")+COUNTIFS(stops!$A$2:$A$151,$H98,stops!$B$2:$B$151,$B98,stops!$L$2:$L$151,"building_refused")+COUNTIFS(stops!$A$2:$A$151,$H98,stops!$B$2:$B$151,$B98,stops!$L$2:$L$151,"not_delivered"))&gt;0,N($U98)=0),"N","Y"))))</f>
        <v/>
      </c>
      <c r="R98" s="25">
        <f>IF($A98="","",IF(COUNTIFS($A$2:$A$251,$A98,$B$2:$B$251,$B98)&gt;1,"DUPLICATE ROW; ","")&amp;IF(AND(IFERROR(IF(INDEX(offices!$AC$2:$AC$61,MATCH($B98,offices!$A$2:$A$61,0))="","",INDEX(offices!$AC$2:$AC$61,MATCH($B98,offices!$A$2:$A$61,0))),"")&lt;&gt;"",ISNUMBER(SEARCH($J98,IFERROR(IF(INDEX(offices!$AC$2:$AC$61,MATCH($B98,offices!$A$2:$A$61,0))="","",INDEX(offices!$AC$2:$AC$61,MATCH($B98,offices!$A$2:$A$61,0))),"")))),"BRAND VETOED; ","")&amp;IF(ISNUMBER(SEARCH(IFERROR(IF(INDEX(campaigns!$BF$2:$BF$51,MATCH($A98,campaigns!$A$2:$A$51,0))="","",INDEX(campaigns!$BF$2:$BF$51,MATCH($A98,campaigns!$A$2:$A$51,0))),""),IFERROR(IF(INDEX(offices!$AB$2:$AB$61,MATCH($B98,offices!$A$2:$A$61,0))="","",INDEX(offices!$AB$2:$AB$61,MATCH($B98,offices!$A$2:$A$61,0))),""))),"","info: category not on the office's list; ")&amp;IF(IFERROR(IF(INDEX(offices!$AC$2:$AC$61,MATCH($B98,offices!$A$2:$A$61,0))="","",INDEX(offices!$AC$2:$AC$61,MATCH($B98,offices!$A$2:$A$61,0))),"")&lt;&gt;"","info: read the vetoes against the label; ",""))</f>
        <v/>
      </c>
      <c r="S98" s="25">
        <f>IF($A98="","",IF($G98&lt;&gt;"",$G98,IFERROR(IF(INDEX(offices!$AL$2:$AL$61,MATCH($B98,offices!$A$2:$A$61,0))="","",INDEX(offices!$AL$2:$AL$61,MATCH($B98,offices!$A$2:$A$61,0))),"")))</f>
        <v/>
      </c>
      <c r="T98" s="25">
        <f>IF($A98="","",$A98&amp;"."&amp;$B98)</f>
        <v/>
      </c>
      <c r="U98" s="25">
        <f>IF($A98="","",SUMIFS(inventory!$G$2:$G$801,inventory!$C$2:$C$801,$A98,inventory!$D$2:$D$801,$B98,inventory!$E$2:$E$801,"delivered"))</f>
        <v/>
      </c>
      <c r="V98" s="32">
        <f>IF($A98="","",IFERROR(1/(1/SUMPRODUCT(MAX((inventory!$C$2:$C$801=$A98)*(inventory!$D$2:$D$801=$B98)*(inventory!$E$2:$E$801="delivered")*(inventory!$A$2:$A$801+inventory!$B$2:$B$801)))),""))</f>
        <v/>
      </c>
      <c r="W98" s="25">
        <f>IF($A98="","",IFERROR(IF(INDEX(inventory!$J$2:$J$801,MATCH($A98&amp;"|"&amp;$B98&amp;"|delivered",inventory!$R$2:$R$801,0))="","",INDEX(inventory!$J$2:$J$801,MATCH($A98&amp;"|"&amp;$B98&amp;"|delivered",inventory!$R$2:$R$801,0))),""))</f>
        <v/>
      </c>
      <c r="X98" s="25">
        <f>IF($A98="","",IFERROR(IF(INDEX(photos!$H$2:$H$701,MATCH($A98&amp;"|"&amp;$B98&amp;"|placement|Y",photos!$R$2:$R$701,0))="","",INDEX(photos!$H$2:$H$701,MATCH($A98&amp;"|"&amp;$B98&amp;"|placement|Y",photos!$R$2:$R$701,0))),""))</f>
        <v/>
      </c>
      <c r="Y98" s="26">
        <f>IF($A98="","",IFERROR(IF(INDEX(photos!$E$2:$E$701,MATCH($A98&amp;"|"&amp;$B98&amp;"|placement|Y",photos!$R$2:$R$701,0))="","",INDEX(photos!$E$2:$E$701,MATCH($A98&amp;"|"&amp;$B98&amp;"|placement|Y",photos!$R$2:$R$701,0))),""))</f>
        <v/>
      </c>
      <c r="Z98" s="25">
        <f>IF($A98="","",IF(COUNTIFS(counts!$C$2:$C$701,$A98,counts!$D$2:$D$701,$B98,counts!$E$2:$E$701,"placed")=0,"",SUMIFS(counts!$F$2:$F$701,counts!$C$2:$C$701,$A98,counts!$D$2:$D$701,$B98,counts!$E$2:$E$701,"placed")))</f>
        <v/>
      </c>
      <c r="AA98" s="25">
        <f>IF($A98="","",IF($Y98="",0,N($Z98)))</f>
        <v/>
      </c>
      <c r="AB98" s="25">
        <f>IF($A98="","",IF(OR($Y98="",$I98=""),"N",IF($Y98&lt;=WORKDAY(N($I98),1,calendar!$A$2:$A$80),"Y","N")))</f>
        <v/>
      </c>
      <c r="AC98" s="28">
        <f>IF(OR($A98="",$V98="",$Y98=""),"",ROUND(($Y98+N(IFERROR(IF(INDEX(photos!$F$2:$F$701,MATCH($A98&amp;"|"&amp;$B98&amp;"|placement|Y",photos!$R$2:$R$701,0))="","",INDEX(photos!$F$2:$F$701,MATCH($A98&amp;"|"&amp;$B98&amp;"|placement|Y",photos!$R$2:$R$701,0))),""))-$V98)*24,1))</f>
        <v/>
      </c>
      <c r="AD98" s="25">
        <f>IF($A98="","",SUMIFS(inventory!$G$2:$G$801,inventory!$C$2:$C$801,$A98,inventory!$D$2:$D$801,$B98,inventory!$E$2:$E$801,"topped_up"))</f>
        <v/>
      </c>
      <c r="AE98" s="25">
        <f>IF($A98="","",IF(COUNTIFS(counts!$C$2:$C$701,$A98,counts!$D$2:$D$701,$B98,counts!$E$2:$E$701,"remaining_day3")=0,"",SUMIFS(counts!$F$2:$F$701,counts!$C$2:$C$701,$A98,counts!$D$2:$D$701,$B98,counts!$E$2:$E$701,"remaining_day3")))</f>
        <v/>
      </c>
      <c r="AF98" s="25">
        <f>IF($A98="","",IF(COUNTIFS(counts!$C$2:$C$701,$A98,counts!$D$2:$D$701,$B98,counts!$E$2:$E$701,"remaining_day5")=0,"",SUMIFS(counts!$F$2:$F$701,counts!$C$2:$C$701,$A98,counts!$D$2:$D$701,$B98,counts!$E$2:$E$701,"remaining_day5")))</f>
        <v/>
      </c>
      <c r="AG98" s="25">
        <f>IF(OR($A98="",$AF98=""),"",MAX(0,$AA98+$AD98-$AF98))</f>
        <v/>
      </c>
      <c r="AH98" s="25">
        <f>IF(OR($A98="",$AI98=""),"",IFERROR(IF(INDEX(photos!$H$2:$H$701,MATCH($A98&amp;"|"&amp;$B98&amp;"|later|Y|"&amp;$AI98,photos!$S$2:$S$701,0))="","",INDEX(photos!$H$2:$H$701,MATCH($A98&amp;"|"&amp;$B98&amp;"|later|Y|"&amp;$AI98,photos!$S$2:$S$701,0))),""))</f>
        <v/>
      </c>
      <c r="AI98" s="26">
        <f>IF($A98="","",IFERROR(1/(1/SUMPRODUCT(MAX((photos!$B$2:$B$701=$A98)*(photos!$C$2:$C$701=$B98)*(photos!$D$2:$D$701="later")*(photos!$O$2:$O$701="Y")*photos!$E$2:$E$701))),""))</f>
        <v/>
      </c>
      <c r="AJ98" s="25">
        <f>IF(OR($A98="",$AI98="",$I98=""),"",NETWORKDAYS($I98,$AI98,calendar!$A$2:$A$80))</f>
        <v/>
      </c>
      <c r="AK98" s="25">
        <f>IF($A98="","",IF(AND($X98&lt;&gt;"",$AH98&lt;&gt;""),"Y","N"))</f>
        <v/>
      </c>
      <c r="AL98" s="25">
        <f>IF(OR($A98="",$I98=""),"",IF($BC98="Y",SUMIFS(survey_frozen!$C$2:$C$251,survey_frozen!$P$2:$P$251,$A98&amp;"|"&amp;$B98),IFERROR(COUNTIFS(INDIRECT("'"&amp;$A98&amp;"'!$B$2:$B$501"),$T98,INDIRECT("'"&amp;$A98&amp;"'!$A$2:$A$501"),"&gt;="&amp;$I98,INDIRECT("'"&amp;$A98&amp;"'!$A$2:$A$501"),"&lt;"&amp;($BA98+1)),0)))</f>
        <v/>
      </c>
      <c r="AM98" s="25">
        <f>IF(OR($A98="",$I98=""),"",IF($BC98="Y",SUMIFS(survey_frozen!$D$2:$D$251,survey_frozen!$P$2:$P$251,$A98&amp;"|"&amp;$B98),IFERROR(COUNTIFS(INDIRECT("'"&amp;$A98&amp;"'!$B$2:$B$501"),$T98,INDIRECT("'"&amp;$A98&amp;"'!$A$2:$A$501"),"&gt;="&amp;$I98,INDIRECT("'"&amp;$A98&amp;"'!$A$2:$A$501"),"&lt;"&amp;($BA98+1),INDIRECT("'"&amp;$A98&amp;"'!$C$2:$C$501"),"Yes"),0)))</f>
        <v/>
      </c>
      <c r="AN98" s="25">
        <f>IF($A98="","",IF(COUNTIFS(scans!$C$2:$C$1601,(IF(LEFT($A98,7)="SAMPLE-","SAMPLE-","")&amp;LOWER(SUBSTITUTE(SUBSTITUTE($A98,"SAMPLE-",""),"CMP-","c"))&amp;"-"&amp;LOWER(SUBSTITUTE(SUBSTITUTE($B98,"SAMPLE-",""),"O-","o"))&amp;"-q"),scans!$D$2:$D$1601,"close")=0,"",SUMPRODUCT(MAX((scans!$C$2:$C$1601=(IF(LEFT($A98,7)="SAMPLE-","SAMPLE-","")&amp;LOWER(SUBSTITUTE(SUBSTITUTE($A98,"SAMPLE-",""),"CMP-","c"))&amp;"-"&amp;LOWER(SUBSTITUTE(SUBSTITUTE($B98,"SAMPLE-",""),"O-","o"))&amp;"-q"))*(scans!$D$2:$D$1601="close")*scans!$E$2:$E$1601))-SUMPRODUCT(MAX((scans!$C$2:$C$1601=(IF(LEFT($A98,7)="SAMPLE-","SAMPLE-","")&amp;LOWER(SUBSTITUTE(SUBSTITUTE($A98,"SAMPLE-",""),"CMP-","c"))&amp;"-"&amp;LOWER(SUBSTITUTE(SUBSTITUTE($B98,"SAMPLE-",""),"O-","o"))&amp;"-q"))*(scans!$D$2:$D$1601="baseline")*scans!$E$2:$E$1601))))</f>
        <v/>
      </c>
      <c r="AO98" s="25">
        <f>IF($A98="","",IF(COUNTIFS(scans!$C$2:$C$1601,(IF(LEFT($A98,7)="SAMPLE-","SAMPLE-","")&amp;LOWER(SUBSTITUTE(SUBSTITUTE($A98,"SAMPLE-",""),"CMP-","c"))&amp;"-"&amp;LOWER(SUBSTITUTE(SUBSTITUTE($B98,"SAMPLE-",""),"O-","o"))&amp;"-p"),scans!$D$2:$D$1601,"close")=0,"",SUMPRODUCT(MAX((scans!$C$2:$C$1601=(IF(LEFT($A98,7)="SAMPLE-","SAMPLE-","")&amp;LOWER(SUBSTITUTE(SUBSTITUTE($A98,"SAMPLE-",""),"CMP-","c"))&amp;"-"&amp;LOWER(SUBSTITUTE(SUBSTITUTE($B98,"SAMPLE-",""),"O-","o"))&amp;"-p"))*(scans!$D$2:$D$1601="close")*scans!$E$2:$E$1601))-SUMPRODUCT(MAX((scans!$C$2:$C$1601=(IF(LEFT($A98,7)="SAMPLE-","SAMPLE-","")&amp;LOWER(SUBSTITUTE(SUBSTITUTE($A98,"SAMPLE-",""),"CMP-","c"))&amp;"-"&amp;LOWER(SUBSTITUTE(SUBSTITUTE($B98,"SAMPLE-",""),"O-","o"))&amp;"-p"))*(scans!$D$2:$D$1601="baseline")*scans!$E$2:$E$1601))))</f>
        <v/>
      </c>
      <c r="AP98" s="25">
        <f>IF($A98="","",IF(COUNTIF(offices!$A$2:$A$61,$B98)=0,"office_id not on offices; ","")&amp;IF(COUNTIF(campaigns!$A$2:$A$51,$A98)=0,"campaign_id not on campaigns; ","")&amp;IF($P98="pending","approval pending; ","")&amp;IF(AND($U98&gt;0,$Y98="",OR($I98="",IF(config!$B$37&lt;&gt;"",config!$B$37,TODAY())&lt;=WORKDAY(N($I98),4,calendar!$A$2:$A$80))),"no usable placement photo yet; ","")&amp;IF(AND($Y98&lt;&gt;"",$Z98=""),"log the placed count; ","")&amp;IF(N($AA98)&gt;N($U98),"placed more than delivered; ","")&amp;IF(AND($AF98&lt;&gt;"",N($AF98)&gt;N($AA98)+N($AD98)),"day-5 count above placed plus top-ups; ","")&amp;IF(AND($U98&gt;0,$I98&lt;&gt;"",IF(config!$B$37&lt;&gt;"",config!$B$37,TODAY())&gt;WORKDAY(N($I98),4,calendar!$A$2:$A$80),$AF98=""),"day-5 count missing; ","")&amp;IF(AND($U98&gt;0,$I98&lt;&gt;"",IF(config!$B$37&lt;&gt;"",config!$B$37,TODAY())&gt;WORKDAY(N($I98),4,calendar!$A$2:$A$80),$AN98=""),"no close link reading; ","")&amp;$R98&amp;IF($P98="N","info: office said no; ","")&amp;IF(AND($P98="Y",$Q98="N"),"info: turned away at the door, so not on the drop (no letter, not in the report or Gate 2; the credit check is on campaigns); ","")&amp;IF(AND($U98&gt;0,$Y98="",$I98&lt;&gt;"",IF(config!$B$37&lt;&gt;"",config!$B$37,TODAY())&gt;WORKDAY(N($I98),4,calendar!$A$2:$A$80)),"info: no usable placement photo, so nothing counts as placed; ","")&amp;IF(AND($U98&gt;0,$I98&lt;&gt;"",IF(config!$B$37&lt;&gt;"",config!$B$37,TODAY())&gt;WORKDAY(N($I98),4,calendar!$A$2:$A$80),N($AL98)&lt;config!$B$30),"info: under "&amp;config!$B$30&amp;" responses; ","")&amp;IF($W98="packing_list","info: delivered count not verified; ",""))</f>
        <v/>
      </c>
      <c r="AQ98" s="25">
        <f>IF(OR($A98="",$I98=""),"",IF($BC98="Y",SUMIFS(survey_frozen!$E$2:$E$251,survey_frozen!$P$2:$P$251,$A98&amp;"|"&amp;$B98),IFERROR(COUNTIFS(INDIRECT("'"&amp;$A98&amp;"'!$B$2:$B$501"),$T98,INDIRECT("'"&amp;$A98&amp;"'!$A$2:$A$501"),"&gt;="&amp;$I98,INDIRECT("'"&amp;$A98&amp;"'!$A$2:$A$501"),"&lt;"&amp;($BA98+1),INDIRECT("'"&amp;$A98&amp;"'!$F$2:$F$501"),"Didn't see it"),0)))</f>
        <v/>
      </c>
      <c r="AR98" s="25">
        <f>IF(OR($A98="",$I98=""),"",IF($BC98="Y",SUMIFS(survey_frozen!$F$2:$F$251,survey_frozen!$P$2:$P$251,$A98&amp;"|"&amp;$B98),IFERROR(COUNTIFS(INDIRECT("'"&amp;$A98&amp;"'!$B$2:$B$501"),$T98,INDIRECT("'"&amp;$A98&amp;"'!$A$2:$A$501"),"&gt;="&amp;$I98,INDIRECT("'"&amp;$A98&amp;"'!$A$2:$A$501"),"&lt;"&amp;($BA98+1),INDIRECT("'"&amp;$A98&amp;"'!$F$2:$F$501"),"Not for me"),0)))</f>
        <v/>
      </c>
      <c r="AS98" s="25">
        <f>IF(OR($A98="",$I98=""),"",IF($BC98="Y",SUMIFS(survey_frozen!$G$2:$G$251,survey_frozen!$P$2:$P$251,$A98&amp;"|"&amp;$B98),IFERROR(COUNTIFS(INDIRECT("'"&amp;$A98&amp;"'!$B$2:$B$501"),$T98,INDIRECT("'"&amp;$A98&amp;"'!$A$2:$A$501"),"&gt;="&amp;$I98,INDIRECT("'"&amp;$A98&amp;"'!$A$2:$A$501"),"&lt;"&amp;($BA98+1),INDIRECT("'"&amp;$A98&amp;"'!$F$2:$F$501"),"Gone by the time I looked"),0)))</f>
        <v/>
      </c>
      <c r="AT98" s="25">
        <f>IF(OR($A98="",$I98=""),"",IF($BC98="Y",SUMIFS(survey_frozen!$H$2:$H$251,survey_frozen!$P$2:$P$251,$A98&amp;"|"&amp;$B98),IFERROR(COUNTIFS(INDIRECT("'"&amp;$A98&amp;"'!$B$2:$B$501"),$T98,INDIRECT("'"&amp;$A98&amp;"'!$A$2:$A$501"),"&gt;="&amp;$I98,INDIRECT("'"&amp;$A98&amp;"'!$A$2:$A$501"),"&lt;"&amp;($BA98+1),INDIRECT("'"&amp;$A98&amp;"'!$D$2:$D$501"),"&gt;=1"),0)))</f>
        <v/>
      </c>
      <c r="AU98" s="25">
        <f>IF(OR($A98="",$I98=""),"",IF($BC98="Y",SUMIFS(survey_frozen!$I$2:$I$251,survey_frozen!$P$2:$P$251,$A98&amp;"|"&amp;$B98),IFERROR(SUMIFS(INDIRECT("'"&amp;$A98&amp;"'!$D$2:$D$501"),INDIRECT("'"&amp;$A98&amp;"'!$B$2:$B$501"),$T98,INDIRECT("'"&amp;$A98&amp;"'!$A$2:$A$501"),"&gt;="&amp;$I98,INDIRECT("'"&amp;$A98&amp;"'!$A$2:$A$501"),"&lt;"&amp;($BA98+1)),0)))</f>
        <v/>
      </c>
      <c r="AV98" s="25">
        <f>IF(OR($A98="",$I98=""),"",IF($BC98="Y",SUMIFS(survey_frozen!$J$2:$J$251,survey_frozen!$P$2:$P$251,$A98&amp;"|"&amp;$B98),IFERROR(COUNTIFS(INDIRECT("'"&amp;$A98&amp;"'!$B$2:$B$501"),$T98,INDIRECT("'"&amp;$A98&amp;"'!$A$2:$A$501"),"&gt;="&amp;$I98,INDIRECT("'"&amp;$A98&amp;"'!$A$2:$A$501"),"&lt;"&amp;($BA98+1),INDIRECT("'"&amp;$A98&amp;"'!$E$2:$E$501"),"Yes"),0)))</f>
        <v/>
      </c>
      <c r="AW98" s="25">
        <f>IF(OR($A98="",$I98=""),"",IF($BC98="Y",SUMIFS(survey_frozen!$K$2:$K$251,survey_frozen!$P$2:$P$251,$A98&amp;"|"&amp;$B98),IFERROR(COUNTIFS(INDIRECT("'"&amp;$A98&amp;"'!$B$2:$B$501"),$T98,INDIRECT("'"&amp;$A98&amp;"'!$A$2:$A$501"),"&gt;="&amp;$I98,INDIRECT("'"&amp;$A98&amp;"'!$A$2:$A$501"),"&lt;"&amp;($BA98+1),INDIRECT("'"&amp;$A98&amp;"'!$E$2:$E$501"),"Maybe"),0)))</f>
        <v/>
      </c>
      <c r="AX98" s="25">
        <f>IF(OR($A98="",$I98=""),"",IF($BC98="Y",SUMIFS(survey_frozen!$L$2:$L$251,survey_frozen!$P$2:$P$251,$A98&amp;"|"&amp;$B98),IFERROR(COUNTIFS(INDIRECT("'"&amp;$A98&amp;"'!$B$2:$B$501"),$T98,INDIRECT("'"&amp;$A98&amp;"'!$A$2:$A$501"),"&gt;="&amp;$I98,INDIRECT("'"&amp;$A98&amp;"'!$A$2:$A$501"),"&lt;"&amp;($BA98+1),INDIRECT("'"&amp;$A98&amp;"'!$E$2:$E$501"),"No"),0)))</f>
        <v/>
      </c>
      <c r="AY98" s="25">
        <f>IF(OR($A98="",$I98=""),"",IF($BC98="Y",SUMIFS(survey_frozen!$M$2:$M$251,survey_frozen!$P$2:$P$251,$A98&amp;"|"&amp;$B98),IFERROR(COUNTIFS(INDIRECT("'"&amp;$A98&amp;"'!$B$2:$B$501"),$T98,INDIRECT("'"&amp;$A98&amp;"'!$A$2:$A$501"),"&gt;="&amp;$I98,INDIRECT("'"&amp;$A98&amp;"'!$A$2:$A$501"),"&lt;"&amp;($BA98+1),INDIRECT("'"&amp;$A98&amp;"'!$G$2:$G$501"),"&lt;&gt;"),0)))</f>
        <v/>
      </c>
      <c r="AZ98" s="25">
        <f>IF($A98="","",$A98&amp;"|"&amp;$L98)</f>
        <v/>
      </c>
      <c r="BA98" s="26">
        <f>IF($A98="","",IFERROR(IF(INDEX(drops!$R$2:$R$21,MATCH($H98,drops!$A$2:$A$21,0))="","",INDEX(drops!$R$2:$R$21,MATCH($H98,drops!$A$2:$A$21,0))),""))</f>
        <v/>
      </c>
      <c r="BB98" s="25">
        <f>IF(OR($A98="",$Q98&lt;&gt;"Y"),1000000,N($AL98))</f>
        <v/>
      </c>
      <c r="BC98" s="25">
        <f>IF($A98="","",IF(COUNTIF(survey_frozen!$P$2:$P$251,$A98&amp;"|"&amp;$B98)&gt;0,"Y",""))</f>
        <v/>
      </c>
    </row>
    <row r="99">
      <c r="C99" s="9" t="n"/>
      <c r="E99" s="9" t="n"/>
      <c r="H99" s="25">
        <f>IF($A99="","",IFERROR(IF(INDEX(campaigns!$B$2:$B$51,MATCH($A99,campaigns!$A$2:$A$51,0))="","",INDEX(campaigns!$B$2:$B$51,MATCH($A99,campaigns!$A$2:$A$51,0))),""))</f>
        <v/>
      </c>
      <c r="I99" s="26">
        <f>IF($A99="","",IFERROR(IF(INDEX(campaigns!$BG$2:$BG$51,MATCH($A99,campaigns!$A$2:$A$51,0))="","",INDEX(campaigns!$BG$2:$BG$51,MATCH($A99,campaigns!$A$2:$A$51,0))),""))</f>
        <v/>
      </c>
      <c r="J99" s="25">
        <f>IF($A99="","",IFERROR(IF(INDEX(campaigns!$BE$2:$BE$51,MATCH($A99,campaigns!$A$2:$A$51,0))="","",INDEX(campaigns!$BE$2:$BE$51,MATCH($A99,campaigns!$A$2:$A$51,0))),""))</f>
        <v/>
      </c>
      <c r="K99" s="25">
        <f>IF($B99="","",IFERROR(IF(INDEX(offices!$N$2:$N$61,MATCH($B99,offices!$A$2:$A$61,0))="","",INDEX(offices!$N$2:$N$61,MATCH($B99,offices!$A$2:$A$61,0))),""))</f>
        <v/>
      </c>
      <c r="L99" s="25">
        <f>IF($A99="","",IF($Q99="N","",COUNTIFS($A$2:$A99,$A99,$Q$2:$Q99,"&lt;&gt;N")))</f>
        <v/>
      </c>
      <c r="M99" s="25">
        <f>IF(OR($A99="",$L99=""),"",IF(AND(config!$B$34="names_if_public",IFERROR(IF(INDEX(offices!$AF$2:$AF$61,MATCH($B99,offices!$A$2:$A$61,0))="","",INDEX(offices!$AF$2:$AF$61,MATCH($B99,offices!$A$2:$A$61,0))),"")="Y"),$K99,CHAR(64+$L99)))</f>
        <v/>
      </c>
      <c r="N99" s="25">
        <f>IF(OR($A99="",$I99=""),"",COUNTIFS(stops!$B$2:$B$151,$B99,stops!$P$2:$P$151,"&lt;"&amp;$I99,stops!$L$2:$L$151,"&lt;&gt;not_delivered")+1)</f>
        <v/>
      </c>
      <c r="O99" s="25">
        <f>IF($A99="","",IF(N($N99)&lt;=config!$B$29,"explicit","opt-out"))</f>
        <v/>
      </c>
      <c r="P99" s="25">
        <f>IF($A99="","",IF($O99="explicit",IF($D99="yes","Y",IF($D99="no","N","pending")),IF($D99="no","N",IF(AND($C99&lt;&gt;"",$I99&lt;&gt;"",$C99&lt;=WORKDAY(N($I99),-5,calendar!$A$2:$A$80)),"Y","pending"))))</f>
        <v/>
      </c>
      <c r="Q99" s="25">
        <f>IF($A99="","",IF($P99="N","N",IF($P99&lt;&gt;"Y","pending",IF(AND((COUNTIFS(stops!$A$2:$A$151,$H99,stops!$B$2:$B$151,$B99,stops!$L$2:$L$151,"declined")+COUNTIFS(stops!$A$2:$A$151,$H99,stops!$B$2:$B$151,$B99,stops!$L$2:$L$151,"building_refused")+COUNTIFS(stops!$A$2:$A$151,$H99,stops!$B$2:$B$151,$B99,stops!$L$2:$L$151,"not_delivered"))&gt;0,N($U99)=0),"N","Y"))))</f>
        <v/>
      </c>
      <c r="R99" s="25">
        <f>IF($A99="","",IF(COUNTIFS($A$2:$A$251,$A99,$B$2:$B$251,$B99)&gt;1,"DUPLICATE ROW; ","")&amp;IF(AND(IFERROR(IF(INDEX(offices!$AC$2:$AC$61,MATCH($B99,offices!$A$2:$A$61,0))="","",INDEX(offices!$AC$2:$AC$61,MATCH($B99,offices!$A$2:$A$61,0))),"")&lt;&gt;"",ISNUMBER(SEARCH($J99,IFERROR(IF(INDEX(offices!$AC$2:$AC$61,MATCH($B99,offices!$A$2:$A$61,0))="","",INDEX(offices!$AC$2:$AC$61,MATCH($B99,offices!$A$2:$A$61,0))),"")))),"BRAND VETOED; ","")&amp;IF(ISNUMBER(SEARCH(IFERROR(IF(INDEX(campaigns!$BF$2:$BF$51,MATCH($A99,campaigns!$A$2:$A$51,0))="","",INDEX(campaigns!$BF$2:$BF$51,MATCH($A99,campaigns!$A$2:$A$51,0))),""),IFERROR(IF(INDEX(offices!$AB$2:$AB$61,MATCH($B99,offices!$A$2:$A$61,0))="","",INDEX(offices!$AB$2:$AB$61,MATCH($B99,offices!$A$2:$A$61,0))),""))),"","info: category not on the office's list; ")&amp;IF(IFERROR(IF(INDEX(offices!$AC$2:$AC$61,MATCH($B99,offices!$A$2:$A$61,0))="","",INDEX(offices!$AC$2:$AC$61,MATCH($B99,offices!$A$2:$A$61,0))),"")&lt;&gt;"","info: read the vetoes against the label; ",""))</f>
        <v/>
      </c>
      <c r="S99" s="25">
        <f>IF($A99="","",IF($G99&lt;&gt;"",$G99,IFERROR(IF(INDEX(offices!$AL$2:$AL$61,MATCH($B99,offices!$A$2:$A$61,0))="","",INDEX(offices!$AL$2:$AL$61,MATCH($B99,offices!$A$2:$A$61,0))),"")))</f>
        <v/>
      </c>
      <c r="T99" s="25">
        <f>IF($A99="","",$A99&amp;"."&amp;$B99)</f>
        <v/>
      </c>
      <c r="U99" s="25">
        <f>IF($A99="","",SUMIFS(inventory!$G$2:$G$801,inventory!$C$2:$C$801,$A99,inventory!$D$2:$D$801,$B99,inventory!$E$2:$E$801,"delivered"))</f>
        <v/>
      </c>
      <c r="V99" s="32">
        <f>IF($A99="","",IFERROR(1/(1/SUMPRODUCT(MAX((inventory!$C$2:$C$801=$A99)*(inventory!$D$2:$D$801=$B99)*(inventory!$E$2:$E$801="delivered")*(inventory!$A$2:$A$801+inventory!$B$2:$B$801)))),""))</f>
        <v/>
      </c>
      <c r="W99" s="25">
        <f>IF($A99="","",IFERROR(IF(INDEX(inventory!$J$2:$J$801,MATCH($A99&amp;"|"&amp;$B99&amp;"|delivered",inventory!$R$2:$R$801,0))="","",INDEX(inventory!$J$2:$J$801,MATCH($A99&amp;"|"&amp;$B99&amp;"|delivered",inventory!$R$2:$R$801,0))),""))</f>
        <v/>
      </c>
      <c r="X99" s="25">
        <f>IF($A99="","",IFERROR(IF(INDEX(photos!$H$2:$H$701,MATCH($A99&amp;"|"&amp;$B99&amp;"|placement|Y",photos!$R$2:$R$701,0))="","",INDEX(photos!$H$2:$H$701,MATCH($A99&amp;"|"&amp;$B99&amp;"|placement|Y",photos!$R$2:$R$701,0))),""))</f>
        <v/>
      </c>
      <c r="Y99" s="26">
        <f>IF($A99="","",IFERROR(IF(INDEX(photos!$E$2:$E$701,MATCH($A99&amp;"|"&amp;$B99&amp;"|placement|Y",photos!$R$2:$R$701,0))="","",INDEX(photos!$E$2:$E$701,MATCH($A99&amp;"|"&amp;$B99&amp;"|placement|Y",photos!$R$2:$R$701,0))),""))</f>
        <v/>
      </c>
      <c r="Z99" s="25">
        <f>IF($A99="","",IF(COUNTIFS(counts!$C$2:$C$701,$A99,counts!$D$2:$D$701,$B99,counts!$E$2:$E$701,"placed")=0,"",SUMIFS(counts!$F$2:$F$701,counts!$C$2:$C$701,$A99,counts!$D$2:$D$701,$B99,counts!$E$2:$E$701,"placed")))</f>
        <v/>
      </c>
      <c r="AA99" s="25">
        <f>IF($A99="","",IF($Y99="",0,N($Z99)))</f>
        <v/>
      </c>
      <c r="AB99" s="25">
        <f>IF($A99="","",IF(OR($Y99="",$I99=""),"N",IF($Y99&lt;=WORKDAY(N($I99),1,calendar!$A$2:$A$80),"Y","N")))</f>
        <v/>
      </c>
      <c r="AC99" s="28">
        <f>IF(OR($A99="",$V99="",$Y99=""),"",ROUND(($Y99+N(IFERROR(IF(INDEX(photos!$F$2:$F$701,MATCH($A99&amp;"|"&amp;$B99&amp;"|placement|Y",photos!$R$2:$R$701,0))="","",INDEX(photos!$F$2:$F$701,MATCH($A99&amp;"|"&amp;$B99&amp;"|placement|Y",photos!$R$2:$R$701,0))),""))-$V99)*24,1))</f>
        <v/>
      </c>
      <c r="AD99" s="25">
        <f>IF($A99="","",SUMIFS(inventory!$G$2:$G$801,inventory!$C$2:$C$801,$A99,inventory!$D$2:$D$801,$B99,inventory!$E$2:$E$801,"topped_up"))</f>
        <v/>
      </c>
      <c r="AE99" s="25">
        <f>IF($A99="","",IF(COUNTIFS(counts!$C$2:$C$701,$A99,counts!$D$2:$D$701,$B99,counts!$E$2:$E$701,"remaining_day3")=0,"",SUMIFS(counts!$F$2:$F$701,counts!$C$2:$C$701,$A99,counts!$D$2:$D$701,$B99,counts!$E$2:$E$701,"remaining_day3")))</f>
        <v/>
      </c>
      <c r="AF99" s="25">
        <f>IF($A99="","",IF(COUNTIFS(counts!$C$2:$C$701,$A99,counts!$D$2:$D$701,$B99,counts!$E$2:$E$701,"remaining_day5")=0,"",SUMIFS(counts!$F$2:$F$701,counts!$C$2:$C$701,$A99,counts!$D$2:$D$701,$B99,counts!$E$2:$E$701,"remaining_day5")))</f>
        <v/>
      </c>
      <c r="AG99" s="25">
        <f>IF(OR($A99="",$AF99=""),"",MAX(0,$AA99+$AD99-$AF99))</f>
        <v/>
      </c>
      <c r="AH99" s="25">
        <f>IF(OR($A99="",$AI99=""),"",IFERROR(IF(INDEX(photos!$H$2:$H$701,MATCH($A99&amp;"|"&amp;$B99&amp;"|later|Y|"&amp;$AI99,photos!$S$2:$S$701,0))="","",INDEX(photos!$H$2:$H$701,MATCH($A99&amp;"|"&amp;$B99&amp;"|later|Y|"&amp;$AI99,photos!$S$2:$S$701,0))),""))</f>
        <v/>
      </c>
      <c r="AI99" s="26">
        <f>IF($A99="","",IFERROR(1/(1/SUMPRODUCT(MAX((photos!$B$2:$B$701=$A99)*(photos!$C$2:$C$701=$B99)*(photos!$D$2:$D$701="later")*(photos!$O$2:$O$701="Y")*photos!$E$2:$E$701))),""))</f>
        <v/>
      </c>
      <c r="AJ99" s="25">
        <f>IF(OR($A99="",$AI99="",$I99=""),"",NETWORKDAYS($I99,$AI99,calendar!$A$2:$A$80))</f>
        <v/>
      </c>
      <c r="AK99" s="25">
        <f>IF($A99="","",IF(AND($X99&lt;&gt;"",$AH99&lt;&gt;""),"Y","N"))</f>
        <v/>
      </c>
      <c r="AL99" s="25">
        <f>IF(OR($A99="",$I99=""),"",IF($BC99="Y",SUMIFS(survey_frozen!$C$2:$C$251,survey_frozen!$P$2:$P$251,$A99&amp;"|"&amp;$B99),IFERROR(COUNTIFS(INDIRECT("'"&amp;$A99&amp;"'!$B$2:$B$501"),$T99,INDIRECT("'"&amp;$A99&amp;"'!$A$2:$A$501"),"&gt;="&amp;$I99,INDIRECT("'"&amp;$A99&amp;"'!$A$2:$A$501"),"&lt;"&amp;($BA99+1)),0)))</f>
        <v/>
      </c>
      <c r="AM99" s="25">
        <f>IF(OR($A99="",$I99=""),"",IF($BC99="Y",SUMIFS(survey_frozen!$D$2:$D$251,survey_frozen!$P$2:$P$251,$A99&amp;"|"&amp;$B99),IFERROR(COUNTIFS(INDIRECT("'"&amp;$A99&amp;"'!$B$2:$B$501"),$T99,INDIRECT("'"&amp;$A99&amp;"'!$A$2:$A$501"),"&gt;="&amp;$I99,INDIRECT("'"&amp;$A99&amp;"'!$A$2:$A$501"),"&lt;"&amp;($BA99+1),INDIRECT("'"&amp;$A99&amp;"'!$C$2:$C$501"),"Yes"),0)))</f>
        <v/>
      </c>
      <c r="AN99" s="25">
        <f>IF($A99="","",IF(COUNTIFS(scans!$C$2:$C$1601,(IF(LEFT($A99,7)="SAMPLE-","SAMPLE-","")&amp;LOWER(SUBSTITUTE(SUBSTITUTE($A99,"SAMPLE-",""),"CMP-","c"))&amp;"-"&amp;LOWER(SUBSTITUTE(SUBSTITUTE($B99,"SAMPLE-",""),"O-","o"))&amp;"-q"),scans!$D$2:$D$1601,"close")=0,"",SUMPRODUCT(MAX((scans!$C$2:$C$1601=(IF(LEFT($A99,7)="SAMPLE-","SAMPLE-","")&amp;LOWER(SUBSTITUTE(SUBSTITUTE($A99,"SAMPLE-",""),"CMP-","c"))&amp;"-"&amp;LOWER(SUBSTITUTE(SUBSTITUTE($B99,"SAMPLE-",""),"O-","o"))&amp;"-q"))*(scans!$D$2:$D$1601="close")*scans!$E$2:$E$1601))-SUMPRODUCT(MAX((scans!$C$2:$C$1601=(IF(LEFT($A99,7)="SAMPLE-","SAMPLE-","")&amp;LOWER(SUBSTITUTE(SUBSTITUTE($A99,"SAMPLE-",""),"CMP-","c"))&amp;"-"&amp;LOWER(SUBSTITUTE(SUBSTITUTE($B99,"SAMPLE-",""),"O-","o"))&amp;"-q"))*(scans!$D$2:$D$1601="baseline")*scans!$E$2:$E$1601))))</f>
        <v/>
      </c>
      <c r="AO99" s="25">
        <f>IF($A99="","",IF(COUNTIFS(scans!$C$2:$C$1601,(IF(LEFT($A99,7)="SAMPLE-","SAMPLE-","")&amp;LOWER(SUBSTITUTE(SUBSTITUTE($A99,"SAMPLE-",""),"CMP-","c"))&amp;"-"&amp;LOWER(SUBSTITUTE(SUBSTITUTE($B99,"SAMPLE-",""),"O-","o"))&amp;"-p"),scans!$D$2:$D$1601,"close")=0,"",SUMPRODUCT(MAX((scans!$C$2:$C$1601=(IF(LEFT($A99,7)="SAMPLE-","SAMPLE-","")&amp;LOWER(SUBSTITUTE(SUBSTITUTE($A99,"SAMPLE-",""),"CMP-","c"))&amp;"-"&amp;LOWER(SUBSTITUTE(SUBSTITUTE($B99,"SAMPLE-",""),"O-","o"))&amp;"-p"))*(scans!$D$2:$D$1601="close")*scans!$E$2:$E$1601))-SUMPRODUCT(MAX((scans!$C$2:$C$1601=(IF(LEFT($A99,7)="SAMPLE-","SAMPLE-","")&amp;LOWER(SUBSTITUTE(SUBSTITUTE($A99,"SAMPLE-",""),"CMP-","c"))&amp;"-"&amp;LOWER(SUBSTITUTE(SUBSTITUTE($B99,"SAMPLE-",""),"O-","o"))&amp;"-p"))*(scans!$D$2:$D$1601="baseline")*scans!$E$2:$E$1601))))</f>
        <v/>
      </c>
      <c r="AP99" s="25">
        <f>IF($A99="","",IF(COUNTIF(offices!$A$2:$A$61,$B99)=0,"office_id not on offices; ","")&amp;IF(COUNTIF(campaigns!$A$2:$A$51,$A99)=0,"campaign_id not on campaigns; ","")&amp;IF($P99="pending","approval pending; ","")&amp;IF(AND($U99&gt;0,$Y99="",OR($I99="",IF(config!$B$37&lt;&gt;"",config!$B$37,TODAY())&lt;=WORKDAY(N($I99),4,calendar!$A$2:$A$80))),"no usable placement photo yet; ","")&amp;IF(AND($Y99&lt;&gt;"",$Z99=""),"log the placed count; ","")&amp;IF(N($AA99)&gt;N($U99),"placed more than delivered; ","")&amp;IF(AND($AF99&lt;&gt;"",N($AF99)&gt;N($AA99)+N($AD99)),"day-5 count above placed plus top-ups; ","")&amp;IF(AND($U99&gt;0,$I99&lt;&gt;"",IF(config!$B$37&lt;&gt;"",config!$B$37,TODAY())&gt;WORKDAY(N($I99),4,calendar!$A$2:$A$80),$AF99=""),"day-5 count missing; ","")&amp;IF(AND($U99&gt;0,$I99&lt;&gt;"",IF(config!$B$37&lt;&gt;"",config!$B$37,TODAY())&gt;WORKDAY(N($I99),4,calendar!$A$2:$A$80),$AN99=""),"no close link reading; ","")&amp;$R99&amp;IF($P99="N","info: office said no; ","")&amp;IF(AND($P99="Y",$Q99="N"),"info: turned away at the door, so not on the drop (no letter, not in the report or Gate 2; the credit check is on campaigns); ","")&amp;IF(AND($U99&gt;0,$Y99="",$I99&lt;&gt;"",IF(config!$B$37&lt;&gt;"",config!$B$37,TODAY())&gt;WORKDAY(N($I99),4,calendar!$A$2:$A$80)),"info: no usable placement photo, so nothing counts as placed; ","")&amp;IF(AND($U99&gt;0,$I99&lt;&gt;"",IF(config!$B$37&lt;&gt;"",config!$B$37,TODAY())&gt;WORKDAY(N($I99),4,calendar!$A$2:$A$80),N($AL99)&lt;config!$B$30),"info: under "&amp;config!$B$30&amp;" responses; ","")&amp;IF($W99="packing_list","info: delivered count not verified; ",""))</f>
        <v/>
      </c>
      <c r="AQ99" s="25">
        <f>IF(OR($A99="",$I99=""),"",IF($BC99="Y",SUMIFS(survey_frozen!$E$2:$E$251,survey_frozen!$P$2:$P$251,$A99&amp;"|"&amp;$B99),IFERROR(COUNTIFS(INDIRECT("'"&amp;$A99&amp;"'!$B$2:$B$501"),$T99,INDIRECT("'"&amp;$A99&amp;"'!$A$2:$A$501"),"&gt;="&amp;$I99,INDIRECT("'"&amp;$A99&amp;"'!$A$2:$A$501"),"&lt;"&amp;($BA99+1),INDIRECT("'"&amp;$A99&amp;"'!$F$2:$F$501"),"Didn't see it"),0)))</f>
        <v/>
      </c>
      <c r="AR99" s="25">
        <f>IF(OR($A99="",$I99=""),"",IF($BC99="Y",SUMIFS(survey_frozen!$F$2:$F$251,survey_frozen!$P$2:$P$251,$A99&amp;"|"&amp;$B99),IFERROR(COUNTIFS(INDIRECT("'"&amp;$A99&amp;"'!$B$2:$B$501"),$T99,INDIRECT("'"&amp;$A99&amp;"'!$A$2:$A$501"),"&gt;="&amp;$I99,INDIRECT("'"&amp;$A99&amp;"'!$A$2:$A$501"),"&lt;"&amp;($BA99+1),INDIRECT("'"&amp;$A99&amp;"'!$F$2:$F$501"),"Not for me"),0)))</f>
        <v/>
      </c>
      <c r="AS99" s="25">
        <f>IF(OR($A99="",$I99=""),"",IF($BC99="Y",SUMIFS(survey_frozen!$G$2:$G$251,survey_frozen!$P$2:$P$251,$A99&amp;"|"&amp;$B99),IFERROR(COUNTIFS(INDIRECT("'"&amp;$A99&amp;"'!$B$2:$B$501"),$T99,INDIRECT("'"&amp;$A99&amp;"'!$A$2:$A$501"),"&gt;="&amp;$I99,INDIRECT("'"&amp;$A99&amp;"'!$A$2:$A$501"),"&lt;"&amp;($BA99+1),INDIRECT("'"&amp;$A99&amp;"'!$F$2:$F$501"),"Gone by the time I looked"),0)))</f>
        <v/>
      </c>
      <c r="AT99" s="25">
        <f>IF(OR($A99="",$I99=""),"",IF($BC99="Y",SUMIFS(survey_frozen!$H$2:$H$251,survey_frozen!$P$2:$P$251,$A99&amp;"|"&amp;$B99),IFERROR(COUNTIFS(INDIRECT("'"&amp;$A99&amp;"'!$B$2:$B$501"),$T99,INDIRECT("'"&amp;$A99&amp;"'!$A$2:$A$501"),"&gt;="&amp;$I99,INDIRECT("'"&amp;$A99&amp;"'!$A$2:$A$501"),"&lt;"&amp;($BA99+1),INDIRECT("'"&amp;$A99&amp;"'!$D$2:$D$501"),"&gt;=1"),0)))</f>
        <v/>
      </c>
      <c r="AU99" s="25">
        <f>IF(OR($A99="",$I99=""),"",IF($BC99="Y",SUMIFS(survey_frozen!$I$2:$I$251,survey_frozen!$P$2:$P$251,$A99&amp;"|"&amp;$B99),IFERROR(SUMIFS(INDIRECT("'"&amp;$A99&amp;"'!$D$2:$D$501"),INDIRECT("'"&amp;$A99&amp;"'!$B$2:$B$501"),$T99,INDIRECT("'"&amp;$A99&amp;"'!$A$2:$A$501"),"&gt;="&amp;$I99,INDIRECT("'"&amp;$A99&amp;"'!$A$2:$A$501"),"&lt;"&amp;($BA99+1)),0)))</f>
        <v/>
      </c>
      <c r="AV99" s="25">
        <f>IF(OR($A99="",$I99=""),"",IF($BC99="Y",SUMIFS(survey_frozen!$J$2:$J$251,survey_frozen!$P$2:$P$251,$A99&amp;"|"&amp;$B99),IFERROR(COUNTIFS(INDIRECT("'"&amp;$A99&amp;"'!$B$2:$B$501"),$T99,INDIRECT("'"&amp;$A99&amp;"'!$A$2:$A$501"),"&gt;="&amp;$I99,INDIRECT("'"&amp;$A99&amp;"'!$A$2:$A$501"),"&lt;"&amp;($BA99+1),INDIRECT("'"&amp;$A99&amp;"'!$E$2:$E$501"),"Yes"),0)))</f>
        <v/>
      </c>
      <c r="AW99" s="25">
        <f>IF(OR($A99="",$I99=""),"",IF($BC99="Y",SUMIFS(survey_frozen!$K$2:$K$251,survey_frozen!$P$2:$P$251,$A99&amp;"|"&amp;$B99),IFERROR(COUNTIFS(INDIRECT("'"&amp;$A99&amp;"'!$B$2:$B$501"),$T99,INDIRECT("'"&amp;$A99&amp;"'!$A$2:$A$501"),"&gt;="&amp;$I99,INDIRECT("'"&amp;$A99&amp;"'!$A$2:$A$501"),"&lt;"&amp;($BA99+1),INDIRECT("'"&amp;$A99&amp;"'!$E$2:$E$501"),"Maybe"),0)))</f>
        <v/>
      </c>
      <c r="AX99" s="25">
        <f>IF(OR($A99="",$I99=""),"",IF($BC99="Y",SUMIFS(survey_frozen!$L$2:$L$251,survey_frozen!$P$2:$P$251,$A99&amp;"|"&amp;$B99),IFERROR(COUNTIFS(INDIRECT("'"&amp;$A99&amp;"'!$B$2:$B$501"),$T99,INDIRECT("'"&amp;$A99&amp;"'!$A$2:$A$501"),"&gt;="&amp;$I99,INDIRECT("'"&amp;$A99&amp;"'!$A$2:$A$501"),"&lt;"&amp;($BA99+1),INDIRECT("'"&amp;$A99&amp;"'!$E$2:$E$501"),"No"),0)))</f>
        <v/>
      </c>
      <c r="AY99" s="25">
        <f>IF(OR($A99="",$I99=""),"",IF($BC99="Y",SUMIFS(survey_frozen!$M$2:$M$251,survey_frozen!$P$2:$P$251,$A99&amp;"|"&amp;$B99),IFERROR(COUNTIFS(INDIRECT("'"&amp;$A99&amp;"'!$B$2:$B$501"),$T99,INDIRECT("'"&amp;$A99&amp;"'!$A$2:$A$501"),"&gt;="&amp;$I99,INDIRECT("'"&amp;$A99&amp;"'!$A$2:$A$501"),"&lt;"&amp;($BA99+1),INDIRECT("'"&amp;$A99&amp;"'!$G$2:$G$501"),"&lt;&gt;"),0)))</f>
        <v/>
      </c>
      <c r="AZ99" s="25">
        <f>IF($A99="","",$A99&amp;"|"&amp;$L99)</f>
        <v/>
      </c>
      <c r="BA99" s="26">
        <f>IF($A99="","",IFERROR(IF(INDEX(drops!$R$2:$R$21,MATCH($H99,drops!$A$2:$A$21,0))="","",INDEX(drops!$R$2:$R$21,MATCH($H99,drops!$A$2:$A$21,0))),""))</f>
        <v/>
      </c>
      <c r="BB99" s="25">
        <f>IF(OR($A99="",$Q99&lt;&gt;"Y"),1000000,N($AL99))</f>
        <v/>
      </c>
      <c r="BC99" s="25">
        <f>IF($A99="","",IF(COUNTIF(survey_frozen!$P$2:$P$251,$A99&amp;"|"&amp;$B99)&gt;0,"Y",""))</f>
        <v/>
      </c>
    </row>
    <row r="100">
      <c r="C100" s="9" t="n"/>
      <c r="E100" s="9" t="n"/>
      <c r="H100" s="25">
        <f>IF($A100="","",IFERROR(IF(INDEX(campaigns!$B$2:$B$51,MATCH($A100,campaigns!$A$2:$A$51,0))="","",INDEX(campaigns!$B$2:$B$51,MATCH($A100,campaigns!$A$2:$A$51,0))),""))</f>
        <v/>
      </c>
      <c r="I100" s="26">
        <f>IF($A100="","",IFERROR(IF(INDEX(campaigns!$BG$2:$BG$51,MATCH($A100,campaigns!$A$2:$A$51,0))="","",INDEX(campaigns!$BG$2:$BG$51,MATCH($A100,campaigns!$A$2:$A$51,0))),""))</f>
        <v/>
      </c>
      <c r="J100" s="25">
        <f>IF($A100="","",IFERROR(IF(INDEX(campaigns!$BE$2:$BE$51,MATCH($A100,campaigns!$A$2:$A$51,0))="","",INDEX(campaigns!$BE$2:$BE$51,MATCH($A100,campaigns!$A$2:$A$51,0))),""))</f>
        <v/>
      </c>
      <c r="K100" s="25">
        <f>IF($B100="","",IFERROR(IF(INDEX(offices!$N$2:$N$61,MATCH($B100,offices!$A$2:$A$61,0))="","",INDEX(offices!$N$2:$N$61,MATCH($B100,offices!$A$2:$A$61,0))),""))</f>
        <v/>
      </c>
      <c r="L100" s="25">
        <f>IF($A100="","",IF($Q100="N","",COUNTIFS($A$2:$A100,$A100,$Q$2:$Q100,"&lt;&gt;N")))</f>
        <v/>
      </c>
      <c r="M100" s="25">
        <f>IF(OR($A100="",$L100=""),"",IF(AND(config!$B$34="names_if_public",IFERROR(IF(INDEX(offices!$AF$2:$AF$61,MATCH($B100,offices!$A$2:$A$61,0))="","",INDEX(offices!$AF$2:$AF$61,MATCH($B100,offices!$A$2:$A$61,0))),"")="Y"),$K100,CHAR(64+$L100)))</f>
        <v/>
      </c>
      <c r="N100" s="25">
        <f>IF(OR($A100="",$I100=""),"",COUNTIFS(stops!$B$2:$B$151,$B100,stops!$P$2:$P$151,"&lt;"&amp;$I100,stops!$L$2:$L$151,"&lt;&gt;not_delivered")+1)</f>
        <v/>
      </c>
      <c r="O100" s="25">
        <f>IF($A100="","",IF(N($N100)&lt;=config!$B$29,"explicit","opt-out"))</f>
        <v/>
      </c>
      <c r="P100" s="25">
        <f>IF($A100="","",IF($O100="explicit",IF($D100="yes","Y",IF($D100="no","N","pending")),IF($D100="no","N",IF(AND($C100&lt;&gt;"",$I100&lt;&gt;"",$C100&lt;=WORKDAY(N($I100),-5,calendar!$A$2:$A$80)),"Y","pending"))))</f>
        <v/>
      </c>
      <c r="Q100" s="25">
        <f>IF($A100="","",IF($P100="N","N",IF($P100&lt;&gt;"Y","pending",IF(AND((COUNTIFS(stops!$A$2:$A$151,$H100,stops!$B$2:$B$151,$B100,stops!$L$2:$L$151,"declined")+COUNTIFS(stops!$A$2:$A$151,$H100,stops!$B$2:$B$151,$B100,stops!$L$2:$L$151,"building_refused")+COUNTIFS(stops!$A$2:$A$151,$H100,stops!$B$2:$B$151,$B100,stops!$L$2:$L$151,"not_delivered"))&gt;0,N($U100)=0),"N","Y"))))</f>
        <v/>
      </c>
      <c r="R100" s="25">
        <f>IF($A100="","",IF(COUNTIFS($A$2:$A$251,$A100,$B$2:$B$251,$B100)&gt;1,"DUPLICATE ROW; ","")&amp;IF(AND(IFERROR(IF(INDEX(offices!$AC$2:$AC$61,MATCH($B100,offices!$A$2:$A$61,0))="","",INDEX(offices!$AC$2:$AC$61,MATCH($B100,offices!$A$2:$A$61,0))),"")&lt;&gt;"",ISNUMBER(SEARCH($J100,IFERROR(IF(INDEX(offices!$AC$2:$AC$61,MATCH($B100,offices!$A$2:$A$61,0))="","",INDEX(offices!$AC$2:$AC$61,MATCH($B100,offices!$A$2:$A$61,0))),"")))),"BRAND VETOED; ","")&amp;IF(ISNUMBER(SEARCH(IFERROR(IF(INDEX(campaigns!$BF$2:$BF$51,MATCH($A100,campaigns!$A$2:$A$51,0))="","",INDEX(campaigns!$BF$2:$BF$51,MATCH($A100,campaigns!$A$2:$A$51,0))),""),IFERROR(IF(INDEX(offices!$AB$2:$AB$61,MATCH($B100,offices!$A$2:$A$61,0))="","",INDEX(offices!$AB$2:$AB$61,MATCH($B100,offices!$A$2:$A$61,0))),""))),"","info: category not on the office's list; ")&amp;IF(IFERROR(IF(INDEX(offices!$AC$2:$AC$61,MATCH($B100,offices!$A$2:$A$61,0))="","",INDEX(offices!$AC$2:$AC$61,MATCH($B100,offices!$A$2:$A$61,0))),"")&lt;&gt;"","info: read the vetoes against the label; ",""))</f>
        <v/>
      </c>
      <c r="S100" s="25">
        <f>IF($A100="","",IF($G100&lt;&gt;"",$G100,IFERROR(IF(INDEX(offices!$AL$2:$AL$61,MATCH($B100,offices!$A$2:$A$61,0))="","",INDEX(offices!$AL$2:$AL$61,MATCH($B100,offices!$A$2:$A$61,0))),"")))</f>
        <v/>
      </c>
      <c r="T100" s="25">
        <f>IF($A100="","",$A100&amp;"."&amp;$B100)</f>
        <v/>
      </c>
      <c r="U100" s="25">
        <f>IF($A100="","",SUMIFS(inventory!$G$2:$G$801,inventory!$C$2:$C$801,$A100,inventory!$D$2:$D$801,$B100,inventory!$E$2:$E$801,"delivered"))</f>
        <v/>
      </c>
      <c r="V100" s="32">
        <f>IF($A100="","",IFERROR(1/(1/SUMPRODUCT(MAX((inventory!$C$2:$C$801=$A100)*(inventory!$D$2:$D$801=$B100)*(inventory!$E$2:$E$801="delivered")*(inventory!$A$2:$A$801+inventory!$B$2:$B$801)))),""))</f>
        <v/>
      </c>
      <c r="W100" s="25">
        <f>IF($A100="","",IFERROR(IF(INDEX(inventory!$J$2:$J$801,MATCH($A100&amp;"|"&amp;$B100&amp;"|delivered",inventory!$R$2:$R$801,0))="","",INDEX(inventory!$J$2:$J$801,MATCH($A100&amp;"|"&amp;$B100&amp;"|delivered",inventory!$R$2:$R$801,0))),""))</f>
        <v/>
      </c>
      <c r="X100" s="25">
        <f>IF($A100="","",IFERROR(IF(INDEX(photos!$H$2:$H$701,MATCH($A100&amp;"|"&amp;$B100&amp;"|placement|Y",photos!$R$2:$R$701,0))="","",INDEX(photos!$H$2:$H$701,MATCH($A100&amp;"|"&amp;$B100&amp;"|placement|Y",photos!$R$2:$R$701,0))),""))</f>
        <v/>
      </c>
      <c r="Y100" s="26">
        <f>IF($A100="","",IFERROR(IF(INDEX(photos!$E$2:$E$701,MATCH($A100&amp;"|"&amp;$B100&amp;"|placement|Y",photos!$R$2:$R$701,0))="","",INDEX(photos!$E$2:$E$701,MATCH($A100&amp;"|"&amp;$B100&amp;"|placement|Y",photos!$R$2:$R$701,0))),""))</f>
        <v/>
      </c>
      <c r="Z100" s="25">
        <f>IF($A100="","",IF(COUNTIFS(counts!$C$2:$C$701,$A100,counts!$D$2:$D$701,$B100,counts!$E$2:$E$701,"placed")=0,"",SUMIFS(counts!$F$2:$F$701,counts!$C$2:$C$701,$A100,counts!$D$2:$D$701,$B100,counts!$E$2:$E$701,"placed")))</f>
        <v/>
      </c>
      <c r="AA100" s="25">
        <f>IF($A100="","",IF($Y100="",0,N($Z100)))</f>
        <v/>
      </c>
      <c r="AB100" s="25">
        <f>IF($A100="","",IF(OR($Y100="",$I100=""),"N",IF($Y100&lt;=WORKDAY(N($I100),1,calendar!$A$2:$A$80),"Y","N")))</f>
        <v/>
      </c>
      <c r="AC100" s="28">
        <f>IF(OR($A100="",$V100="",$Y100=""),"",ROUND(($Y100+N(IFERROR(IF(INDEX(photos!$F$2:$F$701,MATCH($A100&amp;"|"&amp;$B100&amp;"|placement|Y",photos!$R$2:$R$701,0))="","",INDEX(photos!$F$2:$F$701,MATCH($A100&amp;"|"&amp;$B100&amp;"|placement|Y",photos!$R$2:$R$701,0))),""))-$V100)*24,1))</f>
        <v/>
      </c>
      <c r="AD100" s="25">
        <f>IF($A100="","",SUMIFS(inventory!$G$2:$G$801,inventory!$C$2:$C$801,$A100,inventory!$D$2:$D$801,$B100,inventory!$E$2:$E$801,"topped_up"))</f>
        <v/>
      </c>
      <c r="AE100" s="25">
        <f>IF($A100="","",IF(COUNTIFS(counts!$C$2:$C$701,$A100,counts!$D$2:$D$701,$B100,counts!$E$2:$E$701,"remaining_day3")=0,"",SUMIFS(counts!$F$2:$F$701,counts!$C$2:$C$701,$A100,counts!$D$2:$D$701,$B100,counts!$E$2:$E$701,"remaining_day3")))</f>
        <v/>
      </c>
      <c r="AF100" s="25">
        <f>IF($A100="","",IF(COUNTIFS(counts!$C$2:$C$701,$A100,counts!$D$2:$D$701,$B100,counts!$E$2:$E$701,"remaining_day5")=0,"",SUMIFS(counts!$F$2:$F$701,counts!$C$2:$C$701,$A100,counts!$D$2:$D$701,$B100,counts!$E$2:$E$701,"remaining_day5")))</f>
        <v/>
      </c>
      <c r="AG100" s="25">
        <f>IF(OR($A100="",$AF100=""),"",MAX(0,$AA100+$AD100-$AF100))</f>
        <v/>
      </c>
      <c r="AH100" s="25">
        <f>IF(OR($A100="",$AI100=""),"",IFERROR(IF(INDEX(photos!$H$2:$H$701,MATCH($A100&amp;"|"&amp;$B100&amp;"|later|Y|"&amp;$AI100,photos!$S$2:$S$701,0))="","",INDEX(photos!$H$2:$H$701,MATCH($A100&amp;"|"&amp;$B100&amp;"|later|Y|"&amp;$AI100,photos!$S$2:$S$701,0))),""))</f>
        <v/>
      </c>
      <c r="AI100" s="26">
        <f>IF($A100="","",IFERROR(1/(1/SUMPRODUCT(MAX((photos!$B$2:$B$701=$A100)*(photos!$C$2:$C$701=$B100)*(photos!$D$2:$D$701="later")*(photos!$O$2:$O$701="Y")*photos!$E$2:$E$701))),""))</f>
        <v/>
      </c>
      <c r="AJ100" s="25">
        <f>IF(OR($A100="",$AI100="",$I100=""),"",NETWORKDAYS($I100,$AI100,calendar!$A$2:$A$80))</f>
        <v/>
      </c>
      <c r="AK100" s="25">
        <f>IF($A100="","",IF(AND($X100&lt;&gt;"",$AH100&lt;&gt;""),"Y","N"))</f>
        <v/>
      </c>
      <c r="AL100" s="25">
        <f>IF(OR($A100="",$I100=""),"",IF($BC100="Y",SUMIFS(survey_frozen!$C$2:$C$251,survey_frozen!$P$2:$P$251,$A100&amp;"|"&amp;$B100),IFERROR(COUNTIFS(INDIRECT("'"&amp;$A100&amp;"'!$B$2:$B$501"),$T100,INDIRECT("'"&amp;$A100&amp;"'!$A$2:$A$501"),"&gt;="&amp;$I100,INDIRECT("'"&amp;$A100&amp;"'!$A$2:$A$501"),"&lt;"&amp;($BA100+1)),0)))</f>
        <v/>
      </c>
      <c r="AM100" s="25">
        <f>IF(OR($A100="",$I100=""),"",IF($BC100="Y",SUMIFS(survey_frozen!$D$2:$D$251,survey_frozen!$P$2:$P$251,$A100&amp;"|"&amp;$B100),IFERROR(COUNTIFS(INDIRECT("'"&amp;$A100&amp;"'!$B$2:$B$501"),$T100,INDIRECT("'"&amp;$A100&amp;"'!$A$2:$A$501"),"&gt;="&amp;$I100,INDIRECT("'"&amp;$A100&amp;"'!$A$2:$A$501"),"&lt;"&amp;($BA100+1),INDIRECT("'"&amp;$A100&amp;"'!$C$2:$C$501"),"Yes"),0)))</f>
        <v/>
      </c>
      <c r="AN100" s="25">
        <f>IF($A100="","",IF(COUNTIFS(scans!$C$2:$C$1601,(IF(LEFT($A100,7)="SAMPLE-","SAMPLE-","")&amp;LOWER(SUBSTITUTE(SUBSTITUTE($A100,"SAMPLE-",""),"CMP-","c"))&amp;"-"&amp;LOWER(SUBSTITUTE(SUBSTITUTE($B100,"SAMPLE-",""),"O-","o"))&amp;"-q"),scans!$D$2:$D$1601,"close")=0,"",SUMPRODUCT(MAX((scans!$C$2:$C$1601=(IF(LEFT($A100,7)="SAMPLE-","SAMPLE-","")&amp;LOWER(SUBSTITUTE(SUBSTITUTE($A100,"SAMPLE-",""),"CMP-","c"))&amp;"-"&amp;LOWER(SUBSTITUTE(SUBSTITUTE($B100,"SAMPLE-",""),"O-","o"))&amp;"-q"))*(scans!$D$2:$D$1601="close")*scans!$E$2:$E$1601))-SUMPRODUCT(MAX((scans!$C$2:$C$1601=(IF(LEFT($A100,7)="SAMPLE-","SAMPLE-","")&amp;LOWER(SUBSTITUTE(SUBSTITUTE($A100,"SAMPLE-",""),"CMP-","c"))&amp;"-"&amp;LOWER(SUBSTITUTE(SUBSTITUTE($B100,"SAMPLE-",""),"O-","o"))&amp;"-q"))*(scans!$D$2:$D$1601="baseline")*scans!$E$2:$E$1601))))</f>
        <v/>
      </c>
      <c r="AO100" s="25">
        <f>IF($A100="","",IF(COUNTIFS(scans!$C$2:$C$1601,(IF(LEFT($A100,7)="SAMPLE-","SAMPLE-","")&amp;LOWER(SUBSTITUTE(SUBSTITUTE($A100,"SAMPLE-",""),"CMP-","c"))&amp;"-"&amp;LOWER(SUBSTITUTE(SUBSTITUTE($B100,"SAMPLE-",""),"O-","o"))&amp;"-p"),scans!$D$2:$D$1601,"close")=0,"",SUMPRODUCT(MAX((scans!$C$2:$C$1601=(IF(LEFT($A100,7)="SAMPLE-","SAMPLE-","")&amp;LOWER(SUBSTITUTE(SUBSTITUTE($A100,"SAMPLE-",""),"CMP-","c"))&amp;"-"&amp;LOWER(SUBSTITUTE(SUBSTITUTE($B100,"SAMPLE-",""),"O-","o"))&amp;"-p"))*(scans!$D$2:$D$1601="close")*scans!$E$2:$E$1601))-SUMPRODUCT(MAX((scans!$C$2:$C$1601=(IF(LEFT($A100,7)="SAMPLE-","SAMPLE-","")&amp;LOWER(SUBSTITUTE(SUBSTITUTE($A100,"SAMPLE-",""),"CMP-","c"))&amp;"-"&amp;LOWER(SUBSTITUTE(SUBSTITUTE($B100,"SAMPLE-",""),"O-","o"))&amp;"-p"))*(scans!$D$2:$D$1601="baseline")*scans!$E$2:$E$1601))))</f>
        <v/>
      </c>
      <c r="AP100" s="25">
        <f>IF($A100="","",IF(COUNTIF(offices!$A$2:$A$61,$B100)=0,"office_id not on offices; ","")&amp;IF(COUNTIF(campaigns!$A$2:$A$51,$A100)=0,"campaign_id not on campaigns; ","")&amp;IF($P100="pending","approval pending; ","")&amp;IF(AND($U100&gt;0,$Y100="",OR($I100="",IF(config!$B$37&lt;&gt;"",config!$B$37,TODAY())&lt;=WORKDAY(N($I100),4,calendar!$A$2:$A$80))),"no usable placement photo yet; ","")&amp;IF(AND($Y100&lt;&gt;"",$Z100=""),"log the placed count; ","")&amp;IF(N($AA100)&gt;N($U100),"placed more than delivered; ","")&amp;IF(AND($AF100&lt;&gt;"",N($AF100)&gt;N($AA100)+N($AD100)),"day-5 count above placed plus top-ups; ","")&amp;IF(AND($U100&gt;0,$I100&lt;&gt;"",IF(config!$B$37&lt;&gt;"",config!$B$37,TODAY())&gt;WORKDAY(N($I100),4,calendar!$A$2:$A$80),$AF100=""),"day-5 count missing; ","")&amp;IF(AND($U100&gt;0,$I100&lt;&gt;"",IF(config!$B$37&lt;&gt;"",config!$B$37,TODAY())&gt;WORKDAY(N($I100),4,calendar!$A$2:$A$80),$AN100=""),"no close link reading; ","")&amp;$R100&amp;IF($P100="N","info: office said no; ","")&amp;IF(AND($P100="Y",$Q100="N"),"info: turned away at the door, so not on the drop (no letter, not in the report or Gate 2; the credit check is on campaigns); ","")&amp;IF(AND($U100&gt;0,$Y100="",$I100&lt;&gt;"",IF(config!$B$37&lt;&gt;"",config!$B$37,TODAY())&gt;WORKDAY(N($I100),4,calendar!$A$2:$A$80)),"info: no usable placement photo, so nothing counts as placed; ","")&amp;IF(AND($U100&gt;0,$I100&lt;&gt;"",IF(config!$B$37&lt;&gt;"",config!$B$37,TODAY())&gt;WORKDAY(N($I100),4,calendar!$A$2:$A$80),N($AL100)&lt;config!$B$30),"info: under "&amp;config!$B$30&amp;" responses; ","")&amp;IF($W100="packing_list","info: delivered count not verified; ",""))</f>
        <v/>
      </c>
      <c r="AQ100" s="25">
        <f>IF(OR($A100="",$I100=""),"",IF($BC100="Y",SUMIFS(survey_frozen!$E$2:$E$251,survey_frozen!$P$2:$P$251,$A100&amp;"|"&amp;$B100),IFERROR(COUNTIFS(INDIRECT("'"&amp;$A100&amp;"'!$B$2:$B$501"),$T100,INDIRECT("'"&amp;$A100&amp;"'!$A$2:$A$501"),"&gt;="&amp;$I100,INDIRECT("'"&amp;$A100&amp;"'!$A$2:$A$501"),"&lt;"&amp;($BA100+1),INDIRECT("'"&amp;$A100&amp;"'!$F$2:$F$501"),"Didn't see it"),0)))</f>
        <v/>
      </c>
      <c r="AR100" s="25">
        <f>IF(OR($A100="",$I100=""),"",IF($BC100="Y",SUMIFS(survey_frozen!$F$2:$F$251,survey_frozen!$P$2:$P$251,$A100&amp;"|"&amp;$B100),IFERROR(COUNTIFS(INDIRECT("'"&amp;$A100&amp;"'!$B$2:$B$501"),$T100,INDIRECT("'"&amp;$A100&amp;"'!$A$2:$A$501"),"&gt;="&amp;$I100,INDIRECT("'"&amp;$A100&amp;"'!$A$2:$A$501"),"&lt;"&amp;($BA100+1),INDIRECT("'"&amp;$A100&amp;"'!$F$2:$F$501"),"Not for me"),0)))</f>
        <v/>
      </c>
      <c r="AS100" s="25">
        <f>IF(OR($A100="",$I100=""),"",IF($BC100="Y",SUMIFS(survey_frozen!$G$2:$G$251,survey_frozen!$P$2:$P$251,$A100&amp;"|"&amp;$B100),IFERROR(COUNTIFS(INDIRECT("'"&amp;$A100&amp;"'!$B$2:$B$501"),$T100,INDIRECT("'"&amp;$A100&amp;"'!$A$2:$A$501"),"&gt;="&amp;$I100,INDIRECT("'"&amp;$A100&amp;"'!$A$2:$A$501"),"&lt;"&amp;($BA100+1),INDIRECT("'"&amp;$A100&amp;"'!$F$2:$F$501"),"Gone by the time I looked"),0)))</f>
        <v/>
      </c>
      <c r="AT100" s="25">
        <f>IF(OR($A100="",$I100=""),"",IF($BC100="Y",SUMIFS(survey_frozen!$H$2:$H$251,survey_frozen!$P$2:$P$251,$A100&amp;"|"&amp;$B100),IFERROR(COUNTIFS(INDIRECT("'"&amp;$A100&amp;"'!$B$2:$B$501"),$T100,INDIRECT("'"&amp;$A100&amp;"'!$A$2:$A$501"),"&gt;="&amp;$I100,INDIRECT("'"&amp;$A100&amp;"'!$A$2:$A$501"),"&lt;"&amp;($BA100+1),INDIRECT("'"&amp;$A100&amp;"'!$D$2:$D$501"),"&gt;=1"),0)))</f>
        <v/>
      </c>
      <c r="AU100" s="25">
        <f>IF(OR($A100="",$I100=""),"",IF($BC100="Y",SUMIFS(survey_frozen!$I$2:$I$251,survey_frozen!$P$2:$P$251,$A100&amp;"|"&amp;$B100),IFERROR(SUMIFS(INDIRECT("'"&amp;$A100&amp;"'!$D$2:$D$501"),INDIRECT("'"&amp;$A100&amp;"'!$B$2:$B$501"),$T100,INDIRECT("'"&amp;$A100&amp;"'!$A$2:$A$501"),"&gt;="&amp;$I100,INDIRECT("'"&amp;$A100&amp;"'!$A$2:$A$501"),"&lt;"&amp;($BA100+1)),0)))</f>
        <v/>
      </c>
      <c r="AV100" s="25">
        <f>IF(OR($A100="",$I100=""),"",IF($BC100="Y",SUMIFS(survey_frozen!$J$2:$J$251,survey_frozen!$P$2:$P$251,$A100&amp;"|"&amp;$B100),IFERROR(COUNTIFS(INDIRECT("'"&amp;$A100&amp;"'!$B$2:$B$501"),$T100,INDIRECT("'"&amp;$A100&amp;"'!$A$2:$A$501"),"&gt;="&amp;$I100,INDIRECT("'"&amp;$A100&amp;"'!$A$2:$A$501"),"&lt;"&amp;($BA100+1),INDIRECT("'"&amp;$A100&amp;"'!$E$2:$E$501"),"Yes"),0)))</f>
        <v/>
      </c>
      <c r="AW100" s="25">
        <f>IF(OR($A100="",$I100=""),"",IF($BC100="Y",SUMIFS(survey_frozen!$K$2:$K$251,survey_frozen!$P$2:$P$251,$A100&amp;"|"&amp;$B100),IFERROR(COUNTIFS(INDIRECT("'"&amp;$A100&amp;"'!$B$2:$B$501"),$T100,INDIRECT("'"&amp;$A100&amp;"'!$A$2:$A$501"),"&gt;="&amp;$I100,INDIRECT("'"&amp;$A100&amp;"'!$A$2:$A$501"),"&lt;"&amp;($BA100+1),INDIRECT("'"&amp;$A100&amp;"'!$E$2:$E$501"),"Maybe"),0)))</f>
        <v/>
      </c>
      <c r="AX100" s="25">
        <f>IF(OR($A100="",$I100=""),"",IF($BC100="Y",SUMIFS(survey_frozen!$L$2:$L$251,survey_frozen!$P$2:$P$251,$A100&amp;"|"&amp;$B100),IFERROR(COUNTIFS(INDIRECT("'"&amp;$A100&amp;"'!$B$2:$B$501"),$T100,INDIRECT("'"&amp;$A100&amp;"'!$A$2:$A$501"),"&gt;="&amp;$I100,INDIRECT("'"&amp;$A100&amp;"'!$A$2:$A$501"),"&lt;"&amp;($BA100+1),INDIRECT("'"&amp;$A100&amp;"'!$E$2:$E$501"),"No"),0)))</f>
        <v/>
      </c>
      <c r="AY100" s="25">
        <f>IF(OR($A100="",$I100=""),"",IF($BC100="Y",SUMIFS(survey_frozen!$M$2:$M$251,survey_frozen!$P$2:$P$251,$A100&amp;"|"&amp;$B100),IFERROR(COUNTIFS(INDIRECT("'"&amp;$A100&amp;"'!$B$2:$B$501"),$T100,INDIRECT("'"&amp;$A100&amp;"'!$A$2:$A$501"),"&gt;="&amp;$I100,INDIRECT("'"&amp;$A100&amp;"'!$A$2:$A$501"),"&lt;"&amp;($BA100+1),INDIRECT("'"&amp;$A100&amp;"'!$G$2:$G$501"),"&lt;&gt;"),0)))</f>
        <v/>
      </c>
      <c r="AZ100" s="25">
        <f>IF($A100="","",$A100&amp;"|"&amp;$L100)</f>
        <v/>
      </c>
      <c r="BA100" s="26">
        <f>IF($A100="","",IFERROR(IF(INDEX(drops!$R$2:$R$21,MATCH($H100,drops!$A$2:$A$21,0))="","",INDEX(drops!$R$2:$R$21,MATCH($H100,drops!$A$2:$A$21,0))),""))</f>
        <v/>
      </c>
      <c r="BB100" s="25">
        <f>IF(OR($A100="",$Q100&lt;&gt;"Y"),1000000,N($AL100))</f>
        <v/>
      </c>
      <c r="BC100" s="25">
        <f>IF($A100="","",IF(COUNTIF(survey_frozen!$P$2:$P$251,$A100&amp;"|"&amp;$B100)&gt;0,"Y",""))</f>
        <v/>
      </c>
    </row>
    <row r="101">
      <c r="C101" s="9" t="n"/>
      <c r="E101" s="9" t="n"/>
      <c r="H101" s="25">
        <f>IF($A101="","",IFERROR(IF(INDEX(campaigns!$B$2:$B$51,MATCH($A101,campaigns!$A$2:$A$51,0))="","",INDEX(campaigns!$B$2:$B$51,MATCH($A101,campaigns!$A$2:$A$51,0))),""))</f>
        <v/>
      </c>
      <c r="I101" s="26">
        <f>IF($A101="","",IFERROR(IF(INDEX(campaigns!$BG$2:$BG$51,MATCH($A101,campaigns!$A$2:$A$51,0))="","",INDEX(campaigns!$BG$2:$BG$51,MATCH($A101,campaigns!$A$2:$A$51,0))),""))</f>
        <v/>
      </c>
      <c r="J101" s="25">
        <f>IF($A101="","",IFERROR(IF(INDEX(campaigns!$BE$2:$BE$51,MATCH($A101,campaigns!$A$2:$A$51,0))="","",INDEX(campaigns!$BE$2:$BE$51,MATCH($A101,campaigns!$A$2:$A$51,0))),""))</f>
        <v/>
      </c>
      <c r="K101" s="25">
        <f>IF($B101="","",IFERROR(IF(INDEX(offices!$N$2:$N$61,MATCH($B101,offices!$A$2:$A$61,0))="","",INDEX(offices!$N$2:$N$61,MATCH($B101,offices!$A$2:$A$61,0))),""))</f>
        <v/>
      </c>
      <c r="L101" s="25">
        <f>IF($A101="","",IF($Q101="N","",COUNTIFS($A$2:$A101,$A101,$Q$2:$Q101,"&lt;&gt;N")))</f>
        <v/>
      </c>
      <c r="M101" s="25">
        <f>IF(OR($A101="",$L101=""),"",IF(AND(config!$B$34="names_if_public",IFERROR(IF(INDEX(offices!$AF$2:$AF$61,MATCH($B101,offices!$A$2:$A$61,0))="","",INDEX(offices!$AF$2:$AF$61,MATCH($B101,offices!$A$2:$A$61,0))),"")="Y"),$K101,CHAR(64+$L101)))</f>
        <v/>
      </c>
      <c r="N101" s="25">
        <f>IF(OR($A101="",$I101=""),"",COUNTIFS(stops!$B$2:$B$151,$B101,stops!$P$2:$P$151,"&lt;"&amp;$I101,stops!$L$2:$L$151,"&lt;&gt;not_delivered")+1)</f>
        <v/>
      </c>
      <c r="O101" s="25">
        <f>IF($A101="","",IF(N($N101)&lt;=config!$B$29,"explicit","opt-out"))</f>
        <v/>
      </c>
      <c r="P101" s="25">
        <f>IF($A101="","",IF($O101="explicit",IF($D101="yes","Y",IF($D101="no","N","pending")),IF($D101="no","N",IF(AND($C101&lt;&gt;"",$I101&lt;&gt;"",$C101&lt;=WORKDAY(N($I101),-5,calendar!$A$2:$A$80)),"Y","pending"))))</f>
        <v/>
      </c>
      <c r="Q101" s="25">
        <f>IF($A101="","",IF($P101="N","N",IF($P101&lt;&gt;"Y","pending",IF(AND((COUNTIFS(stops!$A$2:$A$151,$H101,stops!$B$2:$B$151,$B101,stops!$L$2:$L$151,"declined")+COUNTIFS(stops!$A$2:$A$151,$H101,stops!$B$2:$B$151,$B101,stops!$L$2:$L$151,"building_refused")+COUNTIFS(stops!$A$2:$A$151,$H101,stops!$B$2:$B$151,$B101,stops!$L$2:$L$151,"not_delivered"))&gt;0,N($U101)=0),"N","Y"))))</f>
        <v/>
      </c>
      <c r="R101" s="25">
        <f>IF($A101="","",IF(COUNTIFS($A$2:$A$251,$A101,$B$2:$B$251,$B101)&gt;1,"DUPLICATE ROW; ","")&amp;IF(AND(IFERROR(IF(INDEX(offices!$AC$2:$AC$61,MATCH($B101,offices!$A$2:$A$61,0))="","",INDEX(offices!$AC$2:$AC$61,MATCH($B101,offices!$A$2:$A$61,0))),"")&lt;&gt;"",ISNUMBER(SEARCH($J101,IFERROR(IF(INDEX(offices!$AC$2:$AC$61,MATCH($B101,offices!$A$2:$A$61,0))="","",INDEX(offices!$AC$2:$AC$61,MATCH($B101,offices!$A$2:$A$61,0))),"")))),"BRAND VETOED; ","")&amp;IF(ISNUMBER(SEARCH(IFERROR(IF(INDEX(campaigns!$BF$2:$BF$51,MATCH($A101,campaigns!$A$2:$A$51,0))="","",INDEX(campaigns!$BF$2:$BF$51,MATCH($A101,campaigns!$A$2:$A$51,0))),""),IFERROR(IF(INDEX(offices!$AB$2:$AB$61,MATCH($B101,offices!$A$2:$A$61,0))="","",INDEX(offices!$AB$2:$AB$61,MATCH($B101,offices!$A$2:$A$61,0))),""))),"","info: category not on the office's list; ")&amp;IF(IFERROR(IF(INDEX(offices!$AC$2:$AC$61,MATCH($B101,offices!$A$2:$A$61,0))="","",INDEX(offices!$AC$2:$AC$61,MATCH($B101,offices!$A$2:$A$61,0))),"")&lt;&gt;"","info: read the vetoes against the label; ",""))</f>
        <v/>
      </c>
      <c r="S101" s="25">
        <f>IF($A101="","",IF($G101&lt;&gt;"",$G101,IFERROR(IF(INDEX(offices!$AL$2:$AL$61,MATCH($B101,offices!$A$2:$A$61,0))="","",INDEX(offices!$AL$2:$AL$61,MATCH($B101,offices!$A$2:$A$61,0))),"")))</f>
        <v/>
      </c>
      <c r="T101" s="25">
        <f>IF($A101="","",$A101&amp;"."&amp;$B101)</f>
        <v/>
      </c>
      <c r="U101" s="25">
        <f>IF($A101="","",SUMIFS(inventory!$G$2:$G$801,inventory!$C$2:$C$801,$A101,inventory!$D$2:$D$801,$B101,inventory!$E$2:$E$801,"delivered"))</f>
        <v/>
      </c>
      <c r="V101" s="32">
        <f>IF($A101="","",IFERROR(1/(1/SUMPRODUCT(MAX((inventory!$C$2:$C$801=$A101)*(inventory!$D$2:$D$801=$B101)*(inventory!$E$2:$E$801="delivered")*(inventory!$A$2:$A$801+inventory!$B$2:$B$801)))),""))</f>
        <v/>
      </c>
      <c r="W101" s="25">
        <f>IF($A101="","",IFERROR(IF(INDEX(inventory!$J$2:$J$801,MATCH($A101&amp;"|"&amp;$B101&amp;"|delivered",inventory!$R$2:$R$801,0))="","",INDEX(inventory!$J$2:$J$801,MATCH($A101&amp;"|"&amp;$B101&amp;"|delivered",inventory!$R$2:$R$801,0))),""))</f>
        <v/>
      </c>
      <c r="X101" s="25">
        <f>IF($A101="","",IFERROR(IF(INDEX(photos!$H$2:$H$701,MATCH($A101&amp;"|"&amp;$B101&amp;"|placement|Y",photos!$R$2:$R$701,0))="","",INDEX(photos!$H$2:$H$701,MATCH($A101&amp;"|"&amp;$B101&amp;"|placement|Y",photos!$R$2:$R$701,0))),""))</f>
        <v/>
      </c>
      <c r="Y101" s="26">
        <f>IF($A101="","",IFERROR(IF(INDEX(photos!$E$2:$E$701,MATCH($A101&amp;"|"&amp;$B101&amp;"|placement|Y",photos!$R$2:$R$701,0))="","",INDEX(photos!$E$2:$E$701,MATCH($A101&amp;"|"&amp;$B101&amp;"|placement|Y",photos!$R$2:$R$701,0))),""))</f>
        <v/>
      </c>
      <c r="Z101" s="25">
        <f>IF($A101="","",IF(COUNTIFS(counts!$C$2:$C$701,$A101,counts!$D$2:$D$701,$B101,counts!$E$2:$E$701,"placed")=0,"",SUMIFS(counts!$F$2:$F$701,counts!$C$2:$C$701,$A101,counts!$D$2:$D$701,$B101,counts!$E$2:$E$701,"placed")))</f>
        <v/>
      </c>
      <c r="AA101" s="25">
        <f>IF($A101="","",IF($Y101="",0,N($Z101)))</f>
        <v/>
      </c>
      <c r="AB101" s="25">
        <f>IF($A101="","",IF(OR($Y101="",$I101=""),"N",IF($Y101&lt;=WORKDAY(N($I101),1,calendar!$A$2:$A$80),"Y","N")))</f>
        <v/>
      </c>
      <c r="AC101" s="28">
        <f>IF(OR($A101="",$V101="",$Y101=""),"",ROUND(($Y101+N(IFERROR(IF(INDEX(photos!$F$2:$F$701,MATCH($A101&amp;"|"&amp;$B101&amp;"|placement|Y",photos!$R$2:$R$701,0))="","",INDEX(photos!$F$2:$F$701,MATCH($A101&amp;"|"&amp;$B101&amp;"|placement|Y",photos!$R$2:$R$701,0))),""))-$V101)*24,1))</f>
        <v/>
      </c>
      <c r="AD101" s="25">
        <f>IF($A101="","",SUMIFS(inventory!$G$2:$G$801,inventory!$C$2:$C$801,$A101,inventory!$D$2:$D$801,$B101,inventory!$E$2:$E$801,"topped_up"))</f>
        <v/>
      </c>
      <c r="AE101" s="25">
        <f>IF($A101="","",IF(COUNTIFS(counts!$C$2:$C$701,$A101,counts!$D$2:$D$701,$B101,counts!$E$2:$E$701,"remaining_day3")=0,"",SUMIFS(counts!$F$2:$F$701,counts!$C$2:$C$701,$A101,counts!$D$2:$D$701,$B101,counts!$E$2:$E$701,"remaining_day3")))</f>
        <v/>
      </c>
      <c r="AF101" s="25">
        <f>IF($A101="","",IF(COUNTIFS(counts!$C$2:$C$701,$A101,counts!$D$2:$D$701,$B101,counts!$E$2:$E$701,"remaining_day5")=0,"",SUMIFS(counts!$F$2:$F$701,counts!$C$2:$C$701,$A101,counts!$D$2:$D$701,$B101,counts!$E$2:$E$701,"remaining_day5")))</f>
        <v/>
      </c>
      <c r="AG101" s="25">
        <f>IF(OR($A101="",$AF101=""),"",MAX(0,$AA101+$AD101-$AF101))</f>
        <v/>
      </c>
      <c r="AH101" s="25">
        <f>IF(OR($A101="",$AI101=""),"",IFERROR(IF(INDEX(photos!$H$2:$H$701,MATCH($A101&amp;"|"&amp;$B101&amp;"|later|Y|"&amp;$AI101,photos!$S$2:$S$701,0))="","",INDEX(photos!$H$2:$H$701,MATCH($A101&amp;"|"&amp;$B101&amp;"|later|Y|"&amp;$AI101,photos!$S$2:$S$701,0))),""))</f>
        <v/>
      </c>
      <c r="AI101" s="26">
        <f>IF($A101="","",IFERROR(1/(1/SUMPRODUCT(MAX((photos!$B$2:$B$701=$A101)*(photos!$C$2:$C$701=$B101)*(photos!$D$2:$D$701="later")*(photos!$O$2:$O$701="Y")*photos!$E$2:$E$701))),""))</f>
        <v/>
      </c>
      <c r="AJ101" s="25">
        <f>IF(OR($A101="",$AI101="",$I101=""),"",NETWORKDAYS($I101,$AI101,calendar!$A$2:$A$80))</f>
        <v/>
      </c>
      <c r="AK101" s="25">
        <f>IF($A101="","",IF(AND($X101&lt;&gt;"",$AH101&lt;&gt;""),"Y","N"))</f>
        <v/>
      </c>
      <c r="AL101" s="25">
        <f>IF(OR($A101="",$I101=""),"",IF($BC101="Y",SUMIFS(survey_frozen!$C$2:$C$251,survey_frozen!$P$2:$P$251,$A101&amp;"|"&amp;$B101),IFERROR(COUNTIFS(INDIRECT("'"&amp;$A101&amp;"'!$B$2:$B$501"),$T101,INDIRECT("'"&amp;$A101&amp;"'!$A$2:$A$501"),"&gt;="&amp;$I101,INDIRECT("'"&amp;$A101&amp;"'!$A$2:$A$501"),"&lt;"&amp;($BA101+1)),0)))</f>
        <v/>
      </c>
      <c r="AM101" s="25">
        <f>IF(OR($A101="",$I101=""),"",IF($BC101="Y",SUMIFS(survey_frozen!$D$2:$D$251,survey_frozen!$P$2:$P$251,$A101&amp;"|"&amp;$B101),IFERROR(COUNTIFS(INDIRECT("'"&amp;$A101&amp;"'!$B$2:$B$501"),$T101,INDIRECT("'"&amp;$A101&amp;"'!$A$2:$A$501"),"&gt;="&amp;$I101,INDIRECT("'"&amp;$A101&amp;"'!$A$2:$A$501"),"&lt;"&amp;($BA101+1),INDIRECT("'"&amp;$A101&amp;"'!$C$2:$C$501"),"Yes"),0)))</f>
        <v/>
      </c>
      <c r="AN101" s="25">
        <f>IF($A101="","",IF(COUNTIFS(scans!$C$2:$C$1601,(IF(LEFT($A101,7)="SAMPLE-","SAMPLE-","")&amp;LOWER(SUBSTITUTE(SUBSTITUTE($A101,"SAMPLE-",""),"CMP-","c"))&amp;"-"&amp;LOWER(SUBSTITUTE(SUBSTITUTE($B101,"SAMPLE-",""),"O-","o"))&amp;"-q"),scans!$D$2:$D$1601,"close")=0,"",SUMPRODUCT(MAX((scans!$C$2:$C$1601=(IF(LEFT($A101,7)="SAMPLE-","SAMPLE-","")&amp;LOWER(SUBSTITUTE(SUBSTITUTE($A101,"SAMPLE-",""),"CMP-","c"))&amp;"-"&amp;LOWER(SUBSTITUTE(SUBSTITUTE($B101,"SAMPLE-",""),"O-","o"))&amp;"-q"))*(scans!$D$2:$D$1601="close")*scans!$E$2:$E$1601))-SUMPRODUCT(MAX((scans!$C$2:$C$1601=(IF(LEFT($A101,7)="SAMPLE-","SAMPLE-","")&amp;LOWER(SUBSTITUTE(SUBSTITUTE($A101,"SAMPLE-",""),"CMP-","c"))&amp;"-"&amp;LOWER(SUBSTITUTE(SUBSTITUTE($B101,"SAMPLE-",""),"O-","o"))&amp;"-q"))*(scans!$D$2:$D$1601="baseline")*scans!$E$2:$E$1601))))</f>
        <v/>
      </c>
      <c r="AO101" s="25">
        <f>IF($A101="","",IF(COUNTIFS(scans!$C$2:$C$1601,(IF(LEFT($A101,7)="SAMPLE-","SAMPLE-","")&amp;LOWER(SUBSTITUTE(SUBSTITUTE($A101,"SAMPLE-",""),"CMP-","c"))&amp;"-"&amp;LOWER(SUBSTITUTE(SUBSTITUTE($B101,"SAMPLE-",""),"O-","o"))&amp;"-p"),scans!$D$2:$D$1601,"close")=0,"",SUMPRODUCT(MAX((scans!$C$2:$C$1601=(IF(LEFT($A101,7)="SAMPLE-","SAMPLE-","")&amp;LOWER(SUBSTITUTE(SUBSTITUTE($A101,"SAMPLE-",""),"CMP-","c"))&amp;"-"&amp;LOWER(SUBSTITUTE(SUBSTITUTE($B101,"SAMPLE-",""),"O-","o"))&amp;"-p"))*(scans!$D$2:$D$1601="close")*scans!$E$2:$E$1601))-SUMPRODUCT(MAX((scans!$C$2:$C$1601=(IF(LEFT($A101,7)="SAMPLE-","SAMPLE-","")&amp;LOWER(SUBSTITUTE(SUBSTITUTE($A101,"SAMPLE-",""),"CMP-","c"))&amp;"-"&amp;LOWER(SUBSTITUTE(SUBSTITUTE($B101,"SAMPLE-",""),"O-","o"))&amp;"-p"))*(scans!$D$2:$D$1601="baseline")*scans!$E$2:$E$1601))))</f>
        <v/>
      </c>
      <c r="AP101" s="25">
        <f>IF($A101="","",IF(COUNTIF(offices!$A$2:$A$61,$B101)=0,"office_id not on offices; ","")&amp;IF(COUNTIF(campaigns!$A$2:$A$51,$A101)=0,"campaign_id not on campaigns; ","")&amp;IF($P101="pending","approval pending; ","")&amp;IF(AND($U101&gt;0,$Y101="",OR($I101="",IF(config!$B$37&lt;&gt;"",config!$B$37,TODAY())&lt;=WORKDAY(N($I101),4,calendar!$A$2:$A$80))),"no usable placement photo yet; ","")&amp;IF(AND($Y101&lt;&gt;"",$Z101=""),"log the placed count; ","")&amp;IF(N($AA101)&gt;N($U101),"placed more than delivered; ","")&amp;IF(AND($AF101&lt;&gt;"",N($AF101)&gt;N($AA101)+N($AD101)),"day-5 count above placed plus top-ups; ","")&amp;IF(AND($U101&gt;0,$I101&lt;&gt;"",IF(config!$B$37&lt;&gt;"",config!$B$37,TODAY())&gt;WORKDAY(N($I101),4,calendar!$A$2:$A$80),$AF101=""),"day-5 count missing; ","")&amp;IF(AND($U101&gt;0,$I101&lt;&gt;"",IF(config!$B$37&lt;&gt;"",config!$B$37,TODAY())&gt;WORKDAY(N($I101),4,calendar!$A$2:$A$80),$AN101=""),"no close link reading; ","")&amp;$R101&amp;IF($P101="N","info: office said no; ","")&amp;IF(AND($P101="Y",$Q101="N"),"info: turned away at the door, so not on the drop (no letter, not in the report or Gate 2; the credit check is on campaigns); ","")&amp;IF(AND($U101&gt;0,$Y101="",$I101&lt;&gt;"",IF(config!$B$37&lt;&gt;"",config!$B$37,TODAY())&gt;WORKDAY(N($I101),4,calendar!$A$2:$A$80)),"info: no usable placement photo, so nothing counts as placed; ","")&amp;IF(AND($U101&gt;0,$I101&lt;&gt;"",IF(config!$B$37&lt;&gt;"",config!$B$37,TODAY())&gt;WORKDAY(N($I101),4,calendar!$A$2:$A$80),N($AL101)&lt;config!$B$30),"info: under "&amp;config!$B$30&amp;" responses; ","")&amp;IF($W101="packing_list","info: delivered count not verified; ",""))</f>
        <v/>
      </c>
      <c r="AQ101" s="25">
        <f>IF(OR($A101="",$I101=""),"",IF($BC101="Y",SUMIFS(survey_frozen!$E$2:$E$251,survey_frozen!$P$2:$P$251,$A101&amp;"|"&amp;$B101),IFERROR(COUNTIFS(INDIRECT("'"&amp;$A101&amp;"'!$B$2:$B$501"),$T101,INDIRECT("'"&amp;$A101&amp;"'!$A$2:$A$501"),"&gt;="&amp;$I101,INDIRECT("'"&amp;$A101&amp;"'!$A$2:$A$501"),"&lt;"&amp;($BA101+1),INDIRECT("'"&amp;$A101&amp;"'!$F$2:$F$501"),"Didn't see it"),0)))</f>
        <v/>
      </c>
      <c r="AR101" s="25">
        <f>IF(OR($A101="",$I101=""),"",IF($BC101="Y",SUMIFS(survey_frozen!$F$2:$F$251,survey_frozen!$P$2:$P$251,$A101&amp;"|"&amp;$B101),IFERROR(COUNTIFS(INDIRECT("'"&amp;$A101&amp;"'!$B$2:$B$501"),$T101,INDIRECT("'"&amp;$A101&amp;"'!$A$2:$A$501"),"&gt;="&amp;$I101,INDIRECT("'"&amp;$A101&amp;"'!$A$2:$A$501"),"&lt;"&amp;($BA101+1),INDIRECT("'"&amp;$A101&amp;"'!$F$2:$F$501"),"Not for me"),0)))</f>
        <v/>
      </c>
      <c r="AS101" s="25">
        <f>IF(OR($A101="",$I101=""),"",IF($BC101="Y",SUMIFS(survey_frozen!$G$2:$G$251,survey_frozen!$P$2:$P$251,$A101&amp;"|"&amp;$B101),IFERROR(COUNTIFS(INDIRECT("'"&amp;$A101&amp;"'!$B$2:$B$501"),$T101,INDIRECT("'"&amp;$A101&amp;"'!$A$2:$A$501"),"&gt;="&amp;$I101,INDIRECT("'"&amp;$A101&amp;"'!$A$2:$A$501"),"&lt;"&amp;($BA101+1),INDIRECT("'"&amp;$A101&amp;"'!$F$2:$F$501"),"Gone by the time I looked"),0)))</f>
        <v/>
      </c>
      <c r="AT101" s="25">
        <f>IF(OR($A101="",$I101=""),"",IF($BC101="Y",SUMIFS(survey_frozen!$H$2:$H$251,survey_frozen!$P$2:$P$251,$A101&amp;"|"&amp;$B101),IFERROR(COUNTIFS(INDIRECT("'"&amp;$A101&amp;"'!$B$2:$B$501"),$T101,INDIRECT("'"&amp;$A101&amp;"'!$A$2:$A$501"),"&gt;="&amp;$I101,INDIRECT("'"&amp;$A101&amp;"'!$A$2:$A$501"),"&lt;"&amp;($BA101+1),INDIRECT("'"&amp;$A101&amp;"'!$D$2:$D$501"),"&gt;=1"),0)))</f>
        <v/>
      </c>
      <c r="AU101" s="25">
        <f>IF(OR($A101="",$I101=""),"",IF($BC101="Y",SUMIFS(survey_frozen!$I$2:$I$251,survey_frozen!$P$2:$P$251,$A101&amp;"|"&amp;$B101),IFERROR(SUMIFS(INDIRECT("'"&amp;$A101&amp;"'!$D$2:$D$501"),INDIRECT("'"&amp;$A101&amp;"'!$B$2:$B$501"),$T101,INDIRECT("'"&amp;$A101&amp;"'!$A$2:$A$501"),"&gt;="&amp;$I101,INDIRECT("'"&amp;$A101&amp;"'!$A$2:$A$501"),"&lt;"&amp;($BA101+1)),0)))</f>
        <v/>
      </c>
      <c r="AV101" s="25">
        <f>IF(OR($A101="",$I101=""),"",IF($BC101="Y",SUMIFS(survey_frozen!$J$2:$J$251,survey_frozen!$P$2:$P$251,$A101&amp;"|"&amp;$B101),IFERROR(COUNTIFS(INDIRECT("'"&amp;$A101&amp;"'!$B$2:$B$501"),$T101,INDIRECT("'"&amp;$A101&amp;"'!$A$2:$A$501"),"&gt;="&amp;$I101,INDIRECT("'"&amp;$A101&amp;"'!$A$2:$A$501"),"&lt;"&amp;($BA101+1),INDIRECT("'"&amp;$A101&amp;"'!$E$2:$E$501"),"Yes"),0)))</f>
        <v/>
      </c>
      <c r="AW101" s="25">
        <f>IF(OR($A101="",$I101=""),"",IF($BC101="Y",SUMIFS(survey_frozen!$K$2:$K$251,survey_frozen!$P$2:$P$251,$A101&amp;"|"&amp;$B101),IFERROR(COUNTIFS(INDIRECT("'"&amp;$A101&amp;"'!$B$2:$B$501"),$T101,INDIRECT("'"&amp;$A101&amp;"'!$A$2:$A$501"),"&gt;="&amp;$I101,INDIRECT("'"&amp;$A101&amp;"'!$A$2:$A$501"),"&lt;"&amp;($BA101+1),INDIRECT("'"&amp;$A101&amp;"'!$E$2:$E$501"),"Maybe"),0)))</f>
        <v/>
      </c>
      <c r="AX101" s="25">
        <f>IF(OR($A101="",$I101=""),"",IF($BC101="Y",SUMIFS(survey_frozen!$L$2:$L$251,survey_frozen!$P$2:$P$251,$A101&amp;"|"&amp;$B101),IFERROR(COUNTIFS(INDIRECT("'"&amp;$A101&amp;"'!$B$2:$B$501"),$T101,INDIRECT("'"&amp;$A101&amp;"'!$A$2:$A$501"),"&gt;="&amp;$I101,INDIRECT("'"&amp;$A101&amp;"'!$A$2:$A$501"),"&lt;"&amp;($BA101+1),INDIRECT("'"&amp;$A101&amp;"'!$E$2:$E$501"),"No"),0)))</f>
        <v/>
      </c>
      <c r="AY101" s="25">
        <f>IF(OR($A101="",$I101=""),"",IF($BC101="Y",SUMIFS(survey_frozen!$M$2:$M$251,survey_frozen!$P$2:$P$251,$A101&amp;"|"&amp;$B101),IFERROR(COUNTIFS(INDIRECT("'"&amp;$A101&amp;"'!$B$2:$B$501"),$T101,INDIRECT("'"&amp;$A101&amp;"'!$A$2:$A$501"),"&gt;="&amp;$I101,INDIRECT("'"&amp;$A101&amp;"'!$A$2:$A$501"),"&lt;"&amp;($BA101+1),INDIRECT("'"&amp;$A101&amp;"'!$G$2:$G$501"),"&lt;&gt;"),0)))</f>
        <v/>
      </c>
      <c r="AZ101" s="25">
        <f>IF($A101="","",$A101&amp;"|"&amp;$L101)</f>
        <v/>
      </c>
      <c r="BA101" s="26">
        <f>IF($A101="","",IFERROR(IF(INDEX(drops!$R$2:$R$21,MATCH($H101,drops!$A$2:$A$21,0))="","",INDEX(drops!$R$2:$R$21,MATCH($H101,drops!$A$2:$A$21,0))),""))</f>
        <v/>
      </c>
      <c r="BB101" s="25">
        <f>IF(OR($A101="",$Q101&lt;&gt;"Y"),1000000,N($AL101))</f>
        <v/>
      </c>
      <c r="BC101" s="25">
        <f>IF($A101="","",IF(COUNTIF(survey_frozen!$P$2:$P$251,$A101&amp;"|"&amp;$B101)&gt;0,"Y",""))</f>
        <v/>
      </c>
    </row>
    <row r="102">
      <c r="C102" s="9" t="n"/>
      <c r="E102" s="9" t="n"/>
      <c r="H102" s="25">
        <f>IF($A102="","",IFERROR(IF(INDEX(campaigns!$B$2:$B$51,MATCH($A102,campaigns!$A$2:$A$51,0))="","",INDEX(campaigns!$B$2:$B$51,MATCH($A102,campaigns!$A$2:$A$51,0))),""))</f>
        <v/>
      </c>
      <c r="I102" s="26">
        <f>IF($A102="","",IFERROR(IF(INDEX(campaigns!$BG$2:$BG$51,MATCH($A102,campaigns!$A$2:$A$51,0))="","",INDEX(campaigns!$BG$2:$BG$51,MATCH($A102,campaigns!$A$2:$A$51,0))),""))</f>
        <v/>
      </c>
      <c r="J102" s="25">
        <f>IF($A102="","",IFERROR(IF(INDEX(campaigns!$BE$2:$BE$51,MATCH($A102,campaigns!$A$2:$A$51,0))="","",INDEX(campaigns!$BE$2:$BE$51,MATCH($A102,campaigns!$A$2:$A$51,0))),""))</f>
        <v/>
      </c>
      <c r="K102" s="25">
        <f>IF($B102="","",IFERROR(IF(INDEX(offices!$N$2:$N$61,MATCH($B102,offices!$A$2:$A$61,0))="","",INDEX(offices!$N$2:$N$61,MATCH($B102,offices!$A$2:$A$61,0))),""))</f>
        <v/>
      </c>
      <c r="L102" s="25">
        <f>IF($A102="","",IF($Q102="N","",COUNTIFS($A$2:$A102,$A102,$Q$2:$Q102,"&lt;&gt;N")))</f>
        <v/>
      </c>
      <c r="M102" s="25">
        <f>IF(OR($A102="",$L102=""),"",IF(AND(config!$B$34="names_if_public",IFERROR(IF(INDEX(offices!$AF$2:$AF$61,MATCH($B102,offices!$A$2:$A$61,0))="","",INDEX(offices!$AF$2:$AF$61,MATCH($B102,offices!$A$2:$A$61,0))),"")="Y"),$K102,CHAR(64+$L102)))</f>
        <v/>
      </c>
      <c r="N102" s="25">
        <f>IF(OR($A102="",$I102=""),"",COUNTIFS(stops!$B$2:$B$151,$B102,stops!$P$2:$P$151,"&lt;"&amp;$I102,stops!$L$2:$L$151,"&lt;&gt;not_delivered")+1)</f>
        <v/>
      </c>
      <c r="O102" s="25">
        <f>IF($A102="","",IF(N($N102)&lt;=config!$B$29,"explicit","opt-out"))</f>
        <v/>
      </c>
      <c r="P102" s="25">
        <f>IF($A102="","",IF($O102="explicit",IF($D102="yes","Y",IF($D102="no","N","pending")),IF($D102="no","N",IF(AND($C102&lt;&gt;"",$I102&lt;&gt;"",$C102&lt;=WORKDAY(N($I102),-5,calendar!$A$2:$A$80)),"Y","pending"))))</f>
        <v/>
      </c>
      <c r="Q102" s="25">
        <f>IF($A102="","",IF($P102="N","N",IF($P102&lt;&gt;"Y","pending",IF(AND((COUNTIFS(stops!$A$2:$A$151,$H102,stops!$B$2:$B$151,$B102,stops!$L$2:$L$151,"declined")+COUNTIFS(stops!$A$2:$A$151,$H102,stops!$B$2:$B$151,$B102,stops!$L$2:$L$151,"building_refused")+COUNTIFS(stops!$A$2:$A$151,$H102,stops!$B$2:$B$151,$B102,stops!$L$2:$L$151,"not_delivered"))&gt;0,N($U102)=0),"N","Y"))))</f>
        <v/>
      </c>
      <c r="R102" s="25">
        <f>IF($A102="","",IF(COUNTIFS($A$2:$A$251,$A102,$B$2:$B$251,$B102)&gt;1,"DUPLICATE ROW; ","")&amp;IF(AND(IFERROR(IF(INDEX(offices!$AC$2:$AC$61,MATCH($B102,offices!$A$2:$A$61,0))="","",INDEX(offices!$AC$2:$AC$61,MATCH($B102,offices!$A$2:$A$61,0))),"")&lt;&gt;"",ISNUMBER(SEARCH($J102,IFERROR(IF(INDEX(offices!$AC$2:$AC$61,MATCH($B102,offices!$A$2:$A$61,0))="","",INDEX(offices!$AC$2:$AC$61,MATCH($B102,offices!$A$2:$A$61,0))),"")))),"BRAND VETOED; ","")&amp;IF(ISNUMBER(SEARCH(IFERROR(IF(INDEX(campaigns!$BF$2:$BF$51,MATCH($A102,campaigns!$A$2:$A$51,0))="","",INDEX(campaigns!$BF$2:$BF$51,MATCH($A102,campaigns!$A$2:$A$51,0))),""),IFERROR(IF(INDEX(offices!$AB$2:$AB$61,MATCH($B102,offices!$A$2:$A$61,0))="","",INDEX(offices!$AB$2:$AB$61,MATCH($B102,offices!$A$2:$A$61,0))),""))),"","info: category not on the office's list; ")&amp;IF(IFERROR(IF(INDEX(offices!$AC$2:$AC$61,MATCH($B102,offices!$A$2:$A$61,0))="","",INDEX(offices!$AC$2:$AC$61,MATCH($B102,offices!$A$2:$A$61,0))),"")&lt;&gt;"","info: read the vetoes against the label; ",""))</f>
        <v/>
      </c>
      <c r="S102" s="25">
        <f>IF($A102="","",IF($G102&lt;&gt;"",$G102,IFERROR(IF(INDEX(offices!$AL$2:$AL$61,MATCH($B102,offices!$A$2:$A$61,0))="","",INDEX(offices!$AL$2:$AL$61,MATCH($B102,offices!$A$2:$A$61,0))),"")))</f>
        <v/>
      </c>
      <c r="T102" s="25">
        <f>IF($A102="","",$A102&amp;"."&amp;$B102)</f>
        <v/>
      </c>
      <c r="U102" s="25">
        <f>IF($A102="","",SUMIFS(inventory!$G$2:$G$801,inventory!$C$2:$C$801,$A102,inventory!$D$2:$D$801,$B102,inventory!$E$2:$E$801,"delivered"))</f>
        <v/>
      </c>
      <c r="V102" s="32">
        <f>IF($A102="","",IFERROR(1/(1/SUMPRODUCT(MAX((inventory!$C$2:$C$801=$A102)*(inventory!$D$2:$D$801=$B102)*(inventory!$E$2:$E$801="delivered")*(inventory!$A$2:$A$801+inventory!$B$2:$B$801)))),""))</f>
        <v/>
      </c>
      <c r="W102" s="25">
        <f>IF($A102="","",IFERROR(IF(INDEX(inventory!$J$2:$J$801,MATCH($A102&amp;"|"&amp;$B102&amp;"|delivered",inventory!$R$2:$R$801,0))="","",INDEX(inventory!$J$2:$J$801,MATCH($A102&amp;"|"&amp;$B102&amp;"|delivered",inventory!$R$2:$R$801,0))),""))</f>
        <v/>
      </c>
      <c r="X102" s="25">
        <f>IF($A102="","",IFERROR(IF(INDEX(photos!$H$2:$H$701,MATCH($A102&amp;"|"&amp;$B102&amp;"|placement|Y",photos!$R$2:$R$701,0))="","",INDEX(photos!$H$2:$H$701,MATCH($A102&amp;"|"&amp;$B102&amp;"|placement|Y",photos!$R$2:$R$701,0))),""))</f>
        <v/>
      </c>
      <c r="Y102" s="26">
        <f>IF($A102="","",IFERROR(IF(INDEX(photos!$E$2:$E$701,MATCH($A102&amp;"|"&amp;$B102&amp;"|placement|Y",photos!$R$2:$R$701,0))="","",INDEX(photos!$E$2:$E$701,MATCH($A102&amp;"|"&amp;$B102&amp;"|placement|Y",photos!$R$2:$R$701,0))),""))</f>
        <v/>
      </c>
      <c r="Z102" s="25">
        <f>IF($A102="","",IF(COUNTIFS(counts!$C$2:$C$701,$A102,counts!$D$2:$D$701,$B102,counts!$E$2:$E$701,"placed")=0,"",SUMIFS(counts!$F$2:$F$701,counts!$C$2:$C$701,$A102,counts!$D$2:$D$701,$B102,counts!$E$2:$E$701,"placed")))</f>
        <v/>
      </c>
      <c r="AA102" s="25">
        <f>IF($A102="","",IF($Y102="",0,N($Z102)))</f>
        <v/>
      </c>
      <c r="AB102" s="25">
        <f>IF($A102="","",IF(OR($Y102="",$I102=""),"N",IF($Y102&lt;=WORKDAY(N($I102),1,calendar!$A$2:$A$80),"Y","N")))</f>
        <v/>
      </c>
      <c r="AC102" s="28">
        <f>IF(OR($A102="",$V102="",$Y102=""),"",ROUND(($Y102+N(IFERROR(IF(INDEX(photos!$F$2:$F$701,MATCH($A102&amp;"|"&amp;$B102&amp;"|placement|Y",photos!$R$2:$R$701,0))="","",INDEX(photos!$F$2:$F$701,MATCH($A102&amp;"|"&amp;$B102&amp;"|placement|Y",photos!$R$2:$R$701,0))),""))-$V102)*24,1))</f>
        <v/>
      </c>
      <c r="AD102" s="25">
        <f>IF($A102="","",SUMIFS(inventory!$G$2:$G$801,inventory!$C$2:$C$801,$A102,inventory!$D$2:$D$801,$B102,inventory!$E$2:$E$801,"topped_up"))</f>
        <v/>
      </c>
      <c r="AE102" s="25">
        <f>IF($A102="","",IF(COUNTIFS(counts!$C$2:$C$701,$A102,counts!$D$2:$D$701,$B102,counts!$E$2:$E$701,"remaining_day3")=0,"",SUMIFS(counts!$F$2:$F$701,counts!$C$2:$C$701,$A102,counts!$D$2:$D$701,$B102,counts!$E$2:$E$701,"remaining_day3")))</f>
        <v/>
      </c>
      <c r="AF102" s="25">
        <f>IF($A102="","",IF(COUNTIFS(counts!$C$2:$C$701,$A102,counts!$D$2:$D$701,$B102,counts!$E$2:$E$701,"remaining_day5")=0,"",SUMIFS(counts!$F$2:$F$701,counts!$C$2:$C$701,$A102,counts!$D$2:$D$701,$B102,counts!$E$2:$E$701,"remaining_day5")))</f>
        <v/>
      </c>
      <c r="AG102" s="25">
        <f>IF(OR($A102="",$AF102=""),"",MAX(0,$AA102+$AD102-$AF102))</f>
        <v/>
      </c>
      <c r="AH102" s="25">
        <f>IF(OR($A102="",$AI102=""),"",IFERROR(IF(INDEX(photos!$H$2:$H$701,MATCH($A102&amp;"|"&amp;$B102&amp;"|later|Y|"&amp;$AI102,photos!$S$2:$S$701,0))="","",INDEX(photos!$H$2:$H$701,MATCH($A102&amp;"|"&amp;$B102&amp;"|later|Y|"&amp;$AI102,photos!$S$2:$S$701,0))),""))</f>
        <v/>
      </c>
      <c r="AI102" s="26">
        <f>IF($A102="","",IFERROR(1/(1/SUMPRODUCT(MAX((photos!$B$2:$B$701=$A102)*(photos!$C$2:$C$701=$B102)*(photos!$D$2:$D$701="later")*(photos!$O$2:$O$701="Y")*photos!$E$2:$E$701))),""))</f>
        <v/>
      </c>
      <c r="AJ102" s="25">
        <f>IF(OR($A102="",$AI102="",$I102=""),"",NETWORKDAYS($I102,$AI102,calendar!$A$2:$A$80))</f>
        <v/>
      </c>
      <c r="AK102" s="25">
        <f>IF($A102="","",IF(AND($X102&lt;&gt;"",$AH102&lt;&gt;""),"Y","N"))</f>
        <v/>
      </c>
      <c r="AL102" s="25">
        <f>IF(OR($A102="",$I102=""),"",IF($BC102="Y",SUMIFS(survey_frozen!$C$2:$C$251,survey_frozen!$P$2:$P$251,$A102&amp;"|"&amp;$B102),IFERROR(COUNTIFS(INDIRECT("'"&amp;$A102&amp;"'!$B$2:$B$501"),$T102,INDIRECT("'"&amp;$A102&amp;"'!$A$2:$A$501"),"&gt;="&amp;$I102,INDIRECT("'"&amp;$A102&amp;"'!$A$2:$A$501"),"&lt;"&amp;($BA102+1)),0)))</f>
        <v/>
      </c>
      <c r="AM102" s="25">
        <f>IF(OR($A102="",$I102=""),"",IF($BC102="Y",SUMIFS(survey_frozen!$D$2:$D$251,survey_frozen!$P$2:$P$251,$A102&amp;"|"&amp;$B102),IFERROR(COUNTIFS(INDIRECT("'"&amp;$A102&amp;"'!$B$2:$B$501"),$T102,INDIRECT("'"&amp;$A102&amp;"'!$A$2:$A$501"),"&gt;="&amp;$I102,INDIRECT("'"&amp;$A102&amp;"'!$A$2:$A$501"),"&lt;"&amp;($BA102+1),INDIRECT("'"&amp;$A102&amp;"'!$C$2:$C$501"),"Yes"),0)))</f>
        <v/>
      </c>
      <c r="AN102" s="25">
        <f>IF($A102="","",IF(COUNTIFS(scans!$C$2:$C$1601,(IF(LEFT($A102,7)="SAMPLE-","SAMPLE-","")&amp;LOWER(SUBSTITUTE(SUBSTITUTE($A102,"SAMPLE-",""),"CMP-","c"))&amp;"-"&amp;LOWER(SUBSTITUTE(SUBSTITUTE($B102,"SAMPLE-",""),"O-","o"))&amp;"-q"),scans!$D$2:$D$1601,"close")=0,"",SUMPRODUCT(MAX((scans!$C$2:$C$1601=(IF(LEFT($A102,7)="SAMPLE-","SAMPLE-","")&amp;LOWER(SUBSTITUTE(SUBSTITUTE($A102,"SAMPLE-",""),"CMP-","c"))&amp;"-"&amp;LOWER(SUBSTITUTE(SUBSTITUTE($B102,"SAMPLE-",""),"O-","o"))&amp;"-q"))*(scans!$D$2:$D$1601="close")*scans!$E$2:$E$1601))-SUMPRODUCT(MAX((scans!$C$2:$C$1601=(IF(LEFT($A102,7)="SAMPLE-","SAMPLE-","")&amp;LOWER(SUBSTITUTE(SUBSTITUTE($A102,"SAMPLE-",""),"CMP-","c"))&amp;"-"&amp;LOWER(SUBSTITUTE(SUBSTITUTE($B102,"SAMPLE-",""),"O-","o"))&amp;"-q"))*(scans!$D$2:$D$1601="baseline")*scans!$E$2:$E$1601))))</f>
        <v/>
      </c>
      <c r="AO102" s="25">
        <f>IF($A102="","",IF(COUNTIFS(scans!$C$2:$C$1601,(IF(LEFT($A102,7)="SAMPLE-","SAMPLE-","")&amp;LOWER(SUBSTITUTE(SUBSTITUTE($A102,"SAMPLE-",""),"CMP-","c"))&amp;"-"&amp;LOWER(SUBSTITUTE(SUBSTITUTE($B102,"SAMPLE-",""),"O-","o"))&amp;"-p"),scans!$D$2:$D$1601,"close")=0,"",SUMPRODUCT(MAX((scans!$C$2:$C$1601=(IF(LEFT($A102,7)="SAMPLE-","SAMPLE-","")&amp;LOWER(SUBSTITUTE(SUBSTITUTE($A102,"SAMPLE-",""),"CMP-","c"))&amp;"-"&amp;LOWER(SUBSTITUTE(SUBSTITUTE($B102,"SAMPLE-",""),"O-","o"))&amp;"-p"))*(scans!$D$2:$D$1601="close")*scans!$E$2:$E$1601))-SUMPRODUCT(MAX((scans!$C$2:$C$1601=(IF(LEFT($A102,7)="SAMPLE-","SAMPLE-","")&amp;LOWER(SUBSTITUTE(SUBSTITUTE($A102,"SAMPLE-",""),"CMP-","c"))&amp;"-"&amp;LOWER(SUBSTITUTE(SUBSTITUTE($B102,"SAMPLE-",""),"O-","o"))&amp;"-p"))*(scans!$D$2:$D$1601="baseline")*scans!$E$2:$E$1601))))</f>
        <v/>
      </c>
      <c r="AP102" s="25">
        <f>IF($A102="","",IF(COUNTIF(offices!$A$2:$A$61,$B102)=0,"office_id not on offices; ","")&amp;IF(COUNTIF(campaigns!$A$2:$A$51,$A102)=0,"campaign_id not on campaigns; ","")&amp;IF($P102="pending","approval pending; ","")&amp;IF(AND($U102&gt;0,$Y102="",OR($I102="",IF(config!$B$37&lt;&gt;"",config!$B$37,TODAY())&lt;=WORKDAY(N($I102),4,calendar!$A$2:$A$80))),"no usable placement photo yet; ","")&amp;IF(AND($Y102&lt;&gt;"",$Z102=""),"log the placed count; ","")&amp;IF(N($AA102)&gt;N($U102),"placed more than delivered; ","")&amp;IF(AND($AF102&lt;&gt;"",N($AF102)&gt;N($AA102)+N($AD102)),"day-5 count above placed plus top-ups; ","")&amp;IF(AND($U102&gt;0,$I102&lt;&gt;"",IF(config!$B$37&lt;&gt;"",config!$B$37,TODAY())&gt;WORKDAY(N($I102),4,calendar!$A$2:$A$80),$AF102=""),"day-5 count missing; ","")&amp;IF(AND($U102&gt;0,$I102&lt;&gt;"",IF(config!$B$37&lt;&gt;"",config!$B$37,TODAY())&gt;WORKDAY(N($I102),4,calendar!$A$2:$A$80),$AN102=""),"no close link reading; ","")&amp;$R102&amp;IF($P102="N","info: office said no; ","")&amp;IF(AND($P102="Y",$Q102="N"),"info: turned away at the door, so not on the drop (no letter, not in the report or Gate 2; the credit check is on campaigns); ","")&amp;IF(AND($U102&gt;0,$Y102="",$I102&lt;&gt;"",IF(config!$B$37&lt;&gt;"",config!$B$37,TODAY())&gt;WORKDAY(N($I102),4,calendar!$A$2:$A$80)),"info: no usable placement photo, so nothing counts as placed; ","")&amp;IF(AND($U102&gt;0,$I102&lt;&gt;"",IF(config!$B$37&lt;&gt;"",config!$B$37,TODAY())&gt;WORKDAY(N($I102),4,calendar!$A$2:$A$80),N($AL102)&lt;config!$B$30),"info: under "&amp;config!$B$30&amp;" responses; ","")&amp;IF($W102="packing_list","info: delivered count not verified; ",""))</f>
        <v/>
      </c>
      <c r="AQ102" s="25">
        <f>IF(OR($A102="",$I102=""),"",IF($BC102="Y",SUMIFS(survey_frozen!$E$2:$E$251,survey_frozen!$P$2:$P$251,$A102&amp;"|"&amp;$B102),IFERROR(COUNTIFS(INDIRECT("'"&amp;$A102&amp;"'!$B$2:$B$501"),$T102,INDIRECT("'"&amp;$A102&amp;"'!$A$2:$A$501"),"&gt;="&amp;$I102,INDIRECT("'"&amp;$A102&amp;"'!$A$2:$A$501"),"&lt;"&amp;($BA102+1),INDIRECT("'"&amp;$A102&amp;"'!$F$2:$F$501"),"Didn't see it"),0)))</f>
        <v/>
      </c>
      <c r="AR102" s="25">
        <f>IF(OR($A102="",$I102=""),"",IF($BC102="Y",SUMIFS(survey_frozen!$F$2:$F$251,survey_frozen!$P$2:$P$251,$A102&amp;"|"&amp;$B102),IFERROR(COUNTIFS(INDIRECT("'"&amp;$A102&amp;"'!$B$2:$B$501"),$T102,INDIRECT("'"&amp;$A102&amp;"'!$A$2:$A$501"),"&gt;="&amp;$I102,INDIRECT("'"&amp;$A102&amp;"'!$A$2:$A$501"),"&lt;"&amp;($BA102+1),INDIRECT("'"&amp;$A102&amp;"'!$F$2:$F$501"),"Not for me"),0)))</f>
        <v/>
      </c>
      <c r="AS102" s="25">
        <f>IF(OR($A102="",$I102=""),"",IF($BC102="Y",SUMIFS(survey_frozen!$G$2:$G$251,survey_frozen!$P$2:$P$251,$A102&amp;"|"&amp;$B102),IFERROR(COUNTIFS(INDIRECT("'"&amp;$A102&amp;"'!$B$2:$B$501"),$T102,INDIRECT("'"&amp;$A102&amp;"'!$A$2:$A$501"),"&gt;="&amp;$I102,INDIRECT("'"&amp;$A102&amp;"'!$A$2:$A$501"),"&lt;"&amp;($BA102+1),INDIRECT("'"&amp;$A102&amp;"'!$F$2:$F$501"),"Gone by the time I looked"),0)))</f>
        <v/>
      </c>
      <c r="AT102" s="25">
        <f>IF(OR($A102="",$I102=""),"",IF($BC102="Y",SUMIFS(survey_frozen!$H$2:$H$251,survey_frozen!$P$2:$P$251,$A102&amp;"|"&amp;$B102),IFERROR(COUNTIFS(INDIRECT("'"&amp;$A102&amp;"'!$B$2:$B$501"),$T102,INDIRECT("'"&amp;$A102&amp;"'!$A$2:$A$501"),"&gt;="&amp;$I102,INDIRECT("'"&amp;$A102&amp;"'!$A$2:$A$501"),"&lt;"&amp;($BA102+1),INDIRECT("'"&amp;$A102&amp;"'!$D$2:$D$501"),"&gt;=1"),0)))</f>
        <v/>
      </c>
      <c r="AU102" s="25">
        <f>IF(OR($A102="",$I102=""),"",IF($BC102="Y",SUMIFS(survey_frozen!$I$2:$I$251,survey_frozen!$P$2:$P$251,$A102&amp;"|"&amp;$B102),IFERROR(SUMIFS(INDIRECT("'"&amp;$A102&amp;"'!$D$2:$D$501"),INDIRECT("'"&amp;$A102&amp;"'!$B$2:$B$501"),$T102,INDIRECT("'"&amp;$A102&amp;"'!$A$2:$A$501"),"&gt;="&amp;$I102,INDIRECT("'"&amp;$A102&amp;"'!$A$2:$A$501"),"&lt;"&amp;($BA102+1)),0)))</f>
        <v/>
      </c>
      <c r="AV102" s="25">
        <f>IF(OR($A102="",$I102=""),"",IF($BC102="Y",SUMIFS(survey_frozen!$J$2:$J$251,survey_frozen!$P$2:$P$251,$A102&amp;"|"&amp;$B102),IFERROR(COUNTIFS(INDIRECT("'"&amp;$A102&amp;"'!$B$2:$B$501"),$T102,INDIRECT("'"&amp;$A102&amp;"'!$A$2:$A$501"),"&gt;="&amp;$I102,INDIRECT("'"&amp;$A102&amp;"'!$A$2:$A$501"),"&lt;"&amp;($BA102+1),INDIRECT("'"&amp;$A102&amp;"'!$E$2:$E$501"),"Yes"),0)))</f>
        <v/>
      </c>
      <c r="AW102" s="25">
        <f>IF(OR($A102="",$I102=""),"",IF($BC102="Y",SUMIFS(survey_frozen!$K$2:$K$251,survey_frozen!$P$2:$P$251,$A102&amp;"|"&amp;$B102),IFERROR(COUNTIFS(INDIRECT("'"&amp;$A102&amp;"'!$B$2:$B$501"),$T102,INDIRECT("'"&amp;$A102&amp;"'!$A$2:$A$501"),"&gt;="&amp;$I102,INDIRECT("'"&amp;$A102&amp;"'!$A$2:$A$501"),"&lt;"&amp;($BA102+1),INDIRECT("'"&amp;$A102&amp;"'!$E$2:$E$501"),"Maybe"),0)))</f>
        <v/>
      </c>
      <c r="AX102" s="25">
        <f>IF(OR($A102="",$I102=""),"",IF($BC102="Y",SUMIFS(survey_frozen!$L$2:$L$251,survey_frozen!$P$2:$P$251,$A102&amp;"|"&amp;$B102),IFERROR(COUNTIFS(INDIRECT("'"&amp;$A102&amp;"'!$B$2:$B$501"),$T102,INDIRECT("'"&amp;$A102&amp;"'!$A$2:$A$501"),"&gt;="&amp;$I102,INDIRECT("'"&amp;$A102&amp;"'!$A$2:$A$501"),"&lt;"&amp;($BA102+1),INDIRECT("'"&amp;$A102&amp;"'!$E$2:$E$501"),"No"),0)))</f>
        <v/>
      </c>
      <c r="AY102" s="25">
        <f>IF(OR($A102="",$I102=""),"",IF($BC102="Y",SUMIFS(survey_frozen!$M$2:$M$251,survey_frozen!$P$2:$P$251,$A102&amp;"|"&amp;$B102),IFERROR(COUNTIFS(INDIRECT("'"&amp;$A102&amp;"'!$B$2:$B$501"),$T102,INDIRECT("'"&amp;$A102&amp;"'!$A$2:$A$501"),"&gt;="&amp;$I102,INDIRECT("'"&amp;$A102&amp;"'!$A$2:$A$501"),"&lt;"&amp;($BA102+1),INDIRECT("'"&amp;$A102&amp;"'!$G$2:$G$501"),"&lt;&gt;"),0)))</f>
        <v/>
      </c>
      <c r="AZ102" s="25">
        <f>IF($A102="","",$A102&amp;"|"&amp;$L102)</f>
        <v/>
      </c>
      <c r="BA102" s="26">
        <f>IF($A102="","",IFERROR(IF(INDEX(drops!$R$2:$R$21,MATCH($H102,drops!$A$2:$A$21,0))="","",INDEX(drops!$R$2:$R$21,MATCH($H102,drops!$A$2:$A$21,0))),""))</f>
        <v/>
      </c>
      <c r="BB102" s="25">
        <f>IF(OR($A102="",$Q102&lt;&gt;"Y"),1000000,N($AL102))</f>
        <v/>
      </c>
      <c r="BC102" s="25">
        <f>IF($A102="","",IF(COUNTIF(survey_frozen!$P$2:$P$251,$A102&amp;"|"&amp;$B102)&gt;0,"Y",""))</f>
        <v/>
      </c>
    </row>
    <row r="103">
      <c r="C103" s="9" t="n"/>
      <c r="E103" s="9" t="n"/>
      <c r="H103" s="25">
        <f>IF($A103="","",IFERROR(IF(INDEX(campaigns!$B$2:$B$51,MATCH($A103,campaigns!$A$2:$A$51,0))="","",INDEX(campaigns!$B$2:$B$51,MATCH($A103,campaigns!$A$2:$A$51,0))),""))</f>
        <v/>
      </c>
      <c r="I103" s="26">
        <f>IF($A103="","",IFERROR(IF(INDEX(campaigns!$BG$2:$BG$51,MATCH($A103,campaigns!$A$2:$A$51,0))="","",INDEX(campaigns!$BG$2:$BG$51,MATCH($A103,campaigns!$A$2:$A$51,0))),""))</f>
        <v/>
      </c>
      <c r="J103" s="25">
        <f>IF($A103="","",IFERROR(IF(INDEX(campaigns!$BE$2:$BE$51,MATCH($A103,campaigns!$A$2:$A$51,0))="","",INDEX(campaigns!$BE$2:$BE$51,MATCH($A103,campaigns!$A$2:$A$51,0))),""))</f>
        <v/>
      </c>
      <c r="K103" s="25">
        <f>IF($B103="","",IFERROR(IF(INDEX(offices!$N$2:$N$61,MATCH($B103,offices!$A$2:$A$61,0))="","",INDEX(offices!$N$2:$N$61,MATCH($B103,offices!$A$2:$A$61,0))),""))</f>
        <v/>
      </c>
      <c r="L103" s="25">
        <f>IF($A103="","",IF($Q103="N","",COUNTIFS($A$2:$A103,$A103,$Q$2:$Q103,"&lt;&gt;N")))</f>
        <v/>
      </c>
      <c r="M103" s="25">
        <f>IF(OR($A103="",$L103=""),"",IF(AND(config!$B$34="names_if_public",IFERROR(IF(INDEX(offices!$AF$2:$AF$61,MATCH($B103,offices!$A$2:$A$61,0))="","",INDEX(offices!$AF$2:$AF$61,MATCH($B103,offices!$A$2:$A$61,0))),"")="Y"),$K103,CHAR(64+$L103)))</f>
        <v/>
      </c>
      <c r="N103" s="25">
        <f>IF(OR($A103="",$I103=""),"",COUNTIFS(stops!$B$2:$B$151,$B103,stops!$P$2:$P$151,"&lt;"&amp;$I103,stops!$L$2:$L$151,"&lt;&gt;not_delivered")+1)</f>
        <v/>
      </c>
      <c r="O103" s="25">
        <f>IF($A103="","",IF(N($N103)&lt;=config!$B$29,"explicit","opt-out"))</f>
        <v/>
      </c>
      <c r="P103" s="25">
        <f>IF($A103="","",IF($O103="explicit",IF($D103="yes","Y",IF($D103="no","N","pending")),IF($D103="no","N",IF(AND($C103&lt;&gt;"",$I103&lt;&gt;"",$C103&lt;=WORKDAY(N($I103),-5,calendar!$A$2:$A$80)),"Y","pending"))))</f>
        <v/>
      </c>
      <c r="Q103" s="25">
        <f>IF($A103="","",IF($P103="N","N",IF($P103&lt;&gt;"Y","pending",IF(AND((COUNTIFS(stops!$A$2:$A$151,$H103,stops!$B$2:$B$151,$B103,stops!$L$2:$L$151,"declined")+COUNTIFS(stops!$A$2:$A$151,$H103,stops!$B$2:$B$151,$B103,stops!$L$2:$L$151,"building_refused")+COUNTIFS(stops!$A$2:$A$151,$H103,stops!$B$2:$B$151,$B103,stops!$L$2:$L$151,"not_delivered"))&gt;0,N($U103)=0),"N","Y"))))</f>
        <v/>
      </c>
      <c r="R103" s="25">
        <f>IF($A103="","",IF(COUNTIFS($A$2:$A$251,$A103,$B$2:$B$251,$B103)&gt;1,"DUPLICATE ROW; ","")&amp;IF(AND(IFERROR(IF(INDEX(offices!$AC$2:$AC$61,MATCH($B103,offices!$A$2:$A$61,0))="","",INDEX(offices!$AC$2:$AC$61,MATCH($B103,offices!$A$2:$A$61,0))),"")&lt;&gt;"",ISNUMBER(SEARCH($J103,IFERROR(IF(INDEX(offices!$AC$2:$AC$61,MATCH($B103,offices!$A$2:$A$61,0))="","",INDEX(offices!$AC$2:$AC$61,MATCH($B103,offices!$A$2:$A$61,0))),"")))),"BRAND VETOED; ","")&amp;IF(ISNUMBER(SEARCH(IFERROR(IF(INDEX(campaigns!$BF$2:$BF$51,MATCH($A103,campaigns!$A$2:$A$51,0))="","",INDEX(campaigns!$BF$2:$BF$51,MATCH($A103,campaigns!$A$2:$A$51,0))),""),IFERROR(IF(INDEX(offices!$AB$2:$AB$61,MATCH($B103,offices!$A$2:$A$61,0))="","",INDEX(offices!$AB$2:$AB$61,MATCH($B103,offices!$A$2:$A$61,0))),""))),"","info: category not on the office's list; ")&amp;IF(IFERROR(IF(INDEX(offices!$AC$2:$AC$61,MATCH($B103,offices!$A$2:$A$61,0))="","",INDEX(offices!$AC$2:$AC$61,MATCH($B103,offices!$A$2:$A$61,0))),"")&lt;&gt;"","info: read the vetoes against the label; ",""))</f>
        <v/>
      </c>
      <c r="S103" s="25">
        <f>IF($A103="","",IF($G103&lt;&gt;"",$G103,IFERROR(IF(INDEX(offices!$AL$2:$AL$61,MATCH($B103,offices!$A$2:$A$61,0))="","",INDEX(offices!$AL$2:$AL$61,MATCH($B103,offices!$A$2:$A$61,0))),"")))</f>
        <v/>
      </c>
      <c r="T103" s="25">
        <f>IF($A103="","",$A103&amp;"."&amp;$B103)</f>
        <v/>
      </c>
      <c r="U103" s="25">
        <f>IF($A103="","",SUMIFS(inventory!$G$2:$G$801,inventory!$C$2:$C$801,$A103,inventory!$D$2:$D$801,$B103,inventory!$E$2:$E$801,"delivered"))</f>
        <v/>
      </c>
      <c r="V103" s="32">
        <f>IF($A103="","",IFERROR(1/(1/SUMPRODUCT(MAX((inventory!$C$2:$C$801=$A103)*(inventory!$D$2:$D$801=$B103)*(inventory!$E$2:$E$801="delivered")*(inventory!$A$2:$A$801+inventory!$B$2:$B$801)))),""))</f>
        <v/>
      </c>
      <c r="W103" s="25">
        <f>IF($A103="","",IFERROR(IF(INDEX(inventory!$J$2:$J$801,MATCH($A103&amp;"|"&amp;$B103&amp;"|delivered",inventory!$R$2:$R$801,0))="","",INDEX(inventory!$J$2:$J$801,MATCH($A103&amp;"|"&amp;$B103&amp;"|delivered",inventory!$R$2:$R$801,0))),""))</f>
        <v/>
      </c>
      <c r="X103" s="25">
        <f>IF($A103="","",IFERROR(IF(INDEX(photos!$H$2:$H$701,MATCH($A103&amp;"|"&amp;$B103&amp;"|placement|Y",photos!$R$2:$R$701,0))="","",INDEX(photos!$H$2:$H$701,MATCH($A103&amp;"|"&amp;$B103&amp;"|placement|Y",photos!$R$2:$R$701,0))),""))</f>
        <v/>
      </c>
      <c r="Y103" s="26">
        <f>IF($A103="","",IFERROR(IF(INDEX(photos!$E$2:$E$701,MATCH($A103&amp;"|"&amp;$B103&amp;"|placement|Y",photos!$R$2:$R$701,0))="","",INDEX(photos!$E$2:$E$701,MATCH($A103&amp;"|"&amp;$B103&amp;"|placement|Y",photos!$R$2:$R$701,0))),""))</f>
        <v/>
      </c>
      <c r="Z103" s="25">
        <f>IF($A103="","",IF(COUNTIFS(counts!$C$2:$C$701,$A103,counts!$D$2:$D$701,$B103,counts!$E$2:$E$701,"placed")=0,"",SUMIFS(counts!$F$2:$F$701,counts!$C$2:$C$701,$A103,counts!$D$2:$D$701,$B103,counts!$E$2:$E$701,"placed")))</f>
        <v/>
      </c>
      <c r="AA103" s="25">
        <f>IF($A103="","",IF($Y103="",0,N($Z103)))</f>
        <v/>
      </c>
      <c r="AB103" s="25">
        <f>IF($A103="","",IF(OR($Y103="",$I103=""),"N",IF($Y103&lt;=WORKDAY(N($I103),1,calendar!$A$2:$A$80),"Y","N")))</f>
        <v/>
      </c>
      <c r="AC103" s="28">
        <f>IF(OR($A103="",$V103="",$Y103=""),"",ROUND(($Y103+N(IFERROR(IF(INDEX(photos!$F$2:$F$701,MATCH($A103&amp;"|"&amp;$B103&amp;"|placement|Y",photos!$R$2:$R$701,0))="","",INDEX(photos!$F$2:$F$701,MATCH($A103&amp;"|"&amp;$B103&amp;"|placement|Y",photos!$R$2:$R$701,0))),""))-$V103)*24,1))</f>
        <v/>
      </c>
      <c r="AD103" s="25">
        <f>IF($A103="","",SUMIFS(inventory!$G$2:$G$801,inventory!$C$2:$C$801,$A103,inventory!$D$2:$D$801,$B103,inventory!$E$2:$E$801,"topped_up"))</f>
        <v/>
      </c>
      <c r="AE103" s="25">
        <f>IF($A103="","",IF(COUNTIFS(counts!$C$2:$C$701,$A103,counts!$D$2:$D$701,$B103,counts!$E$2:$E$701,"remaining_day3")=0,"",SUMIFS(counts!$F$2:$F$701,counts!$C$2:$C$701,$A103,counts!$D$2:$D$701,$B103,counts!$E$2:$E$701,"remaining_day3")))</f>
        <v/>
      </c>
      <c r="AF103" s="25">
        <f>IF($A103="","",IF(COUNTIFS(counts!$C$2:$C$701,$A103,counts!$D$2:$D$701,$B103,counts!$E$2:$E$701,"remaining_day5")=0,"",SUMIFS(counts!$F$2:$F$701,counts!$C$2:$C$701,$A103,counts!$D$2:$D$701,$B103,counts!$E$2:$E$701,"remaining_day5")))</f>
        <v/>
      </c>
      <c r="AG103" s="25">
        <f>IF(OR($A103="",$AF103=""),"",MAX(0,$AA103+$AD103-$AF103))</f>
        <v/>
      </c>
      <c r="AH103" s="25">
        <f>IF(OR($A103="",$AI103=""),"",IFERROR(IF(INDEX(photos!$H$2:$H$701,MATCH($A103&amp;"|"&amp;$B103&amp;"|later|Y|"&amp;$AI103,photos!$S$2:$S$701,0))="","",INDEX(photos!$H$2:$H$701,MATCH($A103&amp;"|"&amp;$B103&amp;"|later|Y|"&amp;$AI103,photos!$S$2:$S$701,0))),""))</f>
        <v/>
      </c>
      <c r="AI103" s="26">
        <f>IF($A103="","",IFERROR(1/(1/SUMPRODUCT(MAX((photos!$B$2:$B$701=$A103)*(photos!$C$2:$C$701=$B103)*(photos!$D$2:$D$701="later")*(photos!$O$2:$O$701="Y")*photos!$E$2:$E$701))),""))</f>
        <v/>
      </c>
      <c r="AJ103" s="25">
        <f>IF(OR($A103="",$AI103="",$I103=""),"",NETWORKDAYS($I103,$AI103,calendar!$A$2:$A$80))</f>
        <v/>
      </c>
      <c r="AK103" s="25">
        <f>IF($A103="","",IF(AND($X103&lt;&gt;"",$AH103&lt;&gt;""),"Y","N"))</f>
        <v/>
      </c>
      <c r="AL103" s="25">
        <f>IF(OR($A103="",$I103=""),"",IF($BC103="Y",SUMIFS(survey_frozen!$C$2:$C$251,survey_frozen!$P$2:$P$251,$A103&amp;"|"&amp;$B103),IFERROR(COUNTIFS(INDIRECT("'"&amp;$A103&amp;"'!$B$2:$B$501"),$T103,INDIRECT("'"&amp;$A103&amp;"'!$A$2:$A$501"),"&gt;="&amp;$I103,INDIRECT("'"&amp;$A103&amp;"'!$A$2:$A$501"),"&lt;"&amp;($BA103+1)),0)))</f>
        <v/>
      </c>
      <c r="AM103" s="25">
        <f>IF(OR($A103="",$I103=""),"",IF($BC103="Y",SUMIFS(survey_frozen!$D$2:$D$251,survey_frozen!$P$2:$P$251,$A103&amp;"|"&amp;$B103),IFERROR(COUNTIFS(INDIRECT("'"&amp;$A103&amp;"'!$B$2:$B$501"),$T103,INDIRECT("'"&amp;$A103&amp;"'!$A$2:$A$501"),"&gt;="&amp;$I103,INDIRECT("'"&amp;$A103&amp;"'!$A$2:$A$501"),"&lt;"&amp;($BA103+1),INDIRECT("'"&amp;$A103&amp;"'!$C$2:$C$501"),"Yes"),0)))</f>
        <v/>
      </c>
      <c r="AN103" s="25">
        <f>IF($A103="","",IF(COUNTIFS(scans!$C$2:$C$1601,(IF(LEFT($A103,7)="SAMPLE-","SAMPLE-","")&amp;LOWER(SUBSTITUTE(SUBSTITUTE($A103,"SAMPLE-",""),"CMP-","c"))&amp;"-"&amp;LOWER(SUBSTITUTE(SUBSTITUTE($B103,"SAMPLE-",""),"O-","o"))&amp;"-q"),scans!$D$2:$D$1601,"close")=0,"",SUMPRODUCT(MAX((scans!$C$2:$C$1601=(IF(LEFT($A103,7)="SAMPLE-","SAMPLE-","")&amp;LOWER(SUBSTITUTE(SUBSTITUTE($A103,"SAMPLE-",""),"CMP-","c"))&amp;"-"&amp;LOWER(SUBSTITUTE(SUBSTITUTE($B103,"SAMPLE-",""),"O-","o"))&amp;"-q"))*(scans!$D$2:$D$1601="close")*scans!$E$2:$E$1601))-SUMPRODUCT(MAX((scans!$C$2:$C$1601=(IF(LEFT($A103,7)="SAMPLE-","SAMPLE-","")&amp;LOWER(SUBSTITUTE(SUBSTITUTE($A103,"SAMPLE-",""),"CMP-","c"))&amp;"-"&amp;LOWER(SUBSTITUTE(SUBSTITUTE($B103,"SAMPLE-",""),"O-","o"))&amp;"-q"))*(scans!$D$2:$D$1601="baseline")*scans!$E$2:$E$1601))))</f>
        <v/>
      </c>
      <c r="AO103" s="25">
        <f>IF($A103="","",IF(COUNTIFS(scans!$C$2:$C$1601,(IF(LEFT($A103,7)="SAMPLE-","SAMPLE-","")&amp;LOWER(SUBSTITUTE(SUBSTITUTE($A103,"SAMPLE-",""),"CMP-","c"))&amp;"-"&amp;LOWER(SUBSTITUTE(SUBSTITUTE($B103,"SAMPLE-",""),"O-","o"))&amp;"-p"),scans!$D$2:$D$1601,"close")=0,"",SUMPRODUCT(MAX((scans!$C$2:$C$1601=(IF(LEFT($A103,7)="SAMPLE-","SAMPLE-","")&amp;LOWER(SUBSTITUTE(SUBSTITUTE($A103,"SAMPLE-",""),"CMP-","c"))&amp;"-"&amp;LOWER(SUBSTITUTE(SUBSTITUTE($B103,"SAMPLE-",""),"O-","o"))&amp;"-p"))*(scans!$D$2:$D$1601="close")*scans!$E$2:$E$1601))-SUMPRODUCT(MAX((scans!$C$2:$C$1601=(IF(LEFT($A103,7)="SAMPLE-","SAMPLE-","")&amp;LOWER(SUBSTITUTE(SUBSTITUTE($A103,"SAMPLE-",""),"CMP-","c"))&amp;"-"&amp;LOWER(SUBSTITUTE(SUBSTITUTE($B103,"SAMPLE-",""),"O-","o"))&amp;"-p"))*(scans!$D$2:$D$1601="baseline")*scans!$E$2:$E$1601))))</f>
        <v/>
      </c>
      <c r="AP103" s="25">
        <f>IF($A103="","",IF(COUNTIF(offices!$A$2:$A$61,$B103)=0,"office_id not on offices; ","")&amp;IF(COUNTIF(campaigns!$A$2:$A$51,$A103)=0,"campaign_id not on campaigns; ","")&amp;IF($P103="pending","approval pending; ","")&amp;IF(AND($U103&gt;0,$Y103="",OR($I103="",IF(config!$B$37&lt;&gt;"",config!$B$37,TODAY())&lt;=WORKDAY(N($I103),4,calendar!$A$2:$A$80))),"no usable placement photo yet; ","")&amp;IF(AND($Y103&lt;&gt;"",$Z103=""),"log the placed count; ","")&amp;IF(N($AA103)&gt;N($U103),"placed more than delivered; ","")&amp;IF(AND($AF103&lt;&gt;"",N($AF103)&gt;N($AA103)+N($AD103)),"day-5 count above placed plus top-ups; ","")&amp;IF(AND($U103&gt;0,$I103&lt;&gt;"",IF(config!$B$37&lt;&gt;"",config!$B$37,TODAY())&gt;WORKDAY(N($I103),4,calendar!$A$2:$A$80),$AF103=""),"day-5 count missing; ","")&amp;IF(AND($U103&gt;0,$I103&lt;&gt;"",IF(config!$B$37&lt;&gt;"",config!$B$37,TODAY())&gt;WORKDAY(N($I103),4,calendar!$A$2:$A$80),$AN103=""),"no close link reading; ","")&amp;$R103&amp;IF($P103="N","info: office said no; ","")&amp;IF(AND($P103="Y",$Q103="N"),"info: turned away at the door, so not on the drop (no letter, not in the report or Gate 2; the credit check is on campaigns); ","")&amp;IF(AND($U103&gt;0,$Y103="",$I103&lt;&gt;"",IF(config!$B$37&lt;&gt;"",config!$B$37,TODAY())&gt;WORKDAY(N($I103),4,calendar!$A$2:$A$80)),"info: no usable placement photo, so nothing counts as placed; ","")&amp;IF(AND($U103&gt;0,$I103&lt;&gt;"",IF(config!$B$37&lt;&gt;"",config!$B$37,TODAY())&gt;WORKDAY(N($I103),4,calendar!$A$2:$A$80),N($AL103)&lt;config!$B$30),"info: under "&amp;config!$B$30&amp;" responses; ","")&amp;IF($W103="packing_list","info: delivered count not verified; ",""))</f>
        <v/>
      </c>
      <c r="AQ103" s="25">
        <f>IF(OR($A103="",$I103=""),"",IF($BC103="Y",SUMIFS(survey_frozen!$E$2:$E$251,survey_frozen!$P$2:$P$251,$A103&amp;"|"&amp;$B103),IFERROR(COUNTIFS(INDIRECT("'"&amp;$A103&amp;"'!$B$2:$B$501"),$T103,INDIRECT("'"&amp;$A103&amp;"'!$A$2:$A$501"),"&gt;="&amp;$I103,INDIRECT("'"&amp;$A103&amp;"'!$A$2:$A$501"),"&lt;"&amp;($BA103+1),INDIRECT("'"&amp;$A103&amp;"'!$F$2:$F$501"),"Didn't see it"),0)))</f>
        <v/>
      </c>
      <c r="AR103" s="25">
        <f>IF(OR($A103="",$I103=""),"",IF($BC103="Y",SUMIFS(survey_frozen!$F$2:$F$251,survey_frozen!$P$2:$P$251,$A103&amp;"|"&amp;$B103),IFERROR(COUNTIFS(INDIRECT("'"&amp;$A103&amp;"'!$B$2:$B$501"),$T103,INDIRECT("'"&amp;$A103&amp;"'!$A$2:$A$501"),"&gt;="&amp;$I103,INDIRECT("'"&amp;$A103&amp;"'!$A$2:$A$501"),"&lt;"&amp;($BA103+1),INDIRECT("'"&amp;$A103&amp;"'!$F$2:$F$501"),"Not for me"),0)))</f>
        <v/>
      </c>
      <c r="AS103" s="25">
        <f>IF(OR($A103="",$I103=""),"",IF($BC103="Y",SUMIFS(survey_frozen!$G$2:$G$251,survey_frozen!$P$2:$P$251,$A103&amp;"|"&amp;$B103),IFERROR(COUNTIFS(INDIRECT("'"&amp;$A103&amp;"'!$B$2:$B$501"),$T103,INDIRECT("'"&amp;$A103&amp;"'!$A$2:$A$501"),"&gt;="&amp;$I103,INDIRECT("'"&amp;$A103&amp;"'!$A$2:$A$501"),"&lt;"&amp;($BA103+1),INDIRECT("'"&amp;$A103&amp;"'!$F$2:$F$501"),"Gone by the time I looked"),0)))</f>
        <v/>
      </c>
      <c r="AT103" s="25">
        <f>IF(OR($A103="",$I103=""),"",IF($BC103="Y",SUMIFS(survey_frozen!$H$2:$H$251,survey_frozen!$P$2:$P$251,$A103&amp;"|"&amp;$B103),IFERROR(COUNTIFS(INDIRECT("'"&amp;$A103&amp;"'!$B$2:$B$501"),$T103,INDIRECT("'"&amp;$A103&amp;"'!$A$2:$A$501"),"&gt;="&amp;$I103,INDIRECT("'"&amp;$A103&amp;"'!$A$2:$A$501"),"&lt;"&amp;($BA103+1),INDIRECT("'"&amp;$A103&amp;"'!$D$2:$D$501"),"&gt;=1"),0)))</f>
        <v/>
      </c>
      <c r="AU103" s="25">
        <f>IF(OR($A103="",$I103=""),"",IF($BC103="Y",SUMIFS(survey_frozen!$I$2:$I$251,survey_frozen!$P$2:$P$251,$A103&amp;"|"&amp;$B103),IFERROR(SUMIFS(INDIRECT("'"&amp;$A103&amp;"'!$D$2:$D$501"),INDIRECT("'"&amp;$A103&amp;"'!$B$2:$B$501"),$T103,INDIRECT("'"&amp;$A103&amp;"'!$A$2:$A$501"),"&gt;="&amp;$I103,INDIRECT("'"&amp;$A103&amp;"'!$A$2:$A$501"),"&lt;"&amp;($BA103+1)),0)))</f>
        <v/>
      </c>
      <c r="AV103" s="25">
        <f>IF(OR($A103="",$I103=""),"",IF($BC103="Y",SUMIFS(survey_frozen!$J$2:$J$251,survey_frozen!$P$2:$P$251,$A103&amp;"|"&amp;$B103),IFERROR(COUNTIFS(INDIRECT("'"&amp;$A103&amp;"'!$B$2:$B$501"),$T103,INDIRECT("'"&amp;$A103&amp;"'!$A$2:$A$501"),"&gt;="&amp;$I103,INDIRECT("'"&amp;$A103&amp;"'!$A$2:$A$501"),"&lt;"&amp;($BA103+1),INDIRECT("'"&amp;$A103&amp;"'!$E$2:$E$501"),"Yes"),0)))</f>
        <v/>
      </c>
      <c r="AW103" s="25">
        <f>IF(OR($A103="",$I103=""),"",IF($BC103="Y",SUMIFS(survey_frozen!$K$2:$K$251,survey_frozen!$P$2:$P$251,$A103&amp;"|"&amp;$B103),IFERROR(COUNTIFS(INDIRECT("'"&amp;$A103&amp;"'!$B$2:$B$501"),$T103,INDIRECT("'"&amp;$A103&amp;"'!$A$2:$A$501"),"&gt;="&amp;$I103,INDIRECT("'"&amp;$A103&amp;"'!$A$2:$A$501"),"&lt;"&amp;($BA103+1),INDIRECT("'"&amp;$A103&amp;"'!$E$2:$E$501"),"Maybe"),0)))</f>
        <v/>
      </c>
      <c r="AX103" s="25">
        <f>IF(OR($A103="",$I103=""),"",IF($BC103="Y",SUMIFS(survey_frozen!$L$2:$L$251,survey_frozen!$P$2:$P$251,$A103&amp;"|"&amp;$B103),IFERROR(COUNTIFS(INDIRECT("'"&amp;$A103&amp;"'!$B$2:$B$501"),$T103,INDIRECT("'"&amp;$A103&amp;"'!$A$2:$A$501"),"&gt;="&amp;$I103,INDIRECT("'"&amp;$A103&amp;"'!$A$2:$A$501"),"&lt;"&amp;($BA103+1),INDIRECT("'"&amp;$A103&amp;"'!$E$2:$E$501"),"No"),0)))</f>
        <v/>
      </c>
      <c r="AY103" s="25">
        <f>IF(OR($A103="",$I103=""),"",IF($BC103="Y",SUMIFS(survey_frozen!$M$2:$M$251,survey_frozen!$P$2:$P$251,$A103&amp;"|"&amp;$B103),IFERROR(COUNTIFS(INDIRECT("'"&amp;$A103&amp;"'!$B$2:$B$501"),$T103,INDIRECT("'"&amp;$A103&amp;"'!$A$2:$A$501"),"&gt;="&amp;$I103,INDIRECT("'"&amp;$A103&amp;"'!$A$2:$A$501"),"&lt;"&amp;($BA103+1),INDIRECT("'"&amp;$A103&amp;"'!$G$2:$G$501"),"&lt;&gt;"),0)))</f>
        <v/>
      </c>
      <c r="AZ103" s="25">
        <f>IF($A103="","",$A103&amp;"|"&amp;$L103)</f>
        <v/>
      </c>
      <c r="BA103" s="26">
        <f>IF($A103="","",IFERROR(IF(INDEX(drops!$R$2:$R$21,MATCH($H103,drops!$A$2:$A$21,0))="","",INDEX(drops!$R$2:$R$21,MATCH($H103,drops!$A$2:$A$21,0))),""))</f>
        <v/>
      </c>
      <c r="BB103" s="25">
        <f>IF(OR($A103="",$Q103&lt;&gt;"Y"),1000000,N($AL103))</f>
        <v/>
      </c>
      <c r="BC103" s="25">
        <f>IF($A103="","",IF(COUNTIF(survey_frozen!$P$2:$P$251,$A103&amp;"|"&amp;$B103)&gt;0,"Y",""))</f>
        <v/>
      </c>
    </row>
    <row r="104">
      <c r="C104" s="9" t="n"/>
      <c r="E104" s="9" t="n"/>
      <c r="H104" s="25">
        <f>IF($A104="","",IFERROR(IF(INDEX(campaigns!$B$2:$B$51,MATCH($A104,campaigns!$A$2:$A$51,0))="","",INDEX(campaigns!$B$2:$B$51,MATCH($A104,campaigns!$A$2:$A$51,0))),""))</f>
        <v/>
      </c>
      <c r="I104" s="26">
        <f>IF($A104="","",IFERROR(IF(INDEX(campaigns!$BG$2:$BG$51,MATCH($A104,campaigns!$A$2:$A$51,0))="","",INDEX(campaigns!$BG$2:$BG$51,MATCH($A104,campaigns!$A$2:$A$51,0))),""))</f>
        <v/>
      </c>
      <c r="J104" s="25">
        <f>IF($A104="","",IFERROR(IF(INDEX(campaigns!$BE$2:$BE$51,MATCH($A104,campaigns!$A$2:$A$51,0))="","",INDEX(campaigns!$BE$2:$BE$51,MATCH($A104,campaigns!$A$2:$A$51,0))),""))</f>
        <v/>
      </c>
      <c r="K104" s="25">
        <f>IF($B104="","",IFERROR(IF(INDEX(offices!$N$2:$N$61,MATCH($B104,offices!$A$2:$A$61,0))="","",INDEX(offices!$N$2:$N$61,MATCH($B104,offices!$A$2:$A$61,0))),""))</f>
        <v/>
      </c>
      <c r="L104" s="25">
        <f>IF($A104="","",IF($Q104="N","",COUNTIFS($A$2:$A104,$A104,$Q$2:$Q104,"&lt;&gt;N")))</f>
        <v/>
      </c>
      <c r="M104" s="25">
        <f>IF(OR($A104="",$L104=""),"",IF(AND(config!$B$34="names_if_public",IFERROR(IF(INDEX(offices!$AF$2:$AF$61,MATCH($B104,offices!$A$2:$A$61,0))="","",INDEX(offices!$AF$2:$AF$61,MATCH($B104,offices!$A$2:$A$61,0))),"")="Y"),$K104,CHAR(64+$L104)))</f>
        <v/>
      </c>
      <c r="N104" s="25">
        <f>IF(OR($A104="",$I104=""),"",COUNTIFS(stops!$B$2:$B$151,$B104,stops!$P$2:$P$151,"&lt;"&amp;$I104,stops!$L$2:$L$151,"&lt;&gt;not_delivered")+1)</f>
        <v/>
      </c>
      <c r="O104" s="25">
        <f>IF($A104="","",IF(N($N104)&lt;=config!$B$29,"explicit","opt-out"))</f>
        <v/>
      </c>
      <c r="P104" s="25">
        <f>IF($A104="","",IF($O104="explicit",IF($D104="yes","Y",IF($D104="no","N","pending")),IF($D104="no","N",IF(AND($C104&lt;&gt;"",$I104&lt;&gt;"",$C104&lt;=WORKDAY(N($I104),-5,calendar!$A$2:$A$80)),"Y","pending"))))</f>
        <v/>
      </c>
      <c r="Q104" s="25">
        <f>IF($A104="","",IF($P104="N","N",IF($P104&lt;&gt;"Y","pending",IF(AND((COUNTIFS(stops!$A$2:$A$151,$H104,stops!$B$2:$B$151,$B104,stops!$L$2:$L$151,"declined")+COUNTIFS(stops!$A$2:$A$151,$H104,stops!$B$2:$B$151,$B104,stops!$L$2:$L$151,"building_refused")+COUNTIFS(stops!$A$2:$A$151,$H104,stops!$B$2:$B$151,$B104,stops!$L$2:$L$151,"not_delivered"))&gt;0,N($U104)=0),"N","Y"))))</f>
        <v/>
      </c>
      <c r="R104" s="25">
        <f>IF($A104="","",IF(COUNTIFS($A$2:$A$251,$A104,$B$2:$B$251,$B104)&gt;1,"DUPLICATE ROW; ","")&amp;IF(AND(IFERROR(IF(INDEX(offices!$AC$2:$AC$61,MATCH($B104,offices!$A$2:$A$61,0))="","",INDEX(offices!$AC$2:$AC$61,MATCH($B104,offices!$A$2:$A$61,0))),"")&lt;&gt;"",ISNUMBER(SEARCH($J104,IFERROR(IF(INDEX(offices!$AC$2:$AC$61,MATCH($B104,offices!$A$2:$A$61,0))="","",INDEX(offices!$AC$2:$AC$61,MATCH($B104,offices!$A$2:$A$61,0))),"")))),"BRAND VETOED; ","")&amp;IF(ISNUMBER(SEARCH(IFERROR(IF(INDEX(campaigns!$BF$2:$BF$51,MATCH($A104,campaigns!$A$2:$A$51,0))="","",INDEX(campaigns!$BF$2:$BF$51,MATCH($A104,campaigns!$A$2:$A$51,0))),""),IFERROR(IF(INDEX(offices!$AB$2:$AB$61,MATCH($B104,offices!$A$2:$A$61,0))="","",INDEX(offices!$AB$2:$AB$61,MATCH($B104,offices!$A$2:$A$61,0))),""))),"","info: category not on the office's list; ")&amp;IF(IFERROR(IF(INDEX(offices!$AC$2:$AC$61,MATCH($B104,offices!$A$2:$A$61,0))="","",INDEX(offices!$AC$2:$AC$61,MATCH($B104,offices!$A$2:$A$61,0))),"")&lt;&gt;"","info: read the vetoes against the label; ",""))</f>
        <v/>
      </c>
      <c r="S104" s="25">
        <f>IF($A104="","",IF($G104&lt;&gt;"",$G104,IFERROR(IF(INDEX(offices!$AL$2:$AL$61,MATCH($B104,offices!$A$2:$A$61,0))="","",INDEX(offices!$AL$2:$AL$61,MATCH($B104,offices!$A$2:$A$61,0))),"")))</f>
        <v/>
      </c>
      <c r="T104" s="25">
        <f>IF($A104="","",$A104&amp;"."&amp;$B104)</f>
        <v/>
      </c>
      <c r="U104" s="25">
        <f>IF($A104="","",SUMIFS(inventory!$G$2:$G$801,inventory!$C$2:$C$801,$A104,inventory!$D$2:$D$801,$B104,inventory!$E$2:$E$801,"delivered"))</f>
        <v/>
      </c>
      <c r="V104" s="32">
        <f>IF($A104="","",IFERROR(1/(1/SUMPRODUCT(MAX((inventory!$C$2:$C$801=$A104)*(inventory!$D$2:$D$801=$B104)*(inventory!$E$2:$E$801="delivered")*(inventory!$A$2:$A$801+inventory!$B$2:$B$801)))),""))</f>
        <v/>
      </c>
      <c r="W104" s="25">
        <f>IF($A104="","",IFERROR(IF(INDEX(inventory!$J$2:$J$801,MATCH($A104&amp;"|"&amp;$B104&amp;"|delivered",inventory!$R$2:$R$801,0))="","",INDEX(inventory!$J$2:$J$801,MATCH($A104&amp;"|"&amp;$B104&amp;"|delivered",inventory!$R$2:$R$801,0))),""))</f>
        <v/>
      </c>
      <c r="X104" s="25">
        <f>IF($A104="","",IFERROR(IF(INDEX(photos!$H$2:$H$701,MATCH($A104&amp;"|"&amp;$B104&amp;"|placement|Y",photos!$R$2:$R$701,0))="","",INDEX(photos!$H$2:$H$701,MATCH($A104&amp;"|"&amp;$B104&amp;"|placement|Y",photos!$R$2:$R$701,0))),""))</f>
        <v/>
      </c>
      <c r="Y104" s="26">
        <f>IF($A104="","",IFERROR(IF(INDEX(photos!$E$2:$E$701,MATCH($A104&amp;"|"&amp;$B104&amp;"|placement|Y",photos!$R$2:$R$701,0))="","",INDEX(photos!$E$2:$E$701,MATCH($A104&amp;"|"&amp;$B104&amp;"|placement|Y",photos!$R$2:$R$701,0))),""))</f>
        <v/>
      </c>
      <c r="Z104" s="25">
        <f>IF($A104="","",IF(COUNTIFS(counts!$C$2:$C$701,$A104,counts!$D$2:$D$701,$B104,counts!$E$2:$E$701,"placed")=0,"",SUMIFS(counts!$F$2:$F$701,counts!$C$2:$C$701,$A104,counts!$D$2:$D$701,$B104,counts!$E$2:$E$701,"placed")))</f>
        <v/>
      </c>
      <c r="AA104" s="25">
        <f>IF($A104="","",IF($Y104="",0,N($Z104)))</f>
        <v/>
      </c>
      <c r="AB104" s="25">
        <f>IF($A104="","",IF(OR($Y104="",$I104=""),"N",IF($Y104&lt;=WORKDAY(N($I104),1,calendar!$A$2:$A$80),"Y","N")))</f>
        <v/>
      </c>
      <c r="AC104" s="28">
        <f>IF(OR($A104="",$V104="",$Y104=""),"",ROUND(($Y104+N(IFERROR(IF(INDEX(photos!$F$2:$F$701,MATCH($A104&amp;"|"&amp;$B104&amp;"|placement|Y",photos!$R$2:$R$701,0))="","",INDEX(photos!$F$2:$F$701,MATCH($A104&amp;"|"&amp;$B104&amp;"|placement|Y",photos!$R$2:$R$701,0))),""))-$V104)*24,1))</f>
        <v/>
      </c>
      <c r="AD104" s="25">
        <f>IF($A104="","",SUMIFS(inventory!$G$2:$G$801,inventory!$C$2:$C$801,$A104,inventory!$D$2:$D$801,$B104,inventory!$E$2:$E$801,"topped_up"))</f>
        <v/>
      </c>
      <c r="AE104" s="25">
        <f>IF($A104="","",IF(COUNTIFS(counts!$C$2:$C$701,$A104,counts!$D$2:$D$701,$B104,counts!$E$2:$E$701,"remaining_day3")=0,"",SUMIFS(counts!$F$2:$F$701,counts!$C$2:$C$701,$A104,counts!$D$2:$D$701,$B104,counts!$E$2:$E$701,"remaining_day3")))</f>
        <v/>
      </c>
      <c r="AF104" s="25">
        <f>IF($A104="","",IF(COUNTIFS(counts!$C$2:$C$701,$A104,counts!$D$2:$D$701,$B104,counts!$E$2:$E$701,"remaining_day5")=0,"",SUMIFS(counts!$F$2:$F$701,counts!$C$2:$C$701,$A104,counts!$D$2:$D$701,$B104,counts!$E$2:$E$701,"remaining_day5")))</f>
        <v/>
      </c>
      <c r="AG104" s="25">
        <f>IF(OR($A104="",$AF104=""),"",MAX(0,$AA104+$AD104-$AF104))</f>
        <v/>
      </c>
      <c r="AH104" s="25">
        <f>IF(OR($A104="",$AI104=""),"",IFERROR(IF(INDEX(photos!$H$2:$H$701,MATCH($A104&amp;"|"&amp;$B104&amp;"|later|Y|"&amp;$AI104,photos!$S$2:$S$701,0))="","",INDEX(photos!$H$2:$H$701,MATCH($A104&amp;"|"&amp;$B104&amp;"|later|Y|"&amp;$AI104,photos!$S$2:$S$701,0))),""))</f>
        <v/>
      </c>
      <c r="AI104" s="26">
        <f>IF($A104="","",IFERROR(1/(1/SUMPRODUCT(MAX((photos!$B$2:$B$701=$A104)*(photos!$C$2:$C$701=$B104)*(photos!$D$2:$D$701="later")*(photos!$O$2:$O$701="Y")*photos!$E$2:$E$701))),""))</f>
        <v/>
      </c>
      <c r="AJ104" s="25">
        <f>IF(OR($A104="",$AI104="",$I104=""),"",NETWORKDAYS($I104,$AI104,calendar!$A$2:$A$80))</f>
        <v/>
      </c>
      <c r="AK104" s="25">
        <f>IF($A104="","",IF(AND($X104&lt;&gt;"",$AH104&lt;&gt;""),"Y","N"))</f>
        <v/>
      </c>
      <c r="AL104" s="25">
        <f>IF(OR($A104="",$I104=""),"",IF($BC104="Y",SUMIFS(survey_frozen!$C$2:$C$251,survey_frozen!$P$2:$P$251,$A104&amp;"|"&amp;$B104),IFERROR(COUNTIFS(INDIRECT("'"&amp;$A104&amp;"'!$B$2:$B$501"),$T104,INDIRECT("'"&amp;$A104&amp;"'!$A$2:$A$501"),"&gt;="&amp;$I104,INDIRECT("'"&amp;$A104&amp;"'!$A$2:$A$501"),"&lt;"&amp;($BA104+1)),0)))</f>
        <v/>
      </c>
      <c r="AM104" s="25">
        <f>IF(OR($A104="",$I104=""),"",IF($BC104="Y",SUMIFS(survey_frozen!$D$2:$D$251,survey_frozen!$P$2:$P$251,$A104&amp;"|"&amp;$B104),IFERROR(COUNTIFS(INDIRECT("'"&amp;$A104&amp;"'!$B$2:$B$501"),$T104,INDIRECT("'"&amp;$A104&amp;"'!$A$2:$A$501"),"&gt;="&amp;$I104,INDIRECT("'"&amp;$A104&amp;"'!$A$2:$A$501"),"&lt;"&amp;($BA104+1),INDIRECT("'"&amp;$A104&amp;"'!$C$2:$C$501"),"Yes"),0)))</f>
        <v/>
      </c>
      <c r="AN104" s="25">
        <f>IF($A104="","",IF(COUNTIFS(scans!$C$2:$C$1601,(IF(LEFT($A104,7)="SAMPLE-","SAMPLE-","")&amp;LOWER(SUBSTITUTE(SUBSTITUTE($A104,"SAMPLE-",""),"CMP-","c"))&amp;"-"&amp;LOWER(SUBSTITUTE(SUBSTITUTE($B104,"SAMPLE-",""),"O-","o"))&amp;"-q"),scans!$D$2:$D$1601,"close")=0,"",SUMPRODUCT(MAX((scans!$C$2:$C$1601=(IF(LEFT($A104,7)="SAMPLE-","SAMPLE-","")&amp;LOWER(SUBSTITUTE(SUBSTITUTE($A104,"SAMPLE-",""),"CMP-","c"))&amp;"-"&amp;LOWER(SUBSTITUTE(SUBSTITUTE($B104,"SAMPLE-",""),"O-","o"))&amp;"-q"))*(scans!$D$2:$D$1601="close")*scans!$E$2:$E$1601))-SUMPRODUCT(MAX((scans!$C$2:$C$1601=(IF(LEFT($A104,7)="SAMPLE-","SAMPLE-","")&amp;LOWER(SUBSTITUTE(SUBSTITUTE($A104,"SAMPLE-",""),"CMP-","c"))&amp;"-"&amp;LOWER(SUBSTITUTE(SUBSTITUTE($B104,"SAMPLE-",""),"O-","o"))&amp;"-q"))*(scans!$D$2:$D$1601="baseline")*scans!$E$2:$E$1601))))</f>
        <v/>
      </c>
      <c r="AO104" s="25">
        <f>IF($A104="","",IF(COUNTIFS(scans!$C$2:$C$1601,(IF(LEFT($A104,7)="SAMPLE-","SAMPLE-","")&amp;LOWER(SUBSTITUTE(SUBSTITUTE($A104,"SAMPLE-",""),"CMP-","c"))&amp;"-"&amp;LOWER(SUBSTITUTE(SUBSTITUTE($B104,"SAMPLE-",""),"O-","o"))&amp;"-p"),scans!$D$2:$D$1601,"close")=0,"",SUMPRODUCT(MAX((scans!$C$2:$C$1601=(IF(LEFT($A104,7)="SAMPLE-","SAMPLE-","")&amp;LOWER(SUBSTITUTE(SUBSTITUTE($A104,"SAMPLE-",""),"CMP-","c"))&amp;"-"&amp;LOWER(SUBSTITUTE(SUBSTITUTE($B104,"SAMPLE-",""),"O-","o"))&amp;"-p"))*(scans!$D$2:$D$1601="close")*scans!$E$2:$E$1601))-SUMPRODUCT(MAX((scans!$C$2:$C$1601=(IF(LEFT($A104,7)="SAMPLE-","SAMPLE-","")&amp;LOWER(SUBSTITUTE(SUBSTITUTE($A104,"SAMPLE-",""),"CMP-","c"))&amp;"-"&amp;LOWER(SUBSTITUTE(SUBSTITUTE($B104,"SAMPLE-",""),"O-","o"))&amp;"-p"))*(scans!$D$2:$D$1601="baseline")*scans!$E$2:$E$1601))))</f>
        <v/>
      </c>
      <c r="AP104" s="25">
        <f>IF($A104="","",IF(COUNTIF(offices!$A$2:$A$61,$B104)=0,"office_id not on offices; ","")&amp;IF(COUNTIF(campaigns!$A$2:$A$51,$A104)=0,"campaign_id not on campaigns; ","")&amp;IF($P104="pending","approval pending; ","")&amp;IF(AND($U104&gt;0,$Y104="",OR($I104="",IF(config!$B$37&lt;&gt;"",config!$B$37,TODAY())&lt;=WORKDAY(N($I104),4,calendar!$A$2:$A$80))),"no usable placement photo yet; ","")&amp;IF(AND($Y104&lt;&gt;"",$Z104=""),"log the placed count; ","")&amp;IF(N($AA104)&gt;N($U104),"placed more than delivered; ","")&amp;IF(AND($AF104&lt;&gt;"",N($AF104)&gt;N($AA104)+N($AD104)),"day-5 count above placed plus top-ups; ","")&amp;IF(AND($U104&gt;0,$I104&lt;&gt;"",IF(config!$B$37&lt;&gt;"",config!$B$37,TODAY())&gt;WORKDAY(N($I104),4,calendar!$A$2:$A$80),$AF104=""),"day-5 count missing; ","")&amp;IF(AND($U104&gt;0,$I104&lt;&gt;"",IF(config!$B$37&lt;&gt;"",config!$B$37,TODAY())&gt;WORKDAY(N($I104),4,calendar!$A$2:$A$80),$AN104=""),"no close link reading; ","")&amp;$R104&amp;IF($P104="N","info: office said no; ","")&amp;IF(AND($P104="Y",$Q104="N"),"info: turned away at the door, so not on the drop (no letter, not in the report or Gate 2; the credit check is on campaigns); ","")&amp;IF(AND($U104&gt;0,$Y104="",$I104&lt;&gt;"",IF(config!$B$37&lt;&gt;"",config!$B$37,TODAY())&gt;WORKDAY(N($I104),4,calendar!$A$2:$A$80)),"info: no usable placement photo, so nothing counts as placed; ","")&amp;IF(AND($U104&gt;0,$I104&lt;&gt;"",IF(config!$B$37&lt;&gt;"",config!$B$37,TODAY())&gt;WORKDAY(N($I104),4,calendar!$A$2:$A$80),N($AL104)&lt;config!$B$30),"info: under "&amp;config!$B$30&amp;" responses; ","")&amp;IF($W104="packing_list","info: delivered count not verified; ",""))</f>
        <v/>
      </c>
      <c r="AQ104" s="25">
        <f>IF(OR($A104="",$I104=""),"",IF($BC104="Y",SUMIFS(survey_frozen!$E$2:$E$251,survey_frozen!$P$2:$P$251,$A104&amp;"|"&amp;$B104),IFERROR(COUNTIFS(INDIRECT("'"&amp;$A104&amp;"'!$B$2:$B$501"),$T104,INDIRECT("'"&amp;$A104&amp;"'!$A$2:$A$501"),"&gt;="&amp;$I104,INDIRECT("'"&amp;$A104&amp;"'!$A$2:$A$501"),"&lt;"&amp;($BA104+1),INDIRECT("'"&amp;$A104&amp;"'!$F$2:$F$501"),"Didn't see it"),0)))</f>
        <v/>
      </c>
      <c r="AR104" s="25">
        <f>IF(OR($A104="",$I104=""),"",IF($BC104="Y",SUMIFS(survey_frozen!$F$2:$F$251,survey_frozen!$P$2:$P$251,$A104&amp;"|"&amp;$B104),IFERROR(COUNTIFS(INDIRECT("'"&amp;$A104&amp;"'!$B$2:$B$501"),$T104,INDIRECT("'"&amp;$A104&amp;"'!$A$2:$A$501"),"&gt;="&amp;$I104,INDIRECT("'"&amp;$A104&amp;"'!$A$2:$A$501"),"&lt;"&amp;($BA104+1),INDIRECT("'"&amp;$A104&amp;"'!$F$2:$F$501"),"Not for me"),0)))</f>
        <v/>
      </c>
      <c r="AS104" s="25">
        <f>IF(OR($A104="",$I104=""),"",IF($BC104="Y",SUMIFS(survey_frozen!$G$2:$G$251,survey_frozen!$P$2:$P$251,$A104&amp;"|"&amp;$B104),IFERROR(COUNTIFS(INDIRECT("'"&amp;$A104&amp;"'!$B$2:$B$501"),$T104,INDIRECT("'"&amp;$A104&amp;"'!$A$2:$A$501"),"&gt;="&amp;$I104,INDIRECT("'"&amp;$A104&amp;"'!$A$2:$A$501"),"&lt;"&amp;($BA104+1),INDIRECT("'"&amp;$A104&amp;"'!$F$2:$F$501"),"Gone by the time I looked"),0)))</f>
        <v/>
      </c>
      <c r="AT104" s="25">
        <f>IF(OR($A104="",$I104=""),"",IF($BC104="Y",SUMIFS(survey_frozen!$H$2:$H$251,survey_frozen!$P$2:$P$251,$A104&amp;"|"&amp;$B104),IFERROR(COUNTIFS(INDIRECT("'"&amp;$A104&amp;"'!$B$2:$B$501"),$T104,INDIRECT("'"&amp;$A104&amp;"'!$A$2:$A$501"),"&gt;="&amp;$I104,INDIRECT("'"&amp;$A104&amp;"'!$A$2:$A$501"),"&lt;"&amp;($BA104+1),INDIRECT("'"&amp;$A104&amp;"'!$D$2:$D$501"),"&gt;=1"),0)))</f>
        <v/>
      </c>
      <c r="AU104" s="25">
        <f>IF(OR($A104="",$I104=""),"",IF($BC104="Y",SUMIFS(survey_frozen!$I$2:$I$251,survey_frozen!$P$2:$P$251,$A104&amp;"|"&amp;$B104),IFERROR(SUMIFS(INDIRECT("'"&amp;$A104&amp;"'!$D$2:$D$501"),INDIRECT("'"&amp;$A104&amp;"'!$B$2:$B$501"),$T104,INDIRECT("'"&amp;$A104&amp;"'!$A$2:$A$501"),"&gt;="&amp;$I104,INDIRECT("'"&amp;$A104&amp;"'!$A$2:$A$501"),"&lt;"&amp;($BA104+1)),0)))</f>
        <v/>
      </c>
      <c r="AV104" s="25">
        <f>IF(OR($A104="",$I104=""),"",IF($BC104="Y",SUMIFS(survey_frozen!$J$2:$J$251,survey_frozen!$P$2:$P$251,$A104&amp;"|"&amp;$B104),IFERROR(COUNTIFS(INDIRECT("'"&amp;$A104&amp;"'!$B$2:$B$501"),$T104,INDIRECT("'"&amp;$A104&amp;"'!$A$2:$A$501"),"&gt;="&amp;$I104,INDIRECT("'"&amp;$A104&amp;"'!$A$2:$A$501"),"&lt;"&amp;($BA104+1),INDIRECT("'"&amp;$A104&amp;"'!$E$2:$E$501"),"Yes"),0)))</f>
        <v/>
      </c>
      <c r="AW104" s="25">
        <f>IF(OR($A104="",$I104=""),"",IF($BC104="Y",SUMIFS(survey_frozen!$K$2:$K$251,survey_frozen!$P$2:$P$251,$A104&amp;"|"&amp;$B104),IFERROR(COUNTIFS(INDIRECT("'"&amp;$A104&amp;"'!$B$2:$B$501"),$T104,INDIRECT("'"&amp;$A104&amp;"'!$A$2:$A$501"),"&gt;="&amp;$I104,INDIRECT("'"&amp;$A104&amp;"'!$A$2:$A$501"),"&lt;"&amp;($BA104+1),INDIRECT("'"&amp;$A104&amp;"'!$E$2:$E$501"),"Maybe"),0)))</f>
        <v/>
      </c>
      <c r="AX104" s="25">
        <f>IF(OR($A104="",$I104=""),"",IF($BC104="Y",SUMIFS(survey_frozen!$L$2:$L$251,survey_frozen!$P$2:$P$251,$A104&amp;"|"&amp;$B104),IFERROR(COUNTIFS(INDIRECT("'"&amp;$A104&amp;"'!$B$2:$B$501"),$T104,INDIRECT("'"&amp;$A104&amp;"'!$A$2:$A$501"),"&gt;="&amp;$I104,INDIRECT("'"&amp;$A104&amp;"'!$A$2:$A$501"),"&lt;"&amp;($BA104+1),INDIRECT("'"&amp;$A104&amp;"'!$E$2:$E$501"),"No"),0)))</f>
        <v/>
      </c>
      <c r="AY104" s="25">
        <f>IF(OR($A104="",$I104=""),"",IF($BC104="Y",SUMIFS(survey_frozen!$M$2:$M$251,survey_frozen!$P$2:$P$251,$A104&amp;"|"&amp;$B104),IFERROR(COUNTIFS(INDIRECT("'"&amp;$A104&amp;"'!$B$2:$B$501"),$T104,INDIRECT("'"&amp;$A104&amp;"'!$A$2:$A$501"),"&gt;="&amp;$I104,INDIRECT("'"&amp;$A104&amp;"'!$A$2:$A$501"),"&lt;"&amp;($BA104+1),INDIRECT("'"&amp;$A104&amp;"'!$G$2:$G$501"),"&lt;&gt;"),0)))</f>
        <v/>
      </c>
      <c r="AZ104" s="25">
        <f>IF($A104="","",$A104&amp;"|"&amp;$L104)</f>
        <v/>
      </c>
      <c r="BA104" s="26">
        <f>IF($A104="","",IFERROR(IF(INDEX(drops!$R$2:$R$21,MATCH($H104,drops!$A$2:$A$21,0))="","",INDEX(drops!$R$2:$R$21,MATCH($H104,drops!$A$2:$A$21,0))),""))</f>
        <v/>
      </c>
      <c r="BB104" s="25">
        <f>IF(OR($A104="",$Q104&lt;&gt;"Y"),1000000,N($AL104))</f>
        <v/>
      </c>
      <c r="BC104" s="25">
        <f>IF($A104="","",IF(COUNTIF(survey_frozen!$P$2:$P$251,$A104&amp;"|"&amp;$B104)&gt;0,"Y",""))</f>
        <v/>
      </c>
    </row>
    <row r="105">
      <c r="C105" s="9" t="n"/>
      <c r="E105" s="9" t="n"/>
      <c r="H105" s="25">
        <f>IF($A105="","",IFERROR(IF(INDEX(campaigns!$B$2:$B$51,MATCH($A105,campaigns!$A$2:$A$51,0))="","",INDEX(campaigns!$B$2:$B$51,MATCH($A105,campaigns!$A$2:$A$51,0))),""))</f>
        <v/>
      </c>
      <c r="I105" s="26">
        <f>IF($A105="","",IFERROR(IF(INDEX(campaigns!$BG$2:$BG$51,MATCH($A105,campaigns!$A$2:$A$51,0))="","",INDEX(campaigns!$BG$2:$BG$51,MATCH($A105,campaigns!$A$2:$A$51,0))),""))</f>
        <v/>
      </c>
      <c r="J105" s="25">
        <f>IF($A105="","",IFERROR(IF(INDEX(campaigns!$BE$2:$BE$51,MATCH($A105,campaigns!$A$2:$A$51,0))="","",INDEX(campaigns!$BE$2:$BE$51,MATCH($A105,campaigns!$A$2:$A$51,0))),""))</f>
        <v/>
      </c>
      <c r="K105" s="25">
        <f>IF($B105="","",IFERROR(IF(INDEX(offices!$N$2:$N$61,MATCH($B105,offices!$A$2:$A$61,0))="","",INDEX(offices!$N$2:$N$61,MATCH($B105,offices!$A$2:$A$61,0))),""))</f>
        <v/>
      </c>
      <c r="L105" s="25">
        <f>IF($A105="","",IF($Q105="N","",COUNTIFS($A$2:$A105,$A105,$Q$2:$Q105,"&lt;&gt;N")))</f>
        <v/>
      </c>
      <c r="M105" s="25">
        <f>IF(OR($A105="",$L105=""),"",IF(AND(config!$B$34="names_if_public",IFERROR(IF(INDEX(offices!$AF$2:$AF$61,MATCH($B105,offices!$A$2:$A$61,0))="","",INDEX(offices!$AF$2:$AF$61,MATCH($B105,offices!$A$2:$A$61,0))),"")="Y"),$K105,CHAR(64+$L105)))</f>
        <v/>
      </c>
      <c r="N105" s="25">
        <f>IF(OR($A105="",$I105=""),"",COUNTIFS(stops!$B$2:$B$151,$B105,stops!$P$2:$P$151,"&lt;"&amp;$I105,stops!$L$2:$L$151,"&lt;&gt;not_delivered")+1)</f>
        <v/>
      </c>
      <c r="O105" s="25">
        <f>IF($A105="","",IF(N($N105)&lt;=config!$B$29,"explicit","opt-out"))</f>
        <v/>
      </c>
      <c r="P105" s="25">
        <f>IF($A105="","",IF($O105="explicit",IF($D105="yes","Y",IF($D105="no","N","pending")),IF($D105="no","N",IF(AND($C105&lt;&gt;"",$I105&lt;&gt;"",$C105&lt;=WORKDAY(N($I105),-5,calendar!$A$2:$A$80)),"Y","pending"))))</f>
        <v/>
      </c>
      <c r="Q105" s="25">
        <f>IF($A105="","",IF($P105="N","N",IF($P105&lt;&gt;"Y","pending",IF(AND((COUNTIFS(stops!$A$2:$A$151,$H105,stops!$B$2:$B$151,$B105,stops!$L$2:$L$151,"declined")+COUNTIFS(stops!$A$2:$A$151,$H105,stops!$B$2:$B$151,$B105,stops!$L$2:$L$151,"building_refused")+COUNTIFS(stops!$A$2:$A$151,$H105,stops!$B$2:$B$151,$B105,stops!$L$2:$L$151,"not_delivered"))&gt;0,N($U105)=0),"N","Y"))))</f>
        <v/>
      </c>
      <c r="R105" s="25">
        <f>IF($A105="","",IF(COUNTIFS($A$2:$A$251,$A105,$B$2:$B$251,$B105)&gt;1,"DUPLICATE ROW; ","")&amp;IF(AND(IFERROR(IF(INDEX(offices!$AC$2:$AC$61,MATCH($B105,offices!$A$2:$A$61,0))="","",INDEX(offices!$AC$2:$AC$61,MATCH($B105,offices!$A$2:$A$61,0))),"")&lt;&gt;"",ISNUMBER(SEARCH($J105,IFERROR(IF(INDEX(offices!$AC$2:$AC$61,MATCH($B105,offices!$A$2:$A$61,0))="","",INDEX(offices!$AC$2:$AC$61,MATCH($B105,offices!$A$2:$A$61,0))),"")))),"BRAND VETOED; ","")&amp;IF(ISNUMBER(SEARCH(IFERROR(IF(INDEX(campaigns!$BF$2:$BF$51,MATCH($A105,campaigns!$A$2:$A$51,0))="","",INDEX(campaigns!$BF$2:$BF$51,MATCH($A105,campaigns!$A$2:$A$51,0))),""),IFERROR(IF(INDEX(offices!$AB$2:$AB$61,MATCH($B105,offices!$A$2:$A$61,0))="","",INDEX(offices!$AB$2:$AB$61,MATCH($B105,offices!$A$2:$A$61,0))),""))),"","info: category not on the office's list; ")&amp;IF(IFERROR(IF(INDEX(offices!$AC$2:$AC$61,MATCH($B105,offices!$A$2:$A$61,0))="","",INDEX(offices!$AC$2:$AC$61,MATCH($B105,offices!$A$2:$A$61,0))),"")&lt;&gt;"","info: read the vetoes against the label; ",""))</f>
        <v/>
      </c>
      <c r="S105" s="25">
        <f>IF($A105="","",IF($G105&lt;&gt;"",$G105,IFERROR(IF(INDEX(offices!$AL$2:$AL$61,MATCH($B105,offices!$A$2:$A$61,0))="","",INDEX(offices!$AL$2:$AL$61,MATCH($B105,offices!$A$2:$A$61,0))),"")))</f>
        <v/>
      </c>
      <c r="T105" s="25">
        <f>IF($A105="","",$A105&amp;"."&amp;$B105)</f>
        <v/>
      </c>
      <c r="U105" s="25">
        <f>IF($A105="","",SUMIFS(inventory!$G$2:$G$801,inventory!$C$2:$C$801,$A105,inventory!$D$2:$D$801,$B105,inventory!$E$2:$E$801,"delivered"))</f>
        <v/>
      </c>
      <c r="V105" s="32">
        <f>IF($A105="","",IFERROR(1/(1/SUMPRODUCT(MAX((inventory!$C$2:$C$801=$A105)*(inventory!$D$2:$D$801=$B105)*(inventory!$E$2:$E$801="delivered")*(inventory!$A$2:$A$801+inventory!$B$2:$B$801)))),""))</f>
        <v/>
      </c>
      <c r="W105" s="25">
        <f>IF($A105="","",IFERROR(IF(INDEX(inventory!$J$2:$J$801,MATCH($A105&amp;"|"&amp;$B105&amp;"|delivered",inventory!$R$2:$R$801,0))="","",INDEX(inventory!$J$2:$J$801,MATCH($A105&amp;"|"&amp;$B105&amp;"|delivered",inventory!$R$2:$R$801,0))),""))</f>
        <v/>
      </c>
      <c r="X105" s="25">
        <f>IF($A105="","",IFERROR(IF(INDEX(photos!$H$2:$H$701,MATCH($A105&amp;"|"&amp;$B105&amp;"|placement|Y",photos!$R$2:$R$701,0))="","",INDEX(photos!$H$2:$H$701,MATCH($A105&amp;"|"&amp;$B105&amp;"|placement|Y",photos!$R$2:$R$701,0))),""))</f>
        <v/>
      </c>
      <c r="Y105" s="26">
        <f>IF($A105="","",IFERROR(IF(INDEX(photos!$E$2:$E$701,MATCH($A105&amp;"|"&amp;$B105&amp;"|placement|Y",photos!$R$2:$R$701,0))="","",INDEX(photos!$E$2:$E$701,MATCH($A105&amp;"|"&amp;$B105&amp;"|placement|Y",photos!$R$2:$R$701,0))),""))</f>
        <v/>
      </c>
      <c r="Z105" s="25">
        <f>IF($A105="","",IF(COUNTIFS(counts!$C$2:$C$701,$A105,counts!$D$2:$D$701,$B105,counts!$E$2:$E$701,"placed")=0,"",SUMIFS(counts!$F$2:$F$701,counts!$C$2:$C$701,$A105,counts!$D$2:$D$701,$B105,counts!$E$2:$E$701,"placed")))</f>
        <v/>
      </c>
      <c r="AA105" s="25">
        <f>IF($A105="","",IF($Y105="",0,N($Z105)))</f>
        <v/>
      </c>
      <c r="AB105" s="25">
        <f>IF($A105="","",IF(OR($Y105="",$I105=""),"N",IF($Y105&lt;=WORKDAY(N($I105),1,calendar!$A$2:$A$80),"Y","N")))</f>
        <v/>
      </c>
      <c r="AC105" s="28">
        <f>IF(OR($A105="",$V105="",$Y105=""),"",ROUND(($Y105+N(IFERROR(IF(INDEX(photos!$F$2:$F$701,MATCH($A105&amp;"|"&amp;$B105&amp;"|placement|Y",photos!$R$2:$R$701,0))="","",INDEX(photos!$F$2:$F$701,MATCH($A105&amp;"|"&amp;$B105&amp;"|placement|Y",photos!$R$2:$R$701,0))),""))-$V105)*24,1))</f>
        <v/>
      </c>
      <c r="AD105" s="25">
        <f>IF($A105="","",SUMIFS(inventory!$G$2:$G$801,inventory!$C$2:$C$801,$A105,inventory!$D$2:$D$801,$B105,inventory!$E$2:$E$801,"topped_up"))</f>
        <v/>
      </c>
      <c r="AE105" s="25">
        <f>IF($A105="","",IF(COUNTIFS(counts!$C$2:$C$701,$A105,counts!$D$2:$D$701,$B105,counts!$E$2:$E$701,"remaining_day3")=0,"",SUMIFS(counts!$F$2:$F$701,counts!$C$2:$C$701,$A105,counts!$D$2:$D$701,$B105,counts!$E$2:$E$701,"remaining_day3")))</f>
        <v/>
      </c>
      <c r="AF105" s="25">
        <f>IF($A105="","",IF(COUNTIFS(counts!$C$2:$C$701,$A105,counts!$D$2:$D$701,$B105,counts!$E$2:$E$701,"remaining_day5")=0,"",SUMIFS(counts!$F$2:$F$701,counts!$C$2:$C$701,$A105,counts!$D$2:$D$701,$B105,counts!$E$2:$E$701,"remaining_day5")))</f>
        <v/>
      </c>
      <c r="AG105" s="25">
        <f>IF(OR($A105="",$AF105=""),"",MAX(0,$AA105+$AD105-$AF105))</f>
        <v/>
      </c>
      <c r="AH105" s="25">
        <f>IF(OR($A105="",$AI105=""),"",IFERROR(IF(INDEX(photos!$H$2:$H$701,MATCH($A105&amp;"|"&amp;$B105&amp;"|later|Y|"&amp;$AI105,photos!$S$2:$S$701,0))="","",INDEX(photos!$H$2:$H$701,MATCH($A105&amp;"|"&amp;$B105&amp;"|later|Y|"&amp;$AI105,photos!$S$2:$S$701,0))),""))</f>
        <v/>
      </c>
      <c r="AI105" s="26">
        <f>IF($A105="","",IFERROR(1/(1/SUMPRODUCT(MAX((photos!$B$2:$B$701=$A105)*(photos!$C$2:$C$701=$B105)*(photos!$D$2:$D$701="later")*(photos!$O$2:$O$701="Y")*photos!$E$2:$E$701))),""))</f>
        <v/>
      </c>
      <c r="AJ105" s="25">
        <f>IF(OR($A105="",$AI105="",$I105=""),"",NETWORKDAYS($I105,$AI105,calendar!$A$2:$A$80))</f>
        <v/>
      </c>
      <c r="AK105" s="25">
        <f>IF($A105="","",IF(AND($X105&lt;&gt;"",$AH105&lt;&gt;""),"Y","N"))</f>
        <v/>
      </c>
      <c r="AL105" s="25">
        <f>IF(OR($A105="",$I105=""),"",IF($BC105="Y",SUMIFS(survey_frozen!$C$2:$C$251,survey_frozen!$P$2:$P$251,$A105&amp;"|"&amp;$B105),IFERROR(COUNTIFS(INDIRECT("'"&amp;$A105&amp;"'!$B$2:$B$501"),$T105,INDIRECT("'"&amp;$A105&amp;"'!$A$2:$A$501"),"&gt;="&amp;$I105,INDIRECT("'"&amp;$A105&amp;"'!$A$2:$A$501"),"&lt;"&amp;($BA105+1)),0)))</f>
        <v/>
      </c>
      <c r="AM105" s="25">
        <f>IF(OR($A105="",$I105=""),"",IF($BC105="Y",SUMIFS(survey_frozen!$D$2:$D$251,survey_frozen!$P$2:$P$251,$A105&amp;"|"&amp;$B105),IFERROR(COUNTIFS(INDIRECT("'"&amp;$A105&amp;"'!$B$2:$B$501"),$T105,INDIRECT("'"&amp;$A105&amp;"'!$A$2:$A$501"),"&gt;="&amp;$I105,INDIRECT("'"&amp;$A105&amp;"'!$A$2:$A$501"),"&lt;"&amp;($BA105+1),INDIRECT("'"&amp;$A105&amp;"'!$C$2:$C$501"),"Yes"),0)))</f>
        <v/>
      </c>
      <c r="AN105" s="25">
        <f>IF($A105="","",IF(COUNTIFS(scans!$C$2:$C$1601,(IF(LEFT($A105,7)="SAMPLE-","SAMPLE-","")&amp;LOWER(SUBSTITUTE(SUBSTITUTE($A105,"SAMPLE-",""),"CMP-","c"))&amp;"-"&amp;LOWER(SUBSTITUTE(SUBSTITUTE($B105,"SAMPLE-",""),"O-","o"))&amp;"-q"),scans!$D$2:$D$1601,"close")=0,"",SUMPRODUCT(MAX((scans!$C$2:$C$1601=(IF(LEFT($A105,7)="SAMPLE-","SAMPLE-","")&amp;LOWER(SUBSTITUTE(SUBSTITUTE($A105,"SAMPLE-",""),"CMP-","c"))&amp;"-"&amp;LOWER(SUBSTITUTE(SUBSTITUTE($B105,"SAMPLE-",""),"O-","o"))&amp;"-q"))*(scans!$D$2:$D$1601="close")*scans!$E$2:$E$1601))-SUMPRODUCT(MAX((scans!$C$2:$C$1601=(IF(LEFT($A105,7)="SAMPLE-","SAMPLE-","")&amp;LOWER(SUBSTITUTE(SUBSTITUTE($A105,"SAMPLE-",""),"CMP-","c"))&amp;"-"&amp;LOWER(SUBSTITUTE(SUBSTITUTE($B105,"SAMPLE-",""),"O-","o"))&amp;"-q"))*(scans!$D$2:$D$1601="baseline")*scans!$E$2:$E$1601))))</f>
        <v/>
      </c>
      <c r="AO105" s="25">
        <f>IF($A105="","",IF(COUNTIFS(scans!$C$2:$C$1601,(IF(LEFT($A105,7)="SAMPLE-","SAMPLE-","")&amp;LOWER(SUBSTITUTE(SUBSTITUTE($A105,"SAMPLE-",""),"CMP-","c"))&amp;"-"&amp;LOWER(SUBSTITUTE(SUBSTITUTE($B105,"SAMPLE-",""),"O-","o"))&amp;"-p"),scans!$D$2:$D$1601,"close")=0,"",SUMPRODUCT(MAX((scans!$C$2:$C$1601=(IF(LEFT($A105,7)="SAMPLE-","SAMPLE-","")&amp;LOWER(SUBSTITUTE(SUBSTITUTE($A105,"SAMPLE-",""),"CMP-","c"))&amp;"-"&amp;LOWER(SUBSTITUTE(SUBSTITUTE($B105,"SAMPLE-",""),"O-","o"))&amp;"-p"))*(scans!$D$2:$D$1601="close")*scans!$E$2:$E$1601))-SUMPRODUCT(MAX((scans!$C$2:$C$1601=(IF(LEFT($A105,7)="SAMPLE-","SAMPLE-","")&amp;LOWER(SUBSTITUTE(SUBSTITUTE($A105,"SAMPLE-",""),"CMP-","c"))&amp;"-"&amp;LOWER(SUBSTITUTE(SUBSTITUTE($B105,"SAMPLE-",""),"O-","o"))&amp;"-p"))*(scans!$D$2:$D$1601="baseline")*scans!$E$2:$E$1601))))</f>
        <v/>
      </c>
      <c r="AP105" s="25">
        <f>IF($A105="","",IF(COUNTIF(offices!$A$2:$A$61,$B105)=0,"office_id not on offices; ","")&amp;IF(COUNTIF(campaigns!$A$2:$A$51,$A105)=0,"campaign_id not on campaigns; ","")&amp;IF($P105="pending","approval pending; ","")&amp;IF(AND($U105&gt;0,$Y105="",OR($I105="",IF(config!$B$37&lt;&gt;"",config!$B$37,TODAY())&lt;=WORKDAY(N($I105),4,calendar!$A$2:$A$80))),"no usable placement photo yet; ","")&amp;IF(AND($Y105&lt;&gt;"",$Z105=""),"log the placed count; ","")&amp;IF(N($AA105)&gt;N($U105),"placed more than delivered; ","")&amp;IF(AND($AF105&lt;&gt;"",N($AF105)&gt;N($AA105)+N($AD105)),"day-5 count above placed plus top-ups; ","")&amp;IF(AND($U105&gt;0,$I105&lt;&gt;"",IF(config!$B$37&lt;&gt;"",config!$B$37,TODAY())&gt;WORKDAY(N($I105),4,calendar!$A$2:$A$80),$AF105=""),"day-5 count missing; ","")&amp;IF(AND($U105&gt;0,$I105&lt;&gt;"",IF(config!$B$37&lt;&gt;"",config!$B$37,TODAY())&gt;WORKDAY(N($I105),4,calendar!$A$2:$A$80),$AN105=""),"no close link reading; ","")&amp;$R105&amp;IF($P105="N","info: office said no; ","")&amp;IF(AND($P105="Y",$Q105="N"),"info: turned away at the door, so not on the drop (no letter, not in the report or Gate 2; the credit check is on campaigns); ","")&amp;IF(AND($U105&gt;0,$Y105="",$I105&lt;&gt;"",IF(config!$B$37&lt;&gt;"",config!$B$37,TODAY())&gt;WORKDAY(N($I105),4,calendar!$A$2:$A$80)),"info: no usable placement photo, so nothing counts as placed; ","")&amp;IF(AND($U105&gt;0,$I105&lt;&gt;"",IF(config!$B$37&lt;&gt;"",config!$B$37,TODAY())&gt;WORKDAY(N($I105),4,calendar!$A$2:$A$80),N($AL105)&lt;config!$B$30),"info: under "&amp;config!$B$30&amp;" responses; ","")&amp;IF($W105="packing_list","info: delivered count not verified; ",""))</f>
        <v/>
      </c>
      <c r="AQ105" s="25">
        <f>IF(OR($A105="",$I105=""),"",IF($BC105="Y",SUMIFS(survey_frozen!$E$2:$E$251,survey_frozen!$P$2:$P$251,$A105&amp;"|"&amp;$B105),IFERROR(COUNTIFS(INDIRECT("'"&amp;$A105&amp;"'!$B$2:$B$501"),$T105,INDIRECT("'"&amp;$A105&amp;"'!$A$2:$A$501"),"&gt;="&amp;$I105,INDIRECT("'"&amp;$A105&amp;"'!$A$2:$A$501"),"&lt;"&amp;($BA105+1),INDIRECT("'"&amp;$A105&amp;"'!$F$2:$F$501"),"Didn't see it"),0)))</f>
        <v/>
      </c>
      <c r="AR105" s="25">
        <f>IF(OR($A105="",$I105=""),"",IF($BC105="Y",SUMIFS(survey_frozen!$F$2:$F$251,survey_frozen!$P$2:$P$251,$A105&amp;"|"&amp;$B105),IFERROR(COUNTIFS(INDIRECT("'"&amp;$A105&amp;"'!$B$2:$B$501"),$T105,INDIRECT("'"&amp;$A105&amp;"'!$A$2:$A$501"),"&gt;="&amp;$I105,INDIRECT("'"&amp;$A105&amp;"'!$A$2:$A$501"),"&lt;"&amp;($BA105+1),INDIRECT("'"&amp;$A105&amp;"'!$F$2:$F$501"),"Not for me"),0)))</f>
        <v/>
      </c>
      <c r="AS105" s="25">
        <f>IF(OR($A105="",$I105=""),"",IF($BC105="Y",SUMIFS(survey_frozen!$G$2:$G$251,survey_frozen!$P$2:$P$251,$A105&amp;"|"&amp;$B105),IFERROR(COUNTIFS(INDIRECT("'"&amp;$A105&amp;"'!$B$2:$B$501"),$T105,INDIRECT("'"&amp;$A105&amp;"'!$A$2:$A$501"),"&gt;="&amp;$I105,INDIRECT("'"&amp;$A105&amp;"'!$A$2:$A$501"),"&lt;"&amp;($BA105+1),INDIRECT("'"&amp;$A105&amp;"'!$F$2:$F$501"),"Gone by the time I looked"),0)))</f>
        <v/>
      </c>
      <c r="AT105" s="25">
        <f>IF(OR($A105="",$I105=""),"",IF($BC105="Y",SUMIFS(survey_frozen!$H$2:$H$251,survey_frozen!$P$2:$P$251,$A105&amp;"|"&amp;$B105),IFERROR(COUNTIFS(INDIRECT("'"&amp;$A105&amp;"'!$B$2:$B$501"),$T105,INDIRECT("'"&amp;$A105&amp;"'!$A$2:$A$501"),"&gt;="&amp;$I105,INDIRECT("'"&amp;$A105&amp;"'!$A$2:$A$501"),"&lt;"&amp;($BA105+1),INDIRECT("'"&amp;$A105&amp;"'!$D$2:$D$501"),"&gt;=1"),0)))</f>
        <v/>
      </c>
      <c r="AU105" s="25">
        <f>IF(OR($A105="",$I105=""),"",IF($BC105="Y",SUMIFS(survey_frozen!$I$2:$I$251,survey_frozen!$P$2:$P$251,$A105&amp;"|"&amp;$B105),IFERROR(SUMIFS(INDIRECT("'"&amp;$A105&amp;"'!$D$2:$D$501"),INDIRECT("'"&amp;$A105&amp;"'!$B$2:$B$501"),$T105,INDIRECT("'"&amp;$A105&amp;"'!$A$2:$A$501"),"&gt;="&amp;$I105,INDIRECT("'"&amp;$A105&amp;"'!$A$2:$A$501"),"&lt;"&amp;($BA105+1)),0)))</f>
        <v/>
      </c>
      <c r="AV105" s="25">
        <f>IF(OR($A105="",$I105=""),"",IF($BC105="Y",SUMIFS(survey_frozen!$J$2:$J$251,survey_frozen!$P$2:$P$251,$A105&amp;"|"&amp;$B105),IFERROR(COUNTIFS(INDIRECT("'"&amp;$A105&amp;"'!$B$2:$B$501"),$T105,INDIRECT("'"&amp;$A105&amp;"'!$A$2:$A$501"),"&gt;="&amp;$I105,INDIRECT("'"&amp;$A105&amp;"'!$A$2:$A$501"),"&lt;"&amp;($BA105+1),INDIRECT("'"&amp;$A105&amp;"'!$E$2:$E$501"),"Yes"),0)))</f>
        <v/>
      </c>
      <c r="AW105" s="25">
        <f>IF(OR($A105="",$I105=""),"",IF($BC105="Y",SUMIFS(survey_frozen!$K$2:$K$251,survey_frozen!$P$2:$P$251,$A105&amp;"|"&amp;$B105),IFERROR(COUNTIFS(INDIRECT("'"&amp;$A105&amp;"'!$B$2:$B$501"),$T105,INDIRECT("'"&amp;$A105&amp;"'!$A$2:$A$501"),"&gt;="&amp;$I105,INDIRECT("'"&amp;$A105&amp;"'!$A$2:$A$501"),"&lt;"&amp;($BA105+1),INDIRECT("'"&amp;$A105&amp;"'!$E$2:$E$501"),"Maybe"),0)))</f>
        <v/>
      </c>
      <c r="AX105" s="25">
        <f>IF(OR($A105="",$I105=""),"",IF($BC105="Y",SUMIFS(survey_frozen!$L$2:$L$251,survey_frozen!$P$2:$P$251,$A105&amp;"|"&amp;$B105),IFERROR(COUNTIFS(INDIRECT("'"&amp;$A105&amp;"'!$B$2:$B$501"),$T105,INDIRECT("'"&amp;$A105&amp;"'!$A$2:$A$501"),"&gt;="&amp;$I105,INDIRECT("'"&amp;$A105&amp;"'!$A$2:$A$501"),"&lt;"&amp;($BA105+1),INDIRECT("'"&amp;$A105&amp;"'!$E$2:$E$501"),"No"),0)))</f>
        <v/>
      </c>
      <c r="AY105" s="25">
        <f>IF(OR($A105="",$I105=""),"",IF($BC105="Y",SUMIFS(survey_frozen!$M$2:$M$251,survey_frozen!$P$2:$P$251,$A105&amp;"|"&amp;$B105),IFERROR(COUNTIFS(INDIRECT("'"&amp;$A105&amp;"'!$B$2:$B$501"),$T105,INDIRECT("'"&amp;$A105&amp;"'!$A$2:$A$501"),"&gt;="&amp;$I105,INDIRECT("'"&amp;$A105&amp;"'!$A$2:$A$501"),"&lt;"&amp;($BA105+1),INDIRECT("'"&amp;$A105&amp;"'!$G$2:$G$501"),"&lt;&gt;"),0)))</f>
        <v/>
      </c>
      <c r="AZ105" s="25">
        <f>IF($A105="","",$A105&amp;"|"&amp;$L105)</f>
        <v/>
      </c>
      <c r="BA105" s="26">
        <f>IF($A105="","",IFERROR(IF(INDEX(drops!$R$2:$R$21,MATCH($H105,drops!$A$2:$A$21,0))="","",INDEX(drops!$R$2:$R$21,MATCH($H105,drops!$A$2:$A$21,0))),""))</f>
        <v/>
      </c>
      <c r="BB105" s="25">
        <f>IF(OR($A105="",$Q105&lt;&gt;"Y"),1000000,N($AL105))</f>
        <v/>
      </c>
      <c r="BC105" s="25">
        <f>IF($A105="","",IF(COUNTIF(survey_frozen!$P$2:$P$251,$A105&amp;"|"&amp;$B105)&gt;0,"Y",""))</f>
        <v/>
      </c>
    </row>
    <row r="106">
      <c r="C106" s="9" t="n"/>
      <c r="E106" s="9" t="n"/>
      <c r="H106" s="25">
        <f>IF($A106="","",IFERROR(IF(INDEX(campaigns!$B$2:$B$51,MATCH($A106,campaigns!$A$2:$A$51,0))="","",INDEX(campaigns!$B$2:$B$51,MATCH($A106,campaigns!$A$2:$A$51,0))),""))</f>
        <v/>
      </c>
      <c r="I106" s="26">
        <f>IF($A106="","",IFERROR(IF(INDEX(campaigns!$BG$2:$BG$51,MATCH($A106,campaigns!$A$2:$A$51,0))="","",INDEX(campaigns!$BG$2:$BG$51,MATCH($A106,campaigns!$A$2:$A$51,0))),""))</f>
        <v/>
      </c>
      <c r="J106" s="25">
        <f>IF($A106="","",IFERROR(IF(INDEX(campaigns!$BE$2:$BE$51,MATCH($A106,campaigns!$A$2:$A$51,0))="","",INDEX(campaigns!$BE$2:$BE$51,MATCH($A106,campaigns!$A$2:$A$51,0))),""))</f>
        <v/>
      </c>
      <c r="K106" s="25">
        <f>IF($B106="","",IFERROR(IF(INDEX(offices!$N$2:$N$61,MATCH($B106,offices!$A$2:$A$61,0))="","",INDEX(offices!$N$2:$N$61,MATCH($B106,offices!$A$2:$A$61,0))),""))</f>
        <v/>
      </c>
      <c r="L106" s="25">
        <f>IF($A106="","",IF($Q106="N","",COUNTIFS($A$2:$A106,$A106,$Q$2:$Q106,"&lt;&gt;N")))</f>
        <v/>
      </c>
      <c r="M106" s="25">
        <f>IF(OR($A106="",$L106=""),"",IF(AND(config!$B$34="names_if_public",IFERROR(IF(INDEX(offices!$AF$2:$AF$61,MATCH($B106,offices!$A$2:$A$61,0))="","",INDEX(offices!$AF$2:$AF$61,MATCH($B106,offices!$A$2:$A$61,0))),"")="Y"),$K106,CHAR(64+$L106)))</f>
        <v/>
      </c>
      <c r="N106" s="25">
        <f>IF(OR($A106="",$I106=""),"",COUNTIFS(stops!$B$2:$B$151,$B106,stops!$P$2:$P$151,"&lt;"&amp;$I106,stops!$L$2:$L$151,"&lt;&gt;not_delivered")+1)</f>
        <v/>
      </c>
      <c r="O106" s="25">
        <f>IF($A106="","",IF(N($N106)&lt;=config!$B$29,"explicit","opt-out"))</f>
        <v/>
      </c>
      <c r="P106" s="25">
        <f>IF($A106="","",IF($O106="explicit",IF($D106="yes","Y",IF($D106="no","N","pending")),IF($D106="no","N",IF(AND($C106&lt;&gt;"",$I106&lt;&gt;"",$C106&lt;=WORKDAY(N($I106),-5,calendar!$A$2:$A$80)),"Y","pending"))))</f>
        <v/>
      </c>
      <c r="Q106" s="25">
        <f>IF($A106="","",IF($P106="N","N",IF($P106&lt;&gt;"Y","pending",IF(AND((COUNTIFS(stops!$A$2:$A$151,$H106,stops!$B$2:$B$151,$B106,stops!$L$2:$L$151,"declined")+COUNTIFS(stops!$A$2:$A$151,$H106,stops!$B$2:$B$151,$B106,stops!$L$2:$L$151,"building_refused")+COUNTIFS(stops!$A$2:$A$151,$H106,stops!$B$2:$B$151,$B106,stops!$L$2:$L$151,"not_delivered"))&gt;0,N($U106)=0),"N","Y"))))</f>
        <v/>
      </c>
      <c r="R106" s="25">
        <f>IF($A106="","",IF(COUNTIFS($A$2:$A$251,$A106,$B$2:$B$251,$B106)&gt;1,"DUPLICATE ROW; ","")&amp;IF(AND(IFERROR(IF(INDEX(offices!$AC$2:$AC$61,MATCH($B106,offices!$A$2:$A$61,0))="","",INDEX(offices!$AC$2:$AC$61,MATCH($B106,offices!$A$2:$A$61,0))),"")&lt;&gt;"",ISNUMBER(SEARCH($J106,IFERROR(IF(INDEX(offices!$AC$2:$AC$61,MATCH($B106,offices!$A$2:$A$61,0))="","",INDEX(offices!$AC$2:$AC$61,MATCH($B106,offices!$A$2:$A$61,0))),"")))),"BRAND VETOED; ","")&amp;IF(ISNUMBER(SEARCH(IFERROR(IF(INDEX(campaigns!$BF$2:$BF$51,MATCH($A106,campaigns!$A$2:$A$51,0))="","",INDEX(campaigns!$BF$2:$BF$51,MATCH($A106,campaigns!$A$2:$A$51,0))),""),IFERROR(IF(INDEX(offices!$AB$2:$AB$61,MATCH($B106,offices!$A$2:$A$61,0))="","",INDEX(offices!$AB$2:$AB$61,MATCH($B106,offices!$A$2:$A$61,0))),""))),"","info: category not on the office's list; ")&amp;IF(IFERROR(IF(INDEX(offices!$AC$2:$AC$61,MATCH($B106,offices!$A$2:$A$61,0))="","",INDEX(offices!$AC$2:$AC$61,MATCH($B106,offices!$A$2:$A$61,0))),"")&lt;&gt;"","info: read the vetoes against the label; ",""))</f>
        <v/>
      </c>
      <c r="S106" s="25">
        <f>IF($A106="","",IF($G106&lt;&gt;"",$G106,IFERROR(IF(INDEX(offices!$AL$2:$AL$61,MATCH($B106,offices!$A$2:$A$61,0))="","",INDEX(offices!$AL$2:$AL$61,MATCH($B106,offices!$A$2:$A$61,0))),"")))</f>
        <v/>
      </c>
      <c r="T106" s="25">
        <f>IF($A106="","",$A106&amp;"."&amp;$B106)</f>
        <v/>
      </c>
      <c r="U106" s="25">
        <f>IF($A106="","",SUMIFS(inventory!$G$2:$G$801,inventory!$C$2:$C$801,$A106,inventory!$D$2:$D$801,$B106,inventory!$E$2:$E$801,"delivered"))</f>
        <v/>
      </c>
      <c r="V106" s="32">
        <f>IF($A106="","",IFERROR(1/(1/SUMPRODUCT(MAX((inventory!$C$2:$C$801=$A106)*(inventory!$D$2:$D$801=$B106)*(inventory!$E$2:$E$801="delivered")*(inventory!$A$2:$A$801+inventory!$B$2:$B$801)))),""))</f>
        <v/>
      </c>
      <c r="W106" s="25">
        <f>IF($A106="","",IFERROR(IF(INDEX(inventory!$J$2:$J$801,MATCH($A106&amp;"|"&amp;$B106&amp;"|delivered",inventory!$R$2:$R$801,0))="","",INDEX(inventory!$J$2:$J$801,MATCH($A106&amp;"|"&amp;$B106&amp;"|delivered",inventory!$R$2:$R$801,0))),""))</f>
        <v/>
      </c>
      <c r="X106" s="25">
        <f>IF($A106="","",IFERROR(IF(INDEX(photos!$H$2:$H$701,MATCH($A106&amp;"|"&amp;$B106&amp;"|placement|Y",photos!$R$2:$R$701,0))="","",INDEX(photos!$H$2:$H$701,MATCH($A106&amp;"|"&amp;$B106&amp;"|placement|Y",photos!$R$2:$R$701,0))),""))</f>
        <v/>
      </c>
      <c r="Y106" s="26">
        <f>IF($A106="","",IFERROR(IF(INDEX(photos!$E$2:$E$701,MATCH($A106&amp;"|"&amp;$B106&amp;"|placement|Y",photos!$R$2:$R$701,0))="","",INDEX(photos!$E$2:$E$701,MATCH($A106&amp;"|"&amp;$B106&amp;"|placement|Y",photos!$R$2:$R$701,0))),""))</f>
        <v/>
      </c>
      <c r="Z106" s="25">
        <f>IF($A106="","",IF(COUNTIFS(counts!$C$2:$C$701,$A106,counts!$D$2:$D$701,$B106,counts!$E$2:$E$701,"placed")=0,"",SUMIFS(counts!$F$2:$F$701,counts!$C$2:$C$701,$A106,counts!$D$2:$D$701,$B106,counts!$E$2:$E$701,"placed")))</f>
        <v/>
      </c>
      <c r="AA106" s="25">
        <f>IF($A106="","",IF($Y106="",0,N($Z106)))</f>
        <v/>
      </c>
      <c r="AB106" s="25">
        <f>IF($A106="","",IF(OR($Y106="",$I106=""),"N",IF($Y106&lt;=WORKDAY(N($I106),1,calendar!$A$2:$A$80),"Y","N")))</f>
        <v/>
      </c>
      <c r="AC106" s="28">
        <f>IF(OR($A106="",$V106="",$Y106=""),"",ROUND(($Y106+N(IFERROR(IF(INDEX(photos!$F$2:$F$701,MATCH($A106&amp;"|"&amp;$B106&amp;"|placement|Y",photos!$R$2:$R$701,0))="","",INDEX(photos!$F$2:$F$701,MATCH($A106&amp;"|"&amp;$B106&amp;"|placement|Y",photos!$R$2:$R$701,0))),""))-$V106)*24,1))</f>
        <v/>
      </c>
      <c r="AD106" s="25">
        <f>IF($A106="","",SUMIFS(inventory!$G$2:$G$801,inventory!$C$2:$C$801,$A106,inventory!$D$2:$D$801,$B106,inventory!$E$2:$E$801,"topped_up"))</f>
        <v/>
      </c>
      <c r="AE106" s="25">
        <f>IF($A106="","",IF(COUNTIFS(counts!$C$2:$C$701,$A106,counts!$D$2:$D$701,$B106,counts!$E$2:$E$701,"remaining_day3")=0,"",SUMIFS(counts!$F$2:$F$701,counts!$C$2:$C$701,$A106,counts!$D$2:$D$701,$B106,counts!$E$2:$E$701,"remaining_day3")))</f>
        <v/>
      </c>
      <c r="AF106" s="25">
        <f>IF($A106="","",IF(COUNTIFS(counts!$C$2:$C$701,$A106,counts!$D$2:$D$701,$B106,counts!$E$2:$E$701,"remaining_day5")=0,"",SUMIFS(counts!$F$2:$F$701,counts!$C$2:$C$701,$A106,counts!$D$2:$D$701,$B106,counts!$E$2:$E$701,"remaining_day5")))</f>
        <v/>
      </c>
      <c r="AG106" s="25">
        <f>IF(OR($A106="",$AF106=""),"",MAX(0,$AA106+$AD106-$AF106))</f>
        <v/>
      </c>
      <c r="AH106" s="25">
        <f>IF(OR($A106="",$AI106=""),"",IFERROR(IF(INDEX(photos!$H$2:$H$701,MATCH($A106&amp;"|"&amp;$B106&amp;"|later|Y|"&amp;$AI106,photos!$S$2:$S$701,0))="","",INDEX(photos!$H$2:$H$701,MATCH($A106&amp;"|"&amp;$B106&amp;"|later|Y|"&amp;$AI106,photos!$S$2:$S$701,0))),""))</f>
        <v/>
      </c>
      <c r="AI106" s="26">
        <f>IF($A106="","",IFERROR(1/(1/SUMPRODUCT(MAX((photos!$B$2:$B$701=$A106)*(photos!$C$2:$C$701=$B106)*(photos!$D$2:$D$701="later")*(photos!$O$2:$O$701="Y")*photos!$E$2:$E$701))),""))</f>
        <v/>
      </c>
      <c r="AJ106" s="25">
        <f>IF(OR($A106="",$AI106="",$I106=""),"",NETWORKDAYS($I106,$AI106,calendar!$A$2:$A$80))</f>
        <v/>
      </c>
      <c r="AK106" s="25">
        <f>IF($A106="","",IF(AND($X106&lt;&gt;"",$AH106&lt;&gt;""),"Y","N"))</f>
        <v/>
      </c>
      <c r="AL106" s="25">
        <f>IF(OR($A106="",$I106=""),"",IF($BC106="Y",SUMIFS(survey_frozen!$C$2:$C$251,survey_frozen!$P$2:$P$251,$A106&amp;"|"&amp;$B106),IFERROR(COUNTIFS(INDIRECT("'"&amp;$A106&amp;"'!$B$2:$B$501"),$T106,INDIRECT("'"&amp;$A106&amp;"'!$A$2:$A$501"),"&gt;="&amp;$I106,INDIRECT("'"&amp;$A106&amp;"'!$A$2:$A$501"),"&lt;"&amp;($BA106+1)),0)))</f>
        <v/>
      </c>
      <c r="AM106" s="25">
        <f>IF(OR($A106="",$I106=""),"",IF($BC106="Y",SUMIFS(survey_frozen!$D$2:$D$251,survey_frozen!$P$2:$P$251,$A106&amp;"|"&amp;$B106),IFERROR(COUNTIFS(INDIRECT("'"&amp;$A106&amp;"'!$B$2:$B$501"),$T106,INDIRECT("'"&amp;$A106&amp;"'!$A$2:$A$501"),"&gt;="&amp;$I106,INDIRECT("'"&amp;$A106&amp;"'!$A$2:$A$501"),"&lt;"&amp;($BA106+1),INDIRECT("'"&amp;$A106&amp;"'!$C$2:$C$501"),"Yes"),0)))</f>
        <v/>
      </c>
      <c r="AN106" s="25">
        <f>IF($A106="","",IF(COUNTIFS(scans!$C$2:$C$1601,(IF(LEFT($A106,7)="SAMPLE-","SAMPLE-","")&amp;LOWER(SUBSTITUTE(SUBSTITUTE($A106,"SAMPLE-",""),"CMP-","c"))&amp;"-"&amp;LOWER(SUBSTITUTE(SUBSTITUTE($B106,"SAMPLE-",""),"O-","o"))&amp;"-q"),scans!$D$2:$D$1601,"close")=0,"",SUMPRODUCT(MAX((scans!$C$2:$C$1601=(IF(LEFT($A106,7)="SAMPLE-","SAMPLE-","")&amp;LOWER(SUBSTITUTE(SUBSTITUTE($A106,"SAMPLE-",""),"CMP-","c"))&amp;"-"&amp;LOWER(SUBSTITUTE(SUBSTITUTE($B106,"SAMPLE-",""),"O-","o"))&amp;"-q"))*(scans!$D$2:$D$1601="close")*scans!$E$2:$E$1601))-SUMPRODUCT(MAX((scans!$C$2:$C$1601=(IF(LEFT($A106,7)="SAMPLE-","SAMPLE-","")&amp;LOWER(SUBSTITUTE(SUBSTITUTE($A106,"SAMPLE-",""),"CMP-","c"))&amp;"-"&amp;LOWER(SUBSTITUTE(SUBSTITUTE($B106,"SAMPLE-",""),"O-","o"))&amp;"-q"))*(scans!$D$2:$D$1601="baseline")*scans!$E$2:$E$1601))))</f>
        <v/>
      </c>
      <c r="AO106" s="25">
        <f>IF($A106="","",IF(COUNTIFS(scans!$C$2:$C$1601,(IF(LEFT($A106,7)="SAMPLE-","SAMPLE-","")&amp;LOWER(SUBSTITUTE(SUBSTITUTE($A106,"SAMPLE-",""),"CMP-","c"))&amp;"-"&amp;LOWER(SUBSTITUTE(SUBSTITUTE($B106,"SAMPLE-",""),"O-","o"))&amp;"-p"),scans!$D$2:$D$1601,"close")=0,"",SUMPRODUCT(MAX((scans!$C$2:$C$1601=(IF(LEFT($A106,7)="SAMPLE-","SAMPLE-","")&amp;LOWER(SUBSTITUTE(SUBSTITUTE($A106,"SAMPLE-",""),"CMP-","c"))&amp;"-"&amp;LOWER(SUBSTITUTE(SUBSTITUTE($B106,"SAMPLE-",""),"O-","o"))&amp;"-p"))*(scans!$D$2:$D$1601="close")*scans!$E$2:$E$1601))-SUMPRODUCT(MAX((scans!$C$2:$C$1601=(IF(LEFT($A106,7)="SAMPLE-","SAMPLE-","")&amp;LOWER(SUBSTITUTE(SUBSTITUTE($A106,"SAMPLE-",""),"CMP-","c"))&amp;"-"&amp;LOWER(SUBSTITUTE(SUBSTITUTE($B106,"SAMPLE-",""),"O-","o"))&amp;"-p"))*(scans!$D$2:$D$1601="baseline")*scans!$E$2:$E$1601))))</f>
        <v/>
      </c>
      <c r="AP106" s="25">
        <f>IF($A106="","",IF(COUNTIF(offices!$A$2:$A$61,$B106)=0,"office_id not on offices; ","")&amp;IF(COUNTIF(campaigns!$A$2:$A$51,$A106)=0,"campaign_id not on campaigns; ","")&amp;IF($P106="pending","approval pending; ","")&amp;IF(AND($U106&gt;0,$Y106="",OR($I106="",IF(config!$B$37&lt;&gt;"",config!$B$37,TODAY())&lt;=WORKDAY(N($I106),4,calendar!$A$2:$A$80))),"no usable placement photo yet; ","")&amp;IF(AND($Y106&lt;&gt;"",$Z106=""),"log the placed count; ","")&amp;IF(N($AA106)&gt;N($U106),"placed more than delivered; ","")&amp;IF(AND($AF106&lt;&gt;"",N($AF106)&gt;N($AA106)+N($AD106)),"day-5 count above placed plus top-ups; ","")&amp;IF(AND($U106&gt;0,$I106&lt;&gt;"",IF(config!$B$37&lt;&gt;"",config!$B$37,TODAY())&gt;WORKDAY(N($I106),4,calendar!$A$2:$A$80),$AF106=""),"day-5 count missing; ","")&amp;IF(AND($U106&gt;0,$I106&lt;&gt;"",IF(config!$B$37&lt;&gt;"",config!$B$37,TODAY())&gt;WORKDAY(N($I106),4,calendar!$A$2:$A$80),$AN106=""),"no close link reading; ","")&amp;$R106&amp;IF($P106="N","info: office said no; ","")&amp;IF(AND($P106="Y",$Q106="N"),"info: turned away at the door, so not on the drop (no letter, not in the report or Gate 2; the credit check is on campaigns); ","")&amp;IF(AND($U106&gt;0,$Y106="",$I106&lt;&gt;"",IF(config!$B$37&lt;&gt;"",config!$B$37,TODAY())&gt;WORKDAY(N($I106),4,calendar!$A$2:$A$80)),"info: no usable placement photo, so nothing counts as placed; ","")&amp;IF(AND($U106&gt;0,$I106&lt;&gt;"",IF(config!$B$37&lt;&gt;"",config!$B$37,TODAY())&gt;WORKDAY(N($I106),4,calendar!$A$2:$A$80),N($AL106)&lt;config!$B$30),"info: under "&amp;config!$B$30&amp;" responses; ","")&amp;IF($W106="packing_list","info: delivered count not verified; ",""))</f>
        <v/>
      </c>
      <c r="AQ106" s="25">
        <f>IF(OR($A106="",$I106=""),"",IF($BC106="Y",SUMIFS(survey_frozen!$E$2:$E$251,survey_frozen!$P$2:$P$251,$A106&amp;"|"&amp;$B106),IFERROR(COUNTIFS(INDIRECT("'"&amp;$A106&amp;"'!$B$2:$B$501"),$T106,INDIRECT("'"&amp;$A106&amp;"'!$A$2:$A$501"),"&gt;="&amp;$I106,INDIRECT("'"&amp;$A106&amp;"'!$A$2:$A$501"),"&lt;"&amp;($BA106+1),INDIRECT("'"&amp;$A106&amp;"'!$F$2:$F$501"),"Didn't see it"),0)))</f>
        <v/>
      </c>
      <c r="AR106" s="25">
        <f>IF(OR($A106="",$I106=""),"",IF($BC106="Y",SUMIFS(survey_frozen!$F$2:$F$251,survey_frozen!$P$2:$P$251,$A106&amp;"|"&amp;$B106),IFERROR(COUNTIFS(INDIRECT("'"&amp;$A106&amp;"'!$B$2:$B$501"),$T106,INDIRECT("'"&amp;$A106&amp;"'!$A$2:$A$501"),"&gt;="&amp;$I106,INDIRECT("'"&amp;$A106&amp;"'!$A$2:$A$501"),"&lt;"&amp;($BA106+1),INDIRECT("'"&amp;$A106&amp;"'!$F$2:$F$501"),"Not for me"),0)))</f>
        <v/>
      </c>
      <c r="AS106" s="25">
        <f>IF(OR($A106="",$I106=""),"",IF($BC106="Y",SUMIFS(survey_frozen!$G$2:$G$251,survey_frozen!$P$2:$P$251,$A106&amp;"|"&amp;$B106),IFERROR(COUNTIFS(INDIRECT("'"&amp;$A106&amp;"'!$B$2:$B$501"),$T106,INDIRECT("'"&amp;$A106&amp;"'!$A$2:$A$501"),"&gt;="&amp;$I106,INDIRECT("'"&amp;$A106&amp;"'!$A$2:$A$501"),"&lt;"&amp;($BA106+1),INDIRECT("'"&amp;$A106&amp;"'!$F$2:$F$501"),"Gone by the time I looked"),0)))</f>
        <v/>
      </c>
      <c r="AT106" s="25">
        <f>IF(OR($A106="",$I106=""),"",IF($BC106="Y",SUMIFS(survey_frozen!$H$2:$H$251,survey_frozen!$P$2:$P$251,$A106&amp;"|"&amp;$B106),IFERROR(COUNTIFS(INDIRECT("'"&amp;$A106&amp;"'!$B$2:$B$501"),$T106,INDIRECT("'"&amp;$A106&amp;"'!$A$2:$A$501"),"&gt;="&amp;$I106,INDIRECT("'"&amp;$A106&amp;"'!$A$2:$A$501"),"&lt;"&amp;($BA106+1),INDIRECT("'"&amp;$A106&amp;"'!$D$2:$D$501"),"&gt;=1"),0)))</f>
        <v/>
      </c>
      <c r="AU106" s="25">
        <f>IF(OR($A106="",$I106=""),"",IF($BC106="Y",SUMIFS(survey_frozen!$I$2:$I$251,survey_frozen!$P$2:$P$251,$A106&amp;"|"&amp;$B106),IFERROR(SUMIFS(INDIRECT("'"&amp;$A106&amp;"'!$D$2:$D$501"),INDIRECT("'"&amp;$A106&amp;"'!$B$2:$B$501"),$T106,INDIRECT("'"&amp;$A106&amp;"'!$A$2:$A$501"),"&gt;="&amp;$I106,INDIRECT("'"&amp;$A106&amp;"'!$A$2:$A$501"),"&lt;"&amp;($BA106+1)),0)))</f>
        <v/>
      </c>
      <c r="AV106" s="25">
        <f>IF(OR($A106="",$I106=""),"",IF($BC106="Y",SUMIFS(survey_frozen!$J$2:$J$251,survey_frozen!$P$2:$P$251,$A106&amp;"|"&amp;$B106),IFERROR(COUNTIFS(INDIRECT("'"&amp;$A106&amp;"'!$B$2:$B$501"),$T106,INDIRECT("'"&amp;$A106&amp;"'!$A$2:$A$501"),"&gt;="&amp;$I106,INDIRECT("'"&amp;$A106&amp;"'!$A$2:$A$501"),"&lt;"&amp;($BA106+1),INDIRECT("'"&amp;$A106&amp;"'!$E$2:$E$501"),"Yes"),0)))</f>
        <v/>
      </c>
      <c r="AW106" s="25">
        <f>IF(OR($A106="",$I106=""),"",IF($BC106="Y",SUMIFS(survey_frozen!$K$2:$K$251,survey_frozen!$P$2:$P$251,$A106&amp;"|"&amp;$B106),IFERROR(COUNTIFS(INDIRECT("'"&amp;$A106&amp;"'!$B$2:$B$501"),$T106,INDIRECT("'"&amp;$A106&amp;"'!$A$2:$A$501"),"&gt;="&amp;$I106,INDIRECT("'"&amp;$A106&amp;"'!$A$2:$A$501"),"&lt;"&amp;($BA106+1),INDIRECT("'"&amp;$A106&amp;"'!$E$2:$E$501"),"Maybe"),0)))</f>
        <v/>
      </c>
      <c r="AX106" s="25">
        <f>IF(OR($A106="",$I106=""),"",IF($BC106="Y",SUMIFS(survey_frozen!$L$2:$L$251,survey_frozen!$P$2:$P$251,$A106&amp;"|"&amp;$B106),IFERROR(COUNTIFS(INDIRECT("'"&amp;$A106&amp;"'!$B$2:$B$501"),$T106,INDIRECT("'"&amp;$A106&amp;"'!$A$2:$A$501"),"&gt;="&amp;$I106,INDIRECT("'"&amp;$A106&amp;"'!$A$2:$A$501"),"&lt;"&amp;($BA106+1),INDIRECT("'"&amp;$A106&amp;"'!$E$2:$E$501"),"No"),0)))</f>
        <v/>
      </c>
      <c r="AY106" s="25">
        <f>IF(OR($A106="",$I106=""),"",IF($BC106="Y",SUMIFS(survey_frozen!$M$2:$M$251,survey_frozen!$P$2:$P$251,$A106&amp;"|"&amp;$B106),IFERROR(COUNTIFS(INDIRECT("'"&amp;$A106&amp;"'!$B$2:$B$501"),$T106,INDIRECT("'"&amp;$A106&amp;"'!$A$2:$A$501"),"&gt;="&amp;$I106,INDIRECT("'"&amp;$A106&amp;"'!$A$2:$A$501"),"&lt;"&amp;($BA106+1),INDIRECT("'"&amp;$A106&amp;"'!$G$2:$G$501"),"&lt;&gt;"),0)))</f>
        <v/>
      </c>
      <c r="AZ106" s="25">
        <f>IF($A106="","",$A106&amp;"|"&amp;$L106)</f>
        <v/>
      </c>
      <c r="BA106" s="26">
        <f>IF($A106="","",IFERROR(IF(INDEX(drops!$R$2:$R$21,MATCH($H106,drops!$A$2:$A$21,0))="","",INDEX(drops!$R$2:$R$21,MATCH($H106,drops!$A$2:$A$21,0))),""))</f>
        <v/>
      </c>
      <c r="BB106" s="25">
        <f>IF(OR($A106="",$Q106&lt;&gt;"Y"),1000000,N($AL106))</f>
        <v/>
      </c>
      <c r="BC106" s="25">
        <f>IF($A106="","",IF(COUNTIF(survey_frozen!$P$2:$P$251,$A106&amp;"|"&amp;$B106)&gt;0,"Y",""))</f>
        <v/>
      </c>
    </row>
    <row r="107">
      <c r="C107" s="9" t="n"/>
      <c r="E107" s="9" t="n"/>
      <c r="H107" s="25">
        <f>IF($A107="","",IFERROR(IF(INDEX(campaigns!$B$2:$B$51,MATCH($A107,campaigns!$A$2:$A$51,0))="","",INDEX(campaigns!$B$2:$B$51,MATCH($A107,campaigns!$A$2:$A$51,0))),""))</f>
        <v/>
      </c>
      <c r="I107" s="26">
        <f>IF($A107="","",IFERROR(IF(INDEX(campaigns!$BG$2:$BG$51,MATCH($A107,campaigns!$A$2:$A$51,0))="","",INDEX(campaigns!$BG$2:$BG$51,MATCH($A107,campaigns!$A$2:$A$51,0))),""))</f>
        <v/>
      </c>
      <c r="J107" s="25">
        <f>IF($A107="","",IFERROR(IF(INDEX(campaigns!$BE$2:$BE$51,MATCH($A107,campaigns!$A$2:$A$51,0))="","",INDEX(campaigns!$BE$2:$BE$51,MATCH($A107,campaigns!$A$2:$A$51,0))),""))</f>
        <v/>
      </c>
      <c r="K107" s="25">
        <f>IF($B107="","",IFERROR(IF(INDEX(offices!$N$2:$N$61,MATCH($B107,offices!$A$2:$A$61,0))="","",INDEX(offices!$N$2:$N$61,MATCH($B107,offices!$A$2:$A$61,0))),""))</f>
        <v/>
      </c>
      <c r="L107" s="25">
        <f>IF($A107="","",IF($Q107="N","",COUNTIFS($A$2:$A107,$A107,$Q$2:$Q107,"&lt;&gt;N")))</f>
        <v/>
      </c>
      <c r="M107" s="25">
        <f>IF(OR($A107="",$L107=""),"",IF(AND(config!$B$34="names_if_public",IFERROR(IF(INDEX(offices!$AF$2:$AF$61,MATCH($B107,offices!$A$2:$A$61,0))="","",INDEX(offices!$AF$2:$AF$61,MATCH($B107,offices!$A$2:$A$61,0))),"")="Y"),$K107,CHAR(64+$L107)))</f>
        <v/>
      </c>
      <c r="N107" s="25">
        <f>IF(OR($A107="",$I107=""),"",COUNTIFS(stops!$B$2:$B$151,$B107,stops!$P$2:$P$151,"&lt;"&amp;$I107,stops!$L$2:$L$151,"&lt;&gt;not_delivered")+1)</f>
        <v/>
      </c>
      <c r="O107" s="25">
        <f>IF($A107="","",IF(N($N107)&lt;=config!$B$29,"explicit","opt-out"))</f>
        <v/>
      </c>
      <c r="P107" s="25">
        <f>IF($A107="","",IF($O107="explicit",IF($D107="yes","Y",IF($D107="no","N","pending")),IF($D107="no","N",IF(AND($C107&lt;&gt;"",$I107&lt;&gt;"",$C107&lt;=WORKDAY(N($I107),-5,calendar!$A$2:$A$80)),"Y","pending"))))</f>
        <v/>
      </c>
      <c r="Q107" s="25">
        <f>IF($A107="","",IF($P107="N","N",IF($P107&lt;&gt;"Y","pending",IF(AND((COUNTIFS(stops!$A$2:$A$151,$H107,stops!$B$2:$B$151,$B107,stops!$L$2:$L$151,"declined")+COUNTIFS(stops!$A$2:$A$151,$H107,stops!$B$2:$B$151,$B107,stops!$L$2:$L$151,"building_refused")+COUNTIFS(stops!$A$2:$A$151,$H107,stops!$B$2:$B$151,$B107,stops!$L$2:$L$151,"not_delivered"))&gt;0,N($U107)=0),"N","Y"))))</f>
        <v/>
      </c>
      <c r="R107" s="25">
        <f>IF($A107="","",IF(COUNTIFS($A$2:$A$251,$A107,$B$2:$B$251,$B107)&gt;1,"DUPLICATE ROW; ","")&amp;IF(AND(IFERROR(IF(INDEX(offices!$AC$2:$AC$61,MATCH($B107,offices!$A$2:$A$61,0))="","",INDEX(offices!$AC$2:$AC$61,MATCH($B107,offices!$A$2:$A$61,0))),"")&lt;&gt;"",ISNUMBER(SEARCH($J107,IFERROR(IF(INDEX(offices!$AC$2:$AC$61,MATCH($B107,offices!$A$2:$A$61,0))="","",INDEX(offices!$AC$2:$AC$61,MATCH($B107,offices!$A$2:$A$61,0))),"")))),"BRAND VETOED; ","")&amp;IF(ISNUMBER(SEARCH(IFERROR(IF(INDEX(campaigns!$BF$2:$BF$51,MATCH($A107,campaigns!$A$2:$A$51,0))="","",INDEX(campaigns!$BF$2:$BF$51,MATCH($A107,campaigns!$A$2:$A$51,0))),""),IFERROR(IF(INDEX(offices!$AB$2:$AB$61,MATCH($B107,offices!$A$2:$A$61,0))="","",INDEX(offices!$AB$2:$AB$61,MATCH($B107,offices!$A$2:$A$61,0))),""))),"","info: category not on the office's list; ")&amp;IF(IFERROR(IF(INDEX(offices!$AC$2:$AC$61,MATCH($B107,offices!$A$2:$A$61,0))="","",INDEX(offices!$AC$2:$AC$61,MATCH($B107,offices!$A$2:$A$61,0))),"")&lt;&gt;"","info: read the vetoes against the label; ",""))</f>
        <v/>
      </c>
      <c r="S107" s="25">
        <f>IF($A107="","",IF($G107&lt;&gt;"",$G107,IFERROR(IF(INDEX(offices!$AL$2:$AL$61,MATCH($B107,offices!$A$2:$A$61,0))="","",INDEX(offices!$AL$2:$AL$61,MATCH($B107,offices!$A$2:$A$61,0))),"")))</f>
        <v/>
      </c>
      <c r="T107" s="25">
        <f>IF($A107="","",$A107&amp;"."&amp;$B107)</f>
        <v/>
      </c>
      <c r="U107" s="25">
        <f>IF($A107="","",SUMIFS(inventory!$G$2:$G$801,inventory!$C$2:$C$801,$A107,inventory!$D$2:$D$801,$B107,inventory!$E$2:$E$801,"delivered"))</f>
        <v/>
      </c>
      <c r="V107" s="32">
        <f>IF($A107="","",IFERROR(1/(1/SUMPRODUCT(MAX((inventory!$C$2:$C$801=$A107)*(inventory!$D$2:$D$801=$B107)*(inventory!$E$2:$E$801="delivered")*(inventory!$A$2:$A$801+inventory!$B$2:$B$801)))),""))</f>
        <v/>
      </c>
      <c r="W107" s="25">
        <f>IF($A107="","",IFERROR(IF(INDEX(inventory!$J$2:$J$801,MATCH($A107&amp;"|"&amp;$B107&amp;"|delivered",inventory!$R$2:$R$801,0))="","",INDEX(inventory!$J$2:$J$801,MATCH($A107&amp;"|"&amp;$B107&amp;"|delivered",inventory!$R$2:$R$801,0))),""))</f>
        <v/>
      </c>
      <c r="X107" s="25">
        <f>IF($A107="","",IFERROR(IF(INDEX(photos!$H$2:$H$701,MATCH($A107&amp;"|"&amp;$B107&amp;"|placement|Y",photos!$R$2:$R$701,0))="","",INDEX(photos!$H$2:$H$701,MATCH($A107&amp;"|"&amp;$B107&amp;"|placement|Y",photos!$R$2:$R$701,0))),""))</f>
        <v/>
      </c>
      <c r="Y107" s="26">
        <f>IF($A107="","",IFERROR(IF(INDEX(photos!$E$2:$E$701,MATCH($A107&amp;"|"&amp;$B107&amp;"|placement|Y",photos!$R$2:$R$701,0))="","",INDEX(photos!$E$2:$E$701,MATCH($A107&amp;"|"&amp;$B107&amp;"|placement|Y",photos!$R$2:$R$701,0))),""))</f>
        <v/>
      </c>
      <c r="Z107" s="25">
        <f>IF($A107="","",IF(COUNTIFS(counts!$C$2:$C$701,$A107,counts!$D$2:$D$701,$B107,counts!$E$2:$E$701,"placed")=0,"",SUMIFS(counts!$F$2:$F$701,counts!$C$2:$C$701,$A107,counts!$D$2:$D$701,$B107,counts!$E$2:$E$701,"placed")))</f>
        <v/>
      </c>
      <c r="AA107" s="25">
        <f>IF($A107="","",IF($Y107="",0,N($Z107)))</f>
        <v/>
      </c>
      <c r="AB107" s="25">
        <f>IF($A107="","",IF(OR($Y107="",$I107=""),"N",IF($Y107&lt;=WORKDAY(N($I107),1,calendar!$A$2:$A$80),"Y","N")))</f>
        <v/>
      </c>
      <c r="AC107" s="28">
        <f>IF(OR($A107="",$V107="",$Y107=""),"",ROUND(($Y107+N(IFERROR(IF(INDEX(photos!$F$2:$F$701,MATCH($A107&amp;"|"&amp;$B107&amp;"|placement|Y",photos!$R$2:$R$701,0))="","",INDEX(photos!$F$2:$F$701,MATCH($A107&amp;"|"&amp;$B107&amp;"|placement|Y",photos!$R$2:$R$701,0))),""))-$V107)*24,1))</f>
        <v/>
      </c>
      <c r="AD107" s="25">
        <f>IF($A107="","",SUMIFS(inventory!$G$2:$G$801,inventory!$C$2:$C$801,$A107,inventory!$D$2:$D$801,$B107,inventory!$E$2:$E$801,"topped_up"))</f>
        <v/>
      </c>
      <c r="AE107" s="25">
        <f>IF($A107="","",IF(COUNTIFS(counts!$C$2:$C$701,$A107,counts!$D$2:$D$701,$B107,counts!$E$2:$E$701,"remaining_day3")=0,"",SUMIFS(counts!$F$2:$F$701,counts!$C$2:$C$701,$A107,counts!$D$2:$D$701,$B107,counts!$E$2:$E$701,"remaining_day3")))</f>
        <v/>
      </c>
      <c r="AF107" s="25">
        <f>IF($A107="","",IF(COUNTIFS(counts!$C$2:$C$701,$A107,counts!$D$2:$D$701,$B107,counts!$E$2:$E$701,"remaining_day5")=0,"",SUMIFS(counts!$F$2:$F$701,counts!$C$2:$C$701,$A107,counts!$D$2:$D$701,$B107,counts!$E$2:$E$701,"remaining_day5")))</f>
        <v/>
      </c>
      <c r="AG107" s="25">
        <f>IF(OR($A107="",$AF107=""),"",MAX(0,$AA107+$AD107-$AF107))</f>
        <v/>
      </c>
      <c r="AH107" s="25">
        <f>IF(OR($A107="",$AI107=""),"",IFERROR(IF(INDEX(photos!$H$2:$H$701,MATCH($A107&amp;"|"&amp;$B107&amp;"|later|Y|"&amp;$AI107,photos!$S$2:$S$701,0))="","",INDEX(photos!$H$2:$H$701,MATCH($A107&amp;"|"&amp;$B107&amp;"|later|Y|"&amp;$AI107,photos!$S$2:$S$701,0))),""))</f>
        <v/>
      </c>
      <c r="AI107" s="26">
        <f>IF($A107="","",IFERROR(1/(1/SUMPRODUCT(MAX((photos!$B$2:$B$701=$A107)*(photos!$C$2:$C$701=$B107)*(photos!$D$2:$D$701="later")*(photos!$O$2:$O$701="Y")*photos!$E$2:$E$701))),""))</f>
        <v/>
      </c>
      <c r="AJ107" s="25">
        <f>IF(OR($A107="",$AI107="",$I107=""),"",NETWORKDAYS($I107,$AI107,calendar!$A$2:$A$80))</f>
        <v/>
      </c>
      <c r="AK107" s="25">
        <f>IF($A107="","",IF(AND($X107&lt;&gt;"",$AH107&lt;&gt;""),"Y","N"))</f>
        <v/>
      </c>
      <c r="AL107" s="25">
        <f>IF(OR($A107="",$I107=""),"",IF($BC107="Y",SUMIFS(survey_frozen!$C$2:$C$251,survey_frozen!$P$2:$P$251,$A107&amp;"|"&amp;$B107),IFERROR(COUNTIFS(INDIRECT("'"&amp;$A107&amp;"'!$B$2:$B$501"),$T107,INDIRECT("'"&amp;$A107&amp;"'!$A$2:$A$501"),"&gt;="&amp;$I107,INDIRECT("'"&amp;$A107&amp;"'!$A$2:$A$501"),"&lt;"&amp;($BA107+1)),0)))</f>
        <v/>
      </c>
      <c r="AM107" s="25">
        <f>IF(OR($A107="",$I107=""),"",IF($BC107="Y",SUMIFS(survey_frozen!$D$2:$D$251,survey_frozen!$P$2:$P$251,$A107&amp;"|"&amp;$B107),IFERROR(COUNTIFS(INDIRECT("'"&amp;$A107&amp;"'!$B$2:$B$501"),$T107,INDIRECT("'"&amp;$A107&amp;"'!$A$2:$A$501"),"&gt;="&amp;$I107,INDIRECT("'"&amp;$A107&amp;"'!$A$2:$A$501"),"&lt;"&amp;($BA107+1),INDIRECT("'"&amp;$A107&amp;"'!$C$2:$C$501"),"Yes"),0)))</f>
        <v/>
      </c>
      <c r="AN107" s="25">
        <f>IF($A107="","",IF(COUNTIFS(scans!$C$2:$C$1601,(IF(LEFT($A107,7)="SAMPLE-","SAMPLE-","")&amp;LOWER(SUBSTITUTE(SUBSTITUTE($A107,"SAMPLE-",""),"CMP-","c"))&amp;"-"&amp;LOWER(SUBSTITUTE(SUBSTITUTE($B107,"SAMPLE-",""),"O-","o"))&amp;"-q"),scans!$D$2:$D$1601,"close")=0,"",SUMPRODUCT(MAX((scans!$C$2:$C$1601=(IF(LEFT($A107,7)="SAMPLE-","SAMPLE-","")&amp;LOWER(SUBSTITUTE(SUBSTITUTE($A107,"SAMPLE-",""),"CMP-","c"))&amp;"-"&amp;LOWER(SUBSTITUTE(SUBSTITUTE($B107,"SAMPLE-",""),"O-","o"))&amp;"-q"))*(scans!$D$2:$D$1601="close")*scans!$E$2:$E$1601))-SUMPRODUCT(MAX((scans!$C$2:$C$1601=(IF(LEFT($A107,7)="SAMPLE-","SAMPLE-","")&amp;LOWER(SUBSTITUTE(SUBSTITUTE($A107,"SAMPLE-",""),"CMP-","c"))&amp;"-"&amp;LOWER(SUBSTITUTE(SUBSTITUTE($B107,"SAMPLE-",""),"O-","o"))&amp;"-q"))*(scans!$D$2:$D$1601="baseline")*scans!$E$2:$E$1601))))</f>
        <v/>
      </c>
      <c r="AO107" s="25">
        <f>IF($A107="","",IF(COUNTIFS(scans!$C$2:$C$1601,(IF(LEFT($A107,7)="SAMPLE-","SAMPLE-","")&amp;LOWER(SUBSTITUTE(SUBSTITUTE($A107,"SAMPLE-",""),"CMP-","c"))&amp;"-"&amp;LOWER(SUBSTITUTE(SUBSTITUTE($B107,"SAMPLE-",""),"O-","o"))&amp;"-p"),scans!$D$2:$D$1601,"close")=0,"",SUMPRODUCT(MAX((scans!$C$2:$C$1601=(IF(LEFT($A107,7)="SAMPLE-","SAMPLE-","")&amp;LOWER(SUBSTITUTE(SUBSTITUTE($A107,"SAMPLE-",""),"CMP-","c"))&amp;"-"&amp;LOWER(SUBSTITUTE(SUBSTITUTE($B107,"SAMPLE-",""),"O-","o"))&amp;"-p"))*(scans!$D$2:$D$1601="close")*scans!$E$2:$E$1601))-SUMPRODUCT(MAX((scans!$C$2:$C$1601=(IF(LEFT($A107,7)="SAMPLE-","SAMPLE-","")&amp;LOWER(SUBSTITUTE(SUBSTITUTE($A107,"SAMPLE-",""),"CMP-","c"))&amp;"-"&amp;LOWER(SUBSTITUTE(SUBSTITUTE($B107,"SAMPLE-",""),"O-","o"))&amp;"-p"))*(scans!$D$2:$D$1601="baseline")*scans!$E$2:$E$1601))))</f>
        <v/>
      </c>
      <c r="AP107" s="25">
        <f>IF($A107="","",IF(COUNTIF(offices!$A$2:$A$61,$B107)=0,"office_id not on offices; ","")&amp;IF(COUNTIF(campaigns!$A$2:$A$51,$A107)=0,"campaign_id not on campaigns; ","")&amp;IF($P107="pending","approval pending; ","")&amp;IF(AND($U107&gt;0,$Y107="",OR($I107="",IF(config!$B$37&lt;&gt;"",config!$B$37,TODAY())&lt;=WORKDAY(N($I107),4,calendar!$A$2:$A$80))),"no usable placement photo yet; ","")&amp;IF(AND($Y107&lt;&gt;"",$Z107=""),"log the placed count; ","")&amp;IF(N($AA107)&gt;N($U107),"placed more than delivered; ","")&amp;IF(AND($AF107&lt;&gt;"",N($AF107)&gt;N($AA107)+N($AD107)),"day-5 count above placed plus top-ups; ","")&amp;IF(AND($U107&gt;0,$I107&lt;&gt;"",IF(config!$B$37&lt;&gt;"",config!$B$37,TODAY())&gt;WORKDAY(N($I107),4,calendar!$A$2:$A$80),$AF107=""),"day-5 count missing; ","")&amp;IF(AND($U107&gt;0,$I107&lt;&gt;"",IF(config!$B$37&lt;&gt;"",config!$B$37,TODAY())&gt;WORKDAY(N($I107),4,calendar!$A$2:$A$80),$AN107=""),"no close link reading; ","")&amp;$R107&amp;IF($P107="N","info: office said no; ","")&amp;IF(AND($P107="Y",$Q107="N"),"info: turned away at the door, so not on the drop (no letter, not in the report or Gate 2; the credit check is on campaigns); ","")&amp;IF(AND($U107&gt;0,$Y107="",$I107&lt;&gt;"",IF(config!$B$37&lt;&gt;"",config!$B$37,TODAY())&gt;WORKDAY(N($I107),4,calendar!$A$2:$A$80)),"info: no usable placement photo, so nothing counts as placed; ","")&amp;IF(AND($U107&gt;0,$I107&lt;&gt;"",IF(config!$B$37&lt;&gt;"",config!$B$37,TODAY())&gt;WORKDAY(N($I107),4,calendar!$A$2:$A$80),N($AL107)&lt;config!$B$30),"info: under "&amp;config!$B$30&amp;" responses; ","")&amp;IF($W107="packing_list","info: delivered count not verified; ",""))</f>
        <v/>
      </c>
      <c r="AQ107" s="25">
        <f>IF(OR($A107="",$I107=""),"",IF($BC107="Y",SUMIFS(survey_frozen!$E$2:$E$251,survey_frozen!$P$2:$P$251,$A107&amp;"|"&amp;$B107),IFERROR(COUNTIFS(INDIRECT("'"&amp;$A107&amp;"'!$B$2:$B$501"),$T107,INDIRECT("'"&amp;$A107&amp;"'!$A$2:$A$501"),"&gt;="&amp;$I107,INDIRECT("'"&amp;$A107&amp;"'!$A$2:$A$501"),"&lt;"&amp;($BA107+1),INDIRECT("'"&amp;$A107&amp;"'!$F$2:$F$501"),"Didn't see it"),0)))</f>
        <v/>
      </c>
      <c r="AR107" s="25">
        <f>IF(OR($A107="",$I107=""),"",IF($BC107="Y",SUMIFS(survey_frozen!$F$2:$F$251,survey_frozen!$P$2:$P$251,$A107&amp;"|"&amp;$B107),IFERROR(COUNTIFS(INDIRECT("'"&amp;$A107&amp;"'!$B$2:$B$501"),$T107,INDIRECT("'"&amp;$A107&amp;"'!$A$2:$A$501"),"&gt;="&amp;$I107,INDIRECT("'"&amp;$A107&amp;"'!$A$2:$A$501"),"&lt;"&amp;($BA107+1),INDIRECT("'"&amp;$A107&amp;"'!$F$2:$F$501"),"Not for me"),0)))</f>
        <v/>
      </c>
      <c r="AS107" s="25">
        <f>IF(OR($A107="",$I107=""),"",IF($BC107="Y",SUMIFS(survey_frozen!$G$2:$G$251,survey_frozen!$P$2:$P$251,$A107&amp;"|"&amp;$B107),IFERROR(COUNTIFS(INDIRECT("'"&amp;$A107&amp;"'!$B$2:$B$501"),$T107,INDIRECT("'"&amp;$A107&amp;"'!$A$2:$A$501"),"&gt;="&amp;$I107,INDIRECT("'"&amp;$A107&amp;"'!$A$2:$A$501"),"&lt;"&amp;($BA107+1),INDIRECT("'"&amp;$A107&amp;"'!$F$2:$F$501"),"Gone by the time I looked"),0)))</f>
        <v/>
      </c>
      <c r="AT107" s="25">
        <f>IF(OR($A107="",$I107=""),"",IF($BC107="Y",SUMIFS(survey_frozen!$H$2:$H$251,survey_frozen!$P$2:$P$251,$A107&amp;"|"&amp;$B107),IFERROR(COUNTIFS(INDIRECT("'"&amp;$A107&amp;"'!$B$2:$B$501"),$T107,INDIRECT("'"&amp;$A107&amp;"'!$A$2:$A$501"),"&gt;="&amp;$I107,INDIRECT("'"&amp;$A107&amp;"'!$A$2:$A$501"),"&lt;"&amp;($BA107+1),INDIRECT("'"&amp;$A107&amp;"'!$D$2:$D$501"),"&gt;=1"),0)))</f>
        <v/>
      </c>
      <c r="AU107" s="25">
        <f>IF(OR($A107="",$I107=""),"",IF($BC107="Y",SUMIFS(survey_frozen!$I$2:$I$251,survey_frozen!$P$2:$P$251,$A107&amp;"|"&amp;$B107),IFERROR(SUMIFS(INDIRECT("'"&amp;$A107&amp;"'!$D$2:$D$501"),INDIRECT("'"&amp;$A107&amp;"'!$B$2:$B$501"),$T107,INDIRECT("'"&amp;$A107&amp;"'!$A$2:$A$501"),"&gt;="&amp;$I107,INDIRECT("'"&amp;$A107&amp;"'!$A$2:$A$501"),"&lt;"&amp;($BA107+1)),0)))</f>
        <v/>
      </c>
      <c r="AV107" s="25">
        <f>IF(OR($A107="",$I107=""),"",IF($BC107="Y",SUMIFS(survey_frozen!$J$2:$J$251,survey_frozen!$P$2:$P$251,$A107&amp;"|"&amp;$B107),IFERROR(COUNTIFS(INDIRECT("'"&amp;$A107&amp;"'!$B$2:$B$501"),$T107,INDIRECT("'"&amp;$A107&amp;"'!$A$2:$A$501"),"&gt;="&amp;$I107,INDIRECT("'"&amp;$A107&amp;"'!$A$2:$A$501"),"&lt;"&amp;($BA107+1),INDIRECT("'"&amp;$A107&amp;"'!$E$2:$E$501"),"Yes"),0)))</f>
        <v/>
      </c>
      <c r="AW107" s="25">
        <f>IF(OR($A107="",$I107=""),"",IF($BC107="Y",SUMIFS(survey_frozen!$K$2:$K$251,survey_frozen!$P$2:$P$251,$A107&amp;"|"&amp;$B107),IFERROR(COUNTIFS(INDIRECT("'"&amp;$A107&amp;"'!$B$2:$B$501"),$T107,INDIRECT("'"&amp;$A107&amp;"'!$A$2:$A$501"),"&gt;="&amp;$I107,INDIRECT("'"&amp;$A107&amp;"'!$A$2:$A$501"),"&lt;"&amp;($BA107+1),INDIRECT("'"&amp;$A107&amp;"'!$E$2:$E$501"),"Maybe"),0)))</f>
        <v/>
      </c>
      <c r="AX107" s="25">
        <f>IF(OR($A107="",$I107=""),"",IF($BC107="Y",SUMIFS(survey_frozen!$L$2:$L$251,survey_frozen!$P$2:$P$251,$A107&amp;"|"&amp;$B107),IFERROR(COUNTIFS(INDIRECT("'"&amp;$A107&amp;"'!$B$2:$B$501"),$T107,INDIRECT("'"&amp;$A107&amp;"'!$A$2:$A$501"),"&gt;="&amp;$I107,INDIRECT("'"&amp;$A107&amp;"'!$A$2:$A$501"),"&lt;"&amp;($BA107+1),INDIRECT("'"&amp;$A107&amp;"'!$E$2:$E$501"),"No"),0)))</f>
        <v/>
      </c>
      <c r="AY107" s="25">
        <f>IF(OR($A107="",$I107=""),"",IF($BC107="Y",SUMIFS(survey_frozen!$M$2:$M$251,survey_frozen!$P$2:$P$251,$A107&amp;"|"&amp;$B107),IFERROR(COUNTIFS(INDIRECT("'"&amp;$A107&amp;"'!$B$2:$B$501"),$T107,INDIRECT("'"&amp;$A107&amp;"'!$A$2:$A$501"),"&gt;="&amp;$I107,INDIRECT("'"&amp;$A107&amp;"'!$A$2:$A$501"),"&lt;"&amp;($BA107+1),INDIRECT("'"&amp;$A107&amp;"'!$G$2:$G$501"),"&lt;&gt;"),0)))</f>
        <v/>
      </c>
      <c r="AZ107" s="25">
        <f>IF($A107="","",$A107&amp;"|"&amp;$L107)</f>
        <v/>
      </c>
      <c r="BA107" s="26">
        <f>IF($A107="","",IFERROR(IF(INDEX(drops!$R$2:$R$21,MATCH($H107,drops!$A$2:$A$21,0))="","",INDEX(drops!$R$2:$R$21,MATCH($H107,drops!$A$2:$A$21,0))),""))</f>
        <v/>
      </c>
      <c r="BB107" s="25">
        <f>IF(OR($A107="",$Q107&lt;&gt;"Y"),1000000,N($AL107))</f>
        <v/>
      </c>
      <c r="BC107" s="25">
        <f>IF($A107="","",IF(COUNTIF(survey_frozen!$P$2:$P$251,$A107&amp;"|"&amp;$B107)&gt;0,"Y",""))</f>
        <v/>
      </c>
    </row>
    <row r="108">
      <c r="C108" s="9" t="n"/>
      <c r="E108" s="9" t="n"/>
      <c r="H108" s="25">
        <f>IF($A108="","",IFERROR(IF(INDEX(campaigns!$B$2:$B$51,MATCH($A108,campaigns!$A$2:$A$51,0))="","",INDEX(campaigns!$B$2:$B$51,MATCH($A108,campaigns!$A$2:$A$51,0))),""))</f>
        <v/>
      </c>
      <c r="I108" s="26">
        <f>IF($A108="","",IFERROR(IF(INDEX(campaigns!$BG$2:$BG$51,MATCH($A108,campaigns!$A$2:$A$51,0))="","",INDEX(campaigns!$BG$2:$BG$51,MATCH($A108,campaigns!$A$2:$A$51,0))),""))</f>
        <v/>
      </c>
      <c r="J108" s="25">
        <f>IF($A108="","",IFERROR(IF(INDEX(campaigns!$BE$2:$BE$51,MATCH($A108,campaigns!$A$2:$A$51,0))="","",INDEX(campaigns!$BE$2:$BE$51,MATCH($A108,campaigns!$A$2:$A$51,0))),""))</f>
        <v/>
      </c>
      <c r="K108" s="25">
        <f>IF($B108="","",IFERROR(IF(INDEX(offices!$N$2:$N$61,MATCH($B108,offices!$A$2:$A$61,0))="","",INDEX(offices!$N$2:$N$61,MATCH($B108,offices!$A$2:$A$61,0))),""))</f>
        <v/>
      </c>
      <c r="L108" s="25">
        <f>IF($A108="","",IF($Q108="N","",COUNTIFS($A$2:$A108,$A108,$Q$2:$Q108,"&lt;&gt;N")))</f>
        <v/>
      </c>
      <c r="M108" s="25">
        <f>IF(OR($A108="",$L108=""),"",IF(AND(config!$B$34="names_if_public",IFERROR(IF(INDEX(offices!$AF$2:$AF$61,MATCH($B108,offices!$A$2:$A$61,0))="","",INDEX(offices!$AF$2:$AF$61,MATCH($B108,offices!$A$2:$A$61,0))),"")="Y"),$K108,CHAR(64+$L108)))</f>
        <v/>
      </c>
      <c r="N108" s="25">
        <f>IF(OR($A108="",$I108=""),"",COUNTIFS(stops!$B$2:$B$151,$B108,stops!$P$2:$P$151,"&lt;"&amp;$I108,stops!$L$2:$L$151,"&lt;&gt;not_delivered")+1)</f>
        <v/>
      </c>
      <c r="O108" s="25">
        <f>IF($A108="","",IF(N($N108)&lt;=config!$B$29,"explicit","opt-out"))</f>
        <v/>
      </c>
      <c r="P108" s="25">
        <f>IF($A108="","",IF($O108="explicit",IF($D108="yes","Y",IF($D108="no","N","pending")),IF($D108="no","N",IF(AND($C108&lt;&gt;"",$I108&lt;&gt;"",$C108&lt;=WORKDAY(N($I108),-5,calendar!$A$2:$A$80)),"Y","pending"))))</f>
        <v/>
      </c>
      <c r="Q108" s="25">
        <f>IF($A108="","",IF($P108="N","N",IF($P108&lt;&gt;"Y","pending",IF(AND((COUNTIFS(stops!$A$2:$A$151,$H108,stops!$B$2:$B$151,$B108,stops!$L$2:$L$151,"declined")+COUNTIFS(stops!$A$2:$A$151,$H108,stops!$B$2:$B$151,$B108,stops!$L$2:$L$151,"building_refused")+COUNTIFS(stops!$A$2:$A$151,$H108,stops!$B$2:$B$151,$B108,stops!$L$2:$L$151,"not_delivered"))&gt;0,N($U108)=0),"N","Y"))))</f>
        <v/>
      </c>
      <c r="R108" s="25">
        <f>IF($A108="","",IF(COUNTIFS($A$2:$A$251,$A108,$B$2:$B$251,$B108)&gt;1,"DUPLICATE ROW; ","")&amp;IF(AND(IFERROR(IF(INDEX(offices!$AC$2:$AC$61,MATCH($B108,offices!$A$2:$A$61,0))="","",INDEX(offices!$AC$2:$AC$61,MATCH($B108,offices!$A$2:$A$61,0))),"")&lt;&gt;"",ISNUMBER(SEARCH($J108,IFERROR(IF(INDEX(offices!$AC$2:$AC$61,MATCH($B108,offices!$A$2:$A$61,0))="","",INDEX(offices!$AC$2:$AC$61,MATCH($B108,offices!$A$2:$A$61,0))),"")))),"BRAND VETOED; ","")&amp;IF(ISNUMBER(SEARCH(IFERROR(IF(INDEX(campaigns!$BF$2:$BF$51,MATCH($A108,campaigns!$A$2:$A$51,0))="","",INDEX(campaigns!$BF$2:$BF$51,MATCH($A108,campaigns!$A$2:$A$51,0))),""),IFERROR(IF(INDEX(offices!$AB$2:$AB$61,MATCH($B108,offices!$A$2:$A$61,0))="","",INDEX(offices!$AB$2:$AB$61,MATCH($B108,offices!$A$2:$A$61,0))),""))),"","info: category not on the office's list; ")&amp;IF(IFERROR(IF(INDEX(offices!$AC$2:$AC$61,MATCH($B108,offices!$A$2:$A$61,0))="","",INDEX(offices!$AC$2:$AC$61,MATCH($B108,offices!$A$2:$A$61,0))),"")&lt;&gt;"","info: read the vetoes against the label; ",""))</f>
        <v/>
      </c>
      <c r="S108" s="25">
        <f>IF($A108="","",IF($G108&lt;&gt;"",$G108,IFERROR(IF(INDEX(offices!$AL$2:$AL$61,MATCH($B108,offices!$A$2:$A$61,0))="","",INDEX(offices!$AL$2:$AL$61,MATCH($B108,offices!$A$2:$A$61,0))),"")))</f>
        <v/>
      </c>
      <c r="T108" s="25">
        <f>IF($A108="","",$A108&amp;"."&amp;$B108)</f>
        <v/>
      </c>
      <c r="U108" s="25">
        <f>IF($A108="","",SUMIFS(inventory!$G$2:$G$801,inventory!$C$2:$C$801,$A108,inventory!$D$2:$D$801,$B108,inventory!$E$2:$E$801,"delivered"))</f>
        <v/>
      </c>
      <c r="V108" s="32">
        <f>IF($A108="","",IFERROR(1/(1/SUMPRODUCT(MAX((inventory!$C$2:$C$801=$A108)*(inventory!$D$2:$D$801=$B108)*(inventory!$E$2:$E$801="delivered")*(inventory!$A$2:$A$801+inventory!$B$2:$B$801)))),""))</f>
        <v/>
      </c>
      <c r="W108" s="25">
        <f>IF($A108="","",IFERROR(IF(INDEX(inventory!$J$2:$J$801,MATCH($A108&amp;"|"&amp;$B108&amp;"|delivered",inventory!$R$2:$R$801,0))="","",INDEX(inventory!$J$2:$J$801,MATCH($A108&amp;"|"&amp;$B108&amp;"|delivered",inventory!$R$2:$R$801,0))),""))</f>
        <v/>
      </c>
      <c r="X108" s="25">
        <f>IF($A108="","",IFERROR(IF(INDEX(photos!$H$2:$H$701,MATCH($A108&amp;"|"&amp;$B108&amp;"|placement|Y",photos!$R$2:$R$701,0))="","",INDEX(photos!$H$2:$H$701,MATCH($A108&amp;"|"&amp;$B108&amp;"|placement|Y",photos!$R$2:$R$701,0))),""))</f>
        <v/>
      </c>
      <c r="Y108" s="26">
        <f>IF($A108="","",IFERROR(IF(INDEX(photos!$E$2:$E$701,MATCH($A108&amp;"|"&amp;$B108&amp;"|placement|Y",photos!$R$2:$R$701,0))="","",INDEX(photos!$E$2:$E$701,MATCH($A108&amp;"|"&amp;$B108&amp;"|placement|Y",photos!$R$2:$R$701,0))),""))</f>
        <v/>
      </c>
      <c r="Z108" s="25">
        <f>IF($A108="","",IF(COUNTIFS(counts!$C$2:$C$701,$A108,counts!$D$2:$D$701,$B108,counts!$E$2:$E$701,"placed")=0,"",SUMIFS(counts!$F$2:$F$701,counts!$C$2:$C$701,$A108,counts!$D$2:$D$701,$B108,counts!$E$2:$E$701,"placed")))</f>
        <v/>
      </c>
      <c r="AA108" s="25">
        <f>IF($A108="","",IF($Y108="",0,N($Z108)))</f>
        <v/>
      </c>
      <c r="AB108" s="25">
        <f>IF($A108="","",IF(OR($Y108="",$I108=""),"N",IF($Y108&lt;=WORKDAY(N($I108),1,calendar!$A$2:$A$80),"Y","N")))</f>
        <v/>
      </c>
      <c r="AC108" s="28">
        <f>IF(OR($A108="",$V108="",$Y108=""),"",ROUND(($Y108+N(IFERROR(IF(INDEX(photos!$F$2:$F$701,MATCH($A108&amp;"|"&amp;$B108&amp;"|placement|Y",photos!$R$2:$R$701,0))="","",INDEX(photos!$F$2:$F$701,MATCH($A108&amp;"|"&amp;$B108&amp;"|placement|Y",photos!$R$2:$R$701,0))),""))-$V108)*24,1))</f>
        <v/>
      </c>
      <c r="AD108" s="25">
        <f>IF($A108="","",SUMIFS(inventory!$G$2:$G$801,inventory!$C$2:$C$801,$A108,inventory!$D$2:$D$801,$B108,inventory!$E$2:$E$801,"topped_up"))</f>
        <v/>
      </c>
      <c r="AE108" s="25">
        <f>IF($A108="","",IF(COUNTIFS(counts!$C$2:$C$701,$A108,counts!$D$2:$D$701,$B108,counts!$E$2:$E$701,"remaining_day3")=0,"",SUMIFS(counts!$F$2:$F$701,counts!$C$2:$C$701,$A108,counts!$D$2:$D$701,$B108,counts!$E$2:$E$701,"remaining_day3")))</f>
        <v/>
      </c>
      <c r="AF108" s="25">
        <f>IF($A108="","",IF(COUNTIFS(counts!$C$2:$C$701,$A108,counts!$D$2:$D$701,$B108,counts!$E$2:$E$701,"remaining_day5")=0,"",SUMIFS(counts!$F$2:$F$701,counts!$C$2:$C$701,$A108,counts!$D$2:$D$701,$B108,counts!$E$2:$E$701,"remaining_day5")))</f>
        <v/>
      </c>
      <c r="AG108" s="25">
        <f>IF(OR($A108="",$AF108=""),"",MAX(0,$AA108+$AD108-$AF108))</f>
        <v/>
      </c>
      <c r="AH108" s="25">
        <f>IF(OR($A108="",$AI108=""),"",IFERROR(IF(INDEX(photos!$H$2:$H$701,MATCH($A108&amp;"|"&amp;$B108&amp;"|later|Y|"&amp;$AI108,photos!$S$2:$S$701,0))="","",INDEX(photos!$H$2:$H$701,MATCH($A108&amp;"|"&amp;$B108&amp;"|later|Y|"&amp;$AI108,photos!$S$2:$S$701,0))),""))</f>
        <v/>
      </c>
      <c r="AI108" s="26">
        <f>IF($A108="","",IFERROR(1/(1/SUMPRODUCT(MAX((photos!$B$2:$B$701=$A108)*(photos!$C$2:$C$701=$B108)*(photos!$D$2:$D$701="later")*(photos!$O$2:$O$701="Y")*photos!$E$2:$E$701))),""))</f>
        <v/>
      </c>
      <c r="AJ108" s="25">
        <f>IF(OR($A108="",$AI108="",$I108=""),"",NETWORKDAYS($I108,$AI108,calendar!$A$2:$A$80))</f>
        <v/>
      </c>
      <c r="AK108" s="25">
        <f>IF($A108="","",IF(AND($X108&lt;&gt;"",$AH108&lt;&gt;""),"Y","N"))</f>
        <v/>
      </c>
      <c r="AL108" s="25">
        <f>IF(OR($A108="",$I108=""),"",IF($BC108="Y",SUMIFS(survey_frozen!$C$2:$C$251,survey_frozen!$P$2:$P$251,$A108&amp;"|"&amp;$B108),IFERROR(COUNTIFS(INDIRECT("'"&amp;$A108&amp;"'!$B$2:$B$501"),$T108,INDIRECT("'"&amp;$A108&amp;"'!$A$2:$A$501"),"&gt;="&amp;$I108,INDIRECT("'"&amp;$A108&amp;"'!$A$2:$A$501"),"&lt;"&amp;($BA108+1)),0)))</f>
        <v/>
      </c>
      <c r="AM108" s="25">
        <f>IF(OR($A108="",$I108=""),"",IF($BC108="Y",SUMIFS(survey_frozen!$D$2:$D$251,survey_frozen!$P$2:$P$251,$A108&amp;"|"&amp;$B108),IFERROR(COUNTIFS(INDIRECT("'"&amp;$A108&amp;"'!$B$2:$B$501"),$T108,INDIRECT("'"&amp;$A108&amp;"'!$A$2:$A$501"),"&gt;="&amp;$I108,INDIRECT("'"&amp;$A108&amp;"'!$A$2:$A$501"),"&lt;"&amp;($BA108+1),INDIRECT("'"&amp;$A108&amp;"'!$C$2:$C$501"),"Yes"),0)))</f>
        <v/>
      </c>
      <c r="AN108" s="25">
        <f>IF($A108="","",IF(COUNTIFS(scans!$C$2:$C$1601,(IF(LEFT($A108,7)="SAMPLE-","SAMPLE-","")&amp;LOWER(SUBSTITUTE(SUBSTITUTE($A108,"SAMPLE-",""),"CMP-","c"))&amp;"-"&amp;LOWER(SUBSTITUTE(SUBSTITUTE($B108,"SAMPLE-",""),"O-","o"))&amp;"-q"),scans!$D$2:$D$1601,"close")=0,"",SUMPRODUCT(MAX((scans!$C$2:$C$1601=(IF(LEFT($A108,7)="SAMPLE-","SAMPLE-","")&amp;LOWER(SUBSTITUTE(SUBSTITUTE($A108,"SAMPLE-",""),"CMP-","c"))&amp;"-"&amp;LOWER(SUBSTITUTE(SUBSTITUTE($B108,"SAMPLE-",""),"O-","o"))&amp;"-q"))*(scans!$D$2:$D$1601="close")*scans!$E$2:$E$1601))-SUMPRODUCT(MAX((scans!$C$2:$C$1601=(IF(LEFT($A108,7)="SAMPLE-","SAMPLE-","")&amp;LOWER(SUBSTITUTE(SUBSTITUTE($A108,"SAMPLE-",""),"CMP-","c"))&amp;"-"&amp;LOWER(SUBSTITUTE(SUBSTITUTE($B108,"SAMPLE-",""),"O-","o"))&amp;"-q"))*(scans!$D$2:$D$1601="baseline")*scans!$E$2:$E$1601))))</f>
        <v/>
      </c>
      <c r="AO108" s="25">
        <f>IF($A108="","",IF(COUNTIFS(scans!$C$2:$C$1601,(IF(LEFT($A108,7)="SAMPLE-","SAMPLE-","")&amp;LOWER(SUBSTITUTE(SUBSTITUTE($A108,"SAMPLE-",""),"CMP-","c"))&amp;"-"&amp;LOWER(SUBSTITUTE(SUBSTITUTE($B108,"SAMPLE-",""),"O-","o"))&amp;"-p"),scans!$D$2:$D$1601,"close")=0,"",SUMPRODUCT(MAX((scans!$C$2:$C$1601=(IF(LEFT($A108,7)="SAMPLE-","SAMPLE-","")&amp;LOWER(SUBSTITUTE(SUBSTITUTE($A108,"SAMPLE-",""),"CMP-","c"))&amp;"-"&amp;LOWER(SUBSTITUTE(SUBSTITUTE($B108,"SAMPLE-",""),"O-","o"))&amp;"-p"))*(scans!$D$2:$D$1601="close")*scans!$E$2:$E$1601))-SUMPRODUCT(MAX((scans!$C$2:$C$1601=(IF(LEFT($A108,7)="SAMPLE-","SAMPLE-","")&amp;LOWER(SUBSTITUTE(SUBSTITUTE($A108,"SAMPLE-",""),"CMP-","c"))&amp;"-"&amp;LOWER(SUBSTITUTE(SUBSTITUTE($B108,"SAMPLE-",""),"O-","o"))&amp;"-p"))*(scans!$D$2:$D$1601="baseline")*scans!$E$2:$E$1601))))</f>
        <v/>
      </c>
      <c r="AP108" s="25">
        <f>IF($A108="","",IF(COUNTIF(offices!$A$2:$A$61,$B108)=0,"office_id not on offices; ","")&amp;IF(COUNTIF(campaigns!$A$2:$A$51,$A108)=0,"campaign_id not on campaigns; ","")&amp;IF($P108="pending","approval pending; ","")&amp;IF(AND($U108&gt;0,$Y108="",OR($I108="",IF(config!$B$37&lt;&gt;"",config!$B$37,TODAY())&lt;=WORKDAY(N($I108),4,calendar!$A$2:$A$80))),"no usable placement photo yet; ","")&amp;IF(AND($Y108&lt;&gt;"",$Z108=""),"log the placed count; ","")&amp;IF(N($AA108)&gt;N($U108),"placed more than delivered; ","")&amp;IF(AND($AF108&lt;&gt;"",N($AF108)&gt;N($AA108)+N($AD108)),"day-5 count above placed plus top-ups; ","")&amp;IF(AND($U108&gt;0,$I108&lt;&gt;"",IF(config!$B$37&lt;&gt;"",config!$B$37,TODAY())&gt;WORKDAY(N($I108),4,calendar!$A$2:$A$80),$AF108=""),"day-5 count missing; ","")&amp;IF(AND($U108&gt;0,$I108&lt;&gt;"",IF(config!$B$37&lt;&gt;"",config!$B$37,TODAY())&gt;WORKDAY(N($I108),4,calendar!$A$2:$A$80),$AN108=""),"no close link reading; ","")&amp;$R108&amp;IF($P108="N","info: office said no; ","")&amp;IF(AND($P108="Y",$Q108="N"),"info: turned away at the door, so not on the drop (no letter, not in the report or Gate 2; the credit check is on campaigns); ","")&amp;IF(AND($U108&gt;0,$Y108="",$I108&lt;&gt;"",IF(config!$B$37&lt;&gt;"",config!$B$37,TODAY())&gt;WORKDAY(N($I108),4,calendar!$A$2:$A$80)),"info: no usable placement photo, so nothing counts as placed; ","")&amp;IF(AND($U108&gt;0,$I108&lt;&gt;"",IF(config!$B$37&lt;&gt;"",config!$B$37,TODAY())&gt;WORKDAY(N($I108),4,calendar!$A$2:$A$80),N($AL108)&lt;config!$B$30),"info: under "&amp;config!$B$30&amp;" responses; ","")&amp;IF($W108="packing_list","info: delivered count not verified; ",""))</f>
        <v/>
      </c>
      <c r="AQ108" s="25">
        <f>IF(OR($A108="",$I108=""),"",IF($BC108="Y",SUMIFS(survey_frozen!$E$2:$E$251,survey_frozen!$P$2:$P$251,$A108&amp;"|"&amp;$B108),IFERROR(COUNTIFS(INDIRECT("'"&amp;$A108&amp;"'!$B$2:$B$501"),$T108,INDIRECT("'"&amp;$A108&amp;"'!$A$2:$A$501"),"&gt;="&amp;$I108,INDIRECT("'"&amp;$A108&amp;"'!$A$2:$A$501"),"&lt;"&amp;($BA108+1),INDIRECT("'"&amp;$A108&amp;"'!$F$2:$F$501"),"Didn't see it"),0)))</f>
        <v/>
      </c>
      <c r="AR108" s="25">
        <f>IF(OR($A108="",$I108=""),"",IF($BC108="Y",SUMIFS(survey_frozen!$F$2:$F$251,survey_frozen!$P$2:$P$251,$A108&amp;"|"&amp;$B108),IFERROR(COUNTIFS(INDIRECT("'"&amp;$A108&amp;"'!$B$2:$B$501"),$T108,INDIRECT("'"&amp;$A108&amp;"'!$A$2:$A$501"),"&gt;="&amp;$I108,INDIRECT("'"&amp;$A108&amp;"'!$A$2:$A$501"),"&lt;"&amp;($BA108+1),INDIRECT("'"&amp;$A108&amp;"'!$F$2:$F$501"),"Not for me"),0)))</f>
        <v/>
      </c>
      <c r="AS108" s="25">
        <f>IF(OR($A108="",$I108=""),"",IF($BC108="Y",SUMIFS(survey_frozen!$G$2:$G$251,survey_frozen!$P$2:$P$251,$A108&amp;"|"&amp;$B108),IFERROR(COUNTIFS(INDIRECT("'"&amp;$A108&amp;"'!$B$2:$B$501"),$T108,INDIRECT("'"&amp;$A108&amp;"'!$A$2:$A$501"),"&gt;="&amp;$I108,INDIRECT("'"&amp;$A108&amp;"'!$A$2:$A$501"),"&lt;"&amp;($BA108+1),INDIRECT("'"&amp;$A108&amp;"'!$F$2:$F$501"),"Gone by the time I looked"),0)))</f>
        <v/>
      </c>
      <c r="AT108" s="25">
        <f>IF(OR($A108="",$I108=""),"",IF($BC108="Y",SUMIFS(survey_frozen!$H$2:$H$251,survey_frozen!$P$2:$P$251,$A108&amp;"|"&amp;$B108),IFERROR(COUNTIFS(INDIRECT("'"&amp;$A108&amp;"'!$B$2:$B$501"),$T108,INDIRECT("'"&amp;$A108&amp;"'!$A$2:$A$501"),"&gt;="&amp;$I108,INDIRECT("'"&amp;$A108&amp;"'!$A$2:$A$501"),"&lt;"&amp;($BA108+1),INDIRECT("'"&amp;$A108&amp;"'!$D$2:$D$501"),"&gt;=1"),0)))</f>
        <v/>
      </c>
      <c r="AU108" s="25">
        <f>IF(OR($A108="",$I108=""),"",IF($BC108="Y",SUMIFS(survey_frozen!$I$2:$I$251,survey_frozen!$P$2:$P$251,$A108&amp;"|"&amp;$B108),IFERROR(SUMIFS(INDIRECT("'"&amp;$A108&amp;"'!$D$2:$D$501"),INDIRECT("'"&amp;$A108&amp;"'!$B$2:$B$501"),$T108,INDIRECT("'"&amp;$A108&amp;"'!$A$2:$A$501"),"&gt;="&amp;$I108,INDIRECT("'"&amp;$A108&amp;"'!$A$2:$A$501"),"&lt;"&amp;($BA108+1)),0)))</f>
        <v/>
      </c>
      <c r="AV108" s="25">
        <f>IF(OR($A108="",$I108=""),"",IF($BC108="Y",SUMIFS(survey_frozen!$J$2:$J$251,survey_frozen!$P$2:$P$251,$A108&amp;"|"&amp;$B108),IFERROR(COUNTIFS(INDIRECT("'"&amp;$A108&amp;"'!$B$2:$B$501"),$T108,INDIRECT("'"&amp;$A108&amp;"'!$A$2:$A$501"),"&gt;="&amp;$I108,INDIRECT("'"&amp;$A108&amp;"'!$A$2:$A$501"),"&lt;"&amp;($BA108+1),INDIRECT("'"&amp;$A108&amp;"'!$E$2:$E$501"),"Yes"),0)))</f>
        <v/>
      </c>
      <c r="AW108" s="25">
        <f>IF(OR($A108="",$I108=""),"",IF($BC108="Y",SUMIFS(survey_frozen!$K$2:$K$251,survey_frozen!$P$2:$P$251,$A108&amp;"|"&amp;$B108),IFERROR(COUNTIFS(INDIRECT("'"&amp;$A108&amp;"'!$B$2:$B$501"),$T108,INDIRECT("'"&amp;$A108&amp;"'!$A$2:$A$501"),"&gt;="&amp;$I108,INDIRECT("'"&amp;$A108&amp;"'!$A$2:$A$501"),"&lt;"&amp;($BA108+1),INDIRECT("'"&amp;$A108&amp;"'!$E$2:$E$501"),"Maybe"),0)))</f>
        <v/>
      </c>
      <c r="AX108" s="25">
        <f>IF(OR($A108="",$I108=""),"",IF($BC108="Y",SUMIFS(survey_frozen!$L$2:$L$251,survey_frozen!$P$2:$P$251,$A108&amp;"|"&amp;$B108),IFERROR(COUNTIFS(INDIRECT("'"&amp;$A108&amp;"'!$B$2:$B$501"),$T108,INDIRECT("'"&amp;$A108&amp;"'!$A$2:$A$501"),"&gt;="&amp;$I108,INDIRECT("'"&amp;$A108&amp;"'!$A$2:$A$501"),"&lt;"&amp;($BA108+1),INDIRECT("'"&amp;$A108&amp;"'!$E$2:$E$501"),"No"),0)))</f>
        <v/>
      </c>
      <c r="AY108" s="25">
        <f>IF(OR($A108="",$I108=""),"",IF($BC108="Y",SUMIFS(survey_frozen!$M$2:$M$251,survey_frozen!$P$2:$P$251,$A108&amp;"|"&amp;$B108),IFERROR(COUNTIFS(INDIRECT("'"&amp;$A108&amp;"'!$B$2:$B$501"),$T108,INDIRECT("'"&amp;$A108&amp;"'!$A$2:$A$501"),"&gt;="&amp;$I108,INDIRECT("'"&amp;$A108&amp;"'!$A$2:$A$501"),"&lt;"&amp;($BA108+1),INDIRECT("'"&amp;$A108&amp;"'!$G$2:$G$501"),"&lt;&gt;"),0)))</f>
        <v/>
      </c>
      <c r="AZ108" s="25">
        <f>IF($A108="","",$A108&amp;"|"&amp;$L108)</f>
        <v/>
      </c>
      <c r="BA108" s="26">
        <f>IF($A108="","",IFERROR(IF(INDEX(drops!$R$2:$R$21,MATCH($H108,drops!$A$2:$A$21,0))="","",INDEX(drops!$R$2:$R$21,MATCH($H108,drops!$A$2:$A$21,0))),""))</f>
        <v/>
      </c>
      <c r="BB108" s="25">
        <f>IF(OR($A108="",$Q108&lt;&gt;"Y"),1000000,N($AL108))</f>
        <v/>
      </c>
      <c r="BC108" s="25">
        <f>IF($A108="","",IF(COUNTIF(survey_frozen!$P$2:$P$251,$A108&amp;"|"&amp;$B108)&gt;0,"Y",""))</f>
        <v/>
      </c>
    </row>
    <row r="109">
      <c r="C109" s="9" t="n"/>
      <c r="E109" s="9" t="n"/>
      <c r="H109" s="25">
        <f>IF($A109="","",IFERROR(IF(INDEX(campaigns!$B$2:$B$51,MATCH($A109,campaigns!$A$2:$A$51,0))="","",INDEX(campaigns!$B$2:$B$51,MATCH($A109,campaigns!$A$2:$A$51,0))),""))</f>
        <v/>
      </c>
      <c r="I109" s="26">
        <f>IF($A109="","",IFERROR(IF(INDEX(campaigns!$BG$2:$BG$51,MATCH($A109,campaigns!$A$2:$A$51,0))="","",INDEX(campaigns!$BG$2:$BG$51,MATCH($A109,campaigns!$A$2:$A$51,0))),""))</f>
        <v/>
      </c>
      <c r="J109" s="25">
        <f>IF($A109="","",IFERROR(IF(INDEX(campaigns!$BE$2:$BE$51,MATCH($A109,campaigns!$A$2:$A$51,0))="","",INDEX(campaigns!$BE$2:$BE$51,MATCH($A109,campaigns!$A$2:$A$51,0))),""))</f>
        <v/>
      </c>
      <c r="K109" s="25">
        <f>IF($B109="","",IFERROR(IF(INDEX(offices!$N$2:$N$61,MATCH($B109,offices!$A$2:$A$61,0))="","",INDEX(offices!$N$2:$N$61,MATCH($B109,offices!$A$2:$A$61,0))),""))</f>
        <v/>
      </c>
      <c r="L109" s="25">
        <f>IF($A109="","",IF($Q109="N","",COUNTIFS($A$2:$A109,$A109,$Q$2:$Q109,"&lt;&gt;N")))</f>
        <v/>
      </c>
      <c r="M109" s="25">
        <f>IF(OR($A109="",$L109=""),"",IF(AND(config!$B$34="names_if_public",IFERROR(IF(INDEX(offices!$AF$2:$AF$61,MATCH($B109,offices!$A$2:$A$61,0))="","",INDEX(offices!$AF$2:$AF$61,MATCH($B109,offices!$A$2:$A$61,0))),"")="Y"),$K109,CHAR(64+$L109)))</f>
        <v/>
      </c>
      <c r="N109" s="25">
        <f>IF(OR($A109="",$I109=""),"",COUNTIFS(stops!$B$2:$B$151,$B109,stops!$P$2:$P$151,"&lt;"&amp;$I109,stops!$L$2:$L$151,"&lt;&gt;not_delivered")+1)</f>
        <v/>
      </c>
      <c r="O109" s="25">
        <f>IF($A109="","",IF(N($N109)&lt;=config!$B$29,"explicit","opt-out"))</f>
        <v/>
      </c>
      <c r="P109" s="25">
        <f>IF($A109="","",IF($O109="explicit",IF($D109="yes","Y",IF($D109="no","N","pending")),IF($D109="no","N",IF(AND($C109&lt;&gt;"",$I109&lt;&gt;"",$C109&lt;=WORKDAY(N($I109),-5,calendar!$A$2:$A$80)),"Y","pending"))))</f>
        <v/>
      </c>
      <c r="Q109" s="25">
        <f>IF($A109="","",IF($P109="N","N",IF($P109&lt;&gt;"Y","pending",IF(AND((COUNTIFS(stops!$A$2:$A$151,$H109,stops!$B$2:$B$151,$B109,stops!$L$2:$L$151,"declined")+COUNTIFS(stops!$A$2:$A$151,$H109,stops!$B$2:$B$151,$B109,stops!$L$2:$L$151,"building_refused")+COUNTIFS(stops!$A$2:$A$151,$H109,stops!$B$2:$B$151,$B109,stops!$L$2:$L$151,"not_delivered"))&gt;0,N($U109)=0),"N","Y"))))</f>
        <v/>
      </c>
      <c r="R109" s="25">
        <f>IF($A109="","",IF(COUNTIFS($A$2:$A$251,$A109,$B$2:$B$251,$B109)&gt;1,"DUPLICATE ROW; ","")&amp;IF(AND(IFERROR(IF(INDEX(offices!$AC$2:$AC$61,MATCH($B109,offices!$A$2:$A$61,0))="","",INDEX(offices!$AC$2:$AC$61,MATCH($B109,offices!$A$2:$A$61,0))),"")&lt;&gt;"",ISNUMBER(SEARCH($J109,IFERROR(IF(INDEX(offices!$AC$2:$AC$61,MATCH($B109,offices!$A$2:$A$61,0))="","",INDEX(offices!$AC$2:$AC$61,MATCH($B109,offices!$A$2:$A$61,0))),"")))),"BRAND VETOED; ","")&amp;IF(ISNUMBER(SEARCH(IFERROR(IF(INDEX(campaigns!$BF$2:$BF$51,MATCH($A109,campaigns!$A$2:$A$51,0))="","",INDEX(campaigns!$BF$2:$BF$51,MATCH($A109,campaigns!$A$2:$A$51,0))),""),IFERROR(IF(INDEX(offices!$AB$2:$AB$61,MATCH($B109,offices!$A$2:$A$61,0))="","",INDEX(offices!$AB$2:$AB$61,MATCH($B109,offices!$A$2:$A$61,0))),""))),"","info: category not on the office's list; ")&amp;IF(IFERROR(IF(INDEX(offices!$AC$2:$AC$61,MATCH($B109,offices!$A$2:$A$61,0))="","",INDEX(offices!$AC$2:$AC$61,MATCH($B109,offices!$A$2:$A$61,0))),"")&lt;&gt;"","info: read the vetoes against the label; ",""))</f>
        <v/>
      </c>
      <c r="S109" s="25">
        <f>IF($A109="","",IF($G109&lt;&gt;"",$G109,IFERROR(IF(INDEX(offices!$AL$2:$AL$61,MATCH($B109,offices!$A$2:$A$61,0))="","",INDEX(offices!$AL$2:$AL$61,MATCH($B109,offices!$A$2:$A$61,0))),"")))</f>
        <v/>
      </c>
      <c r="T109" s="25">
        <f>IF($A109="","",$A109&amp;"."&amp;$B109)</f>
        <v/>
      </c>
      <c r="U109" s="25">
        <f>IF($A109="","",SUMIFS(inventory!$G$2:$G$801,inventory!$C$2:$C$801,$A109,inventory!$D$2:$D$801,$B109,inventory!$E$2:$E$801,"delivered"))</f>
        <v/>
      </c>
      <c r="V109" s="32">
        <f>IF($A109="","",IFERROR(1/(1/SUMPRODUCT(MAX((inventory!$C$2:$C$801=$A109)*(inventory!$D$2:$D$801=$B109)*(inventory!$E$2:$E$801="delivered")*(inventory!$A$2:$A$801+inventory!$B$2:$B$801)))),""))</f>
        <v/>
      </c>
      <c r="W109" s="25">
        <f>IF($A109="","",IFERROR(IF(INDEX(inventory!$J$2:$J$801,MATCH($A109&amp;"|"&amp;$B109&amp;"|delivered",inventory!$R$2:$R$801,0))="","",INDEX(inventory!$J$2:$J$801,MATCH($A109&amp;"|"&amp;$B109&amp;"|delivered",inventory!$R$2:$R$801,0))),""))</f>
        <v/>
      </c>
      <c r="X109" s="25">
        <f>IF($A109="","",IFERROR(IF(INDEX(photos!$H$2:$H$701,MATCH($A109&amp;"|"&amp;$B109&amp;"|placement|Y",photos!$R$2:$R$701,0))="","",INDEX(photos!$H$2:$H$701,MATCH($A109&amp;"|"&amp;$B109&amp;"|placement|Y",photos!$R$2:$R$701,0))),""))</f>
        <v/>
      </c>
      <c r="Y109" s="26">
        <f>IF($A109="","",IFERROR(IF(INDEX(photos!$E$2:$E$701,MATCH($A109&amp;"|"&amp;$B109&amp;"|placement|Y",photos!$R$2:$R$701,0))="","",INDEX(photos!$E$2:$E$701,MATCH($A109&amp;"|"&amp;$B109&amp;"|placement|Y",photos!$R$2:$R$701,0))),""))</f>
        <v/>
      </c>
      <c r="Z109" s="25">
        <f>IF($A109="","",IF(COUNTIFS(counts!$C$2:$C$701,$A109,counts!$D$2:$D$701,$B109,counts!$E$2:$E$701,"placed")=0,"",SUMIFS(counts!$F$2:$F$701,counts!$C$2:$C$701,$A109,counts!$D$2:$D$701,$B109,counts!$E$2:$E$701,"placed")))</f>
        <v/>
      </c>
      <c r="AA109" s="25">
        <f>IF($A109="","",IF($Y109="",0,N($Z109)))</f>
        <v/>
      </c>
      <c r="AB109" s="25">
        <f>IF($A109="","",IF(OR($Y109="",$I109=""),"N",IF($Y109&lt;=WORKDAY(N($I109),1,calendar!$A$2:$A$80),"Y","N")))</f>
        <v/>
      </c>
      <c r="AC109" s="28">
        <f>IF(OR($A109="",$V109="",$Y109=""),"",ROUND(($Y109+N(IFERROR(IF(INDEX(photos!$F$2:$F$701,MATCH($A109&amp;"|"&amp;$B109&amp;"|placement|Y",photos!$R$2:$R$701,0))="","",INDEX(photos!$F$2:$F$701,MATCH($A109&amp;"|"&amp;$B109&amp;"|placement|Y",photos!$R$2:$R$701,0))),""))-$V109)*24,1))</f>
        <v/>
      </c>
      <c r="AD109" s="25">
        <f>IF($A109="","",SUMIFS(inventory!$G$2:$G$801,inventory!$C$2:$C$801,$A109,inventory!$D$2:$D$801,$B109,inventory!$E$2:$E$801,"topped_up"))</f>
        <v/>
      </c>
      <c r="AE109" s="25">
        <f>IF($A109="","",IF(COUNTIFS(counts!$C$2:$C$701,$A109,counts!$D$2:$D$701,$B109,counts!$E$2:$E$701,"remaining_day3")=0,"",SUMIFS(counts!$F$2:$F$701,counts!$C$2:$C$701,$A109,counts!$D$2:$D$701,$B109,counts!$E$2:$E$701,"remaining_day3")))</f>
        <v/>
      </c>
      <c r="AF109" s="25">
        <f>IF($A109="","",IF(COUNTIFS(counts!$C$2:$C$701,$A109,counts!$D$2:$D$701,$B109,counts!$E$2:$E$701,"remaining_day5")=0,"",SUMIFS(counts!$F$2:$F$701,counts!$C$2:$C$701,$A109,counts!$D$2:$D$701,$B109,counts!$E$2:$E$701,"remaining_day5")))</f>
        <v/>
      </c>
      <c r="AG109" s="25">
        <f>IF(OR($A109="",$AF109=""),"",MAX(0,$AA109+$AD109-$AF109))</f>
        <v/>
      </c>
      <c r="AH109" s="25">
        <f>IF(OR($A109="",$AI109=""),"",IFERROR(IF(INDEX(photos!$H$2:$H$701,MATCH($A109&amp;"|"&amp;$B109&amp;"|later|Y|"&amp;$AI109,photos!$S$2:$S$701,0))="","",INDEX(photos!$H$2:$H$701,MATCH($A109&amp;"|"&amp;$B109&amp;"|later|Y|"&amp;$AI109,photos!$S$2:$S$701,0))),""))</f>
        <v/>
      </c>
      <c r="AI109" s="26">
        <f>IF($A109="","",IFERROR(1/(1/SUMPRODUCT(MAX((photos!$B$2:$B$701=$A109)*(photos!$C$2:$C$701=$B109)*(photos!$D$2:$D$701="later")*(photos!$O$2:$O$701="Y")*photos!$E$2:$E$701))),""))</f>
        <v/>
      </c>
      <c r="AJ109" s="25">
        <f>IF(OR($A109="",$AI109="",$I109=""),"",NETWORKDAYS($I109,$AI109,calendar!$A$2:$A$80))</f>
        <v/>
      </c>
      <c r="AK109" s="25">
        <f>IF($A109="","",IF(AND($X109&lt;&gt;"",$AH109&lt;&gt;""),"Y","N"))</f>
        <v/>
      </c>
      <c r="AL109" s="25">
        <f>IF(OR($A109="",$I109=""),"",IF($BC109="Y",SUMIFS(survey_frozen!$C$2:$C$251,survey_frozen!$P$2:$P$251,$A109&amp;"|"&amp;$B109),IFERROR(COUNTIFS(INDIRECT("'"&amp;$A109&amp;"'!$B$2:$B$501"),$T109,INDIRECT("'"&amp;$A109&amp;"'!$A$2:$A$501"),"&gt;="&amp;$I109,INDIRECT("'"&amp;$A109&amp;"'!$A$2:$A$501"),"&lt;"&amp;($BA109+1)),0)))</f>
        <v/>
      </c>
      <c r="AM109" s="25">
        <f>IF(OR($A109="",$I109=""),"",IF($BC109="Y",SUMIFS(survey_frozen!$D$2:$D$251,survey_frozen!$P$2:$P$251,$A109&amp;"|"&amp;$B109),IFERROR(COUNTIFS(INDIRECT("'"&amp;$A109&amp;"'!$B$2:$B$501"),$T109,INDIRECT("'"&amp;$A109&amp;"'!$A$2:$A$501"),"&gt;="&amp;$I109,INDIRECT("'"&amp;$A109&amp;"'!$A$2:$A$501"),"&lt;"&amp;($BA109+1),INDIRECT("'"&amp;$A109&amp;"'!$C$2:$C$501"),"Yes"),0)))</f>
        <v/>
      </c>
      <c r="AN109" s="25">
        <f>IF($A109="","",IF(COUNTIFS(scans!$C$2:$C$1601,(IF(LEFT($A109,7)="SAMPLE-","SAMPLE-","")&amp;LOWER(SUBSTITUTE(SUBSTITUTE($A109,"SAMPLE-",""),"CMP-","c"))&amp;"-"&amp;LOWER(SUBSTITUTE(SUBSTITUTE($B109,"SAMPLE-",""),"O-","o"))&amp;"-q"),scans!$D$2:$D$1601,"close")=0,"",SUMPRODUCT(MAX((scans!$C$2:$C$1601=(IF(LEFT($A109,7)="SAMPLE-","SAMPLE-","")&amp;LOWER(SUBSTITUTE(SUBSTITUTE($A109,"SAMPLE-",""),"CMP-","c"))&amp;"-"&amp;LOWER(SUBSTITUTE(SUBSTITUTE($B109,"SAMPLE-",""),"O-","o"))&amp;"-q"))*(scans!$D$2:$D$1601="close")*scans!$E$2:$E$1601))-SUMPRODUCT(MAX((scans!$C$2:$C$1601=(IF(LEFT($A109,7)="SAMPLE-","SAMPLE-","")&amp;LOWER(SUBSTITUTE(SUBSTITUTE($A109,"SAMPLE-",""),"CMP-","c"))&amp;"-"&amp;LOWER(SUBSTITUTE(SUBSTITUTE($B109,"SAMPLE-",""),"O-","o"))&amp;"-q"))*(scans!$D$2:$D$1601="baseline")*scans!$E$2:$E$1601))))</f>
        <v/>
      </c>
      <c r="AO109" s="25">
        <f>IF($A109="","",IF(COUNTIFS(scans!$C$2:$C$1601,(IF(LEFT($A109,7)="SAMPLE-","SAMPLE-","")&amp;LOWER(SUBSTITUTE(SUBSTITUTE($A109,"SAMPLE-",""),"CMP-","c"))&amp;"-"&amp;LOWER(SUBSTITUTE(SUBSTITUTE($B109,"SAMPLE-",""),"O-","o"))&amp;"-p"),scans!$D$2:$D$1601,"close")=0,"",SUMPRODUCT(MAX((scans!$C$2:$C$1601=(IF(LEFT($A109,7)="SAMPLE-","SAMPLE-","")&amp;LOWER(SUBSTITUTE(SUBSTITUTE($A109,"SAMPLE-",""),"CMP-","c"))&amp;"-"&amp;LOWER(SUBSTITUTE(SUBSTITUTE($B109,"SAMPLE-",""),"O-","o"))&amp;"-p"))*(scans!$D$2:$D$1601="close")*scans!$E$2:$E$1601))-SUMPRODUCT(MAX((scans!$C$2:$C$1601=(IF(LEFT($A109,7)="SAMPLE-","SAMPLE-","")&amp;LOWER(SUBSTITUTE(SUBSTITUTE($A109,"SAMPLE-",""),"CMP-","c"))&amp;"-"&amp;LOWER(SUBSTITUTE(SUBSTITUTE($B109,"SAMPLE-",""),"O-","o"))&amp;"-p"))*(scans!$D$2:$D$1601="baseline")*scans!$E$2:$E$1601))))</f>
        <v/>
      </c>
      <c r="AP109" s="25">
        <f>IF($A109="","",IF(COUNTIF(offices!$A$2:$A$61,$B109)=0,"office_id not on offices; ","")&amp;IF(COUNTIF(campaigns!$A$2:$A$51,$A109)=0,"campaign_id not on campaigns; ","")&amp;IF($P109="pending","approval pending; ","")&amp;IF(AND($U109&gt;0,$Y109="",OR($I109="",IF(config!$B$37&lt;&gt;"",config!$B$37,TODAY())&lt;=WORKDAY(N($I109),4,calendar!$A$2:$A$80))),"no usable placement photo yet; ","")&amp;IF(AND($Y109&lt;&gt;"",$Z109=""),"log the placed count; ","")&amp;IF(N($AA109)&gt;N($U109),"placed more than delivered; ","")&amp;IF(AND($AF109&lt;&gt;"",N($AF109)&gt;N($AA109)+N($AD109)),"day-5 count above placed plus top-ups; ","")&amp;IF(AND($U109&gt;0,$I109&lt;&gt;"",IF(config!$B$37&lt;&gt;"",config!$B$37,TODAY())&gt;WORKDAY(N($I109),4,calendar!$A$2:$A$80),$AF109=""),"day-5 count missing; ","")&amp;IF(AND($U109&gt;0,$I109&lt;&gt;"",IF(config!$B$37&lt;&gt;"",config!$B$37,TODAY())&gt;WORKDAY(N($I109),4,calendar!$A$2:$A$80),$AN109=""),"no close link reading; ","")&amp;$R109&amp;IF($P109="N","info: office said no; ","")&amp;IF(AND($P109="Y",$Q109="N"),"info: turned away at the door, so not on the drop (no letter, not in the report or Gate 2; the credit check is on campaigns); ","")&amp;IF(AND($U109&gt;0,$Y109="",$I109&lt;&gt;"",IF(config!$B$37&lt;&gt;"",config!$B$37,TODAY())&gt;WORKDAY(N($I109),4,calendar!$A$2:$A$80)),"info: no usable placement photo, so nothing counts as placed; ","")&amp;IF(AND($U109&gt;0,$I109&lt;&gt;"",IF(config!$B$37&lt;&gt;"",config!$B$37,TODAY())&gt;WORKDAY(N($I109),4,calendar!$A$2:$A$80),N($AL109)&lt;config!$B$30),"info: under "&amp;config!$B$30&amp;" responses; ","")&amp;IF($W109="packing_list","info: delivered count not verified; ",""))</f>
        <v/>
      </c>
      <c r="AQ109" s="25">
        <f>IF(OR($A109="",$I109=""),"",IF($BC109="Y",SUMIFS(survey_frozen!$E$2:$E$251,survey_frozen!$P$2:$P$251,$A109&amp;"|"&amp;$B109),IFERROR(COUNTIFS(INDIRECT("'"&amp;$A109&amp;"'!$B$2:$B$501"),$T109,INDIRECT("'"&amp;$A109&amp;"'!$A$2:$A$501"),"&gt;="&amp;$I109,INDIRECT("'"&amp;$A109&amp;"'!$A$2:$A$501"),"&lt;"&amp;($BA109+1),INDIRECT("'"&amp;$A109&amp;"'!$F$2:$F$501"),"Didn't see it"),0)))</f>
        <v/>
      </c>
      <c r="AR109" s="25">
        <f>IF(OR($A109="",$I109=""),"",IF($BC109="Y",SUMIFS(survey_frozen!$F$2:$F$251,survey_frozen!$P$2:$P$251,$A109&amp;"|"&amp;$B109),IFERROR(COUNTIFS(INDIRECT("'"&amp;$A109&amp;"'!$B$2:$B$501"),$T109,INDIRECT("'"&amp;$A109&amp;"'!$A$2:$A$501"),"&gt;="&amp;$I109,INDIRECT("'"&amp;$A109&amp;"'!$A$2:$A$501"),"&lt;"&amp;($BA109+1),INDIRECT("'"&amp;$A109&amp;"'!$F$2:$F$501"),"Not for me"),0)))</f>
        <v/>
      </c>
      <c r="AS109" s="25">
        <f>IF(OR($A109="",$I109=""),"",IF($BC109="Y",SUMIFS(survey_frozen!$G$2:$G$251,survey_frozen!$P$2:$P$251,$A109&amp;"|"&amp;$B109),IFERROR(COUNTIFS(INDIRECT("'"&amp;$A109&amp;"'!$B$2:$B$501"),$T109,INDIRECT("'"&amp;$A109&amp;"'!$A$2:$A$501"),"&gt;="&amp;$I109,INDIRECT("'"&amp;$A109&amp;"'!$A$2:$A$501"),"&lt;"&amp;($BA109+1),INDIRECT("'"&amp;$A109&amp;"'!$F$2:$F$501"),"Gone by the time I looked"),0)))</f>
        <v/>
      </c>
      <c r="AT109" s="25">
        <f>IF(OR($A109="",$I109=""),"",IF($BC109="Y",SUMIFS(survey_frozen!$H$2:$H$251,survey_frozen!$P$2:$P$251,$A109&amp;"|"&amp;$B109),IFERROR(COUNTIFS(INDIRECT("'"&amp;$A109&amp;"'!$B$2:$B$501"),$T109,INDIRECT("'"&amp;$A109&amp;"'!$A$2:$A$501"),"&gt;="&amp;$I109,INDIRECT("'"&amp;$A109&amp;"'!$A$2:$A$501"),"&lt;"&amp;($BA109+1),INDIRECT("'"&amp;$A109&amp;"'!$D$2:$D$501"),"&gt;=1"),0)))</f>
        <v/>
      </c>
      <c r="AU109" s="25">
        <f>IF(OR($A109="",$I109=""),"",IF($BC109="Y",SUMIFS(survey_frozen!$I$2:$I$251,survey_frozen!$P$2:$P$251,$A109&amp;"|"&amp;$B109),IFERROR(SUMIFS(INDIRECT("'"&amp;$A109&amp;"'!$D$2:$D$501"),INDIRECT("'"&amp;$A109&amp;"'!$B$2:$B$501"),$T109,INDIRECT("'"&amp;$A109&amp;"'!$A$2:$A$501"),"&gt;="&amp;$I109,INDIRECT("'"&amp;$A109&amp;"'!$A$2:$A$501"),"&lt;"&amp;($BA109+1)),0)))</f>
        <v/>
      </c>
      <c r="AV109" s="25">
        <f>IF(OR($A109="",$I109=""),"",IF($BC109="Y",SUMIFS(survey_frozen!$J$2:$J$251,survey_frozen!$P$2:$P$251,$A109&amp;"|"&amp;$B109),IFERROR(COUNTIFS(INDIRECT("'"&amp;$A109&amp;"'!$B$2:$B$501"),$T109,INDIRECT("'"&amp;$A109&amp;"'!$A$2:$A$501"),"&gt;="&amp;$I109,INDIRECT("'"&amp;$A109&amp;"'!$A$2:$A$501"),"&lt;"&amp;($BA109+1),INDIRECT("'"&amp;$A109&amp;"'!$E$2:$E$501"),"Yes"),0)))</f>
        <v/>
      </c>
      <c r="AW109" s="25">
        <f>IF(OR($A109="",$I109=""),"",IF($BC109="Y",SUMIFS(survey_frozen!$K$2:$K$251,survey_frozen!$P$2:$P$251,$A109&amp;"|"&amp;$B109),IFERROR(COUNTIFS(INDIRECT("'"&amp;$A109&amp;"'!$B$2:$B$501"),$T109,INDIRECT("'"&amp;$A109&amp;"'!$A$2:$A$501"),"&gt;="&amp;$I109,INDIRECT("'"&amp;$A109&amp;"'!$A$2:$A$501"),"&lt;"&amp;($BA109+1),INDIRECT("'"&amp;$A109&amp;"'!$E$2:$E$501"),"Maybe"),0)))</f>
        <v/>
      </c>
      <c r="AX109" s="25">
        <f>IF(OR($A109="",$I109=""),"",IF($BC109="Y",SUMIFS(survey_frozen!$L$2:$L$251,survey_frozen!$P$2:$P$251,$A109&amp;"|"&amp;$B109),IFERROR(COUNTIFS(INDIRECT("'"&amp;$A109&amp;"'!$B$2:$B$501"),$T109,INDIRECT("'"&amp;$A109&amp;"'!$A$2:$A$501"),"&gt;="&amp;$I109,INDIRECT("'"&amp;$A109&amp;"'!$A$2:$A$501"),"&lt;"&amp;($BA109+1),INDIRECT("'"&amp;$A109&amp;"'!$E$2:$E$501"),"No"),0)))</f>
        <v/>
      </c>
      <c r="AY109" s="25">
        <f>IF(OR($A109="",$I109=""),"",IF($BC109="Y",SUMIFS(survey_frozen!$M$2:$M$251,survey_frozen!$P$2:$P$251,$A109&amp;"|"&amp;$B109),IFERROR(COUNTIFS(INDIRECT("'"&amp;$A109&amp;"'!$B$2:$B$501"),$T109,INDIRECT("'"&amp;$A109&amp;"'!$A$2:$A$501"),"&gt;="&amp;$I109,INDIRECT("'"&amp;$A109&amp;"'!$A$2:$A$501"),"&lt;"&amp;($BA109+1),INDIRECT("'"&amp;$A109&amp;"'!$G$2:$G$501"),"&lt;&gt;"),0)))</f>
        <v/>
      </c>
      <c r="AZ109" s="25">
        <f>IF($A109="","",$A109&amp;"|"&amp;$L109)</f>
        <v/>
      </c>
      <c r="BA109" s="26">
        <f>IF($A109="","",IFERROR(IF(INDEX(drops!$R$2:$R$21,MATCH($H109,drops!$A$2:$A$21,0))="","",INDEX(drops!$R$2:$R$21,MATCH($H109,drops!$A$2:$A$21,0))),""))</f>
        <v/>
      </c>
      <c r="BB109" s="25">
        <f>IF(OR($A109="",$Q109&lt;&gt;"Y"),1000000,N($AL109))</f>
        <v/>
      </c>
      <c r="BC109" s="25">
        <f>IF($A109="","",IF(COUNTIF(survey_frozen!$P$2:$P$251,$A109&amp;"|"&amp;$B109)&gt;0,"Y",""))</f>
        <v/>
      </c>
    </row>
    <row r="110">
      <c r="C110" s="9" t="n"/>
      <c r="E110" s="9" t="n"/>
      <c r="H110" s="25">
        <f>IF($A110="","",IFERROR(IF(INDEX(campaigns!$B$2:$B$51,MATCH($A110,campaigns!$A$2:$A$51,0))="","",INDEX(campaigns!$B$2:$B$51,MATCH($A110,campaigns!$A$2:$A$51,0))),""))</f>
        <v/>
      </c>
      <c r="I110" s="26">
        <f>IF($A110="","",IFERROR(IF(INDEX(campaigns!$BG$2:$BG$51,MATCH($A110,campaigns!$A$2:$A$51,0))="","",INDEX(campaigns!$BG$2:$BG$51,MATCH($A110,campaigns!$A$2:$A$51,0))),""))</f>
        <v/>
      </c>
      <c r="J110" s="25">
        <f>IF($A110="","",IFERROR(IF(INDEX(campaigns!$BE$2:$BE$51,MATCH($A110,campaigns!$A$2:$A$51,0))="","",INDEX(campaigns!$BE$2:$BE$51,MATCH($A110,campaigns!$A$2:$A$51,0))),""))</f>
        <v/>
      </c>
      <c r="K110" s="25">
        <f>IF($B110="","",IFERROR(IF(INDEX(offices!$N$2:$N$61,MATCH($B110,offices!$A$2:$A$61,0))="","",INDEX(offices!$N$2:$N$61,MATCH($B110,offices!$A$2:$A$61,0))),""))</f>
        <v/>
      </c>
      <c r="L110" s="25">
        <f>IF($A110="","",IF($Q110="N","",COUNTIFS($A$2:$A110,$A110,$Q$2:$Q110,"&lt;&gt;N")))</f>
        <v/>
      </c>
      <c r="M110" s="25">
        <f>IF(OR($A110="",$L110=""),"",IF(AND(config!$B$34="names_if_public",IFERROR(IF(INDEX(offices!$AF$2:$AF$61,MATCH($B110,offices!$A$2:$A$61,0))="","",INDEX(offices!$AF$2:$AF$61,MATCH($B110,offices!$A$2:$A$61,0))),"")="Y"),$K110,CHAR(64+$L110)))</f>
        <v/>
      </c>
      <c r="N110" s="25">
        <f>IF(OR($A110="",$I110=""),"",COUNTIFS(stops!$B$2:$B$151,$B110,stops!$P$2:$P$151,"&lt;"&amp;$I110,stops!$L$2:$L$151,"&lt;&gt;not_delivered")+1)</f>
        <v/>
      </c>
      <c r="O110" s="25">
        <f>IF($A110="","",IF(N($N110)&lt;=config!$B$29,"explicit","opt-out"))</f>
        <v/>
      </c>
      <c r="P110" s="25">
        <f>IF($A110="","",IF($O110="explicit",IF($D110="yes","Y",IF($D110="no","N","pending")),IF($D110="no","N",IF(AND($C110&lt;&gt;"",$I110&lt;&gt;"",$C110&lt;=WORKDAY(N($I110),-5,calendar!$A$2:$A$80)),"Y","pending"))))</f>
        <v/>
      </c>
      <c r="Q110" s="25">
        <f>IF($A110="","",IF($P110="N","N",IF($P110&lt;&gt;"Y","pending",IF(AND((COUNTIFS(stops!$A$2:$A$151,$H110,stops!$B$2:$B$151,$B110,stops!$L$2:$L$151,"declined")+COUNTIFS(stops!$A$2:$A$151,$H110,stops!$B$2:$B$151,$B110,stops!$L$2:$L$151,"building_refused")+COUNTIFS(stops!$A$2:$A$151,$H110,stops!$B$2:$B$151,$B110,stops!$L$2:$L$151,"not_delivered"))&gt;0,N($U110)=0),"N","Y"))))</f>
        <v/>
      </c>
      <c r="R110" s="25">
        <f>IF($A110="","",IF(COUNTIFS($A$2:$A$251,$A110,$B$2:$B$251,$B110)&gt;1,"DUPLICATE ROW; ","")&amp;IF(AND(IFERROR(IF(INDEX(offices!$AC$2:$AC$61,MATCH($B110,offices!$A$2:$A$61,0))="","",INDEX(offices!$AC$2:$AC$61,MATCH($B110,offices!$A$2:$A$61,0))),"")&lt;&gt;"",ISNUMBER(SEARCH($J110,IFERROR(IF(INDEX(offices!$AC$2:$AC$61,MATCH($B110,offices!$A$2:$A$61,0))="","",INDEX(offices!$AC$2:$AC$61,MATCH($B110,offices!$A$2:$A$61,0))),"")))),"BRAND VETOED; ","")&amp;IF(ISNUMBER(SEARCH(IFERROR(IF(INDEX(campaigns!$BF$2:$BF$51,MATCH($A110,campaigns!$A$2:$A$51,0))="","",INDEX(campaigns!$BF$2:$BF$51,MATCH($A110,campaigns!$A$2:$A$51,0))),""),IFERROR(IF(INDEX(offices!$AB$2:$AB$61,MATCH($B110,offices!$A$2:$A$61,0))="","",INDEX(offices!$AB$2:$AB$61,MATCH($B110,offices!$A$2:$A$61,0))),""))),"","info: category not on the office's list; ")&amp;IF(IFERROR(IF(INDEX(offices!$AC$2:$AC$61,MATCH($B110,offices!$A$2:$A$61,0))="","",INDEX(offices!$AC$2:$AC$61,MATCH($B110,offices!$A$2:$A$61,0))),"")&lt;&gt;"","info: read the vetoes against the label; ",""))</f>
        <v/>
      </c>
      <c r="S110" s="25">
        <f>IF($A110="","",IF($G110&lt;&gt;"",$G110,IFERROR(IF(INDEX(offices!$AL$2:$AL$61,MATCH($B110,offices!$A$2:$A$61,0))="","",INDEX(offices!$AL$2:$AL$61,MATCH($B110,offices!$A$2:$A$61,0))),"")))</f>
        <v/>
      </c>
      <c r="T110" s="25">
        <f>IF($A110="","",$A110&amp;"."&amp;$B110)</f>
        <v/>
      </c>
      <c r="U110" s="25">
        <f>IF($A110="","",SUMIFS(inventory!$G$2:$G$801,inventory!$C$2:$C$801,$A110,inventory!$D$2:$D$801,$B110,inventory!$E$2:$E$801,"delivered"))</f>
        <v/>
      </c>
      <c r="V110" s="32">
        <f>IF($A110="","",IFERROR(1/(1/SUMPRODUCT(MAX((inventory!$C$2:$C$801=$A110)*(inventory!$D$2:$D$801=$B110)*(inventory!$E$2:$E$801="delivered")*(inventory!$A$2:$A$801+inventory!$B$2:$B$801)))),""))</f>
        <v/>
      </c>
      <c r="W110" s="25">
        <f>IF($A110="","",IFERROR(IF(INDEX(inventory!$J$2:$J$801,MATCH($A110&amp;"|"&amp;$B110&amp;"|delivered",inventory!$R$2:$R$801,0))="","",INDEX(inventory!$J$2:$J$801,MATCH($A110&amp;"|"&amp;$B110&amp;"|delivered",inventory!$R$2:$R$801,0))),""))</f>
        <v/>
      </c>
      <c r="X110" s="25">
        <f>IF($A110="","",IFERROR(IF(INDEX(photos!$H$2:$H$701,MATCH($A110&amp;"|"&amp;$B110&amp;"|placement|Y",photos!$R$2:$R$701,0))="","",INDEX(photos!$H$2:$H$701,MATCH($A110&amp;"|"&amp;$B110&amp;"|placement|Y",photos!$R$2:$R$701,0))),""))</f>
        <v/>
      </c>
      <c r="Y110" s="26">
        <f>IF($A110="","",IFERROR(IF(INDEX(photos!$E$2:$E$701,MATCH($A110&amp;"|"&amp;$B110&amp;"|placement|Y",photos!$R$2:$R$701,0))="","",INDEX(photos!$E$2:$E$701,MATCH($A110&amp;"|"&amp;$B110&amp;"|placement|Y",photos!$R$2:$R$701,0))),""))</f>
        <v/>
      </c>
      <c r="Z110" s="25">
        <f>IF($A110="","",IF(COUNTIFS(counts!$C$2:$C$701,$A110,counts!$D$2:$D$701,$B110,counts!$E$2:$E$701,"placed")=0,"",SUMIFS(counts!$F$2:$F$701,counts!$C$2:$C$701,$A110,counts!$D$2:$D$701,$B110,counts!$E$2:$E$701,"placed")))</f>
        <v/>
      </c>
      <c r="AA110" s="25">
        <f>IF($A110="","",IF($Y110="",0,N($Z110)))</f>
        <v/>
      </c>
      <c r="AB110" s="25">
        <f>IF($A110="","",IF(OR($Y110="",$I110=""),"N",IF($Y110&lt;=WORKDAY(N($I110),1,calendar!$A$2:$A$80),"Y","N")))</f>
        <v/>
      </c>
      <c r="AC110" s="28">
        <f>IF(OR($A110="",$V110="",$Y110=""),"",ROUND(($Y110+N(IFERROR(IF(INDEX(photos!$F$2:$F$701,MATCH($A110&amp;"|"&amp;$B110&amp;"|placement|Y",photos!$R$2:$R$701,0))="","",INDEX(photos!$F$2:$F$701,MATCH($A110&amp;"|"&amp;$B110&amp;"|placement|Y",photos!$R$2:$R$701,0))),""))-$V110)*24,1))</f>
        <v/>
      </c>
      <c r="AD110" s="25">
        <f>IF($A110="","",SUMIFS(inventory!$G$2:$G$801,inventory!$C$2:$C$801,$A110,inventory!$D$2:$D$801,$B110,inventory!$E$2:$E$801,"topped_up"))</f>
        <v/>
      </c>
      <c r="AE110" s="25">
        <f>IF($A110="","",IF(COUNTIFS(counts!$C$2:$C$701,$A110,counts!$D$2:$D$701,$B110,counts!$E$2:$E$701,"remaining_day3")=0,"",SUMIFS(counts!$F$2:$F$701,counts!$C$2:$C$701,$A110,counts!$D$2:$D$701,$B110,counts!$E$2:$E$701,"remaining_day3")))</f>
        <v/>
      </c>
      <c r="AF110" s="25">
        <f>IF($A110="","",IF(COUNTIFS(counts!$C$2:$C$701,$A110,counts!$D$2:$D$701,$B110,counts!$E$2:$E$701,"remaining_day5")=0,"",SUMIFS(counts!$F$2:$F$701,counts!$C$2:$C$701,$A110,counts!$D$2:$D$701,$B110,counts!$E$2:$E$701,"remaining_day5")))</f>
        <v/>
      </c>
      <c r="AG110" s="25">
        <f>IF(OR($A110="",$AF110=""),"",MAX(0,$AA110+$AD110-$AF110))</f>
        <v/>
      </c>
      <c r="AH110" s="25">
        <f>IF(OR($A110="",$AI110=""),"",IFERROR(IF(INDEX(photos!$H$2:$H$701,MATCH($A110&amp;"|"&amp;$B110&amp;"|later|Y|"&amp;$AI110,photos!$S$2:$S$701,0))="","",INDEX(photos!$H$2:$H$701,MATCH($A110&amp;"|"&amp;$B110&amp;"|later|Y|"&amp;$AI110,photos!$S$2:$S$701,0))),""))</f>
        <v/>
      </c>
      <c r="AI110" s="26">
        <f>IF($A110="","",IFERROR(1/(1/SUMPRODUCT(MAX((photos!$B$2:$B$701=$A110)*(photos!$C$2:$C$701=$B110)*(photos!$D$2:$D$701="later")*(photos!$O$2:$O$701="Y")*photos!$E$2:$E$701))),""))</f>
        <v/>
      </c>
      <c r="AJ110" s="25">
        <f>IF(OR($A110="",$AI110="",$I110=""),"",NETWORKDAYS($I110,$AI110,calendar!$A$2:$A$80))</f>
        <v/>
      </c>
      <c r="AK110" s="25">
        <f>IF($A110="","",IF(AND($X110&lt;&gt;"",$AH110&lt;&gt;""),"Y","N"))</f>
        <v/>
      </c>
      <c r="AL110" s="25">
        <f>IF(OR($A110="",$I110=""),"",IF($BC110="Y",SUMIFS(survey_frozen!$C$2:$C$251,survey_frozen!$P$2:$P$251,$A110&amp;"|"&amp;$B110),IFERROR(COUNTIFS(INDIRECT("'"&amp;$A110&amp;"'!$B$2:$B$501"),$T110,INDIRECT("'"&amp;$A110&amp;"'!$A$2:$A$501"),"&gt;="&amp;$I110,INDIRECT("'"&amp;$A110&amp;"'!$A$2:$A$501"),"&lt;"&amp;($BA110+1)),0)))</f>
        <v/>
      </c>
      <c r="AM110" s="25">
        <f>IF(OR($A110="",$I110=""),"",IF($BC110="Y",SUMIFS(survey_frozen!$D$2:$D$251,survey_frozen!$P$2:$P$251,$A110&amp;"|"&amp;$B110),IFERROR(COUNTIFS(INDIRECT("'"&amp;$A110&amp;"'!$B$2:$B$501"),$T110,INDIRECT("'"&amp;$A110&amp;"'!$A$2:$A$501"),"&gt;="&amp;$I110,INDIRECT("'"&amp;$A110&amp;"'!$A$2:$A$501"),"&lt;"&amp;($BA110+1),INDIRECT("'"&amp;$A110&amp;"'!$C$2:$C$501"),"Yes"),0)))</f>
        <v/>
      </c>
      <c r="AN110" s="25">
        <f>IF($A110="","",IF(COUNTIFS(scans!$C$2:$C$1601,(IF(LEFT($A110,7)="SAMPLE-","SAMPLE-","")&amp;LOWER(SUBSTITUTE(SUBSTITUTE($A110,"SAMPLE-",""),"CMP-","c"))&amp;"-"&amp;LOWER(SUBSTITUTE(SUBSTITUTE($B110,"SAMPLE-",""),"O-","o"))&amp;"-q"),scans!$D$2:$D$1601,"close")=0,"",SUMPRODUCT(MAX((scans!$C$2:$C$1601=(IF(LEFT($A110,7)="SAMPLE-","SAMPLE-","")&amp;LOWER(SUBSTITUTE(SUBSTITUTE($A110,"SAMPLE-",""),"CMP-","c"))&amp;"-"&amp;LOWER(SUBSTITUTE(SUBSTITUTE($B110,"SAMPLE-",""),"O-","o"))&amp;"-q"))*(scans!$D$2:$D$1601="close")*scans!$E$2:$E$1601))-SUMPRODUCT(MAX((scans!$C$2:$C$1601=(IF(LEFT($A110,7)="SAMPLE-","SAMPLE-","")&amp;LOWER(SUBSTITUTE(SUBSTITUTE($A110,"SAMPLE-",""),"CMP-","c"))&amp;"-"&amp;LOWER(SUBSTITUTE(SUBSTITUTE($B110,"SAMPLE-",""),"O-","o"))&amp;"-q"))*(scans!$D$2:$D$1601="baseline")*scans!$E$2:$E$1601))))</f>
        <v/>
      </c>
      <c r="AO110" s="25">
        <f>IF($A110="","",IF(COUNTIFS(scans!$C$2:$C$1601,(IF(LEFT($A110,7)="SAMPLE-","SAMPLE-","")&amp;LOWER(SUBSTITUTE(SUBSTITUTE($A110,"SAMPLE-",""),"CMP-","c"))&amp;"-"&amp;LOWER(SUBSTITUTE(SUBSTITUTE($B110,"SAMPLE-",""),"O-","o"))&amp;"-p"),scans!$D$2:$D$1601,"close")=0,"",SUMPRODUCT(MAX((scans!$C$2:$C$1601=(IF(LEFT($A110,7)="SAMPLE-","SAMPLE-","")&amp;LOWER(SUBSTITUTE(SUBSTITUTE($A110,"SAMPLE-",""),"CMP-","c"))&amp;"-"&amp;LOWER(SUBSTITUTE(SUBSTITUTE($B110,"SAMPLE-",""),"O-","o"))&amp;"-p"))*(scans!$D$2:$D$1601="close")*scans!$E$2:$E$1601))-SUMPRODUCT(MAX((scans!$C$2:$C$1601=(IF(LEFT($A110,7)="SAMPLE-","SAMPLE-","")&amp;LOWER(SUBSTITUTE(SUBSTITUTE($A110,"SAMPLE-",""),"CMP-","c"))&amp;"-"&amp;LOWER(SUBSTITUTE(SUBSTITUTE($B110,"SAMPLE-",""),"O-","o"))&amp;"-p"))*(scans!$D$2:$D$1601="baseline")*scans!$E$2:$E$1601))))</f>
        <v/>
      </c>
      <c r="AP110" s="25">
        <f>IF($A110="","",IF(COUNTIF(offices!$A$2:$A$61,$B110)=0,"office_id not on offices; ","")&amp;IF(COUNTIF(campaigns!$A$2:$A$51,$A110)=0,"campaign_id not on campaigns; ","")&amp;IF($P110="pending","approval pending; ","")&amp;IF(AND($U110&gt;0,$Y110="",OR($I110="",IF(config!$B$37&lt;&gt;"",config!$B$37,TODAY())&lt;=WORKDAY(N($I110),4,calendar!$A$2:$A$80))),"no usable placement photo yet; ","")&amp;IF(AND($Y110&lt;&gt;"",$Z110=""),"log the placed count; ","")&amp;IF(N($AA110)&gt;N($U110),"placed more than delivered; ","")&amp;IF(AND($AF110&lt;&gt;"",N($AF110)&gt;N($AA110)+N($AD110)),"day-5 count above placed plus top-ups; ","")&amp;IF(AND($U110&gt;0,$I110&lt;&gt;"",IF(config!$B$37&lt;&gt;"",config!$B$37,TODAY())&gt;WORKDAY(N($I110),4,calendar!$A$2:$A$80),$AF110=""),"day-5 count missing; ","")&amp;IF(AND($U110&gt;0,$I110&lt;&gt;"",IF(config!$B$37&lt;&gt;"",config!$B$37,TODAY())&gt;WORKDAY(N($I110),4,calendar!$A$2:$A$80),$AN110=""),"no close link reading; ","")&amp;$R110&amp;IF($P110="N","info: office said no; ","")&amp;IF(AND($P110="Y",$Q110="N"),"info: turned away at the door, so not on the drop (no letter, not in the report or Gate 2; the credit check is on campaigns); ","")&amp;IF(AND($U110&gt;0,$Y110="",$I110&lt;&gt;"",IF(config!$B$37&lt;&gt;"",config!$B$37,TODAY())&gt;WORKDAY(N($I110),4,calendar!$A$2:$A$80)),"info: no usable placement photo, so nothing counts as placed; ","")&amp;IF(AND($U110&gt;0,$I110&lt;&gt;"",IF(config!$B$37&lt;&gt;"",config!$B$37,TODAY())&gt;WORKDAY(N($I110),4,calendar!$A$2:$A$80),N($AL110)&lt;config!$B$30),"info: under "&amp;config!$B$30&amp;" responses; ","")&amp;IF($W110="packing_list","info: delivered count not verified; ",""))</f>
        <v/>
      </c>
      <c r="AQ110" s="25">
        <f>IF(OR($A110="",$I110=""),"",IF($BC110="Y",SUMIFS(survey_frozen!$E$2:$E$251,survey_frozen!$P$2:$P$251,$A110&amp;"|"&amp;$B110),IFERROR(COUNTIFS(INDIRECT("'"&amp;$A110&amp;"'!$B$2:$B$501"),$T110,INDIRECT("'"&amp;$A110&amp;"'!$A$2:$A$501"),"&gt;="&amp;$I110,INDIRECT("'"&amp;$A110&amp;"'!$A$2:$A$501"),"&lt;"&amp;($BA110+1),INDIRECT("'"&amp;$A110&amp;"'!$F$2:$F$501"),"Didn't see it"),0)))</f>
        <v/>
      </c>
      <c r="AR110" s="25">
        <f>IF(OR($A110="",$I110=""),"",IF($BC110="Y",SUMIFS(survey_frozen!$F$2:$F$251,survey_frozen!$P$2:$P$251,$A110&amp;"|"&amp;$B110),IFERROR(COUNTIFS(INDIRECT("'"&amp;$A110&amp;"'!$B$2:$B$501"),$T110,INDIRECT("'"&amp;$A110&amp;"'!$A$2:$A$501"),"&gt;="&amp;$I110,INDIRECT("'"&amp;$A110&amp;"'!$A$2:$A$501"),"&lt;"&amp;($BA110+1),INDIRECT("'"&amp;$A110&amp;"'!$F$2:$F$501"),"Not for me"),0)))</f>
        <v/>
      </c>
      <c r="AS110" s="25">
        <f>IF(OR($A110="",$I110=""),"",IF($BC110="Y",SUMIFS(survey_frozen!$G$2:$G$251,survey_frozen!$P$2:$P$251,$A110&amp;"|"&amp;$B110),IFERROR(COUNTIFS(INDIRECT("'"&amp;$A110&amp;"'!$B$2:$B$501"),$T110,INDIRECT("'"&amp;$A110&amp;"'!$A$2:$A$501"),"&gt;="&amp;$I110,INDIRECT("'"&amp;$A110&amp;"'!$A$2:$A$501"),"&lt;"&amp;($BA110+1),INDIRECT("'"&amp;$A110&amp;"'!$F$2:$F$501"),"Gone by the time I looked"),0)))</f>
        <v/>
      </c>
      <c r="AT110" s="25">
        <f>IF(OR($A110="",$I110=""),"",IF($BC110="Y",SUMIFS(survey_frozen!$H$2:$H$251,survey_frozen!$P$2:$P$251,$A110&amp;"|"&amp;$B110),IFERROR(COUNTIFS(INDIRECT("'"&amp;$A110&amp;"'!$B$2:$B$501"),$T110,INDIRECT("'"&amp;$A110&amp;"'!$A$2:$A$501"),"&gt;="&amp;$I110,INDIRECT("'"&amp;$A110&amp;"'!$A$2:$A$501"),"&lt;"&amp;($BA110+1),INDIRECT("'"&amp;$A110&amp;"'!$D$2:$D$501"),"&gt;=1"),0)))</f>
        <v/>
      </c>
      <c r="AU110" s="25">
        <f>IF(OR($A110="",$I110=""),"",IF($BC110="Y",SUMIFS(survey_frozen!$I$2:$I$251,survey_frozen!$P$2:$P$251,$A110&amp;"|"&amp;$B110),IFERROR(SUMIFS(INDIRECT("'"&amp;$A110&amp;"'!$D$2:$D$501"),INDIRECT("'"&amp;$A110&amp;"'!$B$2:$B$501"),$T110,INDIRECT("'"&amp;$A110&amp;"'!$A$2:$A$501"),"&gt;="&amp;$I110,INDIRECT("'"&amp;$A110&amp;"'!$A$2:$A$501"),"&lt;"&amp;($BA110+1)),0)))</f>
        <v/>
      </c>
      <c r="AV110" s="25">
        <f>IF(OR($A110="",$I110=""),"",IF($BC110="Y",SUMIFS(survey_frozen!$J$2:$J$251,survey_frozen!$P$2:$P$251,$A110&amp;"|"&amp;$B110),IFERROR(COUNTIFS(INDIRECT("'"&amp;$A110&amp;"'!$B$2:$B$501"),$T110,INDIRECT("'"&amp;$A110&amp;"'!$A$2:$A$501"),"&gt;="&amp;$I110,INDIRECT("'"&amp;$A110&amp;"'!$A$2:$A$501"),"&lt;"&amp;($BA110+1),INDIRECT("'"&amp;$A110&amp;"'!$E$2:$E$501"),"Yes"),0)))</f>
        <v/>
      </c>
      <c r="AW110" s="25">
        <f>IF(OR($A110="",$I110=""),"",IF($BC110="Y",SUMIFS(survey_frozen!$K$2:$K$251,survey_frozen!$P$2:$P$251,$A110&amp;"|"&amp;$B110),IFERROR(COUNTIFS(INDIRECT("'"&amp;$A110&amp;"'!$B$2:$B$501"),$T110,INDIRECT("'"&amp;$A110&amp;"'!$A$2:$A$501"),"&gt;="&amp;$I110,INDIRECT("'"&amp;$A110&amp;"'!$A$2:$A$501"),"&lt;"&amp;($BA110+1),INDIRECT("'"&amp;$A110&amp;"'!$E$2:$E$501"),"Maybe"),0)))</f>
        <v/>
      </c>
      <c r="AX110" s="25">
        <f>IF(OR($A110="",$I110=""),"",IF($BC110="Y",SUMIFS(survey_frozen!$L$2:$L$251,survey_frozen!$P$2:$P$251,$A110&amp;"|"&amp;$B110),IFERROR(COUNTIFS(INDIRECT("'"&amp;$A110&amp;"'!$B$2:$B$501"),$T110,INDIRECT("'"&amp;$A110&amp;"'!$A$2:$A$501"),"&gt;="&amp;$I110,INDIRECT("'"&amp;$A110&amp;"'!$A$2:$A$501"),"&lt;"&amp;($BA110+1),INDIRECT("'"&amp;$A110&amp;"'!$E$2:$E$501"),"No"),0)))</f>
        <v/>
      </c>
      <c r="AY110" s="25">
        <f>IF(OR($A110="",$I110=""),"",IF($BC110="Y",SUMIFS(survey_frozen!$M$2:$M$251,survey_frozen!$P$2:$P$251,$A110&amp;"|"&amp;$B110),IFERROR(COUNTIFS(INDIRECT("'"&amp;$A110&amp;"'!$B$2:$B$501"),$T110,INDIRECT("'"&amp;$A110&amp;"'!$A$2:$A$501"),"&gt;="&amp;$I110,INDIRECT("'"&amp;$A110&amp;"'!$A$2:$A$501"),"&lt;"&amp;($BA110+1),INDIRECT("'"&amp;$A110&amp;"'!$G$2:$G$501"),"&lt;&gt;"),0)))</f>
        <v/>
      </c>
      <c r="AZ110" s="25">
        <f>IF($A110="","",$A110&amp;"|"&amp;$L110)</f>
        <v/>
      </c>
      <c r="BA110" s="26">
        <f>IF($A110="","",IFERROR(IF(INDEX(drops!$R$2:$R$21,MATCH($H110,drops!$A$2:$A$21,0))="","",INDEX(drops!$R$2:$R$21,MATCH($H110,drops!$A$2:$A$21,0))),""))</f>
        <v/>
      </c>
      <c r="BB110" s="25">
        <f>IF(OR($A110="",$Q110&lt;&gt;"Y"),1000000,N($AL110))</f>
        <v/>
      </c>
      <c r="BC110" s="25">
        <f>IF($A110="","",IF(COUNTIF(survey_frozen!$P$2:$P$251,$A110&amp;"|"&amp;$B110)&gt;0,"Y",""))</f>
        <v/>
      </c>
    </row>
    <row r="111">
      <c r="C111" s="9" t="n"/>
      <c r="E111" s="9" t="n"/>
      <c r="H111" s="25">
        <f>IF($A111="","",IFERROR(IF(INDEX(campaigns!$B$2:$B$51,MATCH($A111,campaigns!$A$2:$A$51,0))="","",INDEX(campaigns!$B$2:$B$51,MATCH($A111,campaigns!$A$2:$A$51,0))),""))</f>
        <v/>
      </c>
      <c r="I111" s="26">
        <f>IF($A111="","",IFERROR(IF(INDEX(campaigns!$BG$2:$BG$51,MATCH($A111,campaigns!$A$2:$A$51,0))="","",INDEX(campaigns!$BG$2:$BG$51,MATCH($A111,campaigns!$A$2:$A$51,0))),""))</f>
        <v/>
      </c>
      <c r="J111" s="25">
        <f>IF($A111="","",IFERROR(IF(INDEX(campaigns!$BE$2:$BE$51,MATCH($A111,campaigns!$A$2:$A$51,0))="","",INDEX(campaigns!$BE$2:$BE$51,MATCH($A111,campaigns!$A$2:$A$51,0))),""))</f>
        <v/>
      </c>
      <c r="K111" s="25">
        <f>IF($B111="","",IFERROR(IF(INDEX(offices!$N$2:$N$61,MATCH($B111,offices!$A$2:$A$61,0))="","",INDEX(offices!$N$2:$N$61,MATCH($B111,offices!$A$2:$A$61,0))),""))</f>
        <v/>
      </c>
      <c r="L111" s="25">
        <f>IF($A111="","",IF($Q111="N","",COUNTIFS($A$2:$A111,$A111,$Q$2:$Q111,"&lt;&gt;N")))</f>
        <v/>
      </c>
      <c r="M111" s="25">
        <f>IF(OR($A111="",$L111=""),"",IF(AND(config!$B$34="names_if_public",IFERROR(IF(INDEX(offices!$AF$2:$AF$61,MATCH($B111,offices!$A$2:$A$61,0))="","",INDEX(offices!$AF$2:$AF$61,MATCH($B111,offices!$A$2:$A$61,0))),"")="Y"),$K111,CHAR(64+$L111)))</f>
        <v/>
      </c>
      <c r="N111" s="25">
        <f>IF(OR($A111="",$I111=""),"",COUNTIFS(stops!$B$2:$B$151,$B111,stops!$P$2:$P$151,"&lt;"&amp;$I111,stops!$L$2:$L$151,"&lt;&gt;not_delivered")+1)</f>
        <v/>
      </c>
      <c r="O111" s="25">
        <f>IF($A111="","",IF(N($N111)&lt;=config!$B$29,"explicit","opt-out"))</f>
        <v/>
      </c>
      <c r="P111" s="25">
        <f>IF($A111="","",IF($O111="explicit",IF($D111="yes","Y",IF($D111="no","N","pending")),IF($D111="no","N",IF(AND($C111&lt;&gt;"",$I111&lt;&gt;"",$C111&lt;=WORKDAY(N($I111),-5,calendar!$A$2:$A$80)),"Y","pending"))))</f>
        <v/>
      </c>
      <c r="Q111" s="25">
        <f>IF($A111="","",IF($P111="N","N",IF($P111&lt;&gt;"Y","pending",IF(AND((COUNTIFS(stops!$A$2:$A$151,$H111,stops!$B$2:$B$151,$B111,stops!$L$2:$L$151,"declined")+COUNTIFS(stops!$A$2:$A$151,$H111,stops!$B$2:$B$151,$B111,stops!$L$2:$L$151,"building_refused")+COUNTIFS(stops!$A$2:$A$151,$H111,stops!$B$2:$B$151,$B111,stops!$L$2:$L$151,"not_delivered"))&gt;0,N($U111)=0),"N","Y"))))</f>
        <v/>
      </c>
      <c r="R111" s="25">
        <f>IF($A111="","",IF(COUNTIFS($A$2:$A$251,$A111,$B$2:$B$251,$B111)&gt;1,"DUPLICATE ROW; ","")&amp;IF(AND(IFERROR(IF(INDEX(offices!$AC$2:$AC$61,MATCH($B111,offices!$A$2:$A$61,0))="","",INDEX(offices!$AC$2:$AC$61,MATCH($B111,offices!$A$2:$A$61,0))),"")&lt;&gt;"",ISNUMBER(SEARCH($J111,IFERROR(IF(INDEX(offices!$AC$2:$AC$61,MATCH($B111,offices!$A$2:$A$61,0))="","",INDEX(offices!$AC$2:$AC$61,MATCH($B111,offices!$A$2:$A$61,0))),"")))),"BRAND VETOED; ","")&amp;IF(ISNUMBER(SEARCH(IFERROR(IF(INDEX(campaigns!$BF$2:$BF$51,MATCH($A111,campaigns!$A$2:$A$51,0))="","",INDEX(campaigns!$BF$2:$BF$51,MATCH($A111,campaigns!$A$2:$A$51,0))),""),IFERROR(IF(INDEX(offices!$AB$2:$AB$61,MATCH($B111,offices!$A$2:$A$61,0))="","",INDEX(offices!$AB$2:$AB$61,MATCH($B111,offices!$A$2:$A$61,0))),""))),"","info: category not on the office's list; ")&amp;IF(IFERROR(IF(INDEX(offices!$AC$2:$AC$61,MATCH($B111,offices!$A$2:$A$61,0))="","",INDEX(offices!$AC$2:$AC$61,MATCH($B111,offices!$A$2:$A$61,0))),"")&lt;&gt;"","info: read the vetoes against the label; ",""))</f>
        <v/>
      </c>
      <c r="S111" s="25">
        <f>IF($A111="","",IF($G111&lt;&gt;"",$G111,IFERROR(IF(INDEX(offices!$AL$2:$AL$61,MATCH($B111,offices!$A$2:$A$61,0))="","",INDEX(offices!$AL$2:$AL$61,MATCH($B111,offices!$A$2:$A$61,0))),"")))</f>
        <v/>
      </c>
      <c r="T111" s="25">
        <f>IF($A111="","",$A111&amp;"."&amp;$B111)</f>
        <v/>
      </c>
      <c r="U111" s="25">
        <f>IF($A111="","",SUMIFS(inventory!$G$2:$G$801,inventory!$C$2:$C$801,$A111,inventory!$D$2:$D$801,$B111,inventory!$E$2:$E$801,"delivered"))</f>
        <v/>
      </c>
      <c r="V111" s="32">
        <f>IF($A111="","",IFERROR(1/(1/SUMPRODUCT(MAX((inventory!$C$2:$C$801=$A111)*(inventory!$D$2:$D$801=$B111)*(inventory!$E$2:$E$801="delivered")*(inventory!$A$2:$A$801+inventory!$B$2:$B$801)))),""))</f>
        <v/>
      </c>
      <c r="W111" s="25">
        <f>IF($A111="","",IFERROR(IF(INDEX(inventory!$J$2:$J$801,MATCH($A111&amp;"|"&amp;$B111&amp;"|delivered",inventory!$R$2:$R$801,0))="","",INDEX(inventory!$J$2:$J$801,MATCH($A111&amp;"|"&amp;$B111&amp;"|delivered",inventory!$R$2:$R$801,0))),""))</f>
        <v/>
      </c>
      <c r="X111" s="25">
        <f>IF($A111="","",IFERROR(IF(INDEX(photos!$H$2:$H$701,MATCH($A111&amp;"|"&amp;$B111&amp;"|placement|Y",photos!$R$2:$R$701,0))="","",INDEX(photos!$H$2:$H$701,MATCH($A111&amp;"|"&amp;$B111&amp;"|placement|Y",photos!$R$2:$R$701,0))),""))</f>
        <v/>
      </c>
      <c r="Y111" s="26">
        <f>IF($A111="","",IFERROR(IF(INDEX(photos!$E$2:$E$701,MATCH($A111&amp;"|"&amp;$B111&amp;"|placement|Y",photos!$R$2:$R$701,0))="","",INDEX(photos!$E$2:$E$701,MATCH($A111&amp;"|"&amp;$B111&amp;"|placement|Y",photos!$R$2:$R$701,0))),""))</f>
        <v/>
      </c>
      <c r="Z111" s="25">
        <f>IF($A111="","",IF(COUNTIFS(counts!$C$2:$C$701,$A111,counts!$D$2:$D$701,$B111,counts!$E$2:$E$701,"placed")=0,"",SUMIFS(counts!$F$2:$F$701,counts!$C$2:$C$701,$A111,counts!$D$2:$D$701,$B111,counts!$E$2:$E$701,"placed")))</f>
        <v/>
      </c>
      <c r="AA111" s="25">
        <f>IF($A111="","",IF($Y111="",0,N($Z111)))</f>
        <v/>
      </c>
      <c r="AB111" s="25">
        <f>IF($A111="","",IF(OR($Y111="",$I111=""),"N",IF($Y111&lt;=WORKDAY(N($I111),1,calendar!$A$2:$A$80),"Y","N")))</f>
        <v/>
      </c>
      <c r="AC111" s="28">
        <f>IF(OR($A111="",$V111="",$Y111=""),"",ROUND(($Y111+N(IFERROR(IF(INDEX(photos!$F$2:$F$701,MATCH($A111&amp;"|"&amp;$B111&amp;"|placement|Y",photos!$R$2:$R$701,0))="","",INDEX(photos!$F$2:$F$701,MATCH($A111&amp;"|"&amp;$B111&amp;"|placement|Y",photos!$R$2:$R$701,0))),""))-$V111)*24,1))</f>
        <v/>
      </c>
      <c r="AD111" s="25">
        <f>IF($A111="","",SUMIFS(inventory!$G$2:$G$801,inventory!$C$2:$C$801,$A111,inventory!$D$2:$D$801,$B111,inventory!$E$2:$E$801,"topped_up"))</f>
        <v/>
      </c>
      <c r="AE111" s="25">
        <f>IF($A111="","",IF(COUNTIFS(counts!$C$2:$C$701,$A111,counts!$D$2:$D$701,$B111,counts!$E$2:$E$701,"remaining_day3")=0,"",SUMIFS(counts!$F$2:$F$701,counts!$C$2:$C$701,$A111,counts!$D$2:$D$701,$B111,counts!$E$2:$E$701,"remaining_day3")))</f>
        <v/>
      </c>
      <c r="AF111" s="25">
        <f>IF($A111="","",IF(COUNTIFS(counts!$C$2:$C$701,$A111,counts!$D$2:$D$701,$B111,counts!$E$2:$E$701,"remaining_day5")=0,"",SUMIFS(counts!$F$2:$F$701,counts!$C$2:$C$701,$A111,counts!$D$2:$D$701,$B111,counts!$E$2:$E$701,"remaining_day5")))</f>
        <v/>
      </c>
      <c r="AG111" s="25">
        <f>IF(OR($A111="",$AF111=""),"",MAX(0,$AA111+$AD111-$AF111))</f>
        <v/>
      </c>
      <c r="AH111" s="25">
        <f>IF(OR($A111="",$AI111=""),"",IFERROR(IF(INDEX(photos!$H$2:$H$701,MATCH($A111&amp;"|"&amp;$B111&amp;"|later|Y|"&amp;$AI111,photos!$S$2:$S$701,0))="","",INDEX(photos!$H$2:$H$701,MATCH($A111&amp;"|"&amp;$B111&amp;"|later|Y|"&amp;$AI111,photos!$S$2:$S$701,0))),""))</f>
        <v/>
      </c>
      <c r="AI111" s="26">
        <f>IF($A111="","",IFERROR(1/(1/SUMPRODUCT(MAX((photos!$B$2:$B$701=$A111)*(photos!$C$2:$C$701=$B111)*(photos!$D$2:$D$701="later")*(photos!$O$2:$O$701="Y")*photos!$E$2:$E$701))),""))</f>
        <v/>
      </c>
      <c r="AJ111" s="25">
        <f>IF(OR($A111="",$AI111="",$I111=""),"",NETWORKDAYS($I111,$AI111,calendar!$A$2:$A$80))</f>
        <v/>
      </c>
      <c r="AK111" s="25">
        <f>IF($A111="","",IF(AND($X111&lt;&gt;"",$AH111&lt;&gt;""),"Y","N"))</f>
        <v/>
      </c>
      <c r="AL111" s="25">
        <f>IF(OR($A111="",$I111=""),"",IF($BC111="Y",SUMIFS(survey_frozen!$C$2:$C$251,survey_frozen!$P$2:$P$251,$A111&amp;"|"&amp;$B111),IFERROR(COUNTIFS(INDIRECT("'"&amp;$A111&amp;"'!$B$2:$B$501"),$T111,INDIRECT("'"&amp;$A111&amp;"'!$A$2:$A$501"),"&gt;="&amp;$I111,INDIRECT("'"&amp;$A111&amp;"'!$A$2:$A$501"),"&lt;"&amp;($BA111+1)),0)))</f>
        <v/>
      </c>
      <c r="AM111" s="25">
        <f>IF(OR($A111="",$I111=""),"",IF($BC111="Y",SUMIFS(survey_frozen!$D$2:$D$251,survey_frozen!$P$2:$P$251,$A111&amp;"|"&amp;$B111),IFERROR(COUNTIFS(INDIRECT("'"&amp;$A111&amp;"'!$B$2:$B$501"),$T111,INDIRECT("'"&amp;$A111&amp;"'!$A$2:$A$501"),"&gt;="&amp;$I111,INDIRECT("'"&amp;$A111&amp;"'!$A$2:$A$501"),"&lt;"&amp;($BA111+1),INDIRECT("'"&amp;$A111&amp;"'!$C$2:$C$501"),"Yes"),0)))</f>
        <v/>
      </c>
      <c r="AN111" s="25">
        <f>IF($A111="","",IF(COUNTIFS(scans!$C$2:$C$1601,(IF(LEFT($A111,7)="SAMPLE-","SAMPLE-","")&amp;LOWER(SUBSTITUTE(SUBSTITUTE($A111,"SAMPLE-",""),"CMP-","c"))&amp;"-"&amp;LOWER(SUBSTITUTE(SUBSTITUTE($B111,"SAMPLE-",""),"O-","o"))&amp;"-q"),scans!$D$2:$D$1601,"close")=0,"",SUMPRODUCT(MAX((scans!$C$2:$C$1601=(IF(LEFT($A111,7)="SAMPLE-","SAMPLE-","")&amp;LOWER(SUBSTITUTE(SUBSTITUTE($A111,"SAMPLE-",""),"CMP-","c"))&amp;"-"&amp;LOWER(SUBSTITUTE(SUBSTITUTE($B111,"SAMPLE-",""),"O-","o"))&amp;"-q"))*(scans!$D$2:$D$1601="close")*scans!$E$2:$E$1601))-SUMPRODUCT(MAX((scans!$C$2:$C$1601=(IF(LEFT($A111,7)="SAMPLE-","SAMPLE-","")&amp;LOWER(SUBSTITUTE(SUBSTITUTE($A111,"SAMPLE-",""),"CMP-","c"))&amp;"-"&amp;LOWER(SUBSTITUTE(SUBSTITUTE($B111,"SAMPLE-",""),"O-","o"))&amp;"-q"))*(scans!$D$2:$D$1601="baseline")*scans!$E$2:$E$1601))))</f>
        <v/>
      </c>
      <c r="AO111" s="25">
        <f>IF($A111="","",IF(COUNTIFS(scans!$C$2:$C$1601,(IF(LEFT($A111,7)="SAMPLE-","SAMPLE-","")&amp;LOWER(SUBSTITUTE(SUBSTITUTE($A111,"SAMPLE-",""),"CMP-","c"))&amp;"-"&amp;LOWER(SUBSTITUTE(SUBSTITUTE($B111,"SAMPLE-",""),"O-","o"))&amp;"-p"),scans!$D$2:$D$1601,"close")=0,"",SUMPRODUCT(MAX((scans!$C$2:$C$1601=(IF(LEFT($A111,7)="SAMPLE-","SAMPLE-","")&amp;LOWER(SUBSTITUTE(SUBSTITUTE($A111,"SAMPLE-",""),"CMP-","c"))&amp;"-"&amp;LOWER(SUBSTITUTE(SUBSTITUTE($B111,"SAMPLE-",""),"O-","o"))&amp;"-p"))*(scans!$D$2:$D$1601="close")*scans!$E$2:$E$1601))-SUMPRODUCT(MAX((scans!$C$2:$C$1601=(IF(LEFT($A111,7)="SAMPLE-","SAMPLE-","")&amp;LOWER(SUBSTITUTE(SUBSTITUTE($A111,"SAMPLE-",""),"CMP-","c"))&amp;"-"&amp;LOWER(SUBSTITUTE(SUBSTITUTE($B111,"SAMPLE-",""),"O-","o"))&amp;"-p"))*(scans!$D$2:$D$1601="baseline")*scans!$E$2:$E$1601))))</f>
        <v/>
      </c>
      <c r="AP111" s="25">
        <f>IF($A111="","",IF(COUNTIF(offices!$A$2:$A$61,$B111)=0,"office_id not on offices; ","")&amp;IF(COUNTIF(campaigns!$A$2:$A$51,$A111)=0,"campaign_id not on campaigns; ","")&amp;IF($P111="pending","approval pending; ","")&amp;IF(AND($U111&gt;0,$Y111="",OR($I111="",IF(config!$B$37&lt;&gt;"",config!$B$37,TODAY())&lt;=WORKDAY(N($I111),4,calendar!$A$2:$A$80))),"no usable placement photo yet; ","")&amp;IF(AND($Y111&lt;&gt;"",$Z111=""),"log the placed count; ","")&amp;IF(N($AA111)&gt;N($U111),"placed more than delivered; ","")&amp;IF(AND($AF111&lt;&gt;"",N($AF111)&gt;N($AA111)+N($AD111)),"day-5 count above placed plus top-ups; ","")&amp;IF(AND($U111&gt;0,$I111&lt;&gt;"",IF(config!$B$37&lt;&gt;"",config!$B$37,TODAY())&gt;WORKDAY(N($I111),4,calendar!$A$2:$A$80),$AF111=""),"day-5 count missing; ","")&amp;IF(AND($U111&gt;0,$I111&lt;&gt;"",IF(config!$B$37&lt;&gt;"",config!$B$37,TODAY())&gt;WORKDAY(N($I111),4,calendar!$A$2:$A$80),$AN111=""),"no close link reading; ","")&amp;$R111&amp;IF($P111="N","info: office said no; ","")&amp;IF(AND($P111="Y",$Q111="N"),"info: turned away at the door, so not on the drop (no letter, not in the report or Gate 2; the credit check is on campaigns); ","")&amp;IF(AND($U111&gt;0,$Y111="",$I111&lt;&gt;"",IF(config!$B$37&lt;&gt;"",config!$B$37,TODAY())&gt;WORKDAY(N($I111),4,calendar!$A$2:$A$80)),"info: no usable placement photo, so nothing counts as placed; ","")&amp;IF(AND($U111&gt;0,$I111&lt;&gt;"",IF(config!$B$37&lt;&gt;"",config!$B$37,TODAY())&gt;WORKDAY(N($I111),4,calendar!$A$2:$A$80),N($AL111)&lt;config!$B$30),"info: under "&amp;config!$B$30&amp;" responses; ","")&amp;IF($W111="packing_list","info: delivered count not verified; ",""))</f>
        <v/>
      </c>
      <c r="AQ111" s="25">
        <f>IF(OR($A111="",$I111=""),"",IF($BC111="Y",SUMIFS(survey_frozen!$E$2:$E$251,survey_frozen!$P$2:$P$251,$A111&amp;"|"&amp;$B111),IFERROR(COUNTIFS(INDIRECT("'"&amp;$A111&amp;"'!$B$2:$B$501"),$T111,INDIRECT("'"&amp;$A111&amp;"'!$A$2:$A$501"),"&gt;="&amp;$I111,INDIRECT("'"&amp;$A111&amp;"'!$A$2:$A$501"),"&lt;"&amp;($BA111+1),INDIRECT("'"&amp;$A111&amp;"'!$F$2:$F$501"),"Didn't see it"),0)))</f>
        <v/>
      </c>
      <c r="AR111" s="25">
        <f>IF(OR($A111="",$I111=""),"",IF($BC111="Y",SUMIFS(survey_frozen!$F$2:$F$251,survey_frozen!$P$2:$P$251,$A111&amp;"|"&amp;$B111),IFERROR(COUNTIFS(INDIRECT("'"&amp;$A111&amp;"'!$B$2:$B$501"),$T111,INDIRECT("'"&amp;$A111&amp;"'!$A$2:$A$501"),"&gt;="&amp;$I111,INDIRECT("'"&amp;$A111&amp;"'!$A$2:$A$501"),"&lt;"&amp;($BA111+1),INDIRECT("'"&amp;$A111&amp;"'!$F$2:$F$501"),"Not for me"),0)))</f>
        <v/>
      </c>
      <c r="AS111" s="25">
        <f>IF(OR($A111="",$I111=""),"",IF($BC111="Y",SUMIFS(survey_frozen!$G$2:$G$251,survey_frozen!$P$2:$P$251,$A111&amp;"|"&amp;$B111),IFERROR(COUNTIFS(INDIRECT("'"&amp;$A111&amp;"'!$B$2:$B$501"),$T111,INDIRECT("'"&amp;$A111&amp;"'!$A$2:$A$501"),"&gt;="&amp;$I111,INDIRECT("'"&amp;$A111&amp;"'!$A$2:$A$501"),"&lt;"&amp;($BA111+1),INDIRECT("'"&amp;$A111&amp;"'!$F$2:$F$501"),"Gone by the time I looked"),0)))</f>
        <v/>
      </c>
      <c r="AT111" s="25">
        <f>IF(OR($A111="",$I111=""),"",IF($BC111="Y",SUMIFS(survey_frozen!$H$2:$H$251,survey_frozen!$P$2:$P$251,$A111&amp;"|"&amp;$B111),IFERROR(COUNTIFS(INDIRECT("'"&amp;$A111&amp;"'!$B$2:$B$501"),$T111,INDIRECT("'"&amp;$A111&amp;"'!$A$2:$A$501"),"&gt;="&amp;$I111,INDIRECT("'"&amp;$A111&amp;"'!$A$2:$A$501"),"&lt;"&amp;($BA111+1),INDIRECT("'"&amp;$A111&amp;"'!$D$2:$D$501"),"&gt;=1"),0)))</f>
        <v/>
      </c>
      <c r="AU111" s="25">
        <f>IF(OR($A111="",$I111=""),"",IF($BC111="Y",SUMIFS(survey_frozen!$I$2:$I$251,survey_frozen!$P$2:$P$251,$A111&amp;"|"&amp;$B111),IFERROR(SUMIFS(INDIRECT("'"&amp;$A111&amp;"'!$D$2:$D$501"),INDIRECT("'"&amp;$A111&amp;"'!$B$2:$B$501"),$T111,INDIRECT("'"&amp;$A111&amp;"'!$A$2:$A$501"),"&gt;="&amp;$I111,INDIRECT("'"&amp;$A111&amp;"'!$A$2:$A$501"),"&lt;"&amp;($BA111+1)),0)))</f>
        <v/>
      </c>
      <c r="AV111" s="25">
        <f>IF(OR($A111="",$I111=""),"",IF($BC111="Y",SUMIFS(survey_frozen!$J$2:$J$251,survey_frozen!$P$2:$P$251,$A111&amp;"|"&amp;$B111),IFERROR(COUNTIFS(INDIRECT("'"&amp;$A111&amp;"'!$B$2:$B$501"),$T111,INDIRECT("'"&amp;$A111&amp;"'!$A$2:$A$501"),"&gt;="&amp;$I111,INDIRECT("'"&amp;$A111&amp;"'!$A$2:$A$501"),"&lt;"&amp;($BA111+1),INDIRECT("'"&amp;$A111&amp;"'!$E$2:$E$501"),"Yes"),0)))</f>
        <v/>
      </c>
      <c r="AW111" s="25">
        <f>IF(OR($A111="",$I111=""),"",IF($BC111="Y",SUMIFS(survey_frozen!$K$2:$K$251,survey_frozen!$P$2:$P$251,$A111&amp;"|"&amp;$B111),IFERROR(COUNTIFS(INDIRECT("'"&amp;$A111&amp;"'!$B$2:$B$501"),$T111,INDIRECT("'"&amp;$A111&amp;"'!$A$2:$A$501"),"&gt;="&amp;$I111,INDIRECT("'"&amp;$A111&amp;"'!$A$2:$A$501"),"&lt;"&amp;($BA111+1),INDIRECT("'"&amp;$A111&amp;"'!$E$2:$E$501"),"Maybe"),0)))</f>
        <v/>
      </c>
      <c r="AX111" s="25">
        <f>IF(OR($A111="",$I111=""),"",IF($BC111="Y",SUMIFS(survey_frozen!$L$2:$L$251,survey_frozen!$P$2:$P$251,$A111&amp;"|"&amp;$B111),IFERROR(COUNTIFS(INDIRECT("'"&amp;$A111&amp;"'!$B$2:$B$501"),$T111,INDIRECT("'"&amp;$A111&amp;"'!$A$2:$A$501"),"&gt;="&amp;$I111,INDIRECT("'"&amp;$A111&amp;"'!$A$2:$A$501"),"&lt;"&amp;($BA111+1),INDIRECT("'"&amp;$A111&amp;"'!$E$2:$E$501"),"No"),0)))</f>
        <v/>
      </c>
      <c r="AY111" s="25">
        <f>IF(OR($A111="",$I111=""),"",IF($BC111="Y",SUMIFS(survey_frozen!$M$2:$M$251,survey_frozen!$P$2:$P$251,$A111&amp;"|"&amp;$B111),IFERROR(COUNTIFS(INDIRECT("'"&amp;$A111&amp;"'!$B$2:$B$501"),$T111,INDIRECT("'"&amp;$A111&amp;"'!$A$2:$A$501"),"&gt;="&amp;$I111,INDIRECT("'"&amp;$A111&amp;"'!$A$2:$A$501"),"&lt;"&amp;($BA111+1),INDIRECT("'"&amp;$A111&amp;"'!$G$2:$G$501"),"&lt;&gt;"),0)))</f>
        <v/>
      </c>
      <c r="AZ111" s="25">
        <f>IF($A111="","",$A111&amp;"|"&amp;$L111)</f>
        <v/>
      </c>
      <c r="BA111" s="26">
        <f>IF($A111="","",IFERROR(IF(INDEX(drops!$R$2:$R$21,MATCH($H111,drops!$A$2:$A$21,0))="","",INDEX(drops!$R$2:$R$21,MATCH($H111,drops!$A$2:$A$21,0))),""))</f>
        <v/>
      </c>
      <c r="BB111" s="25">
        <f>IF(OR($A111="",$Q111&lt;&gt;"Y"),1000000,N($AL111))</f>
        <v/>
      </c>
      <c r="BC111" s="25">
        <f>IF($A111="","",IF(COUNTIF(survey_frozen!$P$2:$P$251,$A111&amp;"|"&amp;$B111)&gt;0,"Y",""))</f>
        <v/>
      </c>
    </row>
    <row r="112">
      <c r="C112" s="9" t="n"/>
      <c r="E112" s="9" t="n"/>
      <c r="H112" s="25">
        <f>IF($A112="","",IFERROR(IF(INDEX(campaigns!$B$2:$B$51,MATCH($A112,campaigns!$A$2:$A$51,0))="","",INDEX(campaigns!$B$2:$B$51,MATCH($A112,campaigns!$A$2:$A$51,0))),""))</f>
        <v/>
      </c>
      <c r="I112" s="26">
        <f>IF($A112="","",IFERROR(IF(INDEX(campaigns!$BG$2:$BG$51,MATCH($A112,campaigns!$A$2:$A$51,0))="","",INDEX(campaigns!$BG$2:$BG$51,MATCH($A112,campaigns!$A$2:$A$51,0))),""))</f>
        <v/>
      </c>
      <c r="J112" s="25">
        <f>IF($A112="","",IFERROR(IF(INDEX(campaigns!$BE$2:$BE$51,MATCH($A112,campaigns!$A$2:$A$51,0))="","",INDEX(campaigns!$BE$2:$BE$51,MATCH($A112,campaigns!$A$2:$A$51,0))),""))</f>
        <v/>
      </c>
      <c r="K112" s="25">
        <f>IF($B112="","",IFERROR(IF(INDEX(offices!$N$2:$N$61,MATCH($B112,offices!$A$2:$A$61,0))="","",INDEX(offices!$N$2:$N$61,MATCH($B112,offices!$A$2:$A$61,0))),""))</f>
        <v/>
      </c>
      <c r="L112" s="25">
        <f>IF($A112="","",IF($Q112="N","",COUNTIFS($A$2:$A112,$A112,$Q$2:$Q112,"&lt;&gt;N")))</f>
        <v/>
      </c>
      <c r="M112" s="25">
        <f>IF(OR($A112="",$L112=""),"",IF(AND(config!$B$34="names_if_public",IFERROR(IF(INDEX(offices!$AF$2:$AF$61,MATCH($B112,offices!$A$2:$A$61,0))="","",INDEX(offices!$AF$2:$AF$61,MATCH($B112,offices!$A$2:$A$61,0))),"")="Y"),$K112,CHAR(64+$L112)))</f>
        <v/>
      </c>
      <c r="N112" s="25">
        <f>IF(OR($A112="",$I112=""),"",COUNTIFS(stops!$B$2:$B$151,$B112,stops!$P$2:$P$151,"&lt;"&amp;$I112,stops!$L$2:$L$151,"&lt;&gt;not_delivered")+1)</f>
        <v/>
      </c>
      <c r="O112" s="25">
        <f>IF($A112="","",IF(N($N112)&lt;=config!$B$29,"explicit","opt-out"))</f>
        <v/>
      </c>
      <c r="P112" s="25">
        <f>IF($A112="","",IF($O112="explicit",IF($D112="yes","Y",IF($D112="no","N","pending")),IF($D112="no","N",IF(AND($C112&lt;&gt;"",$I112&lt;&gt;"",$C112&lt;=WORKDAY(N($I112),-5,calendar!$A$2:$A$80)),"Y","pending"))))</f>
        <v/>
      </c>
      <c r="Q112" s="25">
        <f>IF($A112="","",IF($P112="N","N",IF($P112&lt;&gt;"Y","pending",IF(AND((COUNTIFS(stops!$A$2:$A$151,$H112,stops!$B$2:$B$151,$B112,stops!$L$2:$L$151,"declined")+COUNTIFS(stops!$A$2:$A$151,$H112,stops!$B$2:$B$151,$B112,stops!$L$2:$L$151,"building_refused")+COUNTIFS(stops!$A$2:$A$151,$H112,stops!$B$2:$B$151,$B112,stops!$L$2:$L$151,"not_delivered"))&gt;0,N($U112)=0),"N","Y"))))</f>
        <v/>
      </c>
      <c r="R112" s="25">
        <f>IF($A112="","",IF(COUNTIFS($A$2:$A$251,$A112,$B$2:$B$251,$B112)&gt;1,"DUPLICATE ROW; ","")&amp;IF(AND(IFERROR(IF(INDEX(offices!$AC$2:$AC$61,MATCH($B112,offices!$A$2:$A$61,0))="","",INDEX(offices!$AC$2:$AC$61,MATCH($B112,offices!$A$2:$A$61,0))),"")&lt;&gt;"",ISNUMBER(SEARCH($J112,IFERROR(IF(INDEX(offices!$AC$2:$AC$61,MATCH($B112,offices!$A$2:$A$61,0))="","",INDEX(offices!$AC$2:$AC$61,MATCH($B112,offices!$A$2:$A$61,0))),"")))),"BRAND VETOED; ","")&amp;IF(ISNUMBER(SEARCH(IFERROR(IF(INDEX(campaigns!$BF$2:$BF$51,MATCH($A112,campaigns!$A$2:$A$51,0))="","",INDEX(campaigns!$BF$2:$BF$51,MATCH($A112,campaigns!$A$2:$A$51,0))),""),IFERROR(IF(INDEX(offices!$AB$2:$AB$61,MATCH($B112,offices!$A$2:$A$61,0))="","",INDEX(offices!$AB$2:$AB$61,MATCH($B112,offices!$A$2:$A$61,0))),""))),"","info: category not on the office's list; ")&amp;IF(IFERROR(IF(INDEX(offices!$AC$2:$AC$61,MATCH($B112,offices!$A$2:$A$61,0))="","",INDEX(offices!$AC$2:$AC$61,MATCH($B112,offices!$A$2:$A$61,0))),"")&lt;&gt;"","info: read the vetoes against the label; ",""))</f>
        <v/>
      </c>
      <c r="S112" s="25">
        <f>IF($A112="","",IF($G112&lt;&gt;"",$G112,IFERROR(IF(INDEX(offices!$AL$2:$AL$61,MATCH($B112,offices!$A$2:$A$61,0))="","",INDEX(offices!$AL$2:$AL$61,MATCH($B112,offices!$A$2:$A$61,0))),"")))</f>
        <v/>
      </c>
      <c r="T112" s="25">
        <f>IF($A112="","",$A112&amp;"."&amp;$B112)</f>
        <v/>
      </c>
      <c r="U112" s="25">
        <f>IF($A112="","",SUMIFS(inventory!$G$2:$G$801,inventory!$C$2:$C$801,$A112,inventory!$D$2:$D$801,$B112,inventory!$E$2:$E$801,"delivered"))</f>
        <v/>
      </c>
      <c r="V112" s="32">
        <f>IF($A112="","",IFERROR(1/(1/SUMPRODUCT(MAX((inventory!$C$2:$C$801=$A112)*(inventory!$D$2:$D$801=$B112)*(inventory!$E$2:$E$801="delivered")*(inventory!$A$2:$A$801+inventory!$B$2:$B$801)))),""))</f>
        <v/>
      </c>
      <c r="W112" s="25">
        <f>IF($A112="","",IFERROR(IF(INDEX(inventory!$J$2:$J$801,MATCH($A112&amp;"|"&amp;$B112&amp;"|delivered",inventory!$R$2:$R$801,0))="","",INDEX(inventory!$J$2:$J$801,MATCH($A112&amp;"|"&amp;$B112&amp;"|delivered",inventory!$R$2:$R$801,0))),""))</f>
        <v/>
      </c>
      <c r="X112" s="25">
        <f>IF($A112="","",IFERROR(IF(INDEX(photos!$H$2:$H$701,MATCH($A112&amp;"|"&amp;$B112&amp;"|placement|Y",photos!$R$2:$R$701,0))="","",INDEX(photos!$H$2:$H$701,MATCH($A112&amp;"|"&amp;$B112&amp;"|placement|Y",photos!$R$2:$R$701,0))),""))</f>
        <v/>
      </c>
      <c r="Y112" s="26">
        <f>IF($A112="","",IFERROR(IF(INDEX(photos!$E$2:$E$701,MATCH($A112&amp;"|"&amp;$B112&amp;"|placement|Y",photos!$R$2:$R$701,0))="","",INDEX(photos!$E$2:$E$701,MATCH($A112&amp;"|"&amp;$B112&amp;"|placement|Y",photos!$R$2:$R$701,0))),""))</f>
        <v/>
      </c>
      <c r="Z112" s="25">
        <f>IF($A112="","",IF(COUNTIFS(counts!$C$2:$C$701,$A112,counts!$D$2:$D$701,$B112,counts!$E$2:$E$701,"placed")=0,"",SUMIFS(counts!$F$2:$F$701,counts!$C$2:$C$701,$A112,counts!$D$2:$D$701,$B112,counts!$E$2:$E$701,"placed")))</f>
        <v/>
      </c>
      <c r="AA112" s="25">
        <f>IF($A112="","",IF($Y112="",0,N($Z112)))</f>
        <v/>
      </c>
      <c r="AB112" s="25">
        <f>IF($A112="","",IF(OR($Y112="",$I112=""),"N",IF($Y112&lt;=WORKDAY(N($I112),1,calendar!$A$2:$A$80),"Y","N")))</f>
        <v/>
      </c>
      <c r="AC112" s="28">
        <f>IF(OR($A112="",$V112="",$Y112=""),"",ROUND(($Y112+N(IFERROR(IF(INDEX(photos!$F$2:$F$701,MATCH($A112&amp;"|"&amp;$B112&amp;"|placement|Y",photos!$R$2:$R$701,0))="","",INDEX(photos!$F$2:$F$701,MATCH($A112&amp;"|"&amp;$B112&amp;"|placement|Y",photos!$R$2:$R$701,0))),""))-$V112)*24,1))</f>
        <v/>
      </c>
      <c r="AD112" s="25">
        <f>IF($A112="","",SUMIFS(inventory!$G$2:$G$801,inventory!$C$2:$C$801,$A112,inventory!$D$2:$D$801,$B112,inventory!$E$2:$E$801,"topped_up"))</f>
        <v/>
      </c>
      <c r="AE112" s="25">
        <f>IF($A112="","",IF(COUNTIFS(counts!$C$2:$C$701,$A112,counts!$D$2:$D$701,$B112,counts!$E$2:$E$701,"remaining_day3")=0,"",SUMIFS(counts!$F$2:$F$701,counts!$C$2:$C$701,$A112,counts!$D$2:$D$701,$B112,counts!$E$2:$E$701,"remaining_day3")))</f>
        <v/>
      </c>
      <c r="AF112" s="25">
        <f>IF($A112="","",IF(COUNTIFS(counts!$C$2:$C$701,$A112,counts!$D$2:$D$701,$B112,counts!$E$2:$E$701,"remaining_day5")=0,"",SUMIFS(counts!$F$2:$F$701,counts!$C$2:$C$701,$A112,counts!$D$2:$D$701,$B112,counts!$E$2:$E$701,"remaining_day5")))</f>
        <v/>
      </c>
      <c r="AG112" s="25">
        <f>IF(OR($A112="",$AF112=""),"",MAX(0,$AA112+$AD112-$AF112))</f>
        <v/>
      </c>
      <c r="AH112" s="25">
        <f>IF(OR($A112="",$AI112=""),"",IFERROR(IF(INDEX(photos!$H$2:$H$701,MATCH($A112&amp;"|"&amp;$B112&amp;"|later|Y|"&amp;$AI112,photos!$S$2:$S$701,0))="","",INDEX(photos!$H$2:$H$701,MATCH($A112&amp;"|"&amp;$B112&amp;"|later|Y|"&amp;$AI112,photos!$S$2:$S$701,0))),""))</f>
        <v/>
      </c>
      <c r="AI112" s="26">
        <f>IF($A112="","",IFERROR(1/(1/SUMPRODUCT(MAX((photos!$B$2:$B$701=$A112)*(photos!$C$2:$C$701=$B112)*(photos!$D$2:$D$701="later")*(photos!$O$2:$O$701="Y")*photos!$E$2:$E$701))),""))</f>
        <v/>
      </c>
      <c r="AJ112" s="25">
        <f>IF(OR($A112="",$AI112="",$I112=""),"",NETWORKDAYS($I112,$AI112,calendar!$A$2:$A$80))</f>
        <v/>
      </c>
      <c r="AK112" s="25">
        <f>IF($A112="","",IF(AND($X112&lt;&gt;"",$AH112&lt;&gt;""),"Y","N"))</f>
        <v/>
      </c>
      <c r="AL112" s="25">
        <f>IF(OR($A112="",$I112=""),"",IF($BC112="Y",SUMIFS(survey_frozen!$C$2:$C$251,survey_frozen!$P$2:$P$251,$A112&amp;"|"&amp;$B112),IFERROR(COUNTIFS(INDIRECT("'"&amp;$A112&amp;"'!$B$2:$B$501"),$T112,INDIRECT("'"&amp;$A112&amp;"'!$A$2:$A$501"),"&gt;="&amp;$I112,INDIRECT("'"&amp;$A112&amp;"'!$A$2:$A$501"),"&lt;"&amp;($BA112+1)),0)))</f>
        <v/>
      </c>
      <c r="AM112" s="25">
        <f>IF(OR($A112="",$I112=""),"",IF($BC112="Y",SUMIFS(survey_frozen!$D$2:$D$251,survey_frozen!$P$2:$P$251,$A112&amp;"|"&amp;$B112),IFERROR(COUNTIFS(INDIRECT("'"&amp;$A112&amp;"'!$B$2:$B$501"),$T112,INDIRECT("'"&amp;$A112&amp;"'!$A$2:$A$501"),"&gt;="&amp;$I112,INDIRECT("'"&amp;$A112&amp;"'!$A$2:$A$501"),"&lt;"&amp;($BA112+1),INDIRECT("'"&amp;$A112&amp;"'!$C$2:$C$501"),"Yes"),0)))</f>
        <v/>
      </c>
      <c r="AN112" s="25">
        <f>IF($A112="","",IF(COUNTIFS(scans!$C$2:$C$1601,(IF(LEFT($A112,7)="SAMPLE-","SAMPLE-","")&amp;LOWER(SUBSTITUTE(SUBSTITUTE($A112,"SAMPLE-",""),"CMP-","c"))&amp;"-"&amp;LOWER(SUBSTITUTE(SUBSTITUTE($B112,"SAMPLE-",""),"O-","o"))&amp;"-q"),scans!$D$2:$D$1601,"close")=0,"",SUMPRODUCT(MAX((scans!$C$2:$C$1601=(IF(LEFT($A112,7)="SAMPLE-","SAMPLE-","")&amp;LOWER(SUBSTITUTE(SUBSTITUTE($A112,"SAMPLE-",""),"CMP-","c"))&amp;"-"&amp;LOWER(SUBSTITUTE(SUBSTITUTE($B112,"SAMPLE-",""),"O-","o"))&amp;"-q"))*(scans!$D$2:$D$1601="close")*scans!$E$2:$E$1601))-SUMPRODUCT(MAX((scans!$C$2:$C$1601=(IF(LEFT($A112,7)="SAMPLE-","SAMPLE-","")&amp;LOWER(SUBSTITUTE(SUBSTITUTE($A112,"SAMPLE-",""),"CMP-","c"))&amp;"-"&amp;LOWER(SUBSTITUTE(SUBSTITUTE($B112,"SAMPLE-",""),"O-","o"))&amp;"-q"))*(scans!$D$2:$D$1601="baseline")*scans!$E$2:$E$1601))))</f>
        <v/>
      </c>
      <c r="AO112" s="25">
        <f>IF($A112="","",IF(COUNTIFS(scans!$C$2:$C$1601,(IF(LEFT($A112,7)="SAMPLE-","SAMPLE-","")&amp;LOWER(SUBSTITUTE(SUBSTITUTE($A112,"SAMPLE-",""),"CMP-","c"))&amp;"-"&amp;LOWER(SUBSTITUTE(SUBSTITUTE($B112,"SAMPLE-",""),"O-","o"))&amp;"-p"),scans!$D$2:$D$1601,"close")=0,"",SUMPRODUCT(MAX((scans!$C$2:$C$1601=(IF(LEFT($A112,7)="SAMPLE-","SAMPLE-","")&amp;LOWER(SUBSTITUTE(SUBSTITUTE($A112,"SAMPLE-",""),"CMP-","c"))&amp;"-"&amp;LOWER(SUBSTITUTE(SUBSTITUTE($B112,"SAMPLE-",""),"O-","o"))&amp;"-p"))*(scans!$D$2:$D$1601="close")*scans!$E$2:$E$1601))-SUMPRODUCT(MAX((scans!$C$2:$C$1601=(IF(LEFT($A112,7)="SAMPLE-","SAMPLE-","")&amp;LOWER(SUBSTITUTE(SUBSTITUTE($A112,"SAMPLE-",""),"CMP-","c"))&amp;"-"&amp;LOWER(SUBSTITUTE(SUBSTITUTE($B112,"SAMPLE-",""),"O-","o"))&amp;"-p"))*(scans!$D$2:$D$1601="baseline")*scans!$E$2:$E$1601))))</f>
        <v/>
      </c>
      <c r="AP112" s="25">
        <f>IF($A112="","",IF(COUNTIF(offices!$A$2:$A$61,$B112)=0,"office_id not on offices; ","")&amp;IF(COUNTIF(campaigns!$A$2:$A$51,$A112)=0,"campaign_id not on campaigns; ","")&amp;IF($P112="pending","approval pending; ","")&amp;IF(AND($U112&gt;0,$Y112="",OR($I112="",IF(config!$B$37&lt;&gt;"",config!$B$37,TODAY())&lt;=WORKDAY(N($I112),4,calendar!$A$2:$A$80))),"no usable placement photo yet; ","")&amp;IF(AND($Y112&lt;&gt;"",$Z112=""),"log the placed count; ","")&amp;IF(N($AA112)&gt;N($U112),"placed more than delivered; ","")&amp;IF(AND($AF112&lt;&gt;"",N($AF112)&gt;N($AA112)+N($AD112)),"day-5 count above placed plus top-ups; ","")&amp;IF(AND($U112&gt;0,$I112&lt;&gt;"",IF(config!$B$37&lt;&gt;"",config!$B$37,TODAY())&gt;WORKDAY(N($I112),4,calendar!$A$2:$A$80),$AF112=""),"day-5 count missing; ","")&amp;IF(AND($U112&gt;0,$I112&lt;&gt;"",IF(config!$B$37&lt;&gt;"",config!$B$37,TODAY())&gt;WORKDAY(N($I112),4,calendar!$A$2:$A$80),$AN112=""),"no close link reading; ","")&amp;$R112&amp;IF($P112="N","info: office said no; ","")&amp;IF(AND($P112="Y",$Q112="N"),"info: turned away at the door, so not on the drop (no letter, not in the report or Gate 2; the credit check is on campaigns); ","")&amp;IF(AND($U112&gt;0,$Y112="",$I112&lt;&gt;"",IF(config!$B$37&lt;&gt;"",config!$B$37,TODAY())&gt;WORKDAY(N($I112),4,calendar!$A$2:$A$80)),"info: no usable placement photo, so nothing counts as placed; ","")&amp;IF(AND($U112&gt;0,$I112&lt;&gt;"",IF(config!$B$37&lt;&gt;"",config!$B$37,TODAY())&gt;WORKDAY(N($I112),4,calendar!$A$2:$A$80),N($AL112)&lt;config!$B$30),"info: under "&amp;config!$B$30&amp;" responses; ","")&amp;IF($W112="packing_list","info: delivered count not verified; ",""))</f>
        <v/>
      </c>
      <c r="AQ112" s="25">
        <f>IF(OR($A112="",$I112=""),"",IF($BC112="Y",SUMIFS(survey_frozen!$E$2:$E$251,survey_frozen!$P$2:$P$251,$A112&amp;"|"&amp;$B112),IFERROR(COUNTIFS(INDIRECT("'"&amp;$A112&amp;"'!$B$2:$B$501"),$T112,INDIRECT("'"&amp;$A112&amp;"'!$A$2:$A$501"),"&gt;="&amp;$I112,INDIRECT("'"&amp;$A112&amp;"'!$A$2:$A$501"),"&lt;"&amp;($BA112+1),INDIRECT("'"&amp;$A112&amp;"'!$F$2:$F$501"),"Didn't see it"),0)))</f>
        <v/>
      </c>
      <c r="AR112" s="25">
        <f>IF(OR($A112="",$I112=""),"",IF($BC112="Y",SUMIFS(survey_frozen!$F$2:$F$251,survey_frozen!$P$2:$P$251,$A112&amp;"|"&amp;$B112),IFERROR(COUNTIFS(INDIRECT("'"&amp;$A112&amp;"'!$B$2:$B$501"),$T112,INDIRECT("'"&amp;$A112&amp;"'!$A$2:$A$501"),"&gt;="&amp;$I112,INDIRECT("'"&amp;$A112&amp;"'!$A$2:$A$501"),"&lt;"&amp;($BA112+1),INDIRECT("'"&amp;$A112&amp;"'!$F$2:$F$501"),"Not for me"),0)))</f>
        <v/>
      </c>
      <c r="AS112" s="25">
        <f>IF(OR($A112="",$I112=""),"",IF($BC112="Y",SUMIFS(survey_frozen!$G$2:$G$251,survey_frozen!$P$2:$P$251,$A112&amp;"|"&amp;$B112),IFERROR(COUNTIFS(INDIRECT("'"&amp;$A112&amp;"'!$B$2:$B$501"),$T112,INDIRECT("'"&amp;$A112&amp;"'!$A$2:$A$501"),"&gt;="&amp;$I112,INDIRECT("'"&amp;$A112&amp;"'!$A$2:$A$501"),"&lt;"&amp;($BA112+1),INDIRECT("'"&amp;$A112&amp;"'!$F$2:$F$501"),"Gone by the time I looked"),0)))</f>
        <v/>
      </c>
      <c r="AT112" s="25">
        <f>IF(OR($A112="",$I112=""),"",IF($BC112="Y",SUMIFS(survey_frozen!$H$2:$H$251,survey_frozen!$P$2:$P$251,$A112&amp;"|"&amp;$B112),IFERROR(COUNTIFS(INDIRECT("'"&amp;$A112&amp;"'!$B$2:$B$501"),$T112,INDIRECT("'"&amp;$A112&amp;"'!$A$2:$A$501"),"&gt;="&amp;$I112,INDIRECT("'"&amp;$A112&amp;"'!$A$2:$A$501"),"&lt;"&amp;($BA112+1),INDIRECT("'"&amp;$A112&amp;"'!$D$2:$D$501"),"&gt;=1"),0)))</f>
        <v/>
      </c>
      <c r="AU112" s="25">
        <f>IF(OR($A112="",$I112=""),"",IF($BC112="Y",SUMIFS(survey_frozen!$I$2:$I$251,survey_frozen!$P$2:$P$251,$A112&amp;"|"&amp;$B112),IFERROR(SUMIFS(INDIRECT("'"&amp;$A112&amp;"'!$D$2:$D$501"),INDIRECT("'"&amp;$A112&amp;"'!$B$2:$B$501"),$T112,INDIRECT("'"&amp;$A112&amp;"'!$A$2:$A$501"),"&gt;="&amp;$I112,INDIRECT("'"&amp;$A112&amp;"'!$A$2:$A$501"),"&lt;"&amp;($BA112+1)),0)))</f>
        <v/>
      </c>
      <c r="AV112" s="25">
        <f>IF(OR($A112="",$I112=""),"",IF($BC112="Y",SUMIFS(survey_frozen!$J$2:$J$251,survey_frozen!$P$2:$P$251,$A112&amp;"|"&amp;$B112),IFERROR(COUNTIFS(INDIRECT("'"&amp;$A112&amp;"'!$B$2:$B$501"),$T112,INDIRECT("'"&amp;$A112&amp;"'!$A$2:$A$501"),"&gt;="&amp;$I112,INDIRECT("'"&amp;$A112&amp;"'!$A$2:$A$501"),"&lt;"&amp;($BA112+1),INDIRECT("'"&amp;$A112&amp;"'!$E$2:$E$501"),"Yes"),0)))</f>
        <v/>
      </c>
      <c r="AW112" s="25">
        <f>IF(OR($A112="",$I112=""),"",IF($BC112="Y",SUMIFS(survey_frozen!$K$2:$K$251,survey_frozen!$P$2:$P$251,$A112&amp;"|"&amp;$B112),IFERROR(COUNTIFS(INDIRECT("'"&amp;$A112&amp;"'!$B$2:$B$501"),$T112,INDIRECT("'"&amp;$A112&amp;"'!$A$2:$A$501"),"&gt;="&amp;$I112,INDIRECT("'"&amp;$A112&amp;"'!$A$2:$A$501"),"&lt;"&amp;($BA112+1),INDIRECT("'"&amp;$A112&amp;"'!$E$2:$E$501"),"Maybe"),0)))</f>
        <v/>
      </c>
      <c r="AX112" s="25">
        <f>IF(OR($A112="",$I112=""),"",IF($BC112="Y",SUMIFS(survey_frozen!$L$2:$L$251,survey_frozen!$P$2:$P$251,$A112&amp;"|"&amp;$B112),IFERROR(COUNTIFS(INDIRECT("'"&amp;$A112&amp;"'!$B$2:$B$501"),$T112,INDIRECT("'"&amp;$A112&amp;"'!$A$2:$A$501"),"&gt;="&amp;$I112,INDIRECT("'"&amp;$A112&amp;"'!$A$2:$A$501"),"&lt;"&amp;($BA112+1),INDIRECT("'"&amp;$A112&amp;"'!$E$2:$E$501"),"No"),0)))</f>
        <v/>
      </c>
      <c r="AY112" s="25">
        <f>IF(OR($A112="",$I112=""),"",IF($BC112="Y",SUMIFS(survey_frozen!$M$2:$M$251,survey_frozen!$P$2:$P$251,$A112&amp;"|"&amp;$B112),IFERROR(COUNTIFS(INDIRECT("'"&amp;$A112&amp;"'!$B$2:$B$501"),$T112,INDIRECT("'"&amp;$A112&amp;"'!$A$2:$A$501"),"&gt;="&amp;$I112,INDIRECT("'"&amp;$A112&amp;"'!$A$2:$A$501"),"&lt;"&amp;($BA112+1),INDIRECT("'"&amp;$A112&amp;"'!$G$2:$G$501"),"&lt;&gt;"),0)))</f>
        <v/>
      </c>
      <c r="AZ112" s="25">
        <f>IF($A112="","",$A112&amp;"|"&amp;$L112)</f>
        <v/>
      </c>
      <c r="BA112" s="26">
        <f>IF($A112="","",IFERROR(IF(INDEX(drops!$R$2:$R$21,MATCH($H112,drops!$A$2:$A$21,0))="","",INDEX(drops!$R$2:$R$21,MATCH($H112,drops!$A$2:$A$21,0))),""))</f>
        <v/>
      </c>
      <c r="BB112" s="25">
        <f>IF(OR($A112="",$Q112&lt;&gt;"Y"),1000000,N($AL112))</f>
        <v/>
      </c>
      <c r="BC112" s="25">
        <f>IF($A112="","",IF(COUNTIF(survey_frozen!$P$2:$P$251,$A112&amp;"|"&amp;$B112)&gt;0,"Y",""))</f>
        <v/>
      </c>
    </row>
    <row r="113">
      <c r="C113" s="9" t="n"/>
      <c r="E113" s="9" t="n"/>
      <c r="H113" s="25">
        <f>IF($A113="","",IFERROR(IF(INDEX(campaigns!$B$2:$B$51,MATCH($A113,campaigns!$A$2:$A$51,0))="","",INDEX(campaigns!$B$2:$B$51,MATCH($A113,campaigns!$A$2:$A$51,0))),""))</f>
        <v/>
      </c>
      <c r="I113" s="26">
        <f>IF($A113="","",IFERROR(IF(INDEX(campaigns!$BG$2:$BG$51,MATCH($A113,campaigns!$A$2:$A$51,0))="","",INDEX(campaigns!$BG$2:$BG$51,MATCH($A113,campaigns!$A$2:$A$51,0))),""))</f>
        <v/>
      </c>
      <c r="J113" s="25">
        <f>IF($A113="","",IFERROR(IF(INDEX(campaigns!$BE$2:$BE$51,MATCH($A113,campaigns!$A$2:$A$51,0))="","",INDEX(campaigns!$BE$2:$BE$51,MATCH($A113,campaigns!$A$2:$A$51,0))),""))</f>
        <v/>
      </c>
      <c r="K113" s="25">
        <f>IF($B113="","",IFERROR(IF(INDEX(offices!$N$2:$N$61,MATCH($B113,offices!$A$2:$A$61,0))="","",INDEX(offices!$N$2:$N$61,MATCH($B113,offices!$A$2:$A$61,0))),""))</f>
        <v/>
      </c>
      <c r="L113" s="25">
        <f>IF($A113="","",IF($Q113="N","",COUNTIFS($A$2:$A113,$A113,$Q$2:$Q113,"&lt;&gt;N")))</f>
        <v/>
      </c>
      <c r="M113" s="25">
        <f>IF(OR($A113="",$L113=""),"",IF(AND(config!$B$34="names_if_public",IFERROR(IF(INDEX(offices!$AF$2:$AF$61,MATCH($B113,offices!$A$2:$A$61,0))="","",INDEX(offices!$AF$2:$AF$61,MATCH($B113,offices!$A$2:$A$61,0))),"")="Y"),$K113,CHAR(64+$L113)))</f>
        <v/>
      </c>
      <c r="N113" s="25">
        <f>IF(OR($A113="",$I113=""),"",COUNTIFS(stops!$B$2:$B$151,$B113,stops!$P$2:$P$151,"&lt;"&amp;$I113,stops!$L$2:$L$151,"&lt;&gt;not_delivered")+1)</f>
        <v/>
      </c>
      <c r="O113" s="25">
        <f>IF($A113="","",IF(N($N113)&lt;=config!$B$29,"explicit","opt-out"))</f>
        <v/>
      </c>
      <c r="P113" s="25">
        <f>IF($A113="","",IF($O113="explicit",IF($D113="yes","Y",IF($D113="no","N","pending")),IF($D113="no","N",IF(AND($C113&lt;&gt;"",$I113&lt;&gt;"",$C113&lt;=WORKDAY(N($I113),-5,calendar!$A$2:$A$80)),"Y","pending"))))</f>
        <v/>
      </c>
      <c r="Q113" s="25">
        <f>IF($A113="","",IF($P113="N","N",IF($P113&lt;&gt;"Y","pending",IF(AND((COUNTIFS(stops!$A$2:$A$151,$H113,stops!$B$2:$B$151,$B113,stops!$L$2:$L$151,"declined")+COUNTIFS(stops!$A$2:$A$151,$H113,stops!$B$2:$B$151,$B113,stops!$L$2:$L$151,"building_refused")+COUNTIFS(stops!$A$2:$A$151,$H113,stops!$B$2:$B$151,$B113,stops!$L$2:$L$151,"not_delivered"))&gt;0,N($U113)=0),"N","Y"))))</f>
        <v/>
      </c>
      <c r="R113" s="25">
        <f>IF($A113="","",IF(COUNTIFS($A$2:$A$251,$A113,$B$2:$B$251,$B113)&gt;1,"DUPLICATE ROW; ","")&amp;IF(AND(IFERROR(IF(INDEX(offices!$AC$2:$AC$61,MATCH($B113,offices!$A$2:$A$61,0))="","",INDEX(offices!$AC$2:$AC$61,MATCH($B113,offices!$A$2:$A$61,0))),"")&lt;&gt;"",ISNUMBER(SEARCH($J113,IFERROR(IF(INDEX(offices!$AC$2:$AC$61,MATCH($B113,offices!$A$2:$A$61,0))="","",INDEX(offices!$AC$2:$AC$61,MATCH($B113,offices!$A$2:$A$61,0))),"")))),"BRAND VETOED; ","")&amp;IF(ISNUMBER(SEARCH(IFERROR(IF(INDEX(campaigns!$BF$2:$BF$51,MATCH($A113,campaigns!$A$2:$A$51,0))="","",INDEX(campaigns!$BF$2:$BF$51,MATCH($A113,campaigns!$A$2:$A$51,0))),""),IFERROR(IF(INDEX(offices!$AB$2:$AB$61,MATCH($B113,offices!$A$2:$A$61,0))="","",INDEX(offices!$AB$2:$AB$61,MATCH($B113,offices!$A$2:$A$61,0))),""))),"","info: category not on the office's list; ")&amp;IF(IFERROR(IF(INDEX(offices!$AC$2:$AC$61,MATCH($B113,offices!$A$2:$A$61,0))="","",INDEX(offices!$AC$2:$AC$61,MATCH($B113,offices!$A$2:$A$61,0))),"")&lt;&gt;"","info: read the vetoes against the label; ",""))</f>
        <v/>
      </c>
      <c r="S113" s="25">
        <f>IF($A113="","",IF($G113&lt;&gt;"",$G113,IFERROR(IF(INDEX(offices!$AL$2:$AL$61,MATCH($B113,offices!$A$2:$A$61,0))="","",INDEX(offices!$AL$2:$AL$61,MATCH($B113,offices!$A$2:$A$61,0))),"")))</f>
        <v/>
      </c>
      <c r="T113" s="25">
        <f>IF($A113="","",$A113&amp;"."&amp;$B113)</f>
        <v/>
      </c>
      <c r="U113" s="25">
        <f>IF($A113="","",SUMIFS(inventory!$G$2:$G$801,inventory!$C$2:$C$801,$A113,inventory!$D$2:$D$801,$B113,inventory!$E$2:$E$801,"delivered"))</f>
        <v/>
      </c>
      <c r="V113" s="32">
        <f>IF($A113="","",IFERROR(1/(1/SUMPRODUCT(MAX((inventory!$C$2:$C$801=$A113)*(inventory!$D$2:$D$801=$B113)*(inventory!$E$2:$E$801="delivered")*(inventory!$A$2:$A$801+inventory!$B$2:$B$801)))),""))</f>
        <v/>
      </c>
      <c r="W113" s="25">
        <f>IF($A113="","",IFERROR(IF(INDEX(inventory!$J$2:$J$801,MATCH($A113&amp;"|"&amp;$B113&amp;"|delivered",inventory!$R$2:$R$801,0))="","",INDEX(inventory!$J$2:$J$801,MATCH($A113&amp;"|"&amp;$B113&amp;"|delivered",inventory!$R$2:$R$801,0))),""))</f>
        <v/>
      </c>
      <c r="X113" s="25">
        <f>IF($A113="","",IFERROR(IF(INDEX(photos!$H$2:$H$701,MATCH($A113&amp;"|"&amp;$B113&amp;"|placement|Y",photos!$R$2:$R$701,0))="","",INDEX(photos!$H$2:$H$701,MATCH($A113&amp;"|"&amp;$B113&amp;"|placement|Y",photos!$R$2:$R$701,0))),""))</f>
        <v/>
      </c>
      <c r="Y113" s="26">
        <f>IF($A113="","",IFERROR(IF(INDEX(photos!$E$2:$E$701,MATCH($A113&amp;"|"&amp;$B113&amp;"|placement|Y",photos!$R$2:$R$701,0))="","",INDEX(photos!$E$2:$E$701,MATCH($A113&amp;"|"&amp;$B113&amp;"|placement|Y",photos!$R$2:$R$701,0))),""))</f>
        <v/>
      </c>
      <c r="Z113" s="25">
        <f>IF($A113="","",IF(COUNTIFS(counts!$C$2:$C$701,$A113,counts!$D$2:$D$701,$B113,counts!$E$2:$E$701,"placed")=0,"",SUMIFS(counts!$F$2:$F$701,counts!$C$2:$C$701,$A113,counts!$D$2:$D$701,$B113,counts!$E$2:$E$701,"placed")))</f>
        <v/>
      </c>
      <c r="AA113" s="25">
        <f>IF($A113="","",IF($Y113="",0,N($Z113)))</f>
        <v/>
      </c>
      <c r="AB113" s="25">
        <f>IF($A113="","",IF(OR($Y113="",$I113=""),"N",IF($Y113&lt;=WORKDAY(N($I113),1,calendar!$A$2:$A$80),"Y","N")))</f>
        <v/>
      </c>
      <c r="AC113" s="28">
        <f>IF(OR($A113="",$V113="",$Y113=""),"",ROUND(($Y113+N(IFERROR(IF(INDEX(photos!$F$2:$F$701,MATCH($A113&amp;"|"&amp;$B113&amp;"|placement|Y",photos!$R$2:$R$701,0))="","",INDEX(photos!$F$2:$F$701,MATCH($A113&amp;"|"&amp;$B113&amp;"|placement|Y",photos!$R$2:$R$701,0))),""))-$V113)*24,1))</f>
        <v/>
      </c>
      <c r="AD113" s="25">
        <f>IF($A113="","",SUMIFS(inventory!$G$2:$G$801,inventory!$C$2:$C$801,$A113,inventory!$D$2:$D$801,$B113,inventory!$E$2:$E$801,"topped_up"))</f>
        <v/>
      </c>
      <c r="AE113" s="25">
        <f>IF($A113="","",IF(COUNTIFS(counts!$C$2:$C$701,$A113,counts!$D$2:$D$701,$B113,counts!$E$2:$E$701,"remaining_day3")=0,"",SUMIFS(counts!$F$2:$F$701,counts!$C$2:$C$701,$A113,counts!$D$2:$D$701,$B113,counts!$E$2:$E$701,"remaining_day3")))</f>
        <v/>
      </c>
      <c r="AF113" s="25">
        <f>IF($A113="","",IF(COUNTIFS(counts!$C$2:$C$701,$A113,counts!$D$2:$D$701,$B113,counts!$E$2:$E$701,"remaining_day5")=0,"",SUMIFS(counts!$F$2:$F$701,counts!$C$2:$C$701,$A113,counts!$D$2:$D$701,$B113,counts!$E$2:$E$701,"remaining_day5")))</f>
        <v/>
      </c>
      <c r="AG113" s="25">
        <f>IF(OR($A113="",$AF113=""),"",MAX(0,$AA113+$AD113-$AF113))</f>
        <v/>
      </c>
      <c r="AH113" s="25">
        <f>IF(OR($A113="",$AI113=""),"",IFERROR(IF(INDEX(photos!$H$2:$H$701,MATCH($A113&amp;"|"&amp;$B113&amp;"|later|Y|"&amp;$AI113,photos!$S$2:$S$701,0))="","",INDEX(photos!$H$2:$H$701,MATCH($A113&amp;"|"&amp;$B113&amp;"|later|Y|"&amp;$AI113,photos!$S$2:$S$701,0))),""))</f>
        <v/>
      </c>
      <c r="AI113" s="26">
        <f>IF($A113="","",IFERROR(1/(1/SUMPRODUCT(MAX((photos!$B$2:$B$701=$A113)*(photos!$C$2:$C$701=$B113)*(photos!$D$2:$D$701="later")*(photos!$O$2:$O$701="Y")*photos!$E$2:$E$701))),""))</f>
        <v/>
      </c>
      <c r="AJ113" s="25">
        <f>IF(OR($A113="",$AI113="",$I113=""),"",NETWORKDAYS($I113,$AI113,calendar!$A$2:$A$80))</f>
        <v/>
      </c>
      <c r="AK113" s="25">
        <f>IF($A113="","",IF(AND($X113&lt;&gt;"",$AH113&lt;&gt;""),"Y","N"))</f>
        <v/>
      </c>
      <c r="AL113" s="25">
        <f>IF(OR($A113="",$I113=""),"",IF($BC113="Y",SUMIFS(survey_frozen!$C$2:$C$251,survey_frozen!$P$2:$P$251,$A113&amp;"|"&amp;$B113),IFERROR(COUNTIFS(INDIRECT("'"&amp;$A113&amp;"'!$B$2:$B$501"),$T113,INDIRECT("'"&amp;$A113&amp;"'!$A$2:$A$501"),"&gt;="&amp;$I113,INDIRECT("'"&amp;$A113&amp;"'!$A$2:$A$501"),"&lt;"&amp;($BA113+1)),0)))</f>
        <v/>
      </c>
      <c r="AM113" s="25">
        <f>IF(OR($A113="",$I113=""),"",IF($BC113="Y",SUMIFS(survey_frozen!$D$2:$D$251,survey_frozen!$P$2:$P$251,$A113&amp;"|"&amp;$B113),IFERROR(COUNTIFS(INDIRECT("'"&amp;$A113&amp;"'!$B$2:$B$501"),$T113,INDIRECT("'"&amp;$A113&amp;"'!$A$2:$A$501"),"&gt;="&amp;$I113,INDIRECT("'"&amp;$A113&amp;"'!$A$2:$A$501"),"&lt;"&amp;($BA113+1),INDIRECT("'"&amp;$A113&amp;"'!$C$2:$C$501"),"Yes"),0)))</f>
        <v/>
      </c>
      <c r="AN113" s="25">
        <f>IF($A113="","",IF(COUNTIFS(scans!$C$2:$C$1601,(IF(LEFT($A113,7)="SAMPLE-","SAMPLE-","")&amp;LOWER(SUBSTITUTE(SUBSTITUTE($A113,"SAMPLE-",""),"CMP-","c"))&amp;"-"&amp;LOWER(SUBSTITUTE(SUBSTITUTE($B113,"SAMPLE-",""),"O-","o"))&amp;"-q"),scans!$D$2:$D$1601,"close")=0,"",SUMPRODUCT(MAX((scans!$C$2:$C$1601=(IF(LEFT($A113,7)="SAMPLE-","SAMPLE-","")&amp;LOWER(SUBSTITUTE(SUBSTITUTE($A113,"SAMPLE-",""),"CMP-","c"))&amp;"-"&amp;LOWER(SUBSTITUTE(SUBSTITUTE($B113,"SAMPLE-",""),"O-","o"))&amp;"-q"))*(scans!$D$2:$D$1601="close")*scans!$E$2:$E$1601))-SUMPRODUCT(MAX((scans!$C$2:$C$1601=(IF(LEFT($A113,7)="SAMPLE-","SAMPLE-","")&amp;LOWER(SUBSTITUTE(SUBSTITUTE($A113,"SAMPLE-",""),"CMP-","c"))&amp;"-"&amp;LOWER(SUBSTITUTE(SUBSTITUTE($B113,"SAMPLE-",""),"O-","o"))&amp;"-q"))*(scans!$D$2:$D$1601="baseline")*scans!$E$2:$E$1601))))</f>
        <v/>
      </c>
      <c r="AO113" s="25">
        <f>IF($A113="","",IF(COUNTIFS(scans!$C$2:$C$1601,(IF(LEFT($A113,7)="SAMPLE-","SAMPLE-","")&amp;LOWER(SUBSTITUTE(SUBSTITUTE($A113,"SAMPLE-",""),"CMP-","c"))&amp;"-"&amp;LOWER(SUBSTITUTE(SUBSTITUTE($B113,"SAMPLE-",""),"O-","o"))&amp;"-p"),scans!$D$2:$D$1601,"close")=0,"",SUMPRODUCT(MAX((scans!$C$2:$C$1601=(IF(LEFT($A113,7)="SAMPLE-","SAMPLE-","")&amp;LOWER(SUBSTITUTE(SUBSTITUTE($A113,"SAMPLE-",""),"CMP-","c"))&amp;"-"&amp;LOWER(SUBSTITUTE(SUBSTITUTE($B113,"SAMPLE-",""),"O-","o"))&amp;"-p"))*(scans!$D$2:$D$1601="close")*scans!$E$2:$E$1601))-SUMPRODUCT(MAX((scans!$C$2:$C$1601=(IF(LEFT($A113,7)="SAMPLE-","SAMPLE-","")&amp;LOWER(SUBSTITUTE(SUBSTITUTE($A113,"SAMPLE-",""),"CMP-","c"))&amp;"-"&amp;LOWER(SUBSTITUTE(SUBSTITUTE($B113,"SAMPLE-",""),"O-","o"))&amp;"-p"))*(scans!$D$2:$D$1601="baseline")*scans!$E$2:$E$1601))))</f>
        <v/>
      </c>
      <c r="AP113" s="25">
        <f>IF($A113="","",IF(COUNTIF(offices!$A$2:$A$61,$B113)=0,"office_id not on offices; ","")&amp;IF(COUNTIF(campaigns!$A$2:$A$51,$A113)=0,"campaign_id not on campaigns; ","")&amp;IF($P113="pending","approval pending; ","")&amp;IF(AND($U113&gt;0,$Y113="",OR($I113="",IF(config!$B$37&lt;&gt;"",config!$B$37,TODAY())&lt;=WORKDAY(N($I113),4,calendar!$A$2:$A$80))),"no usable placement photo yet; ","")&amp;IF(AND($Y113&lt;&gt;"",$Z113=""),"log the placed count; ","")&amp;IF(N($AA113)&gt;N($U113),"placed more than delivered; ","")&amp;IF(AND($AF113&lt;&gt;"",N($AF113)&gt;N($AA113)+N($AD113)),"day-5 count above placed plus top-ups; ","")&amp;IF(AND($U113&gt;0,$I113&lt;&gt;"",IF(config!$B$37&lt;&gt;"",config!$B$37,TODAY())&gt;WORKDAY(N($I113),4,calendar!$A$2:$A$80),$AF113=""),"day-5 count missing; ","")&amp;IF(AND($U113&gt;0,$I113&lt;&gt;"",IF(config!$B$37&lt;&gt;"",config!$B$37,TODAY())&gt;WORKDAY(N($I113),4,calendar!$A$2:$A$80),$AN113=""),"no close link reading; ","")&amp;$R113&amp;IF($P113="N","info: office said no; ","")&amp;IF(AND($P113="Y",$Q113="N"),"info: turned away at the door, so not on the drop (no letter, not in the report or Gate 2; the credit check is on campaigns); ","")&amp;IF(AND($U113&gt;0,$Y113="",$I113&lt;&gt;"",IF(config!$B$37&lt;&gt;"",config!$B$37,TODAY())&gt;WORKDAY(N($I113),4,calendar!$A$2:$A$80)),"info: no usable placement photo, so nothing counts as placed; ","")&amp;IF(AND($U113&gt;0,$I113&lt;&gt;"",IF(config!$B$37&lt;&gt;"",config!$B$37,TODAY())&gt;WORKDAY(N($I113),4,calendar!$A$2:$A$80),N($AL113)&lt;config!$B$30),"info: under "&amp;config!$B$30&amp;" responses; ","")&amp;IF($W113="packing_list","info: delivered count not verified; ",""))</f>
        <v/>
      </c>
      <c r="AQ113" s="25">
        <f>IF(OR($A113="",$I113=""),"",IF($BC113="Y",SUMIFS(survey_frozen!$E$2:$E$251,survey_frozen!$P$2:$P$251,$A113&amp;"|"&amp;$B113),IFERROR(COUNTIFS(INDIRECT("'"&amp;$A113&amp;"'!$B$2:$B$501"),$T113,INDIRECT("'"&amp;$A113&amp;"'!$A$2:$A$501"),"&gt;="&amp;$I113,INDIRECT("'"&amp;$A113&amp;"'!$A$2:$A$501"),"&lt;"&amp;($BA113+1),INDIRECT("'"&amp;$A113&amp;"'!$F$2:$F$501"),"Didn't see it"),0)))</f>
        <v/>
      </c>
      <c r="AR113" s="25">
        <f>IF(OR($A113="",$I113=""),"",IF($BC113="Y",SUMIFS(survey_frozen!$F$2:$F$251,survey_frozen!$P$2:$P$251,$A113&amp;"|"&amp;$B113),IFERROR(COUNTIFS(INDIRECT("'"&amp;$A113&amp;"'!$B$2:$B$501"),$T113,INDIRECT("'"&amp;$A113&amp;"'!$A$2:$A$501"),"&gt;="&amp;$I113,INDIRECT("'"&amp;$A113&amp;"'!$A$2:$A$501"),"&lt;"&amp;($BA113+1),INDIRECT("'"&amp;$A113&amp;"'!$F$2:$F$501"),"Not for me"),0)))</f>
        <v/>
      </c>
      <c r="AS113" s="25">
        <f>IF(OR($A113="",$I113=""),"",IF($BC113="Y",SUMIFS(survey_frozen!$G$2:$G$251,survey_frozen!$P$2:$P$251,$A113&amp;"|"&amp;$B113),IFERROR(COUNTIFS(INDIRECT("'"&amp;$A113&amp;"'!$B$2:$B$501"),$T113,INDIRECT("'"&amp;$A113&amp;"'!$A$2:$A$501"),"&gt;="&amp;$I113,INDIRECT("'"&amp;$A113&amp;"'!$A$2:$A$501"),"&lt;"&amp;($BA113+1),INDIRECT("'"&amp;$A113&amp;"'!$F$2:$F$501"),"Gone by the time I looked"),0)))</f>
        <v/>
      </c>
      <c r="AT113" s="25">
        <f>IF(OR($A113="",$I113=""),"",IF($BC113="Y",SUMIFS(survey_frozen!$H$2:$H$251,survey_frozen!$P$2:$P$251,$A113&amp;"|"&amp;$B113),IFERROR(COUNTIFS(INDIRECT("'"&amp;$A113&amp;"'!$B$2:$B$501"),$T113,INDIRECT("'"&amp;$A113&amp;"'!$A$2:$A$501"),"&gt;="&amp;$I113,INDIRECT("'"&amp;$A113&amp;"'!$A$2:$A$501"),"&lt;"&amp;($BA113+1),INDIRECT("'"&amp;$A113&amp;"'!$D$2:$D$501"),"&gt;=1"),0)))</f>
        <v/>
      </c>
      <c r="AU113" s="25">
        <f>IF(OR($A113="",$I113=""),"",IF($BC113="Y",SUMIFS(survey_frozen!$I$2:$I$251,survey_frozen!$P$2:$P$251,$A113&amp;"|"&amp;$B113),IFERROR(SUMIFS(INDIRECT("'"&amp;$A113&amp;"'!$D$2:$D$501"),INDIRECT("'"&amp;$A113&amp;"'!$B$2:$B$501"),$T113,INDIRECT("'"&amp;$A113&amp;"'!$A$2:$A$501"),"&gt;="&amp;$I113,INDIRECT("'"&amp;$A113&amp;"'!$A$2:$A$501"),"&lt;"&amp;($BA113+1)),0)))</f>
        <v/>
      </c>
      <c r="AV113" s="25">
        <f>IF(OR($A113="",$I113=""),"",IF($BC113="Y",SUMIFS(survey_frozen!$J$2:$J$251,survey_frozen!$P$2:$P$251,$A113&amp;"|"&amp;$B113),IFERROR(COUNTIFS(INDIRECT("'"&amp;$A113&amp;"'!$B$2:$B$501"),$T113,INDIRECT("'"&amp;$A113&amp;"'!$A$2:$A$501"),"&gt;="&amp;$I113,INDIRECT("'"&amp;$A113&amp;"'!$A$2:$A$501"),"&lt;"&amp;($BA113+1),INDIRECT("'"&amp;$A113&amp;"'!$E$2:$E$501"),"Yes"),0)))</f>
        <v/>
      </c>
      <c r="AW113" s="25">
        <f>IF(OR($A113="",$I113=""),"",IF($BC113="Y",SUMIFS(survey_frozen!$K$2:$K$251,survey_frozen!$P$2:$P$251,$A113&amp;"|"&amp;$B113),IFERROR(COUNTIFS(INDIRECT("'"&amp;$A113&amp;"'!$B$2:$B$501"),$T113,INDIRECT("'"&amp;$A113&amp;"'!$A$2:$A$501"),"&gt;="&amp;$I113,INDIRECT("'"&amp;$A113&amp;"'!$A$2:$A$501"),"&lt;"&amp;($BA113+1),INDIRECT("'"&amp;$A113&amp;"'!$E$2:$E$501"),"Maybe"),0)))</f>
        <v/>
      </c>
      <c r="AX113" s="25">
        <f>IF(OR($A113="",$I113=""),"",IF($BC113="Y",SUMIFS(survey_frozen!$L$2:$L$251,survey_frozen!$P$2:$P$251,$A113&amp;"|"&amp;$B113),IFERROR(COUNTIFS(INDIRECT("'"&amp;$A113&amp;"'!$B$2:$B$501"),$T113,INDIRECT("'"&amp;$A113&amp;"'!$A$2:$A$501"),"&gt;="&amp;$I113,INDIRECT("'"&amp;$A113&amp;"'!$A$2:$A$501"),"&lt;"&amp;($BA113+1),INDIRECT("'"&amp;$A113&amp;"'!$E$2:$E$501"),"No"),0)))</f>
        <v/>
      </c>
      <c r="AY113" s="25">
        <f>IF(OR($A113="",$I113=""),"",IF($BC113="Y",SUMIFS(survey_frozen!$M$2:$M$251,survey_frozen!$P$2:$P$251,$A113&amp;"|"&amp;$B113),IFERROR(COUNTIFS(INDIRECT("'"&amp;$A113&amp;"'!$B$2:$B$501"),$T113,INDIRECT("'"&amp;$A113&amp;"'!$A$2:$A$501"),"&gt;="&amp;$I113,INDIRECT("'"&amp;$A113&amp;"'!$A$2:$A$501"),"&lt;"&amp;($BA113+1),INDIRECT("'"&amp;$A113&amp;"'!$G$2:$G$501"),"&lt;&gt;"),0)))</f>
        <v/>
      </c>
      <c r="AZ113" s="25">
        <f>IF($A113="","",$A113&amp;"|"&amp;$L113)</f>
        <v/>
      </c>
      <c r="BA113" s="26">
        <f>IF($A113="","",IFERROR(IF(INDEX(drops!$R$2:$R$21,MATCH($H113,drops!$A$2:$A$21,0))="","",INDEX(drops!$R$2:$R$21,MATCH($H113,drops!$A$2:$A$21,0))),""))</f>
        <v/>
      </c>
      <c r="BB113" s="25">
        <f>IF(OR($A113="",$Q113&lt;&gt;"Y"),1000000,N($AL113))</f>
        <v/>
      </c>
      <c r="BC113" s="25">
        <f>IF($A113="","",IF(COUNTIF(survey_frozen!$P$2:$P$251,$A113&amp;"|"&amp;$B113)&gt;0,"Y",""))</f>
        <v/>
      </c>
    </row>
    <row r="114">
      <c r="C114" s="9" t="n"/>
      <c r="E114" s="9" t="n"/>
      <c r="H114" s="25">
        <f>IF($A114="","",IFERROR(IF(INDEX(campaigns!$B$2:$B$51,MATCH($A114,campaigns!$A$2:$A$51,0))="","",INDEX(campaigns!$B$2:$B$51,MATCH($A114,campaigns!$A$2:$A$51,0))),""))</f>
        <v/>
      </c>
      <c r="I114" s="26">
        <f>IF($A114="","",IFERROR(IF(INDEX(campaigns!$BG$2:$BG$51,MATCH($A114,campaigns!$A$2:$A$51,0))="","",INDEX(campaigns!$BG$2:$BG$51,MATCH($A114,campaigns!$A$2:$A$51,0))),""))</f>
        <v/>
      </c>
      <c r="J114" s="25">
        <f>IF($A114="","",IFERROR(IF(INDEX(campaigns!$BE$2:$BE$51,MATCH($A114,campaigns!$A$2:$A$51,0))="","",INDEX(campaigns!$BE$2:$BE$51,MATCH($A114,campaigns!$A$2:$A$51,0))),""))</f>
        <v/>
      </c>
      <c r="K114" s="25">
        <f>IF($B114="","",IFERROR(IF(INDEX(offices!$N$2:$N$61,MATCH($B114,offices!$A$2:$A$61,0))="","",INDEX(offices!$N$2:$N$61,MATCH($B114,offices!$A$2:$A$61,0))),""))</f>
        <v/>
      </c>
      <c r="L114" s="25">
        <f>IF($A114="","",IF($Q114="N","",COUNTIFS($A$2:$A114,$A114,$Q$2:$Q114,"&lt;&gt;N")))</f>
        <v/>
      </c>
      <c r="M114" s="25">
        <f>IF(OR($A114="",$L114=""),"",IF(AND(config!$B$34="names_if_public",IFERROR(IF(INDEX(offices!$AF$2:$AF$61,MATCH($B114,offices!$A$2:$A$61,0))="","",INDEX(offices!$AF$2:$AF$61,MATCH($B114,offices!$A$2:$A$61,0))),"")="Y"),$K114,CHAR(64+$L114)))</f>
        <v/>
      </c>
      <c r="N114" s="25">
        <f>IF(OR($A114="",$I114=""),"",COUNTIFS(stops!$B$2:$B$151,$B114,stops!$P$2:$P$151,"&lt;"&amp;$I114,stops!$L$2:$L$151,"&lt;&gt;not_delivered")+1)</f>
        <v/>
      </c>
      <c r="O114" s="25">
        <f>IF($A114="","",IF(N($N114)&lt;=config!$B$29,"explicit","opt-out"))</f>
        <v/>
      </c>
      <c r="P114" s="25">
        <f>IF($A114="","",IF($O114="explicit",IF($D114="yes","Y",IF($D114="no","N","pending")),IF($D114="no","N",IF(AND($C114&lt;&gt;"",$I114&lt;&gt;"",$C114&lt;=WORKDAY(N($I114),-5,calendar!$A$2:$A$80)),"Y","pending"))))</f>
        <v/>
      </c>
      <c r="Q114" s="25">
        <f>IF($A114="","",IF($P114="N","N",IF($P114&lt;&gt;"Y","pending",IF(AND((COUNTIFS(stops!$A$2:$A$151,$H114,stops!$B$2:$B$151,$B114,stops!$L$2:$L$151,"declined")+COUNTIFS(stops!$A$2:$A$151,$H114,stops!$B$2:$B$151,$B114,stops!$L$2:$L$151,"building_refused")+COUNTIFS(stops!$A$2:$A$151,$H114,stops!$B$2:$B$151,$B114,stops!$L$2:$L$151,"not_delivered"))&gt;0,N($U114)=0),"N","Y"))))</f>
        <v/>
      </c>
      <c r="R114" s="25">
        <f>IF($A114="","",IF(COUNTIFS($A$2:$A$251,$A114,$B$2:$B$251,$B114)&gt;1,"DUPLICATE ROW; ","")&amp;IF(AND(IFERROR(IF(INDEX(offices!$AC$2:$AC$61,MATCH($B114,offices!$A$2:$A$61,0))="","",INDEX(offices!$AC$2:$AC$61,MATCH($B114,offices!$A$2:$A$61,0))),"")&lt;&gt;"",ISNUMBER(SEARCH($J114,IFERROR(IF(INDEX(offices!$AC$2:$AC$61,MATCH($B114,offices!$A$2:$A$61,0))="","",INDEX(offices!$AC$2:$AC$61,MATCH($B114,offices!$A$2:$A$61,0))),"")))),"BRAND VETOED; ","")&amp;IF(ISNUMBER(SEARCH(IFERROR(IF(INDEX(campaigns!$BF$2:$BF$51,MATCH($A114,campaigns!$A$2:$A$51,0))="","",INDEX(campaigns!$BF$2:$BF$51,MATCH($A114,campaigns!$A$2:$A$51,0))),""),IFERROR(IF(INDEX(offices!$AB$2:$AB$61,MATCH($B114,offices!$A$2:$A$61,0))="","",INDEX(offices!$AB$2:$AB$61,MATCH($B114,offices!$A$2:$A$61,0))),""))),"","info: category not on the office's list; ")&amp;IF(IFERROR(IF(INDEX(offices!$AC$2:$AC$61,MATCH($B114,offices!$A$2:$A$61,0))="","",INDEX(offices!$AC$2:$AC$61,MATCH($B114,offices!$A$2:$A$61,0))),"")&lt;&gt;"","info: read the vetoes against the label; ",""))</f>
        <v/>
      </c>
      <c r="S114" s="25">
        <f>IF($A114="","",IF($G114&lt;&gt;"",$G114,IFERROR(IF(INDEX(offices!$AL$2:$AL$61,MATCH($B114,offices!$A$2:$A$61,0))="","",INDEX(offices!$AL$2:$AL$61,MATCH($B114,offices!$A$2:$A$61,0))),"")))</f>
        <v/>
      </c>
      <c r="T114" s="25">
        <f>IF($A114="","",$A114&amp;"."&amp;$B114)</f>
        <v/>
      </c>
      <c r="U114" s="25">
        <f>IF($A114="","",SUMIFS(inventory!$G$2:$G$801,inventory!$C$2:$C$801,$A114,inventory!$D$2:$D$801,$B114,inventory!$E$2:$E$801,"delivered"))</f>
        <v/>
      </c>
      <c r="V114" s="32">
        <f>IF($A114="","",IFERROR(1/(1/SUMPRODUCT(MAX((inventory!$C$2:$C$801=$A114)*(inventory!$D$2:$D$801=$B114)*(inventory!$E$2:$E$801="delivered")*(inventory!$A$2:$A$801+inventory!$B$2:$B$801)))),""))</f>
        <v/>
      </c>
      <c r="W114" s="25">
        <f>IF($A114="","",IFERROR(IF(INDEX(inventory!$J$2:$J$801,MATCH($A114&amp;"|"&amp;$B114&amp;"|delivered",inventory!$R$2:$R$801,0))="","",INDEX(inventory!$J$2:$J$801,MATCH($A114&amp;"|"&amp;$B114&amp;"|delivered",inventory!$R$2:$R$801,0))),""))</f>
        <v/>
      </c>
      <c r="X114" s="25">
        <f>IF($A114="","",IFERROR(IF(INDEX(photos!$H$2:$H$701,MATCH($A114&amp;"|"&amp;$B114&amp;"|placement|Y",photos!$R$2:$R$701,0))="","",INDEX(photos!$H$2:$H$701,MATCH($A114&amp;"|"&amp;$B114&amp;"|placement|Y",photos!$R$2:$R$701,0))),""))</f>
        <v/>
      </c>
      <c r="Y114" s="26">
        <f>IF($A114="","",IFERROR(IF(INDEX(photos!$E$2:$E$701,MATCH($A114&amp;"|"&amp;$B114&amp;"|placement|Y",photos!$R$2:$R$701,0))="","",INDEX(photos!$E$2:$E$701,MATCH($A114&amp;"|"&amp;$B114&amp;"|placement|Y",photos!$R$2:$R$701,0))),""))</f>
        <v/>
      </c>
      <c r="Z114" s="25">
        <f>IF($A114="","",IF(COUNTIFS(counts!$C$2:$C$701,$A114,counts!$D$2:$D$701,$B114,counts!$E$2:$E$701,"placed")=0,"",SUMIFS(counts!$F$2:$F$701,counts!$C$2:$C$701,$A114,counts!$D$2:$D$701,$B114,counts!$E$2:$E$701,"placed")))</f>
        <v/>
      </c>
      <c r="AA114" s="25">
        <f>IF($A114="","",IF($Y114="",0,N($Z114)))</f>
        <v/>
      </c>
      <c r="AB114" s="25">
        <f>IF($A114="","",IF(OR($Y114="",$I114=""),"N",IF($Y114&lt;=WORKDAY(N($I114),1,calendar!$A$2:$A$80),"Y","N")))</f>
        <v/>
      </c>
      <c r="AC114" s="28">
        <f>IF(OR($A114="",$V114="",$Y114=""),"",ROUND(($Y114+N(IFERROR(IF(INDEX(photos!$F$2:$F$701,MATCH($A114&amp;"|"&amp;$B114&amp;"|placement|Y",photos!$R$2:$R$701,0))="","",INDEX(photos!$F$2:$F$701,MATCH($A114&amp;"|"&amp;$B114&amp;"|placement|Y",photos!$R$2:$R$701,0))),""))-$V114)*24,1))</f>
        <v/>
      </c>
      <c r="AD114" s="25">
        <f>IF($A114="","",SUMIFS(inventory!$G$2:$G$801,inventory!$C$2:$C$801,$A114,inventory!$D$2:$D$801,$B114,inventory!$E$2:$E$801,"topped_up"))</f>
        <v/>
      </c>
      <c r="AE114" s="25">
        <f>IF($A114="","",IF(COUNTIFS(counts!$C$2:$C$701,$A114,counts!$D$2:$D$701,$B114,counts!$E$2:$E$701,"remaining_day3")=0,"",SUMIFS(counts!$F$2:$F$701,counts!$C$2:$C$701,$A114,counts!$D$2:$D$701,$B114,counts!$E$2:$E$701,"remaining_day3")))</f>
        <v/>
      </c>
      <c r="AF114" s="25">
        <f>IF($A114="","",IF(COUNTIFS(counts!$C$2:$C$701,$A114,counts!$D$2:$D$701,$B114,counts!$E$2:$E$701,"remaining_day5")=0,"",SUMIFS(counts!$F$2:$F$701,counts!$C$2:$C$701,$A114,counts!$D$2:$D$701,$B114,counts!$E$2:$E$701,"remaining_day5")))</f>
        <v/>
      </c>
      <c r="AG114" s="25">
        <f>IF(OR($A114="",$AF114=""),"",MAX(0,$AA114+$AD114-$AF114))</f>
        <v/>
      </c>
      <c r="AH114" s="25">
        <f>IF(OR($A114="",$AI114=""),"",IFERROR(IF(INDEX(photos!$H$2:$H$701,MATCH($A114&amp;"|"&amp;$B114&amp;"|later|Y|"&amp;$AI114,photos!$S$2:$S$701,0))="","",INDEX(photos!$H$2:$H$701,MATCH($A114&amp;"|"&amp;$B114&amp;"|later|Y|"&amp;$AI114,photos!$S$2:$S$701,0))),""))</f>
        <v/>
      </c>
      <c r="AI114" s="26">
        <f>IF($A114="","",IFERROR(1/(1/SUMPRODUCT(MAX((photos!$B$2:$B$701=$A114)*(photos!$C$2:$C$701=$B114)*(photos!$D$2:$D$701="later")*(photos!$O$2:$O$701="Y")*photos!$E$2:$E$701))),""))</f>
        <v/>
      </c>
      <c r="AJ114" s="25">
        <f>IF(OR($A114="",$AI114="",$I114=""),"",NETWORKDAYS($I114,$AI114,calendar!$A$2:$A$80))</f>
        <v/>
      </c>
      <c r="AK114" s="25">
        <f>IF($A114="","",IF(AND($X114&lt;&gt;"",$AH114&lt;&gt;""),"Y","N"))</f>
        <v/>
      </c>
      <c r="AL114" s="25">
        <f>IF(OR($A114="",$I114=""),"",IF($BC114="Y",SUMIFS(survey_frozen!$C$2:$C$251,survey_frozen!$P$2:$P$251,$A114&amp;"|"&amp;$B114),IFERROR(COUNTIFS(INDIRECT("'"&amp;$A114&amp;"'!$B$2:$B$501"),$T114,INDIRECT("'"&amp;$A114&amp;"'!$A$2:$A$501"),"&gt;="&amp;$I114,INDIRECT("'"&amp;$A114&amp;"'!$A$2:$A$501"),"&lt;"&amp;($BA114+1)),0)))</f>
        <v/>
      </c>
      <c r="AM114" s="25">
        <f>IF(OR($A114="",$I114=""),"",IF($BC114="Y",SUMIFS(survey_frozen!$D$2:$D$251,survey_frozen!$P$2:$P$251,$A114&amp;"|"&amp;$B114),IFERROR(COUNTIFS(INDIRECT("'"&amp;$A114&amp;"'!$B$2:$B$501"),$T114,INDIRECT("'"&amp;$A114&amp;"'!$A$2:$A$501"),"&gt;="&amp;$I114,INDIRECT("'"&amp;$A114&amp;"'!$A$2:$A$501"),"&lt;"&amp;($BA114+1),INDIRECT("'"&amp;$A114&amp;"'!$C$2:$C$501"),"Yes"),0)))</f>
        <v/>
      </c>
      <c r="AN114" s="25">
        <f>IF($A114="","",IF(COUNTIFS(scans!$C$2:$C$1601,(IF(LEFT($A114,7)="SAMPLE-","SAMPLE-","")&amp;LOWER(SUBSTITUTE(SUBSTITUTE($A114,"SAMPLE-",""),"CMP-","c"))&amp;"-"&amp;LOWER(SUBSTITUTE(SUBSTITUTE($B114,"SAMPLE-",""),"O-","o"))&amp;"-q"),scans!$D$2:$D$1601,"close")=0,"",SUMPRODUCT(MAX((scans!$C$2:$C$1601=(IF(LEFT($A114,7)="SAMPLE-","SAMPLE-","")&amp;LOWER(SUBSTITUTE(SUBSTITUTE($A114,"SAMPLE-",""),"CMP-","c"))&amp;"-"&amp;LOWER(SUBSTITUTE(SUBSTITUTE($B114,"SAMPLE-",""),"O-","o"))&amp;"-q"))*(scans!$D$2:$D$1601="close")*scans!$E$2:$E$1601))-SUMPRODUCT(MAX((scans!$C$2:$C$1601=(IF(LEFT($A114,7)="SAMPLE-","SAMPLE-","")&amp;LOWER(SUBSTITUTE(SUBSTITUTE($A114,"SAMPLE-",""),"CMP-","c"))&amp;"-"&amp;LOWER(SUBSTITUTE(SUBSTITUTE($B114,"SAMPLE-",""),"O-","o"))&amp;"-q"))*(scans!$D$2:$D$1601="baseline")*scans!$E$2:$E$1601))))</f>
        <v/>
      </c>
      <c r="AO114" s="25">
        <f>IF($A114="","",IF(COUNTIFS(scans!$C$2:$C$1601,(IF(LEFT($A114,7)="SAMPLE-","SAMPLE-","")&amp;LOWER(SUBSTITUTE(SUBSTITUTE($A114,"SAMPLE-",""),"CMP-","c"))&amp;"-"&amp;LOWER(SUBSTITUTE(SUBSTITUTE($B114,"SAMPLE-",""),"O-","o"))&amp;"-p"),scans!$D$2:$D$1601,"close")=0,"",SUMPRODUCT(MAX((scans!$C$2:$C$1601=(IF(LEFT($A114,7)="SAMPLE-","SAMPLE-","")&amp;LOWER(SUBSTITUTE(SUBSTITUTE($A114,"SAMPLE-",""),"CMP-","c"))&amp;"-"&amp;LOWER(SUBSTITUTE(SUBSTITUTE($B114,"SAMPLE-",""),"O-","o"))&amp;"-p"))*(scans!$D$2:$D$1601="close")*scans!$E$2:$E$1601))-SUMPRODUCT(MAX((scans!$C$2:$C$1601=(IF(LEFT($A114,7)="SAMPLE-","SAMPLE-","")&amp;LOWER(SUBSTITUTE(SUBSTITUTE($A114,"SAMPLE-",""),"CMP-","c"))&amp;"-"&amp;LOWER(SUBSTITUTE(SUBSTITUTE($B114,"SAMPLE-",""),"O-","o"))&amp;"-p"))*(scans!$D$2:$D$1601="baseline")*scans!$E$2:$E$1601))))</f>
        <v/>
      </c>
      <c r="AP114" s="25">
        <f>IF($A114="","",IF(COUNTIF(offices!$A$2:$A$61,$B114)=0,"office_id not on offices; ","")&amp;IF(COUNTIF(campaigns!$A$2:$A$51,$A114)=0,"campaign_id not on campaigns; ","")&amp;IF($P114="pending","approval pending; ","")&amp;IF(AND($U114&gt;0,$Y114="",OR($I114="",IF(config!$B$37&lt;&gt;"",config!$B$37,TODAY())&lt;=WORKDAY(N($I114),4,calendar!$A$2:$A$80))),"no usable placement photo yet; ","")&amp;IF(AND($Y114&lt;&gt;"",$Z114=""),"log the placed count; ","")&amp;IF(N($AA114)&gt;N($U114),"placed more than delivered; ","")&amp;IF(AND($AF114&lt;&gt;"",N($AF114)&gt;N($AA114)+N($AD114)),"day-5 count above placed plus top-ups; ","")&amp;IF(AND($U114&gt;0,$I114&lt;&gt;"",IF(config!$B$37&lt;&gt;"",config!$B$37,TODAY())&gt;WORKDAY(N($I114),4,calendar!$A$2:$A$80),$AF114=""),"day-5 count missing; ","")&amp;IF(AND($U114&gt;0,$I114&lt;&gt;"",IF(config!$B$37&lt;&gt;"",config!$B$37,TODAY())&gt;WORKDAY(N($I114),4,calendar!$A$2:$A$80),$AN114=""),"no close link reading; ","")&amp;$R114&amp;IF($P114="N","info: office said no; ","")&amp;IF(AND($P114="Y",$Q114="N"),"info: turned away at the door, so not on the drop (no letter, not in the report or Gate 2; the credit check is on campaigns); ","")&amp;IF(AND($U114&gt;0,$Y114="",$I114&lt;&gt;"",IF(config!$B$37&lt;&gt;"",config!$B$37,TODAY())&gt;WORKDAY(N($I114),4,calendar!$A$2:$A$80)),"info: no usable placement photo, so nothing counts as placed; ","")&amp;IF(AND($U114&gt;0,$I114&lt;&gt;"",IF(config!$B$37&lt;&gt;"",config!$B$37,TODAY())&gt;WORKDAY(N($I114),4,calendar!$A$2:$A$80),N($AL114)&lt;config!$B$30),"info: under "&amp;config!$B$30&amp;" responses; ","")&amp;IF($W114="packing_list","info: delivered count not verified; ",""))</f>
        <v/>
      </c>
      <c r="AQ114" s="25">
        <f>IF(OR($A114="",$I114=""),"",IF($BC114="Y",SUMIFS(survey_frozen!$E$2:$E$251,survey_frozen!$P$2:$P$251,$A114&amp;"|"&amp;$B114),IFERROR(COUNTIFS(INDIRECT("'"&amp;$A114&amp;"'!$B$2:$B$501"),$T114,INDIRECT("'"&amp;$A114&amp;"'!$A$2:$A$501"),"&gt;="&amp;$I114,INDIRECT("'"&amp;$A114&amp;"'!$A$2:$A$501"),"&lt;"&amp;($BA114+1),INDIRECT("'"&amp;$A114&amp;"'!$F$2:$F$501"),"Didn't see it"),0)))</f>
        <v/>
      </c>
      <c r="AR114" s="25">
        <f>IF(OR($A114="",$I114=""),"",IF($BC114="Y",SUMIFS(survey_frozen!$F$2:$F$251,survey_frozen!$P$2:$P$251,$A114&amp;"|"&amp;$B114),IFERROR(COUNTIFS(INDIRECT("'"&amp;$A114&amp;"'!$B$2:$B$501"),$T114,INDIRECT("'"&amp;$A114&amp;"'!$A$2:$A$501"),"&gt;="&amp;$I114,INDIRECT("'"&amp;$A114&amp;"'!$A$2:$A$501"),"&lt;"&amp;($BA114+1),INDIRECT("'"&amp;$A114&amp;"'!$F$2:$F$501"),"Not for me"),0)))</f>
        <v/>
      </c>
      <c r="AS114" s="25">
        <f>IF(OR($A114="",$I114=""),"",IF($BC114="Y",SUMIFS(survey_frozen!$G$2:$G$251,survey_frozen!$P$2:$P$251,$A114&amp;"|"&amp;$B114),IFERROR(COUNTIFS(INDIRECT("'"&amp;$A114&amp;"'!$B$2:$B$501"),$T114,INDIRECT("'"&amp;$A114&amp;"'!$A$2:$A$501"),"&gt;="&amp;$I114,INDIRECT("'"&amp;$A114&amp;"'!$A$2:$A$501"),"&lt;"&amp;($BA114+1),INDIRECT("'"&amp;$A114&amp;"'!$F$2:$F$501"),"Gone by the time I looked"),0)))</f>
        <v/>
      </c>
      <c r="AT114" s="25">
        <f>IF(OR($A114="",$I114=""),"",IF($BC114="Y",SUMIFS(survey_frozen!$H$2:$H$251,survey_frozen!$P$2:$P$251,$A114&amp;"|"&amp;$B114),IFERROR(COUNTIFS(INDIRECT("'"&amp;$A114&amp;"'!$B$2:$B$501"),$T114,INDIRECT("'"&amp;$A114&amp;"'!$A$2:$A$501"),"&gt;="&amp;$I114,INDIRECT("'"&amp;$A114&amp;"'!$A$2:$A$501"),"&lt;"&amp;($BA114+1),INDIRECT("'"&amp;$A114&amp;"'!$D$2:$D$501"),"&gt;=1"),0)))</f>
        <v/>
      </c>
      <c r="AU114" s="25">
        <f>IF(OR($A114="",$I114=""),"",IF($BC114="Y",SUMIFS(survey_frozen!$I$2:$I$251,survey_frozen!$P$2:$P$251,$A114&amp;"|"&amp;$B114),IFERROR(SUMIFS(INDIRECT("'"&amp;$A114&amp;"'!$D$2:$D$501"),INDIRECT("'"&amp;$A114&amp;"'!$B$2:$B$501"),$T114,INDIRECT("'"&amp;$A114&amp;"'!$A$2:$A$501"),"&gt;="&amp;$I114,INDIRECT("'"&amp;$A114&amp;"'!$A$2:$A$501"),"&lt;"&amp;($BA114+1)),0)))</f>
        <v/>
      </c>
      <c r="AV114" s="25">
        <f>IF(OR($A114="",$I114=""),"",IF($BC114="Y",SUMIFS(survey_frozen!$J$2:$J$251,survey_frozen!$P$2:$P$251,$A114&amp;"|"&amp;$B114),IFERROR(COUNTIFS(INDIRECT("'"&amp;$A114&amp;"'!$B$2:$B$501"),$T114,INDIRECT("'"&amp;$A114&amp;"'!$A$2:$A$501"),"&gt;="&amp;$I114,INDIRECT("'"&amp;$A114&amp;"'!$A$2:$A$501"),"&lt;"&amp;($BA114+1),INDIRECT("'"&amp;$A114&amp;"'!$E$2:$E$501"),"Yes"),0)))</f>
        <v/>
      </c>
      <c r="AW114" s="25">
        <f>IF(OR($A114="",$I114=""),"",IF($BC114="Y",SUMIFS(survey_frozen!$K$2:$K$251,survey_frozen!$P$2:$P$251,$A114&amp;"|"&amp;$B114),IFERROR(COUNTIFS(INDIRECT("'"&amp;$A114&amp;"'!$B$2:$B$501"),$T114,INDIRECT("'"&amp;$A114&amp;"'!$A$2:$A$501"),"&gt;="&amp;$I114,INDIRECT("'"&amp;$A114&amp;"'!$A$2:$A$501"),"&lt;"&amp;($BA114+1),INDIRECT("'"&amp;$A114&amp;"'!$E$2:$E$501"),"Maybe"),0)))</f>
        <v/>
      </c>
      <c r="AX114" s="25">
        <f>IF(OR($A114="",$I114=""),"",IF($BC114="Y",SUMIFS(survey_frozen!$L$2:$L$251,survey_frozen!$P$2:$P$251,$A114&amp;"|"&amp;$B114),IFERROR(COUNTIFS(INDIRECT("'"&amp;$A114&amp;"'!$B$2:$B$501"),$T114,INDIRECT("'"&amp;$A114&amp;"'!$A$2:$A$501"),"&gt;="&amp;$I114,INDIRECT("'"&amp;$A114&amp;"'!$A$2:$A$501"),"&lt;"&amp;($BA114+1),INDIRECT("'"&amp;$A114&amp;"'!$E$2:$E$501"),"No"),0)))</f>
        <v/>
      </c>
      <c r="AY114" s="25">
        <f>IF(OR($A114="",$I114=""),"",IF($BC114="Y",SUMIFS(survey_frozen!$M$2:$M$251,survey_frozen!$P$2:$P$251,$A114&amp;"|"&amp;$B114),IFERROR(COUNTIFS(INDIRECT("'"&amp;$A114&amp;"'!$B$2:$B$501"),$T114,INDIRECT("'"&amp;$A114&amp;"'!$A$2:$A$501"),"&gt;="&amp;$I114,INDIRECT("'"&amp;$A114&amp;"'!$A$2:$A$501"),"&lt;"&amp;($BA114+1),INDIRECT("'"&amp;$A114&amp;"'!$G$2:$G$501"),"&lt;&gt;"),0)))</f>
        <v/>
      </c>
      <c r="AZ114" s="25">
        <f>IF($A114="","",$A114&amp;"|"&amp;$L114)</f>
        <v/>
      </c>
      <c r="BA114" s="26">
        <f>IF($A114="","",IFERROR(IF(INDEX(drops!$R$2:$R$21,MATCH($H114,drops!$A$2:$A$21,0))="","",INDEX(drops!$R$2:$R$21,MATCH($H114,drops!$A$2:$A$21,0))),""))</f>
        <v/>
      </c>
      <c r="BB114" s="25">
        <f>IF(OR($A114="",$Q114&lt;&gt;"Y"),1000000,N($AL114))</f>
        <v/>
      </c>
      <c r="BC114" s="25">
        <f>IF($A114="","",IF(COUNTIF(survey_frozen!$P$2:$P$251,$A114&amp;"|"&amp;$B114)&gt;0,"Y",""))</f>
        <v/>
      </c>
    </row>
    <row r="115">
      <c r="C115" s="9" t="n"/>
      <c r="E115" s="9" t="n"/>
      <c r="H115" s="25">
        <f>IF($A115="","",IFERROR(IF(INDEX(campaigns!$B$2:$B$51,MATCH($A115,campaigns!$A$2:$A$51,0))="","",INDEX(campaigns!$B$2:$B$51,MATCH($A115,campaigns!$A$2:$A$51,0))),""))</f>
        <v/>
      </c>
      <c r="I115" s="26">
        <f>IF($A115="","",IFERROR(IF(INDEX(campaigns!$BG$2:$BG$51,MATCH($A115,campaigns!$A$2:$A$51,0))="","",INDEX(campaigns!$BG$2:$BG$51,MATCH($A115,campaigns!$A$2:$A$51,0))),""))</f>
        <v/>
      </c>
      <c r="J115" s="25">
        <f>IF($A115="","",IFERROR(IF(INDEX(campaigns!$BE$2:$BE$51,MATCH($A115,campaigns!$A$2:$A$51,0))="","",INDEX(campaigns!$BE$2:$BE$51,MATCH($A115,campaigns!$A$2:$A$51,0))),""))</f>
        <v/>
      </c>
      <c r="K115" s="25">
        <f>IF($B115="","",IFERROR(IF(INDEX(offices!$N$2:$N$61,MATCH($B115,offices!$A$2:$A$61,0))="","",INDEX(offices!$N$2:$N$61,MATCH($B115,offices!$A$2:$A$61,0))),""))</f>
        <v/>
      </c>
      <c r="L115" s="25">
        <f>IF($A115="","",IF($Q115="N","",COUNTIFS($A$2:$A115,$A115,$Q$2:$Q115,"&lt;&gt;N")))</f>
        <v/>
      </c>
      <c r="M115" s="25">
        <f>IF(OR($A115="",$L115=""),"",IF(AND(config!$B$34="names_if_public",IFERROR(IF(INDEX(offices!$AF$2:$AF$61,MATCH($B115,offices!$A$2:$A$61,0))="","",INDEX(offices!$AF$2:$AF$61,MATCH($B115,offices!$A$2:$A$61,0))),"")="Y"),$K115,CHAR(64+$L115)))</f>
        <v/>
      </c>
      <c r="N115" s="25">
        <f>IF(OR($A115="",$I115=""),"",COUNTIFS(stops!$B$2:$B$151,$B115,stops!$P$2:$P$151,"&lt;"&amp;$I115,stops!$L$2:$L$151,"&lt;&gt;not_delivered")+1)</f>
        <v/>
      </c>
      <c r="O115" s="25">
        <f>IF($A115="","",IF(N($N115)&lt;=config!$B$29,"explicit","opt-out"))</f>
        <v/>
      </c>
      <c r="P115" s="25">
        <f>IF($A115="","",IF($O115="explicit",IF($D115="yes","Y",IF($D115="no","N","pending")),IF($D115="no","N",IF(AND($C115&lt;&gt;"",$I115&lt;&gt;"",$C115&lt;=WORKDAY(N($I115),-5,calendar!$A$2:$A$80)),"Y","pending"))))</f>
        <v/>
      </c>
      <c r="Q115" s="25">
        <f>IF($A115="","",IF($P115="N","N",IF($P115&lt;&gt;"Y","pending",IF(AND((COUNTIFS(stops!$A$2:$A$151,$H115,stops!$B$2:$B$151,$B115,stops!$L$2:$L$151,"declined")+COUNTIFS(stops!$A$2:$A$151,$H115,stops!$B$2:$B$151,$B115,stops!$L$2:$L$151,"building_refused")+COUNTIFS(stops!$A$2:$A$151,$H115,stops!$B$2:$B$151,$B115,stops!$L$2:$L$151,"not_delivered"))&gt;0,N($U115)=0),"N","Y"))))</f>
        <v/>
      </c>
      <c r="R115" s="25">
        <f>IF($A115="","",IF(COUNTIFS($A$2:$A$251,$A115,$B$2:$B$251,$B115)&gt;1,"DUPLICATE ROW; ","")&amp;IF(AND(IFERROR(IF(INDEX(offices!$AC$2:$AC$61,MATCH($B115,offices!$A$2:$A$61,0))="","",INDEX(offices!$AC$2:$AC$61,MATCH($B115,offices!$A$2:$A$61,0))),"")&lt;&gt;"",ISNUMBER(SEARCH($J115,IFERROR(IF(INDEX(offices!$AC$2:$AC$61,MATCH($B115,offices!$A$2:$A$61,0))="","",INDEX(offices!$AC$2:$AC$61,MATCH($B115,offices!$A$2:$A$61,0))),"")))),"BRAND VETOED; ","")&amp;IF(ISNUMBER(SEARCH(IFERROR(IF(INDEX(campaigns!$BF$2:$BF$51,MATCH($A115,campaigns!$A$2:$A$51,0))="","",INDEX(campaigns!$BF$2:$BF$51,MATCH($A115,campaigns!$A$2:$A$51,0))),""),IFERROR(IF(INDEX(offices!$AB$2:$AB$61,MATCH($B115,offices!$A$2:$A$61,0))="","",INDEX(offices!$AB$2:$AB$61,MATCH($B115,offices!$A$2:$A$61,0))),""))),"","info: category not on the office's list; ")&amp;IF(IFERROR(IF(INDEX(offices!$AC$2:$AC$61,MATCH($B115,offices!$A$2:$A$61,0))="","",INDEX(offices!$AC$2:$AC$61,MATCH($B115,offices!$A$2:$A$61,0))),"")&lt;&gt;"","info: read the vetoes against the label; ",""))</f>
        <v/>
      </c>
      <c r="S115" s="25">
        <f>IF($A115="","",IF($G115&lt;&gt;"",$G115,IFERROR(IF(INDEX(offices!$AL$2:$AL$61,MATCH($B115,offices!$A$2:$A$61,0))="","",INDEX(offices!$AL$2:$AL$61,MATCH($B115,offices!$A$2:$A$61,0))),"")))</f>
        <v/>
      </c>
      <c r="T115" s="25">
        <f>IF($A115="","",$A115&amp;"."&amp;$B115)</f>
        <v/>
      </c>
      <c r="U115" s="25">
        <f>IF($A115="","",SUMIFS(inventory!$G$2:$G$801,inventory!$C$2:$C$801,$A115,inventory!$D$2:$D$801,$B115,inventory!$E$2:$E$801,"delivered"))</f>
        <v/>
      </c>
      <c r="V115" s="32">
        <f>IF($A115="","",IFERROR(1/(1/SUMPRODUCT(MAX((inventory!$C$2:$C$801=$A115)*(inventory!$D$2:$D$801=$B115)*(inventory!$E$2:$E$801="delivered")*(inventory!$A$2:$A$801+inventory!$B$2:$B$801)))),""))</f>
        <v/>
      </c>
      <c r="W115" s="25">
        <f>IF($A115="","",IFERROR(IF(INDEX(inventory!$J$2:$J$801,MATCH($A115&amp;"|"&amp;$B115&amp;"|delivered",inventory!$R$2:$R$801,0))="","",INDEX(inventory!$J$2:$J$801,MATCH($A115&amp;"|"&amp;$B115&amp;"|delivered",inventory!$R$2:$R$801,0))),""))</f>
        <v/>
      </c>
      <c r="X115" s="25">
        <f>IF($A115="","",IFERROR(IF(INDEX(photos!$H$2:$H$701,MATCH($A115&amp;"|"&amp;$B115&amp;"|placement|Y",photos!$R$2:$R$701,0))="","",INDEX(photos!$H$2:$H$701,MATCH($A115&amp;"|"&amp;$B115&amp;"|placement|Y",photos!$R$2:$R$701,0))),""))</f>
        <v/>
      </c>
      <c r="Y115" s="26">
        <f>IF($A115="","",IFERROR(IF(INDEX(photos!$E$2:$E$701,MATCH($A115&amp;"|"&amp;$B115&amp;"|placement|Y",photos!$R$2:$R$701,0))="","",INDEX(photos!$E$2:$E$701,MATCH($A115&amp;"|"&amp;$B115&amp;"|placement|Y",photos!$R$2:$R$701,0))),""))</f>
        <v/>
      </c>
      <c r="Z115" s="25">
        <f>IF($A115="","",IF(COUNTIFS(counts!$C$2:$C$701,$A115,counts!$D$2:$D$701,$B115,counts!$E$2:$E$701,"placed")=0,"",SUMIFS(counts!$F$2:$F$701,counts!$C$2:$C$701,$A115,counts!$D$2:$D$701,$B115,counts!$E$2:$E$701,"placed")))</f>
        <v/>
      </c>
      <c r="AA115" s="25">
        <f>IF($A115="","",IF($Y115="",0,N($Z115)))</f>
        <v/>
      </c>
      <c r="AB115" s="25">
        <f>IF($A115="","",IF(OR($Y115="",$I115=""),"N",IF($Y115&lt;=WORKDAY(N($I115),1,calendar!$A$2:$A$80),"Y","N")))</f>
        <v/>
      </c>
      <c r="AC115" s="28">
        <f>IF(OR($A115="",$V115="",$Y115=""),"",ROUND(($Y115+N(IFERROR(IF(INDEX(photos!$F$2:$F$701,MATCH($A115&amp;"|"&amp;$B115&amp;"|placement|Y",photos!$R$2:$R$701,0))="","",INDEX(photos!$F$2:$F$701,MATCH($A115&amp;"|"&amp;$B115&amp;"|placement|Y",photos!$R$2:$R$701,0))),""))-$V115)*24,1))</f>
        <v/>
      </c>
      <c r="AD115" s="25">
        <f>IF($A115="","",SUMIFS(inventory!$G$2:$G$801,inventory!$C$2:$C$801,$A115,inventory!$D$2:$D$801,$B115,inventory!$E$2:$E$801,"topped_up"))</f>
        <v/>
      </c>
      <c r="AE115" s="25">
        <f>IF($A115="","",IF(COUNTIFS(counts!$C$2:$C$701,$A115,counts!$D$2:$D$701,$B115,counts!$E$2:$E$701,"remaining_day3")=0,"",SUMIFS(counts!$F$2:$F$701,counts!$C$2:$C$701,$A115,counts!$D$2:$D$701,$B115,counts!$E$2:$E$701,"remaining_day3")))</f>
        <v/>
      </c>
      <c r="AF115" s="25">
        <f>IF($A115="","",IF(COUNTIFS(counts!$C$2:$C$701,$A115,counts!$D$2:$D$701,$B115,counts!$E$2:$E$701,"remaining_day5")=0,"",SUMIFS(counts!$F$2:$F$701,counts!$C$2:$C$701,$A115,counts!$D$2:$D$701,$B115,counts!$E$2:$E$701,"remaining_day5")))</f>
        <v/>
      </c>
      <c r="AG115" s="25">
        <f>IF(OR($A115="",$AF115=""),"",MAX(0,$AA115+$AD115-$AF115))</f>
        <v/>
      </c>
      <c r="AH115" s="25">
        <f>IF(OR($A115="",$AI115=""),"",IFERROR(IF(INDEX(photos!$H$2:$H$701,MATCH($A115&amp;"|"&amp;$B115&amp;"|later|Y|"&amp;$AI115,photos!$S$2:$S$701,0))="","",INDEX(photos!$H$2:$H$701,MATCH($A115&amp;"|"&amp;$B115&amp;"|later|Y|"&amp;$AI115,photos!$S$2:$S$701,0))),""))</f>
        <v/>
      </c>
      <c r="AI115" s="26">
        <f>IF($A115="","",IFERROR(1/(1/SUMPRODUCT(MAX((photos!$B$2:$B$701=$A115)*(photos!$C$2:$C$701=$B115)*(photos!$D$2:$D$701="later")*(photos!$O$2:$O$701="Y")*photos!$E$2:$E$701))),""))</f>
        <v/>
      </c>
      <c r="AJ115" s="25">
        <f>IF(OR($A115="",$AI115="",$I115=""),"",NETWORKDAYS($I115,$AI115,calendar!$A$2:$A$80))</f>
        <v/>
      </c>
      <c r="AK115" s="25">
        <f>IF($A115="","",IF(AND($X115&lt;&gt;"",$AH115&lt;&gt;""),"Y","N"))</f>
        <v/>
      </c>
      <c r="AL115" s="25">
        <f>IF(OR($A115="",$I115=""),"",IF($BC115="Y",SUMIFS(survey_frozen!$C$2:$C$251,survey_frozen!$P$2:$P$251,$A115&amp;"|"&amp;$B115),IFERROR(COUNTIFS(INDIRECT("'"&amp;$A115&amp;"'!$B$2:$B$501"),$T115,INDIRECT("'"&amp;$A115&amp;"'!$A$2:$A$501"),"&gt;="&amp;$I115,INDIRECT("'"&amp;$A115&amp;"'!$A$2:$A$501"),"&lt;"&amp;($BA115+1)),0)))</f>
        <v/>
      </c>
      <c r="AM115" s="25">
        <f>IF(OR($A115="",$I115=""),"",IF($BC115="Y",SUMIFS(survey_frozen!$D$2:$D$251,survey_frozen!$P$2:$P$251,$A115&amp;"|"&amp;$B115),IFERROR(COUNTIFS(INDIRECT("'"&amp;$A115&amp;"'!$B$2:$B$501"),$T115,INDIRECT("'"&amp;$A115&amp;"'!$A$2:$A$501"),"&gt;="&amp;$I115,INDIRECT("'"&amp;$A115&amp;"'!$A$2:$A$501"),"&lt;"&amp;($BA115+1),INDIRECT("'"&amp;$A115&amp;"'!$C$2:$C$501"),"Yes"),0)))</f>
        <v/>
      </c>
      <c r="AN115" s="25">
        <f>IF($A115="","",IF(COUNTIFS(scans!$C$2:$C$1601,(IF(LEFT($A115,7)="SAMPLE-","SAMPLE-","")&amp;LOWER(SUBSTITUTE(SUBSTITUTE($A115,"SAMPLE-",""),"CMP-","c"))&amp;"-"&amp;LOWER(SUBSTITUTE(SUBSTITUTE($B115,"SAMPLE-",""),"O-","o"))&amp;"-q"),scans!$D$2:$D$1601,"close")=0,"",SUMPRODUCT(MAX((scans!$C$2:$C$1601=(IF(LEFT($A115,7)="SAMPLE-","SAMPLE-","")&amp;LOWER(SUBSTITUTE(SUBSTITUTE($A115,"SAMPLE-",""),"CMP-","c"))&amp;"-"&amp;LOWER(SUBSTITUTE(SUBSTITUTE($B115,"SAMPLE-",""),"O-","o"))&amp;"-q"))*(scans!$D$2:$D$1601="close")*scans!$E$2:$E$1601))-SUMPRODUCT(MAX((scans!$C$2:$C$1601=(IF(LEFT($A115,7)="SAMPLE-","SAMPLE-","")&amp;LOWER(SUBSTITUTE(SUBSTITUTE($A115,"SAMPLE-",""),"CMP-","c"))&amp;"-"&amp;LOWER(SUBSTITUTE(SUBSTITUTE($B115,"SAMPLE-",""),"O-","o"))&amp;"-q"))*(scans!$D$2:$D$1601="baseline")*scans!$E$2:$E$1601))))</f>
        <v/>
      </c>
      <c r="AO115" s="25">
        <f>IF($A115="","",IF(COUNTIFS(scans!$C$2:$C$1601,(IF(LEFT($A115,7)="SAMPLE-","SAMPLE-","")&amp;LOWER(SUBSTITUTE(SUBSTITUTE($A115,"SAMPLE-",""),"CMP-","c"))&amp;"-"&amp;LOWER(SUBSTITUTE(SUBSTITUTE($B115,"SAMPLE-",""),"O-","o"))&amp;"-p"),scans!$D$2:$D$1601,"close")=0,"",SUMPRODUCT(MAX((scans!$C$2:$C$1601=(IF(LEFT($A115,7)="SAMPLE-","SAMPLE-","")&amp;LOWER(SUBSTITUTE(SUBSTITUTE($A115,"SAMPLE-",""),"CMP-","c"))&amp;"-"&amp;LOWER(SUBSTITUTE(SUBSTITUTE($B115,"SAMPLE-",""),"O-","o"))&amp;"-p"))*(scans!$D$2:$D$1601="close")*scans!$E$2:$E$1601))-SUMPRODUCT(MAX((scans!$C$2:$C$1601=(IF(LEFT($A115,7)="SAMPLE-","SAMPLE-","")&amp;LOWER(SUBSTITUTE(SUBSTITUTE($A115,"SAMPLE-",""),"CMP-","c"))&amp;"-"&amp;LOWER(SUBSTITUTE(SUBSTITUTE($B115,"SAMPLE-",""),"O-","o"))&amp;"-p"))*(scans!$D$2:$D$1601="baseline")*scans!$E$2:$E$1601))))</f>
        <v/>
      </c>
      <c r="AP115" s="25">
        <f>IF($A115="","",IF(COUNTIF(offices!$A$2:$A$61,$B115)=0,"office_id not on offices; ","")&amp;IF(COUNTIF(campaigns!$A$2:$A$51,$A115)=0,"campaign_id not on campaigns; ","")&amp;IF($P115="pending","approval pending; ","")&amp;IF(AND($U115&gt;0,$Y115="",OR($I115="",IF(config!$B$37&lt;&gt;"",config!$B$37,TODAY())&lt;=WORKDAY(N($I115),4,calendar!$A$2:$A$80))),"no usable placement photo yet; ","")&amp;IF(AND($Y115&lt;&gt;"",$Z115=""),"log the placed count; ","")&amp;IF(N($AA115)&gt;N($U115),"placed more than delivered; ","")&amp;IF(AND($AF115&lt;&gt;"",N($AF115)&gt;N($AA115)+N($AD115)),"day-5 count above placed plus top-ups; ","")&amp;IF(AND($U115&gt;0,$I115&lt;&gt;"",IF(config!$B$37&lt;&gt;"",config!$B$37,TODAY())&gt;WORKDAY(N($I115),4,calendar!$A$2:$A$80),$AF115=""),"day-5 count missing; ","")&amp;IF(AND($U115&gt;0,$I115&lt;&gt;"",IF(config!$B$37&lt;&gt;"",config!$B$37,TODAY())&gt;WORKDAY(N($I115),4,calendar!$A$2:$A$80),$AN115=""),"no close link reading; ","")&amp;$R115&amp;IF($P115="N","info: office said no; ","")&amp;IF(AND($P115="Y",$Q115="N"),"info: turned away at the door, so not on the drop (no letter, not in the report or Gate 2; the credit check is on campaigns); ","")&amp;IF(AND($U115&gt;0,$Y115="",$I115&lt;&gt;"",IF(config!$B$37&lt;&gt;"",config!$B$37,TODAY())&gt;WORKDAY(N($I115),4,calendar!$A$2:$A$80)),"info: no usable placement photo, so nothing counts as placed; ","")&amp;IF(AND($U115&gt;0,$I115&lt;&gt;"",IF(config!$B$37&lt;&gt;"",config!$B$37,TODAY())&gt;WORKDAY(N($I115),4,calendar!$A$2:$A$80),N($AL115)&lt;config!$B$30),"info: under "&amp;config!$B$30&amp;" responses; ","")&amp;IF($W115="packing_list","info: delivered count not verified; ",""))</f>
        <v/>
      </c>
      <c r="AQ115" s="25">
        <f>IF(OR($A115="",$I115=""),"",IF($BC115="Y",SUMIFS(survey_frozen!$E$2:$E$251,survey_frozen!$P$2:$P$251,$A115&amp;"|"&amp;$B115),IFERROR(COUNTIFS(INDIRECT("'"&amp;$A115&amp;"'!$B$2:$B$501"),$T115,INDIRECT("'"&amp;$A115&amp;"'!$A$2:$A$501"),"&gt;="&amp;$I115,INDIRECT("'"&amp;$A115&amp;"'!$A$2:$A$501"),"&lt;"&amp;($BA115+1),INDIRECT("'"&amp;$A115&amp;"'!$F$2:$F$501"),"Didn't see it"),0)))</f>
        <v/>
      </c>
      <c r="AR115" s="25">
        <f>IF(OR($A115="",$I115=""),"",IF($BC115="Y",SUMIFS(survey_frozen!$F$2:$F$251,survey_frozen!$P$2:$P$251,$A115&amp;"|"&amp;$B115),IFERROR(COUNTIFS(INDIRECT("'"&amp;$A115&amp;"'!$B$2:$B$501"),$T115,INDIRECT("'"&amp;$A115&amp;"'!$A$2:$A$501"),"&gt;="&amp;$I115,INDIRECT("'"&amp;$A115&amp;"'!$A$2:$A$501"),"&lt;"&amp;($BA115+1),INDIRECT("'"&amp;$A115&amp;"'!$F$2:$F$501"),"Not for me"),0)))</f>
        <v/>
      </c>
      <c r="AS115" s="25">
        <f>IF(OR($A115="",$I115=""),"",IF($BC115="Y",SUMIFS(survey_frozen!$G$2:$G$251,survey_frozen!$P$2:$P$251,$A115&amp;"|"&amp;$B115),IFERROR(COUNTIFS(INDIRECT("'"&amp;$A115&amp;"'!$B$2:$B$501"),$T115,INDIRECT("'"&amp;$A115&amp;"'!$A$2:$A$501"),"&gt;="&amp;$I115,INDIRECT("'"&amp;$A115&amp;"'!$A$2:$A$501"),"&lt;"&amp;($BA115+1),INDIRECT("'"&amp;$A115&amp;"'!$F$2:$F$501"),"Gone by the time I looked"),0)))</f>
        <v/>
      </c>
      <c r="AT115" s="25">
        <f>IF(OR($A115="",$I115=""),"",IF($BC115="Y",SUMIFS(survey_frozen!$H$2:$H$251,survey_frozen!$P$2:$P$251,$A115&amp;"|"&amp;$B115),IFERROR(COUNTIFS(INDIRECT("'"&amp;$A115&amp;"'!$B$2:$B$501"),$T115,INDIRECT("'"&amp;$A115&amp;"'!$A$2:$A$501"),"&gt;="&amp;$I115,INDIRECT("'"&amp;$A115&amp;"'!$A$2:$A$501"),"&lt;"&amp;($BA115+1),INDIRECT("'"&amp;$A115&amp;"'!$D$2:$D$501"),"&gt;=1"),0)))</f>
        <v/>
      </c>
      <c r="AU115" s="25">
        <f>IF(OR($A115="",$I115=""),"",IF($BC115="Y",SUMIFS(survey_frozen!$I$2:$I$251,survey_frozen!$P$2:$P$251,$A115&amp;"|"&amp;$B115),IFERROR(SUMIFS(INDIRECT("'"&amp;$A115&amp;"'!$D$2:$D$501"),INDIRECT("'"&amp;$A115&amp;"'!$B$2:$B$501"),$T115,INDIRECT("'"&amp;$A115&amp;"'!$A$2:$A$501"),"&gt;="&amp;$I115,INDIRECT("'"&amp;$A115&amp;"'!$A$2:$A$501"),"&lt;"&amp;($BA115+1)),0)))</f>
        <v/>
      </c>
      <c r="AV115" s="25">
        <f>IF(OR($A115="",$I115=""),"",IF($BC115="Y",SUMIFS(survey_frozen!$J$2:$J$251,survey_frozen!$P$2:$P$251,$A115&amp;"|"&amp;$B115),IFERROR(COUNTIFS(INDIRECT("'"&amp;$A115&amp;"'!$B$2:$B$501"),$T115,INDIRECT("'"&amp;$A115&amp;"'!$A$2:$A$501"),"&gt;="&amp;$I115,INDIRECT("'"&amp;$A115&amp;"'!$A$2:$A$501"),"&lt;"&amp;($BA115+1),INDIRECT("'"&amp;$A115&amp;"'!$E$2:$E$501"),"Yes"),0)))</f>
        <v/>
      </c>
      <c r="AW115" s="25">
        <f>IF(OR($A115="",$I115=""),"",IF($BC115="Y",SUMIFS(survey_frozen!$K$2:$K$251,survey_frozen!$P$2:$P$251,$A115&amp;"|"&amp;$B115),IFERROR(COUNTIFS(INDIRECT("'"&amp;$A115&amp;"'!$B$2:$B$501"),$T115,INDIRECT("'"&amp;$A115&amp;"'!$A$2:$A$501"),"&gt;="&amp;$I115,INDIRECT("'"&amp;$A115&amp;"'!$A$2:$A$501"),"&lt;"&amp;($BA115+1),INDIRECT("'"&amp;$A115&amp;"'!$E$2:$E$501"),"Maybe"),0)))</f>
        <v/>
      </c>
      <c r="AX115" s="25">
        <f>IF(OR($A115="",$I115=""),"",IF($BC115="Y",SUMIFS(survey_frozen!$L$2:$L$251,survey_frozen!$P$2:$P$251,$A115&amp;"|"&amp;$B115),IFERROR(COUNTIFS(INDIRECT("'"&amp;$A115&amp;"'!$B$2:$B$501"),$T115,INDIRECT("'"&amp;$A115&amp;"'!$A$2:$A$501"),"&gt;="&amp;$I115,INDIRECT("'"&amp;$A115&amp;"'!$A$2:$A$501"),"&lt;"&amp;($BA115+1),INDIRECT("'"&amp;$A115&amp;"'!$E$2:$E$501"),"No"),0)))</f>
        <v/>
      </c>
      <c r="AY115" s="25">
        <f>IF(OR($A115="",$I115=""),"",IF($BC115="Y",SUMIFS(survey_frozen!$M$2:$M$251,survey_frozen!$P$2:$P$251,$A115&amp;"|"&amp;$B115),IFERROR(COUNTIFS(INDIRECT("'"&amp;$A115&amp;"'!$B$2:$B$501"),$T115,INDIRECT("'"&amp;$A115&amp;"'!$A$2:$A$501"),"&gt;="&amp;$I115,INDIRECT("'"&amp;$A115&amp;"'!$A$2:$A$501"),"&lt;"&amp;($BA115+1),INDIRECT("'"&amp;$A115&amp;"'!$G$2:$G$501"),"&lt;&gt;"),0)))</f>
        <v/>
      </c>
      <c r="AZ115" s="25">
        <f>IF($A115="","",$A115&amp;"|"&amp;$L115)</f>
        <v/>
      </c>
      <c r="BA115" s="26">
        <f>IF($A115="","",IFERROR(IF(INDEX(drops!$R$2:$R$21,MATCH($H115,drops!$A$2:$A$21,0))="","",INDEX(drops!$R$2:$R$21,MATCH($H115,drops!$A$2:$A$21,0))),""))</f>
        <v/>
      </c>
      <c r="BB115" s="25">
        <f>IF(OR($A115="",$Q115&lt;&gt;"Y"),1000000,N($AL115))</f>
        <v/>
      </c>
      <c r="BC115" s="25">
        <f>IF($A115="","",IF(COUNTIF(survey_frozen!$P$2:$P$251,$A115&amp;"|"&amp;$B115)&gt;0,"Y",""))</f>
        <v/>
      </c>
    </row>
    <row r="116">
      <c r="C116" s="9" t="n"/>
      <c r="E116" s="9" t="n"/>
      <c r="H116" s="25">
        <f>IF($A116="","",IFERROR(IF(INDEX(campaigns!$B$2:$B$51,MATCH($A116,campaigns!$A$2:$A$51,0))="","",INDEX(campaigns!$B$2:$B$51,MATCH($A116,campaigns!$A$2:$A$51,0))),""))</f>
        <v/>
      </c>
      <c r="I116" s="26">
        <f>IF($A116="","",IFERROR(IF(INDEX(campaigns!$BG$2:$BG$51,MATCH($A116,campaigns!$A$2:$A$51,0))="","",INDEX(campaigns!$BG$2:$BG$51,MATCH($A116,campaigns!$A$2:$A$51,0))),""))</f>
        <v/>
      </c>
      <c r="J116" s="25">
        <f>IF($A116="","",IFERROR(IF(INDEX(campaigns!$BE$2:$BE$51,MATCH($A116,campaigns!$A$2:$A$51,0))="","",INDEX(campaigns!$BE$2:$BE$51,MATCH($A116,campaigns!$A$2:$A$51,0))),""))</f>
        <v/>
      </c>
      <c r="K116" s="25">
        <f>IF($B116="","",IFERROR(IF(INDEX(offices!$N$2:$N$61,MATCH($B116,offices!$A$2:$A$61,0))="","",INDEX(offices!$N$2:$N$61,MATCH($B116,offices!$A$2:$A$61,0))),""))</f>
        <v/>
      </c>
      <c r="L116" s="25">
        <f>IF($A116="","",IF($Q116="N","",COUNTIFS($A$2:$A116,$A116,$Q$2:$Q116,"&lt;&gt;N")))</f>
        <v/>
      </c>
      <c r="M116" s="25">
        <f>IF(OR($A116="",$L116=""),"",IF(AND(config!$B$34="names_if_public",IFERROR(IF(INDEX(offices!$AF$2:$AF$61,MATCH($B116,offices!$A$2:$A$61,0))="","",INDEX(offices!$AF$2:$AF$61,MATCH($B116,offices!$A$2:$A$61,0))),"")="Y"),$K116,CHAR(64+$L116)))</f>
        <v/>
      </c>
      <c r="N116" s="25">
        <f>IF(OR($A116="",$I116=""),"",COUNTIFS(stops!$B$2:$B$151,$B116,stops!$P$2:$P$151,"&lt;"&amp;$I116,stops!$L$2:$L$151,"&lt;&gt;not_delivered")+1)</f>
        <v/>
      </c>
      <c r="O116" s="25">
        <f>IF($A116="","",IF(N($N116)&lt;=config!$B$29,"explicit","opt-out"))</f>
        <v/>
      </c>
      <c r="P116" s="25">
        <f>IF($A116="","",IF($O116="explicit",IF($D116="yes","Y",IF($D116="no","N","pending")),IF($D116="no","N",IF(AND($C116&lt;&gt;"",$I116&lt;&gt;"",$C116&lt;=WORKDAY(N($I116),-5,calendar!$A$2:$A$80)),"Y","pending"))))</f>
        <v/>
      </c>
      <c r="Q116" s="25">
        <f>IF($A116="","",IF($P116="N","N",IF($P116&lt;&gt;"Y","pending",IF(AND((COUNTIFS(stops!$A$2:$A$151,$H116,stops!$B$2:$B$151,$B116,stops!$L$2:$L$151,"declined")+COUNTIFS(stops!$A$2:$A$151,$H116,stops!$B$2:$B$151,$B116,stops!$L$2:$L$151,"building_refused")+COUNTIFS(stops!$A$2:$A$151,$H116,stops!$B$2:$B$151,$B116,stops!$L$2:$L$151,"not_delivered"))&gt;0,N($U116)=0),"N","Y"))))</f>
        <v/>
      </c>
      <c r="R116" s="25">
        <f>IF($A116="","",IF(COUNTIFS($A$2:$A$251,$A116,$B$2:$B$251,$B116)&gt;1,"DUPLICATE ROW; ","")&amp;IF(AND(IFERROR(IF(INDEX(offices!$AC$2:$AC$61,MATCH($B116,offices!$A$2:$A$61,0))="","",INDEX(offices!$AC$2:$AC$61,MATCH($B116,offices!$A$2:$A$61,0))),"")&lt;&gt;"",ISNUMBER(SEARCH($J116,IFERROR(IF(INDEX(offices!$AC$2:$AC$61,MATCH($B116,offices!$A$2:$A$61,0))="","",INDEX(offices!$AC$2:$AC$61,MATCH($B116,offices!$A$2:$A$61,0))),"")))),"BRAND VETOED; ","")&amp;IF(ISNUMBER(SEARCH(IFERROR(IF(INDEX(campaigns!$BF$2:$BF$51,MATCH($A116,campaigns!$A$2:$A$51,0))="","",INDEX(campaigns!$BF$2:$BF$51,MATCH($A116,campaigns!$A$2:$A$51,0))),""),IFERROR(IF(INDEX(offices!$AB$2:$AB$61,MATCH($B116,offices!$A$2:$A$61,0))="","",INDEX(offices!$AB$2:$AB$61,MATCH($B116,offices!$A$2:$A$61,0))),""))),"","info: category not on the office's list; ")&amp;IF(IFERROR(IF(INDEX(offices!$AC$2:$AC$61,MATCH($B116,offices!$A$2:$A$61,0))="","",INDEX(offices!$AC$2:$AC$61,MATCH($B116,offices!$A$2:$A$61,0))),"")&lt;&gt;"","info: read the vetoes against the label; ",""))</f>
        <v/>
      </c>
      <c r="S116" s="25">
        <f>IF($A116="","",IF($G116&lt;&gt;"",$G116,IFERROR(IF(INDEX(offices!$AL$2:$AL$61,MATCH($B116,offices!$A$2:$A$61,0))="","",INDEX(offices!$AL$2:$AL$61,MATCH($B116,offices!$A$2:$A$61,0))),"")))</f>
        <v/>
      </c>
      <c r="T116" s="25">
        <f>IF($A116="","",$A116&amp;"."&amp;$B116)</f>
        <v/>
      </c>
      <c r="U116" s="25">
        <f>IF($A116="","",SUMIFS(inventory!$G$2:$G$801,inventory!$C$2:$C$801,$A116,inventory!$D$2:$D$801,$B116,inventory!$E$2:$E$801,"delivered"))</f>
        <v/>
      </c>
      <c r="V116" s="32">
        <f>IF($A116="","",IFERROR(1/(1/SUMPRODUCT(MAX((inventory!$C$2:$C$801=$A116)*(inventory!$D$2:$D$801=$B116)*(inventory!$E$2:$E$801="delivered")*(inventory!$A$2:$A$801+inventory!$B$2:$B$801)))),""))</f>
        <v/>
      </c>
      <c r="W116" s="25">
        <f>IF($A116="","",IFERROR(IF(INDEX(inventory!$J$2:$J$801,MATCH($A116&amp;"|"&amp;$B116&amp;"|delivered",inventory!$R$2:$R$801,0))="","",INDEX(inventory!$J$2:$J$801,MATCH($A116&amp;"|"&amp;$B116&amp;"|delivered",inventory!$R$2:$R$801,0))),""))</f>
        <v/>
      </c>
      <c r="X116" s="25">
        <f>IF($A116="","",IFERROR(IF(INDEX(photos!$H$2:$H$701,MATCH($A116&amp;"|"&amp;$B116&amp;"|placement|Y",photos!$R$2:$R$701,0))="","",INDEX(photos!$H$2:$H$701,MATCH($A116&amp;"|"&amp;$B116&amp;"|placement|Y",photos!$R$2:$R$701,0))),""))</f>
        <v/>
      </c>
      <c r="Y116" s="26">
        <f>IF($A116="","",IFERROR(IF(INDEX(photos!$E$2:$E$701,MATCH($A116&amp;"|"&amp;$B116&amp;"|placement|Y",photos!$R$2:$R$701,0))="","",INDEX(photos!$E$2:$E$701,MATCH($A116&amp;"|"&amp;$B116&amp;"|placement|Y",photos!$R$2:$R$701,0))),""))</f>
        <v/>
      </c>
      <c r="Z116" s="25">
        <f>IF($A116="","",IF(COUNTIFS(counts!$C$2:$C$701,$A116,counts!$D$2:$D$701,$B116,counts!$E$2:$E$701,"placed")=0,"",SUMIFS(counts!$F$2:$F$701,counts!$C$2:$C$701,$A116,counts!$D$2:$D$701,$B116,counts!$E$2:$E$701,"placed")))</f>
        <v/>
      </c>
      <c r="AA116" s="25">
        <f>IF($A116="","",IF($Y116="",0,N($Z116)))</f>
        <v/>
      </c>
      <c r="AB116" s="25">
        <f>IF($A116="","",IF(OR($Y116="",$I116=""),"N",IF($Y116&lt;=WORKDAY(N($I116),1,calendar!$A$2:$A$80),"Y","N")))</f>
        <v/>
      </c>
      <c r="AC116" s="28">
        <f>IF(OR($A116="",$V116="",$Y116=""),"",ROUND(($Y116+N(IFERROR(IF(INDEX(photos!$F$2:$F$701,MATCH($A116&amp;"|"&amp;$B116&amp;"|placement|Y",photos!$R$2:$R$701,0))="","",INDEX(photos!$F$2:$F$701,MATCH($A116&amp;"|"&amp;$B116&amp;"|placement|Y",photos!$R$2:$R$701,0))),""))-$V116)*24,1))</f>
        <v/>
      </c>
      <c r="AD116" s="25">
        <f>IF($A116="","",SUMIFS(inventory!$G$2:$G$801,inventory!$C$2:$C$801,$A116,inventory!$D$2:$D$801,$B116,inventory!$E$2:$E$801,"topped_up"))</f>
        <v/>
      </c>
      <c r="AE116" s="25">
        <f>IF($A116="","",IF(COUNTIFS(counts!$C$2:$C$701,$A116,counts!$D$2:$D$701,$B116,counts!$E$2:$E$701,"remaining_day3")=0,"",SUMIFS(counts!$F$2:$F$701,counts!$C$2:$C$701,$A116,counts!$D$2:$D$701,$B116,counts!$E$2:$E$701,"remaining_day3")))</f>
        <v/>
      </c>
      <c r="AF116" s="25">
        <f>IF($A116="","",IF(COUNTIFS(counts!$C$2:$C$701,$A116,counts!$D$2:$D$701,$B116,counts!$E$2:$E$701,"remaining_day5")=0,"",SUMIFS(counts!$F$2:$F$701,counts!$C$2:$C$701,$A116,counts!$D$2:$D$701,$B116,counts!$E$2:$E$701,"remaining_day5")))</f>
        <v/>
      </c>
      <c r="AG116" s="25">
        <f>IF(OR($A116="",$AF116=""),"",MAX(0,$AA116+$AD116-$AF116))</f>
        <v/>
      </c>
      <c r="AH116" s="25">
        <f>IF(OR($A116="",$AI116=""),"",IFERROR(IF(INDEX(photos!$H$2:$H$701,MATCH($A116&amp;"|"&amp;$B116&amp;"|later|Y|"&amp;$AI116,photos!$S$2:$S$701,0))="","",INDEX(photos!$H$2:$H$701,MATCH($A116&amp;"|"&amp;$B116&amp;"|later|Y|"&amp;$AI116,photos!$S$2:$S$701,0))),""))</f>
        <v/>
      </c>
      <c r="AI116" s="26">
        <f>IF($A116="","",IFERROR(1/(1/SUMPRODUCT(MAX((photos!$B$2:$B$701=$A116)*(photos!$C$2:$C$701=$B116)*(photos!$D$2:$D$701="later")*(photos!$O$2:$O$701="Y")*photos!$E$2:$E$701))),""))</f>
        <v/>
      </c>
      <c r="AJ116" s="25">
        <f>IF(OR($A116="",$AI116="",$I116=""),"",NETWORKDAYS($I116,$AI116,calendar!$A$2:$A$80))</f>
        <v/>
      </c>
      <c r="AK116" s="25">
        <f>IF($A116="","",IF(AND($X116&lt;&gt;"",$AH116&lt;&gt;""),"Y","N"))</f>
        <v/>
      </c>
      <c r="AL116" s="25">
        <f>IF(OR($A116="",$I116=""),"",IF($BC116="Y",SUMIFS(survey_frozen!$C$2:$C$251,survey_frozen!$P$2:$P$251,$A116&amp;"|"&amp;$B116),IFERROR(COUNTIFS(INDIRECT("'"&amp;$A116&amp;"'!$B$2:$B$501"),$T116,INDIRECT("'"&amp;$A116&amp;"'!$A$2:$A$501"),"&gt;="&amp;$I116,INDIRECT("'"&amp;$A116&amp;"'!$A$2:$A$501"),"&lt;"&amp;($BA116+1)),0)))</f>
        <v/>
      </c>
      <c r="AM116" s="25">
        <f>IF(OR($A116="",$I116=""),"",IF($BC116="Y",SUMIFS(survey_frozen!$D$2:$D$251,survey_frozen!$P$2:$P$251,$A116&amp;"|"&amp;$B116),IFERROR(COUNTIFS(INDIRECT("'"&amp;$A116&amp;"'!$B$2:$B$501"),$T116,INDIRECT("'"&amp;$A116&amp;"'!$A$2:$A$501"),"&gt;="&amp;$I116,INDIRECT("'"&amp;$A116&amp;"'!$A$2:$A$501"),"&lt;"&amp;($BA116+1),INDIRECT("'"&amp;$A116&amp;"'!$C$2:$C$501"),"Yes"),0)))</f>
        <v/>
      </c>
      <c r="AN116" s="25">
        <f>IF($A116="","",IF(COUNTIFS(scans!$C$2:$C$1601,(IF(LEFT($A116,7)="SAMPLE-","SAMPLE-","")&amp;LOWER(SUBSTITUTE(SUBSTITUTE($A116,"SAMPLE-",""),"CMP-","c"))&amp;"-"&amp;LOWER(SUBSTITUTE(SUBSTITUTE($B116,"SAMPLE-",""),"O-","o"))&amp;"-q"),scans!$D$2:$D$1601,"close")=0,"",SUMPRODUCT(MAX((scans!$C$2:$C$1601=(IF(LEFT($A116,7)="SAMPLE-","SAMPLE-","")&amp;LOWER(SUBSTITUTE(SUBSTITUTE($A116,"SAMPLE-",""),"CMP-","c"))&amp;"-"&amp;LOWER(SUBSTITUTE(SUBSTITUTE($B116,"SAMPLE-",""),"O-","o"))&amp;"-q"))*(scans!$D$2:$D$1601="close")*scans!$E$2:$E$1601))-SUMPRODUCT(MAX((scans!$C$2:$C$1601=(IF(LEFT($A116,7)="SAMPLE-","SAMPLE-","")&amp;LOWER(SUBSTITUTE(SUBSTITUTE($A116,"SAMPLE-",""),"CMP-","c"))&amp;"-"&amp;LOWER(SUBSTITUTE(SUBSTITUTE($B116,"SAMPLE-",""),"O-","o"))&amp;"-q"))*(scans!$D$2:$D$1601="baseline")*scans!$E$2:$E$1601))))</f>
        <v/>
      </c>
      <c r="AO116" s="25">
        <f>IF($A116="","",IF(COUNTIFS(scans!$C$2:$C$1601,(IF(LEFT($A116,7)="SAMPLE-","SAMPLE-","")&amp;LOWER(SUBSTITUTE(SUBSTITUTE($A116,"SAMPLE-",""),"CMP-","c"))&amp;"-"&amp;LOWER(SUBSTITUTE(SUBSTITUTE($B116,"SAMPLE-",""),"O-","o"))&amp;"-p"),scans!$D$2:$D$1601,"close")=0,"",SUMPRODUCT(MAX((scans!$C$2:$C$1601=(IF(LEFT($A116,7)="SAMPLE-","SAMPLE-","")&amp;LOWER(SUBSTITUTE(SUBSTITUTE($A116,"SAMPLE-",""),"CMP-","c"))&amp;"-"&amp;LOWER(SUBSTITUTE(SUBSTITUTE($B116,"SAMPLE-",""),"O-","o"))&amp;"-p"))*(scans!$D$2:$D$1601="close")*scans!$E$2:$E$1601))-SUMPRODUCT(MAX((scans!$C$2:$C$1601=(IF(LEFT($A116,7)="SAMPLE-","SAMPLE-","")&amp;LOWER(SUBSTITUTE(SUBSTITUTE($A116,"SAMPLE-",""),"CMP-","c"))&amp;"-"&amp;LOWER(SUBSTITUTE(SUBSTITUTE($B116,"SAMPLE-",""),"O-","o"))&amp;"-p"))*(scans!$D$2:$D$1601="baseline")*scans!$E$2:$E$1601))))</f>
        <v/>
      </c>
      <c r="AP116" s="25">
        <f>IF($A116="","",IF(COUNTIF(offices!$A$2:$A$61,$B116)=0,"office_id not on offices; ","")&amp;IF(COUNTIF(campaigns!$A$2:$A$51,$A116)=0,"campaign_id not on campaigns; ","")&amp;IF($P116="pending","approval pending; ","")&amp;IF(AND($U116&gt;0,$Y116="",OR($I116="",IF(config!$B$37&lt;&gt;"",config!$B$37,TODAY())&lt;=WORKDAY(N($I116),4,calendar!$A$2:$A$80))),"no usable placement photo yet; ","")&amp;IF(AND($Y116&lt;&gt;"",$Z116=""),"log the placed count; ","")&amp;IF(N($AA116)&gt;N($U116),"placed more than delivered; ","")&amp;IF(AND($AF116&lt;&gt;"",N($AF116)&gt;N($AA116)+N($AD116)),"day-5 count above placed plus top-ups; ","")&amp;IF(AND($U116&gt;0,$I116&lt;&gt;"",IF(config!$B$37&lt;&gt;"",config!$B$37,TODAY())&gt;WORKDAY(N($I116),4,calendar!$A$2:$A$80),$AF116=""),"day-5 count missing; ","")&amp;IF(AND($U116&gt;0,$I116&lt;&gt;"",IF(config!$B$37&lt;&gt;"",config!$B$37,TODAY())&gt;WORKDAY(N($I116),4,calendar!$A$2:$A$80),$AN116=""),"no close link reading; ","")&amp;$R116&amp;IF($P116="N","info: office said no; ","")&amp;IF(AND($P116="Y",$Q116="N"),"info: turned away at the door, so not on the drop (no letter, not in the report or Gate 2; the credit check is on campaigns); ","")&amp;IF(AND($U116&gt;0,$Y116="",$I116&lt;&gt;"",IF(config!$B$37&lt;&gt;"",config!$B$37,TODAY())&gt;WORKDAY(N($I116),4,calendar!$A$2:$A$80)),"info: no usable placement photo, so nothing counts as placed; ","")&amp;IF(AND($U116&gt;0,$I116&lt;&gt;"",IF(config!$B$37&lt;&gt;"",config!$B$37,TODAY())&gt;WORKDAY(N($I116),4,calendar!$A$2:$A$80),N($AL116)&lt;config!$B$30),"info: under "&amp;config!$B$30&amp;" responses; ","")&amp;IF($W116="packing_list","info: delivered count not verified; ",""))</f>
        <v/>
      </c>
      <c r="AQ116" s="25">
        <f>IF(OR($A116="",$I116=""),"",IF($BC116="Y",SUMIFS(survey_frozen!$E$2:$E$251,survey_frozen!$P$2:$P$251,$A116&amp;"|"&amp;$B116),IFERROR(COUNTIFS(INDIRECT("'"&amp;$A116&amp;"'!$B$2:$B$501"),$T116,INDIRECT("'"&amp;$A116&amp;"'!$A$2:$A$501"),"&gt;="&amp;$I116,INDIRECT("'"&amp;$A116&amp;"'!$A$2:$A$501"),"&lt;"&amp;($BA116+1),INDIRECT("'"&amp;$A116&amp;"'!$F$2:$F$501"),"Didn't see it"),0)))</f>
        <v/>
      </c>
      <c r="AR116" s="25">
        <f>IF(OR($A116="",$I116=""),"",IF($BC116="Y",SUMIFS(survey_frozen!$F$2:$F$251,survey_frozen!$P$2:$P$251,$A116&amp;"|"&amp;$B116),IFERROR(COUNTIFS(INDIRECT("'"&amp;$A116&amp;"'!$B$2:$B$501"),$T116,INDIRECT("'"&amp;$A116&amp;"'!$A$2:$A$501"),"&gt;="&amp;$I116,INDIRECT("'"&amp;$A116&amp;"'!$A$2:$A$501"),"&lt;"&amp;($BA116+1),INDIRECT("'"&amp;$A116&amp;"'!$F$2:$F$501"),"Not for me"),0)))</f>
        <v/>
      </c>
      <c r="AS116" s="25">
        <f>IF(OR($A116="",$I116=""),"",IF($BC116="Y",SUMIFS(survey_frozen!$G$2:$G$251,survey_frozen!$P$2:$P$251,$A116&amp;"|"&amp;$B116),IFERROR(COUNTIFS(INDIRECT("'"&amp;$A116&amp;"'!$B$2:$B$501"),$T116,INDIRECT("'"&amp;$A116&amp;"'!$A$2:$A$501"),"&gt;="&amp;$I116,INDIRECT("'"&amp;$A116&amp;"'!$A$2:$A$501"),"&lt;"&amp;($BA116+1),INDIRECT("'"&amp;$A116&amp;"'!$F$2:$F$501"),"Gone by the time I looked"),0)))</f>
        <v/>
      </c>
      <c r="AT116" s="25">
        <f>IF(OR($A116="",$I116=""),"",IF($BC116="Y",SUMIFS(survey_frozen!$H$2:$H$251,survey_frozen!$P$2:$P$251,$A116&amp;"|"&amp;$B116),IFERROR(COUNTIFS(INDIRECT("'"&amp;$A116&amp;"'!$B$2:$B$501"),$T116,INDIRECT("'"&amp;$A116&amp;"'!$A$2:$A$501"),"&gt;="&amp;$I116,INDIRECT("'"&amp;$A116&amp;"'!$A$2:$A$501"),"&lt;"&amp;($BA116+1),INDIRECT("'"&amp;$A116&amp;"'!$D$2:$D$501"),"&gt;=1"),0)))</f>
        <v/>
      </c>
      <c r="AU116" s="25">
        <f>IF(OR($A116="",$I116=""),"",IF($BC116="Y",SUMIFS(survey_frozen!$I$2:$I$251,survey_frozen!$P$2:$P$251,$A116&amp;"|"&amp;$B116),IFERROR(SUMIFS(INDIRECT("'"&amp;$A116&amp;"'!$D$2:$D$501"),INDIRECT("'"&amp;$A116&amp;"'!$B$2:$B$501"),$T116,INDIRECT("'"&amp;$A116&amp;"'!$A$2:$A$501"),"&gt;="&amp;$I116,INDIRECT("'"&amp;$A116&amp;"'!$A$2:$A$501"),"&lt;"&amp;($BA116+1)),0)))</f>
        <v/>
      </c>
      <c r="AV116" s="25">
        <f>IF(OR($A116="",$I116=""),"",IF($BC116="Y",SUMIFS(survey_frozen!$J$2:$J$251,survey_frozen!$P$2:$P$251,$A116&amp;"|"&amp;$B116),IFERROR(COUNTIFS(INDIRECT("'"&amp;$A116&amp;"'!$B$2:$B$501"),$T116,INDIRECT("'"&amp;$A116&amp;"'!$A$2:$A$501"),"&gt;="&amp;$I116,INDIRECT("'"&amp;$A116&amp;"'!$A$2:$A$501"),"&lt;"&amp;($BA116+1),INDIRECT("'"&amp;$A116&amp;"'!$E$2:$E$501"),"Yes"),0)))</f>
        <v/>
      </c>
      <c r="AW116" s="25">
        <f>IF(OR($A116="",$I116=""),"",IF($BC116="Y",SUMIFS(survey_frozen!$K$2:$K$251,survey_frozen!$P$2:$P$251,$A116&amp;"|"&amp;$B116),IFERROR(COUNTIFS(INDIRECT("'"&amp;$A116&amp;"'!$B$2:$B$501"),$T116,INDIRECT("'"&amp;$A116&amp;"'!$A$2:$A$501"),"&gt;="&amp;$I116,INDIRECT("'"&amp;$A116&amp;"'!$A$2:$A$501"),"&lt;"&amp;($BA116+1),INDIRECT("'"&amp;$A116&amp;"'!$E$2:$E$501"),"Maybe"),0)))</f>
        <v/>
      </c>
      <c r="AX116" s="25">
        <f>IF(OR($A116="",$I116=""),"",IF($BC116="Y",SUMIFS(survey_frozen!$L$2:$L$251,survey_frozen!$P$2:$P$251,$A116&amp;"|"&amp;$B116),IFERROR(COUNTIFS(INDIRECT("'"&amp;$A116&amp;"'!$B$2:$B$501"),$T116,INDIRECT("'"&amp;$A116&amp;"'!$A$2:$A$501"),"&gt;="&amp;$I116,INDIRECT("'"&amp;$A116&amp;"'!$A$2:$A$501"),"&lt;"&amp;($BA116+1),INDIRECT("'"&amp;$A116&amp;"'!$E$2:$E$501"),"No"),0)))</f>
        <v/>
      </c>
      <c r="AY116" s="25">
        <f>IF(OR($A116="",$I116=""),"",IF($BC116="Y",SUMIFS(survey_frozen!$M$2:$M$251,survey_frozen!$P$2:$P$251,$A116&amp;"|"&amp;$B116),IFERROR(COUNTIFS(INDIRECT("'"&amp;$A116&amp;"'!$B$2:$B$501"),$T116,INDIRECT("'"&amp;$A116&amp;"'!$A$2:$A$501"),"&gt;="&amp;$I116,INDIRECT("'"&amp;$A116&amp;"'!$A$2:$A$501"),"&lt;"&amp;($BA116+1),INDIRECT("'"&amp;$A116&amp;"'!$G$2:$G$501"),"&lt;&gt;"),0)))</f>
        <v/>
      </c>
      <c r="AZ116" s="25">
        <f>IF($A116="","",$A116&amp;"|"&amp;$L116)</f>
        <v/>
      </c>
      <c r="BA116" s="26">
        <f>IF($A116="","",IFERROR(IF(INDEX(drops!$R$2:$R$21,MATCH($H116,drops!$A$2:$A$21,0))="","",INDEX(drops!$R$2:$R$21,MATCH($H116,drops!$A$2:$A$21,0))),""))</f>
        <v/>
      </c>
      <c r="BB116" s="25">
        <f>IF(OR($A116="",$Q116&lt;&gt;"Y"),1000000,N($AL116))</f>
        <v/>
      </c>
      <c r="BC116" s="25">
        <f>IF($A116="","",IF(COUNTIF(survey_frozen!$P$2:$P$251,$A116&amp;"|"&amp;$B116)&gt;0,"Y",""))</f>
        <v/>
      </c>
    </row>
    <row r="117">
      <c r="C117" s="9" t="n"/>
      <c r="E117" s="9" t="n"/>
      <c r="H117" s="25">
        <f>IF($A117="","",IFERROR(IF(INDEX(campaigns!$B$2:$B$51,MATCH($A117,campaigns!$A$2:$A$51,0))="","",INDEX(campaigns!$B$2:$B$51,MATCH($A117,campaigns!$A$2:$A$51,0))),""))</f>
        <v/>
      </c>
      <c r="I117" s="26">
        <f>IF($A117="","",IFERROR(IF(INDEX(campaigns!$BG$2:$BG$51,MATCH($A117,campaigns!$A$2:$A$51,0))="","",INDEX(campaigns!$BG$2:$BG$51,MATCH($A117,campaigns!$A$2:$A$51,0))),""))</f>
        <v/>
      </c>
      <c r="J117" s="25">
        <f>IF($A117="","",IFERROR(IF(INDEX(campaigns!$BE$2:$BE$51,MATCH($A117,campaigns!$A$2:$A$51,0))="","",INDEX(campaigns!$BE$2:$BE$51,MATCH($A117,campaigns!$A$2:$A$51,0))),""))</f>
        <v/>
      </c>
      <c r="K117" s="25">
        <f>IF($B117="","",IFERROR(IF(INDEX(offices!$N$2:$N$61,MATCH($B117,offices!$A$2:$A$61,0))="","",INDEX(offices!$N$2:$N$61,MATCH($B117,offices!$A$2:$A$61,0))),""))</f>
        <v/>
      </c>
      <c r="L117" s="25">
        <f>IF($A117="","",IF($Q117="N","",COUNTIFS($A$2:$A117,$A117,$Q$2:$Q117,"&lt;&gt;N")))</f>
        <v/>
      </c>
      <c r="M117" s="25">
        <f>IF(OR($A117="",$L117=""),"",IF(AND(config!$B$34="names_if_public",IFERROR(IF(INDEX(offices!$AF$2:$AF$61,MATCH($B117,offices!$A$2:$A$61,0))="","",INDEX(offices!$AF$2:$AF$61,MATCH($B117,offices!$A$2:$A$61,0))),"")="Y"),$K117,CHAR(64+$L117)))</f>
        <v/>
      </c>
      <c r="N117" s="25">
        <f>IF(OR($A117="",$I117=""),"",COUNTIFS(stops!$B$2:$B$151,$B117,stops!$P$2:$P$151,"&lt;"&amp;$I117,stops!$L$2:$L$151,"&lt;&gt;not_delivered")+1)</f>
        <v/>
      </c>
      <c r="O117" s="25">
        <f>IF($A117="","",IF(N($N117)&lt;=config!$B$29,"explicit","opt-out"))</f>
        <v/>
      </c>
      <c r="P117" s="25">
        <f>IF($A117="","",IF($O117="explicit",IF($D117="yes","Y",IF($D117="no","N","pending")),IF($D117="no","N",IF(AND($C117&lt;&gt;"",$I117&lt;&gt;"",$C117&lt;=WORKDAY(N($I117),-5,calendar!$A$2:$A$80)),"Y","pending"))))</f>
        <v/>
      </c>
      <c r="Q117" s="25">
        <f>IF($A117="","",IF($P117="N","N",IF($P117&lt;&gt;"Y","pending",IF(AND((COUNTIFS(stops!$A$2:$A$151,$H117,stops!$B$2:$B$151,$B117,stops!$L$2:$L$151,"declined")+COUNTIFS(stops!$A$2:$A$151,$H117,stops!$B$2:$B$151,$B117,stops!$L$2:$L$151,"building_refused")+COUNTIFS(stops!$A$2:$A$151,$H117,stops!$B$2:$B$151,$B117,stops!$L$2:$L$151,"not_delivered"))&gt;0,N($U117)=0),"N","Y"))))</f>
        <v/>
      </c>
      <c r="R117" s="25">
        <f>IF($A117="","",IF(COUNTIFS($A$2:$A$251,$A117,$B$2:$B$251,$B117)&gt;1,"DUPLICATE ROW; ","")&amp;IF(AND(IFERROR(IF(INDEX(offices!$AC$2:$AC$61,MATCH($B117,offices!$A$2:$A$61,0))="","",INDEX(offices!$AC$2:$AC$61,MATCH($B117,offices!$A$2:$A$61,0))),"")&lt;&gt;"",ISNUMBER(SEARCH($J117,IFERROR(IF(INDEX(offices!$AC$2:$AC$61,MATCH($B117,offices!$A$2:$A$61,0))="","",INDEX(offices!$AC$2:$AC$61,MATCH($B117,offices!$A$2:$A$61,0))),"")))),"BRAND VETOED; ","")&amp;IF(ISNUMBER(SEARCH(IFERROR(IF(INDEX(campaigns!$BF$2:$BF$51,MATCH($A117,campaigns!$A$2:$A$51,0))="","",INDEX(campaigns!$BF$2:$BF$51,MATCH($A117,campaigns!$A$2:$A$51,0))),""),IFERROR(IF(INDEX(offices!$AB$2:$AB$61,MATCH($B117,offices!$A$2:$A$61,0))="","",INDEX(offices!$AB$2:$AB$61,MATCH($B117,offices!$A$2:$A$61,0))),""))),"","info: category not on the office's list; ")&amp;IF(IFERROR(IF(INDEX(offices!$AC$2:$AC$61,MATCH($B117,offices!$A$2:$A$61,0))="","",INDEX(offices!$AC$2:$AC$61,MATCH($B117,offices!$A$2:$A$61,0))),"")&lt;&gt;"","info: read the vetoes against the label; ",""))</f>
        <v/>
      </c>
      <c r="S117" s="25">
        <f>IF($A117="","",IF($G117&lt;&gt;"",$G117,IFERROR(IF(INDEX(offices!$AL$2:$AL$61,MATCH($B117,offices!$A$2:$A$61,0))="","",INDEX(offices!$AL$2:$AL$61,MATCH($B117,offices!$A$2:$A$61,0))),"")))</f>
        <v/>
      </c>
      <c r="T117" s="25">
        <f>IF($A117="","",$A117&amp;"."&amp;$B117)</f>
        <v/>
      </c>
      <c r="U117" s="25">
        <f>IF($A117="","",SUMIFS(inventory!$G$2:$G$801,inventory!$C$2:$C$801,$A117,inventory!$D$2:$D$801,$B117,inventory!$E$2:$E$801,"delivered"))</f>
        <v/>
      </c>
      <c r="V117" s="32">
        <f>IF($A117="","",IFERROR(1/(1/SUMPRODUCT(MAX((inventory!$C$2:$C$801=$A117)*(inventory!$D$2:$D$801=$B117)*(inventory!$E$2:$E$801="delivered")*(inventory!$A$2:$A$801+inventory!$B$2:$B$801)))),""))</f>
        <v/>
      </c>
      <c r="W117" s="25">
        <f>IF($A117="","",IFERROR(IF(INDEX(inventory!$J$2:$J$801,MATCH($A117&amp;"|"&amp;$B117&amp;"|delivered",inventory!$R$2:$R$801,0))="","",INDEX(inventory!$J$2:$J$801,MATCH($A117&amp;"|"&amp;$B117&amp;"|delivered",inventory!$R$2:$R$801,0))),""))</f>
        <v/>
      </c>
      <c r="X117" s="25">
        <f>IF($A117="","",IFERROR(IF(INDEX(photos!$H$2:$H$701,MATCH($A117&amp;"|"&amp;$B117&amp;"|placement|Y",photos!$R$2:$R$701,0))="","",INDEX(photos!$H$2:$H$701,MATCH($A117&amp;"|"&amp;$B117&amp;"|placement|Y",photos!$R$2:$R$701,0))),""))</f>
        <v/>
      </c>
      <c r="Y117" s="26">
        <f>IF($A117="","",IFERROR(IF(INDEX(photos!$E$2:$E$701,MATCH($A117&amp;"|"&amp;$B117&amp;"|placement|Y",photos!$R$2:$R$701,0))="","",INDEX(photos!$E$2:$E$701,MATCH($A117&amp;"|"&amp;$B117&amp;"|placement|Y",photos!$R$2:$R$701,0))),""))</f>
        <v/>
      </c>
      <c r="Z117" s="25">
        <f>IF($A117="","",IF(COUNTIFS(counts!$C$2:$C$701,$A117,counts!$D$2:$D$701,$B117,counts!$E$2:$E$701,"placed")=0,"",SUMIFS(counts!$F$2:$F$701,counts!$C$2:$C$701,$A117,counts!$D$2:$D$701,$B117,counts!$E$2:$E$701,"placed")))</f>
        <v/>
      </c>
      <c r="AA117" s="25">
        <f>IF($A117="","",IF($Y117="",0,N($Z117)))</f>
        <v/>
      </c>
      <c r="AB117" s="25">
        <f>IF($A117="","",IF(OR($Y117="",$I117=""),"N",IF($Y117&lt;=WORKDAY(N($I117),1,calendar!$A$2:$A$80),"Y","N")))</f>
        <v/>
      </c>
      <c r="AC117" s="28">
        <f>IF(OR($A117="",$V117="",$Y117=""),"",ROUND(($Y117+N(IFERROR(IF(INDEX(photos!$F$2:$F$701,MATCH($A117&amp;"|"&amp;$B117&amp;"|placement|Y",photos!$R$2:$R$701,0))="","",INDEX(photos!$F$2:$F$701,MATCH($A117&amp;"|"&amp;$B117&amp;"|placement|Y",photos!$R$2:$R$701,0))),""))-$V117)*24,1))</f>
        <v/>
      </c>
      <c r="AD117" s="25">
        <f>IF($A117="","",SUMIFS(inventory!$G$2:$G$801,inventory!$C$2:$C$801,$A117,inventory!$D$2:$D$801,$B117,inventory!$E$2:$E$801,"topped_up"))</f>
        <v/>
      </c>
      <c r="AE117" s="25">
        <f>IF($A117="","",IF(COUNTIFS(counts!$C$2:$C$701,$A117,counts!$D$2:$D$701,$B117,counts!$E$2:$E$701,"remaining_day3")=0,"",SUMIFS(counts!$F$2:$F$701,counts!$C$2:$C$701,$A117,counts!$D$2:$D$701,$B117,counts!$E$2:$E$701,"remaining_day3")))</f>
        <v/>
      </c>
      <c r="AF117" s="25">
        <f>IF($A117="","",IF(COUNTIFS(counts!$C$2:$C$701,$A117,counts!$D$2:$D$701,$B117,counts!$E$2:$E$701,"remaining_day5")=0,"",SUMIFS(counts!$F$2:$F$701,counts!$C$2:$C$701,$A117,counts!$D$2:$D$701,$B117,counts!$E$2:$E$701,"remaining_day5")))</f>
        <v/>
      </c>
      <c r="AG117" s="25">
        <f>IF(OR($A117="",$AF117=""),"",MAX(0,$AA117+$AD117-$AF117))</f>
        <v/>
      </c>
      <c r="AH117" s="25">
        <f>IF(OR($A117="",$AI117=""),"",IFERROR(IF(INDEX(photos!$H$2:$H$701,MATCH($A117&amp;"|"&amp;$B117&amp;"|later|Y|"&amp;$AI117,photos!$S$2:$S$701,0))="","",INDEX(photos!$H$2:$H$701,MATCH($A117&amp;"|"&amp;$B117&amp;"|later|Y|"&amp;$AI117,photos!$S$2:$S$701,0))),""))</f>
        <v/>
      </c>
      <c r="AI117" s="26">
        <f>IF($A117="","",IFERROR(1/(1/SUMPRODUCT(MAX((photos!$B$2:$B$701=$A117)*(photos!$C$2:$C$701=$B117)*(photos!$D$2:$D$701="later")*(photos!$O$2:$O$701="Y")*photos!$E$2:$E$701))),""))</f>
        <v/>
      </c>
      <c r="AJ117" s="25">
        <f>IF(OR($A117="",$AI117="",$I117=""),"",NETWORKDAYS($I117,$AI117,calendar!$A$2:$A$80))</f>
        <v/>
      </c>
      <c r="AK117" s="25">
        <f>IF($A117="","",IF(AND($X117&lt;&gt;"",$AH117&lt;&gt;""),"Y","N"))</f>
        <v/>
      </c>
      <c r="AL117" s="25">
        <f>IF(OR($A117="",$I117=""),"",IF($BC117="Y",SUMIFS(survey_frozen!$C$2:$C$251,survey_frozen!$P$2:$P$251,$A117&amp;"|"&amp;$B117),IFERROR(COUNTIFS(INDIRECT("'"&amp;$A117&amp;"'!$B$2:$B$501"),$T117,INDIRECT("'"&amp;$A117&amp;"'!$A$2:$A$501"),"&gt;="&amp;$I117,INDIRECT("'"&amp;$A117&amp;"'!$A$2:$A$501"),"&lt;"&amp;($BA117+1)),0)))</f>
        <v/>
      </c>
      <c r="AM117" s="25">
        <f>IF(OR($A117="",$I117=""),"",IF($BC117="Y",SUMIFS(survey_frozen!$D$2:$D$251,survey_frozen!$P$2:$P$251,$A117&amp;"|"&amp;$B117),IFERROR(COUNTIFS(INDIRECT("'"&amp;$A117&amp;"'!$B$2:$B$501"),$T117,INDIRECT("'"&amp;$A117&amp;"'!$A$2:$A$501"),"&gt;="&amp;$I117,INDIRECT("'"&amp;$A117&amp;"'!$A$2:$A$501"),"&lt;"&amp;($BA117+1),INDIRECT("'"&amp;$A117&amp;"'!$C$2:$C$501"),"Yes"),0)))</f>
        <v/>
      </c>
      <c r="AN117" s="25">
        <f>IF($A117="","",IF(COUNTIFS(scans!$C$2:$C$1601,(IF(LEFT($A117,7)="SAMPLE-","SAMPLE-","")&amp;LOWER(SUBSTITUTE(SUBSTITUTE($A117,"SAMPLE-",""),"CMP-","c"))&amp;"-"&amp;LOWER(SUBSTITUTE(SUBSTITUTE($B117,"SAMPLE-",""),"O-","o"))&amp;"-q"),scans!$D$2:$D$1601,"close")=0,"",SUMPRODUCT(MAX((scans!$C$2:$C$1601=(IF(LEFT($A117,7)="SAMPLE-","SAMPLE-","")&amp;LOWER(SUBSTITUTE(SUBSTITUTE($A117,"SAMPLE-",""),"CMP-","c"))&amp;"-"&amp;LOWER(SUBSTITUTE(SUBSTITUTE($B117,"SAMPLE-",""),"O-","o"))&amp;"-q"))*(scans!$D$2:$D$1601="close")*scans!$E$2:$E$1601))-SUMPRODUCT(MAX((scans!$C$2:$C$1601=(IF(LEFT($A117,7)="SAMPLE-","SAMPLE-","")&amp;LOWER(SUBSTITUTE(SUBSTITUTE($A117,"SAMPLE-",""),"CMP-","c"))&amp;"-"&amp;LOWER(SUBSTITUTE(SUBSTITUTE($B117,"SAMPLE-",""),"O-","o"))&amp;"-q"))*(scans!$D$2:$D$1601="baseline")*scans!$E$2:$E$1601))))</f>
        <v/>
      </c>
      <c r="AO117" s="25">
        <f>IF($A117="","",IF(COUNTIFS(scans!$C$2:$C$1601,(IF(LEFT($A117,7)="SAMPLE-","SAMPLE-","")&amp;LOWER(SUBSTITUTE(SUBSTITUTE($A117,"SAMPLE-",""),"CMP-","c"))&amp;"-"&amp;LOWER(SUBSTITUTE(SUBSTITUTE($B117,"SAMPLE-",""),"O-","o"))&amp;"-p"),scans!$D$2:$D$1601,"close")=0,"",SUMPRODUCT(MAX((scans!$C$2:$C$1601=(IF(LEFT($A117,7)="SAMPLE-","SAMPLE-","")&amp;LOWER(SUBSTITUTE(SUBSTITUTE($A117,"SAMPLE-",""),"CMP-","c"))&amp;"-"&amp;LOWER(SUBSTITUTE(SUBSTITUTE($B117,"SAMPLE-",""),"O-","o"))&amp;"-p"))*(scans!$D$2:$D$1601="close")*scans!$E$2:$E$1601))-SUMPRODUCT(MAX((scans!$C$2:$C$1601=(IF(LEFT($A117,7)="SAMPLE-","SAMPLE-","")&amp;LOWER(SUBSTITUTE(SUBSTITUTE($A117,"SAMPLE-",""),"CMP-","c"))&amp;"-"&amp;LOWER(SUBSTITUTE(SUBSTITUTE($B117,"SAMPLE-",""),"O-","o"))&amp;"-p"))*(scans!$D$2:$D$1601="baseline")*scans!$E$2:$E$1601))))</f>
        <v/>
      </c>
      <c r="AP117" s="25">
        <f>IF($A117="","",IF(COUNTIF(offices!$A$2:$A$61,$B117)=0,"office_id not on offices; ","")&amp;IF(COUNTIF(campaigns!$A$2:$A$51,$A117)=0,"campaign_id not on campaigns; ","")&amp;IF($P117="pending","approval pending; ","")&amp;IF(AND($U117&gt;0,$Y117="",OR($I117="",IF(config!$B$37&lt;&gt;"",config!$B$37,TODAY())&lt;=WORKDAY(N($I117),4,calendar!$A$2:$A$80))),"no usable placement photo yet; ","")&amp;IF(AND($Y117&lt;&gt;"",$Z117=""),"log the placed count; ","")&amp;IF(N($AA117)&gt;N($U117),"placed more than delivered; ","")&amp;IF(AND($AF117&lt;&gt;"",N($AF117)&gt;N($AA117)+N($AD117)),"day-5 count above placed plus top-ups; ","")&amp;IF(AND($U117&gt;0,$I117&lt;&gt;"",IF(config!$B$37&lt;&gt;"",config!$B$37,TODAY())&gt;WORKDAY(N($I117),4,calendar!$A$2:$A$80),$AF117=""),"day-5 count missing; ","")&amp;IF(AND($U117&gt;0,$I117&lt;&gt;"",IF(config!$B$37&lt;&gt;"",config!$B$37,TODAY())&gt;WORKDAY(N($I117),4,calendar!$A$2:$A$80),$AN117=""),"no close link reading; ","")&amp;$R117&amp;IF($P117="N","info: office said no; ","")&amp;IF(AND($P117="Y",$Q117="N"),"info: turned away at the door, so not on the drop (no letter, not in the report or Gate 2; the credit check is on campaigns); ","")&amp;IF(AND($U117&gt;0,$Y117="",$I117&lt;&gt;"",IF(config!$B$37&lt;&gt;"",config!$B$37,TODAY())&gt;WORKDAY(N($I117),4,calendar!$A$2:$A$80)),"info: no usable placement photo, so nothing counts as placed; ","")&amp;IF(AND($U117&gt;0,$I117&lt;&gt;"",IF(config!$B$37&lt;&gt;"",config!$B$37,TODAY())&gt;WORKDAY(N($I117),4,calendar!$A$2:$A$80),N($AL117)&lt;config!$B$30),"info: under "&amp;config!$B$30&amp;" responses; ","")&amp;IF($W117="packing_list","info: delivered count not verified; ",""))</f>
        <v/>
      </c>
      <c r="AQ117" s="25">
        <f>IF(OR($A117="",$I117=""),"",IF($BC117="Y",SUMIFS(survey_frozen!$E$2:$E$251,survey_frozen!$P$2:$P$251,$A117&amp;"|"&amp;$B117),IFERROR(COUNTIFS(INDIRECT("'"&amp;$A117&amp;"'!$B$2:$B$501"),$T117,INDIRECT("'"&amp;$A117&amp;"'!$A$2:$A$501"),"&gt;="&amp;$I117,INDIRECT("'"&amp;$A117&amp;"'!$A$2:$A$501"),"&lt;"&amp;($BA117+1),INDIRECT("'"&amp;$A117&amp;"'!$F$2:$F$501"),"Didn't see it"),0)))</f>
        <v/>
      </c>
      <c r="AR117" s="25">
        <f>IF(OR($A117="",$I117=""),"",IF($BC117="Y",SUMIFS(survey_frozen!$F$2:$F$251,survey_frozen!$P$2:$P$251,$A117&amp;"|"&amp;$B117),IFERROR(COUNTIFS(INDIRECT("'"&amp;$A117&amp;"'!$B$2:$B$501"),$T117,INDIRECT("'"&amp;$A117&amp;"'!$A$2:$A$501"),"&gt;="&amp;$I117,INDIRECT("'"&amp;$A117&amp;"'!$A$2:$A$501"),"&lt;"&amp;($BA117+1),INDIRECT("'"&amp;$A117&amp;"'!$F$2:$F$501"),"Not for me"),0)))</f>
        <v/>
      </c>
      <c r="AS117" s="25">
        <f>IF(OR($A117="",$I117=""),"",IF($BC117="Y",SUMIFS(survey_frozen!$G$2:$G$251,survey_frozen!$P$2:$P$251,$A117&amp;"|"&amp;$B117),IFERROR(COUNTIFS(INDIRECT("'"&amp;$A117&amp;"'!$B$2:$B$501"),$T117,INDIRECT("'"&amp;$A117&amp;"'!$A$2:$A$501"),"&gt;="&amp;$I117,INDIRECT("'"&amp;$A117&amp;"'!$A$2:$A$501"),"&lt;"&amp;($BA117+1),INDIRECT("'"&amp;$A117&amp;"'!$F$2:$F$501"),"Gone by the time I looked"),0)))</f>
        <v/>
      </c>
      <c r="AT117" s="25">
        <f>IF(OR($A117="",$I117=""),"",IF($BC117="Y",SUMIFS(survey_frozen!$H$2:$H$251,survey_frozen!$P$2:$P$251,$A117&amp;"|"&amp;$B117),IFERROR(COUNTIFS(INDIRECT("'"&amp;$A117&amp;"'!$B$2:$B$501"),$T117,INDIRECT("'"&amp;$A117&amp;"'!$A$2:$A$501"),"&gt;="&amp;$I117,INDIRECT("'"&amp;$A117&amp;"'!$A$2:$A$501"),"&lt;"&amp;($BA117+1),INDIRECT("'"&amp;$A117&amp;"'!$D$2:$D$501"),"&gt;=1"),0)))</f>
        <v/>
      </c>
      <c r="AU117" s="25">
        <f>IF(OR($A117="",$I117=""),"",IF($BC117="Y",SUMIFS(survey_frozen!$I$2:$I$251,survey_frozen!$P$2:$P$251,$A117&amp;"|"&amp;$B117),IFERROR(SUMIFS(INDIRECT("'"&amp;$A117&amp;"'!$D$2:$D$501"),INDIRECT("'"&amp;$A117&amp;"'!$B$2:$B$501"),$T117,INDIRECT("'"&amp;$A117&amp;"'!$A$2:$A$501"),"&gt;="&amp;$I117,INDIRECT("'"&amp;$A117&amp;"'!$A$2:$A$501"),"&lt;"&amp;($BA117+1)),0)))</f>
        <v/>
      </c>
      <c r="AV117" s="25">
        <f>IF(OR($A117="",$I117=""),"",IF($BC117="Y",SUMIFS(survey_frozen!$J$2:$J$251,survey_frozen!$P$2:$P$251,$A117&amp;"|"&amp;$B117),IFERROR(COUNTIFS(INDIRECT("'"&amp;$A117&amp;"'!$B$2:$B$501"),$T117,INDIRECT("'"&amp;$A117&amp;"'!$A$2:$A$501"),"&gt;="&amp;$I117,INDIRECT("'"&amp;$A117&amp;"'!$A$2:$A$501"),"&lt;"&amp;($BA117+1),INDIRECT("'"&amp;$A117&amp;"'!$E$2:$E$501"),"Yes"),0)))</f>
        <v/>
      </c>
      <c r="AW117" s="25">
        <f>IF(OR($A117="",$I117=""),"",IF($BC117="Y",SUMIFS(survey_frozen!$K$2:$K$251,survey_frozen!$P$2:$P$251,$A117&amp;"|"&amp;$B117),IFERROR(COUNTIFS(INDIRECT("'"&amp;$A117&amp;"'!$B$2:$B$501"),$T117,INDIRECT("'"&amp;$A117&amp;"'!$A$2:$A$501"),"&gt;="&amp;$I117,INDIRECT("'"&amp;$A117&amp;"'!$A$2:$A$501"),"&lt;"&amp;($BA117+1),INDIRECT("'"&amp;$A117&amp;"'!$E$2:$E$501"),"Maybe"),0)))</f>
        <v/>
      </c>
      <c r="AX117" s="25">
        <f>IF(OR($A117="",$I117=""),"",IF($BC117="Y",SUMIFS(survey_frozen!$L$2:$L$251,survey_frozen!$P$2:$P$251,$A117&amp;"|"&amp;$B117),IFERROR(COUNTIFS(INDIRECT("'"&amp;$A117&amp;"'!$B$2:$B$501"),$T117,INDIRECT("'"&amp;$A117&amp;"'!$A$2:$A$501"),"&gt;="&amp;$I117,INDIRECT("'"&amp;$A117&amp;"'!$A$2:$A$501"),"&lt;"&amp;($BA117+1),INDIRECT("'"&amp;$A117&amp;"'!$E$2:$E$501"),"No"),0)))</f>
        <v/>
      </c>
      <c r="AY117" s="25">
        <f>IF(OR($A117="",$I117=""),"",IF($BC117="Y",SUMIFS(survey_frozen!$M$2:$M$251,survey_frozen!$P$2:$P$251,$A117&amp;"|"&amp;$B117),IFERROR(COUNTIFS(INDIRECT("'"&amp;$A117&amp;"'!$B$2:$B$501"),$T117,INDIRECT("'"&amp;$A117&amp;"'!$A$2:$A$501"),"&gt;="&amp;$I117,INDIRECT("'"&amp;$A117&amp;"'!$A$2:$A$501"),"&lt;"&amp;($BA117+1),INDIRECT("'"&amp;$A117&amp;"'!$G$2:$G$501"),"&lt;&gt;"),0)))</f>
        <v/>
      </c>
      <c r="AZ117" s="25">
        <f>IF($A117="","",$A117&amp;"|"&amp;$L117)</f>
        <v/>
      </c>
      <c r="BA117" s="26">
        <f>IF($A117="","",IFERROR(IF(INDEX(drops!$R$2:$R$21,MATCH($H117,drops!$A$2:$A$21,0))="","",INDEX(drops!$R$2:$R$21,MATCH($H117,drops!$A$2:$A$21,0))),""))</f>
        <v/>
      </c>
      <c r="BB117" s="25">
        <f>IF(OR($A117="",$Q117&lt;&gt;"Y"),1000000,N($AL117))</f>
        <v/>
      </c>
      <c r="BC117" s="25">
        <f>IF($A117="","",IF(COUNTIF(survey_frozen!$P$2:$P$251,$A117&amp;"|"&amp;$B117)&gt;0,"Y",""))</f>
        <v/>
      </c>
    </row>
    <row r="118">
      <c r="C118" s="9" t="n"/>
      <c r="E118" s="9" t="n"/>
      <c r="H118" s="25">
        <f>IF($A118="","",IFERROR(IF(INDEX(campaigns!$B$2:$B$51,MATCH($A118,campaigns!$A$2:$A$51,0))="","",INDEX(campaigns!$B$2:$B$51,MATCH($A118,campaigns!$A$2:$A$51,0))),""))</f>
        <v/>
      </c>
      <c r="I118" s="26">
        <f>IF($A118="","",IFERROR(IF(INDEX(campaigns!$BG$2:$BG$51,MATCH($A118,campaigns!$A$2:$A$51,0))="","",INDEX(campaigns!$BG$2:$BG$51,MATCH($A118,campaigns!$A$2:$A$51,0))),""))</f>
        <v/>
      </c>
      <c r="J118" s="25">
        <f>IF($A118="","",IFERROR(IF(INDEX(campaigns!$BE$2:$BE$51,MATCH($A118,campaigns!$A$2:$A$51,0))="","",INDEX(campaigns!$BE$2:$BE$51,MATCH($A118,campaigns!$A$2:$A$51,0))),""))</f>
        <v/>
      </c>
      <c r="K118" s="25">
        <f>IF($B118="","",IFERROR(IF(INDEX(offices!$N$2:$N$61,MATCH($B118,offices!$A$2:$A$61,0))="","",INDEX(offices!$N$2:$N$61,MATCH($B118,offices!$A$2:$A$61,0))),""))</f>
        <v/>
      </c>
      <c r="L118" s="25">
        <f>IF($A118="","",IF($Q118="N","",COUNTIFS($A$2:$A118,$A118,$Q$2:$Q118,"&lt;&gt;N")))</f>
        <v/>
      </c>
      <c r="M118" s="25">
        <f>IF(OR($A118="",$L118=""),"",IF(AND(config!$B$34="names_if_public",IFERROR(IF(INDEX(offices!$AF$2:$AF$61,MATCH($B118,offices!$A$2:$A$61,0))="","",INDEX(offices!$AF$2:$AF$61,MATCH($B118,offices!$A$2:$A$61,0))),"")="Y"),$K118,CHAR(64+$L118)))</f>
        <v/>
      </c>
      <c r="N118" s="25">
        <f>IF(OR($A118="",$I118=""),"",COUNTIFS(stops!$B$2:$B$151,$B118,stops!$P$2:$P$151,"&lt;"&amp;$I118,stops!$L$2:$L$151,"&lt;&gt;not_delivered")+1)</f>
        <v/>
      </c>
      <c r="O118" s="25">
        <f>IF($A118="","",IF(N($N118)&lt;=config!$B$29,"explicit","opt-out"))</f>
        <v/>
      </c>
      <c r="P118" s="25">
        <f>IF($A118="","",IF($O118="explicit",IF($D118="yes","Y",IF($D118="no","N","pending")),IF($D118="no","N",IF(AND($C118&lt;&gt;"",$I118&lt;&gt;"",$C118&lt;=WORKDAY(N($I118),-5,calendar!$A$2:$A$80)),"Y","pending"))))</f>
        <v/>
      </c>
      <c r="Q118" s="25">
        <f>IF($A118="","",IF($P118="N","N",IF($P118&lt;&gt;"Y","pending",IF(AND((COUNTIFS(stops!$A$2:$A$151,$H118,stops!$B$2:$B$151,$B118,stops!$L$2:$L$151,"declined")+COUNTIFS(stops!$A$2:$A$151,$H118,stops!$B$2:$B$151,$B118,stops!$L$2:$L$151,"building_refused")+COUNTIFS(stops!$A$2:$A$151,$H118,stops!$B$2:$B$151,$B118,stops!$L$2:$L$151,"not_delivered"))&gt;0,N($U118)=0),"N","Y"))))</f>
        <v/>
      </c>
      <c r="R118" s="25">
        <f>IF($A118="","",IF(COUNTIFS($A$2:$A$251,$A118,$B$2:$B$251,$B118)&gt;1,"DUPLICATE ROW; ","")&amp;IF(AND(IFERROR(IF(INDEX(offices!$AC$2:$AC$61,MATCH($B118,offices!$A$2:$A$61,0))="","",INDEX(offices!$AC$2:$AC$61,MATCH($B118,offices!$A$2:$A$61,0))),"")&lt;&gt;"",ISNUMBER(SEARCH($J118,IFERROR(IF(INDEX(offices!$AC$2:$AC$61,MATCH($B118,offices!$A$2:$A$61,0))="","",INDEX(offices!$AC$2:$AC$61,MATCH($B118,offices!$A$2:$A$61,0))),"")))),"BRAND VETOED; ","")&amp;IF(ISNUMBER(SEARCH(IFERROR(IF(INDEX(campaigns!$BF$2:$BF$51,MATCH($A118,campaigns!$A$2:$A$51,0))="","",INDEX(campaigns!$BF$2:$BF$51,MATCH($A118,campaigns!$A$2:$A$51,0))),""),IFERROR(IF(INDEX(offices!$AB$2:$AB$61,MATCH($B118,offices!$A$2:$A$61,0))="","",INDEX(offices!$AB$2:$AB$61,MATCH($B118,offices!$A$2:$A$61,0))),""))),"","info: category not on the office's list; ")&amp;IF(IFERROR(IF(INDEX(offices!$AC$2:$AC$61,MATCH($B118,offices!$A$2:$A$61,0))="","",INDEX(offices!$AC$2:$AC$61,MATCH($B118,offices!$A$2:$A$61,0))),"")&lt;&gt;"","info: read the vetoes against the label; ",""))</f>
        <v/>
      </c>
      <c r="S118" s="25">
        <f>IF($A118="","",IF($G118&lt;&gt;"",$G118,IFERROR(IF(INDEX(offices!$AL$2:$AL$61,MATCH($B118,offices!$A$2:$A$61,0))="","",INDEX(offices!$AL$2:$AL$61,MATCH($B118,offices!$A$2:$A$61,0))),"")))</f>
        <v/>
      </c>
      <c r="T118" s="25">
        <f>IF($A118="","",$A118&amp;"."&amp;$B118)</f>
        <v/>
      </c>
      <c r="U118" s="25">
        <f>IF($A118="","",SUMIFS(inventory!$G$2:$G$801,inventory!$C$2:$C$801,$A118,inventory!$D$2:$D$801,$B118,inventory!$E$2:$E$801,"delivered"))</f>
        <v/>
      </c>
      <c r="V118" s="32">
        <f>IF($A118="","",IFERROR(1/(1/SUMPRODUCT(MAX((inventory!$C$2:$C$801=$A118)*(inventory!$D$2:$D$801=$B118)*(inventory!$E$2:$E$801="delivered")*(inventory!$A$2:$A$801+inventory!$B$2:$B$801)))),""))</f>
        <v/>
      </c>
      <c r="W118" s="25">
        <f>IF($A118="","",IFERROR(IF(INDEX(inventory!$J$2:$J$801,MATCH($A118&amp;"|"&amp;$B118&amp;"|delivered",inventory!$R$2:$R$801,0))="","",INDEX(inventory!$J$2:$J$801,MATCH($A118&amp;"|"&amp;$B118&amp;"|delivered",inventory!$R$2:$R$801,0))),""))</f>
        <v/>
      </c>
      <c r="X118" s="25">
        <f>IF($A118="","",IFERROR(IF(INDEX(photos!$H$2:$H$701,MATCH($A118&amp;"|"&amp;$B118&amp;"|placement|Y",photos!$R$2:$R$701,0))="","",INDEX(photos!$H$2:$H$701,MATCH($A118&amp;"|"&amp;$B118&amp;"|placement|Y",photos!$R$2:$R$701,0))),""))</f>
        <v/>
      </c>
      <c r="Y118" s="26">
        <f>IF($A118="","",IFERROR(IF(INDEX(photos!$E$2:$E$701,MATCH($A118&amp;"|"&amp;$B118&amp;"|placement|Y",photos!$R$2:$R$701,0))="","",INDEX(photos!$E$2:$E$701,MATCH($A118&amp;"|"&amp;$B118&amp;"|placement|Y",photos!$R$2:$R$701,0))),""))</f>
        <v/>
      </c>
      <c r="Z118" s="25">
        <f>IF($A118="","",IF(COUNTIFS(counts!$C$2:$C$701,$A118,counts!$D$2:$D$701,$B118,counts!$E$2:$E$701,"placed")=0,"",SUMIFS(counts!$F$2:$F$701,counts!$C$2:$C$701,$A118,counts!$D$2:$D$701,$B118,counts!$E$2:$E$701,"placed")))</f>
        <v/>
      </c>
      <c r="AA118" s="25">
        <f>IF($A118="","",IF($Y118="",0,N($Z118)))</f>
        <v/>
      </c>
      <c r="AB118" s="25">
        <f>IF($A118="","",IF(OR($Y118="",$I118=""),"N",IF($Y118&lt;=WORKDAY(N($I118),1,calendar!$A$2:$A$80),"Y","N")))</f>
        <v/>
      </c>
      <c r="AC118" s="28">
        <f>IF(OR($A118="",$V118="",$Y118=""),"",ROUND(($Y118+N(IFERROR(IF(INDEX(photos!$F$2:$F$701,MATCH($A118&amp;"|"&amp;$B118&amp;"|placement|Y",photos!$R$2:$R$701,0))="","",INDEX(photos!$F$2:$F$701,MATCH($A118&amp;"|"&amp;$B118&amp;"|placement|Y",photos!$R$2:$R$701,0))),""))-$V118)*24,1))</f>
        <v/>
      </c>
      <c r="AD118" s="25">
        <f>IF($A118="","",SUMIFS(inventory!$G$2:$G$801,inventory!$C$2:$C$801,$A118,inventory!$D$2:$D$801,$B118,inventory!$E$2:$E$801,"topped_up"))</f>
        <v/>
      </c>
      <c r="AE118" s="25">
        <f>IF($A118="","",IF(COUNTIFS(counts!$C$2:$C$701,$A118,counts!$D$2:$D$701,$B118,counts!$E$2:$E$701,"remaining_day3")=0,"",SUMIFS(counts!$F$2:$F$701,counts!$C$2:$C$701,$A118,counts!$D$2:$D$701,$B118,counts!$E$2:$E$701,"remaining_day3")))</f>
        <v/>
      </c>
      <c r="AF118" s="25">
        <f>IF($A118="","",IF(COUNTIFS(counts!$C$2:$C$701,$A118,counts!$D$2:$D$701,$B118,counts!$E$2:$E$701,"remaining_day5")=0,"",SUMIFS(counts!$F$2:$F$701,counts!$C$2:$C$701,$A118,counts!$D$2:$D$701,$B118,counts!$E$2:$E$701,"remaining_day5")))</f>
        <v/>
      </c>
      <c r="AG118" s="25">
        <f>IF(OR($A118="",$AF118=""),"",MAX(0,$AA118+$AD118-$AF118))</f>
        <v/>
      </c>
      <c r="AH118" s="25">
        <f>IF(OR($A118="",$AI118=""),"",IFERROR(IF(INDEX(photos!$H$2:$H$701,MATCH($A118&amp;"|"&amp;$B118&amp;"|later|Y|"&amp;$AI118,photos!$S$2:$S$701,0))="","",INDEX(photos!$H$2:$H$701,MATCH($A118&amp;"|"&amp;$B118&amp;"|later|Y|"&amp;$AI118,photos!$S$2:$S$701,0))),""))</f>
        <v/>
      </c>
      <c r="AI118" s="26">
        <f>IF($A118="","",IFERROR(1/(1/SUMPRODUCT(MAX((photos!$B$2:$B$701=$A118)*(photos!$C$2:$C$701=$B118)*(photos!$D$2:$D$701="later")*(photos!$O$2:$O$701="Y")*photos!$E$2:$E$701))),""))</f>
        <v/>
      </c>
      <c r="AJ118" s="25">
        <f>IF(OR($A118="",$AI118="",$I118=""),"",NETWORKDAYS($I118,$AI118,calendar!$A$2:$A$80))</f>
        <v/>
      </c>
      <c r="AK118" s="25">
        <f>IF($A118="","",IF(AND($X118&lt;&gt;"",$AH118&lt;&gt;""),"Y","N"))</f>
        <v/>
      </c>
      <c r="AL118" s="25">
        <f>IF(OR($A118="",$I118=""),"",IF($BC118="Y",SUMIFS(survey_frozen!$C$2:$C$251,survey_frozen!$P$2:$P$251,$A118&amp;"|"&amp;$B118),IFERROR(COUNTIFS(INDIRECT("'"&amp;$A118&amp;"'!$B$2:$B$501"),$T118,INDIRECT("'"&amp;$A118&amp;"'!$A$2:$A$501"),"&gt;="&amp;$I118,INDIRECT("'"&amp;$A118&amp;"'!$A$2:$A$501"),"&lt;"&amp;($BA118+1)),0)))</f>
        <v/>
      </c>
      <c r="AM118" s="25">
        <f>IF(OR($A118="",$I118=""),"",IF($BC118="Y",SUMIFS(survey_frozen!$D$2:$D$251,survey_frozen!$P$2:$P$251,$A118&amp;"|"&amp;$B118),IFERROR(COUNTIFS(INDIRECT("'"&amp;$A118&amp;"'!$B$2:$B$501"),$T118,INDIRECT("'"&amp;$A118&amp;"'!$A$2:$A$501"),"&gt;="&amp;$I118,INDIRECT("'"&amp;$A118&amp;"'!$A$2:$A$501"),"&lt;"&amp;($BA118+1),INDIRECT("'"&amp;$A118&amp;"'!$C$2:$C$501"),"Yes"),0)))</f>
        <v/>
      </c>
      <c r="AN118" s="25">
        <f>IF($A118="","",IF(COUNTIFS(scans!$C$2:$C$1601,(IF(LEFT($A118,7)="SAMPLE-","SAMPLE-","")&amp;LOWER(SUBSTITUTE(SUBSTITUTE($A118,"SAMPLE-",""),"CMP-","c"))&amp;"-"&amp;LOWER(SUBSTITUTE(SUBSTITUTE($B118,"SAMPLE-",""),"O-","o"))&amp;"-q"),scans!$D$2:$D$1601,"close")=0,"",SUMPRODUCT(MAX((scans!$C$2:$C$1601=(IF(LEFT($A118,7)="SAMPLE-","SAMPLE-","")&amp;LOWER(SUBSTITUTE(SUBSTITUTE($A118,"SAMPLE-",""),"CMP-","c"))&amp;"-"&amp;LOWER(SUBSTITUTE(SUBSTITUTE($B118,"SAMPLE-",""),"O-","o"))&amp;"-q"))*(scans!$D$2:$D$1601="close")*scans!$E$2:$E$1601))-SUMPRODUCT(MAX((scans!$C$2:$C$1601=(IF(LEFT($A118,7)="SAMPLE-","SAMPLE-","")&amp;LOWER(SUBSTITUTE(SUBSTITUTE($A118,"SAMPLE-",""),"CMP-","c"))&amp;"-"&amp;LOWER(SUBSTITUTE(SUBSTITUTE($B118,"SAMPLE-",""),"O-","o"))&amp;"-q"))*(scans!$D$2:$D$1601="baseline")*scans!$E$2:$E$1601))))</f>
        <v/>
      </c>
      <c r="AO118" s="25">
        <f>IF($A118="","",IF(COUNTIFS(scans!$C$2:$C$1601,(IF(LEFT($A118,7)="SAMPLE-","SAMPLE-","")&amp;LOWER(SUBSTITUTE(SUBSTITUTE($A118,"SAMPLE-",""),"CMP-","c"))&amp;"-"&amp;LOWER(SUBSTITUTE(SUBSTITUTE($B118,"SAMPLE-",""),"O-","o"))&amp;"-p"),scans!$D$2:$D$1601,"close")=0,"",SUMPRODUCT(MAX((scans!$C$2:$C$1601=(IF(LEFT($A118,7)="SAMPLE-","SAMPLE-","")&amp;LOWER(SUBSTITUTE(SUBSTITUTE($A118,"SAMPLE-",""),"CMP-","c"))&amp;"-"&amp;LOWER(SUBSTITUTE(SUBSTITUTE($B118,"SAMPLE-",""),"O-","o"))&amp;"-p"))*(scans!$D$2:$D$1601="close")*scans!$E$2:$E$1601))-SUMPRODUCT(MAX((scans!$C$2:$C$1601=(IF(LEFT($A118,7)="SAMPLE-","SAMPLE-","")&amp;LOWER(SUBSTITUTE(SUBSTITUTE($A118,"SAMPLE-",""),"CMP-","c"))&amp;"-"&amp;LOWER(SUBSTITUTE(SUBSTITUTE($B118,"SAMPLE-",""),"O-","o"))&amp;"-p"))*(scans!$D$2:$D$1601="baseline")*scans!$E$2:$E$1601))))</f>
        <v/>
      </c>
      <c r="AP118" s="25">
        <f>IF($A118="","",IF(COUNTIF(offices!$A$2:$A$61,$B118)=0,"office_id not on offices; ","")&amp;IF(COUNTIF(campaigns!$A$2:$A$51,$A118)=0,"campaign_id not on campaigns; ","")&amp;IF($P118="pending","approval pending; ","")&amp;IF(AND($U118&gt;0,$Y118="",OR($I118="",IF(config!$B$37&lt;&gt;"",config!$B$37,TODAY())&lt;=WORKDAY(N($I118),4,calendar!$A$2:$A$80))),"no usable placement photo yet; ","")&amp;IF(AND($Y118&lt;&gt;"",$Z118=""),"log the placed count; ","")&amp;IF(N($AA118)&gt;N($U118),"placed more than delivered; ","")&amp;IF(AND($AF118&lt;&gt;"",N($AF118)&gt;N($AA118)+N($AD118)),"day-5 count above placed plus top-ups; ","")&amp;IF(AND($U118&gt;0,$I118&lt;&gt;"",IF(config!$B$37&lt;&gt;"",config!$B$37,TODAY())&gt;WORKDAY(N($I118),4,calendar!$A$2:$A$80),$AF118=""),"day-5 count missing; ","")&amp;IF(AND($U118&gt;0,$I118&lt;&gt;"",IF(config!$B$37&lt;&gt;"",config!$B$37,TODAY())&gt;WORKDAY(N($I118),4,calendar!$A$2:$A$80),$AN118=""),"no close link reading; ","")&amp;$R118&amp;IF($P118="N","info: office said no; ","")&amp;IF(AND($P118="Y",$Q118="N"),"info: turned away at the door, so not on the drop (no letter, not in the report or Gate 2; the credit check is on campaigns); ","")&amp;IF(AND($U118&gt;0,$Y118="",$I118&lt;&gt;"",IF(config!$B$37&lt;&gt;"",config!$B$37,TODAY())&gt;WORKDAY(N($I118),4,calendar!$A$2:$A$80)),"info: no usable placement photo, so nothing counts as placed; ","")&amp;IF(AND($U118&gt;0,$I118&lt;&gt;"",IF(config!$B$37&lt;&gt;"",config!$B$37,TODAY())&gt;WORKDAY(N($I118),4,calendar!$A$2:$A$80),N($AL118)&lt;config!$B$30),"info: under "&amp;config!$B$30&amp;" responses; ","")&amp;IF($W118="packing_list","info: delivered count not verified; ",""))</f>
        <v/>
      </c>
      <c r="AQ118" s="25">
        <f>IF(OR($A118="",$I118=""),"",IF($BC118="Y",SUMIFS(survey_frozen!$E$2:$E$251,survey_frozen!$P$2:$P$251,$A118&amp;"|"&amp;$B118),IFERROR(COUNTIFS(INDIRECT("'"&amp;$A118&amp;"'!$B$2:$B$501"),$T118,INDIRECT("'"&amp;$A118&amp;"'!$A$2:$A$501"),"&gt;="&amp;$I118,INDIRECT("'"&amp;$A118&amp;"'!$A$2:$A$501"),"&lt;"&amp;($BA118+1),INDIRECT("'"&amp;$A118&amp;"'!$F$2:$F$501"),"Didn't see it"),0)))</f>
        <v/>
      </c>
      <c r="AR118" s="25">
        <f>IF(OR($A118="",$I118=""),"",IF($BC118="Y",SUMIFS(survey_frozen!$F$2:$F$251,survey_frozen!$P$2:$P$251,$A118&amp;"|"&amp;$B118),IFERROR(COUNTIFS(INDIRECT("'"&amp;$A118&amp;"'!$B$2:$B$501"),$T118,INDIRECT("'"&amp;$A118&amp;"'!$A$2:$A$501"),"&gt;="&amp;$I118,INDIRECT("'"&amp;$A118&amp;"'!$A$2:$A$501"),"&lt;"&amp;($BA118+1),INDIRECT("'"&amp;$A118&amp;"'!$F$2:$F$501"),"Not for me"),0)))</f>
        <v/>
      </c>
      <c r="AS118" s="25">
        <f>IF(OR($A118="",$I118=""),"",IF($BC118="Y",SUMIFS(survey_frozen!$G$2:$G$251,survey_frozen!$P$2:$P$251,$A118&amp;"|"&amp;$B118),IFERROR(COUNTIFS(INDIRECT("'"&amp;$A118&amp;"'!$B$2:$B$501"),$T118,INDIRECT("'"&amp;$A118&amp;"'!$A$2:$A$501"),"&gt;="&amp;$I118,INDIRECT("'"&amp;$A118&amp;"'!$A$2:$A$501"),"&lt;"&amp;($BA118+1),INDIRECT("'"&amp;$A118&amp;"'!$F$2:$F$501"),"Gone by the time I looked"),0)))</f>
        <v/>
      </c>
      <c r="AT118" s="25">
        <f>IF(OR($A118="",$I118=""),"",IF($BC118="Y",SUMIFS(survey_frozen!$H$2:$H$251,survey_frozen!$P$2:$P$251,$A118&amp;"|"&amp;$B118),IFERROR(COUNTIFS(INDIRECT("'"&amp;$A118&amp;"'!$B$2:$B$501"),$T118,INDIRECT("'"&amp;$A118&amp;"'!$A$2:$A$501"),"&gt;="&amp;$I118,INDIRECT("'"&amp;$A118&amp;"'!$A$2:$A$501"),"&lt;"&amp;($BA118+1),INDIRECT("'"&amp;$A118&amp;"'!$D$2:$D$501"),"&gt;=1"),0)))</f>
        <v/>
      </c>
      <c r="AU118" s="25">
        <f>IF(OR($A118="",$I118=""),"",IF($BC118="Y",SUMIFS(survey_frozen!$I$2:$I$251,survey_frozen!$P$2:$P$251,$A118&amp;"|"&amp;$B118),IFERROR(SUMIFS(INDIRECT("'"&amp;$A118&amp;"'!$D$2:$D$501"),INDIRECT("'"&amp;$A118&amp;"'!$B$2:$B$501"),$T118,INDIRECT("'"&amp;$A118&amp;"'!$A$2:$A$501"),"&gt;="&amp;$I118,INDIRECT("'"&amp;$A118&amp;"'!$A$2:$A$501"),"&lt;"&amp;($BA118+1)),0)))</f>
        <v/>
      </c>
      <c r="AV118" s="25">
        <f>IF(OR($A118="",$I118=""),"",IF($BC118="Y",SUMIFS(survey_frozen!$J$2:$J$251,survey_frozen!$P$2:$P$251,$A118&amp;"|"&amp;$B118),IFERROR(COUNTIFS(INDIRECT("'"&amp;$A118&amp;"'!$B$2:$B$501"),$T118,INDIRECT("'"&amp;$A118&amp;"'!$A$2:$A$501"),"&gt;="&amp;$I118,INDIRECT("'"&amp;$A118&amp;"'!$A$2:$A$501"),"&lt;"&amp;($BA118+1),INDIRECT("'"&amp;$A118&amp;"'!$E$2:$E$501"),"Yes"),0)))</f>
        <v/>
      </c>
      <c r="AW118" s="25">
        <f>IF(OR($A118="",$I118=""),"",IF($BC118="Y",SUMIFS(survey_frozen!$K$2:$K$251,survey_frozen!$P$2:$P$251,$A118&amp;"|"&amp;$B118),IFERROR(COUNTIFS(INDIRECT("'"&amp;$A118&amp;"'!$B$2:$B$501"),$T118,INDIRECT("'"&amp;$A118&amp;"'!$A$2:$A$501"),"&gt;="&amp;$I118,INDIRECT("'"&amp;$A118&amp;"'!$A$2:$A$501"),"&lt;"&amp;($BA118+1),INDIRECT("'"&amp;$A118&amp;"'!$E$2:$E$501"),"Maybe"),0)))</f>
        <v/>
      </c>
      <c r="AX118" s="25">
        <f>IF(OR($A118="",$I118=""),"",IF($BC118="Y",SUMIFS(survey_frozen!$L$2:$L$251,survey_frozen!$P$2:$P$251,$A118&amp;"|"&amp;$B118),IFERROR(COUNTIFS(INDIRECT("'"&amp;$A118&amp;"'!$B$2:$B$501"),$T118,INDIRECT("'"&amp;$A118&amp;"'!$A$2:$A$501"),"&gt;="&amp;$I118,INDIRECT("'"&amp;$A118&amp;"'!$A$2:$A$501"),"&lt;"&amp;($BA118+1),INDIRECT("'"&amp;$A118&amp;"'!$E$2:$E$501"),"No"),0)))</f>
        <v/>
      </c>
      <c r="AY118" s="25">
        <f>IF(OR($A118="",$I118=""),"",IF($BC118="Y",SUMIFS(survey_frozen!$M$2:$M$251,survey_frozen!$P$2:$P$251,$A118&amp;"|"&amp;$B118),IFERROR(COUNTIFS(INDIRECT("'"&amp;$A118&amp;"'!$B$2:$B$501"),$T118,INDIRECT("'"&amp;$A118&amp;"'!$A$2:$A$501"),"&gt;="&amp;$I118,INDIRECT("'"&amp;$A118&amp;"'!$A$2:$A$501"),"&lt;"&amp;($BA118+1),INDIRECT("'"&amp;$A118&amp;"'!$G$2:$G$501"),"&lt;&gt;"),0)))</f>
        <v/>
      </c>
      <c r="AZ118" s="25">
        <f>IF($A118="","",$A118&amp;"|"&amp;$L118)</f>
        <v/>
      </c>
      <c r="BA118" s="26">
        <f>IF($A118="","",IFERROR(IF(INDEX(drops!$R$2:$R$21,MATCH($H118,drops!$A$2:$A$21,0))="","",INDEX(drops!$R$2:$R$21,MATCH($H118,drops!$A$2:$A$21,0))),""))</f>
        <v/>
      </c>
      <c r="BB118" s="25">
        <f>IF(OR($A118="",$Q118&lt;&gt;"Y"),1000000,N($AL118))</f>
        <v/>
      </c>
      <c r="BC118" s="25">
        <f>IF($A118="","",IF(COUNTIF(survey_frozen!$P$2:$P$251,$A118&amp;"|"&amp;$B118)&gt;0,"Y",""))</f>
        <v/>
      </c>
    </row>
    <row r="119">
      <c r="C119" s="9" t="n"/>
      <c r="E119" s="9" t="n"/>
      <c r="H119" s="25">
        <f>IF($A119="","",IFERROR(IF(INDEX(campaigns!$B$2:$B$51,MATCH($A119,campaigns!$A$2:$A$51,0))="","",INDEX(campaigns!$B$2:$B$51,MATCH($A119,campaigns!$A$2:$A$51,0))),""))</f>
        <v/>
      </c>
      <c r="I119" s="26">
        <f>IF($A119="","",IFERROR(IF(INDEX(campaigns!$BG$2:$BG$51,MATCH($A119,campaigns!$A$2:$A$51,0))="","",INDEX(campaigns!$BG$2:$BG$51,MATCH($A119,campaigns!$A$2:$A$51,0))),""))</f>
        <v/>
      </c>
      <c r="J119" s="25">
        <f>IF($A119="","",IFERROR(IF(INDEX(campaigns!$BE$2:$BE$51,MATCH($A119,campaigns!$A$2:$A$51,0))="","",INDEX(campaigns!$BE$2:$BE$51,MATCH($A119,campaigns!$A$2:$A$51,0))),""))</f>
        <v/>
      </c>
      <c r="K119" s="25">
        <f>IF($B119="","",IFERROR(IF(INDEX(offices!$N$2:$N$61,MATCH($B119,offices!$A$2:$A$61,0))="","",INDEX(offices!$N$2:$N$61,MATCH($B119,offices!$A$2:$A$61,0))),""))</f>
        <v/>
      </c>
      <c r="L119" s="25">
        <f>IF($A119="","",IF($Q119="N","",COUNTIFS($A$2:$A119,$A119,$Q$2:$Q119,"&lt;&gt;N")))</f>
        <v/>
      </c>
      <c r="M119" s="25">
        <f>IF(OR($A119="",$L119=""),"",IF(AND(config!$B$34="names_if_public",IFERROR(IF(INDEX(offices!$AF$2:$AF$61,MATCH($B119,offices!$A$2:$A$61,0))="","",INDEX(offices!$AF$2:$AF$61,MATCH($B119,offices!$A$2:$A$61,0))),"")="Y"),$K119,CHAR(64+$L119)))</f>
        <v/>
      </c>
      <c r="N119" s="25">
        <f>IF(OR($A119="",$I119=""),"",COUNTIFS(stops!$B$2:$B$151,$B119,stops!$P$2:$P$151,"&lt;"&amp;$I119,stops!$L$2:$L$151,"&lt;&gt;not_delivered")+1)</f>
        <v/>
      </c>
      <c r="O119" s="25">
        <f>IF($A119="","",IF(N($N119)&lt;=config!$B$29,"explicit","opt-out"))</f>
        <v/>
      </c>
      <c r="P119" s="25">
        <f>IF($A119="","",IF($O119="explicit",IF($D119="yes","Y",IF($D119="no","N","pending")),IF($D119="no","N",IF(AND($C119&lt;&gt;"",$I119&lt;&gt;"",$C119&lt;=WORKDAY(N($I119),-5,calendar!$A$2:$A$80)),"Y","pending"))))</f>
        <v/>
      </c>
      <c r="Q119" s="25">
        <f>IF($A119="","",IF($P119="N","N",IF($P119&lt;&gt;"Y","pending",IF(AND((COUNTIFS(stops!$A$2:$A$151,$H119,stops!$B$2:$B$151,$B119,stops!$L$2:$L$151,"declined")+COUNTIFS(stops!$A$2:$A$151,$H119,stops!$B$2:$B$151,$B119,stops!$L$2:$L$151,"building_refused")+COUNTIFS(stops!$A$2:$A$151,$H119,stops!$B$2:$B$151,$B119,stops!$L$2:$L$151,"not_delivered"))&gt;0,N($U119)=0),"N","Y"))))</f>
        <v/>
      </c>
      <c r="R119" s="25">
        <f>IF($A119="","",IF(COUNTIFS($A$2:$A$251,$A119,$B$2:$B$251,$B119)&gt;1,"DUPLICATE ROW; ","")&amp;IF(AND(IFERROR(IF(INDEX(offices!$AC$2:$AC$61,MATCH($B119,offices!$A$2:$A$61,0))="","",INDEX(offices!$AC$2:$AC$61,MATCH($B119,offices!$A$2:$A$61,0))),"")&lt;&gt;"",ISNUMBER(SEARCH($J119,IFERROR(IF(INDEX(offices!$AC$2:$AC$61,MATCH($B119,offices!$A$2:$A$61,0))="","",INDEX(offices!$AC$2:$AC$61,MATCH($B119,offices!$A$2:$A$61,0))),"")))),"BRAND VETOED; ","")&amp;IF(ISNUMBER(SEARCH(IFERROR(IF(INDEX(campaigns!$BF$2:$BF$51,MATCH($A119,campaigns!$A$2:$A$51,0))="","",INDEX(campaigns!$BF$2:$BF$51,MATCH($A119,campaigns!$A$2:$A$51,0))),""),IFERROR(IF(INDEX(offices!$AB$2:$AB$61,MATCH($B119,offices!$A$2:$A$61,0))="","",INDEX(offices!$AB$2:$AB$61,MATCH($B119,offices!$A$2:$A$61,0))),""))),"","info: category not on the office's list; ")&amp;IF(IFERROR(IF(INDEX(offices!$AC$2:$AC$61,MATCH($B119,offices!$A$2:$A$61,0))="","",INDEX(offices!$AC$2:$AC$61,MATCH($B119,offices!$A$2:$A$61,0))),"")&lt;&gt;"","info: read the vetoes against the label; ",""))</f>
        <v/>
      </c>
      <c r="S119" s="25">
        <f>IF($A119="","",IF($G119&lt;&gt;"",$G119,IFERROR(IF(INDEX(offices!$AL$2:$AL$61,MATCH($B119,offices!$A$2:$A$61,0))="","",INDEX(offices!$AL$2:$AL$61,MATCH($B119,offices!$A$2:$A$61,0))),"")))</f>
        <v/>
      </c>
      <c r="T119" s="25">
        <f>IF($A119="","",$A119&amp;"."&amp;$B119)</f>
        <v/>
      </c>
      <c r="U119" s="25">
        <f>IF($A119="","",SUMIFS(inventory!$G$2:$G$801,inventory!$C$2:$C$801,$A119,inventory!$D$2:$D$801,$B119,inventory!$E$2:$E$801,"delivered"))</f>
        <v/>
      </c>
      <c r="V119" s="32">
        <f>IF($A119="","",IFERROR(1/(1/SUMPRODUCT(MAX((inventory!$C$2:$C$801=$A119)*(inventory!$D$2:$D$801=$B119)*(inventory!$E$2:$E$801="delivered")*(inventory!$A$2:$A$801+inventory!$B$2:$B$801)))),""))</f>
        <v/>
      </c>
      <c r="W119" s="25">
        <f>IF($A119="","",IFERROR(IF(INDEX(inventory!$J$2:$J$801,MATCH($A119&amp;"|"&amp;$B119&amp;"|delivered",inventory!$R$2:$R$801,0))="","",INDEX(inventory!$J$2:$J$801,MATCH($A119&amp;"|"&amp;$B119&amp;"|delivered",inventory!$R$2:$R$801,0))),""))</f>
        <v/>
      </c>
      <c r="X119" s="25">
        <f>IF($A119="","",IFERROR(IF(INDEX(photos!$H$2:$H$701,MATCH($A119&amp;"|"&amp;$B119&amp;"|placement|Y",photos!$R$2:$R$701,0))="","",INDEX(photos!$H$2:$H$701,MATCH($A119&amp;"|"&amp;$B119&amp;"|placement|Y",photos!$R$2:$R$701,0))),""))</f>
        <v/>
      </c>
      <c r="Y119" s="26">
        <f>IF($A119="","",IFERROR(IF(INDEX(photos!$E$2:$E$701,MATCH($A119&amp;"|"&amp;$B119&amp;"|placement|Y",photos!$R$2:$R$701,0))="","",INDEX(photos!$E$2:$E$701,MATCH($A119&amp;"|"&amp;$B119&amp;"|placement|Y",photos!$R$2:$R$701,0))),""))</f>
        <v/>
      </c>
      <c r="Z119" s="25">
        <f>IF($A119="","",IF(COUNTIFS(counts!$C$2:$C$701,$A119,counts!$D$2:$D$701,$B119,counts!$E$2:$E$701,"placed")=0,"",SUMIFS(counts!$F$2:$F$701,counts!$C$2:$C$701,$A119,counts!$D$2:$D$701,$B119,counts!$E$2:$E$701,"placed")))</f>
        <v/>
      </c>
      <c r="AA119" s="25">
        <f>IF($A119="","",IF($Y119="",0,N($Z119)))</f>
        <v/>
      </c>
      <c r="AB119" s="25">
        <f>IF($A119="","",IF(OR($Y119="",$I119=""),"N",IF($Y119&lt;=WORKDAY(N($I119),1,calendar!$A$2:$A$80),"Y","N")))</f>
        <v/>
      </c>
      <c r="AC119" s="28">
        <f>IF(OR($A119="",$V119="",$Y119=""),"",ROUND(($Y119+N(IFERROR(IF(INDEX(photos!$F$2:$F$701,MATCH($A119&amp;"|"&amp;$B119&amp;"|placement|Y",photos!$R$2:$R$701,0))="","",INDEX(photos!$F$2:$F$701,MATCH($A119&amp;"|"&amp;$B119&amp;"|placement|Y",photos!$R$2:$R$701,0))),""))-$V119)*24,1))</f>
        <v/>
      </c>
      <c r="AD119" s="25">
        <f>IF($A119="","",SUMIFS(inventory!$G$2:$G$801,inventory!$C$2:$C$801,$A119,inventory!$D$2:$D$801,$B119,inventory!$E$2:$E$801,"topped_up"))</f>
        <v/>
      </c>
      <c r="AE119" s="25">
        <f>IF($A119="","",IF(COUNTIFS(counts!$C$2:$C$701,$A119,counts!$D$2:$D$701,$B119,counts!$E$2:$E$701,"remaining_day3")=0,"",SUMIFS(counts!$F$2:$F$701,counts!$C$2:$C$701,$A119,counts!$D$2:$D$701,$B119,counts!$E$2:$E$701,"remaining_day3")))</f>
        <v/>
      </c>
      <c r="AF119" s="25">
        <f>IF($A119="","",IF(COUNTIFS(counts!$C$2:$C$701,$A119,counts!$D$2:$D$701,$B119,counts!$E$2:$E$701,"remaining_day5")=0,"",SUMIFS(counts!$F$2:$F$701,counts!$C$2:$C$701,$A119,counts!$D$2:$D$701,$B119,counts!$E$2:$E$701,"remaining_day5")))</f>
        <v/>
      </c>
      <c r="AG119" s="25">
        <f>IF(OR($A119="",$AF119=""),"",MAX(0,$AA119+$AD119-$AF119))</f>
        <v/>
      </c>
      <c r="AH119" s="25">
        <f>IF(OR($A119="",$AI119=""),"",IFERROR(IF(INDEX(photos!$H$2:$H$701,MATCH($A119&amp;"|"&amp;$B119&amp;"|later|Y|"&amp;$AI119,photos!$S$2:$S$701,0))="","",INDEX(photos!$H$2:$H$701,MATCH($A119&amp;"|"&amp;$B119&amp;"|later|Y|"&amp;$AI119,photos!$S$2:$S$701,0))),""))</f>
        <v/>
      </c>
      <c r="AI119" s="26">
        <f>IF($A119="","",IFERROR(1/(1/SUMPRODUCT(MAX((photos!$B$2:$B$701=$A119)*(photos!$C$2:$C$701=$B119)*(photos!$D$2:$D$701="later")*(photos!$O$2:$O$701="Y")*photos!$E$2:$E$701))),""))</f>
        <v/>
      </c>
      <c r="AJ119" s="25">
        <f>IF(OR($A119="",$AI119="",$I119=""),"",NETWORKDAYS($I119,$AI119,calendar!$A$2:$A$80))</f>
        <v/>
      </c>
      <c r="AK119" s="25">
        <f>IF($A119="","",IF(AND($X119&lt;&gt;"",$AH119&lt;&gt;""),"Y","N"))</f>
        <v/>
      </c>
      <c r="AL119" s="25">
        <f>IF(OR($A119="",$I119=""),"",IF($BC119="Y",SUMIFS(survey_frozen!$C$2:$C$251,survey_frozen!$P$2:$P$251,$A119&amp;"|"&amp;$B119),IFERROR(COUNTIFS(INDIRECT("'"&amp;$A119&amp;"'!$B$2:$B$501"),$T119,INDIRECT("'"&amp;$A119&amp;"'!$A$2:$A$501"),"&gt;="&amp;$I119,INDIRECT("'"&amp;$A119&amp;"'!$A$2:$A$501"),"&lt;"&amp;($BA119+1)),0)))</f>
        <v/>
      </c>
      <c r="AM119" s="25">
        <f>IF(OR($A119="",$I119=""),"",IF($BC119="Y",SUMIFS(survey_frozen!$D$2:$D$251,survey_frozen!$P$2:$P$251,$A119&amp;"|"&amp;$B119),IFERROR(COUNTIFS(INDIRECT("'"&amp;$A119&amp;"'!$B$2:$B$501"),$T119,INDIRECT("'"&amp;$A119&amp;"'!$A$2:$A$501"),"&gt;="&amp;$I119,INDIRECT("'"&amp;$A119&amp;"'!$A$2:$A$501"),"&lt;"&amp;($BA119+1),INDIRECT("'"&amp;$A119&amp;"'!$C$2:$C$501"),"Yes"),0)))</f>
        <v/>
      </c>
      <c r="AN119" s="25">
        <f>IF($A119="","",IF(COUNTIFS(scans!$C$2:$C$1601,(IF(LEFT($A119,7)="SAMPLE-","SAMPLE-","")&amp;LOWER(SUBSTITUTE(SUBSTITUTE($A119,"SAMPLE-",""),"CMP-","c"))&amp;"-"&amp;LOWER(SUBSTITUTE(SUBSTITUTE($B119,"SAMPLE-",""),"O-","o"))&amp;"-q"),scans!$D$2:$D$1601,"close")=0,"",SUMPRODUCT(MAX((scans!$C$2:$C$1601=(IF(LEFT($A119,7)="SAMPLE-","SAMPLE-","")&amp;LOWER(SUBSTITUTE(SUBSTITUTE($A119,"SAMPLE-",""),"CMP-","c"))&amp;"-"&amp;LOWER(SUBSTITUTE(SUBSTITUTE($B119,"SAMPLE-",""),"O-","o"))&amp;"-q"))*(scans!$D$2:$D$1601="close")*scans!$E$2:$E$1601))-SUMPRODUCT(MAX((scans!$C$2:$C$1601=(IF(LEFT($A119,7)="SAMPLE-","SAMPLE-","")&amp;LOWER(SUBSTITUTE(SUBSTITUTE($A119,"SAMPLE-",""),"CMP-","c"))&amp;"-"&amp;LOWER(SUBSTITUTE(SUBSTITUTE($B119,"SAMPLE-",""),"O-","o"))&amp;"-q"))*(scans!$D$2:$D$1601="baseline")*scans!$E$2:$E$1601))))</f>
        <v/>
      </c>
      <c r="AO119" s="25">
        <f>IF($A119="","",IF(COUNTIFS(scans!$C$2:$C$1601,(IF(LEFT($A119,7)="SAMPLE-","SAMPLE-","")&amp;LOWER(SUBSTITUTE(SUBSTITUTE($A119,"SAMPLE-",""),"CMP-","c"))&amp;"-"&amp;LOWER(SUBSTITUTE(SUBSTITUTE($B119,"SAMPLE-",""),"O-","o"))&amp;"-p"),scans!$D$2:$D$1601,"close")=0,"",SUMPRODUCT(MAX((scans!$C$2:$C$1601=(IF(LEFT($A119,7)="SAMPLE-","SAMPLE-","")&amp;LOWER(SUBSTITUTE(SUBSTITUTE($A119,"SAMPLE-",""),"CMP-","c"))&amp;"-"&amp;LOWER(SUBSTITUTE(SUBSTITUTE($B119,"SAMPLE-",""),"O-","o"))&amp;"-p"))*(scans!$D$2:$D$1601="close")*scans!$E$2:$E$1601))-SUMPRODUCT(MAX((scans!$C$2:$C$1601=(IF(LEFT($A119,7)="SAMPLE-","SAMPLE-","")&amp;LOWER(SUBSTITUTE(SUBSTITUTE($A119,"SAMPLE-",""),"CMP-","c"))&amp;"-"&amp;LOWER(SUBSTITUTE(SUBSTITUTE($B119,"SAMPLE-",""),"O-","o"))&amp;"-p"))*(scans!$D$2:$D$1601="baseline")*scans!$E$2:$E$1601))))</f>
        <v/>
      </c>
      <c r="AP119" s="25">
        <f>IF($A119="","",IF(COUNTIF(offices!$A$2:$A$61,$B119)=0,"office_id not on offices; ","")&amp;IF(COUNTIF(campaigns!$A$2:$A$51,$A119)=0,"campaign_id not on campaigns; ","")&amp;IF($P119="pending","approval pending; ","")&amp;IF(AND($U119&gt;0,$Y119="",OR($I119="",IF(config!$B$37&lt;&gt;"",config!$B$37,TODAY())&lt;=WORKDAY(N($I119),4,calendar!$A$2:$A$80))),"no usable placement photo yet; ","")&amp;IF(AND($Y119&lt;&gt;"",$Z119=""),"log the placed count; ","")&amp;IF(N($AA119)&gt;N($U119),"placed more than delivered; ","")&amp;IF(AND($AF119&lt;&gt;"",N($AF119)&gt;N($AA119)+N($AD119)),"day-5 count above placed plus top-ups; ","")&amp;IF(AND($U119&gt;0,$I119&lt;&gt;"",IF(config!$B$37&lt;&gt;"",config!$B$37,TODAY())&gt;WORKDAY(N($I119),4,calendar!$A$2:$A$80),$AF119=""),"day-5 count missing; ","")&amp;IF(AND($U119&gt;0,$I119&lt;&gt;"",IF(config!$B$37&lt;&gt;"",config!$B$37,TODAY())&gt;WORKDAY(N($I119),4,calendar!$A$2:$A$80),$AN119=""),"no close link reading; ","")&amp;$R119&amp;IF($P119="N","info: office said no; ","")&amp;IF(AND($P119="Y",$Q119="N"),"info: turned away at the door, so not on the drop (no letter, not in the report or Gate 2; the credit check is on campaigns); ","")&amp;IF(AND($U119&gt;0,$Y119="",$I119&lt;&gt;"",IF(config!$B$37&lt;&gt;"",config!$B$37,TODAY())&gt;WORKDAY(N($I119),4,calendar!$A$2:$A$80)),"info: no usable placement photo, so nothing counts as placed; ","")&amp;IF(AND($U119&gt;0,$I119&lt;&gt;"",IF(config!$B$37&lt;&gt;"",config!$B$37,TODAY())&gt;WORKDAY(N($I119),4,calendar!$A$2:$A$80),N($AL119)&lt;config!$B$30),"info: under "&amp;config!$B$30&amp;" responses; ","")&amp;IF($W119="packing_list","info: delivered count not verified; ",""))</f>
        <v/>
      </c>
      <c r="AQ119" s="25">
        <f>IF(OR($A119="",$I119=""),"",IF($BC119="Y",SUMIFS(survey_frozen!$E$2:$E$251,survey_frozen!$P$2:$P$251,$A119&amp;"|"&amp;$B119),IFERROR(COUNTIFS(INDIRECT("'"&amp;$A119&amp;"'!$B$2:$B$501"),$T119,INDIRECT("'"&amp;$A119&amp;"'!$A$2:$A$501"),"&gt;="&amp;$I119,INDIRECT("'"&amp;$A119&amp;"'!$A$2:$A$501"),"&lt;"&amp;($BA119+1),INDIRECT("'"&amp;$A119&amp;"'!$F$2:$F$501"),"Didn't see it"),0)))</f>
        <v/>
      </c>
      <c r="AR119" s="25">
        <f>IF(OR($A119="",$I119=""),"",IF($BC119="Y",SUMIFS(survey_frozen!$F$2:$F$251,survey_frozen!$P$2:$P$251,$A119&amp;"|"&amp;$B119),IFERROR(COUNTIFS(INDIRECT("'"&amp;$A119&amp;"'!$B$2:$B$501"),$T119,INDIRECT("'"&amp;$A119&amp;"'!$A$2:$A$501"),"&gt;="&amp;$I119,INDIRECT("'"&amp;$A119&amp;"'!$A$2:$A$501"),"&lt;"&amp;($BA119+1),INDIRECT("'"&amp;$A119&amp;"'!$F$2:$F$501"),"Not for me"),0)))</f>
        <v/>
      </c>
      <c r="AS119" s="25">
        <f>IF(OR($A119="",$I119=""),"",IF($BC119="Y",SUMIFS(survey_frozen!$G$2:$G$251,survey_frozen!$P$2:$P$251,$A119&amp;"|"&amp;$B119),IFERROR(COUNTIFS(INDIRECT("'"&amp;$A119&amp;"'!$B$2:$B$501"),$T119,INDIRECT("'"&amp;$A119&amp;"'!$A$2:$A$501"),"&gt;="&amp;$I119,INDIRECT("'"&amp;$A119&amp;"'!$A$2:$A$501"),"&lt;"&amp;($BA119+1),INDIRECT("'"&amp;$A119&amp;"'!$F$2:$F$501"),"Gone by the time I looked"),0)))</f>
        <v/>
      </c>
      <c r="AT119" s="25">
        <f>IF(OR($A119="",$I119=""),"",IF($BC119="Y",SUMIFS(survey_frozen!$H$2:$H$251,survey_frozen!$P$2:$P$251,$A119&amp;"|"&amp;$B119),IFERROR(COUNTIFS(INDIRECT("'"&amp;$A119&amp;"'!$B$2:$B$501"),$T119,INDIRECT("'"&amp;$A119&amp;"'!$A$2:$A$501"),"&gt;="&amp;$I119,INDIRECT("'"&amp;$A119&amp;"'!$A$2:$A$501"),"&lt;"&amp;($BA119+1),INDIRECT("'"&amp;$A119&amp;"'!$D$2:$D$501"),"&gt;=1"),0)))</f>
        <v/>
      </c>
      <c r="AU119" s="25">
        <f>IF(OR($A119="",$I119=""),"",IF($BC119="Y",SUMIFS(survey_frozen!$I$2:$I$251,survey_frozen!$P$2:$P$251,$A119&amp;"|"&amp;$B119),IFERROR(SUMIFS(INDIRECT("'"&amp;$A119&amp;"'!$D$2:$D$501"),INDIRECT("'"&amp;$A119&amp;"'!$B$2:$B$501"),$T119,INDIRECT("'"&amp;$A119&amp;"'!$A$2:$A$501"),"&gt;="&amp;$I119,INDIRECT("'"&amp;$A119&amp;"'!$A$2:$A$501"),"&lt;"&amp;($BA119+1)),0)))</f>
        <v/>
      </c>
      <c r="AV119" s="25">
        <f>IF(OR($A119="",$I119=""),"",IF($BC119="Y",SUMIFS(survey_frozen!$J$2:$J$251,survey_frozen!$P$2:$P$251,$A119&amp;"|"&amp;$B119),IFERROR(COUNTIFS(INDIRECT("'"&amp;$A119&amp;"'!$B$2:$B$501"),$T119,INDIRECT("'"&amp;$A119&amp;"'!$A$2:$A$501"),"&gt;="&amp;$I119,INDIRECT("'"&amp;$A119&amp;"'!$A$2:$A$501"),"&lt;"&amp;($BA119+1),INDIRECT("'"&amp;$A119&amp;"'!$E$2:$E$501"),"Yes"),0)))</f>
        <v/>
      </c>
      <c r="AW119" s="25">
        <f>IF(OR($A119="",$I119=""),"",IF($BC119="Y",SUMIFS(survey_frozen!$K$2:$K$251,survey_frozen!$P$2:$P$251,$A119&amp;"|"&amp;$B119),IFERROR(COUNTIFS(INDIRECT("'"&amp;$A119&amp;"'!$B$2:$B$501"),$T119,INDIRECT("'"&amp;$A119&amp;"'!$A$2:$A$501"),"&gt;="&amp;$I119,INDIRECT("'"&amp;$A119&amp;"'!$A$2:$A$501"),"&lt;"&amp;($BA119+1),INDIRECT("'"&amp;$A119&amp;"'!$E$2:$E$501"),"Maybe"),0)))</f>
        <v/>
      </c>
      <c r="AX119" s="25">
        <f>IF(OR($A119="",$I119=""),"",IF($BC119="Y",SUMIFS(survey_frozen!$L$2:$L$251,survey_frozen!$P$2:$P$251,$A119&amp;"|"&amp;$B119),IFERROR(COUNTIFS(INDIRECT("'"&amp;$A119&amp;"'!$B$2:$B$501"),$T119,INDIRECT("'"&amp;$A119&amp;"'!$A$2:$A$501"),"&gt;="&amp;$I119,INDIRECT("'"&amp;$A119&amp;"'!$A$2:$A$501"),"&lt;"&amp;($BA119+1),INDIRECT("'"&amp;$A119&amp;"'!$E$2:$E$501"),"No"),0)))</f>
        <v/>
      </c>
      <c r="AY119" s="25">
        <f>IF(OR($A119="",$I119=""),"",IF($BC119="Y",SUMIFS(survey_frozen!$M$2:$M$251,survey_frozen!$P$2:$P$251,$A119&amp;"|"&amp;$B119),IFERROR(COUNTIFS(INDIRECT("'"&amp;$A119&amp;"'!$B$2:$B$501"),$T119,INDIRECT("'"&amp;$A119&amp;"'!$A$2:$A$501"),"&gt;="&amp;$I119,INDIRECT("'"&amp;$A119&amp;"'!$A$2:$A$501"),"&lt;"&amp;($BA119+1),INDIRECT("'"&amp;$A119&amp;"'!$G$2:$G$501"),"&lt;&gt;"),0)))</f>
        <v/>
      </c>
      <c r="AZ119" s="25">
        <f>IF($A119="","",$A119&amp;"|"&amp;$L119)</f>
        <v/>
      </c>
      <c r="BA119" s="26">
        <f>IF($A119="","",IFERROR(IF(INDEX(drops!$R$2:$R$21,MATCH($H119,drops!$A$2:$A$21,0))="","",INDEX(drops!$R$2:$R$21,MATCH($H119,drops!$A$2:$A$21,0))),""))</f>
        <v/>
      </c>
      <c r="BB119" s="25">
        <f>IF(OR($A119="",$Q119&lt;&gt;"Y"),1000000,N($AL119))</f>
        <v/>
      </c>
      <c r="BC119" s="25">
        <f>IF($A119="","",IF(COUNTIF(survey_frozen!$P$2:$P$251,$A119&amp;"|"&amp;$B119)&gt;0,"Y",""))</f>
        <v/>
      </c>
    </row>
    <row r="120">
      <c r="C120" s="9" t="n"/>
      <c r="E120" s="9" t="n"/>
      <c r="H120" s="25">
        <f>IF($A120="","",IFERROR(IF(INDEX(campaigns!$B$2:$B$51,MATCH($A120,campaigns!$A$2:$A$51,0))="","",INDEX(campaigns!$B$2:$B$51,MATCH($A120,campaigns!$A$2:$A$51,0))),""))</f>
        <v/>
      </c>
      <c r="I120" s="26">
        <f>IF($A120="","",IFERROR(IF(INDEX(campaigns!$BG$2:$BG$51,MATCH($A120,campaigns!$A$2:$A$51,0))="","",INDEX(campaigns!$BG$2:$BG$51,MATCH($A120,campaigns!$A$2:$A$51,0))),""))</f>
        <v/>
      </c>
      <c r="J120" s="25">
        <f>IF($A120="","",IFERROR(IF(INDEX(campaigns!$BE$2:$BE$51,MATCH($A120,campaigns!$A$2:$A$51,0))="","",INDEX(campaigns!$BE$2:$BE$51,MATCH($A120,campaigns!$A$2:$A$51,0))),""))</f>
        <v/>
      </c>
      <c r="K120" s="25">
        <f>IF($B120="","",IFERROR(IF(INDEX(offices!$N$2:$N$61,MATCH($B120,offices!$A$2:$A$61,0))="","",INDEX(offices!$N$2:$N$61,MATCH($B120,offices!$A$2:$A$61,0))),""))</f>
        <v/>
      </c>
      <c r="L120" s="25">
        <f>IF($A120="","",IF($Q120="N","",COUNTIFS($A$2:$A120,$A120,$Q$2:$Q120,"&lt;&gt;N")))</f>
        <v/>
      </c>
      <c r="M120" s="25">
        <f>IF(OR($A120="",$L120=""),"",IF(AND(config!$B$34="names_if_public",IFERROR(IF(INDEX(offices!$AF$2:$AF$61,MATCH($B120,offices!$A$2:$A$61,0))="","",INDEX(offices!$AF$2:$AF$61,MATCH($B120,offices!$A$2:$A$61,0))),"")="Y"),$K120,CHAR(64+$L120)))</f>
        <v/>
      </c>
      <c r="N120" s="25">
        <f>IF(OR($A120="",$I120=""),"",COUNTIFS(stops!$B$2:$B$151,$B120,stops!$P$2:$P$151,"&lt;"&amp;$I120,stops!$L$2:$L$151,"&lt;&gt;not_delivered")+1)</f>
        <v/>
      </c>
      <c r="O120" s="25">
        <f>IF($A120="","",IF(N($N120)&lt;=config!$B$29,"explicit","opt-out"))</f>
        <v/>
      </c>
      <c r="P120" s="25">
        <f>IF($A120="","",IF($O120="explicit",IF($D120="yes","Y",IF($D120="no","N","pending")),IF($D120="no","N",IF(AND($C120&lt;&gt;"",$I120&lt;&gt;"",$C120&lt;=WORKDAY(N($I120),-5,calendar!$A$2:$A$80)),"Y","pending"))))</f>
        <v/>
      </c>
      <c r="Q120" s="25">
        <f>IF($A120="","",IF($P120="N","N",IF($P120&lt;&gt;"Y","pending",IF(AND((COUNTIFS(stops!$A$2:$A$151,$H120,stops!$B$2:$B$151,$B120,stops!$L$2:$L$151,"declined")+COUNTIFS(stops!$A$2:$A$151,$H120,stops!$B$2:$B$151,$B120,stops!$L$2:$L$151,"building_refused")+COUNTIFS(stops!$A$2:$A$151,$H120,stops!$B$2:$B$151,$B120,stops!$L$2:$L$151,"not_delivered"))&gt;0,N($U120)=0),"N","Y"))))</f>
        <v/>
      </c>
      <c r="R120" s="25">
        <f>IF($A120="","",IF(COUNTIFS($A$2:$A$251,$A120,$B$2:$B$251,$B120)&gt;1,"DUPLICATE ROW; ","")&amp;IF(AND(IFERROR(IF(INDEX(offices!$AC$2:$AC$61,MATCH($B120,offices!$A$2:$A$61,0))="","",INDEX(offices!$AC$2:$AC$61,MATCH($B120,offices!$A$2:$A$61,0))),"")&lt;&gt;"",ISNUMBER(SEARCH($J120,IFERROR(IF(INDEX(offices!$AC$2:$AC$61,MATCH($B120,offices!$A$2:$A$61,0))="","",INDEX(offices!$AC$2:$AC$61,MATCH($B120,offices!$A$2:$A$61,0))),"")))),"BRAND VETOED; ","")&amp;IF(ISNUMBER(SEARCH(IFERROR(IF(INDEX(campaigns!$BF$2:$BF$51,MATCH($A120,campaigns!$A$2:$A$51,0))="","",INDEX(campaigns!$BF$2:$BF$51,MATCH($A120,campaigns!$A$2:$A$51,0))),""),IFERROR(IF(INDEX(offices!$AB$2:$AB$61,MATCH($B120,offices!$A$2:$A$61,0))="","",INDEX(offices!$AB$2:$AB$61,MATCH($B120,offices!$A$2:$A$61,0))),""))),"","info: category not on the office's list; ")&amp;IF(IFERROR(IF(INDEX(offices!$AC$2:$AC$61,MATCH($B120,offices!$A$2:$A$61,0))="","",INDEX(offices!$AC$2:$AC$61,MATCH($B120,offices!$A$2:$A$61,0))),"")&lt;&gt;"","info: read the vetoes against the label; ",""))</f>
        <v/>
      </c>
      <c r="S120" s="25">
        <f>IF($A120="","",IF($G120&lt;&gt;"",$G120,IFERROR(IF(INDEX(offices!$AL$2:$AL$61,MATCH($B120,offices!$A$2:$A$61,0))="","",INDEX(offices!$AL$2:$AL$61,MATCH($B120,offices!$A$2:$A$61,0))),"")))</f>
        <v/>
      </c>
      <c r="T120" s="25">
        <f>IF($A120="","",$A120&amp;"."&amp;$B120)</f>
        <v/>
      </c>
      <c r="U120" s="25">
        <f>IF($A120="","",SUMIFS(inventory!$G$2:$G$801,inventory!$C$2:$C$801,$A120,inventory!$D$2:$D$801,$B120,inventory!$E$2:$E$801,"delivered"))</f>
        <v/>
      </c>
      <c r="V120" s="32">
        <f>IF($A120="","",IFERROR(1/(1/SUMPRODUCT(MAX((inventory!$C$2:$C$801=$A120)*(inventory!$D$2:$D$801=$B120)*(inventory!$E$2:$E$801="delivered")*(inventory!$A$2:$A$801+inventory!$B$2:$B$801)))),""))</f>
        <v/>
      </c>
      <c r="W120" s="25">
        <f>IF($A120="","",IFERROR(IF(INDEX(inventory!$J$2:$J$801,MATCH($A120&amp;"|"&amp;$B120&amp;"|delivered",inventory!$R$2:$R$801,0))="","",INDEX(inventory!$J$2:$J$801,MATCH($A120&amp;"|"&amp;$B120&amp;"|delivered",inventory!$R$2:$R$801,0))),""))</f>
        <v/>
      </c>
      <c r="X120" s="25">
        <f>IF($A120="","",IFERROR(IF(INDEX(photos!$H$2:$H$701,MATCH($A120&amp;"|"&amp;$B120&amp;"|placement|Y",photos!$R$2:$R$701,0))="","",INDEX(photos!$H$2:$H$701,MATCH($A120&amp;"|"&amp;$B120&amp;"|placement|Y",photos!$R$2:$R$701,0))),""))</f>
        <v/>
      </c>
      <c r="Y120" s="26">
        <f>IF($A120="","",IFERROR(IF(INDEX(photos!$E$2:$E$701,MATCH($A120&amp;"|"&amp;$B120&amp;"|placement|Y",photos!$R$2:$R$701,0))="","",INDEX(photos!$E$2:$E$701,MATCH($A120&amp;"|"&amp;$B120&amp;"|placement|Y",photos!$R$2:$R$701,0))),""))</f>
        <v/>
      </c>
      <c r="Z120" s="25">
        <f>IF($A120="","",IF(COUNTIFS(counts!$C$2:$C$701,$A120,counts!$D$2:$D$701,$B120,counts!$E$2:$E$701,"placed")=0,"",SUMIFS(counts!$F$2:$F$701,counts!$C$2:$C$701,$A120,counts!$D$2:$D$701,$B120,counts!$E$2:$E$701,"placed")))</f>
        <v/>
      </c>
      <c r="AA120" s="25">
        <f>IF($A120="","",IF($Y120="",0,N($Z120)))</f>
        <v/>
      </c>
      <c r="AB120" s="25">
        <f>IF($A120="","",IF(OR($Y120="",$I120=""),"N",IF($Y120&lt;=WORKDAY(N($I120),1,calendar!$A$2:$A$80),"Y","N")))</f>
        <v/>
      </c>
      <c r="AC120" s="28">
        <f>IF(OR($A120="",$V120="",$Y120=""),"",ROUND(($Y120+N(IFERROR(IF(INDEX(photos!$F$2:$F$701,MATCH($A120&amp;"|"&amp;$B120&amp;"|placement|Y",photos!$R$2:$R$701,0))="","",INDEX(photos!$F$2:$F$701,MATCH($A120&amp;"|"&amp;$B120&amp;"|placement|Y",photos!$R$2:$R$701,0))),""))-$V120)*24,1))</f>
        <v/>
      </c>
      <c r="AD120" s="25">
        <f>IF($A120="","",SUMIFS(inventory!$G$2:$G$801,inventory!$C$2:$C$801,$A120,inventory!$D$2:$D$801,$B120,inventory!$E$2:$E$801,"topped_up"))</f>
        <v/>
      </c>
      <c r="AE120" s="25">
        <f>IF($A120="","",IF(COUNTIFS(counts!$C$2:$C$701,$A120,counts!$D$2:$D$701,$B120,counts!$E$2:$E$701,"remaining_day3")=0,"",SUMIFS(counts!$F$2:$F$701,counts!$C$2:$C$701,$A120,counts!$D$2:$D$701,$B120,counts!$E$2:$E$701,"remaining_day3")))</f>
        <v/>
      </c>
      <c r="AF120" s="25">
        <f>IF($A120="","",IF(COUNTIFS(counts!$C$2:$C$701,$A120,counts!$D$2:$D$701,$B120,counts!$E$2:$E$701,"remaining_day5")=0,"",SUMIFS(counts!$F$2:$F$701,counts!$C$2:$C$701,$A120,counts!$D$2:$D$701,$B120,counts!$E$2:$E$701,"remaining_day5")))</f>
        <v/>
      </c>
      <c r="AG120" s="25">
        <f>IF(OR($A120="",$AF120=""),"",MAX(0,$AA120+$AD120-$AF120))</f>
        <v/>
      </c>
      <c r="AH120" s="25">
        <f>IF(OR($A120="",$AI120=""),"",IFERROR(IF(INDEX(photos!$H$2:$H$701,MATCH($A120&amp;"|"&amp;$B120&amp;"|later|Y|"&amp;$AI120,photos!$S$2:$S$701,0))="","",INDEX(photos!$H$2:$H$701,MATCH($A120&amp;"|"&amp;$B120&amp;"|later|Y|"&amp;$AI120,photos!$S$2:$S$701,0))),""))</f>
        <v/>
      </c>
      <c r="AI120" s="26">
        <f>IF($A120="","",IFERROR(1/(1/SUMPRODUCT(MAX((photos!$B$2:$B$701=$A120)*(photos!$C$2:$C$701=$B120)*(photos!$D$2:$D$701="later")*(photos!$O$2:$O$701="Y")*photos!$E$2:$E$701))),""))</f>
        <v/>
      </c>
      <c r="AJ120" s="25">
        <f>IF(OR($A120="",$AI120="",$I120=""),"",NETWORKDAYS($I120,$AI120,calendar!$A$2:$A$80))</f>
        <v/>
      </c>
      <c r="AK120" s="25">
        <f>IF($A120="","",IF(AND($X120&lt;&gt;"",$AH120&lt;&gt;""),"Y","N"))</f>
        <v/>
      </c>
      <c r="AL120" s="25">
        <f>IF(OR($A120="",$I120=""),"",IF($BC120="Y",SUMIFS(survey_frozen!$C$2:$C$251,survey_frozen!$P$2:$P$251,$A120&amp;"|"&amp;$B120),IFERROR(COUNTIFS(INDIRECT("'"&amp;$A120&amp;"'!$B$2:$B$501"),$T120,INDIRECT("'"&amp;$A120&amp;"'!$A$2:$A$501"),"&gt;="&amp;$I120,INDIRECT("'"&amp;$A120&amp;"'!$A$2:$A$501"),"&lt;"&amp;($BA120+1)),0)))</f>
        <v/>
      </c>
      <c r="AM120" s="25">
        <f>IF(OR($A120="",$I120=""),"",IF($BC120="Y",SUMIFS(survey_frozen!$D$2:$D$251,survey_frozen!$P$2:$P$251,$A120&amp;"|"&amp;$B120),IFERROR(COUNTIFS(INDIRECT("'"&amp;$A120&amp;"'!$B$2:$B$501"),$T120,INDIRECT("'"&amp;$A120&amp;"'!$A$2:$A$501"),"&gt;="&amp;$I120,INDIRECT("'"&amp;$A120&amp;"'!$A$2:$A$501"),"&lt;"&amp;($BA120+1),INDIRECT("'"&amp;$A120&amp;"'!$C$2:$C$501"),"Yes"),0)))</f>
        <v/>
      </c>
      <c r="AN120" s="25">
        <f>IF($A120="","",IF(COUNTIFS(scans!$C$2:$C$1601,(IF(LEFT($A120,7)="SAMPLE-","SAMPLE-","")&amp;LOWER(SUBSTITUTE(SUBSTITUTE($A120,"SAMPLE-",""),"CMP-","c"))&amp;"-"&amp;LOWER(SUBSTITUTE(SUBSTITUTE($B120,"SAMPLE-",""),"O-","o"))&amp;"-q"),scans!$D$2:$D$1601,"close")=0,"",SUMPRODUCT(MAX((scans!$C$2:$C$1601=(IF(LEFT($A120,7)="SAMPLE-","SAMPLE-","")&amp;LOWER(SUBSTITUTE(SUBSTITUTE($A120,"SAMPLE-",""),"CMP-","c"))&amp;"-"&amp;LOWER(SUBSTITUTE(SUBSTITUTE($B120,"SAMPLE-",""),"O-","o"))&amp;"-q"))*(scans!$D$2:$D$1601="close")*scans!$E$2:$E$1601))-SUMPRODUCT(MAX((scans!$C$2:$C$1601=(IF(LEFT($A120,7)="SAMPLE-","SAMPLE-","")&amp;LOWER(SUBSTITUTE(SUBSTITUTE($A120,"SAMPLE-",""),"CMP-","c"))&amp;"-"&amp;LOWER(SUBSTITUTE(SUBSTITUTE($B120,"SAMPLE-",""),"O-","o"))&amp;"-q"))*(scans!$D$2:$D$1601="baseline")*scans!$E$2:$E$1601))))</f>
        <v/>
      </c>
      <c r="AO120" s="25">
        <f>IF($A120="","",IF(COUNTIFS(scans!$C$2:$C$1601,(IF(LEFT($A120,7)="SAMPLE-","SAMPLE-","")&amp;LOWER(SUBSTITUTE(SUBSTITUTE($A120,"SAMPLE-",""),"CMP-","c"))&amp;"-"&amp;LOWER(SUBSTITUTE(SUBSTITUTE($B120,"SAMPLE-",""),"O-","o"))&amp;"-p"),scans!$D$2:$D$1601,"close")=0,"",SUMPRODUCT(MAX((scans!$C$2:$C$1601=(IF(LEFT($A120,7)="SAMPLE-","SAMPLE-","")&amp;LOWER(SUBSTITUTE(SUBSTITUTE($A120,"SAMPLE-",""),"CMP-","c"))&amp;"-"&amp;LOWER(SUBSTITUTE(SUBSTITUTE($B120,"SAMPLE-",""),"O-","o"))&amp;"-p"))*(scans!$D$2:$D$1601="close")*scans!$E$2:$E$1601))-SUMPRODUCT(MAX((scans!$C$2:$C$1601=(IF(LEFT($A120,7)="SAMPLE-","SAMPLE-","")&amp;LOWER(SUBSTITUTE(SUBSTITUTE($A120,"SAMPLE-",""),"CMP-","c"))&amp;"-"&amp;LOWER(SUBSTITUTE(SUBSTITUTE($B120,"SAMPLE-",""),"O-","o"))&amp;"-p"))*(scans!$D$2:$D$1601="baseline")*scans!$E$2:$E$1601))))</f>
        <v/>
      </c>
      <c r="AP120" s="25">
        <f>IF($A120="","",IF(COUNTIF(offices!$A$2:$A$61,$B120)=0,"office_id not on offices; ","")&amp;IF(COUNTIF(campaigns!$A$2:$A$51,$A120)=0,"campaign_id not on campaigns; ","")&amp;IF($P120="pending","approval pending; ","")&amp;IF(AND($U120&gt;0,$Y120="",OR($I120="",IF(config!$B$37&lt;&gt;"",config!$B$37,TODAY())&lt;=WORKDAY(N($I120),4,calendar!$A$2:$A$80))),"no usable placement photo yet; ","")&amp;IF(AND($Y120&lt;&gt;"",$Z120=""),"log the placed count; ","")&amp;IF(N($AA120)&gt;N($U120),"placed more than delivered; ","")&amp;IF(AND($AF120&lt;&gt;"",N($AF120)&gt;N($AA120)+N($AD120)),"day-5 count above placed plus top-ups; ","")&amp;IF(AND($U120&gt;0,$I120&lt;&gt;"",IF(config!$B$37&lt;&gt;"",config!$B$37,TODAY())&gt;WORKDAY(N($I120),4,calendar!$A$2:$A$80),$AF120=""),"day-5 count missing; ","")&amp;IF(AND($U120&gt;0,$I120&lt;&gt;"",IF(config!$B$37&lt;&gt;"",config!$B$37,TODAY())&gt;WORKDAY(N($I120),4,calendar!$A$2:$A$80),$AN120=""),"no close link reading; ","")&amp;$R120&amp;IF($P120="N","info: office said no; ","")&amp;IF(AND($P120="Y",$Q120="N"),"info: turned away at the door, so not on the drop (no letter, not in the report or Gate 2; the credit check is on campaigns); ","")&amp;IF(AND($U120&gt;0,$Y120="",$I120&lt;&gt;"",IF(config!$B$37&lt;&gt;"",config!$B$37,TODAY())&gt;WORKDAY(N($I120),4,calendar!$A$2:$A$80)),"info: no usable placement photo, so nothing counts as placed; ","")&amp;IF(AND($U120&gt;0,$I120&lt;&gt;"",IF(config!$B$37&lt;&gt;"",config!$B$37,TODAY())&gt;WORKDAY(N($I120),4,calendar!$A$2:$A$80),N($AL120)&lt;config!$B$30),"info: under "&amp;config!$B$30&amp;" responses; ","")&amp;IF($W120="packing_list","info: delivered count not verified; ",""))</f>
        <v/>
      </c>
      <c r="AQ120" s="25">
        <f>IF(OR($A120="",$I120=""),"",IF($BC120="Y",SUMIFS(survey_frozen!$E$2:$E$251,survey_frozen!$P$2:$P$251,$A120&amp;"|"&amp;$B120),IFERROR(COUNTIFS(INDIRECT("'"&amp;$A120&amp;"'!$B$2:$B$501"),$T120,INDIRECT("'"&amp;$A120&amp;"'!$A$2:$A$501"),"&gt;="&amp;$I120,INDIRECT("'"&amp;$A120&amp;"'!$A$2:$A$501"),"&lt;"&amp;($BA120+1),INDIRECT("'"&amp;$A120&amp;"'!$F$2:$F$501"),"Didn't see it"),0)))</f>
        <v/>
      </c>
      <c r="AR120" s="25">
        <f>IF(OR($A120="",$I120=""),"",IF($BC120="Y",SUMIFS(survey_frozen!$F$2:$F$251,survey_frozen!$P$2:$P$251,$A120&amp;"|"&amp;$B120),IFERROR(COUNTIFS(INDIRECT("'"&amp;$A120&amp;"'!$B$2:$B$501"),$T120,INDIRECT("'"&amp;$A120&amp;"'!$A$2:$A$501"),"&gt;="&amp;$I120,INDIRECT("'"&amp;$A120&amp;"'!$A$2:$A$501"),"&lt;"&amp;($BA120+1),INDIRECT("'"&amp;$A120&amp;"'!$F$2:$F$501"),"Not for me"),0)))</f>
        <v/>
      </c>
      <c r="AS120" s="25">
        <f>IF(OR($A120="",$I120=""),"",IF($BC120="Y",SUMIFS(survey_frozen!$G$2:$G$251,survey_frozen!$P$2:$P$251,$A120&amp;"|"&amp;$B120),IFERROR(COUNTIFS(INDIRECT("'"&amp;$A120&amp;"'!$B$2:$B$501"),$T120,INDIRECT("'"&amp;$A120&amp;"'!$A$2:$A$501"),"&gt;="&amp;$I120,INDIRECT("'"&amp;$A120&amp;"'!$A$2:$A$501"),"&lt;"&amp;($BA120+1),INDIRECT("'"&amp;$A120&amp;"'!$F$2:$F$501"),"Gone by the time I looked"),0)))</f>
        <v/>
      </c>
      <c r="AT120" s="25">
        <f>IF(OR($A120="",$I120=""),"",IF($BC120="Y",SUMIFS(survey_frozen!$H$2:$H$251,survey_frozen!$P$2:$P$251,$A120&amp;"|"&amp;$B120),IFERROR(COUNTIFS(INDIRECT("'"&amp;$A120&amp;"'!$B$2:$B$501"),$T120,INDIRECT("'"&amp;$A120&amp;"'!$A$2:$A$501"),"&gt;="&amp;$I120,INDIRECT("'"&amp;$A120&amp;"'!$A$2:$A$501"),"&lt;"&amp;($BA120+1),INDIRECT("'"&amp;$A120&amp;"'!$D$2:$D$501"),"&gt;=1"),0)))</f>
        <v/>
      </c>
      <c r="AU120" s="25">
        <f>IF(OR($A120="",$I120=""),"",IF($BC120="Y",SUMIFS(survey_frozen!$I$2:$I$251,survey_frozen!$P$2:$P$251,$A120&amp;"|"&amp;$B120),IFERROR(SUMIFS(INDIRECT("'"&amp;$A120&amp;"'!$D$2:$D$501"),INDIRECT("'"&amp;$A120&amp;"'!$B$2:$B$501"),$T120,INDIRECT("'"&amp;$A120&amp;"'!$A$2:$A$501"),"&gt;="&amp;$I120,INDIRECT("'"&amp;$A120&amp;"'!$A$2:$A$501"),"&lt;"&amp;($BA120+1)),0)))</f>
        <v/>
      </c>
      <c r="AV120" s="25">
        <f>IF(OR($A120="",$I120=""),"",IF($BC120="Y",SUMIFS(survey_frozen!$J$2:$J$251,survey_frozen!$P$2:$P$251,$A120&amp;"|"&amp;$B120),IFERROR(COUNTIFS(INDIRECT("'"&amp;$A120&amp;"'!$B$2:$B$501"),$T120,INDIRECT("'"&amp;$A120&amp;"'!$A$2:$A$501"),"&gt;="&amp;$I120,INDIRECT("'"&amp;$A120&amp;"'!$A$2:$A$501"),"&lt;"&amp;($BA120+1),INDIRECT("'"&amp;$A120&amp;"'!$E$2:$E$501"),"Yes"),0)))</f>
        <v/>
      </c>
      <c r="AW120" s="25">
        <f>IF(OR($A120="",$I120=""),"",IF($BC120="Y",SUMIFS(survey_frozen!$K$2:$K$251,survey_frozen!$P$2:$P$251,$A120&amp;"|"&amp;$B120),IFERROR(COUNTIFS(INDIRECT("'"&amp;$A120&amp;"'!$B$2:$B$501"),$T120,INDIRECT("'"&amp;$A120&amp;"'!$A$2:$A$501"),"&gt;="&amp;$I120,INDIRECT("'"&amp;$A120&amp;"'!$A$2:$A$501"),"&lt;"&amp;($BA120+1),INDIRECT("'"&amp;$A120&amp;"'!$E$2:$E$501"),"Maybe"),0)))</f>
        <v/>
      </c>
      <c r="AX120" s="25">
        <f>IF(OR($A120="",$I120=""),"",IF($BC120="Y",SUMIFS(survey_frozen!$L$2:$L$251,survey_frozen!$P$2:$P$251,$A120&amp;"|"&amp;$B120),IFERROR(COUNTIFS(INDIRECT("'"&amp;$A120&amp;"'!$B$2:$B$501"),$T120,INDIRECT("'"&amp;$A120&amp;"'!$A$2:$A$501"),"&gt;="&amp;$I120,INDIRECT("'"&amp;$A120&amp;"'!$A$2:$A$501"),"&lt;"&amp;($BA120+1),INDIRECT("'"&amp;$A120&amp;"'!$E$2:$E$501"),"No"),0)))</f>
        <v/>
      </c>
      <c r="AY120" s="25">
        <f>IF(OR($A120="",$I120=""),"",IF($BC120="Y",SUMIFS(survey_frozen!$M$2:$M$251,survey_frozen!$P$2:$P$251,$A120&amp;"|"&amp;$B120),IFERROR(COUNTIFS(INDIRECT("'"&amp;$A120&amp;"'!$B$2:$B$501"),$T120,INDIRECT("'"&amp;$A120&amp;"'!$A$2:$A$501"),"&gt;="&amp;$I120,INDIRECT("'"&amp;$A120&amp;"'!$A$2:$A$501"),"&lt;"&amp;($BA120+1),INDIRECT("'"&amp;$A120&amp;"'!$G$2:$G$501"),"&lt;&gt;"),0)))</f>
        <v/>
      </c>
      <c r="AZ120" s="25">
        <f>IF($A120="","",$A120&amp;"|"&amp;$L120)</f>
        <v/>
      </c>
      <c r="BA120" s="26">
        <f>IF($A120="","",IFERROR(IF(INDEX(drops!$R$2:$R$21,MATCH($H120,drops!$A$2:$A$21,0))="","",INDEX(drops!$R$2:$R$21,MATCH($H120,drops!$A$2:$A$21,0))),""))</f>
        <v/>
      </c>
      <c r="BB120" s="25">
        <f>IF(OR($A120="",$Q120&lt;&gt;"Y"),1000000,N($AL120))</f>
        <v/>
      </c>
      <c r="BC120" s="25">
        <f>IF($A120="","",IF(COUNTIF(survey_frozen!$P$2:$P$251,$A120&amp;"|"&amp;$B120)&gt;0,"Y",""))</f>
        <v/>
      </c>
    </row>
    <row r="121">
      <c r="C121" s="9" t="n"/>
      <c r="E121" s="9" t="n"/>
      <c r="H121" s="25">
        <f>IF($A121="","",IFERROR(IF(INDEX(campaigns!$B$2:$B$51,MATCH($A121,campaigns!$A$2:$A$51,0))="","",INDEX(campaigns!$B$2:$B$51,MATCH($A121,campaigns!$A$2:$A$51,0))),""))</f>
        <v/>
      </c>
      <c r="I121" s="26">
        <f>IF($A121="","",IFERROR(IF(INDEX(campaigns!$BG$2:$BG$51,MATCH($A121,campaigns!$A$2:$A$51,0))="","",INDEX(campaigns!$BG$2:$BG$51,MATCH($A121,campaigns!$A$2:$A$51,0))),""))</f>
        <v/>
      </c>
      <c r="J121" s="25">
        <f>IF($A121="","",IFERROR(IF(INDEX(campaigns!$BE$2:$BE$51,MATCH($A121,campaigns!$A$2:$A$51,0))="","",INDEX(campaigns!$BE$2:$BE$51,MATCH($A121,campaigns!$A$2:$A$51,0))),""))</f>
        <v/>
      </c>
      <c r="K121" s="25">
        <f>IF($B121="","",IFERROR(IF(INDEX(offices!$N$2:$N$61,MATCH($B121,offices!$A$2:$A$61,0))="","",INDEX(offices!$N$2:$N$61,MATCH($B121,offices!$A$2:$A$61,0))),""))</f>
        <v/>
      </c>
      <c r="L121" s="25">
        <f>IF($A121="","",IF($Q121="N","",COUNTIFS($A$2:$A121,$A121,$Q$2:$Q121,"&lt;&gt;N")))</f>
        <v/>
      </c>
      <c r="M121" s="25">
        <f>IF(OR($A121="",$L121=""),"",IF(AND(config!$B$34="names_if_public",IFERROR(IF(INDEX(offices!$AF$2:$AF$61,MATCH($B121,offices!$A$2:$A$61,0))="","",INDEX(offices!$AF$2:$AF$61,MATCH($B121,offices!$A$2:$A$61,0))),"")="Y"),$K121,CHAR(64+$L121)))</f>
        <v/>
      </c>
      <c r="N121" s="25">
        <f>IF(OR($A121="",$I121=""),"",COUNTIFS(stops!$B$2:$B$151,$B121,stops!$P$2:$P$151,"&lt;"&amp;$I121,stops!$L$2:$L$151,"&lt;&gt;not_delivered")+1)</f>
        <v/>
      </c>
      <c r="O121" s="25">
        <f>IF($A121="","",IF(N($N121)&lt;=config!$B$29,"explicit","opt-out"))</f>
        <v/>
      </c>
      <c r="P121" s="25">
        <f>IF($A121="","",IF($O121="explicit",IF($D121="yes","Y",IF($D121="no","N","pending")),IF($D121="no","N",IF(AND($C121&lt;&gt;"",$I121&lt;&gt;"",$C121&lt;=WORKDAY(N($I121),-5,calendar!$A$2:$A$80)),"Y","pending"))))</f>
        <v/>
      </c>
      <c r="Q121" s="25">
        <f>IF($A121="","",IF($P121="N","N",IF($P121&lt;&gt;"Y","pending",IF(AND((COUNTIFS(stops!$A$2:$A$151,$H121,stops!$B$2:$B$151,$B121,stops!$L$2:$L$151,"declined")+COUNTIFS(stops!$A$2:$A$151,$H121,stops!$B$2:$B$151,$B121,stops!$L$2:$L$151,"building_refused")+COUNTIFS(stops!$A$2:$A$151,$H121,stops!$B$2:$B$151,$B121,stops!$L$2:$L$151,"not_delivered"))&gt;0,N($U121)=0),"N","Y"))))</f>
        <v/>
      </c>
      <c r="R121" s="25">
        <f>IF($A121="","",IF(COUNTIFS($A$2:$A$251,$A121,$B$2:$B$251,$B121)&gt;1,"DUPLICATE ROW; ","")&amp;IF(AND(IFERROR(IF(INDEX(offices!$AC$2:$AC$61,MATCH($B121,offices!$A$2:$A$61,0))="","",INDEX(offices!$AC$2:$AC$61,MATCH($B121,offices!$A$2:$A$61,0))),"")&lt;&gt;"",ISNUMBER(SEARCH($J121,IFERROR(IF(INDEX(offices!$AC$2:$AC$61,MATCH($B121,offices!$A$2:$A$61,0))="","",INDEX(offices!$AC$2:$AC$61,MATCH($B121,offices!$A$2:$A$61,0))),"")))),"BRAND VETOED; ","")&amp;IF(ISNUMBER(SEARCH(IFERROR(IF(INDEX(campaigns!$BF$2:$BF$51,MATCH($A121,campaigns!$A$2:$A$51,0))="","",INDEX(campaigns!$BF$2:$BF$51,MATCH($A121,campaigns!$A$2:$A$51,0))),""),IFERROR(IF(INDEX(offices!$AB$2:$AB$61,MATCH($B121,offices!$A$2:$A$61,0))="","",INDEX(offices!$AB$2:$AB$61,MATCH($B121,offices!$A$2:$A$61,0))),""))),"","info: category not on the office's list; ")&amp;IF(IFERROR(IF(INDEX(offices!$AC$2:$AC$61,MATCH($B121,offices!$A$2:$A$61,0))="","",INDEX(offices!$AC$2:$AC$61,MATCH($B121,offices!$A$2:$A$61,0))),"")&lt;&gt;"","info: read the vetoes against the label; ",""))</f>
        <v/>
      </c>
      <c r="S121" s="25">
        <f>IF($A121="","",IF($G121&lt;&gt;"",$G121,IFERROR(IF(INDEX(offices!$AL$2:$AL$61,MATCH($B121,offices!$A$2:$A$61,0))="","",INDEX(offices!$AL$2:$AL$61,MATCH($B121,offices!$A$2:$A$61,0))),"")))</f>
        <v/>
      </c>
      <c r="T121" s="25">
        <f>IF($A121="","",$A121&amp;"."&amp;$B121)</f>
        <v/>
      </c>
      <c r="U121" s="25">
        <f>IF($A121="","",SUMIFS(inventory!$G$2:$G$801,inventory!$C$2:$C$801,$A121,inventory!$D$2:$D$801,$B121,inventory!$E$2:$E$801,"delivered"))</f>
        <v/>
      </c>
      <c r="V121" s="32">
        <f>IF($A121="","",IFERROR(1/(1/SUMPRODUCT(MAX((inventory!$C$2:$C$801=$A121)*(inventory!$D$2:$D$801=$B121)*(inventory!$E$2:$E$801="delivered")*(inventory!$A$2:$A$801+inventory!$B$2:$B$801)))),""))</f>
        <v/>
      </c>
      <c r="W121" s="25">
        <f>IF($A121="","",IFERROR(IF(INDEX(inventory!$J$2:$J$801,MATCH($A121&amp;"|"&amp;$B121&amp;"|delivered",inventory!$R$2:$R$801,0))="","",INDEX(inventory!$J$2:$J$801,MATCH($A121&amp;"|"&amp;$B121&amp;"|delivered",inventory!$R$2:$R$801,0))),""))</f>
        <v/>
      </c>
      <c r="X121" s="25">
        <f>IF($A121="","",IFERROR(IF(INDEX(photos!$H$2:$H$701,MATCH($A121&amp;"|"&amp;$B121&amp;"|placement|Y",photos!$R$2:$R$701,0))="","",INDEX(photos!$H$2:$H$701,MATCH($A121&amp;"|"&amp;$B121&amp;"|placement|Y",photos!$R$2:$R$701,0))),""))</f>
        <v/>
      </c>
      <c r="Y121" s="26">
        <f>IF($A121="","",IFERROR(IF(INDEX(photos!$E$2:$E$701,MATCH($A121&amp;"|"&amp;$B121&amp;"|placement|Y",photos!$R$2:$R$701,0))="","",INDEX(photos!$E$2:$E$701,MATCH($A121&amp;"|"&amp;$B121&amp;"|placement|Y",photos!$R$2:$R$701,0))),""))</f>
        <v/>
      </c>
      <c r="Z121" s="25">
        <f>IF($A121="","",IF(COUNTIFS(counts!$C$2:$C$701,$A121,counts!$D$2:$D$701,$B121,counts!$E$2:$E$701,"placed")=0,"",SUMIFS(counts!$F$2:$F$701,counts!$C$2:$C$701,$A121,counts!$D$2:$D$701,$B121,counts!$E$2:$E$701,"placed")))</f>
        <v/>
      </c>
      <c r="AA121" s="25">
        <f>IF($A121="","",IF($Y121="",0,N($Z121)))</f>
        <v/>
      </c>
      <c r="AB121" s="25">
        <f>IF($A121="","",IF(OR($Y121="",$I121=""),"N",IF($Y121&lt;=WORKDAY(N($I121),1,calendar!$A$2:$A$80),"Y","N")))</f>
        <v/>
      </c>
      <c r="AC121" s="28">
        <f>IF(OR($A121="",$V121="",$Y121=""),"",ROUND(($Y121+N(IFERROR(IF(INDEX(photos!$F$2:$F$701,MATCH($A121&amp;"|"&amp;$B121&amp;"|placement|Y",photos!$R$2:$R$701,0))="","",INDEX(photos!$F$2:$F$701,MATCH($A121&amp;"|"&amp;$B121&amp;"|placement|Y",photos!$R$2:$R$701,0))),""))-$V121)*24,1))</f>
        <v/>
      </c>
      <c r="AD121" s="25">
        <f>IF($A121="","",SUMIFS(inventory!$G$2:$G$801,inventory!$C$2:$C$801,$A121,inventory!$D$2:$D$801,$B121,inventory!$E$2:$E$801,"topped_up"))</f>
        <v/>
      </c>
      <c r="AE121" s="25">
        <f>IF($A121="","",IF(COUNTIFS(counts!$C$2:$C$701,$A121,counts!$D$2:$D$701,$B121,counts!$E$2:$E$701,"remaining_day3")=0,"",SUMIFS(counts!$F$2:$F$701,counts!$C$2:$C$701,$A121,counts!$D$2:$D$701,$B121,counts!$E$2:$E$701,"remaining_day3")))</f>
        <v/>
      </c>
      <c r="AF121" s="25">
        <f>IF($A121="","",IF(COUNTIFS(counts!$C$2:$C$701,$A121,counts!$D$2:$D$701,$B121,counts!$E$2:$E$701,"remaining_day5")=0,"",SUMIFS(counts!$F$2:$F$701,counts!$C$2:$C$701,$A121,counts!$D$2:$D$701,$B121,counts!$E$2:$E$701,"remaining_day5")))</f>
        <v/>
      </c>
      <c r="AG121" s="25">
        <f>IF(OR($A121="",$AF121=""),"",MAX(0,$AA121+$AD121-$AF121))</f>
        <v/>
      </c>
      <c r="AH121" s="25">
        <f>IF(OR($A121="",$AI121=""),"",IFERROR(IF(INDEX(photos!$H$2:$H$701,MATCH($A121&amp;"|"&amp;$B121&amp;"|later|Y|"&amp;$AI121,photos!$S$2:$S$701,0))="","",INDEX(photos!$H$2:$H$701,MATCH($A121&amp;"|"&amp;$B121&amp;"|later|Y|"&amp;$AI121,photos!$S$2:$S$701,0))),""))</f>
        <v/>
      </c>
      <c r="AI121" s="26">
        <f>IF($A121="","",IFERROR(1/(1/SUMPRODUCT(MAX((photos!$B$2:$B$701=$A121)*(photos!$C$2:$C$701=$B121)*(photos!$D$2:$D$701="later")*(photos!$O$2:$O$701="Y")*photos!$E$2:$E$701))),""))</f>
        <v/>
      </c>
      <c r="AJ121" s="25">
        <f>IF(OR($A121="",$AI121="",$I121=""),"",NETWORKDAYS($I121,$AI121,calendar!$A$2:$A$80))</f>
        <v/>
      </c>
      <c r="AK121" s="25">
        <f>IF($A121="","",IF(AND($X121&lt;&gt;"",$AH121&lt;&gt;""),"Y","N"))</f>
        <v/>
      </c>
      <c r="AL121" s="25">
        <f>IF(OR($A121="",$I121=""),"",IF($BC121="Y",SUMIFS(survey_frozen!$C$2:$C$251,survey_frozen!$P$2:$P$251,$A121&amp;"|"&amp;$B121),IFERROR(COUNTIFS(INDIRECT("'"&amp;$A121&amp;"'!$B$2:$B$501"),$T121,INDIRECT("'"&amp;$A121&amp;"'!$A$2:$A$501"),"&gt;="&amp;$I121,INDIRECT("'"&amp;$A121&amp;"'!$A$2:$A$501"),"&lt;"&amp;($BA121+1)),0)))</f>
        <v/>
      </c>
      <c r="AM121" s="25">
        <f>IF(OR($A121="",$I121=""),"",IF($BC121="Y",SUMIFS(survey_frozen!$D$2:$D$251,survey_frozen!$P$2:$P$251,$A121&amp;"|"&amp;$B121),IFERROR(COUNTIFS(INDIRECT("'"&amp;$A121&amp;"'!$B$2:$B$501"),$T121,INDIRECT("'"&amp;$A121&amp;"'!$A$2:$A$501"),"&gt;="&amp;$I121,INDIRECT("'"&amp;$A121&amp;"'!$A$2:$A$501"),"&lt;"&amp;($BA121+1),INDIRECT("'"&amp;$A121&amp;"'!$C$2:$C$501"),"Yes"),0)))</f>
        <v/>
      </c>
      <c r="AN121" s="25">
        <f>IF($A121="","",IF(COUNTIFS(scans!$C$2:$C$1601,(IF(LEFT($A121,7)="SAMPLE-","SAMPLE-","")&amp;LOWER(SUBSTITUTE(SUBSTITUTE($A121,"SAMPLE-",""),"CMP-","c"))&amp;"-"&amp;LOWER(SUBSTITUTE(SUBSTITUTE($B121,"SAMPLE-",""),"O-","o"))&amp;"-q"),scans!$D$2:$D$1601,"close")=0,"",SUMPRODUCT(MAX((scans!$C$2:$C$1601=(IF(LEFT($A121,7)="SAMPLE-","SAMPLE-","")&amp;LOWER(SUBSTITUTE(SUBSTITUTE($A121,"SAMPLE-",""),"CMP-","c"))&amp;"-"&amp;LOWER(SUBSTITUTE(SUBSTITUTE($B121,"SAMPLE-",""),"O-","o"))&amp;"-q"))*(scans!$D$2:$D$1601="close")*scans!$E$2:$E$1601))-SUMPRODUCT(MAX((scans!$C$2:$C$1601=(IF(LEFT($A121,7)="SAMPLE-","SAMPLE-","")&amp;LOWER(SUBSTITUTE(SUBSTITUTE($A121,"SAMPLE-",""),"CMP-","c"))&amp;"-"&amp;LOWER(SUBSTITUTE(SUBSTITUTE($B121,"SAMPLE-",""),"O-","o"))&amp;"-q"))*(scans!$D$2:$D$1601="baseline")*scans!$E$2:$E$1601))))</f>
        <v/>
      </c>
      <c r="AO121" s="25">
        <f>IF($A121="","",IF(COUNTIFS(scans!$C$2:$C$1601,(IF(LEFT($A121,7)="SAMPLE-","SAMPLE-","")&amp;LOWER(SUBSTITUTE(SUBSTITUTE($A121,"SAMPLE-",""),"CMP-","c"))&amp;"-"&amp;LOWER(SUBSTITUTE(SUBSTITUTE($B121,"SAMPLE-",""),"O-","o"))&amp;"-p"),scans!$D$2:$D$1601,"close")=0,"",SUMPRODUCT(MAX((scans!$C$2:$C$1601=(IF(LEFT($A121,7)="SAMPLE-","SAMPLE-","")&amp;LOWER(SUBSTITUTE(SUBSTITUTE($A121,"SAMPLE-",""),"CMP-","c"))&amp;"-"&amp;LOWER(SUBSTITUTE(SUBSTITUTE($B121,"SAMPLE-",""),"O-","o"))&amp;"-p"))*(scans!$D$2:$D$1601="close")*scans!$E$2:$E$1601))-SUMPRODUCT(MAX((scans!$C$2:$C$1601=(IF(LEFT($A121,7)="SAMPLE-","SAMPLE-","")&amp;LOWER(SUBSTITUTE(SUBSTITUTE($A121,"SAMPLE-",""),"CMP-","c"))&amp;"-"&amp;LOWER(SUBSTITUTE(SUBSTITUTE($B121,"SAMPLE-",""),"O-","o"))&amp;"-p"))*(scans!$D$2:$D$1601="baseline")*scans!$E$2:$E$1601))))</f>
        <v/>
      </c>
      <c r="AP121" s="25">
        <f>IF($A121="","",IF(COUNTIF(offices!$A$2:$A$61,$B121)=0,"office_id not on offices; ","")&amp;IF(COUNTIF(campaigns!$A$2:$A$51,$A121)=0,"campaign_id not on campaigns; ","")&amp;IF($P121="pending","approval pending; ","")&amp;IF(AND($U121&gt;0,$Y121="",OR($I121="",IF(config!$B$37&lt;&gt;"",config!$B$37,TODAY())&lt;=WORKDAY(N($I121),4,calendar!$A$2:$A$80))),"no usable placement photo yet; ","")&amp;IF(AND($Y121&lt;&gt;"",$Z121=""),"log the placed count; ","")&amp;IF(N($AA121)&gt;N($U121),"placed more than delivered; ","")&amp;IF(AND($AF121&lt;&gt;"",N($AF121)&gt;N($AA121)+N($AD121)),"day-5 count above placed plus top-ups; ","")&amp;IF(AND($U121&gt;0,$I121&lt;&gt;"",IF(config!$B$37&lt;&gt;"",config!$B$37,TODAY())&gt;WORKDAY(N($I121),4,calendar!$A$2:$A$80),$AF121=""),"day-5 count missing; ","")&amp;IF(AND($U121&gt;0,$I121&lt;&gt;"",IF(config!$B$37&lt;&gt;"",config!$B$37,TODAY())&gt;WORKDAY(N($I121),4,calendar!$A$2:$A$80),$AN121=""),"no close link reading; ","")&amp;$R121&amp;IF($P121="N","info: office said no; ","")&amp;IF(AND($P121="Y",$Q121="N"),"info: turned away at the door, so not on the drop (no letter, not in the report or Gate 2; the credit check is on campaigns); ","")&amp;IF(AND($U121&gt;0,$Y121="",$I121&lt;&gt;"",IF(config!$B$37&lt;&gt;"",config!$B$37,TODAY())&gt;WORKDAY(N($I121),4,calendar!$A$2:$A$80)),"info: no usable placement photo, so nothing counts as placed; ","")&amp;IF(AND($U121&gt;0,$I121&lt;&gt;"",IF(config!$B$37&lt;&gt;"",config!$B$37,TODAY())&gt;WORKDAY(N($I121),4,calendar!$A$2:$A$80),N($AL121)&lt;config!$B$30),"info: under "&amp;config!$B$30&amp;" responses; ","")&amp;IF($W121="packing_list","info: delivered count not verified; ",""))</f>
        <v/>
      </c>
      <c r="AQ121" s="25">
        <f>IF(OR($A121="",$I121=""),"",IF($BC121="Y",SUMIFS(survey_frozen!$E$2:$E$251,survey_frozen!$P$2:$P$251,$A121&amp;"|"&amp;$B121),IFERROR(COUNTIFS(INDIRECT("'"&amp;$A121&amp;"'!$B$2:$B$501"),$T121,INDIRECT("'"&amp;$A121&amp;"'!$A$2:$A$501"),"&gt;="&amp;$I121,INDIRECT("'"&amp;$A121&amp;"'!$A$2:$A$501"),"&lt;"&amp;($BA121+1),INDIRECT("'"&amp;$A121&amp;"'!$F$2:$F$501"),"Didn't see it"),0)))</f>
        <v/>
      </c>
      <c r="AR121" s="25">
        <f>IF(OR($A121="",$I121=""),"",IF($BC121="Y",SUMIFS(survey_frozen!$F$2:$F$251,survey_frozen!$P$2:$P$251,$A121&amp;"|"&amp;$B121),IFERROR(COUNTIFS(INDIRECT("'"&amp;$A121&amp;"'!$B$2:$B$501"),$T121,INDIRECT("'"&amp;$A121&amp;"'!$A$2:$A$501"),"&gt;="&amp;$I121,INDIRECT("'"&amp;$A121&amp;"'!$A$2:$A$501"),"&lt;"&amp;($BA121+1),INDIRECT("'"&amp;$A121&amp;"'!$F$2:$F$501"),"Not for me"),0)))</f>
        <v/>
      </c>
      <c r="AS121" s="25">
        <f>IF(OR($A121="",$I121=""),"",IF($BC121="Y",SUMIFS(survey_frozen!$G$2:$G$251,survey_frozen!$P$2:$P$251,$A121&amp;"|"&amp;$B121),IFERROR(COUNTIFS(INDIRECT("'"&amp;$A121&amp;"'!$B$2:$B$501"),$T121,INDIRECT("'"&amp;$A121&amp;"'!$A$2:$A$501"),"&gt;="&amp;$I121,INDIRECT("'"&amp;$A121&amp;"'!$A$2:$A$501"),"&lt;"&amp;($BA121+1),INDIRECT("'"&amp;$A121&amp;"'!$F$2:$F$501"),"Gone by the time I looked"),0)))</f>
        <v/>
      </c>
      <c r="AT121" s="25">
        <f>IF(OR($A121="",$I121=""),"",IF($BC121="Y",SUMIFS(survey_frozen!$H$2:$H$251,survey_frozen!$P$2:$P$251,$A121&amp;"|"&amp;$B121),IFERROR(COUNTIFS(INDIRECT("'"&amp;$A121&amp;"'!$B$2:$B$501"),$T121,INDIRECT("'"&amp;$A121&amp;"'!$A$2:$A$501"),"&gt;="&amp;$I121,INDIRECT("'"&amp;$A121&amp;"'!$A$2:$A$501"),"&lt;"&amp;($BA121+1),INDIRECT("'"&amp;$A121&amp;"'!$D$2:$D$501"),"&gt;=1"),0)))</f>
        <v/>
      </c>
      <c r="AU121" s="25">
        <f>IF(OR($A121="",$I121=""),"",IF($BC121="Y",SUMIFS(survey_frozen!$I$2:$I$251,survey_frozen!$P$2:$P$251,$A121&amp;"|"&amp;$B121),IFERROR(SUMIFS(INDIRECT("'"&amp;$A121&amp;"'!$D$2:$D$501"),INDIRECT("'"&amp;$A121&amp;"'!$B$2:$B$501"),$T121,INDIRECT("'"&amp;$A121&amp;"'!$A$2:$A$501"),"&gt;="&amp;$I121,INDIRECT("'"&amp;$A121&amp;"'!$A$2:$A$501"),"&lt;"&amp;($BA121+1)),0)))</f>
        <v/>
      </c>
      <c r="AV121" s="25">
        <f>IF(OR($A121="",$I121=""),"",IF($BC121="Y",SUMIFS(survey_frozen!$J$2:$J$251,survey_frozen!$P$2:$P$251,$A121&amp;"|"&amp;$B121),IFERROR(COUNTIFS(INDIRECT("'"&amp;$A121&amp;"'!$B$2:$B$501"),$T121,INDIRECT("'"&amp;$A121&amp;"'!$A$2:$A$501"),"&gt;="&amp;$I121,INDIRECT("'"&amp;$A121&amp;"'!$A$2:$A$501"),"&lt;"&amp;($BA121+1),INDIRECT("'"&amp;$A121&amp;"'!$E$2:$E$501"),"Yes"),0)))</f>
        <v/>
      </c>
      <c r="AW121" s="25">
        <f>IF(OR($A121="",$I121=""),"",IF($BC121="Y",SUMIFS(survey_frozen!$K$2:$K$251,survey_frozen!$P$2:$P$251,$A121&amp;"|"&amp;$B121),IFERROR(COUNTIFS(INDIRECT("'"&amp;$A121&amp;"'!$B$2:$B$501"),$T121,INDIRECT("'"&amp;$A121&amp;"'!$A$2:$A$501"),"&gt;="&amp;$I121,INDIRECT("'"&amp;$A121&amp;"'!$A$2:$A$501"),"&lt;"&amp;($BA121+1),INDIRECT("'"&amp;$A121&amp;"'!$E$2:$E$501"),"Maybe"),0)))</f>
        <v/>
      </c>
      <c r="AX121" s="25">
        <f>IF(OR($A121="",$I121=""),"",IF($BC121="Y",SUMIFS(survey_frozen!$L$2:$L$251,survey_frozen!$P$2:$P$251,$A121&amp;"|"&amp;$B121),IFERROR(COUNTIFS(INDIRECT("'"&amp;$A121&amp;"'!$B$2:$B$501"),$T121,INDIRECT("'"&amp;$A121&amp;"'!$A$2:$A$501"),"&gt;="&amp;$I121,INDIRECT("'"&amp;$A121&amp;"'!$A$2:$A$501"),"&lt;"&amp;($BA121+1),INDIRECT("'"&amp;$A121&amp;"'!$E$2:$E$501"),"No"),0)))</f>
        <v/>
      </c>
      <c r="AY121" s="25">
        <f>IF(OR($A121="",$I121=""),"",IF($BC121="Y",SUMIFS(survey_frozen!$M$2:$M$251,survey_frozen!$P$2:$P$251,$A121&amp;"|"&amp;$B121),IFERROR(COUNTIFS(INDIRECT("'"&amp;$A121&amp;"'!$B$2:$B$501"),$T121,INDIRECT("'"&amp;$A121&amp;"'!$A$2:$A$501"),"&gt;="&amp;$I121,INDIRECT("'"&amp;$A121&amp;"'!$A$2:$A$501"),"&lt;"&amp;($BA121+1),INDIRECT("'"&amp;$A121&amp;"'!$G$2:$G$501"),"&lt;&gt;"),0)))</f>
        <v/>
      </c>
      <c r="AZ121" s="25">
        <f>IF($A121="","",$A121&amp;"|"&amp;$L121)</f>
        <v/>
      </c>
      <c r="BA121" s="26">
        <f>IF($A121="","",IFERROR(IF(INDEX(drops!$R$2:$R$21,MATCH($H121,drops!$A$2:$A$21,0))="","",INDEX(drops!$R$2:$R$21,MATCH($H121,drops!$A$2:$A$21,0))),""))</f>
        <v/>
      </c>
      <c r="BB121" s="25">
        <f>IF(OR($A121="",$Q121&lt;&gt;"Y"),1000000,N($AL121))</f>
        <v/>
      </c>
      <c r="BC121" s="25">
        <f>IF($A121="","",IF(COUNTIF(survey_frozen!$P$2:$P$251,$A121&amp;"|"&amp;$B121)&gt;0,"Y",""))</f>
        <v/>
      </c>
    </row>
    <row r="122">
      <c r="C122" s="9" t="n"/>
      <c r="E122" s="9" t="n"/>
      <c r="H122" s="25">
        <f>IF($A122="","",IFERROR(IF(INDEX(campaigns!$B$2:$B$51,MATCH($A122,campaigns!$A$2:$A$51,0))="","",INDEX(campaigns!$B$2:$B$51,MATCH($A122,campaigns!$A$2:$A$51,0))),""))</f>
        <v/>
      </c>
      <c r="I122" s="26">
        <f>IF($A122="","",IFERROR(IF(INDEX(campaigns!$BG$2:$BG$51,MATCH($A122,campaigns!$A$2:$A$51,0))="","",INDEX(campaigns!$BG$2:$BG$51,MATCH($A122,campaigns!$A$2:$A$51,0))),""))</f>
        <v/>
      </c>
      <c r="J122" s="25">
        <f>IF($A122="","",IFERROR(IF(INDEX(campaigns!$BE$2:$BE$51,MATCH($A122,campaigns!$A$2:$A$51,0))="","",INDEX(campaigns!$BE$2:$BE$51,MATCH($A122,campaigns!$A$2:$A$51,0))),""))</f>
        <v/>
      </c>
      <c r="K122" s="25">
        <f>IF($B122="","",IFERROR(IF(INDEX(offices!$N$2:$N$61,MATCH($B122,offices!$A$2:$A$61,0))="","",INDEX(offices!$N$2:$N$61,MATCH($B122,offices!$A$2:$A$61,0))),""))</f>
        <v/>
      </c>
      <c r="L122" s="25">
        <f>IF($A122="","",IF($Q122="N","",COUNTIFS($A$2:$A122,$A122,$Q$2:$Q122,"&lt;&gt;N")))</f>
        <v/>
      </c>
      <c r="M122" s="25">
        <f>IF(OR($A122="",$L122=""),"",IF(AND(config!$B$34="names_if_public",IFERROR(IF(INDEX(offices!$AF$2:$AF$61,MATCH($B122,offices!$A$2:$A$61,0))="","",INDEX(offices!$AF$2:$AF$61,MATCH($B122,offices!$A$2:$A$61,0))),"")="Y"),$K122,CHAR(64+$L122)))</f>
        <v/>
      </c>
      <c r="N122" s="25">
        <f>IF(OR($A122="",$I122=""),"",COUNTIFS(stops!$B$2:$B$151,$B122,stops!$P$2:$P$151,"&lt;"&amp;$I122,stops!$L$2:$L$151,"&lt;&gt;not_delivered")+1)</f>
        <v/>
      </c>
      <c r="O122" s="25">
        <f>IF($A122="","",IF(N($N122)&lt;=config!$B$29,"explicit","opt-out"))</f>
        <v/>
      </c>
      <c r="P122" s="25">
        <f>IF($A122="","",IF($O122="explicit",IF($D122="yes","Y",IF($D122="no","N","pending")),IF($D122="no","N",IF(AND($C122&lt;&gt;"",$I122&lt;&gt;"",$C122&lt;=WORKDAY(N($I122),-5,calendar!$A$2:$A$80)),"Y","pending"))))</f>
        <v/>
      </c>
      <c r="Q122" s="25">
        <f>IF($A122="","",IF($P122="N","N",IF($P122&lt;&gt;"Y","pending",IF(AND((COUNTIFS(stops!$A$2:$A$151,$H122,stops!$B$2:$B$151,$B122,stops!$L$2:$L$151,"declined")+COUNTIFS(stops!$A$2:$A$151,$H122,stops!$B$2:$B$151,$B122,stops!$L$2:$L$151,"building_refused")+COUNTIFS(stops!$A$2:$A$151,$H122,stops!$B$2:$B$151,$B122,stops!$L$2:$L$151,"not_delivered"))&gt;0,N($U122)=0),"N","Y"))))</f>
        <v/>
      </c>
      <c r="R122" s="25">
        <f>IF($A122="","",IF(COUNTIFS($A$2:$A$251,$A122,$B$2:$B$251,$B122)&gt;1,"DUPLICATE ROW; ","")&amp;IF(AND(IFERROR(IF(INDEX(offices!$AC$2:$AC$61,MATCH($B122,offices!$A$2:$A$61,0))="","",INDEX(offices!$AC$2:$AC$61,MATCH($B122,offices!$A$2:$A$61,0))),"")&lt;&gt;"",ISNUMBER(SEARCH($J122,IFERROR(IF(INDEX(offices!$AC$2:$AC$61,MATCH($B122,offices!$A$2:$A$61,0))="","",INDEX(offices!$AC$2:$AC$61,MATCH($B122,offices!$A$2:$A$61,0))),"")))),"BRAND VETOED; ","")&amp;IF(ISNUMBER(SEARCH(IFERROR(IF(INDEX(campaigns!$BF$2:$BF$51,MATCH($A122,campaigns!$A$2:$A$51,0))="","",INDEX(campaigns!$BF$2:$BF$51,MATCH($A122,campaigns!$A$2:$A$51,0))),""),IFERROR(IF(INDEX(offices!$AB$2:$AB$61,MATCH($B122,offices!$A$2:$A$61,0))="","",INDEX(offices!$AB$2:$AB$61,MATCH($B122,offices!$A$2:$A$61,0))),""))),"","info: category not on the office's list; ")&amp;IF(IFERROR(IF(INDEX(offices!$AC$2:$AC$61,MATCH($B122,offices!$A$2:$A$61,0))="","",INDEX(offices!$AC$2:$AC$61,MATCH($B122,offices!$A$2:$A$61,0))),"")&lt;&gt;"","info: read the vetoes against the label; ",""))</f>
        <v/>
      </c>
      <c r="S122" s="25">
        <f>IF($A122="","",IF($G122&lt;&gt;"",$G122,IFERROR(IF(INDEX(offices!$AL$2:$AL$61,MATCH($B122,offices!$A$2:$A$61,0))="","",INDEX(offices!$AL$2:$AL$61,MATCH($B122,offices!$A$2:$A$61,0))),"")))</f>
        <v/>
      </c>
      <c r="T122" s="25">
        <f>IF($A122="","",$A122&amp;"."&amp;$B122)</f>
        <v/>
      </c>
      <c r="U122" s="25">
        <f>IF($A122="","",SUMIFS(inventory!$G$2:$G$801,inventory!$C$2:$C$801,$A122,inventory!$D$2:$D$801,$B122,inventory!$E$2:$E$801,"delivered"))</f>
        <v/>
      </c>
      <c r="V122" s="32">
        <f>IF($A122="","",IFERROR(1/(1/SUMPRODUCT(MAX((inventory!$C$2:$C$801=$A122)*(inventory!$D$2:$D$801=$B122)*(inventory!$E$2:$E$801="delivered")*(inventory!$A$2:$A$801+inventory!$B$2:$B$801)))),""))</f>
        <v/>
      </c>
      <c r="W122" s="25">
        <f>IF($A122="","",IFERROR(IF(INDEX(inventory!$J$2:$J$801,MATCH($A122&amp;"|"&amp;$B122&amp;"|delivered",inventory!$R$2:$R$801,0))="","",INDEX(inventory!$J$2:$J$801,MATCH($A122&amp;"|"&amp;$B122&amp;"|delivered",inventory!$R$2:$R$801,0))),""))</f>
        <v/>
      </c>
      <c r="X122" s="25">
        <f>IF($A122="","",IFERROR(IF(INDEX(photos!$H$2:$H$701,MATCH($A122&amp;"|"&amp;$B122&amp;"|placement|Y",photos!$R$2:$R$701,0))="","",INDEX(photos!$H$2:$H$701,MATCH($A122&amp;"|"&amp;$B122&amp;"|placement|Y",photos!$R$2:$R$701,0))),""))</f>
        <v/>
      </c>
      <c r="Y122" s="26">
        <f>IF($A122="","",IFERROR(IF(INDEX(photos!$E$2:$E$701,MATCH($A122&amp;"|"&amp;$B122&amp;"|placement|Y",photos!$R$2:$R$701,0))="","",INDEX(photos!$E$2:$E$701,MATCH($A122&amp;"|"&amp;$B122&amp;"|placement|Y",photos!$R$2:$R$701,0))),""))</f>
        <v/>
      </c>
      <c r="Z122" s="25">
        <f>IF($A122="","",IF(COUNTIFS(counts!$C$2:$C$701,$A122,counts!$D$2:$D$701,$B122,counts!$E$2:$E$701,"placed")=0,"",SUMIFS(counts!$F$2:$F$701,counts!$C$2:$C$701,$A122,counts!$D$2:$D$701,$B122,counts!$E$2:$E$701,"placed")))</f>
        <v/>
      </c>
      <c r="AA122" s="25">
        <f>IF($A122="","",IF($Y122="",0,N($Z122)))</f>
        <v/>
      </c>
      <c r="AB122" s="25">
        <f>IF($A122="","",IF(OR($Y122="",$I122=""),"N",IF($Y122&lt;=WORKDAY(N($I122),1,calendar!$A$2:$A$80),"Y","N")))</f>
        <v/>
      </c>
      <c r="AC122" s="28">
        <f>IF(OR($A122="",$V122="",$Y122=""),"",ROUND(($Y122+N(IFERROR(IF(INDEX(photos!$F$2:$F$701,MATCH($A122&amp;"|"&amp;$B122&amp;"|placement|Y",photos!$R$2:$R$701,0))="","",INDEX(photos!$F$2:$F$701,MATCH($A122&amp;"|"&amp;$B122&amp;"|placement|Y",photos!$R$2:$R$701,0))),""))-$V122)*24,1))</f>
        <v/>
      </c>
      <c r="AD122" s="25">
        <f>IF($A122="","",SUMIFS(inventory!$G$2:$G$801,inventory!$C$2:$C$801,$A122,inventory!$D$2:$D$801,$B122,inventory!$E$2:$E$801,"topped_up"))</f>
        <v/>
      </c>
      <c r="AE122" s="25">
        <f>IF($A122="","",IF(COUNTIFS(counts!$C$2:$C$701,$A122,counts!$D$2:$D$701,$B122,counts!$E$2:$E$701,"remaining_day3")=0,"",SUMIFS(counts!$F$2:$F$701,counts!$C$2:$C$701,$A122,counts!$D$2:$D$701,$B122,counts!$E$2:$E$701,"remaining_day3")))</f>
        <v/>
      </c>
      <c r="AF122" s="25">
        <f>IF($A122="","",IF(COUNTIFS(counts!$C$2:$C$701,$A122,counts!$D$2:$D$701,$B122,counts!$E$2:$E$701,"remaining_day5")=0,"",SUMIFS(counts!$F$2:$F$701,counts!$C$2:$C$701,$A122,counts!$D$2:$D$701,$B122,counts!$E$2:$E$701,"remaining_day5")))</f>
        <v/>
      </c>
      <c r="AG122" s="25">
        <f>IF(OR($A122="",$AF122=""),"",MAX(0,$AA122+$AD122-$AF122))</f>
        <v/>
      </c>
      <c r="AH122" s="25">
        <f>IF(OR($A122="",$AI122=""),"",IFERROR(IF(INDEX(photos!$H$2:$H$701,MATCH($A122&amp;"|"&amp;$B122&amp;"|later|Y|"&amp;$AI122,photos!$S$2:$S$701,0))="","",INDEX(photos!$H$2:$H$701,MATCH($A122&amp;"|"&amp;$B122&amp;"|later|Y|"&amp;$AI122,photos!$S$2:$S$701,0))),""))</f>
        <v/>
      </c>
      <c r="AI122" s="26">
        <f>IF($A122="","",IFERROR(1/(1/SUMPRODUCT(MAX((photos!$B$2:$B$701=$A122)*(photos!$C$2:$C$701=$B122)*(photos!$D$2:$D$701="later")*(photos!$O$2:$O$701="Y")*photos!$E$2:$E$701))),""))</f>
        <v/>
      </c>
      <c r="AJ122" s="25">
        <f>IF(OR($A122="",$AI122="",$I122=""),"",NETWORKDAYS($I122,$AI122,calendar!$A$2:$A$80))</f>
        <v/>
      </c>
      <c r="AK122" s="25">
        <f>IF($A122="","",IF(AND($X122&lt;&gt;"",$AH122&lt;&gt;""),"Y","N"))</f>
        <v/>
      </c>
      <c r="AL122" s="25">
        <f>IF(OR($A122="",$I122=""),"",IF($BC122="Y",SUMIFS(survey_frozen!$C$2:$C$251,survey_frozen!$P$2:$P$251,$A122&amp;"|"&amp;$B122),IFERROR(COUNTIFS(INDIRECT("'"&amp;$A122&amp;"'!$B$2:$B$501"),$T122,INDIRECT("'"&amp;$A122&amp;"'!$A$2:$A$501"),"&gt;="&amp;$I122,INDIRECT("'"&amp;$A122&amp;"'!$A$2:$A$501"),"&lt;"&amp;($BA122+1)),0)))</f>
        <v/>
      </c>
      <c r="AM122" s="25">
        <f>IF(OR($A122="",$I122=""),"",IF($BC122="Y",SUMIFS(survey_frozen!$D$2:$D$251,survey_frozen!$P$2:$P$251,$A122&amp;"|"&amp;$B122),IFERROR(COUNTIFS(INDIRECT("'"&amp;$A122&amp;"'!$B$2:$B$501"),$T122,INDIRECT("'"&amp;$A122&amp;"'!$A$2:$A$501"),"&gt;="&amp;$I122,INDIRECT("'"&amp;$A122&amp;"'!$A$2:$A$501"),"&lt;"&amp;($BA122+1),INDIRECT("'"&amp;$A122&amp;"'!$C$2:$C$501"),"Yes"),0)))</f>
        <v/>
      </c>
      <c r="AN122" s="25">
        <f>IF($A122="","",IF(COUNTIFS(scans!$C$2:$C$1601,(IF(LEFT($A122,7)="SAMPLE-","SAMPLE-","")&amp;LOWER(SUBSTITUTE(SUBSTITUTE($A122,"SAMPLE-",""),"CMP-","c"))&amp;"-"&amp;LOWER(SUBSTITUTE(SUBSTITUTE($B122,"SAMPLE-",""),"O-","o"))&amp;"-q"),scans!$D$2:$D$1601,"close")=0,"",SUMPRODUCT(MAX((scans!$C$2:$C$1601=(IF(LEFT($A122,7)="SAMPLE-","SAMPLE-","")&amp;LOWER(SUBSTITUTE(SUBSTITUTE($A122,"SAMPLE-",""),"CMP-","c"))&amp;"-"&amp;LOWER(SUBSTITUTE(SUBSTITUTE($B122,"SAMPLE-",""),"O-","o"))&amp;"-q"))*(scans!$D$2:$D$1601="close")*scans!$E$2:$E$1601))-SUMPRODUCT(MAX((scans!$C$2:$C$1601=(IF(LEFT($A122,7)="SAMPLE-","SAMPLE-","")&amp;LOWER(SUBSTITUTE(SUBSTITUTE($A122,"SAMPLE-",""),"CMP-","c"))&amp;"-"&amp;LOWER(SUBSTITUTE(SUBSTITUTE($B122,"SAMPLE-",""),"O-","o"))&amp;"-q"))*(scans!$D$2:$D$1601="baseline")*scans!$E$2:$E$1601))))</f>
        <v/>
      </c>
      <c r="AO122" s="25">
        <f>IF($A122="","",IF(COUNTIFS(scans!$C$2:$C$1601,(IF(LEFT($A122,7)="SAMPLE-","SAMPLE-","")&amp;LOWER(SUBSTITUTE(SUBSTITUTE($A122,"SAMPLE-",""),"CMP-","c"))&amp;"-"&amp;LOWER(SUBSTITUTE(SUBSTITUTE($B122,"SAMPLE-",""),"O-","o"))&amp;"-p"),scans!$D$2:$D$1601,"close")=0,"",SUMPRODUCT(MAX((scans!$C$2:$C$1601=(IF(LEFT($A122,7)="SAMPLE-","SAMPLE-","")&amp;LOWER(SUBSTITUTE(SUBSTITUTE($A122,"SAMPLE-",""),"CMP-","c"))&amp;"-"&amp;LOWER(SUBSTITUTE(SUBSTITUTE($B122,"SAMPLE-",""),"O-","o"))&amp;"-p"))*(scans!$D$2:$D$1601="close")*scans!$E$2:$E$1601))-SUMPRODUCT(MAX((scans!$C$2:$C$1601=(IF(LEFT($A122,7)="SAMPLE-","SAMPLE-","")&amp;LOWER(SUBSTITUTE(SUBSTITUTE($A122,"SAMPLE-",""),"CMP-","c"))&amp;"-"&amp;LOWER(SUBSTITUTE(SUBSTITUTE($B122,"SAMPLE-",""),"O-","o"))&amp;"-p"))*(scans!$D$2:$D$1601="baseline")*scans!$E$2:$E$1601))))</f>
        <v/>
      </c>
      <c r="AP122" s="25">
        <f>IF($A122="","",IF(COUNTIF(offices!$A$2:$A$61,$B122)=0,"office_id not on offices; ","")&amp;IF(COUNTIF(campaigns!$A$2:$A$51,$A122)=0,"campaign_id not on campaigns; ","")&amp;IF($P122="pending","approval pending; ","")&amp;IF(AND($U122&gt;0,$Y122="",OR($I122="",IF(config!$B$37&lt;&gt;"",config!$B$37,TODAY())&lt;=WORKDAY(N($I122),4,calendar!$A$2:$A$80))),"no usable placement photo yet; ","")&amp;IF(AND($Y122&lt;&gt;"",$Z122=""),"log the placed count; ","")&amp;IF(N($AA122)&gt;N($U122),"placed more than delivered; ","")&amp;IF(AND($AF122&lt;&gt;"",N($AF122)&gt;N($AA122)+N($AD122)),"day-5 count above placed plus top-ups; ","")&amp;IF(AND($U122&gt;0,$I122&lt;&gt;"",IF(config!$B$37&lt;&gt;"",config!$B$37,TODAY())&gt;WORKDAY(N($I122),4,calendar!$A$2:$A$80),$AF122=""),"day-5 count missing; ","")&amp;IF(AND($U122&gt;0,$I122&lt;&gt;"",IF(config!$B$37&lt;&gt;"",config!$B$37,TODAY())&gt;WORKDAY(N($I122),4,calendar!$A$2:$A$80),$AN122=""),"no close link reading; ","")&amp;$R122&amp;IF($P122="N","info: office said no; ","")&amp;IF(AND($P122="Y",$Q122="N"),"info: turned away at the door, so not on the drop (no letter, not in the report or Gate 2; the credit check is on campaigns); ","")&amp;IF(AND($U122&gt;0,$Y122="",$I122&lt;&gt;"",IF(config!$B$37&lt;&gt;"",config!$B$37,TODAY())&gt;WORKDAY(N($I122),4,calendar!$A$2:$A$80)),"info: no usable placement photo, so nothing counts as placed; ","")&amp;IF(AND($U122&gt;0,$I122&lt;&gt;"",IF(config!$B$37&lt;&gt;"",config!$B$37,TODAY())&gt;WORKDAY(N($I122),4,calendar!$A$2:$A$80),N($AL122)&lt;config!$B$30),"info: under "&amp;config!$B$30&amp;" responses; ","")&amp;IF($W122="packing_list","info: delivered count not verified; ",""))</f>
        <v/>
      </c>
      <c r="AQ122" s="25">
        <f>IF(OR($A122="",$I122=""),"",IF($BC122="Y",SUMIFS(survey_frozen!$E$2:$E$251,survey_frozen!$P$2:$P$251,$A122&amp;"|"&amp;$B122),IFERROR(COUNTIFS(INDIRECT("'"&amp;$A122&amp;"'!$B$2:$B$501"),$T122,INDIRECT("'"&amp;$A122&amp;"'!$A$2:$A$501"),"&gt;="&amp;$I122,INDIRECT("'"&amp;$A122&amp;"'!$A$2:$A$501"),"&lt;"&amp;($BA122+1),INDIRECT("'"&amp;$A122&amp;"'!$F$2:$F$501"),"Didn't see it"),0)))</f>
        <v/>
      </c>
      <c r="AR122" s="25">
        <f>IF(OR($A122="",$I122=""),"",IF($BC122="Y",SUMIFS(survey_frozen!$F$2:$F$251,survey_frozen!$P$2:$P$251,$A122&amp;"|"&amp;$B122),IFERROR(COUNTIFS(INDIRECT("'"&amp;$A122&amp;"'!$B$2:$B$501"),$T122,INDIRECT("'"&amp;$A122&amp;"'!$A$2:$A$501"),"&gt;="&amp;$I122,INDIRECT("'"&amp;$A122&amp;"'!$A$2:$A$501"),"&lt;"&amp;($BA122+1),INDIRECT("'"&amp;$A122&amp;"'!$F$2:$F$501"),"Not for me"),0)))</f>
        <v/>
      </c>
      <c r="AS122" s="25">
        <f>IF(OR($A122="",$I122=""),"",IF($BC122="Y",SUMIFS(survey_frozen!$G$2:$G$251,survey_frozen!$P$2:$P$251,$A122&amp;"|"&amp;$B122),IFERROR(COUNTIFS(INDIRECT("'"&amp;$A122&amp;"'!$B$2:$B$501"),$T122,INDIRECT("'"&amp;$A122&amp;"'!$A$2:$A$501"),"&gt;="&amp;$I122,INDIRECT("'"&amp;$A122&amp;"'!$A$2:$A$501"),"&lt;"&amp;($BA122+1),INDIRECT("'"&amp;$A122&amp;"'!$F$2:$F$501"),"Gone by the time I looked"),0)))</f>
        <v/>
      </c>
      <c r="AT122" s="25">
        <f>IF(OR($A122="",$I122=""),"",IF($BC122="Y",SUMIFS(survey_frozen!$H$2:$H$251,survey_frozen!$P$2:$P$251,$A122&amp;"|"&amp;$B122),IFERROR(COUNTIFS(INDIRECT("'"&amp;$A122&amp;"'!$B$2:$B$501"),$T122,INDIRECT("'"&amp;$A122&amp;"'!$A$2:$A$501"),"&gt;="&amp;$I122,INDIRECT("'"&amp;$A122&amp;"'!$A$2:$A$501"),"&lt;"&amp;($BA122+1),INDIRECT("'"&amp;$A122&amp;"'!$D$2:$D$501"),"&gt;=1"),0)))</f>
        <v/>
      </c>
      <c r="AU122" s="25">
        <f>IF(OR($A122="",$I122=""),"",IF($BC122="Y",SUMIFS(survey_frozen!$I$2:$I$251,survey_frozen!$P$2:$P$251,$A122&amp;"|"&amp;$B122),IFERROR(SUMIFS(INDIRECT("'"&amp;$A122&amp;"'!$D$2:$D$501"),INDIRECT("'"&amp;$A122&amp;"'!$B$2:$B$501"),$T122,INDIRECT("'"&amp;$A122&amp;"'!$A$2:$A$501"),"&gt;="&amp;$I122,INDIRECT("'"&amp;$A122&amp;"'!$A$2:$A$501"),"&lt;"&amp;($BA122+1)),0)))</f>
        <v/>
      </c>
      <c r="AV122" s="25">
        <f>IF(OR($A122="",$I122=""),"",IF($BC122="Y",SUMIFS(survey_frozen!$J$2:$J$251,survey_frozen!$P$2:$P$251,$A122&amp;"|"&amp;$B122),IFERROR(COUNTIFS(INDIRECT("'"&amp;$A122&amp;"'!$B$2:$B$501"),$T122,INDIRECT("'"&amp;$A122&amp;"'!$A$2:$A$501"),"&gt;="&amp;$I122,INDIRECT("'"&amp;$A122&amp;"'!$A$2:$A$501"),"&lt;"&amp;($BA122+1),INDIRECT("'"&amp;$A122&amp;"'!$E$2:$E$501"),"Yes"),0)))</f>
        <v/>
      </c>
      <c r="AW122" s="25">
        <f>IF(OR($A122="",$I122=""),"",IF($BC122="Y",SUMIFS(survey_frozen!$K$2:$K$251,survey_frozen!$P$2:$P$251,$A122&amp;"|"&amp;$B122),IFERROR(COUNTIFS(INDIRECT("'"&amp;$A122&amp;"'!$B$2:$B$501"),$T122,INDIRECT("'"&amp;$A122&amp;"'!$A$2:$A$501"),"&gt;="&amp;$I122,INDIRECT("'"&amp;$A122&amp;"'!$A$2:$A$501"),"&lt;"&amp;($BA122+1),INDIRECT("'"&amp;$A122&amp;"'!$E$2:$E$501"),"Maybe"),0)))</f>
        <v/>
      </c>
      <c r="AX122" s="25">
        <f>IF(OR($A122="",$I122=""),"",IF($BC122="Y",SUMIFS(survey_frozen!$L$2:$L$251,survey_frozen!$P$2:$P$251,$A122&amp;"|"&amp;$B122),IFERROR(COUNTIFS(INDIRECT("'"&amp;$A122&amp;"'!$B$2:$B$501"),$T122,INDIRECT("'"&amp;$A122&amp;"'!$A$2:$A$501"),"&gt;="&amp;$I122,INDIRECT("'"&amp;$A122&amp;"'!$A$2:$A$501"),"&lt;"&amp;($BA122+1),INDIRECT("'"&amp;$A122&amp;"'!$E$2:$E$501"),"No"),0)))</f>
        <v/>
      </c>
      <c r="AY122" s="25">
        <f>IF(OR($A122="",$I122=""),"",IF($BC122="Y",SUMIFS(survey_frozen!$M$2:$M$251,survey_frozen!$P$2:$P$251,$A122&amp;"|"&amp;$B122),IFERROR(COUNTIFS(INDIRECT("'"&amp;$A122&amp;"'!$B$2:$B$501"),$T122,INDIRECT("'"&amp;$A122&amp;"'!$A$2:$A$501"),"&gt;="&amp;$I122,INDIRECT("'"&amp;$A122&amp;"'!$A$2:$A$501"),"&lt;"&amp;($BA122+1),INDIRECT("'"&amp;$A122&amp;"'!$G$2:$G$501"),"&lt;&gt;"),0)))</f>
        <v/>
      </c>
      <c r="AZ122" s="25">
        <f>IF($A122="","",$A122&amp;"|"&amp;$L122)</f>
        <v/>
      </c>
      <c r="BA122" s="26">
        <f>IF($A122="","",IFERROR(IF(INDEX(drops!$R$2:$R$21,MATCH($H122,drops!$A$2:$A$21,0))="","",INDEX(drops!$R$2:$R$21,MATCH($H122,drops!$A$2:$A$21,0))),""))</f>
        <v/>
      </c>
      <c r="BB122" s="25">
        <f>IF(OR($A122="",$Q122&lt;&gt;"Y"),1000000,N($AL122))</f>
        <v/>
      </c>
      <c r="BC122" s="25">
        <f>IF($A122="","",IF(COUNTIF(survey_frozen!$P$2:$P$251,$A122&amp;"|"&amp;$B122)&gt;0,"Y",""))</f>
        <v/>
      </c>
    </row>
    <row r="123">
      <c r="C123" s="9" t="n"/>
      <c r="E123" s="9" t="n"/>
      <c r="H123" s="25">
        <f>IF($A123="","",IFERROR(IF(INDEX(campaigns!$B$2:$B$51,MATCH($A123,campaigns!$A$2:$A$51,0))="","",INDEX(campaigns!$B$2:$B$51,MATCH($A123,campaigns!$A$2:$A$51,0))),""))</f>
        <v/>
      </c>
      <c r="I123" s="26">
        <f>IF($A123="","",IFERROR(IF(INDEX(campaigns!$BG$2:$BG$51,MATCH($A123,campaigns!$A$2:$A$51,0))="","",INDEX(campaigns!$BG$2:$BG$51,MATCH($A123,campaigns!$A$2:$A$51,0))),""))</f>
        <v/>
      </c>
      <c r="J123" s="25">
        <f>IF($A123="","",IFERROR(IF(INDEX(campaigns!$BE$2:$BE$51,MATCH($A123,campaigns!$A$2:$A$51,0))="","",INDEX(campaigns!$BE$2:$BE$51,MATCH($A123,campaigns!$A$2:$A$51,0))),""))</f>
        <v/>
      </c>
      <c r="K123" s="25">
        <f>IF($B123="","",IFERROR(IF(INDEX(offices!$N$2:$N$61,MATCH($B123,offices!$A$2:$A$61,0))="","",INDEX(offices!$N$2:$N$61,MATCH($B123,offices!$A$2:$A$61,0))),""))</f>
        <v/>
      </c>
      <c r="L123" s="25">
        <f>IF($A123="","",IF($Q123="N","",COUNTIFS($A$2:$A123,$A123,$Q$2:$Q123,"&lt;&gt;N")))</f>
        <v/>
      </c>
      <c r="M123" s="25">
        <f>IF(OR($A123="",$L123=""),"",IF(AND(config!$B$34="names_if_public",IFERROR(IF(INDEX(offices!$AF$2:$AF$61,MATCH($B123,offices!$A$2:$A$61,0))="","",INDEX(offices!$AF$2:$AF$61,MATCH($B123,offices!$A$2:$A$61,0))),"")="Y"),$K123,CHAR(64+$L123)))</f>
        <v/>
      </c>
      <c r="N123" s="25">
        <f>IF(OR($A123="",$I123=""),"",COUNTIFS(stops!$B$2:$B$151,$B123,stops!$P$2:$P$151,"&lt;"&amp;$I123,stops!$L$2:$L$151,"&lt;&gt;not_delivered")+1)</f>
        <v/>
      </c>
      <c r="O123" s="25">
        <f>IF($A123="","",IF(N($N123)&lt;=config!$B$29,"explicit","opt-out"))</f>
        <v/>
      </c>
      <c r="P123" s="25">
        <f>IF($A123="","",IF($O123="explicit",IF($D123="yes","Y",IF($D123="no","N","pending")),IF($D123="no","N",IF(AND($C123&lt;&gt;"",$I123&lt;&gt;"",$C123&lt;=WORKDAY(N($I123),-5,calendar!$A$2:$A$80)),"Y","pending"))))</f>
        <v/>
      </c>
      <c r="Q123" s="25">
        <f>IF($A123="","",IF($P123="N","N",IF($P123&lt;&gt;"Y","pending",IF(AND((COUNTIFS(stops!$A$2:$A$151,$H123,stops!$B$2:$B$151,$B123,stops!$L$2:$L$151,"declined")+COUNTIFS(stops!$A$2:$A$151,$H123,stops!$B$2:$B$151,$B123,stops!$L$2:$L$151,"building_refused")+COUNTIFS(stops!$A$2:$A$151,$H123,stops!$B$2:$B$151,$B123,stops!$L$2:$L$151,"not_delivered"))&gt;0,N($U123)=0),"N","Y"))))</f>
        <v/>
      </c>
      <c r="R123" s="25">
        <f>IF($A123="","",IF(COUNTIFS($A$2:$A$251,$A123,$B$2:$B$251,$B123)&gt;1,"DUPLICATE ROW; ","")&amp;IF(AND(IFERROR(IF(INDEX(offices!$AC$2:$AC$61,MATCH($B123,offices!$A$2:$A$61,0))="","",INDEX(offices!$AC$2:$AC$61,MATCH($B123,offices!$A$2:$A$61,0))),"")&lt;&gt;"",ISNUMBER(SEARCH($J123,IFERROR(IF(INDEX(offices!$AC$2:$AC$61,MATCH($B123,offices!$A$2:$A$61,0))="","",INDEX(offices!$AC$2:$AC$61,MATCH($B123,offices!$A$2:$A$61,0))),"")))),"BRAND VETOED; ","")&amp;IF(ISNUMBER(SEARCH(IFERROR(IF(INDEX(campaigns!$BF$2:$BF$51,MATCH($A123,campaigns!$A$2:$A$51,0))="","",INDEX(campaigns!$BF$2:$BF$51,MATCH($A123,campaigns!$A$2:$A$51,0))),""),IFERROR(IF(INDEX(offices!$AB$2:$AB$61,MATCH($B123,offices!$A$2:$A$61,0))="","",INDEX(offices!$AB$2:$AB$61,MATCH($B123,offices!$A$2:$A$61,0))),""))),"","info: category not on the office's list; ")&amp;IF(IFERROR(IF(INDEX(offices!$AC$2:$AC$61,MATCH($B123,offices!$A$2:$A$61,0))="","",INDEX(offices!$AC$2:$AC$61,MATCH($B123,offices!$A$2:$A$61,0))),"")&lt;&gt;"","info: read the vetoes against the label; ",""))</f>
        <v/>
      </c>
      <c r="S123" s="25">
        <f>IF($A123="","",IF($G123&lt;&gt;"",$G123,IFERROR(IF(INDEX(offices!$AL$2:$AL$61,MATCH($B123,offices!$A$2:$A$61,0))="","",INDEX(offices!$AL$2:$AL$61,MATCH($B123,offices!$A$2:$A$61,0))),"")))</f>
        <v/>
      </c>
      <c r="T123" s="25">
        <f>IF($A123="","",$A123&amp;"."&amp;$B123)</f>
        <v/>
      </c>
      <c r="U123" s="25">
        <f>IF($A123="","",SUMIFS(inventory!$G$2:$G$801,inventory!$C$2:$C$801,$A123,inventory!$D$2:$D$801,$B123,inventory!$E$2:$E$801,"delivered"))</f>
        <v/>
      </c>
      <c r="V123" s="32">
        <f>IF($A123="","",IFERROR(1/(1/SUMPRODUCT(MAX((inventory!$C$2:$C$801=$A123)*(inventory!$D$2:$D$801=$B123)*(inventory!$E$2:$E$801="delivered")*(inventory!$A$2:$A$801+inventory!$B$2:$B$801)))),""))</f>
        <v/>
      </c>
      <c r="W123" s="25">
        <f>IF($A123="","",IFERROR(IF(INDEX(inventory!$J$2:$J$801,MATCH($A123&amp;"|"&amp;$B123&amp;"|delivered",inventory!$R$2:$R$801,0))="","",INDEX(inventory!$J$2:$J$801,MATCH($A123&amp;"|"&amp;$B123&amp;"|delivered",inventory!$R$2:$R$801,0))),""))</f>
        <v/>
      </c>
      <c r="X123" s="25">
        <f>IF($A123="","",IFERROR(IF(INDEX(photos!$H$2:$H$701,MATCH($A123&amp;"|"&amp;$B123&amp;"|placement|Y",photos!$R$2:$R$701,0))="","",INDEX(photos!$H$2:$H$701,MATCH($A123&amp;"|"&amp;$B123&amp;"|placement|Y",photos!$R$2:$R$701,0))),""))</f>
        <v/>
      </c>
      <c r="Y123" s="26">
        <f>IF($A123="","",IFERROR(IF(INDEX(photos!$E$2:$E$701,MATCH($A123&amp;"|"&amp;$B123&amp;"|placement|Y",photos!$R$2:$R$701,0))="","",INDEX(photos!$E$2:$E$701,MATCH($A123&amp;"|"&amp;$B123&amp;"|placement|Y",photos!$R$2:$R$701,0))),""))</f>
        <v/>
      </c>
      <c r="Z123" s="25">
        <f>IF($A123="","",IF(COUNTIFS(counts!$C$2:$C$701,$A123,counts!$D$2:$D$701,$B123,counts!$E$2:$E$701,"placed")=0,"",SUMIFS(counts!$F$2:$F$701,counts!$C$2:$C$701,$A123,counts!$D$2:$D$701,$B123,counts!$E$2:$E$701,"placed")))</f>
        <v/>
      </c>
      <c r="AA123" s="25">
        <f>IF($A123="","",IF($Y123="",0,N($Z123)))</f>
        <v/>
      </c>
      <c r="AB123" s="25">
        <f>IF($A123="","",IF(OR($Y123="",$I123=""),"N",IF($Y123&lt;=WORKDAY(N($I123),1,calendar!$A$2:$A$80),"Y","N")))</f>
        <v/>
      </c>
      <c r="AC123" s="28">
        <f>IF(OR($A123="",$V123="",$Y123=""),"",ROUND(($Y123+N(IFERROR(IF(INDEX(photos!$F$2:$F$701,MATCH($A123&amp;"|"&amp;$B123&amp;"|placement|Y",photos!$R$2:$R$701,0))="","",INDEX(photos!$F$2:$F$701,MATCH($A123&amp;"|"&amp;$B123&amp;"|placement|Y",photos!$R$2:$R$701,0))),""))-$V123)*24,1))</f>
        <v/>
      </c>
      <c r="AD123" s="25">
        <f>IF($A123="","",SUMIFS(inventory!$G$2:$G$801,inventory!$C$2:$C$801,$A123,inventory!$D$2:$D$801,$B123,inventory!$E$2:$E$801,"topped_up"))</f>
        <v/>
      </c>
      <c r="AE123" s="25">
        <f>IF($A123="","",IF(COUNTIFS(counts!$C$2:$C$701,$A123,counts!$D$2:$D$701,$B123,counts!$E$2:$E$701,"remaining_day3")=0,"",SUMIFS(counts!$F$2:$F$701,counts!$C$2:$C$701,$A123,counts!$D$2:$D$701,$B123,counts!$E$2:$E$701,"remaining_day3")))</f>
        <v/>
      </c>
      <c r="AF123" s="25">
        <f>IF($A123="","",IF(COUNTIFS(counts!$C$2:$C$701,$A123,counts!$D$2:$D$701,$B123,counts!$E$2:$E$701,"remaining_day5")=0,"",SUMIFS(counts!$F$2:$F$701,counts!$C$2:$C$701,$A123,counts!$D$2:$D$701,$B123,counts!$E$2:$E$701,"remaining_day5")))</f>
        <v/>
      </c>
      <c r="AG123" s="25">
        <f>IF(OR($A123="",$AF123=""),"",MAX(0,$AA123+$AD123-$AF123))</f>
        <v/>
      </c>
      <c r="AH123" s="25">
        <f>IF(OR($A123="",$AI123=""),"",IFERROR(IF(INDEX(photos!$H$2:$H$701,MATCH($A123&amp;"|"&amp;$B123&amp;"|later|Y|"&amp;$AI123,photos!$S$2:$S$701,0))="","",INDEX(photos!$H$2:$H$701,MATCH($A123&amp;"|"&amp;$B123&amp;"|later|Y|"&amp;$AI123,photos!$S$2:$S$701,0))),""))</f>
        <v/>
      </c>
      <c r="AI123" s="26">
        <f>IF($A123="","",IFERROR(1/(1/SUMPRODUCT(MAX((photos!$B$2:$B$701=$A123)*(photos!$C$2:$C$701=$B123)*(photos!$D$2:$D$701="later")*(photos!$O$2:$O$701="Y")*photos!$E$2:$E$701))),""))</f>
        <v/>
      </c>
      <c r="AJ123" s="25">
        <f>IF(OR($A123="",$AI123="",$I123=""),"",NETWORKDAYS($I123,$AI123,calendar!$A$2:$A$80))</f>
        <v/>
      </c>
      <c r="AK123" s="25">
        <f>IF($A123="","",IF(AND($X123&lt;&gt;"",$AH123&lt;&gt;""),"Y","N"))</f>
        <v/>
      </c>
      <c r="AL123" s="25">
        <f>IF(OR($A123="",$I123=""),"",IF($BC123="Y",SUMIFS(survey_frozen!$C$2:$C$251,survey_frozen!$P$2:$P$251,$A123&amp;"|"&amp;$B123),IFERROR(COUNTIFS(INDIRECT("'"&amp;$A123&amp;"'!$B$2:$B$501"),$T123,INDIRECT("'"&amp;$A123&amp;"'!$A$2:$A$501"),"&gt;="&amp;$I123,INDIRECT("'"&amp;$A123&amp;"'!$A$2:$A$501"),"&lt;"&amp;($BA123+1)),0)))</f>
        <v/>
      </c>
      <c r="AM123" s="25">
        <f>IF(OR($A123="",$I123=""),"",IF($BC123="Y",SUMIFS(survey_frozen!$D$2:$D$251,survey_frozen!$P$2:$P$251,$A123&amp;"|"&amp;$B123),IFERROR(COUNTIFS(INDIRECT("'"&amp;$A123&amp;"'!$B$2:$B$501"),$T123,INDIRECT("'"&amp;$A123&amp;"'!$A$2:$A$501"),"&gt;="&amp;$I123,INDIRECT("'"&amp;$A123&amp;"'!$A$2:$A$501"),"&lt;"&amp;($BA123+1),INDIRECT("'"&amp;$A123&amp;"'!$C$2:$C$501"),"Yes"),0)))</f>
        <v/>
      </c>
      <c r="AN123" s="25">
        <f>IF($A123="","",IF(COUNTIFS(scans!$C$2:$C$1601,(IF(LEFT($A123,7)="SAMPLE-","SAMPLE-","")&amp;LOWER(SUBSTITUTE(SUBSTITUTE($A123,"SAMPLE-",""),"CMP-","c"))&amp;"-"&amp;LOWER(SUBSTITUTE(SUBSTITUTE($B123,"SAMPLE-",""),"O-","o"))&amp;"-q"),scans!$D$2:$D$1601,"close")=0,"",SUMPRODUCT(MAX((scans!$C$2:$C$1601=(IF(LEFT($A123,7)="SAMPLE-","SAMPLE-","")&amp;LOWER(SUBSTITUTE(SUBSTITUTE($A123,"SAMPLE-",""),"CMP-","c"))&amp;"-"&amp;LOWER(SUBSTITUTE(SUBSTITUTE($B123,"SAMPLE-",""),"O-","o"))&amp;"-q"))*(scans!$D$2:$D$1601="close")*scans!$E$2:$E$1601))-SUMPRODUCT(MAX((scans!$C$2:$C$1601=(IF(LEFT($A123,7)="SAMPLE-","SAMPLE-","")&amp;LOWER(SUBSTITUTE(SUBSTITUTE($A123,"SAMPLE-",""),"CMP-","c"))&amp;"-"&amp;LOWER(SUBSTITUTE(SUBSTITUTE($B123,"SAMPLE-",""),"O-","o"))&amp;"-q"))*(scans!$D$2:$D$1601="baseline")*scans!$E$2:$E$1601))))</f>
        <v/>
      </c>
      <c r="AO123" s="25">
        <f>IF($A123="","",IF(COUNTIFS(scans!$C$2:$C$1601,(IF(LEFT($A123,7)="SAMPLE-","SAMPLE-","")&amp;LOWER(SUBSTITUTE(SUBSTITUTE($A123,"SAMPLE-",""),"CMP-","c"))&amp;"-"&amp;LOWER(SUBSTITUTE(SUBSTITUTE($B123,"SAMPLE-",""),"O-","o"))&amp;"-p"),scans!$D$2:$D$1601,"close")=0,"",SUMPRODUCT(MAX((scans!$C$2:$C$1601=(IF(LEFT($A123,7)="SAMPLE-","SAMPLE-","")&amp;LOWER(SUBSTITUTE(SUBSTITUTE($A123,"SAMPLE-",""),"CMP-","c"))&amp;"-"&amp;LOWER(SUBSTITUTE(SUBSTITUTE($B123,"SAMPLE-",""),"O-","o"))&amp;"-p"))*(scans!$D$2:$D$1601="close")*scans!$E$2:$E$1601))-SUMPRODUCT(MAX((scans!$C$2:$C$1601=(IF(LEFT($A123,7)="SAMPLE-","SAMPLE-","")&amp;LOWER(SUBSTITUTE(SUBSTITUTE($A123,"SAMPLE-",""),"CMP-","c"))&amp;"-"&amp;LOWER(SUBSTITUTE(SUBSTITUTE($B123,"SAMPLE-",""),"O-","o"))&amp;"-p"))*(scans!$D$2:$D$1601="baseline")*scans!$E$2:$E$1601))))</f>
        <v/>
      </c>
      <c r="AP123" s="25">
        <f>IF($A123="","",IF(COUNTIF(offices!$A$2:$A$61,$B123)=0,"office_id not on offices; ","")&amp;IF(COUNTIF(campaigns!$A$2:$A$51,$A123)=0,"campaign_id not on campaigns; ","")&amp;IF($P123="pending","approval pending; ","")&amp;IF(AND($U123&gt;0,$Y123="",OR($I123="",IF(config!$B$37&lt;&gt;"",config!$B$37,TODAY())&lt;=WORKDAY(N($I123),4,calendar!$A$2:$A$80))),"no usable placement photo yet; ","")&amp;IF(AND($Y123&lt;&gt;"",$Z123=""),"log the placed count; ","")&amp;IF(N($AA123)&gt;N($U123),"placed more than delivered; ","")&amp;IF(AND($AF123&lt;&gt;"",N($AF123)&gt;N($AA123)+N($AD123)),"day-5 count above placed plus top-ups; ","")&amp;IF(AND($U123&gt;0,$I123&lt;&gt;"",IF(config!$B$37&lt;&gt;"",config!$B$37,TODAY())&gt;WORKDAY(N($I123),4,calendar!$A$2:$A$80),$AF123=""),"day-5 count missing; ","")&amp;IF(AND($U123&gt;0,$I123&lt;&gt;"",IF(config!$B$37&lt;&gt;"",config!$B$37,TODAY())&gt;WORKDAY(N($I123),4,calendar!$A$2:$A$80),$AN123=""),"no close link reading; ","")&amp;$R123&amp;IF($P123="N","info: office said no; ","")&amp;IF(AND($P123="Y",$Q123="N"),"info: turned away at the door, so not on the drop (no letter, not in the report or Gate 2; the credit check is on campaigns); ","")&amp;IF(AND($U123&gt;0,$Y123="",$I123&lt;&gt;"",IF(config!$B$37&lt;&gt;"",config!$B$37,TODAY())&gt;WORKDAY(N($I123),4,calendar!$A$2:$A$80)),"info: no usable placement photo, so nothing counts as placed; ","")&amp;IF(AND($U123&gt;0,$I123&lt;&gt;"",IF(config!$B$37&lt;&gt;"",config!$B$37,TODAY())&gt;WORKDAY(N($I123),4,calendar!$A$2:$A$80),N($AL123)&lt;config!$B$30),"info: under "&amp;config!$B$30&amp;" responses; ","")&amp;IF($W123="packing_list","info: delivered count not verified; ",""))</f>
        <v/>
      </c>
      <c r="AQ123" s="25">
        <f>IF(OR($A123="",$I123=""),"",IF($BC123="Y",SUMIFS(survey_frozen!$E$2:$E$251,survey_frozen!$P$2:$P$251,$A123&amp;"|"&amp;$B123),IFERROR(COUNTIFS(INDIRECT("'"&amp;$A123&amp;"'!$B$2:$B$501"),$T123,INDIRECT("'"&amp;$A123&amp;"'!$A$2:$A$501"),"&gt;="&amp;$I123,INDIRECT("'"&amp;$A123&amp;"'!$A$2:$A$501"),"&lt;"&amp;($BA123+1),INDIRECT("'"&amp;$A123&amp;"'!$F$2:$F$501"),"Didn't see it"),0)))</f>
        <v/>
      </c>
      <c r="AR123" s="25">
        <f>IF(OR($A123="",$I123=""),"",IF($BC123="Y",SUMIFS(survey_frozen!$F$2:$F$251,survey_frozen!$P$2:$P$251,$A123&amp;"|"&amp;$B123),IFERROR(COUNTIFS(INDIRECT("'"&amp;$A123&amp;"'!$B$2:$B$501"),$T123,INDIRECT("'"&amp;$A123&amp;"'!$A$2:$A$501"),"&gt;="&amp;$I123,INDIRECT("'"&amp;$A123&amp;"'!$A$2:$A$501"),"&lt;"&amp;($BA123+1),INDIRECT("'"&amp;$A123&amp;"'!$F$2:$F$501"),"Not for me"),0)))</f>
        <v/>
      </c>
      <c r="AS123" s="25">
        <f>IF(OR($A123="",$I123=""),"",IF($BC123="Y",SUMIFS(survey_frozen!$G$2:$G$251,survey_frozen!$P$2:$P$251,$A123&amp;"|"&amp;$B123),IFERROR(COUNTIFS(INDIRECT("'"&amp;$A123&amp;"'!$B$2:$B$501"),$T123,INDIRECT("'"&amp;$A123&amp;"'!$A$2:$A$501"),"&gt;="&amp;$I123,INDIRECT("'"&amp;$A123&amp;"'!$A$2:$A$501"),"&lt;"&amp;($BA123+1),INDIRECT("'"&amp;$A123&amp;"'!$F$2:$F$501"),"Gone by the time I looked"),0)))</f>
        <v/>
      </c>
      <c r="AT123" s="25">
        <f>IF(OR($A123="",$I123=""),"",IF($BC123="Y",SUMIFS(survey_frozen!$H$2:$H$251,survey_frozen!$P$2:$P$251,$A123&amp;"|"&amp;$B123),IFERROR(COUNTIFS(INDIRECT("'"&amp;$A123&amp;"'!$B$2:$B$501"),$T123,INDIRECT("'"&amp;$A123&amp;"'!$A$2:$A$501"),"&gt;="&amp;$I123,INDIRECT("'"&amp;$A123&amp;"'!$A$2:$A$501"),"&lt;"&amp;($BA123+1),INDIRECT("'"&amp;$A123&amp;"'!$D$2:$D$501"),"&gt;=1"),0)))</f>
        <v/>
      </c>
      <c r="AU123" s="25">
        <f>IF(OR($A123="",$I123=""),"",IF($BC123="Y",SUMIFS(survey_frozen!$I$2:$I$251,survey_frozen!$P$2:$P$251,$A123&amp;"|"&amp;$B123),IFERROR(SUMIFS(INDIRECT("'"&amp;$A123&amp;"'!$D$2:$D$501"),INDIRECT("'"&amp;$A123&amp;"'!$B$2:$B$501"),$T123,INDIRECT("'"&amp;$A123&amp;"'!$A$2:$A$501"),"&gt;="&amp;$I123,INDIRECT("'"&amp;$A123&amp;"'!$A$2:$A$501"),"&lt;"&amp;($BA123+1)),0)))</f>
        <v/>
      </c>
      <c r="AV123" s="25">
        <f>IF(OR($A123="",$I123=""),"",IF($BC123="Y",SUMIFS(survey_frozen!$J$2:$J$251,survey_frozen!$P$2:$P$251,$A123&amp;"|"&amp;$B123),IFERROR(COUNTIFS(INDIRECT("'"&amp;$A123&amp;"'!$B$2:$B$501"),$T123,INDIRECT("'"&amp;$A123&amp;"'!$A$2:$A$501"),"&gt;="&amp;$I123,INDIRECT("'"&amp;$A123&amp;"'!$A$2:$A$501"),"&lt;"&amp;($BA123+1),INDIRECT("'"&amp;$A123&amp;"'!$E$2:$E$501"),"Yes"),0)))</f>
        <v/>
      </c>
      <c r="AW123" s="25">
        <f>IF(OR($A123="",$I123=""),"",IF($BC123="Y",SUMIFS(survey_frozen!$K$2:$K$251,survey_frozen!$P$2:$P$251,$A123&amp;"|"&amp;$B123),IFERROR(COUNTIFS(INDIRECT("'"&amp;$A123&amp;"'!$B$2:$B$501"),$T123,INDIRECT("'"&amp;$A123&amp;"'!$A$2:$A$501"),"&gt;="&amp;$I123,INDIRECT("'"&amp;$A123&amp;"'!$A$2:$A$501"),"&lt;"&amp;($BA123+1),INDIRECT("'"&amp;$A123&amp;"'!$E$2:$E$501"),"Maybe"),0)))</f>
        <v/>
      </c>
      <c r="AX123" s="25">
        <f>IF(OR($A123="",$I123=""),"",IF($BC123="Y",SUMIFS(survey_frozen!$L$2:$L$251,survey_frozen!$P$2:$P$251,$A123&amp;"|"&amp;$B123),IFERROR(COUNTIFS(INDIRECT("'"&amp;$A123&amp;"'!$B$2:$B$501"),$T123,INDIRECT("'"&amp;$A123&amp;"'!$A$2:$A$501"),"&gt;="&amp;$I123,INDIRECT("'"&amp;$A123&amp;"'!$A$2:$A$501"),"&lt;"&amp;($BA123+1),INDIRECT("'"&amp;$A123&amp;"'!$E$2:$E$501"),"No"),0)))</f>
        <v/>
      </c>
      <c r="AY123" s="25">
        <f>IF(OR($A123="",$I123=""),"",IF($BC123="Y",SUMIFS(survey_frozen!$M$2:$M$251,survey_frozen!$P$2:$P$251,$A123&amp;"|"&amp;$B123),IFERROR(COUNTIFS(INDIRECT("'"&amp;$A123&amp;"'!$B$2:$B$501"),$T123,INDIRECT("'"&amp;$A123&amp;"'!$A$2:$A$501"),"&gt;="&amp;$I123,INDIRECT("'"&amp;$A123&amp;"'!$A$2:$A$501"),"&lt;"&amp;($BA123+1),INDIRECT("'"&amp;$A123&amp;"'!$G$2:$G$501"),"&lt;&gt;"),0)))</f>
        <v/>
      </c>
      <c r="AZ123" s="25">
        <f>IF($A123="","",$A123&amp;"|"&amp;$L123)</f>
        <v/>
      </c>
      <c r="BA123" s="26">
        <f>IF($A123="","",IFERROR(IF(INDEX(drops!$R$2:$R$21,MATCH($H123,drops!$A$2:$A$21,0))="","",INDEX(drops!$R$2:$R$21,MATCH($H123,drops!$A$2:$A$21,0))),""))</f>
        <v/>
      </c>
      <c r="BB123" s="25">
        <f>IF(OR($A123="",$Q123&lt;&gt;"Y"),1000000,N($AL123))</f>
        <v/>
      </c>
      <c r="BC123" s="25">
        <f>IF($A123="","",IF(COUNTIF(survey_frozen!$P$2:$P$251,$A123&amp;"|"&amp;$B123)&gt;0,"Y",""))</f>
        <v/>
      </c>
    </row>
    <row r="124">
      <c r="C124" s="9" t="n"/>
      <c r="E124" s="9" t="n"/>
      <c r="H124" s="25">
        <f>IF($A124="","",IFERROR(IF(INDEX(campaigns!$B$2:$B$51,MATCH($A124,campaigns!$A$2:$A$51,0))="","",INDEX(campaigns!$B$2:$B$51,MATCH($A124,campaigns!$A$2:$A$51,0))),""))</f>
        <v/>
      </c>
      <c r="I124" s="26">
        <f>IF($A124="","",IFERROR(IF(INDEX(campaigns!$BG$2:$BG$51,MATCH($A124,campaigns!$A$2:$A$51,0))="","",INDEX(campaigns!$BG$2:$BG$51,MATCH($A124,campaigns!$A$2:$A$51,0))),""))</f>
        <v/>
      </c>
      <c r="J124" s="25">
        <f>IF($A124="","",IFERROR(IF(INDEX(campaigns!$BE$2:$BE$51,MATCH($A124,campaigns!$A$2:$A$51,0))="","",INDEX(campaigns!$BE$2:$BE$51,MATCH($A124,campaigns!$A$2:$A$51,0))),""))</f>
        <v/>
      </c>
      <c r="K124" s="25">
        <f>IF($B124="","",IFERROR(IF(INDEX(offices!$N$2:$N$61,MATCH($B124,offices!$A$2:$A$61,0))="","",INDEX(offices!$N$2:$N$61,MATCH($B124,offices!$A$2:$A$61,0))),""))</f>
        <v/>
      </c>
      <c r="L124" s="25">
        <f>IF($A124="","",IF($Q124="N","",COUNTIFS($A$2:$A124,$A124,$Q$2:$Q124,"&lt;&gt;N")))</f>
        <v/>
      </c>
      <c r="M124" s="25">
        <f>IF(OR($A124="",$L124=""),"",IF(AND(config!$B$34="names_if_public",IFERROR(IF(INDEX(offices!$AF$2:$AF$61,MATCH($B124,offices!$A$2:$A$61,0))="","",INDEX(offices!$AF$2:$AF$61,MATCH($B124,offices!$A$2:$A$61,0))),"")="Y"),$K124,CHAR(64+$L124)))</f>
        <v/>
      </c>
      <c r="N124" s="25">
        <f>IF(OR($A124="",$I124=""),"",COUNTIFS(stops!$B$2:$B$151,$B124,stops!$P$2:$P$151,"&lt;"&amp;$I124,stops!$L$2:$L$151,"&lt;&gt;not_delivered")+1)</f>
        <v/>
      </c>
      <c r="O124" s="25">
        <f>IF($A124="","",IF(N($N124)&lt;=config!$B$29,"explicit","opt-out"))</f>
        <v/>
      </c>
      <c r="P124" s="25">
        <f>IF($A124="","",IF($O124="explicit",IF($D124="yes","Y",IF($D124="no","N","pending")),IF($D124="no","N",IF(AND($C124&lt;&gt;"",$I124&lt;&gt;"",$C124&lt;=WORKDAY(N($I124),-5,calendar!$A$2:$A$80)),"Y","pending"))))</f>
        <v/>
      </c>
      <c r="Q124" s="25">
        <f>IF($A124="","",IF($P124="N","N",IF($P124&lt;&gt;"Y","pending",IF(AND((COUNTIFS(stops!$A$2:$A$151,$H124,stops!$B$2:$B$151,$B124,stops!$L$2:$L$151,"declined")+COUNTIFS(stops!$A$2:$A$151,$H124,stops!$B$2:$B$151,$B124,stops!$L$2:$L$151,"building_refused")+COUNTIFS(stops!$A$2:$A$151,$H124,stops!$B$2:$B$151,$B124,stops!$L$2:$L$151,"not_delivered"))&gt;0,N($U124)=0),"N","Y"))))</f>
        <v/>
      </c>
      <c r="R124" s="25">
        <f>IF($A124="","",IF(COUNTIFS($A$2:$A$251,$A124,$B$2:$B$251,$B124)&gt;1,"DUPLICATE ROW; ","")&amp;IF(AND(IFERROR(IF(INDEX(offices!$AC$2:$AC$61,MATCH($B124,offices!$A$2:$A$61,0))="","",INDEX(offices!$AC$2:$AC$61,MATCH($B124,offices!$A$2:$A$61,0))),"")&lt;&gt;"",ISNUMBER(SEARCH($J124,IFERROR(IF(INDEX(offices!$AC$2:$AC$61,MATCH($B124,offices!$A$2:$A$61,0))="","",INDEX(offices!$AC$2:$AC$61,MATCH($B124,offices!$A$2:$A$61,0))),"")))),"BRAND VETOED; ","")&amp;IF(ISNUMBER(SEARCH(IFERROR(IF(INDEX(campaigns!$BF$2:$BF$51,MATCH($A124,campaigns!$A$2:$A$51,0))="","",INDEX(campaigns!$BF$2:$BF$51,MATCH($A124,campaigns!$A$2:$A$51,0))),""),IFERROR(IF(INDEX(offices!$AB$2:$AB$61,MATCH($B124,offices!$A$2:$A$61,0))="","",INDEX(offices!$AB$2:$AB$61,MATCH($B124,offices!$A$2:$A$61,0))),""))),"","info: category not on the office's list; ")&amp;IF(IFERROR(IF(INDEX(offices!$AC$2:$AC$61,MATCH($B124,offices!$A$2:$A$61,0))="","",INDEX(offices!$AC$2:$AC$61,MATCH($B124,offices!$A$2:$A$61,0))),"")&lt;&gt;"","info: read the vetoes against the label; ",""))</f>
        <v/>
      </c>
      <c r="S124" s="25">
        <f>IF($A124="","",IF($G124&lt;&gt;"",$G124,IFERROR(IF(INDEX(offices!$AL$2:$AL$61,MATCH($B124,offices!$A$2:$A$61,0))="","",INDEX(offices!$AL$2:$AL$61,MATCH($B124,offices!$A$2:$A$61,0))),"")))</f>
        <v/>
      </c>
      <c r="T124" s="25">
        <f>IF($A124="","",$A124&amp;"."&amp;$B124)</f>
        <v/>
      </c>
      <c r="U124" s="25">
        <f>IF($A124="","",SUMIFS(inventory!$G$2:$G$801,inventory!$C$2:$C$801,$A124,inventory!$D$2:$D$801,$B124,inventory!$E$2:$E$801,"delivered"))</f>
        <v/>
      </c>
      <c r="V124" s="32">
        <f>IF($A124="","",IFERROR(1/(1/SUMPRODUCT(MAX((inventory!$C$2:$C$801=$A124)*(inventory!$D$2:$D$801=$B124)*(inventory!$E$2:$E$801="delivered")*(inventory!$A$2:$A$801+inventory!$B$2:$B$801)))),""))</f>
        <v/>
      </c>
      <c r="W124" s="25">
        <f>IF($A124="","",IFERROR(IF(INDEX(inventory!$J$2:$J$801,MATCH($A124&amp;"|"&amp;$B124&amp;"|delivered",inventory!$R$2:$R$801,0))="","",INDEX(inventory!$J$2:$J$801,MATCH($A124&amp;"|"&amp;$B124&amp;"|delivered",inventory!$R$2:$R$801,0))),""))</f>
        <v/>
      </c>
      <c r="X124" s="25">
        <f>IF($A124="","",IFERROR(IF(INDEX(photos!$H$2:$H$701,MATCH($A124&amp;"|"&amp;$B124&amp;"|placement|Y",photos!$R$2:$R$701,0))="","",INDEX(photos!$H$2:$H$701,MATCH($A124&amp;"|"&amp;$B124&amp;"|placement|Y",photos!$R$2:$R$701,0))),""))</f>
        <v/>
      </c>
      <c r="Y124" s="26">
        <f>IF($A124="","",IFERROR(IF(INDEX(photos!$E$2:$E$701,MATCH($A124&amp;"|"&amp;$B124&amp;"|placement|Y",photos!$R$2:$R$701,0))="","",INDEX(photos!$E$2:$E$701,MATCH($A124&amp;"|"&amp;$B124&amp;"|placement|Y",photos!$R$2:$R$701,0))),""))</f>
        <v/>
      </c>
      <c r="Z124" s="25">
        <f>IF($A124="","",IF(COUNTIFS(counts!$C$2:$C$701,$A124,counts!$D$2:$D$701,$B124,counts!$E$2:$E$701,"placed")=0,"",SUMIFS(counts!$F$2:$F$701,counts!$C$2:$C$701,$A124,counts!$D$2:$D$701,$B124,counts!$E$2:$E$701,"placed")))</f>
        <v/>
      </c>
      <c r="AA124" s="25">
        <f>IF($A124="","",IF($Y124="",0,N($Z124)))</f>
        <v/>
      </c>
      <c r="AB124" s="25">
        <f>IF($A124="","",IF(OR($Y124="",$I124=""),"N",IF($Y124&lt;=WORKDAY(N($I124),1,calendar!$A$2:$A$80),"Y","N")))</f>
        <v/>
      </c>
      <c r="AC124" s="28">
        <f>IF(OR($A124="",$V124="",$Y124=""),"",ROUND(($Y124+N(IFERROR(IF(INDEX(photos!$F$2:$F$701,MATCH($A124&amp;"|"&amp;$B124&amp;"|placement|Y",photos!$R$2:$R$701,0))="","",INDEX(photos!$F$2:$F$701,MATCH($A124&amp;"|"&amp;$B124&amp;"|placement|Y",photos!$R$2:$R$701,0))),""))-$V124)*24,1))</f>
        <v/>
      </c>
      <c r="AD124" s="25">
        <f>IF($A124="","",SUMIFS(inventory!$G$2:$G$801,inventory!$C$2:$C$801,$A124,inventory!$D$2:$D$801,$B124,inventory!$E$2:$E$801,"topped_up"))</f>
        <v/>
      </c>
      <c r="AE124" s="25">
        <f>IF($A124="","",IF(COUNTIFS(counts!$C$2:$C$701,$A124,counts!$D$2:$D$701,$B124,counts!$E$2:$E$701,"remaining_day3")=0,"",SUMIFS(counts!$F$2:$F$701,counts!$C$2:$C$701,$A124,counts!$D$2:$D$701,$B124,counts!$E$2:$E$701,"remaining_day3")))</f>
        <v/>
      </c>
      <c r="AF124" s="25">
        <f>IF($A124="","",IF(COUNTIFS(counts!$C$2:$C$701,$A124,counts!$D$2:$D$701,$B124,counts!$E$2:$E$701,"remaining_day5")=0,"",SUMIFS(counts!$F$2:$F$701,counts!$C$2:$C$701,$A124,counts!$D$2:$D$701,$B124,counts!$E$2:$E$701,"remaining_day5")))</f>
        <v/>
      </c>
      <c r="AG124" s="25">
        <f>IF(OR($A124="",$AF124=""),"",MAX(0,$AA124+$AD124-$AF124))</f>
        <v/>
      </c>
      <c r="AH124" s="25">
        <f>IF(OR($A124="",$AI124=""),"",IFERROR(IF(INDEX(photos!$H$2:$H$701,MATCH($A124&amp;"|"&amp;$B124&amp;"|later|Y|"&amp;$AI124,photos!$S$2:$S$701,0))="","",INDEX(photos!$H$2:$H$701,MATCH($A124&amp;"|"&amp;$B124&amp;"|later|Y|"&amp;$AI124,photos!$S$2:$S$701,0))),""))</f>
        <v/>
      </c>
      <c r="AI124" s="26">
        <f>IF($A124="","",IFERROR(1/(1/SUMPRODUCT(MAX((photos!$B$2:$B$701=$A124)*(photos!$C$2:$C$701=$B124)*(photos!$D$2:$D$701="later")*(photos!$O$2:$O$701="Y")*photos!$E$2:$E$701))),""))</f>
        <v/>
      </c>
      <c r="AJ124" s="25">
        <f>IF(OR($A124="",$AI124="",$I124=""),"",NETWORKDAYS($I124,$AI124,calendar!$A$2:$A$80))</f>
        <v/>
      </c>
      <c r="AK124" s="25">
        <f>IF($A124="","",IF(AND($X124&lt;&gt;"",$AH124&lt;&gt;""),"Y","N"))</f>
        <v/>
      </c>
      <c r="AL124" s="25">
        <f>IF(OR($A124="",$I124=""),"",IF($BC124="Y",SUMIFS(survey_frozen!$C$2:$C$251,survey_frozen!$P$2:$P$251,$A124&amp;"|"&amp;$B124),IFERROR(COUNTIFS(INDIRECT("'"&amp;$A124&amp;"'!$B$2:$B$501"),$T124,INDIRECT("'"&amp;$A124&amp;"'!$A$2:$A$501"),"&gt;="&amp;$I124,INDIRECT("'"&amp;$A124&amp;"'!$A$2:$A$501"),"&lt;"&amp;($BA124+1)),0)))</f>
        <v/>
      </c>
      <c r="AM124" s="25">
        <f>IF(OR($A124="",$I124=""),"",IF($BC124="Y",SUMIFS(survey_frozen!$D$2:$D$251,survey_frozen!$P$2:$P$251,$A124&amp;"|"&amp;$B124),IFERROR(COUNTIFS(INDIRECT("'"&amp;$A124&amp;"'!$B$2:$B$501"),$T124,INDIRECT("'"&amp;$A124&amp;"'!$A$2:$A$501"),"&gt;="&amp;$I124,INDIRECT("'"&amp;$A124&amp;"'!$A$2:$A$501"),"&lt;"&amp;($BA124+1),INDIRECT("'"&amp;$A124&amp;"'!$C$2:$C$501"),"Yes"),0)))</f>
        <v/>
      </c>
      <c r="AN124" s="25">
        <f>IF($A124="","",IF(COUNTIFS(scans!$C$2:$C$1601,(IF(LEFT($A124,7)="SAMPLE-","SAMPLE-","")&amp;LOWER(SUBSTITUTE(SUBSTITUTE($A124,"SAMPLE-",""),"CMP-","c"))&amp;"-"&amp;LOWER(SUBSTITUTE(SUBSTITUTE($B124,"SAMPLE-",""),"O-","o"))&amp;"-q"),scans!$D$2:$D$1601,"close")=0,"",SUMPRODUCT(MAX((scans!$C$2:$C$1601=(IF(LEFT($A124,7)="SAMPLE-","SAMPLE-","")&amp;LOWER(SUBSTITUTE(SUBSTITUTE($A124,"SAMPLE-",""),"CMP-","c"))&amp;"-"&amp;LOWER(SUBSTITUTE(SUBSTITUTE($B124,"SAMPLE-",""),"O-","o"))&amp;"-q"))*(scans!$D$2:$D$1601="close")*scans!$E$2:$E$1601))-SUMPRODUCT(MAX((scans!$C$2:$C$1601=(IF(LEFT($A124,7)="SAMPLE-","SAMPLE-","")&amp;LOWER(SUBSTITUTE(SUBSTITUTE($A124,"SAMPLE-",""),"CMP-","c"))&amp;"-"&amp;LOWER(SUBSTITUTE(SUBSTITUTE($B124,"SAMPLE-",""),"O-","o"))&amp;"-q"))*(scans!$D$2:$D$1601="baseline")*scans!$E$2:$E$1601))))</f>
        <v/>
      </c>
      <c r="AO124" s="25">
        <f>IF($A124="","",IF(COUNTIFS(scans!$C$2:$C$1601,(IF(LEFT($A124,7)="SAMPLE-","SAMPLE-","")&amp;LOWER(SUBSTITUTE(SUBSTITUTE($A124,"SAMPLE-",""),"CMP-","c"))&amp;"-"&amp;LOWER(SUBSTITUTE(SUBSTITUTE($B124,"SAMPLE-",""),"O-","o"))&amp;"-p"),scans!$D$2:$D$1601,"close")=0,"",SUMPRODUCT(MAX((scans!$C$2:$C$1601=(IF(LEFT($A124,7)="SAMPLE-","SAMPLE-","")&amp;LOWER(SUBSTITUTE(SUBSTITUTE($A124,"SAMPLE-",""),"CMP-","c"))&amp;"-"&amp;LOWER(SUBSTITUTE(SUBSTITUTE($B124,"SAMPLE-",""),"O-","o"))&amp;"-p"))*(scans!$D$2:$D$1601="close")*scans!$E$2:$E$1601))-SUMPRODUCT(MAX((scans!$C$2:$C$1601=(IF(LEFT($A124,7)="SAMPLE-","SAMPLE-","")&amp;LOWER(SUBSTITUTE(SUBSTITUTE($A124,"SAMPLE-",""),"CMP-","c"))&amp;"-"&amp;LOWER(SUBSTITUTE(SUBSTITUTE($B124,"SAMPLE-",""),"O-","o"))&amp;"-p"))*(scans!$D$2:$D$1601="baseline")*scans!$E$2:$E$1601))))</f>
        <v/>
      </c>
      <c r="AP124" s="25">
        <f>IF($A124="","",IF(COUNTIF(offices!$A$2:$A$61,$B124)=0,"office_id not on offices; ","")&amp;IF(COUNTIF(campaigns!$A$2:$A$51,$A124)=0,"campaign_id not on campaigns; ","")&amp;IF($P124="pending","approval pending; ","")&amp;IF(AND($U124&gt;0,$Y124="",OR($I124="",IF(config!$B$37&lt;&gt;"",config!$B$37,TODAY())&lt;=WORKDAY(N($I124),4,calendar!$A$2:$A$80))),"no usable placement photo yet; ","")&amp;IF(AND($Y124&lt;&gt;"",$Z124=""),"log the placed count; ","")&amp;IF(N($AA124)&gt;N($U124),"placed more than delivered; ","")&amp;IF(AND($AF124&lt;&gt;"",N($AF124)&gt;N($AA124)+N($AD124)),"day-5 count above placed plus top-ups; ","")&amp;IF(AND($U124&gt;0,$I124&lt;&gt;"",IF(config!$B$37&lt;&gt;"",config!$B$37,TODAY())&gt;WORKDAY(N($I124),4,calendar!$A$2:$A$80),$AF124=""),"day-5 count missing; ","")&amp;IF(AND($U124&gt;0,$I124&lt;&gt;"",IF(config!$B$37&lt;&gt;"",config!$B$37,TODAY())&gt;WORKDAY(N($I124),4,calendar!$A$2:$A$80),$AN124=""),"no close link reading; ","")&amp;$R124&amp;IF($P124="N","info: office said no; ","")&amp;IF(AND($P124="Y",$Q124="N"),"info: turned away at the door, so not on the drop (no letter, not in the report or Gate 2; the credit check is on campaigns); ","")&amp;IF(AND($U124&gt;0,$Y124="",$I124&lt;&gt;"",IF(config!$B$37&lt;&gt;"",config!$B$37,TODAY())&gt;WORKDAY(N($I124),4,calendar!$A$2:$A$80)),"info: no usable placement photo, so nothing counts as placed; ","")&amp;IF(AND($U124&gt;0,$I124&lt;&gt;"",IF(config!$B$37&lt;&gt;"",config!$B$37,TODAY())&gt;WORKDAY(N($I124),4,calendar!$A$2:$A$80),N($AL124)&lt;config!$B$30),"info: under "&amp;config!$B$30&amp;" responses; ","")&amp;IF($W124="packing_list","info: delivered count not verified; ",""))</f>
        <v/>
      </c>
      <c r="AQ124" s="25">
        <f>IF(OR($A124="",$I124=""),"",IF($BC124="Y",SUMIFS(survey_frozen!$E$2:$E$251,survey_frozen!$P$2:$P$251,$A124&amp;"|"&amp;$B124),IFERROR(COUNTIFS(INDIRECT("'"&amp;$A124&amp;"'!$B$2:$B$501"),$T124,INDIRECT("'"&amp;$A124&amp;"'!$A$2:$A$501"),"&gt;="&amp;$I124,INDIRECT("'"&amp;$A124&amp;"'!$A$2:$A$501"),"&lt;"&amp;($BA124+1),INDIRECT("'"&amp;$A124&amp;"'!$F$2:$F$501"),"Didn't see it"),0)))</f>
        <v/>
      </c>
      <c r="AR124" s="25">
        <f>IF(OR($A124="",$I124=""),"",IF($BC124="Y",SUMIFS(survey_frozen!$F$2:$F$251,survey_frozen!$P$2:$P$251,$A124&amp;"|"&amp;$B124),IFERROR(COUNTIFS(INDIRECT("'"&amp;$A124&amp;"'!$B$2:$B$501"),$T124,INDIRECT("'"&amp;$A124&amp;"'!$A$2:$A$501"),"&gt;="&amp;$I124,INDIRECT("'"&amp;$A124&amp;"'!$A$2:$A$501"),"&lt;"&amp;($BA124+1),INDIRECT("'"&amp;$A124&amp;"'!$F$2:$F$501"),"Not for me"),0)))</f>
        <v/>
      </c>
      <c r="AS124" s="25">
        <f>IF(OR($A124="",$I124=""),"",IF($BC124="Y",SUMIFS(survey_frozen!$G$2:$G$251,survey_frozen!$P$2:$P$251,$A124&amp;"|"&amp;$B124),IFERROR(COUNTIFS(INDIRECT("'"&amp;$A124&amp;"'!$B$2:$B$501"),$T124,INDIRECT("'"&amp;$A124&amp;"'!$A$2:$A$501"),"&gt;="&amp;$I124,INDIRECT("'"&amp;$A124&amp;"'!$A$2:$A$501"),"&lt;"&amp;($BA124+1),INDIRECT("'"&amp;$A124&amp;"'!$F$2:$F$501"),"Gone by the time I looked"),0)))</f>
        <v/>
      </c>
      <c r="AT124" s="25">
        <f>IF(OR($A124="",$I124=""),"",IF($BC124="Y",SUMIFS(survey_frozen!$H$2:$H$251,survey_frozen!$P$2:$P$251,$A124&amp;"|"&amp;$B124),IFERROR(COUNTIFS(INDIRECT("'"&amp;$A124&amp;"'!$B$2:$B$501"),$T124,INDIRECT("'"&amp;$A124&amp;"'!$A$2:$A$501"),"&gt;="&amp;$I124,INDIRECT("'"&amp;$A124&amp;"'!$A$2:$A$501"),"&lt;"&amp;($BA124+1),INDIRECT("'"&amp;$A124&amp;"'!$D$2:$D$501"),"&gt;=1"),0)))</f>
        <v/>
      </c>
      <c r="AU124" s="25">
        <f>IF(OR($A124="",$I124=""),"",IF($BC124="Y",SUMIFS(survey_frozen!$I$2:$I$251,survey_frozen!$P$2:$P$251,$A124&amp;"|"&amp;$B124),IFERROR(SUMIFS(INDIRECT("'"&amp;$A124&amp;"'!$D$2:$D$501"),INDIRECT("'"&amp;$A124&amp;"'!$B$2:$B$501"),$T124,INDIRECT("'"&amp;$A124&amp;"'!$A$2:$A$501"),"&gt;="&amp;$I124,INDIRECT("'"&amp;$A124&amp;"'!$A$2:$A$501"),"&lt;"&amp;($BA124+1)),0)))</f>
        <v/>
      </c>
      <c r="AV124" s="25">
        <f>IF(OR($A124="",$I124=""),"",IF($BC124="Y",SUMIFS(survey_frozen!$J$2:$J$251,survey_frozen!$P$2:$P$251,$A124&amp;"|"&amp;$B124),IFERROR(COUNTIFS(INDIRECT("'"&amp;$A124&amp;"'!$B$2:$B$501"),$T124,INDIRECT("'"&amp;$A124&amp;"'!$A$2:$A$501"),"&gt;="&amp;$I124,INDIRECT("'"&amp;$A124&amp;"'!$A$2:$A$501"),"&lt;"&amp;($BA124+1),INDIRECT("'"&amp;$A124&amp;"'!$E$2:$E$501"),"Yes"),0)))</f>
        <v/>
      </c>
      <c r="AW124" s="25">
        <f>IF(OR($A124="",$I124=""),"",IF($BC124="Y",SUMIFS(survey_frozen!$K$2:$K$251,survey_frozen!$P$2:$P$251,$A124&amp;"|"&amp;$B124),IFERROR(COUNTIFS(INDIRECT("'"&amp;$A124&amp;"'!$B$2:$B$501"),$T124,INDIRECT("'"&amp;$A124&amp;"'!$A$2:$A$501"),"&gt;="&amp;$I124,INDIRECT("'"&amp;$A124&amp;"'!$A$2:$A$501"),"&lt;"&amp;($BA124+1),INDIRECT("'"&amp;$A124&amp;"'!$E$2:$E$501"),"Maybe"),0)))</f>
        <v/>
      </c>
      <c r="AX124" s="25">
        <f>IF(OR($A124="",$I124=""),"",IF($BC124="Y",SUMIFS(survey_frozen!$L$2:$L$251,survey_frozen!$P$2:$P$251,$A124&amp;"|"&amp;$B124),IFERROR(COUNTIFS(INDIRECT("'"&amp;$A124&amp;"'!$B$2:$B$501"),$T124,INDIRECT("'"&amp;$A124&amp;"'!$A$2:$A$501"),"&gt;="&amp;$I124,INDIRECT("'"&amp;$A124&amp;"'!$A$2:$A$501"),"&lt;"&amp;($BA124+1),INDIRECT("'"&amp;$A124&amp;"'!$E$2:$E$501"),"No"),0)))</f>
        <v/>
      </c>
      <c r="AY124" s="25">
        <f>IF(OR($A124="",$I124=""),"",IF($BC124="Y",SUMIFS(survey_frozen!$M$2:$M$251,survey_frozen!$P$2:$P$251,$A124&amp;"|"&amp;$B124),IFERROR(COUNTIFS(INDIRECT("'"&amp;$A124&amp;"'!$B$2:$B$501"),$T124,INDIRECT("'"&amp;$A124&amp;"'!$A$2:$A$501"),"&gt;="&amp;$I124,INDIRECT("'"&amp;$A124&amp;"'!$A$2:$A$501"),"&lt;"&amp;($BA124+1),INDIRECT("'"&amp;$A124&amp;"'!$G$2:$G$501"),"&lt;&gt;"),0)))</f>
        <v/>
      </c>
      <c r="AZ124" s="25">
        <f>IF($A124="","",$A124&amp;"|"&amp;$L124)</f>
        <v/>
      </c>
      <c r="BA124" s="26">
        <f>IF($A124="","",IFERROR(IF(INDEX(drops!$R$2:$R$21,MATCH($H124,drops!$A$2:$A$21,0))="","",INDEX(drops!$R$2:$R$21,MATCH($H124,drops!$A$2:$A$21,0))),""))</f>
        <v/>
      </c>
      <c r="BB124" s="25">
        <f>IF(OR($A124="",$Q124&lt;&gt;"Y"),1000000,N($AL124))</f>
        <v/>
      </c>
      <c r="BC124" s="25">
        <f>IF($A124="","",IF(COUNTIF(survey_frozen!$P$2:$P$251,$A124&amp;"|"&amp;$B124)&gt;0,"Y",""))</f>
        <v/>
      </c>
    </row>
    <row r="125">
      <c r="C125" s="9" t="n"/>
      <c r="E125" s="9" t="n"/>
      <c r="H125" s="25">
        <f>IF($A125="","",IFERROR(IF(INDEX(campaigns!$B$2:$B$51,MATCH($A125,campaigns!$A$2:$A$51,0))="","",INDEX(campaigns!$B$2:$B$51,MATCH($A125,campaigns!$A$2:$A$51,0))),""))</f>
        <v/>
      </c>
      <c r="I125" s="26">
        <f>IF($A125="","",IFERROR(IF(INDEX(campaigns!$BG$2:$BG$51,MATCH($A125,campaigns!$A$2:$A$51,0))="","",INDEX(campaigns!$BG$2:$BG$51,MATCH($A125,campaigns!$A$2:$A$51,0))),""))</f>
        <v/>
      </c>
      <c r="J125" s="25">
        <f>IF($A125="","",IFERROR(IF(INDEX(campaigns!$BE$2:$BE$51,MATCH($A125,campaigns!$A$2:$A$51,0))="","",INDEX(campaigns!$BE$2:$BE$51,MATCH($A125,campaigns!$A$2:$A$51,0))),""))</f>
        <v/>
      </c>
      <c r="K125" s="25">
        <f>IF($B125="","",IFERROR(IF(INDEX(offices!$N$2:$N$61,MATCH($B125,offices!$A$2:$A$61,0))="","",INDEX(offices!$N$2:$N$61,MATCH($B125,offices!$A$2:$A$61,0))),""))</f>
        <v/>
      </c>
      <c r="L125" s="25">
        <f>IF($A125="","",IF($Q125="N","",COUNTIFS($A$2:$A125,$A125,$Q$2:$Q125,"&lt;&gt;N")))</f>
        <v/>
      </c>
      <c r="M125" s="25">
        <f>IF(OR($A125="",$L125=""),"",IF(AND(config!$B$34="names_if_public",IFERROR(IF(INDEX(offices!$AF$2:$AF$61,MATCH($B125,offices!$A$2:$A$61,0))="","",INDEX(offices!$AF$2:$AF$61,MATCH($B125,offices!$A$2:$A$61,0))),"")="Y"),$K125,CHAR(64+$L125)))</f>
        <v/>
      </c>
      <c r="N125" s="25">
        <f>IF(OR($A125="",$I125=""),"",COUNTIFS(stops!$B$2:$B$151,$B125,stops!$P$2:$P$151,"&lt;"&amp;$I125,stops!$L$2:$L$151,"&lt;&gt;not_delivered")+1)</f>
        <v/>
      </c>
      <c r="O125" s="25">
        <f>IF($A125="","",IF(N($N125)&lt;=config!$B$29,"explicit","opt-out"))</f>
        <v/>
      </c>
      <c r="P125" s="25">
        <f>IF($A125="","",IF($O125="explicit",IF($D125="yes","Y",IF($D125="no","N","pending")),IF($D125="no","N",IF(AND($C125&lt;&gt;"",$I125&lt;&gt;"",$C125&lt;=WORKDAY(N($I125),-5,calendar!$A$2:$A$80)),"Y","pending"))))</f>
        <v/>
      </c>
      <c r="Q125" s="25">
        <f>IF($A125="","",IF($P125="N","N",IF($P125&lt;&gt;"Y","pending",IF(AND((COUNTIFS(stops!$A$2:$A$151,$H125,stops!$B$2:$B$151,$B125,stops!$L$2:$L$151,"declined")+COUNTIFS(stops!$A$2:$A$151,$H125,stops!$B$2:$B$151,$B125,stops!$L$2:$L$151,"building_refused")+COUNTIFS(stops!$A$2:$A$151,$H125,stops!$B$2:$B$151,$B125,stops!$L$2:$L$151,"not_delivered"))&gt;0,N($U125)=0),"N","Y"))))</f>
        <v/>
      </c>
      <c r="R125" s="25">
        <f>IF($A125="","",IF(COUNTIFS($A$2:$A$251,$A125,$B$2:$B$251,$B125)&gt;1,"DUPLICATE ROW; ","")&amp;IF(AND(IFERROR(IF(INDEX(offices!$AC$2:$AC$61,MATCH($B125,offices!$A$2:$A$61,0))="","",INDEX(offices!$AC$2:$AC$61,MATCH($B125,offices!$A$2:$A$61,0))),"")&lt;&gt;"",ISNUMBER(SEARCH($J125,IFERROR(IF(INDEX(offices!$AC$2:$AC$61,MATCH($B125,offices!$A$2:$A$61,0))="","",INDEX(offices!$AC$2:$AC$61,MATCH($B125,offices!$A$2:$A$61,0))),"")))),"BRAND VETOED; ","")&amp;IF(ISNUMBER(SEARCH(IFERROR(IF(INDEX(campaigns!$BF$2:$BF$51,MATCH($A125,campaigns!$A$2:$A$51,0))="","",INDEX(campaigns!$BF$2:$BF$51,MATCH($A125,campaigns!$A$2:$A$51,0))),""),IFERROR(IF(INDEX(offices!$AB$2:$AB$61,MATCH($B125,offices!$A$2:$A$61,0))="","",INDEX(offices!$AB$2:$AB$61,MATCH($B125,offices!$A$2:$A$61,0))),""))),"","info: category not on the office's list; ")&amp;IF(IFERROR(IF(INDEX(offices!$AC$2:$AC$61,MATCH($B125,offices!$A$2:$A$61,0))="","",INDEX(offices!$AC$2:$AC$61,MATCH($B125,offices!$A$2:$A$61,0))),"")&lt;&gt;"","info: read the vetoes against the label; ",""))</f>
        <v/>
      </c>
      <c r="S125" s="25">
        <f>IF($A125="","",IF($G125&lt;&gt;"",$G125,IFERROR(IF(INDEX(offices!$AL$2:$AL$61,MATCH($B125,offices!$A$2:$A$61,0))="","",INDEX(offices!$AL$2:$AL$61,MATCH($B125,offices!$A$2:$A$61,0))),"")))</f>
        <v/>
      </c>
      <c r="T125" s="25">
        <f>IF($A125="","",$A125&amp;"."&amp;$B125)</f>
        <v/>
      </c>
      <c r="U125" s="25">
        <f>IF($A125="","",SUMIFS(inventory!$G$2:$G$801,inventory!$C$2:$C$801,$A125,inventory!$D$2:$D$801,$B125,inventory!$E$2:$E$801,"delivered"))</f>
        <v/>
      </c>
      <c r="V125" s="32">
        <f>IF($A125="","",IFERROR(1/(1/SUMPRODUCT(MAX((inventory!$C$2:$C$801=$A125)*(inventory!$D$2:$D$801=$B125)*(inventory!$E$2:$E$801="delivered")*(inventory!$A$2:$A$801+inventory!$B$2:$B$801)))),""))</f>
        <v/>
      </c>
      <c r="W125" s="25">
        <f>IF($A125="","",IFERROR(IF(INDEX(inventory!$J$2:$J$801,MATCH($A125&amp;"|"&amp;$B125&amp;"|delivered",inventory!$R$2:$R$801,0))="","",INDEX(inventory!$J$2:$J$801,MATCH($A125&amp;"|"&amp;$B125&amp;"|delivered",inventory!$R$2:$R$801,0))),""))</f>
        <v/>
      </c>
      <c r="X125" s="25">
        <f>IF($A125="","",IFERROR(IF(INDEX(photos!$H$2:$H$701,MATCH($A125&amp;"|"&amp;$B125&amp;"|placement|Y",photos!$R$2:$R$701,0))="","",INDEX(photos!$H$2:$H$701,MATCH($A125&amp;"|"&amp;$B125&amp;"|placement|Y",photos!$R$2:$R$701,0))),""))</f>
        <v/>
      </c>
      <c r="Y125" s="26">
        <f>IF($A125="","",IFERROR(IF(INDEX(photos!$E$2:$E$701,MATCH($A125&amp;"|"&amp;$B125&amp;"|placement|Y",photos!$R$2:$R$701,0))="","",INDEX(photos!$E$2:$E$701,MATCH($A125&amp;"|"&amp;$B125&amp;"|placement|Y",photos!$R$2:$R$701,0))),""))</f>
        <v/>
      </c>
      <c r="Z125" s="25">
        <f>IF($A125="","",IF(COUNTIFS(counts!$C$2:$C$701,$A125,counts!$D$2:$D$701,$B125,counts!$E$2:$E$701,"placed")=0,"",SUMIFS(counts!$F$2:$F$701,counts!$C$2:$C$701,$A125,counts!$D$2:$D$701,$B125,counts!$E$2:$E$701,"placed")))</f>
        <v/>
      </c>
      <c r="AA125" s="25">
        <f>IF($A125="","",IF($Y125="",0,N($Z125)))</f>
        <v/>
      </c>
      <c r="AB125" s="25">
        <f>IF($A125="","",IF(OR($Y125="",$I125=""),"N",IF($Y125&lt;=WORKDAY(N($I125),1,calendar!$A$2:$A$80),"Y","N")))</f>
        <v/>
      </c>
      <c r="AC125" s="28">
        <f>IF(OR($A125="",$V125="",$Y125=""),"",ROUND(($Y125+N(IFERROR(IF(INDEX(photos!$F$2:$F$701,MATCH($A125&amp;"|"&amp;$B125&amp;"|placement|Y",photos!$R$2:$R$701,0))="","",INDEX(photos!$F$2:$F$701,MATCH($A125&amp;"|"&amp;$B125&amp;"|placement|Y",photos!$R$2:$R$701,0))),""))-$V125)*24,1))</f>
        <v/>
      </c>
      <c r="AD125" s="25">
        <f>IF($A125="","",SUMIFS(inventory!$G$2:$G$801,inventory!$C$2:$C$801,$A125,inventory!$D$2:$D$801,$B125,inventory!$E$2:$E$801,"topped_up"))</f>
        <v/>
      </c>
      <c r="AE125" s="25">
        <f>IF($A125="","",IF(COUNTIFS(counts!$C$2:$C$701,$A125,counts!$D$2:$D$701,$B125,counts!$E$2:$E$701,"remaining_day3")=0,"",SUMIFS(counts!$F$2:$F$701,counts!$C$2:$C$701,$A125,counts!$D$2:$D$701,$B125,counts!$E$2:$E$701,"remaining_day3")))</f>
        <v/>
      </c>
      <c r="AF125" s="25">
        <f>IF($A125="","",IF(COUNTIFS(counts!$C$2:$C$701,$A125,counts!$D$2:$D$701,$B125,counts!$E$2:$E$701,"remaining_day5")=0,"",SUMIFS(counts!$F$2:$F$701,counts!$C$2:$C$701,$A125,counts!$D$2:$D$701,$B125,counts!$E$2:$E$701,"remaining_day5")))</f>
        <v/>
      </c>
      <c r="AG125" s="25">
        <f>IF(OR($A125="",$AF125=""),"",MAX(0,$AA125+$AD125-$AF125))</f>
        <v/>
      </c>
      <c r="AH125" s="25">
        <f>IF(OR($A125="",$AI125=""),"",IFERROR(IF(INDEX(photos!$H$2:$H$701,MATCH($A125&amp;"|"&amp;$B125&amp;"|later|Y|"&amp;$AI125,photos!$S$2:$S$701,0))="","",INDEX(photos!$H$2:$H$701,MATCH($A125&amp;"|"&amp;$B125&amp;"|later|Y|"&amp;$AI125,photos!$S$2:$S$701,0))),""))</f>
        <v/>
      </c>
      <c r="AI125" s="26">
        <f>IF($A125="","",IFERROR(1/(1/SUMPRODUCT(MAX((photos!$B$2:$B$701=$A125)*(photos!$C$2:$C$701=$B125)*(photos!$D$2:$D$701="later")*(photos!$O$2:$O$701="Y")*photos!$E$2:$E$701))),""))</f>
        <v/>
      </c>
      <c r="AJ125" s="25">
        <f>IF(OR($A125="",$AI125="",$I125=""),"",NETWORKDAYS($I125,$AI125,calendar!$A$2:$A$80))</f>
        <v/>
      </c>
      <c r="AK125" s="25">
        <f>IF($A125="","",IF(AND($X125&lt;&gt;"",$AH125&lt;&gt;""),"Y","N"))</f>
        <v/>
      </c>
      <c r="AL125" s="25">
        <f>IF(OR($A125="",$I125=""),"",IF($BC125="Y",SUMIFS(survey_frozen!$C$2:$C$251,survey_frozen!$P$2:$P$251,$A125&amp;"|"&amp;$B125),IFERROR(COUNTIFS(INDIRECT("'"&amp;$A125&amp;"'!$B$2:$B$501"),$T125,INDIRECT("'"&amp;$A125&amp;"'!$A$2:$A$501"),"&gt;="&amp;$I125,INDIRECT("'"&amp;$A125&amp;"'!$A$2:$A$501"),"&lt;"&amp;($BA125+1)),0)))</f>
        <v/>
      </c>
      <c r="AM125" s="25">
        <f>IF(OR($A125="",$I125=""),"",IF($BC125="Y",SUMIFS(survey_frozen!$D$2:$D$251,survey_frozen!$P$2:$P$251,$A125&amp;"|"&amp;$B125),IFERROR(COUNTIFS(INDIRECT("'"&amp;$A125&amp;"'!$B$2:$B$501"),$T125,INDIRECT("'"&amp;$A125&amp;"'!$A$2:$A$501"),"&gt;="&amp;$I125,INDIRECT("'"&amp;$A125&amp;"'!$A$2:$A$501"),"&lt;"&amp;($BA125+1),INDIRECT("'"&amp;$A125&amp;"'!$C$2:$C$501"),"Yes"),0)))</f>
        <v/>
      </c>
      <c r="AN125" s="25">
        <f>IF($A125="","",IF(COUNTIFS(scans!$C$2:$C$1601,(IF(LEFT($A125,7)="SAMPLE-","SAMPLE-","")&amp;LOWER(SUBSTITUTE(SUBSTITUTE($A125,"SAMPLE-",""),"CMP-","c"))&amp;"-"&amp;LOWER(SUBSTITUTE(SUBSTITUTE($B125,"SAMPLE-",""),"O-","o"))&amp;"-q"),scans!$D$2:$D$1601,"close")=0,"",SUMPRODUCT(MAX((scans!$C$2:$C$1601=(IF(LEFT($A125,7)="SAMPLE-","SAMPLE-","")&amp;LOWER(SUBSTITUTE(SUBSTITUTE($A125,"SAMPLE-",""),"CMP-","c"))&amp;"-"&amp;LOWER(SUBSTITUTE(SUBSTITUTE($B125,"SAMPLE-",""),"O-","o"))&amp;"-q"))*(scans!$D$2:$D$1601="close")*scans!$E$2:$E$1601))-SUMPRODUCT(MAX((scans!$C$2:$C$1601=(IF(LEFT($A125,7)="SAMPLE-","SAMPLE-","")&amp;LOWER(SUBSTITUTE(SUBSTITUTE($A125,"SAMPLE-",""),"CMP-","c"))&amp;"-"&amp;LOWER(SUBSTITUTE(SUBSTITUTE($B125,"SAMPLE-",""),"O-","o"))&amp;"-q"))*(scans!$D$2:$D$1601="baseline")*scans!$E$2:$E$1601))))</f>
        <v/>
      </c>
      <c r="AO125" s="25">
        <f>IF($A125="","",IF(COUNTIFS(scans!$C$2:$C$1601,(IF(LEFT($A125,7)="SAMPLE-","SAMPLE-","")&amp;LOWER(SUBSTITUTE(SUBSTITUTE($A125,"SAMPLE-",""),"CMP-","c"))&amp;"-"&amp;LOWER(SUBSTITUTE(SUBSTITUTE($B125,"SAMPLE-",""),"O-","o"))&amp;"-p"),scans!$D$2:$D$1601,"close")=0,"",SUMPRODUCT(MAX((scans!$C$2:$C$1601=(IF(LEFT($A125,7)="SAMPLE-","SAMPLE-","")&amp;LOWER(SUBSTITUTE(SUBSTITUTE($A125,"SAMPLE-",""),"CMP-","c"))&amp;"-"&amp;LOWER(SUBSTITUTE(SUBSTITUTE($B125,"SAMPLE-",""),"O-","o"))&amp;"-p"))*(scans!$D$2:$D$1601="close")*scans!$E$2:$E$1601))-SUMPRODUCT(MAX((scans!$C$2:$C$1601=(IF(LEFT($A125,7)="SAMPLE-","SAMPLE-","")&amp;LOWER(SUBSTITUTE(SUBSTITUTE($A125,"SAMPLE-",""),"CMP-","c"))&amp;"-"&amp;LOWER(SUBSTITUTE(SUBSTITUTE($B125,"SAMPLE-",""),"O-","o"))&amp;"-p"))*(scans!$D$2:$D$1601="baseline")*scans!$E$2:$E$1601))))</f>
        <v/>
      </c>
      <c r="AP125" s="25">
        <f>IF($A125="","",IF(COUNTIF(offices!$A$2:$A$61,$B125)=0,"office_id not on offices; ","")&amp;IF(COUNTIF(campaigns!$A$2:$A$51,$A125)=0,"campaign_id not on campaigns; ","")&amp;IF($P125="pending","approval pending; ","")&amp;IF(AND($U125&gt;0,$Y125="",OR($I125="",IF(config!$B$37&lt;&gt;"",config!$B$37,TODAY())&lt;=WORKDAY(N($I125),4,calendar!$A$2:$A$80))),"no usable placement photo yet; ","")&amp;IF(AND($Y125&lt;&gt;"",$Z125=""),"log the placed count; ","")&amp;IF(N($AA125)&gt;N($U125),"placed more than delivered; ","")&amp;IF(AND($AF125&lt;&gt;"",N($AF125)&gt;N($AA125)+N($AD125)),"day-5 count above placed plus top-ups; ","")&amp;IF(AND($U125&gt;0,$I125&lt;&gt;"",IF(config!$B$37&lt;&gt;"",config!$B$37,TODAY())&gt;WORKDAY(N($I125),4,calendar!$A$2:$A$80),$AF125=""),"day-5 count missing; ","")&amp;IF(AND($U125&gt;0,$I125&lt;&gt;"",IF(config!$B$37&lt;&gt;"",config!$B$37,TODAY())&gt;WORKDAY(N($I125),4,calendar!$A$2:$A$80),$AN125=""),"no close link reading; ","")&amp;$R125&amp;IF($P125="N","info: office said no; ","")&amp;IF(AND($P125="Y",$Q125="N"),"info: turned away at the door, so not on the drop (no letter, not in the report or Gate 2; the credit check is on campaigns); ","")&amp;IF(AND($U125&gt;0,$Y125="",$I125&lt;&gt;"",IF(config!$B$37&lt;&gt;"",config!$B$37,TODAY())&gt;WORKDAY(N($I125),4,calendar!$A$2:$A$80)),"info: no usable placement photo, so nothing counts as placed; ","")&amp;IF(AND($U125&gt;0,$I125&lt;&gt;"",IF(config!$B$37&lt;&gt;"",config!$B$37,TODAY())&gt;WORKDAY(N($I125),4,calendar!$A$2:$A$80),N($AL125)&lt;config!$B$30),"info: under "&amp;config!$B$30&amp;" responses; ","")&amp;IF($W125="packing_list","info: delivered count not verified; ",""))</f>
        <v/>
      </c>
      <c r="AQ125" s="25">
        <f>IF(OR($A125="",$I125=""),"",IF($BC125="Y",SUMIFS(survey_frozen!$E$2:$E$251,survey_frozen!$P$2:$P$251,$A125&amp;"|"&amp;$B125),IFERROR(COUNTIFS(INDIRECT("'"&amp;$A125&amp;"'!$B$2:$B$501"),$T125,INDIRECT("'"&amp;$A125&amp;"'!$A$2:$A$501"),"&gt;="&amp;$I125,INDIRECT("'"&amp;$A125&amp;"'!$A$2:$A$501"),"&lt;"&amp;($BA125+1),INDIRECT("'"&amp;$A125&amp;"'!$F$2:$F$501"),"Didn't see it"),0)))</f>
        <v/>
      </c>
      <c r="AR125" s="25">
        <f>IF(OR($A125="",$I125=""),"",IF($BC125="Y",SUMIFS(survey_frozen!$F$2:$F$251,survey_frozen!$P$2:$P$251,$A125&amp;"|"&amp;$B125),IFERROR(COUNTIFS(INDIRECT("'"&amp;$A125&amp;"'!$B$2:$B$501"),$T125,INDIRECT("'"&amp;$A125&amp;"'!$A$2:$A$501"),"&gt;="&amp;$I125,INDIRECT("'"&amp;$A125&amp;"'!$A$2:$A$501"),"&lt;"&amp;($BA125+1),INDIRECT("'"&amp;$A125&amp;"'!$F$2:$F$501"),"Not for me"),0)))</f>
        <v/>
      </c>
      <c r="AS125" s="25">
        <f>IF(OR($A125="",$I125=""),"",IF($BC125="Y",SUMIFS(survey_frozen!$G$2:$G$251,survey_frozen!$P$2:$P$251,$A125&amp;"|"&amp;$B125),IFERROR(COUNTIFS(INDIRECT("'"&amp;$A125&amp;"'!$B$2:$B$501"),$T125,INDIRECT("'"&amp;$A125&amp;"'!$A$2:$A$501"),"&gt;="&amp;$I125,INDIRECT("'"&amp;$A125&amp;"'!$A$2:$A$501"),"&lt;"&amp;($BA125+1),INDIRECT("'"&amp;$A125&amp;"'!$F$2:$F$501"),"Gone by the time I looked"),0)))</f>
        <v/>
      </c>
      <c r="AT125" s="25">
        <f>IF(OR($A125="",$I125=""),"",IF($BC125="Y",SUMIFS(survey_frozen!$H$2:$H$251,survey_frozen!$P$2:$P$251,$A125&amp;"|"&amp;$B125),IFERROR(COUNTIFS(INDIRECT("'"&amp;$A125&amp;"'!$B$2:$B$501"),$T125,INDIRECT("'"&amp;$A125&amp;"'!$A$2:$A$501"),"&gt;="&amp;$I125,INDIRECT("'"&amp;$A125&amp;"'!$A$2:$A$501"),"&lt;"&amp;($BA125+1),INDIRECT("'"&amp;$A125&amp;"'!$D$2:$D$501"),"&gt;=1"),0)))</f>
        <v/>
      </c>
      <c r="AU125" s="25">
        <f>IF(OR($A125="",$I125=""),"",IF($BC125="Y",SUMIFS(survey_frozen!$I$2:$I$251,survey_frozen!$P$2:$P$251,$A125&amp;"|"&amp;$B125),IFERROR(SUMIFS(INDIRECT("'"&amp;$A125&amp;"'!$D$2:$D$501"),INDIRECT("'"&amp;$A125&amp;"'!$B$2:$B$501"),$T125,INDIRECT("'"&amp;$A125&amp;"'!$A$2:$A$501"),"&gt;="&amp;$I125,INDIRECT("'"&amp;$A125&amp;"'!$A$2:$A$501"),"&lt;"&amp;($BA125+1)),0)))</f>
        <v/>
      </c>
      <c r="AV125" s="25">
        <f>IF(OR($A125="",$I125=""),"",IF($BC125="Y",SUMIFS(survey_frozen!$J$2:$J$251,survey_frozen!$P$2:$P$251,$A125&amp;"|"&amp;$B125),IFERROR(COUNTIFS(INDIRECT("'"&amp;$A125&amp;"'!$B$2:$B$501"),$T125,INDIRECT("'"&amp;$A125&amp;"'!$A$2:$A$501"),"&gt;="&amp;$I125,INDIRECT("'"&amp;$A125&amp;"'!$A$2:$A$501"),"&lt;"&amp;($BA125+1),INDIRECT("'"&amp;$A125&amp;"'!$E$2:$E$501"),"Yes"),0)))</f>
        <v/>
      </c>
      <c r="AW125" s="25">
        <f>IF(OR($A125="",$I125=""),"",IF($BC125="Y",SUMIFS(survey_frozen!$K$2:$K$251,survey_frozen!$P$2:$P$251,$A125&amp;"|"&amp;$B125),IFERROR(COUNTIFS(INDIRECT("'"&amp;$A125&amp;"'!$B$2:$B$501"),$T125,INDIRECT("'"&amp;$A125&amp;"'!$A$2:$A$501"),"&gt;="&amp;$I125,INDIRECT("'"&amp;$A125&amp;"'!$A$2:$A$501"),"&lt;"&amp;($BA125+1),INDIRECT("'"&amp;$A125&amp;"'!$E$2:$E$501"),"Maybe"),0)))</f>
        <v/>
      </c>
      <c r="AX125" s="25">
        <f>IF(OR($A125="",$I125=""),"",IF($BC125="Y",SUMIFS(survey_frozen!$L$2:$L$251,survey_frozen!$P$2:$P$251,$A125&amp;"|"&amp;$B125),IFERROR(COUNTIFS(INDIRECT("'"&amp;$A125&amp;"'!$B$2:$B$501"),$T125,INDIRECT("'"&amp;$A125&amp;"'!$A$2:$A$501"),"&gt;="&amp;$I125,INDIRECT("'"&amp;$A125&amp;"'!$A$2:$A$501"),"&lt;"&amp;($BA125+1),INDIRECT("'"&amp;$A125&amp;"'!$E$2:$E$501"),"No"),0)))</f>
        <v/>
      </c>
      <c r="AY125" s="25">
        <f>IF(OR($A125="",$I125=""),"",IF($BC125="Y",SUMIFS(survey_frozen!$M$2:$M$251,survey_frozen!$P$2:$P$251,$A125&amp;"|"&amp;$B125),IFERROR(COUNTIFS(INDIRECT("'"&amp;$A125&amp;"'!$B$2:$B$501"),$T125,INDIRECT("'"&amp;$A125&amp;"'!$A$2:$A$501"),"&gt;="&amp;$I125,INDIRECT("'"&amp;$A125&amp;"'!$A$2:$A$501"),"&lt;"&amp;($BA125+1),INDIRECT("'"&amp;$A125&amp;"'!$G$2:$G$501"),"&lt;&gt;"),0)))</f>
        <v/>
      </c>
      <c r="AZ125" s="25">
        <f>IF($A125="","",$A125&amp;"|"&amp;$L125)</f>
        <v/>
      </c>
      <c r="BA125" s="26">
        <f>IF($A125="","",IFERROR(IF(INDEX(drops!$R$2:$R$21,MATCH($H125,drops!$A$2:$A$21,0))="","",INDEX(drops!$R$2:$R$21,MATCH($H125,drops!$A$2:$A$21,0))),""))</f>
        <v/>
      </c>
      <c r="BB125" s="25">
        <f>IF(OR($A125="",$Q125&lt;&gt;"Y"),1000000,N($AL125))</f>
        <v/>
      </c>
      <c r="BC125" s="25">
        <f>IF($A125="","",IF(COUNTIF(survey_frozen!$P$2:$P$251,$A125&amp;"|"&amp;$B125)&gt;0,"Y",""))</f>
        <v/>
      </c>
    </row>
    <row r="126">
      <c r="C126" s="9" t="n"/>
      <c r="E126" s="9" t="n"/>
      <c r="H126" s="25">
        <f>IF($A126="","",IFERROR(IF(INDEX(campaigns!$B$2:$B$51,MATCH($A126,campaigns!$A$2:$A$51,0))="","",INDEX(campaigns!$B$2:$B$51,MATCH($A126,campaigns!$A$2:$A$51,0))),""))</f>
        <v/>
      </c>
      <c r="I126" s="26">
        <f>IF($A126="","",IFERROR(IF(INDEX(campaigns!$BG$2:$BG$51,MATCH($A126,campaigns!$A$2:$A$51,0))="","",INDEX(campaigns!$BG$2:$BG$51,MATCH($A126,campaigns!$A$2:$A$51,0))),""))</f>
        <v/>
      </c>
      <c r="J126" s="25">
        <f>IF($A126="","",IFERROR(IF(INDEX(campaigns!$BE$2:$BE$51,MATCH($A126,campaigns!$A$2:$A$51,0))="","",INDEX(campaigns!$BE$2:$BE$51,MATCH($A126,campaigns!$A$2:$A$51,0))),""))</f>
        <v/>
      </c>
      <c r="K126" s="25">
        <f>IF($B126="","",IFERROR(IF(INDEX(offices!$N$2:$N$61,MATCH($B126,offices!$A$2:$A$61,0))="","",INDEX(offices!$N$2:$N$61,MATCH($B126,offices!$A$2:$A$61,0))),""))</f>
        <v/>
      </c>
      <c r="L126" s="25">
        <f>IF($A126="","",IF($Q126="N","",COUNTIFS($A$2:$A126,$A126,$Q$2:$Q126,"&lt;&gt;N")))</f>
        <v/>
      </c>
      <c r="M126" s="25">
        <f>IF(OR($A126="",$L126=""),"",IF(AND(config!$B$34="names_if_public",IFERROR(IF(INDEX(offices!$AF$2:$AF$61,MATCH($B126,offices!$A$2:$A$61,0))="","",INDEX(offices!$AF$2:$AF$61,MATCH($B126,offices!$A$2:$A$61,0))),"")="Y"),$K126,CHAR(64+$L126)))</f>
        <v/>
      </c>
      <c r="N126" s="25">
        <f>IF(OR($A126="",$I126=""),"",COUNTIFS(stops!$B$2:$B$151,$B126,stops!$P$2:$P$151,"&lt;"&amp;$I126,stops!$L$2:$L$151,"&lt;&gt;not_delivered")+1)</f>
        <v/>
      </c>
      <c r="O126" s="25">
        <f>IF($A126="","",IF(N($N126)&lt;=config!$B$29,"explicit","opt-out"))</f>
        <v/>
      </c>
      <c r="P126" s="25">
        <f>IF($A126="","",IF($O126="explicit",IF($D126="yes","Y",IF($D126="no","N","pending")),IF($D126="no","N",IF(AND($C126&lt;&gt;"",$I126&lt;&gt;"",$C126&lt;=WORKDAY(N($I126),-5,calendar!$A$2:$A$80)),"Y","pending"))))</f>
        <v/>
      </c>
      <c r="Q126" s="25">
        <f>IF($A126="","",IF($P126="N","N",IF($P126&lt;&gt;"Y","pending",IF(AND((COUNTIFS(stops!$A$2:$A$151,$H126,stops!$B$2:$B$151,$B126,stops!$L$2:$L$151,"declined")+COUNTIFS(stops!$A$2:$A$151,$H126,stops!$B$2:$B$151,$B126,stops!$L$2:$L$151,"building_refused")+COUNTIFS(stops!$A$2:$A$151,$H126,stops!$B$2:$B$151,$B126,stops!$L$2:$L$151,"not_delivered"))&gt;0,N($U126)=0),"N","Y"))))</f>
        <v/>
      </c>
      <c r="R126" s="25">
        <f>IF($A126="","",IF(COUNTIFS($A$2:$A$251,$A126,$B$2:$B$251,$B126)&gt;1,"DUPLICATE ROW; ","")&amp;IF(AND(IFERROR(IF(INDEX(offices!$AC$2:$AC$61,MATCH($B126,offices!$A$2:$A$61,0))="","",INDEX(offices!$AC$2:$AC$61,MATCH($B126,offices!$A$2:$A$61,0))),"")&lt;&gt;"",ISNUMBER(SEARCH($J126,IFERROR(IF(INDEX(offices!$AC$2:$AC$61,MATCH($B126,offices!$A$2:$A$61,0))="","",INDEX(offices!$AC$2:$AC$61,MATCH($B126,offices!$A$2:$A$61,0))),"")))),"BRAND VETOED; ","")&amp;IF(ISNUMBER(SEARCH(IFERROR(IF(INDEX(campaigns!$BF$2:$BF$51,MATCH($A126,campaigns!$A$2:$A$51,0))="","",INDEX(campaigns!$BF$2:$BF$51,MATCH($A126,campaigns!$A$2:$A$51,0))),""),IFERROR(IF(INDEX(offices!$AB$2:$AB$61,MATCH($B126,offices!$A$2:$A$61,0))="","",INDEX(offices!$AB$2:$AB$61,MATCH($B126,offices!$A$2:$A$61,0))),""))),"","info: category not on the office's list; ")&amp;IF(IFERROR(IF(INDEX(offices!$AC$2:$AC$61,MATCH($B126,offices!$A$2:$A$61,0))="","",INDEX(offices!$AC$2:$AC$61,MATCH($B126,offices!$A$2:$A$61,0))),"")&lt;&gt;"","info: read the vetoes against the label; ",""))</f>
        <v/>
      </c>
      <c r="S126" s="25">
        <f>IF($A126="","",IF($G126&lt;&gt;"",$G126,IFERROR(IF(INDEX(offices!$AL$2:$AL$61,MATCH($B126,offices!$A$2:$A$61,0))="","",INDEX(offices!$AL$2:$AL$61,MATCH($B126,offices!$A$2:$A$61,0))),"")))</f>
        <v/>
      </c>
      <c r="T126" s="25">
        <f>IF($A126="","",$A126&amp;"."&amp;$B126)</f>
        <v/>
      </c>
      <c r="U126" s="25">
        <f>IF($A126="","",SUMIFS(inventory!$G$2:$G$801,inventory!$C$2:$C$801,$A126,inventory!$D$2:$D$801,$B126,inventory!$E$2:$E$801,"delivered"))</f>
        <v/>
      </c>
      <c r="V126" s="32">
        <f>IF($A126="","",IFERROR(1/(1/SUMPRODUCT(MAX((inventory!$C$2:$C$801=$A126)*(inventory!$D$2:$D$801=$B126)*(inventory!$E$2:$E$801="delivered")*(inventory!$A$2:$A$801+inventory!$B$2:$B$801)))),""))</f>
        <v/>
      </c>
      <c r="W126" s="25">
        <f>IF($A126="","",IFERROR(IF(INDEX(inventory!$J$2:$J$801,MATCH($A126&amp;"|"&amp;$B126&amp;"|delivered",inventory!$R$2:$R$801,0))="","",INDEX(inventory!$J$2:$J$801,MATCH($A126&amp;"|"&amp;$B126&amp;"|delivered",inventory!$R$2:$R$801,0))),""))</f>
        <v/>
      </c>
      <c r="X126" s="25">
        <f>IF($A126="","",IFERROR(IF(INDEX(photos!$H$2:$H$701,MATCH($A126&amp;"|"&amp;$B126&amp;"|placement|Y",photos!$R$2:$R$701,0))="","",INDEX(photos!$H$2:$H$701,MATCH($A126&amp;"|"&amp;$B126&amp;"|placement|Y",photos!$R$2:$R$701,0))),""))</f>
        <v/>
      </c>
      <c r="Y126" s="26">
        <f>IF($A126="","",IFERROR(IF(INDEX(photos!$E$2:$E$701,MATCH($A126&amp;"|"&amp;$B126&amp;"|placement|Y",photos!$R$2:$R$701,0))="","",INDEX(photos!$E$2:$E$701,MATCH($A126&amp;"|"&amp;$B126&amp;"|placement|Y",photos!$R$2:$R$701,0))),""))</f>
        <v/>
      </c>
      <c r="Z126" s="25">
        <f>IF($A126="","",IF(COUNTIFS(counts!$C$2:$C$701,$A126,counts!$D$2:$D$701,$B126,counts!$E$2:$E$701,"placed")=0,"",SUMIFS(counts!$F$2:$F$701,counts!$C$2:$C$701,$A126,counts!$D$2:$D$701,$B126,counts!$E$2:$E$701,"placed")))</f>
        <v/>
      </c>
      <c r="AA126" s="25">
        <f>IF($A126="","",IF($Y126="",0,N($Z126)))</f>
        <v/>
      </c>
      <c r="AB126" s="25">
        <f>IF($A126="","",IF(OR($Y126="",$I126=""),"N",IF($Y126&lt;=WORKDAY(N($I126),1,calendar!$A$2:$A$80),"Y","N")))</f>
        <v/>
      </c>
      <c r="AC126" s="28">
        <f>IF(OR($A126="",$V126="",$Y126=""),"",ROUND(($Y126+N(IFERROR(IF(INDEX(photos!$F$2:$F$701,MATCH($A126&amp;"|"&amp;$B126&amp;"|placement|Y",photos!$R$2:$R$701,0))="","",INDEX(photos!$F$2:$F$701,MATCH($A126&amp;"|"&amp;$B126&amp;"|placement|Y",photos!$R$2:$R$701,0))),""))-$V126)*24,1))</f>
        <v/>
      </c>
      <c r="AD126" s="25">
        <f>IF($A126="","",SUMIFS(inventory!$G$2:$G$801,inventory!$C$2:$C$801,$A126,inventory!$D$2:$D$801,$B126,inventory!$E$2:$E$801,"topped_up"))</f>
        <v/>
      </c>
      <c r="AE126" s="25">
        <f>IF($A126="","",IF(COUNTIFS(counts!$C$2:$C$701,$A126,counts!$D$2:$D$701,$B126,counts!$E$2:$E$701,"remaining_day3")=0,"",SUMIFS(counts!$F$2:$F$701,counts!$C$2:$C$701,$A126,counts!$D$2:$D$701,$B126,counts!$E$2:$E$701,"remaining_day3")))</f>
        <v/>
      </c>
      <c r="AF126" s="25">
        <f>IF($A126="","",IF(COUNTIFS(counts!$C$2:$C$701,$A126,counts!$D$2:$D$701,$B126,counts!$E$2:$E$701,"remaining_day5")=0,"",SUMIFS(counts!$F$2:$F$701,counts!$C$2:$C$701,$A126,counts!$D$2:$D$701,$B126,counts!$E$2:$E$701,"remaining_day5")))</f>
        <v/>
      </c>
      <c r="AG126" s="25">
        <f>IF(OR($A126="",$AF126=""),"",MAX(0,$AA126+$AD126-$AF126))</f>
        <v/>
      </c>
      <c r="AH126" s="25">
        <f>IF(OR($A126="",$AI126=""),"",IFERROR(IF(INDEX(photos!$H$2:$H$701,MATCH($A126&amp;"|"&amp;$B126&amp;"|later|Y|"&amp;$AI126,photos!$S$2:$S$701,0))="","",INDEX(photos!$H$2:$H$701,MATCH($A126&amp;"|"&amp;$B126&amp;"|later|Y|"&amp;$AI126,photos!$S$2:$S$701,0))),""))</f>
        <v/>
      </c>
      <c r="AI126" s="26">
        <f>IF($A126="","",IFERROR(1/(1/SUMPRODUCT(MAX((photos!$B$2:$B$701=$A126)*(photos!$C$2:$C$701=$B126)*(photos!$D$2:$D$701="later")*(photos!$O$2:$O$701="Y")*photos!$E$2:$E$701))),""))</f>
        <v/>
      </c>
      <c r="AJ126" s="25">
        <f>IF(OR($A126="",$AI126="",$I126=""),"",NETWORKDAYS($I126,$AI126,calendar!$A$2:$A$80))</f>
        <v/>
      </c>
      <c r="AK126" s="25">
        <f>IF($A126="","",IF(AND($X126&lt;&gt;"",$AH126&lt;&gt;""),"Y","N"))</f>
        <v/>
      </c>
      <c r="AL126" s="25">
        <f>IF(OR($A126="",$I126=""),"",IF($BC126="Y",SUMIFS(survey_frozen!$C$2:$C$251,survey_frozen!$P$2:$P$251,$A126&amp;"|"&amp;$B126),IFERROR(COUNTIFS(INDIRECT("'"&amp;$A126&amp;"'!$B$2:$B$501"),$T126,INDIRECT("'"&amp;$A126&amp;"'!$A$2:$A$501"),"&gt;="&amp;$I126,INDIRECT("'"&amp;$A126&amp;"'!$A$2:$A$501"),"&lt;"&amp;($BA126+1)),0)))</f>
        <v/>
      </c>
      <c r="AM126" s="25">
        <f>IF(OR($A126="",$I126=""),"",IF($BC126="Y",SUMIFS(survey_frozen!$D$2:$D$251,survey_frozen!$P$2:$P$251,$A126&amp;"|"&amp;$B126),IFERROR(COUNTIFS(INDIRECT("'"&amp;$A126&amp;"'!$B$2:$B$501"),$T126,INDIRECT("'"&amp;$A126&amp;"'!$A$2:$A$501"),"&gt;="&amp;$I126,INDIRECT("'"&amp;$A126&amp;"'!$A$2:$A$501"),"&lt;"&amp;($BA126+1),INDIRECT("'"&amp;$A126&amp;"'!$C$2:$C$501"),"Yes"),0)))</f>
        <v/>
      </c>
      <c r="AN126" s="25">
        <f>IF($A126="","",IF(COUNTIFS(scans!$C$2:$C$1601,(IF(LEFT($A126,7)="SAMPLE-","SAMPLE-","")&amp;LOWER(SUBSTITUTE(SUBSTITUTE($A126,"SAMPLE-",""),"CMP-","c"))&amp;"-"&amp;LOWER(SUBSTITUTE(SUBSTITUTE($B126,"SAMPLE-",""),"O-","o"))&amp;"-q"),scans!$D$2:$D$1601,"close")=0,"",SUMPRODUCT(MAX((scans!$C$2:$C$1601=(IF(LEFT($A126,7)="SAMPLE-","SAMPLE-","")&amp;LOWER(SUBSTITUTE(SUBSTITUTE($A126,"SAMPLE-",""),"CMP-","c"))&amp;"-"&amp;LOWER(SUBSTITUTE(SUBSTITUTE($B126,"SAMPLE-",""),"O-","o"))&amp;"-q"))*(scans!$D$2:$D$1601="close")*scans!$E$2:$E$1601))-SUMPRODUCT(MAX((scans!$C$2:$C$1601=(IF(LEFT($A126,7)="SAMPLE-","SAMPLE-","")&amp;LOWER(SUBSTITUTE(SUBSTITUTE($A126,"SAMPLE-",""),"CMP-","c"))&amp;"-"&amp;LOWER(SUBSTITUTE(SUBSTITUTE($B126,"SAMPLE-",""),"O-","o"))&amp;"-q"))*(scans!$D$2:$D$1601="baseline")*scans!$E$2:$E$1601))))</f>
        <v/>
      </c>
      <c r="AO126" s="25">
        <f>IF($A126="","",IF(COUNTIFS(scans!$C$2:$C$1601,(IF(LEFT($A126,7)="SAMPLE-","SAMPLE-","")&amp;LOWER(SUBSTITUTE(SUBSTITUTE($A126,"SAMPLE-",""),"CMP-","c"))&amp;"-"&amp;LOWER(SUBSTITUTE(SUBSTITUTE($B126,"SAMPLE-",""),"O-","o"))&amp;"-p"),scans!$D$2:$D$1601,"close")=0,"",SUMPRODUCT(MAX((scans!$C$2:$C$1601=(IF(LEFT($A126,7)="SAMPLE-","SAMPLE-","")&amp;LOWER(SUBSTITUTE(SUBSTITUTE($A126,"SAMPLE-",""),"CMP-","c"))&amp;"-"&amp;LOWER(SUBSTITUTE(SUBSTITUTE($B126,"SAMPLE-",""),"O-","o"))&amp;"-p"))*(scans!$D$2:$D$1601="close")*scans!$E$2:$E$1601))-SUMPRODUCT(MAX((scans!$C$2:$C$1601=(IF(LEFT($A126,7)="SAMPLE-","SAMPLE-","")&amp;LOWER(SUBSTITUTE(SUBSTITUTE($A126,"SAMPLE-",""),"CMP-","c"))&amp;"-"&amp;LOWER(SUBSTITUTE(SUBSTITUTE($B126,"SAMPLE-",""),"O-","o"))&amp;"-p"))*(scans!$D$2:$D$1601="baseline")*scans!$E$2:$E$1601))))</f>
        <v/>
      </c>
      <c r="AP126" s="25">
        <f>IF($A126="","",IF(COUNTIF(offices!$A$2:$A$61,$B126)=0,"office_id not on offices; ","")&amp;IF(COUNTIF(campaigns!$A$2:$A$51,$A126)=0,"campaign_id not on campaigns; ","")&amp;IF($P126="pending","approval pending; ","")&amp;IF(AND($U126&gt;0,$Y126="",OR($I126="",IF(config!$B$37&lt;&gt;"",config!$B$37,TODAY())&lt;=WORKDAY(N($I126),4,calendar!$A$2:$A$80))),"no usable placement photo yet; ","")&amp;IF(AND($Y126&lt;&gt;"",$Z126=""),"log the placed count; ","")&amp;IF(N($AA126)&gt;N($U126),"placed more than delivered; ","")&amp;IF(AND($AF126&lt;&gt;"",N($AF126)&gt;N($AA126)+N($AD126)),"day-5 count above placed plus top-ups; ","")&amp;IF(AND($U126&gt;0,$I126&lt;&gt;"",IF(config!$B$37&lt;&gt;"",config!$B$37,TODAY())&gt;WORKDAY(N($I126),4,calendar!$A$2:$A$80),$AF126=""),"day-5 count missing; ","")&amp;IF(AND($U126&gt;0,$I126&lt;&gt;"",IF(config!$B$37&lt;&gt;"",config!$B$37,TODAY())&gt;WORKDAY(N($I126),4,calendar!$A$2:$A$80),$AN126=""),"no close link reading; ","")&amp;$R126&amp;IF($P126="N","info: office said no; ","")&amp;IF(AND($P126="Y",$Q126="N"),"info: turned away at the door, so not on the drop (no letter, not in the report or Gate 2; the credit check is on campaigns); ","")&amp;IF(AND($U126&gt;0,$Y126="",$I126&lt;&gt;"",IF(config!$B$37&lt;&gt;"",config!$B$37,TODAY())&gt;WORKDAY(N($I126),4,calendar!$A$2:$A$80)),"info: no usable placement photo, so nothing counts as placed; ","")&amp;IF(AND($U126&gt;0,$I126&lt;&gt;"",IF(config!$B$37&lt;&gt;"",config!$B$37,TODAY())&gt;WORKDAY(N($I126),4,calendar!$A$2:$A$80),N($AL126)&lt;config!$B$30),"info: under "&amp;config!$B$30&amp;" responses; ","")&amp;IF($W126="packing_list","info: delivered count not verified; ",""))</f>
        <v/>
      </c>
      <c r="AQ126" s="25">
        <f>IF(OR($A126="",$I126=""),"",IF($BC126="Y",SUMIFS(survey_frozen!$E$2:$E$251,survey_frozen!$P$2:$P$251,$A126&amp;"|"&amp;$B126),IFERROR(COUNTIFS(INDIRECT("'"&amp;$A126&amp;"'!$B$2:$B$501"),$T126,INDIRECT("'"&amp;$A126&amp;"'!$A$2:$A$501"),"&gt;="&amp;$I126,INDIRECT("'"&amp;$A126&amp;"'!$A$2:$A$501"),"&lt;"&amp;($BA126+1),INDIRECT("'"&amp;$A126&amp;"'!$F$2:$F$501"),"Didn't see it"),0)))</f>
        <v/>
      </c>
      <c r="AR126" s="25">
        <f>IF(OR($A126="",$I126=""),"",IF($BC126="Y",SUMIFS(survey_frozen!$F$2:$F$251,survey_frozen!$P$2:$P$251,$A126&amp;"|"&amp;$B126),IFERROR(COUNTIFS(INDIRECT("'"&amp;$A126&amp;"'!$B$2:$B$501"),$T126,INDIRECT("'"&amp;$A126&amp;"'!$A$2:$A$501"),"&gt;="&amp;$I126,INDIRECT("'"&amp;$A126&amp;"'!$A$2:$A$501"),"&lt;"&amp;($BA126+1),INDIRECT("'"&amp;$A126&amp;"'!$F$2:$F$501"),"Not for me"),0)))</f>
        <v/>
      </c>
      <c r="AS126" s="25">
        <f>IF(OR($A126="",$I126=""),"",IF($BC126="Y",SUMIFS(survey_frozen!$G$2:$G$251,survey_frozen!$P$2:$P$251,$A126&amp;"|"&amp;$B126),IFERROR(COUNTIFS(INDIRECT("'"&amp;$A126&amp;"'!$B$2:$B$501"),$T126,INDIRECT("'"&amp;$A126&amp;"'!$A$2:$A$501"),"&gt;="&amp;$I126,INDIRECT("'"&amp;$A126&amp;"'!$A$2:$A$501"),"&lt;"&amp;($BA126+1),INDIRECT("'"&amp;$A126&amp;"'!$F$2:$F$501"),"Gone by the time I looked"),0)))</f>
        <v/>
      </c>
      <c r="AT126" s="25">
        <f>IF(OR($A126="",$I126=""),"",IF($BC126="Y",SUMIFS(survey_frozen!$H$2:$H$251,survey_frozen!$P$2:$P$251,$A126&amp;"|"&amp;$B126),IFERROR(COUNTIFS(INDIRECT("'"&amp;$A126&amp;"'!$B$2:$B$501"),$T126,INDIRECT("'"&amp;$A126&amp;"'!$A$2:$A$501"),"&gt;="&amp;$I126,INDIRECT("'"&amp;$A126&amp;"'!$A$2:$A$501"),"&lt;"&amp;($BA126+1),INDIRECT("'"&amp;$A126&amp;"'!$D$2:$D$501"),"&gt;=1"),0)))</f>
        <v/>
      </c>
      <c r="AU126" s="25">
        <f>IF(OR($A126="",$I126=""),"",IF($BC126="Y",SUMIFS(survey_frozen!$I$2:$I$251,survey_frozen!$P$2:$P$251,$A126&amp;"|"&amp;$B126),IFERROR(SUMIFS(INDIRECT("'"&amp;$A126&amp;"'!$D$2:$D$501"),INDIRECT("'"&amp;$A126&amp;"'!$B$2:$B$501"),$T126,INDIRECT("'"&amp;$A126&amp;"'!$A$2:$A$501"),"&gt;="&amp;$I126,INDIRECT("'"&amp;$A126&amp;"'!$A$2:$A$501"),"&lt;"&amp;($BA126+1)),0)))</f>
        <v/>
      </c>
      <c r="AV126" s="25">
        <f>IF(OR($A126="",$I126=""),"",IF($BC126="Y",SUMIFS(survey_frozen!$J$2:$J$251,survey_frozen!$P$2:$P$251,$A126&amp;"|"&amp;$B126),IFERROR(COUNTIFS(INDIRECT("'"&amp;$A126&amp;"'!$B$2:$B$501"),$T126,INDIRECT("'"&amp;$A126&amp;"'!$A$2:$A$501"),"&gt;="&amp;$I126,INDIRECT("'"&amp;$A126&amp;"'!$A$2:$A$501"),"&lt;"&amp;($BA126+1),INDIRECT("'"&amp;$A126&amp;"'!$E$2:$E$501"),"Yes"),0)))</f>
        <v/>
      </c>
      <c r="AW126" s="25">
        <f>IF(OR($A126="",$I126=""),"",IF($BC126="Y",SUMIFS(survey_frozen!$K$2:$K$251,survey_frozen!$P$2:$P$251,$A126&amp;"|"&amp;$B126),IFERROR(COUNTIFS(INDIRECT("'"&amp;$A126&amp;"'!$B$2:$B$501"),$T126,INDIRECT("'"&amp;$A126&amp;"'!$A$2:$A$501"),"&gt;="&amp;$I126,INDIRECT("'"&amp;$A126&amp;"'!$A$2:$A$501"),"&lt;"&amp;($BA126+1),INDIRECT("'"&amp;$A126&amp;"'!$E$2:$E$501"),"Maybe"),0)))</f>
        <v/>
      </c>
      <c r="AX126" s="25">
        <f>IF(OR($A126="",$I126=""),"",IF($BC126="Y",SUMIFS(survey_frozen!$L$2:$L$251,survey_frozen!$P$2:$P$251,$A126&amp;"|"&amp;$B126),IFERROR(COUNTIFS(INDIRECT("'"&amp;$A126&amp;"'!$B$2:$B$501"),$T126,INDIRECT("'"&amp;$A126&amp;"'!$A$2:$A$501"),"&gt;="&amp;$I126,INDIRECT("'"&amp;$A126&amp;"'!$A$2:$A$501"),"&lt;"&amp;($BA126+1),INDIRECT("'"&amp;$A126&amp;"'!$E$2:$E$501"),"No"),0)))</f>
        <v/>
      </c>
      <c r="AY126" s="25">
        <f>IF(OR($A126="",$I126=""),"",IF($BC126="Y",SUMIFS(survey_frozen!$M$2:$M$251,survey_frozen!$P$2:$P$251,$A126&amp;"|"&amp;$B126),IFERROR(COUNTIFS(INDIRECT("'"&amp;$A126&amp;"'!$B$2:$B$501"),$T126,INDIRECT("'"&amp;$A126&amp;"'!$A$2:$A$501"),"&gt;="&amp;$I126,INDIRECT("'"&amp;$A126&amp;"'!$A$2:$A$501"),"&lt;"&amp;($BA126+1),INDIRECT("'"&amp;$A126&amp;"'!$G$2:$G$501"),"&lt;&gt;"),0)))</f>
        <v/>
      </c>
      <c r="AZ126" s="25">
        <f>IF($A126="","",$A126&amp;"|"&amp;$L126)</f>
        <v/>
      </c>
      <c r="BA126" s="26">
        <f>IF($A126="","",IFERROR(IF(INDEX(drops!$R$2:$R$21,MATCH($H126,drops!$A$2:$A$21,0))="","",INDEX(drops!$R$2:$R$21,MATCH($H126,drops!$A$2:$A$21,0))),""))</f>
        <v/>
      </c>
      <c r="BB126" s="25">
        <f>IF(OR($A126="",$Q126&lt;&gt;"Y"),1000000,N($AL126))</f>
        <v/>
      </c>
      <c r="BC126" s="25">
        <f>IF($A126="","",IF(COUNTIF(survey_frozen!$P$2:$P$251,$A126&amp;"|"&amp;$B126)&gt;0,"Y",""))</f>
        <v/>
      </c>
    </row>
    <row r="127">
      <c r="C127" s="9" t="n"/>
      <c r="E127" s="9" t="n"/>
      <c r="H127" s="25">
        <f>IF($A127="","",IFERROR(IF(INDEX(campaigns!$B$2:$B$51,MATCH($A127,campaigns!$A$2:$A$51,0))="","",INDEX(campaigns!$B$2:$B$51,MATCH($A127,campaigns!$A$2:$A$51,0))),""))</f>
        <v/>
      </c>
      <c r="I127" s="26">
        <f>IF($A127="","",IFERROR(IF(INDEX(campaigns!$BG$2:$BG$51,MATCH($A127,campaigns!$A$2:$A$51,0))="","",INDEX(campaigns!$BG$2:$BG$51,MATCH($A127,campaigns!$A$2:$A$51,0))),""))</f>
        <v/>
      </c>
      <c r="J127" s="25">
        <f>IF($A127="","",IFERROR(IF(INDEX(campaigns!$BE$2:$BE$51,MATCH($A127,campaigns!$A$2:$A$51,0))="","",INDEX(campaigns!$BE$2:$BE$51,MATCH($A127,campaigns!$A$2:$A$51,0))),""))</f>
        <v/>
      </c>
      <c r="K127" s="25">
        <f>IF($B127="","",IFERROR(IF(INDEX(offices!$N$2:$N$61,MATCH($B127,offices!$A$2:$A$61,0))="","",INDEX(offices!$N$2:$N$61,MATCH($B127,offices!$A$2:$A$61,0))),""))</f>
        <v/>
      </c>
      <c r="L127" s="25">
        <f>IF($A127="","",IF($Q127="N","",COUNTIFS($A$2:$A127,$A127,$Q$2:$Q127,"&lt;&gt;N")))</f>
        <v/>
      </c>
      <c r="M127" s="25">
        <f>IF(OR($A127="",$L127=""),"",IF(AND(config!$B$34="names_if_public",IFERROR(IF(INDEX(offices!$AF$2:$AF$61,MATCH($B127,offices!$A$2:$A$61,0))="","",INDEX(offices!$AF$2:$AF$61,MATCH($B127,offices!$A$2:$A$61,0))),"")="Y"),$K127,CHAR(64+$L127)))</f>
        <v/>
      </c>
      <c r="N127" s="25">
        <f>IF(OR($A127="",$I127=""),"",COUNTIFS(stops!$B$2:$B$151,$B127,stops!$P$2:$P$151,"&lt;"&amp;$I127,stops!$L$2:$L$151,"&lt;&gt;not_delivered")+1)</f>
        <v/>
      </c>
      <c r="O127" s="25">
        <f>IF($A127="","",IF(N($N127)&lt;=config!$B$29,"explicit","opt-out"))</f>
        <v/>
      </c>
      <c r="P127" s="25">
        <f>IF($A127="","",IF($O127="explicit",IF($D127="yes","Y",IF($D127="no","N","pending")),IF($D127="no","N",IF(AND($C127&lt;&gt;"",$I127&lt;&gt;"",$C127&lt;=WORKDAY(N($I127),-5,calendar!$A$2:$A$80)),"Y","pending"))))</f>
        <v/>
      </c>
      <c r="Q127" s="25">
        <f>IF($A127="","",IF($P127="N","N",IF($P127&lt;&gt;"Y","pending",IF(AND((COUNTIFS(stops!$A$2:$A$151,$H127,stops!$B$2:$B$151,$B127,stops!$L$2:$L$151,"declined")+COUNTIFS(stops!$A$2:$A$151,$H127,stops!$B$2:$B$151,$B127,stops!$L$2:$L$151,"building_refused")+COUNTIFS(stops!$A$2:$A$151,$H127,stops!$B$2:$B$151,$B127,stops!$L$2:$L$151,"not_delivered"))&gt;0,N($U127)=0),"N","Y"))))</f>
        <v/>
      </c>
      <c r="R127" s="25">
        <f>IF($A127="","",IF(COUNTIFS($A$2:$A$251,$A127,$B$2:$B$251,$B127)&gt;1,"DUPLICATE ROW; ","")&amp;IF(AND(IFERROR(IF(INDEX(offices!$AC$2:$AC$61,MATCH($B127,offices!$A$2:$A$61,0))="","",INDEX(offices!$AC$2:$AC$61,MATCH($B127,offices!$A$2:$A$61,0))),"")&lt;&gt;"",ISNUMBER(SEARCH($J127,IFERROR(IF(INDEX(offices!$AC$2:$AC$61,MATCH($B127,offices!$A$2:$A$61,0))="","",INDEX(offices!$AC$2:$AC$61,MATCH($B127,offices!$A$2:$A$61,0))),"")))),"BRAND VETOED; ","")&amp;IF(ISNUMBER(SEARCH(IFERROR(IF(INDEX(campaigns!$BF$2:$BF$51,MATCH($A127,campaigns!$A$2:$A$51,0))="","",INDEX(campaigns!$BF$2:$BF$51,MATCH($A127,campaigns!$A$2:$A$51,0))),""),IFERROR(IF(INDEX(offices!$AB$2:$AB$61,MATCH($B127,offices!$A$2:$A$61,0))="","",INDEX(offices!$AB$2:$AB$61,MATCH($B127,offices!$A$2:$A$61,0))),""))),"","info: category not on the office's list; ")&amp;IF(IFERROR(IF(INDEX(offices!$AC$2:$AC$61,MATCH($B127,offices!$A$2:$A$61,0))="","",INDEX(offices!$AC$2:$AC$61,MATCH($B127,offices!$A$2:$A$61,0))),"")&lt;&gt;"","info: read the vetoes against the label; ",""))</f>
        <v/>
      </c>
      <c r="S127" s="25">
        <f>IF($A127="","",IF($G127&lt;&gt;"",$G127,IFERROR(IF(INDEX(offices!$AL$2:$AL$61,MATCH($B127,offices!$A$2:$A$61,0))="","",INDEX(offices!$AL$2:$AL$61,MATCH($B127,offices!$A$2:$A$61,0))),"")))</f>
        <v/>
      </c>
      <c r="T127" s="25">
        <f>IF($A127="","",$A127&amp;"."&amp;$B127)</f>
        <v/>
      </c>
      <c r="U127" s="25">
        <f>IF($A127="","",SUMIFS(inventory!$G$2:$G$801,inventory!$C$2:$C$801,$A127,inventory!$D$2:$D$801,$B127,inventory!$E$2:$E$801,"delivered"))</f>
        <v/>
      </c>
      <c r="V127" s="32">
        <f>IF($A127="","",IFERROR(1/(1/SUMPRODUCT(MAX((inventory!$C$2:$C$801=$A127)*(inventory!$D$2:$D$801=$B127)*(inventory!$E$2:$E$801="delivered")*(inventory!$A$2:$A$801+inventory!$B$2:$B$801)))),""))</f>
        <v/>
      </c>
      <c r="W127" s="25">
        <f>IF($A127="","",IFERROR(IF(INDEX(inventory!$J$2:$J$801,MATCH($A127&amp;"|"&amp;$B127&amp;"|delivered",inventory!$R$2:$R$801,0))="","",INDEX(inventory!$J$2:$J$801,MATCH($A127&amp;"|"&amp;$B127&amp;"|delivered",inventory!$R$2:$R$801,0))),""))</f>
        <v/>
      </c>
      <c r="X127" s="25">
        <f>IF($A127="","",IFERROR(IF(INDEX(photos!$H$2:$H$701,MATCH($A127&amp;"|"&amp;$B127&amp;"|placement|Y",photos!$R$2:$R$701,0))="","",INDEX(photos!$H$2:$H$701,MATCH($A127&amp;"|"&amp;$B127&amp;"|placement|Y",photos!$R$2:$R$701,0))),""))</f>
        <v/>
      </c>
      <c r="Y127" s="26">
        <f>IF($A127="","",IFERROR(IF(INDEX(photos!$E$2:$E$701,MATCH($A127&amp;"|"&amp;$B127&amp;"|placement|Y",photos!$R$2:$R$701,0))="","",INDEX(photos!$E$2:$E$701,MATCH($A127&amp;"|"&amp;$B127&amp;"|placement|Y",photos!$R$2:$R$701,0))),""))</f>
        <v/>
      </c>
      <c r="Z127" s="25">
        <f>IF($A127="","",IF(COUNTIFS(counts!$C$2:$C$701,$A127,counts!$D$2:$D$701,$B127,counts!$E$2:$E$701,"placed")=0,"",SUMIFS(counts!$F$2:$F$701,counts!$C$2:$C$701,$A127,counts!$D$2:$D$701,$B127,counts!$E$2:$E$701,"placed")))</f>
        <v/>
      </c>
      <c r="AA127" s="25">
        <f>IF($A127="","",IF($Y127="",0,N($Z127)))</f>
        <v/>
      </c>
      <c r="AB127" s="25">
        <f>IF($A127="","",IF(OR($Y127="",$I127=""),"N",IF($Y127&lt;=WORKDAY(N($I127),1,calendar!$A$2:$A$80),"Y","N")))</f>
        <v/>
      </c>
      <c r="AC127" s="28">
        <f>IF(OR($A127="",$V127="",$Y127=""),"",ROUND(($Y127+N(IFERROR(IF(INDEX(photos!$F$2:$F$701,MATCH($A127&amp;"|"&amp;$B127&amp;"|placement|Y",photos!$R$2:$R$701,0))="","",INDEX(photos!$F$2:$F$701,MATCH($A127&amp;"|"&amp;$B127&amp;"|placement|Y",photos!$R$2:$R$701,0))),""))-$V127)*24,1))</f>
        <v/>
      </c>
      <c r="AD127" s="25">
        <f>IF($A127="","",SUMIFS(inventory!$G$2:$G$801,inventory!$C$2:$C$801,$A127,inventory!$D$2:$D$801,$B127,inventory!$E$2:$E$801,"topped_up"))</f>
        <v/>
      </c>
      <c r="AE127" s="25">
        <f>IF($A127="","",IF(COUNTIFS(counts!$C$2:$C$701,$A127,counts!$D$2:$D$701,$B127,counts!$E$2:$E$701,"remaining_day3")=0,"",SUMIFS(counts!$F$2:$F$701,counts!$C$2:$C$701,$A127,counts!$D$2:$D$701,$B127,counts!$E$2:$E$701,"remaining_day3")))</f>
        <v/>
      </c>
      <c r="AF127" s="25">
        <f>IF($A127="","",IF(COUNTIFS(counts!$C$2:$C$701,$A127,counts!$D$2:$D$701,$B127,counts!$E$2:$E$701,"remaining_day5")=0,"",SUMIFS(counts!$F$2:$F$701,counts!$C$2:$C$701,$A127,counts!$D$2:$D$701,$B127,counts!$E$2:$E$701,"remaining_day5")))</f>
        <v/>
      </c>
      <c r="AG127" s="25">
        <f>IF(OR($A127="",$AF127=""),"",MAX(0,$AA127+$AD127-$AF127))</f>
        <v/>
      </c>
      <c r="AH127" s="25">
        <f>IF(OR($A127="",$AI127=""),"",IFERROR(IF(INDEX(photos!$H$2:$H$701,MATCH($A127&amp;"|"&amp;$B127&amp;"|later|Y|"&amp;$AI127,photos!$S$2:$S$701,0))="","",INDEX(photos!$H$2:$H$701,MATCH($A127&amp;"|"&amp;$B127&amp;"|later|Y|"&amp;$AI127,photos!$S$2:$S$701,0))),""))</f>
        <v/>
      </c>
      <c r="AI127" s="26">
        <f>IF($A127="","",IFERROR(1/(1/SUMPRODUCT(MAX((photos!$B$2:$B$701=$A127)*(photos!$C$2:$C$701=$B127)*(photos!$D$2:$D$701="later")*(photos!$O$2:$O$701="Y")*photos!$E$2:$E$701))),""))</f>
        <v/>
      </c>
      <c r="AJ127" s="25">
        <f>IF(OR($A127="",$AI127="",$I127=""),"",NETWORKDAYS($I127,$AI127,calendar!$A$2:$A$80))</f>
        <v/>
      </c>
      <c r="AK127" s="25">
        <f>IF($A127="","",IF(AND($X127&lt;&gt;"",$AH127&lt;&gt;""),"Y","N"))</f>
        <v/>
      </c>
      <c r="AL127" s="25">
        <f>IF(OR($A127="",$I127=""),"",IF($BC127="Y",SUMIFS(survey_frozen!$C$2:$C$251,survey_frozen!$P$2:$P$251,$A127&amp;"|"&amp;$B127),IFERROR(COUNTIFS(INDIRECT("'"&amp;$A127&amp;"'!$B$2:$B$501"),$T127,INDIRECT("'"&amp;$A127&amp;"'!$A$2:$A$501"),"&gt;="&amp;$I127,INDIRECT("'"&amp;$A127&amp;"'!$A$2:$A$501"),"&lt;"&amp;($BA127+1)),0)))</f>
        <v/>
      </c>
      <c r="AM127" s="25">
        <f>IF(OR($A127="",$I127=""),"",IF($BC127="Y",SUMIFS(survey_frozen!$D$2:$D$251,survey_frozen!$P$2:$P$251,$A127&amp;"|"&amp;$B127),IFERROR(COUNTIFS(INDIRECT("'"&amp;$A127&amp;"'!$B$2:$B$501"),$T127,INDIRECT("'"&amp;$A127&amp;"'!$A$2:$A$501"),"&gt;="&amp;$I127,INDIRECT("'"&amp;$A127&amp;"'!$A$2:$A$501"),"&lt;"&amp;($BA127+1),INDIRECT("'"&amp;$A127&amp;"'!$C$2:$C$501"),"Yes"),0)))</f>
        <v/>
      </c>
      <c r="AN127" s="25">
        <f>IF($A127="","",IF(COUNTIFS(scans!$C$2:$C$1601,(IF(LEFT($A127,7)="SAMPLE-","SAMPLE-","")&amp;LOWER(SUBSTITUTE(SUBSTITUTE($A127,"SAMPLE-",""),"CMP-","c"))&amp;"-"&amp;LOWER(SUBSTITUTE(SUBSTITUTE($B127,"SAMPLE-",""),"O-","o"))&amp;"-q"),scans!$D$2:$D$1601,"close")=0,"",SUMPRODUCT(MAX((scans!$C$2:$C$1601=(IF(LEFT($A127,7)="SAMPLE-","SAMPLE-","")&amp;LOWER(SUBSTITUTE(SUBSTITUTE($A127,"SAMPLE-",""),"CMP-","c"))&amp;"-"&amp;LOWER(SUBSTITUTE(SUBSTITUTE($B127,"SAMPLE-",""),"O-","o"))&amp;"-q"))*(scans!$D$2:$D$1601="close")*scans!$E$2:$E$1601))-SUMPRODUCT(MAX((scans!$C$2:$C$1601=(IF(LEFT($A127,7)="SAMPLE-","SAMPLE-","")&amp;LOWER(SUBSTITUTE(SUBSTITUTE($A127,"SAMPLE-",""),"CMP-","c"))&amp;"-"&amp;LOWER(SUBSTITUTE(SUBSTITUTE($B127,"SAMPLE-",""),"O-","o"))&amp;"-q"))*(scans!$D$2:$D$1601="baseline")*scans!$E$2:$E$1601))))</f>
        <v/>
      </c>
      <c r="AO127" s="25">
        <f>IF($A127="","",IF(COUNTIFS(scans!$C$2:$C$1601,(IF(LEFT($A127,7)="SAMPLE-","SAMPLE-","")&amp;LOWER(SUBSTITUTE(SUBSTITUTE($A127,"SAMPLE-",""),"CMP-","c"))&amp;"-"&amp;LOWER(SUBSTITUTE(SUBSTITUTE($B127,"SAMPLE-",""),"O-","o"))&amp;"-p"),scans!$D$2:$D$1601,"close")=0,"",SUMPRODUCT(MAX((scans!$C$2:$C$1601=(IF(LEFT($A127,7)="SAMPLE-","SAMPLE-","")&amp;LOWER(SUBSTITUTE(SUBSTITUTE($A127,"SAMPLE-",""),"CMP-","c"))&amp;"-"&amp;LOWER(SUBSTITUTE(SUBSTITUTE($B127,"SAMPLE-",""),"O-","o"))&amp;"-p"))*(scans!$D$2:$D$1601="close")*scans!$E$2:$E$1601))-SUMPRODUCT(MAX((scans!$C$2:$C$1601=(IF(LEFT($A127,7)="SAMPLE-","SAMPLE-","")&amp;LOWER(SUBSTITUTE(SUBSTITUTE($A127,"SAMPLE-",""),"CMP-","c"))&amp;"-"&amp;LOWER(SUBSTITUTE(SUBSTITUTE($B127,"SAMPLE-",""),"O-","o"))&amp;"-p"))*(scans!$D$2:$D$1601="baseline")*scans!$E$2:$E$1601))))</f>
        <v/>
      </c>
      <c r="AP127" s="25">
        <f>IF($A127="","",IF(COUNTIF(offices!$A$2:$A$61,$B127)=0,"office_id not on offices; ","")&amp;IF(COUNTIF(campaigns!$A$2:$A$51,$A127)=0,"campaign_id not on campaigns; ","")&amp;IF($P127="pending","approval pending; ","")&amp;IF(AND($U127&gt;0,$Y127="",OR($I127="",IF(config!$B$37&lt;&gt;"",config!$B$37,TODAY())&lt;=WORKDAY(N($I127),4,calendar!$A$2:$A$80))),"no usable placement photo yet; ","")&amp;IF(AND($Y127&lt;&gt;"",$Z127=""),"log the placed count; ","")&amp;IF(N($AA127)&gt;N($U127),"placed more than delivered; ","")&amp;IF(AND($AF127&lt;&gt;"",N($AF127)&gt;N($AA127)+N($AD127)),"day-5 count above placed plus top-ups; ","")&amp;IF(AND($U127&gt;0,$I127&lt;&gt;"",IF(config!$B$37&lt;&gt;"",config!$B$37,TODAY())&gt;WORKDAY(N($I127),4,calendar!$A$2:$A$80),$AF127=""),"day-5 count missing; ","")&amp;IF(AND($U127&gt;0,$I127&lt;&gt;"",IF(config!$B$37&lt;&gt;"",config!$B$37,TODAY())&gt;WORKDAY(N($I127),4,calendar!$A$2:$A$80),$AN127=""),"no close link reading; ","")&amp;$R127&amp;IF($P127="N","info: office said no; ","")&amp;IF(AND($P127="Y",$Q127="N"),"info: turned away at the door, so not on the drop (no letter, not in the report or Gate 2; the credit check is on campaigns); ","")&amp;IF(AND($U127&gt;0,$Y127="",$I127&lt;&gt;"",IF(config!$B$37&lt;&gt;"",config!$B$37,TODAY())&gt;WORKDAY(N($I127),4,calendar!$A$2:$A$80)),"info: no usable placement photo, so nothing counts as placed; ","")&amp;IF(AND($U127&gt;0,$I127&lt;&gt;"",IF(config!$B$37&lt;&gt;"",config!$B$37,TODAY())&gt;WORKDAY(N($I127),4,calendar!$A$2:$A$80),N($AL127)&lt;config!$B$30),"info: under "&amp;config!$B$30&amp;" responses; ","")&amp;IF($W127="packing_list","info: delivered count not verified; ",""))</f>
        <v/>
      </c>
      <c r="AQ127" s="25">
        <f>IF(OR($A127="",$I127=""),"",IF($BC127="Y",SUMIFS(survey_frozen!$E$2:$E$251,survey_frozen!$P$2:$P$251,$A127&amp;"|"&amp;$B127),IFERROR(COUNTIFS(INDIRECT("'"&amp;$A127&amp;"'!$B$2:$B$501"),$T127,INDIRECT("'"&amp;$A127&amp;"'!$A$2:$A$501"),"&gt;="&amp;$I127,INDIRECT("'"&amp;$A127&amp;"'!$A$2:$A$501"),"&lt;"&amp;($BA127+1),INDIRECT("'"&amp;$A127&amp;"'!$F$2:$F$501"),"Didn't see it"),0)))</f>
        <v/>
      </c>
      <c r="AR127" s="25">
        <f>IF(OR($A127="",$I127=""),"",IF($BC127="Y",SUMIFS(survey_frozen!$F$2:$F$251,survey_frozen!$P$2:$P$251,$A127&amp;"|"&amp;$B127),IFERROR(COUNTIFS(INDIRECT("'"&amp;$A127&amp;"'!$B$2:$B$501"),$T127,INDIRECT("'"&amp;$A127&amp;"'!$A$2:$A$501"),"&gt;="&amp;$I127,INDIRECT("'"&amp;$A127&amp;"'!$A$2:$A$501"),"&lt;"&amp;($BA127+1),INDIRECT("'"&amp;$A127&amp;"'!$F$2:$F$501"),"Not for me"),0)))</f>
        <v/>
      </c>
      <c r="AS127" s="25">
        <f>IF(OR($A127="",$I127=""),"",IF($BC127="Y",SUMIFS(survey_frozen!$G$2:$G$251,survey_frozen!$P$2:$P$251,$A127&amp;"|"&amp;$B127),IFERROR(COUNTIFS(INDIRECT("'"&amp;$A127&amp;"'!$B$2:$B$501"),$T127,INDIRECT("'"&amp;$A127&amp;"'!$A$2:$A$501"),"&gt;="&amp;$I127,INDIRECT("'"&amp;$A127&amp;"'!$A$2:$A$501"),"&lt;"&amp;($BA127+1),INDIRECT("'"&amp;$A127&amp;"'!$F$2:$F$501"),"Gone by the time I looked"),0)))</f>
        <v/>
      </c>
      <c r="AT127" s="25">
        <f>IF(OR($A127="",$I127=""),"",IF($BC127="Y",SUMIFS(survey_frozen!$H$2:$H$251,survey_frozen!$P$2:$P$251,$A127&amp;"|"&amp;$B127),IFERROR(COUNTIFS(INDIRECT("'"&amp;$A127&amp;"'!$B$2:$B$501"),$T127,INDIRECT("'"&amp;$A127&amp;"'!$A$2:$A$501"),"&gt;="&amp;$I127,INDIRECT("'"&amp;$A127&amp;"'!$A$2:$A$501"),"&lt;"&amp;($BA127+1),INDIRECT("'"&amp;$A127&amp;"'!$D$2:$D$501"),"&gt;=1"),0)))</f>
        <v/>
      </c>
      <c r="AU127" s="25">
        <f>IF(OR($A127="",$I127=""),"",IF($BC127="Y",SUMIFS(survey_frozen!$I$2:$I$251,survey_frozen!$P$2:$P$251,$A127&amp;"|"&amp;$B127),IFERROR(SUMIFS(INDIRECT("'"&amp;$A127&amp;"'!$D$2:$D$501"),INDIRECT("'"&amp;$A127&amp;"'!$B$2:$B$501"),$T127,INDIRECT("'"&amp;$A127&amp;"'!$A$2:$A$501"),"&gt;="&amp;$I127,INDIRECT("'"&amp;$A127&amp;"'!$A$2:$A$501"),"&lt;"&amp;($BA127+1)),0)))</f>
        <v/>
      </c>
      <c r="AV127" s="25">
        <f>IF(OR($A127="",$I127=""),"",IF($BC127="Y",SUMIFS(survey_frozen!$J$2:$J$251,survey_frozen!$P$2:$P$251,$A127&amp;"|"&amp;$B127),IFERROR(COUNTIFS(INDIRECT("'"&amp;$A127&amp;"'!$B$2:$B$501"),$T127,INDIRECT("'"&amp;$A127&amp;"'!$A$2:$A$501"),"&gt;="&amp;$I127,INDIRECT("'"&amp;$A127&amp;"'!$A$2:$A$501"),"&lt;"&amp;($BA127+1),INDIRECT("'"&amp;$A127&amp;"'!$E$2:$E$501"),"Yes"),0)))</f>
        <v/>
      </c>
      <c r="AW127" s="25">
        <f>IF(OR($A127="",$I127=""),"",IF($BC127="Y",SUMIFS(survey_frozen!$K$2:$K$251,survey_frozen!$P$2:$P$251,$A127&amp;"|"&amp;$B127),IFERROR(COUNTIFS(INDIRECT("'"&amp;$A127&amp;"'!$B$2:$B$501"),$T127,INDIRECT("'"&amp;$A127&amp;"'!$A$2:$A$501"),"&gt;="&amp;$I127,INDIRECT("'"&amp;$A127&amp;"'!$A$2:$A$501"),"&lt;"&amp;($BA127+1),INDIRECT("'"&amp;$A127&amp;"'!$E$2:$E$501"),"Maybe"),0)))</f>
        <v/>
      </c>
      <c r="AX127" s="25">
        <f>IF(OR($A127="",$I127=""),"",IF($BC127="Y",SUMIFS(survey_frozen!$L$2:$L$251,survey_frozen!$P$2:$P$251,$A127&amp;"|"&amp;$B127),IFERROR(COUNTIFS(INDIRECT("'"&amp;$A127&amp;"'!$B$2:$B$501"),$T127,INDIRECT("'"&amp;$A127&amp;"'!$A$2:$A$501"),"&gt;="&amp;$I127,INDIRECT("'"&amp;$A127&amp;"'!$A$2:$A$501"),"&lt;"&amp;($BA127+1),INDIRECT("'"&amp;$A127&amp;"'!$E$2:$E$501"),"No"),0)))</f>
        <v/>
      </c>
      <c r="AY127" s="25">
        <f>IF(OR($A127="",$I127=""),"",IF($BC127="Y",SUMIFS(survey_frozen!$M$2:$M$251,survey_frozen!$P$2:$P$251,$A127&amp;"|"&amp;$B127),IFERROR(COUNTIFS(INDIRECT("'"&amp;$A127&amp;"'!$B$2:$B$501"),$T127,INDIRECT("'"&amp;$A127&amp;"'!$A$2:$A$501"),"&gt;="&amp;$I127,INDIRECT("'"&amp;$A127&amp;"'!$A$2:$A$501"),"&lt;"&amp;($BA127+1),INDIRECT("'"&amp;$A127&amp;"'!$G$2:$G$501"),"&lt;&gt;"),0)))</f>
        <v/>
      </c>
      <c r="AZ127" s="25">
        <f>IF($A127="","",$A127&amp;"|"&amp;$L127)</f>
        <v/>
      </c>
      <c r="BA127" s="26">
        <f>IF($A127="","",IFERROR(IF(INDEX(drops!$R$2:$R$21,MATCH($H127,drops!$A$2:$A$21,0))="","",INDEX(drops!$R$2:$R$21,MATCH($H127,drops!$A$2:$A$21,0))),""))</f>
        <v/>
      </c>
      <c r="BB127" s="25">
        <f>IF(OR($A127="",$Q127&lt;&gt;"Y"),1000000,N($AL127))</f>
        <v/>
      </c>
      <c r="BC127" s="25">
        <f>IF($A127="","",IF(COUNTIF(survey_frozen!$P$2:$P$251,$A127&amp;"|"&amp;$B127)&gt;0,"Y",""))</f>
        <v/>
      </c>
    </row>
    <row r="128">
      <c r="C128" s="9" t="n"/>
      <c r="E128" s="9" t="n"/>
      <c r="H128" s="25">
        <f>IF($A128="","",IFERROR(IF(INDEX(campaigns!$B$2:$B$51,MATCH($A128,campaigns!$A$2:$A$51,0))="","",INDEX(campaigns!$B$2:$B$51,MATCH($A128,campaigns!$A$2:$A$51,0))),""))</f>
        <v/>
      </c>
      <c r="I128" s="26">
        <f>IF($A128="","",IFERROR(IF(INDEX(campaigns!$BG$2:$BG$51,MATCH($A128,campaigns!$A$2:$A$51,0))="","",INDEX(campaigns!$BG$2:$BG$51,MATCH($A128,campaigns!$A$2:$A$51,0))),""))</f>
        <v/>
      </c>
      <c r="J128" s="25">
        <f>IF($A128="","",IFERROR(IF(INDEX(campaigns!$BE$2:$BE$51,MATCH($A128,campaigns!$A$2:$A$51,0))="","",INDEX(campaigns!$BE$2:$BE$51,MATCH($A128,campaigns!$A$2:$A$51,0))),""))</f>
        <v/>
      </c>
      <c r="K128" s="25">
        <f>IF($B128="","",IFERROR(IF(INDEX(offices!$N$2:$N$61,MATCH($B128,offices!$A$2:$A$61,0))="","",INDEX(offices!$N$2:$N$61,MATCH($B128,offices!$A$2:$A$61,0))),""))</f>
        <v/>
      </c>
      <c r="L128" s="25">
        <f>IF($A128="","",IF($Q128="N","",COUNTIFS($A$2:$A128,$A128,$Q$2:$Q128,"&lt;&gt;N")))</f>
        <v/>
      </c>
      <c r="M128" s="25">
        <f>IF(OR($A128="",$L128=""),"",IF(AND(config!$B$34="names_if_public",IFERROR(IF(INDEX(offices!$AF$2:$AF$61,MATCH($B128,offices!$A$2:$A$61,0))="","",INDEX(offices!$AF$2:$AF$61,MATCH($B128,offices!$A$2:$A$61,0))),"")="Y"),$K128,CHAR(64+$L128)))</f>
        <v/>
      </c>
      <c r="N128" s="25">
        <f>IF(OR($A128="",$I128=""),"",COUNTIFS(stops!$B$2:$B$151,$B128,stops!$P$2:$P$151,"&lt;"&amp;$I128,stops!$L$2:$L$151,"&lt;&gt;not_delivered")+1)</f>
        <v/>
      </c>
      <c r="O128" s="25">
        <f>IF($A128="","",IF(N($N128)&lt;=config!$B$29,"explicit","opt-out"))</f>
        <v/>
      </c>
      <c r="P128" s="25">
        <f>IF($A128="","",IF($O128="explicit",IF($D128="yes","Y",IF($D128="no","N","pending")),IF($D128="no","N",IF(AND($C128&lt;&gt;"",$I128&lt;&gt;"",$C128&lt;=WORKDAY(N($I128),-5,calendar!$A$2:$A$80)),"Y","pending"))))</f>
        <v/>
      </c>
      <c r="Q128" s="25">
        <f>IF($A128="","",IF($P128="N","N",IF($P128&lt;&gt;"Y","pending",IF(AND((COUNTIFS(stops!$A$2:$A$151,$H128,stops!$B$2:$B$151,$B128,stops!$L$2:$L$151,"declined")+COUNTIFS(stops!$A$2:$A$151,$H128,stops!$B$2:$B$151,$B128,stops!$L$2:$L$151,"building_refused")+COUNTIFS(stops!$A$2:$A$151,$H128,stops!$B$2:$B$151,$B128,stops!$L$2:$L$151,"not_delivered"))&gt;0,N($U128)=0),"N","Y"))))</f>
        <v/>
      </c>
      <c r="R128" s="25">
        <f>IF($A128="","",IF(COUNTIFS($A$2:$A$251,$A128,$B$2:$B$251,$B128)&gt;1,"DUPLICATE ROW; ","")&amp;IF(AND(IFERROR(IF(INDEX(offices!$AC$2:$AC$61,MATCH($B128,offices!$A$2:$A$61,0))="","",INDEX(offices!$AC$2:$AC$61,MATCH($B128,offices!$A$2:$A$61,0))),"")&lt;&gt;"",ISNUMBER(SEARCH($J128,IFERROR(IF(INDEX(offices!$AC$2:$AC$61,MATCH($B128,offices!$A$2:$A$61,0))="","",INDEX(offices!$AC$2:$AC$61,MATCH($B128,offices!$A$2:$A$61,0))),"")))),"BRAND VETOED; ","")&amp;IF(ISNUMBER(SEARCH(IFERROR(IF(INDEX(campaigns!$BF$2:$BF$51,MATCH($A128,campaigns!$A$2:$A$51,0))="","",INDEX(campaigns!$BF$2:$BF$51,MATCH($A128,campaigns!$A$2:$A$51,0))),""),IFERROR(IF(INDEX(offices!$AB$2:$AB$61,MATCH($B128,offices!$A$2:$A$61,0))="","",INDEX(offices!$AB$2:$AB$61,MATCH($B128,offices!$A$2:$A$61,0))),""))),"","info: category not on the office's list; ")&amp;IF(IFERROR(IF(INDEX(offices!$AC$2:$AC$61,MATCH($B128,offices!$A$2:$A$61,0))="","",INDEX(offices!$AC$2:$AC$61,MATCH($B128,offices!$A$2:$A$61,0))),"")&lt;&gt;"","info: read the vetoes against the label; ",""))</f>
        <v/>
      </c>
      <c r="S128" s="25">
        <f>IF($A128="","",IF($G128&lt;&gt;"",$G128,IFERROR(IF(INDEX(offices!$AL$2:$AL$61,MATCH($B128,offices!$A$2:$A$61,0))="","",INDEX(offices!$AL$2:$AL$61,MATCH($B128,offices!$A$2:$A$61,0))),"")))</f>
        <v/>
      </c>
      <c r="T128" s="25">
        <f>IF($A128="","",$A128&amp;"."&amp;$B128)</f>
        <v/>
      </c>
      <c r="U128" s="25">
        <f>IF($A128="","",SUMIFS(inventory!$G$2:$G$801,inventory!$C$2:$C$801,$A128,inventory!$D$2:$D$801,$B128,inventory!$E$2:$E$801,"delivered"))</f>
        <v/>
      </c>
      <c r="V128" s="32">
        <f>IF($A128="","",IFERROR(1/(1/SUMPRODUCT(MAX((inventory!$C$2:$C$801=$A128)*(inventory!$D$2:$D$801=$B128)*(inventory!$E$2:$E$801="delivered")*(inventory!$A$2:$A$801+inventory!$B$2:$B$801)))),""))</f>
        <v/>
      </c>
      <c r="W128" s="25">
        <f>IF($A128="","",IFERROR(IF(INDEX(inventory!$J$2:$J$801,MATCH($A128&amp;"|"&amp;$B128&amp;"|delivered",inventory!$R$2:$R$801,0))="","",INDEX(inventory!$J$2:$J$801,MATCH($A128&amp;"|"&amp;$B128&amp;"|delivered",inventory!$R$2:$R$801,0))),""))</f>
        <v/>
      </c>
      <c r="X128" s="25">
        <f>IF($A128="","",IFERROR(IF(INDEX(photos!$H$2:$H$701,MATCH($A128&amp;"|"&amp;$B128&amp;"|placement|Y",photos!$R$2:$R$701,0))="","",INDEX(photos!$H$2:$H$701,MATCH($A128&amp;"|"&amp;$B128&amp;"|placement|Y",photos!$R$2:$R$701,0))),""))</f>
        <v/>
      </c>
      <c r="Y128" s="26">
        <f>IF($A128="","",IFERROR(IF(INDEX(photos!$E$2:$E$701,MATCH($A128&amp;"|"&amp;$B128&amp;"|placement|Y",photos!$R$2:$R$701,0))="","",INDEX(photos!$E$2:$E$701,MATCH($A128&amp;"|"&amp;$B128&amp;"|placement|Y",photos!$R$2:$R$701,0))),""))</f>
        <v/>
      </c>
      <c r="Z128" s="25">
        <f>IF($A128="","",IF(COUNTIFS(counts!$C$2:$C$701,$A128,counts!$D$2:$D$701,$B128,counts!$E$2:$E$701,"placed")=0,"",SUMIFS(counts!$F$2:$F$701,counts!$C$2:$C$701,$A128,counts!$D$2:$D$701,$B128,counts!$E$2:$E$701,"placed")))</f>
        <v/>
      </c>
      <c r="AA128" s="25">
        <f>IF($A128="","",IF($Y128="",0,N($Z128)))</f>
        <v/>
      </c>
      <c r="AB128" s="25">
        <f>IF($A128="","",IF(OR($Y128="",$I128=""),"N",IF($Y128&lt;=WORKDAY(N($I128),1,calendar!$A$2:$A$80),"Y","N")))</f>
        <v/>
      </c>
      <c r="AC128" s="28">
        <f>IF(OR($A128="",$V128="",$Y128=""),"",ROUND(($Y128+N(IFERROR(IF(INDEX(photos!$F$2:$F$701,MATCH($A128&amp;"|"&amp;$B128&amp;"|placement|Y",photos!$R$2:$R$701,0))="","",INDEX(photos!$F$2:$F$701,MATCH($A128&amp;"|"&amp;$B128&amp;"|placement|Y",photos!$R$2:$R$701,0))),""))-$V128)*24,1))</f>
        <v/>
      </c>
      <c r="AD128" s="25">
        <f>IF($A128="","",SUMIFS(inventory!$G$2:$G$801,inventory!$C$2:$C$801,$A128,inventory!$D$2:$D$801,$B128,inventory!$E$2:$E$801,"topped_up"))</f>
        <v/>
      </c>
      <c r="AE128" s="25">
        <f>IF($A128="","",IF(COUNTIFS(counts!$C$2:$C$701,$A128,counts!$D$2:$D$701,$B128,counts!$E$2:$E$701,"remaining_day3")=0,"",SUMIFS(counts!$F$2:$F$701,counts!$C$2:$C$701,$A128,counts!$D$2:$D$701,$B128,counts!$E$2:$E$701,"remaining_day3")))</f>
        <v/>
      </c>
      <c r="AF128" s="25">
        <f>IF($A128="","",IF(COUNTIFS(counts!$C$2:$C$701,$A128,counts!$D$2:$D$701,$B128,counts!$E$2:$E$701,"remaining_day5")=0,"",SUMIFS(counts!$F$2:$F$701,counts!$C$2:$C$701,$A128,counts!$D$2:$D$701,$B128,counts!$E$2:$E$701,"remaining_day5")))</f>
        <v/>
      </c>
      <c r="AG128" s="25">
        <f>IF(OR($A128="",$AF128=""),"",MAX(0,$AA128+$AD128-$AF128))</f>
        <v/>
      </c>
      <c r="AH128" s="25">
        <f>IF(OR($A128="",$AI128=""),"",IFERROR(IF(INDEX(photos!$H$2:$H$701,MATCH($A128&amp;"|"&amp;$B128&amp;"|later|Y|"&amp;$AI128,photos!$S$2:$S$701,0))="","",INDEX(photos!$H$2:$H$701,MATCH($A128&amp;"|"&amp;$B128&amp;"|later|Y|"&amp;$AI128,photos!$S$2:$S$701,0))),""))</f>
        <v/>
      </c>
      <c r="AI128" s="26">
        <f>IF($A128="","",IFERROR(1/(1/SUMPRODUCT(MAX((photos!$B$2:$B$701=$A128)*(photos!$C$2:$C$701=$B128)*(photos!$D$2:$D$701="later")*(photos!$O$2:$O$701="Y")*photos!$E$2:$E$701))),""))</f>
        <v/>
      </c>
      <c r="AJ128" s="25">
        <f>IF(OR($A128="",$AI128="",$I128=""),"",NETWORKDAYS($I128,$AI128,calendar!$A$2:$A$80))</f>
        <v/>
      </c>
      <c r="AK128" s="25">
        <f>IF($A128="","",IF(AND($X128&lt;&gt;"",$AH128&lt;&gt;""),"Y","N"))</f>
        <v/>
      </c>
      <c r="AL128" s="25">
        <f>IF(OR($A128="",$I128=""),"",IF($BC128="Y",SUMIFS(survey_frozen!$C$2:$C$251,survey_frozen!$P$2:$P$251,$A128&amp;"|"&amp;$B128),IFERROR(COUNTIFS(INDIRECT("'"&amp;$A128&amp;"'!$B$2:$B$501"),$T128,INDIRECT("'"&amp;$A128&amp;"'!$A$2:$A$501"),"&gt;="&amp;$I128,INDIRECT("'"&amp;$A128&amp;"'!$A$2:$A$501"),"&lt;"&amp;($BA128+1)),0)))</f>
        <v/>
      </c>
      <c r="AM128" s="25">
        <f>IF(OR($A128="",$I128=""),"",IF($BC128="Y",SUMIFS(survey_frozen!$D$2:$D$251,survey_frozen!$P$2:$P$251,$A128&amp;"|"&amp;$B128),IFERROR(COUNTIFS(INDIRECT("'"&amp;$A128&amp;"'!$B$2:$B$501"),$T128,INDIRECT("'"&amp;$A128&amp;"'!$A$2:$A$501"),"&gt;="&amp;$I128,INDIRECT("'"&amp;$A128&amp;"'!$A$2:$A$501"),"&lt;"&amp;($BA128+1),INDIRECT("'"&amp;$A128&amp;"'!$C$2:$C$501"),"Yes"),0)))</f>
        <v/>
      </c>
      <c r="AN128" s="25">
        <f>IF($A128="","",IF(COUNTIFS(scans!$C$2:$C$1601,(IF(LEFT($A128,7)="SAMPLE-","SAMPLE-","")&amp;LOWER(SUBSTITUTE(SUBSTITUTE($A128,"SAMPLE-",""),"CMP-","c"))&amp;"-"&amp;LOWER(SUBSTITUTE(SUBSTITUTE($B128,"SAMPLE-",""),"O-","o"))&amp;"-q"),scans!$D$2:$D$1601,"close")=0,"",SUMPRODUCT(MAX((scans!$C$2:$C$1601=(IF(LEFT($A128,7)="SAMPLE-","SAMPLE-","")&amp;LOWER(SUBSTITUTE(SUBSTITUTE($A128,"SAMPLE-",""),"CMP-","c"))&amp;"-"&amp;LOWER(SUBSTITUTE(SUBSTITUTE($B128,"SAMPLE-",""),"O-","o"))&amp;"-q"))*(scans!$D$2:$D$1601="close")*scans!$E$2:$E$1601))-SUMPRODUCT(MAX((scans!$C$2:$C$1601=(IF(LEFT($A128,7)="SAMPLE-","SAMPLE-","")&amp;LOWER(SUBSTITUTE(SUBSTITUTE($A128,"SAMPLE-",""),"CMP-","c"))&amp;"-"&amp;LOWER(SUBSTITUTE(SUBSTITUTE($B128,"SAMPLE-",""),"O-","o"))&amp;"-q"))*(scans!$D$2:$D$1601="baseline")*scans!$E$2:$E$1601))))</f>
        <v/>
      </c>
      <c r="AO128" s="25">
        <f>IF($A128="","",IF(COUNTIFS(scans!$C$2:$C$1601,(IF(LEFT($A128,7)="SAMPLE-","SAMPLE-","")&amp;LOWER(SUBSTITUTE(SUBSTITUTE($A128,"SAMPLE-",""),"CMP-","c"))&amp;"-"&amp;LOWER(SUBSTITUTE(SUBSTITUTE($B128,"SAMPLE-",""),"O-","o"))&amp;"-p"),scans!$D$2:$D$1601,"close")=0,"",SUMPRODUCT(MAX((scans!$C$2:$C$1601=(IF(LEFT($A128,7)="SAMPLE-","SAMPLE-","")&amp;LOWER(SUBSTITUTE(SUBSTITUTE($A128,"SAMPLE-",""),"CMP-","c"))&amp;"-"&amp;LOWER(SUBSTITUTE(SUBSTITUTE($B128,"SAMPLE-",""),"O-","o"))&amp;"-p"))*(scans!$D$2:$D$1601="close")*scans!$E$2:$E$1601))-SUMPRODUCT(MAX((scans!$C$2:$C$1601=(IF(LEFT($A128,7)="SAMPLE-","SAMPLE-","")&amp;LOWER(SUBSTITUTE(SUBSTITUTE($A128,"SAMPLE-",""),"CMP-","c"))&amp;"-"&amp;LOWER(SUBSTITUTE(SUBSTITUTE($B128,"SAMPLE-",""),"O-","o"))&amp;"-p"))*(scans!$D$2:$D$1601="baseline")*scans!$E$2:$E$1601))))</f>
        <v/>
      </c>
      <c r="AP128" s="25">
        <f>IF($A128="","",IF(COUNTIF(offices!$A$2:$A$61,$B128)=0,"office_id not on offices; ","")&amp;IF(COUNTIF(campaigns!$A$2:$A$51,$A128)=0,"campaign_id not on campaigns; ","")&amp;IF($P128="pending","approval pending; ","")&amp;IF(AND($U128&gt;0,$Y128="",OR($I128="",IF(config!$B$37&lt;&gt;"",config!$B$37,TODAY())&lt;=WORKDAY(N($I128),4,calendar!$A$2:$A$80))),"no usable placement photo yet; ","")&amp;IF(AND($Y128&lt;&gt;"",$Z128=""),"log the placed count; ","")&amp;IF(N($AA128)&gt;N($U128),"placed more than delivered; ","")&amp;IF(AND($AF128&lt;&gt;"",N($AF128)&gt;N($AA128)+N($AD128)),"day-5 count above placed plus top-ups; ","")&amp;IF(AND($U128&gt;0,$I128&lt;&gt;"",IF(config!$B$37&lt;&gt;"",config!$B$37,TODAY())&gt;WORKDAY(N($I128),4,calendar!$A$2:$A$80),$AF128=""),"day-5 count missing; ","")&amp;IF(AND($U128&gt;0,$I128&lt;&gt;"",IF(config!$B$37&lt;&gt;"",config!$B$37,TODAY())&gt;WORKDAY(N($I128),4,calendar!$A$2:$A$80),$AN128=""),"no close link reading; ","")&amp;$R128&amp;IF($P128="N","info: office said no; ","")&amp;IF(AND($P128="Y",$Q128="N"),"info: turned away at the door, so not on the drop (no letter, not in the report or Gate 2; the credit check is on campaigns); ","")&amp;IF(AND($U128&gt;0,$Y128="",$I128&lt;&gt;"",IF(config!$B$37&lt;&gt;"",config!$B$37,TODAY())&gt;WORKDAY(N($I128),4,calendar!$A$2:$A$80)),"info: no usable placement photo, so nothing counts as placed; ","")&amp;IF(AND($U128&gt;0,$I128&lt;&gt;"",IF(config!$B$37&lt;&gt;"",config!$B$37,TODAY())&gt;WORKDAY(N($I128),4,calendar!$A$2:$A$80),N($AL128)&lt;config!$B$30),"info: under "&amp;config!$B$30&amp;" responses; ","")&amp;IF($W128="packing_list","info: delivered count not verified; ",""))</f>
        <v/>
      </c>
      <c r="AQ128" s="25">
        <f>IF(OR($A128="",$I128=""),"",IF($BC128="Y",SUMIFS(survey_frozen!$E$2:$E$251,survey_frozen!$P$2:$P$251,$A128&amp;"|"&amp;$B128),IFERROR(COUNTIFS(INDIRECT("'"&amp;$A128&amp;"'!$B$2:$B$501"),$T128,INDIRECT("'"&amp;$A128&amp;"'!$A$2:$A$501"),"&gt;="&amp;$I128,INDIRECT("'"&amp;$A128&amp;"'!$A$2:$A$501"),"&lt;"&amp;($BA128+1),INDIRECT("'"&amp;$A128&amp;"'!$F$2:$F$501"),"Didn't see it"),0)))</f>
        <v/>
      </c>
      <c r="AR128" s="25">
        <f>IF(OR($A128="",$I128=""),"",IF($BC128="Y",SUMIFS(survey_frozen!$F$2:$F$251,survey_frozen!$P$2:$P$251,$A128&amp;"|"&amp;$B128),IFERROR(COUNTIFS(INDIRECT("'"&amp;$A128&amp;"'!$B$2:$B$501"),$T128,INDIRECT("'"&amp;$A128&amp;"'!$A$2:$A$501"),"&gt;="&amp;$I128,INDIRECT("'"&amp;$A128&amp;"'!$A$2:$A$501"),"&lt;"&amp;($BA128+1),INDIRECT("'"&amp;$A128&amp;"'!$F$2:$F$501"),"Not for me"),0)))</f>
        <v/>
      </c>
      <c r="AS128" s="25">
        <f>IF(OR($A128="",$I128=""),"",IF($BC128="Y",SUMIFS(survey_frozen!$G$2:$G$251,survey_frozen!$P$2:$P$251,$A128&amp;"|"&amp;$B128),IFERROR(COUNTIFS(INDIRECT("'"&amp;$A128&amp;"'!$B$2:$B$501"),$T128,INDIRECT("'"&amp;$A128&amp;"'!$A$2:$A$501"),"&gt;="&amp;$I128,INDIRECT("'"&amp;$A128&amp;"'!$A$2:$A$501"),"&lt;"&amp;($BA128+1),INDIRECT("'"&amp;$A128&amp;"'!$F$2:$F$501"),"Gone by the time I looked"),0)))</f>
        <v/>
      </c>
      <c r="AT128" s="25">
        <f>IF(OR($A128="",$I128=""),"",IF($BC128="Y",SUMIFS(survey_frozen!$H$2:$H$251,survey_frozen!$P$2:$P$251,$A128&amp;"|"&amp;$B128),IFERROR(COUNTIFS(INDIRECT("'"&amp;$A128&amp;"'!$B$2:$B$501"),$T128,INDIRECT("'"&amp;$A128&amp;"'!$A$2:$A$501"),"&gt;="&amp;$I128,INDIRECT("'"&amp;$A128&amp;"'!$A$2:$A$501"),"&lt;"&amp;($BA128+1),INDIRECT("'"&amp;$A128&amp;"'!$D$2:$D$501"),"&gt;=1"),0)))</f>
        <v/>
      </c>
      <c r="AU128" s="25">
        <f>IF(OR($A128="",$I128=""),"",IF($BC128="Y",SUMIFS(survey_frozen!$I$2:$I$251,survey_frozen!$P$2:$P$251,$A128&amp;"|"&amp;$B128),IFERROR(SUMIFS(INDIRECT("'"&amp;$A128&amp;"'!$D$2:$D$501"),INDIRECT("'"&amp;$A128&amp;"'!$B$2:$B$501"),$T128,INDIRECT("'"&amp;$A128&amp;"'!$A$2:$A$501"),"&gt;="&amp;$I128,INDIRECT("'"&amp;$A128&amp;"'!$A$2:$A$501"),"&lt;"&amp;($BA128+1)),0)))</f>
        <v/>
      </c>
      <c r="AV128" s="25">
        <f>IF(OR($A128="",$I128=""),"",IF($BC128="Y",SUMIFS(survey_frozen!$J$2:$J$251,survey_frozen!$P$2:$P$251,$A128&amp;"|"&amp;$B128),IFERROR(COUNTIFS(INDIRECT("'"&amp;$A128&amp;"'!$B$2:$B$501"),$T128,INDIRECT("'"&amp;$A128&amp;"'!$A$2:$A$501"),"&gt;="&amp;$I128,INDIRECT("'"&amp;$A128&amp;"'!$A$2:$A$501"),"&lt;"&amp;($BA128+1),INDIRECT("'"&amp;$A128&amp;"'!$E$2:$E$501"),"Yes"),0)))</f>
        <v/>
      </c>
      <c r="AW128" s="25">
        <f>IF(OR($A128="",$I128=""),"",IF($BC128="Y",SUMIFS(survey_frozen!$K$2:$K$251,survey_frozen!$P$2:$P$251,$A128&amp;"|"&amp;$B128),IFERROR(COUNTIFS(INDIRECT("'"&amp;$A128&amp;"'!$B$2:$B$501"),$T128,INDIRECT("'"&amp;$A128&amp;"'!$A$2:$A$501"),"&gt;="&amp;$I128,INDIRECT("'"&amp;$A128&amp;"'!$A$2:$A$501"),"&lt;"&amp;($BA128+1),INDIRECT("'"&amp;$A128&amp;"'!$E$2:$E$501"),"Maybe"),0)))</f>
        <v/>
      </c>
      <c r="AX128" s="25">
        <f>IF(OR($A128="",$I128=""),"",IF($BC128="Y",SUMIFS(survey_frozen!$L$2:$L$251,survey_frozen!$P$2:$P$251,$A128&amp;"|"&amp;$B128),IFERROR(COUNTIFS(INDIRECT("'"&amp;$A128&amp;"'!$B$2:$B$501"),$T128,INDIRECT("'"&amp;$A128&amp;"'!$A$2:$A$501"),"&gt;="&amp;$I128,INDIRECT("'"&amp;$A128&amp;"'!$A$2:$A$501"),"&lt;"&amp;($BA128+1),INDIRECT("'"&amp;$A128&amp;"'!$E$2:$E$501"),"No"),0)))</f>
        <v/>
      </c>
      <c r="AY128" s="25">
        <f>IF(OR($A128="",$I128=""),"",IF($BC128="Y",SUMIFS(survey_frozen!$M$2:$M$251,survey_frozen!$P$2:$P$251,$A128&amp;"|"&amp;$B128),IFERROR(COUNTIFS(INDIRECT("'"&amp;$A128&amp;"'!$B$2:$B$501"),$T128,INDIRECT("'"&amp;$A128&amp;"'!$A$2:$A$501"),"&gt;="&amp;$I128,INDIRECT("'"&amp;$A128&amp;"'!$A$2:$A$501"),"&lt;"&amp;($BA128+1),INDIRECT("'"&amp;$A128&amp;"'!$G$2:$G$501"),"&lt;&gt;"),0)))</f>
        <v/>
      </c>
      <c r="AZ128" s="25">
        <f>IF($A128="","",$A128&amp;"|"&amp;$L128)</f>
        <v/>
      </c>
      <c r="BA128" s="26">
        <f>IF($A128="","",IFERROR(IF(INDEX(drops!$R$2:$R$21,MATCH($H128,drops!$A$2:$A$21,0))="","",INDEX(drops!$R$2:$R$21,MATCH($H128,drops!$A$2:$A$21,0))),""))</f>
        <v/>
      </c>
      <c r="BB128" s="25">
        <f>IF(OR($A128="",$Q128&lt;&gt;"Y"),1000000,N($AL128))</f>
        <v/>
      </c>
      <c r="BC128" s="25">
        <f>IF($A128="","",IF(COUNTIF(survey_frozen!$P$2:$P$251,$A128&amp;"|"&amp;$B128)&gt;0,"Y",""))</f>
        <v/>
      </c>
    </row>
    <row r="129">
      <c r="C129" s="9" t="n"/>
      <c r="E129" s="9" t="n"/>
      <c r="H129" s="25">
        <f>IF($A129="","",IFERROR(IF(INDEX(campaigns!$B$2:$B$51,MATCH($A129,campaigns!$A$2:$A$51,0))="","",INDEX(campaigns!$B$2:$B$51,MATCH($A129,campaigns!$A$2:$A$51,0))),""))</f>
        <v/>
      </c>
      <c r="I129" s="26">
        <f>IF($A129="","",IFERROR(IF(INDEX(campaigns!$BG$2:$BG$51,MATCH($A129,campaigns!$A$2:$A$51,0))="","",INDEX(campaigns!$BG$2:$BG$51,MATCH($A129,campaigns!$A$2:$A$51,0))),""))</f>
        <v/>
      </c>
      <c r="J129" s="25">
        <f>IF($A129="","",IFERROR(IF(INDEX(campaigns!$BE$2:$BE$51,MATCH($A129,campaigns!$A$2:$A$51,0))="","",INDEX(campaigns!$BE$2:$BE$51,MATCH($A129,campaigns!$A$2:$A$51,0))),""))</f>
        <v/>
      </c>
      <c r="K129" s="25">
        <f>IF($B129="","",IFERROR(IF(INDEX(offices!$N$2:$N$61,MATCH($B129,offices!$A$2:$A$61,0))="","",INDEX(offices!$N$2:$N$61,MATCH($B129,offices!$A$2:$A$61,0))),""))</f>
        <v/>
      </c>
      <c r="L129" s="25">
        <f>IF($A129="","",IF($Q129="N","",COUNTIFS($A$2:$A129,$A129,$Q$2:$Q129,"&lt;&gt;N")))</f>
        <v/>
      </c>
      <c r="M129" s="25">
        <f>IF(OR($A129="",$L129=""),"",IF(AND(config!$B$34="names_if_public",IFERROR(IF(INDEX(offices!$AF$2:$AF$61,MATCH($B129,offices!$A$2:$A$61,0))="","",INDEX(offices!$AF$2:$AF$61,MATCH($B129,offices!$A$2:$A$61,0))),"")="Y"),$K129,CHAR(64+$L129)))</f>
        <v/>
      </c>
      <c r="N129" s="25">
        <f>IF(OR($A129="",$I129=""),"",COUNTIFS(stops!$B$2:$B$151,$B129,stops!$P$2:$P$151,"&lt;"&amp;$I129,stops!$L$2:$L$151,"&lt;&gt;not_delivered")+1)</f>
        <v/>
      </c>
      <c r="O129" s="25">
        <f>IF($A129="","",IF(N($N129)&lt;=config!$B$29,"explicit","opt-out"))</f>
        <v/>
      </c>
      <c r="P129" s="25">
        <f>IF($A129="","",IF($O129="explicit",IF($D129="yes","Y",IF($D129="no","N","pending")),IF($D129="no","N",IF(AND($C129&lt;&gt;"",$I129&lt;&gt;"",$C129&lt;=WORKDAY(N($I129),-5,calendar!$A$2:$A$80)),"Y","pending"))))</f>
        <v/>
      </c>
      <c r="Q129" s="25">
        <f>IF($A129="","",IF($P129="N","N",IF($P129&lt;&gt;"Y","pending",IF(AND((COUNTIFS(stops!$A$2:$A$151,$H129,stops!$B$2:$B$151,$B129,stops!$L$2:$L$151,"declined")+COUNTIFS(stops!$A$2:$A$151,$H129,stops!$B$2:$B$151,$B129,stops!$L$2:$L$151,"building_refused")+COUNTIFS(stops!$A$2:$A$151,$H129,stops!$B$2:$B$151,$B129,stops!$L$2:$L$151,"not_delivered"))&gt;0,N($U129)=0),"N","Y"))))</f>
        <v/>
      </c>
      <c r="R129" s="25">
        <f>IF($A129="","",IF(COUNTIFS($A$2:$A$251,$A129,$B$2:$B$251,$B129)&gt;1,"DUPLICATE ROW; ","")&amp;IF(AND(IFERROR(IF(INDEX(offices!$AC$2:$AC$61,MATCH($B129,offices!$A$2:$A$61,0))="","",INDEX(offices!$AC$2:$AC$61,MATCH($B129,offices!$A$2:$A$61,0))),"")&lt;&gt;"",ISNUMBER(SEARCH($J129,IFERROR(IF(INDEX(offices!$AC$2:$AC$61,MATCH($B129,offices!$A$2:$A$61,0))="","",INDEX(offices!$AC$2:$AC$61,MATCH($B129,offices!$A$2:$A$61,0))),"")))),"BRAND VETOED; ","")&amp;IF(ISNUMBER(SEARCH(IFERROR(IF(INDEX(campaigns!$BF$2:$BF$51,MATCH($A129,campaigns!$A$2:$A$51,0))="","",INDEX(campaigns!$BF$2:$BF$51,MATCH($A129,campaigns!$A$2:$A$51,0))),""),IFERROR(IF(INDEX(offices!$AB$2:$AB$61,MATCH($B129,offices!$A$2:$A$61,0))="","",INDEX(offices!$AB$2:$AB$61,MATCH($B129,offices!$A$2:$A$61,0))),""))),"","info: category not on the office's list; ")&amp;IF(IFERROR(IF(INDEX(offices!$AC$2:$AC$61,MATCH($B129,offices!$A$2:$A$61,0))="","",INDEX(offices!$AC$2:$AC$61,MATCH($B129,offices!$A$2:$A$61,0))),"")&lt;&gt;"","info: read the vetoes against the label; ",""))</f>
        <v/>
      </c>
      <c r="S129" s="25">
        <f>IF($A129="","",IF($G129&lt;&gt;"",$G129,IFERROR(IF(INDEX(offices!$AL$2:$AL$61,MATCH($B129,offices!$A$2:$A$61,0))="","",INDEX(offices!$AL$2:$AL$61,MATCH($B129,offices!$A$2:$A$61,0))),"")))</f>
        <v/>
      </c>
      <c r="T129" s="25">
        <f>IF($A129="","",$A129&amp;"."&amp;$B129)</f>
        <v/>
      </c>
      <c r="U129" s="25">
        <f>IF($A129="","",SUMIFS(inventory!$G$2:$G$801,inventory!$C$2:$C$801,$A129,inventory!$D$2:$D$801,$B129,inventory!$E$2:$E$801,"delivered"))</f>
        <v/>
      </c>
      <c r="V129" s="32">
        <f>IF($A129="","",IFERROR(1/(1/SUMPRODUCT(MAX((inventory!$C$2:$C$801=$A129)*(inventory!$D$2:$D$801=$B129)*(inventory!$E$2:$E$801="delivered")*(inventory!$A$2:$A$801+inventory!$B$2:$B$801)))),""))</f>
        <v/>
      </c>
      <c r="W129" s="25">
        <f>IF($A129="","",IFERROR(IF(INDEX(inventory!$J$2:$J$801,MATCH($A129&amp;"|"&amp;$B129&amp;"|delivered",inventory!$R$2:$R$801,0))="","",INDEX(inventory!$J$2:$J$801,MATCH($A129&amp;"|"&amp;$B129&amp;"|delivered",inventory!$R$2:$R$801,0))),""))</f>
        <v/>
      </c>
      <c r="X129" s="25">
        <f>IF($A129="","",IFERROR(IF(INDEX(photos!$H$2:$H$701,MATCH($A129&amp;"|"&amp;$B129&amp;"|placement|Y",photos!$R$2:$R$701,0))="","",INDEX(photos!$H$2:$H$701,MATCH($A129&amp;"|"&amp;$B129&amp;"|placement|Y",photos!$R$2:$R$701,0))),""))</f>
        <v/>
      </c>
      <c r="Y129" s="26">
        <f>IF($A129="","",IFERROR(IF(INDEX(photos!$E$2:$E$701,MATCH($A129&amp;"|"&amp;$B129&amp;"|placement|Y",photos!$R$2:$R$701,0))="","",INDEX(photos!$E$2:$E$701,MATCH($A129&amp;"|"&amp;$B129&amp;"|placement|Y",photos!$R$2:$R$701,0))),""))</f>
        <v/>
      </c>
      <c r="Z129" s="25">
        <f>IF($A129="","",IF(COUNTIFS(counts!$C$2:$C$701,$A129,counts!$D$2:$D$701,$B129,counts!$E$2:$E$701,"placed")=0,"",SUMIFS(counts!$F$2:$F$701,counts!$C$2:$C$701,$A129,counts!$D$2:$D$701,$B129,counts!$E$2:$E$701,"placed")))</f>
        <v/>
      </c>
      <c r="AA129" s="25">
        <f>IF($A129="","",IF($Y129="",0,N($Z129)))</f>
        <v/>
      </c>
      <c r="AB129" s="25">
        <f>IF($A129="","",IF(OR($Y129="",$I129=""),"N",IF($Y129&lt;=WORKDAY(N($I129),1,calendar!$A$2:$A$80),"Y","N")))</f>
        <v/>
      </c>
      <c r="AC129" s="28">
        <f>IF(OR($A129="",$V129="",$Y129=""),"",ROUND(($Y129+N(IFERROR(IF(INDEX(photos!$F$2:$F$701,MATCH($A129&amp;"|"&amp;$B129&amp;"|placement|Y",photos!$R$2:$R$701,0))="","",INDEX(photos!$F$2:$F$701,MATCH($A129&amp;"|"&amp;$B129&amp;"|placement|Y",photos!$R$2:$R$701,0))),""))-$V129)*24,1))</f>
        <v/>
      </c>
      <c r="AD129" s="25">
        <f>IF($A129="","",SUMIFS(inventory!$G$2:$G$801,inventory!$C$2:$C$801,$A129,inventory!$D$2:$D$801,$B129,inventory!$E$2:$E$801,"topped_up"))</f>
        <v/>
      </c>
      <c r="AE129" s="25">
        <f>IF($A129="","",IF(COUNTIFS(counts!$C$2:$C$701,$A129,counts!$D$2:$D$701,$B129,counts!$E$2:$E$701,"remaining_day3")=0,"",SUMIFS(counts!$F$2:$F$701,counts!$C$2:$C$701,$A129,counts!$D$2:$D$701,$B129,counts!$E$2:$E$701,"remaining_day3")))</f>
        <v/>
      </c>
      <c r="AF129" s="25">
        <f>IF($A129="","",IF(COUNTIFS(counts!$C$2:$C$701,$A129,counts!$D$2:$D$701,$B129,counts!$E$2:$E$701,"remaining_day5")=0,"",SUMIFS(counts!$F$2:$F$701,counts!$C$2:$C$701,$A129,counts!$D$2:$D$701,$B129,counts!$E$2:$E$701,"remaining_day5")))</f>
        <v/>
      </c>
      <c r="AG129" s="25">
        <f>IF(OR($A129="",$AF129=""),"",MAX(0,$AA129+$AD129-$AF129))</f>
        <v/>
      </c>
      <c r="AH129" s="25">
        <f>IF(OR($A129="",$AI129=""),"",IFERROR(IF(INDEX(photos!$H$2:$H$701,MATCH($A129&amp;"|"&amp;$B129&amp;"|later|Y|"&amp;$AI129,photos!$S$2:$S$701,0))="","",INDEX(photos!$H$2:$H$701,MATCH($A129&amp;"|"&amp;$B129&amp;"|later|Y|"&amp;$AI129,photos!$S$2:$S$701,0))),""))</f>
        <v/>
      </c>
      <c r="AI129" s="26">
        <f>IF($A129="","",IFERROR(1/(1/SUMPRODUCT(MAX((photos!$B$2:$B$701=$A129)*(photos!$C$2:$C$701=$B129)*(photos!$D$2:$D$701="later")*(photos!$O$2:$O$701="Y")*photos!$E$2:$E$701))),""))</f>
        <v/>
      </c>
      <c r="AJ129" s="25">
        <f>IF(OR($A129="",$AI129="",$I129=""),"",NETWORKDAYS($I129,$AI129,calendar!$A$2:$A$80))</f>
        <v/>
      </c>
      <c r="AK129" s="25">
        <f>IF($A129="","",IF(AND($X129&lt;&gt;"",$AH129&lt;&gt;""),"Y","N"))</f>
        <v/>
      </c>
      <c r="AL129" s="25">
        <f>IF(OR($A129="",$I129=""),"",IF($BC129="Y",SUMIFS(survey_frozen!$C$2:$C$251,survey_frozen!$P$2:$P$251,$A129&amp;"|"&amp;$B129),IFERROR(COUNTIFS(INDIRECT("'"&amp;$A129&amp;"'!$B$2:$B$501"),$T129,INDIRECT("'"&amp;$A129&amp;"'!$A$2:$A$501"),"&gt;="&amp;$I129,INDIRECT("'"&amp;$A129&amp;"'!$A$2:$A$501"),"&lt;"&amp;($BA129+1)),0)))</f>
        <v/>
      </c>
      <c r="AM129" s="25">
        <f>IF(OR($A129="",$I129=""),"",IF($BC129="Y",SUMIFS(survey_frozen!$D$2:$D$251,survey_frozen!$P$2:$P$251,$A129&amp;"|"&amp;$B129),IFERROR(COUNTIFS(INDIRECT("'"&amp;$A129&amp;"'!$B$2:$B$501"),$T129,INDIRECT("'"&amp;$A129&amp;"'!$A$2:$A$501"),"&gt;="&amp;$I129,INDIRECT("'"&amp;$A129&amp;"'!$A$2:$A$501"),"&lt;"&amp;($BA129+1),INDIRECT("'"&amp;$A129&amp;"'!$C$2:$C$501"),"Yes"),0)))</f>
        <v/>
      </c>
      <c r="AN129" s="25">
        <f>IF($A129="","",IF(COUNTIFS(scans!$C$2:$C$1601,(IF(LEFT($A129,7)="SAMPLE-","SAMPLE-","")&amp;LOWER(SUBSTITUTE(SUBSTITUTE($A129,"SAMPLE-",""),"CMP-","c"))&amp;"-"&amp;LOWER(SUBSTITUTE(SUBSTITUTE($B129,"SAMPLE-",""),"O-","o"))&amp;"-q"),scans!$D$2:$D$1601,"close")=0,"",SUMPRODUCT(MAX((scans!$C$2:$C$1601=(IF(LEFT($A129,7)="SAMPLE-","SAMPLE-","")&amp;LOWER(SUBSTITUTE(SUBSTITUTE($A129,"SAMPLE-",""),"CMP-","c"))&amp;"-"&amp;LOWER(SUBSTITUTE(SUBSTITUTE($B129,"SAMPLE-",""),"O-","o"))&amp;"-q"))*(scans!$D$2:$D$1601="close")*scans!$E$2:$E$1601))-SUMPRODUCT(MAX((scans!$C$2:$C$1601=(IF(LEFT($A129,7)="SAMPLE-","SAMPLE-","")&amp;LOWER(SUBSTITUTE(SUBSTITUTE($A129,"SAMPLE-",""),"CMP-","c"))&amp;"-"&amp;LOWER(SUBSTITUTE(SUBSTITUTE($B129,"SAMPLE-",""),"O-","o"))&amp;"-q"))*(scans!$D$2:$D$1601="baseline")*scans!$E$2:$E$1601))))</f>
        <v/>
      </c>
      <c r="AO129" s="25">
        <f>IF($A129="","",IF(COUNTIFS(scans!$C$2:$C$1601,(IF(LEFT($A129,7)="SAMPLE-","SAMPLE-","")&amp;LOWER(SUBSTITUTE(SUBSTITUTE($A129,"SAMPLE-",""),"CMP-","c"))&amp;"-"&amp;LOWER(SUBSTITUTE(SUBSTITUTE($B129,"SAMPLE-",""),"O-","o"))&amp;"-p"),scans!$D$2:$D$1601,"close")=0,"",SUMPRODUCT(MAX((scans!$C$2:$C$1601=(IF(LEFT($A129,7)="SAMPLE-","SAMPLE-","")&amp;LOWER(SUBSTITUTE(SUBSTITUTE($A129,"SAMPLE-",""),"CMP-","c"))&amp;"-"&amp;LOWER(SUBSTITUTE(SUBSTITUTE($B129,"SAMPLE-",""),"O-","o"))&amp;"-p"))*(scans!$D$2:$D$1601="close")*scans!$E$2:$E$1601))-SUMPRODUCT(MAX((scans!$C$2:$C$1601=(IF(LEFT($A129,7)="SAMPLE-","SAMPLE-","")&amp;LOWER(SUBSTITUTE(SUBSTITUTE($A129,"SAMPLE-",""),"CMP-","c"))&amp;"-"&amp;LOWER(SUBSTITUTE(SUBSTITUTE($B129,"SAMPLE-",""),"O-","o"))&amp;"-p"))*(scans!$D$2:$D$1601="baseline")*scans!$E$2:$E$1601))))</f>
        <v/>
      </c>
      <c r="AP129" s="25">
        <f>IF($A129="","",IF(COUNTIF(offices!$A$2:$A$61,$B129)=0,"office_id not on offices; ","")&amp;IF(COUNTIF(campaigns!$A$2:$A$51,$A129)=0,"campaign_id not on campaigns; ","")&amp;IF($P129="pending","approval pending; ","")&amp;IF(AND($U129&gt;0,$Y129="",OR($I129="",IF(config!$B$37&lt;&gt;"",config!$B$37,TODAY())&lt;=WORKDAY(N($I129),4,calendar!$A$2:$A$80))),"no usable placement photo yet; ","")&amp;IF(AND($Y129&lt;&gt;"",$Z129=""),"log the placed count; ","")&amp;IF(N($AA129)&gt;N($U129),"placed more than delivered; ","")&amp;IF(AND($AF129&lt;&gt;"",N($AF129)&gt;N($AA129)+N($AD129)),"day-5 count above placed plus top-ups; ","")&amp;IF(AND($U129&gt;0,$I129&lt;&gt;"",IF(config!$B$37&lt;&gt;"",config!$B$37,TODAY())&gt;WORKDAY(N($I129),4,calendar!$A$2:$A$80),$AF129=""),"day-5 count missing; ","")&amp;IF(AND($U129&gt;0,$I129&lt;&gt;"",IF(config!$B$37&lt;&gt;"",config!$B$37,TODAY())&gt;WORKDAY(N($I129),4,calendar!$A$2:$A$80),$AN129=""),"no close link reading; ","")&amp;$R129&amp;IF($P129="N","info: office said no; ","")&amp;IF(AND($P129="Y",$Q129="N"),"info: turned away at the door, so not on the drop (no letter, not in the report or Gate 2; the credit check is on campaigns); ","")&amp;IF(AND($U129&gt;0,$Y129="",$I129&lt;&gt;"",IF(config!$B$37&lt;&gt;"",config!$B$37,TODAY())&gt;WORKDAY(N($I129),4,calendar!$A$2:$A$80)),"info: no usable placement photo, so nothing counts as placed; ","")&amp;IF(AND($U129&gt;0,$I129&lt;&gt;"",IF(config!$B$37&lt;&gt;"",config!$B$37,TODAY())&gt;WORKDAY(N($I129),4,calendar!$A$2:$A$80),N($AL129)&lt;config!$B$30),"info: under "&amp;config!$B$30&amp;" responses; ","")&amp;IF($W129="packing_list","info: delivered count not verified; ",""))</f>
        <v/>
      </c>
      <c r="AQ129" s="25">
        <f>IF(OR($A129="",$I129=""),"",IF($BC129="Y",SUMIFS(survey_frozen!$E$2:$E$251,survey_frozen!$P$2:$P$251,$A129&amp;"|"&amp;$B129),IFERROR(COUNTIFS(INDIRECT("'"&amp;$A129&amp;"'!$B$2:$B$501"),$T129,INDIRECT("'"&amp;$A129&amp;"'!$A$2:$A$501"),"&gt;="&amp;$I129,INDIRECT("'"&amp;$A129&amp;"'!$A$2:$A$501"),"&lt;"&amp;($BA129+1),INDIRECT("'"&amp;$A129&amp;"'!$F$2:$F$501"),"Didn't see it"),0)))</f>
        <v/>
      </c>
      <c r="AR129" s="25">
        <f>IF(OR($A129="",$I129=""),"",IF($BC129="Y",SUMIFS(survey_frozen!$F$2:$F$251,survey_frozen!$P$2:$P$251,$A129&amp;"|"&amp;$B129),IFERROR(COUNTIFS(INDIRECT("'"&amp;$A129&amp;"'!$B$2:$B$501"),$T129,INDIRECT("'"&amp;$A129&amp;"'!$A$2:$A$501"),"&gt;="&amp;$I129,INDIRECT("'"&amp;$A129&amp;"'!$A$2:$A$501"),"&lt;"&amp;($BA129+1),INDIRECT("'"&amp;$A129&amp;"'!$F$2:$F$501"),"Not for me"),0)))</f>
        <v/>
      </c>
      <c r="AS129" s="25">
        <f>IF(OR($A129="",$I129=""),"",IF($BC129="Y",SUMIFS(survey_frozen!$G$2:$G$251,survey_frozen!$P$2:$P$251,$A129&amp;"|"&amp;$B129),IFERROR(COUNTIFS(INDIRECT("'"&amp;$A129&amp;"'!$B$2:$B$501"),$T129,INDIRECT("'"&amp;$A129&amp;"'!$A$2:$A$501"),"&gt;="&amp;$I129,INDIRECT("'"&amp;$A129&amp;"'!$A$2:$A$501"),"&lt;"&amp;($BA129+1),INDIRECT("'"&amp;$A129&amp;"'!$F$2:$F$501"),"Gone by the time I looked"),0)))</f>
        <v/>
      </c>
      <c r="AT129" s="25">
        <f>IF(OR($A129="",$I129=""),"",IF($BC129="Y",SUMIFS(survey_frozen!$H$2:$H$251,survey_frozen!$P$2:$P$251,$A129&amp;"|"&amp;$B129),IFERROR(COUNTIFS(INDIRECT("'"&amp;$A129&amp;"'!$B$2:$B$501"),$T129,INDIRECT("'"&amp;$A129&amp;"'!$A$2:$A$501"),"&gt;="&amp;$I129,INDIRECT("'"&amp;$A129&amp;"'!$A$2:$A$501"),"&lt;"&amp;($BA129+1),INDIRECT("'"&amp;$A129&amp;"'!$D$2:$D$501"),"&gt;=1"),0)))</f>
        <v/>
      </c>
      <c r="AU129" s="25">
        <f>IF(OR($A129="",$I129=""),"",IF($BC129="Y",SUMIFS(survey_frozen!$I$2:$I$251,survey_frozen!$P$2:$P$251,$A129&amp;"|"&amp;$B129),IFERROR(SUMIFS(INDIRECT("'"&amp;$A129&amp;"'!$D$2:$D$501"),INDIRECT("'"&amp;$A129&amp;"'!$B$2:$B$501"),$T129,INDIRECT("'"&amp;$A129&amp;"'!$A$2:$A$501"),"&gt;="&amp;$I129,INDIRECT("'"&amp;$A129&amp;"'!$A$2:$A$501"),"&lt;"&amp;($BA129+1)),0)))</f>
        <v/>
      </c>
      <c r="AV129" s="25">
        <f>IF(OR($A129="",$I129=""),"",IF($BC129="Y",SUMIFS(survey_frozen!$J$2:$J$251,survey_frozen!$P$2:$P$251,$A129&amp;"|"&amp;$B129),IFERROR(COUNTIFS(INDIRECT("'"&amp;$A129&amp;"'!$B$2:$B$501"),$T129,INDIRECT("'"&amp;$A129&amp;"'!$A$2:$A$501"),"&gt;="&amp;$I129,INDIRECT("'"&amp;$A129&amp;"'!$A$2:$A$501"),"&lt;"&amp;($BA129+1),INDIRECT("'"&amp;$A129&amp;"'!$E$2:$E$501"),"Yes"),0)))</f>
        <v/>
      </c>
      <c r="AW129" s="25">
        <f>IF(OR($A129="",$I129=""),"",IF($BC129="Y",SUMIFS(survey_frozen!$K$2:$K$251,survey_frozen!$P$2:$P$251,$A129&amp;"|"&amp;$B129),IFERROR(COUNTIFS(INDIRECT("'"&amp;$A129&amp;"'!$B$2:$B$501"),$T129,INDIRECT("'"&amp;$A129&amp;"'!$A$2:$A$501"),"&gt;="&amp;$I129,INDIRECT("'"&amp;$A129&amp;"'!$A$2:$A$501"),"&lt;"&amp;($BA129+1),INDIRECT("'"&amp;$A129&amp;"'!$E$2:$E$501"),"Maybe"),0)))</f>
        <v/>
      </c>
      <c r="AX129" s="25">
        <f>IF(OR($A129="",$I129=""),"",IF($BC129="Y",SUMIFS(survey_frozen!$L$2:$L$251,survey_frozen!$P$2:$P$251,$A129&amp;"|"&amp;$B129),IFERROR(COUNTIFS(INDIRECT("'"&amp;$A129&amp;"'!$B$2:$B$501"),$T129,INDIRECT("'"&amp;$A129&amp;"'!$A$2:$A$501"),"&gt;="&amp;$I129,INDIRECT("'"&amp;$A129&amp;"'!$A$2:$A$501"),"&lt;"&amp;($BA129+1),INDIRECT("'"&amp;$A129&amp;"'!$E$2:$E$501"),"No"),0)))</f>
        <v/>
      </c>
      <c r="AY129" s="25">
        <f>IF(OR($A129="",$I129=""),"",IF($BC129="Y",SUMIFS(survey_frozen!$M$2:$M$251,survey_frozen!$P$2:$P$251,$A129&amp;"|"&amp;$B129),IFERROR(COUNTIFS(INDIRECT("'"&amp;$A129&amp;"'!$B$2:$B$501"),$T129,INDIRECT("'"&amp;$A129&amp;"'!$A$2:$A$501"),"&gt;="&amp;$I129,INDIRECT("'"&amp;$A129&amp;"'!$A$2:$A$501"),"&lt;"&amp;($BA129+1),INDIRECT("'"&amp;$A129&amp;"'!$G$2:$G$501"),"&lt;&gt;"),0)))</f>
        <v/>
      </c>
      <c r="AZ129" s="25">
        <f>IF($A129="","",$A129&amp;"|"&amp;$L129)</f>
        <v/>
      </c>
      <c r="BA129" s="26">
        <f>IF($A129="","",IFERROR(IF(INDEX(drops!$R$2:$R$21,MATCH($H129,drops!$A$2:$A$21,0))="","",INDEX(drops!$R$2:$R$21,MATCH($H129,drops!$A$2:$A$21,0))),""))</f>
        <v/>
      </c>
      <c r="BB129" s="25">
        <f>IF(OR($A129="",$Q129&lt;&gt;"Y"),1000000,N($AL129))</f>
        <v/>
      </c>
      <c r="BC129" s="25">
        <f>IF($A129="","",IF(COUNTIF(survey_frozen!$P$2:$P$251,$A129&amp;"|"&amp;$B129)&gt;0,"Y",""))</f>
        <v/>
      </c>
    </row>
    <row r="130">
      <c r="C130" s="9" t="n"/>
      <c r="E130" s="9" t="n"/>
      <c r="H130" s="25">
        <f>IF($A130="","",IFERROR(IF(INDEX(campaigns!$B$2:$B$51,MATCH($A130,campaigns!$A$2:$A$51,0))="","",INDEX(campaigns!$B$2:$B$51,MATCH($A130,campaigns!$A$2:$A$51,0))),""))</f>
        <v/>
      </c>
      <c r="I130" s="26">
        <f>IF($A130="","",IFERROR(IF(INDEX(campaigns!$BG$2:$BG$51,MATCH($A130,campaigns!$A$2:$A$51,0))="","",INDEX(campaigns!$BG$2:$BG$51,MATCH($A130,campaigns!$A$2:$A$51,0))),""))</f>
        <v/>
      </c>
      <c r="J130" s="25">
        <f>IF($A130="","",IFERROR(IF(INDEX(campaigns!$BE$2:$BE$51,MATCH($A130,campaigns!$A$2:$A$51,0))="","",INDEX(campaigns!$BE$2:$BE$51,MATCH($A130,campaigns!$A$2:$A$51,0))),""))</f>
        <v/>
      </c>
      <c r="K130" s="25">
        <f>IF($B130="","",IFERROR(IF(INDEX(offices!$N$2:$N$61,MATCH($B130,offices!$A$2:$A$61,0))="","",INDEX(offices!$N$2:$N$61,MATCH($B130,offices!$A$2:$A$61,0))),""))</f>
        <v/>
      </c>
      <c r="L130" s="25">
        <f>IF($A130="","",IF($Q130="N","",COUNTIFS($A$2:$A130,$A130,$Q$2:$Q130,"&lt;&gt;N")))</f>
        <v/>
      </c>
      <c r="M130" s="25">
        <f>IF(OR($A130="",$L130=""),"",IF(AND(config!$B$34="names_if_public",IFERROR(IF(INDEX(offices!$AF$2:$AF$61,MATCH($B130,offices!$A$2:$A$61,0))="","",INDEX(offices!$AF$2:$AF$61,MATCH($B130,offices!$A$2:$A$61,0))),"")="Y"),$K130,CHAR(64+$L130)))</f>
        <v/>
      </c>
      <c r="N130" s="25">
        <f>IF(OR($A130="",$I130=""),"",COUNTIFS(stops!$B$2:$B$151,$B130,stops!$P$2:$P$151,"&lt;"&amp;$I130,stops!$L$2:$L$151,"&lt;&gt;not_delivered")+1)</f>
        <v/>
      </c>
      <c r="O130" s="25">
        <f>IF($A130="","",IF(N($N130)&lt;=config!$B$29,"explicit","opt-out"))</f>
        <v/>
      </c>
      <c r="P130" s="25">
        <f>IF($A130="","",IF($O130="explicit",IF($D130="yes","Y",IF($D130="no","N","pending")),IF($D130="no","N",IF(AND($C130&lt;&gt;"",$I130&lt;&gt;"",$C130&lt;=WORKDAY(N($I130),-5,calendar!$A$2:$A$80)),"Y","pending"))))</f>
        <v/>
      </c>
      <c r="Q130" s="25">
        <f>IF($A130="","",IF($P130="N","N",IF($P130&lt;&gt;"Y","pending",IF(AND((COUNTIFS(stops!$A$2:$A$151,$H130,stops!$B$2:$B$151,$B130,stops!$L$2:$L$151,"declined")+COUNTIFS(stops!$A$2:$A$151,$H130,stops!$B$2:$B$151,$B130,stops!$L$2:$L$151,"building_refused")+COUNTIFS(stops!$A$2:$A$151,$H130,stops!$B$2:$B$151,$B130,stops!$L$2:$L$151,"not_delivered"))&gt;0,N($U130)=0),"N","Y"))))</f>
        <v/>
      </c>
      <c r="R130" s="25">
        <f>IF($A130="","",IF(COUNTIFS($A$2:$A$251,$A130,$B$2:$B$251,$B130)&gt;1,"DUPLICATE ROW; ","")&amp;IF(AND(IFERROR(IF(INDEX(offices!$AC$2:$AC$61,MATCH($B130,offices!$A$2:$A$61,0))="","",INDEX(offices!$AC$2:$AC$61,MATCH($B130,offices!$A$2:$A$61,0))),"")&lt;&gt;"",ISNUMBER(SEARCH($J130,IFERROR(IF(INDEX(offices!$AC$2:$AC$61,MATCH($B130,offices!$A$2:$A$61,0))="","",INDEX(offices!$AC$2:$AC$61,MATCH($B130,offices!$A$2:$A$61,0))),"")))),"BRAND VETOED; ","")&amp;IF(ISNUMBER(SEARCH(IFERROR(IF(INDEX(campaigns!$BF$2:$BF$51,MATCH($A130,campaigns!$A$2:$A$51,0))="","",INDEX(campaigns!$BF$2:$BF$51,MATCH($A130,campaigns!$A$2:$A$51,0))),""),IFERROR(IF(INDEX(offices!$AB$2:$AB$61,MATCH($B130,offices!$A$2:$A$61,0))="","",INDEX(offices!$AB$2:$AB$61,MATCH($B130,offices!$A$2:$A$61,0))),""))),"","info: category not on the office's list; ")&amp;IF(IFERROR(IF(INDEX(offices!$AC$2:$AC$61,MATCH($B130,offices!$A$2:$A$61,0))="","",INDEX(offices!$AC$2:$AC$61,MATCH($B130,offices!$A$2:$A$61,0))),"")&lt;&gt;"","info: read the vetoes against the label; ",""))</f>
        <v/>
      </c>
      <c r="S130" s="25">
        <f>IF($A130="","",IF($G130&lt;&gt;"",$G130,IFERROR(IF(INDEX(offices!$AL$2:$AL$61,MATCH($B130,offices!$A$2:$A$61,0))="","",INDEX(offices!$AL$2:$AL$61,MATCH($B130,offices!$A$2:$A$61,0))),"")))</f>
        <v/>
      </c>
      <c r="T130" s="25">
        <f>IF($A130="","",$A130&amp;"."&amp;$B130)</f>
        <v/>
      </c>
      <c r="U130" s="25">
        <f>IF($A130="","",SUMIFS(inventory!$G$2:$G$801,inventory!$C$2:$C$801,$A130,inventory!$D$2:$D$801,$B130,inventory!$E$2:$E$801,"delivered"))</f>
        <v/>
      </c>
      <c r="V130" s="32">
        <f>IF($A130="","",IFERROR(1/(1/SUMPRODUCT(MAX((inventory!$C$2:$C$801=$A130)*(inventory!$D$2:$D$801=$B130)*(inventory!$E$2:$E$801="delivered")*(inventory!$A$2:$A$801+inventory!$B$2:$B$801)))),""))</f>
        <v/>
      </c>
      <c r="W130" s="25">
        <f>IF($A130="","",IFERROR(IF(INDEX(inventory!$J$2:$J$801,MATCH($A130&amp;"|"&amp;$B130&amp;"|delivered",inventory!$R$2:$R$801,0))="","",INDEX(inventory!$J$2:$J$801,MATCH($A130&amp;"|"&amp;$B130&amp;"|delivered",inventory!$R$2:$R$801,0))),""))</f>
        <v/>
      </c>
      <c r="X130" s="25">
        <f>IF($A130="","",IFERROR(IF(INDEX(photos!$H$2:$H$701,MATCH($A130&amp;"|"&amp;$B130&amp;"|placement|Y",photos!$R$2:$R$701,0))="","",INDEX(photos!$H$2:$H$701,MATCH($A130&amp;"|"&amp;$B130&amp;"|placement|Y",photos!$R$2:$R$701,0))),""))</f>
        <v/>
      </c>
      <c r="Y130" s="26">
        <f>IF($A130="","",IFERROR(IF(INDEX(photos!$E$2:$E$701,MATCH($A130&amp;"|"&amp;$B130&amp;"|placement|Y",photos!$R$2:$R$701,0))="","",INDEX(photos!$E$2:$E$701,MATCH($A130&amp;"|"&amp;$B130&amp;"|placement|Y",photos!$R$2:$R$701,0))),""))</f>
        <v/>
      </c>
      <c r="Z130" s="25">
        <f>IF($A130="","",IF(COUNTIFS(counts!$C$2:$C$701,$A130,counts!$D$2:$D$701,$B130,counts!$E$2:$E$701,"placed")=0,"",SUMIFS(counts!$F$2:$F$701,counts!$C$2:$C$701,$A130,counts!$D$2:$D$701,$B130,counts!$E$2:$E$701,"placed")))</f>
        <v/>
      </c>
      <c r="AA130" s="25">
        <f>IF($A130="","",IF($Y130="",0,N($Z130)))</f>
        <v/>
      </c>
      <c r="AB130" s="25">
        <f>IF($A130="","",IF(OR($Y130="",$I130=""),"N",IF($Y130&lt;=WORKDAY(N($I130),1,calendar!$A$2:$A$80),"Y","N")))</f>
        <v/>
      </c>
      <c r="AC130" s="28">
        <f>IF(OR($A130="",$V130="",$Y130=""),"",ROUND(($Y130+N(IFERROR(IF(INDEX(photos!$F$2:$F$701,MATCH($A130&amp;"|"&amp;$B130&amp;"|placement|Y",photos!$R$2:$R$701,0))="","",INDEX(photos!$F$2:$F$701,MATCH($A130&amp;"|"&amp;$B130&amp;"|placement|Y",photos!$R$2:$R$701,0))),""))-$V130)*24,1))</f>
        <v/>
      </c>
      <c r="AD130" s="25">
        <f>IF($A130="","",SUMIFS(inventory!$G$2:$G$801,inventory!$C$2:$C$801,$A130,inventory!$D$2:$D$801,$B130,inventory!$E$2:$E$801,"topped_up"))</f>
        <v/>
      </c>
      <c r="AE130" s="25">
        <f>IF($A130="","",IF(COUNTIFS(counts!$C$2:$C$701,$A130,counts!$D$2:$D$701,$B130,counts!$E$2:$E$701,"remaining_day3")=0,"",SUMIFS(counts!$F$2:$F$701,counts!$C$2:$C$701,$A130,counts!$D$2:$D$701,$B130,counts!$E$2:$E$701,"remaining_day3")))</f>
        <v/>
      </c>
      <c r="AF130" s="25">
        <f>IF($A130="","",IF(COUNTIFS(counts!$C$2:$C$701,$A130,counts!$D$2:$D$701,$B130,counts!$E$2:$E$701,"remaining_day5")=0,"",SUMIFS(counts!$F$2:$F$701,counts!$C$2:$C$701,$A130,counts!$D$2:$D$701,$B130,counts!$E$2:$E$701,"remaining_day5")))</f>
        <v/>
      </c>
      <c r="AG130" s="25">
        <f>IF(OR($A130="",$AF130=""),"",MAX(0,$AA130+$AD130-$AF130))</f>
        <v/>
      </c>
      <c r="AH130" s="25">
        <f>IF(OR($A130="",$AI130=""),"",IFERROR(IF(INDEX(photos!$H$2:$H$701,MATCH($A130&amp;"|"&amp;$B130&amp;"|later|Y|"&amp;$AI130,photos!$S$2:$S$701,0))="","",INDEX(photos!$H$2:$H$701,MATCH($A130&amp;"|"&amp;$B130&amp;"|later|Y|"&amp;$AI130,photos!$S$2:$S$701,0))),""))</f>
        <v/>
      </c>
      <c r="AI130" s="26">
        <f>IF($A130="","",IFERROR(1/(1/SUMPRODUCT(MAX((photos!$B$2:$B$701=$A130)*(photos!$C$2:$C$701=$B130)*(photos!$D$2:$D$701="later")*(photos!$O$2:$O$701="Y")*photos!$E$2:$E$701))),""))</f>
        <v/>
      </c>
      <c r="AJ130" s="25">
        <f>IF(OR($A130="",$AI130="",$I130=""),"",NETWORKDAYS($I130,$AI130,calendar!$A$2:$A$80))</f>
        <v/>
      </c>
      <c r="AK130" s="25">
        <f>IF($A130="","",IF(AND($X130&lt;&gt;"",$AH130&lt;&gt;""),"Y","N"))</f>
        <v/>
      </c>
      <c r="AL130" s="25">
        <f>IF(OR($A130="",$I130=""),"",IF($BC130="Y",SUMIFS(survey_frozen!$C$2:$C$251,survey_frozen!$P$2:$P$251,$A130&amp;"|"&amp;$B130),IFERROR(COUNTIFS(INDIRECT("'"&amp;$A130&amp;"'!$B$2:$B$501"),$T130,INDIRECT("'"&amp;$A130&amp;"'!$A$2:$A$501"),"&gt;="&amp;$I130,INDIRECT("'"&amp;$A130&amp;"'!$A$2:$A$501"),"&lt;"&amp;($BA130+1)),0)))</f>
        <v/>
      </c>
      <c r="AM130" s="25">
        <f>IF(OR($A130="",$I130=""),"",IF($BC130="Y",SUMIFS(survey_frozen!$D$2:$D$251,survey_frozen!$P$2:$P$251,$A130&amp;"|"&amp;$B130),IFERROR(COUNTIFS(INDIRECT("'"&amp;$A130&amp;"'!$B$2:$B$501"),$T130,INDIRECT("'"&amp;$A130&amp;"'!$A$2:$A$501"),"&gt;="&amp;$I130,INDIRECT("'"&amp;$A130&amp;"'!$A$2:$A$501"),"&lt;"&amp;($BA130+1),INDIRECT("'"&amp;$A130&amp;"'!$C$2:$C$501"),"Yes"),0)))</f>
        <v/>
      </c>
      <c r="AN130" s="25">
        <f>IF($A130="","",IF(COUNTIFS(scans!$C$2:$C$1601,(IF(LEFT($A130,7)="SAMPLE-","SAMPLE-","")&amp;LOWER(SUBSTITUTE(SUBSTITUTE($A130,"SAMPLE-",""),"CMP-","c"))&amp;"-"&amp;LOWER(SUBSTITUTE(SUBSTITUTE($B130,"SAMPLE-",""),"O-","o"))&amp;"-q"),scans!$D$2:$D$1601,"close")=0,"",SUMPRODUCT(MAX((scans!$C$2:$C$1601=(IF(LEFT($A130,7)="SAMPLE-","SAMPLE-","")&amp;LOWER(SUBSTITUTE(SUBSTITUTE($A130,"SAMPLE-",""),"CMP-","c"))&amp;"-"&amp;LOWER(SUBSTITUTE(SUBSTITUTE($B130,"SAMPLE-",""),"O-","o"))&amp;"-q"))*(scans!$D$2:$D$1601="close")*scans!$E$2:$E$1601))-SUMPRODUCT(MAX((scans!$C$2:$C$1601=(IF(LEFT($A130,7)="SAMPLE-","SAMPLE-","")&amp;LOWER(SUBSTITUTE(SUBSTITUTE($A130,"SAMPLE-",""),"CMP-","c"))&amp;"-"&amp;LOWER(SUBSTITUTE(SUBSTITUTE($B130,"SAMPLE-",""),"O-","o"))&amp;"-q"))*(scans!$D$2:$D$1601="baseline")*scans!$E$2:$E$1601))))</f>
        <v/>
      </c>
      <c r="AO130" s="25">
        <f>IF($A130="","",IF(COUNTIFS(scans!$C$2:$C$1601,(IF(LEFT($A130,7)="SAMPLE-","SAMPLE-","")&amp;LOWER(SUBSTITUTE(SUBSTITUTE($A130,"SAMPLE-",""),"CMP-","c"))&amp;"-"&amp;LOWER(SUBSTITUTE(SUBSTITUTE($B130,"SAMPLE-",""),"O-","o"))&amp;"-p"),scans!$D$2:$D$1601,"close")=0,"",SUMPRODUCT(MAX((scans!$C$2:$C$1601=(IF(LEFT($A130,7)="SAMPLE-","SAMPLE-","")&amp;LOWER(SUBSTITUTE(SUBSTITUTE($A130,"SAMPLE-",""),"CMP-","c"))&amp;"-"&amp;LOWER(SUBSTITUTE(SUBSTITUTE($B130,"SAMPLE-",""),"O-","o"))&amp;"-p"))*(scans!$D$2:$D$1601="close")*scans!$E$2:$E$1601))-SUMPRODUCT(MAX((scans!$C$2:$C$1601=(IF(LEFT($A130,7)="SAMPLE-","SAMPLE-","")&amp;LOWER(SUBSTITUTE(SUBSTITUTE($A130,"SAMPLE-",""),"CMP-","c"))&amp;"-"&amp;LOWER(SUBSTITUTE(SUBSTITUTE($B130,"SAMPLE-",""),"O-","o"))&amp;"-p"))*(scans!$D$2:$D$1601="baseline")*scans!$E$2:$E$1601))))</f>
        <v/>
      </c>
      <c r="AP130" s="25">
        <f>IF($A130="","",IF(COUNTIF(offices!$A$2:$A$61,$B130)=0,"office_id not on offices; ","")&amp;IF(COUNTIF(campaigns!$A$2:$A$51,$A130)=0,"campaign_id not on campaigns; ","")&amp;IF($P130="pending","approval pending; ","")&amp;IF(AND($U130&gt;0,$Y130="",OR($I130="",IF(config!$B$37&lt;&gt;"",config!$B$37,TODAY())&lt;=WORKDAY(N($I130),4,calendar!$A$2:$A$80))),"no usable placement photo yet; ","")&amp;IF(AND($Y130&lt;&gt;"",$Z130=""),"log the placed count; ","")&amp;IF(N($AA130)&gt;N($U130),"placed more than delivered; ","")&amp;IF(AND($AF130&lt;&gt;"",N($AF130)&gt;N($AA130)+N($AD130)),"day-5 count above placed plus top-ups; ","")&amp;IF(AND($U130&gt;0,$I130&lt;&gt;"",IF(config!$B$37&lt;&gt;"",config!$B$37,TODAY())&gt;WORKDAY(N($I130),4,calendar!$A$2:$A$80),$AF130=""),"day-5 count missing; ","")&amp;IF(AND($U130&gt;0,$I130&lt;&gt;"",IF(config!$B$37&lt;&gt;"",config!$B$37,TODAY())&gt;WORKDAY(N($I130),4,calendar!$A$2:$A$80),$AN130=""),"no close link reading; ","")&amp;$R130&amp;IF($P130="N","info: office said no; ","")&amp;IF(AND($P130="Y",$Q130="N"),"info: turned away at the door, so not on the drop (no letter, not in the report or Gate 2; the credit check is on campaigns); ","")&amp;IF(AND($U130&gt;0,$Y130="",$I130&lt;&gt;"",IF(config!$B$37&lt;&gt;"",config!$B$37,TODAY())&gt;WORKDAY(N($I130),4,calendar!$A$2:$A$80)),"info: no usable placement photo, so nothing counts as placed; ","")&amp;IF(AND($U130&gt;0,$I130&lt;&gt;"",IF(config!$B$37&lt;&gt;"",config!$B$37,TODAY())&gt;WORKDAY(N($I130),4,calendar!$A$2:$A$80),N($AL130)&lt;config!$B$30),"info: under "&amp;config!$B$30&amp;" responses; ","")&amp;IF($W130="packing_list","info: delivered count not verified; ",""))</f>
        <v/>
      </c>
      <c r="AQ130" s="25">
        <f>IF(OR($A130="",$I130=""),"",IF($BC130="Y",SUMIFS(survey_frozen!$E$2:$E$251,survey_frozen!$P$2:$P$251,$A130&amp;"|"&amp;$B130),IFERROR(COUNTIFS(INDIRECT("'"&amp;$A130&amp;"'!$B$2:$B$501"),$T130,INDIRECT("'"&amp;$A130&amp;"'!$A$2:$A$501"),"&gt;="&amp;$I130,INDIRECT("'"&amp;$A130&amp;"'!$A$2:$A$501"),"&lt;"&amp;($BA130+1),INDIRECT("'"&amp;$A130&amp;"'!$F$2:$F$501"),"Didn't see it"),0)))</f>
        <v/>
      </c>
      <c r="AR130" s="25">
        <f>IF(OR($A130="",$I130=""),"",IF($BC130="Y",SUMIFS(survey_frozen!$F$2:$F$251,survey_frozen!$P$2:$P$251,$A130&amp;"|"&amp;$B130),IFERROR(COUNTIFS(INDIRECT("'"&amp;$A130&amp;"'!$B$2:$B$501"),$T130,INDIRECT("'"&amp;$A130&amp;"'!$A$2:$A$501"),"&gt;="&amp;$I130,INDIRECT("'"&amp;$A130&amp;"'!$A$2:$A$501"),"&lt;"&amp;($BA130+1),INDIRECT("'"&amp;$A130&amp;"'!$F$2:$F$501"),"Not for me"),0)))</f>
        <v/>
      </c>
      <c r="AS130" s="25">
        <f>IF(OR($A130="",$I130=""),"",IF($BC130="Y",SUMIFS(survey_frozen!$G$2:$G$251,survey_frozen!$P$2:$P$251,$A130&amp;"|"&amp;$B130),IFERROR(COUNTIFS(INDIRECT("'"&amp;$A130&amp;"'!$B$2:$B$501"),$T130,INDIRECT("'"&amp;$A130&amp;"'!$A$2:$A$501"),"&gt;="&amp;$I130,INDIRECT("'"&amp;$A130&amp;"'!$A$2:$A$501"),"&lt;"&amp;($BA130+1),INDIRECT("'"&amp;$A130&amp;"'!$F$2:$F$501"),"Gone by the time I looked"),0)))</f>
        <v/>
      </c>
      <c r="AT130" s="25">
        <f>IF(OR($A130="",$I130=""),"",IF($BC130="Y",SUMIFS(survey_frozen!$H$2:$H$251,survey_frozen!$P$2:$P$251,$A130&amp;"|"&amp;$B130),IFERROR(COUNTIFS(INDIRECT("'"&amp;$A130&amp;"'!$B$2:$B$501"),$T130,INDIRECT("'"&amp;$A130&amp;"'!$A$2:$A$501"),"&gt;="&amp;$I130,INDIRECT("'"&amp;$A130&amp;"'!$A$2:$A$501"),"&lt;"&amp;($BA130+1),INDIRECT("'"&amp;$A130&amp;"'!$D$2:$D$501"),"&gt;=1"),0)))</f>
        <v/>
      </c>
      <c r="AU130" s="25">
        <f>IF(OR($A130="",$I130=""),"",IF($BC130="Y",SUMIFS(survey_frozen!$I$2:$I$251,survey_frozen!$P$2:$P$251,$A130&amp;"|"&amp;$B130),IFERROR(SUMIFS(INDIRECT("'"&amp;$A130&amp;"'!$D$2:$D$501"),INDIRECT("'"&amp;$A130&amp;"'!$B$2:$B$501"),$T130,INDIRECT("'"&amp;$A130&amp;"'!$A$2:$A$501"),"&gt;="&amp;$I130,INDIRECT("'"&amp;$A130&amp;"'!$A$2:$A$501"),"&lt;"&amp;($BA130+1)),0)))</f>
        <v/>
      </c>
      <c r="AV130" s="25">
        <f>IF(OR($A130="",$I130=""),"",IF($BC130="Y",SUMIFS(survey_frozen!$J$2:$J$251,survey_frozen!$P$2:$P$251,$A130&amp;"|"&amp;$B130),IFERROR(COUNTIFS(INDIRECT("'"&amp;$A130&amp;"'!$B$2:$B$501"),$T130,INDIRECT("'"&amp;$A130&amp;"'!$A$2:$A$501"),"&gt;="&amp;$I130,INDIRECT("'"&amp;$A130&amp;"'!$A$2:$A$501"),"&lt;"&amp;($BA130+1),INDIRECT("'"&amp;$A130&amp;"'!$E$2:$E$501"),"Yes"),0)))</f>
        <v/>
      </c>
      <c r="AW130" s="25">
        <f>IF(OR($A130="",$I130=""),"",IF($BC130="Y",SUMIFS(survey_frozen!$K$2:$K$251,survey_frozen!$P$2:$P$251,$A130&amp;"|"&amp;$B130),IFERROR(COUNTIFS(INDIRECT("'"&amp;$A130&amp;"'!$B$2:$B$501"),$T130,INDIRECT("'"&amp;$A130&amp;"'!$A$2:$A$501"),"&gt;="&amp;$I130,INDIRECT("'"&amp;$A130&amp;"'!$A$2:$A$501"),"&lt;"&amp;($BA130+1),INDIRECT("'"&amp;$A130&amp;"'!$E$2:$E$501"),"Maybe"),0)))</f>
        <v/>
      </c>
      <c r="AX130" s="25">
        <f>IF(OR($A130="",$I130=""),"",IF($BC130="Y",SUMIFS(survey_frozen!$L$2:$L$251,survey_frozen!$P$2:$P$251,$A130&amp;"|"&amp;$B130),IFERROR(COUNTIFS(INDIRECT("'"&amp;$A130&amp;"'!$B$2:$B$501"),$T130,INDIRECT("'"&amp;$A130&amp;"'!$A$2:$A$501"),"&gt;="&amp;$I130,INDIRECT("'"&amp;$A130&amp;"'!$A$2:$A$501"),"&lt;"&amp;($BA130+1),INDIRECT("'"&amp;$A130&amp;"'!$E$2:$E$501"),"No"),0)))</f>
        <v/>
      </c>
      <c r="AY130" s="25">
        <f>IF(OR($A130="",$I130=""),"",IF($BC130="Y",SUMIFS(survey_frozen!$M$2:$M$251,survey_frozen!$P$2:$P$251,$A130&amp;"|"&amp;$B130),IFERROR(COUNTIFS(INDIRECT("'"&amp;$A130&amp;"'!$B$2:$B$501"),$T130,INDIRECT("'"&amp;$A130&amp;"'!$A$2:$A$501"),"&gt;="&amp;$I130,INDIRECT("'"&amp;$A130&amp;"'!$A$2:$A$501"),"&lt;"&amp;($BA130+1),INDIRECT("'"&amp;$A130&amp;"'!$G$2:$G$501"),"&lt;&gt;"),0)))</f>
        <v/>
      </c>
      <c r="AZ130" s="25">
        <f>IF($A130="","",$A130&amp;"|"&amp;$L130)</f>
        <v/>
      </c>
      <c r="BA130" s="26">
        <f>IF($A130="","",IFERROR(IF(INDEX(drops!$R$2:$R$21,MATCH($H130,drops!$A$2:$A$21,0))="","",INDEX(drops!$R$2:$R$21,MATCH($H130,drops!$A$2:$A$21,0))),""))</f>
        <v/>
      </c>
      <c r="BB130" s="25">
        <f>IF(OR($A130="",$Q130&lt;&gt;"Y"),1000000,N($AL130))</f>
        <v/>
      </c>
      <c r="BC130" s="25">
        <f>IF($A130="","",IF(COUNTIF(survey_frozen!$P$2:$P$251,$A130&amp;"|"&amp;$B130)&gt;0,"Y",""))</f>
        <v/>
      </c>
    </row>
    <row r="131">
      <c r="C131" s="9" t="n"/>
      <c r="E131" s="9" t="n"/>
      <c r="H131" s="25">
        <f>IF($A131="","",IFERROR(IF(INDEX(campaigns!$B$2:$B$51,MATCH($A131,campaigns!$A$2:$A$51,0))="","",INDEX(campaigns!$B$2:$B$51,MATCH($A131,campaigns!$A$2:$A$51,0))),""))</f>
        <v/>
      </c>
      <c r="I131" s="26">
        <f>IF($A131="","",IFERROR(IF(INDEX(campaigns!$BG$2:$BG$51,MATCH($A131,campaigns!$A$2:$A$51,0))="","",INDEX(campaigns!$BG$2:$BG$51,MATCH($A131,campaigns!$A$2:$A$51,0))),""))</f>
        <v/>
      </c>
      <c r="J131" s="25">
        <f>IF($A131="","",IFERROR(IF(INDEX(campaigns!$BE$2:$BE$51,MATCH($A131,campaigns!$A$2:$A$51,0))="","",INDEX(campaigns!$BE$2:$BE$51,MATCH($A131,campaigns!$A$2:$A$51,0))),""))</f>
        <v/>
      </c>
      <c r="K131" s="25">
        <f>IF($B131="","",IFERROR(IF(INDEX(offices!$N$2:$N$61,MATCH($B131,offices!$A$2:$A$61,0))="","",INDEX(offices!$N$2:$N$61,MATCH($B131,offices!$A$2:$A$61,0))),""))</f>
        <v/>
      </c>
      <c r="L131" s="25">
        <f>IF($A131="","",IF($Q131="N","",COUNTIFS($A$2:$A131,$A131,$Q$2:$Q131,"&lt;&gt;N")))</f>
        <v/>
      </c>
      <c r="M131" s="25">
        <f>IF(OR($A131="",$L131=""),"",IF(AND(config!$B$34="names_if_public",IFERROR(IF(INDEX(offices!$AF$2:$AF$61,MATCH($B131,offices!$A$2:$A$61,0))="","",INDEX(offices!$AF$2:$AF$61,MATCH($B131,offices!$A$2:$A$61,0))),"")="Y"),$K131,CHAR(64+$L131)))</f>
        <v/>
      </c>
      <c r="N131" s="25">
        <f>IF(OR($A131="",$I131=""),"",COUNTIFS(stops!$B$2:$B$151,$B131,stops!$P$2:$P$151,"&lt;"&amp;$I131,stops!$L$2:$L$151,"&lt;&gt;not_delivered")+1)</f>
        <v/>
      </c>
      <c r="O131" s="25">
        <f>IF($A131="","",IF(N($N131)&lt;=config!$B$29,"explicit","opt-out"))</f>
        <v/>
      </c>
      <c r="P131" s="25">
        <f>IF($A131="","",IF($O131="explicit",IF($D131="yes","Y",IF($D131="no","N","pending")),IF($D131="no","N",IF(AND($C131&lt;&gt;"",$I131&lt;&gt;"",$C131&lt;=WORKDAY(N($I131),-5,calendar!$A$2:$A$80)),"Y","pending"))))</f>
        <v/>
      </c>
      <c r="Q131" s="25">
        <f>IF($A131="","",IF($P131="N","N",IF($P131&lt;&gt;"Y","pending",IF(AND((COUNTIFS(stops!$A$2:$A$151,$H131,stops!$B$2:$B$151,$B131,stops!$L$2:$L$151,"declined")+COUNTIFS(stops!$A$2:$A$151,$H131,stops!$B$2:$B$151,$B131,stops!$L$2:$L$151,"building_refused")+COUNTIFS(stops!$A$2:$A$151,$H131,stops!$B$2:$B$151,$B131,stops!$L$2:$L$151,"not_delivered"))&gt;0,N($U131)=0),"N","Y"))))</f>
        <v/>
      </c>
      <c r="R131" s="25">
        <f>IF($A131="","",IF(COUNTIFS($A$2:$A$251,$A131,$B$2:$B$251,$B131)&gt;1,"DUPLICATE ROW; ","")&amp;IF(AND(IFERROR(IF(INDEX(offices!$AC$2:$AC$61,MATCH($B131,offices!$A$2:$A$61,0))="","",INDEX(offices!$AC$2:$AC$61,MATCH($B131,offices!$A$2:$A$61,0))),"")&lt;&gt;"",ISNUMBER(SEARCH($J131,IFERROR(IF(INDEX(offices!$AC$2:$AC$61,MATCH($B131,offices!$A$2:$A$61,0))="","",INDEX(offices!$AC$2:$AC$61,MATCH($B131,offices!$A$2:$A$61,0))),"")))),"BRAND VETOED; ","")&amp;IF(ISNUMBER(SEARCH(IFERROR(IF(INDEX(campaigns!$BF$2:$BF$51,MATCH($A131,campaigns!$A$2:$A$51,0))="","",INDEX(campaigns!$BF$2:$BF$51,MATCH($A131,campaigns!$A$2:$A$51,0))),""),IFERROR(IF(INDEX(offices!$AB$2:$AB$61,MATCH($B131,offices!$A$2:$A$61,0))="","",INDEX(offices!$AB$2:$AB$61,MATCH($B131,offices!$A$2:$A$61,0))),""))),"","info: category not on the office's list; ")&amp;IF(IFERROR(IF(INDEX(offices!$AC$2:$AC$61,MATCH($B131,offices!$A$2:$A$61,0))="","",INDEX(offices!$AC$2:$AC$61,MATCH($B131,offices!$A$2:$A$61,0))),"")&lt;&gt;"","info: read the vetoes against the label; ",""))</f>
        <v/>
      </c>
      <c r="S131" s="25">
        <f>IF($A131="","",IF($G131&lt;&gt;"",$G131,IFERROR(IF(INDEX(offices!$AL$2:$AL$61,MATCH($B131,offices!$A$2:$A$61,0))="","",INDEX(offices!$AL$2:$AL$61,MATCH($B131,offices!$A$2:$A$61,0))),"")))</f>
        <v/>
      </c>
      <c r="T131" s="25">
        <f>IF($A131="","",$A131&amp;"."&amp;$B131)</f>
        <v/>
      </c>
      <c r="U131" s="25">
        <f>IF($A131="","",SUMIFS(inventory!$G$2:$G$801,inventory!$C$2:$C$801,$A131,inventory!$D$2:$D$801,$B131,inventory!$E$2:$E$801,"delivered"))</f>
        <v/>
      </c>
      <c r="V131" s="32">
        <f>IF($A131="","",IFERROR(1/(1/SUMPRODUCT(MAX((inventory!$C$2:$C$801=$A131)*(inventory!$D$2:$D$801=$B131)*(inventory!$E$2:$E$801="delivered")*(inventory!$A$2:$A$801+inventory!$B$2:$B$801)))),""))</f>
        <v/>
      </c>
      <c r="W131" s="25">
        <f>IF($A131="","",IFERROR(IF(INDEX(inventory!$J$2:$J$801,MATCH($A131&amp;"|"&amp;$B131&amp;"|delivered",inventory!$R$2:$R$801,0))="","",INDEX(inventory!$J$2:$J$801,MATCH($A131&amp;"|"&amp;$B131&amp;"|delivered",inventory!$R$2:$R$801,0))),""))</f>
        <v/>
      </c>
      <c r="X131" s="25">
        <f>IF($A131="","",IFERROR(IF(INDEX(photos!$H$2:$H$701,MATCH($A131&amp;"|"&amp;$B131&amp;"|placement|Y",photos!$R$2:$R$701,0))="","",INDEX(photos!$H$2:$H$701,MATCH($A131&amp;"|"&amp;$B131&amp;"|placement|Y",photos!$R$2:$R$701,0))),""))</f>
        <v/>
      </c>
      <c r="Y131" s="26">
        <f>IF($A131="","",IFERROR(IF(INDEX(photos!$E$2:$E$701,MATCH($A131&amp;"|"&amp;$B131&amp;"|placement|Y",photos!$R$2:$R$701,0))="","",INDEX(photos!$E$2:$E$701,MATCH($A131&amp;"|"&amp;$B131&amp;"|placement|Y",photos!$R$2:$R$701,0))),""))</f>
        <v/>
      </c>
      <c r="Z131" s="25">
        <f>IF($A131="","",IF(COUNTIFS(counts!$C$2:$C$701,$A131,counts!$D$2:$D$701,$B131,counts!$E$2:$E$701,"placed")=0,"",SUMIFS(counts!$F$2:$F$701,counts!$C$2:$C$701,$A131,counts!$D$2:$D$701,$B131,counts!$E$2:$E$701,"placed")))</f>
        <v/>
      </c>
      <c r="AA131" s="25">
        <f>IF($A131="","",IF($Y131="",0,N($Z131)))</f>
        <v/>
      </c>
      <c r="AB131" s="25">
        <f>IF($A131="","",IF(OR($Y131="",$I131=""),"N",IF($Y131&lt;=WORKDAY(N($I131),1,calendar!$A$2:$A$80),"Y","N")))</f>
        <v/>
      </c>
      <c r="AC131" s="28">
        <f>IF(OR($A131="",$V131="",$Y131=""),"",ROUND(($Y131+N(IFERROR(IF(INDEX(photos!$F$2:$F$701,MATCH($A131&amp;"|"&amp;$B131&amp;"|placement|Y",photos!$R$2:$R$701,0))="","",INDEX(photos!$F$2:$F$701,MATCH($A131&amp;"|"&amp;$B131&amp;"|placement|Y",photos!$R$2:$R$701,0))),""))-$V131)*24,1))</f>
        <v/>
      </c>
      <c r="AD131" s="25">
        <f>IF($A131="","",SUMIFS(inventory!$G$2:$G$801,inventory!$C$2:$C$801,$A131,inventory!$D$2:$D$801,$B131,inventory!$E$2:$E$801,"topped_up"))</f>
        <v/>
      </c>
      <c r="AE131" s="25">
        <f>IF($A131="","",IF(COUNTIFS(counts!$C$2:$C$701,$A131,counts!$D$2:$D$701,$B131,counts!$E$2:$E$701,"remaining_day3")=0,"",SUMIFS(counts!$F$2:$F$701,counts!$C$2:$C$701,$A131,counts!$D$2:$D$701,$B131,counts!$E$2:$E$701,"remaining_day3")))</f>
        <v/>
      </c>
      <c r="AF131" s="25">
        <f>IF($A131="","",IF(COUNTIFS(counts!$C$2:$C$701,$A131,counts!$D$2:$D$701,$B131,counts!$E$2:$E$701,"remaining_day5")=0,"",SUMIFS(counts!$F$2:$F$701,counts!$C$2:$C$701,$A131,counts!$D$2:$D$701,$B131,counts!$E$2:$E$701,"remaining_day5")))</f>
        <v/>
      </c>
      <c r="AG131" s="25">
        <f>IF(OR($A131="",$AF131=""),"",MAX(0,$AA131+$AD131-$AF131))</f>
        <v/>
      </c>
      <c r="AH131" s="25">
        <f>IF(OR($A131="",$AI131=""),"",IFERROR(IF(INDEX(photos!$H$2:$H$701,MATCH($A131&amp;"|"&amp;$B131&amp;"|later|Y|"&amp;$AI131,photos!$S$2:$S$701,0))="","",INDEX(photos!$H$2:$H$701,MATCH($A131&amp;"|"&amp;$B131&amp;"|later|Y|"&amp;$AI131,photos!$S$2:$S$701,0))),""))</f>
        <v/>
      </c>
      <c r="AI131" s="26">
        <f>IF($A131="","",IFERROR(1/(1/SUMPRODUCT(MAX((photos!$B$2:$B$701=$A131)*(photos!$C$2:$C$701=$B131)*(photos!$D$2:$D$701="later")*(photos!$O$2:$O$701="Y")*photos!$E$2:$E$701))),""))</f>
        <v/>
      </c>
      <c r="AJ131" s="25">
        <f>IF(OR($A131="",$AI131="",$I131=""),"",NETWORKDAYS($I131,$AI131,calendar!$A$2:$A$80))</f>
        <v/>
      </c>
      <c r="AK131" s="25">
        <f>IF($A131="","",IF(AND($X131&lt;&gt;"",$AH131&lt;&gt;""),"Y","N"))</f>
        <v/>
      </c>
      <c r="AL131" s="25">
        <f>IF(OR($A131="",$I131=""),"",IF($BC131="Y",SUMIFS(survey_frozen!$C$2:$C$251,survey_frozen!$P$2:$P$251,$A131&amp;"|"&amp;$B131),IFERROR(COUNTIFS(INDIRECT("'"&amp;$A131&amp;"'!$B$2:$B$501"),$T131,INDIRECT("'"&amp;$A131&amp;"'!$A$2:$A$501"),"&gt;="&amp;$I131,INDIRECT("'"&amp;$A131&amp;"'!$A$2:$A$501"),"&lt;"&amp;($BA131+1)),0)))</f>
        <v/>
      </c>
      <c r="AM131" s="25">
        <f>IF(OR($A131="",$I131=""),"",IF($BC131="Y",SUMIFS(survey_frozen!$D$2:$D$251,survey_frozen!$P$2:$P$251,$A131&amp;"|"&amp;$B131),IFERROR(COUNTIFS(INDIRECT("'"&amp;$A131&amp;"'!$B$2:$B$501"),$T131,INDIRECT("'"&amp;$A131&amp;"'!$A$2:$A$501"),"&gt;="&amp;$I131,INDIRECT("'"&amp;$A131&amp;"'!$A$2:$A$501"),"&lt;"&amp;($BA131+1),INDIRECT("'"&amp;$A131&amp;"'!$C$2:$C$501"),"Yes"),0)))</f>
        <v/>
      </c>
      <c r="AN131" s="25">
        <f>IF($A131="","",IF(COUNTIFS(scans!$C$2:$C$1601,(IF(LEFT($A131,7)="SAMPLE-","SAMPLE-","")&amp;LOWER(SUBSTITUTE(SUBSTITUTE($A131,"SAMPLE-",""),"CMP-","c"))&amp;"-"&amp;LOWER(SUBSTITUTE(SUBSTITUTE($B131,"SAMPLE-",""),"O-","o"))&amp;"-q"),scans!$D$2:$D$1601,"close")=0,"",SUMPRODUCT(MAX((scans!$C$2:$C$1601=(IF(LEFT($A131,7)="SAMPLE-","SAMPLE-","")&amp;LOWER(SUBSTITUTE(SUBSTITUTE($A131,"SAMPLE-",""),"CMP-","c"))&amp;"-"&amp;LOWER(SUBSTITUTE(SUBSTITUTE($B131,"SAMPLE-",""),"O-","o"))&amp;"-q"))*(scans!$D$2:$D$1601="close")*scans!$E$2:$E$1601))-SUMPRODUCT(MAX((scans!$C$2:$C$1601=(IF(LEFT($A131,7)="SAMPLE-","SAMPLE-","")&amp;LOWER(SUBSTITUTE(SUBSTITUTE($A131,"SAMPLE-",""),"CMP-","c"))&amp;"-"&amp;LOWER(SUBSTITUTE(SUBSTITUTE($B131,"SAMPLE-",""),"O-","o"))&amp;"-q"))*(scans!$D$2:$D$1601="baseline")*scans!$E$2:$E$1601))))</f>
        <v/>
      </c>
      <c r="AO131" s="25">
        <f>IF($A131="","",IF(COUNTIFS(scans!$C$2:$C$1601,(IF(LEFT($A131,7)="SAMPLE-","SAMPLE-","")&amp;LOWER(SUBSTITUTE(SUBSTITUTE($A131,"SAMPLE-",""),"CMP-","c"))&amp;"-"&amp;LOWER(SUBSTITUTE(SUBSTITUTE($B131,"SAMPLE-",""),"O-","o"))&amp;"-p"),scans!$D$2:$D$1601,"close")=0,"",SUMPRODUCT(MAX((scans!$C$2:$C$1601=(IF(LEFT($A131,7)="SAMPLE-","SAMPLE-","")&amp;LOWER(SUBSTITUTE(SUBSTITUTE($A131,"SAMPLE-",""),"CMP-","c"))&amp;"-"&amp;LOWER(SUBSTITUTE(SUBSTITUTE($B131,"SAMPLE-",""),"O-","o"))&amp;"-p"))*(scans!$D$2:$D$1601="close")*scans!$E$2:$E$1601))-SUMPRODUCT(MAX((scans!$C$2:$C$1601=(IF(LEFT($A131,7)="SAMPLE-","SAMPLE-","")&amp;LOWER(SUBSTITUTE(SUBSTITUTE($A131,"SAMPLE-",""),"CMP-","c"))&amp;"-"&amp;LOWER(SUBSTITUTE(SUBSTITUTE($B131,"SAMPLE-",""),"O-","o"))&amp;"-p"))*(scans!$D$2:$D$1601="baseline")*scans!$E$2:$E$1601))))</f>
        <v/>
      </c>
      <c r="AP131" s="25">
        <f>IF($A131="","",IF(COUNTIF(offices!$A$2:$A$61,$B131)=0,"office_id not on offices; ","")&amp;IF(COUNTIF(campaigns!$A$2:$A$51,$A131)=0,"campaign_id not on campaigns; ","")&amp;IF($P131="pending","approval pending; ","")&amp;IF(AND($U131&gt;0,$Y131="",OR($I131="",IF(config!$B$37&lt;&gt;"",config!$B$37,TODAY())&lt;=WORKDAY(N($I131),4,calendar!$A$2:$A$80))),"no usable placement photo yet; ","")&amp;IF(AND($Y131&lt;&gt;"",$Z131=""),"log the placed count; ","")&amp;IF(N($AA131)&gt;N($U131),"placed more than delivered; ","")&amp;IF(AND($AF131&lt;&gt;"",N($AF131)&gt;N($AA131)+N($AD131)),"day-5 count above placed plus top-ups; ","")&amp;IF(AND($U131&gt;0,$I131&lt;&gt;"",IF(config!$B$37&lt;&gt;"",config!$B$37,TODAY())&gt;WORKDAY(N($I131),4,calendar!$A$2:$A$80),$AF131=""),"day-5 count missing; ","")&amp;IF(AND($U131&gt;0,$I131&lt;&gt;"",IF(config!$B$37&lt;&gt;"",config!$B$37,TODAY())&gt;WORKDAY(N($I131),4,calendar!$A$2:$A$80),$AN131=""),"no close link reading; ","")&amp;$R131&amp;IF($P131="N","info: office said no; ","")&amp;IF(AND($P131="Y",$Q131="N"),"info: turned away at the door, so not on the drop (no letter, not in the report or Gate 2; the credit check is on campaigns); ","")&amp;IF(AND($U131&gt;0,$Y131="",$I131&lt;&gt;"",IF(config!$B$37&lt;&gt;"",config!$B$37,TODAY())&gt;WORKDAY(N($I131),4,calendar!$A$2:$A$80)),"info: no usable placement photo, so nothing counts as placed; ","")&amp;IF(AND($U131&gt;0,$I131&lt;&gt;"",IF(config!$B$37&lt;&gt;"",config!$B$37,TODAY())&gt;WORKDAY(N($I131),4,calendar!$A$2:$A$80),N($AL131)&lt;config!$B$30),"info: under "&amp;config!$B$30&amp;" responses; ","")&amp;IF($W131="packing_list","info: delivered count not verified; ",""))</f>
        <v/>
      </c>
      <c r="AQ131" s="25">
        <f>IF(OR($A131="",$I131=""),"",IF($BC131="Y",SUMIFS(survey_frozen!$E$2:$E$251,survey_frozen!$P$2:$P$251,$A131&amp;"|"&amp;$B131),IFERROR(COUNTIFS(INDIRECT("'"&amp;$A131&amp;"'!$B$2:$B$501"),$T131,INDIRECT("'"&amp;$A131&amp;"'!$A$2:$A$501"),"&gt;="&amp;$I131,INDIRECT("'"&amp;$A131&amp;"'!$A$2:$A$501"),"&lt;"&amp;($BA131+1),INDIRECT("'"&amp;$A131&amp;"'!$F$2:$F$501"),"Didn't see it"),0)))</f>
        <v/>
      </c>
      <c r="AR131" s="25">
        <f>IF(OR($A131="",$I131=""),"",IF($BC131="Y",SUMIFS(survey_frozen!$F$2:$F$251,survey_frozen!$P$2:$P$251,$A131&amp;"|"&amp;$B131),IFERROR(COUNTIFS(INDIRECT("'"&amp;$A131&amp;"'!$B$2:$B$501"),$T131,INDIRECT("'"&amp;$A131&amp;"'!$A$2:$A$501"),"&gt;="&amp;$I131,INDIRECT("'"&amp;$A131&amp;"'!$A$2:$A$501"),"&lt;"&amp;($BA131+1),INDIRECT("'"&amp;$A131&amp;"'!$F$2:$F$501"),"Not for me"),0)))</f>
        <v/>
      </c>
      <c r="AS131" s="25">
        <f>IF(OR($A131="",$I131=""),"",IF($BC131="Y",SUMIFS(survey_frozen!$G$2:$G$251,survey_frozen!$P$2:$P$251,$A131&amp;"|"&amp;$B131),IFERROR(COUNTIFS(INDIRECT("'"&amp;$A131&amp;"'!$B$2:$B$501"),$T131,INDIRECT("'"&amp;$A131&amp;"'!$A$2:$A$501"),"&gt;="&amp;$I131,INDIRECT("'"&amp;$A131&amp;"'!$A$2:$A$501"),"&lt;"&amp;($BA131+1),INDIRECT("'"&amp;$A131&amp;"'!$F$2:$F$501"),"Gone by the time I looked"),0)))</f>
        <v/>
      </c>
      <c r="AT131" s="25">
        <f>IF(OR($A131="",$I131=""),"",IF($BC131="Y",SUMIFS(survey_frozen!$H$2:$H$251,survey_frozen!$P$2:$P$251,$A131&amp;"|"&amp;$B131),IFERROR(COUNTIFS(INDIRECT("'"&amp;$A131&amp;"'!$B$2:$B$501"),$T131,INDIRECT("'"&amp;$A131&amp;"'!$A$2:$A$501"),"&gt;="&amp;$I131,INDIRECT("'"&amp;$A131&amp;"'!$A$2:$A$501"),"&lt;"&amp;($BA131+1),INDIRECT("'"&amp;$A131&amp;"'!$D$2:$D$501"),"&gt;=1"),0)))</f>
        <v/>
      </c>
      <c r="AU131" s="25">
        <f>IF(OR($A131="",$I131=""),"",IF($BC131="Y",SUMIFS(survey_frozen!$I$2:$I$251,survey_frozen!$P$2:$P$251,$A131&amp;"|"&amp;$B131),IFERROR(SUMIFS(INDIRECT("'"&amp;$A131&amp;"'!$D$2:$D$501"),INDIRECT("'"&amp;$A131&amp;"'!$B$2:$B$501"),$T131,INDIRECT("'"&amp;$A131&amp;"'!$A$2:$A$501"),"&gt;="&amp;$I131,INDIRECT("'"&amp;$A131&amp;"'!$A$2:$A$501"),"&lt;"&amp;($BA131+1)),0)))</f>
        <v/>
      </c>
      <c r="AV131" s="25">
        <f>IF(OR($A131="",$I131=""),"",IF($BC131="Y",SUMIFS(survey_frozen!$J$2:$J$251,survey_frozen!$P$2:$P$251,$A131&amp;"|"&amp;$B131),IFERROR(COUNTIFS(INDIRECT("'"&amp;$A131&amp;"'!$B$2:$B$501"),$T131,INDIRECT("'"&amp;$A131&amp;"'!$A$2:$A$501"),"&gt;="&amp;$I131,INDIRECT("'"&amp;$A131&amp;"'!$A$2:$A$501"),"&lt;"&amp;($BA131+1),INDIRECT("'"&amp;$A131&amp;"'!$E$2:$E$501"),"Yes"),0)))</f>
        <v/>
      </c>
      <c r="AW131" s="25">
        <f>IF(OR($A131="",$I131=""),"",IF($BC131="Y",SUMIFS(survey_frozen!$K$2:$K$251,survey_frozen!$P$2:$P$251,$A131&amp;"|"&amp;$B131),IFERROR(COUNTIFS(INDIRECT("'"&amp;$A131&amp;"'!$B$2:$B$501"),$T131,INDIRECT("'"&amp;$A131&amp;"'!$A$2:$A$501"),"&gt;="&amp;$I131,INDIRECT("'"&amp;$A131&amp;"'!$A$2:$A$501"),"&lt;"&amp;($BA131+1),INDIRECT("'"&amp;$A131&amp;"'!$E$2:$E$501"),"Maybe"),0)))</f>
        <v/>
      </c>
      <c r="AX131" s="25">
        <f>IF(OR($A131="",$I131=""),"",IF($BC131="Y",SUMIFS(survey_frozen!$L$2:$L$251,survey_frozen!$P$2:$P$251,$A131&amp;"|"&amp;$B131),IFERROR(COUNTIFS(INDIRECT("'"&amp;$A131&amp;"'!$B$2:$B$501"),$T131,INDIRECT("'"&amp;$A131&amp;"'!$A$2:$A$501"),"&gt;="&amp;$I131,INDIRECT("'"&amp;$A131&amp;"'!$A$2:$A$501"),"&lt;"&amp;($BA131+1),INDIRECT("'"&amp;$A131&amp;"'!$E$2:$E$501"),"No"),0)))</f>
        <v/>
      </c>
      <c r="AY131" s="25">
        <f>IF(OR($A131="",$I131=""),"",IF($BC131="Y",SUMIFS(survey_frozen!$M$2:$M$251,survey_frozen!$P$2:$P$251,$A131&amp;"|"&amp;$B131),IFERROR(COUNTIFS(INDIRECT("'"&amp;$A131&amp;"'!$B$2:$B$501"),$T131,INDIRECT("'"&amp;$A131&amp;"'!$A$2:$A$501"),"&gt;="&amp;$I131,INDIRECT("'"&amp;$A131&amp;"'!$A$2:$A$501"),"&lt;"&amp;($BA131+1),INDIRECT("'"&amp;$A131&amp;"'!$G$2:$G$501"),"&lt;&gt;"),0)))</f>
        <v/>
      </c>
      <c r="AZ131" s="25">
        <f>IF($A131="","",$A131&amp;"|"&amp;$L131)</f>
        <v/>
      </c>
      <c r="BA131" s="26">
        <f>IF($A131="","",IFERROR(IF(INDEX(drops!$R$2:$R$21,MATCH($H131,drops!$A$2:$A$21,0))="","",INDEX(drops!$R$2:$R$21,MATCH($H131,drops!$A$2:$A$21,0))),""))</f>
        <v/>
      </c>
      <c r="BB131" s="25">
        <f>IF(OR($A131="",$Q131&lt;&gt;"Y"),1000000,N($AL131))</f>
        <v/>
      </c>
      <c r="BC131" s="25">
        <f>IF($A131="","",IF(COUNTIF(survey_frozen!$P$2:$P$251,$A131&amp;"|"&amp;$B131)&gt;0,"Y",""))</f>
        <v/>
      </c>
    </row>
    <row r="132">
      <c r="C132" s="9" t="n"/>
      <c r="E132" s="9" t="n"/>
      <c r="H132" s="25">
        <f>IF($A132="","",IFERROR(IF(INDEX(campaigns!$B$2:$B$51,MATCH($A132,campaigns!$A$2:$A$51,0))="","",INDEX(campaigns!$B$2:$B$51,MATCH($A132,campaigns!$A$2:$A$51,0))),""))</f>
        <v/>
      </c>
      <c r="I132" s="26">
        <f>IF($A132="","",IFERROR(IF(INDEX(campaigns!$BG$2:$BG$51,MATCH($A132,campaigns!$A$2:$A$51,0))="","",INDEX(campaigns!$BG$2:$BG$51,MATCH($A132,campaigns!$A$2:$A$51,0))),""))</f>
        <v/>
      </c>
      <c r="J132" s="25">
        <f>IF($A132="","",IFERROR(IF(INDEX(campaigns!$BE$2:$BE$51,MATCH($A132,campaigns!$A$2:$A$51,0))="","",INDEX(campaigns!$BE$2:$BE$51,MATCH($A132,campaigns!$A$2:$A$51,0))),""))</f>
        <v/>
      </c>
      <c r="K132" s="25">
        <f>IF($B132="","",IFERROR(IF(INDEX(offices!$N$2:$N$61,MATCH($B132,offices!$A$2:$A$61,0))="","",INDEX(offices!$N$2:$N$61,MATCH($B132,offices!$A$2:$A$61,0))),""))</f>
        <v/>
      </c>
      <c r="L132" s="25">
        <f>IF($A132="","",IF($Q132="N","",COUNTIFS($A$2:$A132,$A132,$Q$2:$Q132,"&lt;&gt;N")))</f>
        <v/>
      </c>
      <c r="M132" s="25">
        <f>IF(OR($A132="",$L132=""),"",IF(AND(config!$B$34="names_if_public",IFERROR(IF(INDEX(offices!$AF$2:$AF$61,MATCH($B132,offices!$A$2:$A$61,0))="","",INDEX(offices!$AF$2:$AF$61,MATCH($B132,offices!$A$2:$A$61,0))),"")="Y"),$K132,CHAR(64+$L132)))</f>
        <v/>
      </c>
      <c r="N132" s="25">
        <f>IF(OR($A132="",$I132=""),"",COUNTIFS(stops!$B$2:$B$151,$B132,stops!$P$2:$P$151,"&lt;"&amp;$I132,stops!$L$2:$L$151,"&lt;&gt;not_delivered")+1)</f>
        <v/>
      </c>
      <c r="O132" s="25">
        <f>IF($A132="","",IF(N($N132)&lt;=config!$B$29,"explicit","opt-out"))</f>
        <v/>
      </c>
      <c r="P132" s="25">
        <f>IF($A132="","",IF($O132="explicit",IF($D132="yes","Y",IF($D132="no","N","pending")),IF($D132="no","N",IF(AND($C132&lt;&gt;"",$I132&lt;&gt;"",$C132&lt;=WORKDAY(N($I132),-5,calendar!$A$2:$A$80)),"Y","pending"))))</f>
        <v/>
      </c>
      <c r="Q132" s="25">
        <f>IF($A132="","",IF($P132="N","N",IF($P132&lt;&gt;"Y","pending",IF(AND((COUNTIFS(stops!$A$2:$A$151,$H132,stops!$B$2:$B$151,$B132,stops!$L$2:$L$151,"declined")+COUNTIFS(stops!$A$2:$A$151,$H132,stops!$B$2:$B$151,$B132,stops!$L$2:$L$151,"building_refused")+COUNTIFS(stops!$A$2:$A$151,$H132,stops!$B$2:$B$151,$B132,stops!$L$2:$L$151,"not_delivered"))&gt;0,N($U132)=0),"N","Y"))))</f>
        <v/>
      </c>
      <c r="R132" s="25">
        <f>IF($A132="","",IF(COUNTIFS($A$2:$A$251,$A132,$B$2:$B$251,$B132)&gt;1,"DUPLICATE ROW; ","")&amp;IF(AND(IFERROR(IF(INDEX(offices!$AC$2:$AC$61,MATCH($B132,offices!$A$2:$A$61,0))="","",INDEX(offices!$AC$2:$AC$61,MATCH($B132,offices!$A$2:$A$61,0))),"")&lt;&gt;"",ISNUMBER(SEARCH($J132,IFERROR(IF(INDEX(offices!$AC$2:$AC$61,MATCH($B132,offices!$A$2:$A$61,0))="","",INDEX(offices!$AC$2:$AC$61,MATCH($B132,offices!$A$2:$A$61,0))),"")))),"BRAND VETOED; ","")&amp;IF(ISNUMBER(SEARCH(IFERROR(IF(INDEX(campaigns!$BF$2:$BF$51,MATCH($A132,campaigns!$A$2:$A$51,0))="","",INDEX(campaigns!$BF$2:$BF$51,MATCH($A132,campaigns!$A$2:$A$51,0))),""),IFERROR(IF(INDEX(offices!$AB$2:$AB$61,MATCH($B132,offices!$A$2:$A$61,0))="","",INDEX(offices!$AB$2:$AB$61,MATCH($B132,offices!$A$2:$A$61,0))),""))),"","info: category not on the office's list; ")&amp;IF(IFERROR(IF(INDEX(offices!$AC$2:$AC$61,MATCH($B132,offices!$A$2:$A$61,0))="","",INDEX(offices!$AC$2:$AC$61,MATCH($B132,offices!$A$2:$A$61,0))),"")&lt;&gt;"","info: read the vetoes against the label; ",""))</f>
        <v/>
      </c>
      <c r="S132" s="25">
        <f>IF($A132="","",IF($G132&lt;&gt;"",$G132,IFERROR(IF(INDEX(offices!$AL$2:$AL$61,MATCH($B132,offices!$A$2:$A$61,0))="","",INDEX(offices!$AL$2:$AL$61,MATCH($B132,offices!$A$2:$A$61,0))),"")))</f>
        <v/>
      </c>
      <c r="T132" s="25">
        <f>IF($A132="","",$A132&amp;"."&amp;$B132)</f>
        <v/>
      </c>
      <c r="U132" s="25">
        <f>IF($A132="","",SUMIFS(inventory!$G$2:$G$801,inventory!$C$2:$C$801,$A132,inventory!$D$2:$D$801,$B132,inventory!$E$2:$E$801,"delivered"))</f>
        <v/>
      </c>
      <c r="V132" s="32">
        <f>IF($A132="","",IFERROR(1/(1/SUMPRODUCT(MAX((inventory!$C$2:$C$801=$A132)*(inventory!$D$2:$D$801=$B132)*(inventory!$E$2:$E$801="delivered")*(inventory!$A$2:$A$801+inventory!$B$2:$B$801)))),""))</f>
        <v/>
      </c>
      <c r="W132" s="25">
        <f>IF($A132="","",IFERROR(IF(INDEX(inventory!$J$2:$J$801,MATCH($A132&amp;"|"&amp;$B132&amp;"|delivered",inventory!$R$2:$R$801,0))="","",INDEX(inventory!$J$2:$J$801,MATCH($A132&amp;"|"&amp;$B132&amp;"|delivered",inventory!$R$2:$R$801,0))),""))</f>
        <v/>
      </c>
      <c r="X132" s="25">
        <f>IF($A132="","",IFERROR(IF(INDEX(photos!$H$2:$H$701,MATCH($A132&amp;"|"&amp;$B132&amp;"|placement|Y",photos!$R$2:$R$701,0))="","",INDEX(photos!$H$2:$H$701,MATCH($A132&amp;"|"&amp;$B132&amp;"|placement|Y",photos!$R$2:$R$701,0))),""))</f>
        <v/>
      </c>
      <c r="Y132" s="26">
        <f>IF($A132="","",IFERROR(IF(INDEX(photos!$E$2:$E$701,MATCH($A132&amp;"|"&amp;$B132&amp;"|placement|Y",photos!$R$2:$R$701,0))="","",INDEX(photos!$E$2:$E$701,MATCH($A132&amp;"|"&amp;$B132&amp;"|placement|Y",photos!$R$2:$R$701,0))),""))</f>
        <v/>
      </c>
      <c r="Z132" s="25">
        <f>IF($A132="","",IF(COUNTIFS(counts!$C$2:$C$701,$A132,counts!$D$2:$D$701,$B132,counts!$E$2:$E$701,"placed")=0,"",SUMIFS(counts!$F$2:$F$701,counts!$C$2:$C$701,$A132,counts!$D$2:$D$701,$B132,counts!$E$2:$E$701,"placed")))</f>
        <v/>
      </c>
      <c r="AA132" s="25">
        <f>IF($A132="","",IF($Y132="",0,N($Z132)))</f>
        <v/>
      </c>
      <c r="AB132" s="25">
        <f>IF($A132="","",IF(OR($Y132="",$I132=""),"N",IF($Y132&lt;=WORKDAY(N($I132),1,calendar!$A$2:$A$80),"Y","N")))</f>
        <v/>
      </c>
      <c r="AC132" s="28">
        <f>IF(OR($A132="",$V132="",$Y132=""),"",ROUND(($Y132+N(IFERROR(IF(INDEX(photos!$F$2:$F$701,MATCH($A132&amp;"|"&amp;$B132&amp;"|placement|Y",photos!$R$2:$R$701,0))="","",INDEX(photos!$F$2:$F$701,MATCH($A132&amp;"|"&amp;$B132&amp;"|placement|Y",photos!$R$2:$R$701,0))),""))-$V132)*24,1))</f>
        <v/>
      </c>
      <c r="AD132" s="25">
        <f>IF($A132="","",SUMIFS(inventory!$G$2:$G$801,inventory!$C$2:$C$801,$A132,inventory!$D$2:$D$801,$B132,inventory!$E$2:$E$801,"topped_up"))</f>
        <v/>
      </c>
      <c r="AE132" s="25">
        <f>IF($A132="","",IF(COUNTIFS(counts!$C$2:$C$701,$A132,counts!$D$2:$D$701,$B132,counts!$E$2:$E$701,"remaining_day3")=0,"",SUMIFS(counts!$F$2:$F$701,counts!$C$2:$C$701,$A132,counts!$D$2:$D$701,$B132,counts!$E$2:$E$701,"remaining_day3")))</f>
        <v/>
      </c>
      <c r="AF132" s="25">
        <f>IF($A132="","",IF(COUNTIFS(counts!$C$2:$C$701,$A132,counts!$D$2:$D$701,$B132,counts!$E$2:$E$701,"remaining_day5")=0,"",SUMIFS(counts!$F$2:$F$701,counts!$C$2:$C$701,$A132,counts!$D$2:$D$701,$B132,counts!$E$2:$E$701,"remaining_day5")))</f>
        <v/>
      </c>
      <c r="AG132" s="25">
        <f>IF(OR($A132="",$AF132=""),"",MAX(0,$AA132+$AD132-$AF132))</f>
        <v/>
      </c>
      <c r="AH132" s="25">
        <f>IF(OR($A132="",$AI132=""),"",IFERROR(IF(INDEX(photos!$H$2:$H$701,MATCH($A132&amp;"|"&amp;$B132&amp;"|later|Y|"&amp;$AI132,photos!$S$2:$S$701,0))="","",INDEX(photos!$H$2:$H$701,MATCH($A132&amp;"|"&amp;$B132&amp;"|later|Y|"&amp;$AI132,photos!$S$2:$S$701,0))),""))</f>
        <v/>
      </c>
      <c r="AI132" s="26">
        <f>IF($A132="","",IFERROR(1/(1/SUMPRODUCT(MAX((photos!$B$2:$B$701=$A132)*(photos!$C$2:$C$701=$B132)*(photos!$D$2:$D$701="later")*(photos!$O$2:$O$701="Y")*photos!$E$2:$E$701))),""))</f>
        <v/>
      </c>
      <c r="AJ132" s="25">
        <f>IF(OR($A132="",$AI132="",$I132=""),"",NETWORKDAYS($I132,$AI132,calendar!$A$2:$A$80))</f>
        <v/>
      </c>
      <c r="AK132" s="25">
        <f>IF($A132="","",IF(AND($X132&lt;&gt;"",$AH132&lt;&gt;""),"Y","N"))</f>
        <v/>
      </c>
      <c r="AL132" s="25">
        <f>IF(OR($A132="",$I132=""),"",IF($BC132="Y",SUMIFS(survey_frozen!$C$2:$C$251,survey_frozen!$P$2:$P$251,$A132&amp;"|"&amp;$B132),IFERROR(COUNTIFS(INDIRECT("'"&amp;$A132&amp;"'!$B$2:$B$501"),$T132,INDIRECT("'"&amp;$A132&amp;"'!$A$2:$A$501"),"&gt;="&amp;$I132,INDIRECT("'"&amp;$A132&amp;"'!$A$2:$A$501"),"&lt;"&amp;($BA132+1)),0)))</f>
        <v/>
      </c>
      <c r="AM132" s="25">
        <f>IF(OR($A132="",$I132=""),"",IF($BC132="Y",SUMIFS(survey_frozen!$D$2:$D$251,survey_frozen!$P$2:$P$251,$A132&amp;"|"&amp;$B132),IFERROR(COUNTIFS(INDIRECT("'"&amp;$A132&amp;"'!$B$2:$B$501"),$T132,INDIRECT("'"&amp;$A132&amp;"'!$A$2:$A$501"),"&gt;="&amp;$I132,INDIRECT("'"&amp;$A132&amp;"'!$A$2:$A$501"),"&lt;"&amp;($BA132+1),INDIRECT("'"&amp;$A132&amp;"'!$C$2:$C$501"),"Yes"),0)))</f>
        <v/>
      </c>
      <c r="AN132" s="25">
        <f>IF($A132="","",IF(COUNTIFS(scans!$C$2:$C$1601,(IF(LEFT($A132,7)="SAMPLE-","SAMPLE-","")&amp;LOWER(SUBSTITUTE(SUBSTITUTE($A132,"SAMPLE-",""),"CMP-","c"))&amp;"-"&amp;LOWER(SUBSTITUTE(SUBSTITUTE($B132,"SAMPLE-",""),"O-","o"))&amp;"-q"),scans!$D$2:$D$1601,"close")=0,"",SUMPRODUCT(MAX((scans!$C$2:$C$1601=(IF(LEFT($A132,7)="SAMPLE-","SAMPLE-","")&amp;LOWER(SUBSTITUTE(SUBSTITUTE($A132,"SAMPLE-",""),"CMP-","c"))&amp;"-"&amp;LOWER(SUBSTITUTE(SUBSTITUTE($B132,"SAMPLE-",""),"O-","o"))&amp;"-q"))*(scans!$D$2:$D$1601="close")*scans!$E$2:$E$1601))-SUMPRODUCT(MAX((scans!$C$2:$C$1601=(IF(LEFT($A132,7)="SAMPLE-","SAMPLE-","")&amp;LOWER(SUBSTITUTE(SUBSTITUTE($A132,"SAMPLE-",""),"CMP-","c"))&amp;"-"&amp;LOWER(SUBSTITUTE(SUBSTITUTE($B132,"SAMPLE-",""),"O-","o"))&amp;"-q"))*(scans!$D$2:$D$1601="baseline")*scans!$E$2:$E$1601))))</f>
        <v/>
      </c>
      <c r="AO132" s="25">
        <f>IF($A132="","",IF(COUNTIFS(scans!$C$2:$C$1601,(IF(LEFT($A132,7)="SAMPLE-","SAMPLE-","")&amp;LOWER(SUBSTITUTE(SUBSTITUTE($A132,"SAMPLE-",""),"CMP-","c"))&amp;"-"&amp;LOWER(SUBSTITUTE(SUBSTITUTE($B132,"SAMPLE-",""),"O-","o"))&amp;"-p"),scans!$D$2:$D$1601,"close")=0,"",SUMPRODUCT(MAX((scans!$C$2:$C$1601=(IF(LEFT($A132,7)="SAMPLE-","SAMPLE-","")&amp;LOWER(SUBSTITUTE(SUBSTITUTE($A132,"SAMPLE-",""),"CMP-","c"))&amp;"-"&amp;LOWER(SUBSTITUTE(SUBSTITUTE($B132,"SAMPLE-",""),"O-","o"))&amp;"-p"))*(scans!$D$2:$D$1601="close")*scans!$E$2:$E$1601))-SUMPRODUCT(MAX((scans!$C$2:$C$1601=(IF(LEFT($A132,7)="SAMPLE-","SAMPLE-","")&amp;LOWER(SUBSTITUTE(SUBSTITUTE($A132,"SAMPLE-",""),"CMP-","c"))&amp;"-"&amp;LOWER(SUBSTITUTE(SUBSTITUTE($B132,"SAMPLE-",""),"O-","o"))&amp;"-p"))*(scans!$D$2:$D$1601="baseline")*scans!$E$2:$E$1601))))</f>
        <v/>
      </c>
      <c r="AP132" s="25">
        <f>IF($A132="","",IF(COUNTIF(offices!$A$2:$A$61,$B132)=0,"office_id not on offices; ","")&amp;IF(COUNTIF(campaigns!$A$2:$A$51,$A132)=0,"campaign_id not on campaigns; ","")&amp;IF($P132="pending","approval pending; ","")&amp;IF(AND($U132&gt;0,$Y132="",OR($I132="",IF(config!$B$37&lt;&gt;"",config!$B$37,TODAY())&lt;=WORKDAY(N($I132),4,calendar!$A$2:$A$80))),"no usable placement photo yet; ","")&amp;IF(AND($Y132&lt;&gt;"",$Z132=""),"log the placed count; ","")&amp;IF(N($AA132)&gt;N($U132),"placed more than delivered; ","")&amp;IF(AND($AF132&lt;&gt;"",N($AF132)&gt;N($AA132)+N($AD132)),"day-5 count above placed plus top-ups; ","")&amp;IF(AND($U132&gt;0,$I132&lt;&gt;"",IF(config!$B$37&lt;&gt;"",config!$B$37,TODAY())&gt;WORKDAY(N($I132),4,calendar!$A$2:$A$80),$AF132=""),"day-5 count missing; ","")&amp;IF(AND($U132&gt;0,$I132&lt;&gt;"",IF(config!$B$37&lt;&gt;"",config!$B$37,TODAY())&gt;WORKDAY(N($I132),4,calendar!$A$2:$A$80),$AN132=""),"no close link reading; ","")&amp;$R132&amp;IF($P132="N","info: office said no; ","")&amp;IF(AND($P132="Y",$Q132="N"),"info: turned away at the door, so not on the drop (no letter, not in the report or Gate 2; the credit check is on campaigns); ","")&amp;IF(AND($U132&gt;0,$Y132="",$I132&lt;&gt;"",IF(config!$B$37&lt;&gt;"",config!$B$37,TODAY())&gt;WORKDAY(N($I132),4,calendar!$A$2:$A$80)),"info: no usable placement photo, so nothing counts as placed; ","")&amp;IF(AND($U132&gt;0,$I132&lt;&gt;"",IF(config!$B$37&lt;&gt;"",config!$B$37,TODAY())&gt;WORKDAY(N($I132),4,calendar!$A$2:$A$80),N($AL132)&lt;config!$B$30),"info: under "&amp;config!$B$30&amp;" responses; ","")&amp;IF($W132="packing_list","info: delivered count not verified; ",""))</f>
        <v/>
      </c>
      <c r="AQ132" s="25">
        <f>IF(OR($A132="",$I132=""),"",IF($BC132="Y",SUMIFS(survey_frozen!$E$2:$E$251,survey_frozen!$P$2:$P$251,$A132&amp;"|"&amp;$B132),IFERROR(COUNTIFS(INDIRECT("'"&amp;$A132&amp;"'!$B$2:$B$501"),$T132,INDIRECT("'"&amp;$A132&amp;"'!$A$2:$A$501"),"&gt;="&amp;$I132,INDIRECT("'"&amp;$A132&amp;"'!$A$2:$A$501"),"&lt;"&amp;($BA132+1),INDIRECT("'"&amp;$A132&amp;"'!$F$2:$F$501"),"Didn't see it"),0)))</f>
        <v/>
      </c>
      <c r="AR132" s="25">
        <f>IF(OR($A132="",$I132=""),"",IF($BC132="Y",SUMIFS(survey_frozen!$F$2:$F$251,survey_frozen!$P$2:$P$251,$A132&amp;"|"&amp;$B132),IFERROR(COUNTIFS(INDIRECT("'"&amp;$A132&amp;"'!$B$2:$B$501"),$T132,INDIRECT("'"&amp;$A132&amp;"'!$A$2:$A$501"),"&gt;="&amp;$I132,INDIRECT("'"&amp;$A132&amp;"'!$A$2:$A$501"),"&lt;"&amp;($BA132+1),INDIRECT("'"&amp;$A132&amp;"'!$F$2:$F$501"),"Not for me"),0)))</f>
        <v/>
      </c>
      <c r="AS132" s="25">
        <f>IF(OR($A132="",$I132=""),"",IF($BC132="Y",SUMIFS(survey_frozen!$G$2:$G$251,survey_frozen!$P$2:$P$251,$A132&amp;"|"&amp;$B132),IFERROR(COUNTIFS(INDIRECT("'"&amp;$A132&amp;"'!$B$2:$B$501"),$T132,INDIRECT("'"&amp;$A132&amp;"'!$A$2:$A$501"),"&gt;="&amp;$I132,INDIRECT("'"&amp;$A132&amp;"'!$A$2:$A$501"),"&lt;"&amp;($BA132+1),INDIRECT("'"&amp;$A132&amp;"'!$F$2:$F$501"),"Gone by the time I looked"),0)))</f>
        <v/>
      </c>
      <c r="AT132" s="25">
        <f>IF(OR($A132="",$I132=""),"",IF($BC132="Y",SUMIFS(survey_frozen!$H$2:$H$251,survey_frozen!$P$2:$P$251,$A132&amp;"|"&amp;$B132),IFERROR(COUNTIFS(INDIRECT("'"&amp;$A132&amp;"'!$B$2:$B$501"),$T132,INDIRECT("'"&amp;$A132&amp;"'!$A$2:$A$501"),"&gt;="&amp;$I132,INDIRECT("'"&amp;$A132&amp;"'!$A$2:$A$501"),"&lt;"&amp;($BA132+1),INDIRECT("'"&amp;$A132&amp;"'!$D$2:$D$501"),"&gt;=1"),0)))</f>
        <v/>
      </c>
      <c r="AU132" s="25">
        <f>IF(OR($A132="",$I132=""),"",IF($BC132="Y",SUMIFS(survey_frozen!$I$2:$I$251,survey_frozen!$P$2:$P$251,$A132&amp;"|"&amp;$B132),IFERROR(SUMIFS(INDIRECT("'"&amp;$A132&amp;"'!$D$2:$D$501"),INDIRECT("'"&amp;$A132&amp;"'!$B$2:$B$501"),$T132,INDIRECT("'"&amp;$A132&amp;"'!$A$2:$A$501"),"&gt;="&amp;$I132,INDIRECT("'"&amp;$A132&amp;"'!$A$2:$A$501"),"&lt;"&amp;($BA132+1)),0)))</f>
        <v/>
      </c>
      <c r="AV132" s="25">
        <f>IF(OR($A132="",$I132=""),"",IF($BC132="Y",SUMIFS(survey_frozen!$J$2:$J$251,survey_frozen!$P$2:$P$251,$A132&amp;"|"&amp;$B132),IFERROR(COUNTIFS(INDIRECT("'"&amp;$A132&amp;"'!$B$2:$B$501"),$T132,INDIRECT("'"&amp;$A132&amp;"'!$A$2:$A$501"),"&gt;="&amp;$I132,INDIRECT("'"&amp;$A132&amp;"'!$A$2:$A$501"),"&lt;"&amp;($BA132+1),INDIRECT("'"&amp;$A132&amp;"'!$E$2:$E$501"),"Yes"),0)))</f>
        <v/>
      </c>
      <c r="AW132" s="25">
        <f>IF(OR($A132="",$I132=""),"",IF($BC132="Y",SUMIFS(survey_frozen!$K$2:$K$251,survey_frozen!$P$2:$P$251,$A132&amp;"|"&amp;$B132),IFERROR(COUNTIFS(INDIRECT("'"&amp;$A132&amp;"'!$B$2:$B$501"),$T132,INDIRECT("'"&amp;$A132&amp;"'!$A$2:$A$501"),"&gt;="&amp;$I132,INDIRECT("'"&amp;$A132&amp;"'!$A$2:$A$501"),"&lt;"&amp;($BA132+1),INDIRECT("'"&amp;$A132&amp;"'!$E$2:$E$501"),"Maybe"),0)))</f>
        <v/>
      </c>
      <c r="AX132" s="25">
        <f>IF(OR($A132="",$I132=""),"",IF($BC132="Y",SUMIFS(survey_frozen!$L$2:$L$251,survey_frozen!$P$2:$P$251,$A132&amp;"|"&amp;$B132),IFERROR(COUNTIFS(INDIRECT("'"&amp;$A132&amp;"'!$B$2:$B$501"),$T132,INDIRECT("'"&amp;$A132&amp;"'!$A$2:$A$501"),"&gt;="&amp;$I132,INDIRECT("'"&amp;$A132&amp;"'!$A$2:$A$501"),"&lt;"&amp;($BA132+1),INDIRECT("'"&amp;$A132&amp;"'!$E$2:$E$501"),"No"),0)))</f>
        <v/>
      </c>
      <c r="AY132" s="25">
        <f>IF(OR($A132="",$I132=""),"",IF($BC132="Y",SUMIFS(survey_frozen!$M$2:$M$251,survey_frozen!$P$2:$P$251,$A132&amp;"|"&amp;$B132),IFERROR(COUNTIFS(INDIRECT("'"&amp;$A132&amp;"'!$B$2:$B$501"),$T132,INDIRECT("'"&amp;$A132&amp;"'!$A$2:$A$501"),"&gt;="&amp;$I132,INDIRECT("'"&amp;$A132&amp;"'!$A$2:$A$501"),"&lt;"&amp;($BA132+1),INDIRECT("'"&amp;$A132&amp;"'!$G$2:$G$501"),"&lt;&gt;"),0)))</f>
        <v/>
      </c>
      <c r="AZ132" s="25">
        <f>IF($A132="","",$A132&amp;"|"&amp;$L132)</f>
        <v/>
      </c>
      <c r="BA132" s="26">
        <f>IF($A132="","",IFERROR(IF(INDEX(drops!$R$2:$R$21,MATCH($H132,drops!$A$2:$A$21,0))="","",INDEX(drops!$R$2:$R$21,MATCH($H132,drops!$A$2:$A$21,0))),""))</f>
        <v/>
      </c>
      <c r="BB132" s="25">
        <f>IF(OR($A132="",$Q132&lt;&gt;"Y"),1000000,N($AL132))</f>
        <v/>
      </c>
      <c r="BC132" s="25">
        <f>IF($A132="","",IF(COUNTIF(survey_frozen!$P$2:$P$251,$A132&amp;"|"&amp;$B132)&gt;0,"Y",""))</f>
        <v/>
      </c>
    </row>
    <row r="133">
      <c r="C133" s="9" t="n"/>
      <c r="E133" s="9" t="n"/>
      <c r="H133" s="25">
        <f>IF($A133="","",IFERROR(IF(INDEX(campaigns!$B$2:$B$51,MATCH($A133,campaigns!$A$2:$A$51,0))="","",INDEX(campaigns!$B$2:$B$51,MATCH($A133,campaigns!$A$2:$A$51,0))),""))</f>
        <v/>
      </c>
      <c r="I133" s="26">
        <f>IF($A133="","",IFERROR(IF(INDEX(campaigns!$BG$2:$BG$51,MATCH($A133,campaigns!$A$2:$A$51,0))="","",INDEX(campaigns!$BG$2:$BG$51,MATCH($A133,campaigns!$A$2:$A$51,0))),""))</f>
        <v/>
      </c>
      <c r="J133" s="25">
        <f>IF($A133="","",IFERROR(IF(INDEX(campaigns!$BE$2:$BE$51,MATCH($A133,campaigns!$A$2:$A$51,0))="","",INDEX(campaigns!$BE$2:$BE$51,MATCH($A133,campaigns!$A$2:$A$51,0))),""))</f>
        <v/>
      </c>
      <c r="K133" s="25">
        <f>IF($B133="","",IFERROR(IF(INDEX(offices!$N$2:$N$61,MATCH($B133,offices!$A$2:$A$61,0))="","",INDEX(offices!$N$2:$N$61,MATCH($B133,offices!$A$2:$A$61,0))),""))</f>
        <v/>
      </c>
      <c r="L133" s="25">
        <f>IF($A133="","",IF($Q133="N","",COUNTIFS($A$2:$A133,$A133,$Q$2:$Q133,"&lt;&gt;N")))</f>
        <v/>
      </c>
      <c r="M133" s="25">
        <f>IF(OR($A133="",$L133=""),"",IF(AND(config!$B$34="names_if_public",IFERROR(IF(INDEX(offices!$AF$2:$AF$61,MATCH($B133,offices!$A$2:$A$61,0))="","",INDEX(offices!$AF$2:$AF$61,MATCH($B133,offices!$A$2:$A$61,0))),"")="Y"),$K133,CHAR(64+$L133)))</f>
        <v/>
      </c>
      <c r="N133" s="25">
        <f>IF(OR($A133="",$I133=""),"",COUNTIFS(stops!$B$2:$B$151,$B133,stops!$P$2:$P$151,"&lt;"&amp;$I133,stops!$L$2:$L$151,"&lt;&gt;not_delivered")+1)</f>
        <v/>
      </c>
      <c r="O133" s="25">
        <f>IF($A133="","",IF(N($N133)&lt;=config!$B$29,"explicit","opt-out"))</f>
        <v/>
      </c>
      <c r="P133" s="25">
        <f>IF($A133="","",IF($O133="explicit",IF($D133="yes","Y",IF($D133="no","N","pending")),IF($D133="no","N",IF(AND($C133&lt;&gt;"",$I133&lt;&gt;"",$C133&lt;=WORKDAY(N($I133),-5,calendar!$A$2:$A$80)),"Y","pending"))))</f>
        <v/>
      </c>
      <c r="Q133" s="25">
        <f>IF($A133="","",IF($P133="N","N",IF($P133&lt;&gt;"Y","pending",IF(AND((COUNTIFS(stops!$A$2:$A$151,$H133,stops!$B$2:$B$151,$B133,stops!$L$2:$L$151,"declined")+COUNTIFS(stops!$A$2:$A$151,$H133,stops!$B$2:$B$151,$B133,stops!$L$2:$L$151,"building_refused")+COUNTIFS(stops!$A$2:$A$151,$H133,stops!$B$2:$B$151,$B133,stops!$L$2:$L$151,"not_delivered"))&gt;0,N($U133)=0),"N","Y"))))</f>
        <v/>
      </c>
      <c r="R133" s="25">
        <f>IF($A133="","",IF(COUNTIFS($A$2:$A$251,$A133,$B$2:$B$251,$B133)&gt;1,"DUPLICATE ROW; ","")&amp;IF(AND(IFERROR(IF(INDEX(offices!$AC$2:$AC$61,MATCH($B133,offices!$A$2:$A$61,0))="","",INDEX(offices!$AC$2:$AC$61,MATCH($B133,offices!$A$2:$A$61,0))),"")&lt;&gt;"",ISNUMBER(SEARCH($J133,IFERROR(IF(INDEX(offices!$AC$2:$AC$61,MATCH($B133,offices!$A$2:$A$61,0))="","",INDEX(offices!$AC$2:$AC$61,MATCH($B133,offices!$A$2:$A$61,0))),"")))),"BRAND VETOED; ","")&amp;IF(ISNUMBER(SEARCH(IFERROR(IF(INDEX(campaigns!$BF$2:$BF$51,MATCH($A133,campaigns!$A$2:$A$51,0))="","",INDEX(campaigns!$BF$2:$BF$51,MATCH($A133,campaigns!$A$2:$A$51,0))),""),IFERROR(IF(INDEX(offices!$AB$2:$AB$61,MATCH($B133,offices!$A$2:$A$61,0))="","",INDEX(offices!$AB$2:$AB$61,MATCH($B133,offices!$A$2:$A$61,0))),""))),"","info: category not on the office's list; ")&amp;IF(IFERROR(IF(INDEX(offices!$AC$2:$AC$61,MATCH($B133,offices!$A$2:$A$61,0))="","",INDEX(offices!$AC$2:$AC$61,MATCH($B133,offices!$A$2:$A$61,0))),"")&lt;&gt;"","info: read the vetoes against the label; ",""))</f>
        <v/>
      </c>
      <c r="S133" s="25">
        <f>IF($A133="","",IF($G133&lt;&gt;"",$G133,IFERROR(IF(INDEX(offices!$AL$2:$AL$61,MATCH($B133,offices!$A$2:$A$61,0))="","",INDEX(offices!$AL$2:$AL$61,MATCH($B133,offices!$A$2:$A$61,0))),"")))</f>
        <v/>
      </c>
      <c r="T133" s="25">
        <f>IF($A133="","",$A133&amp;"."&amp;$B133)</f>
        <v/>
      </c>
      <c r="U133" s="25">
        <f>IF($A133="","",SUMIFS(inventory!$G$2:$G$801,inventory!$C$2:$C$801,$A133,inventory!$D$2:$D$801,$B133,inventory!$E$2:$E$801,"delivered"))</f>
        <v/>
      </c>
      <c r="V133" s="32">
        <f>IF($A133="","",IFERROR(1/(1/SUMPRODUCT(MAX((inventory!$C$2:$C$801=$A133)*(inventory!$D$2:$D$801=$B133)*(inventory!$E$2:$E$801="delivered")*(inventory!$A$2:$A$801+inventory!$B$2:$B$801)))),""))</f>
        <v/>
      </c>
      <c r="W133" s="25">
        <f>IF($A133="","",IFERROR(IF(INDEX(inventory!$J$2:$J$801,MATCH($A133&amp;"|"&amp;$B133&amp;"|delivered",inventory!$R$2:$R$801,0))="","",INDEX(inventory!$J$2:$J$801,MATCH($A133&amp;"|"&amp;$B133&amp;"|delivered",inventory!$R$2:$R$801,0))),""))</f>
        <v/>
      </c>
      <c r="X133" s="25">
        <f>IF($A133="","",IFERROR(IF(INDEX(photos!$H$2:$H$701,MATCH($A133&amp;"|"&amp;$B133&amp;"|placement|Y",photos!$R$2:$R$701,0))="","",INDEX(photos!$H$2:$H$701,MATCH($A133&amp;"|"&amp;$B133&amp;"|placement|Y",photos!$R$2:$R$701,0))),""))</f>
        <v/>
      </c>
      <c r="Y133" s="26">
        <f>IF($A133="","",IFERROR(IF(INDEX(photos!$E$2:$E$701,MATCH($A133&amp;"|"&amp;$B133&amp;"|placement|Y",photos!$R$2:$R$701,0))="","",INDEX(photos!$E$2:$E$701,MATCH($A133&amp;"|"&amp;$B133&amp;"|placement|Y",photos!$R$2:$R$701,0))),""))</f>
        <v/>
      </c>
      <c r="Z133" s="25">
        <f>IF($A133="","",IF(COUNTIFS(counts!$C$2:$C$701,$A133,counts!$D$2:$D$701,$B133,counts!$E$2:$E$701,"placed")=0,"",SUMIFS(counts!$F$2:$F$701,counts!$C$2:$C$701,$A133,counts!$D$2:$D$701,$B133,counts!$E$2:$E$701,"placed")))</f>
        <v/>
      </c>
      <c r="AA133" s="25">
        <f>IF($A133="","",IF($Y133="",0,N($Z133)))</f>
        <v/>
      </c>
      <c r="AB133" s="25">
        <f>IF($A133="","",IF(OR($Y133="",$I133=""),"N",IF($Y133&lt;=WORKDAY(N($I133),1,calendar!$A$2:$A$80),"Y","N")))</f>
        <v/>
      </c>
      <c r="AC133" s="28">
        <f>IF(OR($A133="",$V133="",$Y133=""),"",ROUND(($Y133+N(IFERROR(IF(INDEX(photos!$F$2:$F$701,MATCH($A133&amp;"|"&amp;$B133&amp;"|placement|Y",photos!$R$2:$R$701,0))="","",INDEX(photos!$F$2:$F$701,MATCH($A133&amp;"|"&amp;$B133&amp;"|placement|Y",photos!$R$2:$R$701,0))),""))-$V133)*24,1))</f>
        <v/>
      </c>
      <c r="AD133" s="25">
        <f>IF($A133="","",SUMIFS(inventory!$G$2:$G$801,inventory!$C$2:$C$801,$A133,inventory!$D$2:$D$801,$B133,inventory!$E$2:$E$801,"topped_up"))</f>
        <v/>
      </c>
      <c r="AE133" s="25">
        <f>IF($A133="","",IF(COUNTIFS(counts!$C$2:$C$701,$A133,counts!$D$2:$D$701,$B133,counts!$E$2:$E$701,"remaining_day3")=0,"",SUMIFS(counts!$F$2:$F$701,counts!$C$2:$C$701,$A133,counts!$D$2:$D$701,$B133,counts!$E$2:$E$701,"remaining_day3")))</f>
        <v/>
      </c>
      <c r="AF133" s="25">
        <f>IF($A133="","",IF(COUNTIFS(counts!$C$2:$C$701,$A133,counts!$D$2:$D$701,$B133,counts!$E$2:$E$701,"remaining_day5")=0,"",SUMIFS(counts!$F$2:$F$701,counts!$C$2:$C$701,$A133,counts!$D$2:$D$701,$B133,counts!$E$2:$E$701,"remaining_day5")))</f>
        <v/>
      </c>
      <c r="AG133" s="25">
        <f>IF(OR($A133="",$AF133=""),"",MAX(0,$AA133+$AD133-$AF133))</f>
        <v/>
      </c>
      <c r="AH133" s="25">
        <f>IF(OR($A133="",$AI133=""),"",IFERROR(IF(INDEX(photos!$H$2:$H$701,MATCH($A133&amp;"|"&amp;$B133&amp;"|later|Y|"&amp;$AI133,photos!$S$2:$S$701,0))="","",INDEX(photos!$H$2:$H$701,MATCH($A133&amp;"|"&amp;$B133&amp;"|later|Y|"&amp;$AI133,photos!$S$2:$S$701,0))),""))</f>
        <v/>
      </c>
      <c r="AI133" s="26">
        <f>IF($A133="","",IFERROR(1/(1/SUMPRODUCT(MAX((photos!$B$2:$B$701=$A133)*(photos!$C$2:$C$701=$B133)*(photos!$D$2:$D$701="later")*(photos!$O$2:$O$701="Y")*photos!$E$2:$E$701))),""))</f>
        <v/>
      </c>
      <c r="AJ133" s="25">
        <f>IF(OR($A133="",$AI133="",$I133=""),"",NETWORKDAYS($I133,$AI133,calendar!$A$2:$A$80))</f>
        <v/>
      </c>
      <c r="AK133" s="25">
        <f>IF($A133="","",IF(AND($X133&lt;&gt;"",$AH133&lt;&gt;""),"Y","N"))</f>
        <v/>
      </c>
      <c r="AL133" s="25">
        <f>IF(OR($A133="",$I133=""),"",IF($BC133="Y",SUMIFS(survey_frozen!$C$2:$C$251,survey_frozen!$P$2:$P$251,$A133&amp;"|"&amp;$B133),IFERROR(COUNTIFS(INDIRECT("'"&amp;$A133&amp;"'!$B$2:$B$501"),$T133,INDIRECT("'"&amp;$A133&amp;"'!$A$2:$A$501"),"&gt;="&amp;$I133,INDIRECT("'"&amp;$A133&amp;"'!$A$2:$A$501"),"&lt;"&amp;($BA133+1)),0)))</f>
        <v/>
      </c>
      <c r="AM133" s="25">
        <f>IF(OR($A133="",$I133=""),"",IF($BC133="Y",SUMIFS(survey_frozen!$D$2:$D$251,survey_frozen!$P$2:$P$251,$A133&amp;"|"&amp;$B133),IFERROR(COUNTIFS(INDIRECT("'"&amp;$A133&amp;"'!$B$2:$B$501"),$T133,INDIRECT("'"&amp;$A133&amp;"'!$A$2:$A$501"),"&gt;="&amp;$I133,INDIRECT("'"&amp;$A133&amp;"'!$A$2:$A$501"),"&lt;"&amp;($BA133+1),INDIRECT("'"&amp;$A133&amp;"'!$C$2:$C$501"),"Yes"),0)))</f>
        <v/>
      </c>
      <c r="AN133" s="25">
        <f>IF($A133="","",IF(COUNTIFS(scans!$C$2:$C$1601,(IF(LEFT($A133,7)="SAMPLE-","SAMPLE-","")&amp;LOWER(SUBSTITUTE(SUBSTITUTE($A133,"SAMPLE-",""),"CMP-","c"))&amp;"-"&amp;LOWER(SUBSTITUTE(SUBSTITUTE($B133,"SAMPLE-",""),"O-","o"))&amp;"-q"),scans!$D$2:$D$1601,"close")=0,"",SUMPRODUCT(MAX((scans!$C$2:$C$1601=(IF(LEFT($A133,7)="SAMPLE-","SAMPLE-","")&amp;LOWER(SUBSTITUTE(SUBSTITUTE($A133,"SAMPLE-",""),"CMP-","c"))&amp;"-"&amp;LOWER(SUBSTITUTE(SUBSTITUTE($B133,"SAMPLE-",""),"O-","o"))&amp;"-q"))*(scans!$D$2:$D$1601="close")*scans!$E$2:$E$1601))-SUMPRODUCT(MAX((scans!$C$2:$C$1601=(IF(LEFT($A133,7)="SAMPLE-","SAMPLE-","")&amp;LOWER(SUBSTITUTE(SUBSTITUTE($A133,"SAMPLE-",""),"CMP-","c"))&amp;"-"&amp;LOWER(SUBSTITUTE(SUBSTITUTE($B133,"SAMPLE-",""),"O-","o"))&amp;"-q"))*(scans!$D$2:$D$1601="baseline")*scans!$E$2:$E$1601))))</f>
        <v/>
      </c>
      <c r="AO133" s="25">
        <f>IF($A133="","",IF(COUNTIFS(scans!$C$2:$C$1601,(IF(LEFT($A133,7)="SAMPLE-","SAMPLE-","")&amp;LOWER(SUBSTITUTE(SUBSTITUTE($A133,"SAMPLE-",""),"CMP-","c"))&amp;"-"&amp;LOWER(SUBSTITUTE(SUBSTITUTE($B133,"SAMPLE-",""),"O-","o"))&amp;"-p"),scans!$D$2:$D$1601,"close")=0,"",SUMPRODUCT(MAX((scans!$C$2:$C$1601=(IF(LEFT($A133,7)="SAMPLE-","SAMPLE-","")&amp;LOWER(SUBSTITUTE(SUBSTITUTE($A133,"SAMPLE-",""),"CMP-","c"))&amp;"-"&amp;LOWER(SUBSTITUTE(SUBSTITUTE($B133,"SAMPLE-",""),"O-","o"))&amp;"-p"))*(scans!$D$2:$D$1601="close")*scans!$E$2:$E$1601))-SUMPRODUCT(MAX((scans!$C$2:$C$1601=(IF(LEFT($A133,7)="SAMPLE-","SAMPLE-","")&amp;LOWER(SUBSTITUTE(SUBSTITUTE($A133,"SAMPLE-",""),"CMP-","c"))&amp;"-"&amp;LOWER(SUBSTITUTE(SUBSTITUTE($B133,"SAMPLE-",""),"O-","o"))&amp;"-p"))*(scans!$D$2:$D$1601="baseline")*scans!$E$2:$E$1601))))</f>
        <v/>
      </c>
      <c r="AP133" s="25">
        <f>IF($A133="","",IF(COUNTIF(offices!$A$2:$A$61,$B133)=0,"office_id not on offices; ","")&amp;IF(COUNTIF(campaigns!$A$2:$A$51,$A133)=0,"campaign_id not on campaigns; ","")&amp;IF($P133="pending","approval pending; ","")&amp;IF(AND($U133&gt;0,$Y133="",OR($I133="",IF(config!$B$37&lt;&gt;"",config!$B$37,TODAY())&lt;=WORKDAY(N($I133),4,calendar!$A$2:$A$80))),"no usable placement photo yet; ","")&amp;IF(AND($Y133&lt;&gt;"",$Z133=""),"log the placed count; ","")&amp;IF(N($AA133)&gt;N($U133),"placed more than delivered; ","")&amp;IF(AND($AF133&lt;&gt;"",N($AF133)&gt;N($AA133)+N($AD133)),"day-5 count above placed plus top-ups; ","")&amp;IF(AND($U133&gt;0,$I133&lt;&gt;"",IF(config!$B$37&lt;&gt;"",config!$B$37,TODAY())&gt;WORKDAY(N($I133),4,calendar!$A$2:$A$80),$AF133=""),"day-5 count missing; ","")&amp;IF(AND($U133&gt;0,$I133&lt;&gt;"",IF(config!$B$37&lt;&gt;"",config!$B$37,TODAY())&gt;WORKDAY(N($I133),4,calendar!$A$2:$A$80),$AN133=""),"no close link reading; ","")&amp;$R133&amp;IF($P133="N","info: office said no; ","")&amp;IF(AND($P133="Y",$Q133="N"),"info: turned away at the door, so not on the drop (no letter, not in the report or Gate 2; the credit check is on campaigns); ","")&amp;IF(AND($U133&gt;0,$Y133="",$I133&lt;&gt;"",IF(config!$B$37&lt;&gt;"",config!$B$37,TODAY())&gt;WORKDAY(N($I133),4,calendar!$A$2:$A$80)),"info: no usable placement photo, so nothing counts as placed; ","")&amp;IF(AND($U133&gt;0,$I133&lt;&gt;"",IF(config!$B$37&lt;&gt;"",config!$B$37,TODAY())&gt;WORKDAY(N($I133),4,calendar!$A$2:$A$80),N($AL133)&lt;config!$B$30),"info: under "&amp;config!$B$30&amp;" responses; ","")&amp;IF($W133="packing_list","info: delivered count not verified; ",""))</f>
        <v/>
      </c>
      <c r="AQ133" s="25">
        <f>IF(OR($A133="",$I133=""),"",IF($BC133="Y",SUMIFS(survey_frozen!$E$2:$E$251,survey_frozen!$P$2:$P$251,$A133&amp;"|"&amp;$B133),IFERROR(COUNTIFS(INDIRECT("'"&amp;$A133&amp;"'!$B$2:$B$501"),$T133,INDIRECT("'"&amp;$A133&amp;"'!$A$2:$A$501"),"&gt;="&amp;$I133,INDIRECT("'"&amp;$A133&amp;"'!$A$2:$A$501"),"&lt;"&amp;($BA133+1),INDIRECT("'"&amp;$A133&amp;"'!$F$2:$F$501"),"Didn't see it"),0)))</f>
        <v/>
      </c>
      <c r="AR133" s="25">
        <f>IF(OR($A133="",$I133=""),"",IF($BC133="Y",SUMIFS(survey_frozen!$F$2:$F$251,survey_frozen!$P$2:$P$251,$A133&amp;"|"&amp;$B133),IFERROR(COUNTIFS(INDIRECT("'"&amp;$A133&amp;"'!$B$2:$B$501"),$T133,INDIRECT("'"&amp;$A133&amp;"'!$A$2:$A$501"),"&gt;="&amp;$I133,INDIRECT("'"&amp;$A133&amp;"'!$A$2:$A$501"),"&lt;"&amp;($BA133+1),INDIRECT("'"&amp;$A133&amp;"'!$F$2:$F$501"),"Not for me"),0)))</f>
        <v/>
      </c>
      <c r="AS133" s="25">
        <f>IF(OR($A133="",$I133=""),"",IF($BC133="Y",SUMIFS(survey_frozen!$G$2:$G$251,survey_frozen!$P$2:$P$251,$A133&amp;"|"&amp;$B133),IFERROR(COUNTIFS(INDIRECT("'"&amp;$A133&amp;"'!$B$2:$B$501"),$T133,INDIRECT("'"&amp;$A133&amp;"'!$A$2:$A$501"),"&gt;="&amp;$I133,INDIRECT("'"&amp;$A133&amp;"'!$A$2:$A$501"),"&lt;"&amp;($BA133+1),INDIRECT("'"&amp;$A133&amp;"'!$F$2:$F$501"),"Gone by the time I looked"),0)))</f>
        <v/>
      </c>
      <c r="AT133" s="25">
        <f>IF(OR($A133="",$I133=""),"",IF($BC133="Y",SUMIFS(survey_frozen!$H$2:$H$251,survey_frozen!$P$2:$P$251,$A133&amp;"|"&amp;$B133),IFERROR(COUNTIFS(INDIRECT("'"&amp;$A133&amp;"'!$B$2:$B$501"),$T133,INDIRECT("'"&amp;$A133&amp;"'!$A$2:$A$501"),"&gt;="&amp;$I133,INDIRECT("'"&amp;$A133&amp;"'!$A$2:$A$501"),"&lt;"&amp;($BA133+1),INDIRECT("'"&amp;$A133&amp;"'!$D$2:$D$501"),"&gt;=1"),0)))</f>
        <v/>
      </c>
      <c r="AU133" s="25">
        <f>IF(OR($A133="",$I133=""),"",IF($BC133="Y",SUMIFS(survey_frozen!$I$2:$I$251,survey_frozen!$P$2:$P$251,$A133&amp;"|"&amp;$B133),IFERROR(SUMIFS(INDIRECT("'"&amp;$A133&amp;"'!$D$2:$D$501"),INDIRECT("'"&amp;$A133&amp;"'!$B$2:$B$501"),$T133,INDIRECT("'"&amp;$A133&amp;"'!$A$2:$A$501"),"&gt;="&amp;$I133,INDIRECT("'"&amp;$A133&amp;"'!$A$2:$A$501"),"&lt;"&amp;($BA133+1)),0)))</f>
        <v/>
      </c>
      <c r="AV133" s="25">
        <f>IF(OR($A133="",$I133=""),"",IF($BC133="Y",SUMIFS(survey_frozen!$J$2:$J$251,survey_frozen!$P$2:$P$251,$A133&amp;"|"&amp;$B133),IFERROR(COUNTIFS(INDIRECT("'"&amp;$A133&amp;"'!$B$2:$B$501"),$T133,INDIRECT("'"&amp;$A133&amp;"'!$A$2:$A$501"),"&gt;="&amp;$I133,INDIRECT("'"&amp;$A133&amp;"'!$A$2:$A$501"),"&lt;"&amp;($BA133+1),INDIRECT("'"&amp;$A133&amp;"'!$E$2:$E$501"),"Yes"),0)))</f>
        <v/>
      </c>
      <c r="AW133" s="25">
        <f>IF(OR($A133="",$I133=""),"",IF($BC133="Y",SUMIFS(survey_frozen!$K$2:$K$251,survey_frozen!$P$2:$P$251,$A133&amp;"|"&amp;$B133),IFERROR(COUNTIFS(INDIRECT("'"&amp;$A133&amp;"'!$B$2:$B$501"),$T133,INDIRECT("'"&amp;$A133&amp;"'!$A$2:$A$501"),"&gt;="&amp;$I133,INDIRECT("'"&amp;$A133&amp;"'!$A$2:$A$501"),"&lt;"&amp;($BA133+1),INDIRECT("'"&amp;$A133&amp;"'!$E$2:$E$501"),"Maybe"),0)))</f>
        <v/>
      </c>
      <c r="AX133" s="25">
        <f>IF(OR($A133="",$I133=""),"",IF($BC133="Y",SUMIFS(survey_frozen!$L$2:$L$251,survey_frozen!$P$2:$P$251,$A133&amp;"|"&amp;$B133),IFERROR(COUNTIFS(INDIRECT("'"&amp;$A133&amp;"'!$B$2:$B$501"),$T133,INDIRECT("'"&amp;$A133&amp;"'!$A$2:$A$501"),"&gt;="&amp;$I133,INDIRECT("'"&amp;$A133&amp;"'!$A$2:$A$501"),"&lt;"&amp;($BA133+1),INDIRECT("'"&amp;$A133&amp;"'!$E$2:$E$501"),"No"),0)))</f>
        <v/>
      </c>
      <c r="AY133" s="25">
        <f>IF(OR($A133="",$I133=""),"",IF($BC133="Y",SUMIFS(survey_frozen!$M$2:$M$251,survey_frozen!$P$2:$P$251,$A133&amp;"|"&amp;$B133),IFERROR(COUNTIFS(INDIRECT("'"&amp;$A133&amp;"'!$B$2:$B$501"),$T133,INDIRECT("'"&amp;$A133&amp;"'!$A$2:$A$501"),"&gt;="&amp;$I133,INDIRECT("'"&amp;$A133&amp;"'!$A$2:$A$501"),"&lt;"&amp;($BA133+1),INDIRECT("'"&amp;$A133&amp;"'!$G$2:$G$501"),"&lt;&gt;"),0)))</f>
        <v/>
      </c>
      <c r="AZ133" s="25">
        <f>IF($A133="","",$A133&amp;"|"&amp;$L133)</f>
        <v/>
      </c>
      <c r="BA133" s="26">
        <f>IF($A133="","",IFERROR(IF(INDEX(drops!$R$2:$R$21,MATCH($H133,drops!$A$2:$A$21,0))="","",INDEX(drops!$R$2:$R$21,MATCH($H133,drops!$A$2:$A$21,0))),""))</f>
        <v/>
      </c>
      <c r="BB133" s="25">
        <f>IF(OR($A133="",$Q133&lt;&gt;"Y"),1000000,N($AL133))</f>
        <v/>
      </c>
      <c r="BC133" s="25">
        <f>IF($A133="","",IF(COUNTIF(survey_frozen!$P$2:$P$251,$A133&amp;"|"&amp;$B133)&gt;0,"Y",""))</f>
        <v/>
      </c>
    </row>
    <row r="134">
      <c r="C134" s="9" t="n"/>
      <c r="E134" s="9" t="n"/>
      <c r="H134" s="25">
        <f>IF($A134="","",IFERROR(IF(INDEX(campaigns!$B$2:$B$51,MATCH($A134,campaigns!$A$2:$A$51,0))="","",INDEX(campaigns!$B$2:$B$51,MATCH($A134,campaigns!$A$2:$A$51,0))),""))</f>
        <v/>
      </c>
      <c r="I134" s="26">
        <f>IF($A134="","",IFERROR(IF(INDEX(campaigns!$BG$2:$BG$51,MATCH($A134,campaigns!$A$2:$A$51,0))="","",INDEX(campaigns!$BG$2:$BG$51,MATCH($A134,campaigns!$A$2:$A$51,0))),""))</f>
        <v/>
      </c>
      <c r="J134" s="25">
        <f>IF($A134="","",IFERROR(IF(INDEX(campaigns!$BE$2:$BE$51,MATCH($A134,campaigns!$A$2:$A$51,0))="","",INDEX(campaigns!$BE$2:$BE$51,MATCH($A134,campaigns!$A$2:$A$51,0))),""))</f>
        <v/>
      </c>
      <c r="K134" s="25">
        <f>IF($B134="","",IFERROR(IF(INDEX(offices!$N$2:$N$61,MATCH($B134,offices!$A$2:$A$61,0))="","",INDEX(offices!$N$2:$N$61,MATCH($B134,offices!$A$2:$A$61,0))),""))</f>
        <v/>
      </c>
      <c r="L134" s="25">
        <f>IF($A134="","",IF($Q134="N","",COUNTIFS($A$2:$A134,$A134,$Q$2:$Q134,"&lt;&gt;N")))</f>
        <v/>
      </c>
      <c r="M134" s="25">
        <f>IF(OR($A134="",$L134=""),"",IF(AND(config!$B$34="names_if_public",IFERROR(IF(INDEX(offices!$AF$2:$AF$61,MATCH($B134,offices!$A$2:$A$61,0))="","",INDEX(offices!$AF$2:$AF$61,MATCH($B134,offices!$A$2:$A$61,0))),"")="Y"),$K134,CHAR(64+$L134)))</f>
        <v/>
      </c>
      <c r="N134" s="25">
        <f>IF(OR($A134="",$I134=""),"",COUNTIFS(stops!$B$2:$B$151,$B134,stops!$P$2:$P$151,"&lt;"&amp;$I134,stops!$L$2:$L$151,"&lt;&gt;not_delivered")+1)</f>
        <v/>
      </c>
      <c r="O134" s="25">
        <f>IF($A134="","",IF(N($N134)&lt;=config!$B$29,"explicit","opt-out"))</f>
        <v/>
      </c>
      <c r="P134" s="25">
        <f>IF($A134="","",IF($O134="explicit",IF($D134="yes","Y",IF($D134="no","N","pending")),IF($D134="no","N",IF(AND($C134&lt;&gt;"",$I134&lt;&gt;"",$C134&lt;=WORKDAY(N($I134),-5,calendar!$A$2:$A$80)),"Y","pending"))))</f>
        <v/>
      </c>
      <c r="Q134" s="25">
        <f>IF($A134="","",IF($P134="N","N",IF($P134&lt;&gt;"Y","pending",IF(AND((COUNTIFS(stops!$A$2:$A$151,$H134,stops!$B$2:$B$151,$B134,stops!$L$2:$L$151,"declined")+COUNTIFS(stops!$A$2:$A$151,$H134,stops!$B$2:$B$151,$B134,stops!$L$2:$L$151,"building_refused")+COUNTIFS(stops!$A$2:$A$151,$H134,stops!$B$2:$B$151,$B134,stops!$L$2:$L$151,"not_delivered"))&gt;0,N($U134)=0),"N","Y"))))</f>
        <v/>
      </c>
      <c r="R134" s="25">
        <f>IF($A134="","",IF(COUNTIFS($A$2:$A$251,$A134,$B$2:$B$251,$B134)&gt;1,"DUPLICATE ROW; ","")&amp;IF(AND(IFERROR(IF(INDEX(offices!$AC$2:$AC$61,MATCH($B134,offices!$A$2:$A$61,0))="","",INDEX(offices!$AC$2:$AC$61,MATCH($B134,offices!$A$2:$A$61,0))),"")&lt;&gt;"",ISNUMBER(SEARCH($J134,IFERROR(IF(INDEX(offices!$AC$2:$AC$61,MATCH($B134,offices!$A$2:$A$61,0))="","",INDEX(offices!$AC$2:$AC$61,MATCH($B134,offices!$A$2:$A$61,0))),"")))),"BRAND VETOED; ","")&amp;IF(ISNUMBER(SEARCH(IFERROR(IF(INDEX(campaigns!$BF$2:$BF$51,MATCH($A134,campaigns!$A$2:$A$51,0))="","",INDEX(campaigns!$BF$2:$BF$51,MATCH($A134,campaigns!$A$2:$A$51,0))),""),IFERROR(IF(INDEX(offices!$AB$2:$AB$61,MATCH($B134,offices!$A$2:$A$61,0))="","",INDEX(offices!$AB$2:$AB$61,MATCH($B134,offices!$A$2:$A$61,0))),""))),"","info: category not on the office's list; ")&amp;IF(IFERROR(IF(INDEX(offices!$AC$2:$AC$61,MATCH($B134,offices!$A$2:$A$61,0))="","",INDEX(offices!$AC$2:$AC$61,MATCH($B134,offices!$A$2:$A$61,0))),"")&lt;&gt;"","info: read the vetoes against the label; ",""))</f>
        <v/>
      </c>
      <c r="S134" s="25">
        <f>IF($A134="","",IF($G134&lt;&gt;"",$G134,IFERROR(IF(INDEX(offices!$AL$2:$AL$61,MATCH($B134,offices!$A$2:$A$61,0))="","",INDEX(offices!$AL$2:$AL$61,MATCH($B134,offices!$A$2:$A$61,0))),"")))</f>
        <v/>
      </c>
      <c r="T134" s="25">
        <f>IF($A134="","",$A134&amp;"."&amp;$B134)</f>
        <v/>
      </c>
      <c r="U134" s="25">
        <f>IF($A134="","",SUMIFS(inventory!$G$2:$G$801,inventory!$C$2:$C$801,$A134,inventory!$D$2:$D$801,$B134,inventory!$E$2:$E$801,"delivered"))</f>
        <v/>
      </c>
      <c r="V134" s="32">
        <f>IF($A134="","",IFERROR(1/(1/SUMPRODUCT(MAX((inventory!$C$2:$C$801=$A134)*(inventory!$D$2:$D$801=$B134)*(inventory!$E$2:$E$801="delivered")*(inventory!$A$2:$A$801+inventory!$B$2:$B$801)))),""))</f>
        <v/>
      </c>
      <c r="W134" s="25">
        <f>IF($A134="","",IFERROR(IF(INDEX(inventory!$J$2:$J$801,MATCH($A134&amp;"|"&amp;$B134&amp;"|delivered",inventory!$R$2:$R$801,0))="","",INDEX(inventory!$J$2:$J$801,MATCH($A134&amp;"|"&amp;$B134&amp;"|delivered",inventory!$R$2:$R$801,0))),""))</f>
        <v/>
      </c>
      <c r="X134" s="25">
        <f>IF($A134="","",IFERROR(IF(INDEX(photos!$H$2:$H$701,MATCH($A134&amp;"|"&amp;$B134&amp;"|placement|Y",photos!$R$2:$R$701,0))="","",INDEX(photos!$H$2:$H$701,MATCH($A134&amp;"|"&amp;$B134&amp;"|placement|Y",photos!$R$2:$R$701,0))),""))</f>
        <v/>
      </c>
      <c r="Y134" s="26">
        <f>IF($A134="","",IFERROR(IF(INDEX(photos!$E$2:$E$701,MATCH($A134&amp;"|"&amp;$B134&amp;"|placement|Y",photos!$R$2:$R$701,0))="","",INDEX(photos!$E$2:$E$701,MATCH($A134&amp;"|"&amp;$B134&amp;"|placement|Y",photos!$R$2:$R$701,0))),""))</f>
        <v/>
      </c>
      <c r="Z134" s="25">
        <f>IF($A134="","",IF(COUNTIFS(counts!$C$2:$C$701,$A134,counts!$D$2:$D$701,$B134,counts!$E$2:$E$701,"placed")=0,"",SUMIFS(counts!$F$2:$F$701,counts!$C$2:$C$701,$A134,counts!$D$2:$D$701,$B134,counts!$E$2:$E$701,"placed")))</f>
        <v/>
      </c>
      <c r="AA134" s="25">
        <f>IF($A134="","",IF($Y134="",0,N($Z134)))</f>
        <v/>
      </c>
      <c r="AB134" s="25">
        <f>IF($A134="","",IF(OR($Y134="",$I134=""),"N",IF($Y134&lt;=WORKDAY(N($I134),1,calendar!$A$2:$A$80),"Y","N")))</f>
        <v/>
      </c>
      <c r="AC134" s="28">
        <f>IF(OR($A134="",$V134="",$Y134=""),"",ROUND(($Y134+N(IFERROR(IF(INDEX(photos!$F$2:$F$701,MATCH($A134&amp;"|"&amp;$B134&amp;"|placement|Y",photos!$R$2:$R$701,0))="","",INDEX(photos!$F$2:$F$701,MATCH($A134&amp;"|"&amp;$B134&amp;"|placement|Y",photos!$R$2:$R$701,0))),""))-$V134)*24,1))</f>
        <v/>
      </c>
      <c r="AD134" s="25">
        <f>IF($A134="","",SUMIFS(inventory!$G$2:$G$801,inventory!$C$2:$C$801,$A134,inventory!$D$2:$D$801,$B134,inventory!$E$2:$E$801,"topped_up"))</f>
        <v/>
      </c>
      <c r="AE134" s="25">
        <f>IF($A134="","",IF(COUNTIFS(counts!$C$2:$C$701,$A134,counts!$D$2:$D$701,$B134,counts!$E$2:$E$701,"remaining_day3")=0,"",SUMIFS(counts!$F$2:$F$701,counts!$C$2:$C$701,$A134,counts!$D$2:$D$701,$B134,counts!$E$2:$E$701,"remaining_day3")))</f>
        <v/>
      </c>
      <c r="AF134" s="25">
        <f>IF($A134="","",IF(COUNTIFS(counts!$C$2:$C$701,$A134,counts!$D$2:$D$701,$B134,counts!$E$2:$E$701,"remaining_day5")=0,"",SUMIFS(counts!$F$2:$F$701,counts!$C$2:$C$701,$A134,counts!$D$2:$D$701,$B134,counts!$E$2:$E$701,"remaining_day5")))</f>
        <v/>
      </c>
      <c r="AG134" s="25">
        <f>IF(OR($A134="",$AF134=""),"",MAX(0,$AA134+$AD134-$AF134))</f>
        <v/>
      </c>
      <c r="AH134" s="25">
        <f>IF(OR($A134="",$AI134=""),"",IFERROR(IF(INDEX(photos!$H$2:$H$701,MATCH($A134&amp;"|"&amp;$B134&amp;"|later|Y|"&amp;$AI134,photos!$S$2:$S$701,0))="","",INDEX(photos!$H$2:$H$701,MATCH($A134&amp;"|"&amp;$B134&amp;"|later|Y|"&amp;$AI134,photos!$S$2:$S$701,0))),""))</f>
        <v/>
      </c>
      <c r="AI134" s="26">
        <f>IF($A134="","",IFERROR(1/(1/SUMPRODUCT(MAX((photos!$B$2:$B$701=$A134)*(photos!$C$2:$C$701=$B134)*(photos!$D$2:$D$701="later")*(photos!$O$2:$O$701="Y")*photos!$E$2:$E$701))),""))</f>
        <v/>
      </c>
      <c r="AJ134" s="25">
        <f>IF(OR($A134="",$AI134="",$I134=""),"",NETWORKDAYS($I134,$AI134,calendar!$A$2:$A$80))</f>
        <v/>
      </c>
      <c r="AK134" s="25">
        <f>IF($A134="","",IF(AND($X134&lt;&gt;"",$AH134&lt;&gt;""),"Y","N"))</f>
        <v/>
      </c>
      <c r="AL134" s="25">
        <f>IF(OR($A134="",$I134=""),"",IF($BC134="Y",SUMIFS(survey_frozen!$C$2:$C$251,survey_frozen!$P$2:$P$251,$A134&amp;"|"&amp;$B134),IFERROR(COUNTIFS(INDIRECT("'"&amp;$A134&amp;"'!$B$2:$B$501"),$T134,INDIRECT("'"&amp;$A134&amp;"'!$A$2:$A$501"),"&gt;="&amp;$I134,INDIRECT("'"&amp;$A134&amp;"'!$A$2:$A$501"),"&lt;"&amp;($BA134+1)),0)))</f>
        <v/>
      </c>
      <c r="AM134" s="25">
        <f>IF(OR($A134="",$I134=""),"",IF($BC134="Y",SUMIFS(survey_frozen!$D$2:$D$251,survey_frozen!$P$2:$P$251,$A134&amp;"|"&amp;$B134),IFERROR(COUNTIFS(INDIRECT("'"&amp;$A134&amp;"'!$B$2:$B$501"),$T134,INDIRECT("'"&amp;$A134&amp;"'!$A$2:$A$501"),"&gt;="&amp;$I134,INDIRECT("'"&amp;$A134&amp;"'!$A$2:$A$501"),"&lt;"&amp;($BA134+1),INDIRECT("'"&amp;$A134&amp;"'!$C$2:$C$501"),"Yes"),0)))</f>
        <v/>
      </c>
      <c r="AN134" s="25">
        <f>IF($A134="","",IF(COUNTIFS(scans!$C$2:$C$1601,(IF(LEFT($A134,7)="SAMPLE-","SAMPLE-","")&amp;LOWER(SUBSTITUTE(SUBSTITUTE($A134,"SAMPLE-",""),"CMP-","c"))&amp;"-"&amp;LOWER(SUBSTITUTE(SUBSTITUTE($B134,"SAMPLE-",""),"O-","o"))&amp;"-q"),scans!$D$2:$D$1601,"close")=0,"",SUMPRODUCT(MAX((scans!$C$2:$C$1601=(IF(LEFT($A134,7)="SAMPLE-","SAMPLE-","")&amp;LOWER(SUBSTITUTE(SUBSTITUTE($A134,"SAMPLE-",""),"CMP-","c"))&amp;"-"&amp;LOWER(SUBSTITUTE(SUBSTITUTE($B134,"SAMPLE-",""),"O-","o"))&amp;"-q"))*(scans!$D$2:$D$1601="close")*scans!$E$2:$E$1601))-SUMPRODUCT(MAX((scans!$C$2:$C$1601=(IF(LEFT($A134,7)="SAMPLE-","SAMPLE-","")&amp;LOWER(SUBSTITUTE(SUBSTITUTE($A134,"SAMPLE-",""),"CMP-","c"))&amp;"-"&amp;LOWER(SUBSTITUTE(SUBSTITUTE($B134,"SAMPLE-",""),"O-","o"))&amp;"-q"))*(scans!$D$2:$D$1601="baseline")*scans!$E$2:$E$1601))))</f>
        <v/>
      </c>
      <c r="AO134" s="25">
        <f>IF($A134="","",IF(COUNTIFS(scans!$C$2:$C$1601,(IF(LEFT($A134,7)="SAMPLE-","SAMPLE-","")&amp;LOWER(SUBSTITUTE(SUBSTITUTE($A134,"SAMPLE-",""),"CMP-","c"))&amp;"-"&amp;LOWER(SUBSTITUTE(SUBSTITUTE($B134,"SAMPLE-",""),"O-","o"))&amp;"-p"),scans!$D$2:$D$1601,"close")=0,"",SUMPRODUCT(MAX((scans!$C$2:$C$1601=(IF(LEFT($A134,7)="SAMPLE-","SAMPLE-","")&amp;LOWER(SUBSTITUTE(SUBSTITUTE($A134,"SAMPLE-",""),"CMP-","c"))&amp;"-"&amp;LOWER(SUBSTITUTE(SUBSTITUTE($B134,"SAMPLE-",""),"O-","o"))&amp;"-p"))*(scans!$D$2:$D$1601="close")*scans!$E$2:$E$1601))-SUMPRODUCT(MAX((scans!$C$2:$C$1601=(IF(LEFT($A134,7)="SAMPLE-","SAMPLE-","")&amp;LOWER(SUBSTITUTE(SUBSTITUTE($A134,"SAMPLE-",""),"CMP-","c"))&amp;"-"&amp;LOWER(SUBSTITUTE(SUBSTITUTE($B134,"SAMPLE-",""),"O-","o"))&amp;"-p"))*(scans!$D$2:$D$1601="baseline")*scans!$E$2:$E$1601))))</f>
        <v/>
      </c>
      <c r="AP134" s="25">
        <f>IF($A134="","",IF(COUNTIF(offices!$A$2:$A$61,$B134)=0,"office_id not on offices; ","")&amp;IF(COUNTIF(campaigns!$A$2:$A$51,$A134)=0,"campaign_id not on campaigns; ","")&amp;IF($P134="pending","approval pending; ","")&amp;IF(AND($U134&gt;0,$Y134="",OR($I134="",IF(config!$B$37&lt;&gt;"",config!$B$37,TODAY())&lt;=WORKDAY(N($I134),4,calendar!$A$2:$A$80))),"no usable placement photo yet; ","")&amp;IF(AND($Y134&lt;&gt;"",$Z134=""),"log the placed count; ","")&amp;IF(N($AA134)&gt;N($U134),"placed more than delivered; ","")&amp;IF(AND($AF134&lt;&gt;"",N($AF134)&gt;N($AA134)+N($AD134)),"day-5 count above placed plus top-ups; ","")&amp;IF(AND($U134&gt;0,$I134&lt;&gt;"",IF(config!$B$37&lt;&gt;"",config!$B$37,TODAY())&gt;WORKDAY(N($I134),4,calendar!$A$2:$A$80),$AF134=""),"day-5 count missing; ","")&amp;IF(AND($U134&gt;0,$I134&lt;&gt;"",IF(config!$B$37&lt;&gt;"",config!$B$37,TODAY())&gt;WORKDAY(N($I134),4,calendar!$A$2:$A$80),$AN134=""),"no close link reading; ","")&amp;$R134&amp;IF($P134="N","info: office said no; ","")&amp;IF(AND($P134="Y",$Q134="N"),"info: turned away at the door, so not on the drop (no letter, not in the report or Gate 2; the credit check is on campaigns); ","")&amp;IF(AND($U134&gt;0,$Y134="",$I134&lt;&gt;"",IF(config!$B$37&lt;&gt;"",config!$B$37,TODAY())&gt;WORKDAY(N($I134),4,calendar!$A$2:$A$80)),"info: no usable placement photo, so nothing counts as placed; ","")&amp;IF(AND($U134&gt;0,$I134&lt;&gt;"",IF(config!$B$37&lt;&gt;"",config!$B$37,TODAY())&gt;WORKDAY(N($I134),4,calendar!$A$2:$A$80),N($AL134)&lt;config!$B$30),"info: under "&amp;config!$B$30&amp;" responses; ","")&amp;IF($W134="packing_list","info: delivered count not verified; ",""))</f>
        <v/>
      </c>
      <c r="AQ134" s="25">
        <f>IF(OR($A134="",$I134=""),"",IF($BC134="Y",SUMIFS(survey_frozen!$E$2:$E$251,survey_frozen!$P$2:$P$251,$A134&amp;"|"&amp;$B134),IFERROR(COUNTIFS(INDIRECT("'"&amp;$A134&amp;"'!$B$2:$B$501"),$T134,INDIRECT("'"&amp;$A134&amp;"'!$A$2:$A$501"),"&gt;="&amp;$I134,INDIRECT("'"&amp;$A134&amp;"'!$A$2:$A$501"),"&lt;"&amp;($BA134+1),INDIRECT("'"&amp;$A134&amp;"'!$F$2:$F$501"),"Didn't see it"),0)))</f>
        <v/>
      </c>
      <c r="AR134" s="25">
        <f>IF(OR($A134="",$I134=""),"",IF($BC134="Y",SUMIFS(survey_frozen!$F$2:$F$251,survey_frozen!$P$2:$P$251,$A134&amp;"|"&amp;$B134),IFERROR(COUNTIFS(INDIRECT("'"&amp;$A134&amp;"'!$B$2:$B$501"),$T134,INDIRECT("'"&amp;$A134&amp;"'!$A$2:$A$501"),"&gt;="&amp;$I134,INDIRECT("'"&amp;$A134&amp;"'!$A$2:$A$501"),"&lt;"&amp;($BA134+1),INDIRECT("'"&amp;$A134&amp;"'!$F$2:$F$501"),"Not for me"),0)))</f>
        <v/>
      </c>
      <c r="AS134" s="25">
        <f>IF(OR($A134="",$I134=""),"",IF($BC134="Y",SUMIFS(survey_frozen!$G$2:$G$251,survey_frozen!$P$2:$P$251,$A134&amp;"|"&amp;$B134),IFERROR(COUNTIFS(INDIRECT("'"&amp;$A134&amp;"'!$B$2:$B$501"),$T134,INDIRECT("'"&amp;$A134&amp;"'!$A$2:$A$501"),"&gt;="&amp;$I134,INDIRECT("'"&amp;$A134&amp;"'!$A$2:$A$501"),"&lt;"&amp;($BA134+1),INDIRECT("'"&amp;$A134&amp;"'!$F$2:$F$501"),"Gone by the time I looked"),0)))</f>
        <v/>
      </c>
      <c r="AT134" s="25">
        <f>IF(OR($A134="",$I134=""),"",IF($BC134="Y",SUMIFS(survey_frozen!$H$2:$H$251,survey_frozen!$P$2:$P$251,$A134&amp;"|"&amp;$B134),IFERROR(COUNTIFS(INDIRECT("'"&amp;$A134&amp;"'!$B$2:$B$501"),$T134,INDIRECT("'"&amp;$A134&amp;"'!$A$2:$A$501"),"&gt;="&amp;$I134,INDIRECT("'"&amp;$A134&amp;"'!$A$2:$A$501"),"&lt;"&amp;($BA134+1),INDIRECT("'"&amp;$A134&amp;"'!$D$2:$D$501"),"&gt;=1"),0)))</f>
        <v/>
      </c>
      <c r="AU134" s="25">
        <f>IF(OR($A134="",$I134=""),"",IF($BC134="Y",SUMIFS(survey_frozen!$I$2:$I$251,survey_frozen!$P$2:$P$251,$A134&amp;"|"&amp;$B134),IFERROR(SUMIFS(INDIRECT("'"&amp;$A134&amp;"'!$D$2:$D$501"),INDIRECT("'"&amp;$A134&amp;"'!$B$2:$B$501"),$T134,INDIRECT("'"&amp;$A134&amp;"'!$A$2:$A$501"),"&gt;="&amp;$I134,INDIRECT("'"&amp;$A134&amp;"'!$A$2:$A$501"),"&lt;"&amp;($BA134+1)),0)))</f>
        <v/>
      </c>
      <c r="AV134" s="25">
        <f>IF(OR($A134="",$I134=""),"",IF($BC134="Y",SUMIFS(survey_frozen!$J$2:$J$251,survey_frozen!$P$2:$P$251,$A134&amp;"|"&amp;$B134),IFERROR(COUNTIFS(INDIRECT("'"&amp;$A134&amp;"'!$B$2:$B$501"),$T134,INDIRECT("'"&amp;$A134&amp;"'!$A$2:$A$501"),"&gt;="&amp;$I134,INDIRECT("'"&amp;$A134&amp;"'!$A$2:$A$501"),"&lt;"&amp;($BA134+1),INDIRECT("'"&amp;$A134&amp;"'!$E$2:$E$501"),"Yes"),0)))</f>
        <v/>
      </c>
      <c r="AW134" s="25">
        <f>IF(OR($A134="",$I134=""),"",IF($BC134="Y",SUMIFS(survey_frozen!$K$2:$K$251,survey_frozen!$P$2:$P$251,$A134&amp;"|"&amp;$B134),IFERROR(COUNTIFS(INDIRECT("'"&amp;$A134&amp;"'!$B$2:$B$501"),$T134,INDIRECT("'"&amp;$A134&amp;"'!$A$2:$A$501"),"&gt;="&amp;$I134,INDIRECT("'"&amp;$A134&amp;"'!$A$2:$A$501"),"&lt;"&amp;($BA134+1),INDIRECT("'"&amp;$A134&amp;"'!$E$2:$E$501"),"Maybe"),0)))</f>
        <v/>
      </c>
      <c r="AX134" s="25">
        <f>IF(OR($A134="",$I134=""),"",IF($BC134="Y",SUMIFS(survey_frozen!$L$2:$L$251,survey_frozen!$P$2:$P$251,$A134&amp;"|"&amp;$B134),IFERROR(COUNTIFS(INDIRECT("'"&amp;$A134&amp;"'!$B$2:$B$501"),$T134,INDIRECT("'"&amp;$A134&amp;"'!$A$2:$A$501"),"&gt;="&amp;$I134,INDIRECT("'"&amp;$A134&amp;"'!$A$2:$A$501"),"&lt;"&amp;($BA134+1),INDIRECT("'"&amp;$A134&amp;"'!$E$2:$E$501"),"No"),0)))</f>
        <v/>
      </c>
      <c r="AY134" s="25">
        <f>IF(OR($A134="",$I134=""),"",IF($BC134="Y",SUMIFS(survey_frozen!$M$2:$M$251,survey_frozen!$P$2:$P$251,$A134&amp;"|"&amp;$B134),IFERROR(COUNTIFS(INDIRECT("'"&amp;$A134&amp;"'!$B$2:$B$501"),$T134,INDIRECT("'"&amp;$A134&amp;"'!$A$2:$A$501"),"&gt;="&amp;$I134,INDIRECT("'"&amp;$A134&amp;"'!$A$2:$A$501"),"&lt;"&amp;($BA134+1),INDIRECT("'"&amp;$A134&amp;"'!$G$2:$G$501"),"&lt;&gt;"),0)))</f>
        <v/>
      </c>
      <c r="AZ134" s="25">
        <f>IF($A134="","",$A134&amp;"|"&amp;$L134)</f>
        <v/>
      </c>
      <c r="BA134" s="26">
        <f>IF($A134="","",IFERROR(IF(INDEX(drops!$R$2:$R$21,MATCH($H134,drops!$A$2:$A$21,0))="","",INDEX(drops!$R$2:$R$21,MATCH($H134,drops!$A$2:$A$21,0))),""))</f>
        <v/>
      </c>
      <c r="BB134" s="25">
        <f>IF(OR($A134="",$Q134&lt;&gt;"Y"),1000000,N($AL134))</f>
        <v/>
      </c>
      <c r="BC134" s="25">
        <f>IF($A134="","",IF(COUNTIF(survey_frozen!$P$2:$P$251,$A134&amp;"|"&amp;$B134)&gt;0,"Y",""))</f>
        <v/>
      </c>
    </row>
    <row r="135">
      <c r="C135" s="9" t="n"/>
      <c r="E135" s="9" t="n"/>
      <c r="H135" s="25">
        <f>IF($A135="","",IFERROR(IF(INDEX(campaigns!$B$2:$B$51,MATCH($A135,campaigns!$A$2:$A$51,0))="","",INDEX(campaigns!$B$2:$B$51,MATCH($A135,campaigns!$A$2:$A$51,0))),""))</f>
        <v/>
      </c>
      <c r="I135" s="26">
        <f>IF($A135="","",IFERROR(IF(INDEX(campaigns!$BG$2:$BG$51,MATCH($A135,campaigns!$A$2:$A$51,0))="","",INDEX(campaigns!$BG$2:$BG$51,MATCH($A135,campaigns!$A$2:$A$51,0))),""))</f>
        <v/>
      </c>
      <c r="J135" s="25">
        <f>IF($A135="","",IFERROR(IF(INDEX(campaigns!$BE$2:$BE$51,MATCH($A135,campaigns!$A$2:$A$51,0))="","",INDEX(campaigns!$BE$2:$BE$51,MATCH($A135,campaigns!$A$2:$A$51,0))),""))</f>
        <v/>
      </c>
      <c r="K135" s="25">
        <f>IF($B135="","",IFERROR(IF(INDEX(offices!$N$2:$N$61,MATCH($B135,offices!$A$2:$A$61,0))="","",INDEX(offices!$N$2:$N$61,MATCH($B135,offices!$A$2:$A$61,0))),""))</f>
        <v/>
      </c>
      <c r="L135" s="25">
        <f>IF($A135="","",IF($Q135="N","",COUNTIFS($A$2:$A135,$A135,$Q$2:$Q135,"&lt;&gt;N")))</f>
        <v/>
      </c>
      <c r="M135" s="25">
        <f>IF(OR($A135="",$L135=""),"",IF(AND(config!$B$34="names_if_public",IFERROR(IF(INDEX(offices!$AF$2:$AF$61,MATCH($B135,offices!$A$2:$A$61,0))="","",INDEX(offices!$AF$2:$AF$61,MATCH($B135,offices!$A$2:$A$61,0))),"")="Y"),$K135,CHAR(64+$L135)))</f>
        <v/>
      </c>
      <c r="N135" s="25">
        <f>IF(OR($A135="",$I135=""),"",COUNTIFS(stops!$B$2:$B$151,$B135,stops!$P$2:$P$151,"&lt;"&amp;$I135,stops!$L$2:$L$151,"&lt;&gt;not_delivered")+1)</f>
        <v/>
      </c>
      <c r="O135" s="25">
        <f>IF($A135="","",IF(N($N135)&lt;=config!$B$29,"explicit","opt-out"))</f>
        <v/>
      </c>
      <c r="P135" s="25">
        <f>IF($A135="","",IF($O135="explicit",IF($D135="yes","Y",IF($D135="no","N","pending")),IF($D135="no","N",IF(AND($C135&lt;&gt;"",$I135&lt;&gt;"",$C135&lt;=WORKDAY(N($I135),-5,calendar!$A$2:$A$80)),"Y","pending"))))</f>
        <v/>
      </c>
      <c r="Q135" s="25">
        <f>IF($A135="","",IF($P135="N","N",IF($P135&lt;&gt;"Y","pending",IF(AND((COUNTIFS(stops!$A$2:$A$151,$H135,stops!$B$2:$B$151,$B135,stops!$L$2:$L$151,"declined")+COUNTIFS(stops!$A$2:$A$151,$H135,stops!$B$2:$B$151,$B135,stops!$L$2:$L$151,"building_refused")+COUNTIFS(stops!$A$2:$A$151,$H135,stops!$B$2:$B$151,$B135,stops!$L$2:$L$151,"not_delivered"))&gt;0,N($U135)=0),"N","Y"))))</f>
        <v/>
      </c>
      <c r="R135" s="25">
        <f>IF($A135="","",IF(COUNTIFS($A$2:$A$251,$A135,$B$2:$B$251,$B135)&gt;1,"DUPLICATE ROW; ","")&amp;IF(AND(IFERROR(IF(INDEX(offices!$AC$2:$AC$61,MATCH($B135,offices!$A$2:$A$61,0))="","",INDEX(offices!$AC$2:$AC$61,MATCH($B135,offices!$A$2:$A$61,0))),"")&lt;&gt;"",ISNUMBER(SEARCH($J135,IFERROR(IF(INDEX(offices!$AC$2:$AC$61,MATCH($B135,offices!$A$2:$A$61,0))="","",INDEX(offices!$AC$2:$AC$61,MATCH($B135,offices!$A$2:$A$61,0))),"")))),"BRAND VETOED; ","")&amp;IF(ISNUMBER(SEARCH(IFERROR(IF(INDEX(campaigns!$BF$2:$BF$51,MATCH($A135,campaigns!$A$2:$A$51,0))="","",INDEX(campaigns!$BF$2:$BF$51,MATCH($A135,campaigns!$A$2:$A$51,0))),""),IFERROR(IF(INDEX(offices!$AB$2:$AB$61,MATCH($B135,offices!$A$2:$A$61,0))="","",INDEX(offices!$AB$2:$AB$61,MATCH($B135,offices!$A$2:$A$61,0))),""))),"","info: category not on the office's list; ")&amp;IF(IFERROR(IF(INDEX(offices!$AC$2:$AC$61,MATCH($B135,offices!$A$2:$A$61,0))="","",INDEX(offices!$AC$2:$AC$61,MATCH($B135,offices!$A$2:$A$61,0))),"")&lt;&gt;"","info: read the vetoes against the label; ",""))</f>
        <v/>
      </c>
      <c r="S135" s="25">
        <f>IF($A135="","",IF($G135&lt;&gt;"",$G135,IFERROR(IF(INDEX(offices!$AL$2:$AL$61,MATCH($B135,offices!$A$2:$A$61,0))="","",INDEX(offices!$AL$2:$AL$61,MATCH($B135,offices!$A$2:$A$61,0))),"")))</f>
        <v/>
      </c>
      <c r="T135" s="25">
        <f>IF($A135="","",$A135&amp;"."&amp;$B135)</f>
        <v/>
      </c>
      <c r="U135" s="25">
        <f>IF($A135="","",SUMIFS(inventory!$G$2:$G$801,inventory!$C$2:$C$801,$A135,inventory!$D$2:$D$801,$B135,inventory!$E$2:$E$801,"delivered"))</f>
        <v/>
      </c>
      <c r="V135" s="32">
        <f>IF($A135="","",IFERROR(1/(1/SUMPRODUCT(MAX((inventory!$C$2:$C$801=$A135)*(inventory!$D$2:$D$801=$B135)*(inventory!$E$2:$E$801="delivered")*(inventory!$A$2:$A$801+inventory!$B$2:$B$801)))),""))</f>
        <v/>
      </c>
      <c r="W135" s="25">
        <f>IF($A135="","",IFERROR(IF(INDEX(inventory!$J$2:$J$801,MATCH($A135&amp;"|"&amp;$B135&amp;"|delivered",inventory!$R$2:$R$801,0))="","",INDEX(inventory!$J$2:$J$801,MATCH($A135&amp;"|"&amp;$B135&amp;"|delivered",inventory!$R$2:$R$801,0))),""))</f>
        <v/>
      </c>
      <c r="X135" s="25">
        <f>IF($A135="","",IFERROR(IF(INDEX(photos!$H$2:$H$701,MATCH($A135&amp;"|"&amp;$B135&amp;"|placement|Y",photos!$R$2:$R$701,0))="","",INDEX(photos!$H$2:$H$701,MATCH($A135&amp;"|"&amp;$B135&amp;"|placement|Y",photos!$R$2:$R$701,0))),""))</f>
        <v/>
      </c>
      <c r="Y135" s="26">
        <f>IF($A135="","",IFERROR(IF(INDEX(photos!$E$2:$E$701,MATCH($A135&amp;"|"&amp;$B135&amp;"|placement|Y",photos!$R$2:$R$701,0))="","",INDEX(photos!$E$2:$E$701,MATCH($A135&amp;"|"&amp;$B135&amp;"|placement|Y",photos!$R$2:$R$701,0))),""))</f>
        <v/>
      </c>
      <c r="Z135" s="25">
        <f>IF($A135="","",IF(COUNTIFS(counts!$C$2:$C$701,$A135,counts!$D$2:$D$701,$B135,counts!$E$2:$E$701,"placed")=0,"",SUMIFS(counts!$F$2:$F$701,counts!$C$2:$C$701,$A135,counts!$D$2:$D$701,$B135,counts!$E$2:$E$701,"placed")))</f>
        <v/>
      </c>
      <c r="AA135" s="25">
        <f>IF($A135="","",IF($Y135="",0,N($Z135)))</f>
        <v/>
      </c>
      <c r="AB135" s="25">
        <f>IF($A135="","",IF(OR($Y135="",$I135=""),"N",IF($Y135&lt;=WORKDAY(N($I135),1,calendar!$A$2:$A$80),"Y","N")))</f>
        <v/>
      </c>
      <c r="AC135" s="28">
        <f>IF(OR($A135="",$V135="",$Y135=""),"",ROUND(($Y135+N(IFERROR(IF(INDEX(photos!$F$2:$F$701,MATCH($A135&amp;"|"&amp;$B135&amp;"|placement|Y",photos!$R$2:$R$701,0))="","",INDEX(photos!$F$2:$F$701,MATCH($A135&amp;"|"&amp;$B135&amp;"|placement|Y",photos!$R$2:$R$701,0))),""))-$V135)*24,1))</f>
        <v/>
      </c>
      <c r="AD135" s="25">
        <f>IF($A135="","",SUMIFS(inventory!$G$2:$G$801,inventory!$C$2:$C$801,$A135,inventory!$D$2:$D$801,$B135,inventory!$E$2:$E$801,"topped_up"))</f>
        <v/>
      </c>
      <c r="AE135" s="25">
        <f>IF($A135="","",IF(COUNTIFS(counts!$C$2:$C$701,$A135,counts!$D$2:$D$701,$B135,counts!$E$2:$E$701,"remaining_day3")=0,"",SUMIFS(counts!$F$2:$F$701,counts!$C$2:$C$701,$A135,counts!$D$2:$D$701,$B135,counts!$E$2:$E$701,"remaining_day3")))</f>
        <v/>
      </c>
      <c r="AF135" s="25">
        <f>IF($A135="","",IF(COUNTIFS(counts!$C$2:$C$701,$A135,counts!$D$2:$D$701,$B135,counts!$E$2:$E$701,"remaining_day5")=0,"",SUMIFS(counts!$F$2:$F$701,counts!$C$2:$C$701,$A135,counts!$D$2:$D$701,$B135,counts!$E$2:$E$701,"remaining_day5")))</f>
        <v/>
      </c>
      <c r="AG135" s="25">
        <f>IF(OR($A135="",$AF135=""),"",MAX(0,$AA135+$AD135-$AF135))</f>
        <v/>
      </c>
      <c r="AH135" s="25">
        <f>IF(OR($A135="",$AI135=""),"",IFERROR(IF(INDEX(photos!$H$2:$H$701,MATCH($A135&amp;"|"&amp;$B135&amp;"|later|Y|"&amp;$AI135,photos!$S$2:$S$701,0))="","",INDEX(photos!$H$2:$H$701,MATCH($A135&amp;"|"&amp;$B135&amp;"|later|Y|"&amp;$AI135,photos!$S$2:$S$701,0))),""))</f>
        <v/>
      </c>
      <c r="AI135" s="26">
        <f>IF($A135="","",IFERROR(1/(1/SUMPRODUCT(MAX((photos!$B$2:$B$701=$A135)*(photos!$C$2:$C$701=$B135)*(photos!$D$2:$D$701="later")*(photos!$O$2:$O$701="Y")*photos!$E$2:$E$701))),""))</f>
        <v/>
      </c>
      <c r="AJ135" s="25">
        <f>IF(OR($A135="",$AI135="",$I135=""),"",NETWORKDAYS($I135,$AI135,calendar!$A$2:$A$80))</f>
        <v/>
      </c>
      <c r="AK135" s="25">
        <f>IF($A135="","",IF(AND($X135&lt;&gt;"",$AH135&lt;&gt;""),"Y","N"))</f>
        <v/>
      </c>
      <c r="AL135" s="25">
        <f>IF(OR($A135="",$I135=""),"",IF($BC135="Y",SUMIFS(survey_frozen!$C$2:$C$251,survey_frozen!$P$2:$P$251,$A135&amp;"|"&amp;$B135),IFERROR(COUNTIFS(INDIRECT("'"&amp;$A135&amp;"'!$B$2:$B$501"),$T135,INDIRECT("'"&amp;$A135&amp;"'!$A$2:$A$501"),"&gt;="&amp;$I135,INDIRECT("'"&amp;$A135&amp;"'!$A$2:$A$501"),"&lt;"&amp;($BA135+1)),0)))</f>
        <v/>
      </c>
      <c r="AM135" s="25">
        <f>IF(OR($A135="",$I135=""),"",IF($BC135="Y",SUMIFS(survey_frozen!$D$2:$D$251,survey_frozen!$P$2:$P$251,$A135&amp;"|"&amp;$B135),IFERROR(COUNTIFS(INDIRECT("'"&amp;$A135&amp;"'!$B$2:$B$501"),$T135,INDIRECT("'"&amp;$A135&amp;"'!$A$2:$A$501"),"&gt;="&amp;$I135,INDIRECT("'"&amp;$A135&amp;"'!$A$2:$A$501"),"&lt;"&amp;($BA135+1),INDIRECT("'"&amp;$A135&amp;"'!$C$2:$C$501"),"Yes"),0)))</f>
        <v/>
      </c>
      <c r="AN135" s="25">
        <f>IF($A135="","",IF(COUNTIFS(scans!$C$2:$C$1601,(IF(LEFT($A135,7)="SAMPLE-","SAMPLE-","")&amp;LOWER(SUBSTITUTE(SUBSTITUTE($A135,"SAMPLE-",""),"CMP-","c"))&amp;"-"&amp;LOWER(SUBSTITUTE(SUBSTITUTE($B135,"SAMPLE-",""),"O-","o"))&amp;"-q"),scans!$D$2:$D$1601,"close")=0,"",SUMPRODUCT(MAX((scans!$C$2:$C$1601=(IF(LEFT($A135,7)="SAMPLE-","SAMPLE-","")&amp;LOWER(SUBSTITUTE(SUBSTITUTE($A135,"SAMPLE-",""),"CMP-","c"))&amp;"-"&amp;LOWER(SUBSTITUTE(SUBSTITUTE($B135,"SAMPLE-",""),"O-","o"))&amp;"-q"))*(scans!$D$2:$D$1601="close")*scans!$E$2:$E$1601))-SUMPRODUCT(MAX((scans!$C$2:$C$1601=(IF(LEFT($A135,7)="SAMPLE-","SAMPLE-","")&amp;LOWER(SUBSTITUTE(SUBSTITUTE($A135,"SAMPLE-",""),"CMP-","c"))&amp;"-"&amp;LOWER(SUBSTITUTE(SUBSTITUTE($B135,"SAMPLE-",""),"O-","o"))&amp;"-q"))*(scans!$D$2:$D$1601="baseline")*scans!$E$2:$E$1601))))</f>
        <v/>
      </c>
      <c r="AO135" s="25">
        <f>IF($A135="","",IF(COUNTIFS(scans!$C$2:$C$1601,(IF(LEFT($A135,7)="SAMPLE-","SAMPLE-","")&amp;LOWER(SUBSTITUTE(SUBSTITUTE($A135,"SAMPLE-",""),"CMP-","c"))&amp;"-"&amp;LOWER(SUBSTITUTE(SUBSTITUTE($B135,"SAMPLE-",""),"O-","o"))&amp;"-p"),scans!$D$2:$D$1601,"close")=0,"",SUMPRODUCT(MAX((scans!$C$2:$C$1601=(IF(LEFT($A135,7)="SAMPLE-","SAMPLE-","")&amp;LOWER(SUBSTITUTE(SUBSTITUTE($A135,"SAMPLE-",""),"CMP-","c"))&amp;"-"&amp;LOWER(SUBSTITUTE(SUBSTITUTE($B135,"SAMPLE-",""),"O-","o"))&amp;"-p"))*(scans!$D$2:$D$1601="close")*scans!$E$2:$E$1601))-SUMPRODUCT(MAX((scans!$C$2:$C$1601=(IF(LEFT($A135,7)="SAMPLE-","SAMPLE-","")&amp;LOWER(SUBSTITUTE(SUBSTITUTE($A135,"SAMPLE-",""),"CMP-","c"))&amp;"-"&amp;LOWER(SUBSTITUTE(SUBSTITUTE($B135,"SAMPLE-",""),"O-","o"))&amp;"-p"))*(scans!$D$2:$D$1601="baseline")*scans!$E$2:$E$1601))))</f>
        <v/>
      </c>
      <c r="AP135" s="25">
        <f>IF($A135="","",IF(COUNTIF(offices!$A$2:$A$61,$B135)=0,"office_id not on offices; ","")&amp;IF(COUNTIF(campaigns!$A$2:$A$51,$A135)=0,"campaign_id not on campaigns; ","")&amp;IF($P135="pending","approval pending; ","")&amp;IF(AND($U135&gt;0,$Y135="",OR($I135="",IF(config!$B$37&lt;&gt;"",config!$B$37,TODAY())&lt;=WORKDAY(N($I135),4,calendar!$A$2:$A$80))),"no usable placement photo yet; ","")&amp;IF(AND($Y135&lt;&gt;"",$Z135=""),"log the placed count; ","")&amp;IF(N($AA135)&gt;N($U135),"placed more than delivered; ","")&amp;IF(AND($AF135&lt;&gt;"",N($AF135)&gt;N($AA135)+N($AD135)),"day-5 count above placed plus top-ups; ","")&amp;IF(AND($U135&gt;0,$I135&lt;&gt;"",IF(config!$B$37&lt;&gt;"",config!$B$37,TODAY())&gt;WORKDAY(N($I135),4,calendar!$A$2:$A$80),$AF135=""),"day-5 count missing; ","")&amp;IF(AND($U135&gt;0,$I135&lt;&gt;"",IF(config!$B$37&lt;&gt;"",config!$B$37,TODAY())&gt;WORKDAY(N($I135),4,calendar!$A$2:$A$80),$AN135=""),"no close link reading; ","")&amp;$R135&amp;IF($P135="N","info: office said no; ","")&amp;IF(AND($P135="Y",$Q135="N"),"info: turned away at the door, so not on the drop (no letter, not in the report or Gate 2; the credit check is on campaigns); ","")&amp;IF(AND($U135&gt;0,$Y135="",$I135&lt;&gt;"",IF(config!$B$37&lt;&gt;"",config!$B$37,TODAY())&gt;WORKDAY(N($I135),4,calendar!$A$2:$A$80)),"info: no usable placement photo, so nothing counts as placed; ","")&amp;IF(AND($U135&gt;0,$I135&lt;&gt;"",IF(config!$B$37&lt;&gt;"",config!$B$37,TODAY())&gt;WORKDAY(N($I135),4,calendar!$A$2:$A$80),N($AL135)&lt;config!$B$30),"info: under "&amp;config!$B$30&amp;" responses; ","")&amp;IF($W135="packing_list","info: delivered count not verified; ",""))</f>
        <v/>
      </c>
      <c r="AQ135" s="25">
        <f>IF(OR($A135="",$I135=""),"",IF($BC135="Y",SUMIFS(survey_frozen!$E$2:$E$251,survey_frozen!$P$2:$P$251,$A135&amp;"|"&amp;$B135),IFERROR(COUNTIFS(INDIRECT("'"&amp;$A135&amp;"'!$B$2:$B$501"),$T135,INDIRECT("'"&amp;$A135&amp;"'!$A$2:$A$501"),"&gt;="&amp;$I135,INDIRECT("'"&amp;$A135&amp;"'!$A$2:$A$501"),"&lt;"&amp;($BA135+1),INDIRECT("'"&amp;$A135&amp;"'!$F$2:$F$501"),"Didn't see it"),0)))</f>
        <v/>
      </c>
      <c r="AR135" s="25">
        <f>IF(OR($A135="",$I135=""),"",IF($BC135="Y",SUMIFS(survey_frozen!$F$2:$F$251,survey_frozen!$P$2:$P$251,$A135&amp;"|"&amp;$B135),IFERROR(COUNTIFS(INDIRECT("'"&amp;$A135&amp;"'!$B$2:$B$501"),$T135,INDIRECT("'"&amp;$A135&amp;"'!$A$2:$A$501"),"&gt;="&amp;$I135,INDIRECT("'"&amp;$A135&amp;"'!$A$2:$A$501"),"&lt;"&amp;($BA135+1),INDIRECT("'"&amp;$A135&amp;"'!$F$2:$F$501"),"Not for me"),0)))</f>
        <v/>
      </c>
      <c r="AS135" s="25">
        <f>IF(OR($A135="",$I135=""),"",IF($BC135="Y",SUMIFS(survey_frozen!$G$2:$G$251,survey_frozen!$P$2:$P$251,$A135&amp;"|"&amp;$B135),IFERROR(COUNTIFS(INDIRECT("'"&amp;$A135&amp;"'!$B$2:$B$501"),$T135,INDIRECT("'"&amp;$A135&amp;"'!$A$2:$A$501"),"&gt;="&amp;$I135,INDIRECT("'"&amp;$A135&amp;"'!$A$2:$A$501"),"&lt;"&amp;($BA135+1),INDIRECT("'"&amp;$A135&amp;"'!$F$2:$F$501"),"Gone by the time I looked"),0)))</f>
        <v/>
      </c>
      <c r="AT135" s="25">
        <f>IF(OR($A135="",$I135=""),"",IF($BC135="Y",SUMIFS(survey_frozen!$H$2:$H$251,survey_frozen!$P$2:$P$251,$A135&amp;"|"&amp;$B135),IFERROR(COUNTIFS(INDIRECT("'"&amp;$A135&amp;"'!$B$2:$B$501"),$T135,INDIRECT("'"&amp;$A135&amp;"'!$A$2:$A$501"),"&gt;="&amp;$I135,INDIRECT("'"&amp;$A135&amp;"'!$A$2:$A$501"),"&lt;"&amp;($BA135+1),INDIRECT("'"&amp;$A135&amp;"'!$D$2:$D$501"),"&gt;=1"),0)))</f>
        <v/>
      </c>
      <c r="AU135" s="25">
        <f>IF(OR($A135="",$I135=""),"",IF($BC135="Y",SUMIFS(survey_frozen!$I$2:$I$251,survey_frozen!$P$2:$P$251,$A135&amp;"|"&amp;$B135),IFERROR(SUMIFS(INDIRECT("'"&amp;$A135&amp;"'!$D$2:$D$501"),INDIRECT("'"&amp;$A135&amp;"'!$B$2:$B$501"),$T135,INDIRECT("'"&amp;$A135&amp;"'!$A$2:$A$501"),"&gt;="&amp;$I135,INDIRECT("'"&amp;$A135&amp;"'!$A$2:$A$501"),"&lt;"&amp;($BA135+1)),0)))</f>
        <v/>
      </c>
      <c r="AV135" s="25">
        <f>IF(OR($A135="",$I135=""),"",IF($BC135="Y",SUMIFS(survey_frozen!$J$2:$J$251,survey_frozen!$P$2:$P$251,$A135&amp;"|"&amp;$B135),IFERROR(COUNTIFS(INDIRECT("'"&amp;$A135&amp;"'!$B$2:$B$501"),$T135,INDIRECT("'"&amp;$A135&amp;"'!$A$2:$A$501"),"&gt;="&amp;$I135,INDIRECT("'"&amp;$A135&amp;"'!$A$2:$A$501"),"&lt;"&amp;($BA135+1),INDIRECT("'"&amp;$A135&amp;"'!$E$2:$E$501"),"Yes"),0)))</f>
        <v/>
      </c>
      <c r="AW135" s="25">
        <f>IF(OR($A135="",$I135=""),"",IF($BC135="Y",SUMIFS(survey_frozen!$K$2:$K$251,survey_frozen!$P$2:$P$251,$A135&amp;"|"&amp;$B135),IFERROR(COUNTIFS(INDIRECT("'"&amp;$A135&amp;"'!$B$2:$B$501"),$T135,INDIRECT("'"&amp;$A135&amp;"'!$A$2:$A$501"),"&gt;="&amp;$I135,INDIRECT("'"&amp;$A135&amp;"'!$A$2:$A$501"),"&lt;"&amp;($BA135+1),INDIRECT("'"&amp;$A135&amp;"'!$E$2:$E$501"),"Maybe"),0)))</f>
        <v/>
      </c>
      <c r="AX135" s="25">
        <f>IF(OR($A135="",$I135=""),"",IF($BC135="Y",SUMIFS(survey_frozen!$L$2:$L$251,survey_frozen!$P$2:$P$251,$A135&amp;"|"&amp;$B135),IFERROR(COUNTIFS(INDIRECT("'"&amp;$A135&amp;"'!$B$2:$B$501"),$T135,INDIRECT("'"&amp;$A135&amp;"'!$A$2:$A$501"),"&gt;="&amp;$I135,INDIRECT("'"&amp;$A135&amp;"'!$A$2:$A$501"),"&lt;"&amp;($BA135+1),INDIRECT("'"&amp;$A135&amp;"'!$E$2:$E$501"),"No"),0)))</f>
        <v/>
      </c>
      <c r="AY135" s="25">
        <f>IF(OR($A135="",$I135=""),"",IF($BC135="Y",SUMIFS(survey_frozen!$M$2:$M$251,survey_frozen!$P$2:$P$251,$A135&amp;"|"&amp;$B135),IFERROR(COUNTIFS(INDIRECT("'"&amp;$A135&amp;"'!$B$2:$B$501"),$T135,INDIRECT("'"&amp;$A135&amp;"'!$A$2:$A$501"),"&gt;="&amp;$I135,INDIRECT("'"&amp;$A135&amp;"'!$A$2:$A$501"),"&lt;"&amp;($BA135+1),INDIRECT("'"&amp;$A135&amp;"'!$G$2:$G$501"),"&lt;&gt;"),0)))</f>
        <v/>
      </c>
      <c r="AZ135" s="25">
        <f>IF($A135="","",$A135&amp;"|"&amp;$L135)</f>
        <v/>
      </c>
      <c r="BA135" s="26">
        <f>IF($A135="","",IFERROR(IF(INDEX(drops!$R$2:$R$21,MATCH($H135,drops!$A$2:$A$21,0))="","",INDEX(drops!$R$2:$R$21,MATCH($H135,drops!$A$2:$A$21,0))),""))</f>
        <v/>
      </c>
      <c r="BB135" s="25">
        <f>IF(OR($A135="",$Q135&lt;&gt;"Y"),1000000,N($AL135))</f>
        <v/>
      </c>
      <c r="BC135" s="25">
        <f>IF($A135="","",IF(COUNTIF(survey_frozen!$P$2:$P$251,$A135&amp;"|"&amp;$B135)&gt;0,"Y",""))</f>
        <v/>
      </c>
    </row>
    <row r="136">
      <c r="C136" s="9" t="n"/>
      <c r="E136" s="9" t="n"/>
      <c r="H136" s="25">
        <f>IF($A136="","",IFERROR(IF(INDEX(campaigns!$B$2:$B$51,MATCH($A136,campaigns!$A$2:$A$51,0))="","",INDEX(campaigns!$B$2:$B$51,MATCH($A136,campaigns!$A$2:$A$51,0))),""))</f>
        <v/>
      </c>
      <c r="I136" s="26">
        <f>IF($A136="","",IFERROR(IF(INDEX(campaigns!$BG$2:$BG$51,MATCH($A136,campaigns!$A$2:$A$51,0))="","",INDEX(campaigns!$BG$2:$BG$51,MATCH($A136,campaigns!$A$2:$A$51,0))),""))</f>
        <v/>
      </c>
      <c r="J136" s="25">
        <f>IF($A136="","",IFERROR(IF(INDEX(campaigns!$BE$2:$BE$51,MATCH($A136,campaigns!$A$2:$A$51,0))="","",INDEX(campaigns!$BE$2:$BE$51,MATCH($A136,campaigns!$A$2:$A$51,0))),""))</f>
        <v/>
      </c>
      <c r="K136" s="25">
        <f>IF($B136="","",IFERROR(IF(INDEX(offices!$N$2:$N$61,MATCH($B136,offices!$A$2:$A$61,0))="","",INDEX(offices!$N$2:$N$61,MATCH($B136,offices!$A$2:$A$61,0))),""))</f>
        <v/>
      </c>
      <c r="L136" s="25">
        <f>IF($A136="","",IF($Q136="N","",COUNTIFS($A$2:$A136,$A136,$Q$2:$Q136,"&lt;&gt;N")))</f>
        <v/>
      </c>
      <c r="M136" s="25">
        <f>IF(OR($A136="",$L136=""),"",IF(AND(config!$B$34="names_if_public",IFERROR(IF(INDEX(offices!$AF$2:$AF$61,MATCH($B136,offices!$A$2:$A$61,0))="","",INDEX(offices!$AF$2:$AF$61,MATCH($B136,offices!$A$2:$A$61,0))),"")="Y"),$K136,CHAR(64+$L136)))</f>
        <v/>
      </c>
      <c r="N136" s="25">
        <f>IF(OR($A136="",$I136=""),"",COUNTIFS(stops!$B$2:$B$151,$B136,stops!$P$2:$P$151,"&lt;"&amp;$I136,stops!$L$2:$L$151,"&lt;&gt;not_delivered")+1)</f>
        <v/>
      </c>
      <c r="O136" s="25">
        <f>IF($A136="","",IF(N($N136)&lt;=config!$B$29,"explicit","opt-out"))</f>
        <v/>
      </c>
      <c r="P136" s="25">
        <f>IF($A136="","",IF($O136="explicit",IF($D136="yes","Y",IF($D136="no","N","pending")),IF($D136="no","N",IF(AND($C136&lt;&gt;"",$I136&lt;&gt;"",$C136&lt;=WORKDAY(N($I136),-5,calendar!$A$2:$A$80)),"Y","pending"))))</f>
        <v/>
      </c>
      <c r="Q136" s="25">
        <f>IF($A136="","",IF($P136="N","N",IF($P136&lt;&gt;"Y","pending",IF(AND((COUNTIFS(stops!$A$2:$A$151,$H136,stops!$B$2:$B$151,$B136,stops!$L$2:$L$151,"declined")+COUNTIFS(stops!$A$2:$A$151,$H136,stops!$B$2:$B$151,$B136,stops!$L$2:$L$151,"building_refused")+COUNTIFS(stops!$A$2:$A$151,$H136,stops!$B$2:$B$151,$B136,stops!$L$2:$L$151,"not_delivered"))&gt;0,N($U136)=0),"N","Y"))))</f>
        <v/>
      </c>
      <c r="R136" s="25">
        <f>IF($A136="","",IF(COUNTIFS($A$2:$A$251,$A136,$B$2:$B$251,$B136)&gt;1,"DUPLICATE ROW; ","")&amp;IF(AND(IFERROR(IF(INDEX(offices!$AC$2:$AC$61,MATCH($B136,offices!$A$2:$A$61,0))="","",INDEX(offices!$AC$2:$AC$61,MATCH($B136,offices!$A$2:$A$61,0))),"")&lt;&gt;"",ISNUMBER(SEARCH($J136,IFERROR(IF(INDEX(offices!$AC$2:$AC$61,MATCH($B136,offices!$A$2:$A$61,0))="","",INDEX(offices!$AC$2:$AC$61,MATCH($B136,offices!$A$2:$A$61,0))),"")))),"BRAND VETOED; ","")&amp;IF(ISNUMBER(SEARCH(IFERROR(IF(INDEX(campaigns!$BF$2:$BF$51,MATCH($A136,campaigns!$A$2:$A$51,0))="","",INDEX(campaigns!$BF$2:$BF$51,MATCH($A136,campaigns!$A$2:$A$51,0))),""),IFERROR(IF(INDEX(offices!$AB$2:$AB$61,MATCH($B136,offices!$A$2:$A$61,0))="","",INDEX(offices!$AB$2:$AB$61,MATCH($B136,offices!$A$2:$A$61,0))),""))),"","info: category not on the office's list; ")&amp;IF(IFERROR(IF(INDEX(offices!$AC$2:$AC$61,MATCH($B136,offices!$A$2:$A$61,0))="","",INDEX(offices!$AC$2:$AC$61,MATCH($B136,offices!$A$2:$A$61,0))),"")&lt;&gt;"","info: read the vetoes against the label; ",""))</f>
        <v/>
      </c>
      <c r="S136" s="25">
        <f>IF($A136="","",IF($G136&lt;&gt;"",$G136,IFERROR(IF(INDEX(offices!$AL$2:$AL$61,MATCH($B136,offices!$A$2:$A$61,0))="","",INDEX(offices!$AL$2:$AL$61,MATCH($B136,offices!$A$2:$A$61,0))),"")))</f>
        <v/>
      </c>
      <c r="T136" s="25">
        <f>IF($A136="","",$A136&amp;"."&amp;$B136)</f>
        <v/>
      </c>
      <c r="U136" s="25">
        <f>IF($A136="","",SUMIFS(inventory!$G$2:$G$801,inventory!$C$2:$C$801,$A136,inventory!$D$2:$D$801,$B136,inventory!$E$2:$E$801,"delivered"))</f>
        <v/>
      </c>
      <c r="V136" s="32">
        <f>IF($A136="","",IFERROR(1/(1/SUMPRODUCT(MAX((inventory!$C$2:$C$801=$A136)*(inventory!$D$2:$D$801=$B136)*(inventory!$E$2:$E$801="delivered")*(inventory!$A$2:$A$801+inventory!$B$2:$B$801)))),""))</f>
        <v/>
      </c>
      <c r="W136" s="25">
        <f>IF($A136="","",IFERROR(IF(INDEX(inventory!$J$2:$J$801,MATCH($A136&amp;"|"&amp;$B136&amp;"|delivered",inventory!$R$2:$R$801,0))="","",INDEX(inventory!$J$2:$J$801,MATCH($A136&amp;"|"&amp;$B136&amp;"|delivered",inventory!$R$2:$R$801,0))),""))</f>
        <v/>
      </c>
      <c r="X136" s="25">
        <f>IF($A136="","",IFERROR(IF(INDEX(photos!$H$2:$H$701,MATCH($A136&amp;"|"&amp;$B136&amp;"|placement|Y",photos!$R$2:$R$701,0))="","",INDEX(photos!$H$2:$H$701,MATCH($A136&amp;"|"&amp;$B136&amp;"|placement|Y",photos!$R$2:$R$701,0))),""))</f>
        <v/>
      </c>
      <c r="Y136" s="26">
        <f>IF($A136="","",IFERROR(IF(INDEX(photos!$E$2:$E$701,MATCH($A136&amp;"|"&amp;$B136&amp;"|placement|Y",photos!$R$2:$R$701,0))="","",INDEX(photos!$E$2:$E$701,MATCH($A136&amp;"|"&amp;$B136&amp;"|placement|Y",photos!$R$2:$R$701,0))),""))</f>
        <v/>
      </c>
      <c r="Z136" s="25">
        <f>IF($A136="","",IF(COUNTIFS(counts!$C$2:$C$701,$A136,counts!$D$2:$D$701,$B136,counts!$E$2:$E$701,"placed")=0,"",SUMIFS(counts!$F$2:$F$701,counts!$C$2:$C$701,$A136,counts!$D$2:$D$701,$B136,counts!$E$2:$E$701,"placed")))</f>
        <v/>
      </c>
      <c r="AA136" s="25">
        <f>IF($A136="","",IF($Y136="",0,N($Z136)))</f>
        <v/>
      </c>
      <c r="AB136" s="25">
        <f>IF($A136="","",IF(OR($Y136="",$I136=""),"N",IF($Y136&lt;=WORKDAY(N($I136),1,calendar!$A$2:$A$80),"Y","N")))</f>
        <v/>
      </c>
      <c r="AC136" s="28">
        <f>IF(OR($A136="",$V136="",$Y136=""),"",ROUND(($Y136+N(IFERROR(IF(INDEX(photos!$F$2:$F$701,MATCH($A136&amp;"|"&amp;$B136&amp;"|placement|Y",photos!$R$2:$R$701,0))="","",INDEX(photos!$F$2:$F$701,MATCH($A136&amp;"|"&amp;$B136&amp;"|placement|Y",photos!$R$2:$R$701,0))),""))-$V136)*24,1))</f>
        <v/>
      </c>
      <c r="AD136" s="25">
        <f>IF($A136="","",SUMIFS(inventory!$G$2:$G$801,inventory!$C$2:$C$801,$A136,inventory!$D$2:$D$801,$B136,inventory!$E$2:$E$801,"topped_up"))</f>
        <v/>
      </c>
      <c r="AE136" s="25">
        <f>IF($A136="","",IF(COUNTIFS(counts!$C$2:$C$701,$A136,counts!$D$2:$D$701,$B136,counts!$E$2:$E$701,"remaining_day3")=0,"",SUMIFS(counts!$F$2:$F$701,counts!$C$2:$C$701,$A136,counts!$D$2:$D$701,$B136,counts!$E$2:$E$701,"remaining_day3")))</f>
        <v/>
      </c>
      <c r="AF136" s="25">
        <f>IF($A136="","",IF(COUNTIFS(counts!$C$2:$C$701,$A136,counts!$D$2:$D$701,$B136,counts!$E$2:$E$701,"remaining_day5")=0,"",SUMIFS(counts!$F$2:$F$701,counts!$C$2:$C$701,$A136,counts!$D$2:$D$701,$B136,counts!$E$2:$E$701,"remaining_day5")))</f>
        <v/>
      </c>
      <c r="AG136" s="25">
        <f>IF(OR($A136="",$AF136=""),"",MAX(0,$AA136+$AD136-$AF136))</f>
        <v/>
      </c>
      <c r="AH136" s="25">
        <f>IF(OR($A136="",$AI136=""),"",IFERROR(IF(INDEX(photos!$H$2:$H$701,MATCH($A136&amp;"|"&amp;$B136&amp;"|later|Y|"&amp;$AI136,photos!$S$2:$S$701,0))="","",INDEX(photos!$H$2:$H$701,MATCH($A136&amp;"|"&amp;$B136&amp;"|later|Y|"&amp;$AI136,photos!$S$2:$S$701,0))),""))</f>
        <v/>
      </c>
      <c r="AI136" s="26">
        <f>IF($A136="","",IFERROR(1/(1/SUMPRODUCT(MAX((photos!$B$2:$B$701=$A136)*(photos!$C$2:$C$701=$B136)*(photos!$D$2:$D$701="later")*(photos!$O$2:$O$701="Y")*photos!$E$2:$E$701))),""))</f>
        <v/>
      </c>
      <c r="AJ136" s="25">
        <f>IF(OR($A136="",$AI136="",$I136=""),"",NETWORKDAYS($I136,$AI136,calendar!$A$2:$A$80))</f>
        <v/>
      </c>
      <c r="AK136" s="25">
        <f>IF($A136="","",IF(AND($X136&lt;&gt;"",$AH136&lt;&gt;""),"Y","N"))</f>
        <v/>
      </c>
      <c r="AL136" s="25">
        <f>IF(OR($A136="",$I136=""),"",IF($BC136="Y",SUMIFS(survey_frozen!$C$2:$C$251,survey_frozen!$P$2:$P$251,$A136&amp;"|"&amp;$B136),IFERROR(COUNTIFS(INDIRECT("'"&amp;$A136&amp;"'!$B$2:$B$501"),$T136,INDIRECT("'"&amp;$A136&amp;"'!$A$2:$A$501"),"&gt;="&amp;$I136,INDIRECT("'"&amp;$A136&amp;"'!$A$2:$A$501"),"&lt;"&amp;($BA136+1)),0)))</f>
        <v/>
      </c>
      <c r="AM136" s="25">
        <f>IF(OR($A136="",$I136=""),"",IF($BC136="Y",SUMIFS(survey_frozen!$D$2:$D$251,survey_frozen!$P$2:$P$251,$A136&amp;"|"&amp;$B136),IFERROR(COUNTIFS(INDIRECT("'"&amp;$A136&amp;"'!$B$2:$B$501"),$T136,INDIRECT("'"&amp;$A136&amp;"'!$A$2:$A$501"),"&gt;="&amp;$I136,INDIRECT("'"&amp;$A136&amp;"'!$A$2:$A$501"),"&lt;"&amp;($BA136+1),INDIRECT("'"&amp;$A136&amp;"'!$C$2:$C$501"),"Yes"),0)))</f>
        <v/>
      </c>
      <c r="AN136" s="25">
        <f>IF($A136="","",IF(COUNTIFS(scans!$C$2:$C$1601,(IF(LEFT($A136,7)="SAMPLE-","SAMPLE-","")&amp;LOWER(SUBSTITUTE(SUBSTITUTE($A136,"SAMPLE-",""),"CMP-","c"))&amp;"-"&amp;LOWER(SUBSTITUTE(SUBSTITUTE($B136,"SAMPLE-",""),"O-","o"))&amp;"-q"),scans!$D$2:$D$1601,"close")=0,"",SUMPRODUCT(MAX((scans!$C$2:$C$1601=(IF(LEFT($A136,7)="SAMPLE-","SAMPLE-","")&amp;LOWER(SUBSTITUTE(SUBSTITUTE($A136,"SAMPLE-",""),"CMP-","c"))&amp;"-"&amp;LOWER(SUBSTITUTE(SUBSTITUTE($B136,"SAMPLE-",""),"O-","o"))&amp;"-q"))*(scans!$D$2:$D$1601="close")*scans!$E$2:$E$1601))-SUMPRODUCT(MAX((scans!$C$2:$C$1601=(IF(LEFT($A136,7)="SAMPLE-","SAMPLE-","")&amp;LOWER(SUBSTITUTE(SUBSTITUTE($A136,"SAMPLE-",""),"CMP-","c"))&amp;"-"&amp;LOWER(SUBSTITUTE(SUBSTITUTE($B136,"SAMPLE-",""),"O-","o"))&amp;"-q"))*(scans!$D$2:$D$1601="baseline")*scans!$E$2:$E$1601))))</f>
        <v/>
      </c>
      <c r="AO136" s="25">
        <f>IF($A136="","",IF(COUNTIFS(scans!$C$2:$C$1601,(IF(LEFT($A136,7)="SAMPLE-","SAMPLE-","")&amp;LOWER(SUBSTITUTE(SUBSTITUTE($A136,"SAMPLE-",""),"CMP-","c"))&amp;"-"&amp;LOWER(SUBSTITUTE(SUBSTITUTE($B136,"SAMPLE-",""),"O-","o"))&amp;"-p"),scans!$D$2:$D$1601,"close")=0,"",SUMPRODUCT(MAX((scans!$C$2:$C$1601=(IF(LEFT($A136,7)="SAMPLE-","SAMPLE-","")&amp;LOWER(SUBSTITUTE(SUBSTITUTE($A136,"SAMPLE-",""),"CMP-","c"))&amp;"-"&amp;LOWER(SUBSTITUTE(SUBSTITUTE($B136,"SAMPLE-",""),"O-","o"))&amp;"-p"))*(scans!$D$2:$D$1601="close")*scans!$E$2:$E$1601))-SUMPRODUCT(MAX((scans!$C$2:$C$1601=(IF(LEFT($A136,7)="SAMPLE-","SAMPLE-","")&amp;LOWER(SUBSTITUTE(SUBSTITUTE($A136,"SAMPLE-",""),"CMP-","c"))&amp;"-"&amp;LOWER(SUBSTITUTE(SUBSTITUTE($B136,"SAMPLE-",""),"O-","o"))&amp;"-p"))*(scans!$D$2:$D$1601="baseline")*scans!$E$2:$E$1601))))</f>
        <v/>
      </c>
      <c r="AP136" s="25">
        <f>IF($A136="","",IF(COUNTIF(offices!$A$2:$A$61,$B136)=0,"office_id not on offices; ","")&amp;IF(COUNTIF(campaigns!$A$2:$A$51,$A136)=0,"campaign_id not on campaigns; ","")&amp;IF($P136="pending","approval pending; ","")&amp;IF(AND($U136&gt;0,$Y136="",OR($I136="",IF(config!$B$37&lt;&gt;"",config!$B$37,TODAY())&lt;=WORKDAY(N($I136),4,calendar!$A$2:$A$80))),"no usable placement photo yet; ","")&amp;IF(AND($Y136&lt;&gt;"",$Z136=""),"log the placed count; ","")&amp;IF(N($AA136)&gt;N($U136),"placed more than delivered; ","")&amp;IF(AND($AF136&lt;&gt;"",N($AF136)&gt;N($AA136)+N($AD136)),"day-5 count above placed plus top-ups; ","")&amp;IF(AND($U136&gt;0,$I136&lt;&gt;"",IF(config!$B$37&lt;&gt;"",config!$B$37,TODAY())&gt;WORKDAY(N($I136),4,calendar!$A$2:$A$80),$AF136=""),"day-5 count missing; ","")&amp;IF(AND($U136&gt;0,$I136&lt;&gt;"",IF(config!$B$37&lt;&gt;"",config!$B$37,TODAY())&gt;WORKDAY(N($I136),4,calendar!$A$2:$A$80),$AN136=""),"no close link reading; ","")&amp;$R136&amp;IF($P136="N","info: office said no; ","")&amp;IF(AND($P136="Y",$Q136="N"),"info: turned away at the door, so not on the drop (no letter, not in the report or Gate 2; the credit check is on campaigns); ","")&amp;IF(AND($U136&gt;0,$Y136="",$I136&lt;&gt;"",IF(config!$B$37&lt;&gt;"",config!$B$37,TODAY())&gt;WORKDAY(N($I136),4,calendar!$A$2:$A$80)),"info: no usable placement photo, so nothing counts as placed; ","")&amp;IF(AND($U136&gt;0,$I136&lt;&gt;"",IF(config!$B$37&lt;&gt;"",config!$B$37,TODAY())&gt;WORKDAY(N($I136),4,calendar!$A$2:$A$80),N($AL136)&lt;config!$B$30),"info: under "&amp;config!$B$30&amp;" responses; ","")&amp;IF($W136="packing_list","info: delivered count not verified; ",""))</f>
        <v/>
      </c>
      <c r="AQ136" s="25">
        <f>IF(OR($A136="",$I136=""),"",IF($BC136="Y",SUMIFS(survey_frozen!$E$2:$E$251,survey_frozen!$P$2:$P$251,$A136&amp;"|"&amp;$B136),IFERROR(COUNTIFS(INDIRECT("'"&amp;$A136&amp;"'!$B$2:$B$501"),$T136,INDIRECT("'"&amp;$A136&amp;"'!$A$2:$A$501"),"&gt;="&amp;$I136,INDIRECT("'"&amp;$A136&amp;"'!$A$2:$A$501"),"&lt;"&amp;($BA136+1),INDIRECT("'"&amp;$A136&amp;"'!$F$2:$F$501"),"Didn't see it"),0)))</f>
        <v/>
      </c>
      <c r="AR136" s="25">
        <f>IF(OR($A136="",$I136=""),"",IF($BC136="Y",SUMIFS(survey_frozen!$F$2:$F$251,survey_frozen!$P$2:$P$251,$A136&amp;"|"&amp;$B136),IFERROR(COUNTIFS(INDIRECT("'"&amp;$A136&amp;"'!$B$2:$B$501"),$T136,INDIRECT("'"&amp;$A136&amp;"'!$A$2:$A$501"),"&gt;="&amp;$I136,INDIRECT("'"&amp;$A136&amp;"'!$A$2:$A$501"),"&lt;"&amp;($BA136+1),INDIRECT("'"&amp;$A136&amp;"'!$F$2:$F$501"),"Not for me"),0)))</f>
        <v/>
      </c>
      <c r="AS136" s="25">
        <f>IF(OR($A136="",$I136=""),"",IF($BC136="Y",SUMIFS(survey_frozen!$G$2:$G$251,survey_frozen!$P$2:$P$251,$A136&amp;"|"&amp;$B136),IFERROR(COUNTIFS(INDIRECT("'"&amp;$A136&amp;"'!$B$2:$B$501"),$T136,INDIRECT("'"&amp;$A136&amp;"'!$A$2:$A$501"),"&gt;="&amp;$I136,INDIRECT("'"&amp;$A136&amp;"'!$A$2:$A$501"),"&lt;"&amp;($BA136+1),INDIRECT("'"&amp;$A136&amp;"'!$F$2:$F$501"),"Gone by the time I looked"),0)))</f>
        <v/>
      </c>
      <c r="AT136" s="25">
        <f>IF(OR($A136="",$I136=""),"",IF($BC136="Y",SUMIFS(survey_frozen!$H$2:$H$251,survey_frozen!$P$2:$P$251,$A136&amp;"|"&amp;$B136),IFERROR(COUNTIFS(INDIRECT("'"&amp;$A136&amp;"'!$B$2:$B$501"),$T136,INDIRECT("'"&amp;$A136&amp;"'!$A$2:$A$501"),"&gt;="&amp;$I136,INDIRECT("'"&amp;$A136&amp;"'!$A$2:$A$501"),"&lt;"&amp;($BA136+1),INDIRECT("'"&amp;$A136&amp;"'!$D$2:$D$501"),"&gt;=1"),0)))</f>
        <v/>
      </c>
      <c r="AU136" s="25">
        <f>IF(OR($A136="",$I136=""),"",IF($BC136="Y",SUMIFS(survey_frozen!$I$2:$I$251,survey_frozen!$P$2:$P$251,$A136&amp;"|"&amp;$B136),IFERROR(SUMIFS(INDIRECT("'"&amp;$A136&amp;"'!$D$2:$D$501"),INDIRECT("'"&amp;$A136&amp;"'!$B$2:$B$501"),$T136,INDIRECT("'"&amp;$A136&amp;"'!$A$2:$A$501"),"&gt;="&amp;$I136,INDIRECT("'"&amp;$A136&amp;"'!$A$2:$A$501"),"&lt;"&amp;($BA136+1)),0)))</f>
        <v/>
      </c>
      <c r="AV136" s="25">
        <f>IF(OR($A136="",$I136=""),"",IF($BC136="Y",SUMIFS(survey_frozen!$J$2:$J$251,survey_frozen!$P$2:$P$251,$A136&amp;"|"&amp;$B136),IFERROR(COUNTIFS(INDIRECT("'"&amp;$A136&amp;"'!$B$2:$B$501"),$T136,INDIRECT("'"&amp;$A136&amp;"'!$A$2:$A$501"),"&gt;="&amp;$I136,INDIRECT("'"&amp;$A136&amp;"'!$A$2:$A$501"),"&lt;"&amp;($BA136+1),INDIRECT("'"&amp;$A136&amp;"'!$E$2:$E$501"),"Yes"),0)))</f>
        <v/>
      </c>
      <c r="AW136" s="25">
        <f>IF(OR($A136="",$I136=""),"",IF($BC136="Y",SUMIFS(survey_frozen!$K$2:$K$251,survey_frozen!$P$2:$P$251,$A136&amp;"|"&amp;$B136),IFERROR(COUNTIFS(INDIRECT("'"&amp;$A136&amp;"'!$B$2:$B$501"),$T136,INDIRECT("'"&amp;$A136&amp;"'!$A$2:$A$501"),"&gt;="&amp;$I136,INDIRECT("'"&amp;$A136&amp;"'!$A$2:$A$501"),"&lt;"&amp;($BA136+1),INDIRECT("'"&amp;$A136&amp;"'!$E$2:$E$501"),"Maybe"),0)))</f>
        <v/>
      </c>
      <c r="AX136" s="25">
        <f>IF(OR($A136="",$I136=""),"",IF($BC136="Y",SUMIFS(survey_frozen!$L$2:$L$251,survey_frozen!$P$2:$P$251,$A136&amp;"|"&amp;$B136),IFERROR(COUNTIFS(INDIRECT("'"&amp;$A136&amp;"'!$B$2:$B$501"),$T136,INDIRECT("'"&amp;$A136&amp;"'!$A$2:$A$501"),"&gt;="&amp;$I136,INDIRECT("'"&amp;$A136&amp;"'!$A$2:$A$501"),"&lt;"&amp;($BA136+1),INDIRECT("'"&amp;$A136&amp;"'!$E$2:$E$501"),"No"),0)))</f>
        <v/>
      </c>
      <c r="AY136" s="25">
        <f>IF(OR($A136="",$I136=""),"",IF($BC136="Y",SUMIFS(survey_frozen!$M$2:$M$251,survey_frozen!$P$2:$P$251,$A136&amp;"|"&amp;$B136),IFERROR(COUNTIFS(INDIRECT("'"&amp;$A136&amp;"'!$B$2:$B$501"),$T136,INDIRECT("'"&amp;$A136&amp;"'!$A$2:$A$501"),"&gt;="&amp;$I136,INDIRECT("'"&amp;$A136&amp;"'!$A$2:$A$501"),"&lt;"&amp;($BA136+1),INDIRECT("'"&amp;$A136&amp;"'!$G$2:$G$501"),"&lt;&gt;"),0)))</f>
        <v/>
      </c>
      <c r="AZ136" s="25">
        <f>IF($A136="","",$A136&amp;"|"&amp;$L136)</f>
        <v/>
      </c>
      <c r="BA136" s="26">
        <f>IF($A136="","",IFERROR(IF(INDEX(drops!$R$2:$R$21,MATCH($H136,drops!$A$2:$A$21,0))="","",INDEX(drops!$R$2:$R$21,MATCH($H136,drops!$A$2:$A$21,0))),""))</f>
        <v/>
      </c>
      <c r="BB136" s="25">
        <f>IF(OR($A136="",$Q136&lt;&gt;"Y"),1000000,N($AL136))</f>
        <v/>
      </c>
      <c r="BC136" s="25">
        <f>IF($A136="","",IF(COUNTIF(survey_frozen!$P$2:$P$251,$A136&amp;"|"&amp;$B136)&gt;0,"Y",""))</f>
        <v/>
      </c>
    </row>
    <row r="137">
      <c r="C137" s="9" t="n"/>
      <c r="E137" s="9" t="n"/>
      <c r="H137" s="25">
        <f>IF($A137="","",IFERROR(IF(INDEX(campaigns!$B$2:$B$51,MATCH($A137,campaigns!$A$2:$A$51,0))="","",INDEX(campaigns!$B$2:$B$51,MATCH($A137,campaigns!$A$2:$A$51,0))),""))</f>
        <v/>
      </c>
      <c r="I137" s="26">
        <f>IF($A137="","",IFERROR(IF(INDEX(campaigns!$BG$2:$BG$51,MATCH($A137,campaigns!$A$2:$A$51,0))="","",INDEX(campaigns!$BG$2:$BG$51,MATCH($A137,campaigns!$A$2:$A$51,0))),""))</f>
        <v/>
      </c>
      <c r="J137" s="25">
        <f>IF($A137="","",IFERROR(IF(INDEX(campaigns!$BE$2:$BE$51,MATCH($A137,campaigns!$A$2:$A$51,0))="","",INDEX(campaigns!$BE$2:$BE$51,MATCH($A137,campaigns!$A$2:$A$51,0))),""))</f>
        <v/>
      </c>
      <c r="K137" s="25">
        <f>IF($B137="","",IFERROR(IF(INDEX(offices!$N$2:$N$61,MATCH($B137,offices!$A$2:$A$61,0))="","",INDEX(offices!$N$2:$N$61,MATCH($B137,offices!$A$2:$A$61,0))),""))</f>
        <v/>
      </c>
      <c r="L137" s="25">
        <f>IF($A137="","",IF($Q137="N","",COUNTIFS($A$2:$A137,$A137,$Q$2:$Q137,"&lt;&gt;N")))</f>
        <v/>
      </c>
      <c r="M137" s="25">
        <f>IF(OR($A137="",$L137=""),"",IF(AND(config!$B$34="names_if_public",IFERROR(IF(INDEX(offices!$AF$2:$AF$61,MATCH($B137,offices!$A$2:$A$61,0))="","",INDEX(offices!$AF$2:$AF$61,MATCH($B137,offices!$A$2:$A$61,0))),"")="Y"),$K137,CHAR(64+$L137)))</f>
        <v/>
      </c>
      <c r="N137" s="25">
        <f>IF(OR($A137="",$I137=""),"",COUNTIFS(stops!$B$2:$B$151,$B137,stops!$P$2:$P$151,"&lt;"&amp;$I137,stops!$L$2:$L$151,"&lt;&gt;not_delivered")+1)</f>
        <v/>
      </c>
      <c r="O137" s="25">
        <f>IF($A137="","",IF(N($N137)&lt;=config!$B$29,"explicit","opt-out"))</f>
        <v/>
      </c>
      <c r="P137" s="25">
        <f>IF($A137="","",IF($O137="explicit",IF($D137="yes","Y",IF($D137="no","N","pending")),IF($D137="no","N",IF(AND($C137&lt;&gt;"",$I137&lt;&gt;"",$C137&lt;=WORKDAY(N($I137),-5,calendar!$A$2:$A$80)),"Y","pending"))))</f>
        <v/>
      </c>
      <c r="Q137" s="25">
        <f>IF($A137="","",IF($P137="N","N",IF($P137&lt;&gt;"Y","pending",IF(AND((COUNTIFS(stops!$A$2:$A$151,$H137,stops!$B$2:$B$151,$B137,stops!$L$2:$L$151,"declined")+COUNTIFS(stops!$A$2:$A$151,$H137,stops!$B$2:$B$151,$B137,stops!$L$2:$L$151,"building_refused")+COUNTIFS(stops!$A$2:$A$151,$H137,stops!$B$2:$B$151,$B137,stops!$L$2:$L$151,"not_delivered"))&gt;0,N($U137)=0),"N","Y"))))</f>
        <v/>
      </c>
      <c r="R137" s="25">
        <f>IF($A137="","",IF(COUNTIFS($A$2:$A$251,$A137,$B$2:$B$251,$B137)&gt;1,"DUPLICATE ROW; ","")&amp;IF(AND(IFERROR(IF(INDEX(offices!$AC$2:$AC$61,MATCH($B137,offices!$A$2:$A$61,0))="","",INDEX(offices!$AC$2:$AC$61,MATCH($B137,offices!$A$2:$A$61,0))),"")&lt;&gt;"",ISNUMBER(SEARCH($J137,IFERROR(IF(INDEX(offices!$AC$2:$AC$61,MATCH($B137,offices!$A$2:$A$61,0))="","",INDEX(offices!$AC$2:$AC$61,MATCH($B137,offices!$A$2:$A$61,0))),"")))),"BRAND VETOED; ","")&amp;IF(ISNUMBER(SEARCH(IFERROR(IF(INDEX(campaigns!$BF$2:$BF$51,MATCH($A137,campaigns!$A$2:$A$51,0))="","",INDEX(campaigns!$BF$2:$BF$51,MATCH($A137,campaigns!$A$2:$A$51,0))),""),IFERROR(IF(INDEX(offices!$AB$2:$AB$61,MATCH($B137,offices!$A$2:$A$61,0))="","",INDEX(offices!$AB$2:$AB$61,MATCH($B137,offices!$A$2:$A$61,0))),""))),"","info: category not on the office's list; ")&amp;IF(IFERROR(IF(INDEX(offices!$AC$2:$AC$61,MATCH($B137,offices!$A$2:$A$61,0))="","",INDEX(offices!$AC$2:$AC$61,MATCH($B137,offices!$A$2:$A$61,0))),"")&lt;&gt;"","info: read the vetoes against the label; ",""))</f>
        <v/>
      </c>
      <c r="S137" s="25">
        <f>IF($A137="","",IF($G137&lt;&gt;"",$G137,IFERROR(IF(INDEX(offices!$AL$2:$AL$61,MATCH($B137,offices!$A$2:$A$61,0))="","",INDEX(offices!$AL$2:$AL$61,MATCH($B137,offices!$A$2:$A$61,0))),"")))</f>
        <v/>
      </c>
      <c r="T137" s="25">
        <f>IF($A137="","",$A137&amp;"."&amp;$B137)</f>
        <v/>
      </c>
      <c r="U137" s="25">
        <f>IF($A137="","",SUMIFS(inventory!$G$2:$G$801,inventory!$C$2:$C$801,$A137,inventory!$D$2:$D$801,$B137,inventory!$E$2:$E$801,"delivered"))</f>
        <v/>
      </c>
      <c r="V137" s="32">
        <f>IF($A137="","",IFERROR(1/(1/SUMPRODUCT(MAX((inventory!$C$2:$C$801=$A137)*(inventory!$D$2:$D$801=$B137)*(inventory!$E$2:$E$801="delivered")*(inventory!$A$2:$A$801+inventory!$B$2:$B$801)))),""))</f>
        <v/>
      </c>
      <c r="W137" s="25">
        <f>IF($A137="","",IFERROR(IF(INDEX(inventory!$J$2:$J$801,MATCH($A137&amp;"|"&amp;$B137&amp;"|delivered",inventory!$R$2:$R$801,0))="","",INDEX(inventory!$J$2:$J$801,MATCH($A137&amp;"|"&amp;$B137&amp;"|delivered",inventory!$R$2:$R$801,0))),""))</f>
        <v/>
      </c>
      <c r="X137" s="25">
        <f>IF($A137="","",IFERROR(IF(INDEX(photos!$H$2:$H$701,MATCH($A137&amp;"|"&amp;$B137&amp;"|placement|Y",photos!$R$2:$R$701,0))="","",INDEX(photos!$H$2:$H$701,MATCH($A137&amp;"|"&amp;$B137&amp;"|placement|Y",photos!$R$2:$R$701,0))),""))</f>
        <v/>
      </c>
      <c r="Y137" s="26">
        <f>IF($A137="","",IFERROR(IF(INDEX(photos!$E$2:$E$701,MATCH($A137&amp;"|"&amp;$B137&amp;"|placement|Y",photos!$R$2:$R$701,0))="","",INDEX(photos!$E$2:$E$701,MATCH($A137&amp;"|"&amp;$B137&amp;"|placement|Y",photos!$R$2:$R$701,0))),""))</f>
        <v/>
      </c>
      <c r="Z137" s="25">
        <f>IF($A137="","",IF(COUNTIFS(counts!$C$2:$C$701,$A137,counts!$D$2:$D$701,$B137,counts!$E$2:$E$701,"placed")=0,"",SUMIFS(counts!$F$2:$F$701,counts!$C$2:$C$701,$A137,counts!$D$2:$D$701,$B137,counts!$E$2:$E$701,"placed")))</f>
        <v/>
      </c>
      <c r="AA137" s="25">
        <f>IF($A137="","",IF($Y137="",0,N($Z137)))</f>
        <v/>
      </c>
      <c r="AB137" s="25">
        <f>IF($A137="","",IF(OR($Y137="",$I137=""),"N",IF($Y137&lt;=WORKDAY(N($I137),1,calendar!$A$2:$A$80),"Y","N")))</f>
        <v/>
      </c>
      <c r="AC137" s="28">
        <f>IF(OR($A137="",$V137="",$Y137=""),"",ROUND(($Y137+N(IFERROR(IF(INDEX(photos!$F$2:$F$701,MATCH($A137&amp;"|"&amp;$B137&amp;"|placement|Y",photos!$R$2:$R$701,0))="","",INDEX(photos!$F$2:$F$701,MATCH($A137&amp;"|"&amp;$B137&amp;"|placement|Y",photos!$R$2:$R$701,0))),""))-$V137)*24,1))</f>
        <v/>
      </c>
      <c r="AD137" s="25">
        <f>IF($A137="","",SUMIFS(inventory!$G$2:$G$801,inventory!$C$2:$C$801,$A137,inventory!$D$2:$D$801,$B137,inventory!$E$2:$E$801,"topped_up"))</f>
        <v/>
      </c>
      <c r="AE137" s="25">
        <f>IF($A137="","",IF(COUNTIFS(counts!$C$2:$C$701,$A137,counts!$D$2:$D$701,$B137,counts!$E$2:$E$701,"remaining_day3")=0,"",SUMIFS(counts!$F$2:$F$701,counts!$C$2:$C$701,$A137,counts!$D$2:$D$701,$B137,counts!$E$2:$E$701,"remaining_day3")))</f>
        <v/>
      </c>
      <c r="AF137" s="25">
        <f>IF($A137="","",IF(COUNTIFS(counts!$C$2:$C$701,$A137,counts!$D$2:$D$701,$B137,counts!$E$2:$E$701,"remaining_day5")=0,"",SUMIFS(counts!$F$2:$F$701,counts!$C$2:$C$701,$A137,counts!$D$2:$D$701,$B137,counts!$E$2:$E$701,"remaining_day5")))</f>
        <v/>
      </c>
      <c r="AG137" s="25">
        <f>IF(OR($A137="",$AF137=""),"",MAX(0,$AA137+$AD137-$AF137))</f>
        <v/>
      </c>
      <c r="AH137" s="25">
        <f>IF(OR($A137="",$AI137=""),"",IFERROR(IF(INDEX(photos!$H$2:$H$701,MATCH($A137&amp;"|"&amp;$B137&amp;"|later|Y|"&amp;$AI137,photos!$S$2:$S$701,0))="","",INDEX(photos!$H$2:$H$701,MATCH($A137&amp;"|"&amp;$B137&amp;"|later|Y|"&amp;$AI137,photos!$S$2:$S$701,0))),""))</f>
        <v/>
      </c>
      <c r="AI137" s="26">
        <f>IF($A137="","",IFERROR(1/(1/SUMPRODUCT(MAX((photos!$B$2:$B$701=$A137)*(photos!$C$2:$C$701=$B137)*(photos!$D$2:$D$701="later")*(photos!$O$2:$O$701="Y")*photos!$E$2:$E$701))),""))</f>
        <v/>
      </c>
      <c r="AJ137" s="25">
        <f>IF(OR($A137="",$AI137="",$I137=""),"",NETWORKDAYS($I137,$AI137,calendar!$A$2:$A$80))</f>
        <v/>
      </c>
      <c r="AK137" s="25">
        <f>IF($A137="","",IF(AND($X137&lt;&gt;"",$AH137&lt;&gt;""),"Y","N"))</f>
        <v/>
      </c>
      <c r="AL137" s="25">
        <f>IF(OR($A137="",$I137=""),"",IF($BC137="Y",SUMIFS(survey_frozen!$C$2:$C$251,survey_frozen!$P$2:$P$251,$A137&amp;"|"&amp;$B137),IFERROR(COUNTIFS(INDIRECT("'"&amp;$A137&amp;"'!$B$2:$B$501"),$T137,INDIRECT("'"&amp;$A137&amp;"'!$A$2:$A$501"),"&gt;="&amp;$I137,INDIRECT("'"&amp;$A137&amp;"'!$A$2:$A$501"),"&lt;"&amp;($BA137+1)),0)))</f>
        <v/>
      </c>
      <c r="AM137" s="25">
        <f>IF(OR($A137="",$I137=""),"",IF($BC137="Y",SUMIFS(survey_frozen!$D$2:$D$251,survey_frozen!$P$2:$P$251,$A137&amp;"|"&amp;$B137),IFERROR(COUNTIFS(INDIRECT("'"&amp;$A137&amp;"'!$B$2:$B$501"),$T137,INDIRECT("'"&amp;$A137&amp;"'!$A$2:$A$501"),"&gt;="&amp;$I137,INDIRECT("'"&amp;$A137&amp;"'!$A$2:$A$501"),"&lt;"&amp;($BA137+1),INDIRECT("'"&amp;$A137&amp;"'!$C$2:$C$501"),"Yes"),0)))</f>
        <v/>
      </c>
      <c r="AN137" s="25">
        <f>IF($A137="","",IF(COUNTIFS(scans!$C$2:$C$1601,(IF(LEFT($A137,7)="SAMPLE-","SAMPLE-","")&amp;LOWER(SUBSTITUTE(SUBSTITUTE($A137,"SAMPLE-",""),"CMP-","c"))&amp;"-"&amp;LOWER(SUBSTITUTE(SUBSTITUTE($B137,"SAMPLE-",""),"O-","o"))&amp;"-q"),scans!$D$2:$D$1601,"close")=0,"",SUMPRODUCT(MAX((scans!$C$2:$C$1601=(IF(LEFT($A137,7)="SAMPLE-","SAMPLE-","")&amp;LOWER(SUBSTITUTE(SUBSTITUTE($A137,"SAMPLE-",""),"CMP-","c"))&amp;"-"&amp;LOWER(SUBSTITUTE(SUBSTITUTE($B137,"SAMPLE-",""),"O-","o"))&amp;"-q"))*(scans!$D$2:$D$1601="close")*scans!$E$2:$E$1601))-SUMPRODUCT(MAX((scans!$C$2:$C$1601=(IF(LEFT($A137,7)="SAMPLE-","SAMPLE-","")&amp;LOWER(SUBSTITUTE(SUBSTITUTE($A137,"SAMPLE-",""),"CMP-","c"))&amp;"-"&amp;LOWER(SUBSTITUTE(SUBSTITUTE($B137,"SAMPLE-",""),"O-","o"))&amp;"-q"))*(scans!$D$2:$D$1601="baseline")*scans!$E$2:$E$1601))))</f>
        <v/>
      </c>
      <c r="AO137" s="25">
        <f>IF($A137="","",IF(COUNTIFS(scans!$C$2:$C$1601,(IF(LEFT($A137,7)="SAMPLE-","SAMPLE-","")&amp;LOWER(SUBSTITUTE(SUBSTITUTE($A137,"SAMPLE-",""),"CMP-","c"))&amp;"-"&amp;LOWER(SUBSTITUTE(SUBSTITUTE($B137,"SAMPLE-",""),"O-","o"))&amp;"-p"),scans!$D$2:$D$1601,"close")=0,"",SUMPRODUCT(MAX((scans!$C$2:$C$1601=(IF(LEFT($A137,7)="SAMPLE-","SAMPLE-","")&amp;LOWER(SUBSTITUTE(SUBSTITUTE($A137,"SAMPLE-",""),"CMP-","c"))&amp;"-"&amp;LOWER(SUBSTITUTE(SUBSTITUTE($B137,"SAMPLE-",""),"O-","o"))&amp;"-p"))*(scans!$D$2:$D$1601="close")*scans!$E$2:$E$1601))-SUMPRODUCT(MAX((scans!$C$2:$C$1601=(IF(LEFT($A137,7)="SAMPLE-","SAMPLE-","")&amp;LOWER(SUBSTITUTE(SUBSTITUTE($A137,"SAMPLE-",""),"CMP-","c"))&amp;"-"&amp;LOWER(SUBSTITUTE(SUBSTITUTE($B137,"SAMPLE-",""),"O-","o"))&amp;"-p"))*(scans!$D$2:$D$1601="baseline")*scans!$E$2:$E$1601))))</f>
        <v/>
      </c>
      <c r="AP137" s="25">
        <f>IF($A137="","",IF(COUNTIF(offices!$A$2:$A$61,$B137)=0,"office_id not on offices; ","")&amp;IF(COUNTIF(campaigns!$A$2:$A$51,$A137)=0,"campaign_id not on campaigns; ","")&amp;IF($P137="pending","approval pending; ","")&amp;IF(AND($U137&gt;0,$Y137="",OR($I137="",IF(config!$B$37&lt;&gt;"",config!$B$37,TODAY())&lt;=WORKDAY(N($I137),4,calendar!$A$2:$A$80))),"no usable placement photo yet; ","")&amp;IF(AND($Y137&lt;&gt;"",$Z137=""),"log the placed count; ","")&amp;IF(N($AA137)&gt;N($U137),"placed more than delivered; ","")&amp;IF(AND($AF137&lt;&gt;"",N($AF137)&gt;N($AA137)+N($AD137)),"day-5 count above placed plus top-ups; ","")&amp;IF(AND($U137&gt;0,$I137&lt;&gt;"",IF(config!$B$37&lt;&gt;"",config!$B$37,TODAY())&gt;WORKDAY(N($I137),4,calendar!$A$2:$A$80),$AF137=""),"day-5 count missing; ","")&amp;IF(AND($U137&gt;0,$I137&lt;&gt;"",IF(config!$B$37&lt;&gt;"",config!$B$37,TODAY())&gt;WORKDAY(N($I137),4,calendar!$A$2:$A$80),$AN137=""),"no close link reading; ","")&amp;$R137&amp;IF($P137="N","info: office said no; ","")&amp;IF(AND($P137="Y",$Q137="N"),"info: turned away at the door, so not on the drop (no letter, not in the report or Gate 2; the credit check is on campaigns); ","")&amp;IF(AND($U137&gt;0,$Y137="",$I137&lt;&gt;"",IF(config!$B$37&lt;&gt;"",config!$B$37,TODAY())&gt;WORKDAY(N($I137),4,calendar!$A$2:$A$80)),"info: no usable placement photo, so nothing counts as placed; ","")&amp;IF(AND($U137&gt;0,$I137&lt;&gt;"",IF(config!$B$37&lt;&gt;"",config!$B$37,TODAY())&gt;WORKDAY(N($I137),4,calendar!$A$2:$A$80),N($AL137)&lt;config!$B$30),"info: under "&amp;config!$B$30&amp;" responses; ","")&amp;IF($W137="packing_list","info: delivered count not verified; ",""))</f>
        <v/>
      </c>
      <c r="AQ137" s="25">
        <f>IF(OR($A137="",$I137=""),"",IF($BC137="Y",SUMIFS(survey_frozen!$E$2:$E$251,survey_frozen!$P$2:$P$251,$A137&amp;"|"&amp;$B137),IFERROR(COUNTIFS(INDIRECT("'"&amp;$A137&amp;"'!$B$2:$B$501"),$T137,INDIRECT("'"&amp;$A137&amp;"'!$A$2:$A$501"),"&gt;="&amp;$I137,INDIRECT("'"&amp;$A137&amp;"'!$A$2:$A$501"),"&lt;"&amp;($BA137+1),INDIRECT("'"&amp;$A137&amp;"'!$F$2:$F$501"),"Didn't see it"),0)))</f>
        <v/>
      </c>
      <c r="AR137" s="25">
        <f>IF(OR($A137="",$I137=""),"",IF($BC137="Y",SUMIFS(survey_frozen!$F$2:$F$251,survey_frozen!$P$2:$P$251,$A137&amp;"|"&amp;$B137),IFERROR(COUNTIFS(INDIRECT("'"&amp;$A137&amp;"'!$B$2:$B$501"),$T137,INDIRECT("'"&amp;$A137&amp;"'!$A$2:$A$501"),"&gt;="&amp;$I137,INDIRECT("'"&amp;$A137&amp;"'!$A$2:$A$501"),"&lt;"&amp;($BA137+1),INDIRECT("'"&amp;$A137&amp;"'!$F$2:$F$501"),"Not for me"),0)))</f>
        <v/>
      </c>
      <c r="AS137" s="25">
        <f>IF(OR($A137="",$I137=""),"",IF($BC137="Y",SUMIFS(survey_frozen!$G$2:$G$251,survey_frozen!$P$2:$P$251,$A137&amp;"|"&amp;$B137),IFERROR(COUNTIFS(INDIRECT("'"&amp;$A137&amp;"'!$B$2:$B$501"),$T137,INDIRECT("'"&amp;$A137&amp;"'!$A$2:$A$501"),"&gt;="&amp;$I137,INDIRECT("'"&amp;$A137&amp;"'!$A$2:$A$501"),"&lt;"&amp;($BA137+1),INDIRECT("'"&amp;$A137&amp;"'!$F$2:$F$501"),"Gone by the time I looked"),0)))</f>
        <v/>
      </c>
      <c r="AT137" s="25">
        <f>IF(OR($A137="",$I137=""),"",IF($BC137="Y",SUMIFS(survey_frozen!$H$2:$H$251,survey_frozen!$P$2:$P$251,$A137&amp;"|"&amp;$B137),IFERROR(COUNTIFS(INDIRECT("'"&amp;$A137&amp;"'!$B$2:$B$501"),$T137,INDIRECT("'"&amp;$A137&amp;"'!$A$2:$A$501"),"&gt;="&amp;$I137,INDIRECT("'"&amp;$A137&amp;"'!$A$2:$A$501"),"&lt;"&amp;($BA137+1),INDIRECT("'"&amp;$A137&amp;"'!$D$2:$D$501"),"&gt;=1"),0)))</f>
        <v/>
      </c>
      <c r="AU137" s="25">
        <f>IF(OR($A137="",$I137=""),"",IF($BC137="Y",SUMIFS(survey_frozen!$I$2:$I$251,survey_frozen!$P$2:$P$251,$A137&amp;"|"&amp;$B137),IFERROR(SUMIFS(INDIRECT("'"&amp;$A137&amp;"'!$D$2:$D$501"),INDIRECT("'"&amp;$A137&amp;"'!$B$2:$B$501"),$T137,INDIRECT("'"&amp;$A137&amp;"'!$A$2:$A$501"),"&gt;="&amp;$I137,INDIRECT("'"&amp;$A137&amp;"'!$A$2:$A$501"),"&lt;"&amp;($BA137+1)),0)))</f>
        <v/>
      </c>
      <c r="AV137" s="25">
        <f>IF(OR($A137="",$I137=""),"",IF($BC137="Y",SUMIFS(survey_frozen!$J$2:$J$251,survey_frozen!$P$2:$P$251,$A137&amp;"|"&amp;$B137),IFERROR(COUNTIFS(INDIRECT("'"&amp;$A137&amp;"'!$B$2:$B$501"),$T137,INDIRECT("'"&amp;$A137&amp;"'!$A$2:$A$501"),"&gt;="&amp;$I137,INDIRECT("'"&amp;$A137&amp;"'!$A$2:$A$501"),"&lt;"&amp;($BA137+1),INDIRECT("'"&amp;$A137&amp;"'!$E$2:$E$501"),"Yes"),0)))</f>
        <v/>
      </c>
      <c r="AW137" s="25">
        <f>IF(OR($A137="",$I137=""),"",IF($BC137="Y",SUMIFS(survey_frozen!$K$2:$K$251,survey_frozen!$P$2:$P$251,$A137&amp;"|"&amp;$B137),IFERROR(COUNTIFS(INDIRECT("'"&amp;$A137&amp;"'!$B$2:$B$501"),$T137,INDIRECT("'"&amp;$A137&amp;"'!$A$2:$A$501"),"&gt;="&amp;$I137,INDIRECT("'"&amp;$A137&amp;"'!$A$2:$A$501"),"&lt;"&amp;($BA137+1),INDIRECT("'"&amp;$A137&amp;"'!$E$2:$E$501"),"Maybe"),0)))</f>
        <v/>
      </c>
      <c r="AX137" s="25">
        <f>IF(OR($A137="",$I137=""),"",IF($BC137="Y",SUMIFS(survey_frozen!$L$2:$L$251,survey_frozen!$P$2:$P$251,$A137&amp;"|"&amp;$B137),IFERROR(COUNTIFS(INDIRECT("'"&amp;$A137&amp;"'!$B$2:$B$501"),$T137,INDIRECT("'"&amp;$A137&amp;"'!$A$2:$A$501"),"&gt;="&amp;$I137,INDIRECT("'"&amp;$A137&amp;"'!$A$2:$A$501"),"&lt;"&amp;($BA137+1),INDIRECT("'"&amp;$A137&amp;"'!$E$2:$E$501"),"No"),0)))</f>
        <v/>
      </c>
      <c r="AY137" s="25">
        <f>IF(OR($A137="",$I137=""),"",IF($BC137="Y",SUMIFS(survey_frozen!$M$2:$M$251,survey_frozen!$P$2:$P$251,$A137&amp;"|"&amp;$B137),IFERROR(COUNTIFS(INDIRECT("'"&amp;$A137&amp;"'!$B$2:$B$501"),$T137,INDIRECT("'"&amp;$A137&amp;"'!$A$2:$A$501"),"&gt;="&amp;$I137,INDIRECT("'"&amp;$A137&amp;"'!$A$2:$A$501"),"&lt;"&amp;($BA137+1),INDIRECT("'"&amp;$A137&amp;"'!$G$2:$G$501"),"&lt;&gt;"),0)))</f>
        <v/>
      </c>
      <c r="AZ137" s="25">
        <f>IF($A137="","",$A137&amp;"|"&amp;$L137)</f>
        <v/>
      </c>
      <c r="BA137" s="26">
        <f>IF($A137="","",IFERROR(IF(INDEX(drops!$R$2:$R$21,MATCH($H137,drops!$A$2:$A$21,0))="","",INDEX(drops!$R$2:$R$21,MATCH($H137,drops!$A$2:$A$21,0))),""))</f>
        <v/>
      </c>
      <c r="BB137" s="25">
        <f>IF(OR($A137="",$Q137&lt;&gt;"Y"),1000000,N($AL137))</f>
        <v/>
      </c>
      <c r="BC137" s="25">
        <f>IF($A137="","",IF(COUNTIF(survey_frozen!$P$2:$P$251,$A137&amp;"|"&amp;$B137)&gt;0,"Y",""))</f>
        <v/>
      </c>
    </row>
    <row r="138">
      <c r="C138" s="9" t="n"/>
      <c r="E138" s="9" t="n"/>
      <c r="H138" s="25">
        <f>IF($A138="","",IFERROR(IF(INDEX(campaigns!$B$2:$B$51,MATCH($A138,campaigns!$A$2:$A$51,0))="","",INDEX(campaigns!$B$2:$B$51,MATCH($A138,campaigns!$A$2:$A$51,0))),""))</f>
        <v/>
      </c>
      <c r="I138" s="26">
        <f>IF($A138="","",IFERROR(IF(INDEX(campaigns!$BG$2:$BG$51,MATCH($A138,campaigns!$A$2:$A$51,0))="","",INDEX(campaigns!$BG$2:$BG$51,MATCH($A138,campaigns!$A$2:$A$51,0))),""))</f>
        <v/>
      </c>
      <c r="J138" s="25">
        <f>IF($A138="","",IFERROR(IF(INDEX(campaigns!$BE$2:$BE$51,MATCH($A138,campaigns!$A$2:$A$51,0))="","",INDEX(campaigns!$BE$2:$BE$51,MATCH($A138,campaigns!$A$2:$A$51,0))),""))</f>
        <v/>
      </c>
      <c r="K138" s="25">
        <f>IF($B138="","",IFERROR(IF(INDEX(offices!$N$2:$N$61,MATCH($B138,offices!$A$2:$A$61,0))="","",INDEX(offices!$N$2:$N$61,MATCH($B138,offices!$A$2:$A$61,0))),""))</f>
        <v/>
      </c>
      <c r="L138" s="25">
        <f>IF($A138="","",IF($Q138="N","",COUNTIFS($A$2:$A138,$A138,$Q$2:$Q138,"&lt;&gt;N")))</f>
        <v/>
      </c>
      <c r="M138" s="25">
        <f>IF(OR($A138="",$L138=""),"",IF(AND(config!$B$34="names_if_public",IFERROR(IF(INDEX(offices!$AF$2:$AF$61,MATCH($B138,offices!$A$2:$A$61,0))="","",INDEX(offices!$AF$2:$AF$61,MATCH($B138,offices!$A$2:$A$61,0))),"")="Y"),$K138,CHAR(64+$L138)))</f>
        <v/>
      </c>
      <c r="N138" s="25">
        <f>IF(OR($A138="",$I138=""),"",COUNTIFS(stops!$B$2:$B$151,$B138,stops!$P$2:$P$151,"&lt;"&amp;$I138,stops!$L$2:$L$151,"&lt;&gt;not_delivered")+1)</f>
        <v/>
      </c>
      <c r="O138" s="25">
        <f>IF($A138="","",IF(N($N138)&lt;=config!$B$29,"explicit","opt-out"))</f>
        <v/>
      </c>
      <c r="P138" s="25">
        <f>IF($A138="","",IF($O138="explicit",IF($D138="yes","Y",IF($D138="no","N","pending")),IF($D138="no","N",IF(AND($C138&lt;&gt;"",$I138&lt;&gt;"",$C138&lt;=WORKDAY(N($I138),-5,calendar!$A$2:$A$80)),"Y","pending"))))</f>
        <v/>
      </c>
      <c r="Q138" s="25">
        <f>IF($A138="","",IF($P138="N","N",IF($P138&lt;&gt;"Y","pending",IF(AND((COUNTIFS(stops!$A$2:$A$151,$H138,stops!$B$2:$B$151,$B138,stops!$L$2:$L$151,"declined")+COUNTIFS(stops!$A$2:$A$151,$H138,stops!$B$2:$B$151,$B138,stops!$L$2:$L$151,"building_refused")+COUNTIFS(stops!$A$2:$A$151,$H138,stops!$B$2:$B$151,$B138,stops!$L$2:$L$151,"not_delivered"))&gt;0,N($U138)=0),"N","Y"))))</f>
        <v/>
      </c>
      <c r="R138" s="25">
        <f>IF($A138="","",IF(COUNTIFS($A$2:$A$251,$A138,$B$2:$B$251,$B138)&gt;1,"DUPLICATE ROW; ","")&amp;IF(AND(IFERROR(IF(INDEX(offices!$AC$2:$AC$61,MATCH($B138,offices!$A$2:$A$61,0))="","",INDEX(offices!$AC$2:$AC$61,MATCH($B138,offices!$A$2:$A$61,0))),"")&lt;&gt;"",ISNUMBER(SEARCH($J138,IFERROR(IF(INDEX(offices!$AC$2:$AC$61,MATCH($B138,offices!$A$2:$A$61,0))="","",INDEX(offices!$AC$2:$AC$61,MATCH($B138,offices!$A$2:$A$61,0))),"")))),"BRAND VETOED; ","")&amp;IF(ISNUMBER(SEARCH(IFERROR(IF(INDEX(campaigns!$BF$2:$BF$51,MATCH($A138,campaigns!$A$2:$A$51,0))="","",INDEX(campaigns!$BF$2:$BF$51,MATCH($A138,campaigns!$A$2:$A$51,0))),""),IFERROR(IF(INDEX(offices!$AB$2:$AB$61,MATCH($B138,offices!$A$2:$A$61,0))="","",INDEX(offices!$AB$2:$AB$61,MATCH($B138,offices!$A$2:$A$61,0))),""))),"","info: category not on the office's list; ")&amp;IF(IFERROR(IF(INDEX(offices!$AC$2:$AC$61,MATCH($B138,offices!$A$2:$A$61,0))="","",INDEX(offices!$AC$2:$AC$61,MATCH($B138,offices!$A$2:$A$61,0))),"")&lt;&gt;"","info: read the vetoes against the label; ",""))</f>
        <v/>
      </c>
      <c r="S138" s="25">
        <f>IF($A138="","",IF($G138&lt;&gt;"",$G138,IFERROR(IF(INDEX(offices!$AL$2:$AL$61,MATCH($B138,offices!$A$2:$A$61,0))="","",INDEX(offices!$AL$2:$AL$61,MATCH($B138,offices!$A$2:$A$61,0))),"")))</f>
        <v/>
      </c>
      <c r="T138" s="25">
        <f>IF($A138="","",$A138&amp;"."&amp;$B138)</f>
        <v/>
      </c>
      <c r="U138" s="25">
        <f>IF($A138="","",SUMIFS(inventory!$G$2:$G$801,inventory!$C$2:$C$801,$A138,inventory!$D$2:$D$801,$B138,inventory!$E$2:$E$801,"delivered"))</f>
        <v/>
      </c>
      <c r="V138" s="32">
        <f>IF($A138="","",IFERROR(1/(1/SUMPRODUCT(MAX((inventory!$C$2:$C$801=$A138)*(inventory!$D$2:$D$801=$B138)*(inventory!$E$2:$E$801="delivered")*(inventory!$A$2:$A$801+inventory!$B$2:$B$801)))),""))</f>
        <v/>
      </c>
      <c r="W138" s="25">
        <f>IF($A138="","",IFERROR(IF(INDEX(inventory!$J$2:$J$801,MATCH($A138&amp;"|"&amp;$B138&amp;"|delivered",inventory!$R$2:$R$801,0))="","",INDEX(inventory!$J$2:$J$801,MATCH($A138&amp;"|"&amp;$B138&amp;"|delivered",inventory!$R$2:$R$801,0))),""))</f>
        <v/>
      </c>
      <c r="X138" s="25">
        <f>IF($A138="","",IFERROR(IF(INDEX(photos!$H$2:$H$701,MATCH($A138&amp;"|"&amp;$B138&amp;"|placement|Y",photos!$R$2:$R$701,0))="","",INDEX(photos!$H$2:$H$701,MATCH($A138&amp;"|"&amp;$B138&amp;"|placement|Y",photos!$R$2:$R$701,0))),""))</f>
        <v/>
      </c>
      <c r="Y138" s="26">
        <f>IF($A138="","",IFERROR(IF(INDEX(photos!$E$2:$E$701,MATCH($A138&amp;"|"&amp;$B138&amp;"|placement|Y",photos!$R$2:$R$701,0))="","",INDEX(photos!$E$2:$E$701,MATCH($A138&amp;"|"&amp;$B138&amp;"|placement|Y",photos!$R$2:$R$701,0))),""))</f>
        <v/>
      </c>
      <c r="Z138" s="25">
        <f>IF($A138="","",IF(COUNTIFS(counts!$C$2:$C$701,$A138,counts!$D$2:$D$701,$B138,counts!$E$2:$E$701,"placed")=0,"",SUMIFS(counts!$F$2:$F$701,counts!$C$2:$C$701,$A138,counts!$D$2:$D$701,$B138,counts!$E$2:$E$701,"placed")))</f>
        <v/>
      </c>
      <c r="AA138" s="25">
        <f>IF($A138="","",IF($Y138="",0,N($Z138)))</f>
        <v/>
      </c>
      <c r="AB138" s="25">
        <f>IF($A138="","",IF(OR($Y138="",$I138=""),"N",IF($Y138&lt;=WORKDAY(N($I138),1,calendar!$A$2:$A$80),"Y","N")))</f>
        <v/>
      </c>
      <c r="AC138" s="28">
        <f>IF(OR($A138="",$V138="",$Y138=""),"",ROUND(($Y138+N(IFERROR(IF(INDEX(photos!$F$2:$F$701,MATCH($A138&amp;"|"&amp;$B138&amp;"|placement|Y",photos!$R$2:$R$701,0))="","",INDEX(photos!$F$2:$F$701,MATCH($A138&amp;"|"&amp;$B138&amp;"|placement|Y",photos!$R$2:$R$701,0))),""))-$V138)*24,1))</f>
        <v/>
      </c>
      <c r="AD138" s="25">
        <f>IF($A138="","",SUMIFS(inventory!$G$2:$G$801,inventory!$C$2:$C$801,$A138,inventory!$D$2:$D$801,$B138,inventory!$E$2:$E$801,"topped_up"))</f>
        <v/>
      </c>
      <c r="AE138" s="25">
        <f>IF($A138="","",IF(COUNTIFS(counts!$C$2:$C$701,$A138,counts!$D$2:$D$701,$B138,counts!$E$2:$E$701,"remaining_day3")=0,"",SUMIFS(counts!$F$2:$F$701,counts!$C$2:$C$701,$A138,counts!$D$2:$D$701,$B138,counts!$E$2:$E$701,"remaining_day3")))</f>
        <v/>
      </c>
      <c r="AF138" s="25">
        <f>IF($A138="","",IF(COUNTIFS(counts!$C$2:$C$701,$A138,counts!$D$2:$D$701,$B138,counts!$E$2:$E$701,"remaining_day5")=0,"",SUMIFS(counts!$F$2:$F$701,counts!$C$2:$C$701,$A138,counts!$D$2:$D$701,$B138,counts!$E$2:$E$701,"remaining_day5")))</f>
        <v/>
      </c>
      <c r="AG138" s="25">
        <f>IF(OR($A138="",$AF138=""),"",MAX(0,$AA138+$AD138-$AF138))</f>
        <v/>
      </c>
      <c r="AH138" s="25">
        <f>IF(OR($A138="",$AI138=""),"",IFERROR(IF(INDEX(photos!$H$2:$H$701,MATCH($A138&amp;"|"&amp;$B138&amp;"|later|Y|"&amp;$AI138,photos!$S$2:$S$701,0))="","",INDEX(photos!$H$2:$H$701,MATCH($A138&amp;"|"&amp;$B138&amp;"|later|Y|"&amp;$AI138,photos!$S$2:$S$701,0))),""))</f>
        <v/>
      </c>
      <c r="AI138" s="26">
        <f>IF($A138="","",IFERROR(1/(1/SUMPRODUCT(MAX((photos!$B$2:$B$701=$A138)*(photos!$C$2:$C$701=$B138)*(photos!$D$2:$D$701="later")*(photos!$O$2:$O$701="Y")*photos!$E$2:$E$701))),""))</f>
        <v/>
      </c>
      <c r="AJ138" s="25">
        <f>IF(OR($A138="",$AI138="",$I138=""),"",NETWORKDAYS($I138,$AI138,calendar!$A$2:$A$80))</f>
        <v/>
      </c>
      <c r="AK138" s="25">
        <f>IF($A138="","",IF(AND($X138&lt;&gt;"",$AH138&lt;&gt;""),"Y","N"))</f>
        <v/>
      </c>
      <c r="AL138" s="25">
        <f>IF(OR($A138="",$I138=""),"",IF($BC138="Y",SUMIFS(survey_frozen!$C$2:$C$251,survey_frozen!$P$2:$P$251,$A138&amp;"|"&amp;$B138),IFERROR(COUNTIFS(INDIRECT("'"&amp;$A138&amp;"'!$B$2:$B$501"),$T138,INDIRECT("'"&amp;$A138&amp;"'!$A$2:$A$501"),"&gt;="&amp;$I138,INDIRECT("'"&amp;$A138&amp;"'!$A$2:$A$501"),"&lt;"&amp;($BA138+1)),0)))</f>
        <v/>
      </c>
      <c r="AM138" s="25">
        <f>IF(OR($A138="",$I138=""),"",IF($BC138="Y",SUMIFS(survey_frozen!$D$2:$D$251,survey_frozen!$P$2:$P$251,$A138&amp;"|"&amp;$B138),IFERROR(COUNTIFS(INDIRECT("'"&amp;$A138&amp;"'!$B$2:$B$501"),$T138,INDIRECT("'"&amp;$A138&amp;"'!$A$2:$A$501"),"&gt;="&amp;$I138,INDIRECT("'"&amp;$A138&amp;"'!$A$2:$A$501"),"&lt;"&amp;($BA138+1),INDIRECT("'"&amp;$A138&amp;"'!$C$2:$C$501"),"Yes"),0)))</f>
        <v/>
      </c>
      <c r="AN138" s="25">
        <f>IF($A138="","",IF(COUNTIFS(scans!$C$2:$C$1601,(IF(LEFT($A138,7)="SAMPLE-","SAMPLE-","")&amp;LOWER(SUBSTITUTE(SUBSTITUTE($A138,"SAMPLE-",""),"CMP-","c"))&amp;"-"&amp;LOWER(SUBSTITUTE(SUBSTITUTE($B138,"SAMPLE-",""),"O-","o"))&amp;"-q"),scans!$D$2:$D$1601,"close")=0,"",SUMPRODUCT(MAX((scans!$C$2:$C$1601=(IF(LEFT($A138,7)="SAMPLE-","SAMPLE-","")&amp;LOWER(SUBSTITUTE(SUBSTITUTE($A138,"SAMPLE-",""),"CMP-","c"))&amp;"-"&amp;LOWER(SUBSTITUTE(SUBSTITUTE($B138,"SAMPLE-",""),"O-","o"))&amp;"-q"))*(scans!$D$2:$D$1601="close")*scans!$E$2:$E$1601))-SUMPRODUCT(MAX((scans!$C$2:$C$1601=(IF(LEFT($A138,7)="SAMPLE-","SAMPLE-","")&amp;LOWER(SUBSTITUTE(SUBSTITUTE($A138,"SAMPLE-",""),"CMP-","c"))&amp;"-"&amp;LOWER(SUBSTITUTE(SUBSTITUTE($B138,"SAMPLE-",""),"O-","o"))&amp;"-q"))*(scans!$D$2:$D$1601="baseline")*scans!$E$2:$E$1601))))</f>
        <v/>
      </c>
      <c r="AO138" s="25">
        <f>IF($A138="","",IF(COUNTIFS(scans!$C$2:$C$1601,(IF(LEFT($A138,7)="SAMPLE-","SAMPLE-","")&amp;LOWER(SUBSTITUTE(SUBSTITUTE($A138,"SAMPLE-",""),"CMP-","c"))&amp;"-"&amp;LOWER(SUBSTITUTE(SUBSTITUTE($B138,"SAMPLE-",""),"O-","o"))&amp;"-p"),scans!$D$2:$D$1601,"close")=0,"",SUMPRODUCT(MAX((scans!$C$2:$C$1601=(IF(LEFT($A138,7)="SAMPLE-","SAMPLE-","")&amp;LOWER(SUBSTITUTE(SUBSTITUTE($A138,"SAMPLE-",""),"CMP-","c"))&amp;"-"&amp;LOWER(SUBSTITUTE(SUBSTITUTE($B138,"SAMPLE-",""),"O-","o"))&amp;"-p"))*(scans!$D$2:$D$1601="close")*scans!$E$2:$E$1601))-SUMPRODUCT(MAX((scans!$C$2:$C$1601=(IF(LEFT($A138,7)="SAMPLE-","SAMPLE-","")&amp;LOWER(SUBSTITUTE(SUBSTITUTE($A138,"SAMPLE-",""),"CMP-","c"))&amp;"-"&amp;LOWER(SUBSTITUTE(SUBSTITUTE($B138,"SAMPLE-",""),"O-","o"))&amp;"-p"))*(scans!$D$2:$D$1601="baseline")*scans!$E$2:$E$1601))))</f>
        <v/>
      </c>
      <c r="AP138" s="25">
        <f>IF($A138="","",IF(COUNTIF(offices!$A$2:$A$61,$B138)=0,"office_id not on offices; ","")&amp;IF(COUNTIF(campaigns!$A$2:$A$51,$A138)=0,"campaign_id not on campaigns; ","")&amp;IF($P138="pending","approval pending; ","")&amp;IF(AND($U138&gt;0,$Y138="",OR($I138="",IF(config!$B$37&lt;&gt;"",config!$B$37,TODAY())&lt;=WORKDAY(N($I138),4,calendar!$A$2:$A$80))),"no usable placement photo yet; ","")&amp;IF(AND($Y138&lt;&gt;"",$Z138=""),"log the placed count; ","")&amp;IF(N($AA138)&gt;N($U138),"placed more than delivered; ","")&amp;IF(AND($AF138&lt;&gt;"",N($AF138)&gt;N($AA138)+N($AD138)),"day-5 count above placed plus top-ups; ","")&amp;IF(AND($U138&gt;0,$I138&lt;&gt;"",IF(config!$B$37&lt;&gt;"",config!$B$37,TODAY())&gt;WORKDAY(N($I138),4,calendar!$A$2:$A$80),$AF138=""),"day-5 count missing; ","")&amp;IF(AND($U138&gt;0,$I138&lt;&gt;"",IF(config!$B$37&lt;&gt;"",config!$B$37,TODAY())&gt;WORKDAY(N($I138),4,calendar!$A$2:$A$80),$AN138=""),"no close link reading; ","")&amp;$R138&amp;IF($P138="N","info: office said no; ","")&amp;IF(AND($P138="Y",$Q138="N"),"info: turned away at the door, so not on the drop (no letter, not in the report or Gate 2; the credit check is on campaigns); ","")&amp;IF(AND($U138&gt;0,$Y138="",$I138&lt;&gt;"",IF(config!$B$37&lt;&gt;"",config!$B$37,TODAY())&gt;WORKDAY(N($I138),4,calendar!$A$2:$A$80)),"info: no usable placement photo, so nothing counts as placed; ","")&amp;IF(AND($U138&gt;0,$I138&lt;&gt;"",IF(config!$B$37&lt;&gt;"",config!$B$37,TODAY())&gt;WORKDAY(N($I138),4,calendar!$A$2:$A$80),N($AL138)&lt;config!$B$30),"info: under "&amp;config!$B$30&amp;" responses; ","")&amp;IF($W138="packing_list","info: delivered count not verified; ",""))</f>
        <v/>
      </c>
      <c r="AQ138" s="25">
        <f>IF(OR($A138="",$I138=""),"",IF($BC138="Y",SUMIFS(survey_frozen!$E$2:$E$251,survey_frozen!$P$2:$P$251,$A138&amp;"|"&amp;$B138),IFERROR(COUNTIFS(INDIRECT("'"&amp;$A138&amp;"'!$B$2:$B$501"),$T138,INDIRECT("'"&amp;$A138&amp;"'!$A$2:$A$501"),"&gt;="&amp;$I138,INDIRECT("'"&amp;$A138&amp;"'!$A$2:$A$501"),"&lt;"&amp;($BA138+1),INDIRECT("'"&amp;$A138&amp;"'!$F$2:$F$501"),"Didn't see it"),0)))</f>
        <v/>
      </c>
      <c r="AR138" s="25">
        <f>IF(OR($A138="",$I138=""),"",IF($BC138="Y",SUMIFS(survey_frozen!$F$2:$F$251,survey_frozen!$P$2:$P$251,$A138&amp;"|"&amp;$B138),IFERROR(COUNTIFS(INDIRECT("'"&amp;$A138&amp;"'!$B$2:$B$501"),$T138,INDIRECT("'"&amp;$A138&amp;"'!$A$2:$A$501"),"&gt;="&amp;$I138,INDIRECT("'"&amp;$A138&amp;"'!$A$2:$A$501"),"&lt;"&amp;($BA138+1),INDIRECT("'"&amp;$A138&amp;"'!$F$2:$F$501"),"Not for me"),0)))</f>
        <v/>
      </c>
      <c r="AS138" s="25">
        <f>IF(OR($A138="",$I138=""),"",IF($BC138="Y",SUMIFS(survey_frozen!$G$2:$G$251,survey_frozen!$P$2:$P$251,$A138&amp;"|"&amp;$B138),IFERROR(COUNTIFS(INDIRECT("'"&amp;$A138&amp;"'!$B$2:$B$501"),$T138,INDIRECT("'"&amp;$A138&amp;"'!$A$2:$A$501"),"&gt;="&amp;$I138,INDIRECT("'"&amp;$A138&amp;"'!$A$2:$A$501"),"&lt;"&amp;($BA138+1),INDIRECT("'"&amp;$A138&amp;"'!$F$2:$F$501"),"Gone by the time I looked"),0)))</f>
        <v/>
      </c>
      <c r="AT138" s="25">
        <f>IF(OR($A138="",$I138=""),"",IF($BC138="Y",SUMIFS(survey_frozen!$H$2:$H$251,survey_frozen!$P$2:$P$251,$A138&amp;"|"&amp;$B138),IFERROR(COUNTIFS(INDIRECT("'"&amp;$A138&amp;"'!$B$2:$B$501"),$T138,INDIRECT("'"&amp;$A138&amp;"'!$A$2:$A$501"),"&gt;="&amp;$I138,INDIRECT("'"&amp;$A138&amp;"'!$A$2:$A$501"),"&lt;"&amp;($BA138+1),INDIRECT("'"&amp;$A138&amp;"'!$D$2:$D$501"),"&gt;=1"),0)))</f>
        <v/>
      </c>
      <c r="AU138" s="25">
        <f>IF(OR($A138="",$I138=""),"",IF($BC138="Y",SUMIFS(survey_frozen!$I$2:$I$251,survey_frozen!$P$2:$P$251,$A138&amp;"|"&amp;$B138),IFERROR(SUMIFS(INDIRECT("'"&amp;$A138&amp;"'!$D$2:$D$501"),INDIRECT("'"&amp;$A138&amp;"'!$B$2:$B$501"),$T138,INDIRECT("'"&amp;$A138&amp;"'!$A$2:$A$501"),"&gt;="&amp;$I138,INDIRECT("'"&amp;$A138&amp;"'!$A$2:$A$501"),"&lt;"&amp;($BA138+1)),0)))</f>
        <v/>
      </c>
      <c r="AV138" s="25">
        <f>IF(OR($A138="",$I138=""),"",IF($BC138="Y",SUMIFS(survey_frozen!$J$2:$J$251,survey_frozen!$P$2:$P$251,$A138&amp;"|"&amp;$B138),IFERROR(COUNTIFS(INDIRECT("'"&amp;$A138&amp;"'!$B$2:$B$501"),$T138,INDIRECT("'"&amp;$A138&amp;"'!$A$2:$A$501"),"&gt;="&amp;$I138,INDIRECT("'"&amp;$A138&amp;"'!$A$2:$A$501"),"&lt;"&amp;($BA138+1),INDIRECT("'"&amp;$A138&amp;"'!$E$2:$E$501"),"Yes"),0)))</f>
        <v/>
      </c>
      <c r="AW138" s="25">
        <f>IF(OR($A138="",$I138=""),"",IF($BC138="Y",SUMIFS(survey_frozen!$K$2:$K$251,survey_frozen!$P$2:$P$251,$A138&amp;"|"&amp;$B138),IFERROR(COUNTIFS(INDIRECT("'"&amp;$A138&amp;"'!$B$2:$B$501"),$T138,INDIRECT("'"&amp;$A138&amp;"'!$A$2:$A$501"),"&gt;="&amp;$I138,INDIRECT("'"&amp;$A138&amp;"'!$A$2:$A$501"),"&lt;"&amp;($BA138+1),INDIRECT("'"&amp;$A138&amp;"'!$E$2:$E$501"),"Maybe"),0)))</f>
        <v/>
      </c>
      <c r="AX138" s="25">
        <f>IF(OR($A138="",$I138=""),"",IF($BC138="Y",SUMIFS(survey_frozen!$L$2:$L$251,survey_frozen!$P$2:$P$251,$A138&amp;"|"&amp;$B138),IFERROR(COUNTIFS(INDIRECT("'"&amp;$A138&amp;"'!$B$2:$B$501"),$T138,INDIRECT("'"&amp;$A138&amp;"'!$A$2:$A$501"),"&gt;="&amp;$I138,INDIRECT("'"&amp;$A138&amp;"'!$A$2:$A$501"),"&lt;"&amp;($BA138+1),INDIRECT("'"&amp;$A138&amp;"'!$E$2:$E$501"),"No"),0)))</f>
        <v/>
      </c>
      <c r="AY138" s="25">
        <f>IF(OR($A138="",$I138=""),"",IF($BC138="Y",SUMIFS(survey_frozen!$M$2:$M$251,survey_frozen!$P$2:$P$251,$A138&amp;"|"&amp;$B138),IFERROR(COUNTIFS(INDIRECT("'"&amp;$A138&amp;"'!$B$2:$B$501"),$T138,INDIRECT("'"&amp;$A138&amp;"'!$A$2:$A$501"),"&gt;="&amp;$I138,INDIRECT("'"&amp;$A138&amp;"'!$A$2:$A$501"),"&lt;"&amp;($BA138+1),INDIRECT("'"&amp;$A138&amp;"'!$G$2:$G$501"),"&lt;&gt;"),0)))</f>
        <v/>
      </c>
      <c r="AZ138" s="25">
        <f>IF($A138="","",$A138&amp;"|"&amp;$L138)</f>
        <v/>
      </c>
      <c r="BA138" s="26">
        <f>IF($A138="","",IFERROR(IF(INDEX(drops!$R$2:$R$21,MATCH($H138,drops!$A$2:$A$21,0))="","",INDEX(drops!$R$2:$R$21,MATCH($H138,drops!$A$2:$A$21,0))),""))</f>
        <v/>
      </c>
      <c r="BB138" s="25">
        <f>IF(OR($A138="",$Q138&lt;&gt;"Y"),1000000,N($AL138))</f>
        <v/>
      </c>
      <c r="BC138" s="25">
        <f>IF($A138="","",IF(COUNTIF(survey_frozen!$P$2:$P$251,$A138&amp;"|"&amp;$B138)&gt;0,"Y",""))</f>
        <v/>
      </c>
    </row>
    <row r="139">
      <c r="C139" s="9" t="n"/>
      <c r="E139" s="9" t="n"/>
      <c r="H139" s="25">
        <f>IF($A139="","",IFERROR(IF(INDEX(campaigns!$B$2:$B$51,MATCH($A139,campaigns!$A$2:$A$51,0))="","",INDEX(campaigns!$B$2:$B$51,MATCH($A139,campaigns!$A$2:$A$51,0))),""))</f>
        <v/>
      </c>
      <c r="I139" s="26">
        <f>IF($A139="","",IFERROR(IF(INDEX(campaigns!$BG$2:$BG$51,MATCH($A139,campaigns!$A$2:$A$51,0))="","",INDEX(campaigns!$BG$2:$BG$51,MATCH($A139,campaigns!$A$2:$A$51,0))),""))</f>
        <v/>
      </c>
      <c r="J139" s="25">
        <f>IF($A139="","",IFERROR(IF(INDEX(campaigns!$BE$2:$BE$51,MATCH($A139,campaigns!$A$2:$A$51,0))="","",INDEX(campaigns!$BE$2:$BE$51,MATCH($A139,campaigns!$A$2:$A$51,0))),""))</f>
        <v/>
      </c>
      <c r="K139" s="25">
        <f>IF($B139="","",IFERROR(IF(INDEX(offices!$N$2:$N$61,MATCH($B139,offices!$A$2:$A$61,0))="","",INDEX(offices!$N$2:$N$61,MATCH($B139,offices!$A$2:$A$61,0))),""))</f>
        <v/>
      </c>
      <c r="L139" s="25">
        <f>IF($A139="","",IF($Q139="N","",COUNTIFS($A$2:$A139,$A139,$Q$2:$Q139,"&lt;&gt;N")))</f>
        <v/>
      </c>
      <c r="M139" s="25">
        <f>IF(OR($A139="",$L139=""),"",IF(AND(config!$B$34="names_if_public",IFERROR(IF(INDEX(offices!$AF$2:$AF$61,MATCH($B139,offices!$A$2:$A$61,0))="","",INDEX(offices!$AF$2:$AF$61,MATCH($B139,offices!$A$2:$A$61,0))),"")="Y"),$K139,CHAR(64+$L139)))</f>
        <v/>
      </c>
      <c r="N139" s="25">
        <f>IF(OR($A139="",$I139=""),"",COUNTIFS(stops!$B$2:$B$151,$B139,stops!$P$2:$P$151,"&lt;"&amp;$I139,stops!$L$2:$L$151,"&lt;&gt;not_delivered")+1)</f>
        <v/>
      </c>
      <c r="O139" s="25">
        <f>IF($A139="","",IF(N($N139)&lt;=config!$B$29,"explicit","opt-out"))</f>
        <v/>
      </c>
      <c r="P139" s="25">
        <f>IF($A139="","",IF($O139="explicit",IF($D139="yes","Y",IF($D139="no","N","pending")),IF($D139="no","N",IF(AND($C139&lt;&gt;"",$I139&lt;&gt;"",$C139&lt;=WORKDAY(N($I139),-5,calendar!$A$2:$A$80)),"Y","pending"))))</f>
        <v/>
      </c>
      <c r="Q139" s="25">
        <f>IF($A139="","",IF($P139="N","N",IF($P139&lt;&gt;"Y","pending",IF(AND((COUNTIFS(stops!$A$2:$A$151,$H139,stops!$B$2:$B$151,$B139,stops!$L$2:$L$151,"declined")+COUNTIFS(stops!$A$2:$A$151,$H139,stops!$B$2:$B$151,$B139,stops!$L$2:$L$151,"building_refused")+COUNTIFS(stops!$A$2:$A$151,$H139,stops!$B$2:$B$151,$B139,stops!$L$2:$L$151,"not_delivered"))&gt;0,N($U139)=0),"N","Y"))))</f>
        <v/>
      </c>
      <c r="R139" s="25">
        <f>IF($A139="","",IF(COUNTIFS($A$2:$A$251,$A139,$B$2:$B$251,$B139)&gt;1,"DUPLICATE ROW; ","")&amp;IF(AND(IFERROR(IF(INDEX(offices!$AC$2:$AC$61,MATCH($B139,offices!$A$2:$A$61,0))="","",INDEX(offices!$AC$2:$AC$61,MATCH($B139,offices!$A$2:$A$61,0))),"")&lt;&gt;"",ISNUMBER(SEARCH($J139,IFERROR(IF(INDEX(offices!$AC$2:$AC$61,MATCH($B139,offices!$A$2:$A$61,0))="","",INDEX(offices!$AC$2:$AC$61,MATCH($B139,offices!$A$2:$A$61,0))),"")))),"BRAND VETOED; ","")&amp;IF(ISNUMBER(SEARCH(IFERROR(IF(INDEX(campaigns!$BF$2:$BF$51,MATCH($A139,campaigns!$A$2:$A$51,0))="","",INDEX(campaigns!$BF$2:$BF$51,MATCH($A139,campaigns!$A$2:$A$51,0))),""),IFERROR(IF(INDEX(offices!$AB$2:$AB$61,MATCH($B139,offices!$A$2:$A$61,0))="","",INDEX(offices!$AB$2:$AB$61,MATCH($B139,offices!$A$2:$A$61,0))),""))),"","info: category not on the office's list; ")&amp;IF(IFERROR(IF(INDEX(offices!$AC$2:$AC$61,MATCH($B139,offices!$A$2:$A$61,0))="","",INDEX(offices!$AC$2:$AC$61,MATCH($B139,offices!$A$2:$A$61,0))),"")&lt;&gt;"","info: read the vetoes against the label; ",""))</f>
        <v/>
      </c>
      <c r="S139" s="25">
        <f>IF($A139="","",IF($G139&lt;&gt;"",$G139,IFERROR(IF(INDEX(offices!$AL$2:$AL$61,MATCH($B139,offices!$A$2:$A$61,0))="","",INDEX(offices!$AL$2:$AL$61,MATCH($B139,offices!$A$2:$A$61,0))),"")))</f>
        <v/>
      </c>
      <c r="T139" s="25">
        <f>IF($A139="","",$A139&amp;"."&amp;$B139)</f>
        <v/>
      </c>
      <c r="U139" s="25">
        <f>IF($A139="","",SUMIFS(inventory!$G$2:$G$801,inventory!$C$2:$C$801,$A139,inventory!$D$2:$D$801,$B139,inventory!$E$2:$E$801,"delivered"))</f>
        <v/>
      </c>
      <c r="V139" s="32">
        <f>IF($A139="","",IFERROR(1/(1/SUMPRODUCT(MAX((inventory!$C$2:$C$801=$A139)*(inventory!$D$2:$D$801=$B139)*(inventory!$E$2:$E$801="delivered")*(inventory!$A$2:$A$801+inventory!$B$2:$B$801)))),""))</f>
        <v/>
      </c>
      <c r="W139" s="25">
        <f>IF($A139="","",IFERROR(IF(INDEX(inventory!$J$2:$J$801,MATCH($A139&amp;"|"&amp;$B139&amp;"|delivered",inventory!$R$2:$R$801,0))="","",INDEX(inventory!$J$2:$J$801,MATCH($A139&amp;"|"&amp;$B139&amp;"|delivered",inventory!$R$2:$R$801,0))),""))</f>
        <v/>
      </c>
      <c r="X139" s="25">
        <f>IF($A139="","",IFERROR(IF(INDEX(photos!$H$2:$H$701,MATCH($A139&amp;"|"&amp;$B139&amp;"|placement|Y",photos!$R$2:$R$701,0))="","",INDEX(photos!$H$2:$H$701,MATCH($A139&amp;"|"&amp;$B139&amp;"|placement|Y",photos!$R$2:$R$701,0))),""))</f>
        <v/>
      </c>
      <c r="Y139" s="26">
        <f>IF($A139="","",IFERROR(IF(INDEX(photos!$E$2:$E$701,MATCH($A139&amp;"|"&amp;$B139&amp;"|placement|Y",photos!$R$2:$R$701,0))="","",INDEX(photos!$E$2:$E$701,MATCH($A139&amp;"|"&amp;$B139&amp;"|placement|Y",photos!$R$2:$R$701,0))),""))</f>
        <v/>
      </c>
      <c r="Z139" s="25">
        <f>IF($A139="","",IF(COUNTIFS(counts!$C$2:$C$701,$A139,counts!$D$2:$D$701,$B139,counts!$E$2:$E$701,"placed")=0,"",SUMIFS(counts!$F$2:$F$701,counts!$C$2:$C$701,$A139,counts!$D$2:$D$701,$B139,counts!$E$2:$E$701,"placed")))</f>
        <v/>
      </c>
      <c r="AA139" s="25">
        <f>IF($A139="","",IF($Y139="",0,N($Z139)))</f>
        <v/>
      </c>
      <c r="AB139" s="25">
        <f>IF($A139="","",IF(OR($Y139="",$I139=""),"N",IF($Y139&lt;=WORKDAY(N($I139),1,calendar!$A$2:$A$80),"Y","N")))</f>
        <v/>
      </c>
      <c r="AC139" s="28">
        <f>IF(OR($A139="",$V139="",$Y139=""),"",ROUND(($Y139+N(IFERROR(IF(INDEX(photos!$F$2:$F$701,MATCH($A139&amp;"|"&amp;$B139&amp;"|placement|Y",photos!$R$2:$R$701,0))="","",INDEX(photos!$F$2:$F$701,MATCH($A139&amp;"|"&amp;$B139&amp;"|placement|Y",photos!$R$2:$R$701,0))),""))-$V139)*24,1))</f>
        <v/>
      </c>
      <c r="AD139" s="25">
        <f>IF($A139="","",SUMIFS(inventory!$G$2:$G$801,inventory!$C$2:$C$801,$A139,inventory!$D$2:$D$801,$B139,inventory!$E$2:$E$801,"topped_up"))</f>
        <v/>
      </c>
      <c r="AE139" s="25">
        <f>IF($A139="","",IF(COUNTIFS(counts!$C$2:$C$701,$A139,counts!$D$2:$D$701,$B139,counts!$E$2:$E$701,"remaining_day3")=0,"",SUMIFS(counts!$F$2:$F$701,counts!$C$2:$C$701,$A139,counts!$D$2:$D$701,$B139,counts!$E$2:$E$701,"remaining_day3")))</f>
        <v/>
      </c>
      <c r="AF139" s="25">
        <f>IF($A139="","",IF(COUNTIFS(counts!$C$2:$C$701,$A139,counts!$D$2:$D$701,$B139,counts!$E$2:$E$701,"remaining_day5")=0,"",SUMIFS(counts!$F$2:$F$701,counts!$C$2:$C$701,$A139,counts!$D$2:$D$701,$B139,counts!$E$2:$E$701,"remaining_day5")))</f>
        <v/>
      </c>
      <c r="AG139" s="25">
        <f>IF(OR($A139="",$AF139=""),"",MAX(0,$AA139+$AD139-$AF139))</f>
        <v/>
      </c>
      <c r="AH139" s="25">
        <f>IF(OR($A139="",$AI139=""),"",IFERROR(IF(INDEX(photos!$H$2:$H$701,MATCH($A139&amp;"|"&amp;$B139&amp;"|later|Y|"&amp;$AI139,photos!$S$2:$S$701,0))="","",INDEX(photos!$H$2:$H$701,MATCH($A139&amp;"|"&amp;$B139&amp;"|later|Y|"&amp;$AI139,photos!$S$2:$S$701,0))),""))</f>
        <v/>
      </c>
      <c r="AI139" s="26">
        <f>IF($A139="","",IFERROR(1/(1/SUMPRODUCT(MAX((photos!$B$2:$B$701=$A139)*(photos!$C$2:$C$701=$B139)*(photos!$D$2:$D$701="later")*(photos!$O$2:$O$701="Y")*photos!$E$2:$E$701))),""))</f>
        <v/>
      </c>
      <c r="AJ139" s="25">
        <f>IF(OR($A139="",$AI139="",$I139=""),"",NETWORKDAYS($I139,$AI139,calendar!$A$2:$A$80))</f>
        <v/>
      </c>
      <c r="AK139" s="25">
        <f>IF($A139="","",IF(AND($X139&lt;&gt;"",$AH139&lt;&gt;""),"Y","N"))</f>
        <v/>
      </c>
      <c r="AL139" s="25">
        <f>IF(OR($A139="",$I139=""),"",IF($BC139="Y",SUMIFS(survey_frozen!$C$2:$C$251,survey_frozen!$P$2:$P$251,$A139&amp;"|"&amp;$B139),IFERROR(COUNTIFS(INDIRECT("'"&amp;$A139&amp;"'!$B$2:$B$501"),$T139,INDIRECT("'"&amp;$A139&amp;"'!$A$2:$A$501"),"&gt;="&amp;$I139,INDIRECT("'"&amp;$A139&amp;"'!$A$2:$A$501"),"&lt;"&amp;($BA139+1)),0)))</f>
        <v/>
      </c>
      <c r="AM139" s="25">
        <f>IF(OR($A139="",$I139=""),"",IF($BC139="Y",SUMIFS(survey_frozen!$D$2:$D$251,survey_frozen!$P$2:$P$251,$A139&amp;"|"&amp;$B139),IFERROR(COUNTIFS(INDIRECT("'"&amp;$A139&amp;"'!$B$2:$B$501"),$T139,INDIRECT("'"&amp;$A139&amp;"'!$A$2:$A$501"),"&gt;="&amp;$I139,INDIRECT("'"&amp;$A139&amp;"'!$A$2:$A$501"),"&lt;"&amp;($BA139+1),INDIRECT("'"&amp;$A139&amp;"'!$C$2:$C$501"),"Yes"),0)))</f>
        <v/>
      </c>
      <c r="AN139" s="25">
        <f>IF($A139="","",IF(COUNTIFS(scans!$C$2:$C$1601,(IF(LEFT($A139,7)="SAMPLE-","SAMPLE-","")&amp;LOWER(SUBSTITUTE(SUBSTITUTE($A139,"SAMPLE-",""),"CMP-","c"))&amp;"-"&amp;LOWER(SUBSTITUTE(SUBSTITUTE($B139,"SAMPLE-",""),"O-","o"))&amp;"-q"),scans!$D$2:$D$1601,"close")=0,"",SUMPRODUCT(MAX((scans!$C$2:$C$1601=(IF(LEFT($A139,7)="SAMPLE-","SAMPLE-","")&amp;LOWER(SUBSTITUTE(SUBSTITUTE($A139,"SAMPLE-",""),"CMP-","c"))&amp;"-"&amp;LOWER(SUBSTITUTE(SUBSTITUTE($B139,"SAMPLE-",""),"O-","o"))&amp;"-q"))*(scans!$D$2:$D$1601="close")*scans!$E$2:$E$1601))-SUMPRODUCT(MAX((scans!$C$2:$C$1601=(IF(LEFT($A139,7)="SAMPLE-","SAMPLE-","")&amp;LOWER(SUBSTITUTE(SUBSTITUTE($A139,"SAMPLE-",""),"CMP-","c"))&amp;"-"&amp;LOWER(SUBSTITUTE(SUBSTITUTE($B139,"SAMPLE-",""),"O-","o"))&amp;"-q"))*(scans!$D$2:$D$1601="baseline")*scans!$E$2:$E$1601))))</f>
        <v/>
      </c>
      <c r="AO139" s="25">
        <f>IF($A139="","",IF(COUNTIFS(scans!$C$2:$C$1601,(IF(LEFT($A139,7)="SAMPLE-","SAMPLE-","")&amp;LOWER(SUBSTITUTE(SUBSTITUTE($A139,"SAMPLE-",""),"CMP-","c"))&amp;"-"&amp;LOWER(SUBSTITUTE(SUBSTITUTE($B139,"SAMPLE-",""),"O-","o"))&amp;"-p"),scans!$D$2:$D$1601,"close")=0,"",SUMPRODUCT(MAX((scans!$C$2:$C$1601=(IF(LEFT($A139,7)="SAMPLE-","SAMPLE-","")&amp;LOWER(SUBSTITUTE(SUBSTITUTE($A139,"SAMPLE-",""),"CMP-","c"))&amp;"-"&amp;LOWER(SUBSTITUTE(SUBSTITUTE($B139,"SAMPLE-",""),"O-","o"))&amp;"-p"))*(scans!$D$2:$D$1601="close")*scans!$E$2:$E$1601))-SUMPRODUCT(MAX((scans!$C$2:$C$1601=(IF(LEFT($A139,7)="SAMPLE-","SAMPLE-","")&amp;LOWER(SUBSTITUTE(SUBSTITUTE($A139,"SAMPLE-",""),"CMP-","c"))&amp;"-"&amp;LOWER(SUBSTITUTE(SUBSTITUTE($B139,"SAMPLE-",""),"O-","o"))&amp;"-p"))*(scans!$D$2:$D$1601="baseline")*scans!$E$2:$E$1601))))</f>
        <v/>
      </c>
      <c r="AP139" s="25">
        <f>IF($A139="","",IF(COUNTIF(offices!$A$2:$A$61,$B139)=0,"office_id not on offices; ","")&amp;IF(COUNTIF(campaigns!$A$2:$A$51,$A139)=0,"campaign_id not on campaigns; ","")&amp;IF($P139="pending","approval pending; ","")&amp;IF(AND($U139&gt;0,$Y139="",OR($I139="",IF(config!$B$37&lt;&gt;"",config!$B$37,TODAY())&lt;=WORKDAY(N($I139),4,calendar!$A$2:$A$80))),"no usable placement photo yet; ","")&amp;IF(AND($Y139&lt;&gt;"",$Z139=""),"log the placed count; ","")&amp;IF(N($AA139)&gt;N($U139),"placed more than delivered; ","")&amp;IF(AND($AF139&lt;&gt;"",N($AF139)&gt;N($AA139)+N($AD139)),"day-5 count above placed plus top-ups; ","")&amp;IF(AND($U139&gt;0,$I139&lt;&gt;"",IF(config!$B$37&lt;&gt;"",config!$B$37,TODAY())&gt;WORKDAY(N($I139),4,calendar!$A$2:$A$80),$AF139=""),"day-5 count missing; ","")&amp;IF(AND($U139&gt;0,$I139&lt;&gt;"",IF(config!$B$37&lt;&gt;"",config!$B$37,TODAY())&gt;WORKDAY(N($I139),4,calendar!$A$2:$A$80),$AN139=""),"no close link reading; ","")&amp;$R139&amp;IF($P139="N","info: office said no; ","")&amp;IF(AND($P139="Y",$Q139="N"),"info: turned away at the door, so not on the drop (no letter, not in the report or Gate 2; the credit check is on campaigns); ","")&amp;IF(AND($U139&gt;0,$Y139="",$I139&lt;&gt;"",IF(config!$B$37&lt;&gt;"",config!$B$37,TODAY())&gt;WORKDAY(N($I139),4,calendar!$A$2:$A$80)),"info: no usable placement photo, so nothing counts as placed; ","")&amp;IF(AND($U139&gt;0,$I139&lt;&gt;"",IF(config!$B$37&lt;&gt;"",config!$B$37,TODAY())&gt;WORKDAY(N($I139),4,calendar!$A$2:$A$80),N($AL139)&lt;config!$B$30),"info: under "&amp;config!$B$30&amp;" responses; ","")&amp;IF($W139="packing_list","info: delivered count not verified; ",""))</f>
        <v/>
      </c>
      <c r="AQ139" s="25">
        <f>IF(OR($A139="",$I139=""),"",IF($BC139="Y",SUMIFS(survey_frozen!$E$2:$E$251,survey_frozen!$P$2:$P$251,$A139&amp;"|"&amp;$B139),IFERROR(COUNTIFS(INDIRECT("'"&amp;$A139&amp;"'!$B$2:$B$501"),$T139,INDIRECT("'"&amp;$A139&amp;"'!$A$2:$A$501"),"&gt;="&amp;$I139,INDIRECT("'"&amp;$A139&amp;"'!$A$2:$A$501"),"&lt;"&amp;($BA139+1),INDIRECT("'"&amp;$A139&amp;"'!$F$2:$F$501"),"Didn't see it"),0)))</f>
        <v/>
      </c>
      <c r="AR139" s="25">
        <f>IF(OR($A139="",$I139=""),"",IF($BC139="Y",SUMIFS(survey_frozen!$F$2:$F$251,survey_frozen!$P$2:$P$251,$A139&amp;"|"&amp;$B139),IFERROR(COUNTIFS(INDIRECT("'"&amp;$A139&amp;"'!$B$2:$B$501"),$T139,INDIRECT("'"&amp;$A139&amp;"'!$A$2:$A$501"),"&gt;="&amp;$I139,INDIRECT("'"&amp;$A139&amp;"'!$A$2:$A$501"),"&lt;"&amp;($BA139+1),INDIRECT("'"&amp;$A139&amp;"'!$F$2:$F$501"),"Not for me"),0)))</f>
        <v/>
      </c>
      <c r="AS139" s="25">
        <f>IF(OR($A139="",$I139=""),"",IF($BC139="Y",SUMIFS(survey_frozen!$G$2:$G$251,survey_frozen!$P$2:$P$251,$A139&amp;"|"&amp;$B139),IFERROR(COUNTIFS(INDIRECT("'"&amp;$A139&amp;"'!$B$2:$B$501"),$T139,INDIRECT("'"&amp;$A139&amp;"'!$A$2:$A$501"),"&gt;="&amp;$I139,INDIRECT("'"&amp;$A139&amp;"'!$A$2:$A$501"),"&lt;"&amp;($BA139+1),INDIRECT("'"&amp;$A139&amp;"'!$F$2:$F$501"),"Gone by the time I looked"),0)))</f>
        <v/>
      </c>
      <c r="AT139" s="25">
        <f>IF(OR($A139="",$I139=""),"",IF($BC139="Y",SUMIFS(survey_frozen!$H$2:$H$251,survey_frozen!$P$2:$P$251,$A139&amp;"|"&amp;$B139),IFERROR(COUNTIFS(INDIRECT("'"&amp;$A139&amp;"'!$B$2:$B$501"),$T139,INDIRECT("'"&amp;$A139&amp;"'!$A$2:$A$501"),"&gt;="&amp;$I139,INDIRECT("'"&amp;$A139&amp;"'!$A$2:$A$501"),"&lt;"&amp;($BA139+1),INDIRECT("'"&amp;$A139&amp;"'!$D$2:$D$501"),"&gt;=1"),0)))</f>
        <v/>
      </c>
      <c r="AU139" s="25">
        <f>IF(OR($A139="",$I139=""),"",IF($BC139="Y",SUMIFS(survey_frozen!$I$2:$I$251,survey_frozen!$P$2:$P$251,$A139&amp;"|"&amp;$B139),IFERROR(SUMIFS(INDIRECT("'"&amp;$A139&amp;"'!$D$2:$D$501"),INDIRECT("'"&amp;$A139&amp;"'!$B$2:$B$501"),$T139,INDIRECT("'"&amp;$A139&amp;"'!$A$2:$A$501"),"&gt;="&amp;$I139,INDIRECT("'"&amp;$A139&amp;"'!$A$2:$A$501"),"&lt;"&amp;($BA139+1)),0)))</f>
        <v/>
      </c>
      <c r="AV139" s="25">
        <f>IF(OR($A139="",$I139=""),"",IF($BC139="Y",SUMIFS(survey_frozen!$J$2:$J$251,survey_frozen!$P$2:$P$251,$A139&amp;"|"&amp;$B139),IFERROR(COUNTIFS(INDIRECT("'"&amp;$A139&amp;"'!$B$2:$B$501"),$T139,INDIRECT("'"&amp;$A139&amp;"'!$A$2:$A$501"),"&gt;="&amp;$I139,INDIRECT("'"&amp;$A139&amp;"'!$A$2:$A$501"),"&lt;"&amp;($BA139+1),INDIRECT("'"&amp;$A139&amp;"'!$E$2:$E$501"),"Yes"),0)))</f>
        <v/>
      </c>
      <c r="AW139" s="25">
        <f>IF(OR($A139="",$I139=""),"",IF($BC139="Y",SUMIFS(survey_frozen!$K$2:$K$251,survey_frozen!$P$2:$P$251,$A139&amp;"|"&amp;$B139),IFERROR(COUNTIFS(INDIRECT("'"&amp;$A139&amp;"'!$B$2:$B$501"),$T139,INDIRECT("'"&amp;$A139&amp;"'!$A$2:$A$501"),"&gt;="&amp;$I139,INDIRECT("'"&amp;$A139&amp;"'!$A$2:$A$501"),"&lt;"&amp;($BA139+1),INDIRECT("'"&amp;$A139&amp;"'!$E$2:$E$501"),"Maybe"),0)))</f>
        <v/>
      </c>
      <c r="AX139" s="25">
        <f>IF(OR($A139="",$I139=""),"",IF($BC139="Y",SUMIFS(survey_frozen!$L$2:$L$251,survey_frozen!$P$2:$P$251,$A139&amp;"|"&amp;$B139),IFERROR(COUNTIFS(INDIRECT("'"&amp;$A139&amp;"'!$B$2:$B$501"),$T139,INDIRECT("'"&amp;$A139&amp;"'!$A$2:$A$501"),"&gt;="&amp;$I139,INDIRECT("'"&amp;$A139&amp;"'!$A$2:$A$501"),"&lt;"&amp;($BA139+1),INDIRECT("'"&amp;$A139&amp;"'!$E$2:$E$501"),"No"),0)))</f>
        <v/>
      </c>
      <c r="AY139" s="25">
        <f>IF(OR($A139="",$I139=""),"",IF($BC139="Y",SUMIFS(survey_frozen!$M$2:$M$251,survey_frozen!$P$2:$P$251,$A139&amp;"|"&amp;$B139),IFERROR(COUNTIFS(INDIRECT("'"&amp;$A139&amp;"'!$B$2:$B$501"),$T139,INDIRECT("'"&amp;$A139&amp;"'!$A$2:$A$501"),"&gt;="&amp;$I139,INDIRECT("'"&amp;$A139&amp;"'!$A$2:$A$501"),"&lt;"&amp;($BA139+1),INDIRECT("'"&amp;$A139&amp;"'!$G$2:$G$501"),"&lt;&gt;"),0)))</f>
        <v/>
      </c>
      <c r="AZ139" s="25">
        <f>IF($A139="","",$A139&amp;"|"&amp;$L139)</f>
        <v/>
      </c>
      <c r="BA139" s="26">
        <f>IF($A139="","",IFERROR(IF(INDEX(drops!$R$2:$R$21,MATCH($H139,drops!$A$2:$A$21,0))="","",INDEX(drops!$R$2:$R$21,MATCH($H139,drops!$A$2:$A$21,0))),""))</f>
        <v/>
      </c>
      <c r="BB139" s="25">
        <f>IF(OR($A139="",$Q139&lt;&gt;"Y"),1000000,N($AL139))</f>
        <v/>
      </c>
      <c r="BC139" s="25">
        <f>IF($A139="","",IF(COUNTIF(survey_frozen!$P$2:$P$251,$A139&amp;"|"&amp;$B139)&gt;0,"Y",""))</f>
        <v/>
      </c>
    </row>
    <row r="140">
      <c r="C140" s="9" t="n"/>
      <c r="E140" s="9" t="n"/>
      <c r="H140" s="25">
        <f>IF($A140="","",IFERROR(IF(INDEX(campaigns!$B$2:$B$51,MATCH($A140,campaigns!$A$2:$A$51,0))="","",INDEX(campaigns!$B$2:$B$51,MATCH($A140,campaigns!$A$2:$A$51,0))),""))</f>
        <v/>
      </c>
      <c r="I140" s="26">
        <f>IF($A140="","",IFERROR(IF(INDEX(campaigns!$BG$2:$BG$51,MATCH($A140,campaigns!$A$2:$A$51,0))="","",INDEX(campaigns!$BG$2:$BG$51,MATCH($A140,campaigns!$A$2:$A$51,0))),""))</f>
        <v/>
      </c>
      <c r="J140" s="25">
        <f>IF($A140="","",IFERROR(IF(INDEX(campaigns!$BE$2:$BE$51,MATCH($A140,campaigns!$A$2:$A$51,0))="","",INDEX(campaigns!$BE$2:$BE$51,MATCH($A140,campaigns!$A$2:$A$51,0))),""))</f>
        <v/>
      </c>
      <c r="K140" s="25">
        <f>IF($B140="","",IFERROR(IF(INDEX(offices!$N$2:$N$61,MATCH($B140,offices!$A$2:$A$61,0))="","",INDEX(offices!$N$2:$N$61,MATCH($B140,offices!$A$2:$A$61,0))),""))</f>
        <v/>
      </c>
      <c r="L140" s="25">
        <f>IF($A140="","",IF($Q140="N","",COUNTIFS($A$2:$A140,$A140,$Q$2:$Q140,"&lt;&gt;N")))</f>
        <v/>
      </c>
      <c r="M140" s="25">
        <f>IF(OR($A140="",$L140=""),"",IF(AND(config!$B$34="names_if_public",IFERROR(IF(INDEX(offices!$AF$2:$AF$61,MATCH($B140,offices!$A$2:$A$61,0))="","",INDEX(offices!$AF$2:$AF$61,MATCH($B140,offices!$A$2:$A$61,0))),"")="Y"),$K140,CHAR(64+$L140)))</f>
        <v/>
      </c>
      <c r="N140" s="25">
        <f>IF(OR($A140="",$I140=""),"",COUNTIFS(stops!$B$2:$B$151,$B140,stops!$P$2:$P$151,"&lt;"&amp;$I140,stops!$L$2:$L$151,"&lt;&gt;not_delivered")+1)</f>
        <v/>
      </c>
      <c r="O140" s="25">
        <f>IF($A140="","",IF(N($N140)&lt;=config!$B$29,"explicit","opt-out"))</f>
        <v/>
      </c>
      <c r="P140" s="25">
        <f>IF($A140="","",IF($O140="explicit",IF($D140="yes","Y",IF($D140="no","N","pending")),IF($D140="no","N",IF(AND($C140&lt;&gt;"",$I140&lt;&gt;"",$C140&lt;=WORKDAY(N($I140),-5,calendar!$A$2:$A$80)),"Y","pending"))))</f>
        <v/>
      </c>
      <c r="Q140" s="25">
        <f>IF($A140="","",IF($P140="N","N",IF($P140&lt;&gt;"Y","pending",IF(AND((COUNTIFS(stops!$A$2:$A$151,$H140,stops!$B$2:$B$151,$B140,stops!$L$2:$L$151,"declined")+COUNTIFS(stops!$A$2:$A$151,$H140,stops!$B$2:$B$151,$B140,stops!$L$2:$L$151,"building_refused")+COUNTIFS(stops!$A$2:$A$151,$H140,stops!$B$2:$B$151,$B140,stops!$L$2:$L$151,"not_delivered"))&gt;0,N($U140)=0),"N","Y"))))</f>
        <v/>
      </c>
      <c r="R140" s="25">
        <f>IF($A140="","",IF(COUNTIFS($A$2:$A$251,$A140,$B$2:$B$251,$B140)&gt;1,"DUPLICATE ROW; ","")&amp;IF(AND(IFERROR(IF(INDEX(offices!$AC$2:$AC$61,MATCH($B140,offices!$A$2:$A$61,0))="","",INDEX(offices!$AC$2:$AC$61,MATCH($B140,offices!$A$2:$A$61,0))),"")&lt;&gt;"",ISNUMBER(SEARCH($J140,IFERROR(IF(INDEX(offices!$AC$2:$AC$61,MATCH($B140,offices!$A$2:$A$61,0))="","",INDEX(offices!$AC$2:$AC$61,MATCH($B140,offices!$A$2:$A$61,0))),"")))),"BRAND VETOED; ","")&amp;IF(ISNUMBER(SEARCH(IFERROR(IF(INDEX(campaigns!$BF$2:$BF$51,MATCH($A140,campaigns!$A$2:$A$51,0))="","",INDEX(campaigns!$BF$2:$BF$51,MATCH($A140,campaigns!$A$2:$A$51,0))),""),IFERROR(IF(INDEX(offices!$AB$2:$AB$61,MATCH($B140,offices!$A$2:$A$61,0))="","",INDEX(offices!$AB$2:$AB$61,MATCH($B140,offices!$A$2:$A$61,0))),""))),"","info: category not on the office's list; ")&amp;IF(IFERROR(IF(INDEX(offices!$AC$2:$AC$61,MATCH($B140,offices!$A$2:$A$61,0))="","",INDEX(offices!$AC$2:$AC$61,MATCH($B140,offices!$A$2:$A$61,0))),"")&lt;&gt;"","info: read the vetoes against the label; ",""))</f>
        <v/>
      </c>
      <c r="S140" s="25">
        <f>IF($A140="","",IF($G140&lt;&gt;"",$G140,IFERROR(IF(INDEX(offices!$AL$2:$AL$61,MATCH($B140,offices!$A$2:$A$61,0))="","",INDEX(offices!$AL$2:$AL$61,MATCH($B140,offices!$A$2:$A$61,0))),"")))</f>
        <v/>
      </c>
      <c r="T140" s="25">
        <f>IF($A140="","",$A140&amp;"."&amp;$B140)</f>
        <v/>
      </c>
      <c r="U140" s="25">
        <f>IF($A140="","",SUMIFS(inventory!$G$2:$G$801,inventory!$C$2:$C$801,$A140,inventory!$D$2:$D$801,$B140,inventory!$E$2:$E$801,"delivered"))</f>
        <v/>
      </c>
      <c r="V140" s="32">
        <f>IF($A140="","",IFERROR(1/(1/SUMPRODUCT(MAX((inventory!$C$2:$C$801=$A140)*(inventory!$D$2:$D$801=$B140)*(inventory!$E$2:$E$801="delivered")*(inventory!$A$2:$A$801+inventory!$B$2:$B$801)))),""))</f>
        <v/>
      </c>
      <c r="W140" s="25">
        <f>IF($A140="","",IFERROR(IF(INDEX(inventory!$J$2:$J$801,MATCH($A140&amp;"|"&amp;$B140&amp;"|delivered",inventory!$R$2:$R$801,0))="","",INDEX(inventory!$J$2:$J$801,MATCH($A140&amp;"|"&amp;$B140&amp;"|delivered",inventory!$R$2:$R$801,0))),""))</f>
        <v/>
      </c>
      <c r="X140" s="25">
        <f>IF($A140="","",IFERROR(IF(INDEX(photos!$H$2:$H$701,MATCH($A140&amp;"|"&amp;$B140&amp;"|placement|Y",photos!$R$2:$R$701,0))="","",INDEX(photos!$H$2:$H$701,MATCH($A140&amp;"|"&amp;$B140&amp;"|placement|Y",photos!$R$2:$R$701,0))),""))</f>
        <v/>
      </c>
      <c r="Y140" s="26">
        <f>IF($A140="","",IFERROR(IF(INDEX(photos!$E$2:$E$701,MATCH($A140&amp;"|"&amp;$B140&amp;"|placement|Y",photos!$R$2:$R$701,0))="","",INDEX(photos!$E$2:$E$701,MATCH($A140&amp;"|"&amp;$B140&amp;"|placement|Y",photos!$R$2:$R$701,0))),""))</f>
        <v/>
      </c>
      <c r="Z140" s="25">
        <f>IF($A140="","",IF(COUNTIFS(counts!$C$2:$C$701,$A140,counts!$D$2:$D$701,$B140,counts!$E$2:$E$701,"placed")=0,"",SUMIFS(counts!$F$2:$F$701,counts!$C$2:$C$701,$A140,counts!$D$2:$D$701,$B140,counts!$E$2:$E$701,"placed")))</f>
        <v/>
      </c>
      <c r="AA140" s="25">
        <f>IF($A140="","",IF($Y140="",0,N($Z140)))</f>
        <v/>
      </c>
      <c r="AB140" s="25">
        <f>IF($A140="","",IF(OR($Y140="",$I140=""),"N",IF($Y140&lt;=WORKDAY(N($I140),1,calendar!$A$2:$A$80),"Y","N")))</f>
        <v/>
      </c>
      <c r="AC140" s="28">
        <f>IF(OR($A140="",$V140="",$Y140=""),"",ROUND(($Y140+N(IFERROR(IF(INDEX(photos!$F$2:$F$701,MATCH($A140&amp;"|"&amp;$B140&amp;"|placement|Y",photos!$R$2:$R$701,0))="","",INDEX(photos!$F$2:$F$701,MATCH($A140&amp;"|"&amp;$B140&amp;"|placement|Y",photos!$R$2:$R$701,0))),""))-$V140)*24,1))</f>
        <v/>
      </c>
      <c r="AD140" s="25">
        <f>IF($A140="","",SUMIFS(inventory!$G$2:$G$801,inventory!$C$2:$C$801,$A140,inventory!$D$2:$D$801,$B140,inventory!$E$2:$E$801,"topped_up"))</f>
        <v/>
      </c>
      <c r="AE140" s="25">
        <f>IF($A140="","",IF(COUNTIFS(counts!$C$2:$C$701,$A140,counts!$D$2:$D$701,$B140,counts!$E$2:$E$701,"remaining_day3")=0,"",SUMIFS(counts!$F$2:$F$701,counts!$C$2:$C$701,$A140,counts!$D$2:$D$701,$B140,counts!$E$2:$E$701,"remaining_day3")))</f>
        <v/>
      </c>
      <c r="AF140" s="25">
        <f>IF($A140="","",IF(COUNTIFS(counts!$C$2:$C$701,$A140,counts!$D$2:$D$701,$B140,counts!$E$2:$E$701,"remaining_day5")=0,"",SUMIFS(counts!$F$2:$F$701,counts!$C$2:$C$701,$A140,counts!$D$2:$D$701,$B140,counts!$E$2:$E$701,"remaining_day5")))</f>
        <v/>
      </c>
      <c r="AG140" s="25">
        <f>IF(OR($A140="",$AF140=""),"",MAX(0,$AA140+$AD140-$AF140))</f>
        <v/>
      </c>
      <c r="AH140" s="25">
        <f>IF(OR($A140="",$AI140=""),"",IFERROR(IF(INDEX(photos!$H$2:$H$701,MATCH($A140&amp;"|"&amp;$B140&amp;"|later|Y|"&amp;$AI140,photos!$S$2:$S$701,0))="","",INDEX(photos!$H$2:$H$701,MATCH($A140&amp;"|"&amp;$B140&amp;"|later|Y|"&amp;$AI140,photos!$S$2:$S$701,0))),""))</f>
        <v/>
      </c>
      <c r="AI140" s="26">
        <f>IF($A140="","",IFERROR(1/(1/SUMPRODUCT(MAX((photos!$B$2:$B$701=$A140)*(photos!$C$2:$C$701=$B140)*(photos!$D$2:$D$701="later")*(photos!$O$2:$O$701="Y")*photos!$E$2:$E$701))),""))</f>
        <v/>
      </c>
      <c r="AJ140" s="25">
        <f>IF(OR($A140="",$AI140="",$I140=""),"",NETWORKDAYS($I140,$AI140,calendar!$A$2:$A$80))</f>
        <v/>
      </c>
      <c r="AK140" s="25">
        <f>IF($A140="","",IF(AND($X140&lt;&gt;"",$AH140&lt;&gt;""),"Y","N"))</f>
        <v/>
      </c>
      <c r="AL140" s="25">
        <f>IF(OR($A140="",$I140=""),"",IF($BC140="Y",SUMIFS(survey_frozen!$C$2:$C$251,survey_frozen!$P$2:$P$251,$A140&amp;"|"&amp;$B140),IFERROR(COUNTIFS(INDIRECT("'"&amp;$A140&amp;"'!$B$2:$B$501"),$T140,INDIRECT("'"&amp;$A140&amp;"'!$A$2:$A$501"),"&gt;="&amp;$I140,INDIRECT("'"&amp;$A140&amp;"'!$A$2:$A$501"),"&lt;"&amp;($BA140+1)),0)))</f>
        <v/>
      </c>
      <c r="AM140" s="25">
        <f>IF(OR($A140="",$I140=""),"",IF($BC140="Y",SUMIFS(survey_frozen!$D$2:$D$251,survey_frozen!$P$2:$P$251,$A140&amp;"|"&amp;$B140),IFERROR(COUNTIFS(INDIRECT("'"&amp;$A140&amp;"'!$B$2:$B$501"),$T140,INDIRECT("'"&amp;$A140&amp;"'!$A$2:$A$501"),"&gt;="&amp;$I140,INDIRECT("'"&amp;$A140&amp;"'!$A$2:$A$501"),"&lt;"&amp;($BA140+1),INDIRECT("'"&amp;$A140&amp;"'!$C$2:$C$501"),"Yes"),0)))</f>
        <v/>
      </c>
      <c r="AN140" s="25">
        <f>IF($A140="","",IF(COUNTIFS(scans!$C$2:$C$1601,(IF(LEFT($A140,7)="SAMPLE-","SAMPLE-","")&amp;LOWER(SUBSTITUTE(SUBSTITUTE($A140,"SAMPLE-",""),"CMP-","c"))&amp;"-"&amp;LOWER(SUBSTITUTE(SUBSTITUTE($B140,"SAMPLE-",""),"O-","o"))&amp;"-q"),scans!$D$2:$D$1601,"close")=0,"",SUMPRODUCT(MAX((scans!$C$2:$C$1601=(IF(LEFT($A140,7)="SAMPLE-","SAMPLE-","")&amp;LOWER(SUBSTITUTE(SUBSTITUTE($A140,"SAMPLE-",""),"CMP-","c"))&amp;"-"&amp;LOWER(SUBSTITUTE(SUBSTITUTE($B140,"SAMPLE-",""),"O-","o"))&amp;"-q"))*(scans!$D$2:$D$1601="close")*scans!$E$2:$E$1601))-SUMPRODUCT(MAX((scans!$C$2:$C$1601=(IF(LEFT($A140,7)="SAMPLE-","SAMPLE-","")&amp;LOWER(SUBSTITUTE(SUBSTITUTE($A140,"SAMPLE-",""),"CMP-","c"))&amp;"-"&amp;LOWER(SUBSTITUTE(SUBSTITUTE($B140,"SAMPLE-",""),"O-","o"))&amp;"-q"))*(scans!$D$2:$D$1601="baseline")*scans!$E$2:$E$1601))))</f>
        <v/>
      </c>
      <c r="AO140" s="25">
        <f>IF($A140="","",IF(COUNTIFS(scans!$C$2:$C$1601,(IF(LEFT($A140,7)="SAMPLE-","SAMPLE-","")&amp;LOWER(SUBSTITUTE(SUBSTITUTE($A140,"SAMPLE-",""),"CMP-","c"))&amp;"-"&amp;LOWER(SUBSTITUTE(SUBSTITUTE($B140,"SAMPLE-",""),"O-","o"))&amp;"-p"),scans!$D$2:$D$1601,"close")=0,"",SUMPRODUCT(MAX((scans!$C$2:$C$1601=(IF(LEFT($A140,7)="SAMPLE-","SAMPLE-","")&amp;LOWER(SUBSTITUTE(SUBSTITUTE($A140,"SAMPLE-",""),"CMP-","c"))&amp;"-"&amp;LOWER(SUBSTITUTE(SUBSTITUTE($B140,"SAMPLE-",""),"O-","o"))&amp;"-p"))*(scans!$D$2:$D$1601="close")*scans!$E$2:$E$1601))-SUMPRODUCT(MAX((scans!$C$2:$C$1601=(IF(LEFT($A140,7)="SAMPLE-","SAMPLE-","")&amp;LOWER(SUBSTITUTE(SUBSTITUTE($A140,"SAMPLE-",""),"CMP-","c"))&amp;"-"&amp;LOWER(SUBSTITUTE(SUBSTITUTE($B140,"SAMPLE-",""),"O-","o"))&amp;"-p"))*(scans!$D$2:$D$1601="baseline")*scans!$E$2:$E$1601))))</f>
        <v/>
      </c>
      <c r="AP140" s="25">
        <f>IF($A140="","",IF(COUNTIF(offices!$A$2:$A$61,$B140)=0,"office_id not on offices; ","")&amp;IF(COUNTIF(campaigns!$A$2:$A$51,$A140)=0,"campaign_id not on campaigns; ","")&amp;IF($P140="pending","approval pending; ","")&amp;IF(AND($U140&gt;0,$Y140="",OR($I140="",IF(config!$B$37&lt;&gt;"",config!$B$37,TODAY())&lt;=WORKDAY(N($I140),4,calendar!$A$2:$A$80))),"no usable placement photo yet; ","")&amp;IF(AND($Y140&lt;&gt;"",$Z140=""),"log the placed count; ","")&amp;IF(N($AA140)&gt;N($U140),"placed more than delivered; ","")&amp;IF(AND($AF140&lt;&gt;"",N($AF140)&gt;N($AA140)+N($AD140)),"day-5 count above placed plus top-ups; ","")&amp;IF(AND($U140&gt;0,$I140&lt;&gt;"",IF(config!$B$37&lt;&gt;"",config!$B$37,TODAY())&gt;WORKDAY(N($I140),4,calendar!$A$2:$A$80),$AF140=""),"day-5 count missing; ","")&amp;IF(AND($U140&gt;0,$I140&lt;&gt;"",IF(config!$B$37&lt;&gt;"",config!$B$37,TODAY())&gt;WORKDAY(N($I140),4,calendar!$A$2:$A$80),$AN140=""),"no close link reading; ","")&amp;$R140&amp;IF($P140="N","info: office said no; ","")&amp;IF(AND($P140="Y",$Q140="N"),"info: turned away at the door, so not on the drop (no letter, not in the report or Gate 2; the credit check is on campaigns); ","")&amp;IF(AND($U140&gt;0,$Y140="",$I140&lt;&gt;"",IF(config!$B$37&lt;&gt;"",config!$B$37,TODAY())&gt;WORKDAY(N($I140),4,calendar!$A$2:$A$80)),"info: no usable placement photo, so nothing counts as placed; ","")&amp;IF(AND($U140&gt;0,$I140&lt;&gt;"",IF(config!$B$37&lt;&gt;"",config!$B$37,TODAY())&gt;WORKDAY(N($I140),4,calendar!$A$2:$A$80),N($AL140)&lt;config!$B$30),"info: under "&amp;config!$B$30&amp;" responses; ","")&amp;IF($W140="packing_list","info: delivered count not verified; ",""))</f>
        <v/>
      </c>
      <c r="AQ140" s="25">
        <f>IF(OR($A140="",$I140=""),"",IF($BC140="Y",SUMIFS(survey_frozen!$E$2:$E$251,survey_frozen!$P$2:$P$251,$A140&amp;"|"&amp;$B140),IFERROR(COUNTIFS(INDIRECT("'"&amp;$A140&amp;"'!$B$2:$B$501"),$T140,INDIRECT("'"&amp;$A140&amp;"'!$A$2:$A$501"),"&gt;="&amp;$I140,INDIRECT("'"&amp;$A140&amp;"'!$A$2:$A$501"),"&lt;"&amp;($BA140+1),INDIRECT("'"&amp;$A140&amp;"'!$F$2:$F$501"),"Didn't see it"),0)))</f>
        <v/>
      </c>
      <c r="AR140" s="25">
        <f>IF(OR($A140="",$I140=""),"",IF($BC140="Y",SUMIFS(survey_frozen!$F$2:$F$251,survey_frozen!$P$2:$P$251,$A140&amp;"|"&amp;$B140),IFERROR(COUNTIFS(INDIRECT("'"&amp;$A140&amp;"'!$B$2:$B$501"),$T140,INDIRECT("'"&amp;$A140&amp;"'!$A$2:$A$501"),"&gt;="&amp;$I140,INDIRECT("'"&amp;$A140&amp;"'!$A$2:$A$501"),"&lt;"&amp;($BA140+1),INDIRECT("'"&amp;$A140&amp;"'!$F$2:$F$501"),"Not for me"),0)))</f>
        <v/>
      </c>
      <c r="AS140" s="25">
        <f>IF(OR($A140="",$I140=""),"",IF($BC140="Y",SUMIFS(survey_frozen!$G$2:$G$251,survey_frozen!$P$2:$P$251,$A140&amp;"|"&amp;$B140),IFERROR(COUNTIFS(INDIRECT("'"&amp;$A140&amp;"'!$B$2:$B$501"),$T140,INDIRECT("'"&amp;$A140&amp;"'!$A$2:$A$501"),"&gt;="&amp;$I140,INDIRECT("'"&amp;$A140&amp;"'!$A$2:$A$501"),"&lt;"&amp;($BA140+1),INDIRECT("'"&amp;$A140&amp;"'!$F$2:$F$501"),"Gone by the time I looked"),0)))</f>
        <v/>
      </c>
      <c r="AT140" s="25">
        <f>IF(OR($A140="",$I140=""),"",IF($BC140="Y",SUMIFS(survey_frozen!$H$2:$H$251,survey_frozen!$P$2:$P$251,$A140&amp;"|"&amp;$B140),IFERROR(COUNTIFS(INDIRECT("'"&amp;$A140&amp;"'!$B$2:$B$501"),$T140,INDIRECT("'"&amp;$A140&amp;"'!$A$2:$A$501"),"&gt;="&amp;$I140,INDIRECT("'"&amp;$A140&amp;"'!$A$2:$A$501"),"&lt;"&amp;($BA140+1),INDIRECT("'"&amp;$A140&amp;"'!$D$2:$D$501"),"&gt;=1"),0)))</f>
        <v/>
      </c>
      <c r="AU140" s="25">
        <f>IF(OR($A140="",$I140=""),"",IF($BC140="Y",SUMIFS(survey_frozen!$I$2:$I$251,survey_frozen!$P$2:$P$251,$A140&amp;"|"&amp;$B140),IFERROR(SUMIFS(INDIRECT("'"&amp;$A140&amp;"'!$D$2:$D$501"),INDIRECT("'"&amp;$A140&amp;"'!$B$2:$B$501"),$T140,INDIRECT("'"&amp;$A140&amp;"'!$A$2:$A$501"),"&gt;="&amp;$I140,INDIRECT("'"&amp;$A140&amp;"'!$A$2:$A$501"),"&lt;"&amp;($BA140+1)),0)))</f>
        <v/>
      </c>
      <c r="AV140" s="25">
        <f>IF(OR($A140="",$I140=""),"",IF($BC140="Y",SUMIFS(survey_frozen!$J$2:$J$251,survey_frozen!$P$2:$P$251,$A140&amp;"|"&amp;$B140),IFERROR(COUNTIFS(INDIRECT("'"&amp;$A140&amp;"'!$B$2:$B$501"),$T140,INDIRECT("'"&amp;$A140&amp;"'!$A$2:$A$501"),"&gt;="&amp;$I140,INDIRECT("'"&amp;$A140&amp;"'!$A$2:$A$501"),"&lt;"&amp;($BA140+1),INDIRECT("'"&amp;$A140&amp;"'!$E$2:$E$501"),"Yes"),0)))</f>
        <v/>
      </c>
      <c r="AW140" s="25">
        <f>IF(OR($A140="",$I140=""),"",IF($BC140="Y",SUMIFS(survey_frozen!$K$2:$K$251,survey_frozen!$P$2:$P$251,$A140&amp;"|"&amp;$B140),IFERROR(COUNTIFS(INDIRECT("'"&amp;$A140&amp;"'!$B$2:$B$501"),$T140,INDIRECT("'"&amp;$A140&amp;"'!$A$2:$A$501"),"&gt;="&amp;$I140,INDIRECT("'"&amp;$A140&amp;"'!$A$2:$A$501"),"&lt;"&amp;($BA140+1),INDIRECT("'"&amp;$A140&amp;"'!$E$2:$E$501"),"Maybe"),0)))</f>
        <v/>
      </c>
      <c r="AX140" s="25">
        <f>IF(OR($A140="",$I140=""),"",IF($BC140="Y",SUMIFS(survey_frozen!$L$2:$L$251,survey_frozen!$P$2:$P$251,$A140&amp;"|"&amp;$B140),IFERROR(COUNTIFS(INDIRECT("'"&amp;$A140&amp;"'!$B$2:$B$501"),$T140,INDIRECT("'"&amp;$A140&amp;"'!$A$2:$A$501"),"&gt;="&amp;$I140,INDIRECT("'"&amp;$A140&amp;"'!$A$2:$A$501"),"&lt;"&amp;($BA140+1),INDIRECT("'"&amp;$A140&amp;"'!$E$2:$E$501"),"No"),0)))</f>
        <v/>
      </c>
      <c r="AY140" s="25">
        <f>IF(OR($A140="",$I140=""),"",IF($BC140="Y",SUMIFS(survey_frozen!$M$2:$M$251,survey_frozen!$P$2:$P$251,$A140&amp;"|"&amp;$B140),IFERROR(COUNTIFS(INDIRECT("'"&amp;$A140&amp;"'!$B$2:$B$501"),$T140,INDIRECT("'"&amp;$A140&amp;"'!$A$2:$A$501"),"&gt;="&amp;$I140,INDIRECT("'"&amp;$A140&amp;"'!$A$2:$A$501"),"&lt;"&amp;($BA140+1),INDIRECT("'"&amp;$A140&amp;"'!$G$2:$G$501"),"&lt;&gt;"),0)))</f>
        <v/>
      </c>
      <c r="AZ140" s="25">
        <f>IF($A140="","",$A140&amp;"|"&amp;$L140)</f>
        <v/>
      </c>
      <c r="BA140" s="26">
        <f>IF($A140="","",IFERROR(IF(INDEX(drops!$R$2:$R$21,MATCH($H140,drops!$A$2:$A$21,0))="","",INDEX(drops!$R$2:$R$21,MATCH($H140,drops!$A$2:$A$21,0))),""))</f>
        <v/>
      </c>
      <c r="BB140" s="25">
        <f>IF(OR($A140="",$Q140&lt;&gt;"Y"),1000000,N($AL140))</f>
        <v/>
      </c>
      <c r="BC140" s="25">
        <f>IF($A140="","",IF(COUNTIF(survey_frozen!$P$2:$P$251,$A140&amp;"|"&amp;$B140)&gt;0,"Y",""))</f>
        <v/>
      </c>
    </row>
    <row r="141">
      <c r="C141" s="9" t="n"/>
      <c r="E141" s="9" t="n"/>
      <c r="H141" s="25">
        <f>IF($A141="","",IFERROR(IF(INDEX(campaigns!$B$2:$B$51,MATCH($A141,campaigns!$A$2:$A$51,0))="","",INDEX(campaigns!$B$2:$B$51,MATCH($A141,campaigns!$A$2:$A$51,0))),""))</f>
        <v/>
      </c>
      <c r="I141" s="26">
        <f>IF($A141="","",IFERROR(IF(INDEX(campaigns!$BG$2:$BG$51,MATCH($A141,campaigns!$A$2:$A$51,0))="","",INDEX(campaigns!$BG$2:$BG$51,MATCH($A141,campaigns!$A$2:$A$51,0))),""))</f>
        <v/>
      </c>
      <c r="J141" s="25">
        <f>IF($A141="","",IFERROR(IF(INDEX(campaigns!$BE$2:$BE$51,MATCH($A141,campaigns!$A$2:$A$51,0))="","",INDEX(campaigns!$BE$2:$BE$51,MATCH($A141,campaigns!$A$2:$A$51,0))),""))</f>
        <v/>
      </c>
      <c r="K141" s="25">
        <f>IF($B141="","",IFERROR(IF(INDEX(offices!$N$2:$N$61,MATCH($B141,offices!$A$2:$A$61,0))="","",INDEX(offices!$N$2:$N$61,MATCH($B141,offices!$A$2:$A$61,0))),""))</f>
        <v/>
      </c>
      <c r="L141" s="25">
        <f>IF($A141="","",IF($Q141="N","",COUNTIFS($A$2:$A141,$A141,$Q$2:$Q141,"&lt;&gt;N")))</f>
        <v/>
      </c>
      <c r="M141" s="25">
        <f>IF(OR($A141="",$L141=""),"",IF(AND(config!$B$34="names_if_public",IFERROR(IF(INDEX(offices!$AF$2:$AF$61,MATCH($B141,offices!$A$2:$A$61,0))="","",INDEX(offices!$AF$2:$AF$61,MATCH($B141,offices!$A$2:$A$61,0))),"")="Y"),$K141,CHAR(64+$L141)))</f>
        <v/>
      </c>
      <c r="N141" s="25">
        <f>IF(OR($A141="",$I141=""),"",COUNTIFS(stops!$B$2:$B$151,$B141,stops!$P$2:$P$151,"&lt;"&amp;$I141,stops!$L$2:$L$151,"&lt;&gt;not_delivered")+1)</f>
        <v/>
      </c>
      <c r="O141" s="25">
        <f>IF($A141="","",IF(N($N141)&lt;=config!$B$29,"explicit","opt-out"))</f>
        <v/>
      </c>
      <c r="P141" s="25">
        <f>IF($A141="","",IF($O141="explicit",IF($D141="yes","Y",IF($D141="no","N","pending")),IF($D141="no","N",IF(AND($C141&lt;&gt;"",$I141&lt;&gt;"",$C141&lt;=WORKDAY(N($I141),-5,calendar!$A$2:$A$80)),"Y","pending"))))</f>
        <v/>
      </c>
      <c r="Q141" s="25">
        <f>IF($A141="","",IF($P141="N","N",IF($P141&lt;&gt;"Y","pending",IF(AND((COUNTIFS(stops!$A$2:$A$151,$H141,stops!$B$2:$B$151,$B141,stops!$L$2:$L$151,"declined")+COUNTIFS(stops!$A$2:$A$151,$H141,stops!$B$2:$B$151,$B141,stops!$L$2:$L$151,"building_refused")+COUNTIFS(stops!$A$2:$A$151,$H141,stops!$B$2:$B$151,$B141,stops!$L$2:$L$151,"not_delivered"))&gt;0,N($U141)=0),"N","Y"))))</f>
        <v/>
      </c>
      <c r="R141" s="25">
        <f>IF($A141="","",IF(COUNTIFS($A$2:$A$251,$A141,$B$2:$B$251,$B141)&gt;1,"DUPLICATE ROW; ","")&amp;IF(AND(IFERROR(IF(INDEX(offices!$AC$2:$AC$61,MATCH($B141,offices!$A$2:$A$61,0))="","",INDEX(offices!$AC$2:$AC$61,MATCH($B141,offices!$A$2:$A$61,0))),"")&lt;&gt;"",ISNUMBER(SEARCH($J141,IFERROR(IF(INDEX(offices!$AC$2:$AC$61,MATCH($B141,offices!$A$2:$A$61,0))="","",INDEX(offices!$AC$2:$AC$61,MATCH($B141,offices!$A$2:$A$61,0))),"")))),"BRAND VETOED; ","")&amp;IF(ISNUMBER(SEARCH(IFERROR(IF(INDEX(campaigns!$BF$2:$BF$51,MATCH($A141,campaigns!$A$2:$A$51,0))="","",INDEX(campaigns!$BF$2:$BF$51,MATCH($A141,campaigns!$A$2:$A$51,0))),""),IFERROR(IF(INDEX(offices!$AB$2:$AB$61,MATCH($B141,offices!$A$2:$A$61,0))="","",INDEX(offices!$AB$2:$AB$61,MATCH($B141,offices!$A$2:$A$61,0))),""))),"","info: category not on the office's list; ")&amp;IF(IFERROR(IF(INDEX(offices!$AC$2:$AC$61,MATCH($B141,offices!$A$2:$A$61,0))="","",INDEX(offices!$AC$2:$AC$61,MATCH($B141,offices!$A$2:$A$61,0))),"")&lt;&gt;"","info: read the vetoes against the label; ",""))</f>
        <v/>
      </c>
      <c r="S141" s="25">
        <f>IF($A141="","",IF($G141&lt;&gt;"",$G141,IFERROR(IF(INDEX(offices!$AL$2:$AL$61,MATCH($B141,offices!$A$2:$A$61,0))="","",INDEX(offices!$AL$2:$AL$61,MATCH($B141,offices!$A$2:$A$61,0))),"")))</f>
        <v/>
      </c>
      <c r="T141" s="25">
        <f>IF($A141="","",$A141&amp;"."&amp;$B141)</f>
        <v/>
      </c>
      <c r="U141" s="25">
        <f>IF($A141="","",SUMIFS(inventory!$G$2:$G$801,inventory!$C$2:$C$801,$A141,inventory!$D$2:$D$801,$B141,inventory!$E$2:$E$801,"delivered"))</f>
        <v/>
      </c>
      <c r="V141" s="32">
        <f>IF($A141="","",IFERROR(1/(1/SUMPRODUCT(MAX((inventory!$C$2:$C$801=$A141)*(inventory!$D$2:$D$801=$B141)*(inventory!$E$2:$E$801="delivered")*(inventory!$A$2:$A$801+inventory!$B$2:$B$801)))),""))</f>
        <v/>
      </c>
      <c r="W141" s="25">
        <f>IF($A141="","",IFERROR(IF(INDEX(inventory!$J$2:$J$801,MATCH($A141&amp;"|"&amp;$B141&amp;"|delivered",inventory!$R$2:$R$801,0))="","",INDEX(inventory!$J$2:$J$801,MATCH($A141&amp;"|"&amp;$B141&amp;"|delivered",inventory!$R$2:$R$801,0))),""))</f>
        <v/>
      </c>
      <c r="X141" s="25">
        <f>IF($A141="","",IFERROR(IF(INDEX(photos!$H$2:$H$701,MATCH($A141&amp;"|"&amp;$B141&amp;"|placement|Y",photos!$R$2:$R$701,0))="","",INDEX(photos!$H$2:$H$701,MATCH($A141&amp;"|"&amp;$B141&amp;"|placement|Y",photos!$R$2:$R$701,0))),""))</f>
        <v/>
      </c>
      <c r="Y141" s="26">
        <f>IF($A141="","",IFERROR(IF(INDEX(photos!$E$2:$E$701,MATCH($A141&amp;"|"&amp;$B141&amp;"|placement|Y",photos!$R$2:$R$701,0))="","",INDEX(photos!$E$2:$E$701,MATCH($A141&amp;"|"&amp;$B141&amp;"|placement|Y",photos!$R$2:$R$701,0))),""))</f>
        <v/>
      </c>
      <c r="Z141" s="25">
        <f>IF($A141="","",IF(COUNTIFS(counts!$C$2:$C$701,$A141,counts!$D$2:$D$701,$B141,counts!$E$2:$E$701,"placed")=0,"",SUMIFS(counts!$F$2:$F$701,counts!$C$2:$C$701,$A141,counts!$D$2:$D$701,$B141,counts!$E$2:$E$701,"placed")))</f>
        <v/>
      </c>
      <c r="AA141" s="25">
        <f>IF($A141="","",IF($Y141="",0,N($Z141)))</f>
        <v/>
      </c>
      <c r="AB141" s="25">
        <f>IF($A141="","",IF(OR($Y141="",$I141=""),"N",IF($Y141&lt;=WORKDAY(N($I141),1,calendar!$A$2:$A$80),"Y","N")))</f>
        <v/>
      </c>
      <c r="AC141" s="28">
        <f>IF(OR($A141="",$V141="",$Y141=""),"",ROUND(($Y141+N(IFERROR(IF(INDEX(photos!$F$2:$F$701,MATCH($A141&amp;"|"&amp;$B141&amp;"|placement|Y",photos!$R$2:$R$701,0))="","",INDEX(photos!$F$2:$F$701,MATCH($A141&amp;"|"&amp;$B141&amp;"|placement|Y",photos!$R$2:$R$701,0))),""))-$V141)*24,1))</f>
        <v/>
      </c>
      <c r="AD141" s="25">
        <f>IF($A141="","",SUMIFS(inventory!$G$2:$G$801,inventory!$C$2:$C$801,$A141,inventory!$D$2:$D$801,$B141,inventory!$E$2:$E$801,"topped_up"))</f>
        <v/>
      </c>
      <c r="AE141" s="25">
        <f>IF($A141="","",IF(COUNTIFS(counts!$C$2:$C$701,$A141,counts!$D$2:$D$701,$B141,counts!$E$2:$E$701,"remaining_day3")=0,"",SUMIFS(counts!$F$2:$F$701,counts!$C$2:$C$701,$A141,counts!$D$2:$D$701,$B141,counts!$E$2:$E$701,"remaining_day3")))</f>
        <v/>
      </c>
      <c r="AF141" s="25">
        <f>IF($A141="","",IF(COUNTIFS(counts!$C$2:$C$701,$A141,counts!$D$2:$D$701,$B141,counts!$E$2:$E$701,"remaining_day5")=0,"",SUMIFS(counts!$F$2:$F$701,counts!$C$2:$C$701,$A141,counts!$D$2:$D$701,$B141,counts!$E$2:$E$701,"remaining_day5")))</f>
        <v/>
      </c>
      <c r="AG141" s="25">
        <f>IF(OR($A141="",$AF141=""),"",MAX(0,$AA141+$AD141-$AF141))</f>
        <v/>
      </c>
      <c r="AH141" s="25">
        <f>IF(OR($A141="",$AI141=""),"",IFERROR(IF(INDEX(photos!$H$2:$H$701,MATCH($A141&amp;"|"&amp;$B141&amp;"|later|Y|"&amp;$AI141,photos!$S$2:$S$701,0))="","",INDEX(photos!$H$2:$H$701,MATCH($A141&amp;"|"&amp;$B141&amp;"|later|Y|"&amp;$AI141,photos!$S$2:$S$701,0))),""))</f>
        <v/>
      </c>
      <c r="AI141" s="26">
        <f>IF($A141="","",IFERROR(1/(1/SUMPRODUCT(MAX((photos!$B$2:$B$701=$A141)*(photos!$C$2:$C$701=$B141)*(photos!$D$2:$D$701="later")*(photos!$O$2:$O$701="Y")*photos!$E$2:$E$701))),""))</f>
        <v/>
      </c>
      <c r="AJ141" s="25">
        <f>IF(OR($A141="",$AI141="",$I141=""),"",NETWORKDAYS($I141,$AI141,calendar!$A$2:$A$80))</f>
        <v/>
      </c>
      <c r="AK141" s="25">
        <f>IF($A141="","",IF(AND($X141&lt;&gt;"",$AH141&lt;&gt;""),"Y","N"))</f>
        <v/>
      </c>
      <c r="AL141" s="25">
        <f>IF(OR($A141="",$I141=""),"",IF($BC141="Y",SUMIFS(survey_frozen!$C$2:$C$251,survey_frozen!$P$2:$P$251,$A141&amp;"|"&amp;$B141),IFERROR(COUNTIFS(INDIRECT("'"&amp;$A141&amp;"'!$B$2:$B$501"),$T141,INDIRECT("'"&amp;$A141&amp;"'!$A$2:$A$501"),"&gt;="&amp;$I141,INDIRECT("'"&amp;$A141&amp;"'!$A$2:$A$501"),"&lt;"&amp;($BA141+1)),0)))</f>
        <v/>
      </c>
      <c r="AM141" s="25">
        <f>IF(OR($A141="",$I141=""),"",IF($BC141="Y",SUMIFS(survey_frozen!$D$2:$D$251,survey_frozen!$P$2:$P$251,$A141&amp;"|"&amp;$B141),IFERROR(COUNTIFS(INDIRECT("'"&amp;$A141&amp;"'!$B$2:$B$501"),$T141,INDIRECT("'"&amp;$A141&amp;"'!$A$2:$A$501"),"&gt;="&amp;$I141,INDIRECT("'"&amp;$A141&amp;"'!$A$2:$A$501"),"&lt;"&amp;($BA141+1),INDIRECT("'"&amp;$A141&amp;"'!$C$2:$C$501"),"Yes"),0)))</f>
        <v/>
      </c>
      <c r="AN141" s="25">
        <f>IF($A141="","",IF(COUNTIFS(scans!$C$2:$C$1601,(IF(LEFT($A141,7)="SAMPLE-","SAMPLE-","")&amp;LOWER(SUBSTITUTE(SUBSTITUTE($A141,"SAMPLE-",""),"CMP-","c"))&amp;"-"&amp;LOWER(SUBSTITUTE(SUBSTITUTE($B141,"SAMPLE-",""),"O-","o"))&amp;"-q"),scans!$D$2:$D$1601,"close")=0,"",SUMPRODUCT(MAX((scans!$C$2:$C$1601=(IF(LEFT($A141,7)="SAMPLE-","SAMPLE-","")&amp;LOWER(SUBSTITUTE(SUBSTITUTE($A141,"SAMPLE-",""),"CMP-","c"))&amp;"-"&amp;LOWER(SUBSTITUTE(SUBSTITUTE($B141,"SAMPLE-",""),"O-","o"))&amp;"-q"))*(scans!$D$2:$D$1601="close")*scans!$E$2:$E$1601))-SUMPRODUCT(MAX((scans!$C$2:$C$1601=(IF(LEFT($A141,7)="SAMPLE-","SAMPLE-","")&amp;LOWER(SUBSTITUTE(SUBSTITUTE($A141,"SAMPLE-",""),"CMP-","c"))&amp;"-"&amp;LOWER(SUBSTITUTE(SUBSTITUTE($B141,"SAMPLE-",""),"O-","o"))&amp;"-q"))*(scans!$D$2:$D$1601="baseline")*scans!$E$2:$E$1601))))</f>
        <v/>
      </c>
      <c r="AO141" s="25">
        <f>IF($A141="","",IF(COUNTIFS(scans!$C$2:$C$1601,(IF(LEFT($A141,7)="SAMPLE-","SAMPLE-","")&amp;LOWER(SUBSTITUTE(SUBSTITUTE($A141,"SAMPLE-",""),"CMP-","c"))&amp;"-"&amp;LOWER(SUBSTITUTE(SUBSTITUTE($B141,"SAMPLE-",""),"O-","o"))&amp;"-p"),scans!$D$2:$D$1601,"close")=0,"",SUMPRODUCT(MAX((scans!$C$2:$C$1601=(IF(LEFT($A141,7)="SAMPLE-","SAMPLE-","")&amp;LOWER(SUBSTITUTE(SUBSTITUTE($A141,"SAMPLE-",""),"CMP-","c"))&amp;"-"&amp;LOWER(SUBSTITUTE(SUBSTITUTE($B141,"SAMPLE-",""),"O-","o"))&amp;"-p"))*(scans!$D$2:$D$1601="close")*scans!$E$2:$E$1601))-SUMPRODUCT(MAX((scans!$C$2:$C$1601=(IF(LEFT($A141,7)="SAMPLE-","SAMPLE-","")&amp;LOWER(SUBSTITUTE(SUBSTITUTE($A141,"SAMPLE-",""),"CMP-","c"))&amp;"-"&amp;LOWER(SUBSTITUTE(SUBSTITUTE($B141,"SAMPLE-",""),"O-","o"))&amp;"-p"))*(scans!$D$2:$D$1601="baseline")*scans!$E$2:$E$1601))))</f>
        <v/>
      </c>
      <c r="AP141" s="25">
        <f>IF($A141="","",IF(COUNTIF(offices!$A$2:$A$61,$B141)=0,"office_id not on offices; ","")&amp;IF(COUNTIF(campaigns!$A$2:$A$51,$A141)=0,"campaign_id not on campaigns; ","")&amp;IF($P141="pending","approval pending; ","")&amp;IF(AND($U141&gt;0,$Y141="",OR($I141="",IF(config!$B$37&lt;&gt;"",config!$B$37,TODAY())&lt;=WORKDAY(N($I141),4,calendar!$A$2:$A$80))),"no usable placement photo yet; ","")&amp;IF(AND($Y141&lt;&gt;"",$Z141=""),"log the placed count; ","")&amp;IF(N($AA141)&gt;N($U141),"placed more than delivered; ","")&amp;IF(AND($AF141&lt;&gt;"",N($AF141)&gt;N($AA141)+N($AD141)),"day-5 count above placed plus top-ups; ","")&amp;IF(AND($U141&gt;0,$I141&lt;&gt;"",IF(config!$B$37&lt;&gt;"",config!$B$37,TODAY())&gt;WORKDAY(N($I141),4,calendar!$A$2:$A$80),$AF141=""),"day-5 count missing; ","")&amp;IF(AND($U141&gt;0,$I141&lt;&gt;"",IF(config!$B$37&lt;&gt;"",config!$B$37,TODAY())&gt;WORKDAY(N($I141),4,calendar!$A$2:$A$80),$AN141=""),"no close link reading; ","")&amp;$R141&amp;IF($P141="N","info: office said no; ","")&amp;IF(AND($P141="Y",$Q141="N"),"info: turned away at the door, so not on the drop (no letter, not in the report or Gate 2; the credit check is on campaigns); ","")&amp;IF(AND($U141&gt;0,$Y141="",$I141&lt;&gt;"",IF(config!$B$37&lt;&gt;"",config!$B$37,TODAY())&gt;WORKDAY(N($I141),4,calendar!$A$2:$A$80)),"info: no usable placement photo, so nothing counts as placed; ","")&amp;IF(AND($U141&gt;0,$I141&lt;&gt;"",IF(config!$B$37&lt;&gt;"",config!$B$37,TODAY())&gt;WORKDAY(N($I141),4,calendar!$A$2:$A$80),N($AL141)&lt;config!$B$30),"info: under "&amp;config!$B$30&amp;" responses; ","")&amp;IF($W141="packing_list","info: delivered count not verified; ",""))</f>
        <v/>
      </c>
      <c r="AQ141" s="25">
        <f>IF(OR($A141="",$I141=""),"",IF($BC141="Y",SUMIFS(survey_frozen!$E$2:$E$251,survey_frozen!$P$2:$P$251,$A141&amp;"|"&amp;$B141),IFERROR(COUNTIFS(INDIRECT("'"&amp;$A141&amp;"'!$B$2:$B$501"),$T141,INDIRECT("'"&amp;$A141&amp;"'!$A$2:$A$501"),"&gt;="&amp;$I141,INDIRECT("'"&amp;$A141&amp;"'!$A$2:$A$501"),"&lt;"&amp;($BA141+1),INDIRECT("'"&amp;$A141&amp;"'!$F$2:$F$501"),"Didn't see it"),0)))</f>
        <v/>
      </c>
      <c r="AR141" s="25">
        <f>IF(OR($A141="",$I141=""),"",IF($BC141="Y",SUMIFS(survey_frozen!$F$2:$F$251,survey_frozen!$P$2:$P$251,$A141&amp;"|"&amp;$B141),IFERROR(COUNTIFS(INDIRECT("'"&amp;$A141&amp;"'!$B$2:$B$501"),$T141,INDIRECT("'"&amp;$A141&amp;"'!$A$2:$A$501"),"&gt;="&amp;$I141,INDIRECT("'"&amp;$A141&amp;"'!$A$2:$A$501"),"&lt;"&amp;($BA141+1),INDIRECT("'"&amp;$A141&amp;"'!$F$2:$F$501"),"Not for me"),0)))</f>
        <v/>
      </c>
      <c r="AS141" s="25">
        <f>IF(OR($A141="",$I141=""),"",IF($BC141="Y",SUMIFS(survey_frozen!$G$2:$G$251,survey_frozen!$P$2:$P$251,$A141&amp;"|"&amp;$B141),IFERROR(COUNTIFS(INDIRECT("'"&amp;$A141&amp;"'!$B$2:$B$501"),$T141,INDIRECT("'"&amp;$A141&amp;"'!$A$2:$A$501"),"&gt;="&amp;$I141,INDIRECT("'"&amp;$A141&amp;"'!$A$2:$A$501"),"&lt;"&amp;($BA141+1),INDIRECT("'"&amp;$A141&amp;"'!$F$2:$F$501"),"Gone by the time I looked"),0)))</f>
        <v/>
      </c>
      <c r="AT141" s="25">
        <f>IF(OR($A141="",$I141=""),"",IF($BC141="Y",SUMIFS(survey_frozen!$H$2:$H$251,survey_frozen!$P$2:$P$251,$A141&amp;"|"&amp;$B141),IFERROR(COUNTIFS(INDIRECT("'"&amp;$A141&amp;"'!$B$2:$B$501"),$T141,INDIRECT("'"&amp;$A141&amp;"'!$A$2:$A$501"),"&gt;="&amp;$I141,INDIRECT("'"&amp;$A141&amp;"'!$A$2:$A$501"),"&lt;"&amp;($BA141+1),INDIRECT("'"&amp;$A141&amp;"'!$D$2:$D$501"),"&gt;=1"),0)))</f>
        <v/>
      </c>
      <c r="AU141" s="25">
        <f>IF(OR($A141="",$I141=""),"",IF($BC141="Y",SUMIFS(survey_frozen!$I$2:$I$251,survey_frozen!$P$2:$P$251,$A141&amp;"|"&amp;$B141),IFERROR(SUMIFS(INDIRECT("'"&amp;$A141&amp;"'!$D$2:$D$501"),INDIRECT("'"&amp;$A141&amp;"'!$B$2:$B$501"),$T141,INDIRECT("'"&amp;$A141&amp;"'!$A$2:$A$501"),"&gt;="&amp;$I141,INDIRECT("'"&amp;$A141&amp;"'!$A$2:$A$501"),"&lt;"&amp;($BA141+1)),0)))</f>
        <v/>
      </c>
      <c r="AV141" s="25">
        <f>IF(OR($A141="",$I141=""),"",IF($BC141="Y",SUMIFS(survey_frozen!$J$2:$J$251,survey_frozen!$P$2:$P$251,$A141&amp;"|"&amp;$B141),IFERROR(COUNTIFS(INDIRECT("'"&amp;$A141&amp;"'!$B$2:$B$501"),$T141,INDIRECT("'"&amp;$A141&amp;"'!$A$2:$A$501"),"&gt;="&amp;$I141,INDIRECT("'"&amp;$A141&amp;"'!$A$2:$A$501"),"&lt;"&amp;($BA141+1),INDIRECT("'"&amp;$A141&amp;"'!$E$2:$E$501"),"Yes"),0)))</f>
        <v/>
      </c>
      <c r="AW141" s="25">
        <f>IF(OR($A141="",$I141=""),"",IF($BC141="Y",SUMIFS(survey_frozen!$K$2:$K$251,survey_frozen!$P$2:$P$251,$A141&amp;"|"&amp;$B141),IFERROR(COUNTIFS(INDIRECT("'"&amp;$A141&amp;"'!$B$2:$B$501"),$T141,INDIRECT("'"&amp;$A141&amp;"'!$A$2:$A$501"),"&gt;="&amp;$I141,INDIRECT("'"&amp;$A141&amp;"'!$A$2:$A$501"),"&lt;"&amp;($BA141+1),INDIRECT("'"&amp;$A141&amp;"'!$E$2:$E$501"),"Maybe"),0)))</f>
        <v/>
      </c>
      <c r="AX141" s="25">
        <f>IF(OR($A141="",$I141=""),"",IF($BC141="Y",SUMIFS(survey_frozen!$L$2:$L$251,survey_frozen!$P$2:$P$251,$A141&amp;"|"&amp;$B141),IFERROR(COUNTIFS(INDIRECT("'"&amp;$A141&amp;"'!$B$2:$B$501"),$T141,INDIRECT("'"&amp;$A141&amp;"'!$A$2:$A$501"),"&gt;="&amp;$I141,INDIRECT("'"&amp;$A141&amp;"'!$A$2:$A$501"),"&lt;"&amp;($BA141+1),INDIRECT("'"&amp;$A141&amp;"'!$E$2:$E$501"),"No"),0)))</f>
        <v/>
      </c>
      <c r="AY141" s="25">
        <f>IF(OR($A141="",$I141=""),"",IF($BC141="Y",SUMIFS(survey_frozen!$M$2:$M$251,survey_frozen!$P$2:$P$251,$A141&amp;"|"&amp;$B141),IFERROR(COUNTIFS(INDIRECT("'"&amp;$A141&amp;"'!$B$2:$B$501"),$T141,INDIRECT("'"&amp;$A141&amp;"'!$A$2:$A$501"),"&gt;="&amp;$I141,INDIRECT("'"&amp;$A141&amp;"'!$A$2:$A$501"),"&lt;"&amp;($BA141+1),INDIRECT("'"&amp;$A141&amp;"'!$G$2:$G$501"),"&lt;&gt;"),0)))</f>
        <v/>
      </c>
      <c r="AZ141" s="25">
        <f>IF($A141="","",$A141&amp;"|"&amp;$L141)</f>
        <v/>
      </c>
      <c r="BA141" s="26">
        <f>IF($A141="","",IFERROR(IF(INDEX(drops!$R$2:$R$21,MATCH($H141,drops!$A$2:$A$21,0))="","",INDEX(drops!$R$2:$R$21,MATCH($H141,drops!$A$2:$A$21,0))),""))</f>
        <v/>
      </c>
      <c r="BB141" s="25">
        <f>IF(OR($A141="",$Q141&lt;&gt;"Y"),1000000,N($AL141))</f>
        <v/>
      </c>
      <c r="BC141" s="25">
        <f>IF($A141="","",IF(COUNTIF(survey_frozen!$P$2:$P$251,$A141&amp;"|"&amp;$B141)&gt;0,"Y",""))</f>
        <v/>
      </c>
    </row>
    <row r="142">
      <c r="C142" s="9" t="n"/>
      <c r="E142" s="9" t="n"/>
      <c r="H142" s="25">
        <f>IF($A142="","",IFERROR(IF(INDEX(campaigns!$B$2:$B$51,MATCH($A142,campaigns!$A$2:$A$51,0))="","",INDEX(campaigns!$B$2:$B$51,MATCH($A142,campaigns!$A$2:$A$51,0))),""))</f>
        <v/>
      </c>
      <c r="I142" s="26">
        <f>IF($A142="","",IFERROR(IF(INDEX(campaigns!$BG$2:$BG$51,MATCH($A142,campaigns!$A$2:$A$51,0))="","",INDEX(campaigns!$BG$2:$BG$51,MATCH($A142,campaigns!$A$2:$A$51,0))),""))</f>
        <v/>
      </c>
      <c r="J142" s="25">
        <f>IF($A142="","",IFERROR(IF(INDEX(campaigns!$BE$2:$BE$51,MATCH($A142,campaigns!$A$2:$A$51,0))="","",INDEX(campaigns!$BE$2:$BE$51,MATCH($A142,campaigns!$A$2:$A$51,0))),""))</f>
        <v/>
      </c>
      <c r="K142" s="25">
        <f>IF($B142="","",IFERROR(IF(INDEX(offices!$N$2:$N$61,MATCH($B142,offices!$A$2:$A$61,0))="","",INDEX(offices!$N$2:$N$61,MATCH($B142,offices!$A$2:$A$61,0))),""))</f>
        <v/>
      </c>
      <c r="L142" s="25">
        <f>IF($A142="","",IF($Q142="N","",COUNTIFS($A$2:$A142,$A142,$Q$2:$Q142,"&lt;&gt;N")))</f>
        <v/>
      </c>
      <c r="M142" s="25">
        <f>IF(OR($A142="",$L142=""),"",IF(AND(config!$B$34="names_if_public",IFERROR(IF(INDEX(offices!$AF$2:$AF$61,MATCH($B142,offices!$A$2:$A$61,0))="","",INDEX(offices!$AF$2:$AF$61,MATCH($B142,offices!$A$2:$A$61,0))),"")="Y"),$K142,CHAR(64+$L142)))</f>
        <v/>
      </c>
      <c r="N142" s="25">
        <f>IF(OR($A142="",$I142=""),"",COUNTIFS(stops!$B$2:$B$151,$B142,stops!$P$2:$P$151,"&lt;"&amp;$I142,stops!$L$2:$L$151,"&lt;&gt;not_delivered")+1)</f>
        <v/>
      </c>
      <c r="O142" s="25">
        <f>IF($A142="","",IF(N($N142)&lt;=config!$B$29,"explicit","opt-out"))</f>
        <v/>
      </c>
      <c r="P142" s="25">
        <f>IF($A142="","",IF($O142="explicit",IF($D142="yes","Y",IF($D142="no","N","pending")),IF($D142="no","N",IF(AND($C142&lt;&gt;"",$I142&lt;&gt;"",$C142&lt;=WORKDAY(N($I142),-5,calendar!$A$2:$A$80)),"Y","pending"))))</f>
        <v/>
      </c>
      <c r="Q142" s="25">
        <f>IF($A142="","",IF($P142="N","N",IF($P142&lt;&gt;"Y","pending",IF(AND((COUNTIFS(stops!$A$2:$A$151,$H142,stops!$B$2:$B$151,$B142,stops!$L$2:$L$151,"declined")+COUNTIFS(stops!$A$2:$A$151,$H142,stops!$B$2:$B$151,$B142,stops!$L$2:$L$151,"building_refused")+COUNTIFS(stops!$A$2:$A$151,$H142,stops!$B$2:$B$151,$B142,stops!$L$2:$L$151,"not_delivered"))&gt;0,N($U142)=0),"N","Y"))))</f>
        <v/>
      </c>
      <c r="R142" s="25">
        <f>IF($A142="","",IF(COUNTIFS($A$2:$A$251,$A142,$B$2:$B$251,$B142)&gt;1,"DUPLICATE ROW; ","")&amp;IF(AND(IFERROR(IF(INDEX(offices!$AC$2:$AC$61,MATCH($B142,offices!$A$2:$A$61,0))="","",INDEX(offices!$AC$2:$AC$61,MATCH($B142,offices!$A$2:$A$61,0))),"")&lt;&gt;"",ISNUMBER(SEARCH($J142,IFERROR(IF(INDEX(offices!$AC$2:$AC$61,MATCH($B142,offices!$A$2:$A$61,0))="","",INDEX(offices!$AC$2:$AC$61,MATCH($B142,offices!$A$2:$A$61,0))),"")))),"BRAND VETOED; ","")&amp;IF(ISNUMBER(SEARCH(IFERROR(IF(INDEX(campaigns!$BF$2:$BF$51,MATCH($A142,campaigns!$A$2:$A$51,0))="","",INDEX(campaigns!$BF$2:$BF$51,MATCH($A142,campaigns!$A$2:$A$51,0))),""),IFERROR(IF(INDEX(offices!$AB$2:$AB$61,MATCH($B142,offices!$A$2:$A$61,0))="","",INDEX(offices!$AB$2:$AB$61,MATCH($B142,offices!$A$2:$A$61,0))),""))),"","info: category not on the office's list; ")&amp;IF(IFERROR(IF(INDEX(offices!$AC$2:$AC$61,MATCH($B142,offices!$A$2:$A$61,0))="","",INDEX(offices!$AC$2:$AC$61,MATCH($B142,offices!$A$2:$A$61,0))),"")&lt;&gt;"","info: read the vetoes against the label; ",""))</f>
        <v/>
      </c>
      <c r="S142" s="25">
        <f>IF($A142="","",IF($G142&lt;&gt;"",$G142,IFERROR(IF(INDEX(offices!$AL$2:$AL$61,MATCH($B142,offices!$A$2:$A$61,0))="","",INDEX(offices!$AL$2:$AL$61,MATCH($B142,offices!$A$2:$A$61,0))),"")))</f>
        <v/>
      </c>
      <c r="T142" s="25">
        <f>IF($A142="","",$A142&amp;"."&amp;$B142)</f>
        <v/>
      </c>
      <c r="U142" s="25">
        <f>IF($A142="","",SUMIFS(inventory!$G$2:$G$801,inventory!$C$2:$C$801,$A142,inventory!$D$2:$D$801,$B142,inventory!$E$2:$E$801,"delivered"))</f>
        <v/>
      </c>
      <c r="V142" s="32">
        <f>IF($A142="","",IFERROR(1/(1/SUMPRODUCT(MAX((inventory!$C$2:$C$801=$A142)*(inventory!$D$2:$D$801=$B142)*(inventory!$E$2:$E$801="delivered")*(inventory!$A$2:$A$801+inventory!$B$2:$B$801)))),""))</f>
        <v/>
      </c>
      <c r="W142" s="25">
        <f>IF($A142="","",IFERROR(IF(INDEX(inventory!$J$2:$J$801,MATCH($A142&amp;"|"&amp;$B142&amp;"|delivered",inventory!$R$2:$R$801,0))="","",INDEX(inventory!$J$2:$J$801,MATCH($A142&amp;"|"&amp;$B142&amp;"|delivered",inventory!$R$2:$R$801,0))),""))</f>
        <v/>
      </c>
      <c r="X142" s="25">
        <f>IF($A142="","",IFERROR(IF(INDEX(photos!$H$2:$H$701,MATCH($A142&amp;"|"&amp;$B142&amp;"|placement|Y",photos!$R$2:$R$701,0))="","",INDEX(photos!$H$2:$H$701,MATCH($A142&amp;"|"&amp;$B142&amp;"|placement|Y",photos!$R$2:$R$701,0))),""))</f>
        <v/>
      </c>
      <c r="Y142" s="26">
        <f>IF($A142="","",IFERROR(IF(INDEX(photos!$E$2:$E$701,MATCH($A142&amp;"|"&amp;$B142&amp;"|placement|Y",photos!$R$2:$R$701,0))="","",INDEX(photos!$E$2:$E$701,MATCH($A142&amp;"|"&amp;$B142&amp;"|placement|Y",photos!$R$2:$R$701,0))),""))</f>
        <v/>
      </c>
      <c r="Z142" s="25">
        <f>IF($A142="","",IF(COUNTIFS(counts!$C$2:$C$701,$A142,counts!$D$2:$D$701,$B142,counts!$E$2:$E$701,"placed")=0,"",SUMIFS(counts!$F$2:$F$701,counts!$C$2:$C$701,$A142,counts!$D$2:$D$701,$B142,counts!$E$2:$E$701,"placed")))</f>
        <v/>
      </c>
      <c r="AA142" s="25">
        <f>IF($A142="","",IF($Y142="",0,N($Z142)))</f>
        <v/>
      </c>
      <c r="AB142" s="25">
        <f>IF($A142="","",IF(OR($Y142="",$I142=""),"N",IF($Y142&lt;=WORKDAY(N($I142),1,calendar!$A$2:$A$80),"Y","N")))</f>
        <v/>
      </c>
      <c r="AC142" s="28">
        <f>IF(OR($A142="",$V142="",$Y142=""),"",ROUND(($Y142+N(IFERROR(IF(INDEX(photos!$F$2:$F$701,MATCH($A142&amp;"|"&amp;$B142&amp;"|placement|Y",photos!$R$2:$R$701,0))="","",INDEX(photos!$F$2:$F$701,MATCH($A142&amp;"|"&amp;$B142&amp;"|placement|Y",photos!$R$2:$R$701,0))),""))-$V142)*24,1))</f>
        <v/>
      </c>
      <c r="AD142" s="25">
        <f>IF($A142="","",SUMIFS(inventory!$G$2:$G$801,inventory!$C$2:$C$801,$A142,inventory!$D$2:$D$801,$B142,inventory!$E$2:$E$801,"topped_up"))</f>
        <v/>
      </c>
      <c r="AE142" s="25">
        <f>IF($A142="","",IF(COUNTIFS(counts!$C$2:$C$701,$A142,counts!$D$2:$D$701,$B142,counts!$E$2:$E$701,"remaining_day3")=0,"",SUMIFS(counts!$F$2:$F$701,counts!$C$2:$C$701,$A142,counts!$D$2:$D$701,$B142,counts!$E$2:$E$701,"remaining_day3")))</f>
        <v/>
      </c>
      <c r="AF142" s="25">
        <f>IF($A142="","",IF(COUNTIFS(counts!$C$2:$C$701,$A142,counts!$D$2:$D$701,$B142,counts!$E$2:$E$701,"remaining_day5")=0,"",SUMIFS(counts!$F$2:$F$701,counts!$C$2:$C$701,$A142,counts!$D$2:$D$701,$B142,counts!$E$2:$E$701,"remaining_day5")))</f>
        <v/>
      </c>
      <c r="AG142" s="25">
        <f>IF(OR($A142="",$AF142=""),"",MAX(0,$AA142+$AD142-$AF142))</f>
        <v/>
      </c>
      <c r="AH142" s="25">
        <f>IF(OR($A142="",$AI142=""),"",IFERROR(IF(INDEX(photos!$H$2:$H$701,MATCH($A142&amp;"|"&amp;$B142&amp;"|later|Y|"&amp;$AI142,photos!$S$2:$S$701,0))="","",INDEX(photos!$H$2:$H$701,MATCH($A142&amp;"|"&amp;$B142&amp;"|later|Y|"&amp;$AI142,photos!$S$2:$S$701,0))),""))</f>
        <v/>
      </c>
      <c r="AI142" s="26">
        <f>IF($A142="","",IFERROR(1/(1/SUMPRODUCT(MAX((photos!$B$2:$B$701=$A142)*(photos!$C$2:$C$701=$B142)*(photos!$D$2:$D$701="later")*(photos!$O$2:$O$701="Y")*photos!$E$2:$E$701))),""))</f>
        <v/>
      </c>
      <c r="AJ142" s="25">
        <f>IF(OR($A142="",$AI142="",$I142=""),"",NETWORKDAYS($I142,$AI142,calendar!$A$2:$A$80))</f>
        <v/>
      </c>
      <c r="AK142" s="25">
        <f>IF($A142="","",IF(AND($X142&lt;&gt;"",$AH142&lt;&gt;""),"Y","N"))</f>
        <v/>
      </c>
      <c r="AL142" s="25">
        <f>IF(OR($A142="",$I142=""),"",IF($BC142="Y",SUMIFS(survey_frozen!$C$2:$C$251,survey_frozen!$P$2:$P$251,$A142&amp;"|"&amp;$B142),IFERROR(COUNTIFS(INDIRECT("'"&amp;$A142&amp;"'!$B$2:$B$501"),$T142,INDIRECT("'"&amp;$A142&amp;"'!$A$2:$A$501"),"&gt;="&amp;$I142,INDIRECT("'"&amp;$A142&amp;"'!$A$2:$A$501"),"&lt;"&amp;($BA142+1)),0)))</f>
        <v/>
      </c>
      <c r="AM142" s="25">
        <f>IF(OR($A142="",$I142=""),"",IF($BC142="Y",SUMIFS(survey_frozen!$D$2:$D$251,survey_frozen!$P$2:$P$251,$A142&amp;"|"&amp;$B142),IFERROR(COUNTIFS(INDIRECT("'"&amp;$A142&amp;"'!$B$2:$B$501"),$T142,INDIRECT("'"&amp;$A142&amp;"'!$A$2:$A$501"),"&gt;="&amp;$I142,INDIRECT("'"&amp;$A142&amp;"'!$A$2:$A$501"),"&lt;"&amp;($BA142+1),INDIRECT("'"&amp;$A142&amp;"'!$C$2:$C$501"),"Yes"),0)))</f>
        <v/>
      </c>
      <c r="AN142" s="25">
        <f>IF($A142="","",IF(COUNTIFS(scans!$C$2:$C$1601,(IF(LEFT($A142,7)="SAMPLE-","SAMPLE-","")&amp;LOWER(SUBSTITUTE(SUBSTITUTE($A142,"SAMPLE-",""),"CMP-","c"))&amp;"-"&amp;LOWER(SUBSTITUTE(SUBSTITUTE($B142,"SAMPLE-",""),"O-","o"))&amp;"-q"),scans!$D$2:$D$1601,"close")=0,"",SUMPRODUCT(MAX((scans!$C$2:$C$1601=(IF(LEFT($A142,7)="SAMPLE-","SAMPLE-","")&amp;LOWER(SUBSTITUTE(SUBSTITUTE($A142,"SAMPLE-",""),"CMP-","c"))&amp;"-"&amp;LOWER(SUBSTITUTE(SUBSTITUTE($B142,"SAMPLE-",""),"O-","o"))&amp;"-q"))*(scans!$D$2:$D$1601="close")*scans!$E$2:$E$1601))-SUMPRODUCT(MAX((scans!$C$2:$C$1601=(IF(LEFT($A142,7)="SAMPLE-","SAMPLE-","")&amp;LOWER(SUBSTITUTE(SUBSTITUTE($A142,"SAMPLE-",""),"CMP-","c"))&amp;"-"&amp;LOWER(SUBSTITUTE(SUBSTITUTE($B142,"SAMPLE-",""),"O-","o"))&amp;"-q"))*(scans!$D$2:$D$1601="baseline")*scans!$E$2:$E$1601))))</f>
        <v/>
      </c>
      <c r="AO142" s="25">
        <f>IF($A142="","",IF(COUNTIFS(scans!$C$2:$C$1601,(IF(LEFT($A142,7)="SAMPLE-","SAMPLE-","")&amp;LOWER(SUBSTITUTE(SUBSTITUTE($A142,"SAMPLE-",""),"CMP-","c"))&amp;"-"&amp;LOWER(SUBSTITUTE(SUBSTITUTE($B142,"SAMPLE-",""),"O-","o"))&amp;"-p"),scans!$D$2:$D$1601,"close")=0,"",SUMPRODUCT(MAX((scans!$C$2:$C$1601=(IF(LEFT($A142,7)="SAMPLE-","SAMPLE-","")&amp;LOWER(SUBSTITUTE(SUBSTITUTE($A142,"SAMPLE-",""),"CMP-","c"))&amp;"-"&amp;LOWER(SUBSTITUTE(SUBSTITUTE($B142,"SAMPLE-",""),"O-","o"))&amp;"-p"))*(scans!$D$2:$D$1601="close")*scans!$E$2:$E$1601))-SUMPRODUCT(MAX((scans!$C$2:$C$1601=(IF(LEFT($A142,7)="SAMPLE-","SAMPLE-","")&amp;LOWER(SUBSTITUTE(SUBSTITUTE($A142,"SAMPLE-",""),"CMP-","c"))&amp;"-"&amp;LOWER(SUBSTITUTE(SUBSTITUTE($B142,"SAMPLE-",""),"O-","o"))&amp;"-p"))*(scans!$D$2:$D$1601="baseline")*scans!$E$2:$E$1601))))</f>
        <v/>
      </c>
      <c r="AP142" s="25">
        <f>IF($A142="","",IF(COUNTIF(offices!$A$2:$A$61,$B142)=0,"office_id not on offices; ","")&amp;IF(COUNTIF(campaigns!$A$2:$A$51,$A142)=0,"campaign_id not on campaigns; ","")&amp;IF($P142="pending","approval pending; ","")&amp;IF(AND($U142&gt;0,$Y142="",OR($I142="",IF(config!$B$37&lt;&gt;"",config!$B$37,TODAY())&lt;=WORKDAY(N($I142),4,calendar!$A$2:$A$80))),"no usable placement photo yet; ","")&amp;IF(AND($Y142&lt;&gt;"",$Z142=""),"log the placed count; ","")&amp;IF(N($AA142)&gt;N($U142),"placed more than delivered; ","")&amp;IF(AND($AF142&lt;&gt;"",N($AF142)&gt;N($AA142)+N($AD142)),"day-5 count above placed plus top-ups; ","")&amp;IF(AND($U142&gt;0,$I142&lt;&gt;"",IF(config!$B$37&lt;&gt;"",config!$B$37,TODAY())&gt;WORKDAY(N($I142),4,calendar!$A$2:$A$80),$AF142=""),"day-5 count missing; ","")&amp;IF(AND($U142&gt;0,$I142&lt;&gt;"",IF(config!$B$37&lt;&gt;"",config!$B$37,TODAY())&gt;WORKDAY(N($I142),4,calendar!$A$2:$A$80),$AN142=""),"no close link reading; ","")&amp;$R142&amp;IF($P142="N","info: office said no; ","")&amp;IF(AND($P142="Y",$Q142="N"),"info: turned away at the door, so not on the drop (no letter, not in the report or Gate 2; the credit check is on campaigns); ","")&amp;IF(AND($U142&gt;0,$Y142="",$I142&lt;&gt;"",IF(config!$B$37&lt;&gt;"",config!$B$37,TODAY())&gt;WORKDAY(N($I142),4,calendar!$A$2:$A$80)),"info: no usable placement photo, so nothing counts as placed; ","")&amp;IF(AND($U142&gt;0,$I142&lt;&gt;"",IF(config!$B$37&lt;&gt;"",config!$B$37,TODAY())&gt;WORKDAY(N($I142),4,calendar!$A$2:$A$80),N($AL142)&lt;config!$B$30),"info: under "&amp;config!$B$30&amp;" responses; ","")&amp;IF($W142="packing_list","info: delivered count not verified; ",""))</f>
        <v/>
      </c>
      <c r="AQ142" s="25">
        <f>IF(OR($A142="",$I142=""),"",IF($BC142="Y",SUMIFS(survey_frozen!$E$2:$E$251,survey_frozen!$P$2:$P$251,$A142&amp;"|"&amp;$B142),IFERROR(COUNTIFS(INDIRECT("'"&amp;$A142&amp;"'!$B$2:$B$501"),$T142,INDIRECT("'"&amp;$A142&amp;"'!$A$2:$A$501"),"&gt;="&amp;$I142,INDIRECT("'"&amp;$A142&amp;"'!$A$2:$A$501"),"&lt;"&amp;($BA142+1),INDIRECT("'"&amp;$A142&amp;"'!$F$2:$F$501"),"Didn't see it"),0)))</f>
        <v/>
      </c>
      <c r="AR142" s="25">
        <f>IF(OR($A142="",$I142=""),"",IF($BC142="Y",SUMIFS(survey_frozen!$F$2:$F$251,survey_frozen!$P$2:$P$251,$A142&amp;"|"&amp;$B142),IFERROR(COUNTIFS(INDIRECT("'"&amp;$A142&amp;"'!$B$2:$B$501"),$T142,INDIRECT("'"&amp;$A142&amp;"'!$A$2:$A$501"),"&gt;="&amp;$I142,INDIRECT("'"&amp;$A142&amp;"'!$A$2:$A$501"),"&lt;"&amp;($BA142+1),INDIRECT("'"&amp;$A142&amp;"'!$F$2:$F$501"),"Not for me"),0)))</f>
        <v/>
      </c>
      <c r="AS142" s="25">
        <f>IF(OR($A142="",$I142=""),"",IF($BC142="Y",SUMIFS(survey_frozen!$G$2:$G$251,survey_frozen!$P$2:$P$251,$A142&amp;"|"&amp;$B142),IFERROR(COUNTIFS(INDIRECT("'"&amp;$A142&amp;"'!$B$2:$B$501"),$T142,INDIRECT("'"&amp;$A142&amp;"'!$A$2:$A$501"),"&gt;="&amp;$I142,INDIRECT("'"&amp;$A142&amp;"'!$A$2:$A$501"),"&lt;"&amp;($BA142+1),INDIRECT("'"&amp;$A142&amp;"'!$F$2:$F$501"),"Gone by the time I looked"),0)))</f>
        <v/>
      </c>
      <c r="AT142" s="25">
        <f>IF(OR($A142="",$I142=""),"",IF($BC142="Y",SUMIFS(survey_frozen!$H$2:$H$251,survey_frozen!$P$2:$P$251,$A142&amp;"|"&amp;$B142),IFERROR(COUNTIFS(INDIRECT("'"&amp;$A142&amp;"'!$B$2:$B$501"),$T142,INDIRECT("'"&amp;$A142&amp;"'!$A$2:$A$501"),"&gt;="&amp;$I142,INDIRECT("'"&amp;$A142&amp;"'!$A$2:$A$501"),"&lt;"&amp;($BA142+1),INDIRECT("'"&amp;$A142&amp;"'!$D$2:$D$501"),"&gt;=1"),0)))</f>
        <v/>
      </c>
      <c r="AU142" s="25">
        <f>IF(OR($A142="",$I142=""),"",IF($BC142="Y",SUMIFS(survey_frozen!$I$2:$I$251,survey_frozen!$P$2:$P$251,$A142&amp;"|"&amp;$B142),IFERROR(SUMIFS(INDIRECT("'"&amp;$A142&amp;"'!$D$2:$D$501"),INDIRECT("'"&amp;$A142&amp;"'!$B$2:$B$501"),$T142,INDIRECT("'"&amp;$A142&amp;"'!$A$2:$A$501"),"&gt;="&amp;$I142,INDIRECT("'"&amp;$A142&amp;"'!$A$2:$A$501"),"&lt;"&amp;($BA142+1)),0)))</f>
        <v/>
      </c>
      <c r="AV142" s="25">
        <f>IF(OR($A142="",$I142=""),"",IF($BC142="Y",SUMIFS(survey_frozen!$J$2:$J$251,survey_frozen!$P$2:$P$251,$A142&amp;"|"&amp;$B142),IFERROR(COUNTIFS(INDIRECT("'"&amp;$A142&amp;"'!$B$2:$B$501"),$T142,INDIRECT("'"&amp;$A142&amp;"'!$A$2:$A$501"),"&gt;="&amp;$I142,INDIRECT("'"&amp;$A142&amp;"'!$A$2:$A$501"),"&lt;"&amp;($BA142+1),INDIRECT("'"&amp;$A142&amp;"'!$E$2:$E$501"),"Yes"),0)))</f>
        <v/>
      </c>
      <c r="AW142" s="25">
        <f>IF(OR($A142="",$I142=""),"",IF($BC142="Y",SUMIFS(survey_frozen!$K$2:$K$251,survey_frozen!$P$2:$P$251,$A142&amp;"|"&amp;$B142),IFERROR(COUNTIFS(INDIRECT("'"&amp;$A142&amp;"'!$B$2:$B$501"),$T142,INDIRECT("'"&amp;$A142&amp;"'!$A$2:$A$501"),"&gt;="&amp;$I142,INDIRECT("'"&amp;$A142&amp;"'!$A$2:$A$501"),"&lt;"&amp;($BA142+1),INDIRECT("'"&amp;$A142&amp;"'!$E$2:$E$501"),"Maybe"),0)))</f>
        <v/>
      </c>
      <c r="AX142" s="25">
        <f>IF(OR($A142="",$I142=""),"",IF($BC142="Y",SUMIFS(survey_frozen!$L$2:$L$251,survey_frozen!$P$2:$P$251,$A142&amp;"|"&amp;$B142),IFERROR(COUNTIFS(INDIRECT("'"&amp;$A142&amp;"'!$B$2:$B$501"),$T142,INDIRECT("'"&amp;$A142&amp;"'!$A$2:$A$501"),"&gt;="&amp;$I142,INDIRECT("'"&amp;$A142&amp;"'!$A$2:$A$501"),"&lt;"&amp;($BA142+1),INDIRECT("'"&amp;$A142&amp;"'!$E$2:$E$501"),"No"),0)))</f>
        <v/>
      </c>
      <c r="AY142" s="25">
        <f>IF(OR($A142="",$I142=""),"",IF($BC142="Y",SUMIFS(survey_frozen!$M$2:$M$251,survey_frozen!$P$2:$P$251,$A142&amp;"|"&amp;$B142),IFERROR(COUNTIFS(INDIRECT("'"&amp;$A142&amp;"'!$B$2:$B$501"),$T142,INDIRECT("'"&amp;$A142&amp;"'!$A$2:$A$501"),"&gt;="&amp;$I142,INDIRECT("'"&amp;$A142&amp;"'!$A$2:$A$501"),"&lt;"&amp;($BA142+1),INDIRECT("'"&amp;$A142&amp;"'!$G$2:$G$501"),"&lt;&gt;"),0)))</f>
        <v/>
      </c>
      <c r="AZ142" s="25">
        <f>IF($A142="","",$A142&amp;"|"&amp;$L142)</f>
        <v/>
      </c>
      <c r="BA142" s="26">
        <f>IF($A142="","",IFERROR(IF(INDEX(drops!$R$2:$R$21,MATCH($H142,drops!$A$2:$A$21,0))="","",INDEX(drops!$R$2:$R$21,MATCH($H142,drops!$A$2:$A$21,0))),""))</f>
        <v/>
      </c>
      <c r="BB142" s="25">
        <f>IF(OR($A142="",$Q142&lt;&gt;"Y"),1000000,N($AL142))</f>
        <v/>
      </c>
      <c r="BC142" s="25">
        <f>IF($A142="","",IF(COUNTIF(survey_frozen!$P$2:$P$251,$A142&amp;"|"&amp;$B142)&gt;0,"Y",""))</f>
        <v/>
      </c>
    </row>
    <row r="143">
      <c r="C143" s="9" t="n"/>
      <c r="E143" s="9" t="n"/>
      <c r="H143" s="25">
        <f>IF($A143="","",IFERROR(IF(INDEX(campaigns!$B$2:$B$51,MATCH($A143,campaigns!$A$2:$A$51,0))="","",INDEX(campaigns!$B$2:$B$51,MATCH($A143,campaigns!$A$2:$A$51,0))),""))</f>
        <v/>
      </c>
      <c r="I143" s="26">
        <f>IF($A143="","",IFERROR(IF(INDEX(campaigns!$BG$2:$BG$51,MATCH($A143,campaigns!$A$2:$A$51,0))="","",INDEX(campaigns!$BG$2:$BG$51,MATCH($A143,campaigns!$A$2:$A$51,0))),""))</f>
        <v/>
      </c>
      <c r="J143" s="25">
        <f>IF($A143="","",IFERROR(IF(INDEX(campaigns!$BE$2:$BE$51,MATCH($A143,campaigns!$A$2:$A$51,0))="","",INDEX(campaigns!$BE$2:$BE$51,MATCH($A143,campaigns!$A$2:$A$51,0))),""))</f>
        <v/>
      </c>
      <c r="K143" s="25">
        <f>IF($B143="","",IFERROR(IF(INDEX(offices!$N$2:$N$61,MATCH($B143,offices!$A$2:$A$61,0))="","",INDEX(offices!$N$2:$N$61,MATCH($B143,offices!$A$2:$A$61,0))),""))</f>
        <v/>
      </c>
      <c r="L143" s="25">
        <f>IF($A143="","",IF($Q143="N","",COUNTIFS($A$2:$A143,$A143,$Q$2:$Q143,"&lt;&gt;N")))</f>
        <v/>
      </c>
      <c r="M143" s="25">
        <f>IF(OR($A143="",$L143=""),"",IF(AND(config!$B$34="names_if_public",IFERROR(IF(INDEX(offices!$AF$2:$AF$61,MATCH($B143,offices!$A$2:$A$61,0))="","",INDEX(offices!$AF$2:$AF$61,MATCH($B143,offices!$A$2:$A$61,0))),"")="Y"),$K143,CHAR(64+$L143)))</f>
        <v/>
      </c>
      <c r="N143" s="25">
        <f>IF(OR($A143="",$I143=""),"",COUNTIFS(stops!$B$2:$B$151,$B143,stops!$P$2:$P$151,"&lt;"&amp;$I143,stops!$L$2:$L$151,"&lt;&gt;not_delivered")+1)</f>
        <v/>
      </c>
      <c r="O143" s="25">
        <f>IF($A143="","",IF(N($N143)&lt;=config!$B$29,"explicit","opt-out"))</f>
        <v/>
      </c>
      <c r="P143" s="25">
        <f>IF($A143="","",IF($O143="explicit",IF($D143="yes","Y",IF($D143="no","N","pending")),IF($D143="no","N",IF(AND($C143&lt;&gt;"",$I143&lt;&gt;"",$C143&lt;=WORKDAY(N($I143),-5,calendar!$A$2:$A$80)),"Y","pending"))))</f>
        <v/>
      </c>
      <c r="Q143" s="25">
        <f>IF($A143="","",IF($P143="N","N",IF($P143&lt;&gt;"Y","pending",IF(AND((COUNTIFS(stops!$A$2:$A$151,$H143,stops!$B$2:$B$151,$B143,stops!$L$2:$L$151,"declined")+COUNTIFS(stops!$A$2:$A$151,$H143,stops!$B$2:$B$151,$B143,stops!$L$2:$L$151,"building_refused")+COUNTIFS(stops!$A$2:$A$151,$H143,stops!$B$2:$B$151,$B143,stops!$L$2:$L$151,"not_delivered"))&gt;0,N($U143)=0),"N","Y"))))</f>
        <v/>
      </c>
      <c r="R143" s="25">
        <f>IF($A143="","",IF(COUNTIFS($A$2:$A$251,$A143,$B$2:$B$251,$B143)&gt;1,"DUPLICATE ROW; ","")&amp;IF(AND(IFERROR(IF(INDEX(offices!$AC$2:$AC$61,MATCH($B143,offices!$A$2:$A$61,0))="","",INDEX(offices!$AC$2:$AC$61,MATCH($B143,offices!$A$2:$A$61,0))),"")&lt;&gt;"",ISNUMBER(SEARCH($J143,IFERROR(IF(INDEX(offices!$AC$2:$AC$61,MATCH($B143,offices!$A$2:$A$61,0))="","",INDEX(offices!$AC$2:$AC$61,MATCH($B143,offices!$A$2:$A$61,0))),"")))),"BRAND VETOED; ","")&amp;IF(ISNUMBER(SEARCH(IFERROR(IF(INDEX(campaigns!$BF$2:$BF$51,MATCH($A143,campaigns!$A$2:$A$51,0))="","",INDEX(campaigns!$BF$2:$BF$51,MATCH($A143,campaigns!$A$2:$A$51,0))),""),IFERROR(IF(INDEX(offices!$AB$2:$AB$61,MATCH($B143,offices!$A$2:$A$61,0))="","",INDEX(offices!$AB$2:$AB$61,MATCH($B143,offices!$A$2:$A$61,0))),""))),"","info: category not on the office's list; ")&amp;IF(IFERROR(IF(INDEX(offices!$AC$2:$AC$61,MATCH($B143,offices!$A$2:$A$61,0))="","",INDEX(offices!$AC$2:$AC$61,MATCH($B143,offices!$A$2:$A$61,0))),"")&lt;&gt;"","info: read the vetoes against the label; ",""))</f>
        <v/>
      </c>
      <c r="S143" s="25">
        <f>IF($A143="","",IF($G143&lt;&gt;"",$G143,IFERROR(IF(INDEX(offices!$AL$2:$AL$61,MATCH($B143,offices!$A$2:$A$61,0))="","",INDEX(offices!$AL$2:$AL$61,MATCH($B143,offices!$A$2:$A$61,0))),"")))</f>
        <v/>
      </c>
      <c r="T143" s="25">
        <f>IF($A143="","",$A143&amp;"."&amp;$B143)</f>
        <v/>
      </c>
      <c r="U143" s="25">
        <f>IF($A143="","",SUMIFS(inventory!$G$2:$G$801,inventory!$C$2:$C$801,$A143,inventory!$D$2:$D$801,$B143,inventory!$E$2:$E$801,"delivered"))</f>
        <v/>
      </c>
      <c r="V143" s="32">
        <f>IF($A143="","",IFERROR(1/(1/SUMPRODUCT(MAX((inventory!$C$2:$C$801=$A143)*(inventory!$D$2:$D$801=$B143)*(inventory!$E$2:$E$801="delivered")*(inventory!$A$2:$A$801+inventory!$B$2:$B$801)))),""))</f>
        <v/>
      </c>
      <c r="W143" s="25">
        <f>IF($A143="","",IFERROR(IF(INDEX(inventory!$J$2:$J$801,MATCH($A143&amp;"|"&amp;$B143&amp;"|delivered",inventory!$R$2:$R$801,0))="","",INDEX(inventory!$J$2:$J$801,MATCH($A143&amp;"|"&amp;$B143&amp;"|delivered",inventory!$R$2:$R$801,0))),""))</f>
        <v/>
      </c>
      <c r="X143" s="25">
        <f>IF($A143="","",IFERROR(IF(INDEX(photos!$H$2:$H$701,MATCH($A143&amp;"|"&amp;$B143&amp;"|placement|Y",photos!$R$2:$R$701,0))="","",INDEX(photos!$H$2:$H$701,MATCH($A143&amp;"|"&amp;$B143&amp;"|placement|Y",photos!$R$2:$R$701,0))),""))</f>
        <v/>
      </c>
      <c r="Y143" s="26">
        <f>IF($A143="","",IFERROR(IF(INDEX(photos!$E$2:$E$701,MATCH($A143&amp;"|"&amp;$B143&amp;"|placement|Y",photos!$R$2:$R$701,0))="","",INDEX(photos!$E$2:$E$701,MATCH($A143&amp;"|"&amp;$B143&amp;"|placement|Y",photos!$R$2:$R$701,0))),""))</f>
        <v/>
      </c>
      <c r="Z143" s="25">
        <f>IF($A143="","",IF(COUNTIFS(counts!$C$2:$C$701,$A143,counts!$D$2:$D$701,$B143,counts!$E$2:$E$701,"placed")=0,"",SUMIFS(counts!$F$2:$F$701,counts!$C$2:$C$701,$A143,counts!$D$2:$D$701,$B143,counts!$E$2:$E$701,"placed")))</f>
        <v/>
      </c>
      <c r="AA143" s="25">
        <f>IF($A143="","",IF($Y143="",0,N($Z143)))</f>
        <v/>
      </c>
      <c r="AB143" s="25">
        <f>IF($A143="","",IF(OR($Y143="",$I143=""),"N",IF($Y143&lt;=WORKDAY(N($I143),1,calendar!$A$2:$A$80),"Y","N")))</f>
        <v/>
      </c>
      <c r="AC143" s="28">
        <f>IF(OR($A143="",$V143="",$Y143=""),"",ROUND(($Y143+N(IFERROR(IF(INDEX(photos!$F$2:$F$701,MATCH($A143&amp;"|"&amp;$B143&amp;"|placement|Y",photos!$R$2:$R$701,0))="","",INDEX(photos!$F$2:$F$701,MATCH($A143&amp;"|"&amp;$B143&amp;"|placement|Y",photos!$R$2:$R$701,0))),""))-$V143)*24,1))</f>
        <v/>
      </c>
      <c r="AD143" s="25">
        <f>IF($A143="","",SUMIFS(inventory!$G$2:$G$801,inventory!$C$2:$C$801,$A143,inventory!$D$2:$D$801,$B143,inventory!$E$2:$E$801,"topped_up"))</f>
        <v/>
      </c>
      <c r="AE143" s="25">
        <f>IF($A143="","",IF(COUNTIFS(counts!$C$2:$C$701,$A143,counts!$D$2:$D$701,$B143,counts!$E$2:$E$701,"remaining_day3")=0,"",SUMIFS(counts!$F$2:$F$701,counts!$C$2:$C$701,$A143,counts!$D$2:$D$701,$B143,counts!$E$2:$E$701,"remaining_day3")))</f>
        <v/>
      </c>
      <c r="AF143" s="25">
        <f>IF($A143="","",IF(COUNTIFS(counts!$C$2:$C$701,$A143,counts!$D$2:$D$701,$B143,counts!$E$2:$E$701,"remaining_day5")=0,"",SUMIFS(counts!$F$2:$F$701,counts!$C$2:$C$701,$A143,counts!$D$2:$D$701,$B143,counts!$E$2:$E$701,"remaining_day5")))</f>
        <v/>
      </c>
      <c r="AG143" s="25">
        <f>IF(OR($A143="",$AF143=""),"",MAX(0,$AA143+$AD143-$AF143))</f>
        <v/>
      </c>
      <c r="AH143" s="25">
        <f>IF(OR($A143="",$AI143=""),"",IFERROR(IF(INDEX(photos!$H$2:$H$701,MATCH($A143&amp;"|"&amp;$B143&amp;"|later|Y|"&amp;$AI143,photos!$S$2:$S$701,0))="","",INDEX(photos!$H$2:$H$701,MATCH($A143&amp;"|"&amp;$B143&amp;"|later|Y|"&amp;$AI143,photos!$S$2:$S$701,0))),""))</f>
        <v/>
      </c>
      <c r="AI143" s="26">
        <f>IF($A143="","",IFERROR(1/(1/SUMPRODUCT(MAX((photos!$B$2:$B$701=$A143)*(photos!$C$2:$C$701=$B143)*(photos!$D$2:$D$701="later")*(photos!$O$2:$O$701="Y")*photos!$E$2:$E$701))),""))</f>
        <v/>
      </c>
      <c r="AJ143" s="25">
        <f>IF(OR($A143="",$AI143="",$I143=""),"",NETWORKDAYS($I143,$AI143,calendar!$A$2:$A$80))</f>
        <v/>
      </c>
      <c r="AK143" s="25">
        <f>IF($A143="","",IF(AND($X143&lt;&gt;"",$AH143&lt;&gt;""),"Y","N"))</f>
        <v/>
      </c>
      <c r="AL143" s="25">
        <f>IF(OR($A143="",$I143=""),"",IF($BC143="Y",SUMIFS(survey_frozen!$C$2:$C$251,survey_frozen!$P$2:$P$251,$A143&amp;"|"&amp;$B143),IFERROR(COUNTIFS(INDIRECT("'"&amp;$A143&amp;"'!$B$2:$B$501"),$T143,INDIRECT("'"&amp;$A143&amp;"'!$A$2:$A$501"),"&gt;="&amp;$I143,INDIRECT("'"&amp;$A143&amp;"'!$A$2:$A$501"),"&lt;"&amp;($BA143+1)),0)))</f>
        <v/>
      </c>
      <c r="AM143" s="25">
        <f>IF(OR($A143="",$I143=""),"",IF($BC143="Y",SUMIFS(survey_frozen!$D$2:$D$251,survey_frozen!$P$2:$P$251,$A143&amp;"|"&amp;$B143),IFERROR(COUNTIFS(INDIRECT("'"&amp;$A143&amp;"'!$B$2:$B$501"),$T143,INDIRECT("'"&amp;$A143&amp;"'!$A$2:$A$501"),"&gt;="&amp;$I143,INDIRECT("'"&amp;$A143&amp;"'!$A$2:$A$501"),"&lt;"&amp;($BA143+1),INDIRECT("'"&amp;$A143&amp;"'!$C$2:$C$501"),"Yes"),0)))</f>
        <v/>
      </c>
      <c r="AN143" s="25">
        <f>IF($A143="","",IF(COUNTIFS(scans!$C$2:$C$1601,(IF(LEFT($A143,7)="SAMPLE-","SAMPLE-","")&amp;LOWER(SUBSTITUTE(SUBSTITUTE($A143,"SAMPLE-",""),"CMP-","c"))&amp;"-"&amp;LOWER(SUBSTITUTE(SUBSTITUTE($B143,"SAMPLE-",""),"O-","o"))&amp;"-q"),scans!$D$2:$D$1601,"close")=0,"",SUMPRODUCT(MAX((scans!$C$2:$C$1601=(IF(LEFT($A143,7)="SAMPLE-","SAMPLE-","")&amp;LOWER(SUBSTITUTE(SUBSTITUTE($A143,"SAMPLE-",""),"CMP-","c"))&amp;"-"&amp;LOWER(SUBSTITUTE(SUBSTITUTE($B143,"SAMPLE-",""),"O-","o"))&amp;"-q"))*(scans!$D$2:$D$1601="close")*scans!$E$2:$E$1601))-SUMPRODUCT(MAX((scans!$C$2:$C$1601=(IF(LEFT($A143,7)="SAMPLE-","SAMPLE-","")&amp;LOWER(SUBSTITUTE(SUBSTITUTE($A143,"SAMPLE-",""),"CMP-","c"))&amp;"-"&amp;LOWER(SUBSTITUTE(SUBSTITUTE($B143,"SAMPLE-",""),"O-","o"))&amp;"-q"))*(scans!$D$2:$D$1601="baseline")*scans!$E$2:$E$1601))))</f>
        <v/>
      </c>
      <c r="AO143" s="25">
        <f>IF($A143="","",IF(COUNTIFS(scans!$C$2:$C$1601,(IF(LEFT($A143,7)="SAMPLE-","SAMPLE-","")&amp;LOWER(SUBSTITUTE(SUBSTITUTE($A143,"SAMPLE-",""),"CMP-","c"))&amp;"-"&amp;LOWER(SUBSTITUTE(SUBSTITUTE($B143,"SAMPLE-",""),"O-","o"))&amp;"-p"),scans!$D$2:$D$1601,"close")=0,"",SUMPRODUCT(MAX((scans!$C$2:$C$1601=(IF(LEFT($A143,7)="SAMPLE-","SAMPLE-","")&amp;LOWER(SUBSTITUTE(SUBSTITUTE($A143,"SAMPLE-",""),"CMP-","c"))&amp;"-"&amp;LOWER(SUBSTITUTE(SUBSTITUTE($B143,"SAMPLE-",""),"O-","o"))&amp;"-p"))*(scans!$D$2:$D$1601="close")*scans!$E$2:$E$1601))-SUMPRODUCT(MAX((scans!$C$2:$C$1601=(IF(LEFT($A143,7)="SAMPLE-","SAMPLE-","")&amp;LOWER(SUBSTITUTE(SUBSTITUTE($A143,"SAMPLE-",""),"CMP-","c"))&amp;"-"&amp;LOWER(SUBSTITUTE(SUBSTITUTE($B143,"SAMPLE-",""),"O-","o"))&amp;"-p"))*(scans!$D$2:$D$1601="baseline")*scans!$E$2:$E$1601))))</f>
        <v/>
      </c>
      <c r="AP143" s="25">
        <f>IF($A143="","",IF(COUNTIF(offices!$A$2:$A$61,$B143)=0,"office_id not on offices; ","")&amp;IF(COUNTIF(campaigns!$A$2:$A$51,$A143)=0,"campaign_id not on campaigns; ","")&amp;IF($P143="pending","approval pending; ","")&amp;IF(AND($U143&gt;0,$Y143="",OR($I143="",IF(config!$B$37&lt;&gt;"",config!$B$37,TODAY())&lt;=WORKDAY(N($I143),4,calendar!$A$2:$A$80))),"no usable placement photo yet; ","")&amp;IF(AND($Y143&lt;&gt;"",$Z143=""),"log the placed count; ","")&amp;IF(N($AA143)&gt;N($U143),"placed more than delivered; ","")&amp;IF(AND($AF143&lt;&gt;"",N($AF143)&gt;N($AA143)+N($AD143)),"day-5 count above placed plus top-ups; ","")&amp;IF(AND($U143&gt;0,$I143&lt;&gt;"",IF(config!$B$37&lt;&gt;"",config!$B$37,TODAY())&gt;WORKDAY(N($I143),4,calendar!$A$2:$A$80),$AF143=""),"day-5 count missing; ","")&amp;IF(AND($U143&gt;0,$I143&lt;&gt;"",IF(config!$B$37&lt;&gt;"",config!$B$37,TODAY())&gt;WORKDAY(N($I143),4,calendar!$A$2:$A$80),$AN143=""),"no close link reading; ","")&amp;$R143&amp;IF($P143="N","info: office said no; ","")&amp;IF(AND($P143="Y",$Q143="N"),"info: turned away at the door, so not on the drop (no letter, not in the report or Gate 2; the credit check is on campaigns); ","")&amp;IF(AND($U143&gt;0,$Y143="",$I143&lt;&gt;"",IF(config!$B$37&lt;&gt;"",config!$B$37,TODAY())&gt;WORKDAY(N($I143),4,calendar!$A$2:$A$80)),"info: no usable placement photo, so nothing counts as placed; ","")&amp;IF(AND($U143&gt;0,$I143&lt;&gt;"",IF(config!$B$37&lt;&gt;"",config!$B$37,TODAY())&gt;WORKDAY(N($I143),4,calendar!$A$2:$A$80),N($AL143)&lt;config!$B$30),"info: under "&amp;config!$B$30&amp;" responses; ","")&amp;IF($W143="packing_list","info: delivered count not verified; ",""))</f>
        <v/>
      </c>
      <c r="AQ143" s="25">
        <f>IF(OR($A143="",$I143=""),"",IF($BC143="Y",SUMIFS(survey_frozen!$E$2:$E$251,survey_frozen!$P$2:$P$251,$A143&amp;"|"&amp;$B143),IFERROR(COUNTIFS(INDIRECT("'"&amp;$A143&amp;"'!$B$2:$B$501"),$T143,INDIRECT("'"&amp;$A143&amp;"'!$A$2:$A$501"),"&gt;="&amp;$I143,INDIRECT("'"&amp;$A143&amp;"'!$A$2:$A$501"),"&lt;"&amp;($BA143+1),INDIRECT("'"&amp;$A143&amp;"'!$F$2:$F$501"),"Didn't see it"),0)))</f>
        <v/>
      </c>
      <c r="AR143" s="25">
        <f>IF(OR($A143="",$I143=""),"",IF($BC143="Y",SUMIFS(survey_frozen!$F$2:$F$251,survey_frozen!$P$2:$P$251,$A143&amp;"|"&amp;$B143),IFERROR(COUNTIFS(INDIRECT("'"&amp;$A143&amp;"'!$B$2:$B$501"),$T143,INDIRECT("'"&amp;$A143&amp;"'!$A$2:$A$501"),"&gt;="&amp;$I143,INDIRECT("'"&amp;$A143&amp;"'!$A$2:$A$501"),"&lt;"&amp;($BA143+1),INDIRECT("'"&amp;$A143&amp;"'!$F$2:$F$501"),"Not for me"),0)))</f>
        <v/>
      </c>
      <c r="AS143" s="25">
        <f>IF(OR($A143="",$I143=""),"",IF($BC143="Y",SUMIFS(survey_frozen!$G$2:$G$251,survey_frozen!$P$2:$P$251,$A143&amp;"|"&amp;$B143),IFERROR(COUNTIFS(INDIRECT("'"&amp;$A143&amp;"'!$B$2:$B$501"),$T143,INDIRECT("'"&amp;$A143&amp;"'!$A$2:$A$501"),"&gt;="&amp;$I143,INDIRECT("'"&amp;$A143&amp;"'!$A$2:$A$501"),"&lt;"&amp;($BA143+1),INDIRECT("'"&amp;$A143&amp;"'!$F$2:$F$501"),"Gone by the time I looked"),0)))</f>
        <v/>
      </c>
      <c r="AT143" s="25">
        <f>IF(OR($A143="",$I143=""),"",IF($BC143="Y",SUMIFS(survey_frozen!$H$2:$H$251,survey_frozen!$P$2:$P$251,$A143&amp;"|"&amp;$B143),IFERROR(COUNTIFS(INDIRECT("'"&amp;$A143&amp;"'!$B$2:$B$501"),$T143,INDIRECT("'"&amp;$A143&amp;"'!$A$2:$A$501"),"&gt;="&amp;$I143,INDIRECT("'"&amp;$A143&amp;"'!$A$2:$A$501"),"&lt;"&amp;($BA143+1),INDIRECT("'"&amp;$A143&amp;"'!$D$2:$D$501"),"&gt;=1"),0)))</f>
        <v/>
      </c>
      <c r="AU143" s="25">
        <f>IF(OR($A143="",$I143=""),"",IF($BC143="Y",SUMIFS(survey_frozen!$I$2:$I$251,survey_frozen!$P$2:$P$251,$A143&amp;"|"&amp;$B143),IFERROR(SUMIFS(INDIRECT("'"&amp;$A143&amp;"'!$D$2:$D$501"),INDIRECT("'"&amp;$A143&amp;"'!$B$2:$B$501"),$T143,INDIRECT("'"&amp;$A143&amp;"'!$A$2:$A$501"),"&gt;="&amp;$I143,INDIRECT("'"&amp;$A143&amp;"'!$A$2:$A$501"),"&lt;"&amp;($BA143+1)),0)))</f>
        <v/>
      </c>
      <c r="AV143" s="25">
        <f>IF(OR($A143="",$I143=""),"",IF($BC143="Y",SUMIFS(survey_frozen!$J$2:$J$251,survey_frozen!$P$2:$P$251,$A143&amp;"|"&amp;$B143),IFERROR(COUNTIFS(INDIRECT("'"&amp;$A143&amp;"'!$B$2:$B$501"),$T143,INDIRECT("'"&amp;$A143&amp;"'!$A$2:$A$501"),"&gt;="&amp;$I143,INDIRECT("'"&amp;$A143&amp;"'!$A$2:$A$501"),"&lt;"&amp;($BA143+1),INDIRECT("'"&amp;$A143&amp;"'!$E$2:$E$501"),"Yes"),0)))</f>
        <v/>
      </c>
      <c r="AW143" s="25">
        <f>IF(OR($A143="",$I143=""),"",IF($BC143="Y",SUMIFS(survey_frozen!$K$2:$K$251,survey_frozen!$P$2:$P$251,$A143&amp;"|"&amp;$B143),IFERROR(COUNTIFS(INDIRECT("'"&amp;$A143&amp;"'!$B$2:$B$501"),$T143,INDIRECT("'"&amp;$A143&amp;"'!$A$2:$A$501"),"&gt;="&amp;$I143,INDIRECT("'"&amp;$A143&amp;"'!$A$2:$A$501"),"&lt;"&amp;($BA143+1),INDIRECT("'"&amp;$A143&amp;"'!$E$2:$E$501"),"Maybe"),0)))</f>
        <v/>
      </c>
      <c r="AX143" s="25">
        <f>IF(OR($A143="",$I143=""),"",IF($BC143="Y",SUMIFS(survey_frozen!$L$2:$L$251,survey_frozen!$P$2:$P$251,$A143&amp;"|"&amp;$B143),IFERROR(COUNTIFS(INDIRECT("'"&amp;$A143&amp;"'!$B$2:$B$501"),$T143,INDIRECT("'"&amp;$A143&amp;"'!$A$2:$A$501"),"&gt;="&amp;$I143,INDIRECT("'"&amp;$A143&amp;"'!$A$2:$A$501"),"&lt;"&amp;($BA143+1),INDIRECT("'"&amp;$A143&amp;"'!$E$2:$E$501"),"No"),0)))</f>
        <v/>
      </c>
      <c r="AY143" s="25">
        <f>IF(OR($A143="",$I143=""),"",IF($BC143="Y",SUMIFS(survey_frozen!$M$2:$M$251,survey_frozen!$P$2:$P$251,$A143&amp;"|"&amp;$B143),IFERROR(COUNTIFS(INDIRECT("'"&amp;$A143&amp;"'!$B$2:$B$501"),$T143,INDIRECT("'"&amp;$A143&amp;"'!$A$2:$A$501"),"&gt;="&amp;$I143,INDIRECT("'"&amp;$A143&amp;"'!$A$2:$A$501"),"&lt;"&amp;($BA143+1),INDIRECT("'"&amp;$A143&amp;"'!$G$2:$G$501"),"&lt;&gt;"),0)))</f>
        <v/>
      </c>
      <c r="AZ143" s="25">
        <f>IF($A143="","",$A143&amp;"|"&amp;$L143)</f>
        <v/>
      </c>
      <c r="BA143" s="26">
        <f>IF($A143="","",IFERROR(IF(INDEX(drops!$R$2:$R$21,MATCH($H143,drops!$A$2:$A$21,0))="","",INDEX(drops!$R$2:$R$21,MATCH($H143,drops!$A$2:$A$21,0))),""))</f>
        <v/>
      </c>
      <c r="BB143" s="25">
        <f>IF(OR($A143="",$Q143&lt;&gt;"Y"),1000000,N($AL143))</f>
        <v/>
      </c>
      <c r="BC143" s="25">
        <f>IF($A143="","",IF(COUNTIF(survey_frozen!$P$2:$P$251,$A143&amp;"|"&amp;$B143)&gt;0,"Y",""))</f>
        <v/>
      </c>
    </row>
    <row r="144">
      <c r="C144" s="9" t="n"/>
      <c r="E144" s="9" t="n"/>
      <c r="H144" s="25">
        <f>IF($A144="","",IFERROR(IF(INDEX(campaigns!$B$2:$B$51,MATCH($A144,campaigns!$A$2:$A$51,0))="","",INDEX(campaigns!$B$2:$B$51,MATCH($A144,campaigns!$A$2:$A$51,0))),""))</f>
        <v/>
      </c>
      <c r="I144" s="26">
        <f>IF($A144="","",IFERROR(IF(INDEX(campaigns!$BG$2:$BG$51,MATCH($A144,campaigns!$A$2:$A$51,0))="","",INDEX(campaigns!$BG$2:$BG$51,MATCH($A144,campaigns!$A$2:$A$51,0))),""))</f>
        <v/>
      </c>
      <c r="J144" s="25">
        <f>IF($A144="","",IFERROR(IF(INDEX(campaigns!$BE$2:$BE$51,MATCH($A144,campaigns!$A$2:$A$51,0))="","",INDEX(campaigns!$BE$2:$BE$51,MATCH($A144,campaigns!$A$2:$A$51,0))),""))</f>
        <v/>
      </c>
      <c r="K144" s="25">
        <f>IF($B144="","",IFERROR(IF(INDEX(offices!$N$2:$N$61,MATCH($B144,offices!$A$2:$A$61,0))="","",INDEX(offices!$N$2:$N$61,MATCH($B144,offices!$A$2:$A$61,0))),""))</f>
        <v/>
      </c>
      <c r="L144" s="25">
        <f>IF($A144="","",IF($Q144="N","",COUNTIFS($A$2:$A144,$A144,$Q$2:$Q144,"&lt;&gt;N")))</f>
        <v/>
      </c>
      <c r="M144" s="25">
        <f>IF(OR($A144="",$L144=""),"",IF(AND(config!$B$34="names_if_public",IFERROR(IF(INDEX(offices!$AF$2:$AF$61,MATCH($B144,offices!$A$2:$A$61,0))="","",INDEX(offices!$AF$2:$AF$61,MATCH($B144,offices!$A$2:$A$61,0))),"")="Y"),$K144,CHAR(64+$L144)))</f>
        <v/>
      </c>
      <c r="N144" s="25">
        <f>IF(OR($A144="",$I144=""),"",COUNTIFS(stops!$B$2:$B$151,$B144,stops!$P$2:$P$151,"&lt;"&amp;$I144,stops!$L$2:$L$151,"&lt;&gt;not_delivered")+1)</f>
        <v/>
      </c>
      <c r="O144" s="25">
        <f>IF($A144="","",IF(N($N144)&lt;=config!$B$29,"explicit","opt-out"))</f>
        <v/>
      </c>
      <c r="P144" s="25">
        <f>IF($A144="","",IF($O144="explicit",IF($D144="yes","Y",IF($D144="no","N","pending")),IF($D144="no","N",IF(AND($C144&lt;&gt;"",$I144&lt;&gt;"",$C144&lt;=WORKDAY(N($I144),-5,calendar!$A$2:$A$80)),"Y","pending"))))</f>
        <v/>
      </c>
      <c r="Q144" s="25">
        <f>IF($A144="","",IF($P144="N","N",IF($P144&lt;&gt;"Y","pending",IF(AND((COUNTIFS(stops!$A$2:$A$151,$H144,stops!$B$2:$B$151,$B144,stops!$L$2:$L$151,"declined")+COUNTIFS(stops!$A$2:$A$151,$H144,stops!$B$2:$B$151,$B144,stops!$L$2:$L$151,"building_refused")+COUNTIFS(stops!$A$2:$A$151,$H144,stops!$B$2:$B$151,$B144,stops!$L$2:$L$151,"not_delivered"))&gt;0,N($U144)=0),"N","Y"))))</f>
        <v/>
      </c>
      <c r="R144" s="25">
        <f>IF($A144="","",IF(COUNTIFS($A$2:$A$251,$A144,$B$2:$B$251,$B144)&gt;1,"DUPLICATE ROW; ","")&amp;IF(AND(IFERROR(IF(INDEX(offices!$AC$2:$AC$61,MATCH($B144,offices!$A$2:$A$61,0))="","",INDEX(offices!$AC$2:$AC$61,MATCH($B144,offices!$A$2:$A$61,0))),"")&lt;&gt;"",ISNUMBER(SEARCH($J144,IFERROR(IF(INDEX(offices!$AC$2:$AC$61,MATCH($B144,offices!$A$2:$A$61,0))="","",INDEX(offices!$AC$2:$AC$61,MATCH($B144,offices!$A$2:$A$61,0))),"")))),"BRAND VETOED; ","")&amp;IF(ISNUMBER(SEARCH(IFERROR(IF(INDEX(campaigns!$BF$2:$BF$51,MATCH($A144,campaigns!$A$2:$A$51,0))="","",INDEX(campaigns!$BF$2:$BF$51,MATCH($A144,campaigns!$A$2:$A$51,0))),""),IFERROR(IF(INDEX(offices!$AB$2:$AB$61,MATCH($B144,offices!$A$2:$A$61,0))="","",INDEX(offices!$AB$2:$AB$61,MATCH($B144,offices!$A$2:$A$61,0))),""))),"","info: category not on the office's list; ")&amp;IF(IFERROR(IF(INDEX(offices!$AC$2:$AC$61,MATCH($B144,offices!$A$2:$A$61,0))="","",INDEX(offices!$AC$2:$AC$61,MATCH($B144,offices!$A$2:$A$61,0))),"")&lt;&gt;"","info: read the vetoes against the label; ",""))</f>
        <v/>
      </c>
      <c r="S144" s="25">
        <f>IF($A144="","",IF($G144&lt;&gt;"",$G144,IFERROR(IF(INDEX(offices!$AL$2:$AL$61,MATCH($B144,offices!$A$2:$A$61,0))="","",INDEX(offices!$AL$2:$AL$61,MATCH($B144,offices!$A$2:$A$61,0))),"")))</f>
        <v/>
      </c>
      <c r="T144" s="25">
        <f>IF($A144="","",$A144&amp;"."&amp;$B144)</f>
        <v/>
      </c>
      <c r="U144" s="25">
        <f>IF($A144="","",SUMIFS(inventory!$G$2:$G$801,inventory!$C$2:$C$801,$A144,inventory!$D$2:$D$801,$B144,inventory!$E$2:$E$801,"delivered"))</f>
        <v/>
      </c>
      <c r="V144" s="32">
        <f>IF($A144="","",IFERROR(1/(1/SUMPRODUCT(MAX((inventory!$C$2:$C$801=$A144)*(inventory!$D$2:$D$801=$B144)*(inventory!$E$2:$E$801="delivered")*(inventory!$A$2:$A$801+inventory!$B$2:$B$801)))),""))</f>
        <v/>
      </c>
      <c r="W144" s="25">
        <f>IF($A144="","",IFERROR(IF(INDEX(inventory!$J$2:$J$801,MATCH($A144&amp;"|"&amp;$B144&amp;"|delivered",inventory!$R$2:$R$801,0))="","",INDEX(inventory!$J$2:$J$801,MATCH($A144&amp;"|"&amp;$B144&amp;"|delivered",inventory!$R$2:$R$801,0))),""))</f>
        <v/>
      </c>
      <c r="X144" s="25">
        <f>IF($A144="","",IFERROR(IF(INDEX(photos!$H$2:$H$701,MATCH($A144&amp;"|"&amp;$B144&amp;"|placement|Y",photos!$R$2:$R$701,0))="","",INDEX(photos!$H$2:$H$701,MATCH($A144&amp;"|"&amp;$B144&amp;"|placement|Y",photos!$R$2:$R$701,0))),""))</f>
        <v/>
      </c>
      <c r="Y144" s="26">
        <f>IF($A144="","",IFERROR(IF(INDEX(photos!$E$2:$E$701,MATCH($A144&amp;"|"&amp;$B144&amp;"|placement|Y",photos!$R$2:$R$701,0))="","",INDEX(photos!$E$2:$E$701,MATCH($A144&amp;"|"&amp;$B144&amp;"|placement|Y",photos!$R$2:$R$701,0))),""))</f>
        <v/>
      </c>
      <c r="Z144" s="25">
        <f>IF($A144="","",IF(COUNTIFS(counts!$C$2:$C$701,$A144,counts!$D$2:$D$701,$B144,counts!$E$2:$E$701,"placed")=0,"",SUMIFS(counts!$F$2:$F$701,counts!$C$2:$C$701,$A144,counts!$D$2:$D$701,$B144,counts!$E$2:$E$701,"placed")))</f>
        <v/>
      </c>
      <c r="AA144" s="25">
        <f>IF($A144="","",IF($Y144="",0,N($Z144)))</f>
        <v/>
      </c>
      <c r="AB144" s="25">
        <f>IF($A144="","",IF(OR($Y144="",$I144=""),"N",IF($Y144&lt;=WORKDAY(N($I144),1,calendar!$A$2:$A$80),"Y","N")))</f>
        <v/>
      </c>
      <c r="AC144" s="28">
        <f>IF(OR($A144="",$V144="",$Y144=""),"",ROUND(($Y144+N(IFERROR(IF(INDEX(photos!$F$2:$F$701,MATCH($A144&amp;"|"&amp;$B144&amp;"|placement|Y",photos!$R$2:$R$701,0))="","",INDEX(photos!$F$2:$F$701,MATCH($A144&amp;"|"&amp;$B144&amp;"|placement|Y",photos!$R$2:$R$701,0))),""))-$V144)*24,1))</f>
        <v/>
      </c>
      <c r="AD144" s="25">
        <f>IF($A144="","",SUMIFS(inventory!$G$2:$G$801,inventory!$C$2:$C$801,$A144,inventory!$D$2:$D$801,$B144,inventory!$E$2:$E$801,"topped_up"))</f>
        <v/>
      </c>
      <c r="AE144" s="25">
        <f>IF($A144="","",IF(COUNTIFS(counts!$C$2:$C$701,$A144,counts!$D$2:$D$701,$B144,counts!$E$2:$E$701,"remaining_day3")=0,"",SUMIFS(counts!$F$2:$F$701,counts!$C$2:$C$701,$A144,counts!$D$2:$D$701,$B144,counts!$E$2:$E$701,"remaining_day3")))</f>
        <v/>
      </c>
      <c r="AF144" s="25">
        <f>IF($A144="","",IF(COUNTIFS(counts!$C$2:$C$701,$A144,counts!$D$2:$D$701,$B144,counts!$E$2:$E$701,"remaining_day5")=0,"",SUMIFS(counts!$F$2:$F$701,counts!$C$2:$C$701,$A144,counts!$D$2:$D$701,$B144,counts!$E$2:$E$701,"remaining_day5")))</f>
        <v/>
      </c>
      <c r="AG144" s="25">
        <f>IF(OR($A144="",$AF144=""),"",MAX(0,$AA144+$AD144-$AF144))</f>
        <v/>
      </c>
      <c r="AH144" s="25">
        <f>IF(OR($A144="",$AI144=""),"",IFERROR(IF(INDEX(photos!$H$2:$H$701,MATCH($A144&amp;"|"&amp;$B144&amp;"|later|Y|"&amp;$AI144,photos!$S$2:$S$701,0))="","",INDEX(photos!$H$2:$H$701,MATCH($A144&amp;"|"&amp;$B144&amp;"|later|Y|"&amp;$AI144,photos!$S$2:$S$701,0))),""))</f>
        <v/>
      </c>
      <c r="AI144" s="26">
        <f>IF($A144="","",IFERROR(1/(1/SUMPRODUCT(MAX((photos!$B$2:$B$701=$A144)*(photos!$C$2:$C$701=$B144)*(photos!$D$2:$D$701="later")*(photos!$O$2:$O$701="Y")*photos!$E$2:$E$701))),""))</f>
        <v/>
      </c>
      <c r="AJ144" s="25">
        <f>IF(OR($A144="",$AI144="",$I144=""),"",NETWORKDAYS($I144,$AI144,calendar!$A$2:$A$80))</f>
        <v/>
      </c>
      <c r="AK144" s="25">
        <f>IF($A144="","",IF(AND($X144&lt;&gt;"",$AH144&lt;&gt;""),"Y","N"))</f>
        <v/>
      </c>
      <c r="AL144" s="25">
        <f>IF(OR($A144="",$I144=""),"",IF($BC144="Y",SUMIFS(survey_frozen!$C$2:$C$251,survey_frozen!$P$2:$P$251,$A144&amp;"|"&amp;$B144),IFERROR(COUNTIFS(INDIRECT("'"&amp;$A144&amp;"'!$B$2:$B$501"),$T144,INDIRECT("'"&amp;$A144&amp;"'!$A$2:$A$501"),"&gt;="&amp;$I144,INDIRECT("'"&amp;$A144&amp;"'!$A$2:$A$501"),"&lt;"&amp;($BA144+1)),0)))</f>
        <v/>
      </c>
      <c r="AM144" s="25">
        <f>IF(OR($A144="",$I144=""),"",IF($BC144="Y",SUMIFS(survey_frozen!$D$2:$D$251,survey_frozen!$P$2:$P$251,$A144&amp;"|"&amp;$B144),IFERROR(COUNTIFS(INDIRECT("'"&amp;$A144&amp;"'!$B$2:$B$501"),$T144,INDIRECT("'"&amp;$A144&amp;"'!$A$2:$A$501"),"&gt;="&amp;$I144,INDIRECT("'"&amp;$A144&amp;"'!$A$2:$A$501"),"&lt;"&amp;($BA144+1),INDIRECT("'"&amp;$A144&amp;"'!$C$2:$C$501"),"Yes"),0)))</f>
        <v/>
      </c>
      <c r="AN144" s="25">
        <f>IF($A144="","",IF(COUNTIFS(scans!$C$2:$C$1601,(IF(LEFT($A144,7)="SAMPLE-","SAMPLE-","")&amp;LOWER(SUBSTITUTE(SUBSTITUTE($A144,"SAMPLE-",""),"CMP-","c"))&amp;"-"&amp;LOWER(SUBSTITUTE(SUBSTITUTE($B144,"SAMPLE-",""),"O-","o"))&amp;"-q"),scans!$D$2:$D$1601,"close")=0,"",SUMPRODUCT(MAX((scans!$C$2:$C$1601=(IF(LEFT($A144,7)="SAMPLE-","SAMPLE-","")&amp;LOWER(SUBSTITUTE(SUBSTITUTE($A144,"SAMPLE-",""),"CMP-","c"))&amp;"-"&amp;LOWER(SUBSTITUTE(SUBSTITUTE($B144,"SAMPLE-",""),"O-","o"))&amp;"-q"))*(scans!$D$2:$D$1601="close")*scans!$E$2:$E$1601))-SUMPRODUCT(MAX((scans!$C$2:$C$1601=(IF(LEFT($A144,7)="SAMPLE-","SAMPLE-","")&amp;LOWER(SUBSTITUTE(SUBSTITUTE($A144,"SAMPLE-",""),"CMP-","c"))&amp;"-"&amp;LOWER(SUBSTITUTE(SUBSTITUTE($B144,"SAMPLE-",""),"O-","o"))&amp;"-q"))*(scans!$D$2:$D$1601="baseline")*scans!$E$2:$E$1601))))</f>
        <v/>
      </c>
      <c r="AO144" s="25">
        <f>IF($A144="","",IF(COUNTIFS(scans!$C$2:$C$1601,(IF(LEFT($A144,7)="SAMPLE-","SAMPLE-","")&amp;LOWER(SUBSTITUTE(SUBSTITUTE($A144,"SAMPLE-",""),"CMP-","c"))&amp;"-"&amp;LOWER(SUBSTITUTE(SUBSTITUTE($B144,"SAMPLE-",""),"O-","o"))&amp;"-p"),scans!$D$2:$D$1601,"close")=0,"",SUMPRODUCT(MAX((scans!$C$2:$C$1601=(IF(LEFT($A144,7)="SAMPLE-","SAMPLE-","")&amp;LOWER(SUBSTITUTE(SUBSTITUTE($A144,"SAMPLE-",""),"CMP-","c"))&amp;"-"&amp;LOWER(SUBSTITUTE(SUBSTITUTE($B144,"SAMPLE-",""),"O-","o"))&amp;"-p"))*(scans!$D$2:$D$1601="close")*scans!$E$2:$E$1601))-SUMPRODUCT(MAX((scans!$C$2:$C$1601=(IF(LEFT($A144,7)="SAMPLE-","SAMPLE-","")&amp;LOWER(SUBSTITUTE(SUBSTITUTE($A144,"SAMPLE-",""),"CMP-","c"))&amp;"-"&amp;LOWER(SUBSTITUTE(SUBSTITUTE($B144,"SAMPLE-",""),"O-","o"))&amp;"-p"))*(scans!$D$2:$D$1601="baseline")*scans!$E$2:$E$1601))))</f>
        <v/>
      </c>
      <c r="AP144" s="25">
        <f>IF($A144="","",IF(COUNTIF(offices!$A$2:$A$61,$B144)=0,"office_id not on offices; ","")&amp;IF(COUNTIF(campaigns!$A$2:$A$51,$A144)=0,"campaign_id not on campaigns; ","")&amp;IF($P144="pending","approval pending; ","")&amp;IF(AND($U144&gt;0,$Y144="",OR($I144="",IF(config!$B$37&lt;&gt;"",config!$B$37,TODAY())&lt;=WORKDAY(N($I144),4,calendar!$A$2:$A$80))),"no usable placement photo yet; ","")&amp;IF(AND($Y144&lt;&gt;"",$Z144=""),"log the placed count; ","")&amp;IF(N($AA144)&gt;N($U144),"placed more than delivered; ","")&amp;IF(AND($AF144&lt;&gt;"",N($AF144)&gt;N($AA144)+N($AD144)),"day-5 count above placed plus top-ups; ","")&amp;IF(AND($U144&gt;0,$I144&lt;&gt;"",IF(config!$B$37&lt;&gt;"",config!$B$37,TODAY())&gt;WORKDAY(N($I144),4,calendar!$A$2:$A$80),$AF144=""),"day-5 count missing; ","")&amp;IF(AND($U144&gt;0,$I144&lt;&gt;"",IF(config!$B$37&lt;&gt;"",config!$B$37,TODAY())&gt;WORKDAY(N($I144),4,calendar!$A$2:$A$80),$AN144=""),"no close link reading; ","")&amp;$R144&amp;IF($P144="N","info: office said no; ","")&amp;IF(AND($P144="Y",$Q144="N"),"info: turned away at the door, so not on the drop (no letter, not in the report or Gate 2; the credit check is on campaigns); ","")&amp;IF(AND($U144&gt;0,$Y144="",$I144&lt;&gt;"",IF(config!$B$37&lt;&gt;"",config!$B$37,TODAY())&gt;WORKDAY(N($I144),4,calendar!$A$2:$A$80)),"info: no usable placement photo, so nothing counts as placed; ","")&amp;IF(AND($U144&gt;0,$I144&lt;&gt;"",IF(config!$B$37&lt;&gt;"",config!$B$37,TODAY())&gt;WORKDAY(N($I144),4,calendar!$A$2:$A$80),N($AL144)&lt;config!$B$30),"info: under "&amp;config!$B$30&amp;" responses; ","")&amp;IF($W144="packing_list","info: delivered count not verified; ",""))</f>
        <v/>
      </c>
      <c r="AQ144" s="25">
        <f>IF(OR($A144="",$I144=""),"",IF($BC144="Y",SUMIFS(survey_frozen!$E$2:$E$251,survey_frozen!$P$2:$P$251,$A144&amp;"|"&amp;$B144),IFERROR(COUNTIFS(INDIRECT("'"&amp;$A144&amp;"'!$B$2:$B$501"),$T144,INDIRECT("'"&amp;$A144&amp;"'!$A$2:$A$501"),"&gt;="&amp;$I144,INDIRECT("'"&amp;$A144&amp;"'!$A$2:$A$501"),"&lt;"&amp;($BA144+1),INDIRECT("'"&amp;$A144&amp;"'!$F$2:$F$501"),"Didn't see it"),0)))</f>
        <v/>
      </c>
      <c r="AR144" s="25">
        <f>IF(OR($A144="",$I144=""),"",IF($BC144="Y",SUMIFS(survey_frozen!$F$2:$F$251,survey_frozen!$P$2:$P$251,$A144&amp;"|"&amp;$B144),IFERROR(COUNTIFS(INDIRECT("'"&amp;$A144&amp;"'!$B$2:$B$501"),$T144,INDIRECT("'"&amp;$A144&amp;"'!$A$2:$A$501"),"&gt;="&amp;$I144,INDIRECT("'"&amp;$A144&amp;"'!$A$2:$A$501"),"&lt;"&amp;($BA144+1),INDIRECT("'"&amp;$A144&amp;"'!$F$2:$F$501"),"Not for me"),0)))</f>
        <v/>
      </c>
      <c r="AS144" s="25">
        <f>IF(OR($A144="",$I144=""),"",IF($BC144="Y",SUMIFS(survey_frozen!$G$2:$G$251,survey_frozen!$P$2:$P$251,$A144&amp;"|"&amp;$B144),IFERROR(COUNTIFS(INDIRECT("'"&amp;$A144&amp;"'!$B$2:$B$501"),$T144,INDIRECT("'"&amp;$A144&amp;"'!$A$2:$A$501"),"&gt;="&amp;$I144,INDIRECT("'"&amp;$A144&amp;"'!$A$2:$A$501"),"&lt;"&amp;($BA144+1),INDIRECT("'"&amp;$A144&amp;"'!$F$2:$F$501"),"Gone by the time I looked"),0)))</f>
        <v/>
      </c>
      <c r="AT144" s="25">
        <f>IF(OR($A144="",$I144=""),"",IF($BC144="Y",SUMIFS(survey_frozen!$H$2:$H$251,survey_frozen!$P$2:$P$251,$A144&amp;"|"&amp;$B144),IFERROR(COUNTIFS(INDIRECT("'"&amp;$A144&amp;"'!$B$2:$B$501"),$T144,INDIRECT("'"&amp;$A144&amp;"'!$A$2:$A$501"),"&gt;="&amp;$I144,INDIRECT("'"&amp;$A144&amp;"'!$A$2:$A$501"),"&lt;"&amp;($BA144+1),INDIRECT("'"&amp;$A144&amp;"'!$D$2:$D$501"),"&gt;=1"),0)))</f>
        <v/>
      </c>
      <c r="AU144" s="25">
        <f>IF(OR($A144="",$I144=""),"",IF($BC144="Y",SUMIFS(survey_frozen!$I$2:$I$251,survey_frozen!$P$2:$P$251,$A144&amp;"|"&amp;$B144),IFERROR(SUMIFS(INDIRECT("'"&amp;$A144&amp;"'!$D$2:$D$501"),INDIRECT("'"&amp;$A144&amp;"'!$B$2:$B$501"),$T144,INDIRECT("'"&amp;$A144&amp;"'!$A$2:$A$501"),"&gt;="&amp;$I144,INDIRECT("'"&amp;$A144&amp;"'!$A$2:$A$501"),"&lt;"&amp;($BA144+1)),0)))</f>
        <v/>
      </c>
      <c r="AV144" s="25">
        <f>IF(OR($A144="",$I144=""),"",IF($BC144="Y",SUMIFS(survey_frozen!$J$2:$J$251,survey_frozen!$P$2:$P$251,$A144&amp;"|"&amp;$B144),IFERROR(COUNTIFS(INDIRECT("'"&amp;$A144&amp;"'!$B$2:$B$501"),$T144,INDIRECT("'"&amp;$A144&amp;"'!$A$2:$A$501"),"&gt;="&amp;$I144,INDIRECT("'"&amp;$A144&amp;"'!$A$2:$A$501"),"&lt;"&amp;($BA144+1),INDIRECT("'"&amp;$A144&amp;"'!$E$2:$E$501"),"Yes"),0)))</f>
        <v/>
      </c>
      <c r="AW144" s="25">
        <f>IF(OR($A144="",$I144=""),"",IF($BC144="Y",SUMIFS(survey_frozen!$K$2:$K$251,survey_frozen!$P$2:$P$251,$A144&amp;"|"&amp;$B144),IFERROR(COUNTIFS(INDIRECT("'"&amp;$A144&amp;"'!$B$2:$B$501"),$T144,INDIRECT("'"&amp;$A144&amp;"'!$A$2:$A$501"),"&gt;="&amp;$I144,INDIRECT("'"&amp;$A144&amp;"'!$A$2:$A$501"),"&lt;"&amp;($BA144+1),INDIRECT("'"&amp;$A144&amp;"'!$E$2:$E$501"),"Maybe"),0)))</f>
        <v/>
      </c>
      <c r="AX144" s="25">
        <f>IF(OR($A144="",$I144=""),"",IF($BC144="Y",SUMIFS(survey_frozen!$L$2:$L$251,survey_frozen!$P$2:$P$251,$A144&amp;"|"&amp;$B144),IFERROR(COUNTIFS(INDIRECT("'"&amp;$A144&amp;"'!$B$2:$B$501"),$T144,INDIRECT("'"&amp;$A144&amp;"'!$A$2:$A$501"),"&gt;="&amp;$I144,INDIRECT("'"&amp;$A144&amp;"'!$A$2:$A$501"),"&lt;"&amp;($BA144+1),INDIRECT("'"&amp;$A144&amp;"'!$E$2:$E$501"),"No"),0)))</f>
        <v/>
      </c>
      <c r="AY144" s="25">
        <f>IF(OR($A144="",$I144=""),"",IF($BC144="Y",SUMIFS(survey_frozen!$M$2:$M$251,survey_frozen!$P$2:$P$251,$A144&amp;"|"&amp;$B144),IFERROR(COUNTIFS(INDIRECT("'"&amp;$A144&amp;"'!$B$2:$B$501"),$T144,INDIRECT("'"&amp;$A144&amp;"'!$A$2:$A$501"),"&gt;="&amp;$I144,INDIRECT("'"&amp;$A144&amp;"'!$A$2:$A$501"),"&lt;"&amp;($BA144+1),INDIRECT("'"&amp;$A144&amp;"'!$G$2:$G$501"),"&lt;&gt;"),0)))</f>
        <v/>
      </c>
      <c r="AZ144" s="25">
        <f>IF($A144="","",$A144&amp;"|"&amp;$L144)</f>
        <v/>
      </c>
      <c r="BA144" s="26">
        <f>IF($A144="","",IFERROR(IF(INDEX(drops!$R$2:$R$21,MATCH($H144,drops!$A$2:$A$21,0))="","",INDEX(drops!$R$2:$R$21,MATCH($H144,drops!$A$2:$A$21,0))),""))</f>
        <v/>
      </c>
      <c r="BB144" s="25">
        <f>IF(OR($A144="",$Q144&lt;&gt;"Y"),1000000,N($AL144))</f>
        <v/>
      </c>
      <c r="BC144" s="25">
        <f>IF($A144="","",IF(COUNTIF(survey_frozen!$P$2:$P$251,$A144&amp;"|"&amp;$B144)&gt;0,"Y",""))</f>
        <v/>
      </c>
    </row>
    <row r="145">
      <c r="C145" s="9" t="n"/>
      <c r="E145" s="9" t="n"/>
      <c r="H145" s="25">
        <f>IF($A145="","",IFERROR(IF(INDEX(campaigns!$B$2:$B$51,MATCH($A145,campaigns!$A$2:$A$51,0))="","",INDEX(campaigns!$B$2:$B$51,MATCH($A145,campaigns!$A$2:$A$51,0))),""))</f>
        <v/>
      </c>
      <c r="I145" s="26">
        <f>IF($A145="","",IFERROR(IF(INDEX(campaigns!$BG$2:$BG$51,MATCH($A145,campaigns!$A$2:$A$51,0))="","",INDEX(campaigns!$BG$2:$BG$51,MATCH($A145,campaigns!$A$2:$A$51,0))),""))</f>
        <v/>
      </c>
      <c r="J145" s="25">
        <f>IF($A145="","",IFERROR(IF(INDEX(campaigns!$BE$2:$BE$51,MATCH($A145,campaigns!$A$2:$A$51,0))="","",INDEX(campaigns!$BE$2:$BE$51,MATCH($A145,campaigns!$A$2:$A$51,0))),""))</f>
        <v/>
      </c>
      <c r="K145" s="25">
        <f>IF($B145="","",IFERROR(IF(INDEX(offices!$N$2:$N$61,MATCH($B145,offices!$A$2:$A$61,0))="","",INDEX(offices!$N$2:$N$61,MATCH($B145,offices!$A$2:$A$61,0))),""))</f>
        <v/>
      </c>
      <c r="L145" s="25">
        <f>IF($A145="","",IF($Q145="N","",COUNTIFS($A$2:$A145,$A145,$Q$2:$Q145,"&lt;&gt;N")))</f>
        <v/>
      </c>
      <c r="M145" s="25">
        <f>IF(OR($A145="",$L145=""),"",IF(AND(config!$B$34="names_if_public",IFERROR(IF(INDEX(offices!$AF$2:$AF$61,MATCH($B145,offices!$A$2:$A$61,0))="","",INDEX(offices!$AF$2:$AF$61,MATCH($B145,offices!$A$2:$A$61,0))),"")="Y"),$K145,CHAR(64+$L145)))</f>
        <v/>
      </c>
      <c r="N145" s="25">
        <f>IF(OR($A145="",$I145=""),"",COUNTIFS(stops!$B$2:$B$151,$B145,stops!$P$2:$P$151,"&lt;"&amp;$I145,stops!$L$2:$L$151,"&lt;&gt;not_delivered")+1)</f>
        <v/>
      </c>
      <c r="O145" s="25">
        <f>IF($A145="","",IF(N($N145)&lt;=config!$B$29,"explicit","opt-out"))</f>
        <v/>
      </c>
      <c r="P145" s="25">
        <f>IF($A145="","",IF($O145="explicit",IF($D145="yes","Y",IF($D145="no","N","pending")),IF($D145="no","N",IF(AND($C145&lt;&gt;"",$I145&lt;&gt;"",$C145&lt;=WORKDAY(N($I145),-5,calendar!$A$2:$A$80)),"Y","pending"))))</f>
        <v/>
      </c>
      <c r="Q145" s="25">
        <f>IF($A145="","",IF($P145="N","N",IF($P145&lt;&gt;"Y","pending",IF(AND((COUNTIFS(stops!$A$2:$A$151,$H145,stops!$B$2:$B$151,$B145,stops!$L$2:$L$151,"declined")+COUNTIFS(stops!$A$2:$A$151,$H145,stops!$B$2:$B$151,$B145,stops!$L$2:$L$151,"building_refused")+COUNTIFS(stops!$A$2:$A$151,$H145,stops!$B$2:$B$151,$B145,stops!$L$2:$L$151,"not_delivered"))&gt;0,N($U145)=0),"N","Y"))))</f>
        <v/>
      </c>
      <c r="R145" s="25">
        <f>IF($A145="","",IF(COUNTIFS($A$2:$A$251,$A145,$B$2:$B$251,$B145)&gt;1,"DUPLICATE ROW; ","")&amp;IF(AND(IFERROR(IF(INDEX(offices!$AC$2:$AC$61,MATCH($B145,offices!$A$2:$A$61,0))="","",INDEX(offices!$AC$2:$AC$61,MATCH($B145,offices!$A$2:$A$61,0))),"")&lt;&gt;"",ISNUMBER(SEARCH($J145,IFERROR(IF(INDEX(offices!$AC$2:$AC$61,MATCH($B145,offices!$A$2:$A$61,0))="","",INDEX(offices!$AC$2:$AC$61,MATCH($B145,offices!$A$2:$A$61,0))),"")))),"BRAND VETOED; ","")&amp;IF(ISNUMBER(SEARCH(IFERROR(IF(INDEX(campaigns!$BF$2:$BF$51,MATCH($A145,campaigns!$A$2:$A$51,0))="","",INDEX(campaigns!$BF$2:$BF$51,MATCH($A145,campaigns!$A$2:$A$51,0))),""),IFERROR(IF(INDEX(offices!$AB$2:$AB$61,MATCH($B145,offices!$A$2:$A$61,0))="","",INDEX(offices!$AB$2:$AB$61,MATCH($B145,offices!$A$2:$A$61,0))),""))),"","info: category not on the office's list; ")&amp;IF(IFERROR(IF(INDEX(offices!$AC$2:$AC$61,MATCH($B145,offices!$A$2:$A$61,0))="","",INDEX(offices!$AC$2:$AC$61,MATCH($B145,offices!$A$2:$A$61,0))),"")&lt;&gt;"","info: read the vetoes against the label; ",""))</f>
        <v/>
      </c>
      <c r="S145" s="25">
        <f>IF($A145="","",IF($G145&lt;&gt;"",$G145,IFERROR(IF(INDEX(offices!$AL$2:$AL$61,MATCH($B145,offices!$A$2:$A$61,0))="","",INDEX(offices!$AL$2:$AL$61,MATCH($B145,offices!$A$2:$A$61,0))),"")))</f>
        <v/>
      </c>
      <c r="T145" s="25">
        <f>IF($A145="","",$A145&amp;"."&amp;$B145)</f>
        <v/>
      </c>
      <c r="U145" s="25">
        <f>IF($A145="","",SUMIFS(inventory!$G$2:$G$801,inventory!$C$2:$C$801,$A145,inventory!$D$2:$D$801,$B145,inventory!$E$2:$E$801,"delivered"))</f>
        <v/>
      </c>
      <c r="V145" s="32">
        <f>IF($A145="","",IFERROR(1/(1/SUMPRODUCT(MAX((inventory!$C$2:$C$801=$A145)*(inventory!$D$2:$D$801=$B145)*(inventory!$E$2:$E$801="delivered")*(inventory!$A$2:$A$801+inventory!$B$2:$B$801)))),""))</f>
        <v/>
      </c>
      <c r="W145" s="25">
        <f>IF($A145="","",IFERROR(IF(INDEX(inventory!$J$2:$J$801,MATCH($A145&amp;"|"&amp;$B145&amp;"|delivered",inventory!$R$2:$R$801,0))="","",INDEX(inventory!$J$2:$J$801,MATCH($A145&amp;"|"&amp;$B145&amp;"|delivered",inventory!$R$2:$R$801,0))),""))</f>
        <v/>
      </c>
      <c r="X145" s="25">
        <f>IF($A145="","",IFERROR(IF(INDEX(photos!$H$2:$H$701,MATCH($A145&amp;"|"&amp;$B145&amp;"|placement|Y",photos!$R$2:$R$701,0))="","",INDEX(photos!$H$2:$H$701,MATCH($A145&amp;"|"&amp;$B145&amp;"|placement|Y",photos!$R$2:$R$701,0))),""))</f>
        <v/>
      </c>
      <c r="Y145" s="26">
        <f>IF($A145="","",IFERROR(IF(INDEX(photos!$E$2:$E$701,MATCH($A145&amp;"|"&amp;$B145&amp;"|placement|Y",photos!$R$2:$R$701,0))="","",INDEX(photos!$E$2:$E$701,MATCH($A145&amp;"|"&amp;$B145&amp;"|placement|Y",photos!$R$2:$R$701,0))),""))</f>
        <v/>
      </c>
      <c r="Z145" s="25">
        <f>IF($A145="","",IF(COUNTIFS(counts!$C$2:$C$701,$A145,counts!$D$2:$D$701,$B145,counts!$E$2:$E$701,"placed")=0,"",SUMIFS(counts!$F$2:$F$701,counts!$C$2:$C$701,$A145,counts!$D$2:$D$701,$B145,counts!$E$2:$E$701,"placed")))</f>
        <v/>
      </c>
      <c r="AA145" s="25">
        <f>IF($A145="","",IF($Y145="",0,N($Z145)))</f>
        <v/>
      </c>
      <c r="AB145" s="25">
        <f>IF($A145="","",IF(OR($Y145="",$I145=""),"N",IF($Y145&lt;=WORKDAY(N($I145),1,calendar!$A$2:$A$80),"Y","N")))</f>
        <v/>
      </c>
      <c r="AC145" s="28">
        <f>IF(OR($A145="",$V145="",$Y145=""),"",ROUND(($Y145+N(IFERROR(IF(INDEX(photos!$F$2:$F$701,MATCH($A145&amp;"|"&amp;$B145&amp;"|placement|Y",photos!$R$2:$R$701,0))="","",INDEX(photos!$F$2:$F$701,MATCH($A145&amp;"|"&amp;$B145&amp;"|placement|Y",photos!$R$2:$R$701,0))),""))-$V145)*24,1))</f>
        <v/>
      </c>
      <c r="AD145" s="25">
        <f>IF($A145="","",SUMIFS(inventory!$G$2:$G$801,inventory!$C$2:$C$801,$A145,inventory!$D$2:$D$801,$B145,inventory!$E$2:$E$801,"topped_up"))</f>
        <v/>
      </c>
      <c r="AE145" s="25">
        <f>IF($A145="","",IF(COUNTIFS(counts!$C$2:$C$701,$A145,counts!$D$2:$D$701,$B145,counts!$E$2:$E$701,"remaining_day3")=0,"",SUMIFS(counts!$F$2:$F$701,counts!$C$2:$C$701,$A145,counts!$D$2:$D$701,$B145,counts!$E$2:$E$701,"remaining_day3")))</f>
        <v/>
      </c>
      <c r="AF145" s="25">
        <f>IF($A145="","",IF(COUNTIFS(counts!$C$2:$C$701,$A145,counts!$D$2:$D$701,$B145,counts!$E$2:$E$701,"remaining_day5")=0,"",SUMIFS(counts!$F$2:$F$701,counts!$C$2:$C$701,$A145,counts!$D$2:$D$701,$B145,counts!$E$2:$E$701,"remaining_day5")))</f>
        <v/>
      </c>
      <c r="AG145" s="25">
        <f>IF(OR($A145="",$AF145=""),"",MAX(0,$AA145+$AD145-$AF145))</f>
        <v/>
      </c>
      <c r="AH145" s="25">
        <f>IF(OR($A145="",$AI145=""),"",IFERROR(IF(INDEX(photos!$H$2:$H$701,MATCH($A145&amp;"|"&amp;$B145&amp;"|later|Y|"&amp;$AI145,photos!$S$2:$S$701,0))="","",INDEX(photos!$H$2:$H$701,MATCH($A145&amp;"|"&amp;$B145&amp;"|later|Y|"&amp;$AI145,photos!$S$2:$S$701,0))),""))</f>
        <v/>
      </c>
      <c r="AI145" s="26">
        <f>IF($A145="","",IFERROR(1/(1/SUMPRODUCT(MAX((photos!$B$2:$B$701=$A145)*(photos!$C$2:$C$701=$B145)*(photos!$D$2:$D$701="later")*(photos!$O$2:$O$701="Y")*photos!$E$2:$E$701))),""))</f>
        <v/>
      </c>
      <c r="AJ145" s="25">
        <f>IF(OR($A145="",$AI145="",$I145=""),"",NETWORKDAYS($I145,$AI145,calendar!$A$2:$A$80))</f>
        <v/>
      </c>
      <c r="AK145" s="25">
        <f>IF($A145="","",IF(AND($X145&lt;&gt;"",$AH145&lt;&gt;""),"Y","N"))</f>
        <v/>
      </c>
      <c r="AL145" s="25">
        <f>IF(OR($A145="",$I145=""),"",IF($BC145="Y",SUMIFS(survey_frozen!$C$2:$C$251,survey_frozen!$P$2:$P$251,$A145&amp;"|"&amp;$B145),IFERROR(COUNTIFS(INDIRECT("'"&amp;$A145&amp;"'!$B$2:$B$501"),$T145,INDIRECT("'"&amp;$A145&amp;"'!$A$2:$A$501"),"&gt;="&amp;$I145,INDIRECT("'"&amp;$A145&amp;"'!$A$2:$A$501"),"&lt;"&amp;($BA145+1)),0)))</f>
        <v/>
      </c>
      <c r="AM145" s="25">
        <f>IF(OR($A145="",$I145=""),"",IF($BC145="Y",SUMIFS(survey_frozen!$D$2:$D$251,survey_frozen!$P$2:$P$251,$A145&amp;"|"&amp;$B145),IFERROR(COUNTIFS(INDIRECT("'"&amp;$A145&amp;"'!$B$2:$B$501"),$T145,INDIRECT("'"&amp;$A145&amp;"'!$A$2:$A$501"),"&gt;="&amp;$I145,INDIRECT("'"&amp;$A145&amp;"'!$A$2:$A$501"),"&lt;"&amp;($BA145+1),INDIRECT("'"&amp;$A145&amp;"'!$C$2:$C$501"),"Yes"),0)))</f>
        <v/>
      </c>
      <c r="AN145" s="25">
        <f>IF($A145="","",IF(COUNTIFS(scans!$C$2:$C$1601,(IF(LEFT($A145,7)="SAMPLE-","SAMPLE-","")&amp;LOWER(SUBSTITUTE(SUBSTITUTE($A145,"SAMPLE-",""),"CMP-","c"))&amp;"-"&amp;LOWER(SUBSTITUTE(SUBSTITUTE($B145,"SAMPLE-",""),"O-","o"))&amp;"-q"),scans!$D$2:$D$1601,"close")=0,"",SUMPRODUCT(MAX((scans!$C$2:$C$1601=(IF(LEFT($A145,7)="SAMPLE-","SAMPLE-","")&amp;LOWER(SUBSTITUTE(SUBSTITUTE($A145,"SAMPLE-",""),"CMP-","c"))&amp;"-"&amp;LOWER(SUBSTITUTE(SUBSTITUTE($B145,"SAMPLE-",""),"O-","o"))&amp;"-q"))*(scans!$D$2:$D$1601="close")*scans!$E$2:$E$1601))-SUMPRODUCT(MAX((scans!$C$2:$C$1601=(IF(LEFT($A145,7)="SAMPLE-","SAMPLE-","")&amp;LOWER(SUBSTITUTE(SUBSTITUTE($A145,"SAMPLE-",""),"CMP-","c"))&amp;"-"&amp;LOWER(SUBSTITUTE(SUBSTITUTE($B145,"SAMPLE-",""),"O-","o"))&amp;"-q"))*(scans!$D$2:$D$1601="baseline")*scans!$E$2:$E$1601))))</f>
        <v/>
      </c>
      <c r="AO145" s="25">
        <f>IF($A145="","",IF(COUNTIFS(scans!$C$2:$C$1601,(IF(LEFT($A145,7)="SAMPLE-","SAMPLE-","")&amp;LOWER(SUBSTITUTE(SUBSTITUTE($A145,"SAMPLE-",""),"CMP-","c"))&amp;"-"&amp;LOWER(SUBSTITUTE(SUBSTITUTE($B145,"SAMPLE-",""),"O-","o"))&amp;"-p"),scans!$D$2:$D$1601,"close")=0,"",SUMPRODUCT(MAX((scans!$C$2:$C$1601=(IF(LEFT($A145,7)="SAMPLE-","SAMPLE-","")&amp;LOWER(SUBSTITUTE(SUBSTITUTE($A145,"SAMPLE-",""),"CMP-","c"))&amp;"-"&amp;LOWER(SUBSTITUTE(SUBSTITUTE($B145,"SAMPLE-",""),"O-","o"))&amp;"-p"))*(scans!$D$2:$D$1601="close")*scans!$E$2:$E$1601))-SUMPRODUCT(MAX((scans!$C$2:$C$1601=(IF(LEFT($A145,7)="SAMPLE-","SAMPLE-","")&amp;LOWER(SUBSTITUTE(SUBSTITUTE($A145,"SAMPLE-",""),"CMP-","c"))&amp;"-"&amp;LOWER(SUBSTITUTE(SUBSTITUTE($B145,"SAMPLE-",""),"O-","o"))&amp;"-p"))*(scans!$D$2:$D$1601="baseline")*scans!$E$2:$E$1601))))</f>
        <v/>
      </c>
      <c r="AP145" s="25">
        <f>IF($A145="","",IF(COUNTIF(offices!$A$2:$A$61,$B145)=0,"office_id not on offices; ","")&amp;IF(COUNTIF(campaigns!$A$2:$A$51,$A145)=0,"campaign_id not on campaigns; ","")&amp;IF($P145="pending","approval pending; ","")&amp;IF(AND($U145&gt;0,$Y145="",OR($I145="",IF(config!$B$37&lt;&gt;"",config!$B$37,TODAY())&lt;=WORKDAY(N($I145),4,calendar!$A$2:$A$80))),"no usable placement photo yet; ","")&amp;IF(AND($Y145&lt;&gt;"",$Z145=""),"log the placed count; ","")&amp;IF(N($AA145)&gt;N($U145),"placed more than delivered; ","")&amp;IF(AND($AF145&lt;&gt;"",N($AF145)&gt;N($AA145)+N($AD145)),"day-5 count above placed plus top-ups; ","")&amp;IF(AND($U145&gt;0,$I145&lt;&gt;"",IF(config!$B$37&lt;&gt;"",config!$B$37,TODAY())&gt;WORKDAY(N($I145),4,calendar!$A$2:$A$80),$AF145=""),"day-5 count missing; ","")&amp;IF(AND($U145&gt;0,$I145&lt;&gt;"",IF(config!$B$37&lt;&gt;"",config!$B$37,TODAY())&gt;WORKDAY(N($I145),4,calendar!$A$2:$A$80),$AN145=""),"no close link reading; ","")&amp;$R145&amp;IF($P145="N","info: office said no; ","")&amp;IF(AND($P145="Y",$Q145="N"),"info: turned away at the door, so not on the drop (no letter, not in the report or Gate 2; the credit check is on campaigns); ","")&amp;IF(AND($U145&gt;0,$Y145="",$I145&lt;&gt;"",IF(config!$B$37&lt;&gt;"",config!$B$37,TODAY())&gt;WORKDAY(N($I145),4,calendar!$A$2:$A$80)),"info: no usable placement photo, so nothing counts as placed; ","")&amp;IF(AND($U145&gt;0,$I145&lt;&gt;"",IF(config!$B$37&lt;&gt;"",config!$B$37,TODAY())&gt;WORKDAY(N($I145),4,calendar!$A$2:$A$80),N($AL145)&lt;config!$B$30),"info: under "&amp;config!$B$30&amp;" responses; ","")&amp;IF($W145="packing_list","info: delivered count not verified; ",""))</f>
        <v/>
      </c>
      <c r="AQ145" s="25">
        <f>IF(OR($A145="",$I145=""),"",IF($BC145="Y",SUMIFS(survey_frozen!$E$2:$E$251,survey_frozen!$P$2:$P$251,$A145&amp;"|"&amp;$B145),IFERROR(COUNTIFS(INDIRECT("'"&amp;$A145&amp;"'!$B$2:$B$501"),$T145,INDIRECT("'"&amp;$A145&amp;"'!$A$2:$A$501"),"&gt;="&amp;$I145,INDIRECT("'"&amp;$A145&amp;"'!$A$2:$A$501"),"&lt;"&amp;($BA145+1),INDIRECT("'"&amp;$A145&amp;"'!$F$2:$F$501"),"Didn't see it"),0)))</f>
        <v/>
      </c>
      <c r="AR145" s="25">
        <f>IF(OR($A145="",$I145=""),"",IF($BC145="Y",SUMIFS(survey_frozen!$F$2:$F$251,survey_frozen!$P$2:$P$251,$A145&amp;"|"&amp;$B145),IFERROR(COUNTIFS(INDIRECT("'"&amp;$A145&amp;"'!$B$2:$B$501"),$T145,INDIRECT("'"&amp;$A145&amp;"'!$A$2:$A$501"),"&gt;="&amp;$I145,INDIRECT("'"&amp;$A145&amp;"'!$A$2:$A$501"),"&lt;"&amp;($BA145+1),INDIRECT("'"&amp;$A145&amp;"'!$F$2:$F$501"),"Not for me"),0)))</f>
        <v/>
      </c>
      <c r="AS145" s="25">
        <f>IF(OR($A145="",$I145=""),"",IF($BC145="Y",SUMIFS(survey_frozen!$G$2:$G$251,survey_frozen!$P$2:$P$251,$A145&amp;"|"&amp;$B145),IFERROR(COUNTIFS(INDIRECT("'"&amp;$A145&amp;"'!$B$2:$B$501"),$T145,INDIRECT("'"&amp;$A145&amp;"'!$A$2:$A$501"),"&gt;="&amp;$I145,INDIRECT("'"&amp;$A145&amp;"'!$A$2:$A$501"),"&lt;"&amp;($BA145+1),INDIRECT("'"&amp;$A145&amp;"'!$F$2:$F$501"),"Gone by the time I looked"),0)))</f>
        <v/>
      </c>
      <c r="AT145" s="25">
        <f>IF(OR($A145="",$I145=""),"",IF($BC145="Y",SUMIFS(survey_frozen!$H$2:$H$251,survey_frozen!$P$2:$P$251,$A145&amp;"|"&amp;$B145),IFERROR(COUNTIFS(INDIRECT("'"&amp;$A145&amp;"'!$B$2:$B$501"),$T145,INDIRECT("'"&amp;$A145&amp;"'!$A$2:$A$501"),"&gt;="&amp;$I145,INDIRECT("'"&amp;$A145&amp;"'!$A$2:$A$501"),"&lt;"&amp;($BA145+1),INDIRECT("'"&amp;$A145&amp;"'!$D$2:$D$501"),"&gt;=1"),0)))</f>
        <v/>
      </c>
      <c r="AU145" s="25">
        <f>IF(OR($A145="",$I145=""),"",IF($BC145="Y",SUMIFS(survey_frozen!$I$2:$I$251,survey_frozen!$P$2:$P$251,$A145&amp;"|"&amp;$B145),IFERROR(SUMIFS(INDIRECT("'"&amp;$A145&amp;"'!$D$2:$D$501"),INDIRECT("'"&amp;$A145&amp;"'!$B$2:$B$501"),$T145,INDIRECT("'"&amp;$A145&amp;"'!$A$2:$A$501"),"&gt;="&amp;$I145,INDIRECT("'"&amp;$A145&amp;"'!$A$2:$A$501"),"&lt;"&amp;($BA145+1)),0)))</f>
        <v/>
      </c>
      <c r="AV145" s="25">
        <f>IF(OR($A145="",$I145=""),"",IF($BC145="Y",SUMIFS(survey_frozen!$J$2:$J$251,survey_frozen!$P$2:$P$251,$A145&amp;"|"&amp;$B145),IFERROR(COUNTIFS(INDIRECT("'"&amp;$A145&amp;"'!$B$2:$B$501"),$T145,INDIRECT("'"&amp;$A145&amp;"'!$A$2:$A$501"),"&gt;="&amp;$I145,INDIRECT("'"&amp;$A145&amp;"'!$A$2:$A$501"),"&lt;"&amp;($BA145+1),INDIRECT("'"&amp;$A145&amp;"'!$E$2:$E$501"),"Yes"),0)))</f>
        <v/>
      </c>
      <c r="AW145" s="25">
        <f>IF(OR($A145="",$I145=""),"",IF($BC145="Y",SUMIFS(survey_frozen!$K$2:$K$251,survey_frozen!$P$2:$P$251,$A145&amp;"|"&amp;$B145),IFERROR(COUNTIFS(INDIRECT("'"&amp;$A145&amp;"'!$B$2:$B$501"),$T145,INDIRECT("'"&amp;$A145&amp;"'!$A$2:$A$501"),"&gt;="&amp;$I145,INDIRECT("'"&amp;$A145&amp;"'!$A$2:$A$501"),"&lt;"&amp;($BA145+1),INDIRECT("'"&amp;$A145&amp;"'!$E$2:$E$501"),"Maybe"),0)))</f>
        <v/>
      </c>
      <c r="AX145" s="25">
        <f>IF(OR($A145="",$I145=""),"",IF($BC145="Y",SUMIFS(survey_frozen!$L$2:$L$251,survey_frozen!$P$2:$P$251,$A145&amp;"|"&amp;$B145),IFERROR(COUNTIFS(INDIRECT("'"&amp;$A145&amp;"'!$B$2:$B$501"),$T145,INDIRECT("'"&amp;$A145&amp;"'!$A$2:$A$501"),"&gt;="&amp;$I145,INDIRECT("'"&amp;$A145&amp;"'!$A$2:$A$501"),"&lt;"&amp;($BA145+1),INDIRECT("'"&amp;$A145&amp;"'!$E$2:$E$501"),"No"),0)))</f>
        <v/>
      </c>
      <c r="AY145" s="25">
        <f>IF(OR($A145="",$I145=""),"",IF($BC145="Y",SUMIFS(survey_frozen!$M$2:$M$251,survey_frozen!$P$2:$P$251,$A145&amp;"|"&amp;$B145),IFERROR(COUNTIFS(INDIRECT("'"&amp;$A145&amp;"'!$B$2:$B$501"),$T145,INDIRECT("'"&amp;$A145&amp;"'!$A$2:$A$501"),"&gt;="&amp;$I145,INDIRECT("'"&amp;$A145&amp;"'!$A$2:$A$501"),"&lt;"&amp;($BA145+1),INDIRECT("'"&amp;$A145&amp;"'!$G$2:$G$501"),"&lt;&gt;"),0)))</f>
        <v/>
      </c>
      <c r="AZ145" s="25">
        <f>IF($A145="","",$A145&amp;"|"&amp;$L145)</f>
        <v/>
      </c>
      <c r="BA145" s="26">
        <f>IF($A145="","",IFERROR(IF(INDEX(drops!$R$2:$R$21,MATCH($H145,drops!$A$2:$A$21,0))="","",INDEX(drops!$R$2:$R$21,MATCH($H145,drops!$A$2:$A$21,0))),""))</f>
        <v/>
      </c>
      <c r="BB145" s="25">
        <f>IF(OR($A145="",$Q145&lt;&gt;"Y"),1000000,N($AL145))</f>
        <v/>
      </c>
      <c r="BC145" s="25">
        <f>IF($A145="","",IF(COUNTIF(survey_frozen!$P$2:$P$251,$A145&amp;"|"&amp;$B145)&gt;0,"Y",""))</f>
        <v/>
      </c>
    </row>
    <row r="146">
      <c r="C146" s="9" t="n"/>
      <c r="E146" s="9" t="n"/>
      <c r="H146" s="25">
        <f>IF($A146="","",IFERROR(IF(INDEX(campaigns!$B$2:$B$51,MATCH($A146,campaigns!$A$2:$A$51,0))="","",INDEX(campaigns!$B$2:$B$51,MATCH($A146,campaigns!$A$2:$A$51,0))),""))</f>
        <v/>
      </c>
      <c r="I146" s="26">
        <f>IF($A146="","",IFERROR(IF(INDEX(campaigns!$BG$2:$BG$51,MATCH($A146,campaigns!$A$2:$A$51,0))="","",INDEX(campaigns!$BG$2:$BG$51,MATCH($A146,campaigns!$A$2:$A$51,0))),""))</f>
        <v/>
      </c>
      <c r="J146" s="25">
        <f>IF($A146="","",IFERROR(IF(INDEX(campaigns!$BE$2:$BE$51,MATCH($A146,campaigns!$A$2:$A$51,0))="","",INDEX(campaigns!$BE$2:$BE$51,MATCH($A146,campaigns!$A$2:$A$51,0))),""))</f>
        <v/>
      </c>
      <c r="K146" s="25">
        <f>IF($B146="","",IFERROR(IF(INDEX(offices!$N$2:$N$61,MATCH($B146,offices!$A$2:$A$61,0))="","",INDEX(offices!$N$2:$N$61,MATCH($B146,offices!$A$2:$A$61,0))),""))</f>
        <v/>
      </c>
      <c r="L146" s="25">
        <f>IF($A146="","",IF($Q146="N","",COUNTIFS($A$2:$A146,$A146,$Q$2:$Q146,"&lt;&gt;N")))</f>
        <v/>
      </c>
      <c r="M146" s="25">
        <f>IF(OR($A146="",$L146=""),"",IF(AND(config!$B$34="names_if_public",IFERROR(IF(INDEX(offices!$AF$2:$AF$61,MATCH($B146,offices!$A$2:$A$61,0))="","",INDEX(offices!$AF$2:$AF$61,MATCH($B146,offices!$A$2:$A$61,0))),"")="Y"),$K146,CHAR(64+$L146)))</f>
        <v/>
      </c>
      <c r="N146" s="25">
        <f>IF(OR($A146="",$I146=""),"",COUNTIFS(stops!$B$2:$B$151,$B146,stops!$P$2:$P$151,"&lt;"&amp;$I146,stops!$L$2:$L$151,"&lt;&gt;not_delivered")+1)</f>
        <v/>
      </c>
      <c r="O146" s="25">
        <f>IF($A146="","",IF(N($N146)&lt;=config!$B$29,"explicit","opt-out"))</f>
        <v/>
      </c>
      <c r="P146" s="25">
        <f>IF($A146="","",IF($O146="explicit",IF($D146="yes","Y",IF($D146="no","N","pending")),IF($D146="no","N",IF(AND($C146&lt;&gt;"",$I146&lt;&gt;"",$C146&lt;=WORKDAY(N($I146),-5,calendar!$A$2:$A$80)),"Y","pending"))))</f>
        <v/>
      </c>
      <c r="Q146" s="25">
        <f>IF($A146="","",IF($P146="N","N",IF($P146&lt;&gt;"Y","pending",IF(AND((COUNTIFS(stops!$A$2:$A$151,$H146,stops!$B$2:$B$151,$B146,stops!$L$2:$L$151,"declined")+COUNTIFS(stops!$A$2:$A$151,$H146,stops!$B$2:$B$151,$B146,stops!$L$2:$L$151,"building_refused")+COUNTIFS(stops!$A$2:$A$151,$H146,stops!$B$2:$B$151,$B146,stops!$L$2:$L$151,"not_delivered"))&gt;0,N($U146)=0),"N","Y"))))</f>
        <v/>
      </c>
      <c r="R146" s="25">
        <f>IF($A146="","",IF(COUNTIFS($A$2:$A$251,$A146,$B$2:$B$251,$B146)&gt;1,"DUPLICATE ROW; ","")&amp;IF(AND(IFERROR(IF(INDEX(offices!$AC$2:$AC$61,MATCH($B146,offices!$A$2:$A$61,0))="","",INDEX(offices!$AC$2:$AC$61,MATCH($B146,offices!$A$2:$A$61,0))),"")&lt;&gt;"",ISNUMBER(SEARCH($J146,IFERROR(IF(INDEX(offices!$AC$2:$AC$61,MATCH($B146,offices!$A$2:$A$61,0))="","",INDEX(offices!$AC$2:$AC$61,MATCH($B146,offices!$A$2:$A$61,0))),"")))),"BRAND VETOED; ","")&amp;IF(ISNUMBER(SEARCH(IFERROR(IF(INDEX(campaigns!$BF$2:$BF$51,MATCH($A146,campaigns!$A$2:$A$51,0))="","",INDEX(campaigns!$BF$2:$BF$51,MATCH($A146,campaigns!$A$2:$A$51,0))),""),IFERROR(IF(INDEX(offices!$AB$2:$AB$61,MATCH($B146,offices!$A$2:$A$61,0))="","",INDEX(offices!$AB$2:$AB$61,MATCH($B146,offices!$A$2:$A$61,0))),""))),"","info: category not on the office's list; ")&amp;IF(IFERROR(IF(INDEX(offices!$AC$2:$AC$61,MATCH($B146,offices!$A$2:$A$61,0))="","",INDEX(offices!$AC$2:$AC$61,MATCH($B146,offices!$A$2:$A$61,0))),"")&lt;&gt;"","info: read the vetoes against the label; ",""))</f>
        <v/>
      </c>
      <c r="S146" s="25">
        <f>IF($A146="","",IF($G146&lt;&gt;"",$G146,IFERROR(IF(INDEX(offices!$AL$2:$AL$61,MATCH($B146,offices!$A$2:$A$61,0))="","",INDEX(offices!$AL$2:$AL$61,MATCH($B146,offices!$A$2:$A$61,0))),"")))</f>
        <v/>
      </c>
      <c r="T146" s="25">
        <f>IF($A146="","",$A146&amp;"."&amp;$B146)</f>
        <v/>
      </c>
      <c r="U146" s="25">
        <f>IF($A146="","",SUMIFS(inventory!$G$2:$G$801,inventory!$C$2:$C$801,$A146,inventory!$D$2:$D$801,$B146,inventory!$E$2:$E$801,"delivered"))</f>
        <v/>
      </c>
      <c r="V146" s="32">
        <f>IF($A146="","",IFERROR(1/(1/SUMPRODUCT(MAX((inventory!$C$2:$C$801=$A146)*(inventory!$D$2:$D$801=$B146)*(inventory!$E$2:$E$801="delivered")*(inventory!$A$2:$A$801+inventory!$B$2:$B$801)))),""))</f>
        <v/>
      </c>
      <c r="W146" s="25">
        <f>IF($A146="","",IFERROR(IF(INDEX(inventory!$J$2:$J$801,MATCH($A146&amp;"|"&amp;$B146&amp;"|delivered",inventory!$R$2:$R$801,0))="","",INDEX(inventory!$J$2:$J$801,MATCH($A146&amp;"|"&amp;$B146&amp;"|delivered",inventory!$R$2:$R$801,0))),""))</f>
        <v/>
      </c>
      <c r="X146" s="25">
        <f>IF($A146="","",IFERROR(IF(INDEX(photos!$H$2:$H$701,MATCH($A146&amp;"|"&amp;$B146&amp;"|placement|Y",photos!$R$2:$R$701,0))="","",INDEX(photos!$H$2:$H$701,MATCH($A146&amp;"|"&amp;$B146&amp;"|placement|Y",photos!$R$2:$R$701,0))),""))</f>
        <v/>
      </c>
      <c r="Y146" s="26">
        <f>IF($A146="","",IFERROR(IF(INDEX(photos!$E$2:$E$701,MATCH($A146&amp;"|"&amp;$B146&amp;"|placement|Y",photos!$R$2:$R$701,0))="","",INDEX(photos!$E$2:$E$701,MATCH($A146&amp;"|"&amp;$B146&amp;"|placement|Y",photos!$R$2:$R$701,0))),""))</f>
        <v/>
      </c>
      <c r="Z146" s="25">
        <f>IF($A146="","",IF(COUNTIFS(counts!$C$2:$C$701,$A146,counts!$D$2:$D$701,$B146,counts!$E$2:$E$701,"placed")=0,"",SUMIFS(counts!$F$2:$F$701,counts!$C$2:$C$701,$A146,counts!$D$2:$D$701,$B146,counts!$E$2:$E$701,"placed")))</f>
        <v/>
      </c>
      <c r="AA146" s="25">
        <f>IF($A146="","",IF($Y146="",0,N($Z146)))</f>
        <v/>
      </c>
      <c r="AB146" s="25">
        <f>IF($A146="","",IF(OR($Y146="",$I146=""),"N",IF($Y146&lt;=WORKDAY(N($I146),1,calendar!$A$2:$A$80),"Y","N")))</f>
        <v/>
      </c>
      <c r="AC146" s="28">
        <f>IF(OR($A146="",$V146="",$Y146=""),"",ROUND(($Y146+N(IFERROR(IF(INDEX(photos!$F$2:$F$701,MATCH($A146&amp;"|"&amp;$B146&amp;"|placement|Y",photos!$R$2:$R$701,0))="","",INDEX(photos!$F$2:$F$701,MATCH($A146&amp;"|"&amp;$B146&amp;"|placement|Y",photos!$R$2:$R$701,0))),""))-$V146)*24,1))</f>
        <v/>
      </c>
      <c r="AD146" s="25">
        <f>IF($A146="","",SUMIFS(inventory!$G$2:$G$801,inventory!$C$2:$C$801,$A146,inventory!$D$2:$D$801,$B146,inventory!$E$2:$E$801,"topped_up"))</f>
        <v/>
      </c>
      <c r="AE146" s="25">
        <f>IF($A146="","",IF(COUNTIFS(counts!$C$2:$C$701,$A146,counts!$D$2:$D$701,$B146,counts!$E$2:$E$701,"remaining_day3")=0,"",SUMIFS(counts!$F$2:$F$701,counts!$C$2:$C$701,$A146,counts!$D$2:$D$701,$B146,counts!$E$2:$E$701,"remaining_day3")))</f>
        <v/>
      </c>
      <c r="AF146" s="25">
        <f>IF($A146="","",IF(COUNTIFS(counts!$C$2:$C$701,$A146,counts!$D$2:$D$701,$B146,counts!$E$2:$E$701,"remaining_day5")=0,"",SUMIFS(counts!$F$2:$F$701,counts!$C$2:$C$701,$A146,counts!$D$2:$D$701,$B146,counts!$E$2:$E$701,"remaining_day5")))</f>
        <v/>
      </c>
      <c r="AG146" s="25">
        <f>IF(OR($A146="",$AF146=""),"",MAX(0,$AA146+$AD146-$AF146))</f>
        <v/>
      </c>
      <c r="AH146" s="25">
        <f>IF(OR($A146="",$AI146=""),"",IFERROR(IF(INDEX(photos!$H$2:$H$701,MATCH($A146&amp;"|"&amp;$B146&amp;"|later|Y|"&amp;$AI146,photos!$S$2:$S$701,0))="","",INDEX(photos!$H$2:$H$701,MATCH($A146&amp;"|"&amp;$B146&amp;"|later|Y|"&amp;$AI146,photos!$S$2:$S$701,0))),""))</f>
        <v/>
      </c>
      <c r="AI146" s="26">
        <f>IF($A146="","",IFERROR(1/(1/SUMPRODUCT(MAX((photos!$B$2:$B$701=$A146)*(photos!$C$2:$C$701=$B146)*(photos!$D$2:$D$701="later")*(photos!$O$2:$O$701="Y")*photos!$E$2:$E$701))),""))</f>
        <v/>
      </c>
      <c r="AJ146" s="25">
        <f>IF(OR($A146="",$AI146="",$I146=""),"",NETWORKDAYS($I146,$AI146,calendar!$A$2:$A$80))</f>
        <v/>
      </c>
      <c r="AK146" s="25">
        <f>IF($A146="","",IF(AND($X146&lt;&gt;"",$AH146&lt;&gt;""),"Y","N"))</f>
        <v/>
      </c>
      <c r="AL146" s="25">
        <f>IF(OR($A146="",$I146=""),"",IF($BC146="Y",SUMIFS(survey_frozen!$C$2:$C$251,survey_frozen!$P$2:$P$251,$A146&amp;"|"&amp;$B146),IFERROR(COUNTIFS(INDIRECT("'"&amp;$A146&amp;"'!$B$2:$B$501"),$T146,INDIRECT("'"&amp;$A146&amp;"'!$A$2:$A$501"),"&gt;="&amp;$I146,INDIRECT("'"&amp;$A146&amp;"'!$A$2:$A$501"),"&lt;"&amp;($BA146+1)),0)))</f>
        <v/>
      </c>
      <c r="AM146" s="25">
        <f>IF(OR($A146="",$I146=""),"",IF($BC146="Y",SUMIFS(survey_frozen!$D$2:$D$251,survey_frozen!$P$2:$P$251,$A146&amp;"|"&amp;$B146),IFERROR(COUNTIFS(INDIRECT("'"&amp;$A146&amp;"'!$B$2:$B$501"),$T146,INDIRECT("'"&amp;$A146&amp;"'!$A$2:$A$501"),"&gt;="&amp;$I146,INDIRECT("'"&amp;$A146&amp;"'!$A$2:$A$501"),"&lt;"&amp;($BA146+1),INDIRECT("'"&amp;$A146&amp;"'!$C$2:$C$501"),"Yes"),0)))</f>
        <v/>
      </c>
      <c r="AN146" s="25">
        <f>IF($A146="","",IF(COUNTIFS(scans!$C$2:$C$1601,(IF(LEFT($A146,7)="SAMPLE-","SAMPLE-","")&amp;LOWER(SUBSTITUTE(SUBSTITUTE($A146,"SAMPLE-",""),"CMP-","c"))&amp;"-"&amp;LOWER(SUBSTITUTE(SUBSTITUTE($B146,"SAMPLE-",""),"O-","o"))&amp;"-q"),scans!$D$2:$D$1601,"close")=0,"",SUMPRODUCT(MAX((scans!$C$2:$C$1601=(IF(LEFT($A146,7)="SAMPLE-","SAMPLE-","")&amp;LOWER(SUBSTITUTE(SUBSTITUTE($A146,"SAMPLE-",""),"CMP-","c"))&amp;"-"&amp;LOWER(SUBSTITUTE(SUBSTITUTE($B146,"SAMPLE-",""),"O-","o"))&amp;"-q"))*(scans!$D$2:$D$1601="close")*scans!$E$2:$E$1601))-SUMPRODUCT(MAX((scans!$C$2:$C$1601=(IF(LEFT($A146,7)="SAMPLE-","SAMPLE-","")&amp;LOWER(SUBSTITUTE(SUBSTITUTE($A146,"SAMPLE-",""),"CMP-","c"))&amp;"-"&amp;LOWER(SUBSTITUTE(SUBSTITUTE($B146,"SAMPLE-",""),"O-","o"))&amp;"-q"))*(scans!$D$2:$D$1601="baseline")*scans!$E$2:$E$1601))))</f>
        <v/>
      </c>
      <c r="AO146" s="25">
        <f>IF($A146="","",IF(COUNTIFS(scans!$C$2:$C$1601,(IF(LEFT($A146,7)="SAMPLE-","SAMPLE-","")&amp;LOWER(SUBSTITUTE(SUBSTITUTE($A146,"SAMPLE-",""),"CMP-","c"))&amp;"-"&amp;LOWER(SUBSTITUTE(SUBSTITUTE($B146,"SAMPLE-",""),"O-","o"))&amp;"-p"),scans!$D$2:$D$1601,"close")=0,"",SUMPRODUCT(MAX((scans!$C$2:$C$1601=(IF(LEFT($A146,7)="SAMPLE-","SAMPLE-","")&amp;LOWER(SUBSTITUTE(SUBSTITUTE($A146,"SAMPLE-",""),"CMP-","c"))&amp;"-"&amp;LOWER(SUBSTITUTE(SUBSTITUTE($B146,"SAMPLE-",""),"O-","o"))&amp;"-p"))*(scans!$D$2:$D$1601="close")*scans!$E$2:$E$1601))-SUMPRODUCT(MAX((scans!$C$2:$C$1601=(IF(LEFT($A146,7)="SAMPLE-","SAMPLE-","")&amp;LOWER(SUBSTITUTE(SUBSTITUTE($A146,"SAMPLE-",""),"CMP-","c"))&amp;"-"&amp;LOWER(SUBSTITUTE(SUBSTITUTE($B146,"SAMPLE-",""),"O-","o"))&amp;"-p"))*(scans!$D$2:$D$1601="baseline")*scans!$E$2:$E$1601))))</f>
        <v/>
      </c>
      <c r="AP146" s="25">
        <f>IF($A146="","",IF(COUNTIF(offices!$A$2:$A$61,$B146)=0,"office_id not on offices; ","")&amp;IF(COUNTIF(campaigns!$A$2:$A$51,$A146)=0,"campaign_id not on campaigns; ","")&amp;IF($P146="pending","approval pending; ","")&amp;IF(AND($U146&gt;0,$Y146="",OR($I146="",IF(config!$B$37&lt;&gt;"",config!$B$37,TODAY())&lt;=WORKDAY(N($I146),4,calendar!$A$2:$A$80))),"no usable placement photo yet; ","")&amp;IF(AND($Y146&lt;&gt;"",$Z146=""),"log the placed count; ","")&amp;IF(N($AA146)&gt;N($U146),"placed more than delivered; ","")&amp;IF(AND($AF146&lt;&gt;"",N($AF146)&gt;N($AA146)+N($AD146)),"day-5 count above placed plus top-ups; ","")&amp;IF(AND($U146&gt;0,$I146&lt;&gt;"",IF(config!$B$37&lt;&gt;"",config!$B$37,TODAY())&gt;WORKDAY(N($I146),4,calendar!$A$2:$A$80),$AF146=""),"day-5 count missing; ","")&amp;IF(AND($U146&gt;0,$I146&lt;&gt;"",IF(config!$B$37&lt;&gt;"",config!$B$37,TODAY())&gt;WORKDAY(N($I146),4,calendar!$A$2:$A$80),$AN146=""),"no close link reading; ","")&amp;$R146&amp;IF($P146="N","info: office said no; ","")&amp;IF(AND($P146="Y",$Q146="N"),"info: turned away at the door, so not on the drop (no letter, not in the report or Gate 2; the credit check is on campaigns); ","")&amp;IF(AND($U146&gt;0,$Y146="",$I146&lt;&gt;"",IF(config!$B$37&lt;&gt;"",config!$B$37,TODAY())&gt;WORKDAY(N($I146),4,calendar!$A$2:$A$80)),"info: no usable placement photo, so nothing counts as placed; ","")&amp;IF(AND($U146&gt;0,$I146&lt;&gt;"",IF(config!$B$37&lt;&gt;"",config!$B$37,TODAY())&gt;WORKDAY(N($I146),4,calendar!$A$2:$A$80),N($AL146)&lt;config!$B$30),"info: under "&amp;config!$B$30&amp;" responses; ","")&amp;IF($W146="packing_list","info: delivered count not verified; ",""))</f>
        <v/>
      </c>
      <c r="AQ146" s="25">
        <f>IF(OR($A146="",$I146=""),"",IF($BC146="Y",SUMIFS(survey_frozen!$E$2:$E$251,survey_frozen!$P$2:$P$251,$A146&amp;"|"&amp;$B146),IFERROR(COUNTIFS(INDIRECT("'"&amp;$A146&amp;"'!$B$2:$B$501"),$T146,INDIRECT("'"&amp;$A146&amp;"'!$A$2:$A$501"),"&gt;="&amp;$I146,INDIRECT("'"&amp;$A146&amp;"'!$A$2:$A$501"),"&lt;"&amp;($BA146+1),INDIRECT("'"&amp;$A146&amp;"'!$F$2:$F$501"),"Didn't see it"),0)))</f>
        <v/>
      </c>
      <c r="AR146" s="25">
        <f>IF(OR($A146="",$I146=""),"",IF($BC146="Y",SUMIFS(survey_frozen!$F$2:$F$251,survey_frozen!$P$2:$P$251,$A146&amp;"|"&amp;$B146),IFERROR(COUNTIFS(INDIRECT("'"&amp;$A146&amp;"'!$B$2:$B$501"),$T146,INDIRECT("'"&amp;$A146&amp;"'!$A$2:$A$501"),"&gt;="&amp;$I146,INDIRECT("'"&amp;$A146&amp;"'!$A$2:$A$501"),"&lt;"&amp;($BA146+1),INDIRECT("'"&amp;$A146&amp;"'!$F$2:$F$501"),"Not for me"),0)))</f>
        <v/>
      </c>
      <c r="AS146" s="25">
        <f>IF(OR($A146="",$I146=""),"",IF($BC146="Y",SUMIFS(survey_frozen!$G$2:$G$251,survey_frozen!$P$2:$P$251,$A146&amp;"|"&amp;$B146),IFERROR(COUNTIFS(INDIRECT("'"&amp;$A146&amp;"'!$B$2:$B$501"),$T146,INDIRECT("'"&amp;$A146&amp;"'!$A$2:$A$501"),"&gt;="&amp;$I146,INDIRECT("'"&amp;$A146&amp;"'!$A$2:$A$501"),"&lt;"&amp;($BA146+1),INDIRECT("'"&amp;$A146&amp;"'!$F$2:$F$501"),"Gone by the time I looked"),0)))</f>
        <v/>
      </c>
      <c r="AT146" s="25">
        <f>IF(OR($A146="",$I146=""),"",IF($BC146="Y",SUMIFS(survey_frozen!$H$2:$H$251,survey_frozen!$P$2:$P$251,$A146&amp;"|"&amp;$B146),IFERROR(COUNTIFS(INDIRECT("'"&amp;$A146&amp;"'!$B$2:$B$501"),$T146,INDIRECT("'"&amp;$A146&amp;"'!$A$2:$A$501"),"&gt;="&amp;$I146,INDIRECT("'"&amp;$A146&amp;"'!$A$2:$A$501"),"&lt;"&amp;($BA146+1),INDIRECT("'"&amp;$A146&amp;"'!$D$2:$D$501"),"&gt;=1"),0)))</f>
        <v/>
      </c>
      <c r="AU146" s="25">
        <f>IF(OR($A146="",$I146=""),"",IF($BC146="Y",SUMIFS(survey_frozen!$I$2:$I$251,survey_frozen!$P$2:$P$251,$A146&amp;"|"&amp;$B146),IFERROR(SUMIFS(INDIRECT("'"&amp;$A146&amp;"'!$D$2:$D$501"),INDIRECT("'"&amp;$A146&amp;"'!$B$2:$B$501"),$T146,INDIRECT("'"&amp;$A146&amp;"'!$A$2:$A$501"),"&gt;="&amp;$I146,INDIRECT("'"&amp;$A146&amp;"'!$A$2:$A$501"),"&lt;"&amp;($BA146+1)),0)))</f>
        <v/>
      </c>
      <c r="AV146" s="25">
        <f>IF(OR($A146="",$I146=""),"",IF($BC146="Y",SUMIFS(survey_frozen!$J$2:$J$251,survey_frozen!$P$2:$P$251,$A146&amp;"|"&amp;$B146),IFERROR(COUNTIFS(INDIRECT("'"&amp;$A146&amp;"'!$B$2:$B$501"),$T146,INDIRECT("'"&amp;$A146&amp;"'!$A$2:$A$501"),"&gt;="&amp;$I146,INDIRECT("'"&amp;$A146&amp;"'!$A$2:$A$501"),"&lt;"&amp;($BA146+1),INDIRECT("'"&amp;$A146&amp;"'!$E$2:$E$501"),"Yes"),0)))</f>
        <v/>
      </c>
      <c r="AW146" s="25">
        <f>IF(OR($A146="",$I146=""),"",IF($BC146="Y",SUMIFS(survey_frozen!$K$2:$K$251,survey_frozen!$P$2:$P$251,$A146&amp;"|"&amp;$B146),IFERROR(COUNTIFS(INDIRECT("'"&amp;$A146&amp;"'!$B$2:$B$501"),$T146,INDIRECT("'"&amp;$A146&amp;"'!$A$2:$A$501"),"&gt;="&amp;$I146,INDIRECT("'"&amp;$A146&amp;"'!$A$2:$A$501"),"&lt;"&amp;($BA146+1),INDIRECT("'"&amp;$A146&amp;"'!$E$2:$E$501"),"Maybe"),0)))</f>
        <v/>
      </c>
      <c r="AX146" s="25">
        <f>IF(OR($A146="",$I146=""),"",IF($BC146="Y",SUMIFS(survey_frozen!$L$2:$L$251,survey_frozen!$P$2:$P$251,$A146&amp;"|"&amp;$B146),IFERROR(COUNTIFS(INDIRECT("'"&amp;$A146&amp;"'!$B$2:$B$501"),$T146,INDIRECT("'"&amp;$A146&amp;"'!$A$2:$A$501"),"&gt;="&amp;$I146,INDIRECT("'"&amp;$A146&amp;"'!$A$2:$A$501"),"&lt;"&amp;($BA146+1),INDIRECT("'"&amp;$A146&amp;"'!$E$2:$E$501"),"No"),0)))</f>
        <v/>
      </c>
      <c r="AY146" s="25">
        <f>IF(OR($A146="",$I146=""),"",IF($BC146="Y",SUMIFS(survey_frozen!$M$2:$M$251,survey_frozen!$P$2:$P$251,$A146&amp;"|"&amp;$B146),IFERROR(COUNTIFS(INDIRECT("'"&amp;$A146&amp;"'!$B$2:$B$501"),$T146,INDIRECT("'"&amp;$A146&amp;"'!$A$2:$A$501"),"&gt;="&amp;$I146,INDIRECT("'"&amp;$A146&amp;"'!$A$2:$A$501"),"&lt;"&amp;($BA146+1),INDIRECT("'"&amp;$A146&amp;"'!$G$2:$G$501"),"&lt;&gt;"),0)))</f>
        <v/>
      </c>
      <c r="AZ146" s="25">
        <f>IF($A146="","",$A146&amp;"|"&amp;$L146)</f>
        <v/>
      </c>
      <c r="BA146" s="26">
        <f>IF($A146="","",IFERROR(IF(INDEX(drops!$R$2:$R$21,MATCH($H146,drops!$A$2:$A$21,0))="","",INDEX(drops!$R$2:$R$21,MATCH($H146,drops!$A$2:$A$21,0))),""))</f>
        <v/>
      </c>
      <c r="BB146" s="25">
        <f>IF(OR($A146="",$Q146&lt;&gt;"Y"),1000000,N($AL146))</f>
        <v/>
      </c>
      <c r="BC146" s="25">
        <f>IF($A146="","",IF(COUNTIF(survey_frozen!$P$2:$P$251,$A146&amp;"|"&amp;$B146)&gt;0,"Y",""))</f>
        <v/>
      </c>
    </row>
    <row r="147">
      <c r="C147" s="9" t="n"/>
      <c r="E147" s="9" t="n"/>
      <c r="H147" s="25">
        <f>IF($A147="","",IFERROR(IF(INDEX(campaigns!$B$2:$B$51,MATCH($A147,campaigns!$A$2:$A$51,0))="","",INDEX(campaigns!$B$2:$B$51,MATCH($A147,campaigns!$A$2:$A$51,0))),""))</f>
        <v/>
      </c>
      <c r="I147" s="26">
        <f>IF($A147="","",IFERROR(IF(INDEX(campaigns!$BG$2:$BG$51,MATCH($A147,campaigns!$A$2:$A$51,0))="","",INDEX(campaigns!$BG$2:$BG$51,MATCH($A147,campaigns!$A$2:$A$51,0))),""))</f>
        <v/>
      </c>
      <c r="J147" s="25">
        <f>IF($A147="","",IFERROR(IF(INDEX(campaigns!$BE$2:$BE$51,MATCH($A147,campaigns!$A$2:$A$51,0))="","",INDEX(campaigns!$BE$2:$BE$51,MATCH($A147,campaigns!$A$2:$A$51,0))),""))</f>
        <v/>
      </c>
      <c r="K147" s="25">
        <f>IF($B147="","",IFERROR(IF(INDEX(offices!$N$2:$N$61,MATCH($B147,offices!$A$2:$A$61,0))="","",INDEX(offices!$N$2:$N$61,MATCH($B147,offices!$A$2:$A$61,0))),""))</f>
        <v/>
      </c>
      <c r="L147" s="25">
        <f>IF($A147="","",IF($Q147="N","",COUNTIFS($A$2:$A147,$A147,$Q$2:$Q147,"&lt;&gt;N")))</f>
        <v/>
      </c>
      <c r="M147" s="25">
        <f>IF(OR($A147="",$L147=""),"",IF(AND(config!$B$34="names_if_public",IFERROR(IF(INDEX(offices!$AF$2:$AF$61,MATCH($B147,offices!$A$2:$A$61,0))="","",INDEX(offices!$AF$2:$AF$61,MATCH($B147,offices!$A$2:$A$61,0))),"")="Y"),$K147,CHAR(64+$L147)))</f>
        <v/>
      </c>
      <c r="N147" s="25">
        <f>IF(OR($A147="",$I147=""),"",COUNTIFS(stops!$B$2:$B$151,$B147,stops!$P$2:$P$151,"&lt;"&amp;$I147,stops!$L$2:$L$151,"&lt;&gt;not_delivered")+1)</f>
        <v/>
      </c>
      <c r="O147" s="25">
        <f>IF($A147="","",IF(N($N147)&lt;=config!$B$29,"explicit","opt-out"))</f>
        <v/>
      </c>
      <c r="P147" s="25">
        <f>IF($A147="","",IF($O147="explicit",IF($D147="yes","Y",IF($D147="no","N","pending")),IF($D147="no","N",IF(AND($C147&lt;&gt;"",$I147&lt;&gt;"",$C147&lt;=WORKDAY(N($I147),-5,calendar!$A$2:$A$80)),"Y","pending"))))</f>
        <v/>
      </c>
      <c r="Q147" s="25">
        <f>IF($A147="","",IF($P147="N","N",IF($P147&lt;&gt;"Y","pending",IF(AND((COUNTIFS(stops!$A$2:$A$151,$H147,stops!$B$2:$B$151,$B147,stops!$L$2:$L$151,"declined")+COUNTIFS(stops!$A$2:$A$151,$H147,stops!$B$2:$B$151,$B147,stops!$L$2:$L$151,"building_refused")+COUNTIFS(stops!$A$2:$A$151,$H147,stops!$B$2:$B$151,$B147,stops!$L$2:$L$151,"not_delivered"))&gt;0,N($U147)=0),"N","Y"))))</f>
        <v/>
      </c>
      <c r="R147" s="25">
        <f>IF($A147="","",IF(COUNTIFS($A$2:$A$251,$A147,$B$2:$B$251,$B147)&gt;1,"DUPLICATE ROW; ","")&amp;IF(AND(IFERROR(IF(INDEX(offices!$AC$2:$AC$61,MATCH($B147,offices!$A$2:$A$61,0))="","",INDEX(offices!$AC$2:$AC$61,MATCH($B147,offices!$A$2:$A$61,0))),"")&lt;&gt;"",ISNUMBER(SEARCH($J147,IFERROR(IF(INDEX(offices!$AC$2:$AC$61,MATCH($B147,offices!$A$2:$A$61,0))="","",INDEX(offices!$AC$2:$AC$61,MATCH($B147,offices!$A$2:$A$61,0))),"")))),"BRAND VETOED; ","")&amp;IF(ISNUMBER(SEARCH(IFERROR(IF(INDEX(campaigns!$BF$2:$BF$51,MATCH($A147,campaigns!$A$2:$A$51,0))="","",INDEX(campaigns!$BF$2:$BF$51,MATCH($A147,campaigns!$A$2:$A$51,0))),""),IFERROR(IF(INDEX(offices!$AB$2:$AB$61,MATCH($B147,offices!$A$2:$A$61,0))="","",INDEX(offices!$AB$2:$AB$61,MATCH($B147,offices!$A$2:$A$61,0))),""))),"","info: category not on the office's list; ")&amp;IF(IFERROR(IF(INDEX(offices!$AC$2:$AC$61,MATCH($B147,offices!$A$2:$A$61,0))="","",INDEX(offices!$AC$2:$AC$61,MATCH($B147,offices!$A$2:$A$61,0))),"")&lt;&gt;"","info: read the vetoes against the label; ",""))</f>
        <v/>
      </c>
      <c r="S147" s="25">
        <f>IF($A147="","",IF($G147&lt;&gt;"",$G147,IFERROR(IF(INDEX(offices!$AL$2:$AL$61,MATCH($B147,offices!$A$2:$A$61,0))="","",INDEX(offices!$AL$2:$AL$61,MATCH($B147,offices!$A$2:$A$61,0))),"")))</f>
        <v/>
      </c>
      <c r="T147" s="25">
        <f>IF($A147="","",$A147&amp;"."&amp;$B147)</f>
        <v/>
      </c>
      <c r="U147" s="25">
        <f>IF($A147="","",SUMIFS(inventory!$G$2:$G$801,inventory!$C$2:$C$801,$A147,inventory!$D$2:$D$801,$B147,inventory!$E$2:$E$801,"delivered"))</f>
        <v/>
      </c>
      <c r="V147" s="32">
        <f>IF($A147="","",IFERROR(1/(1/SUMPRODUCT(MAX((inventory!$C$2:$C$801=$A147)*(inventory!$D$2:$D$801=$B147)*(inventory!$E$2:$E$801="delivered")*(inventory!$A$2:$A$801+inventory!$B$2:$B$801)))),""))</f>
        <v/>
      </c>
      <c r="W147" s="25">
        <f>IF($A147="","",IFERROR(IF(INDEX(inventory!$J$2:$J$801,MATCH($A147&amp;"|"&amp;$B147&amp;"|delivered",inventory!$R$2:$R$801,0))="","",INDEX(inventory!$J$2:$J$801,MATCH($A147&amp;"|"&amp;$B147&amp;"|delivered",inventory!$R$2:$R$801,0))),""))</f>
        <v/>
      </c>
      <c r="X147" s="25">
        <f>IF($A147="","",IFERROR(IF(INDEX(photos!$H$2:$H$701,MATCH($A147&amp;"|"&amp;$B147&amp;"|placement|Y",photos!$R$2:$R$701,0))="","",INDEX(photos!$H$2:$H$701,MATCH($A147&amp;"|"&amp;$B147&amp;"|placement|Y",photos!$R$2:$R$701,0))),""))</f>
        <v/>
      </c>
      <c r="Y147" s="26">
        <f>IF($A147="","",IFERROR(IF(INDEX(photos!$E$2:$E$701,MATCH($A147&amp;"|"&amp;$B147&amp;"|placement|Y",photos!$R$2:$R$701,0))="","",INDEX(photos!$E$2:$E$701,MATCH($A147&amp;"|"&amp;$B147&amp;"|placement|Y",photos!$R$2:$R$701,0))),""))</f>
        <v/>
      </c>
      <c r="Z147" s="25">
        <f>IF($A147="","",IF(COUNTIFS(counts!$C$2:$C$701,$A147,counts!$D$2:$D$701,$B147,counts!$E$2:$E$701,"placed")=0,"",SUMIFS(counts!$F$2:$F$701,counts!$C$2:$C$701,$A147,counts!$D$2:$D$701,$B147,counts!$E$2:$E$701,"placed")))</f>
        <v/>
      </c>
      <c r="AA147" s="25">
        <f>IF($A147="","",IF($Y147="",0,N($Z147)))</f>
        <v/>
      </c>
      <c r="AB147" s="25">
        <f>IF($A147="","",IF(OR($Y147="",$I147=""),"N",IF($Y147&lt;=WORKDAY(N($I147),1,calendar!$A$2:$A$80),"Y","N")))</f>
        <v/>
      </c>
      <c r="AC147" s="28">
        <f>IF(OR($A147="",$V147="",$Y147=""),"",ROUND(($Y147+N(IFERROR(IF(INDEX(photos!$F$2:$F$701,MATCH($A147&amp;"|"&amp;$B147&amp;"|placement|Y",photos!$R$2:$R$701,0))="","",INDEX(photos!$F$2:$F$701,MATCH($A147&amp;"|"&amp;$B147&amp;"|placement|Y",photos!$R$2:$R$701,0))),""))-$V147)*24,1))</f>
        <v/>
      </c>
      <c r="AD147" s="25">
        <f>IF($A147="","",SUMIFS(inventory!$G$2:$G$801,inventory!$C$2:$C$801,$A147,inventory!$D$2:$D$801,$B147,inventory!$E$2:$E$801,"topped_up"))</f>
        <v/>
      </c>
      <c r="AE147" s="25">
        <f>IF($A147="","",IF(COUNTIFS(counts!$C$2:$C$701,$A147,counts!$D$2:$D$701,$B147,counts!$E$2:$E$701,"remaining_day3")=0,"",SUMIFS(counts!$F$2:$F$701,counts!$C$2:$C$701,$A147,counts!$D$2:$D$701,$B147,counts!$E$2:$E$701,"remaining_day3")))</f>
        <v/>
      </c>
      <c r="AF147" s="25">
        <f>IF($A147="","",IF(COUNTIFS(counts!$C$2:$C$701,$A147,counts!$D$2:$D$701,$B147,counts!$E$2:$E$701,"remaining_day5")=0,"",SUMIFS(counts!$F$2:$F$701,counts!$C$2:$C$701,$A147,counts!$D$2:$D$701,$B147,counts!$E$2:$E$701,"remaining_day5")))</f>
        <v/>
      </c>
      <c r="AG147" s="25">
        <f>IF(OR($A147="",$AF147=""),"",MAX(0,$AA147+$AD147-$AF147))</f>
        <v/>
      </c>
      <c r="AH147" s="25">
        <f>IF(OR($A147="",$AI147=""),"",IFERROR(IF(INDEX(photos!$H$2:$H$701,MATCH($A147&amp;"|"&amp;$B147&amp;"|later|Y|"&amp;$AI147,photos!$S$2:$S$701,0))="","",INDEX(photos!$H$2:$H$701,MATCH($A147&amp;"|"&amp;$B147&amp;"|later|Y|"&amp;$AI147,photos!$S$2:$S$701,0))),""))</f>
        <v/>
      </c>
      <c r="AI147" s="26">
        <f>IF($A147="","",IFERROR(1/(1/SUMPRODUCT(MAX((photos!$B$2:$B$701=$A147)*(photos!$C$2:$C$701=$B147)*(photos!$D$2:$D$701="later")*(photos!$O$2:$O$701="Y")*photos!$E$2:$E$701))),""))</f>
        <v/>
      </c>
      <c r="AJ147" s="25">
        <f>IF(OR($A147="",$AI147="",$I147=""),"",NETWORKDAYS($I147,$AI147,calendar!$A$2:$A$80))</f>
        <v/>
      </c>
      <c r="AK147" s="25">
        <f>IF($A147="","",IF(AND($X147&lt;&gt;"",$AH147&lt;&gt;""),"Y","N"))</f>
        <v/>
      </c>
      <c r="AL147" s="25">
        <f>IF(OR($A147="",$I147=""),"",IF($BC147="Y",SUMIFS(survey_frozen!$C$2:$C$251,survey_frozen!$P$2:$P$251,$A147&amp;"|"&amp;$B147),IFERROR(COUNTIFS(INDIRECT("'"&amp;$A147&amp;"'!$B$2:$B$501"),$T147,INDIRECT("'"&amp;$A147&amp;"'!$A$2:$A$501"),"&gt;="&amp;$I147,INDIRECT("'"&amp;$A147&amp;"'!$A$2:$A$501"),"&lt;"&amp;($BA147+1)),0)))</f>
        <v/>
      </c>
      <c r="AM147" s="25">
        <f>IF(OR($A147="",$I147=""),"",IF($BC147="Y",SUMIFS(survey_frozen!$D$2:$D$251,survey_frozen!$P$2:$P$251,$A147&amp;"|"&amp;$B147),IFERROR(COUNTIFS(INDIRECT("'"&amp;$A147&amp;"'!$B$2:$B$501"),$T147,INDIRECT("'"&amp;$A147&amp;"'!$A$2:$A$501"),"&gt;="&amp;$I147,INDIRECT("'"&amp;$A147&amp;"'!$A$2:$A$501"),"&lt;"&amp;($BA147+1),INDIRECT("'"&amp;$A147&amp;"'!$C$2:$C$501"),"Yes"),0)))</f>
        <v/>
      </c>
      <c r="AN147" s="25">
        <f>IF($A147="","",IF(COUNTIFS(scans!$C$2:$C$1601,(IF(LEFT($A147,7)="SAMPLE-","SAMPLE-","")&amp;LOWER(SUBSTITUTE(SUBSTITUTE($A147,"SAMPLE-",""),"CMP-","c"))&amp;"-"&amp;LOWER(SUBSTITUTE(SUBSTITUTE($B147,"SAMPLE-",""),"O-","o"))&amp;"-q"),scans!$D$2:$D$1601,"close")=0,"",SUMPRODUCT(MAX((scans!$C$2:$C$1601=(IF(LEFT($A147,7)="SAMPLE-","SAMPLE-","")&amp;LOWER(SUBSTITUTE(SUBSTITUTE($A147,"SAMPLE-",""),"CMP-","c"))&amp;"-"&amp;LOWER(SUBSTITUTE(SUBSTITUTE($B147,"SAMPLE-",""),"O-","o"))&amp;"-q"))*(scans!$D$2:$D$1601="close")*scans!$E$2:$E$1601))-SUMPRODUCT(MAX((scans!$C$2:$C$1601=(IF(LEFT($A147,7)="SAMPLE-","SAMPLE-","")&amp;LOWER(SUBSTITUTE(SUBSTITUTE($A147,"SAMPLE-",""),"CMP-","c"))&amp;"-"&amp;LOWER(SUBSTITUTE(SUBSTITUTE($B147,"SAMPLE-",""),"O-","o"))&amp;"-q"))*(scans!$D$2:$D$1601="baseline")*scans!$E$2:$E$1601))))</f>
        <v/>
      </c>
      <c r="AO147" s="25">
        <f>IF($A147="","",IF(COUNTIFS(scans!$C$2:$C$1601,(IF(LEFT($A147,7)="SAMPLE-","SAMPLE-","")&amp;LOWER(SUBSTITUTE(SUBSTITUTE($A147,"SAMPLE-",""),"CMP-","c"))&amp;"-"&amp;LOWER(SUBSTITUTE(SUBSTITUTE($B147,"SAMPLE-",""),"O-","o"))&amp;"-p"),scans!$D$2:$D$1601,"close")=0,"",SUMPRODUCT(MAX((scans!$C$2:$C$1601=(IF(LEFT($A147,7)="SAMPLE-","SAMPLE-","")&amp;LOWER(SUBSTITUTE(SUBSTITUTE($A147,"SAMPLE-",""),"CMP-","c"))&amp;"-"&amp;LOWER(SUBSTITUTE(SUBSTITUTE($B147,"SAMPLE-",""),"O-","o"))&amp;"-p"))*(scans!$D$2:$D$1601="close")*scans!$E$2:$E$1601))-SUMPRODUCT(MAX((scans!$C$2:$C$1601=(IF(LEFT($A147,7)="SAMPLE-","SAMPLE-","")&amp;LOWER(SUBSTITUTE(SUBSTITUTE($A147,"SAMPLE-",""),"CMP-","c"))&amp;"-"&amp;LOWER(SUBSTITUTE(SUBSTITUTE($B147,"SAMPLE-",""),"O-","o"))&amp;"-p"))*(scans!$D$2:$D$1601="baseline")*scans!$E$2:$E$1601))))</f>
        <v/>
      </c>
      <c r="AP147" s="25">
        <f>IF($A147="","",IF(COUNTIF(offices!$A$2:$A$61,$B147)=0,"office_id not on offices; ","")&amp;IF(COUNTIF(campaigns!$A$2:$A$51,$A147)=0,"campaign_id not on campaigns; ","")&amp;IF($P147="pending","approval pending; ","")&amp;IF(AND($U147&gt;0,$Y147="",OR($I147="",IF(config!$B$37&lt;&gt;"",config!$B$37,TODAY())&lt;=WORKDAY(N($I147),4,calendar!$A$2:$A$80))),"no usable placement photo yet; ","")&amp;IF(AND($Y147&lt;&gt;"",$Z147=""),"log the placed count; ","")&amp;IF(N($AA147)&gt;N($U147),"placed more than delivered; ","")&amp;IF(AND($AF147&lt;&gt;"",N($AF147)&gt;N($AA147)+N($AD147)),"day-5 count above placed plus top-ups; ","")&amp;IF(AND($U147&gt;0,$I147&lt;&gt;"",IF(config!$B$37&lt;&gt;"",config!$B$37,TODAY())&gt;WORKDAY(N($I147),4,calendar!$A$2:$A$80),$AF147=""),"day-5 count missing; ","")&amp;IF(AND($U147&gt;0,$I147&lt;&gt;"",IF(config!$B$37&lt;&gt;"",config!$B$37,TODAY())&gt;WORKDAY(N($I147),4,calendar!$A$2:$A$80),$AN147=""),"no close link reading; ","")&amp;$R147&amp;IF($P147="N","info: office said no; ","")&amp;IF(AND($P147="Y",$Q147="N"),"info: turned away at the door, so not on the drop (no letter, not in the report or Gate 2; the credit check is on campaigns); ","")&amp;IF(AND($U147&gt;0,$Y147="",$I147&lt;&gt;"",IF(config!$B$37&lt;&gt;"",config!$B$37,TODAY())&gt;WORKDAY(N($I147),4,calendar!$A$2:$A$80)),"info: no usable placement photo, so nothing counts as placed; ","")&amp;IF(AND($U147&gt;0,$I147&lt;&gt;"",IF(config!$B$37&lt;&gt;"",config!$B$37,TODAY())&gt;WORKDAY(N($I147),4,calendar!$A$2:$A$80),N($AL147)&lt;config!$B$30),"info: under "&amp;config!$B$30&amp;" responses; ","")&amp;IF($W147="packing_list","info: delivered count not verified; ",""))</f>
        <v/>
      </c>
      <c r="AQ147" s="25">
        <f>IF(OR($A147="",$I147=""),"",IF($BC147="Y",SUMIFS(survey_frozen!$E$2:$E$251,survey_frozen!$P$2:$P$251,$A147&amp;"|"&amp;$B147),IFERROR(COUNTIFS(INDIRECT("'"&amp;$A147&amp;"'!$B$2:$B$501"),$T147,INDIRECT("'"&amp;$A147&amp;"'!$A$2:$A$501"),"&gt;="&amp;$I147,INDIRECT("'"&amp;$A147&amp;"'!$A$2:$A$501"),"&lt;"&amp;($BA147+1),INDIRECT("'"&amp;$A147&amp;"'!$F$2:$F$501"),"Didn't see it"),0)))</f>
        <v/>
      </c>
      <c r="AR147" s="25">
        <f>IF(OR($A147="",$I147=""),"",IF($BC147="Y",SUMIFS(survey_frozen!$F$2:$F$251,survey_frozen!$P$2:$P$251,$A147&amp;"|"&amp;$B147),IFERROR(COUNTIFS(INDIRECT("'"&amp;$A147&amp;"'!$B$2:$B$501"),$T147,INDIRECT("'"&amp;$A147&amp;"'!$A$2:$A$501"),"&gt;="&amp;$I147,INDIRECT("'"&amp;$A147&amp;"'!$A$2:$A$501"),"&lt;"&amp;($BA147+1),INDIRECT("'"&amp;$A147&amp;"'!$F$2:$F$501"),"Not for me"),0)))</f>
        <v/>
      </c>
      <c r="AS147" s="25">
        <f>IF(OR($A147="",$I147=""),"",IF($BC147="Y",SUMIFS(survey_frozen!$G$2:$G$251,survey_frozen!$P$2:$P$251,$A147&amp;"|"&amp;$B147),IFERROR(COUNTIFS(INDIRECT("'"&amp;$A147&amp;"'!$B$2:$B$501"),$T147,INDIRECT("'"&amp;$A147&amp;"'!$A$2:$A$501"),"&gt;="&amp;$I147,INDIRECT("'"&amp;$A147&amp;"'!$A$2:$A$501"),"&lt;"&amp;($BA147+1),INDIRECT("'"&amp;$A147&amp;"'!$F$2:$F$501"),"Gone by the time I looked"),0)))</f>
        <v/>
      </c>
      <c r="AT147" s="25">
        <f>IF(OR($A147="",$I147=""),"",IF($BC147="Y",SUMIFS(survey_frozen!$H$2:$H$251,survey_frozen!$P$2:$P$251,$A147&amp;"|"&amp;$B147),IFERROR(COUNTIFS(INDIRECT("'"&amp;$A147&amp;"'!$B$2:$B$501"),$T147,INDIRECT("'"&amp;$A147&amp;"'!$A$2:$A$501"),"&gt;="&amp;$I147,INDIRECT("'"&amp;$A147&amp;"'!$A$2:$A$501"),"&lt;"&amp;($BA147+1),INDIRECT("'"&amp;$A147&amp;"'!$D$2:$D$501"),"&gt;=1"),0)))</f>
        <v/>
      </c>
      <c r="AU147" s="25">
        <f>IF(OR($A147="",$I147=""),"",IF($BC147="Y",SUMIFS(survey_frozen!$I$2:$I$251,survey_frozen!$P$2:$P$251,$A147&amp;"|"&amp;$B147),IFERROR(SUMIFS(INDIRECT("'"&amp;$A147&amp;"'!$D$2:$D$501"),INDIRECT("'"&amp;$A147&amp;"'!$B$2:$B$501"),$T147,INDIRECT("'"&amp;$A147&amp;"'!$A$2:$A$501"),"&gt;="&amp;$I147,INDIRECT("'"&amp;$A147&amp;"'!$A$2:$A$501"),"&lt;"&amp;($BA147+1)),0)))</f>
        <v/>
      </c>
      <c r="AV147" s="25">
        <f>IF(OR($A147="",$I147=""),"",IF($BC147="Y",SUMIFS(survey_frozen!$J$2:$J$251,survey_frozen!$P$2:$P$251,$A147&amp;"|"&amp;$B147),IFERROR(COUNTIFS(INDIRECT("'"&amp;$A147&amp;"'!$B$2:$B$501"),$T147,INDIRECT("'"&amp;$A147&amp;"'!$A$2:$A$501"),"&gt;="&amp;$I147,INDIRECT("'"&amp;$A147&amp;"'!$A$2:$A$501"),"&lt;"&amp;($BA147+1),INDIRECT("'"&amp;$A147&amp;"'!$E$2:$E$501"),"Yes"),0)))</f>
        <v/>
      </c>
      <c r="AW147" s="25">
        <f>IF(OR($A147="",$I147=""),"",IF($BC147="Y",SUMIFS(survey_frozen!$K$2:$K$251,survey_frozen!$P$2:$P$251,$A147&amp;"|"&amp;$B147),IFERROR(COUNTIFS(INDIRECT("'"&amp;$A147&amp;"'!$B$2:$B$501"),$T147,INDIRECT("'"&amp;$A147&amp;"'!$A$2:$A$501"),"&gt;="&amp;$I147,INDIRECT("'"&amp;$A147&amp;"'!$A$2:$A$501"),"&lt;"&amp;($BA147+1),INDIRECT("'"&amp;$A147&amp;"'!$E$2:$E$501"),"Maybe"),0)))</f>
        <v/>
      </c>
      <c r="AX147" s="25">
        <f>IF(OR($A147="",$I147=""),"",IF($BC147="Y",SUMIFS(survey_frozen!$L$2:$L$251,survey_frozen!$P$2:$P$251,$A147&amp;"|"&amp;$B147),IFERROR(COUNTIFS(INDIRECT("'"&amp;$A147&amp;"'!$B$2:$B$501"),$T147,INDIRECT("'"&amp;$A147&amp;"'!$A$2:$A$501"),"&gt;="&amp;$I147,INDIRECT("'"&amp;$A147&amp;"'!$A$2:$A$501"),"&lt;"&amp;($BA147+1),INDIRECT("'"&amp;$A147&amp;"'!$E$2:$E$501"),"No"),0)))</f>
        <v/>
      </c>
      <c r="AY147" s="25">
        <f>IF(OR($A147="",$I147=""),"",IF($BC147="Y",SUMIFS(survey_frozen!$M$2:$M$251,survey_frozen!$P$2:$P$251,$A147&amp;"|"&amp;$B147),IFERROR(COUNTIFS(INDIRECT("'"&amp;$A147&amp;"'!$B$2:$B$501"),$T147,INDIRECT("'"&amp;$A147&amp;"'!$A$2:$A$501"),"&gt;="&amp;$I147,INDIRECT("'"&amp;$A147&amp;"'!$A$2:$A$501"),"&lt;"&amp;($BA147+1),INDIRECT("'"&amp;$A147&amp;"'!$G$2:$G$501"),"&lt;&gt;"),0)))</f>
        <v/>
      </c>
      <c r="AZ147" s="25">
        <f>IF($A147="","",$A147&amp;"|"&amp;$L147)</f>
        <v/>
      </c>
      <c r="BA147" s="26">
        <f>IF($A147="","",IFERROR(IF(INDEX(drops!$R$2:$R$21,MATCH($H147,drops!$A$2:$A$21,0))="","",INDEX(drops!$R$2:$R$21,MATCH($H147,drops!$A$2:$A$21,0))),""))</f>
        <v/>
      </c>
      <c r="BB147" s="25">
        <f>IF(OR($A147="",$Q147&lt;&gt;"Y"),1000000,N($AL147))</f>
        <v/>
      </c>
      <c r="BC147" s="25">
        <f>IF($A147="","",IF(COUNTIF(survey_frozen!$P$2:$P$251,$A147&amp;"|"&amp;$B147)&gt;0,"Y",""))</f>
        <v/>
      </c>
    </row>
    <row r="148">
      <c r="C148" s="9" t="n"/>
      <c r="E148" s="9" t="n"/>
      <c r="H148" s="25">
        <f>IF($A148="","",IFERROR(IF(INDEX(campaigns!$B$2:$B$51,MATCH($A148,campaigns!$A$2:$A$51,0))="","",INDEX(campaigns!$B$2:$B$51,MATCH($A148,campaigns!$A$2:$A$51,0))),""))</f>
        <v/>
      </c>
      <c r="I148" s="26">
        <f>IF($A148="","",IFERROR(IF(INDEX(campaigns!$BG$2:$BG$51,MATCH($A148,campaigns!$A$2:$A$51,0))="","",INDEX(campaigns!$BG$2:$BG$51,MATCH($A148,campaigns!$A$2:$A$51,0))),""))</f>
        <v/>
      </c>
      <c r="J148" s="25">
        <f>IF($A148="","",IFERROR(IF(INDEX(campaigns!$BE$2:$BE$51,MATCH($A148,campaigns!$A$2:$A$51,0))="","",INDEX(campaigns!$BE$2:$BE$51,MATCH($A148,campaigns!$A$2:$A$51,0))),""))</f>
        <v/>
      </c>
      <c r="K148" s="25">
        <f>IF($B148="","",IFERROR(IF(INDEX(offices!$N$2:$N$61,MATCH($B148,offices!$A$2:$A$61,0))="","",INDEX(offices!$N$2:$N$61,MATCH($B148,offices!$A$2:$A$61,0))),""))</f>
        <v/>
      </c>
      <c r="L148" s="25">
        <f>IF($A148="","",IF($Q148="N","",COUNTIFS($A$2:$A148,$A148,$Q$2:$Q148,"&lt;&gt;N")))</f>
        <v/>
      </c>
      <c r="M148" s="25">
        <f>IF(OR($A148="",$L148=""),"",IF(AND(config!$B$34="names_if_public",IFERROR(IF(INDEX(offices!$AF$2:$AF$61,MATCH($B148,offices!$A$2:$A$61,0))="","",INDEX(offices!$AF$2:$AF$61,MATCH($B148,offices!$A$2:$A$61,0))),"")="Y"),$K148,CHAR(64+$L148)))</f>
        <v/>
      </c>
      <c r="N148" s="25">
        <f>IF(OR($A148="",$I148=""),"",COUNTIFS(stops!$B$2:$B$151,$B148,stops!$P$2:$P$151,"&lt;"&amp;$I148,stops!$L$2:$L$151,"&lt;&gt;not_delivered")+1)</f>
        <v/>
      </c>
      <c r="O148" s="25">
        <f>IF($A148="","",IF(N($N148)&lt;=config!$B$29,"explicit","opt-out"))</f>
        <v/>
      </c>
      <c r="P148" s="25">
        <f>IF($A148="","",IF($O148="explicit",IF($D148="yes","Y",IF($D148="no","N","pending")),IF($D148="no","N",IF(AND($C148&lt;&gt;"",$I148&lt;&gt;"",$C148&lt;=WORKDAY(N($I148),-5,calendar!$A$2:$A$80)),"Y","pending"))))</f>
        <v/>
      </c>
      <c r="Q148" s="25">
        <f>IF($A148="","",IF($P148="N","N",IF($P148&lt;&gt;"Y","pending",IF(AND((COUNTIFS(stops!$A$2:$A$151,$H148,stops!$B$2:$B$151,$B148,stops!$L$2:$L$151,"declined")+COUNTIFS(stops!$A$2:$A$151,$H148,stops!$B$2:$B$151,$B148,stops!$L$2:$L$151,"building_refused")+COUNTIFS(stops!$A$2:$A$151,$H148,stops!$B$2:$B$151,$B148,stops!$L$2:$L$151,"not_delivered"))&gt;0,N($U148)=0),"N","Y"))))</f>
        <v/>
      </c>
      <c r="R148" s="25">
        <f>IF($A148="","",IF(COUNTIFS($A$2:$A$251,$A148,$B$2:$B$251,$B148)&gt;1,"DUPLICATE ROW; ","")&amp;IF(AND(IFERROR(IF(INDEX(offices!$AC$2:$AC$61,MATCH($B148,offices!$A$2:$A$61,0))="","",INDEX(offices!$AC$2:$AC$61,MATCH($B148,offices!$A$2:$A$61,0))),"")&lt;&gt;"",ISNUMBER(SEARCH($J148,IFERROR(IF(INDEX(offices!$AC$2:$AC$61,MATCH($B148,offices!$A$2:$A$61,0))="","",INDEX(offices!$AC$2:$AC$61,MATCH($B148,offices!$A$2:$A$61,0))),"")))),"BRAND VETOED; ","")&amp;IF(ISNUMBER(SEARCH(IFERROR(IF(INDEX(campaigns!$BF$2:$BF$51,MATCH($A148,campaigns!$A$2:$A$51,0))="","",INDEX(campaigns!$BF$2:$BF$51,MATCH($A148,campaigns!$A$2:$A$51,0))),""),IFERROR(IF(INDEX(offices!$AB$2:$AB$61,MATCH($B148,offices!$A$2:$A$61,0))="","",INDEX(offices!$AB$2:$AB$61,MATCH($B148,offices!$A$2:$A$61,0))),""))),"","info: category not on the office's list; ")&amp;IF(IFERROR(IF(INDEX(offices!$AC$2:$AC$61,MATCH($B148,offices!$A$2:$A$61,0))="","",INDEX(offices!$AC$2:$AC$61,MATCH($B148,offices!$A$2:$A$61,0))),"")&lt;&gt;"","info: read the vetoes against the label; ",""))</f>
        <v/>
      </c>
      <c r="S148" s="25">
        <f>IF($A148="","",IF($G148&lt;&gt;"",$G148,IFERROR(IF(INDEX(offices!$AL$2:$AL$61,MATCH($B148,offices!$A$2:$A$61,0))="","",INDEX(offices!$AL$2:$AL$61,MATCH($B148,offices!$A$2:$A$61,0))),"")))</f>
        <v/>
      </c>
      <c r="T148" s="25">
        <f>IF($A148="","",$A148&amp;"."&amp;$B148)</f>
        <v/>
      </c>
      <c r="U148" s="25">
        <f>IF($A148="","",SUMIFS(inventory!$G$2:$G$801,inventory!$C$2:$C$801,$A148,inventory!$D$2:$D$801,$B148,inventory!$E$2:$E$801,"delivered"))</f>
        <v/>
      </c>
      <c r="V148" s="32">
        <f>IF($A148="","",IFERROR(1/(1/SUMPRODUCT(MAX((inventory!$C$2:$C$801=$A148)*(inventory!$D$2:$D$801=$B148)*(inventory!$E$2:$E$801="delivered")*(inventory!$A$2:$A$801+inventory!$B$2:$B$801)))),""))</f>
        <v/>
      </c>
      <c r="W148" s="25">
        <f>IF($A148="","",IFERROR(IF(INDEX(inventory!$J$2:$J$801,MATCH($A148&amp;"|"&amp;$B148&amp;"|delivered",inventory!$R$2:$R$801,0))="","",INDEX(inventory!$J$2:$J$801,MATCH($A148&amp;"|"&amp;$B148&amp;"|delivered",inventory!$R$2:$R$801,0))),""))</f>
        <v/>
      </c>
      <c r="X148" s="25">
        <f>IF($A148="","",IFERROR(IF(INDEX(photos!$H$2:$H$701,MATCH($A148&amp;"|"&amp;$B148&amp;"|placement|Y",photos!$R$2:$R$701,0))="","",INDEX(photos!$H$2:$H$701,MATCH($A148&amp;"|"&amp;$B148&amp;"|placement|Y",photos!$R$2:$R$701,0))),""))</f>
        <v/>
      </c>
      <c r="Y148" s="26">
        <f>IF($A148="","",IFERROR(IF(INDEX(photos!$E$2:$E$701,MATCH($A148&amp;"|"&amp;$B148&amp;"|placement|Y",photos!$R$2:$R$701,0))="","",INDEX(photos!$E$2:$E$701,MATCH($A148&amp;"|"&amp;$B148&amp;"|placement|Y",photos!$R$2:$R$701,0))),""))</f>
        <v/>
      </c>
      <c r="Z148" s="25">
        <f>IF($A148="","",IF(COUNTIFS(counts!$C$2:$C$701,$A148,counts!$D$2:$D$701,$B148,counts!$E$2:$E$701,"placed")=0,"",SUMIFS(counts!$F$2:$F$701,counts!$C$2:$C$701,$A148,counts!$D$2:$D$701,$B148,counts!$E$2:$E$701,"placed")))</f>
        <v/>
      </c>
      <c r="AA148" s="25">
        <f>IF($A148="","",IF($Y148="",0,N($Z148)))</f>
        <v/>
      </c>
      <c r="AB148" s="25">
        <f>IF($A148="","",IF(OR($Y148="",$I148=""),"N",IF($Y148&lt;=WORKDAY(N($I148),1,calendar!$A$2:$A$80),"Y","N")))</f>
        <v/>
      </c>
      <c r="AC148" s="28">
        <f>IF(OR($A148="",$V148="",$Y148=""),"",ROUND(($Y148+N(IFERROR(IF(INDEX(photos!$F$2:$F$701,MATCH($A148&amp;"|"&amp;$B148&amp;"|placement|Y",photos!$R$2:$R$701,0))="","",INDEX(photos!$F$2:$F$701,MATCH($A148&amp;"|"&amp;$B148&amp;"|placement|Y",photos!$R$2:$R$701,0))),""))-$V148)*24,1))</f>
        <v/>
      </c>
      <c r="AD148" s="25">
        <f>IF($A148="","",SUMIFS(inventory!$G$2:$G$801,inventory!$C$2:$C$801,$A148,inventory!$D$2:$D$801,$B148,inventory!$E$2:$E$801,"topped_up"))</f>
        <v/>
      </c>
      <c r="AE148" s="25">
        <f>IF($A148="","",IF(COUNTIFS(counts!$C$2:$C$701,$A148,counts!$D$2:$D$701,$B148,counts!$E$2:$E$701,"remaining_day3")=0,"",SUMIFS(counts!$F$2:$F$701,counts!$C$2:$C$701,$A148,counts!$D$2:$D$701,$B148,counts!$E$2:$E$701,"remaining_day3")))</f>
        <v/>
      </c>
      <c r="AF148" s="25">
        <f>IF($A148="","",IF(COUNTIFS(counts!$C$2:$C$701,$A148,counts!$D$2:$D$701,$B148,counts!$E$2:$E$701,"remaining_day5")=0,"",SUMIFS(counts!$F$2:$F$701,counts!$C$2:$C$701,$A148,counts!$D$2:$D$701,$B148,counts!$E$2:$E$701,"remaining_day5")))</f>
        <v/>
      </c>
      <c r="AG148" s="25">
        <f>IF(OR($A148="",$AF148=""),"",MAX(0,$AA148+$AD148-$AF148))</f>
        <v/>
      </c>
      <c r="AH148" s="25">
        <f>IF(OR($A148="",$AI148=""),"",IFERROR(IF(INDEX(photos!$H$2:$H$701,MATCH($A148&amp;"|"&amp;$B148&amp;"|later|Y|"&amp;$AI148,photos!$S$2:$S$701,0))="","",INDEX(photos!$H$2:$H$701,MATCH($A148&amp;"|"&amp;$B148&amp;"|later|Y|"&amp;$AI148,photos!$S$2:$S$701,0))),""))</f>
        <v/>
      </c>
      <c r="AI148" s="26">
        <f>IF($A148="","",IFERROR(1/(1/SUMPRODUCT(MAX((photos!$B$2:$B$701=$A148)*(photos!$C$2:$C$701=$B148)*(photos!$D$2:$D$701="later")*(photos!$O$2:$O$701="Y")*photos!$E$2:$E$701))),""))</f>
        <v/>
      </c>
      <c r="AJ148" s="25">
        <f>IF(OR($A148="",$AI148="",$I148=""),"",NETWORKDAYS($I148,$AI148,calendar!$A$2:$A$80))</f>
        <v/>
      </c>
      <c r="AK148" s="25">
        <f>IF($A148="","",IF(AND($X148&lt;&gt;"",$AH148&lt;&gt;""),"Y","N"))</f>
        <v/>
      </c>
      <c r="AL148" s="25">
        <f>IF(OR($A148="",$I148=""),"",IF($BC148="Y",SUMIFS(survey_frozen!$C$2:$C$251,survey_frozen!$P$2:$P$251,$A148&amp;"|"&amp;$B148),IFERROR(COUNTIFS(INDIRECT("'"&amp;$A148&amp;"'!$B$2:$B$501"),$T148,INDIRECT("'"&amp;$A148&amp;"'!$A$2:$A$501"),"&gt;="&amp;$I148,INDIRECT("'"&amp;$A148&amp;"'!$A$2:$A$501"),"&lt;"&amp;($BA148+1)),0)))</f>
        <v/>
      </c>
      <c r="AM148" s="25">
        <f>IF(OR($A148="",$I148=""),"",IF($BC148="Y",SUMIFS(survey_frozen!$D$2:$D$251,survey_frozen!$P$2:$P$251,$A148&amp;"|"&amp;$B148),IFERROR(COUNTIFS(INDIRECT("'"&amp;$A148&amp;"'!$B$2:$B$501"),$T148,INDIRECT("'"&amp;$A148&amp;"'!$A$2:$A$501"),"&gt;="&amp;$I148,INDIRECT("'"&amp;$A148&amp;"'!$A$2:$A$501"),"&lt;"&amp;($BA148+1),INDIRECT("'"&amp;$A148&amp;"'!$C$2:$C$501"),"Yes"),0)))</f>
        <v/>
      </c>
      <c r="AN148" s="25">
        <f>IF($A148="","",IF(COUNTIFS(scans!$C$2:$C$1601,(IF(LEFT($A148,7)="SAMPLE-","SAMPLE-","")&amp;LOWER(SUBSTITUTE(SUBSTITUTE($A148,"SAMPLE-",""),"CMP-","c"))&amp;"-"&amp;LOWER(SUBSTITUTE(SUBSTITUTE($B148,"SAMPLE-",""),"O-","o"))&amp;"-q"),scans!$D$2:$D$1601,"close")=0,"",SUMPRODUCT(MAX((scans!$C$2:$C$1601=(IF(LEFT($A148,7)="SAMPLE-","SAMPLE-","")&amp;LOWER(SUBSTITUTE(SUBSTITUTE($A148,"SAMPLE-",""),"CMP-","c"))&amp;"-"&amp;LOWER(SUBSTITUTE(SUBSTITUTE($B148,"SAMPLE-",""),"O-","o"))&amp;"-q"))*(scans!$D$2:$D$1601="close")*scans!$E$2:$E$1601))-SUMPRODUCT(MAX((scans!$C$2:$C$1601=(IF(LEFT($A148,7)="SAMPLE-","SAMPLE-","")&amp;LOWER(SUBSTITUTE(SUBSTITUTE($A148,"SAMPLE-",""),"CMP-","c"))&amp;"-"&amp;LOWER(SUBSTITUTE(SUBSTITUTE($B148,"SAMPLE-",""),"O-","o"))&amp;"-q"))*(scans!$D$2:$D$1601="baseline")*scans!$E$2:$E$1601))))</f>
        <v/>
      </c>
      <c r="AO148" s="25">
        <f>IF($A148="","",IF(COUNTIFS(scans!$C$2:$C$1601,(IF(LEFT($A148,7)="SAMPLE-","SAMPLE-","")&amp;LOWER(SUBSTITUTE(SUBSTITUTE($A148,"SAMPLE-",""),"CMP-","c"))&amp;"-"&amp;LOWER(SUBSTITUTE(SUBSTITUTE($B148,"SAMPLE-",""),"O-","o"))&amp;"-p"),scans!$D$2:$D$1601,"close")=0,"",SUMPRODUCT(MAX((scans!$C$2:$C$1601=(IF(LEFT($A148,7)="SAMPLE-","SAMPLE-","")&amp;LOWER(SUBSTITUTE(SUBSTITUTE($A148,"SAMPLE-",""),"CMP-","c"))&amp;"-"&amp;LOWER(SUBSTITUTE(SUBSTITUTE($B148,"SAMPLE-",""),"O-","o"))&amp;"-p"))*(scans!$D$2:$D$1601="close")*scans!$E$2:$E$1601))-SUMPRODUCT(MAX((scans!$C$2:$C$1601=(IF(LEFT($A148,7)="SAMPLE-","SAMPLE-","")&amp;LOWER(SUBSTITUTE(SUBSTITUTE($A148,"SAMPLE-",""),"CMP-","c"))&amp;"-"&amp;LOWER(SUBSTITUTE(SUBSTITUTE($B148,"SAMPLE-",""),"O-","o"))&amp;"-p"))*(scans!$D$2:$D$1601="baseline")*scans!$E$2:$E$1601))))</f>
        <v/>
      </c>
      <c r="AP148" s="25">
        <f>IF($A148="","",IF(COUNTIF(offices!$A$2:$A$61,$B148)=0,"office_id not on offices; ","")&amp;IF(COUNTIF(campaigns!$A$2:$A$51,$A148)=0,"campaign_id not on campaigns; ","")&amp;IF($P148="pending","approval pending; ","")&amp;IF(AND($U148&gt;0,$Y148="",OR($I148="",IF(config!$B$37&lt;&gt;"",config!$B$37,TODAY())&lt;=WORKDAY(N($I148),4,calendar!$A$2:$A$80))),"no usable placement photo yet; ","")&amp;IF(AND($Y148&lt;&gt;"",$Z148=""),"log the placed count; ","")&amp;IF(N($AA148)&gt;N($U148),"placed more than delivered; ","")&amp;IF(AND($AF148&lt;&gt;"",N($AF148)&gt;N($AA148)+N($AD148)),"day-5 count above placed plus top-ups; ","")&amp;IF(AND($U148&gt;0,$I148&lt;&gt;"",IF(config!$B$37&lt;&gt;"",config!$B$37,TODAY())&gt;WORKDAY(N($I148),4,calendar!$A$2:$A$80),$AF148=""),"day-5 count missing; ","")&amp;IF(AND($U148&gt;0,$I148&lt;&gt;"",IF(config!$B$37&lt;&gt;"",config!$B$37,TODAY())&gt;WORKDAY(N($I148),4,calendar!$A$2:$A$80),$AN148=""),"no close link reading; ","")&amp;$R148&amp;IF($P148="N","info: office said no; ","")&amp;IF(AND($P148="Y",$Q148="N"),"info: turned away at the door, so not on the drop (no letter, not in the report or Gate 2; the credit check is on campaigns); ","")&amp;IF(AND($U148&gt;0,$Y148="",$I148&lt;&gt;"",IF(config!$B$37&lt;&gt;"",config!$B$37,TODAY())&gt;WORKDAY(N($I148),4,calendar!$A$2:$A$80)),"info: no usable placement photo, so nothing counts as placed; ","")&amp;IF(AND($U148&gt;0,$I148&lt;&gt;"",IF(config!$B$37&lt;&gt;"",config!$B$37,TODAY())&gt;WORKDAY(N($I148),4,calendar!$A$2:$A$80),N($AL148)&lt;config!$B$30),"info: under "&amp;config!$B$30&amp;" responses; ","")&amp;IF($W148="packing_list","info: delivered count not verified; ",""))</f>
        <v/>
      </c>
      <c r="AQ148" s="25">
        <f>IF(OR($A148="",$I148=""),"",IF($BC148="Y",SUMIFS(survey_frozen!$E$2:$E$251,survey_frozen!$P$2:$P$251,$A148&amp;"|"&amp;$B148),IFERROR(COUNTIFS(INDIRECT("'"&amp;$A148&amp;"'!$B$2:$B$501"),$T148,INDIRECT("'"&amp;$A148&amp;"'!$A$2:$A$501"),"&gt;="&amp;$I148,INDIRECT("'"&amp;$A148&amp;"'!$A$2:$A$501"),"&lt;"&amp;($BA148+1),INDIRECT("'"&amp;$A148&amp;"'!$F$2:$F$501"),"Didn't see it"),0)))</f>
        <v/>
      </c>
      <c r="AR148" s="25">
        <f>IF(OR($A148="",$I148=""),"",IF($BC148="Y",SUMIFS(survey_frozen!$F$2:$F$251,survey_frozen!$P$2:$P$251,$A148&amp;"|"&amp;$B148),IFERROR(COUNTIFS(INDIRECT("'"&amp;$A148&amp;"'!$B$2:$B$501"),$T148,INDIRECT("'"&amp;$A148&amp;"'!$A$2:$A$501"),"&gt;="&amp;$I148,INDIRECT("'"&amp;$A148&amp;"'!$A$2:$A$501"),"&lt;"&amp;($BA148+1),INDIRECT("'"&amp;$A148&amp;"'!$F$2:$F$501"),"Not for me"),0)))</f>
        <v/>
      </c>
      <c r="AS148" s="25">
        <f>IF(OR($A148="",$I148=""),"",IF($BC148="Y",SUMIFS(survey_frozen!$G$2:$G$251,survey_frozen!$P$2:$P$251,$A148&amp;"|"&amp;$B148),IFERROR(COUNTIFS(INDIRECT("'"&amp;$A148&amp;"'!$B$2:$B$501"),$T148,INDIRECT("'"&amp;$A148&amp;"'!$A$2:$A$501"),"&gt;="&amp;$I148,INDIRECT("'"&amp;$A148&amp;"'!$A$2:$A$501"),"&lt;"&amp;($BA148+1),INDIRECT("'"&amp;$A148&amp;"'!$F$2:$F$501"),"Gone by the time I looked"),0)))</f>
        <v/>
      </c>
      <c r="AT148" s="25">
        <f>IF(OR($A148="",$I148=""),"",IF($BC148="Y",SUMIFS(survey_frozen!$H$2:$H$251,survey_frozen!$P$2:$P$251,$A148&amp;"|"&amp;$B148),IFERROR(COUNTIFS(INDIRECT("'"&amp;$A148&amp;"'!$B$2:$B$501"),$T148,INDIRECT("'"&amp;$A148&amp;"'!$A$2:$A$501"),"&gt;="&amp;$I148,INDIRECT("'"&amp;$A148&amp;"'!$A$2:$A$501"),"&lt;"&amp;($BA148+1),INDIRECT("'"&amp;$A148&amp;"'!$D$2:$D$501"),"&gt;=1"),0)))</f>
        <v/>
      </c>
      <c r="AU148" s="25">
        <f>IF(OR($A148="",$I148=""),"",IF($BC148="Y",SUMIFS(survey_frozen!$I$2:$I$251,survey_frozen!$P$2:$P$251,$A148&amp;"|"&amp;$B148),IFERROR(SUMIFS(INDIRECT("'"&amp;$A148&amp;"'!$D$2:$D$501"),INDIRECT("'"&amp;$A148&amp;"'!$B$2:$B$501"),$T148,INDIRECT("'"&amp;$A148&amp;"'!$A$2:$A$501"),"&gt;="&amp;$I148,INDIRECT("'"&amp;$A148&amp;"'!$A$2:$A$501"),"&lt;"&amp;($BA148+1)),0)))</f>
        <v/>
      </c>
      <c r="AV148" s="25">
        <f>IF(OR($A148="",$I148=""),"",IF($BC148="Y",SUMIFS(survey_frozen!$J$2:$J$251,survey_frozen!$P$2:$P$251,$A148&amp;"|"&amp;$B148),IFERROR(COUNTIFS(INDIRECT("'"&amp;$A148&amp;"'!$B$2:$B$501"),$T148,INDIRECT("'"&amp;$A148&amp;"'!$A$2:$A$501"),"&gt;="&amp;$I148,INDIRECT("'"&amp;$A148&amp;"'!$A$2:$A$501"),"&lt;"&amp;($BA148+1),INDIRECT("'"&amp;$A148&amp;"'!$E$2:$E$501"),"Yes"),0)))</f>
        <v/>
      </c>
      <c r="AW148" s="25">
        <f>IF(OR($A148="",$I148=""),"",IF($BC148="Y",SUMIFS(survey_frozen!$K$2:$K$251,survey_frozen!$P$2:$P$251,$A148&amp;"|"&amp;$B148),IFERROR(COUNTIFS(INDIRECT("'"&amp;$A148&amp;"'!$B$2:$B$501"),$T148,INDIRECT("'"&amp;$A148&amp;"'!$A$2:$A$501"),"&gt;="&amp;$I148,INDIRECT("'"&amp;$A148&amp;"'!$A$2:$A$501"),"&lt;"&amp;($BA148+1),INDIRECT("'"&amp;$A148&amp;"'!$E$2:$E$501"),"Maybe"),0)))</f>
        <v/>
      </c>
      <c r="AX148" s="25">
        <f>IF(OR($A148="",$I148=""),"",IF($BC148="Y",SUMIFS(survey_frozen!$L$2:$L$251,survey_frozen!$P$2:$P$251,$A148&amp;"|"&amp;$B148),IFERROR(COUNTIFS(INDIRECT("'"&amp;$A148&amp;"'!$B$2:$B$501"),$T148,INDIRECT("'"&amp;$A148&amp;"'!$A$2:$A$501"),"&gt;="&amp;$I148,INDIRECT("'"&amp;$A148&amp;"'!$A$2:$A$501"),"&lt;"&amp;($BA148+1),INDIRECT("'"&amp;$A148&amp;"'!$E$2:$E$501"),"No"),0)))</f>
        <v/>
      </c>
      <c r="AY148" s="25">
        <f>IF(OR($A148="",$I148=""),"",IF($BC148="Y",SUMIFS(survey_frozen!$M$2:$M$251,survey_frozen!$P$2:$P$251,$A148&amp;"|"&amp;$B148),IFERROR(COUNTIFS(INDIRECT("'"&amp;$A148&amp;"'!$B$2:$B$501"),$T148,INDIRECT("'"&amp;$A148&amp;"'!$A$2:$A$501"),"&gt;="&amp;$I148,INDIRECT("'"&amp;$A148&amp;"'!$A$2:$A$501"),"&lt;"&amp;($BA148+1),INDIRECT("'"&amp;$A148&amp;"'!$G$2:$G$501"),"&lt;&gt;"),0)))</f>
        <v/>
      </c>
      <c r="AZ148" s="25">
        <f>IF($A148="","",$A148&amp;"|"&amp;$L148)</f>
        <v/>
      </c>
      <c r="BA148" s="26">
        <f>IF($A148="","",IFERROR(IF(INDEX(drops!$R$2:$R$21,MATCH($H148,drops!$A$2:$A$21,0))="","",INDEX(drops!$R$2:$R$21,MATCH($H148,drops!$A$2:$A$21,0))),""))</f>
        <v/>
      </c>
      <c r="BB148" s="25">
        <f>IF(OR($A148="",$Q148&lt;&gt;"Y"),1000000,N($AL148))</f>
        <v/>
      </c>
      <c r="BC148" s="25">
        <f>IF($A148="","",IF(COUNTIF(survey_frozen!$P$2:$P$251,$A148&amp;"|"&amp;$B148)&gt;0,"Y",""))</f>
        <v/>
      </c>
    </row>
    <row r="149">
      <c r="C149" s="9" t="n"/>
      <c r="E149" s="9" t="n"/>
      <c r="H149" s="25">
        <f>IF($A149="","",IFERROR(IF(INDEX(campaigns!$B$2:$B$51,MATCH($A149,campaigns!$A$2:$A$51,0))="","",INDEX(campaigns!$B$2:$B$51,MATCH($A149,campaigns!$A$2:$A$51,0))),""))</f>
        <v/>
      </c>
      <c r="I149" s="26">
        <f>IF($A149="","",IFERROR(IF(INDEX(campaigns!$BG$2:$BG$51,MATCH($A149,campaigns!$A$2:$A$51,0))="","",INDEX(campaigns!$BG$2:$BG$51,MATCH($A149,campaigns!$A$2:$A$51,0))),""))</f>
        <v/>
      </c>
      <c r="J149" s="25">
        <f>IF($A149="","",IFERROR(IF(INDEX(campaigns!$BE$2:$BE$51,MATCH($A149,campaigns!$A$2:$A$51,0))="","",INDEX(campaigns!$BE$2:$BE$51,MATCH($A149,campaigns!$A$2:$A$51,0))),""))</f>
        <v/>
      </c>
      <c r="K149" s="25">
        <f>IF($B149="","",IFERROR(IF(INDEX(offices!$N$2:$N$61,MATCH($B149,offices!$A$2:$A$61,0))="","",INDEX(offices!$N$2:$N$61,MATCH($B149,offices!$A$2:$A$61,0))),""))</f>
        <v/>
      </c>
      <c r="L149" s="25">
        <f>IF($A149="","",IF($Q149="N","",COUNTIFS($A$2:$A149,$A149,$Q$2:$Q149,"&lt;&gt;N")))</f>
        <v/>
      </c>
      <c r="M149" s="25">
        <f>IF(OR($A149="",$L149=""),"",IF(AND(config!$B$34="names_if_public",IFERROR(IF(INDEX(offices!$AF$2:$AF$61,MATCH($B149,offices!$A$2:$A$61,0))="","",INDEX(offices!$AF$2:$AF$61,MATCH($B149,offices!$A$2:$A$61,0))),"")="Y"),$K149,CHAR(64+$L149)))</f>
        <v/>
      </c>
      <c r="N149" s="25">
        <f>IF(OR($A149="",$I149=""),"",COUNTIFS(stops!$B$2:$B$151,$B149,stops!$P$2:$P$151,"&lt;"&amp;$I149,stops!$L$2:$L$151,"&lt;&gt;not_delivered")+1)</f>
        <v/>
      </c>
      <c r="O149" s="25">
        <f>IF($A149="","",IF(N($N149)&lt;=config!$B$29,"explicit","opt-out"))</f>
        <v/>
      </c>
      <c r="P149" s="25">
        <f>IF($A149="","",IF($O149="explicit",IF($D149="yes","Y",IF($D149="no","N","pending")),IF($D149="no","N",IF(AND($C149&lt;&gt;"",$I149&lt;&gt;"",$C149&lt;=WORKDAY(N($I149),-5,calendar!$A$2:$A$80)),"Y","pending"))))</f>
        <v/>
      </c>
      <c r="Q149" s="25">
        <f>IF($A149="","",IF($P149="N","N",IF($P149&lt;&gt;"Y","pending",IF(AND((COUNTIFS(stops!$A$2:$A$151,$H149,stops!$B$2:$B$151,$B149,stops!$L$2:$L$151,"declined")+COUNTIFS(stops!$A$2:$A$151,$H149,stops!$B$2:$B$151,$B149,stops!$L$2:$L$151,"building_refused")+COUNTIFS(stops!$A$2:$A$151,$H149,stops!$B$2:$B$151,$B149,stops!$L$2:$L$151,"not_delivered"))&gt;0,N($U149)=0),"N","Y"))))</f>
        <v/>
      </c>
      <c r="R149" s="25">
        <f>IF($A149="","",IF(COUNTIFS($A$2:$A$251,$A149,$B$2:$B$251,$B149)&gt;1,"DUPLICATE ROW; ","")&amp;IF(AND(IFERROR(IF(INDEX(offices!$AC$2:$AC$61,MATCH($B149,offices!$A$2:$A$61,0))="","",INDEX(offices!$AC$2:$AC$61,MATCH($B149,offices!$A$2:$A$61,0))),"")&lt;&gt;"",ISNUMBER(SEARCH($J149,IFERROR(IF(INDEX(offices!$AC$2:$AC$61,MATCH($B149,offices!$A$2:$A$61,0))="","",INDEX(offices!$AC$2:$AC$61,MATCH($B149,offices!$A$2:$A$61,0))),"")))),"BRAND VETOED; ","")&amp;IF(ISNUMBER(SEARCH(IFERROR(IF(INDEX(campaigns!$BF$2:$BF$51,MATCH($A149,campaigns!$A$2:$A$51,0))="","",INDEX(campaigns!$BF$2:$BF$51,MATCH($A149,campaigns!$A$2:$A$51,0))),""),IFERROR(IF(INDEX(offices!$AB$2:$AB$61,MATCH($B149,offices!$A$2:$A$61,0))="","",INDEX(offices!$AB$2:$AB$61,MATCH($B149,offices!$A$2:$A$61,0))),""))),"","info: category not on the office's list; ")&amp;IF(IFERROR(IF(INDEX(offices!$AC$2:$AC$61,MATCH($B149,offices!$A$2:$A$61,0))="","",INDEX(offices!$AC$2:$AC$61,MATCH($B149,offices!$A$2:$A$61,0))),"")&lt;&gt;"","info: read the vetoes against the label; ",""))</f>
        <v/>
      </c>
      <c r="S149" s="25">
        <f>IF($A149="","",IF($G149&lt;&gt;"",$G149,IFERROR(IF(INDEX(offices!$AL$2:$AL$61,MATCH($B149,offices!$A$2:$A$61,0))="","",INDEX(offices!$AL$2:$AL$61,MATCH($B149,offices!$A$2:$A$61,0))),"")))</f>
        <v/>
      </c>
      <c r="T149" s="25">
        <f>IF($A149="","",$A149&amp;"."&amp;$B149)</f>
        <v/>
      </c>
      <c r="U149" s="25">
        <f>IF($A149="","",SUMIFS(inventory!$G$2:$G$801,inventory!$C$2:$C$801,$A149,inventory!$D$2:$D$801,$B149,inventory!$E$2:$E$801,"delivered"))</f>
        <v/>
      </c>
      <c r="V149" s="32">
        <f>IF($A149="","",IFERROR(1/(1/SUMPRODUCT(MAX((inventory!$C$2:$C$801=$A149)*(inventory!$D$2:$D$801=$B149)*(inventory!$E$2:$E$801="delivered")*(inventory!$A$2:$A$801+inventory!$B$2:$B$801)))),""))</f>
        <v/>
      </c>
      <c r="W149" s="25">
        <f>IF($A149="","",IFERROR(IF(INDEX(inventory!$J$2:$J$801,MATCH($A149&amp;"|"&amp;$B149&amp;"|delivered",inventory!$R$2:$R$801,0))="","",INDEX(inventory!$J$2:$J$801,MATCH($A149&amp;"|"&amp;$B149&amp;"|delivered",inventory!$R$2:$R$801,0))),""))</f>
        <v/>
      </c>
      <c r="X149" s="25">
        <f>IF($A149="","",IFERROR(IF(INDEX(photos!$H$2:$H$701,MATCH($A149&amp;"|"&amp;$B149&amp;"|placement|Y",photos!$R$2:$R$701,0))="","",INDEX(photos!$H$2:$H$701,MATCH($A149&amp;"|"&amp;$B149&amp;"|placement|Y",photos!$R$2:$R$701,0))),""))</f>
        <v/>
      </c>
      <c r="Y149" s="26">
        <f>IF($A149="","",IFERROR(IF(INDEX(photos!$E$2:$E$701,MATCH($A149&amp;"|"&amp;$B149&amp;"|placement|Y",photos!$R$2:$R$701,0))="","",INDEX(photos!$E$2:$E$701,MATCH($A149&amp;"|"&amp;$B149&amp;"|placement|Y",photos!$R$2:$R$701,0))),""))</f>
        <v/>
      </c>
      <c r="Z149" s="25">
        <f>IF($A149="","",IF(COUNTIFS(counts!$C$2:$C$701,$A149,counts!$D$2:$D$701,$B149,counts!$E$2:$E$701,"placed")=0,"",SUMIFS(counts!$F$2:$F$701,counts!$C$2:$C$701,$A149,counts!$D$2:$D$701,$B149,counts!$E$2:$E$701,"placed")))</f>
        <v/>
      </c>
      <c r="AA149" s="25">
        <f>IF($A149="","",IF($Y149="",0,N($Z149)))</f>
        <v/>
      </c>
      <c r="AB149" s="25">
        <f>IF($A149="","",IF(OR($Y149="",$I149=""),"N",IF($Y149&lt;=WORKDAY(N($I149),1,calendar!$A$2:$A$80),"Y","N")))</f>
        <v/>
      </c>
      <c r="AC149" s="28">
        <f>IF(OR($A149="",$V149="",$Y149=""),"",ROUND(($Y149+N(IFERROR(IF(INDEX(photos!$F$2:$F$701,MATCH($A149&amp;"|"&amp;$B149&amp;"|placement|Y",photos!$R$2:$R$701,0))="","",INDEX(photos!$F$2:$F$701,MATCH($A149&amp;"|"&amp;$B149&amp;"|placement|Y",photos!$R$2:$R$701,0))),""))-$V149)*24,1))</f>
        <v/>
      </c>
      <c r="AD149" s="25">
        <f>IF($A149="","",SUMIFS(inventory!$G$2:$G$801,inventory!$C$2:$C$801,$A149,inventory!$D$2:$D$801,$B149,inventory!$E$2:$E$801,"topped_up"))</f>
        <v/>
      </c>
      <c r="AE149" s="25">
        <f>IF($A149="","",IF(COUNTIFS(counts!$C$2:$C$701,$A149,counts!$D$2:$D$701,$B149,counts!$E$2:$E$701,"remaining_day3")=0,"",SUMIFS(counts!$F$2:$F$701,counts!$C$2:$C$701,$A149,counts!$D$2:$D$701,$B149,counts!$E$2:$E$701,"remaining_day3")))</f>
        <v/>
      </c>
      <c r="AF149" s="25">
        <f>IF($A149="","",IF(COUNTIFS(counts!$C$2:$C$701,$A149,counts!$D$2:$D$701,$B149,counts!$E$2:$E$701,"remaining_day5")=0,"",SUMIFS(counts!$F$2:$F$701,counts!$C$2:$C$701,$A149,counts!$D$2:$D$701,$B149,counts!$E$2:$E$701,"remaining_day5")))</f>
        <v/>
      </c>
      <c r="AG149" s="25">
        <f>IF(OR($A149="",$AF149=""),"",MAX(0,$AA149+$AD149-$AF149))</f>
        <v/>
      </c>
      <c r="AH149" s="25">
        <f>IF(OR($A149="",$AI149=""),"",IFERROR(IF(INDEX(photos!$H$2:$H$701,MATCH($A149&amp;"|"&amp;$B149&amp;"|later|Y|"&amp;$AI149,photos!$S$2:$S$701,0))="","",INDEX(photos!$H$2:$H$701,MATCH($A149&amp;"|"&amp;$B149&amp;"|later|Y|"&amp;$AI149,photos!$S$2:$S$701,0))),""))</f>
        <v/>
      </c>
      <c r="AI149" s="26">
        <f>IF($A149="","",IFERROR(1/(1/SUMPRODUCT(MAX((photos!$B$2:$B$701=$A149)*(photos!$C$2:$C$701=$B149)*(photos!$D$2:$D$701="later")*(photos!$O$2:$O$701="Y")*photos!$E$2:$E$701))),""))</f>
        <v/>
      </c>
      <c r="AJ149" s="25">
        <f>IF(OR($A149="",$AI149="",$I149=""),"",NETWORKDAYS($I149,$AI149,calendar!$A$2:$A$80))</f>
        <v/>
      </c>
      <c r="AK149" s="25">
        <f>IF($A149="","",IF(AND($X149&lt;&gt;"",$AH149&lt;&gt;""),"Y","N"))</f>
        <v/>
      </c>
      <c r="AL149" s="25">
        <f>IF(OR($A149="",$I149=""),"",IF($BC149="Y",SUMIFS(survey_frozen!$C$2:$C$251,survey_frozen!$P$2:$P$251,$A149&amp;"|"&amp;$B149),IFERROR(COUNTIFS(INDIRECT("'"&amp;$A149&amp;"'!$B$2:$B$501"),$T149,INDIRECT("'"&amp;$A149&amp;"'!$A$2:$A$501"),"&gt;="&amp;$I149,INDIRECT("'"&amp;$A149&amp;"'!$A$2:$A$501"),"&lt;"&amp;($BA149+1)),0)))</f>
        <v/>
      </c>
      <c r="AM149" s="25">
        <f>IF(OR($A149="",$I149=""),"",IF($BC149="Y",SUMIFS(survey_frozen!$D$2:$D$251,survey_frozen!$P$2:$P$251,$A149&amp;"|"&amp;$B149),IFERROR(COUNTIFS(INDIRECT("'"&amp;$A149&amp;"'!$B$2:$B$501"),$T149,INDIRECT("'"&amp;$A149&amp;"'!$A$2:$A$501"),"&gt;="&amp;$I149,INDIRECT("'"&amp;$A149&amp;"'!$A$2:$A$501"),"&lt;"&amp;($BA149+1),INDIRECT("'"&amp;$A149&amp;"'!$C$2:$C$501"),"Yes"),0)))</f>
        <v/>
      </c>
      <c r="AN149" s="25">
        <f>IF($A149="","",IF(COUNTIFS(scans!$C$2:$C$1601,(IF(LEFT($A149,7)="SAMPLE-","SAMPLE-","")&amp;LOWER(SUBSTITUTE(SUBSTITUTE($A149,"SAMPLE-",""),"CMP-","c"))&amp;"-"&amp;LOWER(SUBSTITUTE(SUBSTITUTE($B149,"SAMPLE-",""),"O-","o"))&amp;"-q"),scans!$D$2:$D$1601,"close")=0,"",SUMPRODUCT(MAX((scans!$C$2:$C$1601=(IF(LEFT($A149,7)="SAMPLE-","SAMPLE-","")&amp;LOWER(SUBSTITUTE(SUBSTITUTE($A149,"SAMPLE-",""),"CMP-","c"))&amp;"-"&amp;LOWER(SUBSTITUTE(SUBSTITUTE($B149,"SAMPLE-",""),"O-","o"))&amp;"-q"))*(scans!$D$2:$D$1601="close")*scans!$E$2:$E$1601))-SUMPRODUCT(MAX((scans!$C$2:$C$1601=(IF(LEFT($A149,7)="SAMPLE-","SAMPLE-","")&amp;LOWER(SUBSTITUTE(SUBSTITUTE($A149,"SAMPLE-",""),"CMP-","c"))&amp;"-"&amp;LOWER(SUBSTITUTE(SUBSTITUTE($B149,"SAMPLE-",""),"O-","o"))&amp;"-q"))*(scans!$D$2:$D$1601="baseline")*scans!$E$2:$E$1601))))</f>
        <v/>
      </c>
      <c r="AO149" s="25">
        <f>IF($A149="","",IF(COUNTIFS(scans!$C$2:$C$1601,(IF(LEFT($A149,7)="SAMPLE-","SAMPLE-","")&amp;LOWER(SUBSTITUTE(SUBSTITUTE($A149,"SAMPLE-",""),"CMP-","c"))&amp;"-"&amp;LOWER(SUBSTITUTE(SUBSTITUTE($B149,"SAMPLE-",""),"O-","o"))&amp;"-p"),scans!$D$2:$D$1601,"close")=0,"",SUMPRODUCT(MAX((scans!$C$2:$C$1601=(IF(LEFT($A149,7)="SAMPLE-","SAMPLE-","")&amp;LOWER(SUBSTITUTE(SUBSTITUTE($A149,"SAMPLE-",""),"CMP-","c"))&amp;"-"&amp;LOWER(SUBSTITUTE(SUBSTITUTE($B149,"SAMPLE-",""),"O-","o"))&amp;"-p"))*(scans!$D$2:$D$1601="close")*scans!$E$2:$E$1601))-SUMPRODUCT(MAX((scans!$C$2:$C$1601=(IF(LEFT($A149,7)="SAMPLE-","SAMPLE-","")&amp;LOWER(SUBSTITUTE(SUBSTITUTE($A149,"SAMPLE-",""),"CMP-","c"))&amp;"-"&amp;LOWER(SUBSTITUTE(SUBSTITUTE($B149,"SAMPLE-",""),"O-","o"))&amp;"-p"))*(scans!$D$2:$D$1601="baseline")*scans!$E$2:$E$1601))))</f>
        <v/>
      </c>
      <c r="AP149" s="25">
        <f>IF($A149="","",IF(COUNTIF(offices!$A$2:$A$61,$B149)=0,"office_id not on offices; ","")&amp;IF(COUNTIF(campaigns!$A$2:$A$51,$A149)=0,"campaign_id not on campaigns; ","")&amp;IF($P149="pending","approval pending; ","")&amp;IF(AND($U149&gt;0,$Y149="",OR($I149="",IF(config!$B$37&lt;&gt;"",config!$B$37,TODAY())&lt;=WORKDAY(N($I149),4,calendar!$A$2:$A$80))),"no usable placement photo yet; ","")&amp;IF(AND($Y149&lt;&gt;"",$Z149=""),"log the placed count; ","")&amp;IF(N($AA149)&gt;N($U149),"placed more than delivered; ","")&amp;IF(AND($AF149&lt;&gt;"",N($AF149)&gt;N($AA149)+N($AD149)),"day-5 count above placed plus top-ups; ","")&amp;IF(AND($U149&gt;0,$I149&lt;&gt;"",IF(config!$B$37&lt;&gt;"",config!$B$37,TODAY())&gt;WORKDAY(N($I149),4,calendar!$A$2:$A$80),$AF149=""),"day-5 count missing; ","")&amp;IF(AND($U149&gt;0,$I149&lt;&gt;"",IF(config!$B$37&lt;&gt;"",config!$B$37,TODAY())&gt;WORKDAY(N($I149),4,calendar!$A$2:$A$80),$AN149=""),"no close link reading; ","")&amp;$R149&amp;IF($P149="N","info: office said no; ","")&amp;IF(AND($P149="Y",$Q149="N"),"info: turned away at the door, so not on the drop (no letter, not in the report or Gate 2; the credit check is on campaigns); ","")&amp;IF(AND($U149&gt;0,$Y149="",$I149&lt;&gt;"",IF(config!$B$37&lt;&gt;"",config!$B$37,TODAY())&gt;WORKDAY(N($I149),4,calendar!$A$2:$A$80)),"info: no usable placement photo, so nothing counts as placed; ","")&amp;IF(AND($U149&gt;0,$I149&lt;&gt;"",IF(config!$B$37&lt;&gt;"",config!$B$37,TODAY())&gt;WORKDAY(N($I149),4,calendar!$A$2:$A$80),N($AL149)&lt;config!$B$30),"info: under "&amp;config!$B$30&amp;" responses; ","")&amp;IF($W149="packing_list","info: delivered count not verified; ",""))</f>
        <v/>
      </c>
      <c r="AQ149" s="25">
        <f>IF(OR($A149="",$I149=""),"",IF($BC149="Y",SUMIFS(survey_frozen!$E$2:$E$251,survey_frozen!$P$2:$P$251,$A149&amp;"|"&amp;$B149),IFERROR(COUNTIFS(INDIRECT("'"&amp;$A149&amp;"'!$B$2:$B$501"),$T149,INDIRECT("'"&amp;$A149&amp;"'!$A$2:$A$501"),"&gt;="&amp;$I149,INDIRECT("'"&amp;$A149&amp;"'!$A$2:$A$501"),"&lt;"&amp;($BA149+1),INDIRECT("'"&amp;$A149&amp;"'!$F$2:$F$501"),"Didn't see it"),0)))</f>
        <v/>
      </c>
      <c r="AR149" s="25">
        <f>IF(OR($A149="",$I149=""),"",IF($BC149="Y",SUMIFS(survey_frozen!$F$2:$F$251,survey_frozen!$P$2:$P$251,$A149&amp;"|"&amp;$B149),IFERROR(COUNTIFS(INDIRECT("'"&amp;$A149&amp;"'!$B$2:$B$501"),$T149,INDIRECT("'"&amp;$A149&amp;"'!$A$2:$A$501"),"&gt;="&amp;$I149,INDIRECT("'"&amp;$A149&amp;"'!$A$2:$A$501"),"&lt;"&amp;($BA149+1),INDIRECT("'"&amp;$A149&amp;"'!$F$2:$F$501"),"Not for me"),0)))</f>
        <v/>
      </c>
      <c r="AS149" s="25">
        <f>IF(OR($A149="",$I149=""),"",IF($BC149="Y",SUMIFS(survey_frozen!$G$2:$G$251,survey_frozen!$P$2:$P$251,$A149&amp;"|"&amp;$B149),IFERROR(COUNTIFS(INDIRECT("'"&amp;$A149&amp;"'!$B$2:$B$501"),$T149,INDIRECT("'"&amp;$A149&amp;"'!$A$2:$A$501"),"&gt;="&amp;$I149,INDIRECT("'"&amp;$A149&amp;"'!$A$2:$A$501"),"&lt;"&amp;($BA149+1),INDIRECT("'"&amp;$A149&amp;"'!$F$2:$F$501"),"Gone by the time I looked"),0)))</f>
        <v/>
      </c>
      <c r="AT149" s="25">
        <f>IF(OR($A149="",$I149=""),"",IF($BC149="Y",SUMIFS(survey_frozen!$H$2:$H$251,survey_frozen!$P$2:$P$251,$A149&amp;"|"&amp;$B149),IFERROR(COUNTIFS(INDIRECT("'"&amp;$A149&amp;"'!$B$2:$B$501"),$T149,INDIRECT("'"&amp;$A149&amp;"'!$A$2:$A$501"),"&gt;="&amp;$I149,INDIRECT("'"&amp;$A149&amp;"'!$A$2:$A$501"),"&lt;"&amp;($BA149+1),INDIRECT("'"&amp;$A149&amp;"'!$D$2:$D$501"),"&gt;=1"),0)))</f>
        <v/>
      </c>
      <c r="AU149" s="25">
        <f>IF(OR($A149="",$I149=""),"",IF($BC149="Y",SUMIFS(survey_frozen!$I$2:$I$251,survey_frozen!$P$2:$P$251,$A149&amp;"|"&amp;$B149),IFERROR(SUMIFS(INDIRECT("'"&amp;$A149&amp;"'!$D$2:$D$501"),INDIRECT("'"&amp;$A149&amp;"'!$B$2:$B$501"),$T149,INDIRECT("'"&amp;$A149&amp;"'!$A$2:$A$501"),"&gt;="&amp;$I149,INDIRECT("'"&amp;$A149&amp;"'!$A$2:$A$501"),"&lt;"&amp;($BA149+1)),0)))</f>
        <v/>
      </c>
      <c r="AV149" s="25">
        <f>IF(OR($A149="",$I149=""),"",IF($BC149="Y",SUMIFS(survey_frozen!$J$2:$J$251,survey_frozen!$P$2:$P$251,$A149&amp;"|"&amp;$B149),IFERROR(COUNTIFS(INDIRECT("'"&amp;$A149&amp;"'!$B$2:$B$501"),$T149,INDIRECT("'"&amp;$A149&amp;"'!$A$2:$A$501"),"&gt;="&amp;$I149,INDIRECT("'"&amp;$A149&amp;"'!$A$2:$A$501"),"&lt;"&amp;($BA149+1),INDIRECT("'"&amp;$A149&amp;"'!$E$2:$E$501"),"Yes"),0)))</f>
        <v/>
      </c>
      <c r="AW149" s="25">
        <f>IF(OR($A149="",$I149=""),"",IF($BC149="Y",SUMIFS(survey_frozen!$K$2:$K$251,survey_frozen!$P$2:$P$251,$A149&amp;"|"&amp;$B149),IFERROR(COUNTIFS(INDIRECT("'"&amp;$A149&amp;"'!$B$2:$B$501"),$T149,INDIRECT("'"&amp;$A149&amp;"'!$A$2:$A$501"),"&gt;="&amp;$I149,INDIRECT("'"&amp;$A149&amp;"'!$A$2:$A$501"),"&lt;"&amp;($BA149+1),INDIRECT("'"&amp;$A149&amp;"'!$E$2:$E$501"),"Maybe"),0)))</f>
        <v/>
      </c>
      <c r="AX149" s="25">
        <f>IF(OR($A149="",$I149=""),"",IF($BC149="Y",SUMIFS(survey_frozen!$L$2:$L$251,survey_frozen!$P$2:$P$251,$A149&amp;"|"&amp;$B149),IFERROR(COUNTIFS(INDIRECT("'"&amp;$A149&amp;"'!$B$2:$B$501"),$T149,INDIRECT("'"&amp;$A149&amp;"'!$A$2:$A$501"),"&gt;="&amp;$I149,INDIRECT("'"&amp;$A149&amp;"'!$A$2:$A$501"),"&lt;"&amp;($BA149+1),INDIRECT("'"&amp;$A149&amp;"'!$E$2:$E$501"),"No"),0)))</f>
        <v/>
      </c>
      <c r="AY149" s="25">
        <f>IF(OR($A149="",$I149=""),"",IF($BC149="Y",SUMIFS(survey_frozen!$M$2:$M$251,survey_frozen!$P$2:$P$251,$A149&amp;"|"&amp;$B149),IFERROR(COUNTIFS(INDIRECT("'"&amp;$A149&amp;"'!$B$2:$B$501"),$T149,INDIRECT("'"&amp;$A149&amp;"'!$A$2:$A$501"),"&gt;="&amp;$I149,INDIRECT("'"&amp;$A149&amp;"'!$A$2:$A$501"),"&lt;"&amp;($BA149+1),INDIRECT("'"&amp;$A149&amp;"'!$G$2:$G$501"),"&lt;&gt;"),0)))</f>
        <v/>
      </c>
      <c r="AZ149" s="25">
        <f>IF($A149="","",$A149&amp;"|"&amp;$L149)</f>
        <v/>
      </c>
      <c r="BA149" s="26">
        <f>IF($A149="","",IFERROR(IF(INDEX(drops!$R$2:$R$21,MATCH($H149,drops!$A$2:$A$21,0))="","",INDEX(drops!$R$2:$R$21,MATCH($H149,drops!$A$2:$A$21,0))),""))</f>
        <v/>
      </c>
      <c r="BB149" s="25">
        <f>IF(OR($A149="",$Q149&lt;&gt;"Y"),1000000,N($AL149))</f>
        <v/>
      </c>
      <c r="BC149" s="25">
        <f>IF($A149="","",IF(COUNTIF(survey_frozen!$P$2:$P$251,$A149&amp;"|"&amp;$B149)&gt;0,"Y",""))</f>
        <v/>
      </c>
    </row>
    <row r="150">
      <c r="C150" s="9" t="n"/>
      <c r="E150" s="9" t="n"/>
      <c r="H150" s="25">
        <f>IF($A150="","",IFERROR(IF(INDEX(campaigns!$B$2:$B$51,MATCH($A150,campaigns!$A$2:$A$51,0))="","",INDEX(campaigns!$B$2:$B$51,MATCH($A150,campaigns!$A$2:$A$51,0))),""))</f>
        <v/>
      </c>
      <c r="I150" s="26">
        <f>IF($A150="","",IFERROR(IF(INDEX(campaigns!$BG$2:$BG$51,MATCH($A150,campaigns!$A$2:$A$51,0))="","",INDEX(campaigns!$BG$2:$BG$51,MATCH($A150,campaigns!$A$2:$A$51,0))),""))</f>
        <v/>
      </c>
      <c r="J150" s="25">
        <f>IF($A150="","",IFERROR(IF(INDEX(campaigns!$BE$2:$BE$51,MATCH($A150,campaigns!$A$2:$A$51,0))="","",INDEX(campaigns!$BE$2:$BE$51,MATCH($A150,campaigns!$A$2:$A$51,0))),""))</f>
        <v/>
      </c>
      <c r="K150" s="25">
        <f>IF($B150="","",IFERROR(IF(INDEX(offices!$N$2:$N$61,MATCH($B150,offices!$A$2:$A$61,0))="","",INDEX(offices!$N$2:$N$61,MATCH($B150,offices!$A$2:$A$61,0))),""))</f>
        <v/>
      </c>
      <c r="L150" s="25">
        <f>IF($A150="","",IF($Q150="N","",COUNTIFS($A$2:$A150,$A150,$Q$2:$Q150,"&lt;&gt;N")))</f>
        <v/>
      </c>
      <c r="M150" s="25">
        <f>IF(OR($A150="",$L150=""),"",IF(AND(config!$B$34="names_if_public",IFERROR(IF(INDEX(offices!$AF$2:$AF$61,MATCH($B150,offices!$A$2:$A$61,0))="","",INDEX(offices!$AF$2:$AF$61,MATCH($B150,offices!$A$2:$A$61,0))),"")="Y"),$K150,CHAR(64+$L150)))</f>
        <v/>
      </c>
      <c r="N150" s="25">
        <f>IF(OR($A150="",$I150=""),"",COUNTIFS(stops!$B$2:$B$151,$B150,stops!$P$2:$P$151,"&lt;"&amp;$I150,stops!$L$2:$L$151,"&lt;&gt;not_delivered")+1)</f>
        <v/>
      </c>
      <c r="O150" s="25">
        <f>IF($A150="","",IF(N($N150)&lt;=config!$B$29,"explicit","opt-out"))</f>
        <v/>
      </c>
      <c r="P150" s="25">
        <f>IF($A150="","",IF($O150="explicit",IF($D150="yes","Y",IF($D150="no","N","pending")),IF($D150="no","N",IF(AND($C150&lt;&gt;"",$I150&lt;&gt;"",$C150&lt;=WORKDAY(N($I150),-5,calendar!$A$2:$A$80)),"Y","pending"))))</f>
        <v/>
      </c>
      <c r="Q150" s="25">
        <f>IF($A150="","",IF($P150="N","N",IF($P150&lt;&gt;"Y","pending",IF(AND((COUNTIFS(stops!$A$2:$A$151,$H150,stops!$B$2:$B$151,$B150,stops!$L$2:$L$151,"declined")+COUNTIFS(stops!$A$2:$A$151,$H150,stops!$B$2:$B$151,$B150,stops!$L$2:$L$151,"building_refused")+COUNTIFS(stops!$A$2:$A$151,$H150,stops!$B$2:$B$151,$B150,stops!$L$2:$L$151,"not_delivered"))&gt;0,N($U150)=0),"N","Y"))))</f>
        <v/>
      </c>
      <c r="R150" s="25">
        <f>IF($A150="","",IF(COUNTIFS($A$2:$A$251,$A150,$B$2:$B$251,$B150)&gt;1,"DUPLICATE ROW; ","")&amp;IF(AND(IFERROR(IF(INDEX(offices!$AC$2:$AC$61,MATCH($B150,offices!$A$2:$A$61,0))="","",INDEX(offices!$AC$2:$AC$61,MATCH($B150,offices!$A$2:$A$61,0))),"")&lt;&gt;"",ISNUMBER(SEARCH($J150,IFERROR(IF(INDEX(offices!$AC$2:$AC$61,MATCH($B150,offices!$A$2:$A$61,0))="","",INDEX(offices!$AC$2:$AC$61,MATCH($B150,offices!$A$2:$A$61,0))),"")))),"BRAND VETOED; ","")&amp;IF(ISNUMBER(SEARCH(IFERROR(IF(INDEX(campaigns!$BF$2:$BF$51,MATCH($A150,campaigns!$A$2:$A$51,0))="","",INDEX(campaigns!$BF$2:$BF$51,MATCH($A150,campaigns!$A$2:$A$51,0))),""),IFERROR(IF(INDEX(offices!$AB$2:$AB$61,MATCH($B150,offices!$A$2:$A$61,0))="","",INDEX(offices!$AB$2:$AB$61,MATCH($B150,offices!$A$2:$A$61,0))),""))),"","info: category not on the office's list; ")&amp;IF(IFERROR(IF(INDEX(offices!$AC$2:$AC$61,MATCH($B150,offices!$A$2:$A$61,0))="","",INDEX(offices!$AC$2:$AC$61,MATCH($B150,offices!$A$2:$A$61,0))),"")&lt;&gt;"","info: read the vetoes against the label; ",""))</f>
        <v/>
      </c>
      <c r="S150" s="25">
        <f>IF($A150="","",IF($G150&lt;&gt;"",$G150,IFERROR(IF(INDEX(offices!$AL$2:$AL$61,MATCH($B150,offices!$A$2:$A$61,0))="","",INDEX(offices!$AL$2:$AL$61,MATCH($B150,offices!$A$2:$A$61,0))),"")))</f>
        <v/>
      </c>
      <c r="T150" s="25">
        <f>IF($A150="","",$A150&amp;"."&amp;$B150)</f>
        <v/>
      </c>
      <c r="U150" s="25">
        <f>IF($A150="","",SUMIFS(inventory!$G$2:$G$801,inventory!$C$2:$C$801,$A150,inventory!$D$2:$D$801,$B150,inventory!$E$2:$E$801,"delivered"))</f>
        <v/>
      </c>
      <c r="V150" s="32">
        <f>IF($A150="","",IFERROR(1/(1/SUMPRODUCT(MAX((inventory!$C$2:$C$801=$A150)*(inventory!$D$2:$D$801=$B150)*(inventory!$E$2:$E$801="delivered")*(inventory!$A$2:$A$801+inventory!$B$2:$B$801)))),""))</f>
        <v/>
      </c>
      <c r="W150" s="25">
        <f>IF($A150="","",IFERROR(IF(INDEX(inventory!$J$2:$J$801,MATCH($A150&amp;"|"&amp;$B150&amp;"|delivered",inventory!$R$2:$R$801,0))="","",INDEX(inventory!$J$2:$J$801,MATCH($A150&amp;"|"&amp;$B150&amp;"|delivered",inventory!$R$2:$R$801,0))),""))</f>
        <v/>
      </c>
      <c r="X150" s="25">
        <f>IF($A150="","",IFERROR(IF(INDEX(photos!$H$2:$H$701,MATCH($A150&amp;"|"&amp;$B150&amp;"|placement|Y",photos!$R$2:$R$701,0))="","",INDEX(photos!$H$2:$H$701,MATCH($A150&amp;"|"&amp;$B150&amp;"|placement|Y",photos!$R$2:$R$701,0))),""))</f>
        <v/>
      </c>
      <c r="Y150" s="26">
        <f>IF($A150="","",IFERROR(IF(INDEX(photos!$E$2:$E$701,MATCH($A150&amp;"|"&amp;$B150&amp;"|placement|Y",photos!$R$2:$R$701,0))="","",INDEX(photos!$E$2:$E$701,MATCH($A150&amp;"|"&amp;$B150&amp;"|placement|Y",photos!$R$2:$R$701,0))),""))</f>
        <v/>
      </c>
      <c r="Z150" s="25">
        <f>IF($A150="","",IF(COUNTIFS(counts!$C$2:$C$701,$A150,counts!$D$2:$D$701,$B150,counts!$E$2:$E$701,"placed")=0,"",SUMIFS(counts!$F$2:$F$701,counts!$C$2:$C$701,$A150,counts!$D$2:$D$701,$B150,counts!$E$2:$E$701,"placed")))</f>
        <v/>
      </c>
      <c r="AA150" s="25">
        <f>IF($A150="","",IF($Y150="",0,N($Z150)))</f>
        <v/>
      </c>
      <c r="AB150" s="25">
        <f>IF($A150="","",IF(OR($Y150="",$I150=""),"N",IF($Y150&lt;=WORKDAY(N($I150),1,calendar!$A$2:$A$80),"Y","N")))</f>
        <v/>
      </c>
      <c r="AC150" s="28">
        <f>IF(OR($A150="",$V150="",$Y150=""),"",ROUND(($Y150+N(IFERROR(IF(INDEX(photos!$F$2:$F$701,MATCH($A150&amp;"|"&amp;$B150&amp;"|placement|Y",photos!$R$2:$R$701,0))="","",INDEX(photos!$F$2:$F$701,MATCH($A150&amp;"|"&amp;$B150&amp;"|placement|Y",photos!$R$2:$R$701,0))),""))-$V150)*24,1))</f>
        <v/>
      </c>
      <c r="AD150" s="25">
        <f>IF($A150="","",SUMIFS(inventory!$G$2:$G$801,inventory!$C$2:$C$801,$A150,inventory!$D$2:$D$801,$B150,inventory!$E$2:$E$801,"topped_up"))</f>
        <v/>
      </c>
      <c r="AE150" s="25">
        <f>IF($A150="","",IF(COUNTIFS(counts!$C$2:$C$701,$A150,counts!$D$2:$D$701,$B150,counts!$E$2:$E$701,"remaining_day3")=0,"",SUMIFS(counts!$F$2:$F$701,counts!$C$2:$C$701,$A150,counts!$D$2:$D$701,$B150,counts!$E$2:$E$701,"remaining_day3")))</f>
        <v/>
      </c>
      <c r="AF150" s="25">
        <f>IF($A150="","",IF(COUNTIFS(counts!$C$2:$C$701,$A150,counts!$D$2:$D$701,$B150,counts!$E$2:$E$701,"remaining_day5")=0,"",SUMIFS(counts!$F$2:$F$701,counts!$C$2:$C$701,$A150,counts!$D$2:$D$701,$B150,counts!$E$2:$E$701,"remaining_day5")))</f>
        <v/>
      </c>
      <c r="AG150" s="25">
        <f>IF(OR($A150="",$AF150=""),"",MAX(0,$AA150+$AD150-$AF150))</f>
        <v/>
      </c>
      <c r="AH150" s="25">
        <f>IF(OR($A150="",$AI150=""),"",IFERROR(IF(INDEX(photos!$H$2:$H$701,MATCH($A150&amp;"|"&amp;$B150&amp;"|later|Y|"&amp;$AI150,photos!$S$2:$S$701,0))="","",INDEX(photos!$H$2:$H$701,MATCH($A150&amp;"|"&amp;$B150&amp;"|later|Y|"&amp;$AI150,photos!$S$2:$S$701,0))),""))</f>
        <v/>
      </c>
      <c r="AI150" s="26">
        <f>IF($A150="","",IFERROR(1/(1/SUMPRODUCT(MAX((photos!$B$2:$B$701=$A150)*(photos!$C$2:$C$701=$B150)*(photos!$D$2:$D$701="later")*(photos!$O$2:$O$701="Y")*photos!$E$2:$E$701))),""))</f>
        <v/>
      </c>
      <c r="AJ150" s="25">
        <f>IF(OR($A150="",$AI150="",$I150=""),"",NETWORKDAYS($I150,$AI150,calendar!$A$2:$A$80))</f>
        <v/>
      </c>
      <c r="AK150" s="25">
        <f>IF($A150="","",IF(AND($X150&lt;&gt;"",$AH150&lt;&gt;""),"Y","N"))</f>
        <v/>
      </c>
      <c r="AL150" s="25">
        <f>IF(OR($A150="",$I150=""),"",IF($BC150="Y",SUMIFS(survey_frozen!$C$2:$C$251,survey_frozen!$P$2:$P$251,$A150&amp;"|"&amp;$B150),IFERROR(COUNTIFS(INDIRECT("'"&amp;$A150&amp;"'!$B$2:$B$501"),$T150,INDIRECT("'"&amp;$A150&amp;"'!$A$2:$A$501"),"&gt;="&amp;$I150,INDIRECT("'"&amp;$A150&amp;"'!$A$2:$A$501"),"&lt;"&amp;($BA150+1)),0)))</f>
        <v/>
      </c>
      <c r="AM150" s="25">
        <f>IF(OR($A150="",$I150=""),"",IF($BC150="Y",SUMIFS(survey_frozen!$D$2:$D$251,survey_frozen!$P$2:$P$251,$A150&amp;"|"&amp;$B150),IFERROR(COUNTIFS(INDIRECT("'"&amp;$A150&amp;"'!$B$2:$B$501"),$T150,INDIRECT("'"&amp;$A150&amp;"'!$A$2:$A$501"),"&gt;="&amp;$I150,INDIRECT("'"&amp;$A150&amp;"'!$A$2:$A$501"),"&lt;"&amp;($BA150+1),INDIRECT("'"&amp;$A150&amp;"'!$C$2:$C$501"),"Yes"),0)))</f>
        <v/>
      </c>
      <c r="AN150" s="25">
        <f>IF($A150="","",IF(COUNTIFS(scans!$C$2:$C$1601,(IF(LEFT($A150,7)="SAMPLE-","SAMPLE-","")&amp;LOWER(SUBSTITUTE(SUBSTITUTE($A150,"SAMPLE-",""),"CMP-","c"))&amp;"-"&amp;LOWER(SUBSTITUTE(SUBSTITUTE($B150,"SAMPLE-",""),"O-","o"))&amp;"-q"),scans!$D$2:$D$1601,"close")=0,"",SUMPRODUCT(MAX((scans!$C$2:$C$1601=(IF(LEFT($A150,7)="SAMPLE-","SAMPLE-","")&amp;LOWER(SUBSTITUTE(SUBSTITUTE($A150,"SAMPLE-",""),"CMP-","c"))&amp;"-"&amp;LOWER(SUBSTITUTE(SUBSTITUTE($B150,"SAMPLE-",""),"O-","o"))&amp;"-q"))*(scans!$D$2:$D$1601="close")*scans!$E$2:$E$1601))-SUMPRODUCT(MAX((scans!$C$2:$C$1601=(IF(LEFT($A150,7)="SAMPLE-","SAMPLE-","")&amp;LOWER(SUBSTITUTE(SUBSTITUTE($A150,"SAMPLE-",""),"CMP-","c"))&amp;"-"&amp;LOWER(SUBSTITUTE(SUBSTITUTE($B150,"SAMPLE-",""),"O-","o"))&amp;"-q"))*(scans!$D$2:$D$1601="baseline")*scans!$E$2:$E$1601))))</f>
        <v/>
      </c>
      <c r="AO150" s="25">
        <f>IF($A150="","",IF(COUNTIFS(scans!$C$2:$C$1601,(IF(LEFT($A150,7)="SAMPLE-","SAMPLE-","")&amp;LOWER(SUBSTITUTE(SUBSTITUTE($A150,"SAMPLE-",""),"CMP-","c"))&amp;"-"&amp;LOWER(SUBSTITUTE(SUBSTITUTE($B150,"SAMPLE-",""),"O-","o"))&amp;"-p"),scans!$D$2:$D$1601,"close")=0,"",SUMPRODUCT(MAX((scans!$C$2:$C$1601=(IF(LEFT($A150,7)="SAMPLE-","SAMPLE-","")&amp;LOWER(SUBSTITUTE(SUBSTITUTE($A150,"SAMPLE-",""),"CMP-","c"))&amp;"-"&amp;LOWER(SUBSTITUTE(SUBSTITUTE($B150,"SAMPLE-",""),"O-","o"))&amp;"-p"))*(scans!$D$2:$D$1601="close")*scans!$E$2:$E$1601))-SUMPRODUCT(MAX((scans!$C$2:$C$1601=(IF(LEFT($A150,7)="SAMPLE-","SAMPLE-","")&amp;LOWER(SUBSTITUTE(SUBSTITUTE($A150,"SAMPLE-",""),"CMP-","c"))&amp;"-"&amp;LOWER(SUBSTITUTE(SUBSTITUTE($B150,"SAMPLE-",""),"O-","o"))&amp;"-p"))*(scans!$D$2:$D$1601="baseline")*scans!$E$2:$E$1601))))</f>
        <v/>
      </c>
      <c r="AP150" s="25">
        <f>IF($A150="","",IF(COUNTIF(offices!$A$2:$A$61,$B150)=0,"office_id not on offices; ","")&amp;IF(COUNTIF(campaigns!$A$2:$A$51,$A150)=0,"campaign_id not on campaigns; ","")&amp;IF($P150="pending","approval pending; ","")&amp;IF(AND($U150&gt;0,$Y150="",OR($I150="",IF(config!$B$37&lt;&gt;"",config!$B$37,TODAY())&lt;=WORKDAY(N($I150),4,calendar!$A$2:$A$80))),"no usable placement photo yet; ","")&amp;IF(AND($Y150&lt;&gt;"",$Z150=""),"log the placed count; ","")&amp;IF(N($AA150)&gt;N($U150),"placed more than delivered; ","")&amp;IF(AND($AF150&lt;&gt;"",N($AF150)&gt;N($AA150)+N($AD150)),"day-5 count above placed plus top-ups; ","")&amp;IF(AND($U150&gt;0,$I150&lt;&gt;"",IF(config!$B$37&lt;&gt;"",config!$B$37,TODAY())&gt;WORKDAY(N($I150),4,calendar!$A$2:$A$80),$AF150=""),"day-5 count missing; ","")&amp;IF(AND($U150&gt;0,$I150&lt;&gt;"",IF(config!$B$37&lt;&gt;"",config!$B$37,TODAY())&gt;WORKDAY(N($I150),4,calendar!$A$2:$A$80),$AN150=""),"no close link reading; ","")&amp;$R150&amp;IF($P150="N","info: office said no; ","")&amp;IF(AND($P150="Y",$Q150="N"),"info: turned away at the door, so not on the drop (no letter, not in the report or Gate 2; the credit check is on campaigns); ","")&amp;IF(AND($U150&gt;0,$Y150="",$I150&lt;&gt;"",IF(config!$B$37&lt;&gt;"",config!$B$37,TODAY())&gt;WORKDAY(N($I150),4,calendar!$A$2:$A$80)),"info: no usable placement photo, so nothing counts as placed; ","")&amp;IF(AND($U150&gt;0,$I150&lt;&gt;"",IF(config!$B$37&lt;&gt;"",config!$B$37,TODAY())&gt;WORKDAY(N($I150),4,calendar!$A$2:$A$80),N($AL150)&lt;config!$B$30),"info: under "&amp;config!$B$30&amp;" responses; ","")&amp;IF($W150="packing_list","info: delivered count not verified; ",""))</f>
        <v/>
      </c>
      <c r="AQ150" s="25">
        <f>IF(OR($A150="",$I150=""),"",IF($BC150="Y",SUMIFS(survey_frozen!$E$2:$E$251,survey_frozen!$P$2:$P$251,$A150&amp;"|"&amp;$B150),IFERROR(COUNTIFS(INDIRECT("'"&amp;$A150&amp;"'!$B$2:$B$501"),$T150,INDIRECT("'"&amp;$A150&amp;"'!$A$2:$A$501"),"&gt;="&amp;$I150,INDIRECT("'"&amp;$A150&amp;"'!$A$2:$A$501"),"&lt;"&amp;($BA150+1),INDIRECT("'"&amp;$A150&amp;"'!$F$2:$F$501"),"Didn't see it"),0)))</f>
        <v/>
      </c>
      <c r="AR150" s="25">
        <f>IF(OR($A150="",$I150=""),"",IF($BC150="Y",SUMIFS(survey_frozen!$F$2:$F$251,survey_frozen!$P$2:$P$251,$A150&amp;"|"&amp;$B150),IFERROR(COUNTIFS(INDIRECT("'"&amp;$A150&amp;"'!$B$2:$B$501"),$T150,INDIRECT("'"&amp;$A150&amp;"'!$A$2:$A$501"),"&gt;="&amp;$I150,INDIRECT("'"&amp;$A150&amp;"'!$A$2:$A$501"),"&lt;"&amp;($BA150+1),INDIRECT("'"&amp;$A150&amp;"'!$F$2:$F$501"),"Not for me"),0)))</f>
        <v/>
      </c>
      <c r="AS150" s="25">
        <f>IF(OR($A150="",$I150=""),"",IF($BC150="Y",SUMIFS(survey_frozen!$G$2:$G$251,survey_frozen!$P$2:$P$251,$A150&amp;"|"&amp;$B150),IFERROR(COUNTIFS(INDIRECT("'"&amp;$A150&amp;"'!$B$2:$B$501"),$T150,INDIRECT("'"&amp;$A150&amp;"'!$A$2:$A$501"),"&gt;="&amp;$I150,INDIRECT("'"&amp;$A150&amp;"'!$A$2:$A$501"),"&lt;"&amp;($BA150+1),INDIRECT("'"&amp;$A150&amp;"'!$F$2:$F$501"),"Gone by the time I looked"),0)))</f>
        <v/>
      </c>
      <c r="AT150" s="25">
        <f>IF(OR($A150="",$I150=""),"",IF($BC150="Y",SUMIFS(survey_frozen!$H$2:$H$251,survey_frozen!$P$2:$P$251,$A150&amp;"|"&amp;$B150),IFERROR(COUNTIFS(INDIRECT("'"&amp;$A150&amp;"'!$B$2:$B$501"),$T150,INDIRECT("'"&amp;$A150&amp;"'!$A$2:$A$501"),"&gt;="&amp;$I150,INDIRECT("'"&amp;$A150&amp;"'!$A$2:$A$501"),"&lt;"&amp;($BA150+1),INDIRECT("'"&amp;$A150&amp;"'!$D$2:$D$501"),"&gt;=1"),0)))</f>
        <v/>
      </c>
      <c r="AU150" s="25">
        <f>IF(OR($A150="",$I150=""),"",IF($BC150="Y",SUMIFS(survey_frozen!$I$2:$I$251,survey_frozen!$P$2:$P$251,$A150&amp;"|"&amp;$B150),IFERROR(SUMIFS(INDIRECT("'"&amp;$A150&amp;"'!$D$2:$D$501"),INDIRECT("'"&amp;$A150&amp;"'!$B$2:$B$501"),$T150,INDIRECT("'"&amp;$A150&amp;"'!$A$2:$A$501"),"&gt;="&amp;$I150,INDIRECT("'"&amp;$A150&amp;"'!$A$2:$A$501"),"&lt;"&amp;($BA150+1)),0)))</f>
        <v/>
      </c>
      <c r="AV150" s="25">
        <f>IF(OR($A150="",$I150=""),"",IF($BC150="Y",SUMIFS(survey_frozen!$J$2:$J$251,survey_frozen!$P$2:$P$251,$A150&amp;"|"&amp;$B150),IFERROR(COUNTIFS(INDIRECT("'"&amp;$A150&amp;"'!$B$2:$B$501"),$T150,INDIRECT("'"&amp;$A150&amp;"'!$A$2:$A$501"),"&gt;="&amp;$I150,INDIRECT("'"&amp;$A150&amp;"'!$A$2:$A$501"),"&lt;"&amp;($BA150+1),INDIRECT("'"&amp;$A150&amp;"'!$E$2:$E$501"),"Yes"),0)))</f>
        <v/>
      </c>
      <c r="AW150" s="25">
        <f>IF(OR($A150="",$I150=""),"",IF($BC150="Y",SUMIFS(survey_frozen!$K$2:$K$251,survey_frozen!$P$2:$P$251,$A150&amp;"|"&amp;$B150),IFERROR(COUNTIFS(INDIRECT("'"&amp;$A150&amp;"'!$B$2:$B$501"),$T150,INDIRECT("'"&amp;$A150&amp;"'!$A$2:$A$501"),"&gt;="&amp;$I150,INDIRECT("'"&amp;$A150&amp;"'!$A$2:$A$501"),"&lt;"&amp;($BA150+1),INDIRECT("'"&amp;$A150&amp;"'!$E$2:$E$501"),"Maybe"),0)))</f>
        <v/>
      </c>
      <c r="AX150" s="25">
        <f>IF(OR($A150="",$I150=""),"",IF($BC150="Y",SUMIFS(survey_frozen!$L$2:$L$251,survey_frozen!$P$2:$P$251,$A150&amp;"|"&amp;$B150),IFERROR(COUNTIFS(INDIRECT("'"&amp;$A150&amp;"'!$B$2:$B$501"),$T150,INDIRECT("'"&amp;$A150&amp;"'!$A$2:$A$501"),"&gt;="&amp;$I150,INDIRECT("'"&amp;$A150&amp;"'!$A$2:$A$501"),"&lt;"&amp;($BA150+1),INDIRECT("'"&amp;$A150&amp;"'!$E$2:$E$501"),"No"),0)))</f>
        <v/>
      </c>
      <c r="AY150" s="25">
        <f>IF(OR($A150="",$I150=""),"",IF($BC150="Y",SUMIFS(survey_frozen!$M$2:$M$251,survey_frozen!$P$2:$P$251,$A150&amp;"|"&amp;$B150),IFERROR(COUNTIFS(INDIRECT("'"&amp;$A150&amp;"'!$B$2:$B$501"),$T150,INDIRECT("'"&amp;$A150&amp;"'!$A$2:$A$501"),"&gt;="&amp;$I150,INDIRECT("'"&amp;$A150&amp;"'!$A$2:$A$501"),"&lt;"&amp;($BA150+1),INDIRECT("'"&amp;$A150&amp;"'!$G$2:$G$501"),"&lt;&gt;"),0)))</f>
        <v/>
      </c>
      <c r="AZ150" s="25">
        <f>IF($A150="","",$A150&amp;"|"&amp;$L150)</f>
        <v/>
      </c>
      <c r="BA150" s="26">
        <f>IF($A150="","",IFERROR(IF(INDEX(drops!$R$2:$R$21,MATCH($H150,drops!$A$2:$A$21,0))="","",INDEX(drops!$R$2:$R$21,MATCH($H150,drops!$A$2:$A$21,0))),""))</f>
        <v/>
      </c>
      <c r="BB150" s="25">
        <f>IF(OR($A150="",$Q150&lt;&gt;"Y"),1000000,N($AL150))</f>
        <v/>
      </c>
      <c r="BC150" s="25">
        <f>IF($A150="","",IF(COUNTIF(survey_frozen!$P$2:$P$251,$A150&amp;"|"&amp;$B150)&gt;0,"Y",""))</f>
        <v/>
      </c>
    </row>
    <row r="151">
      <c r="C151" s="9" t="n"/>
      <c r="E151" s="9" t="n"/>
      <c r="H151" s="25">
        <f>IF($A151="","",IFERROR(IF(INDEX(campaigns!$B$2:$B$51,MATCH($A151,campaigns!$A$2:$A$51,0))="","",INDEX(campaigns!$B$2:$B$51,MATCH($A151,campaigns!$A$2:$A$51,0))),""))</f>
        <v/>
      </c>
      <c r="I151" s="26">
        <f>IF($A151="","",IFERROR(IF(INDEX(campaigns!$BG$2:$BG$51,MATCH($A151,campaigns!$A$2:$A$51,0))="","",INDEX(campaigns!$BG$2:$BG$51,MATCH($A151,campaigns!$A$2:$A$51,0))),""))</f>
        <v/>
      </c>
      <c r="J151" s="25">
        <f>IF($A151="","",IFERROR(IF(INDEX(campaigns!$BE$2:$BE$51,MATCH($A151,campaigns!$A$2:$A$51,0))="","",INDEX(campaigns!$BE$2:$BE$51,MATCH($A151,campaigns!$A$2:$A$51,0))),""))</f>
        <v/>
      </c>
      <c r="K151" s="25">
        <f>IF($B151="","",IFERROR(IF(INDEX(offices!$N$2:$N$61,MATCH($B151,offices!$A$2:$A$61,0))="","",INDEX(offices!$N$2:$N$61,MATCH($B151,offices!$A$2:$A$61,0))),""))</f>
        <v/>
      </c>
      <c r="L151" s="25">
        <f>IF($A151="","",IF($Q151="N","",COUNTIFS($A$2:$A151,$A151,$Q$2:$Q151,"&lt;&gt;N")))</f>
        <v/>
      </c>
      <c r="M151" s="25">
        <f>IF(OR($A151="",$L151=""),"",IF(AND(config!$B$34="names_if_public",IFERROR(IF(INDEX(offices!$AF$2:$AF$61,MATCH($B151,offices!$A$2:$A$61,0))="","",INDEX(offices!$AF$2:$AF$61,MATCH($B151,offices!$A$2:$A$61,0))),"")="Y"),$K151,CHAR(64+$L151)))</f>
        <v/>
      </c>
      <c r="N151" s="25">
        <f>IF(OR($A151="",$I151=""),"",COUNTIFS(stops!$B$2:$B$151,$B151,stops!$P$2:$P$151,"&lt;"&amp;$I151,stops!$L$2:$L$151,"&lt;&gt;not_delivered")+1)</f>
        <v/>
      </c>
      <c r="O151" s="25">
        <f>IF($A151="","",IF(N($N151)&lt;=config!$B$29,"explicit","opt-out"))</f>
        <v/>
      </c>
      <c r="P151" s="25">
        <f>IF($A151="","",IF($O151="explicit",IF($D151="yes","Y",IF($D151="no","N","pending")),IF($D151="no","N",IF(AND($C151&lt;&gt;"",$I151&lt;&gt;"",$C151&lt;=WORKDAY(N($I151),-5,calendar!$A$2:$A$80)),"Y","pending"))))</f>
        <v/>
      </c>
      <c r="Q151" s="25">
        <f>IF($A151="","",IF($P151="N","N",IF($P151&lt;&gt;"Y","pending",IF(AND((COUNTIFS(stops!$A$2:$A$151,$H151,stops!$B$2:$B$151,$B151,stops!$L$2:$L$151,"declined")+COUNTIFS(stops!$A$2:$A$151,$H151,stops!$B$2:$B$151,$B151,stops!$L$2:$L$151,"building_refused")+COUNTIFS(stops!$A$2:$A$151,$H151,stops!$B$2:$B$151,$B151,stops!$L$2:$L$151,"not_delivered"))&gt;0,N($U151)=0),"N","Y"))))</f>
        <v/>
      </c>
      <c r="R151" s="25">
        <f>IF($A151="","",IF(COUNTIFS($A$2:$A$251,$A151,$B$2:$B$251,$B151)&gt;1,"DUPLICATE ROW; ","")&amp;IF(AND(IFERROR(IF(INDEX(offices!$AC$2:$AC$61,MATCH($B151,offices!$A$2:$A$61,0))="","",INDEX(offices!$AC$2:$AC$61,MATCH($B151,offices!$A$2:$A$61,0))),"")&lt;&gt;"",ISNUMBER(SEARCH($J151,IFERROR(IF(INDEX(offices!$AC$2:$AC$61,MATCH($B151,offices!$A$2:$A$61,0))="","",INDEX(offices!$AC$2:$AC$61,MATCH($B151,offices!$A$2:$A$61,0))),"")))),"BRAND VETOED; ","")&amp;IF(ISNUMBER(SEARCH(IFERROR(IF(INDEX(campaigns!$BF$2:$BF$51,MATCH($A151,campaigns!$A$2:$A$51,0))="","",INDEX(campaigns!$BF$2:$BF$51,MATCH($A151,campaigns!$A$2:$A$51,0))),""),IFERROR(IF(INDEX(offices!$AB$2:$AB$61,MATCH($B151,offices!$A$2:$A$61,0))="","",INDEX(offices!$AB$2:$AB$61,MATCH($B151,offices!$A$2:$A$61,0))),""))),"","info: category not on the office's list; ")&amp;IF(IFERROR(IF(INDEX(offices!$AC$2:$AC$61,MATCH($B151,offices!$A$2:$A$61,0))="","",INDEX(offices!$AC$2:$AC$61,MATCH($B151,offices!$A$2:$A$61,0))),"")&lt;&gt;"","info: read the vetoes against the label; ",""))</f>
        <v/>
      </c>
      <c r="S151" s="25">
        <f>IF($A151="","",IF($G151&lt;&gt;"",$G151,IFERROR(IF(INDEX(offices!$AL$2:$AL$61,MATCH($B151,offices!$A$2:$A$61,0))="","",INDEX(offices!$AL$2:$AL$61,MATCH($B151,offices!$A$2:$A$61,0))),"")))</f>
        <v/>
      </c>
      <c r="T151" s="25">
        <f>IF($A151="","",$A151&amp;"."&amp;$B151)</f>
        <v/>
      </c>
      <c r="U151" s="25">
        <f>IF($A151="","",SUMIFS(inventory!$G$2:$G$801,inventory!$C$2:$C$801,$A151,inventory!$D$2:$D$801,$B151,inventory!$E$2:$E$801,"delivered"))</f>
        <v/>
      </c>
      <c r="V151" s="32">
        <f>IF($A151="","",IFERROR(1/(1/SUMPRODUCT(MAX((inventory!$C$2:$C$801=$A151)*(inventory!$D$2:$D$801=$B151)*(inventory!$E$2:$E$801="delivered")*(inventory!$A$2:$A$801+inventory!$B$2:$B$801)))),""))</f>
        <v/>
      </c>
      <c r="W151" s="25">
        <f>IF($A151="","",IFERROR(IF(INDEX(inventory!$J$2:$J$801,MATCH($A151&amp;"|"&amp;$B151&amp;"|delivered",inventory!$R$2:$R$801,0))="","",INDEX(inventory!$J$2:$J$801,MATCH($A151&amp;"|"&amp;$B151&amp;"|delivered",inventory!$R$2:$R$801,0))),""))</f>
        <v/>
      </c>
      <c r="X151" s="25">
        <f>IF($A151="","",IFERROR(IF(INDEX(photos!$H$2:$H$701,MATCH($A151&amp;"|"&amp;$B151&amp;"|placement|Y",photos!$R$2:$R$701,0))="","",INDEX(photos!$H$2:$H$701,MATCH($A151&amp;"|"&amp;$B151&amp;"|placement|Y",photos!$R$2:$R$701,0))),""))</f>
        <v/>
      </c>
      <c r="Y151" s="26">
        <f>IF($A151="","",IFERROR(IF(INDEX(photos!$E$2:$E$701,MATCH($A151&amp;"|"&amp;$B151&amp;"|placement|Y",photos!$R$2:$R$701,0))="","",INDEX(photos!$E$2:$E$701,MATCH($A151&amp;"|"&amp;$B151&amp;"|placement|Y",photos!$R$2:$R$701,0))),""))</f>
        <v/>
      </c>
      <c r="Z151" s="25">
        <f>IF($A151="","",IF(COUNTIFS(counts!$C$2:$C$701,$A151,counts!$D$2:$D$701,$B151,counts!$E$2:$E$701,"placed")=0,"",SUMIFS(counts!$F$2:$F$701,counts!$C$2:$C$701,$A151,counts!$D$2:$D$701,$B151,counts!$E$2:$E$701,"placed")))</f>
        <v/>
      </c>
      <c r="AA151" s="25">
        <f>IF($A151="","",IF($Y151="",0,N($Z151)))</f>
        <v/>
      </c>
      <c r="AB151" s="25">
        <f>IF($A151="","",IF(OR($Y151="",$I151=""),"N",IF($Y151&lt;=WORKDAY(N($I151),1,calendar!$A$2:$A$80),"Y","N")))</f>
        <v/>
      </c>
      <c r="AC151" s="28">
        <f>IF(OR($A151="",$V151="",$Y151=""),"",ROUND(($Y151+N(IFERROR(IF(INDEX(photos!$F$2:$F$701,MATCH($A151&amp;"|"&amp;$B151&amp;"|placement|Y",photos!$R$2:$R$701,0))="","",INDEX(photos!$F$2:$F$701,MATCH($A151&amp;"|"&amp;$B151&amp;"|placement|Y",photos!$R$2:$R$701,0))),""))-$V151)*24,1))</f>
        <v/>
      </c>
      <c r="AD151" s="25">
        <f>IF($A151="","",SUMIFS(inventory!$G$2:$G$801,inventory!$C$2:$C$801,$A151,inventory!$D$2:$D$801,$B151,inventory!$E$2:$E$801,"topped_up"))</f>
        <v/>
      </c>
      <c r="AE151" s="25">
        <f>IF($A151="","",IF(COUNTIFS(counts!$C$2:$C$701,$A151,counts!$D$2:$D$701,$B151,counts!$E$2:$E$701,"remaining_day3")=0,"",SUMIFS(counts!$F$2:$F$701,counts!$C$2:$C$701,$A151,counts!$D$2:$D$701,$B151,counts!$E$2:$E$701,"remaining_day3")))</f>
        <v/>
      </c>
      <c r="AF151" s="25">
        <f>IF($A151="","",IF(COUNTIFS(counts!$C$2:$C$701,$A151,counts!$D$2:$D$701,$B151,counts!$E$2:$E$701,"remaining_day5")=0,"",SUMIFS(counts!$F$2:$F$701,counts!$C$2:$C$701,$A151,counts!$D$2:$D$701,$B151,counts!$E$2:$E$701,"remaining_day5")))</f>
        <v/>
      </c>
      <c r="AG151" s="25">
        <f>IF(OR($A151="",$AF151=""),"",MAX(0,$AA151+$AD151-$AF151))</f>
        <v/>
      </c>
      <c r="AH151" s="25">
        <f>IF(OR($A151="",$AI151=""),"",IFERROR(IF(INDEX(photos!$H$2:$H$701,MATCH($A151&amp;"|"&amp;$B151&amp;"|later|Y|"&amp;$AI151,photos!$S$2:$S$701,0))="","",INDEX(photos!$H$2:$H$701,MATCH($A151&amp;"|"&amp;$B151&amp;"|later|Y|"&amp;$AI151,photos!$S$2:$S$701,0))),""))</f>
        <v/>
      </c>
      <c r="AI151" s="26">
        <f>IF($A151="","",IFERROR(1/(1/SUMPRODUCT(MAX((photos!$B$2:$B$701=$A151)*(photos!$C$2:$C$701=$B151)*(photos!$D$2:$D$701="later")*(photos!$O$2:$O$701="Y")*photos!$E$2:$E$701))),""))</f>
        <v/>
      </c>
      <c r="AJ151" s="25">
        <f>IF(OR($A151="",$AI151="",$I151=""),"",NETWORKDAYS($I151,$AI151,calendar!$A$2:$A$80))</f>
        <v/>
      </c>
      <c r="AK151" s="25">
        <f>IF($A151="","",IF(AND($X151&lt;&gt;"",$AH151&lt;&gt;""),"Y","N"))</f>
        <v/>
      </c>
      <c r="AL151" s="25">
        <f>IF(OR($A151="",$I151=""),"",IF($BC151="Y",SUMIFS(survey_frozen!$C$2:$C$251,survey_frozen!$P$2:$P$251,$A151&amp;"|"&amp;$B151),IFERROR(COUNTIFS(INDIRECT("'"&amp;$A151&amp;"'!$B$2:$B$501"),$T151,INDIRECT("'"&amp;$A151&amp;"'!$A$2:$A$501"),"&gt;="&amp;$I151,INDIRECT("'"&amp;$A151&amp;"'!$A$2:$A$501"),"&lt;"&amp;($BA151+1)),0)))</f>
        <v/>
      </c>
      <c r="AM151" s="25">
        <f>IF(OR($A151="",$I151=""),"",IF($BC151="Y",SUMIFS(survey_frozen!$D$2:$D$251,survey_frozen!$P$2:$P$251,$A151&amp;"|"&amp;$B151),IFERROR(COUNTIFS(INDIRECT("'"&amp;$A151&amp;"'!$B$2:$B$501"),$T151,INDIRECT("'"&amp;$A151&amp;"'!$A$2:$A$501"),"&gt;="&amp;$I151,INDIRECT("'"&amp;$A151&amp;"'!$A$2:$A$501"),"&lt;"&amp;($BA151+1),INDIRECT("'"&amp;$A151&amp;"'!$C$2:$C$501"),"Yes"),0)))</f>
        <v/>
      </c>
      <c r="AN151" s="25">
        <f>IF($A151="","",IF(COUNTIFS(scans!$C$2:$C$1601,(IF(LEFT($A151,7)="SAMPLE-","SAMPLE-","")&amp;LOWER(SUBSTITUTE(SUBSTITUTE($A151,"SAMPLE-",""),"CMP-","c"))&amp;"-"&amp;LOWER(SUBSTITUTE(SUBSTITUTE($B151,"SAMPLE-",""),"O-","o"))&amp;"-q"),scans!$D$2:$D$1601,"close")=0,"",SUMPRODUCT(MAX((scans!$C$2:$C$1601=(IF(LEFT($A151,7)="SAMPLE-","SAMPLE-","")&amp;LOWER(SUBSTITUTE(SUBSTITUTE($A151,"SAMPLE-",""),"CMP-","c"))&amp;"-"&amp;LOWER(SUBSTITUTE(SUBSTITUTE($B151,"SAMPLE-",""),"O-","o"))&amp;"-q"))*(scans!$D$2:$D$1601="close")*scans!$E$2:$E$1601))-SUMPRODUCT(MAX((scans!$C$2:$C$1601=(IF(LEFT($A151,7)="SAMPLE-","SAMPLE-","")&amp;LOWER(SUBSTITUTE(SUBSTITUTE($A151,"SAMPLE-",""),"CMP-","c"))&amp;"-"&amp;LOWER(SUBSTITUTE(SUBSTITUTE($B151,"SAMPLE-",""),"O-","o"))&amp;"-q"))*(scans!$D$2:$D$1601="baseline")*scans!$E$2:$E$1601))))</f>
        <v/>
      </c>
      <c r="AO151" s="25">
        <f>IF($A151="","",IF(COUNTIFS(scans!$C$2:$C$1601,(IF(LEFT($A151,7)="SAMPLE-","SAMPLE-","")&amp;LOWER(SUBSTITUTE(SUBSTITUTE($A151,"SAMPLE-",""),"CMP-","c"))&amp;"-"&amp;LOWER(SUBSTITUTE(SUBSTITUTE($B151,"SAMPLE-",""),"O-","o"))&amp;"-p"),scans!$D$2:$D$1601,"close")=0,"",SUMPRODUCT(MAX((scans!$C$2:$C$1601=(IF(LEFT($A151,7)="SAMPLE-","SAMPLE-","")&amp;LOWER(SUBSTITUTE(SUBSTITUTE($A151,"SAMPLE-",""),"CMP-","c"))&amp;"-"&amp;LOWER(SUBSTITUTE(SUBSTITUTE($B151,"SAMPLE-",""),"O-","o"))&amp;"-p"))*(scans!$D$2:$D$1601="close")*scans!$E$2:$E$1601))-SUMPRODUCT(MAX((scans!$C$2:$C$1601=(IF(LEFT($A151,7)="SAMPLE-","SAMPLE-","")&amp;LOWER(SUBSTITUTE(SUBSTITUTE($A151,"SAMPLE-",""),"CMP-","c"))&amp;"-"&amp;LOWER(SUBSTITUTE(SUBSTITUTE($B151,"SAMPLE-",""),"O-","o"))&amp;"-p"))*(scans!$D$2:$D$1601="baseline")*scans!$E$2:$E$1601))))</f>
        <v/>
      </c>
      <c r="AP151" s="25">
        <f>IF($A151="","",IF(COUNTIF(offices!$A$2:$A$61,$B151)=0,"office_id not on offices; ","")&amp;IF(COUNTIF(campaigns!$A$2:$A$51,$A151)=0,"campaign_id not on campaigns; ","")&amp;IF($P151="pending","approval pending; ","")&amp;IF(AND($U151&gt;0,$Y151="",OR($I151="",IF(config!$B$37&lt;&gt;"",config!$B$37,TODAY())&lt;=WORKDAY(N($I151),4,calendar!$A$2:$A$80))),"no usable placement photo yet; ","")&amp;IF(AND($Y151&lt;&gt;"",$Z151=""),"log the placed count; ","")&amp;IF(N($AA151)&gt;N($U151),"placed more than delivered; ","")&amp;IF(AND($AF151&lt;&gt;"",N($AF151)&gt;N($AA151)+N($AD151)),"day-5 count above placed plus top-ups; ","")&amp;IF(AND($U151&gt;0,$I151&lt;&gt;"",IF(config!$B$37&lt;&gt;"",config!$B$37,TODAY())&gt;WORKDAY(N($I151),4,calendar!$A$2:$A$80),$AF151=""),"day-5 count missing; ","")&amp;IF(AND($U151&gt;0,$I151&lt;&gt;"",IF(config!$B$37&lt;&gt;"",config!$B$37,TODAY())&gt;WORKDAY(N($I151),4,calendar!$A$2:$A$80),$AN151=""),"no close link reading; ","")&amp;$R151&amp;IF($P151="N","info: office said no; ","")&amp;IF(AND($P151="Y",$Q151="N"),"info: turned away at the door, so not on the drop (no letter, not in the report or Gate 2; the credit check is on campaigns); ","")&amp;IF(AND($U151&gt;0,$Y151="",$I151&lt;&gt;"",IF(config!$B$37&lt;&gt;"",config!$B$37,TODAY())&gt;WORKDAY(N($I151),4,calendar!$A$2:$A$80)),"info: no usable placement photo, so nothing counts as placed; ","")&amp;IF(AND($U151&gt;0,$I151&lt;&gt;"",IF(config!$B$37&lt;&gt;"",config!$B$37,TODAY())&gt;WORKDAY(N($I151),4,calendar!$A$2:$A$80),N($AL151)&lt;config!$B$30),"info: under "&amp;config!$B$30&amp;" responses; ","")&amp;IF($W151="packing_list","info: delivered count not verified; ",""))</f>
        <v/>
      </c>
      <c r="AQ151" s="25">
        <f>IF(OR($A151="",$I151=""),"",IF($BC151="Y",SUMIFS(survey_frozen!$E$2:$E$251,survey_frozen!$P$2:$P$251,$A151&amp;"|"&amp;$B151),IFERROR(COUNTIFS(INDIRECT("'"&amp;$A151&amp;"'!$B$2:$B$501"),$T151,INDIRECT("'"&amp;$A151&amp;"'!$A$2:$A$501"),"&gt;="&amp;$I151,INDIRECT("'"&amp;$A151&amp;"'!$A$2:$A$501"),"&lt;"&amp;($BA151+1),INDIRECT("'"&amp;$A151&amp;"'!$F$2:$F$501"),"Didn't see it"),0)))</f>
        <v/>
      </c>
      <c r="AR151" s="25">
        <f>IF(OR($A151="",$I151=""),"",IF($BC151="Y",SUMIFS(survey_frozen!$F$2:$F$251,survey_frozen!$P$2:$P$251,$A151&amp;"|"&amp;$B151),IFERROR(COUNTIFS(INDIRECT("'"&amp;$A151&amp;"'!$B$2:$B$501"),$T151,INDIRECT("'"&amp;$A151&amp;"'!$A$2:$A$501"),"&gt;="&amp;$I151,INDIRECT("'"&amp;$A151&amp;"'!$A$2:$A$501"),"&lt;"&amp;($BA151+1),INDIRECT("'"&amp;$A151&amp;"'!$F$2:$F$501"),"Not for me"),0)))</f>
        <v/>
      </c>
      <c r="AS151" s="25">
        <f>IF(OR($A151="",$I151=""),"",IF($BC151="Y",SUMIFS(survey_frozen!$G$2:$G$251,survey_frozen!$P$2:$P$251,$A151&amp;"|"&amp;$B151),IFERROR(COUNTIFS(INDIRECT("'"&amp;$A151&amp;"'!$B$2:$B$501"),$T151,INDIRECT("'"&amp;$A151&amp;"'!$A$2:$A$501"),"&gt;="&amp;$I151,INDIRECT("'"&amp;$A151&amp;"'!$A$2:$A$501"),"&lt;"&amp;($BA151+1),INDIRECT("'"&amp;$A151&amp;"'!$F$2:$F$501"),"Gone by the time I looked"),0)))</f>
        <v/>
      </c>
      <c r="AT151" s="25">
        <f>IF(OR($A151="",$I151=""),"",IF($BC151="Y",SUMIFS(survey_frozen!$H$2:$H$251,survey_frozen!$P$2:$P$251,$A151&amp;"|"&amp;$B151),IFERROR(COUNTIFS(INDIRECT("'"&amp;$A151&amp;"'!$B$2:$B$501"),$T151,INDIRECT("'"&amp;$A151&amp;"'!$A$2:$A$501"),"&gt;="&amp;$I151,INDIRECT("'"&amp;$A151&amp;"'!$A$2:$A$501"),"&lt;"&amp;($BA151+1),INDIRECT("'"&amp;$A151&amp;"'!$D$2:$D$501"),"&gt;=1"),0)))</f>
        <v/>
      </c>
      <c r="AU151" s="25">
        <f>IF(OR($A151="",$I151=""),"",IF($BC151="Y",SUMIFS(survey_frozen!$I$2:$I$251,survey_frozen!$P$2:$P$251,$A151&amp;"|"&amp;$B151),IFERROR(SUMIFS(INDIRECT("'"&amp;$A151&amp;"'!$D$2:$D$501"),INDIRECT("'"&amp;$A151&amp;"'!$B$2:$B$501"),$T151,INDIRECT("'"&amp;$A151&amp;"'!$A$2:$A$501"),"&gt;="&amp;$I151,INDIRECT("'"&amp;$A151&amp;"'!$A$2:$A$501"),"&lt;"&amp;($BA151+1)),0)))</f>
        <v/>
      </c>
      <c r="AV151" s="25">
        <f>IF(OR($A151="",$I151=""),"",IF($BC151="Y",SUMIFS(survey_frozen!$J$2:$J$251,survey_frozen!$P$2:$P$251,$A151&amp;"|"&amp;$B151),IFERROR(COUNTIFS(INDIRECT("'"&amp;$A151&amp;"'!$B$2:$B$501"),$T151,INDIRECT("'"&amp;$A151&amp;"'!$A$2:$A$501"),"&gt;="&amp;$I151,INDIRECT("'"&amp;$A151&amp;"'!$A$2:$A$501"),"&lt;"&amp;($BA151+1),INDIRECT("'"&amp;$A151&amp;"'!$E$2:$E$501"),"Yes"),0)))</f>
        <v/>
      </c>
      <c r="AW151" s="25">
        <f>IF(OR($A151="",$I151=""),"",IF($BC151="Y",SUMIFS(survey_frozen!$K$2:$K$251,survey_frozen!$P$2:$P$251,$A151&amp;"|"&amp;$B151),IFERROR(COUNTIFS(INDIRECT("'"&amp;$A151&amp;"'!$B$2:$B$501"),$T151,INDIRECT("'"&amp;$A151&amp;"'!$A$2:$A$501"),"&gt;="&amp;$I151,INDIRECT("'"&amp;$A151&amp;"'!$A$2:$A$501"),"&lt;"&amp;($BA151+1),INDIRECT("'"&amp;$A151&amp;"'!$E$2:$E$501"),"Maybe"),0)))</f>
        <v/>
      </c>
      <c r="AX151" s="25">
        <f>IF(OR($A151="",$I151=""),"",IF($BC151="Y",SUMIFS(survey_frozen!$L$2:$L$251,survey_frozen!$P$2:$P$251,$A151&amp;"|"&amp;$B151),IFERROR(COUNTIFS(INDIRECT("'"&amp;$A151&amp;"'!$B$2:$B$501"),$T151,INDIRECT("'"&amp;$A151&amp;"'!$A$2:$A$501"),"&gt;="&amp;$I151,INDIRECT("'"&amp;$A151&amp;"'!$A$2:$A$501"),"&lt;"&amp;($BA151+1),INDIRECT("'"&amp;$A151&amp;"'!$E$2:$E$501"),"No"),0)))</f>
        <v/>
      </c>
      <c r="AY151" s="25">
        <f>IF(OR($A151="",$I151=""),"",IF($BC151="Y",SUMIFS(survey_frozen!$M$2:$M$251,survey_frozen!$P$2:$P$251,$A151&amp;"|"&amp;$B151),IFERROR(COUNTIFS(INDIRECT("'"&amp;$A151&amp;"'!$B$2:$B$501"),$T151,INDIRECT("'"&amp;$A151&amp;"'!$A$2:$A$501"),"&gt;="&amp;$I151,INDIRECT("'"&amp;$A151&amp;"'!$A$2:$A$501"),"&lt;"&amp;($BA151+1),INDIRECT("'"&amp;$A151&amp;"'!$G$2:$G$501"),"&lt;&gt;"),0)))</f>
        <v/>
      </c>
      <c r="AZ151" s="25">
        <f>IF($A151="","",$A151&amp;"|"&amp;$L151)</f>
        <v/>
      </c>
      <c r="BA151" s="26">
        <f>IF($A151="","",IFERROR(IF(INDEX(drops!$R$2:$R$21,MATCH($H151,drops!$A$2:$A$21,0))="","",INDEX(drops!$R$2:$R$21,MATCH($H151,drops!$A$2:$A$21,0))),""))</f>
        <v/>
      </c>
      <c r="BB151" s="25">
        <f>IF(OR($A151="",$Q151&lt;&gt;"Y"),1000000,N($AL151))</f>
        <v/>
      </c>
      <c r="BC151" s="25">
        <f>IF($A151="","",IF(COUNTIF(survey_frozen!$P$2:$P$251,$A151&amp;"|"&amp;$B151)&gt;0,"Y",""))</f>
        <v/>
      </c>
    </row>
    <row r="152">
      <c r="C152" s="9" t="n"/>
      <c r="E152" s="9" t="n"/>
      <c r="H152" s="25">
        <f>IF($A152="","",IFERROR(IF(INDEX(campaigns!$B$2:$B$51,MATCH($A152,campaigns!$A$2:$A$51,0))="","",INDEX(campaigns!$B$2:$B$51,MATCH($A152,campaigns!$A$2:$A$51,0))),""))</f>
        <v/>
      </c>
      <c r="I152" s="26">
        <f>IF($A152="","",IFERROR(IF(INDEX(campaigns!$BG$2:$BG$51,MATCH($A152,campaigns!$A$2:$A$51,0))="","",INDEX(campaigns!$BG$2:$BG$51,MATCH($A152,campaigns!$A$2:$A$51,0))),""))</f>
        <v/>
      </c>
      <c r="J152" s="25">
        <f>IF($A152="","",IFERROR(IF(INDEX(campaigns!$BE$2:$BE$51,MATCH($A152,campaigns!$A$2:$A$51,0))="","",INDEX(campaigns!$BE$2:$BE$51,MATCH($A152,campaigns!$A$2:$A$51,0))),""))</f>
        <v/>
      </c>
      <c r="K152" s="25">
        <f>IF($B152="","",IFERROR(IF(INDEX(offices!$N$2:$N$61,MATCH($B152,offices!$A$2:$A$61,0))="","",INDEX(offices!$N$2:$N$61,MATCH($B152,offices!$A$2:$A$61,0))),""))</f>
        <v/>
      </c>
      <c r="L152" s="25">
        <f>IF($A152="","",IF($Q152="N","",COUNTIFS($A$2:$A152,$A152,$Q$2:$Q152,"&lt;&gt;N")))</f>
        <v/>
      </c>
      <c r="M152" s="25">
        <f>IF(OR($A152="",$L152=""),"",IF(AND(config!$B$34="names_if_public",IFERROR(IF(INDEX(offices!$AF$2:$AF$61,MATCH($B152,offices!$A$2:$A$61,0))="","",INDEX(offices!$AF$2:$AF$61,MATCH($B152,offices!$A$2:$A$61,0))),"")="Y"),$K152,CHAR(64+$L152)))</f>
        <v/>
      </c>
      <c r="N152" s="25">
        <f>IF(OR($A152="",$I152=""),"",COUNTIFS(stops!$B$2:$B$151,$B152,stops!$P$2:$P$151,"&lt;"&amp;$I152,stops!$L$2:$L$151,"&lt;&gt;not_delivered")+1)</f>
        <v/>
      </c>
      <c r="O152" s="25">
        <f>IF($A152="","",IF(N($N152)&lt;=config!$B$29,"explicit","opt-out"))</f>
        <v/>
      </c>
      <c r="P152" s="25">
        <f>IF($A152="","",IF($O152="explicit",IF($D152="yes","Y",IF($D152="no","N","pending")),IF($D152="no","N",IF(AND($C152&lt;&gt;"",$I152&lt;&gt;"",$C152&lt;=WORKDAY(N($I152),-5,calendar!$A$2:$A$80)),"Y","pending"))))</f>
        <v/>
      </c>
      <c r="Q152" s="25">
        <f>IF($A152="","",IF($P152="N","N",IF($P152&lt;&gt;"Y","pending",IF(AND((COUNTIFS(stops!$A$2:$A$151,$H152,stops!$B$2:$B$151,$B152,stops!$L$2:$L$151,"declined")+COUNTIFS(stops!$A$2:$A$151,$H152,stops!$B$2:$B$151,$B152,stops!$L$2:$L$151,"building_refused")+COUNTIFS(stops!$A$2:$A$151,$H152,stops!$B$2:$B$151,$B152,stops!$L$2:$L$151,"not_delivered"))&gt;0,N($U152)=0),"N","Y"))))</f>
        <v/>
      </c>
      <c r="R152" s="25">
        <f>IF($A152="","",IF(COUNTIFS($A$2:$A$251,$A152,$B$2:$B$251,$B152)&gt;1,"DUPLICATE ROW; ","")&amp;IF(AND(IFERROR(IF(INDEX(offices!$AC$2:$AC$61,MATCH($B152,offices!$A$2:$A$61,0))="","",INDEX(offices!$AC$2:$AC$61,MATCH($B152,offices!$A$2:$A$61,0))),"")&lt;&gt;"",ISNUMBER(SEARCH($J152,IFERROR(IF(INDEX(offices!$AC$2:$AC$61,MATCH($B152,offices!$A$2:$A$61,0))="","",INDEX(offices!$AC$2:$AC$61,MATCH($B152,offices!$A$2:$A$61,0))),"")))),"BRAND VETOED; ","")&amp;IF(ISNUMBER(SEARCH(IFERROR(IF(INDEX(campaigns!$BF$2:$BF$51,MATCH($A152,campaigns!$A$2:$A$51,0))="","",INDEX(campaigns!$BF$2:$BF$51,MATCH($A152,campaigns!$A$2:$A$51,0))),""),IFERROR(IF(INDEX(offices!$AB$2:$AB$61,MATCH($B152,offices!$A$2:$A$61,0))="","",INDEX(offices!$AB$2:$AB$61,MATCH($B152,offices!$A$2:$A$61,0))),""))),"","info: category not on the office's list; ")&amp;IF(IFERROR(IF(INDEX(offices!$AC$2:$AC$61,MATCH($B152,offices!$A$2:$A$61,0))="","",INDEX(offices!$AC$2:$AC$61,MATCH($B152,offices!$A$2:$A$61,0))),"")&lt;&gt;"","info: read the vetoes against the label; ",""))</f>
        <v/>
      </c>
      <c r="S152" s="25">
        <f>IF($A152="","",IF($G152&lt;&gt;"",$G152,IFERROR(IF(INDEX(offices!$AL$2:$AL$61,MATCH($B152,offices!$A$2:$A$61,0))="","",INDEX(offices!$AL$2:$AL$61,MATCH($B152,offices!$A$2:$A$61,0))),"")))</f>
        <v/>
      </c>
      <c r="T152" s="25">
        <f>IF($A152="","",$A152&amp;"."&amp;$B152)</f>
        <v/>
      </c>
      <c r="U152" s="25">
        <f>IF($A152="","",SUMIFS(inventory!$G$2:$G$801,inventory!$C$2:$C$801,$A152,inventory!$D$2:$D$801,$B152,inventory!$E$2:$E$801,"delivered"))</f>
        <v/>
      </c>
      <c r="V152" s="32">
        <f>IF($A152="","",IFERROR(1/(1/SUMPRODUCT(MAX((inventory!$C$2:$C$801=$A152)*(inventory!$D$2:$D$801=$B152)*(inventory!$E$2:$E$801="delivered")*(inventory!$A$2:$A$801+inventory!$B$2:$B$801)))),""))</f>
        <v/>
      </c>
      <c r="W152" s="25">
        <f>IF($A152="","",IFERROR(IF(INDEX(inventory!$J$2:$J$801,MATCH($A152&amp;"|"&amp;$B152&amp;"|delivered",inventory!$R$2:$R$801,0))="","",INDEX(inventory!$J$2:$J$801,MATCH($A152&amp;"|"&amp;$B152&amp;"|delivered",inventory!$R$2:$R$801,0))),""))</f>
        <v/>
      </c>
      <c r="X152" s="25">
        <f>IF($A152="","",IFERROR(IF(INDEX(photos!$H$2:$H$701,MATCH($A152&amp;"|"&amp;$B152&amp;"|placement|Y",photos!$R$2:$R$701,0))="","",INDEX(photos!$H$2:$H$701,MATCH($A152&amp;"|"&amp;$B152&amp;"|placement|Y",photos!$R$2:$R$701,0))),""))</f>
        <v/>
      </c>
      <c r="Y152" s="26">
        <f>IF($A152="","",IFERROR(IF(INDEX(photos!$E$2:$E$701,MATCH($A152&amp;"|"&amp;$B152&amp;"|placement|Y",photos!$R$2:$R$701,0))="","",INDEX(photos!$E$2:$E$701,MATCH($A152&amp;"|"&amp;$B152&amp;"|placement|Y",photos!$R$2:$R$701,0))),""))</f>
        <v/>
      </c>
      <c r="Z152" s="25">
        <f>IF($A152="","",IF(COUNTIFS(counts!$C$2:$C$701,$A152,counts!$D$2:$D$701,$B152,counts!$E$2:$E$701,"placed")=0,"",SUMIFS(counts!$F$2:$F$701,counts!$C$2:$C$701,$A152,counts!$D$2:$D$701,$B152,counts!$E$2:$E$701,"placed")))</f>
        <v/>
      </c>
      <c r="AA152" s="25">
        <f>IF($A152="","",IF($Y152="",0,N($Z152)))</f>
        <v/>
      </c>
      <c r="AB152" s="25">
        <f>IF($A152="","",IF(OR($Y152="",$I152=""),"N",IF($Y152&lt;=WORKDAY(N($I152),1,calendar!$A$2:$A$80),"Y","N")))</f>
        <v/>
      </c>
      <c r="AC152" s="28">
        <f>IF(OR($A152="",$V152="",$Y152=""),"",ROUND(($Y152+N(IFERROR(IF(INDEX(photos!$F$2:$F$701,MATCH($A152&amp;"|"&amp;$B152&amp;"|placement|Y",photos!$R$2:$R$701,0))="","",INDEX(photos!$F$2:$F$701,MATCH($A152&amp;"|"&amp;$B152&amp;"|placement|Y",photos!$R$2:$R$701,0))),""))-$V152)*24,1))</f>
        <v/>
      </c>
      <c r="AD152" s="25">
        <f>IF($A152="","",SUMIFS(inventory!$G$2:$G$801,inventory!$C$2:$C$801,$A152,inventory!$D$2:$D$801,$B152,inventory!$E$2:$E$801,"topped_up"))</f>
        <v/>
      </c>
      <c r="AE152" s="25">
        <f>IF($A152="","",IF(COUNTIFS(counts!$C$2:$C$701,$A152,counts!$D$2:$D$701,$B152,counts!$E$2:$E$701,"remaining_day3")=0,"",SUMIFS(counts!$F$2:$F$701,counts!$C$2:$C$701,$A152,counts!$D$2:$D$701,$B152,counts!$E$2:$E$701,"remaining_day3")))</f>
        <v/>
      </c>
      <c r="AF152" s="25">
        <f>IF($A152="","",IF(COUNTIFS(counts!$C$2:$C$701,$A152,counts!$D$2:$D$701,$B152,counts!$E$2:$E$701,"remaining_day5")=0,"",SUMIFS(counts!$F$2:$F$701,counts!$C$2:$C$701,$A152,counts!$D$2:$D$701,$B152,counts!$E$2:$E$701,"remaining_day5")))</f>
        <v/>
      </c>
      <c r="AG152" s="25">
        <f>IF(OR($A152="",$AF152=""),"",MAX(0,$AA152+$AD152-$AF152))</f>
        <v/>
      </c>
      <c r="AH152" s="25">
        <f>IF(OR($A152="",$AI152=""),"",IFERROR(IF(INDEX(photos!$H$2:$H$701,MATCH($A152&amp;"|"&amp;$B152&amp;"|later|Y|"&amp;$AI152,photos!$S$2:$S$701,0))="","",INDEX(photos!$H$2:$H$701,MATCH($A152&amp;"|"&amp;$B152&amp;"|later|Y|"&amp;$AI152,photos!$S$2:$S$701,0))),""))</f>
        <v/>
      </c>
      <c r="AI152" s="26">
        <f>IF($A152="","",IFERROR(1/(1/SUMPRODUCT(MAX((photos!$B$2:$B$701=$A152)*(photos!$C$2:$C$701=$B152)*(photos!$D$2:$D$701="later")*(photos!$O$2:$O$701="Y")*photos!$E$2:$E$701))),""))</f>
        <v/>
      </c>
      <c r="AJ152" s="25">
        <f>IF(OR($A152="",$AI152="",$I152=""),"",NETWORKDAYS($I152,$AI152,calendar!$A$2:$A$80))</f>
        <v/>
      </c>
      <c r="AK152" s="25">
        <f>IF($A152="","",IF(AND($X152&lt;&gt;"",$AH152&lt;&gt;""),"Y","N"))</f>
        <v/>
      </c>
      <c r="AL152" s="25">
        <f>IF(OR($A152="",$I152=""),"",IF($BC152="Y",SUMIFS(survey_frozen!$C$2:$C$251,survey_frozen!$P$2:$P$251,$A152&amp;"|"&amp;$B152),IFERROR(COUNTIFS(INDIRECT("'"&amp;$A152&amp;"'!$B$2:$B$501"),$T152,INDIRECT("'"&amp;$A152&amp;"'!$A$2:$A$501"),"&gt;="&amp;$I152,INDIRECT("'"&amp;$A152&amp;"'!$A$2:$A$501"),"&lt;"&amp;($BA152+1)),0)))</f>
        <v/>
      </c>
      <c r="AM152" s="25">
        <f>IF(OR($A152="",$I152=""),"",IF($BC152="Y",SUMIFS(survey_frozen!$D$2:$D$251,survey_frozen!$P$2:$P$251,$A152&amp;"|"&amp;$B152),IFERROR(COUNTIFS(INDIRECT("'"&amp;$A152&amp;"'!$B$2:$B$501"),$T152,INDIRECT("'"&amp;$A152&amp;"'!$A$2:$A$501"),"&gt;="&amp;$I152,INDIRECT("'"&amp;$A152&amp;"'!$A$2:$A$501"),"&lt;"&amp;($BA152+1),INDIRECT("'"&amp;$A152&amp;"'!$C$2:$C$501"),"Yes"),0)))</f>
        <v/>
      </c>
      <c r="AN152" s="25">
        <f>IF($A152="","",IF(COUNTIFS(scans!$C$2:$C$1601,(IF(LEFT($A152,7)="SAMPLE-","SAMPLE-","")&amp;LOWER(SUBSTITUTE(SUBSTITUTE($A152,"SAMPLE-",""),"CMP-","c"))&amp;"-"&amp;LOWER(SUBSTITUTE(SUBSTITUTE($B152,"SAMPLE-",""),"O-","o"))&amp;"-q"),scans!$D$2:$D$1601,"close")=0,"",SUMPRODUCT(MAX((scans!$C$2:$C$1601=(IF(LEFT($A152,7)="SAMPLE-","SAMPLE-","")&amp;LOWER(SUBSTITUTE(SUBSTITUTE($A152,"SAMPLE-",""),"CMP-","c"))&amp;"-"&amp;LOWER(SUBSTITUTE(SUBSTITUTE($B152,"SAMPLE-",""),"O-","o"))&amp;"-q"))*(scans!$D$2:$D$1601="close")*scans!$E$2:$E$1601))-SUMPRODUCT(MAX((scans!$C$2:$C$1601=(IF(LEFT($A152,7)="SAMPLE-","SAMPLE-","")&amp;LOWER(SUBSTITUTE(SUBSTITUTE($A152,"SAMPLE-",""),"CMP-","c"))&amp;"-"&amp;LOWER(SUBSTITUTE(SUBSTITUTE($B152,"SAMPLE-",""),"O-","o"))&amp;"-q"))*(scans!$D$2:$D$1601="baseline")*scans!$E$2:$E$1601))))</f>
        <v/>
      </c>
      <c r="AO152" s="25">
        <f>IF($A152="","",IF(COUNTIFS(scans!$C$2:$C$1601,(IF(LEFT($A152,7)="SAMPLE-","SAMPLE-","")&amp;LOWER(SUBSTITUTE(SUBSTITUTE($A152,"SAMPLE-",""),"CMP-","c"))&amp;"-"&amp;LOWER(SUBSTITUTE(SUBSTITUTE($B152,"SAMPLE-",""),"O-","o"))&amp;"-p"),scans!$D$2:$D$1601,"close")=0,"",SUMPRODUCT(MAX((scans!$C$2:$C$1601=(IF(LEFT($A152,7)="SAMPLE-","SAMPLE-","")&amp;LOWER(SUBSTITUTE(SUBSTITUTE($A152,"SAMPLE-",""),"CMP-","c"))&amp;"-"&amp;LOWER(SUBSTITUTE(SUBSTITUTE($B152,"SAMPLE-",""),"O-","o"))&amp;"-p"))*(scans!$D$2:$D$1601="close")*scans!$E$2:$E$1601))-SUMPRODUCT(MAX((scans!$C$2:$C$1601=(IF(LEFT($A152,7)="SAMPLE-","SAMPLE-","")&amp;LOWER(SUBSTITUTE(SUBSTITUTE($A152,"SAMPLE-",""),"CMP-","c"))&amp;"-"&amp;LOWER(SUBSTITUTE(SUBSTITUTE($B152,"SAMPLE-",""),"O-","o"))&amp;"-p"))*(scans!$D$2:$D$1601="baseline")*scans!$E$2:$E$1601))))</f>
        <v/>
      </c>
      <c r="AP152" s="25">
        <f>IF($A152="","",IF(COUNTIF(offices!$A$2:$A$61,$B152)=0,"office_id not on offices; ","")&amp;IF(COUNTIF(campaigns!$A$2:$A$51,$A152)=0,"campaign_id not on campaigns; ","")&amp;IF($P152="pending","approval pending; ","")&amp;IF(AND($U152&gt;0,$Y152="",OR($I152="",IF(config!$B$37&lt;&gt;"",config!$B$37,TODAY())&lt;=WORKDAY(N($I152),4,calendar!$A$2:$A$80))),"no usable placement photo yet; ","")&amp;IF(AND($Y152&lt;&gt;"",$Z152=""),"log the placed count; ","")&amp;IF(N($AA152)&gt;N($U152),"placed more than delivered; ","")&amp;IF(AND($AF152&lt;&gt;"",N($AF152)&gt;N($AA152)+N($AD152)),"day-5 count above placed plus top-ups; ","")&amp;IF(AND($U152&gt;0,$I152&lt;&gt;"",IF(config!$B$37&lt;&gt;"",config!$B$37,TODAY())&gt;WORKDAY(N($I152),4,calendar!$A$2:$A$80),$AF152=""),"day-5 count missing; ","")&amp;IF(AND($U152&gt;0,$I152&lt;&gt;"",IF(config!$B$37&lt;&gt;"",config!$B$37,TODAY())&gt;WORKDAY(N($I152),4,calendar!$A$2:$A$80),$AN152=""),"no close link reading; ","")&amp;$R152&amp;IF($P152="N","info: office said no; ","")&amp;IF(AND($P152="Y",$Q152="N"),"info: turned away at the door, so not on the drop (no letter, not in the report or Gate 2; the credit check is on campaigns); ","")&amp;IF(AND($U152&gt;0,$Y152="",$I152&lt;&gt;"",IF(config!$B$37&lt;&gt;"",config!$B$37,TODAY())&gt;WORKDAY(N($I152),4,calendar!$A$2:$A$80)),"info: no usable placement photo, so nothing counts as placed; ","")&amp;IF(AND($U152&gt;0,$I152&lt;&gt;"",IF(config!$B$37&lt;&gt;"",config!$B$37,TODAY())&gt;WORKDAY(N($I152),4,calendar!$A$2:$A$80),N($AL152)&lt;config!$B$30),"info: under "&amp;config!$B$30&amp;" responses; ","")&amp;IF($W152="packing_list","info: delivered count not verified; ",""))</f>
        <v/>
      </c>
      <c r="AQ152" s="25">
        <f>IF(OR($A152="",$I152=""),"",IF($BC152="Y",SUMIFS(survey_frozen!$E$2:$E$251,survey_frozen!$P$2:$P$251,$A152&amp;"|"&amp;$B152),IFERROR(COUNTIFS(INDIRECT("'"&amp;$A152&amp;"'!$B$2:$B$501"),$T152,INDIRECT("'"&amp;$A152&amp;"'!$A$2:$A$501"),"&gt;="&amp;$I152,INDIRECT("'"&amp;$A152&amp;"'!$A$2:$A$501"),"&lt;"&amp;($BA152+1),INDIRECT("'"&amp;$A152&amp;"'!$F$2:$F$501"),"Didn't see it"),0)))</f>
        <v/>
      </c>
      <c r="AR152" s="25">
        <f>IF(OR($A152="",$I152=""),"",IF($BC152="Y",SUMIFS(survey_frozen!$F$2:$F$251,survey_frozen!$P$2:$P$251,$A152&amp;"|"&amp;$B152),IFERROR(COUNTIFS(INDIRECT("'"&amp;$A152&amp;"'!$B$2:$B$501"),$T152,INDIRECT("'"&amp;$A152&amp;"'!$A$2:$A$501"),"&gt;="&amp;$I152,INDIRECT("'"&amp;$A152&amp;"'!$A$2:$A$501"),"&lt;"&amp;($BA152+1),INDIRECT("'"&amp;$A152&amp;"'!$F$2:$F$501"),"Not for me"),0)))</f>
        <v/>
      </c>
      <c r="AS152" s="25">
        <f>IF(OR($A152="",$I152=""),"",IF($BC152="Y",SUMIFS(survey_frozen!$G$2:$G$251,survey_frozen!$P$2:$P$251,$A152&amp;"|"&amp;$B152),IFERROR(COUNTIFS(INDIRECT("'"&amp;$A152&amp;"'!$B$2:$B$501"),$T152,INDIRECT("'"&amp;$A152&amp;"'!$A$2:$A$501"),"&gt;="&amp;$I152,INDIRECT("'"&amp;$A152&amp;"'!$A$2:$A$501"),"&lt;"&amp;($BA152+1),INDIRECT("'"&amp;$A152&amp;"'!$F$2:$F$501"),"Gone by the time I looked"),0)))</f>
        <v/>
      </c>
      <c r="AT152" s="25">
        <f>IF(OR($A152="",$I152=""),"",IF($BC152="Y",SUMIFS(survey_frozen!$H$2:$H$251,survey_frozen!$P$2:$P$251,$A152&amp;"|"&amp;$B152),IFERROR(COUNTIFS(INDIRECT("'"&amp;$A152&amp;"'!$B$2:$B$501"),$T152,INDIRECT("'"&amp;$A152&amp;"'!$A$2:$A$501"),"&gt;="&amp;$I152,INDIRECT("'"&amp;$A152&amp;"'!$A$2:$A$501"),"&lt;"&amp;($BA152+1),INDIRECT("'"&amp;$A152&amp;"'!$D$2:$D$501"),"&gt;=1"),0)))</f>
        <v/>
      </c>
      <c r="AU152" s="25">
        <f>IF(OR($A152="",$I152=""),"",IF($BC152="Y",SUMIFS(survey_frozen!$I$2:$I$251,survey_frozen!$P$2:$P$251,$A152&amp;"|"&amp;$B152),IFERROR(SUMIFS(INDIRECT("'"&amp;$A152&amp;"'!$D$2:$D$501"),INDIRECT("'"&amp;$A152&amp;"'!$B$2:$B$501"),$T152,INDIRECT("'"&amp;$A152&amp;"'!$A$2:$A$501"),"&gt;="&amp;$I152,INDIRECT("'"&amp;$A152&amp;"'!$A$2:$A$501"),"&lt;"&amp;($BA152+1)),0)))</f>
        <v/>
      </c>
      <c r="AV152" s="25">
        <f>IF(OR($A152="",$I152=""),"",IF($BC152="Y",SUMIFS(survey_frozen!$J$2:$J$251,survey_frozen!$P$2:$P$251,$A152&amp;"|"&amp;$B152),IFERROR(COUNTIFS(INDIRECT("'"&amp;$A152&amp;"'!$B$2:$B$501"),$T152,INDIRECT("'"&amp;$A152&amp;"'!$A$2:$A$501"),"&gt;="&amp;$I152,INDIRECT("'"&amp;$A152&amp;"'!$A$2:$A$501"),"&lt;"&amp;($BA152+1),INDIRECT("'"&amp;$A152&amp;"'!$E$2:$E$501"),"Yes"),0)))</f>
        <v/>
      </c>
      <c r="AW152" s="25">
        <f>IF(OR($A152="",$I152=""),"",IF($BC152="Y",SUMIFS(survey_frozen!$K$2:$K$251,survey_frozen!$P$2:$P$251,$A152&amp;"|"&amp;$B152),IFERROR(COUNTIFS(INDIRECT("'"&amp;$A152&amp;"'!$B$2:$B$501"),$T152,INDIRECT("'"&amp;$A152&amp;"'!$A$2:$A$501"),"&gt;="&amp;$I152,INDIRECT("'"&amp;$A152&amp;"'!$A$2:$A$501"),"&lt;"&amp;($BA152+1),INDIRECT("'"&amp;$A152&amp;"'!$E$2:$E$501"),"Maybe"),0)))</f>
        <v/>
      </c>
      <c r="AX152" s="25">
        <f>IF(OR($A152="",$I152=""),"",IF($BC152="Y",SUMIFS(survey_frozen!$L$2:$L$251,survey_frozen!$P$2:$P$251,$A152&amp;"|"&amp;$B152),IFERROR(COUNTIFS(INDIRECT("'"&amp;$A152&amp;"'!$B$2:$B$501"),$T152,INDIRECT("'"&amp;$A152&amp;"'!$A$2:$A$501"),"&gt;="&amp;$I152,INDIRECT("'"&amp;$A152&amp;"'!$A$2:$A$501"),"&lt;"&amp;($BA152+1),INDIRECT("'"&amp;$A152&amp;"'!$E$2:$E$501"),"No"),0)))</f>
        <v/>
      </c>
      <c r="AY152" s="25">
        <f>IF(OR($A152="",$I152=""),"",IF($BC152="Y",SUMIFS(survey_frozen!$M$2:$M$251,survey_frozen!$P$2:$P$251,$A152&amp;"|"&amp;$B152),IFERROR(COUNTIFS(INDIRECT("'"&amp;$A152&amp;"'!$B$2:$B$501"),$T152,INDIRECT("'"&amp;$A152&amp;"'!$A$2:$A$501"),"&gt;="&amp;$I152,INDIRECT("'"&amp;$A152&amp;"'!$A$2:$A$501"),"&lt;"&amp;($BA152+1),INDIRECT("'"&amp;$A152&amp;"'!$G$2:$G$501"),"&lt;&gt;"),0)))</f>
        <v/>
      </c>
      <c r="AZ152" s="25">
        <f>IF($A152="","",$A152&amp;"|"&amp;$L152)</f>
        <v/>
      </c>
      <c r="BA152" s="26">
        <f>IF($A152="","",IFERROR(IF(INDEX(drops!$R$2:$R$21,MATCH($H152,drops!$A$2:$A$21,0))="","",INDEX(drops!$R$2:$R$21,MATCH($H152,drops!$A$2:$A$21,0))),""))</f>
        <v/>
      </c>
      <c r="BB152" s="25">
        <f>IF(OR($A152="",$Q152&lt;&gt;"Y"),1000000,N($AL152))</f>
        <v/>
      </c>
      <c r="BC152" s="25">
        <f>IF($A152="","",IF(COUNTIF(survey_frozen!$P$2:$P$251,$A152&amp;"|"&amp;$B152)&gt;0,"Y",""))</f>
        <v/>
      </c>
    </row>
    <row r="153">
      <c r="C153" s="9" t="n"/>
      <c r="E153" s="9" t="n"/>
      <c r="H153" s="25">
        <f>IF($A153="","",IFERROR(IF(INDEX(campaigns!$B$2:$B$51,MATCH($A153,campaigns!$A$2:$A$51,0))="","",INDEX(campaigns!$B$2:$B$51,MATCH($A153,campaigns!$A$2:$A$51,0))),""))</f>
        <v/>
      </c>
      <c r="I153" s="26">
        <f>IF($A153="","",IFERROR(IF(INDEX(campaigns!$BG$2:$BG$51,MATCH($A153,campaigns!$A$2:$A$51,0))="","",INDEX(campaigns!$BG$2:$BG$51,MATCH($A153,campaigns!$A$2:$A$51,0))),""))</f>
        <v/>
      </c>
      <c r="J153" s="25">
        <f>IF($A153="","",IFERROR(IF(INDEX(campaigns!$BE$2:$BE$51,MATCH($A153,campaigns!$A$2:$A$51,0))="","",INDEX(campaigns!$BE$2:$BE$51,MATCH($A153,campaigns!$A$2:$A$51,0))),""))</f>
        <v/>
      </c>
      <c r="K153" s="25">
        <f>IF($B153="","",IFERROR(IF(INDEX(offices!$N$2:$N$61,MATCH($B153,offices!$A$2:$A$61,0))="","",INDEX(offices!$N$2:$N$61,MATCH($B153,offices!$A$2:$A$61,0))),""))</f>
        <v/>
      </c>
      <c r="L153" s="25">
        <f>IF($A153="","",IF($Q153="N","",COUNTIFS($A$2:$A153,$A153,$Q$2:$Q153,"&lt;&gt;N")))</f>
        <v/>
      </c>
      <c r="M153" s="25">
        <f>IF(OR($A153="",$L153=""),"",IF(AND(config!$B$34="names_if_public",IFERROR(IF(INDEX(offices!$AF$2:$AF$61,MATCH($B153,offices!$A$2:$A$61,0))="","",INDEX(offices!$AF$2:$AF$61,MATCH($B153,offices!$A$2:$A$61,0))),"")="Y"),$K153,CHAR(64+$L153)))</f>
        <v/>
      </c>
      <c r="N153" s="25">
        <f>IF(OR($A153="",$I153=""),"",COUNTIFS(stops!$B$2:$B$151,$B153,stops!$P$2:$P$151,"&lt;"&amp;$I153,stops!$L$2:$L$151,"&lt;&gt;not_delivered")+1)</f>
        <v/>
      </c>
      <c r="O153" s="25">
        <f>IF($A153="","",IF(N($N153)&lt;=config!$B$29,"explicit","opt-out"))</f>
        <v/>
      </c>
      <c r="P153" s="25">
        <f>IF($A153="","",IF($O153="explicit",IF($D153="yes","Y",IF($D153="no","N","pending")),IF($D153="no","N",IF(AND($C153&lt;&gt;"",$I153&lt;&gt;"",$C153&lt;=WORKDAY(N($I153),-5,calendar!$A$2:$A$80)),"Y","pending"))))</f>
        <v/>
      </c>
      <c r="Q153" s="25">
        <f>IF($A153="","",IF($P153="N","N",IF($P153&lt;&gt;"Y","pending",IF(AND((COUNTIFS(stops!$A$2:$A$151,$H153,stops!$B$2:$B$151,$B153,stops!$L$2:$L$151,"declined")+COUNTIFS(stops!$A$2:$A$151,$H153,stops!$B$2:$B$151,$B153,stops!$L$2:$L$151,"building_refused")+COUNTIFS(stops!$A$2:$A$151,$H153,stops!$B$2:$B$151,$B153,stops!$L$2:$L$151,"not_delivered"))&gt;0,N($U153)=0),"N","Y"))))</f>
        <v/>
      </c>
      <c r="R153" s="25">
        <f>IF($A153="","",IF(COUNTIFS($A$2:$A$251,$A153,$B$2:$B$251,$B153)&gt;1,"DUPLICATE ROW; ","")&amp;IF(AND(IFERROR(IF(INDEX(offices!$AC$2:$AC$61,MATCH($B153,offices!$A$2:$A$61,0))="","",INDEX(offices!$AC$2:$AC$61,MATCH($B153,offices!$A$2:$A$61,0))),"")&lt;&gt;"",ISNUMBER(SEARCH($J153,IFERROR(IF(INDEX(offices!$AC$2:$AC$61,MATCH($B153,offices!$A$2:$A$61,0))="","",INDEX(offices!$AC$2:$AC$61,MATCH($B153,offices!$A$2:$A$61,0))),"")))),"BRAND VETOED; ","")&amp;IF(ISNUMBER(SEARCH(IFERROR(IF(INDEX(campaigns!$BF$2:$BF$51,MATCH($A153,campaigns!$A$2:$A$51,0))="","",INDEX(campaigns!$BF$2:$BF$51,MATCH($A153,campaigns!$A$2:$A$51,0))),""),IFERROR(IF(INDEX(offices!$AB$2:$AB$61,MATCH($B153,offices!$A$2:$A$61,0))="","",INDEX(offices!$AB$2:$AB$61,MATCH($B153,offices!$A$2:$A$61,0))),""))),"","info: category not on the office's list; ")&amp;IF(IFERROR(IF(INDEX(offices!$AC$2:$AC$61,MATCH($B153,offices!$A$2:$A$61,0))="","",INDEX(offices!$AC$2:$AC$61,MATCH($B153,offices!$A$2:$A$61,0))),"")&lt;&gt;"","info: read the vetoes against the label; ",""))</f>
        <v/>
      </c>
      <c r="S153" s="25">
        <f>IF($A153="","",IF($G153&lt;&gt;"",$G153,IFERROR(IF(INDEX(offices!$AL$2:$AL$61,MATCH($B153,offices!$A$2:$A$61,0))="","",INDEX(offices!$AL$2:$AL$61,MATCH($B153,offices!$A$2:$A$61,0))),"")))</f>
        <v/>
      </c>
      <c r="T153" s="25">
        <f>IF($A153="","",$A153&amp;"."&amp;$B153)</f>
        <v/>
      </c>
      <c r="U153" s="25">
        <f>IF($A153="","",SUMIFS(inventory!$G$2:$G$801,inventory!$C$2:$C$801,$A153,inventory!$D$2:$D$801,$B153,inventory!$E$2:$E$801,"delivered"))</f>
        <v/>
      </c>
      <c r="V153" s="32">
        <f>IF($A153="","",IFERROR(1/(1/SUMPRODUCT(MAX((inventory!$C$2:$C$801=$A153)*(inventory!$D$2:$D$801=$B153)*(inventory!$E$2:$E$801="delivered")*(inventory!$A$2:$A$801+inventory!$B$2:$B$801)))),""))</f>
        <v/>
      </c>
      <c r="W153" s="25">
        <f>IF($A153="","",IFERROR(IF(INDEX(inventory!$J$2:$J$801,MATCH($A153&amp;"|"&amp;$B153&amp;"|delivered",inventory!$R$2:$R$801,0))="","",INDEX(inventory!$J$2:$J$801,MATCH($A153&amp;"|"&amp;$B153&amp;"|delivered",inventory!$R$2:$R$801,0))),""))</f>
        <v/>
      </c>
      <c r="X153" s="25">
        <f>IF($A153="","",IFERROR(IF(INDEX(photos!$H$2:$H$701,MATCH($A153&amp;"|"&amp;$B153&amp;"|placement|Y",photos!$R$2:$R$701,0))="","",INDEX(photos!$H$2:$H$701,MATCH($A153&amp;"|"&amp;$B153&amp;"|placement|Y",photos!$R$2:$R$701,0))),""))</f>
        <v/>
      </c>
      <c r="Y153" s="26">
        <f>IF($A153="","",IFERROR(IF(INDEX(photos!$E$2:$E$701,MATCH($A153&amp;"|"&amp;$B153&amp;"|placement|Y",photos!$R$2:$R$701,0))="","",INDEX(photos!$E$2:$E$701,MATCH($A153&amp;"|"&amp;$B153&amp;"|placement|Y",photos!$R$2:$R$701,0))),""))</f>
        <v/>
      </c>
      <c r="Z153" s="25">
        <f>IF($A153="","",IF(COUNTIFS(counts!$C$2:$C$701,$A153,counts!$D$2:$D$701,$B153,counts!$E$2:$E$701,"placed")=0,"",SUMIFS(counts!$F$2:$F$701,counts!$C$2:$C$701,$A153,counts!$D$2:$D$701,$B153,counts!$E$2:$E$701,"placed")))</f>
        <v/>
      </c>
      <c r="AA153" s="25">
        <f>IF($A153="","",IF($Y153="",0,N($Z153)))</f>
        <v/>
      </c>
      <c r="AB153" s="25">
        <f>IF($A153="","",IF(OR($Y153="",$I153=""),"N",IF($Y153&lt;=WORKDAY(N($I153),1,calendar!$A$2:$A$80),"Y","N")))</f>
        <v/>
      </c>
      <c r="AC153" s="28">
        <f>IF(OR($A153="",$V153="",$Y153=""),"",ROUND(($Y153+N(IFERROR(IF(INDEX(photos!$F$2:$F$701,MATCH($A153&amp;"|"&amp;$B153&amp;"|placement|Y",photos!$R$2:$R$701,0))="","",INDEX(photos!$F$2:$F$701,MATCH($A153&amp;"|"&amp;$B153&amp;"|placement|Y",photos!$R$2:$R$701,0))),""))-$V153)*24,1))</f>
        <v/>
      </c>
      <c r="AD153" s="25">
        <f>IF($A153="","",SUMIFS(inventory!$G$2:$G$801,inventory!$C$2:$C$801,$A153,inventory!$D$2:$D$801,$B153,inventory!$E$2:$E$801,"topped_up"))</f>
        <v/>
      </c>
      <c r="AE153" s="25">
        <f>IF($A153="","",IF(COUNTIFS(counts!$C$2:$C$701,$A153,counts!$D$2:$D$701,$B153,counts!$E$2:$E$701,"remaining_day3")=0,"",SUMIFS(counts!$F$2:$F$701,counts!$C$2:$C$701,$A153,counts!$D$2:$D$701,$B153,counts!$E$2:$E$701,"remaining_day3")))</f>
        <v/>
      </c>
      <c r="AF153" s="25">
        <f>IF($A153="","",IF(COUNTIFS(counts!$C$2:$C$701,$A153,counts!$D$2:$D$701,$B153,counts!$E$2:$E$701,"remaining_day5")=0,"",SUMIFS(counts!$F$2:$F$701,counts!$C$2:$C$701,$A153,counts!$D$2:$D$701,$B153,counts!$E$2:$E$701,"remaining_day5")))</f>
        <v/>
      </c>
      <c r="AG153" s="25">
        <f>IF(OR($A153="",$AF153=""),"",MAX(0,$AA153+$AD153-$AF153))</f>
        <v/>
      </c>
      <c r="AH153" s="25">
        <f>IF(OR($A153="",$AI153=""),"",IFERROR(IF(INDEX(photos!$H$2:$H$701,MATCH($A153&amp;"|"&amp;$B153&amp;"|later|Y|"&amp;$AI153,photos!$S$2:$S$701,0))="","",INDEX(photos!$H$2:$H$701,MATCH($A153&amp;"|"&amp;$B153&amp;"|later|Y|"&amp;$AI153,photos!$S$2:$S$701,0))),""))</f>
        <v/>
      </c>
      <c r="AI153" s="26">
        <f>IF($A153="","",IFERROR(1/(1/SUMPRODUCT(MAX((photos!$B$2:$B$701=$A153)*(photos!$C$2:$C$701=$B153)*(photos!$D$2:$D$701="later")*(photos!$O$2:$O$701="Y")*photos!$E$2:$E$701))),""))</f>
        <v/>
      </c>
      <c r="AJ153" s="25">
        <f>IF(OR($A153="",$AI153="",$I153=""),"",NETWORKDAYS($I153,$AI153,calendar!$A$2:$A$80))</f>
        <v/>
      </c>
      <c r="AK153" s="25">
        <f>IF($A153="","",IF(AND($X153&lt;&gt;"",$AH153&lt;&gt;""),"Y","N"))</f>
        <v/>
      </c>
      <c r="AL153" s="25">
        <f>IF(OR($A153="",$I153=""),"",IF($BC153="Y",SUMIFS(survey_frozen!$C$2:$C$251,survey_frozen!$P$2:$P$251,$A153&amp;"|"&amp;$B153),IFERROR(COUNTIFS(INDIRECT("'"&amp;$A153&amp;"'!$B$2:$B$501"),$T153,INDIRECT("'"&amp;$A153&amp;"'!$A$2:$A$501"),"&gt;="&amp;$I153,INDIRECT("'"&amp;$A153&amp;"'!$A$2:$A$501"),"&lt;"&amp;($BA153+1)),0)))</f>
        <v/>
      </c>
      <c r="AM153" s="25">
        <f>IF(OR($A153="",$I153=""),"",IF($BC153="Y",SUMIFS(survey_frozen!$D$2:$D$251,survey_frozen!$P$2:$P$251,$A153&amp;"|"&amp;$B153),IFERROR(COUNTIFS(INDIRECT("'"&amp;$A153&amp;"'!$B$2:$B$501"),$T153,INDIRECT("'"&amp;$A153&amp;"'!$A$2:$A$501"),"&gt;="&amp;$I153,INDIRECT("'"&amp;$A153&amp;"'!$A$2:$A$501"),"&lt;"&amp;($BA153+1),INDIRECT("'"&amp;$A153&amp;"'!$C$2:$C$501"),"Yes"),0)))</f>
        <v/>
      </c>
      <c r="AN153" s="25">
        <f>IF($A153="","",IF(COUNTIFS(scans!$C$2:$C$1601,(IF(LEFT($A153,7)="SAMPLE-","SAMPLE-","")&amp;LOWER(SUBSTITUTE(SUBSTITUTE($A153,"SAMPLE-",""),"CMP-","c"))&amp;"-"&amp;LOWER(SUBSTITUTE(SUBSTITUTE($B153,"SAMPLE-",""),"O-","o"))&amp;"-q"),scans!$D$2:$D$1601,"close")=0,"",SUMPRODUCT(MAX((scans!$C$2:$C$1601=(IF(LEFT($A153,7)="SAMPLE-","SAMPLE-","")&amp;LOWER(SUBSTITUTE(SUBSTITUTE($A153,"SAMPLE-",""),"CMP-","c"))&amp;"-"&amp;LOWER(SUBSTITUTE(SUBSTITUTE($B153,"SAMPLE-",""),"O-","o"))&amp;"-q"))*(scans!$D$2:$D$1601="close")*scans!$E$2:$E$1601))-SUMPRODUCT(MAX((scans!$C$2:$C$1601=(IF(LEFT($A153,7)="SAMPLE-","SAMPLE-","")&amp;LOWER(SUBSTITUTE(SUBSTITUTE($A153,"SAMPLE-",""),"CMP-","c"))&amp;"-"&amp;LOWER(SUBSTITUTE(SUBSTITUTE($B153,"SAMPLE-",""),"O-","o"))&amp;"-q"))*(scans!$D$2:$D$1601="baseline")*scans!$E$2:$E$1601))))</f>
        <v/>
      </c>
      <c r="AO153" s="25">
        <f>IF($A153="","",IF(COUNTIFS(scans!$C$2:$C$1601,(IF(LEFT($A153,7)="SAMPLE-","SAMPLE-","")&amp;LOWER(SUBSTITUTE(SUBSTITUTE($A153,"SAMPLE-",""),"CMP-","c"))&amp;"-"&amp;LOWER(SUBSTITUTE(SUBSTITUTE($B153,"SAMPLE-",""),"O-","o"))&amp;"-p"),scans!$D$2:$D$1601,"close")=0,"",SUMPRODUCT(MAX((scans!$C$2:$C$1601=(IF(LEFT($A153,7)="SAMPLE-","SAMPLE-","")&amp;LOWER(SUBSTITUTE(SUBSTITUTE($A153,"SAMPLE-",""),"CMP-","c"))&amp;"-"&amp;LOWER(SUBSTITUTE(SUBSTITUTE($B153,"SAMPLE-",""),"O-","o"))&amp;"-p"))*(scans!$D$2:$D$1601="close")*scans!$E$2:$E$1601))-SUMPRODUCT(MAX((scans!$C$2:$C$1601=(IF(LEFT($A153,7)="SAMPLE-","SAMPLE-","")&amp;LOWER(SUBSTITUTE(SUBSTITUTE($A153,"SAMPLE-",""),"CMP-","c"))&amp;"-"&amp;LOWER(SUBSTITUTE(SUBSTITUTE($B153,"SAMPLE-",""),"O-","o"))&amp;"-p"))*(scans!$D$2:$D$1601="baseline")*scans!$E$2:$E$1601))))</f>
        <v/>
      </c>
      <c r="AP153" s="25">
        <f>IF($A153="","",IF(COUNTIF(offices!$A$2:$A$61,$B153)=0,"office_id not on offices; ","")&amp;IF(COUNTIF(campaigns!$A$2:$A$51,$A153)=0,"campaign_id not on campaigns; ","")&amp;IF($P153="pending","approval pending; ","")&amp;IF(AND($U153&gt;0,$Y153="",OR($I153="",IF(config!$B$37&lt;&gt;"",config!$B$37,TODAY())&lt;=WORKDAY(N($I153),4,calendar!$A$2:$A$80))),"no usable placement photo yet; ","")&amp;IF(AND($Y153&lt;&gt;"",$Z153=""),"log the placed count; ","")&amp;IF(N($AA153)&gt;N($U153),"placed more than delivered; ","")&amp;IF(AND($AF153&lt;&gt;"",N($AF153)&gt;N($AA153)+N($AD153)),"day-5 count above placed plus top-ups; ","")&amp;IF(AND($U153&gt;0,$I153&lt;&gt;"",IF(config!$B$37&lt;&gt;"",config!$B$37,TODAY())&gt;WORKDAY(N($I153),4,calendar!$A$2:$A$80),$AF153=""),"day-5 count missing; ","")&amp;IF(AND($U153&gt;0,$I153&lt;&gt;"",IF(config!$B$37&lt;&gt;"",config!$B$37,TODAY())&gt;WORKDAY(N($I153),4,calendar!$A$2:$A$80),$AN153=""),"no close link reading; ","")&amp;$R153&amp;IF($P153="N","info: office said no; ","")&amp;IF(AND($P153="Y",$Q153="N"),"info: turned away at the door, so not on the drop (no letter, not in the report or Gate 2; the credit check is on campaigns); ","")&amp;IF(AND($U153&gt;0,$Y153="",$I153&lt;&gt;"",IF(config!$B$37&lt;&gt;"",config!$B$37,TODAY())&gt;WORKDAY(N($I153),4,calendar!$A$2:$A$80)),"info: no usable placement photo, so nothing counts as placed; ","")&amp;IF(AND($U153&gt;0,$I153&lt;&gt;"",IF(config!$B$37&lt;&gt;"",config!$B$37,TODAY())&gt;WORKDAY(N($I153),4,calendar!$A$2:$A$80),N($AL153)&lt;config!$B$30),"info: under "&amp;config!$B$30&amp;" responses; ","")&amp;IF($W153="packing_list","info: delivered count not verified; ",""))</f>
        <v/>
      </c>
      <c r="AQ153" s="25">
        <f>IF(OR($A153="",$I153=""),"",IF($BC153="Y",SUMIFS(survey_frozen!$E$2:$E$251,survey_frozen!$P$2:$P$251,$A153&amp;"|"&amp;$B153),IFERROR(COUNTIFS(INDIRECT("'"&amp;$A153&amp;"'!$B$2:$B$501"),$T153,INDIRECT("'"&amp;$A153&amp;"'!$A$2:$A$501"),"&gt;="&amp;$I153,INDIRECT("'"&amp;$A153&amp;"'!$A$2:$A$501"),"&lt;"&amp;($BA153+1),INDIRECT("'"&amp;$A153&amp;"'!$F$2:$F$501"),"Didn't see it"),0)))</f>
        <v/>
      </c>
      <c r="AR153" s="25">
        <f>IF(OR($A153="",$I153=""),"",IF($BC153="Y",SUMIFS(survey_frozen!$F$2:$F$251,survey_frozen!$P$2:$P$251,$A153&amp;"|"&amp;$B153),IFERROR(COUNTIFS(INDIRECT("'"&amp;$A153&amp;"'!$B$2:$B$501"),$T153,INDIRECT("'"&amp;$A153&amp;"'!$A$2:$A$501"),"&gt;="&amp;$I153,INDIRECT("'"&amp;$A153&amp;"'!$A$2:$A$501"),"&lt;"&amp;($BA153+1),INDIRECT("'"&amp;$A153&amp;"'!$F$2:$F$501"),"Not for me"),0)))</f>
        <v/>
      </c>
      <c r="AS153" s="25">
        <f>IF(OR($A153="",$I153=""),"",IF($BC153="Y",SUMIFS(survey_frozen!$G$2:$G$251,survey_frozen!$P$2:$P$251,$A153&amp;"|"&amp;$B153),IFERROR(COUNTIFS(INDIRECT("'"&amp;$A153&amp;"'!$B$2:$B$501"),$T153,INDIRECT("'"&amp;$A153&amp;"'!$A$2:$A$501"),"&gt;="&amp;$I153,INDIRECT("'"&amp;$A153&amp;"'!$A$2:$A$501"),"&lt;"&amp;($BA153+1),INDIRECT("'"&amp;$A153&amp;"'!$F$2:$F$501"),"Gone by the time I looked"),0)))</f>
        <v/>
      </c>
      <c r="AT153" s="25">
        <f>IF(OR($A153="",$I153=""),"",IF($BC153="Y",SUMIFS(survey_frozen!$H$2:$H$251,survey_frozen!$P$2:$P$251,$A153&amp;"|"&amp;$B153),IFERROR(COUNTIFS(INDIRECT("'"&amp;$A153&amp;"'!$B$2:$B$501"),$T153,INDIRECT("'"&amp;$A153&amp;"'!$A$2:$A$501"),"&gt;="&amp;$I153,INDIRECT("'"&amp;$A153&amp;"'!$A$2:$A$501"),"&lt;"&amp;($BA153+1),INDIRECT("'"&amp;$A153&amp;"'!$D$2:$D$501"),"&gt;=1"),0)))</f>
        <v/>
      </c>
      <c r="AU153" s="25">
        <f>IF(OR($A153="",$I153=""),"",IF($BC153="Y",SUMIFS(survey_frozen!$I$2:$I$251,survey_frozen!$P$2:$P$251,$A153&amp;"|"&amp;$B153),IFERROR(SUMIFS(INDIRECT("'"&amp;$A153&amp;"'!$D$2:$D$501"),INDIRECT("'"&amp;$A153&amp;"'!$B$2:$B$501"),$T153,INDIRECT("'"&amp;$A153&amp;"'!$A$2:$A$501"),"&gt;="&amp;$I153,INDIRECT("'"&amp;$A153&amp;"'!$A$2:$A$501"),"&lt;"&amp;($BA153+1)),0)))</f>
        <v/>
      </c>
      <c r="AV153" s="25">
        <f>IF(OR($A153="",$I153=""),"",IF($BC153="Y",SUMIFS(survey_frozen!$J$2:$J$251,survey_frozen!$P$2:$P$251,$A153&amp;"|"&amp;$B153),IFERROR(COUNTIFS(INDIRECT("'"&amp;$A153&amp;"'!$B$2:$B$501"),$T153,INDIRECT("'"&amp;$A153&amp;"'!$A$2:$A$501"),"&gt;="&amp;$I153,INDIRECT("'"&amp;$A153&amp;"'!$A$2:$A$501"),"&lt;"&amp;($BA153+1),INDIRECT("'"&amp;$A153&amp;"'!$E$2:$E$501"),"Yes"),0)))</f>
        <v/>
      </c>
      <c r="AW153" s="25">
        <f>IF(OR($A153="",$I153=""),"",IF($BC153="Y",SUMIFS(survey_frozen!$K$2:$K$251,survey_frozen!$P$2:$P$251,$A153&amp;"|"&amp;$B153),IFERROR(COUNTIFS(INDIRECT("'"&amp;$A153&amp;"'!$B$2:$B$501"),$T153,INDIRECT("'"&amp;$A153&amp;"'!$A$2:$A$501"),"&gt;="&amp;$I153,INDIRECT("'"&amp;$A153&amp;"'!$A$2:$A$501"),"&lt;"&amp;($BA153+1),INDIRECT("'"&amp;$A153&amp;"'!$E$2:$E$501"),"Maybe"),0)))</f>
        <v/>
      </c>
      <c r="AX153" s="25">
        <f>IF(OR($A153="",$I153=""),"",IF($BC153="Y",SUMIFS(survey_frozen!$L$2:$L$251,survey_frozen!$P$2:$P$251,$A153&amp;"|"&amp;$B153),IFERROR(COUNTIFS(INDIRECT("'"&amp;$A153&amp;"'!$B$2:$B$501"),$T153,INDIRECT("'"&amp;$A153&amp;"'!$A$2:$A$501"),"&gt;="&amp;$I153,INDIRECT("'"&amp;$A153&amp;"'!$A$2:$A$501"),"&lt;"&amp;($BA153+1),INDIRECT("'"&amp;$A153&amp;"'!$E$2:$E$501"),"No"),0)))</f>
        <v/>
      </c>
      <c r="AY153" s="25">
        <f>IF(OR($A153="",$I153=""),"",IF($BC153="Y",SUMIFS(survey_frozen!$M$2:$M$251,survey_frozen!$P$2:$P$251,$A153&amp;"|"&amp;$B153),IFERROR(COUNTIFS(INDIRECT("'"&amp;$A153&amp;"'!$B$2:$B$501"),$T153,INDIRECT("'"&amp;$A153&amp;"'!$A$2:$A$501"),"&gt;="&amp;$I153,INDIRECT("'"&amp;$A153&amp;"'!$A$2:$A$501"),"&lt;"&amp;($BA153+1),INDIRECT("'"&amp;$A153&amp;"'!$G$2:$G$501"),"&lt;&gt;"),0)))</f>
        <v/>
      </c>
      <c r="AZ153" s="25">
        <f>IF($A153="","",$A153&amp;"|"&amp;$L153)</f>
        <v/>
      </c>
      <c r="BA153" s="26">
        <f>IF($A153="","",IFERROR(IF(INDEX(drops!$R$2:$R$21,MATCH($H153,drops!$A$2:$A$21,0))="","",INDEX(drops!$R$2:$R$21,MATCH($H153,drops!$A$2:$A$21,0))),""))</f>
        <v/>
      </c>
      <c r="BB153" s="25">
        <f>IF(OR($A153="",$Q153&lt;&gt;"Y"),1000000,N($AL153))</f>
        <v/>
      </c>
      <c r="BC153" s="25">
        <f>IF($A153="","",IF(COUNTIF(survey_frozen!$P$2:$P$251,$A153&amp;"|"&amp;$B153)&gt;0,"Y",""))</f>
        <v/>
      </c>
    </row>
    <row r="154">
      <c r="C154" s="9" t="n"/>
      <c r="E154" s="9" t="n"/>
      <c r="H154" s="25">
        <f>IF($A154="","",IFERROR(IF(INDEX(campaigns!$B$2:$B$51,MATCH($A154,campaigns!$A$2:$A$51,0))="","",INDEX(campaigns!$B$2:$B$51,MATCH($A154,campaigns!$A$2:$A$51,0))),""))</f>
        <v/>
      </c>
      <c r="I154" s="26">
        <f>IF($A154="","",IFERROR(IF(INDEX(campaigns!$BG$2:$BG$51,MATCH($A154,campaigns!$A$2:$A$51,0))="","",INDEX(campaigns!$BG$2:$BG$51,MATCH($A154,campaigns!$A$2:$A$51,0))),""))</f>
        <v/>
      </c>
      <c r="J154" s="25">
        <f>IF($A154="","",IFERROR(IF(INDEX(campaigns!$BE$2:$BE$51,MATCH($A154,campaigns!$A$2:$A$51,0))="","",INDEX(campaigns!$BE$2:$BE$51,MATCH($A154,campaigns!$A$2:$A$51,0))),""))</f>
        <v/>
      </c>
      <c r="K154" s="25">
        <f>IF($B154="","",IFERROR(IF(INDEX(offices!$N$2:$N$61,MATCH($B154,offices!$A$2:$A$61,0))="","",INDEX(offices!$N$2:$N$61,MATCH($B154,offices!$A$2:$A$61,0))),""))</f>
        <v/>
      </c>
      <c r="L154" s="25">
        <f>IF($A154="","",IF($Q154="N","",COUNTIFS($A$2:$A154,$A154,$Q$2:$Q154,"&lt;&gt;N")))</f>
        <v/>
      </c>
      <c r="M154" s="25">
        <f>IF(OR($A154="",$L154=""),"",IF(AND(config!$B$34="names_if_public",IFERROR(IF(INDEX(offices!$AF$2:$AF$61,MATCH($B154,offices!$A$2:$A$61,0))="","",INDEX(offices!$AF$2:$AF$61,MATCH($B154,offices!$A$2:$A$61,0))),"")="Y"),$K154,CHAR(64+$L154)))</f>
        <v/>
      </c>
      <c r="N154" s="25">
        <f>IF(OR($A154="",$I154=""),"",COUNTIFS(stops!$B$2:$B$151,$B154,stops!$P$2:$P$151,"&lt;"&amp;$I154,stops!$L$2:$L$151,"&lt;&gt;not_delivered")+1)</f>
        <v/>
      </c>
      <c r="O154" s="25">
        <f>IF($A154="","",IF(N($N154)&lt;=config!$B$29,"explicit","opt-out"))</f>
        <v/>
      </c>
      <c r="P154" s="25">
        <f>IF($A154="","",IF($O154="explicit",IF($D154="yes","Y",IF($D154="no","N","pending")),IF($D154="no","N",IF(AND($C154&lt;&gt;"",$I154&lt;&gt;"",$C154&lt;=WORKDAY(N($I154),-5,calendar!$A$2:$A$80)),"Y","pending"))))</f>
        <v/>
      </c>
      <c r="Q154" s="25">
        <f>IF($A154="","",IF($P154="N","N",IF($P154&lt;&gt;"Y","pending",IF(AND((COUNTIFS(stops!$A$2:$A$151,$H154,stops!$B$2:$B$151,$B154,stops!$L$2:$L$151,"declined")+COUNTIFS(stops!$A$2:$A$151,$H154,stops!$B$2:$B$151,$B154,stops!$L$2:$L$151,"building_refused")+COUNTIFS(stops!$A$2:$A$151,$H154,stops!$B$2:$B$151,$B154,stops!$L$2:$L$151,"not_delivered"))&gt;0,N($U154)=0),"N","Y"))))</f>
        <v/>
      </c>
      <c r="R154" s="25">
        <f>IF($A154="","",IF(COUNTIFS($A$2:$A$251,$A154,$B$2:$B$251,$B154)&gt;1,"DUPLICATE ROW; ","")&amp;IF(AND(IFERROR(IF(INDEX(offices!$AC$2:$AC$61,MATCH($B154,offices!$A$2:$A$61,0))="","",INDEX(offices!$AC$2:$AC$61,MATCH($B154,offices!$A$2:$A$61,0))),"")&lt;&gt;"",ISNUMBER(SEARCH($J154,IFERROR(IF(INDEX(offices!$AC$2:$AC$61,MATCH($B154,offices!$A$2:$A$61,0))="","",INDEX(offices!$AC$2:$AC$61,MATCH($B154,offices!$A$2:$A$61,0))),"")))),"BRAND VETOED; ","")&amp;IF(ISNUMBER(SEARCH(IFERROR(IF(INDEX(campaigns!$BF$2:$BF$51,MATCH($A154,campaigns!$A$2:$A$51,0))="","",INDEX(campaigns!$BF$2:$BF$51,MATCH($A154,campaigns!$A$2:$A$51,0))),""),IFERROR(IF(INDEX(offices!$AB$2:$AB$61,MATCH($B154,offices!$A$2:$A$61,0))="","",INDEX(offices!$AB$2:$AB$61,MATCH($B154,offices!$A$2:$A$61,0))),""))),"","info: category not on the office's list; ")&amp;IF(IFERROR(IF(INDEX(offices!$AC$2:$AC$61,MATCH($B154,offices!$A$2:$A$61,0))="","",INDEX(offices!$AC$2:$AC$61,MATCH($B154,offices!$A$2:$A$61,0))),"")&lt;&gt;"","info: read the vetoes against the label; ",""))</f>
        <v/>
      </c>
      <c r="S154" s="25">
        <f>IF($A154="","",IF($G154&lt;&gt;"",$G154,IFERROR(IF(INDEX(offices!$AL$2:$AL$61,MATCH($B154,offices!$A$2:$A$61,0))="","",INDEX(offices!$AL$2:$AL$61,MATCH($B154,offices!$A$2:$A$61,0))),"")))</f>
        <v/>
      </c>
      <c r="T154" s="25">
        <f>IF($A154="","",$A154&amp;"."&amp;$B154)</f>
        <v/>
      </c>
      <c r="U154" s="25">
        <f>IF($A154="","",SUMIFS(inventory!$G$2:$G$801,inventory!$C$2:$C$801,$A154,inventory!$D$2:$D$801,$B154,inventory!$E$2:$E$801,"delivered"))</f>
        <v/>
      </c>
      <c r="V154" s="32">
        <f>IF($A154="","",IFERROR(1/(1/SUMPRODUCT(MAX((inventory!$C$2:$C$801=$A154)*(inventory!$D$2:$D$801=$B154)*(inventory!$E$2:$E$801="delivered")*(inventory!$A$2:$A$801+inventory!$B$2:$B$801)))),""))</f>
        <v/>
      </c>
      <c r="W154" s="25">
        <f>IF($A154="","",IFERROR(IF(INDEX(inventory!$J$2:$J$801,MATCH($A154&amp;"|"&amp;$B154&amp;"|delivered",inventory!$R$2:$R$801,0))="","",INDEX(inventory!$J$2:$J$801,MATCH($A154&amp;"|"&amp;$B154&amp;"|delivered",inventory!$R$2:$R$801,0))),""))</f>
        <v/>
      </c>
      <c r="X154" s="25">
        <f>IF($A154="","",IFERROR(IF(INDEX(photos!$H$2:$H$701,MATCH($A154&amp;"|"&amp;$B154&amp;"|placement|Y",photos!$R$2:$R$701,0))="","",INDEX(photos!$H$2:$H$701,MATCH($A154&amp;"|"&amp;$B154&amp;"|placement|Y",photos!$R$2:$R$701,0))),""))</f>
        <v/>
      </c>
      <c r="Y154" s="26">
        <f>IF($A154="","",IFERROR(IF(INDEX(photos!$E$2:$E$701,MATCH($A154&amp;"|"&amp;$B154&amp;"|placement|Y",photos!$R$2:$R$701,0))="","",INDEX(photos!$E$2:$E$701,MATCH($A154&amp;"|"&amp;$B154&amp;"|placement|Y",photos!$R$2:$R$701,0))),""))</f>
        <v/>
      </c>
      <c r="Z154" s="25">
        <f>IF($A154="","",IF(COUNTIFS(counts!$C$2:$C$701,$A154,counts!$D$2:$D$701,$B154,counts!$E$2:$E$701,"placed")=0,"",SUMIFS(counts!$F$2:$F$701,counts!$C$2:$C$701,$A154,counts!$D$2:$D$701,$B154,counts!$E$2:$E$701,"placed")))</f>
        <v/>
      </c>
      <c r="AA154" s="25">
        <f>IF($A154="","",IF($Y154="",0,N($Z154)))</f>
        <v/>
      </c>
      <c r="AB154" s="25">
        <f>IF($A154="","",IF(OR($Y154="",$I154=""),"N",IF($Y154&lt;=WORKDAY(N($I154),1,calendar!$A$2:$A$80),"Y","N")))</f>
        <v/>
      </c>
      <c r="AC154" s="28">
        <f>IF(OR($A154="",$V154="",$Y154=""),"",ROUND(($Y154+N(IFERROR(IF(INDEX(photos!$F$2:$F$701,MATCH($A154&amp;"|"&amp;$B154&amp;"|placement|Y",photos!$R$2:$R$701,0))="","",INDEX(photos!$F$2:$F$701,MATCH($A154&amp;"|"&amp;$B154&amp;"|placement|Y",photos!$R$2:$R$701,0))),""))-$V154)*24,1))</f>
        <v/>
      </c>
      <c r="AD154" s="25">
        <f>IF($A154="","",SUMIFS(inventory!$G$2:$G$801,inventory!$C$2:$C$801,$A154,inventory!$D$2:$D$801,$B154,inventory!$E$2:$E$801,"topped_up"))</f>
        <v/>
      </c>
      <c r="AE154" s="25">
        <f>IF($A154="","",IF(COUNTIFS(counts!$C$2:$C$701,$A154,counts!$D$2:$D$701,$B154,counts!$E$2:$E$701,"remaining_day3")=0,"",SUMIFS(counts!$F$2:$F$701,counts!$C$2:$C$701,$A154,counts!$D$2:$D$701,$B154,counts!$E$2:$E$701,"remaining_day3")))</f>
        <v/>
      </c>
      <c r="AF154" s="25">
        <f>IF($A154="","",IF(COUNTIFS(counts!$C$2:$C$701,$A154,counts!$D$2:$D$701,$B154,counts!$E$2:$E$701,"remaining_day5")=0,"",SUMIFS(counts!$F$2:$F$701,counts!$C$2:$C$701,$A154,counts!$D$2:$D$701,$B154,counts!$E$2:$E$701,"remaining_day5")))</f>
        <v/>
      </c>
      <c r="AG154" s="25">
        <f>IF(OR($A154="",$AF154=""),"",MAX(0,$AA154+$AD154-$AF154))</f>
        <v/>
      </c>
      <c r="AH154" s="25">
        <f>IF(OR($A154="",$AI154=""),"",IFERROR(IF(INDEX(photos!$H$2:$H$701,MATCH($A154&amp;"|"&amp;$B154&amp;"|later|Y|"&amp;$AI154,photos!$S$2:$S$701,0))="","",INDEX(photos!$H$2:$H$701,MATCH($A154&amp;"|"&amp;$B154&amp;"|later|Y|"&amp;$AI154,photos!$S$2:$S$701,0))),""))</f>
        <v/>
      </c>
      <c r="AI154" s="26">
        <f>IF($A154="","",IFERROR(1/(1/SUMPRODUCT(MAX((photos!$B$2:$B$701=$A154)*(photos!$C$2:$C$701=$B154)*(photos!$D$2:$D$701="later")*(photos!$O$2:$O$701="Y")*photos!$E$2:$E$701))),""))</f>
        <v/>
      </c>
      <c r="AJ154" s="25">
        <f>IF(OR($A154="",$AI154="",$I154=""),"",NETWORKDAYS($I154,$AI154,calendar!$A$2:$A$80))</f>
        <v/>
      </c>
      <c r="AK154" s="25">
        <f>IF($A154="","",IF(AND($X154&lt;&gt;"",$AH154&lt;&gt;""),"Y","N"))</f>
        <v/>
      </c>
      <c r="AL154" s="25">
        <f>IF(OR($A154="",$I154=""),"",IF($BC154="Y",SUMIFS(survey_frozen!$C$2:$C$251,survey_frozen!$P$2:$P$251,$A154&amp;"|"&amp;$B154),IFERROR(COUNTIFS(INDIRECT("'"&amp;$A154&amp;"'!$B$2:$B$501"),$T154,INDIRECT("'"&amp;$A154&amp;"'!$A$2:$A$501"),"&gt;="&amp;$I154,INDIRECT("'"&amp;$A154&amp;"'!$A$2:$A$501"),"&lt;"&amp;($BA154+1)),0)))</f>
        <v/>
      </c>
      <c r="AM154" s="25">
        <f>IF(OR($A154="",$I154=""),"",IF($BC154="Y",SUMIFS(survey_frozen!$D$2:$D$251,survey_frozen!$P$2:$P$251,$A154&amp;"|"&amp;$B154),IFERROR(COUNTIFS(INDIRECT("'"&amp;$A154&amp;"'!$B$2:$B$501"),$T154,INDIRECT("'"&amp;$A154&amp;"'!$A$2:$A$501"),"&gt;="&amp;$I154,INDIRECT("'"&amp;$A154&amp;"'!$A$2:$A$501"),"&lt;"&amp;($BA154+1),INDIRECT("'"&amp;$A154&amp;"'!$C$2:$C$501"),"Yes"),0)))</f>
        <v/>
      </c>
      <c r="AN154" s="25">
        <f>IF($A154="","",IF(COUNTIFS(scans!$C$2:$C$1601,(IF(LEFT($A154,7)="SAMPLE-","SAMPLE-","")&amp;LOWER(SUBSTITUTE(SUBSTITUTE($A154,"SAMPLE-",""),"CMP-","c"))&amp;"-"&amp;LOWER(SUBSTITUTE(SUBSTITUTE($B154,"SAMPLE-",""),"O-","o"))&amp;"-q"),scans!$D$2:$D$1601,"close")=0,"",SUMPRODUCT(MAX((scans!$C$2:$C$1601=(IF(LEFT($A154,7)="SAMPLE-","SAMPLE-","")&amp;LOWER(SUBSTITUTE(SUBSTITUTE($A154,"SAMPLE-",""),"CMP-","c"))&amp;"-"&amp;LOWER(SUBSTITUTE(SUBSTITUTE($B154,"SAMPLE-",""),"O-","o"))&amp;"-q"))*(scans!$D$2:$D$1601="close")*scans!$E$2:$E$1601))-SUMPRODUCT(MAX((scans!$C$2:$C$1601=(IF(LEFT($A154,7)="SAMPLE-","SAMPLE-","")&amp;LOWER(SUBSTITUTE(SUBSTITUTE($A154,"SAMPLE-",""),"CMP-","c"))&amp;"-"&amp;LOWER(SUBSTITUTE(SUBSTITUTE($B154,"SAMPLE-",""),"O-","o"))&amp;"-q"))*(scans!$D$2:$D$1601="baseline")*scans!$E$2:$E$1601))))</f>
        <v/>
      </c>
      <c r="AO154" s="25">
        <f>IF($A154="","",IF(COUNTIFS(scans!$C$2:$C$1601,(IF(LEFT($A154,7)="SAMPLE-","SAMPLE-","")&amp;LOWER(SUBSTITUTE(SUBSTITUTE($A154,"SAMPLE-",""),"CMP-","c"))&amp;"-"&amp;LOWER(SUBSTITUTE(SUBSTITUTE($B154,"SAMPLE-",""),"O-","o"))&amp;"-p"),scans!$D$2:$D$1601,"close")=0,"",SUMPRODUCT(MAX((scans!$C$2:$C$1601=(IF(LEFT($A154,7)="SAMPLE-","SAMPLE-","")&amp;LOWER(SUBSTITUTE(SUBSTITUTE($A154,"SAMPLE-",""),"CMP-","c"))&amp;"-"&amp;LOWER(SUBSTITUTE(SUBSTITUTE($B154,"SAMPLE-",""),"O-","o"))&amp;"-p"))*(scans!$D$2:$D$1601="close")*scans!$E$2:$E$1601))-SUMPRODUCT(MAX((scans!$C$2:$C$1601=(IF(LEFT($A154,7)="SAMPLE-","SAMPLE-","")&amp;LOWER(SUBSTITUTE(SUBSTITUTE($A154,"SAMPLE-",""),"CMP-","c"))&amp;"-"&amp;LOWER(SUBSTITUTE(SUBSTITUTE($B154,"SAMPLE-",""),"O-","o"))&amp;"-p"))*(scans!$D$2:$D$1601="baseline")*scans!$E$2:$E$1601))))</f>
        <v/>
      </c>
      <c r="AP154" s="25">
        <f>IF($A154="","",IF(COUNTIF(offices!$A$2:$A$61,$B154)=0,"office_id not on offices; ","")&amp;IF(COUNTIF(campaigns!$A$2:$A$51,$A154)=0,"campaign_id not on campaigns; ","")&amp;IF($P154="pending","approval pending; ","")&amp;IF(AND($U154&gt;0,$Y154="",OR($I154="",IF(config!$B$37&lt;&gt;"",config!$B$37,TODAY())&lt;=WORKDAY(N($I154),4,calendar!$A$2:$A$80))),"no usable placement photo yet; ","")&amp;IF(AND($Y154&lt;&gt;"",$Z154=""),"log the placed count; ","")&amp;IF(N($AA154)&gt;N($U154),"placed more than delivered; ","")&amp;IF(AND($AF154&lt;&gt;"",N($AF154)&gt;N($AA154)+N($AD154)),"day-5 count above placed plus top-ups; ","")&amp;IF(AND($U154&gt;0,$I154&lt;&gt;"",IF(config!$B$37&lt;&gt;"",config!$B$37,TODAY())&gt;WORKDAY(N($I154),4,calendar!$A$2:$A$80),$AF154=""),"day-5 count missing; ","")&amp;IF(AND($U154&gt;0,$I154&lt;&gt;"",IF(config!$B$37&lt;&gt;"",config!$B$37,TODAY())&gt;WORKDAY(N($I154),4,calendar!$A$2:$A$80),$AN154=""),"no close link reading; ","")&amp;$R154&amp;IF($P154="N","info: office said no; ","")&amp;IF(AND($P154="Y",$Q154="N"),"info: turned away at the door, so not on the drop (no letter, not in the report or Gate 2; the credit check is on campaigns); ","")&amp;IF(AND($U154&gt;0,$Y154="",$I154&lt;&gt;"",IF(config!$B$37&lt;&gt;"",config!$B$37,TODAY())&gt;WORKDAY(N($I154),4,calendar!$A$2:$A$80)),"info: no usable placement photo, so nothing counts as placed; ","")&amp;IF(AND($U154&gt;0,$I154&lt;&gt;"",IF(config!$B$37&lt;&gt;"",config!$B$37,TODAY())&gt;WORKDAY(N($I154),4,calendar!$A$2:$A$80),N($AL154)&lt;config!$B$30),"info: under "&amp;config!$B$30&amp;" responses; ","")&amp;IF($W154="packing_list","info: delivered count not verified; ",""))</f>
        <v/>
      </c>
      <c r="AQ154" s="25">
        <f>IF(OR($A154="",$I154=""),"",IF($BC154="Y",SUMIFS(survey_frozen!$E$2:$E$251,survey_frozen!$P$2:$P$251,$A154&amp;"|"&amp;$B154),IFERROR(COUNTIFS(INDIRECT("'"&amp;$A154&amp;"'!$B$2:$B$501"),$T154,INDIRECT("'"&amp;$A154&amp;"'!$A$2:$A$501"),"&gt;="&amp;$I154,INDIRECT("'"&amp;$A154&amp;"'!$A$2:$A$501"),"&lt;"&amp;($BA154+1),INDIRECT("'"&amp;$A154&amp;"'!$F$2:$F$501"),"Didn't see it"),0)))</f>
        <v/>
      </c>
      <c r="AR154" s="25">
        <f>IF(OR($A154="",$I154=""),"",IF($BC154="Y",SUMIFS(survey_frozen!$F$2:$F$251,survey_frozen!$P$2:$P$251,$A154&amp;"|"&amp;$B154),IFERROR(COUNTIFS(INDIRECT("'"&amp;$A154&amp;"'!$B$2:$B$501"),$T154,INDIRECT("'"&amp;$A154&amp;"'!$A$2:$A$501"),"&gt;="&amp;$I154,INDIRECT("'"&amp;$A154&amp;"'!$A$2:$A$501"),"&lt;"&amp;($BA154+1),INDIRECT("'"&amp;$A154&amp;"'!$F$2:$F$501"),"Not for me"),0)))</f>
        <v/>
      </c>
      <c r="AS154" s="25">
        <f>IF(OR($A154="",$I154=""),"",IF($BC154="Y",SUMIFS(survey_frozen!$G$2:$G$251,survey_frozen!$P$2:$P$251,$A154&amp;"|"&amp;$B154),IFERROR(COUNTIFS(INDIRECT("'"&amp;$A154&amp;"'!$B$2:$B$501"),$T154,INDIRECT("'"&amp;$A154&amp;"'!$A$2:$A$501"),"&gt;="&amp;$I154,INDIRECT("'"&amp;$A154&amp;"'!$A$2:$A$501"),"&lt;"&amp;($BA154+1),INDIRECT("'"&amp;$A154&amp;"'!$F$2:$F$501"),"Gone by the time I looked"),0)))</f>
        <v/>
      </c>
      <c r="AT154" s="25">
        <f>IF(OR($A154="",$I154=""),"",IF($BC154="Y",SUMIFS(survey_frozen!$H$2:$H$251,survey_frozen!$P$2:$P$251,$A154&amp;"|"&amp;$B154),IFERROR(COUNTIFS(INDIRECT("'"&amp;$A154&amp;"'!$B$2:$B$501"),$T154,INDIRECT("'"&amp;$A154&amp;"'!$A$2:$A$501"),"&gt;="&amp;$I154,INDIRECT("'"&amp;$A154&amp;"'!$A$2:$A$501"),"&lt;"&amp;($BA154+1),INDIRECT("'"&amp;$A154&amp;"'!$D$2:$D$501"),"&gt;=1"),0)))</f>
        <v/>
      </c>
      <c r="AU154" s="25">
        <f>IF(OR($A154="",$I154=""),"",IF($BC154="Y",SUMIFS(survey_frozen!$I$2:$I$251,survey_frozen!$P$2:$P$251,$A154&amp;"|"&amp;$B154),IFERROR(SUMIFS(INDIRECT("'"&amp;$A154&amp;"'!$D$2:$D$501"),INDIRECT("'"&amp;$A154&amp;"'!$B$2:$B$501"),$T154,INDIRECT("'"&amp;$A154&amp;"'!$A$2:$A$501"),"&gt;="&amp;$I154,INDIRECT("'"&amp;$A154&amp;"'!$A$2:$A$501"),"&lt;"&amp;($BA154+1)),0)))</f>
        <v/>
      </c>
      <c r="AV154" s="25">
        <f>IF(OR($A154="",$I154=""),"",IF($BC154="Y",SUMIFS(survey_frozen!$J$2:$J$251,survey_frozen!$P$2:$P$251,$A154&amp;"|"&amp;$B154),IFERROR(COUNTIFS(INDIRECT("'"&amp;$A154&amp;"'!$B$2:$B$501"),$T154,INDIRECT("'"&amp;$A154&amp;"'!$A$2:$A$501"),"&gt;="&amp;$I154,INDIRECT("'"&amp;$A154&amp;"'!$A$2:$A$501"),"&lt;"&amp;($BA154+1),INDIRECT("'"&amp;$A154&amp;"'!$E$2:$E$501"),"Yes"),0)))</f>
        <v/>
      </c>
      <c r="AW154" s="25">
        <f>IF(OR($A154="",$I154=""),"",IF($BC154="Y",SUMIFS(survey_frozen!$K$2:$K$251,survey_frozen!$P$2:$P$251,$A154&amp;"|"&amp;$B154),IFERROR(COUNTIFS(INDIRECT("'"&amp;$A154&amp;"'!$B$2:$B$501"),$T154,INDIRECT("'"&amp;$A154&amp;"'!$A$2:$A$501"),"&gt;="&amp;$I154,INDIRECT("'"&amp;$A154&amp;"'!$A$2:$A$501"),"&lt;"&amp;($BA154+1),INDIRECT("'"&amp;$A154&amp;"'!$E$2:$E$501"),"Maybe"),0)))</f>
        <v/>
      </c>
      <c r="AX154" s="25">
        <f>IF(OR($A154="",$I154=""),"",IF($BC154="Y",SUMIFS(survey_frozen!$L$2:$L$251,survey_frozen!$P$2:$P$251,$A154&amp;"|"&amp;$B154),IFERROR(COUNTIFS(INDIRECT("'"&amp;$A154&amp;"'!$B$2:$B$501"),$T154,INDIRECT("'"&amp;$A154&amp;"'!$A$2:$A$501"),"&gt;="&amp;$I154,INDIRECT("'"&amp;$A154&amp;"'!$A$2:$A$501"),"&lt;"&amp;($BA154+1),INDIRECT("'"&amp;$A154&amp;"'!$E$2:$E$501"),"No"),0)))</f>
        <v/>
      </c>
      <c r="AY154" s="25">
        <f>IF(OR($A154="",$I154=""),"",IF($BC154="Y",SUMIFS(survey_frozen!$M$2:$M$251,survey_frozen!$P$2:$P$251,$A154&amp;"|"&amp;$B154),IFERROR(COUNTIFS(INDIRECT("'"&amp;$A154&amp;"'!$B$2:$B$501"),$T154,INDIRECT("'"&amp;$A154&amp;"'!$A$2:$A$501"),"&gt;="&amp;$I154,INDIRECT("'"&amp;$A154&amp;"'!$A$2:$A$501"),"&lt;"&amp;($BA154+1),INDIRECT("'"&amp;$A154&amp;"'!$G$2:$G$501"),"&lt;&gt;"),0)))</f>
        <v/>
      </c>
      <c r="AZ154" s="25">
        <f>IF($A154="","",$A154&amp;"|"&amp;$L154)</f>
        <v/>
      </c>
      <c r="BA154" s="26">
        <f>IF($A154="","",IFERROR(IF(INDEX(drops!$R$2:$R$21,MATCH($H154,drops!$A$2:$A$21,0))="","",INDEX(drops!$R$2:$R$21,MATCH($H154,drops!$A$2:$A$21,0))),""))</f>
        <v/>
      </c>
      <c r="BB154" s="25">
        <f>IF(OR($A154="",$Q154&lt;&gt;"Y"),1000000,N($AL154))</f>
        <v/>
      </c>
      <c r="BC154" s="25">
        <f>IF($A154="","",IF(COUNTIF(survey_frozen!$P$2:$P$251,$A154&amp;"|"&amp;$B154)&gt;0,"Y",""))</f>
        <v/>
      </c>
    </row>
    <row r="155">
      <c r="C155" s="9" t="n"/>
      <c r="E155" s="9" t="n"/>
      <c r="H155" s="25">
        <f>IF($A155="","",IFERROR(IF(INDEX(campaigns!$B$2:$B$51,MATCH($A155,campaigns!$A$2:$A$51,0))="","",INDEX(campaigns!$B$2:$B$51,MATCH($A155,campaigns!$A$2:$A$51,0))),""))</f>
        <v/>
      </c>
      <c r="I155" s="26">
        <f>IF($A155="","",IFERROR(IF(INDEX(campaigns!$BG$2:$BG$51,MATCH($A155,campaigns!$A$2:$A$51,0))="","",INDEX(campaigns!$BG$2:$BG$51,MATCH($A155,campaigns!$A$2:$A$51,0))),""))</f>
        <v/>
      </c>
      <c r="J155" s="25">
        <f>IF($A155="","",IFERROR(IF(INDEX(campaigns!$BE$2:$BE$51,MATCH($A155,campaigns!$A$2:$A$51,0))="","",INDEX(campaigns!$BE$2:$BE$51,MATCH($A155,campaigns!$A$2:$A$51,0))),""))</f>
        <v/>
      </c>
      <c r="K155" s="25">
        <f>IF($B155="","",IFERROR(IF(INDEX(offices!$N$2:$N$61,MATCH($B155,offices!$A$2:$A$61,0))="","",INDEX(offices!$N$2:$N$61,MATCH($B155,offices!$A$2:$A$61,0))),""))</f>
        <v/>
      </c>
      <c r="L155" s="25">
        <f>IF($A155="","",IF($Q155="N","",COUNTIFS($A$2:$A155,$A155,$Q$2:$Q155,"&lt;&gt;N")))</f>
        <v/>
      </c>
      <c r="M155" s="25">
        <f>IF(OR($A155="",$L155=""),"",IF(AND(config!$B$34="names_if_public",IFERROR(IF(INDEX(offices!$AF$2:$AF$61,MATCH($B155,offices!$A$2:$A$61,0))="","",INDEX(offices!$AF$2:$AF$61,MATCH($B155,offices!$A$2:$A$61,0))),"")="Y"),$K155,CHAR(64+$L155)))</f>
        <v/>
      </c>
      <c r="N155" s="25">
        <f>IF(OR($A155="",$I155=""),"",COUNTIFS(stops!$B$2:$B$151,$B155,stops!$P$2:$P$151,"&lt;"&amp;$I155,stops!$L$2:$L$151,"&lt;&gt;not_delivered")+1)</f>
        <v/>
      </c>
      <c r="O155" s="25">
        <f>IF($A155="","",IF(N($N155)&lt;=config!$B$29,"explicit","opt-out"))</f>
        <v/>
      </c>
      <c r="P155" s="25">
        <f>IF($A155="","",IF($O155="explicit",IF($D155="yes","Y",IF($D155="no","N","pending")),IF($D155="no","N",IF(AND($C155&lt;&gt;"",$I155&lt;&gt;"",$C155&lt;=WORKDAY(N($I155),-5,calendar!$A$2:$A$80)),"Y","pending"))))</f>
        <v/>
      </c>
      <c r="Q155" s="25">
        <f>IF($A155="","",IF($P155="N","N",IF($P155&lt;&gt;"Y","pending",IF(AND((COUNTIFS(stops!$A$2:$A$151,$H155,stops!$B$2:$B$151,$B155,stops!$L$2:$L$151,"declined")+COUNTIFS(stops!$A$2:$A$151,$H155,stops!$B$2:$B$151,$B155,stops!$L$2:$L$151,"building_refused")+COUNTIFS(stops!$A$2:$A$151,$H155,stops!$B$2:$B$151,$B155,stops!$L$2:$L$151,"not_delivered"))&gt;0,N($U155)=0),"N","Y"))))</f>
        <v/>
      </c>
      <c r="R155" s="25">
        <f>IF($A155="","",IF(COUNTIFS($A$2:$A$251,$A155,$B$2:$B$251,$B155)&gt;1,"DUPLICATE ROW; ","")&amp;IF(AND(IFERROR(IF(INDEX(offices!$AC$2:$AC$61,MATCH($B155,offices!$A$2:$A$61,0))="","",INDEX(offices!$AC$2:$AC$61,MATCH($B155,offices!$A$2:$A$61,0))),"")&lt;&gt;"",ISNUMBER(SEARCH($J155,IFERROR(IF(INDEX(offices!$AC$2:$AC$61,MATCH($B155,offices!$A$2:$A$61,0))="","",INDEX(offices!$AC$2:$AC$61,MATCH($B155,offices!$A$2:$A$61,0))),"")))),"BRAND VETOED; ","")&amp;IF(ISNUMBER(SEARCH(IFERROR(IF(INDEX(campaigns!$BF$2:$BF$51,MATCH($A155,campaigns!$A$2:$A$51,0))="","",INDEX(campaigns!$BF$2:$BF$51,MATCH($A155,campaigns!$A$2:$A$51,0))),""),IFERROR(IF(INDEX(offices!$AB$2:$AB$61,MATCH($B155,offices!$A$2:$A$61,0))="","",INDEX(offices!$AB$2:$AB$61,MATCH($B155,offices!$A$2:$A$61,0))),""))),"","info: category not on the office's list; ")&amp;IF(IFERROR(IF(INDEX(offices!$AC$2:$AC$61,MATCH($B155,offices!$A$2:$A$61,0))="","",INDEX(offices!$AC$2:$AC$61,MATCH($B155,offices!$A$2:$A$61,0))),"")&lt;&gt;"","info: read the vetoes against the label; ",""))</f>
        <v/>
      </c>
      <c r="S155" s="25">
        <f>IF($A155="","",IF($G155&lt;&gt;"",$G155,IFERROR(IF(INDEX(offices!$AL$2:$AL$61,MATCH($B155,offices!$A$2:$A$61,0))="","",INDEX(offices!$AL$2:$AL$61,MATCH($B155,offices!$A$2:$A$61,0))),"")))</f>
        <v/>
      </c>
      <c r="T155" s="25">
        <f>IF($A155="","",$A155&amp;"."&amp;$B155)</f>
        <v/>
      </c>
      <c r="U155" s="25">
        <f>IF($A155="","",SUMIFS(inventory!$G$2:$G$801,inventory!$C$2:$C$801,$A155,inventory!$D$2:$D$801,$B155,inventory!$E$2:$E$801,"delivered"))</f>
        <v/>
      </c>
      <c r="V155" s="32">
        <f>IF($A155="","",IFERROR(1/(1/SUMPRODUCT(MAX((inventory!$C$2:$C$801=$A155)*(inventory!$D$2:$D$801=$B155)*(inventory!$E$2:$E$801="delivered")*(inventory!$A$2:$A$801+inventory!$B$2:$B$801)))),""))</f>
        <v/>
      </c>
      <c r="W155" s="25">
        <f>IF($A155="","",IFERROR(IF(INDEX(inventory!$J$2:$J$801,MATCH($A155&amp;"|"&amp;$B155&amp;"|delivered",inventory!$R$2:$R$801,0))="","",INDEX(inventory!$J$2:$J$801,MATCH($A155&amp;"|"&amp;$B155&amp;"|delivered",inventory!$R$2:$R$801,0))),""))</f>
        <v/>
      </c>
      <c r="X155" s="25">
        <f>IF($A155="","",IFERROR(IF(INDEX(photos!$H$2:$H$701,MATCH($A155&amp;"|"&amp;$B155&amp;"|placement|Y",photos!$R$2:$R$701,0))="","",INDEX(photos!$H$2:$H$701,MATCH($A155&amp;"|"&amp;$B155&amp;"|placement|Y",photos!$R$2:$R$701,0))),""))</f>
        <v/>
      </c>
      <c r="Y155" s="26">
        <f>IF($A155="","",IFERROR(IF(INDEX(photos!$E$2:$E$701,MATCH($A155&amp;"|"&amp;$B155&amp;"|placement|Y",photos!$R$2:$R$701,0))="","",INDEX(photos!$E$2:$E$701,MATCH($A155&amp;"|"&amp;$B155&amp;"|placement|Y",photos!$R$2:$R$701,0))),""))</f>
        <v/>
      </c>
      <c r="Z155" s="25">
        <f>IF($A155="","",IF(COUNTIFS(counts!$C$2:$C$701,$A155,counts!$D$2:$D$701,$B155,counts!$E$2:$E$701,"placed")=0,"",SUMIFS(counts!$F$2:$F$701,counts!$C$2:$C$701,$A155,counts!$D$2:$D$701,$B155,counts!$E$2:$E$701,"placed")))</f>
        <v/>
      </c>
      <c r="AA155" s="25">
        <f>IF($A155="","",IF($Y155="",0,N($Z155)))</f>
        <v/>
      </c>
      <c r="AB155" s="25">
        <f>IF($A155="","",IF(OR($Y155="",$I155=""),"N",IF($Y155&lt;=WORKDAY(N($I155),1,calendar!$A$2:$A$80),"Y","N")))</f>
        <v/>
      </c>
      <c r="AC155" s="28">
        <f>IF(OR($A155="",$V155="",$Y155=""),"",ROUND(($Y155+N(IFERROR(IF(INDEX(photos!$F$2:$F$701,MATCH($A155&amp;"|"&amp;$B155&amp;"|placement|Y",photos!$R$2:$R$701,0))="","",INDEX(photos!$F$2:$F$701,MATCH($A155&amp;"|"&amp;$B155&amp;"|placement|Y",photos!$R$2:$R$701,0))),""))-$V155)*24,1))</f>
        <v/>
      </c>
      <c r="AD155" s="25">
        <f>IF($A155="","",SUMIFS(inventory!$G$2:$G$801,inventory!$C$2:$C$801,$A155,inventory!$D$2:$D$801,$B155,inventory!$E$2:$E$801,"topped_up"))</f>
        <v/>
      </c>
      <c r="AE155" s="25">
        <f>IF($A155="","",IF(COUNTIFS(counts!$C$2:$C$701,$A155,counts!$D$2:$D$701,$B155,counts!$E$2:$E$701,"remaining_day3")=0,"",SUMIFS(counts!$F$2:$F$701,counts!$C$2:$C$701,$A155,counts!$D$2:$D$701,$B155,counts!$E$2:$E$701,"remaining_day3")))</f>
        <v/>
      </c>
      <c r="AF155" s="25">
        <f>IF($A155="","",IF(COUNTIFS(counts!$C$2:$C$701,$A155,counts!$D$2:$D$701,$B155,counts!$E$2:$E$701,"remaining_day5")=0,"",SUMIFS(counts!$F$2:$F$701,counts!$C$2:$C$701,$A155,counts!$D$2:$D$701,$B155,counts!$E$2:$E$701,"remaining_day5")))</f>
        <v/>
      </c>
      <c r="AG155" s="25">
        <f>IF(OR($A155="",$AF155=""),"",MAX(0,$AA155+$AD155-$AF155))</f>
        <v/>
      </c>
      <c r="AH155" s="25">
        <f>IF(OR($A155="",$AI155=""),"",IFERROR(IF(INDEX(photos!$H$2:$H$701,MATCH($A155&amp;"|"&amp;$B155&amp;"|later|Y|"&amp;$AI155,photos!$S$2:$S$701,0))="","",INDEX(photos!$H$2:$H$701,MATCH($A155&amp;"|"&amp;$B155&amp;"|later|Y|"&amp;$AI155,photos!$S$2:$S$701,0))),""))</f>
        <v/>
      </c>
      <c r="AI155" s="26">
        <f>IF($A155="","",IFERROR(1/(1/SUMPRODUCT(MAX((photos!$B$2:$B$701=$A155)*(photos!$C$2:$C$701=$B155)*(photos!$D$2:$D$701="later")*(photos!$O$2:$O$701="Y")*photos!$E$2:$E$701))),""))</f>
        <v/>
      </c>
      <c r="AJ155" s="25">
        <f>IF(OR($A155="",$AI155="",$I155=""),"",NETWORKDAYS($I155,$AI155,calendar!$A$2:$A$80))</f>
        <v/>
      </c>
      <c r="AK155" s="25">
        <f>IF($A155="","",IF(AND($X155&lt;&gt;"",$AH155&lt;&gt;""),"Y","N"))</f>
        <v/>
      </c>
      <c r="AL155" s="25">
        <f>IF(OR($A155="",$I155=""),"",IF($BC155="Y",SUMIFS(survey_frozen!$C$2:$C$251,survey_frozen!$P$2:$P$251,$A155&amp;"|"&amp;$B155),IFERROR(COUNTIFS(INDIRECT("'"&amp;$A155&amp;"'!$B$2:$B$501"),$T155,INDIRECT("'"&amp;$A155&amp;"'!$A$2:$A$501"),"&gt;="&amp;$I155,INDIRECT("'"&amp;$A155&amp;"'!$A$2:$A$501"),"&lt;"&amp;($BA155+1)),0)))</f>
        <v/>
      </c>
      <c r="AM155" s="25">
        <f>IF(OR($A155="",$I155=""),"",IF($BC155="Y",SUMIFS(survey_frozen!$D$2:$D$251,survey_frozen!$P$2:$P$251,$A155&amp;"|"&amp;$B155),IFERROR(COUNTIFS(INDIRECT("'"&amp;$A155&amp;"'!$B$2:$B$501"),$T155,INDIRECT("'"&amp;$A155&amp;"'!$A$2:$A$501"),"&gt;="&amp;$I155,INDIRECT("'"&amp;$A155&amp;"'!$A$2:$A$501"),"&lt;"&amp;($BA155+1),INDIRECT("'"&amp;$A155&amp;"'!$C$2:$C$501"),"Yes"),0)))</f>
        <v/>
      </c>
      <c r="AN155" s="25">
        <f>IF($A155="","",IF(COUNTIFS(scans!$C$2:$C$1601,(IF(LEFT($A155,7)="SAMPLE-","SAMPLE-","")&amp;LOWER(SUBSTITUTE(SUBSTITUTE($A155,"SAMPLE-",""),"CMP-","c"))&amp;"-"&amp;LOWER(SUBSTITUTE(SUBSTITUTE($B155,"SAMPLE-",""),"O-","o"))&amp;"-q"),scans!$D$2:$D$1601,"close")=0,"",SUMPRODUCT(MAX((scans!$C$2:$C$1601=(IF(LEFT($A155,7)="SAMPLE-","SAMPLE-","")&amp;LOWER(SUBSTITUTE(SUBSTITUTE($A155,"SAMPLE-",""),"CMP-","c"))&amp;"-"&amp;LOWER(SUBSTITUTE(SUBSTITUTE($B155,"SAMPLE-",""),"O-","o"))&amp;"-q"))*(scans!$D$2:$D$1601="close")*scans!$E$2:$E$1601))-SUMPRODUCT(MAX((scans!$C$2:$C$1601=(IF(LEFT($A155,7)="SAMPLE-","SAMPLE-","")&amp;LOWER(SUBSTITUTE(SUBSTITUTE($A155,"SAMPLE-",""),"CMP-","c"))&amp;"-"&amp;LOWER(SUBSTITUTE(SUBSTITUTE($B155,"SAMPLE-",""),"O-","o"))&amp;"-q"))*(scans!$D$2:$D$1601="baseline")*scans!$E$2:$E$1601))))</f>
        <v/>
      </c>
      <c r="AO155" s="25">
        <f>IF($A155="","",IF(COUNTIFS(scans!$C$2:$C$1601,(IF(LEFT($A155,7)="SAMPLE-","SAMPLE-","")&amp;LOWER(SUBSTITUTE(SUBSTITUTE($A155,"SAMPLE-",""),"CMP-","c"))&amp;"-"&amp;LOWER(SUBSTITUTE(SUBSTITUTE($B155,"SAMPLE-",""),"O-","o"))&amp;"-p"),scans!$D$2:$D$1601,"close")=0,"",SUMPRODUCT(MAX((scans!$C$2:$C$1601=(IF(LEFT($A155,7)="SAMPLE-","SAMPLE-","")&amp;LOWER(SUBSTITUTE(SUBSTITUTE($A155,"SAMPLE-",""),"CMP-","c"))&amp;"-"&amp;LOWER(SUBSTITUTE(SUBSTITUTE($B155,"SAMPLE-",""),"O-","o"))&amp;"-p"))*(scans!$D$2:$D$1601="close")*scans!$E$2:$E$1601))-SUMPRODUCT(MAX((scans!$C$2:$C$1601=(IF(LEFT($A155,7)="SAMPLE-","SAMPLE-","")&amp;LOWER(SUBSTITUTE(SUBSTITUTE($A155,"SAMPLE-",""),"CMP-","c"))&amp;"-"&amp;LOWER(SUBSTITUTE(SUBSTITUTE($B155,"SAMPLE-",""),"O-","o"))&amp;"-p"))*(scans!$D$2:$D$1601="baseline")*scans!$E$2:$E$1601))))</f>
        <v/>
      </c>
      <c r="AP155" s="25">
        <f>IF($A155="","",IF(COUNTIF(offices!$A$2:$A$61,$B155)=0,"office_id not on offices; ","")&amp;IF(COUNTIF(campaigns!$A$2:$A$51,$A155)=0,"campaign_id not on campaigns; ","")&amp;IF($P155="pending","approval pending; ","")&amp;IF(AND($U155&gt;0,$Y155="",OR($I155="",IF(config!$B$37&lt;&gt;"",config!$B$37,TODAY())&lt;=WORKDAY(N($I155),4,calendar!$A$2:$A$80))),"no usable placement photo yet; ","")&amp;IF(AND($Y155&lt;&gt;"",$Z155=""),"log the placed count; ","")&amp;IF(N($AA155)&gt;N($U155),"placed more than delivered; ","")&amp;IF(AND($AF155&lt;&gt;"",N($AF155)&gt;N($AA155)+N($AD155)),"day-5 count above placed plus top-ups; ","")&amp;IF(AND($U155&gt;0,$I155&lt;&gt;"",IF(config!$B$37&lt;&gt;"",config!$B$37,TODAY())&gt;WORKDAY(N($I155),4,calendar!$A$2:$A$80),$AF155=""),"day-5 count missing; ","")&amp;IF(AND($U155&gt;0,$I155&lt;&gt;"",IF(config!$B$37&lt;&gt;"",config!$B$37,TODAY())&gt;WORKDAY(N($I155),4,calendar!$A$2:$A$80),$AN155=""),"no close link reading; ","")&amp;$R155&amp;IF($P155="N","info: office said no; ","")&amp;IF(AND($P155="Y",$Q155="N"),"info: turned away at the door, so not on the drop (no letter, not in the report or Gate 2; the credit check is on campaigns); ","")&amp;IF(AND($U155&gt;0,$Y155="",$I155&lt;&gt;"",IF(config!$B$37&lt;&gt;"",config!$B$37,TODAY())&gt;WORKDAY(N($I155),4,calendar!$A$2:$A$80)),"info: no usable placement photo, so nothing counts as placed; ","")&amp;IF(AND($U155&gt;0,$I155&lt;&gt;"",IF(config!$B$37&lt;&gt;"",config!$B$37,TODAY())&gt;WORKDAY(N($I155),4,calendar!$A$2:$A$80),N($AL155)&lt;config!$B$30),"info: under "&amp;config!$B$30&amp;" responses; ","")&amp;IF($W155="packing_list","info: delivered count not verified; ",""))</f>
        <v/>
      </c>
      <c r="AQ155" s="25">
        <f>IF(OR($A155="",$I155=""),"",IF($BC155="Y",SUMIFS(survey_frozen!$E$2:$E$251,survey_frozen!$P$2:$P$251,$A155&amp;"|"&amp;$B155),IFERROR(COUNTIFS(INDIRECT("'"&amp;$A155&amp;"'!$B$2:$B$501"),$T155,INDIRECT("'"&amp;$A155&amp;"'!$A$2:$A$501"),"&gt;="&amp;$I155,INDIRECT("'"&amp;$A155&amp;"'!$A$2:$A$501"),"&lt;"&amp;($BA155+1),INDIRECT("'"&amp;$A155&amp;"'!$F$2:$F$501"),"Didn't see it"),0)))</f>
        <v/>
      </c>
      <c r="AR155" s="25">
        <f>IF(OR($A155="",$I155=""),"",IF($BC155="Y",SUMIFS(survey_frozen!$F$2:$F$251,survey_frozen!$P$2:$P$251,$A155&amp;"|"&amp;$B155),IFERROR(COUNTIFS(INDIRECT("'"&amp;$A155&amp;"'!$B$2:$B$501"),$T155,INDIRECT("'"&amp;$A155&amp;"'!$A$2:$A$501"),"&gt;="&amp;$I155,INDIRECT("'"&amp;$A155&amp;"'!$A$2:$A$501"),"&lt;"&amp;($BA155+1),INDIRECT("'"&amp;$A155&amp;"'!$F$2:$F$501"),"Not for me"),0)))</f>
        <v/>
      </c>
      <c r="AS155" s="25">
        <f>IF(OR($A155="",$I155=""),"",IF($BC155="Y",SUMIFS(survey_frozen!$G$2:$G$251,survey_frozen!$P$2:$P$251,$A155&amp;"|"&amp;$B155),IFERROR(COUNTIFS(INDIRECT("'"&amp;$A155&amp;"'!$B$2:$B$501"),$T155,INDIRECT("'"&amp;$A155&amp;"'!$A$2:$A$501"),"&gt;="&amp;$I155,INDIRECT("'"&amp;$A155&amp;"'!$A$2:$A$501"),"&lt;"&amp;($BA155+1),INDIRECT("'"&amp;$A155&amp;"'!$F$2:$F$501"),"Gone by the time I looked"),0)))</f>
        <v/>
      </c>
      <c r="AT155" s="25">
        <f>IF(OR($A155="",$I155=""),"",IF($BC155="Y",SUMIFS(survey_frozen!$H$2:$H$251,survey_frozen!$P$2:$P$251,$A155&amp;"|"&amp;$B155),IFERROR(COUNTIFS(INDIRECT("'"&amp;$A155&amp;"'!$B$2:$B$501"),$T155,INDIRECT("'"&amp;$A155&amp;"'!$A$2:$A$501"),"&gt;="&amp;$I155,INDIRECT("'"&amp;$A155&amp;"'!$A$2:$A$501"),"&lt;"&amp;($BA155+1),INDIRECT("'"&amp;$A155&amp;"'!$D$2:$D$501"),"&gt;=1"),0)))</f>
        <v/>
      </c>
      <c r="AU155" s="25">
        <f>IF(OR($A155="",$I155=""),"",IF($BC155="Y",SUMIFS(survey_frozen!$I$2:$I$251,survey_frozen!$P$2:$P$251,$A155&amp;"|"&amp;$B155),IFERROR(SUMIFS(INDIRECT("'"&amp;$A155&amp;"'!$D$2:$D$501"),INDIRECT("'"&amp;$A155&amp;"'!$B$2:$B$501"),$T155,INDIRECT("'"&amp;$A155&amp;"'!$A$2:$A$501"),"&gt;="&amp;$I155,INDIRECT("'"&amp;$A155&amp;"'!$A$2:$A$501"),"&lt;"&amp;($BA155+1)),0)))</f>
        <v/>
      </c>
      <c r="AV155" s="25">
        <f>IF(OR($A155="",$I155=""),"",IF($BC155="Y",SUMIFS(survey_frozen!$J$2:$J$251,survey_frozen!$P$2:$P$251,$A155&amp;"|"&amp;$B155),IFERROR(COUNTIFS(INDIRECT("'"&amp;$A155&amp;"'!$B$2:$B$501"),$T155,INDIRECT("'"&amp;$A155&amp;"'!$A$2:$A$501"),"&gt;="&amp;$I155,INDIRECT("'"&amp;$A155&amp;"'!$A$2:$A$501"),"&lt;"&amp;($BA155+1),INDIRECT("'"&amp;$A155&amp;"'!$E$2:$E$501"),"Yes"),0)))</f>
        <v/>
      </c>
      <c r="AW155" s="25">
        <f>IF(OR($A155="",$I155=""),"",IF($BC155="Y",SUMIFS(survey_frozen!$K$2:$K$251,survey_frozen!$P$2:$P$251,$A155&amp;"|"&amp;$B155),IFERROR(COUNTIFS(INDIRECT("'"&amp;$A155&amp;"'!$B$2:$B$501"),$T155,INDIRECT("'"&amp;$A155&amp;"'!$A$2:$A$501"),"&gt;="&amp;$I155,INDIRECT("'"&amp;$A155&amp;"'!$A$2:$A$501"),"&lt;"&amp;($BA155+1),INDIRECT("'"&amp;$A155&amp;"'!$E$2:$E$501"),"Maybe"),0)))</f>
        <v/>
      </c>
      <c r="AX155" s="25">
        <f>IF(OR($A155="",$I155=""),"",IF($BC155="Y",SUMIFS(survey_frozen!$L$2:$L$251,survey_frozen!$P$2:$P$251,$A155&amp;"|"&amp;$B155),IFERROR(COUNTIFS(INDIRECT("'"&amp;$A155&amp;"'!$B$2:$B$501"),$T155,INDIRECT("'"&amp;$A155&amp;"'!$A$2:$A$501"),"&gt;="&amp;$I155,INDIRECT("'"&amp;$A155&amp;"'!$A$2:$A$501"),"&lt;"&amp;($BA155+1),INDIRECT("'"&amp;$A155&amp;"'!$E$2:$E$501"),"No"),0)))</f>
        <v/>
      </c>
      <c r="AY155" s="25">
        <f>IF(OR($A155="",$I155=""),"",IF($BC155="Y",SUMIFS(survey_frozen!$M$2:$M$251,survey_frozen!$P$2:$P$251,$A155&amp;"|"&amp;$B155),IFERROR(COUNTIFS(INDIRECT("'"&amp;$A155&amp;"'!$B$2:$B$501"),$T155,INDIRECT("'"&amp;$A155&amp;"'!$A$2:$A$501"),"&gt;="&amp;$I155,INDIRECT("'"&amp;$A155&amp;"'!$A$2:$A$501"),"&lt;"&amp;($BA155+1),INDIRECT("'"&amp;$A155&amp;"'!$G$2:$G$501"),"&lt;&gt;"),0)))</f>
        <v/>
      </c>
      <c r="AZ155" s="25">
        <f>IF($A155="","",$A155&amp;"|"&amp;$L155)</f>
        <v/>
      </c>
      <c r="BA155" s="26">
        <f>IF($A155="","",IFERROR(IF(INDEX(drops!$R$2:$R$21,MATCH($H155,drops!$A$2:$A$21,0))="","",INDEX(drops!$R$2:$R$21,MATCH($H155,drops!$A$2:$A$21,0))),""))</f>
        <v/>
      </c>
      <c r="BB155" s="25">
        <f>IF(OR($A155="",$Q155&lt;&gt;"Y"),1000000,N($AL155))</f>
        <v/>
      </c>
      <c r="BC155" s="25">
        <f>IF($A155="","",IF(COUNTIF(survey_frozen!$P$2:$P$251,$A155&amp;"|"&amp;$B155)&gt;0,"Y",""))</f>
        <v/>
      </c>
    </row>
    <row r="156">
      <c r="C156" s="9" t="n"/>
      <c r="E156" s="9" t="n"/>
      <c r="H156" s="25">
        <f>IF($A156="","",IFERROR(IF(INDEX(campaigns!$B$2:$B$51,MATCH($A156,campaigns!$A$2:$A$51,0))="","",INDEX(campaigns!$B$2:$B$51,MATCH($A156,campaigns!$A$2:$A$51,0))),""))</f>
        <v/>
      </c>
      <c r="I156" s="26">
        <f>IF($A156="","",IFERROR(IF(INDEX(campaigns!$BG$2:$BG$51,MATCH($A156,campaigns!$A$2:$A$51,0))="","",INDEX(campaigns!$BG$2:$BG$51,MATCH($A156,campaigns!$A$2:$A$51,0))),""))</f>
        <v/>
      </c>
      <c r="J156" s="25">
        <f>IF($A156="","",IFERROR(IF(INDEX(campaigns!$BE$2:$BE$51,MATCH($A156,campaigns!$A$2:$A$51,0))="","",INDEX(campaigns!$BE$2:$BE$51,MATCH($A156,campaigns!$A$2:$A$51,0))),""))</f>
        <v/>
      </c>
      <c r="K156" s="25">
        <f>IF($B156="","",IFERROR(IF(INDEX(offices!$N$2:$N$61,MATCH($B156,offices!$A$2:$A$61,0))="","",INDEX(offices!$N$2:$N$61,MATCH($B156,offices!$A$2:$A$61,0))),""))</f>
        <v/>
      </c>
      <c r="L156" s="25">
        <f>IF($A156="","",IF($Q156="N","",COUNTIFS($A$2:$A156,$A156,$Q$2:$Q156,"&lt;&gt;N")))</f>
        <v/>
      </c>
      <c r="M156" s="25">
        <f>IF(OR($A156="",$L156=""),"",IF(AND(config!$B$34="names_if_public",IFERROR(IF(INDEX(offices!$AF$2:$AF$61,MATCH($B156,offices!$A$2:$A$61,0))="","",INDEX(offices!$AF$2:$AF$61,MATCH($B156,offices!$A$2:$A$61,0))),"")="Y"),$K156,CHAR(64+$L156)))</f>
        <v/>
      </c>
      <c r="N156" s="25">
        <f>IF(OR($A156="",$I156=""),"",COUNTIFS(stops!$B$2:$B$151,$B156,stops!$P$2:$P$151,"&lt;"&amp;$I156,stops!$L$2:$L$151,"&lt;&gt;not_delivered")+1)</f>
        <v/>
      </c>
      <c r="O156" s="25">
        <f>IF($A156="","",IF(N($N156)&lt;=config!$B$29,"explicit","opt-out"))</f>
        <v/>
      </c>
      <c r="P156" s="25">
        <f>IF($A156="","",IF($O156="explicit",IF($D156="yes","Y",IF($D156="no","N","pending")),IF($D156="no","N",IF(AND($C156&lt;&gt;"",$I156&lt;&gt;"",$C156&lt;=WORKDAY(N($I156),-5,calendar!$A$2:$A$80)),"Y","pending"))))</f>
        <v/>
      </c>
      <c r="Q156" s="25">
        <f>IF($A156="","",IF($P156="N","N",IF($P156&lt;&gt;"Y","pending",IF(AND((COUNTIFS(stops!$A$2:$A$151,$H156,stops!$B$2:$B$151,$B156,stops!$L$2:$L$151,"declined")+COUNTIFS(stops!$A$2:$A$151,$H156,stops!$B$2:$B$151,$B156,stops!$L$2:$L$151,"building_refused")+COUNTIFS(stops!$A$2:$A$151,$H156,stops!$B$2:$B$151,$B156,stops!$L$2:$L$151,"not_delivered"))&gt;0,N($U156)=0),"N","Y"))))</f>
        <v/>
      </c>
      <c r="R156" s="25">
        <f>IF($A156="","",IF(COUNTIFS($A$2:$A$251,$A156,$B$2:$B$251,$B156)&gt;1,"DUPLICATE ROW; ","")&amp;IF(AND(IFERROR(IF(INDEX(offices!$AC$2:$AC$61,MATCH($B156,offices!$A$2:$A$61,0))="","",INDEX(offices!$AC$2:$AC$61,MATCH($B156,offices!$A$2:$A$61,0))),"")&lt;&gt;"",ISNUMBER(SEARCH($J156,IFERROR(IF(INDEX(offices!$AC$2:$AC$61,MATCH($B156,offices!$A$2:$A$61,0))="","",INDEX(offices!$AC$2:$AC$61,MATCH($B156,offices!$A$2:$A$61,0))),"")))),"BRAND VETOED; ","")&amp;IF(ISNUMBER(SEARCH(IFERROR(IF(INDEX(campaigns!$BF$2:$BF$51,MATCH($A156,campaigns!$A$2:$A$51,0))="","",INDEX(campaigns!$BF$2:$BF$51,MATCH($A156,campaigns!$A$2:$A$51,0))),""),IFERROR(IF(INDEX(offices!$AB$2:$AB$61,MATCH($B156,offices!$A$2:$A$61,0))="","",INDEX(offices!$AB$2:$AB$61,MATCH($B156,offices!$A$2:$A$61,0))),""))),"","info: category not on the office's list; ")&amp;IF(IFERROR(IF(INDEX(offices!$AC$2:$AC$61,MATCH($B156,offices!$A$2:$A$61,0))="","",INDEX(offices!$AC$2:$AC$61,MATCH($B156,offices!$A$2:$A$61,0))),"")&lt;&gt;"","info: read the vetoes against the label; ",""))</f>
        <v/>
      </c>
      <c r="S156" s="25">
        <f>IF($A156="","",IF($G156&lt;&gt;"",$G156,IFERROR(IF(INDEX(offices!$AL$2:$AL$61,MATCH($B156,offices!$A$2:$A$61,0))="","",INDEX(offices!$AL$2:$AL$61,MATCH($B156,offices!$A$2:$A$61,0))),"")))</f>
        <v/>
      </c>
      <c r="T156" s="25">
        <f>IF($A156="","",$A156&amp;"."&amp;$B156)</f>
        <v/>
      </c>
      <c r="U156" s="25">
        <f>IF($A156="","",SUMIFS(inventory!$G$2:$G$801,inventory!$C$2:$C$801,$A156,inventory!$D$2:$D$801,$B156,inventory!$E$2:$E$801,"delivered"))</f>
        <v/>
      </c>
      <c r="V156" s="32">
        <f>IF($A156="","",IFERROR(1/(1/SUMPRODUCT(MAX((inventory!$C$2:$C$801=$A156)*(inventory!$D$2:$D$801=$B156)*(inventory!$E$2:$E$801="delivered")*(inventory!$A$2:$A$801+inventory!$B$2:$B$801)))),""))</f>
        <v/>
      </c>
      <c r="W156" s="25">
        <f>IF($A156="","",IFERROR(IF(INDEX(inventory!$J$2:$J$801,MATCH($A156&amp;"|"&amp;$B156&amp;"|delivered",inventory!$R$2:$R$801,0))="","",INDEX(inventory!$J$2:$J$801,MATCH($A156&amp;"|"&amp;$B156&amp;"|delivered",inventory!$R$2:$R$801,0))),""))</f>
        <v/>
      </c>
      <c r="X156" s="25">
        <f>IF($A156="","",IFERROR(IF(INDEX(photos!$H$2:$H$701,MATCH($A156&amp;"|"&amp;$B156&amp;"|placement|Y",photos!$R$2:$R$701,0))="","",INDEX(photos!$H$2:$H$701,MATCH($A156&amp;"|"&amp;$B156&amp;"|placement|Y",photos!$R$2:$R$701,0))),""))</f>
        <v/>
      </c>
      <c r="Y156" s="26">
        <f>IF($A156="","",IFERROR(IF(INDEX(photos!$E$2:$E$701,MATCH($A156&amp;"|"&amp;$B156&amp;"|placement|Y",photos!$R$2:$R$701,0))="","",INDEX(photos!$E$2:$E$701,MATCH($A156&amp;"|"&amp;$B156&amp;"|placement|Y",photos!$R$2:$R$701,0))),""))</f>
        <v/>
      </c>
      <c r="Z156" s="25">
        <f>IF($A156="","",IF(COUNTIFS(counts!$C$2:$C$701,$A156,counts!$D$2:$D$701,$B156,counts!$E$2:$E$701,"placed")=0,"",SUMIFS(counts!$F$2:$F$701,counts!$C$2:$C$701,$A156,counts!$D$2:$D$701,$B156,counts!$E$2:$E$701,"placed")))</f>
        <v/>
      </c>
      <c r="AA156" s="25">
        <f>IF($A156="","",IF($Y156="",0,N($Z156)))</f>
        <v/>
      </c>
      <c r="AB156" s="25">
        <f>IF($A156="","",IF(OR($Y156="",$I156=""),"N",IF($Y156&lt;=WORKDAY(N($I156),1,calendar!$A$2:$A$80),"Y","N")))</f>
        <v/>
      </c>
      <c r="AC156" s="28">
        <f>IF(OR($A156="",$V156="",$Y156=""),"",ROUND(($Y156+N(IFERROR(IF(INDEX(photos!$F$2:$F$701,MATCH($A156&amp;"|"&amp;$B156&amp;"|placement|Y",photos!$R$2:$R$701,0))="","",INDEX(photos!$F$2:$F$701,MATCH($A156&amp;"|"&amp;$B156&amp;"|placement|Y",photos!$R$2:$R$701,0))),""))-$V156)*24,1))</f>
        <v/>
      </c>
      <c r="AD156" s="25">
        <f>IF($A156="","",SUMIFS(inventory!$G$2:$G$801,inventory!$C$2:$C$801,$A156,inventory!$D$2:$D$801,$B156,inventory!$E$2:$E$801,"topped_up"))</f>
        <v/>
      </c>
      <c r="AE156" s="25">
        <f>IF($A156="","",IF(COUNTIFS(counts!$C$2:$C$701,$A156,counts!$D$2:$D$701,$B156,counts!$E$2:$E$701,"remaining_day3")=0,"",SUMIFS(counts!$F$2:$F$701,counts!$C$2:$C$701,$A156,counts!$D$2:$D$701,$B156,counts!$E$2:$E$701,"remaining_day3")))</f>
        <v/>
      </c>
      <c r="AF156" s="25">
        <f>IF($A156="","",IF(COUNTIFS(counts!$C$2:$C$701,$A156,counts!$D$2:$D$701,$B156,counts!$E$2:$E$701,"remaining_day5")=0,"",SUMIFS(counts!$F$2:$F$701,counts!$C$2:$C$701,$A156,counts!$D$2:$D$701,$B156,counts!$E$2:$E$701,"remaining_day5")))</f>
        <v/>
      </c>
      <c r="AG156" s="25">
        <f>IF(OR($A156="",$AF156=""),"",MAX(0,$AA156+$AD156-$AF156))</f>
        <v/>
      </c>
      <c r="AH156" s="25">
        <f>IF(OR($A156="",$AI156=""),"",IFERROR(IF(INDEX(photos!$H$2:$H$701,MATCH($A156&amp;"|"&amp;$B156&amp;"|later|Y|"&amp;$AI156,photos!$S$2:$S$701,0))="","",INDEX(photos!$H$2:$H$701,MATCH($A156&amp;"|"&amp;$B156&amp;"|later|Y|"&amp;$AI156,photos!$S$2:$S$701,0))),""))</f>
        <v/>
      </c>
      <c r="AI156" s="26">
        <f>IF($A156="","",IFERROR(1/(1/SUMPRODUCT(MAX((photos!$B$2:$B$701=$A156)*(photos!$C$2:$C$701=$B156)*(photos!$D$2:$D$701="later")*(photos!$O$2:$O$701="Y")*photos!$E$2:$E$701))),""))</f>
        <v/>
      </c>
      <c r="AJ156" s="25">
        <f>IF(OR($A156="",$AI156="",$I156=""),"",NETWORKDAYS($I156,$AI156,calendar!$A$2:$A$80))</f>
        <v/>
      </c>
      <c r="AK156" s="25">
        <f>IF($A156="","",IF(AND($X156&lt;&gt;"",$AH156&lt;&gt;""),"Y","N"))</f>
        <v/>
      </c>
      <c r="AL156" s="25">
        <f>IF(OR($A156="",$I156=""),"",IF($BC156="Y",SUMIFS(survey_frozen!$C$2:$C$251,survey_frozen!$P$2:$P$251,$A156&amp;"|"&amp;$B156),IFERROR(COUNTIFS(INDIRECT("'"&amp;$A156&amp;"'!$B$2:$B$501"),$T156,INDIRECT("'"&amp;$A156&amp;"'!$A$2:$A$501"),"&gt;="&amp;$I156,INDIRECT("'"&amp;$A156&amp;"'!$A$2:$A$501"),"&lt;"&amp;($BA156+1)),0)))</f>
        <v/>
      </c>
      <c r="AM156" s="25">
        <f>IF(OR($A156="",$I156=""),"",IF($BC156="Y",SUMIFS(survey_frozen!$D$2:$D$251,survey_frozen!$P$2:$P$251,$A156&amp;"|"&amp;$B156),IFERROR(COUNTIFS(INDIRECT("'"&amp;$A156&amp;"'!$B$2:$B$501"),$T156,INDIRECT("'"&amp;$A156&amp;"'!$A$2:$A$501"),"&gt;="&amp;$I156,INDIRECT("'"&amp;$A156&amp;"'!$A$2:$A$501"),"&lt;"&amp;($BA156+1),INDIRECT("'"&amp;$A156&amp;"'!$C$2:$C$501"),"Yes"),0)))</f>
        <v/>
      </c>
      <c r="AN156" s="25">
        <f>IF($A156="","",IF(COUNTIFS(scans!$C$2:$C$1601,(IF(LEFT($A156,7)="SAMPLE-","SAMPLE-","")&amp;LOWER(SUBSTITUTE(SUBSTITUTE($A156,"SAMPLE-",""),"CMP-","c"))&amp;"-"&amp;LOWER(SUBSTITUTE(SUBSTITUTE($B156,"SAMPLE-",""),"O-","o"))&amp;"-q"),scans!$D$2:$D$1601,"close")=0,"",SUMPRODUCT(MAX((scans!$C$2:$C$1601=(IF(LEFT($A156,7)="SAMPLE-","SAMPLE-","")&amp;LOWER(SUBSTITUTE(SUBSTITUTE($A156,"SAMPLE-",""),"CMP-","c"))&amp;"-"&amp;LOWER(SUBSTITUTE(SUBSTITUTE($B156,"SAMPLE-",""),"O-","o"))&amp;"-q"))*(scans!$D$2:$D$1601="close")*scans!$E$2:$E$1601))-SUMPRODUCT(MAX((scans!$C$2:$C$1601=(IF(LEFT($A156,7)="SAMPLE-","SAMPLE-","")&amp;LOWER(SUBSTITUTE(SUBSTITUTE($A156,"SAMPLE-",""),"CMP-","c"))&amp;"-"&amp;LOWER(SUBSTITUTE(SUBSTITUTE($B156,"SAMPLE-",""),"O-","o"))&amp;"-q"))*(scans!$D$2:$D$1601="baseline")*scans!$E$2:$E$1601))))</f>
        <v/>
      </c>
      <c r="AO156" s="25">
        <f>IF($A156="","",IF(COUNTIFS(scans!$C$2:$C$1601,(IF(LEFT($A156,7)="SAMPLE-","SAMPLE-","")&amp;LOWER(SUBSTITUTE(SUBSTITUTE($A156,"SAMPLE-",""),"CMP-","c"))&amp;"-"&amp;LOWER(SUBSTITUTE(SUBSTITUTE($B156,"SAMPLE-",""),"O-","o"))&amp;"-p"),scans!$D$2:$D$1601,"close")=0,"",SUMPRODUCT(MAX((scans!$C$2:$C$1601=(IF(LEFT($A156,7)="SAMPLE-","SAMPLE-","")&amp;LOWER(SUBSTITUTE(SUBSTITUTE($A156,"SAMPLE-",""),"CMP-","c"))&amp;"-"&amp;LOWER(SUBSTITUTE(SUBSTITUTE($B156,"SAMPLE-",""),"O-","o"))&amp;"-p"))*(scans!$D$2:$D$1601="close")*scans!$E$2:$E$1601))-SUMPRODUCT(MAX((scans!$C$2:$C$1601=(IF(LEFT($A156,7)="SAMPLE-","SAMPLE-","")&amp;LOWER(SUBSTITUTE(SUBSTITUTE($A156,"SAMPLE-",""),"CMP-","c"))&amp;"-"&amp;LOWER(SUBSTITUTE(SUBSTITUTE($B156,"SAMPLE-",""),"O-","o"))&amp;"-p"))*(scans!$D$2:$D$1601="baseline")*scans!$E$2:$E$1601))))</f>
        <v/>
      </c>
      <c r="AP156" s="25">
        <f>IF($A156="","",IF(COUNTIF(offices!$A$2:$A$61,$B156)=0,"office_id not on offices; ","")&amp;IF(COUNTIF(campaigns!$A$2:$A$51,$A156)=0,"campaign_id not on campaigns; ","")&amp;IF($P156="pending","approval pending; ","")&amp;IF(AND($U156&gt;0,$Y156="",OR($I156="",IF(config!$B$37&lt;&gt;"",config!$B$37,TODAY())&lt;=WORKDAY(N($I156),4,calendar!$A$2:$A$80))),"no usable placement photo yet; ","")&amp;IF(AND($Y156&lt;&gt;"",$Z156=""),"log the placed count; ","")&amp;IF(N($AA156)&gt;N($U156),"placed more than delivered; ","")&amp;IF(AND($AF156&lt;&gt;"",N($AF156)&gt;N($AA156)+N($AD156)),"day-5 count above placed plus top-ups; ","")&amp;IF(AND($U156&gt;0,$I156&lt;&gt;"",IF(config!$B$37&lt;&gt;"",config!$B$37,TODAY())&gt;WORKDAY(N($I156),4,calendar!$A$2:$A$80),$AF156=""),"day-5 count missing; ","")&amp;IF(AND($U156&gt;0,$I156&lt;&gt;"",IF(config!$B$37&lt;&gt;"",config!$B$37,TODAY())&gt;WORKDAY(N($I156),4,calendar!$A$2:$A$80),$AN156=""),"no close link reading; ","")&amp;$R156&amp;IF($P156="N","info: office said no; ","")&amp;IF(AND($P156="Y",$Q156="N"),"info: turned away at the door, so not on the drop (no letter, not in the report or Gate 2; the credit check is on campaigns); ","")&amp;IF(AND($U156&gt;0,$Y156="",$I156&lt;&gt;"",IF(config!$B$37&lt;&gt;"",config!$B$37,TODAY())&gt;WORKDAY(N($I156),4,calendar!$A$2:$A$80)),"info: no usable placement photo, so nothing counts as placed; ","")&amp;IF(AND($U156&gt;0,$I156&lt;&gt;"",IF(config!$B$37&lt;&gt;"",config!$B$37,TODAY())&gt;WORKDAY(N($I156),4,calendar!$A$2:$A$80),N($AL156)&lt;config!$B$30),"info: under "&amp;config!$B$30&amp;" responses; ","")&amp;IF($W156="packing_list","info: delivered count not verified; ",""))</f>
        <v/>
      </c>
      <c r="AQ156" s="25">
        <f>IF(OR($A156="",$I156=""),"",IF($BC156="Y",SUMIFS(survey_frozen!$E$2:$E$251,survey_frozen!$P$2:$P$251,$A156&amp;"|"&amp;$B156),IFERROR(COUNTIFS(INDIRECT("'"&amp;$A156&amp;"'!$B$2:$B$501"),$T156,INDIRECT("'"&amp;$A156&amp;"'!$A$2:$A$501"),"&gt;="&amp;$I156,INDIRECT("'"&amp;$A156&amp;"'!$A$2:$A$501"),"&lt;"&amp;($BA156+1),INDIRECT("'"&amp;$A156&amp;"'!$F$2:$F$501"),"Didn't see it"),0)))</f>
        <v/>
      </c>
      <c r="AR156" s="25">
        <f>IF(OR($A156="",$I156=""),"",IF($BC156="Y",SUMIFS(survey_frozen!$F$2:$F$251,survey_frozen!$P$2:$P$251,$A156&amp;"|"&amp;$B156),IFERROR(COUNTIFS(INDIRECT("'"&amp;$A156&amp;"'!$B$2:$B$501"),$T156,INDIRECT("'"&amp;$A156&amp;"'!$A$2:$A$501"),"&gt;="&amp;$I156,INDIRECT("'"&amp;$A156&amp;"'!$A$2:$A$501"),"&lt;"&amp;($BA156+1),INDIRECT("'"&amp;$A156&amp;"'!$F$2:$F$501"),"Not for me"),0)))</f>
        <v/>
      </c>
      <c r="AS156" s="25">
        <f>IF(OR($A156="",$I156=""),"",IF($BC156="Y",SUMIFS(survey_frozen!$G$2:$G$251,survey_frozen!$P$2:$P$251,$A156&amp;"|"&amp;$B156),IFERROR(COUNTIFS(INDIRECT("'"&amp;$A156&amp;"'!$B$2:$B$501"),$T156,INDIRECT("'"&amp;$A156&amp;"'!$A$2:$A$501"),"&gt;="&amp;$I156,INDIRECT("'"&amp;$A156&amp;"'!$A$2:$A$501"),"&lt;"&amp;($BA156+1),INDIRECT("'"&amp;$A156&amp;"'!$F$2:$F$501"),"Gone by the time I looked"),0)))</f>
        <v/>
      </c>
      <c r="AT156" s="25">
        <f>IF(OR($A156="",$I156=""),"",IF($BC156="Y",SUMIFS(survey_frozen!$H$2:$H$251,survey_frozen!$P$2:$P$251,$A156&amp;"|"&amp;$B156),IFERROR(COUNTIFS(INDIRECT("'"&amp;$A156&amp;"'!$B$2:$B$501"),$T156,INDIRECT("'"&amp;$A156&amp;"'!$A$2:$A$501"),"&gt;="&amp;$I156,INDIRECT("'"&amp;$A156&amp;"'!$A$2:$A$501"),"&lt;"&amp;($BA156+1),INDIRECT("'"&amp;$A156&amp;"'!$D$2:$D$501"),"&gt;=1"),0)))</f>
        <v/>
      </c>
      <c r="AU156" s="25">
        <f>IF(OR($A156="",$I156=""),"",IF($BC156="Y",SUMIFS(survey_frozen!$I$2:$I$251,survey_frozen!$P$2:$P$251,$A156&amp;"|"&amp;$B156),IFERROR(SUMIFS(INDIRECT("'"&amp;$A156&amp;"'!$D$2:$D$501"),INDIRECT("'"&amp;$A156&amp;"'!$B$2:$B$501"),$T156,INDIRECT("'"&amp;$A156&amp;"'!$A$2:$A$501"),"&gt;="&amp;$I156,INDIRECT("'"&amp;$A156&amp;"'!$A$2:$A$501"),"&lt;"&amp;($BA156+1)),0)))</f>
        <v/>
      </c>
      <c r="AV156" s="25">
        <f>IF(OR($A156="",$I156=""),"",IF($BC156="Y",SUMIFS(survey_frozen!$J$2:$J$251,survey_frozen!$P$2:$P$251,$A156&amp;"|"&amp;$B156),IFERROR(COUNTIFS(INDIRECT("'"&amp;$A156&amp;"'!$B$2:$B$501"),$T156,INDIRECT("'"&amp;$A156&amp;"'!$A$2:$A$501"),"&gt;="&amp;$I156,INDIRECT("'"&amp;$A156&amp;"'!$A$2:$A$501"),"&lt;"&amp;($BA156+1),INDIRECT("'"&amp;$A156&amp;"'!$E$2:$E$501"),"Yes"),0)))</f>
        <v/>
      </c>
      <c r="AW156" s="25">
        <f>IF(OR($A156="",$I156=""),"",IF($BC156="Y",SUMIFS(survey_frozen!$K$2:$K$251,survey_frozen!$P$2:$P$251,$A156&amp;"|"&amp;$B156),IFERROR(COUNTIFS(INDIRECT("'"&amp;$A156&amp;"'!$B$2:$B$501"),$T156,INDIRECT("'"&amp;$A156&amp;"'!$A$2:$A$501"),"&gt;="&amp;$I156,INDIRECT("'"&amp;$A156&amp;"'!$A$2:$A$501"),"&lt;"&amp;($BA156+1),INDIRECT("'"&amp;$A156&amp;"'!$E$2:$E$501"),"Maybe"),0)))</f>
        <v/>
      </c>
      <c r="AX156" s="25">
        <f>IF(OR($A156="",$I156=""),"",IF($BC156="Y",SUMIFS(survey_frozen!$L$2:$L$251,survey_frozen!$P$2:$P$251,$A156&amp;"|"&amp;$B156),IFERROR(COUNTIFS(INDIRECT("'"&amp;$A156&amp;"'!$B$2:$B$501"),$T156,INDIRECT("'"&amp;$A156&amp;"'!$A$2:$A$501"),"&gt;="&amp;$I156,INDIRECT("'"&amp;$A156&amp;"'!$A$2:$A$501"),"&lt;"&amp;($BA156+1),INDIRECT("'"&amp;$A156&amp;"'!$E$2:$E$501"),"No"),0)))</f>
        <v/>
      </c>
      <c r="AY156" s="25">
        <f>IF(OR($A156="",$I156=""),"",IF($BC156="Y",SUMIFS(survey_frozen!$M$2:$M$251,survey_frozen!$P$2:$P$251,$A156&amp;"|"&amp;$B156),IFERROR(COUNTIFS(INDIRECT("'"&amp;$A156&amp;"'!$B$2:$B$501"),$T156,INDIRECT("'"&amp;$A156&amp;"'!$A$2:$A$501"),"&gt;="&amp;$I156,INDIRECT("'"&amp;$A156&amp;"'!$A$2:$A$501"),"&lt;"&amp;($BA156+1),INDIRECT("'"&amp;$A156&amp;"'!$G$2:$G$501"),"&lt;&gt;"),0)))</f>
        <v/>
      </c>
      <c r="AZ156" s="25">
        <f>IF($A156="","",$A156&amp;"|"&amp;$L156)</f>
        <v/>
      </c>
      <c r="BA156" s="26">
        <f>IF($A156="","",IFERROR(IF(INDEX(drops!$R$2:$R$21,MATCH($H156,drops!$A$2:$A$21,0))="","",INDEX(drops!$R$2:$R$21,MATCH($H156,drops!$A$2:$A$21,0))),""))</f>
        <v/>
      </c>
      <c r="BB156" s="25">
        <f>IF(OR($A156="",$Q156&lt;&gt;"Y"),1000000,N($AL156))</f>
        <v/>
      </c>
      <c r="BC156" s="25">
        <f>IF($A156="","",IF(COUNTIF(survey_frozen!$P$2:$P$251,$A156&amp;"|"&amp;$B156)&gt;0,"Y",""))</f>
        <v/>
      </c>
    </row>
    <row r="157">
      <c r="C157" s="9" t="n"/>
      <c r="E157" s="9" t="n"/>
      <c r="H157" s="25">
        <f>IF($A157="","",IFERROR(IF(INDEX(campaigns!$B$2:$B$51,MATCH($A157,campaigns!$A$2:$A$51,0))="","",INDEX(campaigns!$B$2:$B$51,MATCH($A157,campaigns!$A$2:$A$51,0))),""))</f>
        <v/>
      </c>
      <c r="I157" s="26">
        <f>IF($A157="","",IFERROR(IF(INDEX(campaigns!$BG$2:$BG$51,MATCH($A157,campaigns!$A$2:$A$51,0))="","",INDEX(campaigns!$BG$2:$BG$51,MATCH($A157,campaigns!$A$2:$A$51,0))),""))</f>
        <v/>
      </c>
      <c r="J157" s="25">
        <f>IF($A157="","",IFERROR(IF(INDEX(campaigns!$BE$2:$BE$51,MATCH($A157,campaigns!$A$2:$A$51,0))="","",INDEX(campaigns!$BE$2:$BE$51,MATCH($A157,campaigns!$A$2:$A$51,0))),""))</f>
        <v/>
      </c>
      <c r="K157" s="25">
        <f>IF($B157="","",IFERROR(IF(INDEX(offices!$N$2:$N$61,MATCH($B157,offices!$A$2:$A$61,0))="","",INDEX(offices!$N$2:$N$61,MATCH($B157,offices!$A$2:$A$61,0))),""))</f>
        <v/>
      </c>
      <c r="L157" s="25">
        <f>IF($A157="","",IF($Q157="N","",COUNTIFS($A$2:$A157,$A157,$Q$2:$Q157,"&lt;&gt;N")))</f>
        <v/>
      </c>
      <c r="M157" s="25">
        <f>IF(OR($A157="",$L157=""),"",IF(AND(config!$B$34="names_if_public",IFERROR(IF(INDEX(offices!$AF$2:$AF$61,MATCH($B157,offices!$A$2:$A$61,0))="","",INDEX(offices!$AF$2:$AF$61,MATCH($B157,offices!$A$2:$A$61,0))),"")="Y"),$K157,CHAR(64+$L157)))</f>
        <v/>
      </c>
      <c r="N157" s="25">
        <f>IF(OR($A157="",$I157=""),"",COUNTIFS(stops!$B$2:$B$151,$B157,stops!$P$2:$P$151,"&lt;"&amp;$I157,stops!$L$2:$L$151,"&lt;&gt;not_delivered")+1)</f>
        <v/>
      </c>
      <c r="O157" s="25">
        <f>IF($A157="","",IF(N($N157)&lt;=config!$B$29,"explicit","opt-out"))</f>
        <v/>
      </c>
      <c r="P157" s="25">
        <f>IF($A157="","",IF($O157="explicit",IF($D157="yes","Y",IF($D157="no","N","pending")),IF($D157="no","N",IF(AND($C157&lt;&gt;"",$I157&lt;&gt;"",$C157&lt;=WORKDAY(N($I157),-5,calendar!$A$2:$A$80)),"Y","pending"))))</f>
        <v/>
      </c>
      <c r="Q157" s="25">
        <f>IF($A157="","",IF($P157="N","N",IF($P157&lt;&gt;"Y","pending",IF(AND((COUNTIFS(stops!$A$2:$A$151,$H157,stops!$B$2:$B$151,$B157,stops!$L$2:$L$151,"declined")+COUNTIFS(stops!$A$2:$A$151,$H157,stops!$B$2:$B$151,$B157,stops!$L$2:$L$151,"building_refused")+COUNTIFS(stops!$A$2:$A$151,$H157,stops!$B$2:$B$151,$B157,stops!$L$2:$L$151,"not_delivered"))&gt;0,N($U157)=0),"N","Y"))))</f>
        <v/>
      </c>
      <c r="R157" s="25">
        <f>IF($A157="","",IF(COUNTIFS($A$2:$A$251,$A157,$B$2:$B$251,$B157)&gt;1,"DUPLICATE ROW; ","")&amp;IF(AND(IFERROR(IF(INDEX(offices!$AC$2:$AC$61,MATCH($B157,offices!$A$2:$A$61,0))="","",INDEX(offices!$AC$2:$AC$61,MATCH($B157,offices!$A$2:$A$61,0))),"")&lt;&gt;"",ISNUMBER(SEARCH($J157,IFERROR(IF(INDEX(offices!$AC$2:$AC$61,MATCH($B157,offices!$A$2:$A$61,0))="","",INDEX(offices!$AC$2:$AC$61,MATCH($B157,offices!$A$2:$A$61,0))),"")))),"BRAND VETOED; ","")&amp;IF(ISNUMBER(SEARCH(IFERROR(IF(INDEX(campaigns!$BF$2:$BF$51,MATCH($A157,campaigns!$A$2:$A$51,0))="","",INDEX(campaigns!$BF$2:$BF$51,MATCH($A157,campaigns!$A$2:$A$51,0))),""),IFERROR(IF(INDEX(offices!$AB$2:$AB$61,MATCH($B157,offices!$A$2:$A$61,0))="","",INDEX(offices!$AB$2:$AB$61,MATCH($B157,offices!$A$2:$A$61,0))),""))),"","info: category not on the office's list; ")&amp;IF(IFERROR(IF(INDEX(offices!$AC$2:$AC$61,MATCH($B157,offices!$A$2:$A$61,0))="","",INDEX(offices!$AC$2:$AC$61,MATCH($B157,offices!$A$2:$A$61,0))),"")&lt;&gt;"","info: read the vetoes against the label; ",""))</f>
        <v/>
      </c>
      <c r="S157" s="25">
        <f>IF($A157="","",IF($G157&lt;&gt;"",$G157,IFERROR(IF(INDEX(offices!$AL$2:$AL$61,MATCH($B157,offices!$A$2:$A$61,0))="","",INDEX(offices!$AL$2:$AL$61,MATCH($B157,offices!$A$2:$A$61,0))),"")))</f>
        <v/>
      </c>
      <c r="T157" s="25">
        <f>IF($A157="","",$A157&amp;"."&amp;$B157)</f>
        <v/>
      </c>
      <c r="U157" s="25">
        <f>IF($A157="","",SUMIFS(inventory!$G$2:$G$801,inventory!$C$2:$C$801,$A157,inventory!$D$2:$D$801,$B157,inventory!$E$2:$E$801,"delivered"))</f>
        <v/>
      </c>
      <c r="V157" s="32">
        <f>IF($A157="","",IFERROR(1/(1/SUMPRODUCT(MAX((inventory!$C$2:$C$801=$A157)*(inventory!$D$2:$D$801=$B157)*(inventory!$E$2:$E$801="delivered")*(inventory!$A$2:$A$801+inventory!$B$2:$B$801)))),""))</f>
        <v/>
      </c>
      <c r="W157" s="25">
        <f>IF($A157="","",IFERROR(IF(INDEX(inventory!$J$2:$J$801,MATCH($A157&amp;"|"&amp;$B157&amp;"|delivered",inventory!$R$2:$R$801,0))="","",INDEX(inventory!$J$2:$J$801,MATCH($A157&amp;"|"&amp;$B157&amp;"|delivered",inventory!$R$2:$R$801,0))),""))</f>
        <v/>
      </c>
      <c r="X157" s="25">
        <f>IF($A157="","",IFERROR(IF(INDEX(photos!$H$2:$H$701,MATCH($A157&amp;"|"&amp;$B157&amp;"|placement|Y",photos!$R$2:$R$701,0))="","",INDEX(photos!$H$2:$H$701,MATCH($A157&amp;"|"&amp;$B157&amp;"|placement|Y",photos!$R$2:$R$701,0))),""))</f>
        <v/>
      </c>
      <c r="Y157" s="26">
        <f>IF($A157="","",IFERROR(IF(INDEX(photos!$E$2:$E$701,MATCH($A157&amp;"|"&amp;$B157&amp;"|placement|Y",photos!$R$2:$R$701,0))="","",INDEX(photos!$E$2:$E$701,MATCH($A157&amp;"|"&amp;$B157&amp;"|placement|Y",photos!$R$2:$R$701,0))),""))</f>
        <v/>
      </c>
      <c r="Z157" s="25">
        <f>IF($A157="","",IF(COUNTIFS(counts!$C$2:$C$701,$A157,counts!$D$2:$D$701,$B157,counts!$E$2:$E$701,"placed")=0,"",SUMIFS(counts!$F$2:$F$701,counts!$C$2:$C$701,$A157,counts!$D$2:$D$701,$B157,counts!$E$2:$E$701,"placed")))</f>
        <v/>
      </c>
      <c r="AA157" s="25">
        <f>IF($A157="","",IF($Y157="",0,N($Z157)))</f>
        <v/>
      </c>
      <c r="AB157" s="25">
        <f>IF($A157="","",IF(OR($Y157="",$I157=""),"N",IF($Y157&lt;=WORKDAY(N($I157),1,calendar!$A$2:$A$80),"Y","N")))</f>
        <v/>
      </c>
      <c r="AC157" s="28">
        <f>IF(OR($A157="",$V157="",$Y157=""),"",ROUND(($Y157+N(IFERROR(IF(INDEX(photos!$F$2:$F$701,MATCH($A157&amp;"|"&amp;$B157&amp;"|placement|Y",photos!$R$2:$R$701,0))="","",INDEX(photos!$F$2:$F$701,MATCH($A157&amp;"|"&amp;$B157&amp;"|placement|Y",photos!$R$2:$R$701,0))),""))-$V157)*24,1))</f>
        <v/>
      </c>
      <c r="AD157" s="25">
        <f>IF($A157="","",SUMIFS(inventory!$G$2:$G$801,inventory!$C$2:$C$801,$A157,inventory!$D$2:$D$801,$B157,inventory!$E$2:$E$801,"topped_up"))</f>
        <v/>
      </c>
      <c r="AE157" s="25">
        <f>IF($A157="","",IF(COUNTIFS(counts!$C$2:$C$701,$A157,counts!$D$2:$D$701,$B157,counts!$E$2:$E$701,"remaining_day3")=0,"",SUMIFS(counts!$F$2:$F$701,counts!$C$2:$C$701,$A157,counts!$D$2:$D$701,$B157,counts!$E$2:$E$701,"remaining_day3")))</f>
        <v/>
      </c>
      <c r="AF157" s="25">
        <f>IF($A157="","",IF(COUNTIFS(counts!$C$2:$C$701,$A157,counts!$D$2:$D$701,$B157,counts!$E$2:$E$701,"remaining_day5")=0,"",SUMIFS(counts!$F$2:$F$701,counts!$C$2:$C$701,$A157,counts!$D$2:$D$701,$B157,counts!$E$2:$E$701,"remaining_day5")))</f>
        <v/>
      </c>
      <c r="AG157" s="25">
        <f>IF(OR($A157="",$AF157=""),"",MAX(0,$AA157+$AD157-$AF157))</f>
        <v/>
      </c>
      <c r="AH157" s="25">
        <f>IF(OR($A157="",$AI157=""),"",IFERROR(IF(INDEX(photos!$H$2:$H$701,MATCH($A157&amp;"|"&amp;$B157&amp;"|later|Y|"&amp;$AI157,photos!$S$2:$S$701,0))="","",INDEX(photos!$H$2:$H$701,MATCH($A157&amp;"|"&amp;$B157&amp;"|later|Y|"&amp;$AI157,photos!$S$2:$S$701,0))),""))</f>
        <v/>
      </c>
      <c r="AI157" s="26">
        <f>IF($A157="","",IFERROR(1/(1/SUMPRODUCT(MAX((photos!$B$2:$B$701=$A157)*(photos!$C$2:$C$701=$B157)*(photos!$D$2:$D$701="later")*(photos!$O$2:$O$701="Y")*photos!$E$2:$E$701))),""))</f>
        <v/>
      </c>
      <c r="AJ157" s="25">
        <f>IF(OR($A157="",$AI157="",$I157=""),"",NETWORKDAYS($I157,$AI157,calendar!$A$2:$A$80))</f>
        <v/>
      </c>
      <c r="AK157" s="25">
        <f>IF($A157="","",IF(AND($X157&lt;&gt;"",$AH157&lt;&gt;""),"Y","N"))</f>
        <v/>
      </c>
      <c r="AL157" s="25">
        <f>IF(OR($A157="",$I157=""),"",IF($BC157="Y",SUMIFS(survey_frozen!$C$2:$C$251,survey_frozen!$P$2:$P$251,$A157&amp;"|"&amp;$B157),IFERROR(COUNTIFS(INDIRECT("'"&amp;$A157&amp;"'!$B$2:$B$501"),$T157,INDIRECT("'"&amp;$A157&amp;"'!$A$2:$A$501"),"&gt;="&amp;$I157,INDIRECT("'"&amp;$A157&amp;"'!$A$2:$A$501"),"&lt;"&amp;($BA157+1)),0)))</f>
        <v/>
      </c>
      <c r="AM157" s="25">
        <f>IF(OR($A157="",$I157=""),"",IF($BC157="Y",SUMIFS(survey_frozen!$D$2:$D$251,survey_frozen!$P$2:$P$251,$A157&amp;"|"&amp;$B157),IFERROR(COUNTIFS(INDIRECT("'"&amp;$A157&amp;"'!$B$2:$B$501"),$T157,INDIRECT("'"&amp;$A157&amp;"'!$A$2:$A$501"),"&gt;="&amp;$I157,INDIRECT("'"&amp;$A157&amp;"'!$A$2:$A$501"),"&lt;"&amp;($BA157+1),INDIRECT("'"&amp;$A157&amp;"'!$C$2:$C$501"),"Yes"),0)))</f>
        <v/>
      </c>
      <c r="AN157" s="25">
        <f>IF($A157="","",IF(COUNTIFS(scans!$C$2:$C$1601,(IF(LEFT($A157,7)="SAMPLE-","SAMPLE-","")&amp;LOWER(SUBSTITUTE(SUBSTITUTE($A157,"SAMPLE-",""),"CMP-","c"))&amp;"-"&amp;LOWER(SUBSTITUTE(SUBSTITUTE($B157,"SAMPLE-",""),"O-","o"))&amp;"-q"),scans!$D$2:$D$1601,"close")=0,"",SUMPRODUCT(MAX((scans!$C$2:$C$1601=(IF(LEFT($A157,7)="SAMPLE-","SAMPLE-","")&amp;LOWER(SUBSTITUTE(SUBSTITUTE($A157,"SAMPLE-",""),"CMP-","c"))&amp;"-"&amp;LOWER(SUBSTITUTE(SUBSTITUTE($B157,"SAMPLE-",""),"O-","o"))&amp;"-q"))*(scans!$D$2:$D$1601="close")*scans!$E$2:$E$1601))-SUMPRODUCT(MAX((scans!$C$2:$C$1601=(IF(LEFT($A157,7)="SAMPLE-","SAMPLE-","")&amp;LOWER(SUBSTITUTE(SUBSTITUTE($A157,"SAMPLE-",""),"CMP-","c"))&amp;"-"&amp;LOWER(SUBSTITUTE(SUBSTITUTE($B157,"SAMPLE-",""),"O-","o"))&amp;"-q"))*(scans!$D$2:$D$1601="baseline")*scans!$E$2:$E$1601))))</f>
        <v/>
      </c>
      <c r="AO157" s="25">
        <f>IF($A157="","",IF(COUNTIFS(scans!$C$2:$C$1601,(IF(LEFT($A157,7)="SAMPLE-","SAMPLE-","")&amp;LOWER(SUBSTITUTE(SUBSTITUTE($A157,"SAMPLE-",""),"CMP-","c"))&amp;"-"&amp;LOWER(SUBSTITUTE(SUBSTITUTE($B157,"SAMPLE-",""),"O-","o"))&amp;"-p"),scans!$D$2:$D$1601,"close")=0,"",SUMPRODUCT(MAX((scans!$C$2:$C$1601=(IF(LEFT($A157,7)="SAMPLE-","SAMPLE-","")&amp;LOWER(SUBSTITUTE(SUBSTITUTE($A157,"SAMPLE-",""),"CMP-","c"))&amp;"-"&amp;LOWER(SUBSTITUTE(SUBSTITUTE($B157,"SAMPLE-",""),"O-","o"))&amp;"-p"))*(scans!$D$2:$D$1601="close")*scans!$E$2:$E$1601))-SUMPRODUCT(MAX((scans!$C$2:$C$1601=(IF(LEFT($A157,7)="SAMPLE-","SAMPLE-","")&amp;LOWER(SUBSTITUTE(SUBSTITUTE($A157,"SAMPLE-",""),"CMP-","c"))&amp;"-"&amp;LOWER(SUBSTITUTE(SUBSTITUTE($B157,"SAMPLE-",""),"O-","o"))&amp;"-p"))*(scans!$D$2:$D$1601="baseline")*scans!$E$2:$E$1601))))</f>
        <v/>
      </c>
      <c r="AP157" s="25">
        <f>IF($A157="","",IF(COUNTIF(offices!$A$2:$A$61,$B157)=0,"office_id not on offices; ","")&amp;IF(COUNTIF(campaigns!$A$2:$A$51,$A157)=0,"campaign_id not on campaigns; ","")&amp;IF($P157="pending","approval pending; ","")&amp;IF(AND($U157&gt;0,$Y157="",OR($I157="",IF(config!$B$37&lt;&gt;"",config!$B$37,TODAY())&lt;=WORKDAY(N($I157),4,calendar!$A$2:$A$80))),"no usable placement photo yet; ","")&amp;IF(AND($Y157&lt;&gt;"",$Z157=""),"log the placed count; ","")&amp;IF(N($AA157)&gt;N($U157),"placed more than delivered; ","")&amp;IF(AND($AF157&lt;&gt;"",N($AF157)&gt;N($AA157)+N($AD157)),"day-5 count above placed plus top-ups; ","")&amp;IF(AND($U157&gt;0,$I157&lt;&gt;"",IF(config!$B$37&lt;&gt;"",config!$B$37,TODAY())&gt;WORKDAY(N($I157),4,calendar!$A$2:$A$80),$AF157=""),"day-5 count missing; ","")&amp;IF(AND($U157&gt;0,$I157&lt;&gt;"",IF(config!$B$37&lt;&gt;"",config!$B$37,TODAY())&gt;WORKDAY(N($I157),4,calendar!$A$2:$A$80),$AN157=""),"no close link reading; ","")&amp;$R157&amp;IF($P157="N","info: office said no; ","")&amp;IF(AND($P157="Y",$Q157="N"),"info: turned away at the door, so not on the drop (no letter, not in the report or Gate 2; the credit check is on campaigns); ","")&amp;IF(AND($U157&gt;0,$Y157="",$I157&lt;&gt;"",IF(config!$B$37&lt;&gt;"",config!$B$37,TODAY())&gt;WORKDAY(N($I157),4,calendar!$A$2:$A$80)),"info: no usable placement photo, so nothing counts as placed; ","")&amp;IF(AND($U157&gt;0,$I157&lt;&gt;"",IF(config!$B$37&lt;&gt;"",config!$B$37,TODAY())&gt;WORKDAY(N($I157),4,calendar!$A$2:$A$80),N($AL157)&lt;config!$B$30),"info: under "&amp;config!$B$30&amp;" responses; ","")&amp;IF($W157="packing_list","info: delivered count not verified; ",""))</f>
        <v/>
      </c>
      <c r="AQ157" s="25">
        <f>IF(OR($A157="",$I157=""),"",IF($BC157="Y",SUMIFS(survey_frozen!$E$2:$E$251,survey_frozen!$P$2:$P$251,$A157&amp;"|"&amp;$B157),IFERROR(COUNTIFS(INDIRECT("'"&amp;$A157&amp;"'!$B$2:$B$501"),$T157,INDIRECT("'"&amp;$A157&amp;"'!$A$2:$A$501"),"&gt;="&amp;$I157,INDIRECT("'"&amp;$A157&amp;"'!$A$2:$A$501"),"&lt;"&amp;($BA157+1),INDIRECT("'"&amp;$A157&amp;"'!$F$2:$F$501"),"Didn't see it"),0)))</f>
        <v/>
      </c>
      <c r="AR157" s="25">
        <f>IF(OR($A157="",$I157=""),"",IF($BC157="Y",SUMIFS(survey_frozen!$F$2:$F$251,survey_frozen!$P$2:$P$251,$A157&amp;"|"&amp;$B157),IFERROR(COUNTIFS(INDIRECT("'"&amp;$A157&amp;"'!$B$2:$B$501"),$T157,INDIRECT("'"&amp;$A157&amp;"'!$A$2:$A$501"),"&gt;="&amp;$I157,INDIRECT("'"&amp;$A157&amp;"'!$A$2:$A$501"),"&lt;"&amp;($BA157+1),INDIRECT("'"&amp;$A157&amp;"'!$F$2:$F$501"),"Not for me"),0)))</f>
        <v/>
      </c>
      <c r="AS157" s="25">
        <f>IF(OR($A157="",$I157=""),"",IF($BC157="Y",SUMIFS(survey_frozen!$G$2:$G$251,survey_frozen!$P$2:$P$251,$A157&amp;"|"&amp;$B157),IFERROR(COUNTIFS(INDIRECT("'"&amp;$A157&amp;"'!$B$2:$B$501"),$T157,INDIRECT("'"&amp;$A157&amp;"'!$A$2:$A$501"),"&gt;="&amp;$I157,INDIRECT("'"&amp;$A157&amp;"'!$A$2:$A$501"),"&lt;"&amp;($BA157+1),INDIRECT("'"&amp;$A157&amp;"'!$F$2:$F$501"),"Gone by the time I looked"),0)))</f>
        <v/>
      </c>
      <c r="AT157" s="25">
        <f>IF(OR($A157="",$I157=""),"",IF($BC157="Y",SUMIFS(survey_frozen!$H$2:$H$251,survey_frozen!$P$2:$P$251,$A157&amp;"|"&amp;$B157),IFERROR(COUNTIFS(INDIRECT("'"&amp;$A157&amp;"'!$B$2:$B$501"),$T157,INDIRECT("'"&amp;$A157&amp;"'!$A$2:$A$501"),"&gt;="&amp;$I157,INDIRECT("'"&amp;$A157&amp;"'!$A$2:$A$501"),"&lt;"&amp;($BA157+1),INDIRECT("'"&amp;$A157&amp;"'!$D$2:$D$501"),"&gt;=1"),0)))</f>
        <v/>
      </c>
      <c r="AU157" s="25">
        <f>IF(OR($A157="",$I157=""),"",IF($BC157="Y",SUMIFS(survey_frozen!$I$2:$I$251,survey_frozen!$P$2:$P$251,$A157&amp;"|"&amp;$B157),IFERROR(SUMIFS(INDIRECT("'"&amp;$A157&amp;"'!$D$2:$D$501"),INDIRECT("'"&amp;$A157&amp;"'!$B$2:$B$501"),$T157,INDIRECT("'"&amp;$A157&amp;"'!$A$2:$A$501"),"&gt;="&amp;$I157,INDIRECT("'"&amp;$A157&amp;"'!$A$2:$A$501"),"&lt;"&amp;($BA157+1)),0)))</f>
        <v/>
      </c>
      <c r="AV157" s="25">
        <f>IF(OR($A157="",$I157=""),"",IF($BC157="Y",SUMIFS(survey_frozen!$J$2:$J$251,survey_frozen!$P$2:$P$251,$A157&amp;"|"&amp;$B157),IFERROR(COUNTIFS(INDIRECT("'"&amp;$A157&amp;"'!$B$2:$B$501"),$T157,INDIRECT("'"&amp;$A157&amp;"'!$A$2:$A$501"),"&gt;="&amp;$I157,INDIRECT("'"&amp;$A157&amp;"'!$A$2:$A$501"),"&lt;"&amp;($BA157+1),INDIRECT("'"&amp;$A157&amp;"'!$E$2:$E$501"),"Yes"),0)))</f>
        <v/>
      </c>
      <c r="AW157" s="25">
        <f>IF(OR($A157="",$I157=""),"",IF($BC157="Y",SUMIFS(survey_frozen!$K$2:$K$251,survey_frozen!$P$2:$P$251,$A157&amp;"|"&amp;$B157),IFERROR(COUNTIFS(INDIRECT("'"&amp;$A157&amp;"'!$B$2:$B$501"),$T157,INDIRECT("'"&amp;$A157&amp;"'!$A$2:$A$501"),"&gt;="&amp;$I157,INDIRECT("'"&amp;$A157&amp;"'!$A$2:$A$501"),"&lt;"&amp;($BA157+1),INDIRECT("'"&amp;$A157&amp;"'!$E$2:$E$501"),"Maybe"),0)))</f>
        <v/>
      </c>
      <c r="AX157" s="25">
        <f>IF(OR($A157="",$I157=""),"",IF($BC157="Y",SUMIFS(survey_frozen!$L$2:$L$251,survey_frozen!$P$2:$P$251,$A157&amp;"|"&amp;$B157),IFERROR(COUNTIFS(INDIRECT("'"&amp;$A157&amp;"'!$B$2:$B$501"),$T157,INDIRECT("'"&amp;$A157&amp;"'!$A$2:$A$501"),"&gt;="&amp;$I157,INDIRECT("'"&amp;$A157&amp;"'!$A$2:$A$501"),"&lt;"&amp;($BA157+1),INDIRECT("'"&amp;$A157&amp;"'!$E$2:$E$501"),"No"),0)))</f>
        <v/>
      </c>
      <c r="AY157" s="25">
        <f>IF(OR($A157="",$I157=""),"",IF($BC157="Y",SUMIFS(survey_frozen!$M$2:$M$251,survey_frozen!$P$2:$P$251,$A157&amp;"|"&amp;$B157),IFERROR(COUNTIFS(INDIRECT("'"&amp;$A157&amp;"'!$B$2:$B$501"),$T157,INDIRECT("'"&amp;$A157&amp;"'!$A$2:$A$501"),"&gt;="&amp;$I157,INDIRECT("'"&amp;$A157&amp;"'!$A$2:$A$501"),"&lt;"&amp;($BA157+1),INDIRECT("'"&amp;$A157&amp;"'!$G$2:$G$501"),"&lt;&gt;"),0)))</f>
        <v/>
      </c>
      <c r="AZ157" s="25">
        <f>IF($A157="","",$A157&amp;"|"&amp;$L157)</f>
        <v/>
      </c>
      <c r="BA157" s="26">
        <f>IF($A157="","",IFERROR(IF(INDEX(drops!$R$2:$R$21,MATCH($H157,drops!$A$2:$A$21,0))="","",INDEX(drops!$R$2:$R$21,MATCH($H157,drops!$A$2:$A$21,0))),""))</f>
        <v/>
      </c>
      <c r="BB157" s="25">
        <f>IF(OR($A157="",$Q157&lt;&gt;"Y"),1000000,N($AL157))</f>
        <v/>
      </c>
      <c r="BC157" s="25">
        <f>IF($A157="","",IF(COUNTIF(survey_frozen!$P$2:$P$251,$A157&amp;"|"&amp;$B157)&gt;0,"Y",""))</f>
        <v/>
      </c>
    </row>
    <row r="158">
      <c r="C158" s="9" t="n"/>
      <c r="E158" s="9" t="n"/>
      <c r="H158" s="25">
        <f>IF($A158="","",IFERROR(IF(INDEX(campaigns!$B$2:$B$51,MATCH($A158,campaigns!$A$2:$A$51,0))="","",INDEX(campaigns!$B$2:$B$51,MATCH($A158,campaigns!$A$2:$A$51,0))),""))</f>
        <v/>
      </c>
      <c r="I158" s="26">
        <f>IF($A158="","",IFERROR(IF(INDEX(campaigns!$BG$2:$BG$51,MATCH($A158,campaigns!$A$2:$A$51,0))="","",INDEX(campaigns!$BG$2:$BG$51,MATCH($A158,campaigns!$A$2:$A$51,0))),""))</f>
        <v/>
      </c>
      <c r="J158" s="25">
        <f>IF($A158="","",IFERROR(IF(INDEX(campaigns!$BE$2:$BE$51,MATCH($A158,campaigns!$A$2:$A$51,0))="","",INDEX(campaigns!$BE$2:$BE$51,MATCH($A158,campaigns!$A$2:$A$51,0))),""))</f>
        <v/>
      </c>
      <c r="K158" s="25">
        <f>IF($B158="","",IFERROR(IF(INDEX(offices!$N$2:$N$61,MATCH($B158,offices!$A$2:$A$61,0))="","",INDEX(offices!$N$2:$N$61,MATCH($B158,offices!$A$2:$A$61,0))),""))</f>
        <v/>
      </c>
      <c r="L158" s="25">
        <f>IF($A158="","",IF($Q158="N","",COUNTIFS($A$2:$A158,$A158,$Q$2:$Q158,"&lt;&gt;N")))</f>
        <v/>
      </c>
      <c r="M158" s="25">
        <f>IF(OR($A158="",$L158=""),"",IF(AND(config!$B$34="names_if_public",IFERROR(IF(INDEX(offices!$AF$2:$AF$61,MATCH($B158,offices!$A$2:$A$61,0))="","",INDEX(offices!$AF$2:$AF$61,MATCH($B158,offices!$A$2:$A$61,0))),"")="Y"),$K158,CHAR(64+$L158)))</f>
        <v/>
      </c>
      <c r="N158" s="25">
        <f>IF(OR($A158="",$I158=""),"",COUNTIFS(stops!$B$2:$B$151,$B158,stops!$P$2:$P$151,"&lt;"&amp;$I158,stops!$L$2:$L$151,"&lt;&gt;not_delivered")+1)</f>
        <v/>
      </c>
      <c r="O158" s="25">
        <f>IF($A158="","",IF(N($N158)&lt;=config!$B$29,"explicit","opt-out"))</f>
        <v/>
      </c>
      <c r="P158" s="25">
        <f>IF($A158="","",IF($O158="explicit",IF($D158="yes","Y",IF($D158="no","N","pending")),IF($D158="no","N",IF(AND($C158&lt;&gt;"",$I158&lt;&gt;"",$C158&lt;=WORKDAY(N($I158),-5,calendar!$A$2:$A$80)),"Y","pending"))))</f>
        <v/>
      </c>
      <c r="Q158" s="25">
        <f>IF($A158="","",IF($P158="N","N",IF($P158&lt;&gt;"Y","pending",IF(AND((COUNTIFS(stops!$A$2:$A$151,$H158,stops!$B$2:$B$151,$B158,stops!$L$2:$L$151,"declined")+COUNTIFS(stops!$A$2:$A$151,$H158,stops!$B$2:$B$151,$B158,stops!$L$2:$L$151,"building_refused")+COUNTIFS(stops!$A$2:$A$151,$H158,stops!$B$2:$B$151,$B158,stops!$L$2:$L$151,"not_delivered"))&gt;0,N($U158)=0),"N","Y"))))</f>
        <v/>
      </c>
      <c r="R158" s="25">
        <f>IF($A158="","",IF(COUNTIFS($A$2:$A$251,$A158,$B$2:$B$251,$B158)&gt;1,"DUPLICATE ROW; ","")&amp;IF(AND(IFERROR(IF(INDEX(offices!$AC$2:$AC$61,MATCH($B158,offices!$A$2:$A$61,0))="","",INDEX(offices!$AC$2:$AC$61,MATCH($B158,offices!$A$2:$A$61,0))),"")&lt;&gt;"",ISNUMBER(SEARCH($J158,IFERROR(IF(INDEX(offices!$AC$2:$AC$61,MATCH($B158,offices!$A$2:$A$61,0))="","",INDEX(offices!$AC$2:$AC$61,MATCH($B158,offices!$A$2:$A$61,0))),"")))),"BRAND VETOED; ","")&amp;IF(ISNUMBER(SEARCH(IFERROR(IF(INDEX(campaigns!$BF$2:$BF$51,MATCH($A158,campaigns!$A$2:$A$51,0))="","",INDEX(campaigns!$BF$2:$BF$51,MATCH($A158,campaigns!$A$2:$A$51,0))),""),IFERROR(IF(INDEX(offices!$AB$2:$AB$61,MATCH($B158,offices!$A$2:$A$61,0))="","",INDEX(offices!$AB$2:$AB$61,MATCH($B158,offices!$A$2:$A$61,0))),""))),"","info: category not on the office's list; ")&amp;IF(IFERROR(IF(INDEX(offices!$AC$2:$AC$61,MATCH($B158,offices!$A$2:$A$61,0))="","",INDEX(offices!$AC$2:$AC$61,MATCH($B158,offices!$A$2:$A$61,0))),"")&lt;&gt;"","info: read the vetoes against the label; ",""))</f>
        <v/>
      </c>
      <c r="S158" s="25">
        <f>IF($A158="","",IF($G158&lt;&gt;"",$G158,IFERROR(IF(INDEX(offices!$AL$2:$AL$61,MATCH($B158,offices!$A$2:$A$61,0))="","",INDEX(offices!$AL$2:$AL$61,MATCH($B158,offices!$A$2:$A$61,0))),"")))</f>
        <v/>
      </c>
      <c r="T158" s="25">
        <f>IF($A158="","",$A158&amp;"."&amp;$B158)</f>
        <v/>
      </c>
      <c r="U158" s="25">
        <f>IF($A158="","",SUMIFS(inventory!$G$2:$G$801,inventory!$C$2:$C$801,$A158,inventory!$D$2:$D$801,$B158,inventory!$E$2:$E$801,"delivered"))</f>
        <v/>
      </c>
      <c r="V158" s="32">
        <f>IF($A158="","",IFERROR(1/(1/SUMPRODUCT(MAX((inventory!$C$2:$C$801=$A158)*(inventory!$D$2:$D$801=$B158)*(inventory!$E$2:$E$801="delivered")*(inventory!$A$2:$A$801+inventory!$B$2:$B$801)))),""))</f>
        <v/>
      </c>
      <c r="W158" s="25">
        <f>IF($A158="","",IFERROR(IF(INDEX(inventory!$J$2:$J$801,MATCH($A158&amp;"|"&amp;$B158&amp;"|delivered",inventory!$R$2:$R$801,0))="","",INDEX(inventory!$J$2:$J$801,MATCH($A158&amp;"|"&amp;$B158&amp;"|delivered",inventory!$R$2:$R$801,0))),""))</f>
        <v/>
      </c>
      <c r="X158" s="25">
        <f>IF($A158="","",IFERROR(IF(INDEX(photos!$H$2:$H$701,MATCH($A158&amp;"|"&amp;$B158&amp;"|placement|Y",photos!$R$2:$R$701,0))="","",INDEX(photos!$H$2:$H$701,MATCH($A158&amp;"|"&amp;$B158&amp;"|placement|Y",photos!$R$2:$R$701,0))),""))</f>
        <v/>
      </c>
      <c r="Y158" s="26">
        <f>IF($A158="","",IFERROR(IF(INDEX(photos!$E$2:$E$701,MATCH($A158&amp;"|"&amp;$B158&amp;"|placement|Y",photos!$R$2:$R$701,0))="","",INDEX(photos!$E$2:$E$701,MATCH($A158&amp;"|"&amp;$B158&amp;"|placement|Y",photos!$R$2:$R$701,0))),""))</f>
        <v/>
      </c>
      <c r="Z158" s="25">
        <f>IF($A158="","",IF(COUNTIFS(counts!$C$2:$C$701,$A158,counts!$D$2:$D$701,$B158,counts!$E$2:$E$701,"placed")=0,"",SUMIFS(counts!$F$2:$F$701,counts!$C$2:$C$701,$A158,counts!$D$2:$D$701,$B158,counts!$E$2:$E$701,"placed")))</f>
        <v/>
      </c>
      <c r="AA158" s="25">
        <f>IF($A158="","",IF($Y158="",0,N($Z158)))</f>
        <v/>
      </c>
      <c r="AB158" s="25">
        <f>IF($A158="","",IF(OR($Y158="",$I158=""),"N",IF($Y158&lt;=WORKDAY(N($I158),1,calendar!$A$2:$A$80),"Y","N")))</f>
        <v/>
      </c>
      <c r="AC158" s="28">
        <f>IF(OR($A158="",$V158="",$Y158=""),"",ROUND(($Y158+N(IFERROR(IF(INDEX(photos!$F$2:$F$701,MATCH($A158&amp;"|"&amp;$B158&amp;"|placement|Y",photos!$R$2:$R$701,0))="","",INDEX(photos!$F$2:$F$701,MATCH($A158&amp;"|"&amp;$B158&amp;"|placement|Y",photos!$R$2:$R$701,0))),""))-$V158)*24,1))</f>
        <v/>
      </c>
      <c r="AD158" s="25">
        <f>IF($A158="","",SUMIFS(inventory!$G$2:$G$801,inventory!$C$2:$C$801,$A158,inventory!$D$2:$D$801,$B158,inventory!$E$2:$E$801,"topped_up"))</f>
        <v/>
      </c>
      <c r="AE158" s="25">
        <f>IF($A158="","",IF(COUNTIFS(counts!$C$2:$C$701,$A158,counts!$D$2:$D$701,$B158,counts!$E$2:$E$701,"remaining_day3")=0,"",SUMIFS(counts!$F$2:$F$701,counts!$C$2:$C$701,$A158,counts!$D$2:$D$701,$B158,counts!$E$2:$E$701,"remaining_day3")))</f>
        <v/>
      </c>
      <c r="AF158" s="25">
        <f>IF($A158="","",IF(COUNTIFS(counts!$C$2:$C$701,$A158,counts!$D$2:$D$701,$B158,counts!$E$2:$E$701,"remaining_day5")=0,"",SUMIFS(counts!$F$2:$F$701,counts!$C$2:$C$701,$A158,counts!$D$2:$D$701,$B158,counts!$E$2:$E$701,"remaining_day5")))</f>
        <v/>
      </c>
      <c r="AG158" s="25">
        <f>IF(OR($A158="",$AF158=""),"",MAX(0,$AA158+$AD158-$AF158))</f>
        <v/>
      </c>
      <c r="AH158" s="25">
        <f>IF(OR($A158="",$AI158=""),"",IFERROR(IF(INDEX(photos!$H$2:$H$701,MATCH($A158&amp;"|"&amp;$B158&amp;"|later|Y|"&amp;$AI158,photos!$S$2:$S$701,0))="","",INDEX(photos!$H$2:$H$701,MATCH($A158&amp;"|"&amp;$B158&amp;"|later|Y|"&amp;$AI158,photos!$S$2:$S$701,0))),""))</f>
        <v/>
      </c>
      <c r="AI158" s="26">
        <f>IF($A158="","",IFERROR(1/(1/SUMPRODUCT(MAX((photos!$B$2:$B$701=$A158)*(photos!$C$2:$C$701=$B158)*(photos!$D$2:$D$701="later")*(photos!$O$2:$O$701="Y")*photos!$E$2:$E$701))),""))</f>
        <v/>
      </c>
      <c r="AJ158" s="25">
        <f>IF(OR($A158="",$AI158="",$I158=""),"",NETWORKDAYS($I158,$AI158,calendar!$A$2:$A$80))</f>
        <v/>
      </c>
      <c r="AK158" s="25">
        <f>IF($A158="","",IF(AND($X158&lt;&gt;"",$AH158&lt;&gt;""),"Y","N"))</f>
        <v/>
      </c>
      <c r="AL158" s="25">
        <f>IF(OR($A158="",$I158=""),"",IF($BC158="Y",SUMIFS(survey_frozen!$C$2:$C$251,survey_frozen!$P$2:$P$251,$A158&amp;"|"&amp;$B158),IFERROR(COUNTIFS(INDIRECT("'"&amp;$A158&amp;"'!$B$2:$B$501"),$T158,INDIRECT("'"&amp;$A158&amp;"'!$A$2:$A$501"),"&gt;="&amp;$I158,INDIRECT("'"&amp;$A158&amp;"'!$A$2:$A$501"),"&lt;"&amp;($BA158+1)),0)))</f>
        <v/>
      </c>
      <c r="AM158" s="25">
        <f>IF(OR($A158="",$I158=""),"",IF($BC158="Y",SUMIFS(survey_frozen!$D$2:$D$251,survey_frozen!$P$2:$P$251,$A158&amp;"|"&amp;$B158),IFERROR(COUNTIFS(INDIRECT("'"&amp;$A158&amp;"'!$B$2:$B$501"),$T158,INDIRECT("'"&amp;$A158&amp;"'!$A$2:$A$501"),"&gt;="&amp;$I158,INDIRECT("'"&amp;$A158&amp;"'!$A$2:$A$501"),"&lt;"&amp;($BA158+1),INDIRECT("'"&amp;$A158&amp;"'!$C$2:$C$501"),"Yes"),0)))</f>
        <v/>
      </c>
      <c r="AN158" s="25">
        <f>IF($A158="","",IF(COUNTIFS(scans!$C$2:$C$1601,(IF(LEFT($A158,7)="SAMPLE-","SAMPLE-","")&amp;LOWER(SUBSTITUTE(SUBSTITUTE($A158,"SAMPLE-",""),"CMP-","c"))&amp;"-"&amp;LOWER(SUBSTITUTE(SUBSTITUTE($B158,"SAMPLE-",""),"O-","o"))&amp;"-q"),scans!$D$2:$D$1601,"close")=0,"",SUMPRODUCT(MAX((scans!$C$2:$C$1601=(IF(LEFT($A158,7)="SAMPLE-","SAMPLE-","")&amp;LOWER(SUBSTITUTE(SUBSTITUTE($A158,"SAMPLE-",""),"CMP-","c"))&amp;"-"&amp;LOWER(SUBSTITUTE(SUBSTITUTE($B158,"SAMPLE-",""),"O-","o"))&amp;"-q"))*(scans!$D$2:$D$1601="close")*scans!$E$2:$E$1601))-SUMPRODUCT(MAX((scans!$C$2:$C$1601=(IF(LEFT($A158,7)="SAMPLE-","SAMPLE-","")&amp;LOWER(SUBSTITUTE(SUBSTITUTE($A158,"SAMPLE-",""),"CMP-","c"))&amp;"-"&amp;LOWER(SUBSTITUTE(SUBSTITUTE($B158,"SAMPLE-",""),"O-","o"))&amp;"-q"))*(scans!$D$2:$D$1601="baseline")*scans!$E$2:$E$1601))))</f>
        <v/>
      </c>
      <c r="AO158" s="25">
        <f>IF($A158="","",IF(COUNTIFS(scans!$C$2:$C$1601,(IF(LEFT($A158,7)="SAMPLE-","SAMPLE-","")&amp;LOWER(SUBSTITUTE(SUBSTITUTE($A158,"SAMPLE-",""),"CMP-","c"))&amp;"-"&amp;LOWER(SUBSTITUTE(SUBSTITUTE($B158,"SAMPLE-",""),"O-","o"))&amp;"-p"),scans!$D$2:$D$1601,"close")=0,"",SUMPRODUCT(MAX((scans!$C$2:$C$1601=(IF(LEFT($A158,7)="SAMPLE-","SAMPLE-","")&amp;LOWER(SUBSTITUTE(SUBSTITUTE($A158,"SAMPLE-",""),"CMP-","c"))&amp;"-"&amp;LOWER(SUBSTITUTE(SUBSTITUTE($B158,"SAMPLE-",""),"O-","o"))&amp;"-p"))*(scans!$D$2:$D$1601="close")*scans!$E$2:$E$1601))-SUMPRODUCT(MAX((scans!$C$2:$C$1601=(IF(LEFT($A158,7)="SAMPLE-","SAMPLE-","")&amp;LOWER(SUBSTITUTE(SUBSTITUTE($A158,"SAMPLE-",""),"CMP-","c"))&amp;"-"&amp;LOWER(SUBSTITUTE(SUBSTITUTE($B158,"SAMPLE-",""),"O-","o"))&amp;"-p"))*(scans!$D$2:$D$1601="baseline")*scans!$E$2:$E$1601))))</f>
        <v/>
      </c>
      <c r="AP158" s="25">
        <f>IF($A158="","",IF(COUNTIF(offices!$A$2:$A$61,$B158)=0,"office_id not on offices; ","")&amp;IF(COUNTIF(campaigns!$A$2:$A$51,$A158)=0,"campaign_id not on campaigns; ","")&amp;IF($P158="pending","approval pending; ","")&amp;IF(AND($U158&gt;0,$Y158="",OR($I158="",IF(config!$B$37&lt;&gt;"",config!$B$37,TODAY())&lt;=WORKDAY(N($I158),4,calendar!$A$2:$A$80))),"no usable placement photo yet; ","")&amp;IF(AND($Y158&lt;&gt;"",$Z158=""),"log the placed count; ","")&amp;IF(N($AA158)&gt;N($U158),"placed more than delivered; ","")&amp;IF(AND($AF158&lt;&gt;"",N($AF158)&gt;N($AA158)+N($AD158)),"day-5 count above placed plus top-ups; ","")&amp;IF(AND($U158&gt;0,$I158&lt;&gt;"",IF(config!$B$37&lt;&gt;"",config!$B$37,TODAY())&gt;WORKDAY(N($I158),4,calendar!$A$2:$A$80),$AF158=""),"day-5 count missing; ","")&amp;IF(AND($U158&gt;0,$I158&lt;&gt;"",IF(config!$B$37&lt;&gt;"",config!$B$37,TODAY())&gt;WORKDAY(N($I158),4,calendar!$A$2:$A$80),$AN158=""),"no close link reading; ","")&amp;$R158&amp;IF($P158="N","info: office said no; ","")&amp;IF(AND($P158="Y",$Q158="N"),"info: turned away at the door, so not on the drop (no letter, not in the report or Gate 2; the credit check is on campaigns); ","")&amp;IF(AND($U158&gt;0,$Y158="",$I158&lt;&gt;"",IF(config!$B$37&lt;&gt;"",config!$B$37,TODAY())&gt;WORKDAY(N($I158),4,calendar!$A$2:$A$80)),"info: no usable placement photo, so nothing counts as placed; ","")&amp;IF(AND($U158&gt;0,$I158&lt;&gt;"",IF(config!$B$37&lt;&gt;"",config!$B$37,TODAY())&gt;WORKDAY(N($I158),4,calendar!$A$2:$A$80),N($AL158)&lt;config!$B$30),"info: under "&amp;config!$B$30&amp;" responses; ","")&amp;IF($W158="packing_list","info: delivered count not verified; ",""))</f>
        <v/>
      </c>
      <c r="AQ158" s="25">
        <f>IF(OR($A158="",$I158=""),"",IF($BC158="Y",SUMIFS(survey_frozen!$E$2:$E$251,survey_frozen!$P$2:$P$251,$A158&amp;"|"&amp;$B158),IFERROR(COUNTIFS(INDIRECT("'"&amp;$A158&amp;"'!$B$2:$B$501"),$T158,INDIRECT("'"&amp;$A158&amp;"'!$A$2:$A$501"),"&gt;="&amp;$I158,INDIRECT("'"&amp;$A158&amp;"'!$A$2:$A$501"),"&lt;"&amp;($BA158+1),INDIRECT("'"&amp;$A158&amp;"'!$F$2:$F$501"),"Didn't see it"),0)))</f>
        <v/>
      </c>
      <c r="AR158" s="25">
        <f>IF(OR($A158="",$I158=""),"",IF($BC158="Y",SUMIFS(survey_frozen!$F$2:$F$251,survey_frozen!$P$2:$P$251,$A158&amp;"|"&amp;$B158),IFERROR(COUNTIFS(INDIRECT("'"&amp;$A158&amp;"'!$B$2:$B$501"),$T158,INDIRECT("'"&amp;$A158&amp;"'!$A$2:$A$501"),"&gt;="&amp;$I158,INDIRECT("'"&amp;$A158&amp;"'!$A$2:$A$501"),"&lt;"&amp;($BA158+1),INDIRECT("'"&amp;$A158&amp;"'!$F$2:$F$501"),"Not for me"),0)))</f>
        <v/>
      </c>
      <c r="AS158" s="25">
        <f>IF(OR($A158="",$I158=""),"",IF($BC158="Y",SUMIFS(survey_frozen!$G$2:$G$251,survey_frozen!$P$2:$P$251,$A158&amp;"|"&amp;$B158),IFERROR(COUNTIFS(INDIRECT("'"&amp;$A158&amp;"'!$B$2:$B$501"),$T158,INDIRECT("'"&amp;$A158&amp;"'!$A$2:$A$501"),"&gt;="&amp;$I158,INDIRECT("'"&amp;$A158&amp;"'!$A$2:$A$501"),"&lt;"&amp;($BA158+1),INDIRECT("'"&amp;$A158&amp;"'!$F$2:$F$501"),"Gone by the time I looked"),0)))</f>
        <v/>
      </c>
      <c r="AT158" s="25">
        <f>IF(OR($A158="",$I158=""),"",IF($BC158="Y",SUMIFS(survey_frozen!$H$2:$H$251,survey_frozen!$P$2:$P$251,$A158&amp;"|"&amp;$B158),IFERROR(COUNTIFS(INDIRECT("'"&amp;$A158&amp;"'!$B$2:$B$501"),$T158,INDIRECT("'"&amp;$A158&amp;"'!$A$2:$A$501"),"&gt;="&amp;$I158,INDIRECT("'"&amp;$A158&amp;"'!$A$2:$A$501"),"&lt;"&amp;($BA158+1),INDIRECT("'"&amp;$A158&amp;"'!$D$2:$D$501"),"&gt;=1"),0)))</f>
        <v/>
      </c>
      <c r="AU158" s="25">
        <f>IF(OR($A158="",$I158=""),"",IF($BC158="Y",SUMIFS(survey_frozen!$I$2:$I$251,survey_frozen!$P$2:$P$251,$A158&amp;"|"&amp;$B158),IFERROR(SUMIFS(INDIRECT("'"&amp;$A158&amp;"'!$D$2:$D$501"),INDIRECT("'"&amp;$A158&amp;"'!$B$2:$B$501"),$T158,INDIRECT("'"&amp;$A158&amp;"'!$A$2:$A$501"),"&gt;="&amp;$I158,INDIRECT("'"&amp;$A158&amp;"'!$A$2:$A$501"),"&lt;"&amp;($BA158+1)),0)))</f>
        <v/>
      </c>
      <c r="AV158" s="25">
        <f>IF(OR($A158="",$I158=""),"",IF($BC158="Y",SUMIFS(survey_frozen!$J$2:$J$251,survey_frozen!$P$2:$P$251,$A158&amp;"|"&amp;$B158),IFERROR(COUNTIFS(INDIRECT("'"&amp;$A158&amp;"'!$B$2:$B$501"),$T158,INDIRECT("'"&amp;$A158&amp;"'!$A$2:$A$501"),"&gt;="&amp;$I158,INDIRECT("'"&amp;$A158&amp;"'!$A$2:$A$501"),"&lt;"&amp;($BA158+1),INDIRECT("'"&amp;$A158&amp;"'!$E$2:$E$501"),"Yes"),0)))</f>
        <v/>
      </c>
      <c r="AW158" s="25">
        <f>IF(OR($A158="",$I158=""),"",IF($BC158="Y",SUMIFS(survey_frozen!$K$2:$K$251,survey_frozen!$P$2:$P$251,$A158&amp;"|"&amp;$B158),IFERROR(COUNTIFS(INDIRECT("'"&amp;$A158&amp;"'!$B$2:$B$501"),$T158,INDIRECT("'"&amp;$A158&amp;"'!$A$2:$A$501"),"&gt;="&amp;$I158,INDIRECT("'"&amp;$A158&amp;"'!$A$2:$A$501"),"&lt;"&amp;($BA158+1),INDIRECT("'"&amp;$A158&amp;"'!$E$2:$E$501"),"Maybe"),0)))</f>
        <v/>
      </c>
      <c r="AX158" s="25">
        <f>IF(OR($A158="",$I158=""),"",IF($BC158="Y",SUMIFS(survey_frozen!$L$2:$L$251,survey_frozen!$P$2:$P$251,$A158&amp;"|"&amp;$B158),IFERROR(COUNTIFS(INDIRECT("'"&amp;$A158&amp;"'!$B$2:$B$501"),$T158,INDIRECT("'"&amp;$A158&amp;"'!$A$2:$A$501"),"&gt;="&amp;$I158,INDIRECT("'"&amp;$A158&amp;"'!$A$2:$A$501"),"&lt;"&amp;($BA158+1),INDIRECT("'"&amp;$A158&amp;"'!$E$2:$E$501"),"No"),0)))</f>
        <v/>
      </c>
      <c r="AY158" s="25">
        <f>IF(OR($A158="",$I158=""),"",IF($BC158="Y",SUMIFS(survey_frozen!$M$2:$M$251,survey_frozen!$P$2:$P$251,$A158&amp;"|"&amp;$B158),IFERROR(COUNTIFS(INDIRECT("'"&amp;$A158&amp;"'!$B$2:$B$501"),$T158,INDIRECT("'"&amp;$A158&amp;"'!$A$2:$A$501"),"&gt;="&amp;$I158,INDIRECT("'"&amp;$A158&amp;"'!$A$2:$A$501"),"&lt;"&amp;($BA158+1),INDIRECT("'"&amp;$A158&amp;"'!$G$2:$G$501"),"&lt;&gt;"),0)))</f>
        <v/>
      </c>
      <c r="AZ158" s="25">
        <f>IF($A158="","",$A158&amp;"|"&amp;$L158)</f>
        <v/>
      </c>
      <c r="BA158" s="26">
        <f>IF($A158="","",IFERROR(IF(INDEX(drops!$R$2:$R$21,MATCH($H158,drops!$A$2:$A$21,0))="","",INDEX(drops!$R$2:$R$21,MATCH($H158,drops!$A$2:$A$21,0))),""))</f>
        <v/>
      </c>
      <c r="BB158" s="25">
        <f>IF(OR($A158="",$Q158&lt;&gt;"Y"),1000000,N($AL158))</f>
        <v/>
      </c>
      <c r="BC158" s="25">
        <f>IF($A158="","",IF(COUNTIF(survey_frozen!$P$2:$P$251,$A158&amp;"|"&amp;$B158)&gt;0,"Y",""))</f>
        <v/>
      </c>
    </row>
    <row r="159">
      <c r="C159" s="9" t="n"/>
      <c r="E159" s="9" t="n"/>
      <c r="H159" s="25">
        <f>IF($A159="","",IFERROR(IF(INDEX(campaigns!$B$2:$B$51,MATCH($A159,campaigns!$A$2:$A$51,0))="","",INDEX(campaigns!$B$2:$B$51,MATCH($A159,campaigns!$A$2:$A$51,0))),""))</f>
        <v/>
      </c>
      <c r="I159" s="26">
        <f>IF($A159="","",IFERROR(IF(INDEX(campaigns!$BG$2:$BG$51,MATCH($A159,campaigns!$A$2:$A$51,0))="","",INDEX(campaigns!$BG$2:$BG$51,MATCH($A159,campaigns!$A$2:$A$51,0))),""))</f>
        <v/>
      </c>
      <c r="J159" s="25">
        <f>IF($A159="","",IFERROR(IF(INDEX(campaigns!$BE$2:$BE$51,MATCH($A159,campaigns!$A$2:$A$51,0))="","",INDEX(campaigns!$BE$2:$BE$51,MATCH($A159,campaigns!$A$2:$A$51,0))),""))</f>
        <v/>
      </c>
      <c r="K159" s="25">
        <f>IF($B159="","",IFERROR(IF(INDEX(offices!$N$2:$N$61,MATCH($B159,offices!$A$2:$A$61,0))="","",INDEX(offices!$N$2:$N$61,MATCH($B159,offices!$A$2:$A$61,0))),""))</f>
        <v/>
      </c>
      <c r="L159" s="25">
        <f>IF($A159="","",IF($Q159="N","",COUNTIFS($A$2:$A159,$A159,$Q$2:$Q159,"&lt;&gt;N")))</f>
        <v/>
      </c>
      <c r="M159" s="25">
        <f>IF(OR($A159="",$L159=""),"",IF(AND(config!$B$34="names_if_public",IFERROR(IF(INDEX(offices!$AF$2:$AF$61,MATCH($B159,offices!$A$2:$A$61,0))="","",INDEX(offices!$AF$2:$AF$61,MATCH($B159,offices!$A$2:$A$61,0))),"")="Y"),$K159,CHAR(64+$L159)))</f>
        <v/>
      </c>
      <c r="N159" s="25">
        <f>IF(OR($A159="",$I159=""),"",COUNTIFS(stops!$B$2:$B$151,$B159,stops!$P$2:$P$151,"&lt;"&amp;$I159,stops!$L$2:$L$151,"&lt;&gt;not_delivered")+1)</f>
        <v/>
      </c>
      <c r="O159" s="25">
        <f>IF($A159="","",IF(N($N159)&lt;=config!$B$29,"explicit","opt-out"))</f>
        <v/>
      </c>
      <c r="P159" s="25">
        <f>IF($A159="","",IF($O159="explicit",IF($D159="yes","Y",IF($D159="no","N","pending")),IF($D159="no","N",IF(AND($C159&lt;&gt;"",$I159&lt;&gt;"",$C159&lt;=WORKDAY(N($I159),-5,calendar!$A$2:$A$80)),"Y","pending"))))</f>
        <v/>
      </c>
      <c r="Q159" s="25">
        <f>IF($A159="","",IF($P159="N","N",IF($P159&lt;&gt;"Y","pending",IF(AND((COUNTIFS(stops!$A$2:$A$151,$H159,stops!$B$2:$B$151,$B159,stops!$L$2:$L$151,"declined")+COUNTIFS(stops!$A$2:$A$151,$H159,stops!$B$2:$B$151,$B159,stops!$L$2:$L$151,"building_refused")+COUNTIFS(stops!$A$2:$A$151,$H159,stops!$B$2:$B$151,$B159,stops!$L$2:$L$151,"not_delivered"))&gt;0,N($U159)=0),"N","Y"))))</f>
        <v/>
      </c>
      <c r="R159" s="25">
        <f>IF($A159="","",IF(COUNTIFS($A$2:$A$251,$A159,$B$2:$B$251,$B159)&gt;1,"DUPLICATE ROW; ","")&amp;IF(AND(IFERROR(IF(INDEX(offices!$AC$2:$AC$61,MATCH($B159,offices!$A$2:$A$61,0))="","",INDEX(offices!$AC$2:$AC$61,MATCH($B159,offices!$A$2:$A$61,0))),"")&lt;&gt;"",ISNUMBER(SEARCH($J159,IFERROR(IF(INDEX(offices!$AC$2:$AC$61,MATCH($B159,offices!$A$2:$A$61,0))="","",INDEX(offices!$AC$2:$AC$61,MATCH($B159,offices!$A$2:$A$61,0))),"")))),"BRAND VETOED; ","")&amp;IF(ISNUMBER(SEARCH(IFERROR(IF(INDEX(campaigns!$BF$2:$BF$51,MATCH($A159,campaigns!$A$2:$A$51,0))="","",INDEX(campaigns!$BF$2:$BF$51,MATCH($A159,campaigns!$A$2:$A$51,0))),""),IFERROR(IF(INDEX(offices!$AB$2:$AB$61,MATCH($B159,offices!$A$2:$A$61,0))="","",INDEX(offices!$AB$2:$AB$61,MATCH($B159,offices!$A$2:$A$61,0))),""))),"","info: category not on the office's list; ")&amp;IF(IFERROR(IF(INDEX(offices!$AC$2:$AC$61,MATCH($B159,offices!$A$2:$A$61,0))="","",INDEX(offices!$AC$2:$AC$61,MATCH($B159,offices!$A$2:$A$61,0))),"")&lt;&gt;"","info: read the vetoes against the label; ",""))</f>
        <v/>
      </c>
      <c r="S159" s="25">
        <f>IF($A159="","",IF($G159&lt;&gt;"",$G159,IFERROR(IF(INDEX(offices!$AL$2:$AL$61,MATCH($B159,offices!$A$2:$A$61,0))="","",INDEX(offices!$AL$2:$AL$61,MATCH($B159,offices!$A$2:$A$61,0))),"")))</f>
        <v/>
      </c>
      <c r="T159" s="25">
        <f>IF($A159="","",$A159&amp;"."&amp;$B159)</f>
        <v/>
      </c>
      <c r="U159" s="25">
        <f>IF($A159="","",SUMIFS(inventory!$G$2:$G$801,inventory!$C$2:$C$801,$A159,inventory!$D$2:$D$801,$B159,inventory!$E$2:$E$801,"delivered"))</f>
        <v/>
      </c>
      <c r="V159" s="32">
        <f>IF($A159="","",IFERROR(1/(1/SUMPRODUCT(MAX((inventory!$C$2:$C$801=$A159)*(inventory!$D$2:$D$801=$B159)*(inventory!$E$2:$E$801="delivered")*(inventory!$A$2:$A$801+inventory!$B$2:$B$801)))),""))</f>
        <v/>
      </c>
      <c r="W159" s="25">
        <f>IF($A159="","",IFERROR(IF(INDEX(inventory!$J$2:$J$801,MATCH($A159&amp;"|"&amp;$B159&amp;"|delivered",inventory!$R$2:$R$801,0))="","",INDEX(inventory!$J$2:$J$801,MATCH($A159&amp;"|"&amp;$B159&amp;"|delivered",inventory!$R$2:$R$801,0))),""))</f>
        <v/>
      </c>
      <c r="X159" s="25">
        <f>IF($A159="","",IFERROR(IF(INDEX(photos!$H$2:$H$701,MATCH($A159&amp;"|"&amp;$B159&amp;"|placement|Y",photos!$R$2:$R$701,0))="","",INDEX(photos!$H$2:$H$701,MATCH($A159&amp;"|"&amp;$B159&amp;"|placement|Y",photos!$R$2:$R$701,0))),""))</f>
        <v/>
      </c>
      <c r="Y159" s="26">
        <f>IF($A159="","",IFERROR(IF(INDEX(photos!$E$2:$E$701,MATCH($A159&amp;"|"&amp;$B159&amp;"|placement|Y",photos!$R$2:$R$701,0))="","",INDEX(photos!$E$2:$E$701,MATCH($A159&amp;"|"&amp;$B159&amp;"|placement|Y",photos!$R$2:$R$701,0))),""))</f>
        <v/>
      </c>
      <c r="Z159" s="25">
        <f>IF($A159="","",IF(COUNTIFS(counts!$C$2:$C$701,$A159,counts!$D$2:$D$701,$B159,counts!$E$2:$E$701,"placed")=0,"",SUMIFS(counts!$F$2:$F$701,counts!$C$2:$C$701,$A159,counts!$D$2:$D$701,$B159,counts!$E$2:$E$701,"placed")))</f>
        <v/>
      </c>
      <c r="AA159" s="25">
        <f>IF($A159="","",IF($Y159="",0,N($Z159)))</f>
        <v/>
      </c>
      <c r="AB159" s="25">
        <f>IF($A159="","",IF(OR($Y159="",$I159=""),"N",IF($Y159&lt;=WORKDAY(N($I159),1,calendar!$A$2:$A$80),"Y","N")))</f>
        <v/>
      </c>
      <c r="AC159" s="28">
        <f>IF(OR($A159="",$V159="",$Y159=""),"",ROUND(($Y159+N(IFERROR(IF(INDEX(photos!$F$2:$F$701,MATCH($A159&amp;"|"&amp;$B159&amp;"|placement|Y",photos!$R$2:$R$701,0))="","",INDEX(photos!$F$2:$F$701,MATCH($A159&amp;"|"&amp;$B159&amp;"|placement|Y",photos!$R$2:$R$701,0))),""))-$V159)*24,1))</f>
        <v/>
      </c>
      <c r="AD159" s="25">
        <f>IF($A159="","",SUMIFS(inventory!$G$2:$G$801,inventory!$C$2:$C$801,$A159,inventory!$D$2:$D$801,$B159,inventory!$E$2:$E$801,"topped_up"))</f>
        <v/>
      </c>
      <c r="AE159" s="25">
        <f>IF($A159="","",IF(COUNTIFS(counts!$C$2:$C$701,$A159,counts!$D$2:$D$701,$B159,counts!$E$2:$E$701,"remaining_day3")=0,"",SUMIFS(counts!$F$2:$F$701,counts!$C$2:$C$701,$A159,counts!$D$2:$D$701,$B159,counts!$E$2:$E$701,"remaining_day3")))</f>
        <v/>
      </c>
      <c r="AF159" s="25">
        <f>IF($A159="","",IF(COUNTIFS(counts!$C$2:$C$701,$A159,counts!$D$2:$D$701,$B159,counts!$E$2:$E$701,"remaining_day5")=0,"",SUMIFS(counts!$F$2:$F$701,counts!$C$2:$C$701,$A159,counts!$D$2:$D$701,$B159,counts!$E$2:$E$701,"remaining_day5")))</f>
        <v/>
      </c>
      <c r="AG159" s="25">
        <f>IF(OR($A159="",$AF159=""),"",MAX(0,$AA159+$AD159-$AF159))</f>
        <v/>
      </c>
      <c r="AH159" s="25">
        <f>IF(OR($A159="",$AI159=""),"",IFERROR(IF(INDEX(photos!$H$2:$H$701,MATCH($A159&amp;"|"&amp;$B159&amp;"|later|Y|"&amp;$AI159,photos!$S$2:$S$701,0))="","",INDEX(photos!$H$2:$H$701,MATCH($A159&amp;"|"&amp;$B159&amp;"|later|Y|"&amp;$AI159,photos!$S$2:$S$701,0))),""))</f>
        <v/>
      </c>
      <c r="AI159" s="26">
        <f>IF($A159="","",IFERROR(1/(1/SUMPRODUCT(MAX((photos!$B$2:$B$701=$A159)*(photos!$C$2:$C$701=$B159)*(photos!$D$2:$D$701="later")*(photos!$O$2:$O$701="Y")*photos!$E$2:$E$701))),""))</f>
        <v/>
      </c>
      <c r="AJ159" s="25">
        <f>IF(OR($A159="",$AI159="",$I159=""),"",NETWORKDAYS($I159,$AI159,calendar!$A$2:$A$80))</f>
        <v/>
      </c>
      <c r="AK159" s="25">
        <f>IF($A159="","",IF(AND($X159&lt;&gt;"",$AH159&lt;&gt;""),"Y","N"))</f>
        <v/>
      </c>
      <c r="AL159" s="25">
        <f>IF(OR($A159="",$I159=""),"",IF($BC159="Y",SUMIFS(survey_frozen!$C$2:$C$251,survey_frozen!$P$2:$P$251,$A159&amp;"|"&amp;$B159),IFERROR(COUNTIFS(INDIRECT("'"&amp;$A159&amp;"'!$B$2:$B$501"),$T159,INDIRECT("'"&amp;$A159&amp;"'!$A$2:$A$501"),"&gt;="&amp;$I159,INDIRECT("'"&amp;$A159&amp;"'!$A$2:$A$501"),"&lt;"&amp;($BA159+1)),0)))</f>
        <v/>
      </c>
      <c r="AM159" s="25">
        <f>IF(OR($A159="",$I159=""),"",IF($BC159="Y",SUMIFS(survey_frozen!$D$2:$D$251,survey_frozen!$P$2:$P$251,$A159&amp;"|"&amp;$B159),IFERROR(COUNTIFS(INDIRECT("'"&amp;$A159&amp;"'!$B$2:$B$501"),$T159,INDIRECT("'"&amp;$A159&amp;"'!$A$2:$A$501"),"&gt;="&amp;$I159,INDIRECT("'"&amp;$A159&amp;"'!$A$2:$A$501"),"&lt;"&amp;($BA159+1),INDIRECT("'"&amp;$A159&amp;"'!$C$2:$C$501"),"Yes"),0)))</f>
        <v/>
      </c>
      <c r="AN159" s="25">
        <f>IF($A159="","",IF(COUNTIFS(scans!$C$2:$C$1601,(IF(LEFT($A159,7)="SAMPLE-","SAMPLE-","")&amp;LOWER(SUBSTITUTE(SUBSTITUTE($A159,"SAMPLE-",""),"CMP-","c"))&amp;"-"&amp;LOWER(SUBSTITUTE(SUBSTITUTE($B159,"SAMPLE-",""),"O-","o"))&amp;"-q"),scans!$D$2:$D$1601,"close")=0,"",SUMPRODUCT(MAX((scans!$C$2:$C$1601=(IF(LEFT($A159,7)="SAMPLE-","SAMPLE-","")&amp;LOWER(SUBSTITUTE(SUBSTITUTE($A159,"SAMPLE-",""),"CMP-","c"))&amp;"-"&amp;LOWER(SUBSTITUTE(SUBSTITUTE($B159,"SAMPLE-",""),"O-","o"))&amp;"-q"))*(scans!$D$2:$D$1601="close")*scans!$E$2:$E$1601))-SUMPRODUCT(MAX((scans!$C$2:$C$1601=(IF(LEFT($A159,7)="SAMPLE-","SAMPLE-","")&amp;LOWER(SUBSTITUTE(SUBSTITUTE($A159,"SAMPLE-",""),"CMP-","c"))&amp;"-"&amp;LOWER(SUBSTITUTE(SUBSTITUTE($B159,"SAMPLE-",""),"O-","o"))&amp;"-q"))*(scans!$D$2:$D$1601="baseline")*scans!$E$2:$E$1601))))</f>
        <v/>
      </c>
      <c r="AO159" s="25">
        <f>IF($A159="","",IF(COUNTIFS(scans!$C$2:$C$1601,(IF(LEFT($A159,7)="SAMPLE-","SAMPLE-","")&amp;LOWER(SUBSTITUTE(SUBSTITUTE($A159,"SAMPLE-",""),"CMP-","c"))&amp;"-"&amp;LOWER(SUBSTITUTE(SUBSTITUTE($B159,"SAMPLE-",""),"O-","o"))&amp;"-p"),scans!$D$2:$D$1601,"close")=0,"",SUMPRODUCT(MAX((scans!$C$2:$C$1601=(IF(LEFT($A159,7)="SAMPLE-","SAMPLE-","")&amp;LOWER(SUBSTITUTE(SUBSTITUTE($A159,"SAMPLE-",""),"CMP-","c"))&amp;"-"&amp;LOWER(SUBSTITUTE(SUBSTITUTE($B159,"SAMPLE-",""),"O-","o"))&amp;"-p"))*(scans!$D$2:$D$1601="close")*scans!$E$2:$E$1601))-SUMPRODUCT(MAX((scans!$C$2:$C$1601=(IF(LEFT($A159,7)="SAMPLE-","SAMPLE-","")&amp;LOWER(SUBSTITUTE(SUBSTITUTE($A159,"SAMPLE-",""),"CMP-","c"))&amp;"-"&amp;LOWER(SUBSTITUTE(SUBSTITUTE($B159,"SAMPLE-",""),"O-","o"))&amp;"-p"))*(scans!$D$2:$D$1601="baseline")*scans!$E$2:$E$1601))))</f>
        <v/>
      </c>
      <c r="AP159" s="25">
        <f>IF($A159="","",IF(COUNTIF(offices!$A$2:$A$61,$B159)=0,"office_id not on offices; ","")&amp;IF(COUNTIF(campaigns!$A$2:$A$51,$A159)=0,"campaign_id not on campaigns; ","")&amp;IF($P159="pending","approval pending; ","")&amp;IF(AND($U159&gt;0,$Y159="",OR($I159="",IF(config!$B$37&lt;&gt;"",config!$B$37,TODAY())&lt;=WORKDAY(N($I159),4,calendar!$A$2:$A$80))),"no usable placement photo yet; ","")&amp;IF(AND($Y159&lt;&gt;"",$Z159=""),"log the placed count; ","")&amp;IF(N($AA159)&gt;N($U159),"placed more than delivered; ","")&amp;IF(AND($AF159&lt;&gt;"",N($AF159)&gt;N($AA159)+N($AD159)),"day-5 count above placed plus top-ups; ","")&amp;IF(AND($U159&gt;0,$I159&lt;&gt;"",IF(config!$B$37&lt;&gt;"",config!$B$37,TODAY())&gt;WORKDAY(N($I159),4,calendar!$A$2:$A$80),$AF159=""),"day-5 count missing; ","")&amp;IF(AND($U159&gt;0,$I159&lt;&gt;"",IF(config!$B$37&lt;&gt;"",config!$B$37,TODAY())&gt;WORKDAY(N($I159),4,calendar!$A$2:$A$80),$AN159=""),"no close link reading; ","")&amp;$R159&amp;IF($P159="N","info: office said no; ","")&amp;IF(AND($P159="Y",$Q159="N"),"info: turned away at the door, so not on the drop (no letter, not in the report or Gate 2; the credit check is on campaigns); ","")&amp;IF(AND($U159&gt;0,$Y159="",$I159&lt;&gt;"",IF(config!$B$37&lt;&gt;"",config!$B$37,TODAY())&gt;WORKDAY(N($I159),4,calendar!$A$2:$A$80)),"info: no usable placement photo, so nothing counts as placed; ","")&amp;IF(AND($U159&gt;0,$I159&lt;&gt;"",IF(config!$B$37&lt;&gt;"",config!$B$37,TODAY())&gt;WORKDAY(N($I159),4,calendar!$A$2:$A$80),N($AL159)&lt;config!$B$30),"info: under "&amp;config!$B$30&amp;" responses; ","")&amp;IF($W159="packing_list","info: delivered count not verified; ",""))</f>
        <v/>
      </c>
      <c r="AQ159" s="25">
        <f>IF(OR($A159="",$I159=""),"",IF($BC159="Y",SUMIFS(survey_frozen!$E$2:$E$251,survey_frozen!$P$2:$P$251,$A159&amp;"|"&amp;$B159),IFERROR(COUNTIFS(INDIRECT("'"&amp;$A159&amp;"'!$B$2:$B$501"),$T159,INDIRECT("'"&amp;$A159&amp;"'!$A$2:$A$501"),"&gt;="&amp;$I159,INDIRECT("'"&amp;$A159&amp;"'!$A$2:$A$501"),"&lt;"&amp;($BA159+1),INDIRECT("'"&amp;$A159&amp;"'!$F$2:$F$501"),"Didn't see it"),0)))</f>
        <v/>
      </c>
      <c r="AR159" s="25">
        <f>IF(OR($A159="",$I159=""),"",IF($BC159="Y",SUMIFS(survey_frozen!$F$2:$F$251,survey_frozen!$P$2:$P$251,$A159&amp;"|"&amp;$B159),IFERROR(COUNTIFS(INDIRECT("'"&amp;$A159&amp;"'!$B$2:$B$501"),$T159,INDIRECT("'"&amp;$A159&amp;"'!$A$2:$A$501"),"&gt;="&amp;$I159,INDIRECT("'"&amp;$A159&amp;"'!$A$2:$A$501"),"&lt;"&amp;($BA159+1),INDIRECT("'"&amp;$A159&amp;"'!$F$2:$F$501"),"Not for me"),0)))</f>
        <v/>
      </c>
      <c r="AS159" s="25">
        <f>IF(OR($A159="",$I159=""),"",IF($BC159="Y",SUMIFS(survey_frozen!$G$2:$G$251,survey_frozen!$P$2:$P$251,$A159&amp;"|"&amp;$B159),IFERROR(COUNTIFS(INDIRECT("'"&amp;$A159&amp;"'!$B$2:$B$501"),$T159,INDIRECT("'"&amp;$A159&amp;"'!$A$2:$A$501"),"&gt;="&amp;$I159,INDIRECT("'"&amp;$A159&amp;"'!$A$2:$A$501"),"&lt;"&amp;($BA159+1),INDIRECT("'"&amp;$A159&amp;"'!$F$2:$F$501"),"Gone by the time I looked"),0)))</f>
        <v/>
      </c>
      <c r="AT159" s="25">
        <f>IF(OR($A159="",$I159=""),"",IF($BC159="Y",SUMIFS(survey_frozen!$H$2:$H$251,survey_frozen!$P$2:$P$251,$A159&amp;"|"&amp;$B159),IFERROR(COUNTIFS(INDIRECT("'"&amp;$A159&amp;"'!$B$2:$B$501"),$T159,INDIRECT("'"&amp;$A159&amp;"'!$A$2:$A$501"),"&gt;="&amp;$I159,INDIRECT("'"&amp;$A159&amp;"'!$A$2:$A$501"),"&lt;"&amp;($BA159+1),INDIRECT("'"&amp;$A159&amp;"'!$D$2:$D$501"),"&gt;=1"),0)))</f>
        <v/>
      </c>
      <c r="AU159" s="25">
        <f>IF(OR($A159="",$I159=""),"",IF($BC159="Y",SUMIFS(survey_frozen!$I$2:$I$251,survey_frozen!$P$2:$P$251,$A159&amp;"|"&amp;$B159),IFERROR(SUMIFS(INDIRECT("'"&amp;$A159&amp;"'!$D$2:$D$501"),INDIRECT("'"&amp;$A159&amp;"'!$B$2:$B$501"),$T159,INDIRECT("'"&amp;$A159&amp;"'!$A$2:$A$501"),"&gt;="&amp;$I159,INDIRECT("'"&amp;$A159&amp;"'!$A$2:$A$501"),"&lt;"&amp;($BA159+1)),0)))</f>
        <v/>
      </c>
      <c r="AV159" s="25">
        <f>IF(OR($A159="",$I159=""),"",IF($BC159="Y",SUMIFS(survey_frozen!$J$2:$J$251,survey_frozen!$P$2:$P$251,$A159&amp;"|"&amp;$B159),IFERROR(COUNTIFS(INDIRECT("'"&amp;$A159&amp;"'!$B$2:$B$501"),$T159,INDIRECT("'"&amp;$A159&amp;"'!$A$2:$A$501"),"&gt;="&amp;$I159,INDIRECT("'"&amp;$A159&amp;"'!$A$2:$A$501"),"&lt;"&amp;($BA159+1),INDIRECT("'"&amp;$A159&amp;"'!$E$2:$E$501"),"Yes"),0)))</f>
        <v/>
      </c>
      <c r="AW159" s="25">
        <f>IF(OR($A159="",$I159=""),"",IF($BC159="Y",SUMIFS(survey_frozen!$K$2:$K$251,survey_frozen!$P$2:$P$251,$A159&amp;"|"&amp;$B159),IFERROR(COUNTIFS(INDIRECT("'"&amp;$A159&amp;"'!$B$2:$B$501"),$T159,INDIRECT("'"&amp;$A159&amp;"'!$A$2:$A$501"),"&gt;="&amp;$I159,INDIRECT("'"&amp;$A159&amp;"'!$A$2:$A$501"),"&lt;"&amp;($BA159+1),INDIRECT("'"&amp;$A159&amp;"'!$E$2:$E$501"),"Maybe"),0)))</f>
        <v/>
      </c>
      <c r="AX159" s="25">
        <f>IF(OR($A159="",$I159=""),"",IF($BC159="Y",SUMIFS(survey_frozen!$L$2:$L$251,survey_frozen!$P$2:$P$251,$A159&amp;"|"&amp;$B159),IFERROR(COUNTIFS(INDIRECT("'"&amp;$A159&amp;"'!$B$2:$B$501"),$T159,INDIRECT("'"&amp;$A159&amp;"'!$A$2:$A$501"),"&gt;="&amp;$I159,INDIRECT("'"&amp;$A159&amp;"'!$A$2:$A$501"),"&lt;"&amp;($BA159+1),INDIRECT("'"&amp;$A159&amp;"'!$E$2:$E$501"),"No"),0)))</f>
        <v/>
      </c>
      <c r="AY159" s="25">
        <f>IF(OR($A159="",$I159=""),"",IF($BC159="Y",SUMIFS(survey_frozen!$M$2:$M$251,survey_frozen!$P$2:$P$251,$A159&amp;"|"&amp;$B159),IFERROR(COUNTIFS(INDIRECT("'"&amp;$A159&amp;"'!$B$2:$B$501"),$T159,INDIRECT("'"&amp;$A159&amp;"'!$A$2:$A$501"),"&gt;="&amp;$I159,INDIRECT("'"&amp;$A159&amp;"'!$A$2:$A$501"),"&lt;"&amp;($BA159+1),INDIRECT("'"&amp;$A159&amp;"'!$G$2:$G$501"),"&lt;&gt;"),0)))</f>
        <v/>
      </c>
      <c r="AZ159" s="25">
        <f>IF($A159="","",$A159&amp;"|"&amp;$L159)</f>
        <v/>
      </c>
      <c r="BA159" s="26">
        <f>IF($A159="","",IFERROR(IF(INDEX(drops!$R$2:$R$21,MATCH($H159,drops!$A$2:$A$21,0))="","",INDEX(drops!$R$2:$R$21,MATCH($H159,drops!$A$2:$A$21,0))),""))</f>
        <v/>
      </c>
      <c r="BB159" s="25">
        <f>IF(OR($A159="",$Q159&lt;&gt;"Y"),1000000,N($AL159))</f>
        <v/>
      </c>
      <c r="BC159" s="25">
        <f>IF($A159="","",IF(COUNTIF(survey_frozen!$P$2:$P$251,$A159&amp;"|"&amp;$B159)&gt;0,"Y",""))</f>
        <v/>
      </c>
    </row>
    <row r="160">
      <c r="C160" s="9" t="n"/>
      <c r="E160" s="9" t="n"/>
      <c r="H160" s="25">
        <f>IF($A160="","",IFERROR(IF(INDEX(campaigns!$B$2:$B$51,MATCH($A160,campaigns!$A$2:$A$51,0))="","",INDEX(campaigns!$B$2:$B$51,MATCH($A160,campaigns!$A$2:$A$51,0))),""))</f>
        <v/>
      </c>
      <c r="I160" s="26">
        <f>IF($A160="","",IFERROR(IF(INDEX(campaigns!$BG$2:$BG$51,MATCH($A160,campaigns!$A$2:$A$51,0))="","",INDEX(campaigns!$BG$2:$BG$51,MATCH($A160,campaigns!$A$2:$A$51,0))),""))</f>
        <v/>
      </c>
      <c r="J160" s="25">
        <f>IF($A160="","",IFERROR(IF(INDEX(campaigns!$BE$2:$BE$51,MATCH($A160,campaigns!$A$2:$A$51,0))="","",INDEX(campaigns!$BE$2:$BE$51,MATCH($A160,campaigns!$A$2:$A$51,0))),""))</f>
        <v/>
      </c>
      <c r="K160" s="25">
        <f>IF($B160="","",IFERROR(IF(INDEX(offices!$N$2:$N$61,MATCH($B160,offices!$A$2:$A$61,0))="","",INDEX(offices!$N$2:$N$61,MATCH($B160,offices!$A$2:$A$61,0))),""))</f>
        <v/>
      </c>
      <c r="L160" s="25">
        <f>IF($A160="","",IF($Q160="N","",COUNTIFS($A$2:$A160,$A160,$Q$2:$Q160,"&lt;&gt;N")))</f>
        <v/>
      </c>
      <c r="M160" s="25">
        <f>IF(OR($A160="",$L160=""),"",IF(AND(config!$B$34="names_if_public",IFERROR(IF(INDEX(offices!$AF$2:$AF$61,MATCH($B160,offices!$A$2:$A$61,0))="","",INDEX(offices!$AF$2:$AF$61,MATCH($B160,offices!$A$2:$A$61,0))),"")="Y"),$K160,CHAR(64+$L160)))</f>
        <v/>
      </c>
      <c r="N160" s="25">
        <f>IF(OR($A160="",$I160=""),"",COUNTIFS(stops!$B$2:$B$151,$B160,stops!$P$2:$P$151,"&lt;"&amp;$I160,stops!$L$2:$L$151,"&lt;&gt;not_delivered")+1)</f>
        <v/>
      </c>
      <c r="O160" s="25">
        <f>IF($A160="","",IF(N($N160)&lt;=config!$B$29,"explicit","opt-out"))</f>
        <v/>
      </c>
      <c r="P160" s="25">
        <f>IF($A160="","",IF($O160="explicit",IF($D160="yes","Y",IF($D160="no","N","pending")),IF($D160="no","N",IF(AND($C160&lt;&gt;"",$I160&lt;&gt;"",$C160&lt;=WORKDAY(N($I160),-5,calendar!$A$2:$A$80)),"Y","pending"))))</f>
        <v/>
      </c>
      <c r="Q160" s="25">
        <f>IF($A160="","",IF($P160="N","N",IF($P160&lt;&gt;"Y","pending",IF(AND((COUNTIFS(stops!$A$2:$A$151,$H160,stops!$B$2:$B$151,$B160,stops!$L$2:$L$151,"declined")+COUNTIFS(stops!$A$2:$A$151,$H160,stops!$B$2:$B$151,$B160,stops!$L$2:$L$151,"building_refused")+COUNTIFS(stops!$A$2:$A$151,$H160,stops!$B$2:$B$151,$B160,stops!$L$2:$L$151,"not_delivered"))&gt;0,N($U160)=0),"N","Y"))))</f>
        <v/>
      </c>
      <c r="R160" s="25">
        <f>IF($A160="","",IF(COUNTIFS($A$2:$A$251,$A160,$B$2:$B$251,$B160)&gt;1,"DUPLICATE ROW; ","")&amp;IF(AND(IFERROR(IF(INDEX(offices!$AC$2:$AC$61,MATCH($B160,offices!$A$2:$A$61,0))="","",INDEX(offices!$AC$2:$AC$61,MATCH($B160,offices!$A$2:$A$61,0))),"")&lt;&gt;"",ISNUMBER(SEARCH($J160,IFERROR(IF(INDEX(offices!$AC$2:$AC$61,MATCH($B160,offices!$A$2:$A$61,0))="","",INDEX(offices!$AC$2:$AC$61,MATCH($B160,offices!$A$2:$A$61,0))),"")))),"BRAND VETOED; ","")&amp;IF(ISNUMBER(SEARCH(IFERROR(IF(INDEX(campaigns!$BF$2:$BF$51,MATCH($A160,campaigns!$A$2:$A$51,0))="","",INDEX(campaigns!$BF$2:$BF$51,MATCH($A160,campaigns!$A$2:$A$51,0))),""),IFERROR(IF(INDEX(offices!$AB$2:$AB$61,MATCH($B160,offices!$A$2:$A$61,0))="","",INDEX(offices!$AB$2:$AB$61,MATCH($B160,offices!$A$2:$A$61,0))),""))),"","info: category not on the office's list; ")&amp;IF(IFERROR(IF(INDEX(offices!$AC$2:$AC$61,MATCH($B160,offices!$A$2:$A$61,0))="","",INDEX(offices!$AC$2:$AC$61,MATCH($B160,offices!$A$2:$A$61,0))),"")&lt;&gt;"","info: read the vetoes against the label; ",""))</f>
        <v/>
      </c>
      <c r="S160" s="25">
        <f>IF($A160="","",IF($G160&lt;&gt;"",$G160,IFERROR(IF(INDEX(offices!$AL$2:$AL$61,MATCH($B160,offices!$A$2:$A$61,0))="","",INDEX(offices!$AL$2:$AL$61,MATCH($B160,offices!$A$2:$A$61,0))),"")))</f>
        <v/>
      </c>
      <c r="T160" s="25">
        <f>IF($A160="","",$A160&amp;"."&amp;$B160)</f>
        <v/>
      </c>
      <c r="U160" s="25">
        <f>IF($A160="","",SUMIFS(inventory!$G$2:$G$801,inventory!$C$2:$C$801,$A160,inventory!$D$2:$D$801,$B160,inventory!$E$2:$E$801,"delivered"))</f>
        <v/>
      </c>
      <c r="V160" s="32">
        <f>IF($A160="","",IFERROR(1/(1/SUMPRODUCT(MAX((inventory!$C$2:$C$801=$A160)*(inventory!$D$2:$D$801=$B160)*(inventory!$E$2:$E$801="delivered")*(inventory!$A$2:$A$801+inventory!$B$2:$B$801)))),""))</f>
        <v/>
      </c>
      <c r="W160" s="25">
        <f>IF($A160="","",IFERROR(IF(INDEX(inventory!$J$2:$J$801,MATCH($A160&amp;"|"&amp;$B160&amp;"|delivered",inventory!$R$2:$R$801,0))="","",INDEX(inventory!$J$2:$J$801,MATCH($A160&amp;"|"&amp;$B160&amp;"|delivered",inventory!$R$2:$R$801,0))),""))</f>
        <v/>
      </c>
      <c r="X160" s="25">
        <f>IF($A160="","",IFERROR(IF(INDEX(photos!$H$2:$H$701,MATCH($A160&amp;"|"&amp;$B160&amp;"|placement|Y",photos!$R$2:$R$701,0))="","",INDEX(photos!$H$2:$H$701,MATCH($A160&amp;"|"&amp;$B160&amp;"|placement|Y",photos!$R$2:$R$701,0))),""))</f>
        <v/>
      </c>
      <c r="Y160" s="26">
        <f>IF($A160="","",IFERROR(IF(INDEX(photos!$E$2:$E$701,MATCH($A160&amp;"|"&amp;$B160&amp;"|placement|Y",photos!$R$2:$R$701,0))="","",INDEX(photos!$E$2:$E$701,MATCH($A160&amp;"|"&amp;$B160&amp;"|placement|Y",photos!$R$2:$R$701,0))),""))</f>
        <v/>
      </c>
      <c r="Z160" s="25">
        <f>IF($A160="","",IF(COUNTIFS(counts!$C$2:$C$701,$A160,counts!$D$2:$D$701,$B160,counts!$E$2:$E$701,"placed")=0,"",SUMIFS(counts!$F$2:$F$701,counts!$C$2:$C$701,$A160,counts!$D$2:$D$701,$B160,counts!$E$2:$E$701,"placed")))</f>
        <v/>
      </c>
      <c r="AA160" s="25">
        <f>IF($A160="","",IF($Y160="",0,N($Z160)))</f>
        <v/>
      </c>
      <c r="AB160" s="25">
        <f>IF($A160="","",IF(OR($Y160="",$I160=""),"N",IF($Y160&lt;=WORKDAY(N($I160),1,calendar!$A$2:$A$80),"Y","N")))</f>
        <v/>
      </c>
      <c r="AC160" s="28">
        <f>IF(OR($A160="",$V160="",$Y160=""),"",ROUND(($Y160+N(IFERROR(IF(INDEX(photos!$F$2:$F$701,MATCH($A160&amp;"|"&amp;$B160&amp;"|placement|Y",photos!$R$2:$R$701,0))="","",INDEX(photos!$F$2:$F$701,MATCH($A160&amp;"|"&amp;$B160&amp;"|placement|Y",photos!$R$2:$R$701,0))),""))-$V160)*24,1))</f>
        <v/>
      </c>
      <c r="AD160" s="25">
        <f>IF($A160="","",SUMIFS(inventory!$G$2:$G$801,inventory!$C$2:$C$801,$A160,inventory!$D$2:$D$801,$B160,inventory!$E$2:$E$801,"topped_up"))</f>
        <v/>
      </c>
      <c r="AE160" s="25">
        <f>IF($A160="","",IF(COUNTIFS(counts!$C$2:$C$701,$A160,counts!$D$2:$D$701,$B160,counts!$E$2:$E$701,"remaining_day3")=0,"",SUMIFS(counts!$F$2:$F$701,counts!$C$2:$C$701,$A160,counts!$D$2:$D$701,$B160,counts!$E$2:$E$701,"remaining_day3")))</f>
        <v/>
      </c>
      <c r="AF160" s="25">
        <f>IF($A160="","",IF(COUNTIFS(counts!$C$2:$C$701,$A160,counts!$D$2:$D$701,$B160,counts!$E$2:$E$701,"remaining_day5")=0,"",SUMIFS(counts!$F$2:$F$701,counts!$C$2:$C$701,$A160,counts!$D$2:$D$701,$B160,counts!$E$2:$E$701,"remaining_day5")))</f>
        <v/>
      </c>
      <c r="AG160" s="25">
        <f>IF(OR($A160="",$AF160=""),"",MAX(0,$AA160+$AD160-$AF160))</f>
        <v/>
      </c>
      <c r="AH160" s="25">
        <f>IF(OR($A160="",$AI160=""),"",IFERROR(IF(INDEX(photos!$H$2:$H$701,MATCH($A160&amp;"|"&amp;$B160&amp;"|later|Y|"&amp;$AI160,photos!$S$2:$S$701,0))="","",INDEX(photos!$H$2:$H$701,MATCH($A160&amp;"|"&amp;$B160&amp;"|later|Y|"&amp;$AI160,photos!$S$2:$S$701,0))),""))</f>
        <v/>
      </c>
      <c r="AI160" s="26">
        <f>IF($A160="","",IFERROR(1/(1/SUMPRODUCT(MAX((photos!$B$2:$B$701=$A160)*(photos!$C$2:$C$701=$B160)*(photos!$D$2:$D$701="later")*(photos!$O$2:$O$701="Y")*photos!$E$2:$E$701))),""))</f>
        <v/>
      </c>
      <c r="AJ160" s="25">
        <f>IF(OR($A160="",$AI160="",$I160=""),"",NETWORKDAYS($I160,$AI160,calendar!$A$2:$A$80))</f>
        <v/>
      </c>
      <c r="AK160" s="25">
        <f>IF($A160="","",IF(AND($X160&lt;&gt;"",$AH160&lt;&gt;""),"Y","N"))</f>
        <v/>
      </c>
      <c r="AL160" s="25">
        <f>IF(OR($A160="",$I160=""),"",IF($BC160="Y",SUMIFS(survey_frozen!$C$2:$C$251,survey_frozen!$P$2:$P$251,$A160&amp;"|"&amp;$B160),IFERROR(COUNTIFS(INDIRECT("'"&amp;$A160&amp;"'!$B$2:$B$501"),$T160,INDIRECT("'"&amp;$A160&amp;"'!$A$2:$A$501"),"&gt;="&amp;$I160,INDIRECT("'"&amp;$A160&amp;"'!$A$2:$A$501"),"&lt;"&amp;($BA160+1)),0)))</f>
        <v/>
      </c>
      <c r="AM160" s="25">
        <f>IF(OR($A160="",$I160=""),"",IF($BC160="Y",SUMIFS(survey_frozen!$D$2:$D$251,survey_frozen!$P$2:$P$251,$A160&amp;"|"&amp;$B160),IFERROR(COUNTIFS(INDIRECT("'"&amp;$A160&amp;"'!$B$2:$B$501"),$T160,INDIRECT("'"&amp;$A160&amp;"'!$A$2:$A$501"),"&gt;="&amp;$I160,INDIRECT("'"&amp;$A160&amp;"'!$A$2:$A$501"),"&lt;"&amp;($BA160+1),INDIRECT("'"&amp;$A160&amp;"'!$C$2:$C$501"),"Yes"),0)))</f>
        <v/>
      </c>
      <c r="AN160" s="25">
        <f>IF($A160="","",IF(COUNTIFS(scans!$C$2:$C$1601,(IF(LEFT($A160,7)="SAMPLE-","SAMPLE-","")&amp;LOWER(SUBSTITUTE(SUBSTITUTE($A160,"SAMPLE-",""),"CMP-","c"))&amp;"-"&amp;LOWER(SUBSTITUTE(SUBSTITUTE($B160,"SAMPLE-",""),"O-","o"))&amp;"-q"),scans!$D$2:$D$1601,"close")=0,"",SUMPRODUCT(MAX((scans!$C$2:$C$1601=(IF(LEFT($A160,7)="SAMPLE-","SAMPLE-","")&amp;LOWER(SUBSTITUTE(SUBSTITUTE($A160,"SAMPLE-",""),"CMP-","c"))&amp;"-"&amp;LOWER(SUBSTITUTE(SUBSTITUTE($B160,"SAMPLE-",""),"O-","o"))&amp;"-q"))*(scans!$D$2:$D$1601="close")*scans!$E$2:$E$1601))-SUMPRODUCT(MAX((scans!$C$2:$C$1601=(IF(LEFT($A160,7)="SAMPLE-","SAMPLE-","")&amp;LOWER(SUBSTITUTE(SUBSTITUTE($A160,"SAMPLE-",""),"CMP-","c"))&amp;"-"&amp;LOWER(SUBSTITUTE(SUBSTITUTE($B160,"SAMPLE-",""),"O-","o"))&amp;"-q"))*(scans!$D$2:$D$1601="baseline")*scans!$E$2:$E$1601))))</f>
        <v/>
      </c>
      <c r="AO160" s="25">
        <f>IF($A160="","",IF(COUNTIFS(scans!$C$2:$C$1601,(IF(LEFT($A160,7)="SAMPLE-","SAMPLE-","")&amp;LOWER(SUBSTITUTE(SUBSTITUTE($A160,"SAMPLE-",""),"CMP-","c"))&amp;"-"&amp;LOWER(SUBSTITUTE(SUBSTITUTE($B160,"SAMPLE-",""),"O-","o"))&amp;"-p"),scans!$D$2:$D$1601,"close")=0,"",SUMPRODUCT(MAX((scans!$C$2:$C$1601=(IF(LEFT($A160,7)="SAMPLE-","SAMPLE-","")&amp;LOWER(SUBSTITUTE(SUBSTITUTE($A160,"SAMPLE-",""),"CMP-","c"))&amp;"-"&amp;LOWER(SUBSTITUTE(SUBSTITUTE($B160,"SAMPLE-",""),"O-","o"))&amp;"-p"))*(scans!$D$2:$D$1601="close")*scans!$E$2:$E$1601))-SUMPRODUCT(MAX((scans!$C$2:$C$1601=(IF(LEFT($A160,7)="SAMPLE-","SAMPLE-","")&amp;LOWER(SUBSTITUTE(SUBSTITUTE($A160,"SAMPLE-",""),"CMP-","c"))&amp;"-"&amp;LOWER(SUBSTITUTE(SUBSTITUTE($B160,"SAMPLE-",""),"O-","o"))&amp;"-p"))*(scans!$D$2:$D$1601="baseline")*scans!$E$2:$E$1601))))</f>
        <v/>
      </c>
      <c r="AP160" s="25">
        <f>IF($A160="","",IF(COUNTIF(offices!$A$2:$A$61,$B160)=0,"office_id not on offices; ","")&amp;IF(COUNTIF(campaigns!$A$2:$A$51,$A160)=0,"campaign_id not on campaigns; ","")&amp;IF($P160="pending","approval pending; ","")&amp;IF(AND($U160&gt;0,$Y160="",OR($I160="",IF(config!$B$37&lt;&gt;"",config!$B$37,TODAY())&lt;=WORKDAY(N($I160),4,calendar!$A$2:$A$80))),"no usable placement photo yet; ","")&amp;IF(AND($Y160&lt;&gt;"",$Z160=""),"log the placed count; ","")&amp;IF(N($AA160)&gt;N($U160),"placed more than delivered; ","")&amp;IF(AND($AF160&lt;&gt;"",N($AF160)&gt;N($AA160)+N($AD160)),"day-5 count above placed plus top-ups; ","")&amp;IF(AND($U160&gt;0,$I160&lt;&gt;"",IF(config!$B$37&lt;&gt;"",config!$B$37,TODAY())&gt;WORKDAY(N($I160),4,calendar!$A$2:$A$80),$AF160=""),"day-5 count missing; ","")&amp;IF(AND($U160&gt;0,$I160&lt;&gt;"",IF(config!$B$37&lt;&gt;"",config!$B$37,TODAY())&gt;WORKDAY(N($I160),4,calendar!$A$2:$A$80),$AN160=""),"no close link reading; ","")&amp;$R160&amp;IF($P160="N","info: office said no; ","")&amp;IF(AND($P160="Y",$Q160="N"),"info: turned away at the door, so not on the drop (no letter, not in the report or Gate 2; the credit check is on campaigns); ","")&amp;IF(AND($U160&gt;0,$Y160="",$I160&lt;&gt;"",IF(config!$B$37&lt;&gt;"",config!$B$37,TODAY())&gt;WORKDAY(N($I160),4,calendar!$A$2:$A$80)),"info: no usable placement photo, so nothing counts as placed; ","")&amp;IF(AND($U160&gt;0,$I160&lt;&gt;"",IF(config!$B$37&lt;&gt;"",config!$B$37,TODAY())&gt;WORKDAY(N($I160),4,calendar!$A$2:$A$80),N($AL160)&lt;config!$B$30),"info: under "&amp;config!$B$30&amp;" responses; ","")&amp;IF($W160="packing_list","info: delivered count not verified; ",""))</f>
        <v/>
      </c>
      <c r="AQ160" s="25">
        <f>IF(OR($A160="",$I160=""),"",IF($BC160="Y",SUMIFS(survey_frozen!$E$2:$E$251,survey_frozen!$P$2:$P$251,$A160&amp;"|"&amp;$B160),IFERROR(COUNTIFS(INDIRECT("'"&amp;$A160&amp;"'!$B$2:$B$501"),$T160,INDIRECT("'"&amp;$A160&amp;"'!$A$2:$A$501"),"&gt;="&amp;$I160,INDIRECT("'"&amp;$A160&amp;"'!$A$2:$A$501"),"&lt;"&amp;($BA160+1),INDIRECT("'"&amp;$A160&amp;"'!$F$2:$F$501"),"Didn't see it"),0)))</f>
        <v/>
      </c>
      <c r="AR160" s="25">
        <f>IF(OR($A160="",$I160=""),"",IF($BC160="Y",SUMIFS(survey_frozen!$F$2:$F$251,survey_frozen!$P$2:$P$251,$A160&amp;"|"&amp;$B160),IFERROR(COUNTIFS(INDIRECT("'"&amp;$A160&amp;"'!$B$2:$B$501"),$T160,INDIRECT("'"&amp;$A160&amp;"'!$A$2:$A$501"),"&gt;="&amp;$I160,INDIRECT("'"&amp;$A160&amp;"'!$A$2:$A$501"),"&lt;"&amp;($BA160+1),INDIRECT("'"&amp;$A160&amp;"'!$F$2:$F$501"),"Not for me"),0)))</f>
        <v/>
      </c>
      <c r="AS160" s="25">
        <f>IF(OR($A160="",$I160=""),"",IF($BC160="Y",SUMIFS(survey_frozen!$G$2:$G$251,survey_frozen!$P$2:$P$251,$A160&amp;"|"&amp;$B160),IFERROR(COUNTIFS(INDIRECT("'"&amp;$A160&amp;"'!$B$2:$B$501"),$T160,INDIRECT("'"&amp;$A160&amp;"'!$A$2:$A$501"),"&gt;="&amp;$I160,INDIRECT("'"&amp;$A160&amp;"'!$A$2:$A$501"),"&lt;"&amp;($BA160+1),INDIRECT("'"&amp;$A160&amp;"'!$F$2:$F$501"),"Gone by the time I looked"),0)))</f>
        <v/>
      </c>
      <c r="AT160" s="25">
        <f>IF(OR($A160="",$I160=""),"",IF($BC160="Y",SUMIFS(survey_frozen!$H$2:$H$251,survey_frozen!$P$2:$P$251,$A160&amp;"|"&amp;$B160),IFERROR(COUNTIFS(INDIRECT("'"&amp;$A160&amp;"'!$B$2:$B$501"),$T160,INDIRECT("'"&amp;$A160&amp;"'!$A$2:$A$501"),"&gt;="&amp;$I160,INDIRECT("'"&amp;$A160&amp;"'!$A$2:$A$501"),"&lt;"&amp;($BA160+1),INDIRECT("'"&amp;$A160&amp;"'!$D$2:$D$501"),"&gt;=1"),0)))</f>
        <v/>
      </c>
      <c r="AU160" s="25">
        <f>IF(OR($A160="",$I160=""),"",IF($BC160="Y",SUMIFS(survey_frozen!$I$2:$I$251,survey_frozen!$P$2:$P$251,$A160&amp;"|"&amp;$B160),IFERROR(SUMIFS(INDIRECT("'"&amp;$A160&amp;"'!$D$2:$D$501"),INDIRECT("'"&amp;$A160&amp;"'!$B$2:$B$501"),$T160,INDIRECT("'"&amp;$A160&amp;"'!$A$2:$A$501"),"&gt;="&amp;$I160,INDIRECT("'"&amp;$A160&amp;"'!$A$2:$A$501"),"&lt;"&amp;($BA160+1)),0)))</f>
        <v/>
      </c>
      <c r="AV160" s="25">
        <f>IF(OR($A160="",$I160=""),"",IF($BC160="Y",SUMIFS(survey_frozen!$J$2:$J$251,survey_frozen!$P$2:$P$251,$A160&amp;"|"&amp;$B160),IFERROR(COUNTIFS(INDIRECT("'"&amp;$A160&amp;"'!$B$2:$B$501"),$T160,INDIRECT("'"&amp;$A160&amp;"'!$A$2:$A$501"),"&gt;="&amp;$I160,INDIRECT("'"&amp;$A160&amp;"'!$A$2:$A$501"),"&lt;"&amp;($BA160+1),INDIRECT("'"&amp;$A160&amp;"'!$E$2:$E$501"),"Yes"),0)))</f>
        <v/>
      </c>
      <c r="AW160" s="25">
        <f>IF(OR($A160="",$I160=""),"",IF($BC160="Y",SUMIFS(survey_frozen!$K$2:$K$251,survey_frozen!$P$2:$P$251,$A160&amp;"|"&amp;$B160),IFERROR(COUNTIFS(INDIRECT("'"&amp;$A160&amp;"'!$B$2:$B$501"),$T160,INDIRECT("'"&amp;$A160&amp;"'!$A$2:$A$501"),"&gt;="&amp;$I160,INDIRECT("'"&amp;$A160&amp;"'!$A$2:$A$501"),"&lt;"&amp;($BA160+1),INDIRECT("'"&amp;$A160&amp;"'!$E$2:$E$501"),"Maybe"),0)))</f>
        <v/>
      </c>
      <c r="AX160" s="25">
        <f>IF(OR($A160="",$I160=""),"",IF($BC160="Y",SUMIFS(survey_frozen!$L$2:$L$251,survey_frozen!$P$2:$P$251,$A160&amp;"|"&amp;$B160),IFERROR(COUNTIFS(INDIRECT("'"&amp;$A160&amp;"'!$B$2:$B$501"),$T160,INDIRECT("'"&amp;$A160&amp;"'!$A$2:$A$501"),"&gt;="&amp;$I160,INDIRECT("'"&amp;$A160&amp;"'!$A$2:$A$501"),"&lt;"&amp;($BA160+1),INDIRECT("'"&amp;$A160&amp;"'!$E$2:$E$501"),"No"),0)))</f>
        <v/>
      </c>
      <c r="AY160" s="25">
        <f>IF(OR($A160="",$I160=""),"",IF($BC160="Y",SUMIFS(survey_frozen!$M$2:$M$251,survey_frozen!$P$2:$P$251,$A160&amp;"|"&amp;$B160),IFERROR(COUNTIFS(INDIRECT("'"&amp;$A160&amp;"'!$B$2:$B$501"),$T160,INDIRECT("'"&amp;$A160&amp;"'!$A$2:$A$501"),"&gt;="&amp;$I160,INDIRECT("'"&amp;$A160&amp;"'!$A$2:$A$501"),"&lt;"&amp;($BA160+1),INDIRECT("'"&amp;$A160&amp;"'!$G$2:$G$501"),"&lt;&gt;"),0)))</f>
        <v/>
      </c>
      <c r="AZ160" s="25">
        <f>IF($A160="","",$A160&amp;"|"&amp;$L160)</f>
        <v/>
      </c>
      <c r="BA160" s="26">
        <f>IF($A160="","",IFERROR(IF(INDEX(drops!$R$2:$R$21,MATCH($H160,drops!$A$2:$A$21,0))="","",INDEX(drops!$R$2:$R$21,MATCH($H160,drops!$A$2:$A$21,0))),""))</f>
        <v/>
      </c>
      <c r="BB160" s="25">
        <f>IF(OR($A160="",$Q160&lt;&gt;"Y"),1000000,N($AL160))</f>
        <v/>
      </c>
      <c r="BC160" s="25">
        <f>IF($A160="","",IF(COUNTIF(survey_frozen!$P$2:$P$251,$A160&amp;"|"&amp;$B160)&gt;0,"Y",""))</f>
        <v/>
      </c>
    </row>
    <row r="161">
      <c r="C161" s="9" t="n"/>
      <c r="E161" s="9" t="n"/>
      <c r="H161" s="25">
        <f>IF($A161="","",IFERROR(IF(INDEX(campaigns!$B$2:$B$51,MATCH($A161,campaigns!$A$2:$A$51,0))="","",INDEX(campaigns!$B$2:$B$51,MATCH($A161,campaigns!$A$2:$A$51,0))),""))</f>
        <v/>
      </c>
      <c r="I161" s="26">
        <f>IF($A161="","",IFERROR(IF(INDEX(campaigns!$BG$2:$BG$51,MATCH($A161,campaigns!$A$2:$A$51,0))="","",INDEX(campaigns!$BG$2:$BG$51,MATCH($A161,campaigns!$A$2:$A$51,0))),""))</f>
        <v/>
      </c>
      <c r="J161" s="25">
        <f>IF($A161="","",IFERROR(IF(INDEX(campaigns!$BE$2:$BE$51,MATCH($A161,campaigns!$A$2:$A$51,0))="","",INDEX(campaigns!$BE$2:$BE$51,MATCH($A161,campaigns!$A$2:$A$51,0))),""))</f>
        <v/>
      </c>
      <c r="K161" s="25">
        <f>IF($B161="","",IFERROR(IF(INDEX(offices!$N$2:$N$61,MATCH($B161,offices!$A$2:$A$61,0))="","",INDEX(offices!$N$2:$N$61,MATCH($B161,offices!$A$2:$A$61,0))),""))</f>
        <v/>
      </c>
      <c r="L161" s="25">
        <f>IF($A161="","",IF($Q161="N","",COUNTIFS($A$2:$A161,$A161,$Q$2:$Q161,"&lt;&gt;N")))</f>
        <v/>
      </c>
      <c r="M161" s="25">
        <f>IF(OR($A161="",$L161=""),"",IF(AND(config!$B$34="names_if_public",IFERROR(IF(INDEX(offices!$AF$2:$AF$61,MATCH($B161,offices!$A$2:$A$61,0))="","",INDEX(offices!$AF$2:$AF$61,MATCH($B161,offices!$A$2:$A$61,0))),"")="Y"),$K161,CHAR(64+$L161)))</f>
        <v/>
      </c>
      <c r="N161" s="25">
        <f>IF(OR($A161="",$I161=""),"",COUNTIFS(stops!$B$2:$B$151,$B161,stops!$P$2:$P$151,"&lt;"&amp;$I161,stops!$L$2:$L$151,"&lt;&gt;not_delivered")+1)</f>
        <v/>
      </c>
      <c r="O161" s="25">
        <f>IF($A161="","",IF(N($N161)&lt;=config!$B$29,"explicit","opt-out"))</f>
        <v/>
      </c>
      <c r="P161" s="25">
        <f>IF($A161="","",IF($O161="explicit",IF($D161="yes","Y",IF($D161="no","N","pending")),IF($D161="no","N",IF(AND($C161&lt;&gt;"",$I161&lt;&gt;"",$C161&lt;=WORKDAY(N($I161),-5,calendar!$A$2:$A$80)),"Y","pending"))))</f>
        <v/>
      </c>
      <c r="Q161" s="25">
        <f>IF($A161="","",IF($P161="N","N",IF($P161&lt;&gt;"Y","pending",IF(AND((COUNTIFS(stops!$A$2:$A$151,$H161,stops!$B$2:$B$151,$B161,stops!$L$2:$L$151,"declined")+COUNTIFS(stops!$A$2:$A$151,$H161,stops!$B$2:$B$151,$B161,stops!$L$2:$L$151,"building_refused")+COUNTIFS(stops!$A$2:$A$151,$H161,stops!$B$2:$B$151,$B161,stops!$L$2:$L$151,"not_delivered"))&gt;0,N($U161)=0),"N","Y"))))</f>
        <v/>
      </c>
      <c r="R161" s="25">
        <f>IF($A161="","",IF(COUNTIFS($A$2:$A$251,$A161,$B$2:$B$251,$B161)&gt;1,"DUPLICATE ROW; ","")&amp;IF(AND(IFERROR(IF(INDEX(offices!$AC$2:$AC$61,MATCH($B161,offices!$A$2:$A$61,0))="","",INDEX(offices!$AC$2:$AC$61,MATCH($B161,offices!$A$2:$A$61,0))),"")&lt;&gt;"",ISNUMBER(SEARCH($J161,IFERROR(IF(INDEX(offices!$AC$2:$AC$61,MATCH($B161,offices!$A$2:$A$61,0))="","",INDEX(offices!$AC$2:$AC$61,MATCH($B161,offices!$A$2:$A$61,0))),"")))),"BRAND VETOED; ","")&amp;IF(ISNUMBER(SEARCH(IFERROR(IF(INDEX(campaigns!$BF$2:$BF$51,MATCH($A161,campaigns!$A$2:$A$51,0))="","",INDEX(campaigns!$BF$2:$BF$51,MATCH($A161,campaigns!$A$2:$A$51,0))),""),IFERROR(IF(INDEX(offices!$AB$2:$AB$61,MATCH($B161,offices!$A$2:$A$61,0))="","",INDEX(offices!$AB$2:$AB$61,MATCH($B161,offices!$A$2:$A$61,0))),""))),"","info: category not on the office's list; ")&amp;IF(IFERROR(IF(INDEX(offices!$AC$2:$AC$61,MATCH($B161,offices!$A$2:$A$61,0))="","",INDEX(offices!$AC$2:$AC$61,MATCH($B161,offices!$A$2:$A$61,0))),"")&lt;&gt;"","info: read the vetoes against the label; ",""))</f>
        <v/>
      </c>
      <c r="S161" s="25">
        <f>IF($A161="","",IF($G161&lt;&gt;"",$G161,IFERROR(IF(INDEX(offices!$AL$2:$AL$61,MATCH($B161,offices!$A$2:$A$61,0))="","",INDEX(offices!$AL$2:$AL$61,MATCH($B161,offices!$A$2:$A$61,0))),"")))</f>
        <v/>
      </c>
      <c r="T161" s="25">
        <f>IF($A161="","",$A161&amp;"."&amp;$B161)</f>
        <v/>
      </c>
      <c r="U161" s="25">
        <f>IF($A161="","",SUMIFS(inventory!$G$2:$G$801,inventory!$C$2:$C$801,$A161,inventory!$D$2:$D$801,$B161,inventory!$E$2:$E$801,"delivered"))</f>
        <v/>
      </c>
      <c r="V161" s="32">
        <f>IF($A161="","",IFERROR(1/(1/SUMPRODUCT(MAX((inventory!$C$2:$C$801=$A161)*(inventory!$D$2:$D$801=$B161)*(inventory!$E$2:$E$801="delivered")*(inventory!$A$2:$A$801+inventory!$B$2:$B$801)))),""))</f>
        <v/>
      </c>
      <c r="W161" s="25">
        <f>IF($A161="","",IFERROR(IF(INDEX(inventory!$J$2:$J$801,MATCH($A161&amp;"|"&amp;$B161&amp;"|delivered",inventory!$R$2:$R$801,0))="","",INDEX(inventory!$J$2:$J$801,MATCH($A161&amp;"|"&amp;$B161&amp;"|delivered",inventory!$R$2:$R$801,0))),""))</f>
        <v/>
      </c>
      <c r="X161" s="25">
        <f>IF($A161="","",IFERROR(IF(INDEX(photos!$H$2:$H$701,MATCH($A161&amp;"|"&amp;$B161&amp;"|placement|Y",photos!$R$2:$R$701,0))="","",INDEX(photos!$H$2:$H$701,MATCH($A161&amp;"|"&amp;$B161&amp;"|placement|Y",photos!$R$2:$R$701,0))),""))</f>
        <v/>
      </c>
      <c r="Y161" s="26">
        <f>IF($A161="","",IFERROR(IF(INDEX(photos!$E$2:$E$701,MATCH($A161&amp;"|"&amp;$B161&amp;"|placement|Y",photos!$R$2:$R$701,0))="","",INDEX(photos!$E$2:$E$701,MATCH($A161&amp;"|"&amp;$B161&amp;"|placement|Y",photos!$R$2:$R$701,0))),""))</f>
        <v/>
      </c>
      <c r="Z161" s="25">
        <f>IF($A161="","",IF(COUNTIFS(counts!$C$2:$C$701,$A161,counts!$D$2:$D$701,$B161,counts!$E$2:$E$701,"placed")=0,"",SUMIFS(counts!$F$2:$F$701,counts!$C$2:$C$701,$A161,counts!$D$2:$D$701,$B161,counts!$E$2:$E$701,"placed")))</f>
        <v/>
      </c>
      <c r="AA161" s="25">
        <f>IF($A161="","",IF($Y161="",0,N($Z161)))</f>
        <v/>
      </c>
      <c r="AB161" s="25">
        <f>IF($A161="","",IF(OR($Y161="",$I161=""),"N",IF($Y161&lt;=WORKDAY(N($I161),1,calendar!$A$2:$A$80),"Y","N")))</f>
        <v/>
      </c>
      <c r="AC161" s="28">
        <f>IF(OR($A161="",$V161="",$Y161=""),"",ROUND(($Y161+N(IFERROR(IF(INDEX(photos!$F$2:$F$701,MATCH($A161&amp;"|"&amp;$B161&amp;"|placement|Y",photos!$R$2:$R$701,0))="","",INDEX(photos!$F$2:$F$701,MATCH($A161&amp;"|"&amp;$B161&amp;"|placement|Y",photos!$R$2:$R$701,0))),""))-$V161)*24,1))</f>
        <v/>
      </c>
      <c r="AD161" s="25">
        <f>IF($A161="","",SUMIFS(inventory!$G$2:$G$801,inventory!$C$2:$C$801,$A161,inventory!$D$2:$D$801,$B161,inventory!$E$2:$E$801,"topped_up"))</f>
        <v/>
      </c>
      <c r="AE161" s="25">
        <f>IF($A161="","",IF(COUNTIFS(counts!$C$2:$C$701,$A161,counts!$D$2:$D$701,$B161,counts!$E$2:$E$701,"remaining_day3")=0,"",SUMIFS(counts!$F$2:$F$701,counts!$C$2:$C$701,$A161,counts!$D$2:$D$701,$B161,counts!$E$2:$E$701,"remaining_day3")))</f>
        <v/>
      </c>
      <c r="AF161" s="25">
        <f>IF($A161="","",IF(COUNTIFS(counts!$C$2:$C$701,$A161,counts!$D$2:$D$701,$B161,counts!$E$2:$E$701,"remaining_day5")=0,"",SUMIFS(counts!$F$2:$F$701,counts!$C$2:$C$701,$A161,counts!$D$2:$D$701,$B161,counts!$E$2:$E$701,"remaining_day5")))</f>
        <v/>
      </c>
      <c r="AG161" s="25">
        <f>IF(OR($A161="",$AF161=""),"",MAX(0,$AA161+$AD161-$AF161))</f>
        <v/>
      </c>
      <c r="AH161" s="25">
        <f>IF(OR($A161="",$AI161=""),"",IFERROR(IF(INDEX(photos!$H$2:$H$701,MATCH($A161&amp;"|"&amp;$B161&amp;"|later|Y|"&amp;$AI161,photos!$S$2:$S$701,0))="","",INDEX(photos!$H$2:$H$701,MATCH($A161&amp;"|"&amp;$B161&amp;"|later|Y|"&amp;$AI161,photos!$S$2:$S$701,0))),""))</f>
        <v/>
      </c>
      <c r="AI161" s="26">
        <f>IF($A161="","",IFERROR(1/(1/SUMPRODUCT(MAX((photos!$B$2:$B$701=$A161)*(photos!$C$2:$C$701=$B161)*(photos!$D$2:$D$701="later")*(photos!$O$2:$O$701="Y")*photos!$E$2:$E$701))),""))</f>
        <v/>
      </c>
      <c r="AJ161" s="25">
        <f>IF(OR($A161="",$AI161="",$I161=""),"",NETWORKDAYS($I161,$AI161,calendar!$A$2:$A$80))</f>
        <v/>
      </c>
      <c r="AK161" s="25">
        <f>IF($A161="","",IF(AND($X161&lt;&gt;"",$AH161&lt;&gt;""),"Y","N"))</f>
        <v/>
      </c>
      <c r="AL161" s="25">
        <f>IF(OR($A161="",$I161=""),"",IF($BC161="Y",SUMIFS(survey_frozen!$C$2:$C$251,survey_frozen!$P$2:$P$251,$A161&amp;"|"&amp;$B161),IFERROR(COUNTIFS(INDIRECT("'"&amp;$A161&amp;"'!$B$2:$B$501"),$T161,INDIRECT("'"&amp;$A161&amp;"'!$A$2:$A$501"),"&gt;="&amp;$I161,INDIRECT("'"&amp;$A161&amp;"'!$A$2:$A$501"),"&lt;"&amp;($BA161+1)),0)))</f>
        <v/>
      </c>
      <c r="AM161" s="25">
        <f>IF(OR($A161="",$I161=""),"",IF($BC161="Y",SUMIFS(survey_frozen!$D$2:$D$251,survey_frozen!$P$2:$P$251,$A161&amp;"|"&amp;$B161),IFERROR(COUNTIFS(INDIRECT("'"&amp;$A161&amp;"'!$B$2:$B$501"),$T161,INDIRECT("'"&amp;$A161&amp;"'!$A$2:$A$501"),"&gt;="&amp;$I161,INDIRECT("'"&amp;$A161&amp;"'!$A$2:$A$501"),"&lt;"&amp;($BA161+1),INDIRECT("'"&amp;$A161&amp;"'!$C$2:$C$501"),"Yes"),0)))</f>
        <v/>
      </c>
      <c r="AN161" s="25">
        <f>IF($A161="","",IF(COUNTIFS(scans!$C$2:$C$1601,(IF(LEFT($A161,7)="SAMPLE-","SAMPLE-","")&amp;LOWER(SUBSTITUTE(SUBSTITUTE($A161,"SAMPLE-",""),"CMP-","c"))&amp;"-"&amp;LOWER(SUBSTITUTE(SUBSTITUTE($B161,"SAMPLE-",""),"O-","o"))&amp;"-q"),scans!$D$2:$D$1601,"close")=0,"",SUMPRODUCT(MAX((scans!$C$2:$C$1601=(IF(LEFT($A161,7)="SAMPLE-","SAMPLE-","")&amp;LOWER(SUBSTITUTE(SUBSTITUTE($A161,"SAMPLE-",""),"CMP-","c"))&amp;"-"&amp;LOWER(SUBSTITUTE(SUBSTITUTE($B161,"SAMPLE-",""),"O-","o"))&amp;"-q"))*(scans!$D$2:$D$1601="close")*scans!$E$2:$E$1601))-SUMPRODUCT(MAX((scans!$C$2:$C$1601=(IF(LEFT($A161,7)="SAMPLE-","SAMPLE-","")&amp;LOWER(SUBSTITUTE(SUBSTITUTE($A161,"SAMPLE-",""),"CMP-","c"))&amp;"-"&amp;LOWER(SUBSTITUTE(SUBSTITUTE($B161,"SAMPLE-",""),"O-","o"))&amp;"-q"))*(scans!$D$2:$D$1601="baseline")*scans!$E$2:$E$1601))))</f>
        <v/>
      </c>
      <c r="AO161" s="25">
        <f>IF($A161="","",IF(COUNTIFS(scans!$C$2:$C$1601,(IF(LEFT($A161,7)="SAMPLE-","SAMPLE-","")&amp;LOWER(SUBSTITUTE(SUBSTITUTE($A161,"SAMPLE-",""),"CMP-","c"))&amp;"-"&amp;LOWER(SUBSTITUTE(SUBSTITUTE($B161,"SAMPLE-",""),"O-","o"))&amp;"-p"),scans!$D$2:$D$1601,"close")=0,"",SUMPRODUCT(MAX((scans!$C$2:$C$1601=(IF(LEFT($A161,7)="SAMPLE-","SAMPLE-","")&amp;LOWER(SUBSTITUTE(SUBSTITUTE($A161,"SAMPLE-",""),"CMP-","c"))&amp;"-"&amp;LOWER(SUBSTITUTE(SUBSTITUTE($B161,"SAMPLE-",""),"O-","o"))&amp;"-p"))*(scans!$D$2:$D$1601="close")*scans!$E$2:$E$1601))-SUMPRODUCT(MAX((scans!$C$2:$C$1601=(IF(LEFT($A161,7)="SAMPLE-","SAMPLE-","")&amp;LOWER(SUBSTITUTE(SUBSTITUTE($A161,"SAMPLE-",""),"CMP-","c"))&amp;"-"&amp;LOWER(SUBSTITUTE(SUBSTITUTE($B161,"SAMPLE-",""),"O-","o"))&amp;"-p"))*(scans!$D$2:$D$1601="baseline")*scans!$E$2:$E$1601))))</f>
        <v/>
      </c>
      <c r="AP161" s="25">
        <f>IF($A161="","",IF(COUNTIF(offices!$A$2:$A$61,$B161)=0,"office_id not on offices; ","")&amp;IF(COUNTIF(campaigns!$A$2:$A$51,$A161)=0,"campaign_id not on campaigns; ","")&amp;IF($P161="pending","approval pending; ","")&amp;IF(AND($U161&gt;0,$Y161="",OR($I161="",IF(config!$B$37&lt;&gt;"",config!$B$37,TODAY())&lt;=WORKDAY(N($I161),4,calendar!$A$2:$A$80))),"no usable placement photo yet; ","")&amp;IF(AND($Y161&lt;&gt;"",$Z161=""),"log the placed count; ","")&amp;IF(N($AA161)&gt;N($U161),"placed more than delivered; ","")&amp;IF(AND($AF161&lt;&gt;"",N($AF161)&gt;N($AA161)+N($AD161)),"day-5 count above placed plus top-ups; ","")&amp;IF(AND($U161&gt;0,$I161&lt;&gt;"",IF(config!$B$37&lt;&gt;"",config!$B$37,TODAY())&gt;WORKDAY(N($I161),4,calendar!$A$2:$A$80),$AF161=""),"day-5 count missing; ","")&amp;IF(AND($U161&gt;0,$I161&lt;&gt;"",IF(config!$B$37&lt;&gt;"",config!$B$37,TODAY())&gt;WORKDAY(N($I161),4,calendar!$A$2:$A$80),$AN161=""),"no close link reading; ","")&amp;$R161&amp;IF($P161="N","info: office said no; ","")&amp;IF(AND($P161="Y",$Q161="N"),"info: turned away at the door, so not on the drop (no letter, not in the report or Gate 2; the credit check is on campaigns); ","")&amp;IF(AND($U161&gt;0,$Y161="",$I161&lt;&gt;"",IF(config!$B$37&lt;&gt;"",config!$B$37,TODAY())&gt;WORKDAY(N($I161),4,calendar!$A$2:$A$80)),"info: no usable placement photo, so nothing counts as placed; ","")&amp;IF(AND($U161&gt;0,$I161&lt;&gt;"",IF(config!$B$37&lt;&gt;"",config!$B$37,TODAY())&gt;WORKDAY(N($I161),4,calendar!$A$2:$A$80),N($AL161)&lt;config!$B$30),"info: under "&amp;config!$B$30&amp;" responses; ","")&amp;IF($W161="packing_list","info: delivered count not verified; ",""))</f>
        <v/>
      </c>
      <c r="AQ161" s="25">
        <f>IF(OR($A161="",$I161=""),"",IF($BC161="Y",SUMIFS(survey_frozen!$E$2:$E$251,survey_frozen!$P$2:$P$251,$A161&amp;"|"&amp;$B161),IFERROR(COUNTIFS(INDIRECT("'"&amp;$A161&amp;"'!$B$2:$B$501"),$T161,INDIRECT("'"&amp;$A161&amp;"'!$A$2:$A$501"),"&gt;="&amp;$I161,INDIRECT("'"&amp;$A161&amp;"'!$A$2:$A$501"),"&lt;"&amp;($BA161+1),INDIRECT("'"&amp;$A161&amp;"'!$F$2:$F$501"),"Didn't see it"),0)))</f>
        <v/>
      </c>
      <c r="AR161" s="25">
        <f>IF(OR($A161="",$I161=""),"",IF($BC161="Y",SUMIFS(survey_frozen!$F$2:$F$251,survey_frozen!$P$2:$P$251,$A161&amp;"|"&amp;$B161),IFERROR(COUNTIFS(INDIRECT("'"&amp;$A161&amp;"'!$B$2:$B$501"),$T161,INDIRECT("'"&amp;$A161&amp;"'!$A$2:$A$501"),"&gt;="&amp;$I161,INDIRECT("'"&amp;$A161&amp;"'!$A$2:$A$501"),"&lt;"&amp;($BA161+1),INDIRECT("'"&amp;$A161&amp;"'!$F$2:$F$501"),"Not for me"),0)))</f>
        <v/>
      </c>
      <c r="AS161" s="25">
        <f>IF(OR($A161="",$I161=""),"",IF($BC161="Y",SUMIFS(survey_frozen!$G$2:$G$251,survey_frozen!$P$2:$P$251,$A161&amp;"|"&amp;$B161),IFERROR(COUNTIFS(INDIRECT("'"&amp;$A161&amp;"'!$B$2:$B$501"),$T161,INDIRECT("'"&amp;$A161&amp;"'!$A$2:$A$501"),"&gt;="&amp;$I161,INDIRECT("'"&amp;$A161&amp;"'!$A$2:$A$501"),"&lt;"&amp;($BA161+1),INDIRECT("'"&amp;$A161&amp;"'!$F$2:$F$501"),"Gone by the time I looked"),0)))</f>
        <v/>
      </c>
      <c r="AT161" s="25">
        <f>IF(OR($A161="",$I161=""),"",IF($BC161="Y",SUMIFS(survey_frozen!$H$2:$H$251,survey_frozen!$P$2:$P$251,$A161&amp;"|"&amp;$B161),IFERROR(COUNTIFS(INDIRECT("'"&amp;$A161&amp;"'!$B$2:$B$501"),$T161,INDIRECT("'"&amp;$A161&amp;"'!$A$2:$A$501"),"&gt;="&amp;$I161,INDIRECT("'"&amp;$A161&amp;"'!$A$2:$A$501"),"&lt;"&amp;($BA161+1),INDIRECT("'"&amp;$A161&amp;"'!$D$2:$D$501"),"&gt;=1"),0)))</f>
        <v/>
      </c>
      <c r="AU161" s="25">
        <f>IF(OR($A161="",$I161=""),"",IF($BC161="Y",SUMIFS(survey_frozen!$I$2:$I$251,survey_frozen!$P$2:$P$251,$A161&amp;"|"&amp;$B161),IFERROR(SUMIFS(INDIRECT("'"&amp;$A161&amp;"'!$D$2:$D$501"),INDIRECT("'"&amp;$A161&amp;"'!$B$2:$B$501"),$T161,INDIRECT("'"&amp;$A161&amp;"'!$A$2:$A$501"),"&gt;="&amp;$I161,INDIRECT("'"&amp;$A161&amp;"'!$A$2:$A$501"),"&lt;"&amp;($BA161+1)),0)))</f>
        <v/>
      </c>
      <c r="AV161" s="25">
        <f>IF(OR($A161="",$I161=""),"",IF($BC161="Y",SUMIFS(survey_frozen!$J$2:$J$251,survey_frozen!$P$2:$P$251,$A161&amp;"|"&amp;$B161),IFERROR(COUNTIFS(INDIRECT("'"&amp;$A161&amp;"'!$B$2:$B$501"),$T161,INDIRECT("'"&amp;$A161&amp;"'!$A$2:$A$501"),"&gt;="&amp;$I161,INDIRECT("'"&amp;$A161&amp;"'!$A$2:$A$501"),"&lt;"&amp;($BA161+1),INDIRECT("'"&amp;$A161&amp;"'!$E$2:$E$501"),"Yes"),0)))</f>
        <v/>
      </c>
      <c r="AW161" s="25">
        <f>IF(OR($A161="",$I161=""),"",IF($BC161="Y",SUMIFS(survey_frozen!$K$2:$K$251,survey_frozen!$P$2:$P$251,$A161&amp;"|"&amp;$B161),IFERROR(COUNTIFS(INDIRECT("'"&amp;$A161&amp;"'!$B$2:$B$501"),$T161,INDIRECT("'"&amp;$A161&amp;"'!$A$2:$A$501"),"&gt;="&amp;$I161,INDIRECT("'"&amp;$A161&amp;"'!$A$2:$A$501"),"&lt;"&amp;($BA161+1),INDIRECT("'"&amp;$A161&amp;"'!$E$2:$E$501"),"Maybe"),0)))</f>
        <v/>
      </c>
      <c r="AX161" s="25">
        <f>IF(OR($A161="",$I161=""),"",IF($BC161="Y",SUMIFS(survey_frozen!$L$2:$L$251,survey_frozen!$P$2:$P$251,$A161&amp;"|"&amp;$B161),IFERROR(COUNTIFS(INDIRECT("'"&amp;$A161&amp;"'!$B$2:$B$501"),$T161,INDIRECT("'"&amp;$A161&amp;"'!$A$2:$A$501"),"&gt;="&amp;$I161,INDIRECT("'"&amp;$A161&amp;"'!$A$2:$A$501"),"&lt;"&amp;($BA161+1),INDIRECT("'"&amp;$A161&amp;"'!$E$2:$E$501"),"No"),0)))</f>
        <v/>
      </c>
      <c r="AY161" s="25">
        <f>IF(OR($A161="",$I161=""),"",IF($BC161="Y",SUMIFS(survey_frozen!$M$2:$M$251,survey_frozen!$P$2:$P$251,$A161&amp;"|"&amp;$B161),IFERROR(COUNTIFS(INDIRECT("'"&amp;$A161&amp;"'!$B$2:$B$501"),$T161,INDIRECT("'"&amp;$A161&amp;"'!$A$2:$A$501"),"&gt;="&amp;$I161,INDIRECT("'"&amp;$A161&amp;"'!$A$2:$A$501"),"&lt;"&amp;($BA161+1),INDIRECT("'"&amp;$A161&amp;"'!$G$2:$G$501"),"&lt;&gt;"),0)))</f>
        <v/>
      </c>
      <c r="AZ161" s="25">
        <f>IF($A161="","",$A161&amp;"|"&amp;$L161)</f>
        <v/>
      </c>
      <c r="BA161" s="26">
        <f>IF($A161="","",IFERROR(IF(INDEX(drops!$R$2:$R$21,MATCH($H161,drops!$A$2:$A$21,0))="","",INDEX(drops!$R$2:$R$21,MATCH($H161,drops!$A$2:$A$21,0))),""))</f>
        <v/>
      </c>
      <c r="BB161" s="25">
        <f>IF(OR($A161="",$Q161&lt;&gt;"Y"),1000000,N($AL161))</f>
        <v/>
      </c>
      <c r="BC161" s="25">
        <f>IF($A161="","",IF(COUNTIF(survey_frozen!$P$2:$P$251,$A161&amp;"|"&amp;$B161)&gt;0,"Y",""))</f>
        <v/>
      </c>
    </row>
    <row r="162">
      <c r="C162" s="9" t="n"/>
      <c r="E162" s="9" t="n"/>
      <c r="H162" s="25">
        <f>IF($A162="","",IFERROR(IF(INDEX(campaigns!$B$2:$B$51,MATCH($A162,campaigns!$A$2:$A$51,0))="","",INDEX(campaigns!$B$2:$B$51,MATCH($A162,campaigns!$A$2:$A$51,0))),""))</f>
        <v/>
      </c>
      <c r="I162" s="26">
        <f>IF($A162="","",IFERROR(IF(INDEX(campaigns!$BG$2:$BG$51,MATCH($A162,campaigns!$A$2:$A$51,0))="","",INDEX(campaigns!$BG$2:$BG$51,MATCH($A162,campaigns!$A$2:$A$51,0))),""))</f>
        <v/>
      </c>
      <c r="J162" s="25">
        <f>IF($A162="","",IFERROR(IF(INDEX(campaigns!$BE$2:$BE$51,MATCH($A162,campaigns!$A$2:$A$51,0))="","",INDEX(campaigns!$BE$2:$BE$51,MATCH($A162,campaigns!$A$2:$A$51,0))),""))</f>
        <v/>
      </c>
      <c r="K162" s="25">
        <f>IF($B162="","",IFERROR(IF(INDEX(offices!$N$2:$N$61,MATCH($B162,offices!$A$2:$A$61,0))="","",INDEX(offices!$N$2:$N$61,MATCH($B162,offices!$A$2:$A$61,0))),""))</f>
        <v/>
      </c>
      <c r="L162" s="25">
        <f>IF($A162="","",IF($Q162="N","",COUNTIFS($A$2:$A162,$A162,$Q$2:$Q162,"&lt;&gt;N")))</f>
        <v/>
      </c>
      <c r="M162" s="25">
        <f>IF(OR($A162="",$L162=""),"",IF(AND(config!$B$34="names_if_public",IFERROR(IF(INDEX(offices!$AF$2:$AF$61,MATCH($B162,offices!$A$2:$A$61,0))="","",INDEX(offices!$AF$2:$AF$61,MATCH($B162,offices!$A$2:$A$61,0))),"")="Y"),$K162,CHAR(64+$L162)))</f>
        <v/>
      </c>
      <c r="N162" s="25">
        <f>IF(OR($A162="",$I162=""),"",COUNTIFS(stops!$B$2:$B$151,$B162,stops!$P$2:$P$151,"&lt;"&amp;$I162,stops!$L$2:$L$151,"&lt;&gt;not_delivered")+1)</f>
        <v/>
      </c>
      <c r="O162" s="25">
        <f>IF($A162="","",IF(N($N162)&lt;=config!$B$29,"explicit","opt-out"))</f>
        <v/>
      </c>
      <c r="P162" s="25">
        <f>IF($A162="","",IF($O162="explicit",IF($D162="yes","Y",IF($D162="no","N","pending")),IF($D162="no","N",IF(AND($C162&lt;&gt;"",$I162&lt;&gt;"",$C162&lt;=WORKDAY(N($I162),-5,calendar!$A$2:$A$80)),"Y","pending"))))</f>
        <v/>
      </c>
      <c r="Q162" s="25">
        <f>IF($A162="","",IF($P162="N","N",IF($P162&lt;&gt;"Y","pending",IF(AND((COUNTIFS(stops!$A$2:$A$151,$H162,stops!$B$2:$B$151,$B162,stops!$L$2:$L$151,"declined")+COUNTIFS(stops!$A$2:$A$151,$H162,stops!$B$2:$B$151,$B162,stops!$L$2:$L$151,"building_refused")+COUNTIFS(stops!$A$2:$A$151,$H162,stops!$B$2:$B$151,$B162,stops!$L$2:$L$151,"not_delivered"))&gt;0,N($U162)=0),"N","Y"))))</f>
        <v/>
      </c>
      <c r="R162" s="25">
        <f>IF($A162="","",IF(COUNTIFS($A$2:$A$251,$A162,$B$2:$B$251,$B162)&gt;1,"DUPLICATE ROW; ","")&amp;IF(AND(IFERROR(IF(INDEX(offices!$AC$2:$AC$61,MATCH($B162,offices!$A$2:$A$61,0))="","",INDEX(offices!$AC$2:$AC$61,MATCH($B162,offices!$A$2:$A$61,0))),"")&lt;&gt;"",ISNUMBER(SEARCH($J162,IFERROR(IF(INDEX(offices!$AC$2:$AC$61,MATCH($B162,offices!$A$2:$A$61,0))="","",INDEX(offices!$AC$2:$AC$61,MATCH($B162,offices!$A$2:$A$61,0))),"")))),"BRAND VETOED; ","")&amp;IF(ISNUMBER(SEARCH(IFERROR(IF(INDEX(campaigns!$BF$2:$BF$51,MATCH($A162,campaigns!$A$2:$A$51,0))="","",INDEX(campaigns!$BF$2:$BF$51,MATCH($A162,campaigns!$A$2:$A$51,0))),""),IFERROR(IF(INDEX(offices!$AB$2:$AB$61,MATCH($B162,offices!$A$2:$A$61,0))="","",INDEX(offices!$AB$2:$AB$61,MATCH($B162,offices!$A$2:$A$61,0))),""))),"","info: category not on the office's list; ")&amp;IF(IFERROR(IF(INDEX(offices!$AC$2:$AC$61,MATCH($B162,offices!$A$2:$A$61,0))="","",INDEX(offices!$AC$2:$AC$61,MATCH($B162,offices!$A$2:$A$61,0))),"")&lt;&gt;"","info: read the vetoes against the label; ",""))</f>
        <v/>
      </c>
      <c r="S162" s="25">
        <f>IF($A162="","",IF($G162&lt;&gt;"",$G162,IFERROR(IF(INDEX(offices!$AL$2:$AL$61,MATCH($B162,offices!$A$2:$A$61,0))="","",INDEX(offices!$AL$2:$AL$61,MATCH($B162,offices!$A$2:$A$61,0))),"")))</f>
        <v/>
      </c>
      <c r="T162" s="25">
        <f>IF($A162="","",$A162&amp;"."&amp;$B162)</f>
        <v/>
      </c>
      <c r="U162" s="25">
        <f>IF($A162="","",SUMIFS(inventory!$G$2:$G$801,inventory!$C$2:$C$801,$A162,inventory!$D$2:$D$801,$B162,inventory!$E$2:$E$801,"delivered"))</f>
        <v/>
      </c>
      <c r="V162" s="32">
        <f>IF($A162="","",IFERROR(1/(1/SUMPRODUCT(MAX((inventory!$C$2:$C$801=$A162)*(inventory!$D$2:$D$801=$B162)*(inventory!$E$2:$E$801="delivered")*(inventory!$A$2:$A$801+inventory!$B$2:$B$801)))),""))</f>
        <v/>
      </c>
      <c r="W162" s="25">
        <f>IF($A162="","",IFERROR(IF(INDEX(inventory!$J$2:$J$801,MATCH($A162&amp;"|"&amp;$B162&amp;"|delivered",inventory!$R$2:$R$801,0))="","",INDEX(inventory!$J$2:$J$801,MATCH($A162&amp;"|"&amp;$B162&amp;"|delivered",inventory!$R$2:$R$801,0))),""))</f>
        <v/>
      </c>
      <c r="X162" s="25">
        <f>IF($A162="","",IFERROR(IF(INDEX(photos!$H$2:$H$701,MATCH($A162&amp;"|"&amp;$B162&amp;"|placement|Y",photos!$R$2:$R$701,0))="","",INDEX(photos!$H$2:$H$701,MATCH($A162&amp;"|"&amp;$B162&amp;"|placement|Y",photos!$R$2:$R$701,0))),""))</f>
        <v/>
      </c>
      <c r="Y162" s="26">
        <f>IF($A162="","",IFERROR(IF(INDEX(photos!$E$2:$E$701,MATCH($A162&amp;"|"&amp;$B162&amp;"|placement|Y",photos!$R$2:$R$701,0))="","",INDEX(photos!$E$2:$E$701,MATCH($A162&amp;"|"&amp;$B162&amp;"|placement|Y",photos!$R$2:$R$701,0))),""))</f>
        <v/>
      </c>
      <c r="Z162" s="25">
        <f>IF($A162="","",IF(COUNTIFS(counts!$C$2:$C$701,$A162,counts!$D$2:$D$701,$B162,counts!$E$2:$E$701,"placed")=0,"",SUMIFS(counts!$F$2:$F$701,counts!$C$2:$C$701,$A162,counts!$D$2:$D$701,$B162,counts!$E$2:$E$701,"placed")))</f>
        <v/>
      </c>
      <c r="AA162" s="25">
        <f>IF($A162="","",IF($Y162="",0,N($Z162)))</f>
        <v/>
      </c>
      <c r="AB162" s="25">
        <f>IF($A162="","",IF(OR($Y162="",$I162=""),"N",IF($Y162&lt;=WORKDAY(N($I162),1,calendar!$A$2:$A$80),"Y","N")))</f>
        <v/>
      </c>
      <c r="AC162" s="28">
        <f>IF(OR($A162="",$V162="",$Y162=""),"",ROUND(($Y162+N(IFERROR(IF(INDEX(photos!$F$2:$F$701,MATCH($A162&amp;"|"&amp;$B162&amp;"|placement|Y",photos!$R$2:$R$701,0))="","",INDEX(photos!$F$2:$F$701,MATCH($A162&amp;"|"&amp;$B162&amp;"|placement|Y",photos!$R$2:$R$701,0))),""))-$V162)*24,1))</f>
        <v/>
      </c>
      <c r="AD162" s="25">
        <f>IF($A162="","",SUMIFS(inventory!$G$2:$G$801,inventory!$C$2:$C$801,$A162,inventory!$D$2:$D$801,$B162,inventory!$E$2:$E$801,"topped_up"))</f>
        <v/>
      </c>
      <c r="AE162" s="25">
        <f>IF($A162="","",IF(COUNTIFS(counts!$C$2:$C$701,$A162,counts!$D$2:$D$701,$B162,counts!$E$2:$E$701,"remaining_day3")=0,"",SUMIFS(counts!$F$2:$F$701,counts!$C$2:$C$701,$A162,counts!$D$2:$D$701,$B162,counts!$E$2:$E$701,"remaining_day3")))</f>
        <v/>
      </c>
      <c r="AF162" s="25">
        <f>IF($A162="","",IF(COUNTIFS(counts!$C$2:$C$701,$A162,counts!$D$2:$D$701,$B162,counts!$E$2:$E$701,"remaining_day5")=0,"",SUMIFS(counts!$F$2:$F$701,counts!$C$2:$C$701,$A162,counts!$D$2:$D$701,$B162,counts!$E$2:$E$701,"remaining_day5")))</f>
        <v/>
      </c>
      <c r="AG162" s="25">
        <f>IF(OR($A162="",$AF162=""),"",MAX(0,$AA162+$AD162-$AF162))</f>
        <v/>
      </c>
      <c r="AH162" s="25">
        <f>IF(OR($A162="",$AI162=""),"",IFERROR(IF(INDEX(photos!$H$2:$H$701,MATCH($A162&amp;"|"&amp;$B162&amp;"|later|Y|"&amp;$AI162,photos!$S$2:$S$701,0))="","",INDEX(photos!$H$2:$H$701,MATCH($A162&amp;"|"&amp;$B162&amp;"|later|Y|"&amp;$AI162,photos!$S$2:$S$701,0))),""))</f>
        <v/>
      </c>
      <c r="AI162" s="26">
        <f>IF($A162="","",IFERROR(1/(1/SUMPRODUCT(MAX((photos!$B$2:$B$701=$A162)*(photos!$C$2:$C$701=$B162)*(photos!$D$2:$D$701="later")*(photos!$O$2:$O$701="Y")*photos!$E$2:$E$701))),""))</f>
        <v/>
      </c>
      <c r="AJ162" s="25">
        <f>IF(OR($A162="",$AI162="",$I162=""),"",NETWORKDAYS($I162,$AI162,calendar!$A$2:$A$80))</f>
        <v/>
      </c>
      <c r="AK162" s="25">
        <f>IF($A162="","",IF(AND($X162&lt;&gt;"",$AH162&lt;&gt;""),"Y","N"))</f>
        <v/>
      </c>
      <c r="AL162" s="25">
        <f>IF(OR($A162="",$I162=""),"",IF($BC162="Y",SUMIFS(survey_frozen!$C$2:$C$251,survey_frozen!$P$2:$P$251,$A162&amp;"|"&amp;$B162),IFERROR(COUNTIFS(INDIRECT("'"&amp;$A162&amp;"'!$B$2:$B$501"),$T162,INDIRECT("'"&amp;$A162&amp;"'!$A$2:$A$501"),"&gt;="&amp;$I162,INDIRECT("'"&amp;$A162&amp;"'!$A$2:$A$501"),"&lt;"&amp;($BA162+1)),0)))</f>
        <v/>
      </c>
      <c r="AM162" s="25">
        <f>IF(OR($A162="",$I162=""),"",IF($BC162="Y",SUMIFS(survey_frozen!$D$2:$D$251,survey_frozen!$P$2:$P$251,$A162&amp;"|"&amp;$B162),IFERROR(COUNTIFS(INDIRECT("'"&amp;$A162&amp;"'!$B$2:$B$501"),$T162,INDIRECT("'"&amp;$A162&amp;"'!$A$2:$A$501"),"&gt;="&amp;$I162,INDIRECT("'"&amp;$A162&amp;"'!$A$2:$A$501"),"&lt;"&amp;($BA162+1),INDIRECT("'"&amp;$A162&amp;"'!$C$2:$C$501"),"Yes"),0)))</f>
        <v/>
      </c>
      <c r="AN162" s="25">
        <f>IF($A162="","",IF(COUNTIFS(scans!$C$2:$C$1601,(IF(LEFT($A162,7)="SAMPLE-","SAMPLE-","")&amp;LOWER(SUBSTITUTE(SUBSTITUTE($A162,"SAMPLE-",""),"CMP-","c"))&amp;"-"&amp;LOWER(SUBSTITUTE(SUBSTITUTE($B162,"SAMPLE-",""),"O-","o"))&amp;"-q"),scans!$D$2:$D$1601,"close")=0,"",SUMPRODUCT(MAX((scans!$C$2:$C$1601=(IF(LEFT($A162,7)="SAMPLE-","SAMPLE-","")&amp;LOWER(SUBSTITUTE(SUBSTITUTE($A162,"SAMPLE-",""),"CMP-","c"))&amp;"-"&amp;LOWER(SUBSTITUTE(SUBSTITUTE($B162,"SAMPLE-",""),"O-","o"))&amp;"-q"))*(scans!$D$2:$D$1601="close")*scans!$E$2:$E$1601))-SUMPRODUCT(MAX((scans!$C$2:$C$1601=(IF(LEFT($A162,7)="SAMPLE-","SAMPLE-","")&amp;LOWER(SUBSTITUTE(SUBSTITUTE($A162,"SAMPLE-",""),"CMP-","c"))&amp;"-"&amp;LOWER(SUBSTITUTE(SUBSTITUTE($B162,"SAMPLE-",""),"O-","o"))&amp;"-q"))*(scans!$D$2:$D$1601="baseline")*scans!$E$2:$E$1601))))</f>
        <v/>
      </c>
      <c r="AO162" s="25">
        <f>IF($A162="","",IF(COUNTIFS(scans!$C$2:$C$1601,(IF(LEFT($A162,7)="SAMPLE-","SAMPLE-","")&amp;LOWER(SUBSTITUTE(SUBSTITUTE($A162,"SAMPLE-",""),"CMP-","c"))&amp;"-"&amp;LOWER(SUBSTITUTE(SUBSTITUTE($B162,"SAMPLE-",""),"O-","o"))&amp;"-p"),scans!$D$2:$D$1601,"close")=0,"",SUMPRODUCT(MAX((scans!$C$2:$C$1601=(IF(LEFT($A162,7)="SAMPLE-","SAMPLE-","")&amp;LOWER(SUBSTITUTE(SUBSTITUTE($A162,"SAMPLE-",""),"CMP-","c"))&amp;"-"&amp;LOWER(SUBSTITUTE(SUBSTITUTE($B162,"SAMPLE-",""),"O-","o"))&amp;"-p"))*(scans!$D$2:$D$1601="close")*scans!$E$2:$E$1601))-SUMPRODUCT(MAX((scans!$C$2:$C$1601=(IF(LEFT($A162,7)="SAMPLE-","SAMPLE-","")&amp;LOWER(SUBSTITUTE(SUBSTITUTE($A162,"SAMPLE-",""),"CMP-","c"))&amp;"-"&amp;LOWER(SUBSTITUTE(SUBSTITUTE($B162,"SAMPLE-",""),"O-","o"))&amp;"-p"))*(scans!$D$2:$D$1601="baseline")*scans!$E$2:$E$1601))))</f>
        <v/>
      </c>
      <c r="AP162" s="25">
        <f>IF($A162="","",IF(COUNTIF(offices!$A$2:$A$61,$B162)=0,"office_id not on offices; ","")&amp;IF(COUNTIF(campaigns!$A$2:$A$51,$A162)=0,"campaign_id not on campaigns; ","")&amp;IF($P162="pending","approval pending; ","")&amp;IF(AND($U162&gt;0,$Y162="",OR($I162="",IF(config!$B$37&lt;&gt;"",config!$B$37,TODAY())&lt;=WORKDAY(N($I162),4,calendar!$A$2:$A$80))),"no usable placement photo yet; ","")&amp;IF(AND($Y162&lt;&gt;"",$Z162=""),"log the placed count; ","")&amp;IF(N($AA162)&gt;N($U162),"placed more than delivered; ","")&amp;IF(AND($AF162&lt;&gt;"",N($AF162)&gt;N($AA162)+N($AD162)),"day-5 count above placed plus top-ups; ","")&amp;IF(AND($U162&gt;0,$I162&lt;&gt;"",IF(config!$B$37&lt;&gt;"",config!$B$37,TODAY())&gt;WORKDAY(N($I162),4,calendar!$A$2:$A$80),$AF162=""),"day-5 count missing; ","")&amp;IF(AND($U162&gt;0,$I162&lt;&gt;"",IF(config!$B$37&lt;&gt;"",config!$B$37,TODAY())&gt;WORKDAY(N($I162),4,calendar!$A$2:$A$80),$AN162=""),"no close link reading; ","")&amp;$R162&amp;IF($P162="N","info: office said no; ","")&amp;IF(AND($P162="Y",$Q162="N"),"info: turned away at the door, so not on the drop (no letter, not in the report or Gate 2; the credit check is on campaigns); ","")&amp;IF(AND($U162&gt;0,$Y162="",$I162&lt;&gt;"",IF(config!$B$37&lt;&gt;"",config!$B$37,TODAY())&gt;WORKDAY(N($I162),4,calendar!$A$2:$A$80)),"info: no usable placement photo, so nothing counts as placed; ","")&amp;IF(AND($U162&gt;0,$I162&lt;&gt;"",IF(config!$B$37&lt;&gt;"",config!$B$37,TODAY())&gt;WORKDAY(N($I162),4,calendar!$A$2:$A$80),N($AL162)&lt;config!$B$30),"info: under "&amp;config!$B$30&amp;" responses; ","")&amp;IF($W162="packing_list","info: delivered count not verified; ",""))</f>
        <v/>
      </c>
      <c r="AQ162" s="25">
        <f>IF(OR($A162="",$I162=""),"",IF($BC162="Y",SUMIFS(survey_frozen!$E$2:$E$251,survey_frozen!$P$2:$P$251,$A162&amp;"|"&amp;$B162),IFERROR(COUNTIFS(INDIRECT("'"&amp;$A162&amp;"'!$B$2:$B$501"),$T162,INDIRECT("'"&amp;$A162&amp;"'!$A$2:$A$501"),"&gt;="&amp;$I162,INDIRECT("'"&amp;$A162&amp;"'!$A$2:$A$501"),"&lt;"&amp;($BA162+1),INDIRECT("'"&amp;$A162&amp;"'!$F$2:$F$501"),"Didn't see it"),0)))</f>
        <v/>
      </c>
      <c r="AR162" s="25">
        <f>IF(OR($A162="",$I162=""),"",IF($BC162="Y",SUMIFS(survey_frozen!$F$2:$F$251,survey_frozen!$P$2:$P$251,$A162&amp;"|"&amp;$B162),IFERROR(COUNTIFS(INDIRECT("'"&amp;$A162&amp;"'!$B$2:$B$501"),$T162,INDIRECT("'"&amp;$A162&amp;"'!$A$2:$A$501"),"&gt;="&amp;$I162,INDIRECT("'"&amp;$A162&amp;"'!$A$2:$A$501"),"&lt;"&amp;($BA162+1),INDIRECT("'"&amp;$A162&amp;"'!$F$2:$F$501"),"Not for me"),0)))</f>
        <v/>
      </c>
      <c r="AS162" s="25">
        <f>IF(OR($A162="",$I162=""),"",IF($BC162="Y",SUMIFS(survey_frozen!$G$2:$G$251,survey_frozen!$P$2:$P$251,$A162&amp;"|"&amp;$B162),IFERROR(COUNTIFS(INDIRECT("'"&amp;$A162&amp;"'!$B$2:$B$501"),$T162,INDIRECT("'"&amp;$A162&amp;"'!$A$2:$A$501"),"&gt;="&amp;$I162,INDIRECT("'"&amp;$A162&amp;"'!$A$2:$A$501"),"&lt;"&amp;($BA162+1),INDIRECT("'"&amp;$A162&amp;"'!$F$2:$F$501"),"Gone by the time I looked"),0)))</f>
        <v/>
      </c>
      <c r="AT162" s="25">
        <f>IF(OR($A162="",$I162=""),"",IF($BC162="Y",SUMIFS(survey_frozen!$H$2:$H$251,survey_frozen!$P$2:$P$251,$A162&amp;"|"&amp;$B162),IFERROR(COUNTIFS(INDIRECT("'"&amp;$A162&amp;"'!$B$2:$B$501"),$T162,INDIRECT("'"&amp;$A162&amp;"'!$A$2:$A$501"),"&gt;="&amp;$I162,INDIRECT("'"&amp;$A162&amp;"'!$A$2:$A$501"),"&lt;"&amp;($BA162+1),INDIRECT("'"&amp;$A162&amp;"'!$D$2:$D$501"),"&gt;=1"),0)))</f>
        <v/>
      </c>
      <c r="AU162" s="25">
        <f>IF(OR($A162="",$I162=""),"",IF($BC162="Y",SUMIFS(survey_frozen!$I$2:$I$251,survey_frozen!$P$2:$P$251,$A162&amp;"|"&amp;$B162),IFERROR(SUMIFS(INDIRECT("'"&amp;$A162&amp;"'!$D$2:$D$501"),INDIRECT("'"&amp;$A162&amp;"'!$B$2:$B$501"),$T162,INDIRECT("'"&amp;$A162&amp;"'!$A$2:$A$501"),"&gt;="&amp;$I162,INDIRECT("'"&amp;$A162&amp;"'!$A$2:$A$501"),"&lt;"&amp;($BA162+1)),0)))</f>
        <v/>
      </c>
      <c r="AV162" s="25">
        <f>IF(OR($A162="",$I162=""),"",IF($BC162="Y",SUMIFS(survey_frozen!$J$2:$J$251,survey_frozen!$P$2:$P$251,$A162&amp;"|"&amp;$B162),IFERROR(COUNTIFS(INDIRECT("'"&amp;$A162&amp;"'!$B$2:$B$501"),$T162,INDIRECT("'"&amp;$A162&amp;"'!$A$2:$A$501"),"&gt;="&amp;$I162,INDIRECT("'"&amp;$A162&amp;"'!$A$2:$A$501"),"&lt;"&amp;($BA162+1),INDIRECT("'"&amp;$A162&amp;"'!$E$2:$E$501"),"Yes"),0)))</f>
        <v/>
      </c>
      <c r="AW162" s="25">
        <f>IF(OR($A162="",$I162=""),"",IF($BC162="Y",SUMIFS(survey_frozen!$K$2:$K$251,survey_frozen!$P$2:$P$251,$A162&amp;"|"&amp;$B162),IFERROR(COUNTIFS(INDIRECT("'"&amp;$A162&amp;"'!$B$2:$B$501"),$T162,INDIRECT("'"&amp;$A162&amp;"'!$A$2:$A$501"),"&gt;="&amp;$I162,INDIRECT("'"&amp;$A162&amp;"'!$A$2:$A$501"),"&lt;"&amp;($BA162+1),INDIRECT("'"&amp;$A162&amp;"'!$E$2:$E$501"),"Maybe"),0)))</f>
        <v/>
      </c>
      <c r="AX162" s="25">
        <f>IF(OR($A162="",$I162=""),"",IF($BC162="Y",SUMIFS(survey_frozen!$L$2:$L$251,survey_frozen!$P$2:$P$251,$A162&amp;"|"&amp;$B162),IFERROR(COUNTIFS(INDIRECT("'"&amp;$A162&amp;"'!$B$2:$B$501"),$T162,INDIRECT("'"&amp;$A162&amp;"'!$A$2:$A$501"),"&gt;="&amp;$I162,INDIRECT("'"&amp;$A162&amp;"'!$A$2:$A$501"),"&lt;"&amp;($BA162+1),INDIRECT("'"&amp;$A162&amp;"'!$E$2:$E$501"),"No"),0)))</f>
        <v/>
      </c>
      <c r="AY162" s="25">
        <f>IF(OR($A162="",$I162=""),"",IF($BC162="Y",SUMIFS(survey_frozen!$M$2:$M$251,survey_frozen!$P$2:$P$251,$A162&amp;"|"&amp;$B162),IFERROR(COUNTIFS(INDIRECT("'"&amp;$A162&amp;"'!$B$2:$B$501"),$T162,INDIRECT("'"&amp;$A162&amp;"'!$A$2:$A$501"),"&gt;="&amp;$I162,INDIRECT("'"&amp;$A162&amp;"'!$A$2:$A$501"),"&lt;"&amp;($BA162+1),INDIRECT("'"&amp;$A162&amp;"'!$G$2:$G$501"),"&lt;&gt;"),0)))</f>
        <v/>
      </c>
      <c r="AZ162" s="25">
        <f>IF($A162="","",$A162&amp;"|"&amp;$L162)</f>
        <v/>
      </c>
      <c r="BA162" s="26">
        <f>IF($A162="","",IFERROR(IF(INDEX(drops!$R$2:$R$21,MATCH($H162,drops!$A$2:$A$21,0))="","",INDEX(drops!$R$2:$R$21,MATCH($H162,drops!$A$2:$A$21,0))),""))</f>
        <v/>
      </c>
      <c r="BB162" s="25">
        <f>IF(OR($A162="",$Q162&lt;&gt;"Y"),1000000,N($AL162))</f>
        <v/>
      </c>
      <c r="BC162" s="25">
        <f>IF($A162="","",IF(COUNTIF(survey_frozen!$P$2:$P$251,$A162&amp;"|"&amp;$B162)&gt;0,"Y",""))</f>
        <v/>
      </c>
    </row>
    <row r="163">
      <c r="C163" s="9" t="n"/>
      <c r="E163" s="9" t="n"/>
      <c r="H163" s="25">
        <f>IF($A163="","",IFERROR(IF(INDEX(campaigns!$B$2:$B$51,MATCH($A163,campaigns!$A$2:$A$51,0))="","",INDEX(campaigns!$B$2:$B$51,MATCH($A163,campaigns!$A$2:$A$51,0))),""))</f>
        <v/>
      </c>
      <c r="I163" s="26">
        <f>IF($A163="","",IFERROR(IF(INDEX(campaigns!$BG$2:$BG$51,MATCH($A163,campaigns!$A$2:$A$51,0))="","",INDEX(campaigns!$BG$2:$BG$51,MATCH($A163,campaigns!$A$2:$A$51,0))),""))</f>
        <v/>
      </c>
      <c r="J163" s="25">
        <f>IF($A163="","",IFERROR(IF(INDEX(campaigns!$BE$2:$BE$51,MATCH($A163,campaigns!$A$2:$A$51,0))="","",INDEX(campaigns!$BE$2:$BE$51,MATCH($A163,campaigns!$A$2:$A$51,0))),""))</f>
        <v/>
      </c>
      <c r="K163" s="25">
        <f>IF($B163="","",IFERROR(IF(INDEX(offices!$N$2:$N$61,MATCH($B163,offices!$A$2:$A$61,0))="","",INDEX(offices!$N$2:$N$61,MATCH($B163,offices!$A$2:$A$61,0))),""))</f>
        <v/>
      </c>
      <c r="L163" s="25">
        <f>IF($A163="","",IF($Q163="N","",COUNTIFS($A$2:$A163,$A163,$Q$2:$Q163,"&lt;&gt;N")))</f>
        <v/>
      </c>
      <c r="M163" s="25">
        <f>IF(OR($A163="",$L163=""),"",IF(AND(config!$B$34="names_if_public",IFERROR(IF(INDEX(offices!$AF$2:$AF$61,MATCH($B163,offices!$A$2:$A$61,0))="","",INDEX(offices!$AF$2:$AF$61,MATCH($B163,offices!$A$2:$A$61,0))),"")="Y"),$K163,CHAR(64+$L163)))</f>
        <v/>
      </c>
      <c r="N163" s="25">
        <f>IF(OR($A163="",$I163=""),"",COUNTIFS(stops!$B$2:$B$151,$B163,stops!$P$2:$P$151,"&lt;"&amp;$I163,stops!$L$2:$L$151,"&lt;&gt;not_delivered")+1)</f>
        <v/>
      </c>
      <c r="O163" s="25">
        <f>IF($A163="","",IF(N($N163)&lt;=config!$B$29,"explicit","opt-out"))</f>
        <v/>
      </c>
      <c r="P163" s="25">
        <f>IF($A163="","",IF($O163="explicit",IF($D163="yes","Y",IF($D163="no","N","pending")),IF($D163="no","N",IF(AND($C163&lt;&gt;"",$I163&lt;&gt;"",$C163&lt;=WORKDAY(N($I163),-5,calendar!$A$2:$A$80)),"Y","pending"))))</f>
        <v/>
      </c>
      <c r="Q163" s="25">
        <f>IF($A163="","",IF($P163="N","N",IF($P163&lt;&gt;"Y","pending",IF(AND((COUNTIFS(stops!$A$2:$A$151,$H163,stops!$B$2:$B$151,$B163,stops!$L$2:$L$151,"declined")+COUNTIFS(stops!$A$2:$A$151,$H163,stops!$B$2:$B$151,$B163,stops!$L$2:$L$151,"building_refused")+COUNTIFS(stops!$A$2:$A$151,$H163,stops!$B$2:$B$151,$B163,stops!$L$2:$L$151,"not_delivered"))&gt;0,N($U163)=0),"N","Y"))))</f>
        <v/>
      </c>
      <c r="R163" s="25">
        <f>IF($A163="","",IF(COUNTIFS($A$2:$A$251,$A163,$B$2:$B$251,$B163)&gt;1,"DUPLICATE ROW; ","")&amp;IF(AND(IFERROR(IF(INDEX(offices!$AC$2:$AC$61,MATCH($B163,offices!$A$2:$A$61,0))="","",INDEX(offices!$AC$2:$AC$61,MATCH($B163,offices!$A$2:$A$61,0))),"")&lt;&gt;"",ISNUMBER(SEARCH($J163,IFERROR(IF(INDEX(offices!$AC$2:$AC$61,MATCH($B163,offices!$A$2:$A$61,0))="","",INDEX(offices!$AC$2:$AC$61,MATCH($B163,offices!$A$2:$A$61,0))),"")))),"BRAND VETOED; ","")&amp;IF(ISNUMBER(SEARCH(IFERROR(IF(INDEX(campaigns!$BF$2:$BF$51,MATCH($A163,campaigns!$A$2:$A$51,0))="","",INDEX(campaigns!$BF$2:$BF$51,MATCH($A163,campaigns!$A$2:$A$51,0))),""),IFERROR(IF(INDEX(offices!$AB$2:$AB$61,MATCH($B163,offices!$A$2:$A$61,0))="","",INDEX(offices!$AB$2:$AB$61,MATCH($B163,offices!$A$2:$A$61,0))),""))),"","info: category not on the office's list; ")&amp;IF(IFERROR(IF(INDEX(offices!$AC$2:$AC$61,MATCH($B163,offices!$A$2:$A$61,0))="","",INDEX(offices!$AC$2:$AC$61,MATCH($B163,offices!$A$2:$A$61,0))),"")&lt;&gt;"","info: read the vetoes against the label; ",""))</f>
        <v/>
      </c>
      <c r="S163" s="25">
        <f>IF($A163="","",IF($G163&lt;&gt;"",$G163,IFERROR(IF(INDEX(offices!$AL$2:$AL$61,MATCH($B163,offices!$A$2:$A$61,0))="","",INDEX(offices!$AL$2:$AL$61,MATCH($B163,offices!$A$2:$A$61,0))),"")))</f>
        <v/>
      </c>
      <c r="T163" s="25">
        <f>IF($A163="","",$A163&amp;"."&amp;$B163)</f>
        <v/>
      </c>
      <c r="U163" s="25">
        <f>IF($A163="","",SUMIFS(inventory!$G$2:$G$801,inventory!$C$2:$C$801,$A163,inventory!$D$2:$D$801,$B163,inventory!$E$2:$E$801,"delivered"))</f>
        <v/>
      </c>
      <c r="V163" s="32">
        <f>IF($A163="","",IFERROR(1/(1/SUMPRODUCT(MAX((inventory!$C$2:$C$801=$A163)*(inventory!$D$2:$D$801=$B163)*(inventory!$E$2:$E$801="delivered")*(inventory!$A$2:$A$801+inventory!$B$2:$B$801)))),""))</f>
        <v/>
      </c>
      <c r="W163" s="25">
        <f>IF($A163="","",IFERROR(IF(INDEX(inventory!$J$2:$J$801,MATCH($A163&amp;"|"&amp;$B163&amp;"|delivered",inventory!$R$2:$R$801,0))="","",INDEX(inventory!$J$2:$J$801,MATCH($A163&amp;"|"&amp;$B163&amp;"|delivered",inventory!$R$2:$R$801,0))),""))</f>
        <v/>
      </c>
      <c r="X163" s="25">
        <f>IF($A163="","",IFERROR(IF(INDEX(photos!$H$2:$H$701,MATCH($A163&amp;"|"&amp;$B163&amp;"|placement|Y",photos!$R$2:$R$701,0))="","",INDEX(photos!$H$2:$H$701,MATCH($A163&amp;"|"&amp;$B163&amp;"|placement|Y",photos!$R$2:$R$701,0))),""))</f>
        <v/>
      </c>
      <c r="Y163" s="26">
        <f>IF($A163="","",IFERROR(IF(INDEX(photos!$E$2:$E$701,MATCH($A163&amp;"|"&amp;$B163&amp;"|placement|Y",photos!$R$2:$R$701,0))="","",INDEX(photos!$E$2:$E$701,MATCH($A163&amp;"|"&amp;$B163&amp;"|placement|Y",photos!$R$2:$R$701,0))),""))</f>
        <v/>
      </c>
      <c r="Z163" s="25">
        <f>IF($A163="","",IF(COUNTIFS(counts!$C$2:$C$701,$A163,counts!$D$2:$D$701,$B163,counts!$E$2:$E$701,"placed")=0,"",SUMIFS(counts!$F$2:$F$701,counts!$C$2:$C$701,$A163,counts!$D$2:$D$701,$B163,counts!$E$2:$E$701,"placed")))</f>
        <v/>
      </c>
      <c r="AA163" s="25">
        <f>IF($A163="","",IF($Y163="",0,N($Z163)))</f>
        <v/>
      </c>
      <c r="AB163" s="25">
        <f>IF($A163="","",IF(OR($Y163="",$I163=""),"N",IF($Y163&lt;=WORKDAY(N($I163),1,calendar!$A$2:$A$80),"Y","N")))</f>
        <v/>
      </c>
      <c r="AC163" s="28">
        <f>IF(OR($A163="",$V163="",$Y163=""),"",ROUND(($Y163+N(IFERROR(IF(INDEX(photos!$F$2:$F$701,MATCH($A163&amp;"|"&amp;$B163&amp;"|placement|Y",photos!$R$2:$R$701,0))="","",INDEX(photos!$F$2:$F$701,MATCH($A163&amp;"|"&amp;$B163&amp;"|placement|Y",photos!$R$2:$R$701,0))),""))-$V163)*24,1))</f>
        <v/>
      </c>
      <c r="AD163" s="25">
        <f>IF($A163="","",SUMIFS(inventory!$G$2:$G$801,inventory!$C$2:$C$801,$A163,inventory!$D$2:$D$801,$B163,inventory!$E$2:$E$801,"topped_up"))</f>
        <v/>
      </c>
      <c r="AE163" s="25">
        <f>IF($A163="","",IF(COUNTIFS(counts!$C$2:$C$701,$A163,counts!$D$2:$D$701,$B163,counts!$E$2:$E$701,"remaining_day3")=0,"",SUMIFS(counts!$F$2:$F$701,counts!$C$2:$C$701,$A163,counts!$D$2:$D$701,$B163,counts!$E$2:$E$701,"remaining_day3")))</f>
        <v/>
      </c>
      <c r="AF163" s="25">
        <f>IF($A163="","",IF(COUNTIFS(counts!$C$2:$C$701,$A163,counts!$D$2:$D$701,$B163,counts!$E$2:$E$701,"remaining_day5")=0,"",SUMIFS(counts!$F$2:$F$701,counts!$C$2:$C$701,$A163,counts!$D$2:$D$701,$B163,counts!$E$2:$E$701,"remaining_day5")))</f>
        <v/>
      </c>
      <c r="AG163" s="25">
        <f>IF(OR($A163="",$AF163=""),"",MAX(0,$AA163+$AD163-$AF163))</f>
        <v/>
      </c>
      <c r="AH163" s="25">
        <f>IF(OR($A163="",$AI163=""),"",IFERROR(IF(INDEX(photos!$H$2:$H$701,MATCH($A163&amp;"|"&amp;$B163&amp;"|later|Y|"&amp;$AI163,photos!$S$2:$S$701,0))="","",INDEX(photos!$H$2:$H$701,MATCH($A163&amp;"|"&amp;$B163&amp;"|later|Y|"&amp;$AI163,photos!$S$2:$S$701,0))),""))</f>
        <v/>
      </c>
      <c r="AI163" s="26">
        <f>IF($A163="","",IFERROR(1/(1/SUMPRODUCT(MAX((photos!$B$2:$B$701=$A163)*(photos!$C$2:$C$701=$B163)*(photos!$D$2:$D$701="later")*(photos!$O$2:$O$701="Y")*photos!$E$2:$E$701))),""))</f>
        <v/>
      </c>
      <c r="AJ163" s="25">
        <f>IF(OR($A163="",$AI163="",$I163=""),"",NETWORKDAYS($I163,$AI163,calendar!$A$2:$A$80))</f>
        <v/>
      </c>
      <c r="AK163" s="25">
        <f>IF($A163="","",IF(AND($X163&lt;&gt;"",$AH163&lt;&gt;""),"Y","N"))</f>
        <v/>
      </c>
      <c r="AL163" s="25">
        <f>IF(OR($A163="",$I163=""),"",IF($BC163="Y",SUMIFS(survey_frozen!$C$2:$C$251,survey_frozen!$P$2:$P$251,$A163&amp;"|"&amp;$B163),IFERROR(COUNTIFS(INDIRECT("'"&amp;$A163&amp;"'!$B$2:$B$501"),$T163,INDIRECT("'"&amp;$A163&amp;"'!$A$2:$A$501"),"&gt;="&amp;$I163,INDIRECT("'"&amp;$A163&amp;"'!$A$2:$A$501"),"&lt;"&amp;($BA163+1)),0)))</f>
        <v/>
      </c>
      <c r="AM163" s="25">
        <f>IF(OR($A163="",$I163=""),"",IF($BC163="Y",SUMIFS(survey_frozen!$D$2:$D$251,survey_frozen!$P$2:$P$251,$A163&amp;"|"&amp;$B163),IFERROR(COUNTIFS(INDIRECT("'"&amp;$A163&amp;"'!$B$2:$B$501"),$T163,INDIRECT("'"&amp;$A163&amp;"'!$A$2:$A$501"),"&gt;="&amp;$I163,INDIRECT("'"&amp;$A163&amp;"'!$A$2:$A$501"),"&lt;"&amp;($BA163+1),INDIRECT("'"&amp;$A163&amp;"'!$C$2:$C$501"),"Yes"),0)))</f>
        <v/>
      </c>
      <c r="AN163" s="25">
        <f>IF($A163="","",IF(COUNTIFS(scans!$C$2:$C$1601,(IF(LEFT($A163,7)="SAMPLE-","SAMPLE-","")&amp;LOWER(SUBSTITUTE(SUBSTITUTE($A163,"SAMPLE-",""),"CMP-","c"))&amp;"-"&amp;LOWER(SUBSTITUTE(SUBSTITUTE($B163,"SAMPLE-",""),"O-","o"))&amp;"-q"),scans!$D$2:$D$1601,"close")=0,"",SUMPRODUCT(MAX((scans!$C$2:$C$1601=(IF(LEFT($A163,7)="SAMPLE-","SAMPLE-","")&amp;LOWER(SUBSTITUTE(SUBSTITUTE($A163,"SAMPLE-",""),"CMP-","c"))&amp;"-"&amp;LOWER(SUBSTITUTE(SUBSTITUTE($B163,"SAMPLE-",""),"O-","o"))&amp;"-q"))*(scans!$D$2:$D$1601="close")*scans!$E$2:$E$1601))-SUMPRODUCT(MAX((scans!$C$2:$C$1601=(IF(LEFT($A163,7)="SAMPLE-","SAMPLE-","")&amp;LOWER(SUBSTITUTE(SUBSTITUTE($A163,"SAMPLE-",""),"CMP-","c"))&amp;"-"&amp;LOWER(SUBSTITUTE(SUBSTITUTE($B163,"SAMPLE-",""),"O-","o"))&amp;"-q"))*(scans!$D$2:$D$1601="baseline")*scans!$E$2:$E$1601))))</f>
        <v/>
      </c>
      <c r="AO163" s="25">
        <f>IF($A163="","",IF(COUNTIFS(scans!$C$2:$C$1601,(IF(LEFT($A163,7)="SAMPLE-","SAMPLE-","")&amp;LOWER(SUBSTITUTE(SUBSTITUTE($A163,"SAMPLE-",""),"CMP-","c"))&amp;"-"&amp;LOWER(SUBSTITUTE(SUBSTITUTE($B163,"SAMPLE-",""),"O-","o"))&amp;"-p"),scans!$D$2:$D$1601,"close")=0,"",SUMPRODUCT(MAX((scans!$C$2:$C$1601=(IF(LEFT($A163,7)="SAMPLE-","SAMPLE-","")&amp;LOWER(SUBSTITUTE(SUBSTITUTE($A163,"SAMPLE-",""),"CMP-","c"))&amp;"-"&amp;LOWER(SUBSTITUTE(SUBSTITUTE($B163,"SAMPLE-",""),"O-","o"))&amp;"-p"))*(scans!$D$2:$D$1601="close")*scans!$E$2:$E$1601))-SUMPRODUCT(MAX((scans!$C$2:$C$1601=(IF(LEFT($A163,7)="SAMPLE-","SAMPLE-","")&amp;LOWER(SUBSTITUTE(SUBSTITUTE($A163,"SAMPLE-",""),"CMP-","c"))&amp;"-"&amp;LOWER(SUBSTITUTE(SUBSTITUTE($B163,"SAMPLE-",""),"O-","o"))&amp;"-p"))*(scans!$D$2:$D$1601="baseline")*scans!$E$2:$E$1601))))</f>
        <v/>
      </c>
      <c r="AP163" s="25">
        <f>IF($A163="","",IF(COUNTIF(offices!$A$2:$A$61,$B163)=0,"office_id not on offices; ","")&amp;IF(COUNTIF(campaigns!$A$2:$A$51,$A163)=0,"campaign_id not on campaigns; ","")&amp;IF($P163="pending","approval pending; ","")&amp;IF(AND($U163&gt;0,$Y163="",OR($I163="",IF(config!$B$37&lt;&gt;"",config!$B$37,TODAY())&lt;=WORKDAY(N($I163),4,calendar!$A$2:$A$80))),"no usable placement photo yet; ","")&amp;IF(AND($Y163&lt;&gt;"",$Z163=""),"log the placed count; ","")&amp;IF(N($AA163)&gt;N($U163),"placed more than delivered; ","")&amp;IF(AND($AF163&lt;&gt;"",N($AF163)&gt;N($AA163)+N($AD163)),"day-5 count above placed plus top-ups; ","")&amp;IF(AND($U163&gt;0,$I163&lt;&gt;"",IF(config!$B$37&lt;&gt;"",config!$B$37,TODAY())&gt;WORKDAY(N($I163),4,calendar!$A$2:$A$80),$AF163=""),"day-5 count missing; ","")&amp;IF(AND($U163&gt;0,$I163&lt;&gt;"",IF(config!$B$37&lt;&gt;"",config!$B$37,TODAY())&gt;WORKDAY(N($I163),4,calendar!$A$2:$A$80),$AN163=""),"no close link reading; ","")&amp;$R163&amp;IF($P163="N","info: office said no; ","")&amp;IF(AND($P163="Y",$Q163="N"),"info: turned away at the door, so not on the drop (no letter, not in the report or Gate 2; the credit check is on campaigns); ","")&amp;IF(AND($U163&gt;0,$Y163="",$I163&lt;&gt;"",IF(config!$B$37&lt;&gt;"",config!$B$37,TODAY())&gt;WORKDAY(N($I163),4,calendar!$A$2:$A$80)),"info: no usable placement photo, so nothing counts as placed; ","")&amp;IF(AND($U163&gt;0,$I163&lt;&gt;"",IF(config!$B$37&lt;&gt;"",config!$B$37,TODAY())&gt;WORKDAY(N($I163),4,calendar!$A$2:$A$80),N($AL163)&lt;config!$B$30),"info: under "&amp;config!$B$30&amp;" responses; ","")&amp;IF($W163="packing_list","info: delivered count not verified; ",""))</f>
        <v/>
      </c>
      <c r="AQ163" s="25">
        <f>IF(OR($A163="",$I163=""),"",IF($BC163="Y",SUMIFS(survey_frozen!$E$2:$E$251,survey_frozen!$P$2:$P$251,$A163&amp;"|"&amp;$B163),IFERROR(COUNTIFS(INDIRECT("'"&amp;$A163&amp;"'!$B$2:$B$501"),$T163,INDIRECT("'"&amp;$A163&amp;"'!$A$2:$A$501"),"&gt;="&amp;$I163,INDIRECT("'"&amp;$A163&amp;"'!$A$2:$A$501"),"&lt;"&amp;($BA163+1),INDIRECT("'"&amp;$A163&amp;"'!$F$2:$F$501"),"Didn't see it"),0)))</f>
        <v/>
      </c>
      <c r="AR163" s="25">
        <f>IF(OR($A163="",$I163=""),"",IF($BC163="Y",SUMIFS(survey_frozen!$F$2:$F$251,survey_frozen!$P$2:$P$251,$A163&amp;"|"&amp;$B163),IFERROR(COUNTIFS(INDIRECT("'"&amp;$A163&amp;"'!$B$2:$B$501"),$T163,INDIRECT("'"&amp;$A163&amp;"'!$A$2:$A$501"),"&gt;="&amp;$I163,INDIRECT("'"&amp;$A163&amp;"'!$A$2:$A$501"),"&lt;"&amp;($BA163+1),INDIRECT("'"&amp;$A163&amp;"'!$F$2:$F$501"),"Not for me"),0)))</f>
        <v/>
      </c>
      <c r="AS163" s="25">
        <f>IF(OR($A163="",$I163=""),"",IF($BC163="Y",SUMIFS(survey_frozen!$G$2:$G$251,survey_frozen!$P$2:$P$251,$A163&amp;"|"&amp;$B163),IFERROR(COUNTIFS(INDIRECT("'"&amp;$A163&amp;"'!$B$2:$B$501"),$T163,INDIRECT("'"&amp;$A163&amp;"'!$A$2:$A$501"),"&gt;="&amp;$I163,INDIRECT("'"&amp;$A163&amp;"'!$A$2:$A$501"),"&lt;"&amp;($BA163+1),INDIRECT("'"&amp;$A163&amp;"'!$F$2:$F$501"),"Gone by the time I looked"),0)))</f>
        <v/>
      </c>
      <c r="AT163" s="25">
        <f>IF(OR($A163="",$I163=""),"",IF($BC163="Y",SUMIFS(survey_frozen!$H$2:$H$251,survey_frozen!$P$2:$P$251,$A163&amp;"|"&amp;$B163),IFERROR(COUNTIFS(INDIRECT("'"&amp;$A163&amp;"'!$B$2:$B$501"),$T163,INDIRECT("'"&amp;$A163&amp;"'!$A$2:$A$501"),"&gt;="&amp;$I163,INDIRECT("'"&amp;$A163&amp;"'!$A$2:$A$501"),"&lt;"&amp;($BA163+1),INDIRECT("'"&amp;$A163&amp;"'!$D$2:$D$501"),"&gt;=1"),0)))</f>
        <v/>
      </c>
      <c r="AU163" s="25">
        <f>IF(OR($A163="",$I163=""),"",IF($BC163="Y",SUMIFS(survey_frozen!$I$2:$I$251,survey_frozen!$P$2:$P$251,$A163&amp;"|"&amp;$B163),IFERROR(SUMIFS(INDIRECT("'"&amp;$A163&amp;"'!$D$2:$D$501"),INDIRECT("'"&amp;$A163&amp;"'!$B$2:$B$501"),$T163,INDIRECT("'"&amp;$A163&amp;"'!$A$2:$A$501"),"&gt;="&amp;$I163,INDIRECT("'"&amp;$A163&amp;"'!$A$2:$A$501"),"&lt;"&amp;($BA163+1)),0)))</f>
        <v/>
      </c>
      <c r="AV163" s="25">
        <f>IF(OR($A163="",$I163=""),"",IF($BC163="Y",SUMIFS(survey_frozen!$J$2:$J$251,survey_frozen!$P$2:$P$251,$A163&amp;"|"&amp;$B163),IFERROR(COUNTIFS(INDIRECT("'"&amp;$A163&amp;"'!$B$2:$B$501"),$T163,INDIRECT("'"&amp;$A163&amp;"'!$A$2:$A$501"),"&gt;="&amp;$I163,INDIRECT("'"&amp;$A163&amp;"'!$A$2:$A$501"),"&lt;"&amp;($BA163+1),INDIRECT("'"&amp;$A163&amp;"'!$E$2:$E$501"),"Yes"),0)))</f>
        <v/>
      </c>
      <c r="AW163" s="25">
        <f>IF(OR($A163="",$I163=""),"",IF($BC163="Y",SUMIFS(survey_frozen!$K$2:$K$251,survey_frozen!$P$2:$P$251,$A163&amp;"|"&amp;$B163),IFERROR(COUNTIFS(INDIRECT("'"&amp;$A163&amp;"'!$B$2:$B$501"),$T163,INDIRECT("'"&amp;$A163&amp;"'!$A$2:$A$501"),"&gt;="&amp;$I163,INDIRECT("'"&amp;$A163&amp;"'!$A$2:$A$501"),"&lt;"&amp;($BA163+1),INDIRECT("'"&amp;$A163&amp;"'!$E$2:$E$501"),"Maybe"),0)))</f>
        <v/>
      </c>
      <c r="AX163" s="25">
        <f>IF(OR($A163="",$I163=""),"",IF($BC163="Y",SUMIFS(survey_frozen!$L$2:$L$251,survey_frozen!$P$2:$P$251,$A163&amp;"|"&amp;$B163),IFERROR(COUNTIFS(INDIRECT("'"&amp;$A163&amp;"'!$B$2:$B$501"),$T163,INDIRECT("'"&amp;$A163&amp;"'!$A$2:$A$501"),"&gt;="&amp;$I163,INDIRECT("'"&amp;$A163&amp;"'!$A$2:$A$501"),"&lt;"&amp;($BA163+1),INDIRECT("'"&amp;$A163&amp;"'!$E$2:$E$501"),"No"),0)))</f>
        <v/>
      </c>
      <c r="AY163" s="25">
        <f>IF(OR($A163="",$I163=""),"",IF($BC163="Y",SUMIFS(survey_frozen!$M$2:$M$251,survey_frozen!$P$2:$P$251,$A163&amp;"|"&amp;$B163),IFERROR(COUNTIFS(INDIRECT("'"&amp;$A163&amp;"'!$B$2:$B$501"),$T163,INDIRECT("'"&amp;$A163&amp;"'!$A$2:$A$501"),"&gt;="&amp;$I163,INDIRECT("'"&amp;$A163&amp;"'!$A$2:$A$501"),"&lt;"&amp;($BA163+1),INDIRECT("'"&amp;$A163&amp;"'!$G$2:$G$501"),"&lt;&gt;"),0)))</f>
        <v/>
      </c>
      <c r="AZ163" s="25">
        <f>IF($A163="","",$A163&amp;"|"&amp;$L163)</f>
        <v/>
      </c>
      <c r="BA163" s="26">
        <f>IF($A163="","",IFERROR(IF(INDEX(drops!$R$2:$R$21,MATCH($H163,drops!$A$2:$A$21,0))="","",INDEX(drops!$R$2:$R$21,MATCH($H163,drops!$A$2:$A$21,0))),""))</f>
        <v/>
      </c>
      <c r="BB163" s="25">
        <f>IF(OR($A163="",$Q163&lt;&gt;"Y"),1000000,N($AL163))</f>
        <v/>
      </c>
      <c r="BC163" s="25">
        <f>IF($A163="","",IF(COUNTIF(survey_frozen!$P$2:$P$251,$A163&amp;"|"&amp;$B163)&gt;0,"Y",""))</f>
        <v/>
      </c>
    </row>
    <row r="164">
      <c r="C164" s="9" t="n"/>
      <c r="E164" s="9" t="n"/>
      <c r="H164" s="25">
        <f>IF($A164="","",IFERROR(IF(INDEX(campaigns!$B$2:$B$51,MATCH($A164,campaigns!$A$2:$A$51,0))="","",INDEX(campaigns!$B$2:$B$51,MATCH($A164,campaigns!$A$2:$A$51,0))),""))</f>
        <v/>
      </c>
      <c r="I164" s="26">
        <f>IF($A164="","",IFERROR(IF(INDEX(campaigns!$BG$2:$BG$51,MATCH($A164,campaigns!$A$2:$A$51,0))="","",INDEX(campaigns!$BG$2:$BG$51,MATCH($A164,campaigns!$A$2:$A$51,0))),""))</f>
        <v/>
      </c>
      <c r="J164" s="25">
        <f>IF($A164="","",IFERROR(IF(INDEX(campaigns!$BE$2:$BE$51,MATCH($A164,campaigns!$A$2:$A$51,0))="","",INDEX(campaigns!$BE$2:$BE$51,MATCH($A164,campaigns!$A$2:$A$51,0))),""))</f>
        <v/>
      </c>
      <c r="K164" s="25">
        <f>IF($B164="","",IFERROR(IF(INDEX(offices!$N$2:$N$61,MATCH($B164,offices!$A$2:$A$61,0))="","",INDEX(offices!$N$2:$N$61,MATCH($B164,offices!$A$2:$A$61,0))),""))</f>
        <v/>
      </c>
      <c r="L164" s="25">
        <f>IF($A164="","",IF($Q164="N","",COUNTIFS($A$2:$A164,$A164,$Q$2:$Q164,"&lt;&gt;N")))</f>
        <v/>
      </c>
      <c r="M164" s="25">
        <f>IF(OR($A164="",$L164=""),"",IF(AND(config!$B$34="names_if_public",IFERROR(IF(INDEX(offices!$AF$2:$AF$61,MATCH($B164,offices!$A$2:$A$61,0))="","",INDEX(offices!$AF$2:$AF$61,MATCH($B164,offices!$A$2:$A$61,0))),"")="Y"),$K164,CHAR(64+$L164)))</f>
        <v/>
      </c>
      <c r="N164" s="25">
        <f>IF(OR($A164="",$I164=""),"",COUNTIFS(stops!$B$2:$B$151,$B164,stops!$P$2:$P$151,"&lt;"&amp;$I164,stops!$L$2:$L$151,"&lt;&gt;not_delivered")+1)</f>
        <v/>
      </c>
      <c r="O164" s="25">
        <f>IF($A164="","",IF(N($N164)&lt;=config!$B$29,"explicit","opt-out"))</f>
        <v/>
      </c>
      <c r="P164" s="25">
        <f>IF($A164="","",IF($O164="explicit",IF($D164="yes","Y",IF($D164="no","N","pending")),IF($D164="no","N",IF(AND($C164&lt;&gt;"",$I164&lt;&gt;"",$C164&lt;=WORKDAY(N($I164),-5,calendar!$A$2:$A$80)),"Y","pending"))))</f>
        <v/>
      </c>
      <c r="Q164" s="25">
        <f>IF($A164="","",IF($P164="N","N",IF($P164&lt;&gt;"Y","pending",IF(AND((COUNTIFS(stops!$A$2:$A$151,$H164,stops!$B$2:$B$151,$B164,stops!$L$2:$L$151,"declined")+COUNTIFS(stops!$A$2:$A$151,$H164,stops!$B$2:$B$151,$B164,stops!$L$2:$L$151,"building_refused")+COUNTIFS(stops!$A$2:$A$151,$H164,stops!$B$2:$B$151,$B164,stops!$L$2:$L$151,"not_delivered"))&gt;0,N($U164)=0),"N","Y"))))</f>
        <v/>
      </c>
      <c r="R164" s="25">
        <f>IF($A164="","",IF(COUNTIFS($A$2:$A$251,$A164,$B$2:$B$251,$B164)&gt;1,"DUPLICATE ROW; ","")&amp;IF(AND(IFERROR(IF(INDEX(offices!$AC$2:$AC$61,MATCH($B164,offices!$A$2:$A$61,0))="","",INDEX(offices!$AC$2:$AC$61,MATCH($B164,offices!$A$2:$A$61,0))),"")&lt;&gt;"",ISNUMBER(SEARCH($J164,IFERROR(IF(INDEX(offices!$AC$2:$AC$61,MATCH($B164,offices!$A$2:$A$61,0))="","",INDEX(offices!$AC$2:$AC$61,MATCH($B164,offices!$A$2:$A$61,0))),"")))),"BRAND VETOED; ","")&amp;IF(ISNUMBER(SEARCH(IFERROR(IF(INDEX(campaigns!$BF$2:$BF$51,MATCH($A164,campaigns!$A$2:$A$51,0))="","",INDEX(campaigns!$BF$2:$BF$51,MATCH($A164,campaigns!$A$2:$A$51,0))),""),IFERROR(IF(INDEX(offices!$AB$2:$AB$61,MATCH($B164,offices!$A$2:$A$61,0))="","",INDEX(offices!$AB$2:$AB$61,MATCH($B164,offices!$A$2:$A$61,0))),""))),"","info: category not on the office's list; ")&amp;IF(IFERROR(IF(INDEX(offices!$AC$2:$AC$61,MATCH($B164,offices!$A$2:$A$61,0))="","",INDEX(offices!$AC$2:$AC$61,MATCH($B164,offices!$A$2:$A$61,0))),"")&lt;&gt;"","info: read the vetoes against the label; ",""))</f>
        <v/>
      </c>
      <c r="S164" s="25">
        <f>IF($A164="","",IF($G164&lt;&gt;"",$G164,IFERROR(IF(INDEX(offices!$AL$2:$AL$61,MATCH($B164,offices!$A$2:$A$61,0))="","",INDEX(offices!$AL$2:$AL$61,MATCH($B164,offices!$A$2:$A$61,0))),"")))</f>
        <v/>
      </c>
      <c r="T164" s="25">
        <f>IF($A164="","",$A164&amp;"."&amp;$B164)</f>
        <v/>
      </c>
      <c r="U164" s="25">
        <f>IF($A164="","",SUMIFS(inventory!$G$2:$G$801,inventory!$C$2:$C$801,$A164,inventory!$D$2:$D$801,$B164,inventory!$E$2:$E$801,"delivered"))</f>
        <v/>
      </c>
      <c r="V164" s="32">
        <f>IF($A164="","",IFERROR(1/(1/SUMPRODUCT(MAX((inventory!$C$2:$C$801=$A164)*(inventory!$D$2:$D$801=$B164)*(inventory!$E$2:$E$801="delivered")*(inventory!$A$2:$A$801+inventory!$B$2:$B$801)))),""))</f>
        <v/>
      </c>
      <c r="W164" s="25">
        <f>IF($A164="","",IFERROR(IF(INDEX(inventory!$J$2:$J$801,MATCH($A164&amp;"|"&amp;$B164&amp;"|delivered",inventory!$R$2:$R$801,0))="","",INDEX(inventory!$J$2:$J$801,MATCH($A164&amp;"|"&amp;$B164&amp;"|delivered",inventory!$R$2:$R$801,0))),""))</f>
        <v/>
      </c>
      <c r="X164" s="25">
        <f>IF($A164="","",IFERROR(IF(INDEX(photos!$H$2:$H$701,MATCH($A164&amp;"|"&amp;$B164&amp;"|placement|Y",photos!$R$2:$R$701,0))="","",INDEX(photos!$H$2:$H$701,MATCH($A164&amp;"|"&amp;$B164&amp;"|placement|Y",photos!$R$2:$R$701,0))),""))</f>
        <v/>
      </c>
      <c r="Y164" s="26">
        <f>IF($A164="","",IFERROR(IF(INDEX(photos!$E$2:$E$701,MATCH($A164&amp;"|"&amp;$B164&amp;"|placement|Y",photos!$R$2:$R$701,0))="","",INDEX(photos!$E$2:$E$701,MATCH($A164&amp;"|"&amp;$B164&amp;"|placement|Y",photos!$R$2:$R$701,0))),""))</f>
        <v/>
      </c>
      <c r="Z164" s="25">
        <f>IF($A164="","",IF(COUNTIFS(counts!$C$2:$C$701,$A164,counts!$D$2:$D$701,$B164,counts!$E$2:$E$701,"placed")=0,"",SUMIFS(counts!$F$2:$F$701,counts!$C$2:$C$701,$A164,counts!$D$2:$D$701,$B164,counts!$E$2:$E$701,"placed")))</f>
        <v/>
      </c>
      <c r="AA164" s="25">
        <f>IF($A164="","",IF($Y164="",0,N($Z164)))</f>
        <v/>
      </c>
      <c r="AB164" s="25">
        <f>IF($A164="","",IF(OR($Y164="",$I164=""),"N",IF($Y164&lt;=WORKDAY(N($I164),1,calendar!$A$2:$A$80),"Y","N")))</f>
        <v/>
      </c>
      <c r="AC164" s="28">
        <f>IF(OR($A164="",$V164="",$Y164=""),"",ROUND(($Y164+N(IFERROR(IF(INDEX(photos!$F$2:$F$701,MATCH($A164&amp;"|"&amp;$B164&amp;"|placement|Y",photos!$R$2:$R$701,0))="","",INDEX(photos!$F$2:$F$701,MATCH($A164&amp;"|"&amp;$B164&amp;"|placement|Y",photos!$R$2:$R$701,0))),""))-$V164)*24,1))</f>
        <v/>
      </c>
      <c r="AD164" s="25">
        <f>IF($A164="","",SUMIFS(inventory!$G$2:$G$801,inventory!$C$2:$C$801,$A164,inventory!$D$2:$D$801,$B164,inventory!$E$2:$E$801,"topped_up"))</f>
        <v/>
      </c>
      <c r="AE164" s="25">
        <f>IF($A164="","",IF(COUNTIFS(counts!$C$2:$C$701,$A164,counts!$D$2:$D$701,$B164,counts!$E$2:$E$701,"remaining_day3")=0,"",SUMIFS(counts!$F$2:$F$701,counts!$C$2:$C$701,$A164,counts!$D$2:$D$701,$B164,counts!$E$2:$E$701,"remaining_day3")))</f>
        <v/>
      </c>
      <c r="AF164" s="25">
        <f>IF($A164="","",IF(COUNTIFS(counts!$C$2:$C$701,$A164,counts!$D$2:$D$701,$B164,counts!$E$2:$E$701,"remaining_day5")=0,"",SUMIFS(counts!$F$2:$F$701,counts!$C$2:$C$701,$A164,counts!$D$2:$D$701,$B164,counts!$E$2:$E$701,"remaining_day5")))</f>
        <v/>
      </c>
      <c r="AG164" s="25">
        <f>IF(OR($A164="",$AF164=""),"",MAX(0,$AA164+$AD164-$AF164))</f>
        <v/>
      </c>
      <c r="AH164" s="25">
        <f>IF(OR($A164="",$AI164=""),"",IFERROR(IF(INDEX(photos!$H$2:$H$701,MATCH($A164&amp;"|"&amp;$B164&amp;"|later|Y|"&amp;$AI164,photos!$S$2:$S$701,0))="","",INDEX(photos!$H$2:$H$701,MATCH($A164&amp;"|"&amp;$B164&amp;"|later|Y|"&amp;$AI164,photos!$S$2:$S$701,0))),""))</f>
        <v/>
      </c>
      <c r="AI164" s="26">
        <f>IF($A164="","",IFERROR(1/(1/SUMPRODUCT(MAX((photos!$B$2:$B$701=$A164)*(photos!$C$2:$C$701=$B164)*(photos!$D$2:$D$701="later")*(photos!$O$2:$O$701="Y")*photos!$E$2:$E$701))),""))</f>
        <v/>
      </c>
      <c r="AJ164" s="25">
        <f>IF(OR($A164="",$AI164="",$I164=""),"",NETWORKDAYS($I164,$AI164,calendar!$A$2:$A$80))</f>
        <v/>
      </c>
      <c r="AK164" s="25">
        <f>IF($A164="","",IF(AND($X164&lt;&gt;"",$AH164&lt;&gt;""),"Y","N"))</f>
        <v/>
      </c>
      <c r="AL164" s="25">
        <f>IF(OR($A164="",$I164=""),"",IF($BC164="Y",SUMIFS(survey_frozen!$C$2:$C$251,survey_frozen!$P$2:$P$251,$A164&amp;"|"&amp;$B164),IFERROR(COUNTIFS(INDIRECT("'"&amp;$A164&amp;"'!$B$2:$B$501"),$T164,INDIRECT("'"&amp;$A164&amp;"'!$A$2:$A$501"),"&gt;="&amp;$I164,INDIRECT("'"&amp;$A164&amp;"'!$A$2:$A$501"),"&lt;"&amp;($BA164+1)),0)))</f>
        <v/>
      </c>
      <c r="AM164" s="25">
        <f>IF(OR($A164="",$I164=""),"",IF($BC164="Y",SUMIFS(survey_frozen!$D$2:$D$251,survey_frozen!$P$2:$P$251,$A164&amp;"|"&amp;$B164),IFERROR(COUNTIFS(INDIRECT("'"&amp;$A164&amp;"'!$B$2:$B$501"),$T164,INDIRECT("'"&amp;$A164&amp;"'!$A$2:$A$501"),"&gt;="&amp;$I164,INDIRECT("'"&amp;$A164&amp;"'!$A$2:$A$501"),"&lt;"&amp;($BA164+1),INDIRECT("'"&amp;$A164&amp;"'!$C$2:$C$501"),"Yes"),0)))</f>
        <v/>
      </c>
      <c r="AN164" s="25">
        <f>IF($A164="","",IF(COUNTIFS(scans!$C$2:$C$1601,(IF(LEFT($A164,7)="SAMPLE-","SAMPLE-","")&amp;LOWER(SUBSTITUTE(SUBSTITUTE($A164,"SAMPLE-",""),"CMP-","c"))&amp;"-"&amp;LOWER(SUBSTITUTE(SUBSTITUTE($B164,"SAMPLE-",""),"O-","o"))&amp;"-q"),scans!$D$2:$D$1601,"close")=0,"",SUMPRODUCT(MAX((scans!$C$2:$C$1601=(IF(LEFT($A164,7)="SAMPLE-","SAMPLE-","")&amp;LOWER(SUBSTITUTE(SUBSTITUTE($A164,"SAMPLE-",""),"CMP-","c"))&amp;"-"&amp;LOWER(SUBSTITUTE(SUBSTITUTE($B164,"SAMPLE-",""),"O-","o"))&amp;"-q"))*(scans!$D$2:$D$1601="close")*scans!$E$2:$E$1601))-SUMPRODUCT(MAX((scans!$C$2:$C$1601=(IF(LEFT($A164,7)="SAMPLE-","SAMPLE-","")&amp;LOWER(SUBSTITUTE(SUBSTITUTE($A164,"SAMPLE-",""),"CMP-","c"))&amp;"-"&amp;LOWER(SUBSTITUTE(SUBSTITUTE($B164,"SAMPLE-",""),"O-","o"))&amp;"-q"))*(scans!$D$2:$D$1601="baseline")*scans!$E$2:$E$1601))))</f>
        <v/>
      </c>
      <c r="AO164" s="25">
        <f>IF($A164="","",IF(COUNTIFS(scans!$C$2:$C$1601,(IF(LEFT($A164,7)="SAMPLE-","SAMPLE-","")&amp;LOWER(SUBSTITUTE(SUBSTITUTE($A164,"SAMPLE-",""),"CMP-","c"))&amp;"-"&amp;LOWER(SUBSTITUTE(SUBSTITUTE($B164,"SAMPLE-",""),"O-","o"))&amp;"-p"),scans!$D$2:$D$1601,"close")=0,"",SUMPRODUCT(MAX((scans!$C$2:$C$1601=(IF(LEFT($A164,7)="SAMPLE-","SAMPLE-","")&amp;LOWER(SUBSTITUTE(SUBSTITUTE($A164,"SAMPLE-",""),"CMP-","c"))&amp;"-"&amp;LOWER(SUBSTITUTE(SUBSTITUTE($B164,"SAMPLE-",""),"O-","o"))&amp;"-p"))*(scans!$D$2:$D$1601="close")*scans!$E$2:$E$1601))-SUMPRODUCT(MAX((scans!$C$2:$C$1601=(IF(LEFT($A164,7)="SAMPLE-","SAMPLE-","")&amp;LOWER(SUBSTITUTE(SUBSTITUTE($A164,"SAMPLE-",""),"CMP-","c"))&amp;"-"&amp;LOWER(SUBSTITUTE(SUBSTITUTE($B164,"SAMPLE-",""),"O-","o"))&amp;"-p"))*(scans!$D$2:$D$1601="baseline")*scans!$E$2:$E$1601))))</f>
        <v/>
      </c>
      <c r="AP164" s="25">
        <f>IF($A164="","",IF(COUNTIF(offices!$A$2:$A$61,$B164)=0,"office_id not on offices; ","")&amp;IF(COUNTIF(campaigns!$A$2:$A$51,$A164)=0,"campaign_id not on campaigns; ","")&amp;IF($P164="pending","approval pending; ","")&amp;IF(AND($U164&gt;0,$Y164="",OR($I164="",IF(config!$B$37&lt;&gt;"",config!$B$37,TODAY())&lt;=WORKDAY(N($I164),4,calendar!$A$2:$A$80))),"no usable placement photo yet; ","")&amp;IF(AND($Y164&lt;&gt;"",$Z164=""),"log the placed count; ","")&amp;IF(N($AA164)&gt;N($U164),"placed more than delivered; ","")&amp;IF(AND($AF164&lt;&gt;"",N($AF164)&gt;N($AA164)+N($AD164)),"day-5 count above placed plus top-ups; ","")&amp;IF(AND($U164&gt;0,$I164&lt;&gt;"",IF(config!$B$37&lt;&gt;"",config!$B$37,TODAY())&gt;WORKDAY(N($I164),4,calendar!$A$2:$A$80),$AF164=""),"day-5 count missing; ","")&amp;IF(AND($U164&gt;0,$I164&lt;&gt;"",IF(config!$B$37&lt;&gt;"",config!$B$37,TODAY())&gt;WORKDAY(N($I164),4,calendar!$A$2:$A$80),$AN164=""),"no close link reading; ","")&amp;$R164&amp;IF($P164="N","info: office said no; ","")&amp;IF(AND($P164="Y",$Q164="N"),"info: turned away at the door, so not on the drop (no letter, not in the report or Gate 2; the credit check is on campaigns); ","")&amp;IF(AND($U164&gt;0,$Y164="",$I164&lt;&gt;"",IF(config!$B$37&lt;&gt;"",config!$B$37,TODAY())&gt;WORKDAY(N($I164),4,calendar!$A$2:$A$80)),"info: no usable placement photo, so nothing counts as placed; ","")&amp;IF(AND($U164&gt;0,$I164&lt;&gt;"",IF(config!$B$37&lt;&gt;"",config!$B$37,TODAY())&gt;WORKDAY(N($I164),4,calendar!$A$2:$A$80),N($AL164)&lt;config!$B$30),"info: under "&amp;config!$B$30&amp;" responses; ","")&amp;IF($W164="packing_list","info: delivered count not verified; ",""))</f>
        <v/>
      </c>
      <c r="AQ164" s="25">
        <f>IF(OR($A164="",$I164=""),"",IF($BC164="Y",SUMIFS(survey_frozen!$E$2:$E$251,survey_frozen!$P$2:$P$251,$A164&amp;"|"&amp;$B164),IFERROR(COUNTIFS(INDIRECT("'"&amp;$A164&amp;"'!$B$2:$B$501"),$T164,INDIRECT("'"&amp;$A164&amp;"'!$A$2:$A$501"),"&gt;="&amp;$I164,INDIRECT("'"&amp;$A164&amp;"'!$A$2:$A$501"),"&lt;"&amp;($BA164+1),INDIRECT("'"&amp;$A164&amp;"'!$F$2:$F$501"),"Didn't see it"),0)))</f>
        <v/>
      </c>
      <c r="AR164" s="25">
        <f>IF(OR($A164="",$I164=""),"",IF($BC164="Y",SUMIFS(survey_frozen!$F$2:$F$251,survey_frozen!$P$2:$P$251,$A164&amp;"|"&amp;$B164),IFERROR(COUNTIFS(INDIRECT("'"&amp;$A164&amp;"'!$B$2:$B$501"),$T164,INDIRECT("'"&amp;$A164&amp;"'!$A$2:$A$501"),"&gt;="&amp;$I164,INDIRECT("'"&amp;$A164&amp;"'!$A$2:$A$501"),"&lt;"&amp;($BA164+1),INDIRECT("'"&amp;$A164&amp;"'!$F$2:$F$501"),"Not for me"),0)))</f>
        <v/>
      </c>
      <c r="AS164" s="25">
        <f>IF(OR($A164="",$I164=""),"",IF($BC164="Y",SUMIFS(survey_frozen!$G$2:$G$251,survey_frozen!$P$2:$P$251,$A164&amp;"|"&amp;$B164),IFERROR(COUNTIFS(INDIRECT("'"&amp;$A164&amp;"'!$B$2:$B$501"),$T164,INDIRECT("'"&amp;$A164&amp;"'!$A$2:$A$501"),"&gt;="&amp;$I164,INDIRECT("'"&amp;$A164&amp;"'!$A$2:$A$501"),"&lt;"&amp;($BA164+1),INDIRECT("'"&amp;$A164&amp;"'!$F$2:$F$501"),"Gone by the time I looked"),0)))</f>
        <v/>
      </c>
      <c r="AT164" s="25">
        <f>IF(OR($A164="",$I164=""),"",IF($BC164="Y",SUMIFS(survey_frozen!$H$2:$H$251,survey_frozen!$P$2:$P$251,$A164&amp;"|"&amp;$B164),IFERROR(COUNTIFS(INDIRECT("'"&amp;$A164&amp;"'!$B$2:$B$501"),$T164,INDIRECT("'"&amp;$A164&amp;"'!$A$2:$A$501"),"&gt;="&amp;$I164,INDIRECT("'"&amp;$A164&amp;"'!$A$2:$A$501"),"&lt;"&amp;($BA164+1),INDIRECT("'"&amp;$A164&amp;"'!$D$2:$D$501"),"&gt;=1"),0)))</f>
        <v/>
      </c>
      <c r="AU164" s="25">
        <f>IF(OR($A164="",$I164=""),"",IF($BC164="Y",SUMIFS(survey_frozen!$I$2:$I$251,survey_frozen!$P$2:$P$251,$A164&amp;"|"&amp;$B164),IFERROR(SUMIFS(INDIRECT("'"&amp;$A164&amp;"'!$D$2:$D$501"),INDIRECT("'"&amp;$A164&amp;"'!$B$2:$B$501"),$T164,INDIRECT("'"&amp;$A164&amp;"'!$A$2:$A$501"),"&gt;="&amp;$I164,INDIRECT("'"&amp;$A164&amp;"'!$A$2:$A$501"),"&lt;"&amp;($BA164+1)),0)))</f>
        <v/>
      </c>
      <c r="AV164" s="25">
        <f>IF(OR($A164="",$I164=""),"",IF($BC164="Y",SUMIFS(survey_frozen!$J$2:$J$251,survey_frozen!$P$2:$P$251,$A164&amp;"|"&amp;$B164),IFERROR(COUNTIFS(INDIRECT("'"&amp;$A164&amp;"'!$B$2:$B$501"),$T164,INDIRECT("'"&amp;$A164&amp;"'!$A$2:$A$501"),"&gt;="&amp;$I164,INDIRECT("'"&amp;$A164&amp;"'!$A$2:$A$501"),"&lt;"&amp;($BA164+1),INDIRECT("'"&amp;$A164&amp;"'!$E$2:$E$501"),"Yes"),0)))</f>
        <v/>
      </c>
      <c r="AW164" s="25">
        <f>IF(OR($A164="",$I164=""),"",IF($BC164="Y",SUMIFS(survey_frozen!$K$2:$K$251,survey_frozen!$P$2:$P$251,$A164&amp;"|"&amp;$B164),IFERROR(COUNTIFS(INDIRECT("'"&amp;$A164&amp;"'!$B$2:$B$501"),$T164,INDIRECT("'"&amp;$A164&amp;"'!$A$2:$A$501"),"&gt;="&amp;$I164,INDIRECT("'"&amp;$A164&amp;"'!$A$2:$A$501"),"&lt;"&amp;($BA164+1),INDIRECT("'"&amp;$A164&amp;"'!$E$2:$E$501"),"Maybe"),0)))</f>
        <v/>
      </c>
      <c r="AX164" s="25">
        <f>IF(OR($A164="",$I164=""),"",IF($BC164="Y",SUMIFS(survey_frozen!$L$2:$L$251,survey_frozen!$P$2:$P$251,$A164&amp;"|"&amp;$B164),IFERROR(COUNTIFS(INDIRECT("'"&amp;$A164&amp;"'!$B$2:$B$501"),$T164,INDIRECT("'"&amp;$A164&amp;"'!$A$2:$A$501"),"&gt;="&amp;$I164,INDIRECT("'"&amp;$A164&amp;"'!$A$2:$A$501"),"&lt;"&amp;($BA164+1),INDIRECT("'"&amp;$A164&amp;"'!$E$2:$E$501"),"No"),0)))</f>
        <v/>
      </c>
      <c r="AY164" s="25">
        <f>IF(OR($A164="",$I164=""),"",IF($BC164="Y",SUMIFS(survey_frozen!$M$2:$M$251,survey_frozen!$P$2:$P$251,$A164&amp;"|"&amp;$B164),IFERROR(COUNTIFS(INDIRECT("'"&amp;$A164&amp;"'!$B$2:$B$501"),$T164,INDIRECT("'"&amp;$A164&amp;"'!$A$2:$A$501"),"&gt;="&amp;$I164,INDIRECT("'"&amp;$A164&amp;"'!$A$2:$A$501"),"&lt;"&amp;($BA164+1),INDIRECT("'"&amp;$A164&amp;"'!$G$2:$G$501"),"&lt;&gt;"),0)))</f>
        <v/>
      </c>
      <c r="AZ164" s="25">
        <f>IF($A164="","",$A164&amp;"|"&amp;$L164)</f>
        <v/>
      </c>
      <c r="BA164" s="26">
        <f>IF($A164="","",IFERROR(IF(INDEX(drops!$R$2:$R$21,MATCH($H164,drops!$A$2:$A$21,0))="","",INDEX(drops!$R$2:$R$21,MATCH($H164,drops!$A$2:$A$21,0))),""))</f>
        <v/>
      </c>
      <c r="BB164" s="25">
        <f>IF(OR($A164="",$Q164&lt;&gt;"Y"),1000000,N($AL164))</f>
        <v/>
      </c>
      <c r="BC164" s="25">
        <f>IF($A164="","",IF(COUNTIF(survey_frozen!$P$2:$P$251,$A164&amp;"|"&amp;$B164)&gt;0,"Y",""))</f>
        <v/>
      </c>
    </row>
    <row r="165">
      <c r="C165" s="9" t="n"/>
      <c r="E165" s="9" t="n"/>
      <c r="H165" s="25">
        <f>IF($A165="","",IFERROR(IF(INDEX(campaigns!$B$2:$B$51,MATCH($A165,campaigns!$A$2:$A$51,0))="","",INDEX(campaigns!$B$2:$B$51,MATCH($A165,campaigns!$A$2:$A$51,0))),""))</f>
        <v/>
      </c>
      <c r="I165" s="26">
        <f>IF($A165="","",IFERROR(IF(INDEX(campaigns!$BG$2:$BG$51,MATCH($A165,campaigns!$A$2:$A$51,0))="","",INDEX(campaigns!$BG$2:$BG$51,MATCH($A165,campaigns!$A$2:$A$51,0))),""))</f>
        <v/>
      </c>
      <c r="J165" s="25">
        <f>IF($A165="","",IFERROR(IF(INDEX(campaigns!$BE$2:$BE$51,MATCH($A165,campaigns!$A$2:$A$51,0))="","",INDEX(campaigns!$BE$2:$BE$51,MATCH($A165,campaigns!$A$2:$A$51,0))),""))</f>
        <v/>
      </c>
      <c r="K165" s="25">
        <f>IF($B165="","",IFERROR(IF(INDEX(offices!$N$2:$N$61,MATCH($B165,offices!$A$2:$A$61,0))="","",INDEX(offices!$N$2:$N$61,MATCH($B165,offices!$A$2:$A$61,0))),""))</f>
        <v/>
      </c>
      <c r="L165" s="25">
        <f>IF($A165="","",IF($Q165="N","",COUNTIFS($A$2:$A165,$A165,$Q$2:$Q165,"&lt;&gt;N")))</f>
        <v/>
      </c>
      <c r="M165" s="25">
        <f>IF(OR($A165="",$L165=""),"",IF(AND(config!$B$34="names_if_public",IFERROR(IF(INDEX(offices!$AF$2:$AF$61,MATCH($B165,offices!$A$2:$A$61,0))="","",INDEX(offices!$AF$2:$AF$61,MATCH($B165,offices!$A$2:$A$61,0))),"")="Y"),$K165,CHAR(64+$L165)))</f>
        <v/>
      </c>
      <c r="N165" s="25">
        <f>IF(OR($A165="",$I165=""),"",COUNTIFS(stops!$B$2:$B$151,$B165,stops!$P$2:$P$151,"&lt;"&amp;$I165,stops!$L$2:$L$151,"&lt;&gt;not_delivered")+1)</f>
        <v/>
      </c>
      <c r="O165" s="25">
        <f>IF($A165="","",IF(N($N165)&lt;=config!$B$29,"explicit","opt-out"))</f>
        <v/>
      </c>
      <c r="P165" s="25">
        <f>IF($A165="","",IF($O165="explicit",IF($D165="yes","Y",IF($D165="no","N","pending")),IF($D165="no","N",IF(AND($C165&lt;&gt;"",$I165&lt;&gt;"",$C165&lt;=WORKDAY(N($I165),-5,calendar!$A$2:$A$80)),"Y","pending"))))</f>
        <v/>
      </c>
      <c r="Q165" s="25">
        <f>IF($A165="","",IF($P165="N","N",IF($P165&lt;&gt;"Y","pending",IF(AND((COUNTIFS(stops!$A$2:$A$151,$H165,stops!$B$2:$B$151,$B165,stops!$L$2:$L$151,"declined")+COUNTIFS(stops!$A$2:$A$151,$H165,stops!$B$2:$B$151,$B165,stops!$L$2:$L$151,"building_refused")+COUNTIFS(stops!$A$2:$A$151,$H165,stops!$B$2:$B$151,$B165,stops!$L$2:$L$151,"not_delivered"))&gt;0,N($U165)=0),"N","Y"))))</f>
        <v/>
      </c>
      <c r="R165" s="25">
        <f>IF($A165="","",IF(COUNTIFS($A$2:$A$251,$A165,$B$2:$B$251,$B165)&gt;1,"DUPLICATE ROW; ","")&amp;IF(AND(IFERROR(IF(INDEX(offices!$AC$2:$AC$61,MATCH($B165,offices!$A$2:$A$61,0))="","",INDEX(offices!$AC$2:$AC$61,MATCH($B165,offices!$A$2:$A$61,0))),"")&lt;&gt;"",ISNUMBER(SEARCH($J165,IFERROR(IF(INDEX(offices!$AC$2:$AC$61,MATCH($B165,offices!$A$2:$A$61,0))="","",INDEX(offices!$AC$2:$AC$61,MATCH($B165,offices!$A$2:$A$61,0))),"")))),"BRAND VETOED; ","")&amp;IF(ISNUMBER(SEARCH(IFERROR(IF(INDEX(campaigns!$BF$2:$BF$51,MATCH($A165,campaigns!$A$2:$A$51,0))="","",INDEX(campaigns!$BF$2:$BF$51,MATCH($A165,campaigns!$A$2:$A$51,0))),""),IFERROR(IF(INDEX(offices!$AB$2:$AB$61,MATCH($B165,offices!$A$2:$A$61,0))="","",INDEX(offices!$AB$2:$AB$61,MATCH($B165,offices!$A$2:$A$61,0))),""))),"","info: category not on the office's list; ")&amp;IF(IFERROR(IF(INDEX(offices!$AC$2:$AC$61,MATCH($B165,offices!$A$2:$A$61,0))="","",INDEX(offices!$AC$2:$AC$61,MATCH($B165,offices!$A$2:$A$61,0))),"")&lt;&gt;"","info: read the vetoes against the label; ",""))</f>
        <v/>
      </c>
      <c r="S165" s="25">
        <f>IF($A165="","",IF($G165&lt;&gt;"",$G165,IFERROR(IF(INDEX(offices!$AL$2:$AL$61,MATCH($B165,offices!$A$2:$A$61,0))="","",INDEX(offices!$AL$2:$AL$61,MATCH($B165,offices!$A$2:$A$61,0))),"")))</f>
        <v/>
      </c>
      <c r="T165" s="25">
        <f>IF($A165="","",$A165&amp;"."&amp;$B165)</f>
        <v/>
      </c>
      <c r="U165" s="25">
        <f>IF($A165="","",SUMIFS(inventory!$G$2:$G$801,inventory!$C$2:$C$801,$A165,inventory!$D$2:$D$801,$B165,inventory!$E$2:$E$801,"delivered"))</f>
        <v/>
      </c>
      <c r="V165" s="32">
        <f>IF($A165="","",IFERROR(1/(1/SUMPRODUCT(MAX((inventory!$C$2:$C$801=$A165)*(inventory!$D$2:$D$801=$B165)*(inventory!$E$2:$E$801="delivered")*(inventory!$A$2:$A$801+inventory!$B$2:$B$801)))),""))</f>
        <v/>
      </c>
      <c r="W165" s="25">
        <f>IF($A165="","",IFERROR(IF(INDEX(inventory!$J$2:$J$801,MATCH($A165&amp;"|"&amp;$B165&amp;"|delivered",inventory!$R$2:$R$801,0))="","",INDEX(inventory!$J$2:$J$801,MATCH($A165&amp;"|"&amp;$B165&amp;"|delivered",inventory!$R$2:$R$801,0))),""))</f>
        <v/>
      </c>
      <c r="X165" s="25">
        <f>IF($A165="","",IFERROR(IF(INDEX(photos!$H$2:$H$701,MATCH($A165&amp;"|"&amp;$B165&amp;"|placement|Y",photos!$R$2:$R$701,0))="","",INDEX(photos!$H$2:$H$701,MATCH($A165&amp;"|"&amp;$B165&amp;"|placement|Y",photos!$R$2:$R$701,0))),""))</f>
        <v/>
      </c>
      <c r="Y165" s="26">
        <f>IF($A165="","",IFERROR(IF(INDEX(photos!$E$2:$E$701,MATCH($A165&amp;"|"&amp;$B165&amp;"|placement|Y",photos!$R$2:$R$701,0))="","",INDEX(photos!$E$2:$E$701,MATCH($A165&amp;"|"&amp;$B165&amp;"|placement|Y",photos!$R$2:$R$701,0))),""))</f>
        <v/>
      </c>
      <c r="Z165" s="25">
        <f>IF($A165="","",IF(COUNTIFS(counts!$C$2:$C$701,$A165,counts!$D$2:$D$701,$B165,counts!$E$2:$E$701,"placed")=0,"",SUMIFS(counts!$F$2:$F$701,counts!$C$2:$C$701,$A165,counts!$D$2:$D$701,$B165,counts!$E$2:$E$701,"placed")))</f>
        <v/>
      </c>
      <c r="AA165" s="25">
        <f>IF($A165="","",IF($Y165="",0,N($Z165)))</f>
        <v/>
      </c>
      <c r="AB165" s="25">
        <f>IF($A165="","",IF(OR($Y165="",$I165=""),"N",IF($Y165&lt;=WORKDAY(N($I165),1,calendar!$A$2:$A$80),"Y","N")))</f>
        <v/>
      </c>
      <c r="AC165" s="28">
        <f>IF(OR($A165="",$V165="",$Y165=""),"",ROUND(($Y165+N(IFERROR(IF(INDEX(photos!$F$2:$F$701,MATCH($A165&amp;"|"&amp;$B165&amp;"|placement|Y",photos!$R$2:$R$701,0))="","",INDEX(photos!$F$2:$F$701,MATCH($A165&amp;"|"&amp;$B165&amp;"|placement|Y",photos!$R$2:$R$701,0))),""))-$V165)*24,1))</f>
        <v/>
      </c>
      <c r="AD165" s="25">
        <f>IF($A165="","",SUMIFS(inventory!$G$2:$G$801,inventory!$C$2:$C$801,$A165,inventory!$D$2:$D$801,$B165,inventory!$E$2:$E$801,"topped_up"))</f>
        <v/>
      </c>
      <c r="AE165" s="25">
        <f>IF($A165="","",IF(COUNTIFS(counts!$C$2:$C$701,$A165,counts!$D$2:$D$701,$B165,counts!$E$2:$E$701,"remaining_day3")=0,"",SUMIFS(counts!$F$2:$F$701,counts!$C$2:$C$701,$A165,counts!$D$2:$D$701,$B165,counts!$E$2:$E$701,"remaining_day3")))</f>
        <v/>
      </c>
      <c r="AF165" s="25">
        <f>IF($A165="","",IF(COUNTIFS(counts!$C$2:$C$701,$A165,counts!$D$2:$D$701,$B165,counts!$E$2:$E$701,"remaining_day5")=0,"",SUMIFS(counts!$F$2:$F$701,counts!$C$2:$C$701,$A165,counts!$D$2:$D$701,$B165,counts!$E$2:$E$701,"remaining_day5")))</f>
        <v/>
      </c>
      <c r="AG165" s="25">
        <f>IF(OR($A165="",$AF165=""),"",MAX(0,$AA165+$AD165-$AF165))</f>
        <v/>
      </c>
      <c r="AH165" s="25">
        <f>IF(OR($A165="",$AI165=""),"",IFERROR(IF(INDEX(photos!$H$2:$H$701,MATCH($A165&amp;"|"&amp;$B165&amp;"|later|Y|"&amp;$AI165,photos!$S$2:$S$701,0))="","",INDEX(photos!$H$2:$H$701,MATCH($A165&amp;"|"&amp;$B165&amp;"|later|Y|"&amp;$AI165,photos!$S$2:$S$701,0))),""))</f>
        <v/>
      </c>
      <c r="AI165" s="26">
        <f>IF($A165="","",IFERROR(1/(1/SUMPRODUCT(MAX((photos!$B$2:$B$701=$A165)*(photos!$C$2:$C$701=$B165)*(photos!$D$2:$D$701="later")*(photos!$O$2:$O$701="Y")*photos!$E$2:$E$701))),""))</f>
        <v/>
      </c>
      <c r="AJ165" s="25">
        <f>IF(OR($A165="",$AI165="",$I165=""),"",NETWORKDAYS($I165,$AI165,calendar!$A$2:$A$80))</f>
        <v/>
      </c>
      <c r="AK165" s="25">
        <f>IF($A165="","",IF(AND($X165&lt;&gt;"",$AH165&lt;&gt;""),"Y","N"))</f>
        <v/>
      </c>
      <c r="AL165" s="25">
        <f>IF(OR($A165="",$I165=""),"",IF($BC165="Y",SUMIFS(survey_frozen!$C$2:$C$251,survey_frozen!$P$2:$P$251,$A165&amp;"|"&amp;$B165),IFERROR(COUNTIFS(INDIRECT("'"&amp;$A165&amp;"'!$B$2:$B$501"),$T165,INDIRECT("'"&amp;$A165&amp;"'!$A$2:$A$501"),"&gt;="&amp;$I165,INDIRECT("'"&amp;$A165&amp;"'!$A$2:$A$501"),"&lt;"&amp;($BA165+1)),0)))</f>
        <v/>
      </c>
      <c r="AM165" s="25">
        <f>IF(OR($A165="",$I165=""),"",IF($BC165="Y",SUMIFS(survey_frozen!$D$2:$D$251,survey_frozen!$P$2:$P$251,$A165&amp;"|"&amp;$B165),IFERROR(COUNTIFS(INDIRECT("'"&amp;$A165&amp;"'!$B$2:$B$501"),$T165,INDIRECT("'"&amp;$A165&amp;"'!$A$2:$A$501"),"&gt;="&amp;$I165,INDIRECT("'"&amp;$A165&amp;"'!$A$2:$A$501"),"&lt;"&amp;($BA165+1),INDIRECT("'"&amp;$A165&amp;"'!$C$2:$C$501"),"Yes"),0)))</f>
        <v/>
      </c>
      <c r="AN165" s="25">
        <f>IF($A165="","",IF(COUNTIFS(scans!$C$2:$C$1601,(IF(LEFT($A165,7)="SAMPLE-","SAMPLE-","")&amp;LOWER(SUBSTITUTE(SUBSTITUTE($A165,"SAMPLE-",""),"CMP-","c"))&amp;"-"&amp;LOWER(SUBSTITUTE(SUBSTITUTE($B165,"SAMPLE-",""),"O-","o"))&amp;"-q"),scans!$D$2:$D$1601,"close")=0,"",SUMPRODUCT(MAX((scans!$C$2:$C$1601=(IF(LEFT($A165,7)="SAMPLE-","SAMPLE-","")&amp;LOWER(SUBSTITUTE(SUBSTITUTE($A165,"SAMPLE-",""),"CMP-","c"))&amp;"-"&amp;LOWER(SUBSTITUTE(SUBSTITUTE($B165,"SAMPLE-",""),"O-","o"))&amp;"-q"))*(scans!$D$2:$D$1601="close")*scans!$E$2:$E$1601))-SUMPRODUCT(MAX((scans!$C$2:$C$1601=(IF(LEFT($A165,7)="SAMPLE-","SAMPLE-","")&amp;LOWER(SUBSTITUTE(SUBSTITUTE($A165,"SAMPLE-",""),"CMP-","c"))&amp;"-"&amp;LOWER(SUBSTITUTE(SUBSTITUTE($B165,"SAMPLE-",""),"O-","o"))&amp;"-q"))*(scans!$D$2:$D$1601="baseline")*scans!$E$2:$E$1601))))</f>
        <v/>
      </c>
      <c r="AO165" s="25">
        <f>IF($A165="","",IF(COUNTIFS(scans!$C$2:$C$1601,(IF(LEFT($A165,7)="SAMPLE-","SAMPLE-","")&amp;LOWER(SUBSTITUTE(SUBSTITUTE($A165,"SAMPLE-",""),"CMP-","c"))&amp;"-"&amp;LOWER(SUBSTITUTE(SUBSTITUTE($B165,"SAMPLE-",""),"O-","o"))&amp;"-p"),scans!$D$2:$D$1601,"close")=0,"",SUMPRODUCT(MAX((scans!$C$2:$C$1601=(IF(LEFT($A165,7)="SAMPLE-","SAMPLE-","")&amp;LOWER(SUBSTITUTE(SUBSTITUTE($A165,"SAMPLE-",""),"CMP-","c"))&amp;"-"&amp;LOWER(SUBSTITUTE(SUBSTITUTE($B165,"SAMPLE-",""),"O-","o"))&amp;"-p"))*(scans!$D$2:$D$1601="close")*scans!$E$2:$E$1601))-SUMPRODUCT(MAX((scans!$C$2:$C$1601=(IF(LEFT($A165,7)="SAMPLE-","SAMPLE-","")&amp;LOWER(SUBSTITUTE(SUBSTITUTE($A165,"SAMPLE-",""),"CMP-","c"))&amp;"-"&amp;LOWER(SUBSTITUTE(SUBSTITUTE($B165,"SAMPLE-",""),"O-","o"))&amp;"-p"))*(scans!$D$2:$D$1601="baseline")*scans!$E$2:$E$1601))))</f>
        <v/>
      </c>
      <c r="AP165" s="25">
        <f>IF($A165="","",IF(COUNTIF(offices!$A$2:$A$61,$B165)=0,"office_id not on offices; ","")&amp;IF(COUNTIF(campaigns!$A$2:$A$51,$A165)=0,"campaign_id not on campaigns; ","")&amp;IF($P165="pending","approval pending; ","")&amp;IF(AND($U165&gt;0,$Y165="",OR($I165="",IF(config!$B$37&lt;&gt;"",config!$B$37,TODAY())&lt;=WORKDAY(N($I165),4,calendar!$A$2:$A$80))),"no usable placement photo yet; ","")&amp;IF(AND($Y165&lt;&gt;"",$Z165=""),"log the placed count; ","")&amp;IF(N($AA165)&gt;N($U165),"placed more than delivered; ","")&amp;IF(AND($AF165&lt;&gt;"",N($AF165)&gt;N($AA165)+N($AD165)),"day-5 count above placed plus top-ups; ","")&amp;IF(AND($U165&gt;0,$I165&lt;&gt;"",IF(config!$B$37&lt;&gt;"",config!$B$37,TODAY())&gt;WORKDAY(N($I165),4,calendar!$A$2:$A$80),$AF165=""),"day-5 count missing; ","")&amp;IF(AND($U165&gt;0,$I165&lt;&gt;"",IF(config!$B$37&lt;&gt;"",config!$B$37,TODAY())&gt;WORKDAY(N($I165),4,calendar!$A$2:$A$80),$AN165=""),"no close link reading; ","")&amp;$R165&amp;IF($P165="N","info: office said no; ","")&amp;IF(AND($P165="Y",$Q165="N"),"info: turned away at the door, so not on the drop (no letter, not in the report or Gate 2; the credit check is on campaigns); ","")&amp;IF(AND($U165&gt;0,$Y165="",$I165&lt;&gt;"",IF(config!$B$37&lt;&gt;"",config!$B$37,TODAY())&gt;WORKDAY(N($I165),4,calendar!$A$2:$A$80)),"info: no usable placement photo, so nothing counts as placed; ","")&amp;IF(AND($U165&gt;0,$I165&lt;&gt;"",IF(config!$B$37&lt;&gt;"",config!$B$37,TODAY())&gt;WORKDAY(N($I165),4,calendar!$A$2:$A$80),N($AL165)&lt;config!$B$30),"info: under "&amp;config!$B$30&amp;" responses; ","")&amp;IF($W165="packing_list","info: delivered count not verified; ",""))</f>
        <v/>
      </c>
      <c r="AQ165" s="25">
        <f>IF(OR($A165="",$I165=""),"",IF($BC165="Y",SUMIFS(survey_frozen!$E$2:$E$251,survey_frozen!$P$2:$P$251,$A165&amp;"|"&amp;$B165),IFERROR(COUNTIFS(INDIRECT("'"&amp;$A165&amp;"'!$B$2:$B$501"),$T165,INDIRECT("'"&amp;$A165&amp;"'!$A$2:$A$501"),"&gt;="&amp;$I165,INDIRECT("'"&amp;$A165&amp;"'!$A$2:$A$501"),"&lt;"&amp;($BA165+1),INDIRECT("'"&amp;$A165&amp;"'!$F$2:$F$501"),"Didn't see it"),0)))</f>
        <v/>
      </c>
      <c r="AR165" s="25">
        <f>IF(OR($A165="",$I165=""),"",IF($BC165="Y",SUMIFS(survey_frozen!$F$2:$F$251,survey_frozen!$P$2:$P$251,$A165&amp;"|"&amp;$B165),IFERROR(COUNTIFS(INDIRECT("'"&amp;$A165&amp;"'!$B$2:$B$501"),$T165,INDIRECT("'"&amp;$A165&amp;"'!$A$2:$A$501"),"&gt;="&amp;$I165,INDIRECT("'"&amp;$A165&amp;"'!$A$2:$A$501"),"&lt;"&amp;($BA165+1),INDIRECT("'"&amp;$A165&amp;"'!$F$2:$F$501"),"Not for me"),0)))</f>
        <v/>
      </c>
      <c r="AS165" s="25">
        <f>IF(OR($A165="",$I165=""),"",IF($BC165="Y",SUMIFS(survey_frozen!$G$2:$G$251,survey_frozen!$P$2:$P$251,$A165&amp;"|"&amp;$B165),IFERROR(COUNTIFS(INDIRECT("'"&amp;$A165&amp;"'!$B$2:$B$501"),$T165,INDIRECT("'"&amp;$A165&amp;"'!$A$2:$A$501"),"&gt;="&amp;$I165,INDIRECT("'"&amp;$A165&amp;"'!$A$2:$A$501"),"&lt;"&amp;($BA165+1),INDIRECT("'"&amp;$A165&amp;"'!$F$2:$F$501"),"Gone by the time I looked"),0)))</f>
        <v/>
      </c>
      <c r="AT165" s="25">
        <f>IF(OR($A165="",$I165=""),"",IF($BC165="Y",SUMIFS(survey_frozen!$H$2:$H$251,survey_frozen!$P$2:$P$251,$A165&amp;"|"&amp;$B165),IFERROR(COUNTIFS(INDIRECT("'"&amp;$A165&amp;"'!$B$2:$B$501"),$T165,INDIRECT("'"&amp;$A165&amp;"'!$A$2:$A$501"),"&gt;="&amp;$I165,INDIRECT("'"&amp;$A165&amp;"'!$A$2:$A$501"),"&lt;"&amp;($BA165+1),INDIRECT("'"&amp;$A165&amp;"'!$D$2:$D$501"),"&gt;=1"),0)))</f>
        <v/>
      </c>
      <c r="AU165" s="25">
        <f>IF(OR($A165="",$I165=""),"",IF($BC165="Y",SUMIFS(survey_frozen!$I$2:$I$251,survey_frozen!$P$2:$P$251,$A165&amp;"|"&amp;$B165),IFERROR(SUMIFS(INDIRECT("'"&amp;$A165&amp;"'!$D$2:$D$501"),INDIRECT("'"&amp;$A165&amp;"'!$B$2:$B$501"),$T165,INDIRECT("'"&amp;$A165&amp;"'!$A$2:$A$501"),"&gt;="&amp;$I165,INDIRECT("'"&amp;$A165&amp;"'!$A$2:$A$501"),"&lt;"&amp;($BA165+1)),0)))</f>
        <v/>
      </c>
      <c r="AV165" s="25">
        <f>IF(OR($A165="",$I165=""),"",IF($BC165="Y",SUMIFS(survey_frozen!$J$2:$J$251,survey_frozen!$P$2:$P$251,$A165&amp;"|"&amp;$B165),IFERROR(COUNTIFS(INDIRECT("'"&amp;$A165&amp;"'!$B$2:$B$501"),$T165,INDIRECT("'"&amp;$A165&amp;"'!$A$2:$A$501"),"&gt;="&amp;$I165,INDIRECT("'"&amp;$A165&amp;"'!$A$2:$A$501"),"&lt;"&amp;($BA165+1),INDIRECT("'"&amp;$A165&amp;"'!$E$2:$E$501"),"Yes"),0)))</f>
        <v/>
      </c>
      <c r="AW165" s="25">
        <f>IF(OR($A165="",$I165=""),"",IF($BC165="Y",SUMIFS(survey_frozen!$K$2:$K$251,survey_frozen!$P$2:$P$251,$A165&amp;"|"&amp;$B165),IFERROR(COUNTIFS(INDIRECT("'"&amp;$A165&amp;"'!$B$2:$B$501"),$T165,INDIRECT("'"&amp;$A165&amp;"'!$A$2:$A$501"),"&gt;="&amp;$I165,INDIRECT("'"&amp;$A165&amp;"'!$A$2:$A$501"),"&lt;"&amp;($BA165+1),INDIRECT("'"&amp;$A165&amp;"'!$E$2:$E$501"),"Maybe"),0)))</f>
        <v/>
      </c>
      <c r="AX165" s="25">
        <f>IF(OR($A165="",$I165=""),"",IF($BC165="Y",SUMIFS(survey_frozen!$L$2:$L$251,survey_frozen!$P$2:$P$251,$A165&amp;"|"&amp;$B165),IFERROR(COUNTIFS(INDIRECT("'"&amp;$A165&amp;"'!$B$2:$B$501"),$T165,INDIRECT("'"&amp;$A165&amp;"'!$A$2:$A$501"),"&gt;="&amp;$I165,INDIRECT("'"&amp;$A165&amp;"'!$A$2:$A$501"),"&lt;"&amp;($BA165+1),INDIRECT("'"&amp;$A165&amp;"'!$E$2:$E$501"),"No"),0)))</f>
        <v/>
      </c>
      <c r="AY165" s="25">
        <f>IF(OR($A165="",$I165=""),"",IF($BC165="Y",SUMIFS(survey_frozen!$M$2:$M$251,survey_frozen!$P$2:$P$251,$A165&amp;"|"&amp;$B165),IFERROR(COUNTIFS(INDIRECT("'"&amp;$A165&amp;"'!$B$2:$B$501"),$T165,INDIRECT("'"&amp;$A165&amp;"'!$A$2:$A$501"),"&gt;="&amp;$I165,INDIRECT("'"&amp;$A165&amp;"'!$A$2:$A$501"),"&lt;"&amp;($BA165+1),INDIRECT("'"&amp;$A165&amp;"'!$G$2:$G$501"),"&lt;&gt;"),0)))</f>
        <v/>
      </c>
      <c r="AZ165" s="25">
        <f>IF($A165="","",$A165&amp;"|"&amp;$L165)</f>
        <v/>
      </c>
      <c r="BA165" s="26">
        <f>IF($A165="","",IFERROR(IF(INDEX(drops!$R$2:$R$21,MATCH($H165,drops!$A$2:$A$21,0))="","",INDEX(drops!$R$2:$R$21,MATCH($H165,drops!$A$2:$A$21,0))),""))</f>
        <v/>
      </c>
      <c r="BB165" s="25">
        <f>IF(OR($A165="",$Q165&lt;&gt;"Y"),1000000,N($AL165))</f>
        <v/>
      </c>
      <c r="BC165" s="25">
        <f>IF($A165="","",IF(COUNTIF(survey_frozen!$P$2:$P$251,$A165&amp;"|"&amp;$B165)&gt;0,"Y",""))</f>
        <v/>
      </c>
    </row>
    <row r="166">
      <c r="C166" s="9" t="n"/>
      <c r="E166" s="9" t="n"/>
      <c r="H166" s="25">
        <f>IF($A166="","",IFERROR(IF(INDEX(campaigns!$B$2:$B$51,MATCH($A166,campaigns!$A$2:$A$51,0))="","",INDEX(campaigns!$B$2:$B$51,MATCH($A166,campaigns!$A$2:$A$51,0))),""))</f>
        <v/>
      </c>
      <c r="I166" s="26">
        <f>IF($A166="","",IFERROR(IF(INDEX(campaigns!$BG$2:$BG$51,MATCH($A166,campaigns!$A$2:$A$51,0))="","",INDEX(campaigns!$BG$2:$BG$51,MATCH($A166,campaigns!$A$2:$A$51,0))),""))</f>
        <v/>
      </c>
      <c r="J166" s="25">
        <f>IF($A166="","",IFERROR(IF(INDEX(campaigns!$BE$2:$BE$51,MATCH($A166,campaigns!$A$2:$A$51,0))="","",INDEX(campaigns!$BE$2:$BE$51,MATCH($A166,campaigns!$A$2:$A$51,0))),""))</f>
        <v/>
      </c>
      <c r="K166" s="25">
        <f>IF($B166="","",IFERROR(IF(INDEX(offices!$N$2:$N$61,MATCH($B166,offices!$A$2:$A$61,0))="","",INDEX(offices!$N$2:$N$61,MATCH($B166,offices!$A$2:$A$61,0))),""))</f>
        <v/>
      </c>
      <c r="L166" s="25">
        <f>IF($A166="","",IF($Q166="N","",COUNTIFS($A$2:$A166,$A166,$Q$2:$Q166,"&lt;&gt;N")))</f>
        <v/>
      </c>
      <c r="M166" s="25">
        <f>IF(OR($A166="",$L166=""),"",IF(AND(config!$B$34="names_if_public",IFERROR(IF(INDEX(offices!$AF$2:$AF$61,MATCH($B166,offices!$A$2:$A$61,0))="","",INDEX(offices!$AF$2:$AF$61,MATCH($B166,offices!$A$2:$A$61,0))),"")="Y"),$K166,CHAR(64+$L166)))</f>
        <v/>
      </c>
      <c r="N166" s="25">
        <f>IF(OR($A166="",$I166=""),"",COUNTIFS(stops!$B$2:$B$151,$B166,stops!$P$2:$P$151,"&lt;"&amp;$I166,stops!$L$2:$L$151,"&lt;&gt;not_delivered")+1)</f>
        <v/>
      </c>
      <c r="O166" s="25">
        <f>IF($A166="","",IF(N($N166)&lt;=config!$B$29,"explicit","opt-out"))</f>
        <v/>
      </c>
      <c r="P166" s="25">
        <f>IF($A166="","",IF($O166="explicit",IF($D166="yes","Y",IF($D166="no","N","pending")),IF($D166="no","N",IF(AND($C166&lt;&gt;"",$I166&lt;&gt;"",$C166&lt;=WORKDAY(N($I166),-5,calendar!$A$2:$A$80)),"Y","pending"))))</f>
        <v/>
      </c>
      <c r="Q166" s="25">
        <f>IF($A166="","",IF($P166="N","N",IF($P166&lt;&gt;"Y","pending",IF(AND((COUNTIFS(stops!$A$2:$A$151,$H166,stops!$B$2:$B$151,$B166,stops!$L$2:$L$151,"declined")+COUNTIFS(stops!$A$2:$A$151,$H166,stops!$B$2:$B$151,$B166,stops!$L$2:$L$151,"building_refused")+COUNTIFS(stops!$A$2:$A$151,$H166,stops!$B$2:$B$151,$B166,stops!$L$2:$L$151,"not_delivered"))&gt;0,N($U166)=0),"N","Y"))))</f>
        <v/>
      </c>
      <c r="R166" s="25">
        <f>IF($A166="","",IF(COUNTIFS($A$2:$A$251,$A166,$B$2:$B$251,$B166)&gt;1,"DUPLICATE ROW; ","")&amp;IF(AND(IFERROR(IF(INDEX(offices!$AC$2:$AC$61,MATCH($B166,offices!$A$2:$A$61,0))="","",INDEX(offices!$AC$2:$AC$61,MATCH($B166,offices!$A$2:$A$61,0))),"")&lt;&gt;"",ISNUMBER(SEARCH($J166,IFERROR(IF(INDEX(offices!$AC$2:$AC$61,MATCH($B166,offices!$A$2:$A$61,0))="","",INDEX(offices!$AC$2:$AC$61,MATCH($B166,offices!$A$2:$A$61,0))),"")))),"BRAND VETOED; ","")&amp;IF(ISNUMBER(SEARCH(IFERROR(IF(INDEX(campaigns!$BF$2:$BF$51,MATCH($A166,campaigns!$A$2:$A$51,0))="","",INDEX(campaigns!$BF$2:$BF$51,MATCH($A166,campaigns!$A$2:$A$51,0))),""),IFERROR(IF(INDEX(offices!$AB$2:$AB$61,MATCH($B166,offices!$A$2:$A$61,0))="","",INDEX(offices!$AB$2:$AB$61,MATCH($B166,offices!$A$2:$A$61,0))),""))),"","info: category not on the office's list; ")&amp;IF(IFERROR(IF(INDEX(offices!$AC$2:$AC$61,MATCH($B166,offices!$A$2:$A$61,0))="","",INDEX(offices!$AC$2:$AC$61,MATCH($B166,offices!$A$2:$A$61,0))),"")&lt;&gt;"","info: read the vetoes against the label; ",""))</f>
        <v/>
      </c>
      <c r="S166" s="25">
        <f>IF($A166="","",IF($G166&lt;&gt;"",$G166,IFERROR(IF(INDEX(offices!$AL$2:$AL$61,MATCH($B166,offices!$A$2:$A$61,0))="","",INDEX(offices!$AL$2:$AL$61,MATCH($B166,offices!$A$2:$A$61,0))),"")))</f>
        <v/>
      </c>
      <c r="T166" s="25">
        <f>IF($A166="","",$A166&amp;"."&amp;$B166)</f>
        <v/>
      </c>
      <c r="U166" s="25">
        <f>IF($A166="","",SUMIFS(inventory!$G$2:$G$801,inventory!$C$2:$C$801,$A166,inventory!$D$2:$D$801,$B166,inventory!$E$2:$E$801,"delivered"))</f>
        <v/>
      </c>
      <c r="V166" s="32">
        <f>IF($A166="","",IFERROR(1/(1/SUMPRODUCT(MAX((inventory!$C$2:$C$801=$A166)*(inventory!$D$2:$D$801=$B166)*(inventory!$E$2:$E$801="delivered")*(inventory!$A$2:$A$801+inventory!$B$2:$B$801)))),""))</f>
        <v/>
      </c>
      <c r="W166" s="25">
        <f>IF($A166="","",IFERROR(IF(INDEX(inventory!$J$2:$J$801,MATCH($A166&amp;"|"&amp;$B166&amp;"|delivered",inventory!$R$2:$R$801,0))="","",INDEX(inventory!$J$2:$J$801,MATCH($A166&amp;"|"&amp;$B166&amp;"|delivered",inventory!$R$2:$R$801,0))),""))</f>
        <v/>
      </c>
      <c r="X166" s="25">
        <f>IF($A166="","",IFERROR(IF(INDEX(photos!$H$2:$H$701,MATCH($A166&amp;"|"&amp;$B166&amp;"|placement|Y",photos!$R$2:$R$701,0))="","",INDEX(photos!$H$2:$H$701,MATCH($A166&amp;"|"&amp;$B166&amp;"|placement|Y",photos!$R$2:$R$701,0))),""))</f>
        <v/>
      </c>
      <c r="Y166" s="26">
        <f>IF($A166="","",IFERROR(IF(INDEX(photos!$E$2:$E$701,MATCH($A166&amp;"|"&amp;$B166&amp;"|placement|Y",photos!$R$2:$R$701,0))="","",INDEX(photos!$E$2:$E$701,MATCH($A166&amp;"|"&amp;$B166&amp;"|placement|Y",photos!$R$2:$R$701,0))),""))</f>
        <v/>
      </c>
      <c r="Z166" s="25">
        <f>IF($A166="","",IF(COUNTIFS(counts!$C$2:$C$701,$A166,counts!$D$2:$D$701,$B166,counts!$E$2:$E$701,"placed")=0,"",SUMIFS(counts!$F$2:$F$701,counts!$C$2:$C$701,$A166,counts!$D$2:$D$701,$B166,counts!$E$2:$E$701,"placed")))</f>
        <v/>
      </c>
      <c r="AA166" s="25">
        <f>IF($A166="","",IF($Y166="",0,N($Z166)))</f>
        <v/>
      </c>
      <c r="AB166" s="25">
        <f>IF($A166="","",IF(OR($Y166="",$I166=""),"N",IF($Y166&lt;=WORKDAY(N($I166),1,calendar!$A$2:$A$80),"Y","N")))</f>
        <v/>
      </c>
      <c r="AC166" s="28">
        <f>IF(OR($A166="",$V166="",$Y166=""),"",ROUND(($Y166+N(IFERROR(IF(INDEX(photos!$F$2:$F$701,MATCH($A166&amp;"|"&amp;$B166&amp;"|placement|Y",photos!$R$2:$R$701,0))="","",INDEX(photos!$F$2:$F$701,MATCH($A166&amp;"|"&amp;$B166&amp;"|placement|Y",photos!$R$2:$R$701,0))),""))-$V166)*24,1))</f>
        <v/>
      </c>
      <c r="AD166" s="25">
        <f>IF($A166="","",SUMIFS(inventory!$G$2:$G$801,inventory!$C$2:$C$801,$A166,inventory!$D$2:$D$801,$B166,inventory!$E$2:$E$801,"topped_up"))</f>
        <v/>
      </c>
      <c r="AE166" s="25">
        <f>IF($A166="","",IF(COUNTIFS(counts!$C$2:$C$701,$A166,counts!$D$2:$D$701,$B166,counts!$E$2:$E$701,"remaining_day3")=0,"",SUMIFS(counts!$F$2:$F$701,counts!$C$2:$C$701,$A166,counts!$D$2:$D$701,$B166,counts!$E$2:$E$701,"remaining_day3")))</f>
        <v/>
      </c>
      <c r="AF166" s="25">
        <f>IF($A166="","",IF(COUNTIFS(counts!$C$2:$C$701,$A166,counts!$D$2:$D$701,$B166,counts!$E$2:$E$701,"remaining_day5")=0,"",SUMIFS(counts!$F$2:$F$701,counts!$C$2:$C$701,$A166,counts!$D$2:$D$701,$B166,counts!$E$2:$E$701,"remaining_day5")))</f>
        <v/>
      </c>
      <c r="AG166" s="25">
        <f>IF(OR($A166="",$AF166=""),"",MAX(0,$AA166+$AD166-$AF166))</f>
        <v/>
      </c>
      <c r="AH166" s="25">
        <f>IF(OR($A166="",$AI166=""),"",IFERROR(IF(INDEX(photos!$H$2:$H$701,MATCH($A166&amp;"|"&amp;$B166&amp;"|later|Y|"&amp;$AI166,photos!$S$2:$S$701,0))="","",INDEX(photos!$H$2:$H$701,MATCH($A166&amp;"|"&amp;$B166&amp;"|later|Y|"&amp;$AI166,photos!$S$2:$S$701,0))),""))</f>
        <v/>
      </c>
      <c r="AI166" s="26">
        <f>IF($A166="","",IFERROR(1/(1/SUMPRODUCT(MAX((photos!$B$2:$B$701=$A166)*(photos!$C$2:$C$701=$B166)*(photos!$D$2:$D$701="later")*(photos!$O$2:$O$701="Y")*photos!$E$2:$E$701))),""))</f>
        <v/>
      </c>
      <c r="AJ166" s="25">
        <f>IF(OR($A166="",$AI166="",$I166=""),"",NETWORKDAYS($I166,$AI166,calendar!$A$2:$A$80))</f>
        <v/>
      </c>
      <c r="AK166" s="25">
        <f>IF($A166="","",IF(AND($X166&lt;&gt;"",$AH166&lt;&gt;""),"Y","N"))</f>
        <v/>
      </c>
      <c r="AL166" s="25">
        <f>IF(OR($A166="",$I166=""),"",IF($BC166="Y",SUMIFS(survey_frozen!$C$2:$C$251,survey_frozen!$P$2:$P$251,$A166&amp;"|"&amp;$B166),IFERROR(COUNTIFS(INDIRECT("'"&amp;$A166&amp;"'!$B$2:$B$501"),$T166,INDIRECT("'"&amp;$A166&amp;"'!$A$2:$A$501"),"&gt;="&amp;$I166,INDIRECT("'"&amp;$A166&amp;"'!$A$2:$A$501"),"&lt;"&amp;($BA166+1)),0)))</f>
        <v/>
      </c>
      <c r="AM166" s="25">
        <f>IF(OR($A166="",$I166=""),"",IF($BC166="Y",SUMIFS(survey_frozen!$D$2:$D$251,survey_frozen!$P$2:$P$251,$A166&amp;"|"&amp;$B166),IFERROR(COUNTIFS(INDIRECT("'"&amp;$A166&amp;"'!$B$2:$B$501"),$T166,INDIRECT("'"&amp;$A166&amp;"'!$A$2:$A$501"),"&gt;="&amp;$I166,INDIRECT("'"&amp;$A166&amp;"'!$A$2:$A$501"),"&lt;"&amp;($BA166+1),INDIRECT("'"&amp;$A166&amp;"'!$C$2:$C$501"),"Yes"),0)))</f>
        <v/>
      </c>
      <c r="AN166" s="25">
        <f>IF($A166="","",IF(COUNTIFS(scans!$C$2:$C$1601,(IF(LEFT($A166,7)="SAMPLE-","SAMPLE-","")&amp;LOWER(SUBSTITUTE(SUBSTITUTE($A166,"SAMPLE-",""),"CMP-","c"))&amp;"-"&amp;LOWER(SUBSTITUTE(SUBSTITUTE($B166,"SAMPLE-",""),"O-","o"))&amp;"-q"),scans!$D$2:$D$1601,"close")=0,"",SUMPRODUCT(MAX((scans!$C$2:$C$1601=(IF(LEFT($A166,7)="SAMPLE-","SAMPLE-","")&amp;LOWER(SUBSTITUTE(SUBSTITUTE($A166,"SAMPLE-",""),"CMP-","c"))&amp;"-"&amp;LOWER(SUBSTITUTE(SUBSTITUTE($B166,"SAMPLE-",""),"O-","o"))&amp;"-q"))*(scans!$D$2:$D$1601="close")*scans!$E$2:$E$1601))-SUMPRODUCT(MAX((scans!$C$2:$C$1601=(IF(LEFT($A166,7)="SAMPLE-","SAMPLE-","")&amp;LOWER(SUBSTITUTE(SUBSTITUTE($A166,"SAMPLE-",""),"CMP-","c"))&amp;"-"&amp;LOWER(SUBSTITUTE(SUBSTITUTE($B166,"SAMPLE-",""),"O-","o"))&amp;"-q"))*(scans!$D$2:$D$1601="baseline")*scans!$E$2:$E$1601))))</f>
        <v/>
      </c>
      <c r="AO166" s="25">
        <f>IF($A166="","",IF(COUNTIFS(scans!$C$2:$C$1601,(IF(LEFT($A166,7)="SAMPLE-","SAMPLE-","")&amp;LOWER(SUBSTITUTE(SUBSTITUTE($A166,"SAMPLE-",""),"CMP-","c"))&amp;"-"&amp;LOWER(SUBSTITUTE(SUBSTITUTE($B166,"SAMPLE-",""),"O-","o"))&amp;"-p"),scans!$D$2:$D$1601,"close")=0,"",SUMPRODUCT(MAX((scans!$C$2:$C$1601=(IF(LEFT($A166,7)="SAMPLE-","SAMPLE-","")&amp;LOWER(SUBSTITUTE(SUBSTITUTE($A166,"SAMPLE-",""),"CMP-","c"))&amp;"-"&amp;LOWER(SUBSTITUTE(SUBSTITUTE($B166,"SAMPLE-",""),"O-","o"))&amp;"-p"))*(scans!$D$2:$D$1601="close")*scans!$E$2:$E$1601))-SUMPRODUCT(MAX((scans!$C$2:$C$1601=(IF(LEFT($A166,7)="SAMPLE-","SAMPLE-","")&amp;LOWER(SUBSTITUTE(SUBSTITUTE($A166,"SAMPLE-",""),"CMP-","c"))&amp;"-"&amp;LOWER(SUBSTITUTE(SUBSTITUTE($B166,"SAMPLE-",""),"O-","o"))&amp;"-p"))*(scans!$D$2:$D$1601="baseline")*scans!$E$2:$E$1601))))</f>
        <v/>
      </c>
      <c r="AP166" s="25">
        <f>IF($A166="","",IF(COUNTIF(offices!$A$2:$A$61,$B166)=0,"office_id not on offices; ","")&amp;IF(COUNTIF(campaigns!$A$2:$A$51,$A166)=0,"campaign_id not on campaigns; ","")&amp;IF($P166="pending","approval pending; ","")&amp;IF(AND($U166&gt;0,$Y166="",OR($I166="",IF(config!$B$37&lt;&gt;"",config!$B$37,TODAY())&lt;=WORKDAY(N($I166),4,calendar!$A$2:$A$80))),"no usable placement photo yet; ","")&amp;IF(AND($Y166&lt;&gt;"",$Z166=""),"log the placed count; ","")&amp;IF(N($AA166)&gt;N($U166),"placed more than delivered; ","")&amp;IF(AND($AF166&lt;&gt;"",N($AF166)&gt;N($AA166)+N($AD166)),"day-5 count above placed plus top-ups; ","")&amp;IF(AND($U166&gt;0,$I166&lt;&gt;"",IF(config!$B$37&lt;&gt;"",config!$B$37,TODAY())&gt;WORKDAY(N($I166),4,calendar!$A$2:$A$80),$AF166=""),"day-5 count missing; ","")&amp;IF(AND($U166&gt;0,$I166&lt;&gt;"",IF(config!$B$37&lt;&gt;"",config!$B$37,TODAY())&gt;WORKDAY(N($I166),4,calendar!$A$2:$A$80),$AN166=""),"no close link reading; ","")&amp;$R166&amp;IF($P166="N","info: office said no; ","")&amp;IF(AND($P166="Y",$Q166="N"),"info: turned away at the door, so not on the drop (no letter, not in the report or Gate 2; the credit check is on campaigns); ","")&amp;IF(AND($U166&gt;0,$Y166="",$I166&lt;&gt;"",IF(config!$B$37&lt;&gt;"",config!$B$37,TODAY())&gt;WORKDAY(N($I166),4,calendar!$A$2:$A$80)),"info: no usable placement photo, so nothing counts as placed; ","")&amp;IF(AND($U166&gt;0,$I166&lt;&gt;"",IF(config!$B$37&lt;&gt;"",config!$B$37,TODAY())&gt;WORKDAY(N($I166),4,calendar!$A$2:$A$80),N($AL166)&lt;config!$B$30),"info: under "&amp;config!$B$30&amp;" responses; ","")&amp;IF($W166="packing_list","info: delivered count not verified; ",""))</f>
        <v/>
      </c>
      <c r="AQ166" s="25">
        <f>IF(OR($A166="",$I166=""),"",IF($BC166="Y",SUMIFS(survey_frozen!$E$2:$E$251,survey_frozen!$P$2:$P$251,$A166&amp;"|"&amp;$B166),IFERROR(COUNTIFS(INDIRECT("'"&amp;$A166&amp;"'!$B$2:$B$501"),$T166,INDIRECT("'"&amp;$A166&amp;"'!$A$2:$A$501"),"&gt;="&amp;$I166,INDIRECT("'"&amp;$A166&amp;"'!$A$2:$A$501"),"&lt;"&amp;($BA166+1),INDIRECT("'"&amp;$A166&amp;"'!$F$2:$F$501"),"Didn't see it"),0)))</f>
        <v/>
      </c>
      <c r="AR166" s="25">
        <f>IF(OR($A166="",$I166=""),"",IF($BC166="Y",SUMIFS(survey_frozen!$F$2:$F$251,survey_frozen!$P$2:$P$251,$A166&amp;"|"&amp;$B166),IFERROR(COUNTIFS(INDIRECT("'"&amp;$A166&amp;"'!$B$2:$B$501"),$T166,INDIRECT("'"&amp;$A166&amp;"'!$A$2:$A$501"),"&gt;="&amp;$I166,INDIRECT("'"&amp;$A166&amp;"'!$A$2:$A$501"),"&lt;"&amp;($BA166+1),INDIRECT("'"&amp;$A166&amp;"'!$F$2:$F$501"),"Not for me"),0)))</f>
        <v/>
      </c>
      <c r="AS166" s="25">
        <f>IF(OR($A166="",$I166=""),"",IF($BC166="Y",SUMIFS(survey_frozen!$G$2:$G$251,survey_frozen!$P$2:$P$251,$A166&amp;"|"&amp;$B166),IFERROR(COUNTIFS(INDIRECT("'"&amp;$A166&amp;"'!$B$2:$B$501"),$T166,INDIRECT("'"&amp;$A166&amp;"'!$A$2:$A$501"),"&gt;="&amp;$I166,INDIRECT("'"&amp;$A166&amp;"'!$A$2:$A$501"),"&lt;"&amp;($BA166+1),INDIRECT("'"&amp;$A166&amp;"'!$F$2:$F$501"),"Gone by the time I looked"),0)))</f>
        <v/>
      </c>
      <c r="AT166" s="25">
        <f>IF(OR($A166="",$I166=""),"",IF($BC166="Y",SUMIFS(survey_frozen!$H$2:$H$251,survey_frozen!$P$2:$P$251,$A166&amp;"|"&amp;$B166),IFERROR(COUNTIFS(INDIRECT("'"&amp;$A166&amp;"'!$B$2:$B$501"),$T166,INDIRECT("'"&amp;$A166&amp;"'!$A$2:$A$501"),"&gt;="&amp;$I166,INDIRECT("'"&amp;$A166&amp;"'!$A$2:$A$501"),"&lt;"&amp;($BA166+1),INDIRECT("'"&amp;$A166&amp;"'!$D$2:$D$501"),"&gt;=1"),0)))</f>
        <v/>
      </c>
      <c r="AU166" s="25">
        <f>IF(OR($A166="",$I166=""),"",IF($BC166="Y",SUMIFS(survey_frozen!$I$2:$I$251,survey_frozen!$P$2:$P$251,$A166&amp;"|"&amp;$B166),IFERROR(SUMIFS(INDIRECT("'"&amp;$A166&amp;"'!$D$2:$D$501"),INDIRECT("'"&amp;$A166&amp;"'!$B$2:$B$501"),$T166,INDIRECT("'"&amp;$A166&amp;"'!$A$2:$A$501"),"&gt;="&amp;$I166,INDIRECT("'"&amp;$A166&amp;"'!$A$2:$A$501"),"&lt;"&amp;($BA166+1)),0)))</f>
        <v/>
      </c>
      <c r="AV166" s="25">
        <f>IF(OR($A166="",$I166=""),"",IF($BC166="Y",SUMIFS(survey_frozen!$J$2:$J$251,survey_frozen!$P$2:$P$251,$A166&amp;"|"&amp;$B166),IFERROR(COUNTIFS(INDIRECT("'"&amp;$A166&amp;"'!$B$2:$B$501"),$T166,INDIRECT("'"&amp;$A166&amp;"'!$A$2:$A$501"),"&gt;="&amp;$I166,INDIRECT("'"&amp;$A166&amp;"'!$A$2:$A$501"),"&lt;"&amp;($BA166+1),INDIRECT("'"&amp;$A166&amp;"'!$E$2:$E$501"),"Yes"),0)))</f>
        <v/>
      </c>
      <c r="AW166" s="25">
        <f>IF(OR($A166="",$I166=""),"",IF($BC166="Y",SUMIFS(survey_frozen!$K$2:$K$251,survey_frozen!$P$2:$P$251,$A166&amp;"|"&amp;$B166),IFERROR(COUNTIFS(INDIRECT("'"&amp;$A166&amp;"'!$B$2:$B$501"),$T166,INDIRECT("'"&amp;$A166&amp;"'!$A$2:$A$501"),"&gt;="&amp;$I166,INDIRECT("'"&amp;$A166&amp;"'!$A$2:$A$501"),"&lt;"&amp;($BA166+1),INDIRECT("'"&amp;$A166&amp;"'!$E$2:$E$501"),"Maybe"),0)))</f>
        <v/>
      </c>
      <c r="AX166" s="25">
        <f>IF(OR($A166="",$I166=""),"",IF($BC166="Y",SUMIFS(survey_frozen!$L$2:$L$251,survey_frozen!$P$2:$P$251,$A166&amp;"|"&amp;$B166),IFERROR(COUNTIFS(INDIRECT("'"&amp;$A166&amp;"'!$B$2:$B$501"),$T166,INDIRECT("'"&amp;$A166&amp;"'!$A$2:$A$501"),"&gt;="&amp;$I166,INDIRECT("'"&amp;$A166&amp;"'!$A$2:$A$501"),"&lt;"&amp;($BA166+1),INDIRECT("'"&amp;$A166&amp;"'!$E$2:$E$501"),"No"),0)))</f>
        <v/>
      </c>
      <c r="AY166" s="25">
        <f>IF(OR($A166="",$I166=""),"",IF($BC166="Y",SUMIFS(survey_frozen!$M$2:$M$251,survey_frozen!$P$2:$P$251,$A166&amp;"|"&amp;$B166),IFERROR(COUNTIFS(INDIRECT("'"&amp;$A166&amp;"'!$B$2:$B$501"),$T166,INDIRECT("'"&amp;$A166&amp;"'!$A$2:$A$501"),"&gt;="&amp;$I166,INDIRECT("'"&amp;$A166&amp;"'!$A$2:$A$501"),"&lt;"&amp;($BA166+1),INDIRECT("'"&amp;$A166&amp;"'!$G$2:$G$501"),"&lt;&gt;"),0)))</f>
        <v/>
      </c>
      <c r="AZ166" s="25">
        <f>IF($A166="","",$A166&amp;"|"&amp;$L166)</f>
        <v/>
      </c>
      <c r="BA166" s="26">
        <f>IF($A166="","",IFERROR(IF(INDEX(drops!$R$2:$R$21,MATCH($H166,drops!$A$2:$A$21,0))="","",INDEX(drops!$R$2:$R$21,MATCH($H166,drops!$A$2:$A$21,0))),""))</f>
        <v/>
      </c>
      <c r="BB166" s="25">
        <f>IF(OR($A166="",$Q166&lt;&gt;"Y"),1000000,N($AL166))</f>
        <v/>
      </c>
      <c r="BC166" s="25">
        <f>IF($A166="","",IF(COUNTIF(survey_frozen!$P$2:$P$251,$A166&amp;"|"&amp;$B166)&gt;0,"Y",""))</f>
        <v/>
      </c>
    </row>
    <row r="167">
      <c r="C167" s="9" t="n"/>
      <c r="E167" s="9" t="n"/>
      <c r="H167" s="25">
        <f>IF($A167="","",IFERROR(IF(INDEX(campaigns!$B$2:$B$51,MATCH($A167,campaigns!$A$2:$A$51,0))="","",INDEX(campaigns!$B$2:$B$51,MATCH($A167,campaigns!$A$2:$A$51,0))),""))</f>
        <v/>
      </c>
      <c r="I167" s="26">
        <f>IF($A167="","",IFERROR(IF(INDEX(campaigns!$BG$2:$BG$51,MATCH($A167,campaigns!$A$2:$A$51,0))="","",INDEX(campaigns!$BG$2:$BG$51,MATCH($A167,campaigns!$A$2:$A$51,0))),""))</f>
        <v/>
      </c>
      <c r="J167" s="25">
        <f>IF($A167="","",IFERROR(IF(INDEX(campaigns!$BE$2:$BE$51,MATCH($A167,campaigns!$A$2:$A$51,0))="","",INDEX(campaigns!$BE$2:$BE$51,MATCH($A167,campaigns!$A$2:$A$51,0))),""))</f>
        <v/>
      </c>
      <c r="K167" s="25">
        <f>IF($B167="","",IFERROR(IF(INDEX(offices!$N$2:$N$61,MATCH($B167,offices!$A$2:$A$61,0))="","",INDEX(offices!$N$2:$N$61,MATCH($B167,offices!$A$2:$A$61,0))),""))</f>
        <v/>
      </c>
      <c r="L167" s="25">
        <f>IF($A167="","",IF($Q167="N","",COUNTIFS($A$2:$A167,$A167,$Q$2:$Q167,"&lt;&gt;N")))</f>
        <v/>
      </c>
      <c r="M167" s="25">
        <f>IF(OR($A167="",$L167=""),"",IF(AND(config!$B$34="names_if_public",IFERROR(IF(INDEX(offices!$AF$2:$AF$61,MATCH($B167,offices!$A$2:$A$61,0))="","",INDEX(offices!$AF$2:$AF$61,MATCH($B167,offices!$A$2:$A$61,0))),"")="Y"),$K167,CHAR(64+$L167)))</f>
        <v/>
      </c>
      <c r="N167" s="25">
        <f>IF(OR($A167="",$I167=""),"",COUNTIFS(stops!$B$2:$B$151,$B167,stops!$P$2:$P$151,"&lt;"&amp;$I167,stops!$L$2:$L$151,"&lt;&gt;not_delivered")+1)</f>
        <v/>
      </c>
      <c r="O167" s="25">
        <f>IF($A167="","",IF(N($N167)&lt;=config!$B$29,"explicit","opt-out"))</f>
        <v/>
      </c>
      <c r="P167" s="25">
        <f>IF($A167="","",IF($O167="explicit",IF($D167="yes","Y",IF($D167="no","N","pending")),IF($D167="no","N",IF(AND($C167&lt;&gt;"",$I167&lt;&gt;"",$C167&lt;=WORKDAY(N($I167),-5,calendar!$A$2:$A$80)),"Y","pending"))))</f>
        <v/>
      </c>
      <c r="Q167" s="25">
        <f>IF($A167="","",IF($P167="N","N",IF($P167&lt;&gt;"Y","pending",IF(AND((COUNTIFS(stops!$A$2:$A$151,$H167,stops!$B$2:$B$151,$B167,stops!$L$2:$L$151,"declined")+COUNTIFS(stops!$A$2:$A$151,$H167,stops!$B$2:$B$151,$B167,stops!$L$2:$L$151,"building_refused")+COUNTIFS(stops!$A$2:$A$151,$H167,stops!$B$2:$B$151,$B167,stops!$L$2:$L$151,"not_delivered"))&gt;0,N($U167)=0),"N","Y"))))</f>
        <v/>
      </c>
      <c r="R167" s="25">
        <f>IF($A167="","",IF(COUNTIFS($A$2:$A$251,$A167,$B$2:$B$251,$B167)&gt;1,"DUPLICATE ROW; ","")&amp;IF(AND(IFERROR(IF(INDEX(offices!$AC$2:$AC$61,MATCH($B167,offices!$A$2:$A$61,0))="","",INDEX(offices!$AC$2:$AC$61,MATCH($B167,offices!$A$2:$A$61,0))),"")&lt;&gt;"",ISNUMBER(SEARCH($J167,IFERROR(IF(INDEX(offices!$AC$2:$AC$61,MATCH($B167,offices!$A$2:$A$61,0))="","",INDEX(offices!$AC$2:$AC$61,MATCH($B167,offices!$A$2:$A$61,0))),"")))),"BRAND VETOED; ","")&amp;IF(ISNUMBER(SEARCH(IFERROR(IF(INDEX(campaigns!$BF$2:$BF$51,MATCH($A167,campaigns!$A$2:$A$51,0))="","",INDEX(campaigns!$BF$2:$BF$51,MATCH($A167,campaigns!$A$2:$A$51,0))),""),IFERROR(IF(INDEX(offices!$AB$2:$AB$61,MATCH($B167,offices!$A$2:$A$61,0))="","",INDEX(offices!$AB$2:$AB$61,MATCH($B167,offices!$A$2:$A$61,0))),""))),"","info: category not on the office's list; ")&amp;IF(IFERROR(IF(INDEX(offices!$AC$2:$AC$61,MATCH($B167,offices!$A$2:$A$61,0))="","",INDEX(offices!$AC$2:$AC$61,MATCH($B167,offices!$A$2:$A$61,0))),"")&lt;&gt;"","info: read the vetoes against the label; ",""))</f>
        <v/>
      </c>
      <c r="S167" s="25">
        <f>IF($A167="","",IF($G167&lt;&gt;"",$G167,IFERROR(IF(INDEX(offices!$AL$2:$AL$61,MATCH($B167,offices!$A$2:$A$61,0))="","",INDEX(offices!$AL$2:$AL$61,MATCH($B167,offices!$A$2:$A$61,0))),"")))</f>
        <v/>
      </c>
      <c r="T167" s="25">
        <f>IF($A167="","",$A167&amp;"."&amp;$B167)</f>
        <v/>
      </c>
      <c r="U167" s="25">
        <f>IF($A167="","",SUMIFS(inventory!$G$2:$G$801,inventory!$C$2:$C$801,$A167,inventory!$D$2:$D$801,$B167,inventory!$E$2:$E$801,"delivered"))</f>
        <v/>
      </c>
      <c r="V167" s="32">
        <f>IF($A167="","",IFERROR(1/(1/SUMPRODUCT(MAX((inventory!$C$2:$C$801=$A167)*(inventory!$D$2:$D$801=$B167)*(inventory!$E$2:$E$801="delivered")*(inventory!$A$2:$A$801+inventory!$B$2:$B$801)))),""))</f>
        <v/>
      </c>
      <c r="W167" s="25">
        <f>IF($A167="","",IFERROR(IF(INDEX(inventory!$J$2:$J$801,MATCH($A167&amp;"|"&amp;$B167&amp;"|delivered",inventory!$R$2:$R$801,0))="","",INDEX(inventory!$J$2:$J$801,MATCH($A167&amp;"|"&amp;$B167&amp;"|delivered",inventory!$R$2:$R$801,0))),""))</f>
        <v/>
      </c>
      <c r="X167" s="25">
        <f>IF($A167="","",IFERROR(IF(INDEX(photos!$H$2:$H$701,MATCH($A167&amp;"|"&amp;$B167&amp;"|placement|Y",photos!$R$2:$R$701,0))="","",INDEX(photos!$H$2:$H$701,MATCH($A167&amp;"|"&amp;$B167&amp;"|placement|Y",photos!$R$2:$R$701,0))),""))</f>
        <v/>
      </c>
      <c r="Y167" s="26">
        <f>IF($A167="","",IFERROR(IF(INDEX(photos!$E$2:$E$701,MATCH($A167&amp;"|"&amp;$B167&amp;"|placement|Y",photos!$R$2:$R$701,0))="","",INDEX(photos!$E$2:$E$701,MATCH($A167&amp;"|"&amp;$B167&amp;"|placement|Y",photos!$R$2:$R$701,0))),""))</f>
        <v/>
      </c>
      <c r="Z167" s="25">
        <f>IF($A167="","",IF(COUNTIFS(counts!$C$2:$C$701,$A167,counts!$D$2:$D$701,$B167,counts!$E$2:$E$701,"placed")=0,"",SUMIFS(counts!$F$2:$F$701,counts!$C$2:$C$701,$A167,counts!$D$2:$D$701,$B167,counts!$E$2:$E$701,"placed")))</f>
        <v/>
      </c>
      <c r="AA167" s="25">
        <f>IF($A167="","",IF($Y167="",0,N($Z167)))</f>
        <v/>
      </c>
      <c r="AB167" s="25">
        <f>IF($A167="","",IF(OR($Y167="",$I167=""),"N",IF($Y167&lt;=WORKDAY(N($I167),1,calendar!$A$2:$A$80),"Y","N")))</f>
        <v/>
      </c>
      <c r="AC167" s="28">
        <f>IF(OR($A167="",$V167="",$Y167=""),"",ROUND(($Y167+N(IFERROR(IF(INDEX(photos!$F$2:$F$701,MATCH($A167&amp;"|"&amp;$B167&amp;"|placement|Y",photos!$R$2:$R$701,0))="","",INDEX(photos!$F$2:$F$701,MATCH($A167&amp;"|"&amp;$B167&amp;"|placement|Y",photos!$R$2:$R$701,0))),""))-$V167)*24,1))</f>
        <v/>
      </c>
      <c r="AD167" s="25">
        <f>IF($A167="","",SUMIFS(inventory!$G$2:$G$801,inventory!$C$2:$C$801,$A167,inventory!$D$2:$D$801,$B167,inventory!$E$2:$E$801,"topped_up"))</f>
        <v/>
      </c>
      <c r="AE167" s="25">
        <f>IF($A167="","",IF(COUNTIFS(counts!$C$2:$C$701,$A167,counts!$D$2:$D$701,$B167,counts!$E$2:$E$701,"remaining_day3")=0,"",SUMIFS(counts!$F$2:$F$701,counts!$C$2:$C$701,$A167,counts!$D$2:$D$701,$B167,counts!$E$2:$E$701,"remaining_day3")))</f>
        <v/>
      </c>
      <c r="AF167" s="25">
        <f>IF($A167="","",IF(COUNTIFS(counts!$C$2:$C$701,$A167,counts!$D$2:$D$701,$B167,counts!$E$2:$E$701,"remaining_day5")=0,"",SUMIFS(counts!$F$2:$F$701,counts!$C$2:$C$701,$A167,counts!$D$2:$D$701,$B167,counts!$E$2:$E$701,"remaining_day5")))</f>
        <v/>
      </c>
      <c r="AG167" s="25">
        <f>IF(OR($A167="",$AF167=""),"",MAX(0,$AA167+$AD167-$AF167))</f>
        <v/>
      </c>
      <c r="AH167" s="25">
        <f>IF(OR($A167="",$AI167=""),"",IFERROR(IF(INDEX(photos!$H$2:$H$701,MATCH($A167&amp;"|"&amp;$B167&amp;"|later|Y|"&amp;$AI167,photos!$S$2:$S$701,0))="","",INDEX(photos!$H$2:$H$701,MATCH($A167&amp;"|"&amp;$B167&amp;"|later|Y|"&amp;$AI167,photos!$S$2:$S$701,0))),""))</f>
        <v/>
      </c>
      <c r="AI167" s="26">
        <f>IF($A167="","",IFERROR(1/(1/SUMPRODUCT(MAX((photos!$B$2:$B$701=$A167)*(photos!$C$2:$C$701=$B167)*(photos!$D$2:$D$701="later")*(photos!$O$2:$O$701="Y")*photos!$E$2:$E$701))),""))</f>
        <v/>
      </c>
      <c r="AJ167" s="25">
        <f>IF(OR($A167="",$AI167="",$I167=""),"",NETWORKDAYS($I167,$AI167,calendar!$A$2:$A$80))</f>
        <v/>
      </c>
      <c r="AK167" s="25">
        <f>IF($A167="","",IF(AND($X167&lt;&gt;"",$AH167&lt;&gt;""),"Y","N"))</f>
        <v/>
      </c>
      <c r="AL167" s="25">
        <f>IF(OR($A167="",$I167=""),"",IF($BC167="Y",SUMIFS(survey_frozen!$C$2:$C$251,survey_frozen!$P$2:$P$251,$A167&amp;"|"&amp;$B167),IFERROR(COUNTIFS(INDIRECT("'"&amp;$A167&amp;"'!$B$2:$B$501"),$T167,INDIRECT("'"&amp;$A167&amp;"'!$A$2:$A$501"),"&gt;="&amp;$I167,INDIRECT("'"&amp;$A167&amp;"'!$A$2:$A$501"),"&lt;"&amp;($BA167+1)),0)))</f>
        <v/>
      </c>
      <c r="AM167" s="25">
        <f>IF(OR($A167="",$I167=""),"",IF($BC167="Y",SUMIFS(survey_frozen!$D$2:$D$251,survey_frozen!$P$2:$P$251,$A167&amp;"|"&amp;$B167),IFERROR(COUNTIFS(INDIRECT("'"&amp;$A167&amp;"'!$B$2:$B$501"),$T167,INDIRECT("'"&amp;$A167&amp;"'!$A$2:$A$501"),"&gt;="&amp;$I167,INDIRECT("'"&amp;$A167&amp;"'!$A$2:$A$501"),"&lt;"&amp;($BA167+1),INDIRECT("'"&amp;$A167&amp;"'!$C$2:$C$501"),"Yes"),0)))</f>
        <v/>
      </c>
      <c r="AN167" s="25">
        <f>IF($A167="","",IF(COUNTIFS(scans!$C$2:$C$1601,(IF(LEFT($A167,7)="SAMPLE-","SAMPLE-","")&amp;LOWER(SUBSTITUTE(SUBSTITUTE($A167,"SAMPLE-",""),"CMP-","c"))&amp;"-"&amp;LOWER(SUBSTITUTE(SUBSTITUTE($B167,"SAMPLE-",""),"O-","o"))&amp;"-q"),scans!$D$2:$D$1601,"close")=0,"",SUMPRODUCT(MAX((scans!$C$2:$C$1601=(IF(LEFT($A167,7)="SAMPLE-","SAMPLE-","")&amp;LOWER(SUBSTITUTE(SUBSTITUTE($A167,"SAMPLE-",""),"CMP-","c"))&amp;"-"&amp;LOWER(SUBSTITUTE(SUBSTITUTE($B167,"SAMPLE-",""),"O-","o"))&amp;"-q"))*(scans!$D$2:$D$1601="close")*scans!$E$2:$E$1601))-SUMPRODUCT(MAX((scans!$C$2:$C$1601=(IF(LEFT($A167,7)="SAMPLE-","SAMPLE-","")&amp;LOWER(SUBSTITUTE(SUBSTITUTE($A167,"SAMPLE-",""),"CMP-","c"))&amp;"-"&amp;LOWER(SUBSTITUTE(SUBSTITUTE($B167,"SAMPLE-",""),"O-","o"))&amp;"-q"))*(scans!$D$2:$D$1601="baseline")*scans!$E$2:$E$1601))))</f>
        <v/>
      </c>
      <c r="AO167" s="25">
        <f>IF($A167="","",IF(COUNTIFS(scans!$C$2:$C$1601,(IF(LEFT($A167,7)="SAMPLE-","SAMPLE-","")&amp;LOWER(SUBSTITUTE(SUBSTITUTE($A167,"SAMPLE-",""),"CMP-","c"))&amp;"-"&amp;LOWER(SUBSTITUTE(SUBSTITUTE($B167,"SAMPLE-",""),"O-","o"))&amp;"-p"),scans!$D$2:$D$1601,"close")=0,"",SUMPRODUCT(MAX((scans!$C$2:$C$1601=(IF(LEFT($A167,7)="SAMPLE-","SAMPLE-","")&amp;LOWER(SUBSTITUTE(SUBSTITUTE($A167,"SAMPLE-",""),"CMP-","c"))&amp;"-"&amp;LOWER(SUBSTITUTE(SUBSTITUTE($B167,"SAMPLE-",""),"O-","o"))&amp;"-p"))*(scans!$D$2:$D$1601="close")*scans!$E$2:$E$1601))-SUMPRODUCT(MAX((scans!$C$2:$C$1601=(IF(LEFT($A167,7)="SAMPLE-","SAMPLE-","")&amp;LOWER(SUBSTITUTE(SUBSTITUTE($A167,"SAMPLE-",""),"CMP-","c"))&amp;"-"&amp;LOWER(SUBSTITUTE(SUBSTITUTE($B167,"SAMPLE-",""),"O-","o"))&amp;"-p"))*(scans!$D$2:$D$1601="baseline")*scans!$E$2:$E$1601))))</f>
        <v/>
      </c>
      <c r="AP167" s="25">
        <f>IF($A167="","",IF(COUNTIF(offices!$A$2:$A$61,$B167)=0,"office_id not on offices; ","")&amp;IF(COUNTIF(campaigns!$A$2:$A$51,$A167)=0,"campaign_id not on campaigns; ","")&amp;IF($P167="pending","approval pending; ","")&amp;IF(AND($U167&gt;0,$Y167="",OR($I167="",IF(config!$B$37&lt;&gt;"",config!$B$37,TODAY())&lt;=WORKDAY(N($I167),4,calendar!$A$2:$A$80))),"no usable placement photo yet; ","")&amp;IF(AND($Y167&lt;&gt;"",$Z167=""),"log the placed count; ","")&amp;IF(N($AA167)&gt;N($U167),"placed more than delivered; ","")&amp;IF(AND($AF167&lt;&gt;"",N($AF167)&gt;N($AA167)+N($AD167)),"day-5 count above placed plus top-ups; ","")&amp;IF(AND($U167&gt;0,$I167&lt;&gt;"",IF(config!$B$37&lt;&gt;"",config!$B$37,TODAY())&gt;WORKDAY(N($I167),4,calendar!$A$2:$A$80),$AF167=""),"day-5 count missing; ","")&amp;IF(AND($U167&gt;0,$I167&lt;&gt;"",IF(config!$B$37&lt;&gt;"",config!$B$37,TODAY())&gt;WORKDAY(N($I167),4,calendar!$A$2:$A$80),$AN167=""),"no close link reading; ","")&amp;$R167&amp;IF($P167="N","info: office said no; ","")&amp;IF(AND($P167="Y",$Q167="N"),"info: turned away at the door, so not on the drop (no letter, not in the report or Gate 2; the credit check is on campaigns); ","")&amp;IF(AND($U167&gt;0,$Y167="",$I167&lt;&gt;"",IF(config!$B$37&lt;&gt;"",config!$B$37,TODAY())&gt;WORKDAY(N($I167),4,calendar!$A$2:$A$80)),"info: no usable placement photo, so nothing counts as placed; ","")&amp;IF(AND($U167&gt;0,$I167&lt;&gt;"",IF(config!$B$37&lt;&gt;"",config!$B$37,TODAY())&gt;WORKDAY(N($I167),4,calendar!$A$2:$A$80),N($AL167)&lt;config!$B$30),"info: under "&amp;config!$B$30&amp;" responses; ","")&amp;IF($W167="packing_list","info: delivered count not verified; ",""))</f>
        <v/>
      </c>
      <c r="AQ167" s="25">
        <f>IF(OR($A167="",$I167=""),"",IF($BC167="Y",SUMIFS(survey_frozen!$E$2:$E$251,survey_frozen!$P$2:$P$251,$A167&amp;"|"&amp;$B167),IFERROR(COUNTIFS(INDIRECT("'"&amp;$A167&amp;"'!$B$2:$B$501"),$T167,INDIRECT("'"&amp;$A167&amp;"'!$A$2:$A$501"),"&gt;="&amp;$I167,INDIRECT("'"&amp;$A167&amp;"'!$A$2:$A$501"),"&lt;"&amp;($BA167+1),INDIRECT("'"&amp;$A167&amp;"'!$F$2:$F$501"),"Didn't see it"),0)))</f>
        <v/>
      </c>
      <c r="AR167" s="25">
        <f>IF(OR($A167="",$I167=""),"",IF($BC167="Y",SUMIFS(survey_frozen!$F$2:$F$251,survey_frozen!$P$2:$P$251,$A167&amp;"|"&amp;$B167),IFERROR(COUNTIFS(INDIRECT("'"&amp;$A167&amp;"'!$B$2:$B$501"),$T167,INDIRECT("'"&amp;$A167&amp;"'!$A$2:$A$501"),"&gt;="&amp;$I167,INDIRECT("'"&amp;$A167&amp;"'!$A$2:$A$501"),"&lt;"&amp;($BA167+1),INDIRECT("'"&amp;$A167&amp;"'!$F$2:$F$501"),"Not for me"),0)))</f>
        <v/>
      </c>
      <c r="AS167" s="25">
        <f>IF(OR($A167="",$I167=""),"",IF($BC167="Y",SUMIFS(survey_frozen!$G$2:$G$251,survey_frozen!$P$2:$P$251,$A167&amp;"|"&amp;$B167),IFERROR(COUNTIFS(INDIRECT("'"&amp;$A167&amp;"'!$B$2:$B$501"),$T167,INDIRECT("'"&amp;$A167&amp;"'!$A$2:$A$501"),"&gt;="&amp;$I167,INDIRECT("'"&amp;$A167&amp;"'!$A$2:$A$501"),"&lt;"&amp;($BA167+1),INDIRECT("'"&amp;$A167&amp;"'!$F$2:$F$501"),"Gone by the time I looked"),0)))</f>
        <v/>
      </c>
      <c r="AT167" s="25">
        <f>IF(OR($A167="",$I167=""),"",IF($BC167="Y",SUMIFS(survey_frozen!$H$2:$H$251,survey_frozen!$P$2:$P$251,$A167&amp;"|"&amp;$B167),IFERROR(COUNTIFS(INDIRECT("'"&amp;$A167&amp;"'!$B$2:$B$501"),$T167,INDIRECT("'"&amp;$A167&amp;"'!$A$2:$A$501"),"&gt;="&amp;$I167,INDIRECT("'"&amp;$A167&amp;"'!$A$2:$A$501"),"&lt;"&amp;($BA167+1),INDIRECT("'"&amp;$A167&amp;"'!$D$2:$D$501"),"&gt;=1"),0)))</f>
        <v/>
      </c>
      <c r="AU167" s="25">
        <f>IF(OR($A167="",$I167=""),"",IF($BC167="Y",SUMIFS(survey_frozen!$I$2:$I$251,survey_frozen!$P$2:$P$251,$A167&amp;"|"&amp;$B167),IFERROR(SUMIFS(INDIRECT("'"&amp;$A167&amp;"'!$D$2:$D$501"),INDIRECT("'"&amp;$A167&amp;"'!$B$2:$B$501"),$T167,INDIRECT("'"&amp;$A167&amp;"'!$A$2:$A$501"),"&gt;="&amp;$I167,INDIRECT("'"&amp;$A167&amp;"'!$A$2:$A$501"),"&lt;"&amp;($BA167+1)),0)))</f>
        <v/>
      </c>
      <c r="AV167" s="25">
        <f>IF(OR($A167="",$I167=""),"",IF($BC167="Y",SUMIFS(survey_frozen!$J$2:$J$251,survey_frozen!$P$2:$P$251,$A167&amp;"|"&amp;$B167),IFERROR(COUNTIFS(INDIRECT("'"&amp;$A167&amp;"'!$B$2:$B$501"),$T167,INDIRECT("'"&amp;$A167&amp;"'!$A$2:$A$501"),"&gt;="&amp;$I167,INDIRECT("'"&amp;$A167&amp;"'!$A$2:$A$501"),"&lt;"&amp;($BA167+1),INDIRECT("'"&amp;$A167&amp;"'!$E$2:$E$501"),"Yes"),0)))</f>
        <v/>
      </c>
      <c r="AW167" s="25">
        <f>IF(OR($A167="",$I167=""),"",IF($BC167="Y",SUMIFS(survey_frozen!$K$2:$K$251,survey_frozen!$P$2:$P$251,$A167&amp;"|"&amp;$B167),IFERROR(COUNTIFS(INDIRECT("'"&amp;$A167&amp;"'!$B$2:$B$501"),$T167,INDIRECT("'"&amp;$A167&amp;"'!$A$2:$A$501"),"&gt;="&amp;$I167,INDIRECT("'"&amp;$A167&amp;"'!$A$2:$A$501"),"&lt;"&amp;($BA167+1),INDIRECT("'"&amp;$A167&amp;"'!$E$2:$E$501"),"Maybe"),0)))</f>
        <v/>
      </c>
      <c r="AX167" s="25">
        <f>IF(OR($A167="",$I167=""),"",IF($BC167="Y",SUMIFS(survey_frozen!$L$2:$L$251,survey_frozen!$P$2:$P$251,$A167&amp;"|"&amp;$B167),IFERROR(COUNTIFS(INDIRECT("'"&amp;$A167&amp;"'!$B$2:$B$501"),$T167,INDIRECT("'"&amp;$A167&amp;"'!$A$2:$A$501"),"&gt;="&amp;$I167,INDIRECT("'"&amp;$A167&amp;"'!$A$2:$A$501"),"&lt;"&amp;($BA167+1),INDIRECT("'"&amp;$A167&amp;"'!$E$2:$E$501"),"No"),0)))</f>
        <v/>
      </c>
      <c r="AY167" s="25">
        <f>IF(OR($A167="",$I167=""),"",IF($BC167="Y",SUMIFS(survey_frozen!$M$2:$M$251,survey_frozen!$P$2:$P$251,$A167&amp;"|"&amp;$B167),IFERROR(COUNTIFS(INDIRECT("'"&amp;$A167&amp;"'!$B$2:$B$501"),$T167,INDIRECT("'"&amp;$A167&amp;"'!$A$2:$A$501"),"&gt;="&amp;$I167,INDIRECT("'"&amp;$A167&amp;"'!$A$2:$A$501"),"&lt;"&amp;($BA167+1),INDIRECT("'"&amp;$A167&amp;"'!$G$2:$G$501"),"&lt;&gt;"),0)))</f>
        <v/>
      </c>
      <c r="AZ167" s="25">
        <f>IF($A167="","",$A167&amp;"|"&amp;$L167)</f>
        <v/>
      </c>
      <c r="BA167" s="26">
        <f>IF($A167="","",IFERROR(IF(INDEX(drops!$R$2:$R$21,MATCH($H167,drops!$A$2:$A$21,0))="","",INDEX(drops!$R$2:$R$21,MATCH($H167,drops!$A$2:$A$21,0))),""))</f>
        <v/>
      </c>
      <c r="BB167" s="25">
        <f>IF(OR($A167="",$Q167&lt;&gt;"Y"),1000000,N($AL167))</f>
        <v/>
      </c>
      <c r="BC167" s="25">
        <f>IF($A167="","",IF(COUNTIF(survey_frozen!$P$2:$P$251,$A167&amp;"|"&amp;$B167)&gt;0,"Y",""))</f>
        <v/>
      </c>
    </row>
    <row r="168">
      <c r="C168" s="9" t="n"/>
      <c r="E168" s="9" t="n"/>
      <c r="H168" s="25">
        <f>IF($A168="","",IFERROR(IF(INDEX(campaigns!$B$2:$B$51,MATCH($A168,campaigns!$A$2:$A$51,0))="","",INDEX(campaigns!$B$2:$B$51,MATCH($A168,campaigns!$A$2:$A$51,0))),""))</f>
        <v/>
      </c>
      <c r="I168" s="26">
        <f>IF($A168="","",IFERROR(IF(INDEX(campaigns!$BG$2:$BG$51,MATCH($A168,campaigns!$A$2:$A$51,0))="","",INDEX(campaigns!$BG$2:$BG$51,MATCH($A168,campaigns!$A$2:$A$51,0))),""))</f>
        <v/>
      </c>
      <c r="J168" s="25">
        <f>IF($A168="","",IFERROR(IF(INDEX(campaigns!$BE$2:$BE$51,MATCH($A168,campaigns!$A$2:$A$51,0))="","",INDEX(campaigns!$BE$2:$BE$51,MATCH($A168,campaigns!$A$2:$A$51,0))),""))</f>
        <v/>
      </c>
      <c r="K168" s="25">
        <f>IF($B168="","",IFERROR(IF(INDEX(offices!$N$2:$N$61,MATCH($B168,offices!$A$2:$A$61,0))="","",INDEX(offices!$N$2:$N$61,MATCH($B168,offices!$A$2:$A$61,0))),""))</f>
        <v/>
      </c>
      <c r="L168" s="25">
        <f>IF($A168="","",IF($Q168="N","",COUNTIFS($A$2:$A168,$A168,$Q$2:$Q168,"&lt;&gt;N")))</f>
        <v/>
      </c>
      <c r="M168" s="25">
        <f>IF(OR($A168="",$L168=""),"",IF(AND(config!$B$34="names_if_public",IFERROR(IF(INDEX(offices!$AF$2:$AF$61,MATCH($B168,offices!$A$2:$A$61,0))="","",INDEX(offices!$AF$2:$AF$61,MATCH($B168,offices!$A$2:$A$61,0))),"")="Y"),$K168,CHAR(64+$L168)))</f>
        <v/>
      </c>
      <c r="N168" s="25">
        <f>IF(OR($A168="",$I168=""),"",COUNTIFS(stops!$B$2:$B$151,$B168,stops!$P$2:$P$151,"&lt;"&amp;$I168,stops!$L$2:$L$151,"&lt;&gt;not_delivered")+1)</f>
        <v/>
      </c>
      <c r="O168" s="25">
        <f>IF($A168="","",IF(N($N168)&lt;=config!$B$29,"explicit","opt-out"))</f>
        <v/>
      </c>
      <c r="P168" s="25">
        <f>IF($A168="","",IF($O168="explicit",IF($D168="yes","Y",IF($D168="no","N","pending")),IF($D168="no","N",IF(AND($C168&lt;&gt;"",$I168&lt;&gt;"",$C168&lt;=WORKDAY(N($I168),-5,calendar!$A$2:$A$80)),"Y","pending"))))</f>
        <v/>
      </c>
      <c r="Q168" s="25">
        <f>IF($A168="","",IF($P168="N","N",IF($P168&lt;&gt;"Y","pending",IF(AND((COUNTIFS(stops!$A$2:$A$151,$H168,stops!$B$2:$B$151,$B168,stops!$L$2:$L$151,"declined")+COUNTIFS(stops!$A$2:$A$151,$H168,stops!$B$2:$B$151,$B168,stops!$L$2:$L$151,"building_refused")+COUNTIFS(stops!$A$2:$A$151,$H168,stops!$B$2:$B$151,$B168,stops!$L$2:$L$151,"not_delivered"))&gt;0,N($U168)=0),"N","Y"))))</f>
        <v/>
      </c>
      <c r="R168" s="25">
        <f>IF($A168="","",IF(COUNTIFS($A$2:$A$251,$A168,$B$2:$B$251,$B168)&gt;1,"DUPLICATE ROW; ","")&amp;IF(AND(IFERROR(IF(INDEX(offices!$AC$2:$AC$61,MATCH($B168,offices!$A$2:$A$61,0))="","",INDEX(offices!$AC$2:$AC$61,MATCH($B168,offices!$A$2:$A$61,0))),"")&lt;&gt;"",ISNUMBER(SEARCH($J168,IFERROR(IF(INDEX(offices!$AC$2:$AC$61,MATCH($B168,offices!$A$2:$A$61,0))="","",INDEX(offices!$AC$2:$AC$61,MATCH($B168,offices!$A$2:$A$61,0))),"")))),"BRAND VETOED; ","")&amp;IF(ISNUMBER(SEARCH(IFERROR(IF(INDEX(campaigns!$BF$2:$BF$51,MATCH($A168,campaigns!$A$2:$A$51,0))="","",INDEX(campaigns!$BF$2:$BF$51,MATCH($A168,campaigns!$A$2:$A$51,0))),""),IFERROR(IF(INDEX(offices!$AB$2:$AB$61,MATCH($B168,offices!$A$2:$A$61,0))="","",INDEX(offices!$AB$2:$AB$61,MATCH($B168,offices!$A$2:$A$61,0))),""))),"","info: category not on the office's list; ")&amp;IF(IFERROR(IF(INDEX(offices!$AC$2:$AC$61,MATCH($B168,offices!$A$2:$A$61,0))="","",INDEX(offices!$AC$2:$AC$61,MATCH($B168,offices!$A$2:$A$61,0))),"")&lt;&gt;"","info: read the vetoes against the label; ",""))</f>
        <v/>
      </c>
      <c r="S168" s="25">
        <f>IF($A168="","",IF($G168&lt;&gt;"",$G168,IFERROR(IF(INDEX(offices!$AL$2:$AL$61,MATCH($B168,offices!$A$2:$A$61,0))="","",INDEX(offices!$AL$2:$AL$61,MATCH($B168,offices!$A$2:$A$61,0))),"")))</f>
        <v/>
      </c>
      <c r="T168" s="25">
        <f>IF($A168="","",$A168&amp;"."&amp;$B168)</f>
        <v/>
      </c>
      <c r="U168" s="25">
        <f>IF($A168="","",SUMIFS(inventory!$G$2:$G$801,inventory!$C$2:$C$801,$A168,inventory!$D$2:$D$801,$B168,inventory!$E$2:$E$801,"delivered"))</f>
        <v/>
      </c>
      <c r="V168" s="32">
        <f>IF($A168="","",IFERROR(1/(1/SUMPRODUCT(MAX((inventory!$C$2:$C$801=$A168)*(inventory!$D$2:$D$801=$B168)*(inventory!$E$2:$E$801="delivered")*(inventory!$A$2:$A$801+inventory!$B$2:$B$801)))),""))</f>
        <v/>
      </c>
      <c r="W168" s="25">
        <f>IF($A168="","",IFERROR(IF(INDEX(inventory!$J$2:$J$801,MATCH($A168&amp;"|"&amp;$B168&amp;"|delivered",inventory!$R$2:$R$801,0))="","",INDEX(inventory!$J$2:$J$801,MATCH($A168&amp;"|"&amp;$B168&amp;"|delivered",inventory!$R$2:$R$801,0))),""))</f>
        <v/>
      </c>
      <c r="X168" s="25">
        <f>IF($A168="","",IFERROR(IF(INDEX(photos!$H$2:$H$701,MATCH($A168&amp;"|"&amp;$B168&amp;"|placement|Y",photos!$R$2:$R$701,0))="","",INDEX(photos!$H$2:$H$701,MATCH($A168&amp;"|"&amp;$B168&amp;"|placement|Y",photos!$R$2:$R$701,0))),""))</f>
        <v/>
      </c>
      <c r="Y168" s="26">
        <f>IF($A168="","",IFERROR(IF(INDEX(photos!$E$2:$E$701,MATCH($A168&amp;"|"&amp;$B168&amp;"|placement|Y",photos!$R$2:$R$701,0))="","",INDEX(photos!$E$2:$E$701,MATCH($A168&amp;"|"&amp;$B168&amp;"|placement|Y",photos!$R$2:$R$701,0))),""))</f>
        <v/>
      </c>
      <c r="Z168" s="25">
        <f>IF($A168="","",IF(COUNTIFS(counts!$C$2:$C$701,$A168,counts!$D$2:$D$701,$B168,counts!$E$2:$E$701,"placed")=0,"",SUMIFS(counts!$F$2:$F$701,counts!$C$2:$C$701,$A168,counts!$D$2:$D$701,$B168,counts!$E$2:$E$701,"placed")))</f>
        <v/>
      </c>
      <c r="AA168" s="25">
        <f>IF($A168="","",IF($Y168="",0,N($Z168)))</f>
        <v/>
      </c>
      <c r="AB168" s="25">
        <f>IF($A168="","",IF(OR($Y168="",$I168=""),"N",IF($Y168&lt;=WORKDAY(N($I168),1,calendar!$A$2:$A$80),"Y","N")))</f>
        <v/>
      </c>
      <c r="AC168" s="28">
        <f>IF(OR($A168="",$V168="",$Y168=""),"",ROUND(($Y168+N(IFERROR(IF(INDEX(photos!$F$2:$F$701,MATCH($A168&amp;"|"&amp;$B168&amp;"|placement|Y",photos!$R$2:$R$701,0))="","",INDEX(photos!$F$2:$F$701,MATCH($A168&amp;"|"&amp;$B168&amp;"|placement|Y",photos!$R$2:$R$701,0))),""))-$V168)*24,1))</f>
        <v/>
      </c>
      <c r="AD168" s="25">
        <f>IF($A168="","",SUMIFS(inventory!$G$2:$G$801,inventory!$C$2:$C$801,$A168,inventory!$D$2:$D$801,$B168,inventory!$E$2:$E$801,"topped_up"))</f>
        <v/>
      </c>
      <c r="AE168" s="25">
        <f>IF($A168="","",IF(COUNTIFS(counts!$C$2:$C$701,$A168,counts!$D$2:$D$701,$B168,counts!$E$2:$E$701,"remaining_day3")=0,"",SUMIFS(counts!$F$2:$F$701,counts!$C$2:$C$701,$A168,counts!$D$2:$D$701,$B168,counts!$E$2:$E$701,"remaining_day3")))</f>
        <v/>
      </c>
      <c r="AF168" s="25">
        <f>IF($A168="","",IF(COUNTIFS(counts!$C$2:$C$701,$A168,counts!$D$2:$D$701,$B168,counts!$E$2:$E$701,"remaining_day5")=0,"",SUMIFS(counts!$F$2:$F$701,counts!$C$2:$C$701,$A168,counts!$D$2:$D$701,$B168,counts!$E$2:$E$701,"remaining_day5")))</f>
        <v/>
      </c>
      <c r="AG168" s="25">
        <f>IF(OR($A168="",$AF168=""),"",MAX(0,$AA168+$AD168-$AF168))</f>
        <v/>
      </c>
      <c r="AH168" s="25">
        <f>IF(OR($A168="",$AI168=""),"",IFERROR(IF(INDEX(photos!$H$2:$H$701,MATCH($A168&amp;"|"&amp;$B168&amp;"|later|Y|"&amp;$AI168,photos!$S$2:$S$701,0))="","",INDEX(photos!$H$2:$H$701,MATCH($A168&amp;"|"&amp;$B168&amp;"|later|Y|"&amp;$AI168,photos!$S$2:$S$701,0))),""))</f>
        <v/>
      </c>
      <c r="AI168" s="26">
        <f>IF($A168="","",IFERROR(1/(1/SUMPRODUCT(MAX((photos!$B$2:$B$701=$A168)*(photos!$C$2:$C$701=$B168)*(photos!$D$2:$D$701="later")*(photos!$O$2:$O$701="Y")*photos!$E$2:$E$701))),""))</f>
        <v/>
      </c>
      <c r="AJ168" s="25">
        <f>IF(OR($A168="",$AI168="",$I168=""),"",NETWORKDAYS($I168,$AI168,calendar!$A$2:$A$80))</f>
        <v/>
      </c>
      <c r="AK168" s="25">
        <f>IF($A168="","",IF(AND($X168&lt;&gt;"",$AH168&lt;&gt;""),"Y","N"))</f>
        <v/>
      </c>
      <c r="AL168" s="25">
        <f>IF(OR($A168="",$I168=""),"",IF($BC168="Y",SUMIFS(survey_frozen!$C$2:$C$251,survey_frozen!$P$2:$P$251,$A168&amp;"|"&amp;$B168),IFERROR(COUNTIFS(INDIRECT("'"&amp;$A168&amp;"'!$B$2:$B$501"),$T168,INDIRECT("'"&amp;$A168&amp;"'!$A$2:$A$501"),"&gt;="&amp;$I168,INDIRECT("'"&amp;$A168&amp;"'!$A$2:$A$501"),"&lt;"&amp;($BA168+1)),0)))</f>
        <v/>
      </c>
      <c r="AM168" s="25">
        <f>IF(OR($A168="",$I168=""),"",IF($BC168="Y",SUMIFS(survey_frozen!$D$2:$D$251,survey_frozen!$P$2:$P$251,$A168&amp;"|"&amp;$B168),IFERROR(COUNTIFS(INDIRECT("'"&amp;$A168&amp;"'!$B$2:$B$501"),$T168,INDIRECT("'"&amp;$A168&amp;"'!$A$2:$A$501"),"&gt;="&amp;$I168,INDIRECT("'"&amp;$A168&amp;"'!$A$2:$A$501"),"&lt;"&amp;($BA168+1),INDIRECT("'"&amp;$A168&amp;"'!$C$2:$C$501"),"Yes"),0)))</f>
        <v/>
      </c>
      <c r="AN168" s="25">
        <f>IF($A168="","",IF(COUNTIFS(scans!$C$2:$C$1601,(IF(LEFT($A168,7)="SAMPLE-","SAMPLE-","")&amp;LOWER(SUBSTITUTE(SUBSTITUTE($A168,"SAMPLE-",""),"CMP-","c"))&amp;"-"&amp;LOWER(SUBSTITUTE(SUBSTITUTE($B168,"SAMPLE-",""),"O-","o"))&amp;"-q"),scans!$D$2:$D$1601,"close")=0,"",SUMPRODUCT(MAX((scans!$C$2:$C$1601=(IF(LEFT($A168,7)="SAMPLE-","SAMPLE-","")&amp;LOWER(SUBSTITUTE(SUBSTITUTE($A168,"SAMPLE-",""),"CMP-","c"))&amp;"-"&amp;LOWER(SUBSTITUTE(SUBSTITUTE($B168,"SAMPLE-",""),"O-","o"))&amp;"-q"))*(scans!$D$2:$D$1601="close")*scans!$E$2:$E$1601))-SUMPRODUCT(MAX((scans!$C$2:$C$1601=(IF(LEFT($A168,7)="SAMPLE-","SAMPLE-","")&amp;LOWER(SUBSTITUTE(SUBSTITUTE($A168,"SAMPLE-",""),"CMP-","c"))&amp;"-"&amp;LOWER(SUBSTITUTE(SUBSTITUTE($B168,"SAMPLE-",""),"O-","o"))&amp;"-q"))*(scans!$D$2:$D$1601="baseline")*scans!$E$2:$E$1601))))</f>
        <v/>
      </c>
      <c r="AO168" s="25">
        <f>IF($A168="","",IF(COUNTIFS(scans!$C$2:$C$1601,(IF(LEFT($A168,7)="SAMPLE-","SAMPLE-","")&amp;LOWER(SUBSTITUTE(SUBSTITUTE($A168,"SAMPLE-",""),"CMP-","c"))&amp;"-"&amp;LOWER(SUBSTITUTE(SUBSTITUTE($B168,"SAMPLE-",""),"O-","o"))&amp;"-p"),scans!$D$2:$D$1601,"close")=0,"",SUMPRODUCT(MAX((scans!$C$2:$C$1601=(IF(LEFT($A168,7)="SAMPLE-","SAMPLE-","")&amp;LOWER(SUBSTITUTE(SUBSTITUTE($A168,"SAMPLE-",""),"CMP-","c"))&amp;"-"&amp;LOWER(SUBSTITUTE(SUBSTITUTE($B168,"SAMPLE-",""),"O-","o"))&amp;"-p"))*(scans!$D$2:$D$1601="close")*scans!$E$2:$E$1601))-SUMPRODUCT(MAX((scans!$C$2:$C$1601=(IF(LEFT($A168,7)="SAMPLE-","SAMPLE-","")&amp;LOWER(SUBSTITUTE(SUBSTITUTE($A168,"SAMPLE-",""),"CMP-","c"))&amp;"-"&amp;LOWER(SUBSTITUTE(SUBSTITUTE($B168,"SAMPLE-",""),"O-","o"))&amp;"-p"))*(scans!$D$2:$D$1601="baseline")*scans!$E$2:$E$1601))))</f>
        <v/>
      </c>
      <c r="AP168" s="25">
        <f>IF($A168="","",IF(COUNTIF(offices!$A$2:$A$61,$B168)=0,"office_id not on offices; ","")&amp;IF(COUNTIF(campaigns!$A$2:$A$51,$A168)=0,"campaign_id not on campaigns; ","")&amp;IF($P168="pending","approval pending; ","")&amp;IF(AND($U168&gt;0,$Y168="",OR($I168="",IF(config!$B$37&lt;&gt;"",config!$B$37,TODAY())&lt;=WORKDAY(N($I168),4,calendar!$A$2:$A$80))),"no usable placement photo yet; ","")&amp;IF(AND($Y168&lt;&gt;"",$Z168=""),"log the placed count; ","")&amp;IF(N($AA168)&gt;N($U168),"placed more than delivered; ","")&amp;IF(AND($AF168&lt;&gt;"",N($AF168)&gt;N($AA168)+N($AD168)),"day-5 count above placed plus top-ups; ","")&amp;IF(AND($U168&gt;0,$I168&lt;&gt;"",IF(config!$B$37&lt;&gt;"",config!$B$37,TODAY())&gt;WORKDAY(N($I168),4,calendar!$A$2:$A$80),$AF168=""),"day-5 count missing; ","")&amp;IF(AND($U168&gt;0,$I168&lt;&gt;"",IF(config!$B$37&lt;&gt;"",config!$B$37,TODAY())&gt;WORKDAY(N($I168),4,calendar!$A$2:$A$80),$AN168=""),"no close link reading; ","")&amp;$R168&amp;IF($P168="N","info: office said no; ","")&amp;IF(AND($P168="Y",$Q168="N"),"info: turned away at the door, so not on the drop (no letter, not in the report or Gate 2; the credit check is on campaigns); ","")&amp;IF(AND($U168&gt;0,$Y168="",$I168&lt;&gt;"",IF(config!$B$37&lt;&gt;"",config!$B$37,TODAY())&gt;WORKDAY(N($I168),4,calendar!$A$2:$A$80)),"info: no usable placement photo, so nothing counts as placed; ","")&amp;IF(AND($U168&gt;0,$I168&lt;&gt;"",IF(config!$B$37&lt;&gt;"",config!$B$37,TODAY())&gt;WORKDAY(N($I168),4,calendar!$A$2:$A$80),N($AL168)&lt;config!$B$30),"info: under "&amp;config!$B$30&amp;" responses; ","")&amp;IF($W168="packing_list","info: delivered count not verified; ",""))</f>
        <v/>
      </c>
      <c r="AQ168" s="25">
        <f>IF(OR($A168="",$I168=""),"",IF($BC168="Y",SUMIFS(survey_frozen!$E$2:$E$251,survey_frozen!$P$2:$P$251,$A168&amp;"|"&amp;$B168),IFERROR(COUNTIFS(INDIRECT("'"&amp;$A168&amp;"'!$B$2:$B$501"),$T168,INDIRECT("'"&amp;$A168&amp;"'!$A$2:$A$501"),"&gt;="&amp;$I168,INDIRECT("'"&amp;$A168&amp;"'!$A$2:$A$501"),"&lt;"&amp;($BA168+1),INDIRECT("'"&amp;$A168&amp;"'!$F$2:$F$501"),"Didn't see it"),0)))</f>
        <v/>
      </c>
      <c r="AR168" s="25">
        <f>IF(OR($A168="",$I168=""),"",IF($BC168="Y",SUMIFS(survey_frozen!$F$2:$F$251,survey_frozen!$P$2:$P$251,$A168&amp;"|"&amp;$B168),IFERROR(COUNTIFS(INDIRECT("'"&amp;$A168&amp;"'!$B$2:$B$501"),$T168,INDIRECT("'"&amp;$A168&amp;"'!$A$2:$A$501"),"&gt;="&amp;$I168,INDIRECT("'"&amp;$A168&amp;"'!$A$2:$A$501"),"&lt;"&amp;($BA168+1),INDIRECT("'"&amp;$A168&amp;"'!$F$2:$F$501"),"Not for me"),0)))</f>
        <v/>
      </c>
      <c r="AS168" s="25">
        <f>IF(OR($A168="",$I168=""),"",IF($BC168="Y",SUMIFS(survey_frozen!$G$2:$G$251,survey_frozen!$P$2:$P$251,$A168&amp;"|"&amp;$B168),IFERROR(COUNTIFS(INDIRECT("'"&amp;$A168&amp;"'!$B$2:$B$501"),$T168,INDIRECT("'"&amp;$A168&amp;"'!$A$2:$A$501"),"&gt;="&amp;$I168,INDIRECT("'"&amp;$A168&amp;"'!$A$2:$A$501"),"&lt;"&amp;($BA168+1),INDIRECT("'"&amp;$A168&amp;"'!$F$2:$F$501"),"Gone by the time I looked"),0)))</f>
        <v/>
      </c>
      <c r="AT168" s="25">
        <f>IF(OR($A168="",$I168=""),"",IF($BC168="Y",SUMIFS(survey_frozen!$H$2:$H$251,survey_frozen!$P$2:$P$251,$A168&amp;"|"&amp;$B168),IFERROR(COUNTIFS(INDIRECT("'"&amp;$A168&amp;"'!$B$2:$B$501"),$T168,INDIRECT("'"&amp;$A168&amp;"'!$A$2:$A$501"),"&gt;="&amp;$I168,INDIRECT("'"&amp;$A168&amp;"'!$A$2:$A$501"),"&lt;"&amp;($BA168+1),INDIRECT("'"&amp;$A168&amp;"'!$D$2:$D$501"),"&gt;=1"),0)))</f>
        <v/>
      </c>
      <c r="AU168" s="25">
        <f>IF(OR($A168="",$I168=""),"",IF($BC168="Y",SUMIFS(survey_frozen!$I$2:$I$251,survey_frozen!$P$2:$P$251,$A168&amp;"|"&amp;$B168),IFERROR(SUMIFS(INDIRECT("'"&amp;$A168&amp;"'!$D$2:$D$501"),INDIRECT("'"&amp;$A168&amp;"'!$B$2:$B$501"),$T168,INDIRECT("'"&amp;$A168&amp;"'!$A$2:$A$501"),"&gt;="&amp;$I168,INDIRECT("'"&amp;$A168&amp;"'!$A$2:$A$501"),"&lt;"&amp;($BA168+1)),0)))</f>
        <v/>
      </c>
      <c r="AV168" s="25">
        <f>IF(OR($A168="",$I168=""),"",IF($BC168="Y",SUMIFS(survey_frozen!$J$2:$J$251,survey_frozen!$P$2:$P$251,$A168&amp;"|"&amp;$B168),IFERROR(COUNTIFS(INDIRECT("'"&amp;$A168&amp;"'!$B$2:$B$501"),$T168,INDIRECT("'"&amp;$A168&amp;"'!$A$2:$A$501"),"&gt;="&amp;$I168,INDIRECT("'"&amp;$A168&amp;"'!$A$2:$A$501"),"&lt;"&amp;($BA168+1),INDIRECT("'"&amp;$A168&amp;"'!$E$2:$E$501"),"Yes"),0)))</f>
        <v/>
      </c>
      <c r="AW168" s="25">
        <f>IF(OR($A168="",$I168=""),"",IF($BC168="Y",SUMIFS(survey_frozen!$K$2:$K$251,survey_frozen!$P$2:$P$251,$A168&amp;"|"&amp;$B168),IFERROR(COUNTIFS(INDIRECT("'"&amp;$A168&amp;"'!$B$2:$B$501"),$T168,INDIRECT("'"&amp;$A168&amp;"'!$A$2:$A$501"),"&gt;="&amp;$I168,INDIRECT("'"&amp;$A168&amp;"'!$A$2:$A$501"),"&lt;"&amp;($BA168+1),INDIRECT("'"&amp;$A168&amp;"'!$E$2:$E$501"),"Maybe"),0)))</f>
        <v/>
      </c>
      <c r="AX168" s="25">
        <f>IF(OR($A168="",$I168=""),"",IF($BC168="Y",SUMIFS(survey_frozen!$L$2:$L$251,survey_frozen!$P$2:$P$251,$A168&amp;"|"&amp;$B168),IFERROR(COUNTIFS(INDIRECT("'"&amp;$A168&amp;"'!$B$2:$B$501"),$T168,INDIRECT("'"&amp;$A168&amp;"'!$A$2:$A$501"),"&gt;="&amp;$I168,INDIRECT("'"&amp;$A168&amp;"'!$A$2:$A$501"),"&lt;"&amp;($BA168+1),INDIRECT("'"&amp;$A168&amp;"'!$E$2:$E$501"),"No"),0)))</f>
        <v/>
      </c>
      <c r="AY168" s="25">
        <f>IF(OR($A168="",$I168=""),"",IF($BC168="Y",SUMIFS(survey_frozen!$M$2:$M$251,survey_frozen!$P$2:$P$251,$A168&amp;"|"&amp;$B168),IFERROR(COUNTIFS(INDIRECT("'"&amp;$A168&amp;"'!$B$2:$B$501"),$T168,INDIRECT("'"&amp;$A168&amp;"'!$A$2:$A$501"),"&gt;="&amp;$I168,INDIRECT("'"&amp;$A168&amp;"'!$A$2:$A$501"),"&lt;"&amp;($BA168+1),INDIRECT("'"&amp;$A168&amp;"'!$G$2:$G$501"),"&lt;&gt;"),0)))</f>
        <v/>
      </c>
      <c r="AZ168" s="25">
        <f>IF($A168="","",$A168&amp;"|"&amp;$L168)</f>
        <v/>
      </c>
      <c r="BA168" s="26">
        <f>IF($A168="","",IFERROR(IF(INDEX(drops!$R$2:$R$21,MATCH($H168,drops!$A$2:$A$21,0))="","",INDEX(drops!$R$2:$R$21,MATCH($H168,drops!$A$2:$A$21,0))),""))</f>
        <v/>
      </c>
      <c r="BB168" s="25">
        <f>IF(OR($A168="",$Q168&lt;&gt;"Y"),1000000,N($AL168))</f>
        <v/>
      </c>
      <c r="BC168" s="25">
        <f>IF($A168="","",IF(COUNTIF(survey_frozen!$P$2:$P$251,$A168&amp;"|"&amp;$B168)&gt;0,"Y",""))</f>
        <v/>
      </c>
    </row>
    <row r="169">
      <c r="C169" s="9" t="n"/>
      <c r="E169" s="9" t="n"/>
      <c r="H169" s="25">
        <f>IF($A169="","",IFERROR(IF(INDEX(campaigns!$B$2:$B$51,MATCH($A169,campaigns!$A$2:$A$51,0))="","",INDEX(campaigns!$B$2:$B$51,MATCH($A169,campaigns!$A$2:$A$51,0))),""))</f>
        <v/>
      </c>
      <c r="I169" s="26">
        <f>IF($A169="","",IFERROR(IF(INDEX(campaigns!$BG$2:$BG$51,MATCH($A169,campaigns!$A$2:$A$51,0))="","",INDEX(campaigns!$BG$2:$BG$51,MATCH($A169,campaigns!$A$2:$A$51,0))),""))</f>
        <v/>
      </c>
      <c r="J169" s="25">
        <f>IF($A169="","",IFERROR(IF(INDEX(campaigns!$BE$2:$BE$51,MATCH($A169,campaigns!$A$2:$A$51,0))="","",INDEX(campaigns!$BE$2:$BE$51,MATCH($A169,campaigns!$A$2:$A$51,0))),""))</f>
        <v/>
      </c>
      <c r="K169" s="25">
        <f>IF($B169="","",IFERROR(IF(INDEX(offices!$N$2:$N$61,MATCH($B169,offices!$A$2:$A$61,0))="","",INDEX(offices!$N$2:$N$61,MATCH($B169,offices!$A$2:$A$61,0))),""))</f>
        <v/>
      </c>
      <c r="L169" s="25">
        <f>IF($A169="","",IF($Q169="N","",COUNTIFS($A$2:$A169,$A169,$Q$2:$Q169,"&lt;&gt;N")))</f>
        <v/>
      </c>
      <c r="M169" s="25">
        <f>IF(OR($A169="",$L169=""),"",IF(AND(config!$B$34="names_if_public",IFERROR(IF(INDEX(offices!$AF$2:$AF$61,MATCH($B169,offices!$A$2:$A$61,0))="","",INDEX(offices!$AF$2:$AF$61,MATCH($B169,offices!$A$2:$A$61,0))),"")="Y"),$K169,CHAR(64+$L169)))</f>
        <v/>
      </c>
      <c r="N169" s="25">
        <f>IF(OR($A169="",$I169=""),"",COUNTIFS(stops!$B$2:$B$151,$B169,stops!$P$2:$P$151,"&lt;"&amp;$I169,stops!$L$2:$L$151,"&lt;&gt;not_delivered")+1)</f>
        <v/>
      </c>
      <c r="O169" s="25">
        <f>IF($A169="","",IF(N($N169)&lt;=config!$B$29,"explicit","opt-out"))</f>
        <v/>
      </c>
      <c r="P169" s="25">
        <f>IF($A169="","",IF($O169="explicit",IF($D169="yes","Y",IF($D169="no","N","pending")),IF($D169="no","N",IF(AND($C169&lt;&gt;"",$I169&lt;&gt;"",$C169&lt;=WORKDAY(N($I169),-5,calendar!$A$2:$A$80)),"Y","pending"))))</f>
        <v/>
      </c>
      <c r="Q169" s="25">
        <f>IF($A169="","",IF($P169="N","N",IF($P169&lt;&gt;"Y","pending",IF(AND((COUNTIFS(stops!$A$2:$A$151,$H169,stops!$B$2:$B$151,$B169,stops!$L$2:$L$151,"declined")+COUNTIFS(stops!$A$2:$A$151,$H169,stops!$B$2:$B$151,$B169,stops!$L$2:$L$151,"building_refused")+COUNTIFS(stops!$A$2:$A$151,$H169,stops!$B$2:$B$151,$B169,stops!$L$2:$L$151,"not_delivered"))&gt;0,N($U169)=0),"N","Y"))))</f>
        <v/>
      </c>
      <c r="R169" s="25">
        <f>IF($A169="","",IF(COUNTIFS($A$2:$A$251,$A169,$B$2:$B$251,$B169)&gt;1,"DUPLICATE ROW; ","")&amp;IF(AND(IFERROR(IF(INDEX(offices!$AC$2:$AC$61,MATCH($B169,offices!$A$2:$A$61,0))="","",INDEX(offices!$AC$2:$AC$61,MATCH($B169,offices!$A$2:$A$61,0))),"")&lt;&gt;"",ISNUMBER(SEARCH($J169,IFERROR(IF(INDEX(offices!$AC$2:$AC$61,MATCH($B169,offices!$A$2:$A$61,0))="","",INDEX(offices!$AC$2:$AC$61,MATCH($B169,offices!$A$2:$A$61,0))),"")))),"BRAND VETOED; ","")&amp;IF(ISNUMBER(SEARCH(IFERROR(IF(INDEX(campaigns!$BF$2:$BF$51,MATCH($A169,campaigns!$A$2:$A$51,0))="","",INDEX(campaigns!$BF$2:$BF$51,MATCH($A169,campaigns!$A$2:$A$51,0))),""),IFERROR(IF(INDEX(offices!$AB$2:$AB$61,MATCH($B169,offices!$A$2:$A$61,0))="","",INDEX(offices!$AB$2:$AB$61,MATCH($B169,offices!$A$2:$A$61,0))),""))),"","info: category not on the office's list; ")&amp;IF(IFERROR(IF(INDEX(offices!$AC$2:$AC$61,MATCH($B169,offices!$A$2:$A$61,0))="","",INDEX(offices!$AC$2:$AC$61,MATCH($B169,offices!$A$2:$A$61,0))),"")&lt;&gt;"","info: read the vetoes against the label; ",""))</f>
        <v/>
      </c>
      <c r="S169" s="25">
        <f>IF($A169="","",IF($G169&lt;&gt;"",$G169,IFERROR(IF(INDEX(offices!$AL$2:$AL$61,MATCH($B169,offices!$A$2:$A$61,0))="","",INDEX(offices!$AL$2:$AL$61,MATCH($B169,offices!$A$2:$A$61,0))),"")))</f>
        <v/>
      </c>
      <c r="T169" s="25">
        <f>IF($A169="","",$A169&amp;"."&amp;$B169)</f>
        <v/>
      </c>
      <c r="U169" s="25">
        <f>IF($A169="","",SUMIFS(inventory!$G$2:$G$801,inventory!$C$2:$C$801,$A169,inventory!$D$2:$D$801,$B169,inventory!$E$2:$E$801,"delivered"))</f>
        <v/>
      </c>
      <c r="V169" s="32">
        <f>IF($A169="","",IFERROR(1/(1/SUMPRODUCT(MAX((inventory!$C$2:$C$801=$A169)*(inventory!$D$2:$D$801=$B169)*(inventory!$E$2:$E$801="delivered")*(inventory!$A$2:$A$801+inventory!$B$2:$B$801)))),""))</f>
        <v/>
      </c>
      <c r="W169" s="25">
        <f>IF($A169="","",IFERROR(IF(INDEX(inventory!$J$2:$J$801,MATCH($A169&amp;"|"&amp;$B169&amp;"|delivered",inventory!$R$2:$R$801,0))="","",INDEX(inventory!$J$2:$J$801,MATCH($A169&amp;"|"&amp;$B169&amp;"|delivered",inventory!$R$2:$R$801,0))),""))</f>
        <v/>
      </c>
      <c r="X169" s="25">
        <f>IF($A169="","",IFERROR(IF(INDEX(photos!$H$2:$H$701,MATCH($A169&amp;"|"&amp;$B169&amp;"|placement|Y",photos!$R$2:$R$701,0))="","",INDEX(photos!$H$2:$H$701,MATCH($A169&amp;"|"&amp;$B169&amp;"|placement|Y",photos!$R$2:$R$701,0))),""))</f>
        <v/>
      </c>
      <c r="Y169" s="26">
        <f>IF($A169="","",IFERROR(IF(INDEX(photos!$E$2:$E$701,MATCH($A169&amp;"|"&amp;$B169&amp;"|placement|Y",photos!$R$2:$R$701,0))="","",INDEX(photos!$E$2:$E$701,MATCH($A169&amp;"|"&amp;$B169&amp;"|placement|Y",photos!$R$2:$R$701,0))),""))</f>
        <v/>
      </c>
      <c r="Z169" s="25">
        <f>IF($A169="","",IF(COUNTIFS(counts!$C$2:$C$701,$A169,counts!$D$2:$D$701,$B169,counts!$E$2:$E$701,"placed")=0,"",SUMIFS(counts!$F$2:$F$701,counts!$C$2:$C$701,$A169,counts!$D$2:$D$701,$B169,counts!$E$2:$E$701,"placed")))</f>
        <v/>
      </c>
      <c r="AA169" s="25">
        <f>IF($A169="","",IF($Y169="",0,N($Z169)))</f>
        <v/>
      </c>
      <c r="AB169" s="25">
        <f>IF($A169="","",IF(OR($Y169="",$I169=""),"N",IF($Y169&lt;=WORKDAY(N($I169),1,calendar!$A$2:$A$80),"Y","N")))</f>
        <v/>
      </c>
      <c r="AC169" s="28">
        <f>IF(OR($A169="",$V169="",$Y169=""),"",ROUND(($Y169+N(IFERROR(IF(INDEX(photos!$F$2:$F$701,MATCH($A169&amp;"|"&amp;$B169&amp;"|placement|Y",photos!$R$2:$R$701,0))="","",INDEX(photos!$F$2:$F$701,MATCH($A169&amp;"|"&amp;$B169&amp;"|placement|Y",photos!$R$2:$R$701,0))),""))-$V169)*24,1))</f>
        <v/>
      </c>
      <c r="AD169" s="25">
        <f>IF($A169="","",SUMIFS(inventory!$G$2:$G$801,inventory!$C$2:$C$801,$A169,inventory!$D$2:$D$801,$B169,inventory!$E$2:$E$801,"topped_up"))</f>
        <v/>
      </c>
      <c r="AE169" s="25">
        <f>IF($A169="","",IF(COUNTIFS(counts!$C$2:$C$701,$A169,counts!$D$2:$D$701,$B169,counts!$E$2:$E$701,"remaining_day3")=0,"",SUMIFS(counts!$F$2:$F$701,counts!$C$2:$C$701,$A169,counts!$D$2:$D$701,$B169,counts!$E$2:$E$701,"remaining_day3")))</f>
        <v/>
      </c>
      <c r="AF169" s="25">
        <f>IF($A169="","",IF(COUNTIFS(counts!$C$2:$C$701,$A169,counts!$D$2:$D$701,$B169,counts!$E$2:$E$701,"remaining_day5")=0,"",SUMIFS(counts!$F$2:$F$701,counts!$C$2:$C$701,$A169,counts!$D$2:$D$701,$B169,counts!$E$2:$E$701,"remaining_day5")))</f>
        <v/>
      </c>
      <c r="AG169" s="25">
        <f>IF(OR($A169="",$AF169=""),"",MAX(0,$AA169+$AD169-$AF169))</f>
        <v/>
      </c>
      <c r="AH169" s="25">
        <f>IF(OR($A169="",$AI169=""),"",IFERROR(IF(INDEX(photos!$H$2:$H$701,MATCH($A169&amp;"|"&amp;$B169&amp;"|later|Y|"&amp;$AI169,photos!$S$2:$S$701,0))="","",INDEX(photos!$H$2:$H$701,MATCH($A169&amp;"|"&amp;$B169&amp;"|later|Y|"&amp;$AI169,photos!$S$2:$S$701,0))),""))</f>
        <v/>
      </c>
      <c r="AI169" s="26">
        <f>IF($A169="","",IFERROR(1/(1/SUMPRODUCT(MAX((photos!$B$2:$B$701=$A169)*(photos!$C$2:$C$701=$B169)*(photos!$D$2:$D$701="later")*(photos!$O$2:$O$701="Y")*photos!$E$2:$E$701))),""))</f>
        <v/>
      </c>
      <c r="AJ169" s="25">
        <f>IF(OR($A169="",$AI169="",$I169=""),"",NETWORKDAYS($I169,$AI169,calendar!$A$2:$A$80))</f>
        <v/>
      </c>
      <c r="AK169" s="25">
        <f>IF($A169="","",IF(AND($X169&lt;&gt;"",$AH169&lt;&gt;""),"Y","N"))</f>
        <v/>
      </c>
      <c r="AL169" s="25">
        <f>IF(OR($A169="",$I169=""),"",IF($BC169="Y",SUMIFS(survey_frozen!$C$2:$C$251,survey_frozen!$P$2:$P$251,$A169&amp;"|"&amp;$B169),IFERROR(COUNTIFS(INDIRECT("'"&amp;$A169&amp;"'!$B$2:$B$501"),$T169,INDIRECT("'"&amp;$A169&amp;"'!$A$2:$A$501"),"&gt;="&amp;$I169,INDIRECT("'"&amp;$A169&amp;"'!$A$2:$A$501"),"&lt;"&amp;($BA169+1)),0)))</f>
        <v/>
      </c>
      <c r="AM169" s="25">
        <f>IF(OR($A169="",$I169=""),"",IF($BC169="Y",SUMIFS(survey_frozen!$D$2:$D$251,survey_frozen!$P$2:$P$251,$A169&amp;"|"&amp;$B169),IFERROR(COUNTIFS(INDIRECT("'"&amp;$A169&amp;"'!$B$2:$B$501"),$T169,INDIRECT("'"&amp;$A169&amp;"'!$A$2:$A$501"),"&gt;="&amp;$I169,INDIRECT("'"&amp;$A169&amp;"'!$A$2:$A$501"),"&lt;"&amp;($BA169+1),INDIRECT("'"&amp;$A169&amp;"'!$C$2:$C$501"),"Yes"),0)))</f>
        <v/>
      </c>
      <c r="AN169" s="25">
        <f>IF($A169="","",IF(COUNTIFS(scans!$C$2:$C$1601,(IF(LEFT($A169,7)="SAMPLE-","SAMPLE-","")&amp;LOWER(SUBSTITUTE(SUBSTITUTE($A169,"SAMPLE-",""),"CMP-","c"))&amp;"-"&amp;LOWER(SUBSTITUTE(SUBSTITUTE($B169,"SAMPLE-",""),"O-","o"))&amp;"-q"),scans!$D$2:$D$1601,"close")=0,"",SUMPRODUCT(MAX((scans!$C$2:$C$1601=(IF(LEFT($A169,7)="SAMPLE-","SAMPLE-","")&amp;LOWER(SUBSTITUTE(SUBSTITUTE($A169,"SAMPLE-",""),"CMP-","c"))&amp;"-"&amp;LOWER(SUBSTITUTE(SUBSTITUTE($B169,"SAMPLE-",""),"O-","o"))&amp;"-q"))*(scans!$D$2:$D$1601="close")*scans!$E$2:$E$1601))-SUMPRODUCT(MAX((scans!$C$2:$C$1601=(IF(LEFT($A169,7)="SAMPLE-","SAMPLE-","")&amp;LOWER(SUBSTITUTE(SUBSTITUTE($A169,"SAMPLE-",""),"CMP-","c"))&amp;"-"&amp;LOWER(SUBSTITUTE(SUBSTITUTE($B169,"SAMPLE-",""),"O-","o"))&amp;"-q"))*(scans!$D$2:$D$1601="baseline")*scans!$E$2:$E$1601))))</f>
        <v/>
      </c>
      <c r="AO169" s="25">
        <f>IF($A169="","",IF(COUNTIFS(scans!$C$2:$C$1601,(IF(LEFT($A169,7)="SAMPLE-","SAMPLE-","")&amp;LOWER(SUBSTITUTE(SUBSTITUTE($A169,"SAMPLE-",""),"CMP-","c"))&amp;"-"&amp;LOWER(SUBSTITUTE(SUBSTITUTE($B169,"SAMPLE-",""),"O-","o"))&amp;"-p"),scans!$D$2:$D$1601,"close")=0,"",SUMPRODUCT(MAX((scans!$C$2:$C$1601=(IF(LEFT($A169,7)="SAMPLE-","SAMPLE-","")&amp;LOWER(SUBSTITUTE(SUBSTITUTE($A169,"SAMPLE-",""),"CMP-","c"))&amp;"-"&amp;LOWER(SUBSTITUTE(SUBSTITUTE($B169,"SAMPLE-",""),"O-","o"))&amp;"-p"))*(scans!$D$2:$D$1601="close")*scans!$E$2:$E$1601))-SUMPRODUCT(MAX((scans!$C$2:$C$1601=(IF(LEFT($A169,7)="SAMPLE-","SAMPLE-","")&amp;LOWER(SUBSTITUTE(SUBSTITUTE($A169,"SAMPLE-",""),"CMP-","c"))&amp;"-"&amp;LOWER(SUBSTITUTE(SUBSTITUTE($B169,"SAMPLE-",""),"O-","o"))&amp;"-p"))*(scans!$D$2:$D$1601="baseline")*scans!$E$2:$E$1601))))</f>
        <v/>
      </c>
      <c r="AP169" s="25">
        <f>IF($A169="","",IF(COUNTIF(offices!$A$2:$A$61,$B169)=0,"office_id not on offices; ","")&amp;IF(COUNTIF(campaigns!$A$2:$A$51,$A169)=0,"campaign_id not on campaigns; ","")&amp;IF($P169="pending","approval pending; ","")&amp;IF(AND($U169&gt;0,$Y169="",OR($I169="",IF(config!$B$37&lt;&gt;"",config!$B$37,TODAY())&lt;=WORKDAY(N($I169),4,calendar!$A$2:$A$80))),"no usable placement photo yet; ","")&amp;IF(AND($Y169&lt;&gt;"",$Z169=""),"log the placed count; ","")&amp;IF(N($AA169)&gt;N($U169),"placed more than delivered; ","")&amp;IF(AND($AF169&lt;&gt;"",N($AF169)&gt;N($AA169)+N($AD169)),"day-5 count above placed plus top-ups; ","")&amp;IF(AND($U169&gt;0,$I169&lt;&gt;"",IF(config!$B$37&lt;&gt;"",config!$B$37,TODAY())&gt;WORKDAY(N($I169),4,calendar!$A$2:$A$80),$AF169=""),"day-5 count missing; ","")&amp;IF(AND($U169&gt;0,$I169&lt;&gt;"",IF(config!$B$37&lt;&gt;"",config!$B$37,TODAY())&gt;WORKDAY(N($I169),4,calendar!$A$2:$A$80),$AN169=""),"no close link reading; ","")&amp;$R169&amp;IF($P169="N","info: office said no; ","")&amp;IF(AND($P169="Y",$Q169="N"),"info: turned away at the door, so not on the drop (no letter, not in the report or Gate 2; the credit check is on campaigns); ","")&amp;IF(AND($U169&gt;0,$Y169="",$I169&lt;&gt;"",IF(config!$B$37&lt;&gt;"",config!$B$37,TODAY())&gt;WORKDAY(N($I169),4,calendar!$A$2:$A$80)),"info: no usable placement photo, so nothing counts as placed; ","")&amp;IF(AND($U169&gt;0,$I169&lt;&gt;"",IF(config!$B$37&lt;&gt;"",config!$B$37,TODAY())&gt;WORKDAY(N($I169),4,calendar!$A$2:$A$80),N($AL169)&lt;config!$B$30),"info: under "&amp;config!$B$30&amp;" responses; ","")&amp;IF($W169="packing_list","info: delivered count not verified; ",""))</f>
        <v/>
      </c>
      <c r="AQ169" s="25">
        <f>IF(OR($A169="",$I169=""),"",IF($BC169="Y",SUMIFS(survey_frozen!$E$2:$E$251,survey_frozen!$P$2:$P$251,$A169&amp;"|"&amp;$B169),IFERROR(COUNTIFS(INDIRECT("'"&amp;$A169&amp;"'!$B$2:$B$501"),$T169,INDIRECT("'"&amp;$A169&amp;"'!$A$2:$A$501"),"&gt;="&amp;$I169,INDIRECT("'"&amp;$A169&amp;"'!$A$2:$A$501"),"&lt;"&amp;($BA169+1),INDIRECT("'"&amp;$A169&amp;"'!$F$2:$F$501"),"Didn't see it"),0)))</f>
        <v/>
      </c>
      <c r="AR169" s="25">
        <f>IF(OR($A169="",$I169=""),"",IF($BC169="Y",SUMIFS(survey_frozen!$F$2:$F$251,survey_frozen!$P$2:$P$251,$A169&amp;"|"&amp;$B169),IFERROR(COUNTIFS(INDIRECT("'"&amp;$A169&amp;"'!$B$2:$B$501"),$T169,INDIRECT("'"&amp;$A169&amp;"'!$A$2:$A$501"),"&gt;="&amp;$I169,INDIRECT("'"&amp;$A169&amp;"'!$A$2:$A$501"),"&lt;"&amp;($BA169+1),INDIRECT("'"&amp;$A169&amp;"'!$F$2:$F$501"),"Not for me"),0)))</f>
        <v/>
      </c>
      <c r="AS169" s="25">
        <f>IF(OR($A169="",$I169=""),"",IF($BC169="Y",SUMIFS(survey_frozen!$G$2:$G$251,survey_frozen!$P$2:$P$251,$A169&amp;"|"&amp;$B169),IFERROR(COUNTIFS(INDIRECT("'"&amp;$A169&amp;"'!$B$2:$B$501"),$T169,INDIRECT("'"&amp;$A169&amp;"'!$A$2:$A$501"),"&gt;="&amp;$I169,INDIRECT("'"&amp;$A169&amp;"'!$A$2:$A$501"),"&lt;"&amp;($BA169+1),INDIRECT("'"&amp;$A169&amp;"'!$F$2:$F$501"),"Gone by the time I looked"),0)))</f>
        <v/>
      </c>
      <c r="AT169" s="25">
        <f>IF(OR($A169="",$I169=""),"",IF($BC169="Y",SUMIFS(survey_frozen!$H$2:$H$251,survey_frozen!$P$2:$P$251,$A169&amp;"|"&amp;$B169),IFERROR(COUNTIFS(INDIRECT("'"&amp;$A169&amp;"'!$B$2:$B$501"),$T169,INDIRECT("'"&amp;$A169&amp;"'!$A$2:$A$501"),"&gt;="&amp;$I169,INDIRECT("'"&amp;$A169&amp;"'!$A$2:$A$501"),"&lt;"&amp;($BA169+1),INDIRECT("'"&amp;$A169&amp;"'!$D$2:$D$501"),"&gt;=1"),0)))</f>
        <v/>
      </c>
      <c r="AU169" s="25">
        <f>IF(OR($A169="",$I169=""),"",IF($BC169="Y",SUMIFS(survey_frozen!$I$2:$I$251,survey_frozen!$P$2:$P$251,$A169&amp;"|"&amp;$B169),IFERROR(SUMIFS(INDIRECT("'"&amp;$A169&amp;"'!$D$2:$D$501"),INDIRECT("'"&amp;$A169&amp;"'!$B$2:$B$501"),$T169,INDIRECT("'"&amp;$A169&amp;"'!$A$2:$A$501"),"&gt;="&amp;$I169,INDIRECT("'"&amp;$A169&amp;"'!$A$2:$A$501"),"&lt;"&amp;($BA169+1)),0)))</f>
        <v/>
      </c>
      <c r="AV169" s="25">
        <f>IF(OR($A169="",$I169=""),"",IF($BC169="Y",SUMIFS(survey_frozen!$J$2:$J$251,survey_frozen!$P$2:$P$251,$A169&amp;"|"&amp;$B169),IFERROR(COUNTIFS(INDIRECT("'"&amp;$A169&amp;"'!$B$2:$B$501"),$T169,INDIRECT("'"&amp;$A169&amp;"'!$A$2:$A$501"),"&gt;="&amp;$I169,INDIRECT("'"&amp;$A169&amp;"'!$A$2:$A$501"),"&lt;"&amp;($BA169+1),INDIRECT("'"&amp;$A169&amp;"'!$E$2:$E$501"),"Yes"),0)))</f>
        <v/>
      </c>
      <c r="AW169" s="25">
        <f>IF(OR($A169="",$I169=""),"",IF($BC169="Y",SUMIFS(survey_frozen!$K$2:$K$251,survey_frozen!$P$2:$P$251,$A169&amp;"|"&amp;$B169),IFERROR(COUNTIFS(INDIRECT("'"&amp;$A169&amp;"'!$B$2:$B$501"),$T169,INDIRECT("'"&amp;$A169&amp;"'!$A$2:$A$501"),"&gt;="&amp;$I169,INDIRECT("'"&amp;$A169&amp;"'!$A$2:$A$501"),"&lt;"&amp;($BA169+1),INDIRECT("'"&amp;$A169&amp;"'!$E$2:$E$501"),"Maybe"),0)))</f>
        <v/>
      </c>
      <c r="AX169" s="25">
        <f>IF(OR($A169="",$I169=""),"",IF($BC169="Y",SUMIFS(survey_frozen!$L$2:$L$251,survey_frozen!$P$2:$P$251,$A169&amp;"|"&amp;$B169),IFERROR(COUNTIFS(INDIRECT("'"&amp;$A169&amp;"'!$B$2:$B$501"),$T169,INDIRECT("'"&amp;$A169&amp;"'!$A$2:$A$501"),"&gt;="&amp;$I169,INDIRECT("'"&amp;$A169&amp;"'!$A$2:$A$501"),"&lt;"&amp;($BA169+1),INDIRECT("'"&amp;$A169&amp;"'!$E$2:$E$501"),"No"),0)))</f>
        <v/>
      </c>
      <c r="AY169" s="25">
        <f>IF(OR($A169="",$I169=""),"",IF($BC169="Y",SUMIFS(survey_frozen!$M$2:$M$251,survey_frozen!$P$2:$P$251,$A169&amp;"|"&amp;$B169),IFERROR(COUNTIFS(INDIRECT("'"&amp;$A169&amp;"'!$B$2:$B$501"),$T169,INDIRECT("'"&amp;$A169&amp;"'!$A$2:$A$501"),"&gt;="&amp;$I169,INDIRECT("'"&amp;$A169&amp;"'!$A$2:$A$501"),"&lt;"&amp;($BA169+1),INDIRECT("'"&amp;$A169&amp;"'!$G$2:$G$501"),"&lt;&gt;"),0)))</f>
        <v/>
      </c>
      <c r="AZ169" s="25">
        <f>IF($A169="","",$A169&amp;"|"&amp;$L169)</f>
        <v/>
      </c>
      <c r="BA169" s="26">
        <f>IF($A169="","",IFERROR(IF(INDEX(drops!$R$2:$R$21,MATCH($H169,drops!$A$2:$A$21,0))="","",INDEX(drops!$R$2:$R$21,MATCH($H169,drops!$A$2:$A$21,0))),""))</f>
        <v/>
      </c>
      <c r="BB169" s="25">
        <f>IF(OR($A169="",$Q169&lt;&gt;"Y"),1000000,N($AL169))</f>
        <v/>
      </c>
      <c r="BC169" s="25">
        <f>IF($A169="","",IF(COUNTIF(survey_frozen!$P$2:$P$251,$A169&amp;"|"&amp;$B169)&gt;0,"Y",""))</f>
        <v/>
      </c>
    </row>
    <row r="170">
      <c r="C170" s="9" t="n"/>
      <c r="E170" s="9" t="n"/>
      <c r="H170" s="25">
        <f>IF($A170="","",IFERROR(IF(INDEX(campaigns!$B$2:$B$51,MATCH($A170,campaigns!$A$2:$A$51,0))="","",INDEX(campaigns!$B$2:$B$51,MATCH($A170,campaigns!$A$2:$A$51,0))),""))</f>
        <v/>
      </c>
      <c r="I170" s="26">
        <f>IF($A170="","",IFERROR(IF(INDEX(campaigns!$BG$2:$BG$51,MATCH($A170,campaigns!$A$2:$A$51,0))="","",INDEX(campaigns!$BG$2:$BG$51,MATCH($A170,campaigns!$A$2:$A$51,0))),""))</f>
        <v/>
      </c>
      <c r="J170" s="25">
        <f>IF($A170="","",IFERROR(IF(INDEX(campaigns!$BE$2:$BE$51,MATCH($A170,campaigns!$A$2:$A$51,0))="","",INDEX(campaigns!$BE$2:$BE$51,MATCH($A170,campaigns!$A$2:$A$51,0))),""))</f>
        <v/>
      </c>
      <c r="K170" s="25">
        <f>IF($B170="","",IFERROR(IF(INDEX(offices!$N$2:$N$61,MATCH($B170,offices!$A$2:$A$61,0))="","",INDEX(offices!$N$2:$N$61,MATCH($B170,offices!$A$2:$A$61,0))),""))</f>
        <v/>
      </c>
      <c r="L170" s="25">
        <f>IF($A170="","",IF($Q170="N","",COUNTIFS($A$2:$A170,$A170,$Q$2:$Q170,"&lt;&gt;N")))</f>
        <v/>
      </c>
      <c r="M170" s="25">
        <f>IF(OR($A170="",$L170=""),"",IF(AND(config!$B$34="names_if_public",IFERROR(IF(INDEX(offices!$AF$2:$AF$61,MATCH($B170,offices!$A$2:$A$61,0))="","",INDEX(offices!$AF$2:$AF$61,MATCH($B170,offices!$A$2:$A$61,0))),"")="Y"),$K170,CHAR(64+$L170)))</f>
        <v/>
      </c>
      <c r="N170" s="25">
        <f>IF(OR($A170="",$I170=""),"",COUNTIFS(stops!$B$2:$B$151,$B170,stops!$P$2:$P$151,"&lt;"&amp;$I170,stops!$L$2:$L$151,"&lt;&gt;not_delivered")+1)</f>
        <v/>
      </c>
      <c r="O170" s="25">
        <f>IF($A170="","",IF(N($N170)&lt;=config!$B$29,"explicit","opt-out"))</f>
        <v/>
      </c>
      <c r="P170" s="25">
        <f>IF($A170="","",IF($O170="explicit",IF($D170="yes","Y",IF($D170="no","N","pending")),IF($D170="no","N",IF(AND($C170&lt;&gt;"",$I170&lt;&gt;"",$C170&lt;=WORKDAY(N($I170),-5,calendar!$A$2:$A$80)),"Y","pending"))))</f>
        <v/>
      </c>
      <c r="Q170" s="25">
        <f>IF($A170="","",IF($P170="N","N",IF($P170&lt;&gt;"Y","pending",IF(AND((COUNTIFS(stops!$A$2:$A$151,$H170,stops!$B$2:$B$151,$B170,stops!$L$2:$L$151,"declined")+COUNTIFS(stops!$A$2:$A$151,$H170,stops!$B$2:$B$151,$B170,stops!$L$2:$L$151,"building_refused")+COUNTIFS(stops!$A$2:$A$151,$H170,stops!$B$2:$B$151,$B170,stops!$L$2:$L$151,"not_delivered"))&gt;0,N($U170)=0),"N","Y"))))</f>
        <v/>
      </c>
      <c r="R170" s="25">
        <f>IF($A170="","",IF(COUNTIFS($A$2:$A$251,$A170,$B$2:$B$251,$B170)&gt;1,"DUPLICATE ROW; ","")&amp;IF(AND(IFERROR(IF(INDEX(offices!$AC$2:$AC$61,MATCH($B170,offices!$A$2:$A$61,0))="","",INDEX(offices!$AC$2:$AC$61,MATCH($B170,offices!$A$2:$A$61,0))),"")&lt;&gt;"",ISNUMBER(SEARCH($J170,IFERROR(IF(INDEX(offices!$AC$2:$AC$61,MATCH($B170,offices!$A$2:$A$61,0))="","",INDEX(offices!$AC$2:$AC$61,MATCH($B170,offices!$A$2:$A$61,0))),"")))),"BRAND VETOED; ","")&amp;IF(ISNUMBER(SEARCH(IFERROR(IF(INDEX(campaigns!$BF$2:$BF$51,MATCH($A170,campaigns!$A$2:$A$51,0))="","",INDEX(campaigns!$BF$2:$BF$51,MATCH($A170,campaigns!$A$2:$A$51,0))),""),IFERROR(IF(INDEX(offices!$AB$2:$AB$61,MATCH($B170,offices!$A$2:$A$61,0))="","",INDEX(offices!$AB$2:$AB$61,MATCH($B170,offices!$A$2:$A$61,0))),""))),"","info: category not on the office's list; ")&amp;IF(IFERROR(IF(INDEX(offices!$AC$2:$AC$61,MATCH($B170,offices!$A$2:$A$61,0))="","",INDEX(offices!$AC$2:$AC$61,MATCH($B170,offices!$A$2:$A$61,0))),"")&lt;&gt;"","info: read the vetoes against the label; ",""))</f>
        <v/>
      </c>
      <c r="S170" s="25">
        <f>IF($A170="","",IF($G170&lt;&gt;"",$G170,IFERROR(IF(INDEX(offices!$AL$2:$AL$61,MATCH($B170,offices!$A$2:$A$61,0))="","",INDEX(offices!$AL$2:$AL$61,MATCH($B170,offices!$A$2:$A$61,0))),"")))</f>
        <v/>
      </c>
      <c r="T170" s="25">
        <f>IF($A170="","",$A170&amp;"."&amp;$B170)</f>
        <v/>
      </c>
      <c r="U170" s="25">
        <f>IF($A170="","",SUMIFS(inventory!$G$2:$G$801,inventory!$C$2:$C$801,$A170,inventory!$D$2:$D$801,$B170,inventory!$E$2:$E$801,"delivered"))</f>
        <v/>
      </c>
      <c r="V170" s="32">
        <f>IF($A170="","",IFERROR(1/(1/SUMPRODUCT(MAX((inventory!$C$2:$C$801=$A170)*(inventory!$D$2:$D$801=$B170)*(inventory!$E$2:$E$801="delivered")*(inventory!$A$2:$A$801+inventory!$B$2:$B$801)))),""))</f>
        <v/>
      </c>
      <c r="W170" s="25">
        <f>IF($A170="","",IFERROR(IF(INDEX(inventory!$J$2:$J$801,MATCH($A170&amp;"|"&amp;$B170&amp;"|delivered",inventory!$R$2:$R$801,0))="","",INDEX(inventory!$J$2:$J$801,MATCH($A170&amp;"|"&amp;$B170&amp;"|delivered",inventory!$R$2:$R$801,0))),""))</f>
        <v/>
      </c>
      <c r="X170" s="25">
        <f>IF($A170="","",IFERROR(IF(INDEX(photos!$H$2:$H$701,MATCH($A170&amp;"|"&amp;$B170&amp;"|placement|Y",photos!$R$2:$R$701,0))="","",INDEX(photos!$H$2:$H$701,MATCH($A170&amp;"|"&amp;$B170&amp;"|placement|Y",photos!$R$2:$R$701,0))),""))</f>
        <v/>
      </c>
      <c r="Y170" s="26">
        <f>IF($A170="","",IFERROR(IF(INDEX(photos!$E$2:$E$701,MATCH($A170&amp;"|"&amp;$B170&amp;"|placement|Y",photos!$R$2:$R$701,0))="","",INDEX(photos!$E$2:$E$701,MATCH($A170&amp;"|"&amp;$B170&amp;"|placement|Y",photos!$R$2:$R$701,0))),""))</f>
        <v/>
      </c>
      <c r="Z170" s="25">
        <f>IF($A170="","",IF(COUNTIFS(counts!$C$2:$C$701,$A170,counts!$D$2:$D$701,$B170,counts!$E$2:$E$701,"placed")=0,"",SUMIFS(counts!$F$2:$F$701,counts!$C$2:$C$701,$A170,counts!$D$2:$D$701,$B170,counts!$E$2:$E$701,"placed")))</f>
        <v/>
      </c>
      <c r="AA170" s="25">
        <f>IF($A170="","",IF($Y170="",0,N($Z170)))</f>
        <v/>
      </c>
      <c r="AB170" s="25">
        <f>IF($A170="","",IF(OR($Y170="",$I170=""),"N",IF($Y170&lt;=WORKDAY(N($I170),1,calendar!$A$2:$A$80),"Y","N")))</f>
        <v/>
      </c>
      <c r="AC170" s="28">
        <f>IF(OR($A170="",$V170="",$Y170=""),"",ROUND(($Y170+N(IFERROR(IF(INDEX(photos!$F$2:$F$701,MATCH($A170&amp;"|"&amp;$B170&amp;"|placement|Y",photos!$R$2:$R$701,0))="","",INDEX(photos!$F$2:$F$701,MATCH($A170&amp;"|"&amp;$B170&amp;"|placement|Y",photos!$R$2:$R$701,0))),""))-$V170)*24,1))</f>
        <v/>
      </c>
      <c r="AD170" s="25">
        <f>IF($A170="","",SUMIFS(inventory!$G$2:$G$801,inventory!$C$2:$C$801,$A170,inventory!$D$2:$D$801,$B170,inventory!$E$2:$E$801,"topped_up"))</f>
        <v/>
      </c>
      <c r="AE170" s="25">
        <f>IF($A170="","",IF(COUNTIFS(counts!$C$2:$C$701,$A170,counts!$D$2:$D$701,$B170,counts!$E$2:$E$701,"remaining_day3")=0,"",SUMIFS(counts!$F$2:$F$701,counts!$C$2:$C$701,$A170,counts!$D$2:$D$701,$B170,counts!$E$2:$E$701,"remaining_day3")))</f>
        <v/>
      </c>
      <c r="AF170" s="25">
        <f>IF($A170="","",IF(COUNTIFS(counts!$C$2:$C$701,$A170,counts!$D$2:$D$701,$B170,counts!$E$2:$E$701,"remaining_day5")=0,"",SUMIFS(counts!$F$2:$F$701,counts!$C$2:$C$701,$A170,counts!$D$2:$D$701,$B170,counts!$E$2:$E$701,"remaining_day5")))</f>
        <v/>
      </c>
      <c r="AG170" s="25">
        <f>IF(OR($A170="",$AF170=""),"",MAX(0,$AA170+$AD170-$AF170))</f>
        <v/>
      </c>
      <c r="AH170" s="25">
        <f>IF(OR($A170="",$AI170=""),"",IFERROR(IF(INDEX(photos!$H$2:$H$701,MATCH($A170&amp;"|"&amp;$B170&amp;"|later|Y|"&amp;$AI170,photos!$S$2:$S$701,0))="","",INDEX(photos!$H$2:$H$701,MATCH($A170&amp;"|"&amp;$B170&amp;"|later|Y|"&amp;$AI170,photos!$S$2:$S$701,0))),""))</f>
        <v/>
      </c>
      <c r="AI170" s="26">
        <f>IF($A170="","",IFERROR(1/(1/SUMPRODUCT(MAX((photos!$B$2:$B$701=$A170)*(photos!$C$2:$C$701=$B170)*(photos!$D$2:$D$701="later")*(photos!$O$2:$O$701="Y")*photos!$E$2:$E$701))),""))</f>
        <v/>
      </c>
      <c r="AJ170" s="25">
        <f>IF(OR($A170="",$AI170="",$I170=""),"",NETWORKDAYS($I170,$AI170,calendar!$A$2:$A$80))</f>
        <v/>
      </c>
      <c r="AK170" s="25">
        <f>IF($A170="","",IF(AND($X170&lt;&gt;"",$AH170&lt;&gt;""),"Y","N"))</f>
        <v/>
      </c>
      <c r="AL170" s="25">
        <f>IF(OR($A170="",$I170=""),"",IF($BC170="Y",SUMIFS(survey_frozen!$C$2:$C$251,survey_frozen!$P$2:$P$251,$A170&amp;"|"&amp;$B170),IFERROR(COUNTIFS(INDIRECT("'"&amp;$A170&amp;"'!$B$2:$B$501"),$T170,INDIRECT("'"&amp;$A170&amp;"'!$A$2:$A$501"),"&gt;="&amp;$I170,INDIRECT("'"&amp;$A170&amp;"'!$A$2:$A$501"),"&lt;"&amp;($BA170+1)),0)))</f>
        <v/>
      </c>
      <c r="AM170" s="25">
        <f>IF(OR($A170="",$I170=""),"",IF($BC170="Y",SUMIFS(survey_frozen!$D$2:$D$251,survey_frozen!$P$2:$P$251,$A170&amp;"|"&amp;$B170),IFERROR(COUNTIFS(INDIRECT("'"&amp;$A170&amp;"'!$B$2:$B$501"),$T170,INDIRECT("'"&amp;$A170&amp;"'!$A$2:$A$501"),"&gt;="&amp;$I170,INDIRECT("'"&amp;$A170&amp;"'!$A$2:$A$501"),"&lt;"&amp;($BA170+1),INDIRECT("'"&amp;$A170&amp;"'!$C$2:$C$501"),"Yes"),0)))</f>
        <v/>
      </c>
      <c r="AN170" s="25">
        <f>IF($A170="","",IF(COUNTIFS(scans!$C$2:$C$1601,(IF(LEFT($A170,7)="SAMPLE-","SAMPLE-","")&amp;LOWER(SUBSTITUTE(SUBSTITUTE($A170,"SAMPLE-",""),"CMP-","c"))&amp;"-"&amp;LOWER(SUBSTITUTE(SUBSTITUTE($B170,"SAMPLE-",""),"O-","o"))&amp;"-q"),scans!$D$2:$D$1601,"close")=0,"",SUMPRODUCT(MAX((scans!$C$2:$C$1601=(IF(LEFT($A170,7)="SAMPLE-","SAMPLE-","")&amp;LOWER(SUBSTITUTE(SUBSTITUTE($A170,"SAMPLE-",""),"CMP-","c"))&amp;"-"&amp;LOWER(SUBSTITUTE(SUBSTITUTE($B170,"SAMPLE-",""),"O-","o"))&amp;"-q"))*(scans!$D$2:$D$1601="close")*scans!$E$2:$E$1601))-SUMPRODUCT(MAX((scans!$C$2:$C$1601=(IF(LEFT($A170,7)="SAMPLE-","SAMPLE-","")&amp;LOWER(SUBSTITUTE(SUBSTITUTE($A170,"SAMPLE-",""),"CMP-","c"))&amp;"-"&amp;LOWER(SUBSTITUTE(SUBSTITUTE($B170,"SAMPLE-",""),"O-","o"))&amp;"-q"))*(scans!$D$2:$D$1601="baseline")*scans!$E$2:$E$1601))))</f>
        <v/>
      </c>
      <c r="AO170" s="25">
        <f>IF($A170="","",IF(COUNTIFS(scans!$C$2:$C$1601,(IF(LEFT($A170,7)="SAMPLE-","SAMPLE-","")&amp;LOWER(SUBSTITUTE(SUBSTITUTE($A170,"SAMPLE-",""),"CMP-","c"))&amp;"-"&amp;LOWER(SUBSTITUTE(SUBSTITUTE($B170,"SAMPLE-",""),"O-","o"))&amp;"-p"),scans!$D$2:$D$1601,"close")=0,"",SUMPRODUCT(MAX((scans!$C$2:$C$1601=(IF(LEFT($A170,7)="SAMPLE-","SAMPLE-","")&amp;LOWER(SUBSTITUTE(SUBSTITUTE($A170,"SAMPLE-",""),"CMP-","c"))&amp;"-"&amp;LOWER(SUBSTITUTE(SUBSTITUTE($B170,"SAMPLE-",""),"O-","o"))&amp;"-p"))*(scans!$D$2:$D$1601="close")*scans!$E$2:$E$1601))-SUMPRODUCT(MAX((scans!$C$2:$C$1601=(IF(LEFT($A170,7)="SAMPLE-","SAMPLE-","")&amp;LOWER(SUBSTITUTE(SUBSTITUTE($A170,"SAMPLE-",""),"CMP-","c"))&amp;"-"&amp;LOWER(SUBSTITUTE(SUBSTITUTE($B170,"SAMPLE-",""),"O-","o"))&amp;"-p"))*(scans!$D$2:$D$1601="baseline")*scans!$E$2:$E$1601))))</f>
        <v/>
      </c>
      <c r="AP170" s="25">
        <f>IF($A170="","",IF(COUNTIF(offices!$A$2:$A$61,$B170)=0,"office_id not on offices; ","")&amp;IF(COUNTIF(campaigns!$A$2:$A$51,$A170)=0,"campaign_id not on campaigns; ","")&amp;IF($P170="pending","approval pending; ","")&amp;IF(AND($U170&gt;0,$Y170="",OR($I170="",IF(config!$B$37&lt;&gt;"",config!$B$37,TODAY())&lt;=WORKDAY(N($I170),4,calendar!$A$2:$A$80))),"no usable placement photo yet; ","")&amp;IF(AND($Y170&lt;&gt;"",$Z170=""),"log the placed count; ","")&amp;IF(N($AA170)&gt;N($U170),"placed more than delivered; ","")&amp;IF(AND($AF170&lt;&gt;"",N($AF170)&gt;N($AA170)+N($AD170)),"day-5 count above placed plus top-ups; ","")&amp;IF(AND($U170&gt;0,$I170&lt;&gt;"",IF(config!$B$37&lt;&gt;"",config!$B$37,TODAY())&gt;WORKDAY(N($I170),4,calendar!$A$2:$A$80),$AF170=""),"day-5 count missing; ","")&amp;IF(AND($U170&gt;0,$I170&lt;&gt;"",IF(config!$B$37&lt;&gt;"",config!$B$37,TODAY())&gt;WORKDAY(N($I170),4,calendar!$A$2:$A$80),$AN170=""),"no close link reading; ","")&amp;$R170&amp;IF($P170="N","info: office said no; ","")&amp;IF(AND($P170="Y",$Q170="N"),"info: turned away at the door, so not on the drop (no letter, not in the report or Gate 2; the credit check is on campaigns); ","")&amp;IF(AND($U170&gt;0,$Y170="",$I170&lt;&gt;"",IF(config!$B$37&lt;&gt;"",config!$B$37,TODAY())&gt;WORKDAY(N($I170),4,calendar!$A$2:$A$80)),"info: no usable placement photo, so nothing counts as placed; ","")&amp;IF(AND($U170&gt;0,$I170&lt;&gt;"",IF(config!$B$37&lt;&gt;"",config!$B$37,TODAY())&gt;WORKDAY(N($I170),4,calendar!$A$2:$A$80),N($AL170)&lt;config!$B$30),"info: under "&amp;config!$B$30&amp;" responses; ","")&amp;IF($W170="packing_list","info: delivered count not verified; ",""))</f>
        <v/>
      </c>
      <c r="AQ170" s="25">
        <f>IF(OR($A170="",$I170=""),"",IF($BC170="Y",SUMIFS(survey_frozen!$E$2:$E$251,survey_frozen!$P$2:$P$251,$A170&amp;"|"&amp;$B170),IFERROR(COUNTIFS(INDIRECT("'"&amp;$A170&amp;"'!$B$2:$B$501"),$T170,INDIRECT("'"&amp;$A170&amp;"'!$A$2:$A$501"),"&gt;="&amp;$I170,INDIRECT("'"&amp;$A170&amp;"'!$A$2:$A$501"),"&lt;"&amp;($BA170+1),INDIRECT("'"&amp;$A170&amp;"'!$F$2:$F$501"),"Didn't see it"),0)))</f>
        <v/>
      </c>
      <c r="AR170" s="25">
        <f>IF(OR($A170="",$I170=""),"",IF($BC170="Y",SUMIFS(survey_frozen!$F$2:$F$251,survey_frozen!$P$2:$P$251,$A170&amp;"|"&amp;$B170),IFERROR(COUNTIFS(INDIRECT("'"&amp;$A170&amp;"'!$B$2:$B$501"),$T170,INDIRECT("'"&amp;$A170&amp;"'!$A$2:$A$501"),"&gt;="&amp;$I170,INDIRECT("'"&amp;$A170&amp;"'!$A$2:$A$501"),"&lt;"&amp;($BA170+1),INDIRECT("'"&amp;$A170&amp;"'!$F$2:$F$501"),"Not for me"),0)))</f>
        <v/>
      </c>
      <c r="AS170" s="25">
        <f>IF(OR($A170="",$I170=""),"",IF($BC170="Y",SUMIFS(survey_frozen!$G$2:$G$251,survey_frozen!$P$2:$P$251,$A170&amp;"|"&amp;$B170),IFERROR(COUNTIFS(INDIRECT("'"&amp;$A170&amp;"'!$B$2:$B$501"),$T170,INDIRECT("'"&amp;$A170&amp;"'!$A$2:$A$501"),"&gt;="&amp;$I170,INDIRECT("'"&amp;$A170&amp;"'!$A$2:$A$501"),"&lt;"&amp;($BA170+1),INDIRECT("'"&amp;$A170&amp;"'!$F$2:$F$501"),"Gone by the time I looked"),0)))</f>
        <v/>
      </c>
      <c r="AT170" s="25">
        <f>IF(OR($A170="",$I170=""),"",IF($BC170="Y",SUMIFS(survey_frozen!$H$2:$H$251,survey_frozen!$P$2:$P$251,$A170&amp;"|"&amp;$B170),IFERROR(COUNTIFS(INDIRECT("'"&amp;$A170&amp;"'!$B$2:$B$501"),$T170,INDIRECT("'"&amp;$A170&amp;"'!$A$2:$A$501"),"&gt;="&amp;$I170,INDIRECT("'"&amp;$A170&amp;"'!$A$2:$A$501"),"&lt;"&amp;($BA170+1),INDIRECT("'"&amp;$A170&amp;"'!$D$2:$D$501"),"&gt;=1"),0)))</f>
        <v/>
      </c>
      <c r="AU170" s="25">
        <f>IF(OR($A170="",$I170=""),"",IF($BC170="Y",SUMIFS(survey_frozen!$I$2:$I$251,survey_frozen!$P$2:$P$251,$A170&amp;"|"&amp;$B170),IFERROR(SUMIFS(INDIRECT("'"&amp;$A170&amp;"'!$D$2:$D$501"),INDIRECT("'"&amp;$A170&amp;"'!$B$2:$B$501"),$T170,INDIRECT("'"&amp;$A170&amp;"'!$A$2:$A$501"),"&gt;="&amp;$I170,INDIRECT("'"&amp;$A170&amp;"'!$A$2:$A$501"),"&lt;"&amp;($BA170+1)),0)))</f>
        <v/>
      </c>
      <c r="AV170" s="25">
        <f>IF(OR($A170="",$I170=""),"",IF($BC170="Y",SUMIFS(survey_frozen!$J$2:$J$251,survey_frozen!$P$2:$P$251,$A170&amp;"|"&amp;$B170),IFERROR(COUNTIFS(INDIRECT("'"&amp;$A170&amp;"'!$B$2:$B$501"),$T170,INDIRECT("'"&amp;$A170&amp;"'!$A$2:$A$501"),"&gt;="&amp;$I170,INDIRECT("'"&amp;$A170&amp;"'!$A$2:$A$501"),"&lt;"&amp;($BA170+1),INDIRECT("'"&amp;$A170&amp;"'!$E$2:$E$501"),"Yes"),0)))</f>
        <v/>
      </c>
      <c r="AW170" s="25">
        <f>IF(OR($A170="",$I170=""),"",IF($BC170="Y",SUMIFS(survey_frozen!$K$2:$K$251,survey_frozen!$P$2:$P$251,$A170&amp;"|"&amp;$B170),IFERROR(COUNTIFS(INDIRECT("'"&amp;$A170&amp;"'!$B$2:$B$501"),$T170,INDIRECT("'"&amp;$A170&amp;"'!$A$2:$A$501"),"&gt;="&amp;$I170,INDIRECT("'"&amp;$A170&amp;"'!$A$2:$A$501"),"&lt;"&amp;($BA170+1),INDIRECT("'"&amp;$A170&amp;"'!$E$2:$E$501"),"Maybe"),0)))</f>
        <v/>
      </c>
      <c r="AX170" s="25">
        <f>IF(OR($A170="",$I170=""),"",IF($BC170="Y",SUMIFS(survey_frozen!$L$2:$L$251,survey_frozen!$P$2:$P$251,$A170&amp;"|"&amp;$B170),IFERROR(COUNTIFS(INDIRECT("'"&amp;$A170&amp;"'!$B$2:$B$501"),$T170,INDIRECT("'"&amp;$A170&amp;"'!$A$2:$A$501"),"&gt;="&amp;$I170,INDIRECT("'"&amp;$A170&amp;"'!$A$2:$A$501"),"&lt;"&amp;($BA170+1),INDIRECT("'"&amp;$A170&amp;"'!$E$2:$E$501"),"No"),0)))</f>
        <v/>
      </c>
      <c r="AY170" s="25">
        <f>IF(OR($A170="",$I170=""),"",IF($BC170="Y",SUMIFS(survey_frozen!$M$2:$M$251,survey_frozen!$P$2:$P$251,$A170&amp;"|"&amp;$B170),IFERROR(COUNTIFS(INDIRECT("'"&amp;$A170&amp;"'!$B$2:$B$501"),$T170,INDIRECT("'"&amp;$A170&amp;"'!$A$2:$A$501"),"&gt;="&amp;$I170,INDIRECT("'"&amp;$A170&amp;"'!$A$2:$A$501"),"&lt;"&amp;($BA170+1),INDIRECT("'"&amp;$A170&amp;"'!$G$2:$G$501"),"&lt;&gt;"),0)))</f>
        <v/>
      </c>
      <c r="AZ170" s="25">
        <f>IF($A170="","",$A170&amp;"|"&amp;$L170)</f>
        <v/>
      </c>
      <c r="BA170" s="26">
        <f>IF($A170="","",IFERROR(IF(INDEX(drops!$R$2:$R$21,MATCH($H170,drops!$A$2:$A$21,0))="","",INDEX(drops!$R$2:$R$21,MATCH($H170,drops!$A$2:$A$21,0))),""))</f>
        <v/>
      </c>
      <c r="BB170" s="25">
        <f>IF(OR($A170="",$Q170&lt;&gt;"Y"),1000000,N($AL170))</f>
        <v/>
      </c>
      <c r="BC170" s="25">
        <f>IF($A170="","",IF(COUNTIF(survey_frozen!$P$2:$P$251,$A170&amp;"|"&amp;$B170)&gt;0,"Y",""))</f>
        <v/>
      </c>
    </row>
    <row r="171">
      <c r="C171" s="9" t="n"/>
      <c r="E171" s="9" t="n"/>
      <c r="H171" s="25">
        <f>IF($A171="","",IFERROR(IF(INDEX(campaigns!$B$2:$B$51,MATCH($A171,campaigns!$A$2:$A$51,0))="","",INDEX(campaigns!$B$2:$B$51,MATCH($A171,campaigns!$A$2:$A$51,0))),""))</f>
        <v/>
      </c>
      <c r="I171" s="26">
        <f>IF($A171="","",IFERROR(IF(INDEX(campaigns!$BG$2:$BG$51,MATCH($A171,campaigns!$A$2:$A$51,0))="","",INDEX(campaigns!$BG$2:$BG$51,MATCH($A171,campaigns!$A$2:$A$51,0))),""))</f>
        <v/>
      </c>
      <c r="J171" s="25">
        <f>IF($A171="","",IFERROR(IF(INDEX(campaigns!$BE$2:$BE$51,MATCH($A171,campaigns!$A$2:$A$51,0))="","",INDEX(campaigns!$BE$2:$BE$51,MATCH($A171,campaigns!$A$2:$A$51,0))),""))</f>
        <v/>
      </c>
      <c r="K171" s="25">
        <f>IF($B171="","",IFERROR(IF(INDEX(offices!$N$2:$N$61,MATCH($B171,offices!$A$2:$A$61,0))="","",INDEX(offices!$N$2:$N$61,MATCH($B171,offices!$A$2:$A$61,0))),""))</f>
        <v/>
      </c>
      <c r="L171" s="25">
        <f>IF($A171="","",IF($Q171="N","",COUNTIFS($A$2:$A171,$A171,$Q$2:$Q171,"&lt;&gt;N")))</f>
        <v/>
      </c>
      <c r="M171" s="25">
        <f>IF(OR($A171="",$L171=""),"",IF(AND(config!$B$34="names_if_public",IFERROR(IF(INDEX(offices!$AF$2:$AF$61,MATCH($B171,offices!$A$2:$A$61,0))="","",INDEX(offices!$AF$2:$AF$61,MATCH($B171,offices!$A$2:$A$61,0))),"")="Y"),$K171,CHAR(64+$L171)))</f>
        <v/>
      </c>
      <c r="N171" s="25">
        <f>IF(OR($A171="",$I171=""),"",COUNTIFS(stops!$B$2:$B$151,$B171,stops!$P$2:$P$151,"&lt;"&amp;$I171,stops!$L$2:$L$151,"&lt;&gt;not_delivered")+1)</f>
        <v/>
      </c>
      <c r="O171" s="25">
        <f>IF($A171="","",IF(N($N171)&lt;=config!$B$29,"explicit","opt-out"))</f>
        <v/>
      </c>
      <c r="P171" s="25">
        <f>IF($A171="","",IF($O171="explicit",IF($D171="yes","Y",IF($D171="no","N","pending")),IF($D171="no","N",IF(AND($C171&lt;&gt;"",$I171&lt;&gt;"",$C171&lt;=WORKDAY(N($I171),-5,calendar!$A$2:$A$80)),"Y","pending"))))</f>
        <v/>
      </c>
      <c r="Q171" s="25">
        <f>IF($A171="","",IF($P171="N","N",IF($P171&lt;&gt;"Y","pending",IF(AND((COUNTIFS(stops!$A$2:$A$151,$H171,stops!$B$2:$B$151,$B171,stops!$L$2:$L$151,"declined")+COUNTIFS(stops!$A$2:$A$151,$H171,stops!$B$2:$B$151,$B171,stops!$L$2:$L$151,"building_refused")+COUNTIFS(stops!$A$2:$A$151,$H171,stops!$B$2:$B$151,$B171,stops!$L$2:$L$151,"not_delivered"))&gt;0,N($U171)=0),"N","Y"))))</f>
        <v/>
      </c>
      <c r="R171" s="25">
        <f>IF($A171="","",IF(COUNTIFS($A$2:$A$251,$A171,$B$2:$B$251,$B171)&gt;1,"DUPLICATE ROW; ","")&amp;IF(AND(IFERROR(IF(INDEX(offices!$AC$2:$AC$61,MATCH($B171,offices!$A$2:$A$61,0))="","",INDEX(offices!$AC$2:$AC$61,MATCH($B171,offices!$A$2:$A$61,0))),"")&lt;&gt;"",ISNUMBER(SEARCH($J171,IFERROR(IF(INDEX(offices!$AC$2:$AC$61,MATCH($B171,offices!$A$2:$A$61,0))="","",INDEX(offices!$AC$2:$AC$61,MATCH($B171,offices!$A$2:$A$61,0))),"")))),"BRAND VETOED; ","")&amp;IF(ISNUMBER(SEARCH(IFERROR(IF(INDEX(campaigns!$BF$2:$BF$51,MATCH($A171,campaigns!$A$2:$A$51,0))="","",INDEX(campaigns!$BF$2:$BF$51,MATCH($A171,campaigns!$A$2:$A$51,0))),""),IFERROR(IF(INDEX(offices!$AB$2:$AB$61,MATCH($B171,offices!$A$2:$A$61,0))="","",INDEX(offices!$AB$2:$AB$61,MATCH($B171,offices!$A$2:$A$61,0))),""))),"","info: category not on the office's list; ")&amp;IF(IFERROR(IF(INDEX(offices!$AC$2:$AC$61,MATCH($B171,offices!$A$2:$A$61,0))="","",INDEX(offices!$AC$2:$AC$61,MATCH($B171,offices!$A$2:$A$61,0))),"")&lt;&gt;"","info: read the vetoes against the label; ",""))</f>
        <v/>
      </c>
      <c r="S171" s="25">
        <f>IF($A171="","",IF($G171&lt;&gt;"",$G171,IFERROR(IF(INDEX(offices!$AL$2:$AL$61,MATCH($B171,offices!$A$2:$A$61,0))="","",INDEX(offices!$AL$2:$AL$61,MATCH($B171,offices!$A$2:$A$61,0))),"")))</f>
        <v/>
      </c>
      <c r="T171" s="25">
        <f>IF($A171="","",$A171&amp;"."&amp;$B171)</f>
        <v/>
      </c>
      <c r="U171" s="25">
        <f>IF($A171="","",SUMIFS(inventory!$G$2:$G$801,inventory!$C$2:$C$801,$A171,inventory!$D$2:$D$801,$B171,inventory!$E$2:$E$801,"delivered"))</f>
        <v/>
      </c>
      <c r="V171" s="32">
        <f>IF($A171="","",IFERROR(1/(1/SUMPRODUCT(MAX((inventory!$C$2:$C$801=$A171)*(inventory!$D$2:$D$801=$B171)*(inventory!$E$2:$E$801="delivered")*(inventory!$A$2:$A$801+inventory!$B$2:$B$801)))),""))</f>
        <v/>
      </c>
      <c r="W171" s="25">
        <f>IF($A171="","",IFERROR(IF(INDEX(inventory!$J$2:$J$801,MATCH($A171&amp;"|"&amp;$B171&amp;"|delivered",inventory!$R$2:$R$801,0))="","",INDEX(inventory!$J$2:$J$801,MATCH($A171&amp;"|"&amp;$B171&amp;"|delivered",inventory!$R$2:$R$801,0))),""))</f>
        <v/>
      </c>
      <c r="X171" s="25">
        <f>IF($A171="","",IFERROR(IF(INDEX(photos!$H$2:$H$701,MATCH($A171&amp;"|"&amp;$B171&amp;"|placement|Y",photos!$R$2:$R$701,0))="","",INDEX(photos!$H$2:$H$701,MATCH($A171&amp;"|"&amp;$B171&amp;"|placement|Y",photos!$R$2:$R$701,0))),""))</f>
        <v/>
      </c>
      <c r="Y171" s="26">
        <f>IF($A171="","",IFERROR(IF(INDEX(photos!$E$2:$E$701,MATCH($A171&amp;"|"&amp;$B171&amp;"|placement|Y",photos!$R$2:$R$701,0))="","",INDEX(photos!$E$2:$E$701,MATCH($A171&amp;"|"&amp;$B171&amp;"|placement|Y",photos!$R$2:$R$701,0))),""))</f>
        <v/>
      </c>
      <c r="Z171" s="25">
        <f>IF($A171="","",IF(COUNTIFS(counts!$C$2:$C$701,$A171,counts!$D$2:$D$701,$B171,counts!$E$2:$E$701,"placed")=0,"",SUMIFS(counts!$F$2:$F$701,counts!$C$2:$C$701,$A171,counts!$D$2:$D$701,$B171,counts!$E$2:$E$701,"placed")))</f>
        <v/>
      </c>
      <c r="AA171" s="25">
        <f>IF($A171="","",IF($Y171="",0,N($Z171)))</f>
        <v/>
      </c>
      <c r="AB171" s="25">
        <f>IF($A171="","",IF(OR($Y171="",$I171=""),"N",IF($Y171&lt;=WORKDAY(N($I171),1,calendar!$A$2:$A$80),"Y","N")))</f>
        <v/>
      </c>
      <c r="AC171" s="28">
        <f>IF(OR($A171="",$V171="",$Y171=""),"",ROUND(($Y171+N(IFERROR(IF(INDEX(photos!$F$2:$F$701,MATCH($A171&amp;"|"&amp;$B171&amp;"|placement|Y",photos!$R$2:$R$701,0))="","",INDEX(photos!$F$2:$F$701,MATCH($A171&amp;"|"&amp;$B171&amp;"|placement|Y",photos!$R$2:$R$701,0))),""))-$V171)*24,1))</f>
        <v/>
      </c>
      <c r="AD171" s="25">
        <f>IF($A171="","",SUMIFS(inventory!$G$2:$G$801,inventory!$C$2:$C$801,$A171,inventory!$D$2:$D$801,$B171,inventory!$E$2:$E$801,"topped_up"))</f>
        <v/>
      </c>
      <c r="AE171" s="25">
        <f>IF($A171="","",IF(COUNTIFS(counts!$C$2:$C$701,$A171,counts!$D$2:$D$701,$B171,counts!$E$2:$E$701,"remaining_day3")=0,"",SUMIFS(counts!$F$2:$F$701,counts!$C$2:$C$701,$A171,counts!$D$2:$D$701,$B171,counts!$E$2:$E$701,"remaining_day3")))</f>
        <v/>
      </c>
      <c r="AF171" s="25">
        <f>IF($A171="","",IF(COUNTIFS(counts!$C$2:$C$701,$A171,counts!$D$2:$D$701,$B171,counts!$E$2:$E$701,"remaining_day5")=0,"",SUMIFS(counts!$F$2:$F$701,counts!$C$2:$C$701,$A171,counts!$D$2:$D$701,$B171,counts!$E$2:$E$701,"remaining_day5")))</f>
        <v/>
      </c>
      <c r="AG171" s="25">
        <f>IF(OR($A171="",$AF171=""),"",MAX(0,$AA171+$AD171-$AF171))</f>
        <v/>
      </c>
      <c r="AH171" s="25">
        <f>IF(OR($A171="",$AI171=""),"",IFERROR(IF(INDEX(photos!$H$2:$H$701,MATCH($A171&amp;"|"&amp;$B171&amp;"|later|Y|"&amp;$AI171,photos!$S$2:$S$701,0))="","",INDEX(photos!$H$2:$H$701,MATCH($A171&amp;"|"&amp;$B171&amp;"|later|Y|"&amp;$AI171,photos!$S$2:$S$701,0))),""))</f>
        <v/>
      </c>
      <c r="AI171" s="26">
        <f>IF($A171="","",IFERROR(1/(1/SUMPRODUCT(MAX((photos!$B$2:$B$701=$A171)*(photos!$C$2:$C$701=$B171)*(photos!$D$2:$D$701="later")*(photos!$O$2:$O$701="Y")*photos!$E$2:$E$701))),""))</f>
        <v/>
      </c>
      <c r="AJ171" s="25">
        <f>IF(OR($A171="",$AI171="",$I171=""),"",NETWORKDAYS($I171,$AI171,calendar!$A$2:$A$80))</f>
        <v/>
      </c>
      <c r="AK171" s="25">
        <f>IF($A171="","",IF(AND($X171&lt;&gt;"",$AH171&lt;&gt;""),"Y","N"))</f>
        <v/>
      </c>
      <c r="AL171" s="25">
        <f>IF(OR($A171="",$I171=""),"",IF($BC171="Y",SUMIFS(survey_frozen!$C$2:$C$251,survey_frozen!$P$2:$P$251,$A171&amp;"|"&amp;$B171),IFERROR(COUNTIFS(INDIRECT("'"&amp;$A171&amp;"'!$B$2:$B$501"),$T171,INDIRECT("'"&amp;$A171&amp;"'!$A$2:$A$501"),"&gt;="&amp;$I171,INDIRECT("'"&amp;$A171&amp;"'!$A$2:$A$501"),"&lt;"&amp;($BA171+1)),0)))</f>
        <v/>
      </c>
      <c r="AM171" s="25">
        <f>IF(OR($A171="",$I171=""),"",IF($BC171="Y",SUMIFS(survey_frozen!$D$2:$D$251,survey_frozen!$P$2:$P$251,$A171&amp;"|"&amp;$B171),IFERROR(COUNTIFS(INDIRECT("'"&amp;$A171&amp;"'!$B$2:$B$501"),$T171,INDIRECT("'"&amp;$A171&amp;"'!$A$2:$A$501"),"&gt;="&amp;$I171,INDIRECT("'"&amp;$A171&amp;"'!$A$2:$A$501"),"&lt;"&amp;($BA171+1),INDIRECT("'"&amp;$A171&amp;"'!$C$2:$C$501"),"Yes"),0)))</f>
        <v/>
      </c>
      <c r="AN171" s="25">
        <f>IF($A171="","",IF(COUNTIFS(scans!$C$2:$C$1601,(IF(LEFT($A171,7)="SAMPLE-","SAMPLE-","")&amp;LOWER(SUBSTITUTE(SUBSTITUTE($A171,"SAMPLE-",""),"CMP-","c"))&amp;"-"&amp;LOWER(SUBSTITUTE(SUBSTITUTE($B171,"SAMPLE-",""),"O-","o"))&amp;"-q"),scans!$D$2:$D$1601,"close")=0,"",SUMPRODUCT(MAX((scans!$C$2:$C$1601=(IF(LEFT($A171,7)="SAMPLE-","SAMPLE-","")&amp;LOWER(SUBSTITUTE(SUBSTITUTE($A171,"SAMPLE-",""),"CMP-","c"))&amp;"-"&amp;LOWER(SUBSTITUTE(SUBSTITUTE($B171,"SAMPLE-",""),"O-","o"))&amp;"-q"))*(scans!$D$2:$D$1601="close")*scans!$E$2:$E$1601))-SUMPRODUCT(MAX((scans!$C$2:$C$1601=(IF(LEFT($A171,7)="SAMPLE-","SAMPLE-","")&amp;LOWER(SUBSTITUTE(SUBSTITUTE($A171,"SAMPLE-",""),"CMP-","c"))&amp;"-"&amp;LOWER(SUBSTITUTE(SUBSTITUTE($B171,"SAMPLE-",""),"O-","o"))&amp;"-q"))*(scans!$D$2:$D$1601="baseline")*scans!$E$2:$E$1601))))</f>
        <v/>
      </c>
      <c r="AO171" s="25">
        <f>IF($A171="","",IF(COUNTIFS(scans!$C$2:$C$1601,(IF(LEFT($A171,7)="SAMPLE-","SAMPLE-","")&amp;LOWER(SUBSTITUTE(SUBSTITUTE($A171,"SAMPLE-",""),"CMP-","c"))&amp;"-"&amp;LOWER(SUBSTITUTE(SUBSTITUTE($B171,"SAMPLE-",""),"O-","o"))&amp;"-p"),scans!$D$2:$D$1601,"close")=0,"",SUMPRODUCT(MAX((scans!$C$2:$C$1601=(IF(LEFT($A171,7)="SAMPLE-","SAMPLE-","")&amp;LOWER(SUBSTITUTE(SUBSTITUTE($A171,"SAMPLE-",""),"CMP-","c"))&amp;"-"&amp;LOWER(SUBSTITUTE(SUBSTITUTE($B171,"SAMPLE-",""),"O-","o"))&amp;"-p"))*(scans!$D$2:$D$1601="close")*scans!$E$2:$E$1601))-SUMPRODUCT(MAX((scans!$C$2:$C$1601=(IF(LEFT($A171,7)="SAMPLE-","SAMPLE-","")&amp;LOWER(SUBSTITUTE(SUBSTITUTE($A171,"SAMPLE-",""),"CMP-","c"))&amp;"-"&amp;LOWER(SUBSTITUTE(SUBSTITUTE($B171,"SAMPLE-",""),"O-","o"))&amp;"-p"))*(scans!$D$2:$D$1601="baseline")*scans!$E$2:$E$1601))))</f>
        <v/>
      </c>
      <c r="AP171" s="25">
        <f>IF($A171="","",IF(COUNTIF(offices!$A$2:$A$61,$B171)=0,"office_id not on offices; ","")&amp;IF(COUNTIF(campaigns!$A$2:$A$51,$A171)=0,"campaign_id not on campaigns; ","")&amp;IF($P171="pending","approval pending; ","")&amp;IF(AND($U171&gt;0,$Y171="",OR($I171="",IF(config!$B$37&lt;&gt;"",config!$B$37,TODAY())&lt;=WORKDAY(N($I171),4,calendar!$A$2:$A$80))),"no usable placement photo yet; ","")&amp;IF(AND($Y171&lt;&gt;"",$Z171=""),"log the placed count; ","")&amp;IF(N($AA171)&gt;N($U171),"placed more than delivered; ","")&amp;IF(AND($AF171&lt;&gt;"",N($AF171)&gt;N($AA171)+N($AD171)),"day-5 count above placed plus top-ups; ","")&amp;IF(AND($U171&gt;0,$I171&lt;&gt;"",IF(config!$B$37&lt;&gt;"",config!$B$37,TODAY())&gt;WORKDAY(N($I171),4,calendar!$A$2:$A$80),$AF171=""),"day-5 count missing; ","")&amp;IF(AND($U171&gt;0,$I171&lt;&gt;"",IF(config!$B$37&lt;&gt;"",config!$B$37,TODAY())&gt;WORKDAY(N($I171),4,calendar!$A$2:$A$80),$AN171=""),"no close link reading; ","")&amp;$R171&amp;IF($P171="N","info: office said no; ","")&amp;IF(AND($P171="Y",$Q171="N"),"info: turned away at the door, so not on the drop (no letter, not in the report or Gate 2; the credit check is on campaigns); ","")&amp;IF(AND($U171&gt;0,$Y171="",$I171&lt;&gt;"",IF(config!$B$37&lt;&gt;"",config!$B$37,TODAY())&gt;WORKDAY(N($I171),4,calendar!$A$2:$A$80)),"info: no usable placement photo, so nothing counts as placed; ","")&amp;IF(AND($U171&gt;0,$I171&lt;&gt;"",IF(config!$B$37&lt;&gt;"",config!$B$37,TODAY())&gt;WORKDAY(N($I171),4,calendar!$A$2:$A$80),N($AL171)&lt;config!$B$30),"info: under "&amp;config!$B$30&amp;" responses; ","")&amp;IF($W171="packing_list","info: delivered count not verified; ",""))</f>
        <v/>
      </c>
      <c r="AQ171" s="25">
        <f>IF(OR($A171="",$I171=""),"",IF($BC171="Y",SUMIFS(survey_frozen!$E$2:$E$251,survey_frozen!$P$2:$P$251,$A171&amp;"|"&amp;$B171),IFERROR(COUNTIFS(INDIRECT("'"&amp;$A171&amp;"'!$B$2:$B$501"),$T171,INDIRECT("'"&amp;$A171&amp;"'!$A$2:$A$501"),"&gt;="&amp;$I171,INDIRECT("'"&amp;$A171&amp;"'!$A$2:$A$501"),"&lt;"&amp;($BA171+1),INDIRECT("'"&amp;$A171&amp;"'!$F$2:$F$501"),"Didn't see it"),0)))</f>
        <v/>
      </c>
      <c r="AR171" s="25">
        <f>IF(OR($A171="",$I171=""),"",IF($BC171="Y",SUMIFS(survey_frozen!$F$2:$F$251,survey_frozen!$P$2:$P$251,$A171&amp;"|"&amp;$B171),IFERROR(COUNTIFS(INDIRECT("'"&amp;$A171&amp;"'!$B$2:$B$501"),$T171,INDIRECT("'"&amp;$A171&amp;"'!$A$2:$A$501"),"&gt;="&amp;$I171,INDIRECT("'"&amp;$A171&amp;"'!$A$2:$A$501"),"&lt;"&amp;($BA171+1),INDIRECT("'"&amp;$A171&amp;"'!$F$2:$F$501"),"Not for me"),0)))</f>
        <v/>
      </c>
      <c r="AS171" s="25">
        <f>IF(OR($A171="",$I171=""),"",IF($BC171="Y",SUMIFS(survey_frozen!$G$2:$G$251,survey_frozen!$P$2:$P$251,$A171&amp;"|"&amp;$B171),IFERROR(COUNTIFS(INDIRECT("'"&amp;$A171&amp;"'!$B$2:$B$501"),$T171,INDIRECT("'"&amp;$A171&amp;"'!$A$2:$A$501"),"&gt;="&amp;$I171,INDIRECT("'"&amp;$A171&amp;"'!$A$2:$A$501"),"&lt;"&amp;($BA171+1),INDIRECT("'"&amp;$A171&amp;"'!$F$2:$F$501"),"Gone by the time I looked"),0)))</f>
        <v/>
      </c>
      <c r="AT171" s="25">
        <f>IF(OR($A171="",$I171=""),"",IF($BC171="Y",SUMIFS(survey_frozen!$H$2:$H$251,survey_frozen!$P$2:$P$251,$A171&amp;"|"&amp;$B171),IFERROR(COUNTIFS(INDIRECT("'"&amp;$A171&amp;"'!$B$2:$B$501"),$T171,INDIRECT("'"&amp;$A171&amp;"'!$A$2:$A$501"),"&gt;="&amp;$I171,INDIRECT("'"&amp;$A171&amp;"'!$A$2:$A$501"),"&lt;"&amp;($BA171+1),INDIRECT("'"&amp;$A171&amp;"'!$D$2:$D$501"),"&gt;=1"),0)))</f>
        <v/>
      </c>
      <c r="AU171" s="25">
        <f>IF(OR($A171="",$I171=""),"",IF($BC171="Y",SUMIFS(survey_frozen!$I$2:$I$251,survey_frozen!$P$2:$P$251,$A171&amp;"|"&amp;$B171),IFERROR(SUMIFS(INDIRECT("'"&amp;$A171&amp;"'!$D$2:$D$501"),INDIRECT("'"&amp;$A171&amp;"'!$B$2:$B$501"),$T171,INDIRECT("'"&amp;$A171&amp;"'!$A$2:$A$501"),"&gt;="&amp;$I171,INDIRECT("'"&amp;$A171&amp;"'!$A$2:$A$501"),"&lt;"&amp;($BA171+1)),0)))</f>
        <v/>
      </c>
      <c r="AV171" s="25">
        <f>IF(OR($A171="",$I171=""),"",IF($BC171="Y",SUMIFS(survey_frozen!$J$2:$J$251,survey_frozen!$P$2:$P$251,$A171&amp;"|"&amp;$B171),IFERROR(COUNTIFS(INDIRECT("'"&amp;$A171&amp;"'!$B$2:$B$501"),$T171,INDIRECT("'"&amp;$A171&amp;"'!$A$2:$A$501"),"&gt;="&amp;$I171,INDIRECT("'"&amp;$A171&amp;"'!$A$2:$A$501"),"&lt;"&amp;($BA171+1),INDIRECT("'"&amp;$A171&amp;"'!$E$2:$E$501"),"Yes"),0)))</f>
        <v/>
      </c>
      <c r="AW171" s="25">
        <f>IF(OR($A171="",$I171=""),"",IF($BC171="Y",SUMIFS(survey_frozen!$K$2:$K$251,survey_frozen!$P$2:$P$251,$A171&amp;"|"&amp;$B171),IFERROR(COUNTIFS(INDIRECT("'"&amp;$A171&amp;"'!$B$2:$B$501"),$T171,INDIRECT("'"&amp;$A171&amp;"'!$A$2:$A$501"),"&gt;="&amp;$I171,INDIRECT("'"&amp;$A171&amp;"'!$A$2:$A$501"),"&lt;"&amp;($BA171+1),INDIRECT("'"&amp;$A171&amp;"'!$E$2:$E$501"),"Maybe"),0)))</f>
        <v/>
      </c>
      <c r="AX171" s="25">
        <f>IF(OR($A171="",$I171=""),"",IF($BC171="Y",SUMIFS(survey_frozen!$L$2:$L$251,survey_frozen!$P$2:$P$251,$A171&amp;"|"&amp;$B171),IFERROR(COUNTIFS(INDIRECT("'"&amp;$A171&amp;"'!$B$2:$B$501"),$T171,INDIRECT("'"&amp;$A171&amp;"'!$A$2:$A$501"),"&gt;="&amp;$I171,INDIRECT("'"&amp;$A171&amp;"'!$A$2:$A$501"),"&lt;"&amp;($BA171+1),INDIRECT("'"&amp;$A171&amp;"'!$E$2:$E$501"),"No"),0)))</f>
        <v/>
      </c>
      <c r="AY171" s="25">
        <f>IF(OR($A171="",$I171=""),"",IF($BC171="Y",SUMIFS(survey_frozen!$M$2:$M$251,survey_frozen!$P$2:$P$251,$A171&amp;"|"&amp;$B171),IFERROR(COUNTIFS(INDIRECT("'"&amp;$A171&amp;"'!$B$2:$B$501"),$T171,INDIRECT("'"&amp;$A171&amp;"'!$A$2:$A$501"),"&gt;="&amp;$I171,INDIRECT("'"&amp;$A171&amp;"'!$A$2:$A$501"),"&lt;"&amp;($BA171+1),INDIRECT("'"&amp;$A171&amp;"'!$G$2:$G$501"),"&lt;&gt;"),0)))</f>
        <v/>
      </c>
      <c r="AZ171" s="25">
        <f>IF($A171="","",$A171&amp;"|"&amp;$L171)</f>
        <v/>
      </c>
      <c r="BA171" s="26">
        <f>IF($A171="","",IFERROR(IF(INDEX(drops!$R$2:$R$21,MATCH($H171,drops!$A$2:$A$21,0))="","",INDEX(drops!$R$2:$R$21,MATCH($H171,drops!$A$2:$A$21,0))),""))</f>
        <v/>
      </c>
      <c r="BB171" s="25">
        <f>IF(OR($A171="",$Q171&lt;&gt;"Y"),1000000,N($AL171))</f>
        <v/>
      </c>
      <c r="BC171" s="25">
        <f>IF($A171="","",IF(COUNTIF(survey_frozen!$P$2:$P$251,$A171&amp;"|"&amp;$B171)&gt;0,"Y",""))</f>
        <v/>
      </c>
    </row>
    <row r="172">
      <c r="C172" s="9" t="n"/>
      <c r="E172" s="9" t="n"/>
      <c r="H172" s="25">
        <f>IF($A172="","",IFERROR(IF(INDEX(campaigns!$B$2:$B$51,MATCH($A172,campaigns!$A$2:$A$51,0))="","",INDEX(campaigns!$B$2:$B$51,MATCH($A172,campaigns!$A$2:$A$51,0))),""))</f>
        <v/>
      </c>
      <c r="I172" s="26">
        <f>IF($A172="","",IFERROR(IF(INDEX(campaigns!$BG$2:$BG$51,MATCH($A172,campaigns!$A$2:$A$51,0))="","",INDEX(campaigns!$BG$2:$BG$51,MATCH($A172,campaigns!$A$2:$A$51,0))),""))</f>
        <v/>
      </c>
      <c r="J172" s="25">
        <f>IF($A172="","",IFERROR(IF(INDEX(campaigns!$BE$2:$BE$51,MATCH($A172,campaigns!$A$2:$A$51,0))="","",INDEX(campaigns!$BE$2:$BE$51,MATCH($A172,campaigns!$A$2:$A$51,0))),""))</f>
        <v/>
      </c>
      <c r="K172" s="25">
        <f>IF($B172="","",IFERROR(IF(INDEX(offices!$N$2:$N$61,MATCH($B172,offices!$A$2:$A$61,0))="","",INDEX(offices!$N$2:$N$61,MATCH($B172,offices!$A$2:$A$61,0))),""))</f>
        <v/>
      </c>
      <c r="L172" s="25">
        <f>IF($A172="","",IF($Q172="N","",COUNTIFS($A$2:$A172,$A172,$Q$2:$Q172,"&lt;&gt;N")))</f>
        <v/>
      </c>
      <c r="M172" s="25">
        <f>IF(OR($A172="",$L172=""),"",IF(AND(config!$B$34="names_if_public",IFERROR(IF(INDEX(offices!$AF$2:$AF$61,MATCH($B172,offices!$A$2:$A$61,0))="","",INDEX(offices!$AF$2:$AF$61,MATCH($B172,offices!$A$2:$A$61,0))),"")="Y"),$K172,CHAR(64+$L172)))</f>
        <v/>
      </c>
      <c r="N172" s="25">
        <f>IF(OR($A172="",$I172=""),"",COUNTIFS(stops!$B$2:$B$151,$B172,stops!$P$2:$P$151,"&lt;"&amp;$I172,stops!$L$2:$L$151,"&lt;&gt;not_delivered")+1)</f>
        <v/>
      </c>
      <c r="O172" s="25">
        <f>IF($A172="","",IF(N($N172)&lt;=config!$B$29,"explicit","opt-out"))</f>
        <v/>
      </c>
      <c r="P172" s="25">
        <f>IF($A172="","",IF($O172="explicit",IF($D172="yes","Y",IF($D172="no","N","pending")),IF($D172="no","N",IF(AND($C172&lt;&gt;"",$I172&lt;&gt;"",$C172&lt;=WORKDAY(N($I172),-5,calendar!$A$2:$A$80)),"Y","pending"))))</f>
        <v/>
      </c>
      <c r="Q172" s="25">
        <f>IF($A172="","",IF($P172="N","N",IF($P172&lt;&gt;"Y","pending",IF(AND((COUNTIFS(stops!$A$2:$A$151,$H172,stops!$B$2:$B$151,$B172,stops!$L$2:$L$151,"declined")+COUNTIFS(stops!$A$2:$A$151,$H172,stops!$B$2:$B$151,$B172,stops!$L$2:$L$151,"building_refused")+COUNTIFS(stops!$A$2:$A$151,$H172,stops!$B$2:$B$151,$B172,stops!$L$2:$L$151,"not_delivered"))&gt;0,N($U172)=0),"N","Y"))))</f>
        <v/>
      </c>
      <c r="R172" s="25">
        <f>IF($A172="","",IF(COUNTIFS($A$2:$A$251,$A172,$B$2:$B$251,$B172)&gt;1,"DUPLICATE ROW; ","")&amp;IF(AND(IFERROR(IF(INDEX(offices!$AC$2:$AC$61,MATCH($B172,offices!$A$2:$A$61,0))="","",INDEX(offices!$AC$2:$AC$61,MATCH($B172,offices!$A$2:$A$61,0))),"")&lt;&gt;"",ISNUMBER(SEARCH($J172,IFERROR(IF(INDEX(offices!$AC$2:$AC$61,MATCH($B172,offices!$A$2:$A$61,0))="","",INDEX(offices!$AC$2:$AC$61,MATCH($B172,offices!$A$2:$A$61,0))),"")))),"BRAND VETOED; ","")&amp;IF(ISNUMBER(SEARCH(IFERROR(IF(INDEX(campaigns!$BF$2:$BF$51,MATCH($A172,campaigns!$A$2:$A$51,0))="","",INDEX(campaigns!$BF$2:$BF$51,MATCH($A172,campaigns!$A$2:$A$51,0))),""),IFERROR(IF(INDEX(offices!$AB$2:$AB$61,MATCH($B172,offices!$A$2:$A$61,0))="","",INDEX(offices!$AB$2:$AB$61,MATCH($B172,offices!$A$2:$A$61,0))),""))),"","info: category not on the office's list; ")&amp;IF(IFERROR(IF(INDEX(offices!$AC$2:$AC$61,MATCH($B172,offices!$A$2:$A$61,0))="","",INDEX(offices!$AC$2:$AC$61,MATCH($B172,offices!$A$2:$A$61,0))),"")&lt;&gt;"","info: read the vetoes against the label; ",""))</f>
        <v/>
      </c>
      <c r="S172" s="25">
        <f>IF($A172="","",IF($G172&lt;&gt;"",$G172,IFERROR(IF(INDEX(offices!$AL$2:$AL$61,MATCH($B172,offices!$A$2:$A$61,0))="","",INDEX(offices!$AL$2:$AL$61,MATCH($B172,offices!$A$2:$A$61,0))),"")))</f>
        <v/>
      </c>
      <c r="T172" s="25">
        <f>IF($A172="","",$A172&amp;"."&amp;$B172)</f>
        <v/>
      </c>
      <c r="U172" s="25">
        <f>IF($A172="","",SUMIFS(inventory!$G$2:$G$801,inventory!$C$2:$C$801,$A172,inventory!$D$2:$D$801,$B172,inventory!$E$2:$E$801,"delivered"))</f>
        <v/>
      </c>
      <c r="V172" s="32">
        <f>IF($A172="","",IFERROR(1/(1/SUMPRODUCT(MAX((inventory!$C$2:$C$801=$A172)*(inventory!$D$2:$D$801=$B172)*(inventory!$E$2:$E$801="delivered")*(inventory!$A$2:$A$801+inventory!$B$2:$B$801)))),""))</f>
        <v/>
      </c>
      <c r="W172" s="25">
        <f>IF($A172="","",IFERROR(IF(INDEX(inventory!$J$2:$J$801,MATCH($A172&amp;"|"&amp;$B172&amp;"|delivered",inventory!$R$2:$R$801,0))="","",INDEX(inventory!$J$2:$J$801,MATCH($A172&amp;"|"&amp;$B172&amp;"|delivered",inventory!$R$2:$R$801,0))),""))</f>
        <v/>
      </c>
      <c r="X172" s="25">
        <f>IF($A172="","",IFERROR(IF(INDEX(photos!$H$2:$H$701,MATCH($A172&amp;"|"&amp;$B172&amp;"|placement|Y",photos!$R$2:$R$701,0))="","",INDEX(photos!$H$2:$H$701,MATCH($A172&amp;"|"&amp;$B172&amp;"|placement|Y",photos!$R$2:$R$701,0))),""))</f>
        <v/>
      </c>
      <c r="Y172" s="26">
        <f>IF($A172="","",IFERROR(IF(INDEX(photos!$E$2:$E$701,MATCH($A172&amp;"|"&amp;$B172&amp;"|placement|Y",photos!$R$2:$R$701,0))="","",INDEX(photos!$E$2:$E$701,MATCH($A172&amp;"|"&amp;$B172&amp;"|placement|Y",photos!$R$2:$R$701,0))),""))</f>
        <v/>
      </c>
      <c r="Z172" s="25">
        <f>IF($A172="","",IF(COUNTIFS(counts!$C$2:$C$701,$A172,counts!$D$2:$D$701,$B172,counts!$E$2:$E$701,"placed")=0,"",SUMIFS(counts!$F$2:$F$701,counts!$C$2:$C$701,$A172,counts!$D$2:$D$701,$B172,counts!$E$2:$E$701,"placed")))</f>
        <v/>
      </c>
      <c r="AA172" s="25">
        <f>IF($A172="","",IF($Y172="",0,N($Z172)))</f>
        <v/>
      </c>
      <c r="AB172" s="25">
        <f>IF($A172="","",IF(OR($Y172="",$I172=""),"N",IF($Y172&lt;=WORKDAY(N($I172),1,calendar!$A$2:$A$80),"Y","N")))</f>
        <v/>
      </c>
      <c r="AC172" s="28">
        <f>IF(OR($A172="",$V172="",$Y172=""),"",ROUND(($Y172+N(IFERROR(IF(INDEX(photos!$F$2:$F$701,MATCH($A172&amp;"|"&amp;$B172&amp;"|placement|Y",photos!$R$2:$R$701,0))="","",INDEX(photos!$F$2:$F$701,MATCH($A172&amp;"|"&amp;$B172&amp;"|placement|Y",photos!$R$2:$R$701,0))),""))-$V172)*24,1))</f>
        <v/>
      </c>
      <c r="AD172" s="25">
        <f>IF($A172="","",SUMIFS(inventory!$G$2:$G$801,inventory!$C$2:$C$801,$A172,inventory!$D$2:$D$801,$B172,inventory!$E$2:$E$801,"topped_up"))</f>
        <v/>
      </c>
      <c r="AE172" s="25">
        <f>IF($A172="","",IF(COUNTIFS(counts!$C$2:$C$701,$A172,counts!$D$2:$D$701,$B172,counts!$E$2:$E$701,"remaining_day3")=0,"",SUMIFS(counts!$F$2:$F$701,counts!$C$2:$C$701,$A172,counts!$D$2:$D$701,$B172,counts!$E$2:$E$701,"remaining_day3")))</f>
        <v/>
      </c>
      <c r="AF172" s="25">
        <f>IF($A172="","",IF(COUNTIFS(counts!$C$2:$C$701,$A172,counts!$D$2:$D$701,$B172,counts!$E$2:$E$701,"remaining_day5")=0,"",SUMIFS(counts!$F$2:$F$701,counts!$C$2:$C$701,$A172,counts!$D$2:$D$701,$B172,counts!$E$2:$E$701,"remaining_day5")))</f>
        <v/>
      </c>
      <c r="AG172" s="25">
        <f>IF(OR($A172="",$AF172=""),"",MAX(0,$AA172+$AD172-$AF172))</f>
        <v/>
      </c>
      <c r="AH172" s="25">
        <f>IF(OR($A172="",$AI172=""),"",IFERROR(IF(INDEX(photos!$H$2:$H$701,MATCH($A172&amp;"|"&amp;$B172&amp;"|later|Y|"&amp;$AI172,photos!$S$2:$S$701,0))="","",INDEX(photos!$H$2:$H$701,MATCH($A172&amp;"|"&amp;$B172&amp;"|later|Y|"&amp;$AI172,photos!$S$2:$S$701,0))),""))</f>
        <v/>
      </c>
      <c r="AI172" s="26">
        <f>IF($A172="","",IFERROR(1/(1/SUMPRODUCT(MAX((photos!$B$2:$B$701=$A172)*(photos!$C$2:$C$701=$B172)*(photos!$D$2:$D$701="later")*(photos!$O$2:$O$701="Y")*photos!$E$2:$E$701))),""))</f>
        <v/>
      </c>
      <c r="AJ172" s="25">
        <f>IF(OR($A172="",$AI172="",$I172=""),"",NETWORKDAYS($I172,$AI172,calendar!$A$2:$A$80))</f>
        <v/>
      </c>
      <c r="AK172" s="25">
        <f>IF($A172="","",IF(AND($X172&lt;&gt;"",$AH172&lt;&gt;""),"Y","N"))</f>
        <v/>
      </c>
      <c r="AL172" s="25">
        <f>IF(OR($A172="",$I172=""),"",IF($BC172="Y",SUMIFS(survey_frozen!$C$2:$C$251,survey_frozen!$P$2:$P$251,$A172&amp;"|"&amp;$B172),IFERROR(COUNTIFS(INDIRECT("'"&amp;$A172&amp;"'!$B$2:$B$501"),$T172,INDIRECT("'"&amp;$A172&amp;"'!$A$2:$A$501"),"&gt;="&amp;$I172,INDIRECT("'"&amp;$A172&amp;"'!$A$2:$A$501"),"&lt;"&amp;($BA172+1)),0)))</f>
        <v/>
      </c>
      <c r="AM172" s="25">
        <f>IF(OR($A172="",$I172=""),"",IF($BC172="Y",SUMIFS(survey_frozen!$D$2:$D$251,survey_frozen!$P$2:$P$251,$A172&amp;"|"&amp;$B172),IFERROR(COUNTIFS(INDIRECT("'"&amp;$A172&amp;"'!$B$2:$B$501"),$T172,INDIRECT("'"&amp;$A172&amp;"'!$A$2:$A$501"),"&gt;="&amp;$I172,INDIRECT("'"&amp;$A172&amp;"'!$A$2:$A$501"),"&lt;"&amp;($BA172+1),INDIRECT("'"&amp;$A172&amp;"'!$C$2:$C$501"),"Yes"),0)))</f>
        <v/>
      </c>
      <c r="AN172" s="25">
        <f>IF($A172="","",IF(COUNTIFS(scans!$C$2:$C$1601,(IF(LEFT($A172,7)="SAMPLE-","SAMPLE-","")&amp;LOWER(SUBSTITUTE(SUBSTITUTE($A172,"SAMPLE-",""),"CMP-","c"))&amp;"-"&amp;LOWER(SUBSTITUTE(SUBSTITUTE($B172,"SAMPLE-",""),"O-","o"))&amp;"-q"),scans!$D$2:$D$1601,"close")=0,"",SUMPRODUCT(MAX((scans!$C$2:$C$1601=(IF(LEFT($A172,7)="SAMPLE-","SAMPLE-","")&amp;LOWER(SUBSTITUTE(SUBSTITUTE($A172,"SAMPLE-",""),"CMP-","c"))&amp;"-"&amp;LOWER(SUBSTITUTE(SUBSTITUTE($B172,"SAMPLE-",""),"O-","o"))&amp;"-q"))*(scans!$D$2:$D$1601="close")*scans!$E$2:$E$1601))-SUMPRODUCT(MAX((scans!$C$2:$C$1601=(IF(LEFT($A172,7)="SAMPLE-","SAMPLE-","")&amp;LOWER(SUBSTITUTE(SUBSTITUTE($A172,"SAMPLE-",""),"CMP-","c"))&amp;"-"&amp;LOWER(SUBSTITUTE(SUBSTITUTE($B172,"SAMPLE-",""),"O-","o"))&amp;"-q"))*(scans!$D$2:$D$1601="baseline")*scans!$E$2:$E$1601))))</f>
        <v/>
      </c>
      <c r="AO172" s="25">
        <f>IF($A172="","",IF(COUNTIFS(scans!$C$2:$C$1601,(IF(LEFT($A172,7)="SAMPLE-","SAMPLE-","")&amp;LOWER(SUBSTITUTE(SUBSTITUTE($A172,"SAMPLE-",""),"CMP-","c"))&amp;"-"&amp;LOWER(SUBSTITUTE(SUBSTITUTE($B172,"SAMPLE-",""),"O-","o"))&amp;"-p"),scans!$D$2:$D$1601,"close")=0,"",SUMPRODUCT(MAX((scans!$C$2:$C$1601=(IF(LEFT($A172,7)="SAMPLE-","SAMPLE-","")&amp;LOWER(SUBSTITUTE(SUBSTITUTE($A172,"SAMPLE-",""),"CMP-","c"))&amp;"-"&amp;LOWER(SUBSTITUTE(SUBSTITUTE($B172,"SAMPLE-",""),"O-","o"))&amp;"-p"))*(scans!$D$2:$D$1601="close")*scans!$E$2:$E$1601))-SUMPRODUCT(MAX((scans!$C$2:$C$1601=(IF(LEFT($A172,7)="SAMPLE-","SAMPLE-","")&amp;LOWER(SUBSTITUTE(SUBSTITUTE($A172,"SAMPLE-",""),"CMP-","c"))&amp;"-"&amp;LOWER(SUBSTITUTE(SUBSTITUTE($B172,"SAMPLE-",""),"O-","o"))&amp;"-p"))*(scans!$D$2:$D$1601="baseline")*scans!$E$2:$E$1601))))</f>
        <v/>
      </c>
      <c r="AP172" s="25">
        <f>IF($A172="","",IF(COUNTIF(offices!$A$2:$A$61,$B172)=0,"office_id not on offices; ","")&amp;IF(COUNTIF(campaigns!$A$2:$A$51,$A172)=0,"campaign_id not on campaigns; ","")&amp;IF($P172="pending","approval pending; ","")&amp;IF(AND($U172&gt;0,$Y172="",OR($I172="",IF(config!$B$37&lt;&gt;"",config!$B$37,TODAY())&lt;=WORKDAY(N($I172),4,calendar!$A$2:$A$80))),"no usable placement photo yet; ","")&amp;IF(AND($Y172&lt;&gt;"",$Z172=""),"log the placed count; ","")&amp;IF(N($AA172)&gt;N($U172),"placed more than delivered; ","")&amp;IF(AND($AF172&lt;&gt;"",N($AF172)&gt;N($AA172)+N($AD172)),"day-5 count above placed plus top-ups; ","")&amp;IF(AND($U172&gt;0,$I172&lt;&gt;"",IF(config!$B$37&lt;&gt;"",config!$B$37,TODAY())&gt;WORKDAY(N($I172),4,calendar!$A$2:$A$80),$AF172=""),"day-5 count missing; ","")&amp;IF(AND($U172&gt;0,$I172&lt;&gt;"",IF(config!$B$37&lt;&gt;"",config!$B$37,TODAY())&gt;WORKDAY(N($I172),4,calendar!$A$2:$A$80),$AN172=""),"no close link reading; ","")&amp;$R172&amp;IF($P172="N","info: office said no; ","")&amp;IF(AND($P172="Y",$Q172="N"),"info: turned away at the door, so not on the drop (no letter, not in the report or Gate 2; the credit check is on campaigns); ","")&amp;IF(AND($U172&gt;0,$Y172="",$I172&lt;&gt;"",IF(config!$B$37&lt;&gt;"",config!$B$37,TODAY())&gt;WORKDAY(N($I172),4,calendar!$A$2:$A$80)),"info: no usable placement photo, so nothing counts as placed; ","")&amp;IF(AND($U172&gt;0,$I172&lt;&gt;"",IF(config!$B$37&lt;&gt;"",config!$B$37,TODAY())&gt;WORKDAY(N($I172),4,calendar!$A$2:$A$80),N($AL172)&lt;config!$B$30),"info: under "&amp;config!$B$30&amp;" responses; ","")&amp;IF($W172="packing_list","info: delivered count not verified; ",""))</f>
        <v/>
      </c>
      <c r="AQ172" s="25">
        <f>IF(OR($A172="",$I172=""),"",IF($BC172="Y",SUMIFS(survey_frozen!$E$2:$E$251,survey_frozen!$P$2:$P$251,$A172&amp;"|"&amp;$B172),IFERROR(COUNTIFS(INDIRECT("'"&amp;$A172&amp;"'!$B$2:$B$501"),$T172,INDIRECT("'"&amp;$A172&amp;"'!$A$2:$A$501"),"&gt;="&amp;$I172,INDIRECT("'"&amp;$A172&amp;"'!$A$2:$A$501"),"&lt;"&amp;($BA172+1),INDIRECT("'"&amp;$A172&amp;"'!$F$2:$F$501"),"Didn't see it"),0)))</f>
        <v/>
      </c>
      <c r="AR172" s="25">
        <f>IF(OR($A172="",$I172=""),"",IF($BC172="Y",SUMIFS(survey_frozen!$F$2:$F$251,survey_frozen!$P$2:$P$251,$A172&amp;"|"&amp;$B172),IFERROR(COUNTIFS(INDIRECT("'"&amp;$A172&amp;"'!$B$2:$B$501"),$T172,INDIRECT("'"&amp;$A172&amp;"'!$A$2:$A$501"),"&gt;="&amp;$I172,INDIRECT("'"&amp;$A172&amp;"'!$A$2:$A$501"),"&lt;"&amp;($BA172+1),INDIRECT("'"&amp;$A172&amp;"'!$F$2:$F$501"),"Not for me"),0)))</f>
        <v/>
      </c>
      <c r="AS172" s="25">
        <f>IF(OR($A172="",$I172=""),"",IF($BC172="Y",SUMIFS(survey_frozen!$G$2:$G$251,survey_frozen!$P$2:$P$251,$A172&amp;"|"&amp;$B172),IFERROR(COUNTIFS(INDIRECT("'"&amp;$A172&amp;"'!$B$2:$B$501"),$T172,INDIRECT("'"&amp;$A172&amp;"'!$A$2:$A$501"),"&gt;="&amp;$I172,INDIRECT("'"&amp;$A172&amp;"'!$A$2:$A$501"),"&lt;"&amp;($BA172+1),INDIRECT("'"&amp;$A172&amp;"'!$F$2:$F$501"),"Gone by the time I looked"),0)))</f>
        <v/>
      </c>
      <c r="AT172" s="25">
        <f>IF(OR($A172="",$I172=""),"",IF($BC172="Y",SUMIFS(survey_frozen!$H$2:$H$251,survey_frozen!$P$2:$P$251,$A172&amp;"|"&amp;$B172),IFERROR(COUNTIFS(INDIRECT("'"&amp;$A172&amp;"'!$B$2:$B$501"),$T172,INDIRECT("'"&amp;$A172&amp;"'!$A$2:$A$501"),"&gt;="&amp;$I172,INDIRECT("'"&amp;$A172&amp;"'!$A$2:$A$501"),"&lt;"&amp;($BA172+1),INDIRECT("'"&amp;$A172&amp;"'!$D$2:$D$501"),"&gt;=1"),0)))</f>
        <v/>
      </c>
      <c r="AU172" s="25">
        <f>IF(OR($A172="",$I172=""),"",IF($BC172="Y",SUMIFS(survey_frozen!$I$2:$I$251,survey_frozen!$P$2:$P$251,$A172&amp;"|"&amp;$B172),IFERROR(SUMIFS(INDIRECT("'"&amp;$A172&amp;"'!$D$2:$D$501"),INDIRECT("'"&amp;$A172&amp;"'!$B$2:$B$501"),$T172,INDIRECT("'"&amp;$A172&amp;"'!$A$2:$A$501"),"&gt;="&amp;$I172,INDIRECT("'"&amp;$A172&amp;"'!$A$2:$A$501"),"&lt;"&amp;($BA172+1)),0)))</f>
        <v/>
      </c>
      <c r="AV172" s="25">
        <f>IF(OR($A172="",$I172=""),"",IF($BC172="Y",SUMIFS(survey_frozen!$J$2:$J$251,survey_frozen!$P$2:$P$251,$A172&amp;"|"&amp;$B172),IFERROR(COUNTIFS(INDIRECT("'"&amp;$A172&amp;"'!$B$2:$B$501"),$T172,INDIRECT("'"&amp;$A172&amp;"'!$A$2:$A$501"),"&gt;="&amp;$I172,INDIRECT("'"&amp;$A172&amp;"'!$A$2:$A$501"),"&lt;"&amp;($BA172+1),INDIRECT("'"&amp;$A172&amp;"'!$E$2:$E$501"),"Yes"),0)))</f>
        <v/>
      </c>
      <c r="AW172" s="25">
        <f>IF(OR($A172="",$I172=""),"",IF($BC172="Y",SUMIFS(survey_frozen!$K$2:$K$251,survey_frozen!$P$2:$P$251,$A172&amp;"|"&amp;$B172),IFERROR(COUNTIFS(INDIRECT("'"&amp;$A172&amp;"'!$B$2:$B$501"),$T172,INDIRECT("'"&amp;$A172&amp;"'!$A$2:$A$501"),"&gt;="&amp;$I172,INDIRECT("'"&amp;$A172&amp;"'!$A$2:$A$501"),"&lt;"&amp;($BA172+1),INDIRECT("'"&amp;$A172&amp;"'!$E$2:$E$501"),"Maybe"),0)))</f>
        <v/>
      </c>
      <c r="AX172" s="25">
        <f>IF(OR($A172="",$I172=""),"",IF($BC172="Y",SUMIFS(survey_frozen!$L$2:$L$251,survey_frozen!$P$2:$P$251,$A172&amp;"|"&amp;$B172),IFERROR(COUNTIFS(INDIRECT("'"&amp;$A172&amp;"'!$B$2:$B$501"),$T172,INDIRECT("'"&amp;$A172&amp;"'!$A$2:$A$501"),"&gt;="&amp;$I172,INDIRECT("'"&amp;$A172&amp;"'!$A$2:$A$501"),"&lt;"&amp;($BA172+1),INDIRECT("'"&amp;$A172&amp;"'!$E$2:$E$501"),"No"),0)))</f>
        <v/>
      </c>
      <c r="AY172" s="25">
        <f>IF(OR($A172="",$I172=""),"",IF($BC172="Y",SUMIFS(survey_frozen!$M$2:$M$251,survey_frozen!$P$2:$P$251,$A172&amp;"|"&amp;$B172),IFERROR(COUNTIFS(INDIRECT("'"&amp;$A172&amp;"'!$B$2:$B$501"),$T172,INDIRECT("'"&amp;$A172&amp;"'!$A$2:$A$501"),"&gt;="&amp;$I172,INDIRECT("'"&amp;$A172&amp;"'!$A$2:$A$501"),"&lt;"&amp;($BA172+1),INDIRECT("'"&amp;$A172&amp;"'!$G$2:$G$501"),"&lt;&gt;"),0)))</f>
        <v/>
      </c>
      <c r="AZ172" s="25">
        <f>IF($A172="","",$A172&amp;"|"&amp;$L172)</f>
        <v/>
      </c>
      <c r="BA172" s="26">
        <f>IF($A172="","",IFERROR(IF(INDEX(drops!$R$2:$R$21,MATCH($H172,drops!$A$2:$A$21,0))="","",INDEX(drops!$R$2:$R$21,MATCH($H172,drops!$A$2:$A$21,0))),""))</f>
        <v/>
      </c>
      <c r="BB172" s="25">
        <f>IF(OR($A172="",$Q172&lt;&gt;"Y"),1000000,N($AL172))</f>
        <v/>
      </c>
      <c r="BC172" s="25">
        <f>IF($A172="","",IF(COUNTIF(survey_frozen!$P$2:$P$251,$A172&amp;"|"&amp;$B172)&gt;0,"Y",""))</f>
        <v/>
      </c>
    </row>
    <row r="173">
      <c r="C173" s="9" t="n"/>
      <c r="E173" s="9" t="n"/>
      <c r="H173" s="25">
        <f>IF($A173="","",IFERROR(IF(INDEX(campaigns!$B$2:$B$51,MATCH($A173,campaigns!$A$2:$A$51,0))="","",INDEX(campaigns!$B$2:$B$51,MATCH($A173,campaigns!$A$2:$A$51,0))),""))</f>
        <v/>
      </c>
      <c r="I173" s="26">
        <f>IF($A173="","",IFERROR(IF(INDEX(campaigns!$BG$2:$BG$51,MATCH($A173,campaigns!$A$2:$A$51,0))="","",INDEX(campaigns!$BG$2:$BG$51,MATCH($A173,campaigns!$A$2:$A$51,0))),""))</f>
        <v/>
      </c>
      <c r="J173" s="25">
        <f>IF($A173="","",IFERROR(IF(INDEX(campaigns!$BE$2:$BE$51,MATCH($A173,campaigns!$A$2:$A$51,0))="","",INDEX(campaigns!$BE$2:$BE$51,MATCH($A173,campaigns!$A$2:$A$51,0))),""))</f>
        <v/>
      </c>
      <c r="K173" s="25">
        <f>IF($B173="","",IFERROR(IF(INDEX(offices!$N$2:$N$61,MATCH($B173,offices!$A$2:$A$61,0))="","",INDEX(offices!$N$2:$N$61,MATCH($B173,offices!$A$2:$A$61,0))),""))</f>
        <v/>
      </c>
      <c r="L173" s="25">
        <f>IF($A173="","",IF($Q173="N","",COUNTIFS($A$2:$A173,$A173,$Q$2:$Q173,"&lt;&gt;N")))</f>
        <v/>
      </c>
      <c r="M173" s="25">
        <f>IF(OR($A173="",$L173=""),"",IF(AND(config!$B$34="names_if_public",IFERROR(IF(INDEX(offices!$AF$2:$AF$61,MATCH($B173,offices!$A$2:$A$61,0))="","",INDEX(offices!$AF$2:$AF$61,MATCH($B173,offices!$A$2:$A$61,0))),"")="Y"),$K173,CHAR(64+$L173)))</f>
        <v/>
      </c>
      <c r="N173" s="25">
        <f>IF(OR($A173="",$I173=""),"",COUNTIFS(stops!$B$2:$B$151,$B173,stops!$P$2:$P$151,"&lt;"&amp;$I173,stops!$L$2:$L$151,"&lt;&gt;not_delivered")+1)</f>
        <v/>
      </c>
      <c r="O173" s="25">
        <f>IF($A173="","",IF(N($N173)&lt;=config!$B$29,"explicit","opt-out"))</f>
        <v/>
      </c>
      <c r="P173" s="25">
        <f>IF($A173="","",IF($O173="explicit",IF($D173="yes","Y",IF($D173="no","N","pending")),IF($D173="no","N",IF(AND($C173&lt;&gt;"",$I173&lt;&gt;"",$C173&lt;=WORKDAY(N($I173),-5,calendar!$A$2:$A$80)),"Y","pending"))))</f>
        <v/>
      </c>
      <c r="Q173" s="25">
        <f>IF($A173="","",IF($P173="N","N",IF($P173&lt;&gt;"Y","pending",IF(AND((COUNTIFS(stops!$A$2:$A$151,$H173,stops!$B$2:$B$151,$B173,stops!$L$2:$L$151,"declined")+COUNTIFS(stops!$A$2:$A$151,$H173,stops!$B$2:$B$151,$B173,stops!$L$2:$L$151,"building_refused")+COUNTIFS(stops!$A$2:$A$151,$H173,stops!$B$2:$B$151,$B173,stops!$L$2:$L$151,"not_delivered"))&gt;0,N($U173)=0),"N","Y"))))</f>
        <v/>
      </c>
      <c r="R173" s="25">
        <f>IF($A173="","",IF(COUNTIFS($A$2:$A$251,$A173,$B$2:$B$251,$B173)&gt;1,"DUPLICATE ROW; ","")&amp;IF(AND(IFERROR(IF(INDEX(offices!$AC$2:$AC$61,MATCH($B173,offices!$A$2:$A$61,0))="","",INDEX(offices!$AC$2:$AC$61,MATCH($B173,offices!$A$2:$A$61,0))),"")&lt;&gt;"",ISNUMBER(SEARCH($J173,IFERROR(IF(INDEX(offices!$AC$2:$AC$61,MATCH($B173,offices!$A$2:$A$61,0))="","",INDEX(offices!$AC$2:$AC$61,MATCH($B173,offices!$A$2:$A$61,0))),"")))),"BRAND VETOED; ","")&amp;IF(ISNUMBER(SEARCH(IFERROR(IF(INDEX(campaigns!$BF$2:$BF$51,MATCH($A173,campaigns!$A$2:$A$51,0))="","",INDEX(campaigns!$BF$2:$BF$51,MATCH($A173,campaigns!$A$2:$A$51,0))),""),IFERROR(IF(INDEX(offices!$AB$2:$AB$61,MATCH($B173,offices!$A$2:$A$61,0))="","",INDEX(offices!$AB$2:$AB$61,MATCH($B173,offices!$A$2:$A$61,0))),""))),"","info: category not on the office's list; ")&amp;IF(IFERROR(IF(INDEX(offices!$AC$2:$AC$61,MATCH($B173,offices!$A$2:$A$61,0))="","",INDEX(offices!$AC$2:$AC$61,MATCH($B173,offices!$A$2:$A$61,0))),"")&lt;&gt;"","info: read the vetoes against the label; ",""))</f>
        <v/>
      </c>
      <c r="S173" s="25">
        <f>IF($A173="","",IF($G173&lt;&gt;"",$G173,IFERROR(IF(INDEX(offices!$AL$2:$AL$61,MATCH($B173,offices!$A$2:$A$61,0))="","",INDEX(offices!$AL$2:$AL$61,MATCH($B173,offices!$A$2:$A$61,0))),"")))</f>
        <v/>
      </c>
      <c r="T173" s="25">
        <f>IF($A173="","",$A173&amp;"."&amp;$B173)</f>
        <v/>
      </c>
      <c r="U173" s="25">
        <f>IF($A173="","",SUMIFS(inventory!$G$2:$G$801,inventory!$C$2:$C$801,$A173,inventory!$D$2:$D$801,$B173,inventory!$E$2:$E$801,"delivered"))</f>
        <v/>
      </c>
      <c r="V173" s="32">
        <f>IF($A173="","",IFERROR(1/(1/SUMPRODUCT(MAX((inventory!$C$2:$C$801=$A173)*(inventory!$D$2:$D$801=$B173)*(inventory!$E$2:$E$801="delivered")*(inventory!$A$2:$A$801+inventory!$B$2:$B$801)))),""))</f>
        <v/>
      </c>
      <c r="W173" s="25">
        <f>IF($A173="","",IFERROR(IF(INDEX(inventory!$J$2:$J$801,MATCH($A173&amp;"|"&amp;$B173&amp;"|delivered",inventory!$R$2:$R$801,0))="","",INDEX(inventory!$J$2:$J$801,MATCH($A173&amp;"|"&amp;$B173&amp;"|delivered",inventory!$R$2:$R$801,0))),""))</f>
        <v/>
      </c>
      <c r="X173" s="25">
        <f>IF($A173="","",IFERROR(IF(INDEX(photos!$H$2:$H$701,MATCH($A173&amp;"|"&amp;$B173&amp;"|placement|Y",photos!$R$2:$R$701,0))="","",INDEX(photos!$H$2:$H$701,MATCH($A173&amp;"|"&amp;$B173&amp;"|placement|Y",photos!$R$2:$R$701,0))),""))</f>
        <v/>
      </c>
      <c r="Y173" s="26">
        <f>IF($A173="","",IFERROR(IF(INDEX(photos!$E$2:$E$701,MATCH($A173&amp;"|"&amp;$B173&amp;"|placement|Y",photos!$R$2:$R$701,0))="","",INDEX(photos!$E$2:$E$701,MATCH($A173&amp;"|"&amp;$B173&amp;"|placement|Y",photos!$R$2:$R$701,0))),""))</f>
        <v/>
      </c>
      <c r="Z173" s="25">
        <f>IF($A173="","",IF(COUNTIFS(counts!$C$2:$C$701,$A173,counts!$D$2:$D$701,$B173,counts!$E$2:$E$701,"placed")=0,"",SUMIFS(counts!$F$2:$F$701,counts!$C$2:$C$701,$A173,counts!$D$2:$D$701,$B173,counts!$E$2:$E$701,"placed")))</f>
        <v/>
      </c>
      <c r="AA173" s="25">
        <f>IF($A173="","",IF($Y173="",0,N($Z173)))</f>
        <v/>
      </c>
      <c r="AB173" s="25">
        <f>IF($A173="","",IF(OR($Y173="",$I173=""),"N",IF($Y173&lt;=WORKDAY(N($I173),1,calendar!$A$2:$A$80),"Y","N")))</f>
        <v/>
      </c>
      <c r="AC173" s="28">
        <f>IF(OR($A173="",$V173="",$Y173=""),"",ROUND(($Y173+N(IFERROR(IF(INDEX(photos!$F$2:$F$701,MATCH($A173&amp;"|"&amp;$B173&amp;"|placement|Y",photos!$R$2:$R$701,0))="","",INDEX(photos!$F$2:$F$701,MATCH($A173&amp;"|"&amp;$B173&amp;"|placement|Y",photos!$R$2:$R$701,0))),""))-$V173)*24,1))</f>
        <v/>
      </c>
      <c r="AD173" s="25">
        <f>IF($A173="","",SUMIFS(inventory!$G$2:$G$801,inventory!$C$2:$C$801,$A173,inventory!$D$2:$D$801,$B173,inventory!$E$2:$E$801,"topped_up"))</f>
        <v/>
      </c>
      <c r="AE173" s="25">
        <f>IF($A173="","",IF(COUNTIFS(counts!$C$2:$C$701,$A173,counts!$D$2:$D$701,$B173,counts!$E$2:$E$701,"remaining_day3")=0,"",SUMIFS(counts!$F$2:$F$701,counts!$C$2:$C$701,$A173,counts!$D$2:$D$701,$B173,counts!$E$2:$E$701,"remaining_day3")))</f>
        <v/>
      </c>
      <c r="AF173" s="25">
        <f>IF($A173="","",IF(COUNTIFS(counts!$C$2:$C$701,$A173,counts!$D$2:$D$701,$B173,counts!$E$2:$E$701,"remaining_day5")=0,"",SUMIFS(counts!$F$2:$F$701,counts!$C$2:$C$701,$A173,counts!$D$2:$D$701,$B173,counts!$E$2:$E$701,"remaining_day5")))</f>
        <v/>
      </c>
      <c r="AG173" s="25">
        <f>IF(OR($A173="",$AF173=""),"",MAX(0,$AA173+$AD173-$AF173))</f>
        <v/>
      </c>
      <c r="AH173" s="25">
        <f>IF(OR($A173="",$AI173=""),"",IFERROR(IF(INDEX(photos!$H$2:$H$701,MATCH($A173&amp;"|"&amp;$B173&amp;"|later|Y|"&amp;$AI173,photos!$S$2:$S$701,0))="","",INDEX(photos!$H$2:$H$701,MATCH($A173&amp;"|"&amp;$B173&amp;"|later|Y|"&amp;$AI173,photos!$S$2:$S$701,0))),""))</f>
        <v/>
      </c>
      <c r="AI173" s="26">
        <f>IF($A173="","",IFERROR(1/(1/SUMPRODUCT(MAX((photos!$B$2:$B$701=$A173)*(photos!$C$2:$C$701=$B173)*(photos!$D$2:$D$701="later")*(photos!$O$2:$O$701="Y")*photos!$E$2:$E$701))),""))</f>
        <v/>
      </c>
      <c r="AJ173" s="25">
        <f>IF(OR($A173="",$AI173="",$I173=""),"",NETWORKDAYS($I173,$AI173,calendar!$A$2:$A$80))</f>
        <v/>
      </c>
      <c r="AK173" s="25">
        <f>IF($A173="","",IF(AND($X173&lt;&gt;"",$AH173&lt;&gt;""),"Y","N"))</f>
        <v/>
      </c>
      <c r="AL173" s="25">
        <f>IF(OR($A173="",$I173=""),"",IF($BC173="Y",SUMIFS(survey_frozen!$C$2:$C$251,survey_frozen!$P$2:$P$251,$A173&amp;"|"&amp;$B173),IFERROR(COUNTIFS(INDIRECT("'"&amp;$A173&amp;"'!$B$2:$B$501"),$T173,INDIRECT("'"&amp;$A173&amp;"'!$A$2:$A$501"),"&gt;="&amp;$I173,INDIRECT("'"&amp;$A173&amp;"'!$A$2:$A$501"),"&lt;"&amp;($BA173+1)),0)))</f>
        <v/>
      </c>
      <c r="AM173" s="25">
        <f>IF(OR($A173="",$I173=""),"",IF($BC173="Y",SUMIFS(survey_frozen!$D$2:$D$251,survey_frozen!$P$2:$P$251,$A173&amp;"|"&amp;$B173),IFERROR(COUNTIFS(INDIRECT("'"&amp;$A173&amp;"'!$B$2:$B$501"),$T173,INDIRECT("'"&amp;$A173&amp;"'!$A$2:$A$501"),"&gt;="&amp;$I173,INDIRECT("'"&amp;$A173&amp;"'!$A$2:$A$501"),"&lt;"&amp;($BA173+1),INDIRECT("'"&amp;$A173&amp;"'!$C$2:$C$501"),"Yes"),0)))</f>
        <v/>
      </c>
      <c r="AN173" s="25">
        <f>IF($A173="","",IF(COUNTIFS(scans!$C$2:$C$1601,(IF(LEFT($A173,7)="SAMPLE-","SAMPLE-","")&amp;LOWER(SUBSTITUTE(SUBSTITUTE($A173,"SAMPLE-",""),"CMP-","c"))&amp;"-"&amp;LOWER(SUBSTITUTE(SUBSTITUTE($B173,"SAMPLE-",""),"O-","o"))&amp;"-q"),scans!$D$2:$D$1601,"close")=0,"",SUMPRODUCT(MAX((scans!$C$2:$C$1601=(IF(LEFT($A173,7)="SAMPLE-","SAMPLE-","")&amp;LOWER(SUBSTITUTE(SUBSTITUTE($A173,"SAMPLE-",""),"CMP-","c"))&amp;"-"&amp;LOWER(SUBSTITUTE(SUBSTITUTE($B173,"SAMPLE-",""),"O-","o"))&amp;"-q"))*(scans!$D$2:$D$1601="close")*scans!$E$2:$E$1601))-SUMPRODUCT(MAX((scans!$C$2:$C$1601=(IF(LEFT($A173,7)="SAMPLE-","SAMPLE-","")&amp;LOWER(SUBSTITUTE(SUBSTITUTE($A173,"SAMPLE-",""),"CMP-","c"))&amp;"-"&amp;LOWER(SUBSTITUTE(SUBSTITUTE($B173,"SAMPLE-",""),"O-","o"))&amp;"-q"))*(scans!$D$2:$D$1601="baseline")*scans!$E$2:$E$1601))))</f>
        <v/>
      </c>
      <c r="AO173" s="25">
        <f>IF($A173="","",IF(COUNTIFS(scans!$C$2:$C$1601,(IF(LEFT($A173,7)="SAMPLE-","SAMPLE-","")&amp;LOWER(SUBSTITUTE(SUBSTITUTE($A173,"SAMPLE-",""),"CMP-","c"))&amp;"-"&amp;LOWER(SUBSTITUTE(SUBSTITUTE($B173,"SAMPLE-",""),"O-","o"))&amp;"-p"),scans!$D$2:$D$1601,"close")=0,"",SUMPRODUCT(MAX((scans!$C$2:$C$1601=(IF(LEFT($A173,7)="SAMPLE-","SAMPLE-","")&amp;LOWER(SUBSTITUTE(SUBSTITUTE($A173,"SAMPLE-",""),"CMP-","c"))&amp;"-"&amp;LOWER(SUBSTITUTE(SUBSTITUTE($B173,"SAMPLE-",""),"O-","o"))&amp;"-p"))*(scans!$D$2:$D$1601="close")*scans!$E$2:$E$1601))-SUMPRODUCT(MAX((scans!$C$2:$C$1601=(IF(LEFT($A173,7)="SAMPLE-","SAMPLE-","")&amp;LOWER(SUBSTITUTE(SUBSTITUTE($A173,"SAMPLE-",""),"CMP-","c"))&amp;"-"&amp;LOWER(SUBSTITUTE(SUBSTITUTE($B173,"SAMPLE-",""),"O-","o"))&amp;"-p"))*(scans!$D$2:$D$1601="baseline")*scans!$E$2:$E$1601))))</f>
        <v/>
      </c>
      <c r="AP173" s="25">
        <f>IF($A173="","",IF(COUNTIF(offices!$A$2:$A$61,$B173)=0,"office_id not on offices; ","")&amp;IF(COUNTIF(campaigns!$A$2:$A$51,$A173)=0,"campaign_id not on campaigns; ","")&amp;IF($P173="pending","approval pending; ","")&amp;IF(AND($U173&gt;0,$Y173="",OR($I173="",IF(config!$B$37&lt;&gt;"",config!$B$37,TODAY())&lt;=WORKDAY(N($I173),4,calendar!$A$2:$A$80))),"no usable placement photo yet; ","")&amp;IF(AND($Y173&lt;&gt;"",$Z173=""),"log the placed count; ","")&amp;IF(N($AA173)&gt;N($U173),"placed more than delivered; ","")&amp;IF(AND($AF173&lt;&gt;"",N($AF173)&gt;N($AA173)+N($AD173)),"day-5 count above placed plus top-ups; ","")&amp;IF(AND($U173&gt;0,$I173&lt;&gt;"",IF(config!$B$37&lt;&gt;"",config!$B$37,TODAY())&gt;WORKDAY(N($I173),4,calendar!$A$2:$A$80),$AF173=""),"day-5 count missing; ","")&amp;IF(AND($U173&gt;0,$I173&lt;&gt;"",IF(config!$B$37&lt;&gt;"",config!$B$37,TODAY())&gt;WORKDAY(N($I173),4,calendar!$A$2:$A$80),$AN173=""),"no close link reading; ","")&amp;$R173&amp;IF($P173="N","info: office said no; ","")&amp;IF(AND($P173="Y",$Q173="N"),"info: turned away at the door, so not on the drop (no letter, not in the report or Gate 2; the credit check is on campaigns); ","")&amp;IF(AND($U173&gt;0,$Y173="",$I173&lt;&gt;"",IF(config!$B$37&lt;&gt;"",config!$B$37,TODAY())&gt;WORKDAY(N($I173),4,calendar!$A$2:$A$80)),"info: no usable placement photo, so nothing counts as placed; ","")&amp;IF(AND($U173&gt;0,$I173&lt;&gt;"",IF(config!$B$37&lt;&gt;"",config!$B$37,TODAY())&gt;WORKDAY(N($I173),4,calendar!$A$2:$A$80),N($AL173)&lt;config!$B$30),"info: under "&amp;config!$B$30&amp;" responses; ","")&amp;IF($W173="packing_list","info: delivered count not verified; ",""))</f>
        <v/>
      </c>
      <c r="AQ173" s="25">
        <f>IF(OR($A173="",$I173=""),"",IF($BC173="Y",SUMIFS(survey_frozen!$E$2:$E$251,survey_frozen!$P$2:$P$251,$A173&amp;"|"&amp;$B173),IFERROR(COUNTIFS(INDIRECT("'"&amp;$A173&amp;"'!$B$2:$B$501"),$T173,INDIRECT("'"&amp;$A173&amp;"'!$A$2:$A$501"),"&gt;="&amp;$I173,INDIRECT("'"&amp;$A173&amp;"'!$A$2:$A$501"),"&lt;"&amp;($BA173+1),INDIRECT("'"&amp;$A173&amp;"'!$F$2:$F$501"),"Didn't see it"),0)))</f>
        <v/>
      </c>
      <c r="AR173" s="25">
        <f>IF(OR($A173="",$I173=""),"",IF($BC173="Y",SUMIFS(survey_frozen!$F$2:$F$251,survey_frozen!$P$2:$P$251,$A173&amp;"|"&amp;$B173),IFERROR(COUNTIFS(INDIRECT("'"&amp;$A173&amp;"'!$B$2:$B$501"),$T173,INDIRECT("'"&amp;$A173&amp;"'!$A$2:$A$501"),"&gt;="&amp;$I173,INDIRECT("'"&amp;$A173&amp;"'!$A$2:$A$501"),"&lt;"&amp;($BA173+1),INDIRECT("'"&amp;$A173&amp;"'!$F$2:$F$501"),"Not for me"),0)))</f>
        <v/>
      </c>
      <c r="AS173" s="25">
        <f>IF(OR($A173="",$I173=""),"",IF($BC173="Y",SUMIFS(survey_frozen!$G$2:$G$251,survey_frozen!$P$2:$P$251,$A173&amp;"|"&amp;$B173),IFERROR(COUNTIFS(INDIRECT("'"&amp;$A173&amp;"'!$B$2:$B$501"),$T173,INDIRECT("'"&amp;$A173&amp;"'!$A$2:$A$501"),"&gt;="&amp;$I173,INDIRECT("'"&amp;$A173&amp;"'!$A$2:$A$501"),"&lt;"&amp;($BA173+1),INDIRECT("'"&amp;$A173&amp;"'!$F$2:$F$501"),"Gone by the time I looked"),0)))</f>
        <v/>
      </c>
      <c r="AT173" s="25">
        <f>IF(OR($A173="",$I173=""),"",IF($BC173="Y",SUMIFS(survey_frozen!$H$2:$H$251,survey_frozen!$P$2:$P$251,$A173&amp;"|"&amp;$B173),IFERROR(COUNTIFS(INDIRECT("'"&amp;$A173&amp;"'!$B$2:$B$501"),$T173,INDIRECT("'"&amp;$A173&amp;"'!$A$2:$A$501"),"&gt;="&amp;$I173,INDIRECT("'"&amp;$A173&amp;"'!$A$2:$A$501"),"&lt;"&amp;($BA173+1),INDIRECT("'"&amp;$A173&amp;"'!$D$2:$D$501"),"&gt;=1"),0)))</f>
        <v/>
      </c>
      <c r="AU173" s="25">
        <f>IF(OR($A173="",$I173=""),"",IF($BC173="Y",SUMIFS(survey_frozen!$I$2:$I$251,survey_frozen!$P$2:$P$251,$A173&amp;"|"&amp;$B173),IFERROR(SUMIFS(INDIRECT("'"&amp;$A173&amp;"'!$D$2:$D$501"),INDIRECT("'"&amp;$A173&amp;"'!$B$2:$B$501"),$T173,INDIRECT("'"&amp;$A173&amp;"'!$A$2:$A$501"),"&gt;="&amp;$I173,INDIRECT("'"&amp;$A173&amp;"'!$A$2:$A$501"),"&lt;"&amp;($BA173+1)),0)))</f>
        <v/>
      </c>
      <c r="AV173" s="25">
        <f>IF(OR($A173="",$I173=""),"",IF($BC173="Y",SUMIFS(survey_frozen!$J$2:$J$251,survey_frozen!$P$2:$P$251,$A173&amp;"|"&amp;$B173),IFERROR(COUNTIFS(INDIRECT("'"&amp;$A173&amp;"'!$B$2:$B$501"),$T173,INDIRECT("'"&amp;$A173&amp;"'!$A$2:$A$501"),"&gt;="&amp;$I173,INDIRECT("'"&amp;$A173&amp;"'!$A$2:$A$501"),"&lt;"&amp;($BA173+1),INDIRECT("'"&amp;$A173&amp;"'!$E$2:$E$501"),"Yes"),0)))</f>
        <v/>
      </c>
      <c r="AW173" s="25">
        <f>IF(OR($A173="",$I173=""),"",IF($BC173="Y",SUMIFS(survey_frozen!$K$2:$K$251,survey_frozen!$P$2:$P$251,$A173&amp;"|"&amp;$B173),IFERROR(COUNTIFS(INDIRECT("'"&amp;$A173&amp;"'!$B$2:$B$501"),$T173,INDIRECT("'"&amp;$A173&amp;"'!$A$2:$A$501"),"&gt;="&amp;$I173,INDIRECT("'"&amp;$A173&amp;"'!$A$2:$A$501"),"&lt;"&amp;($BA173+1),INDIRECT("'"&amp;$A173&amp;"'!$E$2:$E$501"),"Maybe"),0)))</f>
        <v/>
      </c>
      <c r="AX173" s="25">
        <f>IF(OR($A173="",$I173=""),"",IF($BC173="Y",SUMIFS(survey_frozen!$L$2:$L$251,survey_frozen!$P$2:$P$251,$A173&amp;"|"&amp;$B173),IFERROR(COUNTIFS(INDIRECT("'"&amp;$A173&amp;"'!$B$2:$B$501"),$T173,INDIRECT("'"&amp;$A173&amp;"'!$A$2:$A$501"),"&gt;="&amp;$I173,INDIRECT("'"&amp;$A173&amp;"'!$A$2:$A$501"),"&lt;"&amp;($BA173+1),INDIRECT("'"&amp;$A173&amp;"'!$E$2:$E$501"),"No"),0)))</f>
        <v/>
      </c>
      <c r="AY173" s="25">
        <f>IF(OR($A173="",$I173=""),"",IF($BC173="Y",SUMIFS(survey_frozen!$M$2:$M$251,survey_frozen!$P$2:$P$251,$A173&amp;"|"&amp;$B173),IFERROR(COUNTIFS(INDIRECT("'"&amp;$A173&amp;"'!$B$2:$B$501"),$T173,INDIRECT("'"&amp;$A173&amp;"'!$A$2:$A$501"),"&gt;="&amp;$I173,INDIRECT("'"&amp;$A173&amp;"'!$A$2:$A$501"),"&lt;"&amp;($BA173+1),INDIRECT("'"&amp;$A173&amp;"'!$G$2:$G$501"),"&lt;&gt;"),0)))</f>
        <v/>
      </c>
      <c r="AZ173" s="25">
        <f>IF($A173="","",$A173&amp;"|"&amp;$L173)</f>
        <v/>
      </c>
      <c r="BA173" s="26">
        <f>IF($A173="","",IFERROR(IF(INDEX(drops!$R$2:$R$21,MATCH($H173,drops!$A$2:$A$21,0))="","",INDEX(drops!$R$2:$R$21,MATCH($H173,drops!$A$2:$A$21,0))),""))</f>
        <v/>
      </c>
      <c r="BB173" s="25">
        <f>IF(OR($A173="",$Q173&lt;&gt;"Y"),1000000,N($AL173))</f>
        <v/>
      </c>
      <c r="BC173" s="25">
        <f>IF($A173="","",IF(COUNTIF(survey_frozen!$P$2:$P$251,$A173&amp;"|"&amp;$B173)&gt;0,"Y",""))</f>
        <v/>
      </c>
    </row>
    <row r="174">
      <c r="C174" s="9" t="n"/>
      <c r="E174" s="9" t="n"/>
      <c r="H174" s="25">
        <f>IF($A174="","",IFERROR(IF(INDEX(campaigns!$B$2:$B$51,MATCH($A174,campaigns!$A$2:$A$51,0))="","",INDEX(campaigns!$B$2:$B$51,MATCH($A174,campaigns!$A$2:$A$51,0))),""))</f>
        <v/>
      </c>
      <c r="I174" s="26">
        <f>IF($A174="","",IFERROR(IF(INDEX(campaigns!$BG$2:$BG$51,MATCH($A174,campaigns!$A$2:$A$51,0))="","",INDEX(campaigns!$BG$2:$BG$51,MATCH($A174,campaigns!$A$2:$A$51,0))),""))</f>
        <v/>
      </c>
      <c r="J174" s="25">
        <f>IF($A174="","",IFERROR(IF(INDEX(campaigns!$BE$2:$BE$51,MATCH($A174,campaigns!$A$2:$A$51,0))="","",INDEX(campaigns!$BE$2:$BE$51,MATCH($A174,campaigns!$A$2:$A$51,0))),""))</f>
        <v/>
      </c>
      <c r="K174" s="25">
        <f>IF($B174="","",IFERROR(IF(INDEX(offices!$N$2:$N$61,MATCH($B174,offices!$A$2:$A$61,0))="","",INDEX(offices!$N$2:$N$61,MATCH($B174,offices!$A$2:$A$61,0))),""))</f>
        <v/>
      </c>
      <c r="L174" s="25">
        <f>IF($A174="","",IF($Q174="N","",COUNTIFS($A$2:$A174,$A174,$Q$2:$Q174,"&lt;&gt;N")))</f>
        <v/>
      </c>
      <c r="M174" s="25">
        <f>IF(OR($A174="",$L174=""),"",IF(AND(config!$B$34="names_if_public",IFERROR(IF(INDEX(offices!$AF$2:$AF$61,MATCH($B174,offices!$A$2:$A$61,0))="","",INDEX(offices!$AF$2:$AF$61,MATCH($B174,offices!$A$2:$A$61,0))),"")="Y"),$K174,CHAR(64+$L174)))</f>
        <v/>
      </c>
      <c r="N174" s="25">
        <f>IF(OR($A174="",$I174=""),"",COUNTIFS(stops!$B$2:$B$151,$B174,stops!$P$2:$P$151,"&lt;"&amp;$I174,stops!$L$2:$L$151,"&lt;&gt;not_delivered")+1)</f>
        <v/>
      </c>
      <c r="O174" s="25">
        <f>IF($A174="","",IF(N($N174)&lt;=config!$B$29,"explicit","opt-out"))</f>
        <v/>
      </c>
      <c r="P174" s="25">
        <f>IF($A174="","",IF($O174="explicit",IF($D174="yes","Y",IF($D174="no","N","pending")),IF($D174="no","N",IF(AND($C174&lt;&gt;"",$I174&lt;&gt;"",$C174&lt;=WORKDAY(N($I174),-5,calendar!$A$2:$A$80)),"Y","pending"))))</f>
        <v/>
      </c>
      <c r="Q174" s="25">
        <f>IF($A174="","",IF($P174="N","N",IF($P174&lt;&gt;"Y","pending",IF(AND((COUNTIFS(stops!$A$2:$A$151,$H174,stops!$B$2:$B$151,$B174,stops!$L$2:$L$151,"declined")+COUNTIFS(stops!$A$2:$A$151,$H174,stops!$B$2:$B$151,$B174,stops!$L$2:$L$151,"building_refused")+COUNTIFS(stops!$A$2:$A$151,$H174,stops!$B$2:$B$151,$B174,stops!$L$2:$L$151,"not_delivered"))&gt;0,N($U174)=0),"N","Y"))))</f>
        <v/>
      </c>
      <c r="R174" s="25">
        <f>IF($A174="","",IF(COUNTIFS($A$2:$A$251,$A174,$B$2:$B$251,$B174)&gt;1,"DUPLICATE ROW; ","")&amp;IF(AND(IFERROR(IF(INDEX(offices!$AC$2:$AC$61,MATCH($B174,offices!$A$2:$A$61,0))="","",INDEX(offices!$AC$2:$AC$61,MATCH($B174,offices!$A$2:$A$61,0))),"")&lt;&gt;"",ISNUMBER(SEARCH($J174,IFERROR(IF(INDEX(offices!$AC$2:$AC$61,MATCH($B174,offices!$A$2:$A$61,0))="","",INDEX(offices!$AC$2:$AC$61,MATCH($B174,offices!$A$2:$A$61,0))),"")))),"BRAND VETOED; ","")&amp;IF(ISNUMBER(SEARCH(IFERROR(IF(INDEX(campaigns!$BF$2:$BF$51,MATCH($A174,campaigns!$A$2:$A$51,0))="","",INDEX(campaigns!$BF$2:$BF$51,MATCH($A174,campaigns!$A$2:$A$51,0))),""),IFERROR(IF(INDEX(offices!$AB$2:$AB$61,MATCH($B174,offices!$A$2:$A$61,0))="","",INDEX(offices!$AB$2:$AB$61,MATCH($B174,offices!$A$2:$A$61,0))),""))),"","info: category not on the office's list; ")&amp;IF(IFERROR(IF(INDEX(offices!$AC$2:$AC$61,MATCH($B174,offices!$A$2:$A$61,0))="","",INDEX(offices!$AC$2:$AC$61,MATCH($B174,offices!$A$2:$A$61,0))),"")&lt;&gt;"","info: read the vetoes against the label; ",""))</f>
        <v/>
      </c>
      <c r="S174" s="25">
        <f>IF($A174="","",IF($G174&lt;&gt;"",$G174,IFERROR(IF(INDEX(offices!$AL$2:$AL$61,MATCH($B174,offices!$A$2:$A$61,0))="","",INDEX(offices!$AL$2:$AL$61,MATCH($B174,offices!$A$2:$A$61,0))),"")))</f>
        <v/>
      </c>
      <c r="T174" s="25">
        <f>IF($A174="","",$A174&amp;"."&amp;$B174)</f>
        <v/>
      </c>
      <c r="U174" s="25">
        <f>IF($A174="","",SUMIFS(inventory!$G$2:$G$801,inventory!$C$2:$C$801,$A174,inventory!$D$2:$D$801,$B174,inventory!$E$2:$E$801,"delivered"))</f>
        <v/>
      </c>
      <c r="V174" s="32">
        <f>IF($A174="","",IFERROR(1/(1/SUMPRODUCT(MAX((inventory!$C$2:$C$801=$A174)*(inventory!$D$2:$D$801=$B174)*(inventory!$E$2:$E$801="delivered")*(inventory!$A$2:$A$801+inventory!$B$2:$B$801)))),""))</f>
        <v/>
      </c>
      <c r="W174" s="25">
        <f>IF($A174="","",IFERROR(IF(INDEX(inventory!$J$2:$J$801,MATCH($A174&amp;"|"&amp;$B174&amp;"|delivered",inventory!$R$2:$R$801,0))="","",INDEX(inventory!$J$2:$J$801,MATCH($A174&amp;"|"&amp;$B174&amp;"|delivered",inventory!$R$2:$R$801,0))),""))</f>
        <v/>
      </c>
      <c r="X174" s="25">
        <f>IF($A174="","",IFERROR(IF(INDEX(photos!$H$2:$H$701,MATCH($A174&amp;"|"&amp;$B174&amp;"|placement|Y",photos!$R$2:$R$701,0))="","",INDEX(photos!$H$2:$H$701,MATCH($A174&amp;"|"&amp;$B174&amp;"|placement|Y",photos!$R$2:$R$701,0))),""))</f>
        <v/>
      </c>
      <c r="Y174" s="26">
        <f>IF($A174="","",IFERROR(IF(INDEX(photos!$E$2:$E$701,MATCH($A174&amp;"|"&amp;$B174&amp;"|placement|Y",photos!$R$2:$R$701,0))="","",INDEX(photos!$E$2:$E$701,MATCH($A174&amp;"|"&amp;$B174&amp;"|placement|Y",photos!$R$2:$R$701,0))),""))</f>
        <v/>
      </c>
      <c r="Z174" s="25">
        <f>IF($A174="","",IF(COUNTIFS(counts!$C$2:$C$701,$A174,counts!$D$2:$D$701,$B174,counts!$E$2:$E$701,"placed")=0,"",SUMIFS(counts!$F$2:$F$701,counts!$C$2:$C$701,$A174,counts!$D$2:$D$701,$B174,counts!$E$2:$E$701,"placed")))</f>
        <v/>
      </c>
      <c r="AA174" s="25">
        <f>IF($A174="","",IF($Y174="",0,N($Z174)))</f>
        <v/>
      </c>
      <c r="AB174" s="25">
        <f>IF($A174="","",IF(OR($Y174="",$I174=""),"N",IF($Y174&lt;=WORKDAY(N($I174),1,calendar!$A$2:$A$80),"Y","N")))</f>
        <v/>
      </c>
      <c r="AC174" s="28">
        <f>IF(OR($A174="",$V174="",$Y174=""),"",ROUND(($Y174+N(IFERROR(IF(INDEX(photos!$F$2:$F$701,MATCH($A174&amp;"|"&amp;$B174&amp;"|placement|Y",photos!$R$2:$R$701,0))="","",INDEX(photos!$F$2:$F$701,MATCH($A174&amp;"|"&amp;$B174&amp;"|placement|Y",photos!$R$2:$R$701,0))),""))-$V174)*24,1))</f>
        <v/>
      </c>
      <c r="AD174" s="25">
        <f>IF($A174="","",SUMIFS(inventory!$G$2:$G$801,inventory!$C$2:$C$801,$A174,inventory!$D$2:$D$801,$B174,inventory!$E$2:$E$801,"topped_up"))</f>
        <v/>
      </c>
      <c r="AE174" s="25">
        <f>IF($A174="","",IF(COUNTIFS(counts!$C$2:$C$701,$A174,counts!$D$2:$D$701,$B174,counts!$E$2:$E$701,"remaining_day3")=0,"",SUMIFS(counts!$F$2:$F$701,counts!$C$2:$C$701,$A174,counts!$D$2:$D$701,$B174,counts!$E$2:$E$701,"remaining_day3")))</f>
        <v/>
      </c>
      <c r="AF174" s="25">
        <f>IF($A174="","",IF(COUNTIFS(counts!$C$2:$C$701,$A174,counts!$D$2:$D$701,$B174,counts!$E$2:$E$701,"remaining_day5")=0,"",SUMIFS(counts!$F$2:$F$701,counts!$C$2:$C$701,$A174,counts!$D$2:$D$701,$B174,counts!$E$2:$E$701,"remaining_day5")))</f>
        <v/>
      </c>
      <c r="AG174" s="25">
        <f>IF(OR($A174="",$AF174=""),"",MAX(0,$AA174+$AD174-$AF174))</f>
        <v/>
      </c>
      <c r="AH174" s="25">
        <f>IF(OR($A174="",$AI174=""),"",IFERROR(IF(INDEX(photos!$H$2:$H$701,MATCH($A174&amp;"|"&amp;$B174&amp;"|later|Y|"&amp;$AI174,photos!$S$2:$S$701,0))="","",INDEX(photos!$H$2:$H$701,MATCH($A174&amp;"|"&amp;$B174&amp;"|later|Y|"&amp;$AI174,photos!$S$2:$S$701,0))),""))</f>
        <v/>
      </c>
      <c r="AI174" s="26">
        <f>IF($A174="","",IFERROR(1/(1/SUMPRODUCT(MAX((photos!$B$2:$B$701=$A174)*(photos!$C$2:$C$701=$B174)*(photos!$D$2:$D$701="later")*(photos!$O$2:$O$701="Y")*photos!$E$2:$E$701))),""))</f>
        <v/>
      </c>
      <c r="AJ174" s="25">
        <f>IF(OR($A174="",$AI174="",$I174=""),"",NETWORKDAYS($I174,$AI174,calendar!$A$2:$A$80))</f>
        <v/>
      </c>
      <c r="AK174" s="25">
        <f>IF($A174="","",IF(AND($X174&lt;&gt;"",$AH174&lt;&gt;""),"Y","N"))</f>
        <v/>
      </c>
      <c r="AL174" s="25">
        <f>IF(OR($A174="",$I174=""),"",IF($BC174="Y",SUMIFS(survey_frozen!$C$2:$C$251,survey_frozen!$P$2:$P$251,$A174&amp;"|"&amp;$B174),IFERROR(COUNTIFS(INDIRECT("'"&amp;$A174&amp;"'!$B$2:$B$501"),$T174,INDIRECT("'"&amp;$A174&amp;"'!$A$2:$A$501"),"&gt;="&amp;$I174,INDIRECT("'"&amp;$A174&amp;"'!$A$2:$A$501"),"&lt;"&amp;($BA174+1)),0)))</f>
        <v/>
      </c>
      <c r="AM174" s="25">
        <f>IF(OR($A174="",$I174=""),"",IF($BC174="Y",SUMIFS(survey_frozen!$D$2:$D$251,survey_frozen!$P$2:$P$251,$A174&amp;"|"&amp;$B174),IFERROR(COUNTIFS(INDIRECT("'"&amp;$A174&amp;"'!$B$2:$B$501"),$T174,INDIRECT("'"&amp;$A174&amp;"'!$A$2:$A$501"),"&gt;="&amp;$I174,INDIRECT("'"&amp;$A174&amp;"'!$A$2:$A$501"),"&lt;"&amp;($BA174+1),INDIRECT("'"&amp;$A174&amp;"'!$C$2:$C$501"),"Yes"),0)))</f>
        <v/>
      </c>
      <c r="AN174" s="25">
        <f>IF($A174="","",IF(COUNTIFS(scans!$C$2:$C$1601,(IF(LEFT($A174,7)="SAMPLE-","SAMPLE-","")&amp;LOWER(SUBSTITUTE(SUBSTITUTE($A174,"SAMPLE-",""),"CMP-","c"))&amp;"-"&amp;LOWER(SUBSTITUTE(SUBSTITUTE($B174,"SAMPLE-",""),"O-","o"))&amp;"-q"),scans!$D$2:$D$1601,"close")=0,"",SUMPRODUCT(MAX((scans!$C$2:$C$1601=(IF(LEFT($A174,7)="SAMPLE-","SAMPLE-","")&amp;LOWER(SUBSTITUTE(SUBSTITUTE($A174,"SAMPLE-",""),"CMP-","c"))&amp;"-"&amp;LOWER(SUBSTITUTE(SUBSTITUTE($B174,"SAMPLE-",""),"O-","o"))&amp;"-q"))*(scans!$D$2:$D$1601="close")*scans!$E$2:$E$1601))-SUMPRODUCT(MAX((scans!$C$2:$C$1601=(IF(LEFT($A174,7)="SAMPLE-","SAMPLE-","")&amp;LOWER(SUBSTITUTE(SUBSTITUTE($A174,"SAMPLE-",""),"CMP-","c"))&amp;"-"&amp;LOWER(SUBSTITUTE(SUBSTITUTE($B174,"SAMPLE-",""),"O-","o"))&amp;"-q"))*(scans!$D$2:$D$1601="baseline")*scans!$E$2:$E$1601))))</f>
        <v/>
      </c>
      <c r="AO174" s="25">
        <f>IF($A174="","",IF(COUNTIFS(scans!$C$2:$C$1601,(IF(LEFT($A174,7)="SAMPLE-","SAMPLE-","")&amp;LOWER(SUBSTITUTE(SUBSTITUTE($A174,"SAMPLE-",""),"CMP-","c"))&amp;"-"&amp;LOWER(SUBSTITUTE(SUBSTITUTE($B174,"SAMPLE-",""),"O-","o"))&amp;"-p"),scans!$D$2:$D$1601,"close")=0,"",SUMPRODUCT(MAX((scans!$C$2:$C$1601=(IF(LEFT($A174,7)="SAMPLE-","SAMPLE-","")&amp;LOWER(SUBSTITUTE(SUBSTITUTE($A174,"SAMPLE-",""),"CMP-","c"))&amp;"-"&amp;LOWER(SUBSTITUTE(SUBSTITUTE($B174,"SAMPLE-",""),"O-","o"))&amp;"-p"))*(scans!$D$2:$D$1601="close")*scans!$E$2:$E$1601))-SUMPRODUCT(MAX((scans!$C$2:$C$1601=(IF(LEFT($A174,7)="SAMPLE-","SAMPLE-","")&amp;LOWER(SUBSTITUTE(SUBSTITUTE($A174,"SAMPLE-",""),"CMP-","c"))&amp;"-"&amp;LOWER(SUBSTITUTE(SUBSTITUTE($B174,"SAMPLE-",""),"O-","o"))&amp;"-p"))*(scans!$D$2:$D$1601="baseline")*scans!$E$2:$E$1601))))</f>
        <v/>
      </c>
      <c r="AP174" s="25">
        <f>IF($A174="","",IF(COUNTIF(offices!$A$2:$A$61,$B174)=0,"office_id not on offices; ","")&amp;IF(COUNTIF(campaigns!$A$2:$A$51,$A174)=0,"campaign_id not on campaigns; ","")&amp;IF($P174="pending","approval pending; ","")&amp;IF(AND($U174&gt;0,$Y174="",OR($I174="",IF(config!$B$37&lt;&gt;"",config!$B$37,TODAY())&lt;=WORKDAY(N($I174),4,calendar!$A$2:$A$80))),"no usable placement photo yet; ","")&amp;IF(AND($Y174&lt;&gt;"",$Z174=""),"log the placed count; ","")&amp;IF(N($AA174)&gt;N($U174),"placed more than delivered; ","")&amp;IF(AND($AF174&lt;&gt;"",N($AF174)&gt;N($AA174)+N($AD174)),"day-5 count above placed plus top-ups; ","")&amp;IF(AND($U174&gt;0,$I174&lt;&gt;"",IF(config!$B$37&lt;&gt;"",config!$B$37,TODAY())&gt;WORKDAY(N($I174),4,calendar!$A$2:$A$80),$AF174=""),"day-5 count missing; ","")&amp;IF(AND($U174&gt;0,$I174&lt;&gt;"",IF(config!$B$37&lt;&gt;"",config!$B$37,TODAY())&gt;WORKDAY(N($I174),4,calendar!$A$2:$A$80),$AN174=""),"no close link reading; ","")&amp;$R174&amp;IF($P174="N","info: office said no; ","")&amp;IF(AND($P174="Y",$Q174="N"),"info: turned away at the door, so not on the drop (no letter, not in the report or Gate 2; the credit check is on campaigns); ","")&amp;IF(AND($U174&gt;0,$Y174="",$I174&lt;&gt;"",IF(config!$B$37&lt;&gt;"",config!$B$37,TODAY())&gt;WORKDAY(N($I174),4,calendar!$A$2:$A$80)),"info: no usable placement photo, so nothing counts as placed; ","")&amp;IF(AND($U174&gt;0,$I174&lt;&gt;"",IF(config!$B$37&lt;&gt;"",config!$B$37,TODAY())&gt;WORKDAY(N($I174),4,calendar!$A$2:$A$80),N($AL174)&lt;config!$B$30),"info: under "&amp;config!$B$30&amp;" responses; ","")&amp;IF($W174="packing_list","info: delivered count not verified; ",""))</f>
        <v/>
      </c>
      <c r="AQ174" s="25">
        <f>IF(OR($A174="",$I174=""),"",IF($BC174="Y",SUMIFS(survey_frozen!$E$2:$E$251,survey_frozen!$P$2:$P$251,$A174&amp;"|"&amp;$B174),IFERROR(COUNTIFS(INDIRECT("'"&amp;$A174&amp;"'!$B$2:$B$501"),$T174,INDIRECT("'"&amp;$A174&amp;"'!$A$2:$A$501"),"&gt;="&amp;$I174,INDIRECT("'"&amp;$A174&amp;"'!$A$2:$A$501"),"&lt;"&amp;($BA174+1),INDIRECT("'"&amp;$A174&amp;"'!$F$2:$F$501"),"Didn't see it"),0)))</f>
        <v/>
      </c>
      <c r="AR174" s="25">
        <f>IF(OR($A174="",$I174=""),"",IF($BC174="Y",SUMIFS(survey_frozen!$F$2:$F$251,survey_frozen!$P$2:$P$251,$A174&amp;"|"&amp;$B174),IFERROR(COUNTIFS(INDIRECT("'"&amp;$A174&amp;"'!$B$2:$B$501"),$T174,INDIRECT("'"&amp;$A174&amp;"'!$A$2:$A$501"),"&gt;="&amp;$I174,INDIRECT("'"&amp;$A174&amp;"'!$A$2:$A$501"),"&lt;"&amp;($BA174+1),INDIRECT("'"&amp;$A174&amp;"'!$F$2:$F$501"),"Not for me"),0)))</f>
        <v/>
      </c>
      <c r="AS174" s="25">
        <f>IF(OR($A174="",$I174=""),"",IF($BC174="Y",SUMIFS(survey_frozen!$G$2:$G$251,survey_frozen!$P$2:$P$251,$A174&amp;"|"&amp;$B174),IFERROR(COUNTIFS(INDIRECT("'"&amp;$A174&amp;"'!$B$2:$B$501"),$T174,INDIRECT("'"&amp;$A174&amp;"'!$A$2:$A$501"),"&gt;="&amp;$I174,INDIRECT("'"&amp;$A174&amp;"'!$A$2:$A$501"),"&lt;"&amp;($BA174+1),INDIRECT("'"&amp;$A174&amp;"'!$F$2:$F$501"),"Gone by the time I looked"),0)))</f>
        <v/>
      </c>
      <c r="AT174" s="25">
        <f>IF(OR($A174="",$I174=""),"",IF($BC174="Y",SUMIFS(survey_frozen!$H$2:$H$251,survey_frozen!$P$2:$P$251,$A174&amp;"|"&amp;$B174),IFERROR(COUNTIFS(INDIRECT("'"&amp;$A174&amp;"'!$B$2:$B$501"),$T174,INDIRECT("'"&amp;$A174&amp;"'!$A$2:$A$501"),"&gt;="&amp;$I174,INDIRECT("'"&amp;$A174&amp;"'!$A$2:$A$501"),"&lt;"&amp;($BA174+1),INDIRECT("'"&amp;$A174&amp;"'!$D$2:$D$501"),"&gt;=1"),0)))</f>
        <v/>
      </c>
      <c r="AU174" s="25">
        <f>IF(OR($A174="",$I174=""),"",IF($BC174="Y",SUMIFS(survey_frozen!$I$2:$I$251,survey_frozen!$P$2:$P$251,$A174&amp;"|"&amp;$B174),IFERROR(SUMIFS(INDIRECT("'"&amp;$A174&amp;"'!$D$2:$D$501"),INDIRECT("'"&amp;$A174&amp;"'!$B$2:$B$501"),$T174,INDIRECT("'"&amp;$A174&amp;"'!$A$2:$A$501"),"&gt;="&amp;$I174,INDIRECT("'"&amp;$A174&amp;"'!$A$2:$A$501"),"&lt;"&amp;($BA174+1)),0)))</f>
        <v/>
      </c>
      <c r="AV174" s="25">
        <f>IF(OR($A174="",$I174=""),"",IF($BC174="Y",SUMIFS(survey_frozen!$J$2:$J$251,survey_frozen!$P$2:$P$251,$A174&amp;"|"&amp;$B174),IFERROR(COUNTIFS(INDIRECT("'"&amp;$A174&amp;"'!$B$2:$B$501"),$T174,INDIRECT("'"&amp;$A174&amp;"'!$A$2:$A$501"),"&gt;="&amp;$I174,INDIRECT("'"&amp;$A174&amp;"'!$A$2:$A$501"),"&lt;"&amp;($BA174+1),INDIRECT("'"&amp;$A174&amp;"'!$E$2:$E$501"),"Yes"),0)))</f>
        <v/>
      </c>
      <c r="AW174" s="25">
        <f>IF(OR($A174="",$I174=""),"",IF($BC174="Y",SUMIFS(survey_frozen!$K$2:$K$251,survey_frozen!$P$2:$P$251,$A174&amp;"|"&amp;$B174),IFERROR(COUNTIFS(INDIRECT("'"&amp;$A174&amp;"'!$B$2:$B$501"),$T174,INDIRECT("'"&amp;$A174&amp;"'!$A$2:$A$501"),"&gt;="&amp;$I174,INDIRECT("'"&amp;$A174&amp;"'!$A$2:$A$501"),"&lt;"&amp;($BA174+1),INDIRECT("'"&amp;$A174&amp;"'!$E$2:$E$501"),"Maybe"),0)))</f>
        <v/>
      </c>
      <c r="AX174" s="25">
        <f>IF(OR($A174="",$I174=""),"",IF($BC174="Y",SUMIFS(survey_frozen!$L$2:$L$251,survey_frozen!$P$2:$P$251,$A174&amp;"|"&amp;$B174),IFERROR(COUNTIFS(INDIRECT("'"&amp;$A174&amp;"'!$B$2:$B$501"),$T174,INDIRECT("'"&amp;$A174&amp;"'!$A$2:$A$501"),"&gt;="&amp;$I174,INDIRECT("'"&amp;$A174&amp;"'!$A$2:$A$501"),"&lt;"&amp;($BA174+1),INDIRECT("'"&amp;$A174&amp;"'!$E$2:$E$501"),"No"),0)))</f>
        <v/>
      </c>
      <c r="AY174" s="25">
        <f>IF(OR($A174="",$I174=""),"",IF($BC174="Y",SUMIFS(survey_frozen!$M$2:$M$251,survey_frozen!$P$2:$P$251,$A174&amp;"|"&amp;$B174),IFERROR(COUNTIFS(INDIRECT("'"&amp;$A174&amp;"'!$B$2:$B$501"),$T174,INDIRECT("'"&amp;$A174&amp;"'!$A$2:$A$501"),"&gt;="&amp;$I174,INDIRECT("'"&amp;$A174&amp;"'!$A$2:$A$501"),"&lt;"&amp;($BA174+1),INDIRECT("'"&amp;$A174&amp;"'!$G$2:$G$501"),"&lt;&gt;"),0)))</f>
        <v/>
      </c>
      <c r="AZ174" s="25">
        <f>IF($A174="","",$A174&amp;"|"&amp;$L174)</f>
        <v/>
      </c>
      <c r="BA174" s="26">
        <f>IF($A174="","",IFERROR(IF(INDEX(drops!$R$2:$R$21,MATCH($H174,drops!$A$2:$A$21,0))="","",INDEX(drops!$R$2:$R$21,MATCH($H174,drops!$A$2:$A$21,0))),""))</f>
        <v/>
      </c>
      <c r="BB174" s="25">
        <f>IF(OR($A174="",$Q174&lt;&gt;"Y"),1000000,N($AL174))</f>
        <v/>
      </c>
      <c r="BC174" s="25">
        <f>IF($A174="","",IF(COUNTIF(survey_frozen!$P$2:$P$251,$A174&amp;"|"&amp;$B174)&gt;0,"Y",""))</f>
        <v/>
      </c>
    </row>
    <row r="175">
      <c r="C175" s="9" t="n"/>
      <c r="E175" s="9" t="n"/>
      <c r="H175" s="25">
        <f>IF($A175="","",IFERROR(IF(INDEX(campaigns!$B$2:$B$51,MATCH($A175,campaigns!$A$2:$A$51,0))="","",INDEX(campaigns!$B$2:$B$51,MATCH($A175,campaigns!$A$2:$A$51,0))),""))</f>
        <v/>
      </c>
      <c r="I175" s="26">
        <f>IF($A175="","",IFERROR(IF(INDEX(campaigns!$BG$2:$BG$51,MATCH($A175,campaigns!$A$2:$A$51,0))="","",INDEX(campaigns!$BG$2:$BG$51,MATCH($A175,campaigns!$A$2:$A$51,0))),""))</f>
        <v/>
      </c>
      <c r="J175" s="25">
        <f>IF($A175="","",IFERROR(IF(INDEX(campaigns!$BE$2:$BE$51,MATCH($A175,campaigns!$A$2:$A$51,0))="","",INDEX(campaigns!$BE$2:$BE$51,MATCH($A175,campaigns!$A$2:$A$51,0))),""))</f>
        <v/>
      </c>
      <c r="K175" s="25">
        <f>IF($B175="","",IFERROR(IF(INDEX(offices!$N$2:$N$61,MATCH($B175,offices!$A$2:$A$61,0))="","",INDEX(offices!$N$2:$N$61,MATCH($B175,offices!$A$2:$A$61,0))),""))</f>
        <v/>
      </c>
      <c r="L175" s="25">
        <f>IF($A175="","",IF($Q175="N","",COUNTIFS($A$2:$A175,$A175,$Q$2:$Q175,"&lt;&gt;N")))</f>
        <v/>
      </c>
      <c r="M175" s="25">
        <f>IF(OR($A175="",$L175=""),"",IF(AND(config!$B$34="names_if_public",IFERROR(IF(INDEX(offices!$AF$2:$AF$61,MATCH($B175,offices!$A$2:$A$61,0))="","",INDEX(offices!$AF$2:$AF$61,MATCH($B175,offices!$A$2:$A$61,0))),"")="Y"),$K175,CHAR(64+$L175)))</f>
        <v/>
      </c>
      <c r="N175" s="25">
        <f>IF(OR($A175="",$I175=""),"",COUNTIFS(stops!$B$2:$B$151,$B175,stops!$P$2:$P$151,"&lt;"&amp;$I175,stops!$L$2:$L$151,"&lt;&gt;not_delivered")+1)</f>
        <v/>
      </c>
      <c r="O175" s="25">
        <f>IF($A175="","",IF(N($N175)&lt;=config!$B$29,"explicit","opt-out"))</f>
        <v/>
      </c>
      <c r="P175" s="25">
        <f>IF($A175="","",IF($O175="explicit",IF($D175="yes","Y",IF($D175="no","N","pending")),IF($D175="no","N",IF(AND($C175&lt;&gt;"",$I175&lt;&gt;"",$C175&lt;=WORKDAY(N($I175),-5,calendar!$A$2:$A$80)),"Y","pending"))))</f>
        <v/>
      </c>
      <c r="Q175" s="25">
        <f>IF($A175="","",IF($P175="N","N",IF($P175&lt;&gt;"Y","pending",IF(AND((COUNTIFS(stops!$A$2:$A$151,$H175,stops!$B$2:$B$151,$B175,stops!$L$2:$L$151,"declined")+COUNTIFS(stops!$A$2:$A$151,$H175,stops!$B$2:$B$151,$B175,stops!$L$2:$L$151,"building_refused")+COUNTIFS(stops!$A$2:$A$151,$H175,stops!$B$2:$B$151,$B175,stops!$L$2:$L$151,"not_delivered"))&gt;0,N($U175)=0),"N","Y"))))</f>
        <v/>
      </c>
      <c r="R175" s="25">
        <f>IF($A175="","",IF(COUNTIFS($A$2:$A$251,$A175,$B$2:$B$251,$B175)&gt;1,"DUPLICATE ROW; ","")&amp;IF(AND(IFERROR(IF(INDEX(offices!$AC$2:$AC$61,MATCH($B175,offices!$A$2:$A$61,0))="","",INDEX(offices!$AC$2:$AC$61,MATCH($B175,offices!$A$2:$A$61,0))),"")&lt;&gt;"",ISNUMBER(SEARCH($J175,IFERROR(IF(INDEX(offices!$AC$2:$AC$61,MATCH($B175,offices!$A$2:$A$61,0))="","",INDEX(offices!$AC$2:$AC$61,MATCH($B175,offices!$A$2:$A$61,0))),"")))),"BRAND VETOED; ","")&amp;IF(ISNUMBER(SEARCH(IFERROR(IF(INDEX(campaigns!$BF$2:$BF$51,MATCH($A175,campaigns!$A$2:$A$51,0))="","",INDEX(campaigns!$BF$2:$BF$51,MATCH($A175,campaigns!$A$2:$A$51,0))),""),IFERROR(IF(INDEX(offices!$AB$2:$AB$61,MATCH($B175,offices!$A$2:$A$61,0))="","",INDEX(offices!$AB$2:$AB$61,MATCH($B175,offices!$A$2:$A$61,0))),""))),"","info: category not on the office's list; ")&amp;IF(IFERROR(IF(INDEX(offices!$AC$2:$AC$61,MATCH($B175,offices!$A$2:$A$61,0))="","",INDEX(offices!$AC$2:$AC$61,MATCH($B175,offices!$A$2:$A$61,0))),"")&lt;&gt;"","info: read the vetoes against the label; ",""))</f>
        <v/>
      </c>
      <c r="S175" s="25">
        <f>IF($A175="","",IF($G175&lt;&gt;"",$G175,IFERROR(IF(INDEX(offices!$AL$2:$AL$61,MATCH($B175,offices!$A$2:$A$61,0))="","",INDEX(offices!$AL$2:$AL$61,MATCH($B175,offices!$A$2:$A$61,0))),"")))</f>
        <v/>
      </c>
      <c r="T175" s="25">
        <f>IF($A175="","",$A175&amp;"."&amp;$B175)</f>
        <v/>
      </c>
      <c r="U175" s="25">
        <f>IF($A175="","",SUMIFS(inventory!$G$2:$G$801,inventory!$C$2:$C$801,$A175,inventory!$D$2:$D$801,$B175,inventory!$E$2:$E$801,"delivered"))</f>
        <v/>
      </c>
      <c r="V175" s="32">
        <f>IF($A175="","",IFERROR(1/(1/SUMPRODUCT(MAX((inventory!$C$2:$C$801=$A175)*(inventory!$D$2:$D$801=$B175)*(inventory!$E$2:$E$801="delivered")*(inventory!$A$2:$A$801+inventory!$B$2:$B$801)))),""))</f>
        <v/>
      </c>
      <c r="W175" s="25">
        <f>IF($A175="","",IFERROR(IF(INDEX(inventory!$J$2:$J$801,MATCH($A175&amp;"|"&amp;$B175&amp;"|delivered",inventory!$R$2:$R$801,0))="","",INDEX(inventory!$J$2:$J$801,MATCH($A175&amp;"|"&amp;$B175&amp;"|delivered",inventory!$R$2:$R$801,0))),""))</f>
        <v/>
      </c>
      <c r="X175" s="25">
        <f>IF($A175="","",IFERROR(IF(INDEX(photos!$H$2:$H$701,MATCH($A175&amp;"|"&amp;$B175&amp;"|placement|Y",photos!$R$2:$R$701,0))="","",INDEX(photos!$H$2:$H$701,MATCH($A175&amp;"|"&amp;$B175&amp;"|placement|Y",photos!$R$2:$R$701,0))),""))</f>
        <v/>
      </c>
      <c r="Y175" s="26">
        <f>IF($A175="","",IFERROR(IF(INDEX(photos!$E$2:$E$701,MATCH($A175&amp;"|"&amp;$B175&amp;"|placement|Y",photos!$R$2:$R$701,0))="","",INDEX(photos!$E$2:$E$701,MATCH($A175&amp;"|"&amp;$B175&amp;"|placement|Y",photos!$R$2:$R$701,0))),""))</f>
        <v/>
      </c>
      <c r="Z175" s="25">
        <f>IF($A175="","",IF(COUNTIFS(counts!$C$2:$C$701,$A175,counts!$D$2:$D$701,$B175,counts!$E$2:$E$701,"placed")=0,"",SUMIFS(counts!$F$2:$F$701,counts!$C$2:$C$701,$A175,counts!$D$2:$D$701,$B175,counts!$E$2:$E$701,"placed")))</f>
        <v/>
      </c>
      <c r="AA175" s="25">
        <f>IF($A175="","",IF($Y175="",0,N($Z175)))</f>
        <v/>
      </c>
      <c r="AB175" s="25">
        <f>IF($A175="","",IF(OR($Y175="",$I175=""),"N",IF($Y175&lt;=WORKDAY(N($I175),1,calendar!$A$2:$A$80),"Y","N")))</f>
        <v/>
      </c>
      <c r="AC175" s="28">
        <f>IF(OR($A175="",$V175="",$Y175=""),"",ROUND(($Y175+N(IFERROR(IF(INDEX(photos!$F$2:$F$701,MATCH($A175&amp;"|"&amp;$B175&amp;"|placement|Y",photos!$R$2:$R$701,0))="","",INDEX(photos!$F$2:$F$701,MATCH($A175&amp;"|"&amp;$B175&amp;"|placement|Y",photos!$R$2:$R$701,0))),""))-$V175)*24,1))</f>
        <v/>
      </c>
      <c r="AD175" s="25">
        <f>IF($A175="","",SUMIFS(inventory!$G$2:$G$801,inventory!$C$2:$C$801,$A175,inventory!$D$2:$D$801,$B175,inventory!$E$2:$E$801,"topped_up"))</f>
        <v/>
      </c>
      <c r="AE175" s="25">
        <f>IF($A175="","",IF(COUNTIFS(counts!$C$2:$C$701,$A175,counts!$D$2:$D$701,$B175,counts!$E$2:$E$701,"remaining_day3")=0,"",SUMIFS(counts!$F$2:$F$701,counts!$C$2:$C$701,$A175,counts!$D$2:$D$701,$B175,counts!$E$2:$E$701,"remaining_day3")))</f>
        <v/>
      </c>
      <c r="AF175" s="25">
        <f>IF($A175="","",IF(COUNTIFS(counts!$C$2:$C$701,$A175,counts!$D$2:$D$701,$B175,counts!$E$2:$E$701,"remaining_day5")=0,"",SUMIFS(counts!$F$2:$F$701,counts!$C$2:$C$701,$A175,counts!$D$2:$D$701,$B175,counts!$E$2:$E$701,"remaining_day5")))</f>
        <v/>
      </c>
      <c r="AG175" s="25">
        <f>IF(OR($A175="",$AF175=""),"",MAX(0,$AA175+$AD175-$AF175))</f>
        <v/>
      </c>
      <c r="AH175" s="25">
        <f>IF(OR($A175="",$AI175=""),"",IFERROR(IF(INDEX(photos!$H$2:$H$701,MATCH($A175&amp;"|"&amp;$B175&amp;"|later|Y|"&amp;$AI175,photos!$S$2:$S$701,0))="","",INDEX(photos!$H$2:$H$701,MATCH($A175&amp;"|"&amp;$B175&amp;"|later|Y|"&amp;$AI175,photos!$S$2:$S$701,0))),""))</f>
        <v/>
      </c>
      <c r="AI175" s="26">
        <f>IF($A175="","",IFERROR(1/(1/SUMPRODUCT(MAX((photos!$B$2:$B$701=$A175)*(photos!$C$2:$C$701=$B175)*(photos!$D$2:$D$701="later")*(photos!$O$2:$O$701="Y")*photos!$E$2:$E$701))),""))</f>
        <v/>
      </c>
      <c r="AJ175" s="25">
        <f>IF(OR($A175="",$AI175="",$I175=""),"",NETWORKDAYS($I175,$AI175,calendar!$A$2:$A$80))</f>
        <v/>
      </c>
      <c r="AK175" s="25">
        <f>IF($A175="","",IF(AND($X175&lt;&gt;"",$AH175&lt;&gt;""),"Y","N"))</f>
        <v/>
      </c>
      <c r="AL175" s="25">
        <f>IF(OR($A175="",$I175=""),"",IF($BC175="Y",SUMIFS(survey_frozen!$C$2:$C$251,survey_frozen!$P$2:$P$251,$A175&amp;"|"&amp;$B175),IFERROR(COUNTIFS(INDIRECT("'"&amp;$A175&amp;"'!$B$2:$B$501"),$T175,INDIRECT("'"&amp;$A175&amp;"'!$A$2:$A$501"),"&gt;="&amp;$I175,INDIRECT("'"&amp;$A175&amp;"'!$A$2:$A$501"),"&lt;"&amp;($BA175+1)),0)))</f>
        <v/>
      </c>
      <c r="AM175" s="25">
        <f>IF(OR($A175="",$I175=""),"",IF($BC175="Y",SUMIFS(survey_frozen!$D$2:$D$251,survey_frozen!$P$2:$P$251,$A175&amp;"|"&amp;$B175),IFERROR(COUNTIFS(INDIRECT("'"&amp;$A175&amp;"'!$B$2:$B$501"),$T175,INDIRECT("'"&amp;$A175&amp;"'!$A$2:$A$501"),"&gt;="&amp;$I175,INDIRECT("'"&amp;$A175&amp;"'!$A$2:$A$501"),"&lt;"&amp;($BA175+1),INDIRECT("'"&amp;$A175&amp;"'!$C$2:$C$501"),"Yes"),0)))</f>
        <v/>
      </c>
      <c r="AN175" s="25">
        <f>IF($A175="","",IF(COUNTIFS(scans!$C$2:$C$1601,(IF(LEFT($A175,7)="SAMPLE-","SAMPLE-","")&amp;LOWER(SUBSTITUTE(SUBSTITUTE($A175,"SAMPLE-",""),"CMP-","c"))&amp;"-"&amp;LOWER(SUBSTITUTE(SUBSTITUTE($B175,"SAMPLE-",""),"O-","o"))&amp;"-q"),scans!$D$2:$D$1601,"close")=0,"",SUMPRODUCT(MAX((scans!$C$2:$C$1601=(IF(LEFT($A175,7)="SAMPLE-","SAMPLE-","")&amp;LOWER(SUBSTITUTE(SUBSTITUTE($A175,"SAMPLE-",""),"CMP-","c"))&amp;"-"&amp;LOWER(SUBSTITUTE(SUBSTITUTE($B175,"SAMPLE-",""),"O-","o"))&amp;"-q"))*(scans!$D$2:$D$1601="close")*scans!$E$2:$E$1601))-SUMPRODUCT(MAX((scans!$C$2:$C$1601=(IF(LEFT($A175,7)="SAMPLE-","SAMPLE-","")&amp;LOWER(SUBSTITUTE(SUBSTITUTE($A175,"SAMPLE-",""),"CMP-","c"))&amp;"-"&amp;LOWER(SUBSTITUTE(SUBSTITUTE($B175,"SAMPLE-",""),"O-","o"))&amp;"-q"))*(scans!$D$2:$D$1601="baseline")*scans!$E$2:$E$1601))))</f>
        <v/>
      </c>
      <c r="AO175" s="25">
        <f>IF($A175="","",IF(COUNTIFS(scans!$C$2:$C$1601,(IF(LEFT($A175,7)="SAMPLE-","SAMPLE-","")&amp;LOWER(SUBSTITUTE(SUBSTITUTE($A175,"SAMPLE-",""),"CMP-","c"))&amp;"-"&amp;LOWER(SUBSTITUTE(SUBSTITUTE($B175,"SAMPLE-",""),"O-","o"))&amp;"-p"),scans!$D$2:$D$1601,"close")=0,"",SUMPRODUCT(MAX((scans!$C$2:$C$1601=(IF(LEFT($A175,7)="SAMPLE-","SAMPLE-","")&amp;LOWER(SUBSTITUTE(SUBSTITUTE($A175,"SAMPLE-",""),"CMP-","c"))&amp;"-"&amp;LOWER(SUBSTITUTE(SUBSTITUTE($B175,"SAMPLE-",""),"O-","o"))&amp;"-p"))*(scans!$D$2:$D$1601="close")*scans!$E$2:$E$1601))-SUMPRODUCT(MAX((scans!$C$2:$C$1601=(IF(LEFT($A175,7)="SAMPLE-","SAMPLE-","")&amp;LOWER(SUBSTITUTE(SUBSTITUTE($A175,"SAMPLE-",""),"CMP-","c"))&amp;"-"&amp;LOWER(SUBSTITUTE(SUBSTITUTE($B175,"SAMPLE-",""),"O-","o"))&amp;"-p"))*(scans!$D$2:$D$1601="baseline")*scans!$E$2:$E$1601))))</f>
        <v/>
      </c>
      <c r="AP175" s="25">
        <f>IF($A175="","",IF(COUNTIF(offices!$A$2:$A$61,$B175)=0,"office_id not on offices; ","")&amp;IF(COUNTIF(campaigns!$A$2:$A$51,$A175)=0,"campaign_id not on campaigns; ","")&amp;IF($P175="pending","approval pending; ","")&amp;IF(AND($U175&gt;0,$Y175="",OR($I175="",IF(config!$B$37&lt;&gt;"",config!$B$37,TODAY())&lt;=WORKDAY(N($I175),4,calendar!$A$2:$A$80))),"no usable placement photo yet; ","")&amp;IF(AND($Y175&lt;&gt;"",$Z175=""),"log the placed count; ","")&amp;IF(N($AA175)&gt;N($U175),"placed more than delivered; ","")&amp;IF(AND($AF175&lt;&gt;"",N($AF175)&gt;N($AA175)+N($AD175)),"day-5 count above placed plus top-ups; ","")&amp;IF(AND($U175&gt;0,$I175&lt;&gt;"",IF(config!$B$37&lt;&gt;"",config!$B$37,TODAY())&gt;WORKDAY(N($I175),4,calendar!$A$2:$A$80),$AF175=""),"day-5 count missing; ","")&amp;IF(AND($U175&gt;0,$I175&lt;&gt;"",IF(config!$B$37&lt;&gt;"",config!$B$37,TODAY())&gt;WORKDAY(N($I175),4,calendar!$A$2:$A$80),$AN175=""),"no close link reading; ","")&amp;$R175&amp;IF($P175="N","info: office said no; ","")&amp;IF(AND($P175="Y",$Q175="N"),"info: turned away at the door, so not on the drop (no letter, not in the report or Gate 2; the credit check is on campaigns); ","")&amp;IF(AND($U175&gt;0,$Y175="",$I175&lt;&gt;"",IF(config!$B$37&lt;&gt;"",config!$B$37,TODAY())&gt;WORKDAY(N($I175),4,calendar!$A$2:$A$80)),"info: no usable placement photo, so nothing counts as placed; ","")&amp;IF(AND($U175&gt;0,$I175&lt;&gt;"",IF(config!$B$37&lt;&gt;"",config!$B$37,TODAY())&gt;WORKDAY(N($I175),4,calendar!$A$2:$A$80),N($AL175)&lt;config!$B$30),"info: under "&amp;config!$B$30&amp;" responses; ","")&amp;IF($W175="packing_list","info: delivered count not verified; ",""))</f>
        <v/>
      </c>
      <c r="AQ175" s="25">
        <f>IF(OR($A175="",$I175=""),"",IF($BC175="Y",SUMIFS(survey_frozen!$E$2:$E$251,survey_frozen!$P$2:$P$251,$A175&amp;"|"&amp;$B175),IFERROR(COUNTIFS(INDIRECT("'"&amp;$A175&amp;"'!$B$2:$B$501"),$T175,INDIRECT("'"&amp;$A175&amp;"'!$A$2:$A$501"),"&gt;="&amp;$I175,INDIRECT("'"&amp;$A175&amp;"'!$A$2:$A$501"),"&lt;"&amp;($BA175+1),INDIRECT("'"&amp;$A175&amp;"'!$F$2:$F$501"),"Didn't see it"),0)))</f>
        <v/>
      </c>
      <c r="AR175" s="25">
        <f>IF(OR($A175="",$I175=""),"",IF($BC175="Y",SUMIFS(survey_frozen!$F$2:$F$251,survey_frozen!$P$2:$P$251,$A175&amp;"|"&amp;$B175),IFERROR(COUNTIFS(INDIRECT("'"&amp;$A175&amp;"'!$B$2:$B$501"),$T175,INDIRECT("'"&amp;$A175&amp;"'!$A$2:$A$501"),"&gt;="&amp;$I175,INDIRECT("'"&amp;$A175&amp;"'!$A$2:$A$501"),"&lt;"&amp;($BA175+1),INDIRECT("'"&amp;$A175&amp;"'!$F$2:$F$501"),"Not for me"),0)))</f>
        <v/>
      </c>
      <c r="AS175" s="25">
        <f>IF(OR($A175="",$I175=""),"",IF($BC175="Y",SUMIFS(survey_frozen!$G$2:$G$251,survey_frozen!$P$2:$P$251,$A175&amp;"|"&amp;$B175),IFERROR(COUNTIFS(INDIRECT("'"&amp;$A175&amp;"'!$B$2:$B$501"),$T175,INDIRECT("'"&amp;$A175&amp;"'!$A$2:$A$501"),"&gt;="&amp;$I175,INDIRECT("'"&amp;$A175&amp;"'!$A$2:$A$501"),"&lt;"&amp;($BA175+1),INDIRECT("'"&amp;$A175&amp;"'!$F$2:$F$501"),"Gone by the time I looked"),0)))</f>
        <v/>
      </c>
      <c r="AT175" s="25">
        <f>IF(OR($A175="",$I175=""),"",IF($BC175="Y",SUMIFS(survey_frozen!$H$2:$H$251,survey_frozen!$P$2:$P$251,$A175&amp;"|"&amp;$B175),IFERROR(COUNTIFS(INDIRECT("'"&amp;$A175&amp;"'!$B$2:$B$501"),$T175,INDIRECT("'"&amp;$A175&amp;"'!$A$2:$A$501"),"&gt;="&amp;$I175,INDIRECT("'"&amp;$A175&amp;"'!$A$2:$A$501"),"&lt;"&amp;($BA175+1),INDIRECT("'"&amp;$A175&amp;"'!$D$2:$D$501"),"&gt;=1"),0)))</f>
        <v/>
      </c>
      <c r="AU175" s="25">
        <f>IF(OR($A175="",$I175=""),"",IF($BC175="Y",SUMIFS(survey_frozen!$I$2:$I$251,survey_frozen!$P$2:$P$251,$A175&amp;"|"&amp;$B175),IFERROR(SUMIFS(INDIRECT("'"&amp;$A175&amp;"'!$D$2:$D$501"),INDIRECT("'"&amp;$A175&amp;"'!$B$2:$B$501"),$T175,INDIRECT("'"&amp;$A175&amp;"'!$A$2:$A$501"),"&gt;="&amp;$I175,INDIRECT("'"&amp;$A175&amp;"'!$A$2:$A$501"),"&lt;"&amp;($BA175+1)),0)))</f>
        <v/>
      </c>
      <c r="AV175" s="25">
        <f>IF(OR($A175="",$I175=""),"",IF($BC175="Y",SUMIFS(survey_frozen!$J$2:$J$251,survey_frozen!$P$2:$P$251,$A175&amp;"|"&amp;$B175),IFERROR(COUNTIFS(INDIRECT("'"&amp;$A175&amp;"'!$B$2:$B$501"),$T175,INDIRECT("'"&amp;$A175&amp;"'!$A$2:$A$501"),"&gt;="&amp;$I175,INDIRECT("'"&amp;$A175&amp;"'!$A$2:$A$501"),"&lt;"&amp;($BA175+1),INDIRECT("'"&amp;$A175&amp;"'!$E$2:$E$501"),"Yes"),0)))</f>
        <v/>
      </c>
      <c r="AW175" s="25">
        <f>IF(OR($A175="",$I175=""),"",IF($BC175="Y",SUMIFS(survey_frozen!$K$2:$K$251,survey_frozen!$P$2:$P$251,$A175&amp;"|"&amp;$B175),IFERROR(COUNTIFS(INDIRECT("'"&amp;$A175&amp;"'!$B$2:$B$501"),$T175,INDIRECT("'"&amp;$A175&amp;"'!$A$2:$A$501"),"&gt;="&amp;$I175,INDIRECT("'"&amp;$A175&amp;"'!$A$2:$A$501"),"&lt;"&amp;($BA175+1),INDIRECT("'"&amp;$A175&amp;"'!$E$2:$E$501"),"Maybe"),0)))</f>
        <v/>
      </c>
      <c r="AX175" s="25">
        <f>IF(OR($A175="",$I175=""),"",IF($BC175="Y",SUMIFS(survey_frozen!$L$2:$L$251,survey_frozen!$P$2:$P$251,$A175&amp;"|"&amp;$B175),IFERROR(COUNTIFS(INDIRECT("'"&amp;$A175&amp;"'!$B$2:$B$501"),$T175,INDIRECT("'"&amp;$A175&amp;"'!$A$2:$A$501"),"&gt;="&amp;$I175,INDIRECT("'"&amp;$A175&amp;"'!$A$2:$A$501"),"&lt;"&amp;($BA175+1),INDIRECT("'"&amp;$A175&amp;"'!$E$2:$E$501"),"No"),0)))</f>
        <v/>
      </c>
      <c r="AY175" s="25">
        <f>IF(OR($A175="",$I175=""),"",IF($BC175="Y",SUMIFS(survey_frozen!$M$2:$M$251,survey_frozen!$P$2:$P$251,$A175&amp;"|"&amp;$B175),IFERROR(COUNTIFS(INDIRECT("'"&amp;$A175&amp;"'!$B$2:$B$501"),$T175,INDIRECT("'"&amp;$A175&amp;"'!$A$2:$A$501"),"&gt;="&amp;$I175,INDIRECT("'"&amp;$A175&amp;"'!$A$2:$A$501"),"&lt;"&amp;($BA175+1),INDIRECT("'"&amp;$A175&amp;"'!$G$2:$G$501"),"&lt;&gt;"),0)))</f>
        <v/>
      </c>
      <c r="AZ175" s="25">
        <f>IF($A175="","",$A175&amp;"|"&amp;$L175)</f>
        <v/>
      </c>
      <c r="BA175" s="26">
        <f>IF($A175="","",IFERROR(IF(INDEX(drops!$R$2:$R$21,MATCH($H175,drops!$A$2:$A$21,0))="","",INDEX(drops!$R$2:$R$21,MATCH($H175,drops!$A$2:$A$21,0))),""))</f>
        <v/>
      </c>
      <c r="BB175" s="25">
        <f>IF(OR($A175="",$Q175&lt;&gt;"Y"),1000000,N($AL175))</f>
        <v/>
      </c>
      <c r="BC175" s="25">
        <f>IF($A175="","",IF(COUNTIF(survey_frozen!$P$2:$P$251,$A175&amp;"|"&amp;$B175)&gt;0,"Y",""))</f>
        <v/>
      </c>
    </row>
    <row r="176">
      <c r="C176" s="9" t="n"/>
      <c r="E176" s="9" t="n"/>
      <c r="H176" s="25">
        <f>IF($A176="","",IFERROR(IF(INDEX(campaigns!$B$2:$B$51,MATCH($A176,campaigns!$A$2:$A$51,0))="","",INDEX(campaigns!$B$2:$B$51,MATCH($A176,campaigns!$A$2:$A$51,0))),""))</f>
        <v/>
      </c>
      <c r="I176" s="26">
        <f>IF($A176="","",IFERROR(IF(INDEX(campaigns!$BG$2:$BG$51,MATCH($A176,campaigns!$A$2:$A$51,0))="","",INDEX(campaigns!$BG$2:$BG$51,MATCH($A176,campaigns!$A$2:$A$51,0))),""))</f>
        <v/>
      </c>
      <c r="J176" s="25">
        <f>IF($A176="","",IFERROR(IF(INDEX(campaigns!$BE$2:$BE$51,MATCH($A176,campaigns!$A$2:$A$51,0))="","",INDEX(campaigns!$BE$2:$BE$51,MATCH($A176,campaigns!$A$2:$A$51,0))),""))</f>
        <v/>
      </c>
      <c r="K176" s="25">
        <f>IF($B176="","",IFERROR(IF(INDEX(offices!$N$2:$N$61,MATCH($B176,offices!$A$2:$A$61,0))="","",INDEX(offices!$N$2:$N$61,MATCH($B176,offices!$A$2:$A$61,0))),""))</f>
        <v/>
      </c>
      <c r="L176" s="25">
        <f>IF($A176="","",IF($Q176="N","",COUNTIFS($A$2:$A176,$A176,$Q$2:$Q176,"&lt;&gt;N")))</f>
        <v/>
      </c>
      <c r="M176" s="25">
        <f>IF(OR($A176="",$L176=""),"",IF(AND(config!$B$34="names_if_public",IFERROR(IF(INDEX(offices!$AF$2:$AF$61,MATCH($B176,offices!$A$2:$A$61,0))="","",INDEX(offices!$AF$2:$AF$61,MATCH($B176,offices!$A$2:$A$61,0))),"")="Y"),$K176,CHAR(64+$L176)))</f>
        <v/>
      </c>
      <c r="N176" s="25">
        <f>IF(OR($A176="",$I176=""),"",COUNTIFS(stops!$B$2:$B$151,$B176,stops!$P$2:$P$151,"&lt;"&amp;$I176,stops!$L$2:$L$151,"&lt;&gt;not_delivered")+1)</f>
        <v/>
      </c>
      <c r="O176" s="25">
        <f>IF($A176="","",IF(N($N176)&lt;=config!$B$29,"explicit","opt-out"))</f>
        <v/>
      </c>
      <c r="P176" s="25">
        <f>IF($A176="","",IF($O176="explicit",IF($D176="yes","Y",IF($D176="no","N","pending")),IF($D176="no","N",IF(AND($C176&lt;&gt;"",$I176&lt;&gt;"",$C176&lt;=WORKDAY(N($I176),-5,calendar!$A$2:$A$80)),"Y","pending"))))</f>
        <v/>
      </c>
      <c r="Q176" s="25">
        <f>IF($A176="","",IF($P176="N","N",IF($P176&lt;&gt;"Y","pending",IF(AND((COUNTIFS(stops!$A$2:$A$151,$H176,stops!$B$2:$B$151,$B176,stops!$L$2:$L$151,"declined")+COUNTIFS(stops!$A$2:$A$151,$H176,stops!$B$2:$B$151,$B176,stops!$L$2:$L$151,"building_refused")+COUNTIFS(stops!$A$2:$A$151,$H176,stops!$B$2:$B$151,$B176,stops!$L$2:$L$151,"not_delivered"))&gt;0,N($U176)=0),"N","Y"))))</f>
        <v/>
      </c>
      <c r="R176" s="25">
        <f>IF($A176="","",IF(COUNTIFS($A$2:$A$251,$A176,$B$2:$B$251,$B176)&gt;1,"DUPLICATE ROW; ","")&amp;IF(AND(IFERROR(IF(INDEX(offices!$AC$2:$AC$61,MATCH($B176,offices!$A$2:$A$61,0))="","",INDEX(offices!$AC$2:$AC$61,MATCH($B176,offices!$A$2:$A$61,0))),"")&lt;&gt;"",ISNUMBER(SEARCH($J176,IFERROR(IF(INDEX(offices!$AC$2:$AC$61,MATCH($B176,offices!$A$2:$A$61,0))="","",INDEX(offices!$AC$2:$AC$61,MATCH($B176,offices!$A$2:$A$61,0))),"")))),"BRAND VETOED; ","")&amp;IF(ISNUMBER(SEARCH(IFERROR(IF(INDEX(campaigns!$BF$2:$BF$51,MATCH($A176,campaigns!$A$2:$A$51,0))="","",INDEX(campaigns!$BF$2:$BF$51,MATCH($A176,campaigns!$A$2:$A$51,0))),""),IFERROR(IF(INDEX(offices!$AB$2:$AB$61,MATCH($B176,offices!$A$2:$A$61,0))="","",INDEX(offices!$AB$2:$AB$61,MATCH($B176,offices!$A$2:$A$61,0))),""))),"","info: category not on the office's list; ")&amp;IF(IFERROR(IF(INDEX(offices!$AC$2:$AC$61,MATCH($B176,offices!$A$2:$A$61,0))="","",INDEX(offices!$AC$2:$AC$61,MATCH($B176,offices!$A$2:$A$61,0))),"")&lt;&gt;"","info: read the vetoes against the label; ",""))</f>
        <v/>
      </c>
      <c r="S176" s="25">
        <f>IF($A176="","",IF($G176&lt;&gt;"",$G176,IFERROR(IF(INDEX(offices!$AL$2:$AL$61,MATCH($B176,offices!$A$2:$A$61,0))="","",INDEX(offices!$AL$2:$AL$61,MATCH($B176,offices!$A$2:$A$61,0))),"")))</f>
        <v/>
      </c>
      <c r="T176" s="25">
        <f>IF($A176="","",$A176&amp;"."&amp;$B176)</f>
        <v/>
      </c>
      <c r="U176" s="25">
        <f>IF($A176="","",SUMIFS(inventory!$G$2:$G$801,inventory!$C$2:$C$801,$A176,inventory!$D$2:$D$801,$B176,inventory!$E$2:$E$801,"delivered"))</f>
        <v/>
      </c>
      <c r="V176" s="32">
        <f>IF($A176="","",IFERROR(1/(1/SUMPRODUCT(MAX((inventory!$C$2:$C$801=$A176)*(inventory!$D$2:$D$801=$B176)*(inventory!$E$2:$E$801="delivered")*(inventory!$A$2:$A$801+inventory!$B$2:$B$801)))),""))</f>
        <v/>
      </c>
      <c r="W176" s="25">
        <f>IF($A176="","",IFERROR(IF(INDEX(inventory!$J$2:$J$801,MATCH($A176&amp;"|"&amp;$B176&amp;"|delivered",inventory!$R$2:$R$801,0))="","",INDEX(inventory!$J$2:$J$801,MATCH($A176&amp;"|"&amp;$B176&amp;"|delivered",inventory!$R$2:$R$801,0))),""))</f>
        <v/>
      </c>
      <c r="X176" s="25">
        <f>IF($A176="","",IFERROR(IF(INDEX(photos!$H$2:$H$701,MATCH($A176&amp;"|"&amp;$B176&amp;"|placement|Y",photos!$R$2:$R$701,0))="","",INDEX(photos!$H$2:$H$701,MATCH($A176&amp;"|"&amp;$B176&amp;"|placement|Y",photos!$R$2:$R$701,0))),""))</f>
        <v/>
      </c>
      <c r="Y176" s="26">
        <f>IF($A176="","",IFERROR(IF(INDEX(photos!$E$2:$E$701,MATCH($A176&amp;"|"&amp;$B176&amp;"|placement|Y",photos!$R$2:$R$701,0))="","",INDEX(photos!$E$2:$E$701,MATCH($A176&amp;"|"&amp;$B176&amp;"|placement|Y",photos!$R$2:$R$701,0))),""))</f>
        <v/>
      </c>
      <c r="Z176" s="25">
        <f>IF($A176="","",IF(COUNTIFS(counts!$C$2:$C$701,$A176,counts!$D$2:$D$701,$B176,counts!$E$2:$E$701,"placed")=0,"",SUMIFS(counts!$F$2:$F$701,counts!$C$2:$C$701,$A176,counts!$D$2:$D$701,$B176,counts!$E$2:$E$701,"placed")))</f>
        <v/>
      </c>
      <c r="AA176" s="25">
        <f>IF($A176="","",IF($Y176="",0,N($Z176)))</f>
        <v/>
      </c>
      <c r="AB176" s="25">
        <f>IF($A176="","",IF(OR($Y176="",$I176=""),"N",IF($Y176&lt;=WORKDAY(N($I176),1,calendar!$A$2:$A$80),"Y","N")))</f>
        <v/>
      </c>
      <c r="AC176" s="28">
        <f>IF(OR($A176="",$V176="",$Y176=""),"",ROUND(($Y176+N(IFERROR(IF(INDEX(photos!$F$2:$F$701,MATCH($A176&amp;"|"&amp;$B176&amp;"|placement|Y",photos!$R$2:$R$701,0))="","",INDEX(photos!$F$2:$F$701,MATCH($A176&amp;"|"&amp;$B176&amp;"|placement|Y",photos!$R$2:$R$701,0))),""))-$V176)*24,1))</f>
        <v/>
      </c>
      <c r="AD176" s="25">
        <f>IF($A176="","",SUMIFS(inventory!$G$2:$G$801,inventory!$C$2:$C$801,$A176,inventory!$D$2:$D$801,$B176,inventory!$E$2:$E$801,"topped_up"))</f>
        <v/>
      </c>
      <c r="AE176" s="25">
        <f>IF($A176="","",IF(COUNTIFS(counts!$C$2:$C$701,$A176,counts!$D$2:$D$701,$B176,counts!$E$2:$E$701,"remaining_day3")=0,"",SUMIFS(counts!$F$2:$F$701,counts!$C$2:$C$701,$A176,counts!$D$2:$D$701,$B176,counts!$E$2:$E$701,"remaining_day3")))</f>
        <v/>
      </c>
      <c r="AF176" s="25">
        <f>IF($A176="","",IF(COUNTIFS(counts!$C$2:$C$701,$A176,counts!$D$2:$D$701,$B176,counts!$E$2:$E$701,"remaining_day5")=0,"",SUMIFS(counts!$F$2:$F$701,counts!$C$2:$C$701,$A176,counts!$D$2:$D$701,$B176,counts!$E$2:$E$701,"remaining_day5")))</f>
        <v/>
      </c>
      <c r="AG176" s="25">
        <f>IF(OR($A176="",$AF176=""),"",MAX(0,$AA176+$AD176-$AF176))</f>
        <v/>
      </c>
      <c r="AH176" s="25">
        <f>IF(OR($A176="",$AI176=""),"",IFERROR(IF(INDEX(photos!$H$2:$H$701,MATCH($A176&amp;"|"&amp;$B176&amp;"|later|Y|"&amp;$AI176,photos!$S$2:$S$701,0))="","",INDEX(photos!$H$2:$H$701,MATCH($A176&amp;"|"&amp;$B176&amp;"|later|Y|"&amp;$AI176,photos!$S$2:$S$701,0))),""))</f>
        <v/>
      </c>
      <c r="AI176" s="26">
        <f>IF($A176="","",IFERROR(1/(1/SUMPRODUCT(MAX((photos!$B$2:$B$701=$A176)*(photos!$C$2:$C$701=$B176)*(photos!$D$2:$D$701="later")*(photos!$O$2:$O$701="Y")*photos!$E$2:$E$701))),""))</f>
        <v/>
      </c>
      <c r="AJ176" s="25">
        <f>IF(OR($A176="",$AI176="",$I176=""),"",NETWORKDAYS($I176,$AI176,calendar!$A$2:$A$80))</f>
        <v/>
      </c>
      <c r="AK176" s="25">
        <f>IF($A176="","",IF(AND($X176&lt;&gt;"",$AH176&lt;&gt;""),"Y","N"))</f>
        <v/>
      </c>
      <c r="AL176" s="25">
        <f>IF(OR($A176="",$I176=""),"",IF($BC176="Y",SUMIFS(survey_frozen!$C$2:$C$251,survey_frozen!$P$2:$P$251,$A176&amp;"|"&amp;$B176),IFERROR(COUNTIFS(INDIRECT("'"&amp;$A176&amp;"'!$B$2:$B$501"),$T176,INDIRECT("'"&amp;$A176&amp;"'!$A$2:$A$501"),"&gt;="&amp;$I176,INDIRECT("'"&amp;$A176&amp;"'!$A$2:$A$501"),"&lt;"&amp;($BA176+1)),0)))</f>
        <v/>
      </c>
      <c r="AM176" s="25">
        <f>IF(OR($A176="",$I176=""),"",IF($BC176="Y",SUMIFS(survey_frozen!$D$2:$D$251,survey_frozen!$P$2:$P$251,$A176&amp;"|"&amp;$B176),IFERROR(COUNTIFS(INDIRECT("'"&amp;$A176&amp;"'!$B$2:$B$501"),$T176,INDIRECT("'"&amp;$A176&amp;"'!$A$2:$A$501"),"&gt;="&amp;$I176,INDIRECT("'"&amp;$A176&amp;"'!$A$2:$A$501"),"&lt;"&amp;($BA176+1),INDIRECT("'"&amp;$A176&amp;"'!$C$2:$C$501"),"Yes"),0)))</f>
        <v/>
      </c>
      <c r="AN176" s="25">
        <f>IF($A176="","",IF(COUNTIFS(scans!$C$2:$C$1601,(IF(LEFT($A176,7)="SAMPLE-","SAMPLE-","")&amp;LOWER(SUBSTITUTE(SUBSTITUTE($A176,"SAMPLE-",""),"CMP-","c"))&amp;"-"&amp;LOWER(SUBSTITUTE(SUBSTITUTE($B176,"SAMPLE-",""),"O-","o"))&amp;"-q"),scans!$D$2:$D$1601,"close")=0,"",SUMPRODUCT(MAX((scans!$C$2:$C$1601=(IF(LEFT($A176,7)="SAMPLE-","SAMPLE-","")&amp;LOWER(SUBSTITUTE(SUBSTITUTE($A176,"SAMPLE-",""),"CMP-","c"))&amp;"-"&amp;LOWER(SUBSTITUTE(SUBSTITUTE($B176,"SAMPLE-",""),"O-","o"))&amp;"-q"))*(scans!$D$2:$D$1601="close")*scans!$E$2:$E$1601))-SUMPRODUCT(MAX((scans!$C$2:$C$1601=(IF(LEFT($A176,7)="SAMPLE-","SAMPLE-","")&amp;LOWER(SUBSTITUTE(SUBSTITUTE($A176,"SAMPLE-",""),"CMP-","c"))&amp;"-"&amp;LOWER(SUBSTITUTE(SUBSTITUTE($B176,"SAMPLE-",""),"O-","o"))&amp;"-q"))*(scans!$D$2:$D$1601="baseline")*scans!$E$2:$E$1601))))</f>
        <v/>
      </c>
      <c r="AO176" s="25">
        <f>IF($A176="","",IF(COUNTIFS(scans!$C$2:$C$1601,(IF(LEFT($A176,7)="SAMPLE-","SAMPLE-","")&amp;LOWER(SUBSTITUTE(SUBSTITUTE($A176,"SAMPLE-",""),"CMP-","c"))&amp;"-"&amp;LOWER(SUBSTITUTE(SUBSTITUTE($B176,"SAMPLE-",""),"O-","o"))&amp;"-p"),scans!$D$2:$D$1601,"close")=0,"",SUMPRODUCT(MAX((scans!$C$2:$C$1601=(IF(LEFT($A176,7)="SAMPLE-","SAMPLE-","")&amp;LOWER(SUBSTITUTE(SUBSTITUTE($A176,"SAMPLE-",""),"CMP-","c"))&amp;"-"&amp;LOWER(SUBSTITUTE(SUBSTITUTE($B176,"SAMPLE-",""),"O-","o"))&amp;"-p"))*(scans!$D$2:$D$1601="close")*scans!$E$2:$E$1601))-SUMPRODUCT(MAX((scans!$C$2:$C$1601=(IF(LEFT($A176,7)="SAMPLE-","SAMPLE-","")&amp;LOWER(SUBSTITUTE(SUBSTITUTE($A176,"SAMPLE-",""),"CMP-","c"))&amp;"-"&amp;LOWER(SUBSTITUTE(SUBSTITUTE($B176,"SAMPLE-",""),"O-","o"))&amp;"-p"))*(scans!$D$2:$D$1601="baseline")*scans!$E$2:$E$1601))))</f>
        <v/>
      </c>
      <c r="AP176" s="25">
        <f>IF($A176="","",IF(COUNTIF(offices!$A$2:$A$61,$B176)=0,"office_id not on offices; ","")&amp;IF(COUNTIF(campaigns!$A$2:$A$51,$A176)=0,"campaign_id not on campaigns; ","")&amp;IF($P176="pending","approval pending; ","")&amp;IF(AND($U176&gt;0,$Y176="",OR($I176="",IF(config!$B$37&lt;&gt;"",config!$B$37,TODAY())&lt;=WORKDAY(N($I176),4,calendar!$A$2:$A$80))),"no usable placement photo yet; ","")&amp;IF(AND($Y176&lt;&gt;"",$Z176=""),"log the placed count; ","")&amp;IF(N($AA176)&gt;N($U176),"placed more than delivered; ","")&amp;IF(AND($AF176&lt;&gt;"",N($AF176)&gt;N($AA176)+N($AD176)),"day-5 count above placed plus top-ups; ","")&amp;IF(AND($U176&gt;0,$I176&lt;&gt;"",IF(config!$B$37&lt;&gt;"",config!$B$37,TODAY())&gt;WORKDAY(N($I176),4,calendar!$A$2:$A$80),$AF176=""),"day-5 count missing; ","")&amp;IF(AND($U176&gt;0,$I176&lt;&gt;"",IF(config!$B$37&lt;&gt;"",config!$B$37,TODAY())&gt;WORKDAY(N($I176),4,calendar!$A$2:$A$80),$AN176=""),"no close link reading; ","")&amp;$R176&amp;IF($P176="N","info: office said no; ","")&amp;IF(AND($P176="Y",$Q176="N"),"info: turned away at the door, so not on the drop (no letter, not in the report or Gate 2; the credit check is on campaigns); ","")&amp;IF(AND($U176&gt;0,$Y176="",$I176&lt;&gt;"",IF(config!$B$37&lt;&gt;"",config!$B$37,TODAY())&gt;WORKDAY(N($I176),4,calendar!$A$2:$A$80)),"info: no usable placement photo, so nothing counts as placed; ","")&amp;IF(AND($U176&gt;0,$I176&lt;&gt;"",IF(config!$B$37&lt;&gt;"",config!$B$37,TODAY())&gt;WORKDAY(N($I176),4,calendar!$A$2:$A$80),N($AL176)&lt;config!$B$30),"info: under "&amp;config!$B$30&amp;" responses; ","")&amp;IF($W176="packing_list","info: delivered count not verified; ",""))</f>
        <v/>
      </c>
      <c r="AQ176" s="25">
        <f>IF(OR($A176="",$I176=""),"",IF($BC176="Y",SUMIFS(survey_frozen!$E$2:$E$251,survey_frozen!$P$2:$P$251,$A176&amp;"|"&amp;$B176),IFERROR(COUNTIFS(INDIRECT("'"&amp;$A176&amp;"'!$B$2:$B$501"),$T176,INDIRECT("'"&amp;$A176&amp;"'!$A$2:$A$501"),"&gt;="&amp;$I176,INDIRECT("'"&amp;$A176&amp;"'!$A$2:$A$501"),"&lt;"&amp;($BA176+1),INDIRECT("'"&amp;$A176&amp;"'!$F$2:$F$501"),"Didn't see it"),0)))</f>
        <v/>
      </c>
      <c r="AR176" s="25">
        <f>IF(OR($A176="",$I176=""),"",IF($BC176="Y",SUMIFS(survey_frozen!$F$2:$F$251,survey_frozen!$P$2:$P$251,$A176&amp;"|"&amp;$B176),IFERROR(COUNTIFS(INDIRECT("'"&amp;$A176&amp;"'!$B$2:$B$501"),$T176,INDIRECT("'"&amp;$A176&amp;"'!$A$2:$A$501"),"&gt;="&amp;$I176,INDIRECT("'"&amp;$A176&amp;"'!$A$2:$A$501"),"&lt;"&amp;($BA176+1),INDIRECT("'"&amp;$A176&amp;"'!$F$2:$F$501"),"Not for me"),0)))</f>
        <v/>
      </c>
      <c r="AS176" s="25">
        <f>IF(OR($A176="",$I176=""),"",IF($BC176="Y",SUMIFS(survey_frozen!$G$2:$G$251,survey_frozen!$P$2:$P$251,$A176&amp;"|"&amp;$B176),IFERROR(COUNTIFS(INDIRECT("'"&amp;$A176&amp;"'!$B$2:$B$501"),$T176,INDIRECT("'"&amp;$A176&amp;"'!$A$2:$A$501"),"&gt;="&amp;$I176,INDIRECT("'"&amp;$A176&amp;"'!$A$2:$A$501"),"&lt;"&amp;($BA176+1),INDIRECT("'"&amp;$A176&amp;"'!$F$2:$F$501"),"Gone by the time I looked"),0)))</f>
        <v/>
      </c>
      <c r="AT176" s="25">
        <f>IF(OR($A176="",$I176=""),"",IF($BC176="Y",SUMIFS(survey_frozen!$H$2:$H$251,survey_frozen!$P$2:$P$251,$A176&amp;"|"&amp;$B176),IFERROR(COUNTIFS(INDIRECT("'"&amp;$A176&amp;"'!$B$2:$B$501"),$T176,INDIRECT("'"&amp;$A176&amp;"'!$A$2:$A$501"),"&gt;="&amp;$I176,INDIRECT("'"&amp;$A176&amp;"'!$A$2:$A$501"),"&lt;"&amp;($BA176+1),INDIRECT("'"&amp;$A176&amp;"'!$D$2:$D$501"),"&gt;=1"),0)))</f>
        <v/>
      </c>
      <c r="AU176" s="25">
        <f>IF(OR($A176="",$I176=""),"",IF($BC176="Y",SUMIFS(survey_frozen!$I$2:$I$251,survey_frozen!$P$2:$P$251,$A176&amp;"|"&amp;$B176),IFERROR(SUMIFS(INDIRECT("'"&amp;$A176&amp;"'!$D$2:$D$501"),INDIRECT("'"&amp;$A176&amp;"'!$B$2:$B$501"),$T176,INDIRECT("'"&amp;$A176&amp;"'!$A$2:$A$501"),"&gt;="&amp;$I176,INDIRECT("'"&amp;$A176&amp;"'!$A$2:$A$501"),"&lt;"&amp;($BA176+1)),0)))</f>
        <v/>
      </c>
      <c r="AV176" s="25">
        <f>IF(OR($A176="",$I176=""),"",IF($BC176="Y",SUMIFS(survey_frozen!$J$2:$J$251,survey_frozen!$P$2:$P$251,$A176&amp;"|"&amp;$B176),IFERROR(COUNTIFS(INDIRECT("'"&amp;$A176&amp;"'!$B$2:$B$501"),$T176,INDIRECT("'"&amp;$A176&amp;"'!$A$2:$A$501"),"&gt;="&amp;$I176,INDIRECT("'"&amp;$A176&amp;"'!$A$2:$A$501"),"&lt;"&amp;($BA176+1),INDIRECT("'"&amp;$A176&amp;"'!$E$2:$E$501"),"Yes"),0)))</f>
        <v/>
      </c>
      <c r="AW176" s="25">
        <f>IF(OR($A176="",$I176=""),"",IF($BC176="Y",SUMIFS(survey_frozen!$K$2:$K$251,survey_frozen!$P$2:$P$251,$A176&amp;"|"&amp;$B176),IFERROR(COUNTIFS(INDIRECT("'"&amp;$A176&amp;"'!$B$2:$B$501"),$T176,INDIRECT("'"&amp;$A176&amp;"'!$A$2:$A$501"),"&gt;="&amp;$I176,INDIRECT("'"&amp;$A176&amp;"'!$A$2:$A$501"),"&lt;"&amp;($BA176+1),INDIRECT("'"&amp;$A176&amp;"'!$E$2:$E$501"),"Maybe"),0)))</f>
        <v/>
      </c>
      <c r="AX176" s="25">
        <f>IF(OR($A176="",$I176=""),"",IF($BC176="Y",SUMIFS(survey_frozen!$L$2:$L$251,survey_frozen!$P$2:$P$251,$A176&amp;"|"&amp;$B176),IFERROR(COUNTIFS(INDIRECT("'"&amp;$A176&amp;"'!$B$2:$B$501"),$T176,INDIRECT("'"&amp;$A176&amp;"'!$A$2:$A$501"),"&gt;="&amp;$I176,INDIRECT("'"&amp;$A176&amp;"'!$A$2:$A$501"),"&lt;"&amp;($BA176+1),INDIRECT("'"&amp;$A176&amp;"'!$E$2:$E$501"),"No"),0)))</f>
        <v/>
      </c>
      <c r="AY176" s="25">
        <f>IF(OR($A176="",$I176=""),"",IF($BC176="Y",SUMIFS(survey_frozen!$M$2:$M$251,survey_frozen!$P$2:$P$251,$A176&amp;"|"&amp;$B176),IFERROR(COUNTIFS(INDIRECT("'"&amp;$A176&amp;"'!$B$2:$B$501"),$T176,INDIRECT("'"&amp;$A176&amp;"'!$A$2:$A$501"),"&gt;="&amp;$I176,INDIRECT("'"&amp;$A176&amp;"'!$A$2:$A$501"),"&lt;"&amp;($BA176+1),INDIRECT("'"&amp;$A176&amp;"'!$G$2:$G$501"),"&lt;&gt;"),0)))</f>
        <v/>
      </c>
      <c r="AZ176" s="25">
        <f>IF($A176="","",$A176&amp;"|"&amp;$L176)</f>
        <v/>
      </c>
      <c r="BA176" s="26">
        <f>IF($A176="","",IFERROR(IF(INDEX(drops!$R$2:$R$21,MATCH($H176,drops!$A$2:$A$21,0))="","",INDEX(drops!$R$2:$R$21,MATCH($H176,drops!$A$2:$A$21,0))),""))</f>
        <v/>
      </c>
      <c r="BB176" s="25">
        <f>IF(OR($A176="",$Q176&lt;&gt;"Y"),1000000,N($AL176))</f>
        <v/>
      </c>
      <c r="BC176" s="25">
        <f>IF($A176="","",IF(COUNTIF(survey_frozen!$P$2:$P$251,$A176&amp;"|"&amp;$B176)&gt;0,"Y",""))</f>
        <v/>
      </c>
    </row>
    <row r="177">
      <c r="C177" s="9" t="n"/>
      <c r="E177" s="9" t="n"/>
      <c r="H177" s="25">
        <f>IF($A177="","",IFERROR(IF(INDEX(campaigns!$B$2:$B$51,MATCH($A177,campaigns!$A$2:$A$51,0))="","",INDEX(campaigns!$B$2:$B$51,MATCH($A177,campaigns!$A$2:$A$51,0))),""))</f>
        <v/>
      </c>
      <c r="I177" s="26">
        <f>IF($A177="","",IFERROR(IF(INDEX(campaigns!$BG$2:$BG$51,MATCH($A177,campaigns!$A$2:$A$51,0))="","",INDEX(campaigns!$BG$2:$BG$51,MATCH($A177,campaigns!$A$2:$A$51,0))),""))</f>
        <v/>
      </c>
      <c r="J177" s="25">
        <f>IF($A177="","",IFERROR(IF(INDEX(campaigns!$BE$2:$BE$51,MATCH($A177,campaigns!$A$2:$A$51,0))="","",INDEX(campaigns!$BE$2:$BE$51,MATCH($A177,campaigns!$A$2:$A$51,0))),""))</f>
        <v/>
      </c>
      <c r="K177" s="25">
        <f>IF($B177="","",IFERROR(IF(INDEX(offices!$N$2:$N$61,MATCH($B177,offices!$A$2:$A$61,0))="","",INDEX(offices!$N$2:$N$61,MATCH($B177,offices!$A$2:$A$61,0))),""))</f>
        <v/>
      </c>
      <c r="L177" s="25">
        <f>IF($A177="","",IF($Q177="N","",COUNTIFS($A$2:$A177,$A177,$Q$2:$Q177,"&lt;&gt;N")))</f>
        <v/>
      </c>
      <c r="M177" s="25">
        <f>IF(OR($A177="",$L177=""),"",IF(AND(config!$B$34="names_if_public",IFERROR(IF(INDEX(offices!$AF$2:$AF$61,MATCH($B177,offices!$A$2:$A$61,0))="","",INDEX(offices!$AF$2:$AF$61,MATCH($B177,offices!$A$2:$A$61,0))),"")="Y"),$K177,CHAR(64+$L177)))</f>
        <v/>
      </c>
      <c r="N177" s="25">
        <f>IF(OR($A177="",$I177=""),"",COUNTIFS(stops!$B$2:$B$151,$B177,stops!$P$2:$P$151,"&lt;"&amp;$I177,stops!$L$2:$L$151,"&lt;&gt;not_delivered")+1)</f>
        <v/>
      </c>
      <c r="O177" s="25">
        <f>IF($A177="","",IF(N($N177)&lt;=config!$B$29,"explicit","opt-out"))</f>
        <v/>
      </c>
      <c r="P177" s="25">
        <f>IF($A177="","",IF($O177="explicit",IF($D177="yes","Y",IF($D177="no","N","pending")),IF($D177="no","N",IF(AND($C177&lt;&gt;"",$I177&lt;&gt;"",$C177&lt;=WORKDAY(N($I177),-5,calendar!$A$2:$A$80)),"Y","pending"))))</f>
        <v/>
      </c>
      <c r="Q177" s="25">
        <f>IF($A177="","",IF($P177="N","N",IF($P177&lt;&gt;"Y","pending",IF(AND((COUNTIFS(stops!$A$2:$A$151,$H177,stops!$B$2:$B$151,$B177,stops!$L$2:$L$151,"declined")+COUNTIFS(stops!$A$2:$A$151,$H177,stops!$B$2:$B$151,$B177,stops!$L$2:$L$151,"building_refused")+COUNTIFS(stops!$A$2:$A$151,$H177,stops!$B$2:$B$151,$B177,stops!$L$2:$L$151,"not_delivered"))&gt;0,N($U177)=0),"N","Y"))))</f>
        <v/>
      </c>
      <c r="R177" s="25">
        <f>IF($A177="","",IF(COUNTIFS($A$2:$A$251,$A177,$B$2:$B$251,$B177)&gt;1,"DUPLICATE ROW; ","")&amp;IF(AND(IFERROR(IF(INDEX(offices!$AC$2:$AC$61,MATCH($B177,offices!$A$2:$A$61,0))="","",INDEX(offices!$AC$2:$AC$61,MATCH($B177,offices!$A$2:$A$61,0))),"")&lt;&gt;"",ISNUMBER(SEARCH($J177,IFERROR(IF(INDEX(offices!$AC$2:$AC$61,MATCH($B177,offices!$A$2:$A$61,0))="","",INDEX(offices!$AC$2:$AC$61,MATCH($B177,offices!$A$2:$A$61,0))),"")))),"BRAND VETOED; ","")&amp;IF(ISNUMBER(SEARCH(IFERROR(IF(INDEX(campaigns!$BF$2:$BF$51,MATCH($A177,campaigns!$A$2:$A$51,0))="","",INDEX(campaigns!$BF$2:$BF$51,MATCH($A177,campaigns!$A$2:$A$51,0))),""),IFERROR(IF(INDEX(offices!$AB$2:$AB$61,MATCH($B177,offices!$A$2:$A$61,0))="","",INDEX(offices!$AB$2:$AB$61,MATCH($B177,offices!$A$2:$A$61,0))),""))),"","info: category not on the office's list; ")&amp;IF(IFERROR(IF(INDEX(offices!$AC$2:$AC$61,MATCH($B177,offices!$A$2:$A$61,0))="","",INDEX(offices!$AC$2:$AC$61,MATCH($B177,offices!$A$2:$A$61,0))),"")&lt;&gt;"","info: read the vetoes against the label; ",""))</f>
        <v/>
      </c>
      <c r="S177" s="25">
        <f>IF($A177="","",IF($G177&lt;&gt;"",$G177,IFERROR(IF(INDEX(offices!$AL$2:$AL$61,MATCH($B177,offices!$A$2:$A$61,0))="","",INDEX(offices!$AL$2:$AL$61,MATCH($B177,offices!$A$2:$A$61,0))),"")))</f>
        <v/>
      </c>
      <c r="T177" s="25">
        <f>IF($A177="","",$A177&amp;"."&amp;$B177)</f>
        <v/>
      </c>
      <c r="U177" s="25">
        <f>IF($A177="","",SUMIFS(inventory!$G$2:$G$801,inventory!$C$2:$C$801,$A177,inventory!$D$2:$D$801,$B177,inventory!$E$2:$E$801,"delivered"))</f>
        <v/>
      </c>
      <c r="V177" s="32">
        <f>IF($A177="","",IFERROR(1/(1/SUMPRODUCT(MAX((inventory!$C$2:$C$801=$A177)*(inventory!$D$2:$D$801=$B177)*(inventory!$E$2:$E$801="delivered")*(inventory!$A$2:$A$801+inventory!$B$2:$B$801)))),""))</f>
        <v/>
      </c>
      <c r="W177" s="25">
        <f>IF($A177="","",IFERROR(IF(INDEX(inventory!$J$2:$J$801,MATCH($A177&amp;"|"&amp;$B177&amp;"|delivered",inventory!$R$2:$R$801,0))="","",INDEX(inventory!$J$2:$J$801,MATCH($A177&amp;"|"&amp;$B177&amp;"|delivered",inventory!$R$2:$R$801,0))),""))</f>
        <v/>
      </c>
      <c r="X177" s="25">
        <f>IF($A177="","",IFERROR(IF(INDEX(photos!$H$2:$H$701,MATCH($A177&amp;"|"&amp;$B177&amp;"|placement|Y",photos!$R$2:$R$701,0))="","",INDEX(photos!$H$2:$H$701,MATCH($A177&amp;"|"&amp;$B177&amp;"|placement|Y",photos!$R$2:$R$701,0))),""))</f>
        <v/>
      </c>
      <c r="Y177" s="26">
        <f>IF($A177="","",IFERROR(IF(INDEX(photos!$E$2:$E$701,MATCH($A177&amp;"|"&amp;$B177&amp;"|placement|Y",photos!$R$2:$R$701,0))="","",INDEX(photos!$E$2:$E$701,MATCH($A177&amp;"|"&amp;$B177&amp;"|placement|Y",photos!$R$2:$R$701,0))),""))</f>
        <v/>
      </c>
      <c r="Z177" s="25">
        <f>IF($A177="","",IF(COUNTIFS(counts!$C$2:$C$701,$A177,counts!$D$2:$D$701,$B177,counts!$E$2:$E$701,"placed")=0,"",SUMIFS(counts!$F$2:$F$701,counts!$C$2:$C$701,$A177,counts!$D$2:$D$701,$B177,counts!$E$2:$E$701,"placed")))</f>
        <v/>
      </c>
      <c r="AA177" s="25">
        <f>IF($A177="","",IF($Y177="",0,N($Z177)))</f>
        <v/>
      </c>
      <c r="AB177" s="25">
        <f>IF($A177="","",IF(OR($Y177="",$I177=""),"N",IF($Y177&lt;=WORKDAY(N($I177),1,calendar!$A$2:$A$80),"Y","N")))</f>
        <v/>
      </c>
      <c r="AC177" s="28">
        <f>IF(OR($A177="",$V177="",$Y177=""),"",ROUND(($Y177+N(IFERROR(IF(INDEX(photos!$F$2:$F$701,MATCH($A177&amp;"|"&amp;$B177&amp;"|placement|Y",photos!$R$2:$R$701,0))="","",INDEX(photos!$F$2:$F$701,MATCH($A177&amp;"|"&amp;$B177&amp;"|placement|Y",photos!$R$2:$R$701,0))),""))-$V177)*24,1))</f>
        <v/>
      </c>
      <c r="AD177" s="25">
        <f>IF($A177="","",SUMIFS(inventory!$G$2:$G$801,inventory!$C$2:$C$801,$A177,inventory!$D$2:$D$801,$B177,inventory!$E$2:$E$801,"topped_up"))</f>
        <v/>
      </c>
      <c r="AE177" s="25">
        <f>IF($A177="","",IF(COUNTIFS(counts!$C$2:$C$701,$A177,counts!$D$2:$D$701,$B177,counts!$E$2:$E$701,"remaining_day3")=0,"",SUMIFS(counts!$F$2:$F$701,counts!$C$2:$C$701,$A177,counts!$D$2:$D$701,$B177,counts!$E$2:$E$701,"remaining_day3")))</f>
        <v/>
      </c>
      <c r="AF177" s="25">
        <f>IF($A177="","",IF(COUNTIFS(counts!$C$2:$C$701,$A177,counts!$D$2:$D$701,$B177,counts!$E$2:$E$701,"remaining_day5")=0,"",SUMIFS(counts!$F$2:$F$701,counts!$C$2:$C$701,$A177,counts!$D$2:$D$701,$B177,counts!$E$2:$E$701,"remaining_day5")))</f>
        <v/>
      </c>
      <c r="AG177" s="25">
        <f>IF(OR($A177="",$AF177=""),"",MAX(0,$AA177+$AD177-$AF177))</f>
        <v/>
      </c>
      <c r="AH177" s="25">
        <f>IF(OR($A177="",$AI177=""),"",IFERROR(IF(INDEX(photos!$H$2:$H$701,MATCH($A177&amp;"|"&amp;$B177&amp;"|later|Y|"&amp;$AI177,photos!$S$2:$S$701,0))="","",INDEX(photos!$H$2:$H$701,MATCH($A177&amp;"|"&amp;$B177&amp;"|later|Y|"&amp;$AI177,photos!$S$2:$S$701,0))),""))</f>
        <v/>
      </c>
      <c r="AI177" s="26">
        <f>IF($A177="","",IFERROR(1/(1/SUMPRODUCT(MAX((photos!$B$2:$B$701=$A177)*(photos!$C$2:$C$701=$B177)*(photos!$D$2:$D$701="later")*(photos!$O$2:$O$701="Y")*photos!$E$2:$E$701))),""))</f>
        <v/>
      </c>
      <c r="AJ177" s="25">
        <f>IF(OR($A177="",$AI177="",$I177=""),"",NETWORKDAYS($I177,$AI177,calendar!$A$2:$A$80))</f>
        <v/>
      </c>
      <c r="AK177" s="25">
        <f>IF($A177="","",IF(AND($X177&lt;&gt;"",$AH177&lt;&gt;""),"Y","N"))</f>
        <v/>
      </c>
      <c r="AL177" s="25">
        <f>IF(OR($A177="",$I177=""),"",IF($BC177="Y",SUMIFS(survey_frozen!$C$2:$C$251,survey_frozen!$P$2:$P$251,$A177&amp;"|"&amp;$B177),IFERROR(COUNTIFS(INDIRECT("'"&amp;$A177&amp;"'!$B$2:$B$501"),$T177,INDIRECT("'"&amp;$A177&amp;"'!$A$2:$A$501"),"&gt;="&amp;$I177,INDIRECT("'"&amp;$A177&amp;"'!$A$2:$A$501"),"&lt;"&amp;($BA177+1)),0)))</f>
        <v/>
      </c>
      <c r="AM177" s="25">
        <f>IF(OR($A177="",$I177=""),"",IF($BC177="Y",SUMIFS(survey_frozen!$D$2:$D$251,survey_frozen!$P$2:$P$251,$A177&amp;"|"&amp;$B177),IFERROR(COUNTIFS(INDIRECT("'"&amp;$A177&amp;"'!$B$2:$B$501"),$T177,INDIRECT("'"&amp;$A177&amp;"'!$A$2:$A$501"),"&gt;="&amp;$I177,INDIRECT("'"&amp;$A177&amp;"'!$A$2:$A$501"),"&lt;"&amp;($BA177+1),INDIRECT("'"&amp;$A177&amp;"'!$C$2:$C$501"),"Yes"),0)))</f>
        <v/>
      </c>
      <c r="AN177" s="25">
        <f>IF($A177="","",IF(COUNTIFS(scans!$C$2:$C$1601,(IF(LEFT($A177,7)="SAMPLE-","SAMPLE-","")&amp;LOWER(SUBSTITUTE(SUBSTITUTE($A177,"SAMPLE-",""),"CMP-","c"))&amp;"-"&amp;LOWER(SUBSTITUTE(SUBSTITUTE($B177,"SAMPLE-",""),"O-","o"))&amp;"-q"),scans!$D$2:$D$1601,"close")=0,"",SUMPRODUCT(MAX((scans!$C$2:$C$1601=(IF(LEFT($A177,7)="SAMPLE-","SAMPLE-","")&amp;LOWER(SUBSTITUTE(SUBSTITUTE($A177,"SAMPLE-",""),"CMP-","c"))&amp;"-"&amp;LOWER(SUBSTITUTE(SUBSTITUTE($B177,"SAMPLE-",""),"O-","o"))&amp;"-q"))*(scans!$D$2:$D$1601="close")*scans!$E$2:$E$1601))-SUMPRODUCT(MAX((scans!$C$2:$C$1601=(IF(LEFT($A177,7)="SAMPLE-","SAMPLE-","")&amp;LOWER(SUBSTITUTE(SUBSTITUTE($A177,"SAMPLE-",""),"CMP-","c"))&amp;"-"&amp;LOWER(SUBSTITUTE(SUBSTITUTE($B177,"SAMPLE-",""),"O-","o"))&amp;"-q"))*(scans!$D$2:$D$1601="baseline")*scans!$E$2:$E$1601))))</f>
        <v/>
      </c>
      <c r="AO177" s="25">
        <f>IF($A177="","",IF(COUNTIFS(scans!$C$2:$C$1601,(IF(LEFT($A177,7)="SAMPLE-","SAMPLE-","")&amp;LOWER(SUBSTITUTE(SUBSTITUTE($A177,"SAMPLE-",""),"CMP-","c"))&amp;"-"&amp;LOWER(SUBSTITUTE(SUBSTITUTE($B177,"SAMPLE-",""),"O-","o"))&amp;"-p"),scans!$D$2:$D$1601,"close")=0,"",SUMPRODUCT(MAX((scans!$C$2:$C$1601=(IF(LEFT($A177,7)="SAMPLE-","SAMPLE-","")&amp;LOWER(SUBSTITUTE(SUBSTITUTE($A177,"SAMPLE-",""),"CMP-","c"))&amp;"-"&amp;LOWER(SUBSTITUTE(SUBSTITUTE($B177,"SAMPLE-",""),"O-","o"))&amp;"-p"))*(scans!$D$2:$D$1601="close")*scans!$E$2:$E$1601))-SUMPRODUCT(MAX((scans!$C$2:$C$1601=(IF(LEFT($A177,7)="SAMPLE-","SAMPLE-","")&amp;LOWER(SUBSTITUTE(SUBSTITUTE($A177,"SAMPLE-",""),"CMP-","c"))&amp;"-"&amp;LOWER(SUBSTITUTE(SUBSTITUTE($B177,"SAMPLE-",""),"O-","o"))&amp;"-p"))*(scans!$D$2:$D$1601="baseline")*scans!$E$2:$E$1601))))</f>
        <v/>
      </c>
      <c r="AP177" s="25">
        <f>IF($A177="","",IF(COUNTIF(offices!$A$2:$A$61,$B177)=0,"office_id not on offices; ","")&amp;IF(COUNTIF(campaigns!$A$2:$A$51,$A177)=0,"campaign_id not on campaigns; ","")&amp;IF($P177="pending","approval pending; ","")&amp;IF(AND($U177&gt;0,$Y177="",OR($I177="",IF(config!$B$37&lt;&gt;"",config!$B$37,TODAY())&lt;=WORKDAY(N($I177),4,calendar!$A$2:$A$80))),"no usable placement photo yet; ","")&amp;IF(AND($Y177&lt;&gt;"",$Z177=""),"log the placed count; ","")&amp;IF(N($AA177)&gt;N($U177),"placed more than delivered; ","")&amp;IF(AND($AF177&lt;&gt;"",N($AF177)&gt;N($AA177)+N($AD177)),"day-5 count above placed plus top-ups; ","")&amp;IF(AND($U177&gt;0,$I177&lt;&gt;"",IF(config!$B$37&lt;&gt;"",config!$B$37,TODAY())&gt;WORKDAY(N($I177),4,calendar!$A$2:$A$80),$AF177=""),"day-5 count missing; ","")&amp;IF(AND($U177&gt;0,$I177&lt;&gt;"",IF(config!$B$37&lt;&gt;"",config!$B$37,TODAY())&gt;WORKDAY(N($I177),4,calendar!$A$2:$A$80),$AN177=""),"no close link reading; ","")&amp;$R177&amp;IF($P177="N","info: office said no; ","")&amp;IF(AND($P177="Y",$Q177="N"),"info: turned away at the door, so not on the drop (no letter, not in the report or Gate 2; the credit check is on campaigns); ","")&amp;IF(AND($U177&gt;0,$Y177="",$I177&lt;&gt;"",IF(config!$B$37&lt;&gt;"",config!$B$37,TODAY())&gt;WORKDAY(N($I177),4,calendar!$A$2:$A$80)),"info: no usable placement photo, so nothing counts as placed; ","")&amp;IF(AND($U177&gt;0,$I177&lt;&gt;"",IF(config!$B$37&lt;&gt;"",config!$B$37,TODAY())&gt;WORKDAY(N($I177),4,calendar!$A$2:$A$80),N($AL177)&lt;config!$B$30),"info: under "&amp;config!$B$30&amp;" responses; ","")&amp;IF($W177="packing_list","info: delivered count not verified; ",""))</f>
        <v/>
      </c>
      <c r="AQ177" s="25">
        <f>IF(OR($A177="",$I177=""),"",IF($BC177="Y",SUMIFS(survey_frozen!$E$2:$E$251,survey_frozen!$P$2:$P$251,$A177&amp;"|"&amp;$B177),IFERROR(COUNTIFS(INDIRECT("'"&amp;$A177&amp;"'!$B$2:$B$501"),$T177,INDIRECT("'"&amp;$A177&amp;"'!$A$2:$A$501"),"&gt;="&amp;$I177,INDIRECT("'"&amp;$A177&amp;"'!$A$2:$A$501"),"&lt;"&amp;($BA177+1),INDIRECT("'"&amp;$A177&amp;"'!$F$2:$F$501"),"Didn't see it"),0)))</f>
        <v/>
      </c>
      <c r="AR177" s="25">
        <f>IF(OR($A177="",$I177=""),"",IF($BC177="Y",SUMIFS(survey_frozen!$F$2:$F$251,survey_frozen!$P$2:$P$251,$A177&amp;"|"&amp;$B177),IFERROR(COUNTIFS(INDIRECT("'"&amp;$A177&amp;"'!$B$2:$B$501"),$T177,INDIRECT("'"&amp;$A177&amp;"'!$A$2:$A$501"),"&gt;="&amp;$I177,INDIRECT("'"&amp;$A177&amp;"'!$A$2:$A$501"),"&lt;"&amp;($BA177+1),INDIRECT("'"&amp;$A177&amp;"'!$F$2:$F$501"),"Not for me"),0)))</f>
        <v/>
      </c>
      <c r="AS177" s="25">
        <f>IF(OR($A177="",$I177=""),"",IF($BC177="Y",SUMIFS(survey_frozen!$G$2:$G$251,survey_frozen!$P$2:$P$251,$A177&amp;"|"&amp;$B177),IFERROR(COUNTIFS(INDIRECT("'"&amp;$A177&amp;"'!$B$2:$B$501"),$T177,INDIRECT("'"&amp;$A177&amp;"'!$A$2:$A$501"),"&gt;="&amp;$I177,INDIRECT("'"&amp;$A177&amp;"'!$A$2:$A$501"),"&lt;"&amp;($BA177+1),INDIRECT("'"&amp;$A177&amp;"'!$F$2:$F$501"),"Gone by the time I looked"),0)))</f>
        <v/>
      </c>
      <c r="AT177" s="25">
        <f>IF(OR($A177="",$I177=""),"",IF($BC177="Y",SUMIFS(survey_frozen!$H$2:$H$251,survey_frozen!$P$2:$P$251,$A177&amp;"|"&amp;$B177),IFERROR(COUNTIFS(INDIRECT("'"&amp;$A177&amp;"'!$B$2:$B$501"),$T177,INDIRECT("'"&amp;$A177&amp;"'!$A$2:$A$501"),"&gt;="&amp;$I177,INDIRECT("'"&amp;$A177&amp;"'!$A$2:$A$501"),"&lt;"&amp;($BA177+1),INDIRECT("'"&amp;$A177&amp;"'!$D$2:$D$501"),"&gt;=1"),0)))</f>
        <v/>
      </c>
      <c r="AU177" s="25">
        <f>IF(OR($A177="",$I177=""),"",IF($BC177="Y",SUMIFS(survey_frozen!$I$2:$I$251,survey_frozen!$P$2:$P$251,$A177&amp;"|"&amp;$B177),IFERROR(SUMIFS(INDIRECT("'"&amp;$A177&amp;"'!$D$2:$D$501"),INDIRECT("'"&amp;$A177&amp;"'!$B$2:$B$501"),$T177,INDIRECT("'"&amp;$A177&amp;"'!$A$2:$A$501"),"&gt;="&amp;$I177,INDIRECT("'"&amp;$A177&amp;"'!$A$2:$A$501"),"&lt;"&amp;($BA177+1)),0)))</f>
        <v/>
      </c>
      <c r="AV177" s="25">
        <f>IF(OR($A177="",$I177=""),"",IF($BC177="Y",SUMIFS(survey_frozen!$J$2:$J$251,survey_frozen!$P$2:$P$251,$A177&amp;"|"&amp;$B177),IFERROR(COUNTIFS(INDIRECT("'"&amp;$A177&amp;"'!$B$2:$B$501"),$T177,INDIRECT("'"&amp;$A177&amp;"'!$A$2:$A$501"),"&gt;="&amp;$I177,INDIRECT("'"&amp;$A177&amp;"'!$A$2:$A$501"),"&lt;"&amp;($BA177+1),INDIRECT("'"&amp;$A177&amp;"'!$E$2:$E$501"),"Yes"),0)))</f>
        <v/>
      </c>
      <c r="AW177" s="25">
        <f>IF(OR($A177="",$I177=""),"",IF($BC177="Y",SUMIFS(survey_frozen!$K$2:$K$251,survey_frozen!$P$2:$P$251,$A177&amp;"|"&amp;$B177),IFERROR(COUNTIFS(INDIRECT("'"&amp;$A177&amp;"'!$B$2:$B$501"),$T177,INDIRECT("'"&amp;$A177&amp;"'!$A$2:$A$501"),"&gt;="&amp;$I177,INDIRECT("'"&amp;$A177&amp;"'!$A$2:$A$501"),"&lt;"&amp;($BA177+1),INDIRECT("'"&amp;$A177&amp;"'!$E$2:$E$501"),"Maybe"),0)))</f>
        <v/>
      </c>
      <c r="AX177" s="25">
        <f>IF(OR($A177="",$I177=""),"",IF($BC177="Y",SUMIFS(survey_frozen!$L$2:$L$251,survey_frozen!$P$2:$P$251,$A177&amp;"|"&amp;$B177),IFERROR(COUNTIFS(INDIRECT("'"&amp;$A177&amp;"'!$B$2:$B$501"),$T177,INDIRECT("'"&amp;$A177&amp;"'!$A$2:$A$501"),"&gt;="&amp;$I177,INDIRECT("'"&amp;$A177&amp;"'!$A$2:$A$501"),"&lt;"&amp;($BA177+1),INDIRECT("'"&amp;$A177&amp;"'!$E$2:$E$501"),"No"),0)))</f>
        <v/>
      </c>
      <c r="AY177" s="25">
        <f>IF(OR($A177="",$I177=""),"",IF($BC177="Y",SUMIFS(survey_frozen!$M$2:$M$251,survey_frozen!$P$2:$P$251,$A177&amp;"|"&amp;$B177),IFERROR(COUNTIFS(INDIRECT("'"&amp;$A177&amp;"'!$B$2:$B$501"),$T177,INDIRECT("'"&amp;$A177&amp;"'!$A$2:$A$501"),"&gt;="&amp;$I177,INDIRECT("'"&amp;$A177&amp;"'!$A$2:$A$501"),"&lt;"&amp;($BA177+1),INDIRECT("'"&amp;$A177&amp;"'!$G$2:$G$501"),"&lt;&gt;"),0)))</f>
        <v/>
      </c>
      <c r="AZ177" s="25">
        <f>IF($A177="","",$A177&amp;"|"&amp;$L177)</f>
        <v/>
      </c>
      <c r="BA177" s="26">
        <f>IF($A177="","",IFERROR(IF(INDEX(drops!$R$2:$R$21,MATCH($H177,drops!$A$2:$A$21,0))="","",INDEX(drops!$R$2:$R$21,MATCH($H177,drops!$A$2:$A$21,0))),""))</f>
        <v/>
      </c>
      <c r="BB177" s="25">
        <f>IF(OR($A177="",$Q177&lt;&gt;"Y"),1000000,N($AL177))</f>
        <v/>
      </c>
      <c r="BC177" s="25">
        <f>IF($A177="","",IF(COUNTIF(survey_frozen!$P$2:$P$251,$A177&amp;"|"&amp;$B177)&gt;0,"Y",""))</f>
        <v/>
      </c>
    </row>
    <row r="178">
      <c r="C178" s="9" t="n"/>
      <c r="E178" s="9" t="n"/>
      <c r="H178" s="25">
        <f>IF($A178="","",IFERROR(IF(INDEX(campaigns!$B$2:$B$51,MATCH($A178,campaigns!$A$2:$A$51,0))="","",INDEX(campaigns!$B$2:$B$51,MATCH($A178,campaigns!$A$2:$A$51,0))),""))</f>
        <v/>
      </c>
      <c r="I178" s="26">
        <f>IF($A178="","",IFERROR(IF(INDEX(campaigns!$BG$2:$BG$51,MATCH($A178,campaigns!$A$2:$A$51,0))="","",INDEX(campaigns!$BG$2:$BG$51,MATCH($A178,campaigns!$A$2:$A$51,0))),""))</f>
        <v/>
      </c>
      <c r="J178" s="25">
        <f>IF($A178="","",IFERROR(IF(INDEX(campaigns!$BE$2:$BE$51,MATCH($A178,campaigns!$A$2:$A$51,0))="","",INDEX(campaigns!$BE$2:$BE$51,MATCH($A178,campaigns!$A$2:$A$51,0))),""))</f>
        <v/>
      </c>
      <c r="K178" s="25">
        <f>IF($B178="","",IFERROR(IF(INDEX(offices!$N$2:$N$61,MATCH($B178,offices!$A$2:$A$61,0))="","",INDEX(offices!$N$2:$N$61,MATCH($B178,offices!$A$2:$A$61,0))),""))</f>
        <v/>
      </c>
      <c r="L178" s="25">
        <f>IF($A178="","",IF($Q178="N","",COUNTIFS($A$2:$A178,$A178,$Q$2:$Q178,"&lt;&gt;N")))</f>
        <v/>
      </c>
      <c r="M178" s="25">
        <f>IF(OR($A178="",$L178=""),"",IF(AND(config!$B$34="names_if_public",IFERROR(IF(INDEX(offices!$AF$2:$AF$61,MATCH($B178,offices!$A$2:$A$61,0))="","",INDEX(offices!$AF$2:$AF$61,MATCH($B178,offices!$A$2:$A$61,0))),"")="Y"),$K178,CHAR(64+$L178)))</f>
        <v/>
      </c>
      <c r="N178" s="25">
        <f>IF(OR($A178="",$I178=""),"",COUNTIFS(stops!$B$2:$B$151,$B178,stops!$P$2:$P$151,"&lt;"&amp;$I178,stops!$L$2:$L$151,"&lt;&gt;not_delivered")+1)</f>
        <v/>
      </c>
      <c r="O178" s="25">
        <f>IF($A178="","",IF(N($N178)&lt;=config!$B$29,"explicit","opt-out"))</f>
        <v/>
      </c>
      <c r="P178" s="25">
        <f>IF($A178="","",IF($O178="explicit",IF($D178="yes","Y",IF($D178="no","N","pending")),IF($D178="no","N",IF(AND($C178&lt;&gt;"",$I178&lt;&gt;"",$C178&lt;=WORKDAY(N($I178),-5,calendar!$A$2:$A$80)),"Y","pending"))))</f>
        <v/>
      </c>
      <c r="Q178" s="25">
        <f>IF($A178="","",IF($P178="N","N",IF($P178&lt;&gt;"Y","pending",IF(AND((COUNTIFS(stops!$A$2:$A$151,$H178,stops!$B$2:$B$151,$B178,stops!$L$2:$L$151,"declined")+COUNTIFS(stops!$A$2:$A$151,$H178,stops!$B$2:$B$151,$B178,stops!$L$2:$L$151,"building_refused")+COUNTIFS(stops!$A$2:$A$151,$H178,stops!$B$2:$B$151,$B178,stops!$L$2:$L$151,"not_delivered"))&gt;0,N($U178)=0),"N","Y"))))</f>
        <v/>
      </c>
      <c r="R178" s="25">
        <f>IF($A178="","",IF(COUNTIFS($A$2:$A$251,$A178,$B$2:$B$251,$B178)&gt;1,"DUPLICATE ROW; ","")&amp;IF(AND(IFERROR(IF(INDEX(offices!$AC$2:$AC$61,MATCH($B178,offices!$A$2:$A$61,0))="","",INDEX(offices!$AC$2:$AC$61,MATCH($B178,offices!$A$2:$A$61,0))),"")&lt;&gt;"",ISNUMBER(SEARCH($J178,IFERROR(IF(INDEX(offices!$AC$2:$AC$61,MATCH($B178,offices!$A$2:$A$61,0))="","",INDEX(offices!$AC$2:$AC$61,MATCH($B178,offices!$A$2:$A$61,0))),"")))),"BRAND VETOED; ","")&amp;IF(ISNUMBER(SEARCH(IFERROR(IF(INDEX(campaigns!$BF$2:$BF$51,MATCH($A178,campaigns!$A$2:$A$51,0))="","",INDEX(campaigns!$BF$2:$BF$51,MATCH($A178,campaigns!$A$2:$A$51,0))),""),IFERROR(IF(INDEX(offices!$AB$2:$AB$61,MATCH($B178,offices!$A$2:$A$61,0))="","",INDEX(offices!$AB$2:$AB$61,MATCH($B178,offices!$A$2:$A$61,0))),""))),"","info: category not on the office's list; ")&amp;IF(IFERROR(IF(INDEX(offices!$AC$2:$AC$61,MATCH($B178,offices!$A$2:$A$61,0))="","",INDEX(offices!$AC$2:$AC$61,MATCH($B178,offices!$A$2:$A$61,0))),"")&lt;&gt;"","info: read the vetoes against the label; ",""))</f>
        <v/>
      </c>
      <c r="S178" s="25">
        <f>IF($A178="","",IF($G178&lt;&gt;"",$G178,IFERROR(IF(INDEX(offices!$AL$2:$AL$61,MATCH($B178,offices!$A$2:$A$61,0))="","",INDEX(offices!$AL$2:$AL$61,MATCH($B178,offices!$A$2:$A$61,0))),"")))</f>
        <v/>
      </c>
      <c r="T178" s="25">
        <f>IF($A178="","",$A178&amp;"."&amp;$B178)</f>
        <v/>
      </c>
      <c r="U178" s="25">
        <f>IF($A178="","",SUMIFS(inventory!$G$2:$G$801,inventory!$C$2:$C$801,$A178,inventory!$D$2:$D$801,$B178,inventory!$E$2:$E$801,"delivered"))</f>
        <v/>
      </c>
      <c r="V178" s="32">
        <f>IF($A178="","",IFERROR(1/(1/SUMPRODUCT(MAX((inventory!$C$2:$C$801=$A178)*(inventory!$D$2:$D$801=$B178)*(inventory!$E$2:$E$801="delivered")*(inventory!$A$2:$A$801+inventory!$B$2:$B$801)))),""))</f>
        <v/>
      </c>
      <c r="W178" s="25">
        <f>IF($A178="","",IFERROR(IF(INDEX(inventory!$J$2:$J$801,MATCH($A178&amp;"|"&amp;$B178&amp;"|delivered",inventory!$R$2:$R$801,0))="","",INDEX(inventory!$J$2:$J$801,MATCH($A178&amp;"|"&amp;$B178&amp;"|delivered",inventory!$R$2:$R$801,0))),""))</f>
        <v/>
      </c>
      <c r="X178" s="25">
        <f>IF($A178="","",IFERROR(IF(INDEX(photos!$H$2:$H$701,MATCH($A178&amp;"|"&amp;$B178&amp;"|placement|Y",photos!$R$2:$R$701,0))="","",INDEX(photos!$H$2:$H$701,MATCH($A178&amp;"|"&amp;$B178&amp;"|placement|Y",photos!$R$2:$R$701,0))),""))</f>
        <v/>
      </c>
      <c r="Y178" s="26">
        <f>IF($A178="","",IFERROR(IF(INDEX(photos!$E$2:$E$701,MATCH($A178&amp;"|"&amp;$B178&amp;"|placement|Y",photos!$R$2:$R$701,0))="","",INDEX(photos!$E$2:$E$701,MATCH($A178&amp;"|"&amp;$B178&amp;"|placement|Y",photos!$R$2:$R$701,0))),""))</f>
        <v/>
      </c>
      <c r="Z178" s="25">
        <f>IF($A178="","",IF(COUNTIFS(counts!$C$2:$C$701,$A178,counts!$D$2:$D$701,$B178,counts!$E$2:$E$701,"placed")=0,"",SUMIFS(counts!$F$2:$F$701,counts!$C$2:$C$701,$A178,counts!$D$2:$D$701,$B178,counts!$E$2:$E$701,"placed")))</f>
        <v/>
      </c>
      <c r="AA178" s="25">
        <f>IF($A178="","",IF($Y178="",0,N($Z178)))</f>
        <v/>
      </c>
      <c r="AB178" s="25">
        <f>IF($A178="","",IF(OR($Y178="",$I178=""),"N",IF($Y178&lt;=WORKDAY(N($I178),1,calendar!$A$2:$A$80),"Y","N")))</f>
        <v/>
      </c>
      <c r="AC178" s="28">
        <f>IF(OR($A178="",$V178="",$Y178=""),"",ROUND(($Y178+N(IFERROR(IF(INDEX(photos!$F$2:$F$701,MATCH($A178&amp;"|"&amp;$B178&amp;"|placement|Y",photos!$R$2:$R$701,0))="","",INDEX(photos!$F$2:$F$701,MATCH($A178&amp;"|"&amp;$B178&amp;"|placement|Y",photos!$R$2:$R$701,0))),""))-$V178)*24,1))</f>
        <v/>
      </c>
      <c r="AD178" s="25">
        <f>IF($A178="","",SUMIFS(inventory!$G$2:$G$801,inventory!$C$2:$C$801,$A178,inventory!$D$2:$D$801,$B178,inventory!$E$2:$E$801,"topped_up"))</f>
        <v/>
      </c>
      <c r="AE178" s="25">
        <f>IF($A178="","",IF(COUNTIFS(counts!$C$2:$C$701,$A178,counts!$D$2:$D$701,$B178,counts!$E$2:$E$701,"remaining_day3")=0,"",SUMIFS(counts!$F$2:$F$701,counts!$C$2:$C$701,$A178,counts!$D$2:$D$701,$B178,counts!$E$2:$E$701,"remaining_day3")))</f>
        <v/>
      </c>
      <c r="AF178" s="25">
        <f>IF($A178="","",IF(COUNTIFS(counts!$C$2:$C$701,$A178,counts!$D$2:$D$701,$B178,counts!$E$2:$E$701,"remaining_day5")=0,"",SUMIFS(counts!$F$2:$F$701,counts!$C$2:$C$701,$A178,counts!$D$2:$D$701,$B178,counts!$E$2:$E$701,"remaining_day5")))</f>
        <v/>
      </c>
      <c r="AG178" s="25">
        <f>IF(OR($A178="",$AF178=""),"",MAX(0,$AA178+$AD178-$AF178))</f>
        <v/>
      </c>
      <c r="AH178" s="25">
        <f>IF(OR($A178="",$AI178=""),"",IFERROR(IF(INDEX(photos!$H$2:$H$701,MATCH($A178&amp;"|"&amp;$B178&amp;"|later|Y|"&amp;$AI178,photos!$S$2:$S$701,0))="","",INDEX(photos!$H$2:$H$701,MATCH($A178&amp;"|"&amp;$B178&amp;"|later|Y|"&amp;$AI178,photos!$S$2:$S$701,0))),""))</f>
        <v/>
      </c>
      <c r="AI178" s="26">
        <f>IF($A178="","",IFERROR(1/(1/SUMPRODUCT(MAX((photos!$B$2:$B$701=$A178)*(photos!$C$2:$C$701=$B178)*(photos!$D$2:$D$701="later")*(photos!$O$2:$O$701="Y")*photos!$E$2:$E$701))),""))</f>
        <v/>
      </c>
      <c r="AJ178" s="25">
        <f>IF(OR($A178="",$AI178="",$I178=""),"",NETWORKDAYS($I178,$AI178,calendar!$A$2:$A$80))</f>
        <v/>
      </c>
      <c r="AK178" s="25">
        <f>IF($A178="","",IF(AND($X178&lt;&gt;"",$AH178&lt;&gt;""),"Y","N"))</f>
        <v/>
      </c>
      <c r="AL178" s="25">
        <f>IF(OR($A178="",$I178=""),"",IF($BC178="Y",SUMIFS(survey_frozen!$C$2:$C$251,survey_frozen!$P$2:$P$251,$A178&amp;"|"&amp;$B178),IFERROR(COUNTIFS(INDIRECT("'"&amp;$A178&amp;"'!$B$2:$B$501"),$T178,INDIRECT("'"&amp;$A178&amp;"'!$A$2:$A$501"),"&gt;="&amp;$I178,INDIRECT("'"&amp;$A178&amp;"'!$A$2:$A$501"),"&lt;"&amp;($BA178+1)),0)))</f>
        <v/>
      </c>
      <c r="AM178" s="25">
        <f>IF(OR($A178="",$I178=""),"",IF($BC178="Y",SUMIFS(survey_frozen!$D$2:$D$251,survey_frozen!$P$2:$P$251,$A178&amp;"|"&amp;$B178),IFERROR(COUNTIFS(INDIRECT("'"&amp;$A178&amp;"'!$B$2:$B$501"),$T178,INDIRECT("'"&amp;$A178&amp;"'!$A$2:$A$501"),"&gt;="&amp;$I178,INDIRECT("'"&amp;$A178&amp;"'!$A$2:$A$501"),"&lt;"&amp;($BA178+1),INDIRECT("'"&amp;$A178&amp;"'!$C$2:$C$501"),"Yes"),0)))</f>
        <v/>
      </c>
      <c r="AN178" s="25">
        <f>IF($A178="","",IF(COUNTIFS(scans!$C$2:$C$1601,(IF(LEFT($A178,7)="SAMPLE-","SAMPLE-","")&amp;LOWER(SUBSTITUTE(SUBSTITUTE($A178,"SAMPLE-",""),"CMP-","c"))&amp;"-"&amp;LOWER(SUBSTITUTE(SUBSTITUTE($B178,"SAMPLE-",""),"O-","o"))&amp;"-q"),scans!$D$2:$D$1601,"close")=0,"",SUMPRODUCT(MAX((scans!$C$2:$C$1601=(IF(LEFT($A178,7)="SAMPLE-","SAMPLE-","")&amp;LOWER(SUBSTITUTE(SUBSTITUTE($A178,"SAMPLE-",""),"CMP-","c"))&amp;"-"&amp;LOWER(SUBSTITUTE(SUBSTITUTE($B178,"SAMPLE-",""),"O-","o"))&amp;"-q"))*(scans!$D$2:$D$1601="close")*scans!$E$2:$E$1601))-SUMPRODUCT(MAX((scans!$C$2:$C$1601=(IF(LEFT($A178,7)="SAMPLE-","SAMPLE-","")&amp;LOWER(SUBSTITUTE(SUBSTITUTE($A178,"SAMPLE-",""),"CMP-","c"))&amp;"-"&amp;LOWER(SUBSTITUTE(SUBSTITUTE($B178,"SAMPLE-",""),"O-","o"))&amp;"-q"))*(scans!$D$2:$D$1601="baseline")*scans!$E$2:$E$1601))))</f>
        <v/>
      </c>
      <c r="AO178" s="25">
        <f>IF($A178="","",IF(COUNTIFS(scans!$C$2:$C$1601,(IF(LEFT($A178,7)="SAMPLE-","SAMPLE-","")&amp;LOWER(SUBSTITUTE(SUBSTITUTE($A178,"SAMPLE-",""),"CMP-","c"))&amp;"-"&amp;LOWER(SUBSTITUTE(SUBSTITUTE($B178,"SAMPLE-",""),"O-","o"))&amp;"-p"),scans!$D$2:$D$1601,"close")=0,"",SUMPRODUCT(MAX((scans!$C$2:$C$1601=(IF(LEFT($A178,7)="SAMPLE-","SAMPLE-","")&amp;LOWER(SUBSTITUTE(SUBSTITUTE($A178,"SAMPLE-",""),"CMP-","c"))&amp;"-"&amp;LOWER(SUBSTITUTE(SUBSTITUTE($B178,"SAMPLE-",""),"O-","o"))&amp;"-p"))*(scans!$D$2:$D$1601="close")*scans!$E$2:$E$1601))-SUMPRODUCT(MAX((scans!$C$2:$C$1601=(IF(LEFT($A178,7)="SAMPLE-","SAMPLE-","")&amp;LOWER(SUBSTITUTE(SUBSTITUTE($A178,"SAMPLE-",""),"CMP-","c"))&amp;"-"&amp;LOWER(SUBSTITUTE(SUBSTITUTE($B178,"SAMPLE-",""),"O-","o"))&amp;"-p"))*(scans!$D$2:$D$1601="baseline")*scans!$E$2:$E$1601))))</f>
        <v/>
      </c>
      <c r="AP178" s="25">
        <f>IF($A178="","",IF(COUNTIF(offices!$A$2:$A$61,$B178)=0,"office_id not on offices; ","")&amp;IF(COUNTIF(campaigns!$A$2:$A$51,$A178)=0,"campaign_id not on campaigns; ","")&amp;IF($P178="pending","approval pending; ","")&amp;IF(AND($U178&gt;0,$Y178="",OR($I178="",IF(config!$B$37&lt;&gt;"",config!$B$37,TODAY())&lt;=WORKDAY(N($I178),4,calendar!$A$2:$A$80))),"no usable placement photo yet; ","")&amp;IF(AND($Y178&lt;&gt;"",$Z178=""),"log the placed count; ","")&amp;IF(N($AA178)&gt;N($U178),"placed more than delivered; ","")&amp;IF(AND($AF178&lt;&gt;"",N($AF178)&gt;N($AA178)+N($AD178)),"day-5 count above placed plus top-ups; ","")&amp;IF(AND($U178&gt;0,$I178&lt;&gt;"",IF(config!$B$37&lt;&gt;"",config!$B$37,TODAY())&gt;WORKDAY(N($I178),4,calendar!$A$2:$A$80),$AF178=""),"day-5 count missing; ","")&amp;IF(AND($U178&gt;0,$I178&lt;&gt;"",IF(config!$B$37&lt;&gt;"",config!$B$37,TODAY())&gt;WORKDAY(N($I178),4,calendar!$A$2:$A$80),$AN178=""),"no close link reading; ","")&amp;$R178&amp;IF($P178="N","info: office said no; ","")&amp;IF(AND($P178="Y",$Q178="N"),"info: turned away at the door, so not on the drop (no letter, not in the report or Gate 2; the credit check is on campaigns); ","")&amp;IF(AND($U178&gt;0,$Y178="",$I178&lt;&gt;"",IF(config!$B$37&lt;&gt;"",config!$B$37,TODAY())&gt;WORKDAY(N($I178),4,calendar!$A$2:$A$80)),"info: no usable placement photo, so nothing counts as placed; ","")&amp;IF(AND($U178&gt;0,$I178&lt;&gt;"",IF(config!$B$37&lt;&gt;"",config!$B$37,TODAY())&gt;WORKDAY(N($I178),4,calendar!$A$2:$A$80),N($AL178)&lt;config!$B$30),"info: under "&amp;config!$B$30&amp;" responses; ","")&amp;IF($W178="packing_list","info: delivered count not verified; ",""))</f>
        <v/>
      </c>
      <c r="AQ178" s="25">
        <f>IF(OR($A178="",$I178=""),"",IF($BC178="Y",SUMIFS(survey_frozen!$E$2:$E$251,survey_frozen!$P$2:$P$251,$A178&amp;"|"&amp;$B178),IFERROR(COUNTIFS(INDIRECT("'"&amp;$A178&amp;"'!$B$2:$B$501"),$T178,INDIRECT("'"&amp;$A178&amp;"'!$A$2:$A$501"),"&gt;="&amp;$I178,INDIRECT("'"&amp;$A178&amp;"'!$A$2:$A$501"),"&lt;"&amp;($BA178+1),INDIRECT("'"&amp;$A178&amp;"'!$F$2:$F$501"),"Didn't see it"),0)))</f>
        <v/>
      </c>
      <c r="AR178" s="25">
        <f>IF(OR($A178="",$I178=""),"",IF($BC178="Y",SUMIFS(survey_frozen!$F$2:$F$251,survey_frozen!$P$2:$P$251,$A178&amp;"|"&amp;$B178),IFERROR(COUNTIFS(INDIRECT("'"&amp;$A178&amp;"'!$B$2:$B$501"),$T178,INDIRECT("'"&amp;$A178&amp;"'!$A$2:$A$501"),"&gt;="&amp;$I178,INDIRECT("'"&amp;$A178&amp;"'!$A$2:$A$501"),"&lt;"&amp;($BA178+1),INDIRECT("'"&amp;$A178&amp;"'!$F$2:$F$501"),"Not for me"),0)))</f>
        <v/>
      </c>
      <c r="AS178" s="25">
        <f>IF(OR($A178="",$I178=""),"",IF($BC178="Y",SUMIFS(survey_frozen!$G$2:$G$251,survey_frozen!$P$2:$P$251,$A178&amp;"|"&amp;$B178),IFERROR(COUNTIFS(INDIRECT("'"&amp;$A178&amp;"'!$B$2:$B$501"),$T178,INDIRECT("'"&amp;$A178&amp;"'!$A$2:$A$501"),"&gt;="&amp;$I178,INDIRECT("'"&amp;$A178&amp;"'!$A$2:$A$501"),"&lt;"&amp;($BA178+1),INDIRECT("'"&amp;$A178&amp;"'!$F$2:$F$501"),"Gone by the time I looked"),0)))</f>
        <v/>
      </c>
      <c r="AT178" s="25">
        <f>IF(OR($A178="",$I178=""),"",IF($BC178="Y",SUMIFS(survey_frozen!$H$2:$H$251,survey_frozen!$P$2:$P$251,$A178&amp;"|"&amp;$B178),IFERROR(COUNTIFS(INDIRECT("'"&amp;$A178&amp;"'!$B$2:$B$501"),$T178,INDIRECT("'"&amp;$A178&amp;"'!$A$2:$A$501"),"&gt;="&amp;$I178,INDIRECT("'"&amp;$A178&amp;"'!$A$2:$A$501"),"&lt;"&amp;($BA178+1),INDIRECT("'"&amp;$A178&amp;"'!$D$2:$D$501"),"&gt;=1"),0)))</f>
        <v/>
      </c>
      <c r="AU178" s="25">
        <f>IF(OR($A178="",$I178=""),"",IF($BC178="Y",SUMIFS(survey_frozen!$I$2:$I$251,survey_frozen!$P$2:$P$251,$A178&amp;"|"&amp;$B178),IFERROR(SUMIFS(INDIRECT("'"&amp;$A178&amp;"'!$D$2:$D$501"),INDIRECT("'"&amp;$A178&amp;"'!$B$2:$B$501"),$T178,INDIRECT("'"&amp;$A178&amp;"'!$A$2:$A$501"),"&gt;="&amp;$I178,INDIRECT("'"&amp;$A178&amp;"'!$A$2:$A$501"),"&lt;"&amp;($BA178+1)),0)))</f>
        <v/>
      </c>
      <c r="AV178" s="25">
        <f>IF(OR($A178="",$I178=""),"",IF($BC178="Y",SUMIFS(survey_frozen!$J$2:$J$251,survey_frozen!$P$2:$P$251,$A178&amp;"|"&amp;$B178),IFERROR(COUNTIFS(INDIRECT("'"&amp;$A178&amp;"'!$B$2:$B$501"),$T178,INDIRECT("'"&amp;$A178&amp;"'!$A$2:$A$501"),"&gt;="&amp;$I178,INDIRECT("'"&amp;$A178&amp;"'!$A$2:$A$501"),"&lt;"&amp;($BA178+1),INDIRECT("'"&amp;$A178&amp;"'!$E$2:$E$501"),"Yes"),0)))</f>
        <v/>
      </c>
      <c r="AW178" s="25">
        <f>IF(OR($A178="",$I178=""),"",IF($BC178="Y",SUMIFS(survey_frozen!$K$2:$K$251,survey_frozen!$P$2:$P$251,$A178&amp;"|"&amp;$B178),IFERROR(COUNTIFS(INDIRECT("'"&amp;$A178&amp;"'!$B$2:$B$501"),$T178,INDIRECT("'"&amp;$A178&amp;"'!$A$2:$A$501"),"&gt;="&amp;$I178,INDIRECT("'"&amp;$A178&amp;"'!$A$2:$A$501"),"&lt;"&amp;($BA178+1),INDIRECT("'"&amp;$A178&amp;"'!$E$2:$E$501"),"Maybe"),0)))</f>
        <v/>
      </c>
      <c r="AX178" s="25">
        <f>IF(OR($A178="",$I178=""),"",IF($BC178="Y",SUMIFS(survey_frozen!$L$2:$L$251,survey_frozen!$P$2:$P$251,$A178&amp;"|"&amp;$B178),IFERROR(COUNTIFS(INDIRECT("'"&amp;$A178&amp;"'!$B$2:$B$501"),$T178,INDIRECT("'"&amp;$A178&amp;"'!$A$2:$A$501"),"&gt;="&amp;$I178,INDIRECT("'"&amp;$A178&amp;"'!$A$2:$A$501"),"&lt;"&amp;($BA178+1),INDIRECT("'"&amp;$A178&amp;"'!$E$2:$E$501"),"No"),0)))</f>
        <v/>
      </c>
      <c r="AY178" s="25">
        <f>IF(OR($A178="",$I178=""),"",IF($BC178="Y",SUMIFS(survey_frozen!$M$2:$M$251,survey_frozen!$P$2:$P$251,$A178&amp;"|"&amp;$B178),IFERROR(COUNTIFS(INDIRECT("'"&amp;$A178&amp;"'!$B$2:$B$501"),$T178,INDIRECT("'"&amp;$A178&amp;"'!$A$2:$A$501"),"&gt;="&amp;$I178,INDIRECT("'"&amp;$A178&amp;"'!$A$2:$A$501"),"&lt;"&amp;($BA178+1),INDIRECT("'"&amp;$A178&amp;"'!$G$2:$G$501"),"&lt;&gt;"),0)))</f>
        <v/>
      </c>
      <c r="AZ178" s="25">
        <f>IF($A178="","",$A178&amp;"|"&amp;$L178)</f>
        <v/>
      </c>
      <c r="BA178" s="26">
        <f>IF($A178="","",IFERROR(IF(INDEX(drops!$R$2:$R$21,MATCH($H178,drops!$A$2:$A$21,0))="","",INDEX(drops!$R$2:$R$21,MATCH($H178,drops!$A$2:$A$21,0))),""))</f>
        <v/>
      </c>
      <c r="BB178" s="25">
        <f>IF(OR($A178="",$Q178&lt;&gt;"Y"),1000000,N($AL178))</f>
        <v/>
      </c>
      <c r="BC178" s="25">
        <f>IF($A178="","",IF(COUNTIF(survey_frozen!$P$2:$P$251,$A178&amp;"|"&amp;$B178)&gt;0,"Y",""))</f>
        <v/>
      </c>
    </row>
    <row r="179">
      <c r="C179" s="9" t="n"/>
      <c r="E179" s="9" t="n"/>
      <c r="H179" s="25">
        <f>IF($A179="","",IFERROR(IF(INDEX(campaigns!$B$2:$B$51,MATCH($A179,campaigns!$A$2:$A$51,0))="","",INDEX(campaigns!$B$2:$B$51,MATCH($A179,campaigns!$A$2:$A$51,0))),""))</f>
        <v/>
      </c>
      <c r="I179" s="26">
        <f>IF($A179="","",IFERROR(IF(INDEX(campaigns!$BG$2:$BG$51,MATCH($A179,campaigns!$A$2:$A$51,0))="","",INDEX(campaigns!$BG$2:$BG$51,MATCH($A179,campaigns!$A$2:$A$51,0))),""))</f>
        <v/>
      </c>
      <c r="J179" s="25">
        <f>IF($A179="","",IFERROR(IF(INDEX(campaigns!$BE$2:$BE$51,MATCH($A179,campaigns!$A$2:$A$51,0))="","",INDEX(campaigns!$BE$2:$BE$51,MATCH($A179,campaigns!$A$2:$A$51,0))),""))</f>
        <v/>
      </c>
      <c r="K179" s="25">
        <f>IF($B179="","",IFERROR(IF(INDEX(offices!$N$2:$N$61,MATCH($B179,offices!$A$2:$A$61,0))="","",INDEX(offices!$N$2:$N$61,MATCH($B179,offices!$A$2:$A$61,0))),""))</f>
        <v/>
      </c>
      <c r="L179" s="25">
        <f>IF($A179="","",IF($Q179="N","",COUNTIFS($A$2:$A179,$A179,$Q$2:$Q179,"&lt;&gt;N")))</f>
        <v/>
      </c>
      <c r="M179" s="25">
        <f>IF(OR($A179="",$L179=""),"",IF(AND(config!$B$34="names_if_public",IFERROR(IF(INDEX(offices!$AF$2:$AF$61,MATCH($B179,offices!$A$2:$A$61,0))="","",INDEX(offices!$AF$2:$AF$61,MATCH($B179,offices!$A$2:$A$61,0))),"")="Y"),$K179,CHAR(64+$L179)))</f>
        <v/>
      </c>
      <c r="N179" s="25">
        <f>IF(OR($A179="",$I179=""),"",COUNTIFS(stops!$B$2:$B$151,$B179,stops!$P$2:$P$151,"&lt;"&amp;$I179,stops!$L$2:$L$151,"&lt;&gt;not_delivered")+1)</f>
        <v/>
      </c>
      <c r="O179" s="25">
        <f>IF($A179="","",IF(N($N179)&lt;=config!$B$29,"explicit","opt-out"))</f>
        <v/>
      </c>
      <c r="P179" s="25">
        <f>IF($A179="","",IF($O179="explicit",IF($D179="yes","Y",IF($D179="no","N","pending")),IF($D179="no","N",IF(AND($C179&lt;&gt;"",$I179&lt;&gt;"",$C179&lt;=WORKDAY(N($I179),-5,calendar!$A$2:$A$80)),"Y","pending"))))</f>
        <v/>
      </c>
      <c r="Q179" s="25">
        <f>IF($A179="","",IF($P179="N","N",IF($P179&lt;&gt;"Y","pending",IF(AND((COUNTIFS(stops!$A$2:$A$151,$H179,stops!$B$2:$B$151,$B179,stops!$L$2:$L$151,"declined")+COUNTIFS(stops!$A$2:$A$151,$H179,stops!$B$2:$B$151,$B179,stops!$L$2:$L$151,"building_refused")+COUNTIFS(stops!$A$2:$A$151,$H179,stops!$B$2:$B$151,$B179,stops!$L$2:$L$151,"not_delivered"))&gt;0,N($U179)=0),"N","Y"))))</f>
        <v/>
      </c>
      <c r="R179" s="25">
        <f>IF($A179="","",IF(COUNTIFS($A$2:$A$251,$A179,$B$2:$B$251,$B179)&gt;1,"DUPLICATE ROW; ","")&amp;IF(AND(IFERROR(IF(INDEX(offices!$AC$2:$AC$61,MATCH($B179,offices!$A$2:$A$61,0))="","",INDEX(offices!$AC$2:$AC$61,MATCH($B179,offices!$A$2:$A$61,0))),"")&lt;&gt;"",ISNUMBER(SEARCH($J179,IFERROR(IF(INDEX(offices!$AC$2:$AC$61,MATCH($B179,offices!$A$2:$A$61,0))="","",INDEX(offices!$AC$2:$AC$61,MATCH($B179,offices!$A$2:$A$61,0))),"")))),"BRAND VETOED; ","")&amp;IF(ISNUMBER(SEARCH(IFERROR(IF(INDEX(campaigns!$BF$2:$BF$51,MATCH($A179,campaigns!$A$2:$A$51,0))="","",INDEX(campaigns!$BF$2:$BF$51,MATCH($A179,campaigns!$A$2:$A$51,0))),""),IFERROR(IF(INDEX(offices!$AB$2:$AB$61,MATCH($B179,offices!$A$2:$A$61,0))="","",INDEX(offices!$AB$2:$AB$61,MATCH($B179,offices!$A$2:$A$61,0))),""))),"","info: category not on the office's list; ")&amp;IF(IFERROR(IF(INDEX(offices!$AC$2:$AC$61,MATCH($B179,offices!$A$2:$A$61,0))="","",INDEX(offices!$AC$2:$AC$61,MATCH($B179,offices!$A$2:$A$61,0))),"")&lt;&gt;"","info: read the vetoes against the label; ",""))</f>
        <v/>
      </c>
      <c r="S179" s="25">
        <f>IF($A179="","",IF($G179&lt;&gt;"",$G179,IFERROR(IF(INDEX(offices!$AL$2:$AL$61,MATCH($B179,offices!$A$2:$A$61,0))="","",INDEX(offices!$AL$2:$AL$61,MATCH($B179,offices!$A$2:$A$61,0))),"")))</f>
        <v/>
      </c>
      <c r="T179" s="25">
        <f>IF($A179="","",$A179&amp;"."&amp;$B179)</f>
        <v/>
      </c>
      <c r="U179" s="25">
        <f>IF($A179="","",SUMIFS(inventory!$G$2:$G$801,inventory!$C$2:$C$801,$A179,inventory!$D$2:$D$801,$B179,inventory!$E$2:$E$801,"delivered"))</f>
        <v/>
      </c>
      <c r="V179" s="32">
        <f>IF($A179="","",IFERROR(1/(1/SUMPRODUCT(MAX((inventory!$C$2:$C$801=$A179)*(inventory!$D$2:$D$801=$B179)*(inventory!$E$2:$E$801="delivered")*(inventory!$A$2:$A$801+inventory!$B$2:$B$801)))),""))</f>
        <v/>
      </c>
      <c r="W179" s="25">
        <f>IF($A179="","",IFERROR(IF(INDEX(inventory!$J$2:$J$801,MATCH($A179&amp;"|"&amp;$B179&amp;"|delivered",inventory!$R$2:$R$801,0))="","",INDEX(inventory!$J$2:$J$801,MATCH($A179&amp;"|"&amp;$B179&amp;"|delivered",inventory!$R$2:$R$801,0))),""))</f>
        <v/>
      </c>
      <c r="X179" s="25">
        <f>IF($A179="","",IFERROR(IF(INDEX(photos!$H$2:$H$701,MATCH($A179&amp;"|"&amp;$B179&amp;"|placement|Y",photos!$R$2:$R$701,0))="","",INDEX(photos!$H$2:$H$701,MATCH($A179&amp;"|"&amp;$B179&amp;"|placement|Y",photos!$R$2:$R$701,0))),""))</f>
        <v/>
      </c>
      <c r="Y179" s="26">
        <f>IF($A179="","",IFERROR(IF(INDEX(photos!$E$2:$E$701,MATCH($A179&amp;"|"&amp;$B179&amp;"|placement|Y",photos!$R$2:$R$701,0))="","",INDEX(photos!$E$2:$E$701,MATCH($A179&amp;"|"&amp;$B179&amp;"|placement|Y",photos!$R$2:$R$701,0))),""))</f>
        <v/>
      </c>
      <c r="Z179" s="25">
        <f>IF($A179="","",IF(COUNTIFS(counts!$C$2:$C$701,$A179,counts!$D$2:$D$701,$B179,counts!$E$2:$E$701,"placed")=0,"",SUMIFS(counts!$F$2:$F$701,counts!$C$2:$C$701,$A179,counts!$D$2:$D$701,$B179,counts!$E$2:$E$701,"placed")))</f>
        <v/>
      </c>
      <c r="AA179" s="25">
        <f>IF($A179="","",IF($Y179="",0,N($Z179)))</f>
        <v/>
      </c>
      <c r="AB179" s="25">
        <f>IF($A179="","",IF(OR($Y179="",$I179=""),"N",IF($Y179&lt;=WORKDAY(N($I179),1,calendar!$A$2:$A$80),"Y","N")))</f>
        <v/>
      </c>
      <c r="AC179" s="28">
        <f>IF(OR($A179="",$V179="",$Y179=""),"",ROUND(($Y179+N(IFERROR(IF(INDEX(photos!$F$2:$F$701,MATCH($A179&amp;"|"&amp;$B179&amp;"|placement|Y",photos!$R$2:$R$701,0))="","",INDEX(photos!$F$2:$F$701,MATCH($A179&amp;"|"&amp;$B179&amp;"|placement|Y",photos!$R$2:$R$701,0))),""))-$V179)*24,1))</f>
        <v/>
      </c>
      <c r="AD179" s="25">
        <f>IF($A179="","",SUMIFS(inventory!$G$2:$G$801,inventory!$C$2:$C$801,$A179,inventory!$D$2:$D$801,$B179,inventory!$E$2:$E$801,"topped_up"))</f>
        <v/>
      </c>
      <c r="AE179" s="25">
        <f>IF($A179="","",IF(COUNTIFS(counts!$C$2:$C$701,$A179,counts!$D$2:$D$701,$B179,counts!$E$2:$E$701,"remaining_day3")=0,"",SUMIFS(counts!$F$2:$F$701,counts!$C$2:$C$701,$A179,counts!$D$2:$D$701,$B179,counts!$E$2:$E$701,"remaining_day3")))</f>
        <v/>
      </c>
      <c r="AF179" s="25">
        <f>IF($A179="","",IF(COUNTIFS(counts!$C$2:$C$701,$A179,counts!$D$2:$D$701,$B179,counts!$E$2:$E$701,"remaining_day5")=0,"",SUMIFS(counts!$F$2:$F$701,counts!$C$2:$C$701,$A179,counts!$D$2:$D$701,$B179,counts!$E$2:$E$701,"remaining_day5")))</f>
        <v/>
      </c>
      <c r="AG179" s="25">
        <f>IF(OR($A179="",$AF179=""),"",MAX(0,$AA179+$AD179-$AF179))</f>
        <v/>
      </c>
      <c r="AH179" s="25">
        <f>IF(OR($A179="",$AI179=""),"",IFERROR(IF(INDEX(photos!$H$2:$H$701,MATCH($A179&amp;"|"&amp;$B179&amp;"|later|Y|"&amp;$AI179,photos!$S$2:$S$701,0))="","",INDEX(photos!$H$2:$H$701,MATCH($A179&amp;"|"&amp;$B179&amp;"|later|Y|"&amp;$AI179,photos!$S$2:$S$701,0))),""))</f>
        <v/>
      </c>
      <c r="AI179" s="26">
        <f>IF($A179="","",IFERROR(1/(1/SUMPRODUCT(MAX((photos!$B$2:$B$701=$A179)*(photos!$C$2:$C$701=$B179)*(photos!$D$2:$D$701="later")*(photos!$O$2:$O$701="Y")*photos!$E$2:$E$701))),""))</f>
        <v/>
      </c>
      <c r="AJ179" s="25">
        <f>IF(OR($A179="",$AI179="",$I179=""),"",NETWORKDAYS($I179,$AI179,calendar!$A$2:$A$80))</f>
        <v/>
      </c>
      <c r="AK179" s="25">
        <f>IF($A179="","",IF(AND($X179&lt;&gt;"",$AH179&lt;&gt;""),"Y","N"))</f>
        <v/>
      </c>
      <c r="AL179" s="25">
        <f>IF(OR($A179="",$I179=""),"",IF($BC179="Y",SUMIFS(survey_frozen!$C$2:$C$251,survey_frozen!$P$2:$P$251,$A179&amp;"|"&amp;$B179),IFERROR(COUNTIFS(INDIRECT("'"&amp;$A179&amp;"'!$B$2:$B$501"),$T179,INDIRECT("'"&amp;$A179&amp;"'!$A$2:$A$501"),"&gt;="&amp;$I179,INDIRECT("'"&amp;$A179&amp;"'!$A$2:$A$501"),"&lt;"&amp;($BA179+1)),0)))</f>
        <v/>
      </c>
      <c r="AM179" s="25">
        <f>IF(OR($A179="",$I179=""),"",IF($BC179="Y",SUMIFS(survey_frozen!$D$2:$D$251,survey_frozen!$P$2:$P$251,$A179&amp;"|"&amp;$B179),IFERROR(COUNTIFS(INDIRECT("'"&amp;$A179&amp;"'!$B$2:$B$501"),$T179,INDIRECT("'"&amp;$A179&amp;"'!$A$2:$A$501"),"&gt;="&amp;$I179,INDIRECT("'"&amp;$A179&amp;"'!$A$2:$A$501"),"&lt;"&amp;($BA179+1),INDIRECT("'"&amp;$A179&amp;"'!$C$2:$C$501"),"Yes"),0)))</f>
        <v/>
      </c>
      <c r="AN179" s="25">
        <f>IF($A179="","",IF(COUNTIFS(scans!$C$2:$C$1601,(IF(LEFT($A179,7)="SAMPLE-","SAMPLE-","")&amp;LOWER(SUBSTITUTE(SUBSTITUTE($A179,"SAMPLE-",""),"CMP-","c"))&amp;"-"&amp;LOWER(SUBSTITUTE(SUBSTITUTE($B179,"SAMPLE-",""),"O-","o"))&amp;"-q"),scans!$D$2:$D$1601,"close")=0,"",SUMPRODUCT(MAX((scans!$C$2:$C$1601=(IF(LEFT($A179,7)="SAMPLE-","SAMPLE-","")&amp;LOWER(SUBSTITUTE(SUBSTITUTE($A179,"SAMPLE-",""),"CMP-","c"))&amp;"-"&amp;LOWER(SUBSTITUTE(SUBSTITUTE($B179,"SAMPLE-",""),"O-","o"))&amp;"-q"))*(scans!$D$2:$D$1601="close")*scans!$E$2:$E$1601))-SUMPRODUCT(MAX((scans!$C$2:$C$1601=(IF(LEFT($A179,7)="SAMPLE-","SAMPLE-","")&amp;LOWER(SUBSTITUTE(SUBSTITUTE($A179,"SAMPLE-",""),"CMP-","c"))&amp;"-"&amp;LOWER(SUBSTITUTE(SUBSTITUTE($B179,"SAMPLE-",""),"O-","o"))&amp;"-q"))*(scans!$D$2:$D$1601="baseline")*scans!$E$2:$E$1601))))</f>
        <v/>
      </c>
      <c r="AO179" s="25">
        <f>IF($A179="","",IF(COUNTIFS(scans!$C$2:$C$1601,(IF(LEFT($A179,7)="SAMPLE-","SAMPLE-","")&amp;LOWER(SUBSTITUTE(SUBSTITUTE($A179,"SAMPLE-",""),"CMP-","c"))&amp;"-"&amp;LOWER(SUBSTITUTE(SUBSTITUTE($B179,"SAMPLE-",""),"O-","o"))&amp;"-p"),scans!$D$2:$D$1601,"close")=0,"",SUMPRODUCT(MAX((scans!$C$2:$C$1601=(IF(LEFT($A179,7)="SAMPLE-","SAMPLE-","")&amp;LOWER(SUBSTITUTE(SUBSTITUTE($A179,"SAMPLE-",""),"CMP-","c"))&amp;"-"&amp;LOWER(SUBSTITUTE(SUBSTITUTE($B179,"SAMPLE-",""),"O-","o"))&amp;"-p"))*(scans!$D$2:$D$1601="close")*scans!$E$2:$E$1601))-SUMPRODUCT(MAX((scans!$C$2:$C$1601=(IF(LEFT($A179,7)="SAMPLE-","SAMPLE-","")&amp;LOWER(SUBSTITUTE(SUBSTITUTE($A179,"SAMPLE-",""),"CMP-","c"))&amp;"-"&amp;LOWER(SUBSTITUTE(SUBSTITUTE($B179,"SAMPLE-",""),"O-","o"))&amp;"-p"))*(scans!$D$2:$D$1601="baseline")*scans!$E$2:$E$1601))))</f>
        <v/>
      </c>
      <c r="AP179" s="25">
        <f>IF($A179="","",IF(COUNTIF(offices!$A$2:$A$61,$B179)=0,"office_id not on offices; ","")&amp;IF(COUNTIF(campaigns!$A$2:$A$51,$A179)=0,"campaign_id not on campaigns; ","")&amp;IF($P179="pending","approval pending; ","")&amp;IF(AND($U179&gt;0,$Y179="",OR($I179="",IF(config!$B$37&lt;&gt;"",config!$B$37,TODAY())&lt;=WORKDAY(N($I179),4,calendar!$A$2:$A$80))),"no usable placement photo yet; ","")&amp;IF(AND($Y179&lt;&gt;"",$Z179=""),"log the placed count; ","")&amp;IF(N($AA179)&gt;N($U179),"placed more than delivered; ","")&amp;IF(AND($AF179&lt;&gt;"",N($AF179)&gt;N($AA179)+N($AD179)),"day-5 count above placed plus top-ups; ","")&amp;IF(AND($U179&gt;0,$I179&lt;&gt;"",IF(config!$B$37&lt;&gt;"",config!$B$37,TODAY())&gt;WORKDAY(N($I179),4,calendar!$A$2:$A$80),$AF179=""),"day-5 count missing; ","")&amp;IF(AND($U179&gt;0,$I179&lt;&gt;"",IF(config!$B$37&lt;&gt;"",config!$B$37,TODAY())&gt;WORKDAY(N($I179),4,calendar!$A$2:$A$80),$AN179=""),"no close link reading; ","")&amp;$R179&amp;IF($P179="N","info: office said no; ","")&amp;IF(AND($P179="Y",$Q179="N"),"info: turned away at the door, so not on the drop (no letter, not in the report or Gate 2; the credit check is on campaigns); ","")&amp;IF(AND($U179&gt;0,$Y179="",$I179&lt;&gt;"",IF(config!$B$37&lt;&gt;"",config!$B$37,TODAY())&gt;WORKDAY(N($I179),4,calendar!$A$2:$A$80)),"info: no usable placement photo, so nothing counts as placed; ","")&amp;IF(AND($U179&gt;0,$I179&lt;&gt;"",IF(config!$B$37&lt;&gt;"",config!$B$37,TODAY())&gt;WORKDAY(N($I179),4,calendar!$A$2:$A$80),N($AL179)&lt;config!$B$30),"info: under "&amp;config!$B$30&amp;" responses; ","")&amp;IF($W179="packing_list","info: delivered count not verified; ",""))</f>
        <v/>
      </c>
      <c r="AQ179" s="25">
        <f>IF(OR($A179="",$I179=""),"",IF($BC179="Y",SUMIFS(survey_frozen!$E$2:$E$251,survey_frozen!$P$2:$P$251,$A179&amp;"|"&amp;$B179),IFERROR(COUNTIFS(INDIRECT("'"&amp;$A179&amp;"'!$B$2:$B$501"),$T179,INDIRECT("'"&amp;$A179&amp;"'!$A$2:$A$501"),"&gt;="&amp;$I179,INDIRECT("'"&amp;$A179&amp;"'!$A$2:$A$501"),"&lt;"&amp;($BA179+1),INDIRECT("'"&amp;$A179&amp;"'!$F$2:$F$501"),"Didn't see it"),0)))</f>
        <v/>
      </c>
      <c r="AR179" s="25">
        <f>IF(OR($A179="",$I179=""),"",IF($BC179="Y",SUMIFS(survey_frozen!$F$2:$F$251,survey_frozen!$P$2:$P$251,$A179&amp;"|"&amp;$B179),IFERROR(COUNTIFS(INDIRECT("'"&amp;$A179&amp;"'!$B$2:$B$501"),$T179,INDIRECT("'"&amp;$A179&amp;"'!$A$2:$A$501"),"&gt;="&amp;$I179,INDIRECT("'"&amp;$A179&amp;"'!$A$2:$A$501"),"&lt;"&amp;($BA179+1),INDIRECT("'"&amp;$A179&amp;"'!$F$2:$F$501"),"Not for me"),0)))</f>
        <v/>
      </c>
      <c r="AS179" s="25">
        <f>IF(OR($A179="",$I179=""),"",IF($BC179="Y",SUMIFS(survey_frozen!$G$2:$G$251,survey_frozen!$P$2:$P$251,$A179&amp;"|"&amp;$B179),IFERROR(COUNTIFS(INDIRECT("'"&amp;$A179&amp;"'!$B$2:$B$501"),$T179,INDIRECT("'"&amp;$A179&amp;"'!$A$2:$A$501"),"&gt;="&amp;$I179,INDIRECT("'"&amp;$A179&amp;"'!$A$2:$A$501"),"&lt;"&amp;($BA179+1),INDIRECT("'"&amp;$A179&amp;"'!$F$2:$F$501"),"Gone by the time I looked"),0)))</f>
        <v/>
      </c>
      <c r="AT179" s="25">
        <f>IF(OR($A179="",$I179=""),"",IF($BC179="Y",SUMIFS(survey_frozen!$H$2:$H$251,survey_frozen!$P$2:$P$251,$A179&amp;"|"&amp;$B179),IFERROR(COUNTIFS(INDIRECT("'"&amp;$A179&amp;"'!$B$2:$B$501"),$T179,INDIRECT("'"&amp;$A179&amp;"'!$A$2:$A$501"),"&gt;="&amp;$I179,INDIRECT("'"&amp;$A179&amp;"'!$A$2:$A$501"),"&lt;"&amp;($BA179+1),INDIRECT("'"&amp;$A179&amp;"'!$D$2:$D$501"),"&gt;=1"),0)))</f>
        <v/>
      </c>
      <c r="AU179" s="25">
        <f>IF(OR($A179="",$I179=""),"",IF($BC179="Y",SUMIFS(survey_frozen!$I$2:$I$251,survey_frozen!$P$2:$P$251,$A179&amp;"|"&amp;$B179),IFERROR(SUMIFS(INDIRECT("'"&amp;$A179&amp;"'!$D$2:$D$501"),INDIRECT("'"&amp;$A179&amp;"'!$B$2:$B$501"),$T179,INDIRECT("'"&amp;$A179&amp;"'!$A$2:$A$501"),"&gt;="&amp;$I179,INDIRECT("'"&amp;$A179&amp;"'!$A$2:$A$501"),"&lt;"&amp;($BA179+1)),0)))</f>
        <v/>
      </c>
      <c r="AV179" s="25">
        <f>IF(OR($A179="",$I179=""),"",IF($BC179="Y",SUMIFS(survey_frozen!$J$2:$J$251,survey_frozen!$P$2:$P$251,$A179&amp;"|"&amp;$B179),IFERROR(COUNTIFS(INDIRECT("'"&amp;$A179&amp;"'!$B$2:$B$501"),$T179,INDIRECT("'"&amp;$A179&amp;"'!$A$2:$A$501"),"&gt;="&amp;$I179,INDIRECT("'"&amp;$A179&amp;"'!$A$2:$A$501"),"&lt;"&amp;($BA179+1),INDIRECT("'"&amp;$A179&amp;"'!$E$2:$E$501"),"Yes"),0)))</f>
        <v/>
      </c>
      <c r="AW179" s="25">
        <f>IF(OR($A179="",$I179=""),"",IF($BC179="Y",SUMIFS(survey_frozen!$K$2:$K$251,survey_frozen!$P$2:$P$251,$A179&amp;"|"&amp;$B179),IFERROR(COUNTIFS(INDIRECT("'"&amp;$A179&amp;"'!$B$2:$B$501"),$T179,INDIRECT("'"&amp;$A179&amp;"'!$A$2:$A$501"),"&gt;="&amp;$I179,INDIRECT("'"&amp;$A179&amp;"'!$A$2:$A$501"),"&lt;"&amp;($BA179+1),INDIRECT("'"&amp;$A179&amp;"'!$E$2:$E$501"),"Maybe"),0)))</f>
        <v/>
      </c>
      <c r="AX179" s="25">
        <f>IF(OR($A179="",$I179=""),"",IF($BC179="Y",SUMIFS(survey_frozen!$L$2:$L$251,survey_frozen!$P$2:$P$251,$A179&amp;"|"&amp;$B179),IFERROR(COUNTIFS(INDIRECT("'"&amp;$A179&amp;"'!$B$2:$B$501"),$T179,INDIRECT("'"&amp;$A179&amp;"'!$A$2:$A$501"),"&gt;="&amp;$I179,INDIRECT("'"&amp;$A179&amp;"'!$A$2:$A$501"),"&lt;"&amp;($BA179+1),INDIRECT("'"&amp;$A179&amp;"'!$E$2:$E$501"),"No"),0)))</f>
        <v/>
      </c>
      <c r="AY179" s="25">
        <f>IF(OR($A179="",$I179=""),"",IF($BC179="Y",SUMIFS(survey_frozen!$M$2:$M$251,survey_frozen!$P$2:$P$251,$A179&amp;"|"&amp;$B179),IFERROR(COUNTIFS(INDIRECT("'"&amp;$A179&amp;"'!$B$2:$B$501"),$T179,INDIRECT("'"&amp;$A179&amp;"'!$A$2:$A$501"),"&gt;="&amp;$I179,INDIRECT("'"&amp;$A179&amp;"'!$A$2:$A$501"),"&lt;"&amp;($BA179+1),INDIRECT("'"&amp;$A179&amp;"'!$G$2:$G$501"),"&lt;&gt;"),0)))</f>
        <v/>
      </c>
      <c r="AZ179" s="25">
        <f>IF($A179="","",$A179&amp;"|"&amp;$L179)</f>
        <v/>
      </c>
      <c r="BA179" s="26">
        <f>IF($A179="","",IFERROR(IF(INDEX(drops!$R$2:$R$21,MATCH($H179,drops!$A$2:$A$21,0))="","",INDEX(drops!$R$2:$R$21,MATCH($H179,drops!$A$2:$A$21,0))),""))</f>
        <v/>
      </c>
      <c r="BB179" s="25">
        <f>IF(OR($A179="",$Q179&lt;&gt;"Y"),1000000,N($AL179))</f>
        <v/>
      </c>
      <c r="BC179" s="25">
        <f>IF($A179="","",IF(COUNTIF(survey_frozen!$P$2:$P$251,$A179&amp;"|"&amp;$B179)&gt;0,"Y",""))</f>
        <v/>
      </c>
    </row>
    <row r="180">
      <c r="C180" s="9" t="n"/>
      <c r="E180" s="9" t="n"/>
      <c r="H180" s="25">
        <f>IF($A180="","",IFERROR(IF(INDEX(campaigns!$B$2:$B$51,MATCH($A180,campaigns!$A$2:$A$51,0))="","",INDEX(campaigns!$B$2:$B$51,MATCH($A180,campaigns!$A$2:$A$51,0))),""))</f>
        <v/>
      </c>
      <c r="I180" s="26">
        <f>IF($A180="","",IFERROR(IF(INDEX(campaigns!$BG$2:$BG$51,MATCH($A180,campaigns!$A$2:$A$51,0))="","",INDEX(campaigns!$BG$2:$BG$51,MATCH($A180,campaigns!$A$2:$A$51,0))),""))</f>
        <v/>
      </c>
      <c r="J180" s="25">
        <f>IF($A180="","",IFERROR(IF(INDEX(campaigns!$BE$2:$BE$51,MATCH($A180,campaigns!$A$2:$A$51,0))="","",INDEX(campaigns!$BE$2:$BE$51,MATCH($A180,campaigns!$A$2:$A$51,0))),""))</f>
        <v/>
      </c>
      <c r="K180" s="25">
        <f>IF($B180="","",IFERROR(IF(INDEX(offices!$N$2:$N$61,MATCH($B180,offices!$A$2:$A$61,0))="","",INDEX(offices!$N$2:$N$61,MATCH($B180,offices!$A$2:$A$61,0))),""))</f>
        <v/>
      </c>
      <c r="L180" s="25">
        <f>IF($A180="","",IF($Q180="N","",COUNTIFS($A$2:$A180,$A180,$Q$2:$Q180,"&lt;&gt;N")))</f>
        <v/>
      </c>
      <c r="M180" s="25">
        <f>IF(OR($A180="",$L180=""),"",IF(AND(config!$B$34="names_if_public",IFERROR(IF(INDEX(offices!$AF$2:$AF$61,MATCH($B180,offices!$A$2:$A$61,0))="","",INDEX(offices!$AF$2:$AF$61,MATCH($B180,offices!$A$2:$A$61,0))),"")="Y"),$K180,CHAR(64+$L180)))</f>
        <v/>
      </c>
      <c r="N180" s="25">
        <f>IF(OR($A180="",$I180=""),"",COUNTIFS(stops!$B$2:$B$151,$B180,stops!$P$2:$P$151,"&lt;"&amp;$I180,stops!$L$2:$L$151,"&lt;&gt;not_delivered")+1)</f>
        <v/>
      </c>
      <c r="O180" s="25">
        <f>IF($A180="","",IF(N($N180)&lt;=config!$B$29,"explicit","opt-out"))</f>
        <v/>
      </c>
      <c r="P180" s="25">
        <f>IF($A180="","",IF($O180="explicit",IF($D180="yes","Y",IF($D180="no","N","pending")),IF($D180="no","N",IF(AND($C180&lt;&gt;"",$I180&lt;&gt;"",$C180&lt;=WORKDAY(N($I180),-5,calendar!$A$2:$A$80)),"Y","pending"))))</f>
        <v/>
      </c>
      <c r="Q180" s="25">
        <f>IF($A180="","",IF($P180="N","N",IF($P180&lt;&gt;"Y","pending",IF(AND((COUNTIFS(stops!$A$2:$A$151,$H180,stops!$B$2:$B$151,$B180,stops!$L$2:$L$151,"declined")+COUNTIFS(stops!$A$2:$A$151,$H180,stops!$B$2:$B$151,$B180,stops!$L$2:$L$151,"building_refused")+COUNTIFS(stops!$A$2:$A$151,$H180,stops!$B$2:$B$151,$B180,stops!$L$2:$L$151,"not_delivered"))&gt;0,N($U180)=0),"N","Y"))))</f>
        <v/>
      </c>
      <c r="R180" s="25">
        <f>IF($A180="","",IF(COUNTIFS($A$2:$A$251,$A180,$B$2:$B$251,$B180)&gt;1,"DUPLICATE ROW; ","")&amp;IF(AND(IFERROR(IF(INDEX(offices!$AC$2:$AC$61,MATCH($B180,offices!$A$2:$A$61,0))="","",INDEX(offices!$AC$2:$AC$61,MATCH($B180,offices!$A$2:$A$61,0))),"")&lt;&gt;"",ISNUMBER(SEARCH($J180,IFERROR(IF(INDEX(offices!$AC$2:$AC$61,MATCH($B180,offices!$A$2:$A$61,0))="","",INDEX(offices!$AC$2:$AC$61,MATCH($B180,offices!$A$2:$A$61,0))),"")))),"BRAND VETOED; ","")&amp;IF(ISNUMBER(SEARCH(IFERROR(IF(INDEX(campaigns!$BF$2:$BF$51,MATCH($A180,campaigns!$A$2:$A$51,0))="","",INDEX(campaigns!$BF$2:$BF$51,MATCH($A180,campaigns!$A$2:$A$51,0))),""),IFERROR(IF(INDEX(offices!$AB$2:$AB$61,MATCH($B180,offices!$A$2:$A$61,0))="","",INDEX(offices!$AB$2:$AB$61,MATCH($B180,offices!$A$2:$A$61,0))),""))),"","info: category not on the office's list; ")&amp;IF(IFERROR(IF(INDEX(offices!$AC$2:$AC$61,MATCH($B180,offices!$A$2:$A$61,0))="","",INDEX(offices!$AC$2:$AC$61,MATCH($B180,offices!$A$2:$A$61,0))),"")&lt;&gt;"","info: read the vetoes against the label; ",""))</f>
        <v/>
      </c>
      <c r="S180" s="25">
        <f>IF($A180="","",IF($G180&lt;&gt;"",$G180,IFERROR(IF(INDEX(offices!$AL$2:$AL$61,MATCH($B180,offices!$A$2:$A$61,0))="","",INDEX(offices!$AL$2:$AL$61,MATCH($B180,offices!$A$2:$A$61,0))),"")))</f>
        <v/>
      </c>
      <c r="T180" s="25">
        <f>IF($A180="","",$A180&amp;"."&amp;$B180)</f>
        <v/>
      </c>
      <c r="U180" s="25">
        <f>IF($A180="","",SUMIFS(inventory!$G$2:$G$801,inventory!$C$2:$C$801,$A180,inventory!$D$2:$D$801,$B180,inventory!$E$2:$E$801,"delivered"))</f>
        <v/>
      </c>
      <c r="V180" s="32">
        <f>IF($A180="","",IFERROR(1/(1/SUMPRODUCT(MAX((inventory!$C$2:$C$801=$A180)*(inventory!$D$2:$D$801=$B180)*(inventory!$E$2:$E$801="delivered")*(inventory!$A$2:$A$801+inventory!$B$2:$B$801)))),""))</f>
        <v/>
      </c>
      <c r="W180" s="25">
        <f>IF($A180="","",IFERROR(IF(INDEX(inventory!$J$2:$J$801,MATCH($A180&amp;"|"&amp;$B180&amp;"|delivered",inventory!$R$2:$R$801,0))="","",INDEX(inventory!$J$2:$J$801,MATCH($A180&amp;"|"&amp;$B180&amp;"|delivered",inventory!$R$2:$R$801,0))),""))</f>
        <v/>
      </c>
      <c r="X180" s="25">
        <f>IF($A180="","",IFERROR(IF(INDEX(photos!$H$2:$H$701,MATCH($A180&amp;"|"&amp;$B180&amp;"|placement|Y",photos!$R$2:$R$701,0))="","",INDEX(photos!$H$2:$H$701,MATCH($A180&amp;"|"&amp;$B180&amp;"|placement|Y",photos!$R$2:$R$701,0))),""))</f>
        <v/>
      </c>
      <c r="Y180" s="26">
        <f>IF($A180="","",IFERROR(IF(INDEX(photos!$E$2:$E$701,MATCH($A180&amp;"|"&amp;$B180&amp;"|placement|Y",photos!$R$2:$R$701,0))="","",INDEX(photos!$E$2:$E$701,MATCH($A180&amp;"|"&amp;$B180&amp;"|placement|Y",photos!$R$2:$R$701,0))),""))</f>
        <v/>
      </c>
      <c r="Z180" s="25">
        <f>IF($A180="","",IF(COUNTIFS(counts!$C$2:$C$701,$A180,counts!$D$2:$D$701,$B180,counts!$E$2:$E$701,"placed")=0,"",SUMIFS(counts!$F$2:$F$701,counts!$C$2:$C$701,$A180,counts!$D$2:$D$701,$B180,counts!$E$2:$E$701,"placed")))</f>
        <v/>
      </c>
      <c r="AA180" s="25">
        <f>IF($A180="","",IF($Y180="",0,N($Z180)))</f>
        <v/>
      </c>
      <c r="AB180" s="25">
        <f>IF($A180="","",IF(OR($Y180="",$I180=""),"N",IF($Y180&lt;=WORKDAY(N($I180),1,calendar!$A$2:$A$80),"Y","N")))</f>
        <v/>
      </c>
      <c r="AC180" s="28">
        <f>IF(OR($A180="",$V180="",$Y180=""),"",ROUND(($Y180+N(IFERROR(IF(INDEX(photos!$F$2:$F$701,MATCH($A180&amp;"|"&amp;$B180&amp;"|placement|Y",photos!$R$2:$R$701,0))="","",INDEX(photos!$F$2:$F$701,MATCH($A180&amp;"|"&amp;$B180&amp;"|placement|Y",photos!$R$2:$R$701,0))),""))-$V180)*24,1))</f>
        <v/>
      </c>
      <c r="AD180" s="25">
        <f>IF($A180="","",SUMIFS(inventory!$G$2:$G$801,inventory!$C$2:$C$801,$A180,inventory!$D$2:$D$801,$B180,inventory!$E$2:$E$801,"topped_up"))</f>
        <v/>
      </c>
      <c r="AE180" s="25">
        <f>IF($A180="","",IF(COUNTIFS(counts!$C$2:$C$701,$A180,counts!$D$2:$D$701,$B180,counts!$E$2:$E$701,"remaining_day3")=0,"",SUMIFS(counts!$F$2:$F$701,counts!$C$2:$C$701,$A180,counts!$D$2:$D$701,$B180,counts!$E$2:$E$701,"remaining_day3")))</f>
        <v/>
      </c>
      <c r="AF180" s="25">
        <f>IF($A180="","",IF(COUNTIFS(counts!$C$2:$C$701,$A180,counts!$D$2:$D$701,$B180,counts!$E$2:$E$701,"remaining_day5")=0,"",SUMIFS(counts!$F$2:$F$701,counts!$C$2:$C$701,$A180,counts!$D$2:$D$701,$B180,counts!$E$2:$E$701,"remaining_day5")))</f>
        <v/>
      </c>
      <c r="AG180" s="25">
        <f>IF(OR($A180="",$AF180=""),"",MAX(0,$AA180+$AD180-$AF180))</f>
        <v/>
      </c>
      <c r="AH180" s="25">
        <f>IF(OR($A180="",$AI180=""),"",IFERROR(IF(INDEX(photos!$H$2:$H$701,MATCH($A180&amp;"|"&amp;$B180&amp;"|later|Y|"&amp;$AI180,photos!$S$2:$S$701,0))="","",INDEX(photos!$H$2:$H$701,MATCH($A180&amp;"|"&amp;$B180&amp;"|later|Y|"&amp;$AI180,photos!$S$2:$S$701,0))),""))</f>
        <v/>
      </c>
      <c r="AI180" s="26">
        <f>IF($A180="","",IFERROR(1/(1/SUMPRODUCT(MAX((photos!$B$2:$B$701=$A180)*(photos!$C$2:$C$701=$B180)*(photos!$D$2:$D$701="later")*(photos!$O$2:$O$701="Y")*photos!$E$2:$E$701))),""))</f>
        <v/>
      </c>
      <c r="AJ180" s="25">
        <f>IF(OR($A180="",$AI180="",$I180=""),"",NETWORKDAYS($I180,$AI180,calendar!$A$2:$A$80))</f>
        <v/>
      </c>
      <c r="AK180" s="25">
        <f>IF($A180="","",IF(AND($X180&lt;&gt;"",$AH180&lt;&gt;""),"Y","N"))</f>
        <v/>
      </c>
      <c r="AL180" s="25">
        <f>IF(OR($A180="",$I180=""),"",IF($BC180="Y",SUMIFS(survey_frozen!$C$2:$C$251,survey_frozen!$P$2:$P$251,$A180&amp;"|"&amp;$B180),IFERROR(COUNTIFS(INDIRECT("'"&amp;$A180&amp;"'!$B$2:$B$501"),$T180,INDIRECT("'"&amp;$A180&amp;"'!$A$2:$A$501"),"&gt;="&amp;$I180,INDIRECT("'"&amp;$A180&amp;"'!$A$2:$A$501"),"&lt;"&amp;($BA180+1)),0)))</f>
        <v/>
      </c>
      <c r="AM180" s="25">
        <f>IF(OR($A180="",$I180=""),"",IF($BC180="Y",SUMIFS(survey_frozen!$D$2:$D$251,survey_frozen!$P$2:$P$251,$A180&amp;"|"&amp;$B180),IFERROR(COUNTIFS(INDIRECT("'"&amp;$A180&amp;"'!$B$2:$B$501"),$T180,INDIRECT("'"&amp;$A180&amp;"'!$A$2:$A$501"),"&gt;="&amp;$I180,INDIRECT("'"&amp;$A180&amp;"'!$A$2:$A$501"),"&lt;"&amp;($BA180+1),INDIRECT("'"&amp;$A180&amp;"'!$C$2:$C$501"),"Yes"),0)))</f>
        <v/>
      </c>
      <c r="AN180" s="25">
        <f>IF($A180="","",IF(COUNTIFS(scans!$C$2:$C$1601,(IF(LEFT($A180,7)="SAMPLE-","SAMPLE-","")&amp;LOWER(SUBSTITUTE(SUBSTITUTE($A180,"SAMPLE-",""),"CMP-","c"))&amp;"-"&amp;LOWER(SUBSTITUTE(SUBSTITUTE($B180,"SAMPLE-",""),"O-","o"))&amp;"-q"),scans!$D$2:$D$1601,"close")=0,"",SUMPRODUCT(MAX((scans!$C$2:$C$1601=(IF(LEFT($A180,7)="SAMPLE-","SAMPLE-","")&amp;LOWER(SUBSTITUTE(SUBSTITUTE($A180,"SAMPLE-",""),"CMP-","c"))&amp;"-"&amp;LOWER(SUBSTITUTE(SUBSTITUTE($B180,"SAMPLE-",""),"O-","o"))&amp;"-q"))*(scans!$D$2:$D$1601="close")*scans!$E$2:$E$1601))-SUMPRODUCT(MAX((scans!$C$2:$C$1601=(IF(LEFT($A180,7)="SAMPLE-","SAMPLE-","")&amp;LOWER(SUBSTITUTE(SUBSTITUTE($A180,"SAMPLE-",""),"CMP-","c"))&amp;"-"&amp;LOWER(SUBSTITUTE(SUBSTITUTE($B180,"SAMPLE-",""),"O-","o"))&amp;"-q"))*(scans!$D$2:$D$1601="baseline")*scans!$E$2:$E$1601))))</f>
        <v/>
      </c>
      <c r="AO180" s="25">
        <f>IF($A180="","",IF(COUNTIFS(scans!$C$2:$C$1601,(IF(LEFT($A180,7)="SAMPLE-","SAMPLE-","")&amp;LOWER(SUBSTITUTE(SUBSTITUTE($A180,"SAMPLE-",""),"CMP-","c"))&amp;"-"&amp;LOWER(SUBSTITUTE(SUBSTITUTE($B180,"SAMPLE-",""),"O-","o"))&amp;"-p"),scans!$D$2:$D$1601,"close")=0,"",SUMPRODUCT(MAX((scans!$C$2:$C$1601=(IF(LEFT($A180,7)="SAMPLE-","SAMPLE-","")&amp;LOWER(SUBSTITUTE(SUBSTITUTE($A180,"SAMPLE-",""),"CMP-","c"))&amp;"-"&amp;LOWER(SUBSTITUTE(SUBSTITUTE($B180,"SAMPLE-",""),"O-","o"))&amp;"-p"))*(scans!$D$2:$D$1601="close")*scans!$E$2:$E$1601))-SUMPRODUCT(MAX((scans!$C$2:$C$1601=(IF(LEFT($A180,7)="SAMPLE-","SAMPLE-","")&amp;LOWER(SUBSTITUTE(SUBSTITUTE($A180,"SAMPLE-",""),"CMP-","c"))&amp;"-"&amp;LOWER(SUBSTITUTE(SUBSTITUTE($B180,"SAMPLE-",""),"O-","o"))&amp;"-p"))*(scans!$D$2:$D$1601="baseline")*scans!$E$2:$E$1601))))</f>
        <v/>
      </c>
      <c r="AP180" s="25">
        <f>IF($A180="","",IF(COUNTIF(offices!$A$2:$A$61,$B180)=0,"office_id not on offices; ","")&amp;IF(COUNTIF(campaigns!$A$2:$A$51,$A180)=0,"campaign_id not on campaigns; ","")&amp;IF($P180="pending","approval pending; ","")&amp;IF(AND($U180&gt;0,$Y180="",OR($I180="",IF(config!$B$37&lt;&gt;"",config!$B$37,TODAY())&lt;=WORKDAY(N($I180),4,calendar!$A$2:$A$80))),"no usable placement photo yet; ","")&amp;IF(AND($Y180&lt;&gt;"",$Z180=""),"log the placed count; ","")&amp;IF(N($AA180)&gt;N($U180),"placed more than delivered; ","")&amp;IF(AND($AF180&lt;&gt;"",N($AF180)&gt;N($AA180)+N($AD180)),"day-5 count above placed plus top-ups; ","")&amp;IF(AND($U180&gt;0,$I180&lt;&gt;"",IF(config!$B$37&lt;&gt;"",config!$B$37,TODAY())&gt;WORKDAY(N($I180),4,calendar!$A$2:$A$80),$AF180=""),"day-5 count missing; ","")&amp;IF(AND($U180&gt;0,$I180&lt;&gt;"",IF(config!$B$37&lt;&gt;"",config!$B$37,TODAY())&gt;WORKDAY(N($I180),4,calendar!$A$2:$A$80),$AN180=""),"no close link reading; ","")&amp;$R180&amp;IF($P180="N","info: office said no; ","")&amp;IF(AND($P180="Y",$Q180="N"),"info: turned away at the door, so not on the drop (no letter, not in the report or Gate 2; the credit check is on campaigns); ","")&amp;IF(AND($U180&gt;0,$Y180="",$I180&lt;&gt;"",IF(config!$B$37&lt;&gt;"",config!$B$37,TODAY())&gt;WORKDAY(N($I180),4,calendar!$A$2:$A$80)),"info: no usable placement photo, so nothing counts as placed; ","")&amp;IF(AND($U180&gt;0,$I180&lt;&gt;"",IF(config!$B$37&lt;&gt;"",config!$B$37,TODAY())&gt;WORKDAY(N($I180),4,calendar!$A$2:$A$80),N($AL180)&lt;config!$B$30),"info: under "&amp;config!$B$30&amp;" responses; ","")&amp;IF($W180="packing_list","info: delivered count not verified; ",""))</f>
        <v/>
      </c>
      <c r="AQ180" s="25">
        <f>IF(OR($A180="",$I180=""),"",IF($BC180="Y",SUMIFS(survey_frozen!$E$2:$E$251,survey_frozen!$P$2:$P$251,$A180&amp;"|"&amp;$B180),IFERROR(COUNTIFS(INDIRECT("'"&amp;$A180&amp;"'!$B$2:$B$501"),$T180,INDIRECT("'"&amp;$A180&amp;"'!$A$2:$A$501"),"&gt;="&amp;$I180,INDIRECT("'"&amp;$A180&amp;"'!$A$2:$A$501"),"&lt;"&amp;($BA180+1),INDIRECT("'"&amp;$A180&amp;"'!$F$2:$F$501"),"Didn't see it"),0)))</f>
        <v/>
      </c>
      <c r="AR180" s="25">
        <f>IF(OR($A180="",$I180=""),"",IF($BC180="Y",SUMIFS(survey_frozen!$F$2:$F$251,survey_frozen!$P$2:$P$251,$A180&amp;"|"&amp;$B180),IFERROR(COUNTIFS(INDIRECT("'"&amp;$A180&amp;"'!$B$2:$B$501"),$T180,INDIRECT("'"&amp;$A180&amp;"'!$A$2:$A$501"),"&gt;="&amp;$I180,INDIRECT("'"&amp;$A180&amp;"'!$A$2:$A$501"),"&lt;"&amp;($BA180+1),INDIRECT("'"&amp;$A180&amp;"'!$F$2:$F$501"),"Not for me"),0)))</f>
        <v/>
      </c>
      <c r="AS180" s="25">
        <f>IF(OR($A180="",$I180=""),"",IF($BC180="Y",SUMIFS(survey_frozen!$G$2:$G$251,survey_frozen!$P$2:$P$251,$A180&amp;"|"&amp;$B180),IFERROR(COUNTIFS(INDIRECT("'"&amp;$A180&amp;"'!$B$2:$B$501"),$T180,INDIRECT("'"&amp;$A180&amp;"'!$A$2:$A$501"),"&gt;="&amp;$I180,INDIRECT("'"&amp;$A180&amp;"'!$A$2:$A$501"),"&lt;"&amp;($BA180+1),INDIRECT("'"&amp;$A180&amp;"'!$F$2:$F$501"),"Gone by the time I looked"),0)))</f>
        <v/>
      </c>
      <c r="AT180" s="25">
        <f>IF(OR($A180="",$I180=""),"",IF($BC180="Y",SUMIFS(survey_frozen!$H$2:$H$251,survey_frozen!$P$2:$P$251,$A180&amp;"|"&amp;$B180),IFERROR(COUNTIFS(INDIRECT("'"&amp;$A180&amp;"'!$B$2:$B$501"),$T180,INDIRECT("'"&amp;$A180&amp;"'!$A$2:$A$501"),"&gt;="&amp;$I180,INDIRECT("'"&amp;$A180&amp;"'!$A$2:$A$501"),"&lt;"&amp;($BA180+1),INDIRECT("'"&amp;$A180&amp;"'!$D$2:$D$501"),"&gt;=1"),0)))</f>
        <v/>
      </c>
      <c r="AU180" s="25">
        <f>IF(OR($A180="",$I180=""),"",IF($BC180="Y",SUMIFS(survey_frozen!$I$2:$I$251,survey_frozen!$P$2:$P$251,$A180&amp;"|"&amp;$B180),IFERROR(SUMIFS(INDIRECT("'"&amp;$A180&amp;"'!$D$2:$D$501"),INDIRECT("'"&amp;$A180&amp;"'!$B$2:$B$501"),$T180,INDIRECT("'"&amp;$A180&amp;"'!$A$2:$A$501"),"&gt;="&amp;$I180,INDIRECT("'"&amp;$A180&amp;"'!$A$2:$A$501"),"&lt;"&amp;($BA180+1)),0)))</f>
        <v/>
      </c>
      <c r="AV180" s="25">
        <f>IF(OR($A180="",$I180=""),"",IF($BC180="Y",SUMIFS(survey_frozen!$J$2:$J$251,survey_frozen!$P$2:$P$251,$A180&amp;"|"&amp;$B180),IFERROR(COUNTIFS(INDIRECT("'"&amp;$A180&amp;"'!$B$2:$B$501"),$T180,INDIRECT("'"&amp;$A180&amp;"'!$A$2:$A$501"),"&gt;="&amp;$I180,INDIRECT("'"&amp;$A180&amp;"'!$A$2:$A$501"),"&lt;"&amp;($BA180+1),INDIRECT("'"&amp;$A180&amp;"'!$E$2:$E$501"),"Yes"),0)))</f>
        <v/>
      </c>
      <c r="AW180" s="25">
        <f>IF(OR($A180="",$I180=""),"",IF($BC180="Y",SUMIFS(survey_frozen!$K$2:$K$251,survey_frozen!$P$2:$P$251,$A180&amp;"|"&amp;$B180),IFERROR(COUNTIFS(INDIRECT("'"&amp;$A180&amp;"'!$B$2:$B$501"),$T180,INDIRECT("'"&amp;$A180&amp;"'!$A$2:$A$501"),"&gt;="&amp;$I180,INDIRECT("'"&amp;$A180&amp;"'!$A$2:$A$501"),"&lt;"&amp;($BA180+1),INDIRECT("'"&amp;$A180&amp;"'!$E$2:$E$501"),"Maybe"),0)))</f>
        <v/>
      </c>
      <c r="AX180" s="25">
        <f>IF(OR($A180="",$I180=""),"",IF($BC180="Y",SUMIFS(survey_frozen!$L$2:$L$251,survey_frozen!$P$2:$P$251,$A180&amp;"|"&amp;$B180),IFERROR(COUNTIFS(INDIRECT("'"&amp;$A180&amp;"'!$B$2:$B$501"),$T180,INDIRECT("'"&amp;$A180&amp;"'!$A$2:$A$501"),"&gt;="&amp;$I180,INDIRECT("'"&amp;$A180&amp;"'!$A$2:$A$501"),"&lt;"&amp;($BA180+1),INDIRECT("'"&amp;$A180&amp;"'!$E$2:$E$501"),"No"),0)))</f>
        <v/>
      </c>
      <c r="AY180" s="25">
        <f>IF(OR($A180="",$I180=""),"",IF($BC180="Y",SUMIFS(survey_frozen!$M$2:$M$251,survey_frozen!$P$2:$P$251,$A180&amp;"|"&amp;$B180),IFERROR(COUNTIFS(INDIRECT("'"&amp;$A180&amp;"'!$B$2:$B$501"),$T180,INDIRECT("'"&amp;$A180&amp;"'!$A$2:$A$501"),"&gt;="&amp;$I180,INDIRECT("'"&amp;$A180&amp;"'!$A$2:$A$501"),"&lt;"&amp;($BA180+1),INDIRECT("'"&amp;$A180&amp;"'!$G$2:$G$501"),"&lt;&gt;"),0)))</f>
        <v/>
      </c>
      <c r="AZ180" s="25">
        <f>IF($A180="","",$A180&amp;"|"&amp;$L180)</f>
        <v/>
      </c>
      <c r="BA180" s="26">
        <f>IF($A180="","",IFERROR(IF(INDEX(drops!$R$2:$R$21,MATCH($H180,drops!$A$2:$A$21,0))="","",INDEX(drops!$R$2:$R$21,MATCH($H180,drops!$A$2:$A$21,0))),""))</f>
        <v/>
      </c>
      <c r="BB180" s="25">
        <f>IF(OR($A180="",$Q180&lt;&gt;"Y"),1000000,N($AL180))</f>
        <v/>
      </c>
      <c r="BC180" s="25">
        <f>IF($A180="","",IF(COUNTIF(survey_frozen!$P$2:$P$251,$A180&amp;"|"&amp;$B180)&gt;0,"Y",""))</f>
        <v/>
      </c>
    </row>
    <row r="181">
      <c r="C181" s="9" t="n"/>
      <c r="E181" s="9" t="n"/>
      <c r="H181" s="25">
        <f>IF($A181="","",IFERROR(IF(INDEX(campaigns!$B$2:$B$51,MATCH($A181,campaigns!$A$2:$A$51,0))="","",INDEX(campaigns!$B$2:$B$51,MATCH($A181,campaigns!$A$2:$A$51,0))),""))</f>
        <v/>
      </c>
      <c r="I181" s="26">
        <f>IF($A181="","",IFERROR(IF(INDEX(campaigns!$BG$2:$BG$51,MATCH($A181,campaigns!$A$2:$A$51,0))="","",INDEX(campaigns!$BG$2:$BG$51,MATCH($A181,campaigns!$A$2:$A$51,0))),""))</f>
        <v/>
      </c>
      <c r="J181" s="25">
        <f>IF($A181="","",IFERROR(IF(INDEX(campaigns!$BE$2:$BE$51,MATCH($A181,campaigns!$A$2:$A$51,0))="","",INDEX(campaigns!$BE$2:$BE$51,MATCH($A181,campaigns!$A$2:$A$51,0))),""))</f>
        <v/>
      </c>
      <c r="K181" s="25">
        <f>IF($B181="","",IFERROR(IF(INDEX(offices!$N$2:$N$61,MATCH($B181,offices!$A$2:$A$61,0))="","",INDEX(offices!$N$2:$N$61,MATCH($B181,offices!$A$2:$A$61,0))),""))</f>
        <v/>
      </c>
      <c r="L181" s="25">
        <f>IF($A181="","",IF($Q181="N","",COUNTIFS($A$2:$A181,$A181,$Q$2:$Q181,"&lt;&gt;N")))</f>
        <v/>
      </c>
      <c r="M181" s="25">
        <f>IF(OR($A181="",$L181=""),"",IF(AND(config!$B$34="names_if_public",IFERROR(IF(INDEX(offices!$AF$2:$AF$61,MATCH($B181,offices!$A$2:$A$61,0))="","",INDEX(offices!$AF$2:$AF$61,MATCH($B181,offices!$A$2:$A$61,0))),"")="Y"),$K181,CHAR(64+$L181)))</f>
        <v/>
      </c>
      <c r="N181" s="25">
        <f>IF(OR($A181="",$I181=""),"",COUNTIFS(stops!$B$2:$B$151,$B181,stops!$P$2:$P$151,"&lt;"&amp;$I181,stops!$L$2:$L$151,"&lt;&gt;not_delivered")+1)</f>
        <v/>
      </c>
      <c r="O181" s="25">
        <f>IF($A181="","",IF(N($N181)&lt;=config!$B$29,"explicit","opt-out"))</f>
        <v/>
      </c>
      <c r="P181" s="25">
        <f>IF($A181="","",IF($O181="explicit",IF($D181="yes","Y",IF($D181="no","N","pending")),IF($D181="no","N",IF(AND($C181&lt;&gt;"",$I181&lt;&gt;"",$C181&lt;=WORKDAY(N($I181),-5,calendar!$A$2:$A$80)),"Y","pending"))))</f>
        <v/>
      </c>
      <c r="Q181" s="25">
        <f>IF($A181="","",IF($P181="N","N",IF($P181&lt;&gt;"Y","pending",IF(AND((COUNTIFS(stops!$A$2:$A$151,$H181,stops!$B$2:$B$151,$B181,stops!$L$2:$L$151,"declined")+COUNTIFS(stops!$A$2:$A$151,$H181,stops!$B$2:$B$151,$B181,stops!$L$2:$L$151,"building_refused")+COUNTIFS(stops!$A$2:$A$151,$H181,stops!$B$2:$B$151,$B181,stops!$L$2:$L$151,"not_delivered"))&gt;0,N($U181)=0),"N","Y"))))</f>
        <v/>
      </c>
      <c r="R181" s="25">
        <f>IF($A181="","",IF(COUNTIFS($A$2:$A$251,$A181,$B$2:$B$251,$B181)&gt;1,"DUPLICATE ROW; ","")&amp;IF(AND(IFERROR(IF(INDEX(offices!$AC$2:$AC$61,MATCH($B181,offices!$A$2:$A$61,0))="","",INDEX(offices!$AC$2:$AC$61,MATCH($B181,offices!$A$2:$A$61,0))),"")&lt;&gt;"",ISNUMBER(SEARCH($J181,IFERROR(IF(INDEX(offices!$AC$2:$AC$61,MATCH($B181,offices!$A$2:$A$61,0))="","",INDEX(offices!$AC$2:$AC$61,MATCH($B181,offices!$A$2:$A$61,0))),"")))),"BRAND VETOED; ","")&amp;IF(ISNUMBER(SEARCH(IFERROR(IF(INDEX(campaigns!$BF$2:$BF$51,MATCH($A181,campaigns!$A$2:$A$51,0))="","",INDEX(campaigns!$BF$2:$BF$51,MATCH($A181,campaigns!$A$2:$A$51,0))),""),IFERROR(IF(INDEX(offices!$AB$2:$AB$61,MATCH($B181,offices!$A$2:$A$61,0))="","",INDEX(offices!$AB$2:$AB$61,MATCH($B181,offices!$A$2:$A$61,0))),""))),"","info: category not on the office's list; ")&amp;IF(IFERROR(IF(INDEX(offices!$AC$2:$AC$61,MATCH($B181,offices!$A$2:$A$61,0))="","",INDEX(offices!$AC$2:$AC$61,MATCH($B181,offices!$A$2:$A$61,0))),"")&lt;&gt;"","info: read the vetoes against the label; ",""))</f>
        <v/>
      </c>
      <c r="S181" s="25">
        <f>IF($A181="","",IF($G181&lt;&gt;"",$G181,IFERROR(IF(INDEX(offices!$AL$2:$AL$61,MATCH($B181,offices!$A$2:$A$61,0))="","",INDEX(offices!$AL$2:$AL$61,MATCH($B181,offices!$A$2:$A$61,0))),"")))</f>
        <v/>
      </c>
      <c r="T181" s="25">
        <f>IF($A181="","",$A181&amp;"."&amp;$B181)</f>
        <v/>
      </c>
      <c r="U181" s="25">
        <f>IF($A181="","",SUMIFS(inventory!$G$2:$G$801,inventory!$C$2:$C$801,$A181,inventory!$D$2:$D$801,$B181,inventory!$E$2:$E$801,"delivered"))</f>
        <v/>
      </c>
      <c r="V181" s="32">
        <f>IF($A181="","",IFERROR(1/(1/SUMPRODUCT(MAX((inventory!$C$2:$C$801=$A181)*(inventory!$D$2:$D$801=$B181)*(inventory!$E$2:$E$801="delivered")*(inventory!$A$2:$A$801+inventory!$B$2:$B$801)))),""))</f>
        <v/>
      </c>
      <c r="W181" s="25">
        <f>IF($A181="","",IFERROR(IF(INDEX(inventory!$J$2:$J$801,MATCH($A181&amp;"|"&amp;$B181&amp;"|delivered",inventory!$R$2:$R$801,0))="","",INDEX(inventory!$J$2:$J$801,MATCH($A181&amp;"|"&amp;$B181&amp;"|delivered",inventory!$R$2:$R$801,0))),""))</f>
        <v/>
      </c>
      <c r="X181" s="25">
        <f>IF($A181="","",IFERROR(IF(INDEX(photos!$H$2:$H$701,MATCH($A181&amp;"|"&amp;$B181&amp;"|placement|Y",photos!$R$2:$R$701,0))="","",INDEX(photos!$H$2:$H$701,MATCH($A181&amp;"|"&amp;$B181&amp;"|placement|Y",photos!$R$2:$R$701,0))),""))</f>
        <v/>
      </c>
      <c r="Y181" s="26">
        <f>IF($A181="","",IFERROR(IF(INDEX(photos!$E$2:$E$701,MATCH($A181&amp;"|"&amp;$B181&amp;"|placement|Y",photos!$R$2:$R$701,0))="","",INDEX(photos!$E$2:$E$701,MATCH($A181&amp;"|"&amp;$B181&amp;"|placement|Y",photos!$R$2:$R$701,0))),""))</f>
        <v/>
      </c>
      <c r="Z181" s="25">
        <f>IF($A181="","",IF(COUNTIFS(counts!$C$2:$C$701,$A181,counts!$D$2:$D$701,$B181,counts!$E$2:$E$701,"placed")=0,"",SUMIFS(counts!$F$2:$F$701,counts!$C$2:$C$701,$A181,counts!$D$2:$D$701,$B181,counts!$E$2:$E$701,"placed")))</f>
        <v/>
      </c>
      <c r="AA181" s="25">
        <f>IF($A181="","",IF($Y181="",0,N($Z181)))</f>
        <v/>
      </c>
      <c r="AB181" s="25">
        <f>IF($A181="","",IF(OR($Y181="",$I181=""),"N",IF($Y181&lt;=WORKDAY(N($I181),1,calendar!$A$2:$A$80),"Y","N")))</f>
        <v/>
      </c>
      <c r="AC181" s="28">
        <f>IF(OR($A181="",$V181="",$Y181=""),"",ROUND(($Y181+N(IFERROR(IF(INDEX(photos!$F$2:$F$701,MATCH($A181&amp;"|"&amp;$B181&amp;"|placement|Y",photos!$R$2:$R$701,0))="","",INDEX(photos!$F$2:$F$701,MATCH($A181&amp;"|"&amp;$B181&amp;"|placement|Y",photos!$R$2:$R$701,0))),""))-$V181)*24,1))</f>
        <v/>
      </c>
      <c r="AD181" s="25">
        <f>IF($A181="","",SUMIFS(inventory!$G$2:$G$801,inventory!$C$2:$C$801,$A181,inventory!$D$2:$D$801,$B181,inventory!$E$2:$E$801,"topped_up"))</f>
        <v/>
      </c>
      <c r="AE181" s="25">
        <f>IF($A181="","",IF(COUNTIFS(counts!$C$2:$C$701,$A181,counts!$D$2:$D$701,$B181,counts!$E$2:$E$701,"remaining_day3")=0,"",SUMIFS(counts!$F$2:$F$701,counts!$C$2:$C$701,$A181,counts!$D$2:$D$701,$B181,counts!$E$2:$E$701,"remaining_day3")))</f>
        <v/>
      </c>
      <c r="AF181" s="25">
        <f>IF($A181="","",IF(COUNTIFS(counts!$C$2:$C$701,$A181,counts!$D$2:$D$701,$B181,counts!$E$2:$E$701,"remaining_day5")=0,"",SUMIFS(counts!$F$2:$F$701,counts!$C$2:$C$701,$A181,counts!$D$2:$D$701,$B181,counts!$E$2:$E$701,"remaining_day5")))</f>
        <v/>
      </c>
      <c r="AG181" s="25">
        <f>IF(OR($A181="",$AF181=""),"",MAX(0,$AA181+$AD181-$AF181))</f>
        <v/>
      </c>
      <c r="AH181" s="25">
        <f>IF(OR($A181="",$AI181=""),"",IFERROR(IF(INDEX(photos!$H$2:$H$701,MATCH($A181&amp;"|"&amp;$B181&amp;"|later|Y|"&amp;$AI181,photos!$S$2:$S$701,0))="","",INDEX(photos!$H$2:$H$701,MATCH($A181&amp;"|"&amp;$B181&amp;"|later|Y|"&amp;$AI181,photos!$S$2:$S$701,0))),""))</f>
        <v/>
      </c>
      <c r="AI181" s="26">
        <f>IF($A181="","",IFERROR(1/(1/SUMPRODUCT(MAX((photos!$B$2:$B$701=$A181)*(photos!$C$2:$C$701=$B181)*(photos!$D$2:$D$701="later")*(photos!$O$2:$O$701="Y")*photos!$E$2:$E$701))),""))</f>
        <v/>
      </c>
      <c r="AJ181" s="25">
        <f>IF(OR($A181="",$AI181="",$I181=""),"",NETWORKDAYS($I181,$AI181,calendar!$A$2:$A$80))</f>
        <v/>
      </c>
      <c r="AK181" s="25">
        <f>IF($A181="","",IF(AND($X181&lt;&gt;"",$AH181&lt;&gt;""),"Y","N"))</f>
        <v/>
      </c>
      <c r="AL181" s="25">
        <f>IF(OR($A181="",$I181=""),"",IF($BC181="Y",SUMIFS(survey_frozen!$C$2:$C$251,survey_frozen!$P$2:$P$251,$A181&amp;"|"&amp;$B181),IFERROR(COUNTIFS(INDIRECT("'"&amp;$A181&amp;"'!$B$2:$B$501"),$T181,INDIRECT("'"&amp;$A181&amp;"'!$A$2:$A$501"),"&gt;="&amp;$I181,INDIRECT("'"&amp;$A181&amp;"'!$A$2:$A$501"),"&lt;"&amp;($BA181+1)),0)))</f>
        <v/>
      </c>
      <c r="AM181" s="25">
        <f>IF(OR($A181="",$I181=""),"",IF($BC181="Y",SUMIFS(survey_frozen!$D$2:$D$251,survey_frozen!$P$2:$P$251,$A181&amp;"|"&amp;$B181),IFERROR(COUNTIFS(INDIRECT("'"&amp;$A181&amp;"'!$B$2:$B$501"),$T181,INDIRECT("'"&amp;$A181&amp;"'!$A$2:$A$501"),"&gt;="&amp;$I181,INDIRECT("'"&amp;$A181&amp;"'!$A$2:$A$501"),"&lt;"&amp;($BA181+1),INDIRECT("'"&amp;$A181&amp;"'!$C$2:$C$501"),"Yes"),0)))</f>
        <v/>
      </c>
      <c r="AN181" s="25">
        <f>IF($A181="","",IF(COUNTIFS(scans!$C$2:$C$1601,(IF(LEFT($A181,7)="SAMPLE-","SAMPLE-","")&amp;LOWER(SUBSTITUTE(SUBSTITUTE($A181,"SAMPLE-",""),"CMP-","c"))&amp;"-"&amp;LOWER(SUBSTITUTE(SUBSTITUTE($B181,"SAMPLE-",""),"O-","o"))&amp;"-q"),scans!$D$2:$D$1601,"close")=0,"",SUMPRODUCT(MAX((scans!$C$2:$C$1601=(IF(LEFT($A181,7)="SAMPLE-","SAMPLE-","")&amp;LOWER(SUBSTITUTE(SUBSTITUTE($A181,"SAMPLE-",""),"CMP-","c"))&amp;"-"&amp;LOWER(SUBSTITUTE(SUBSTITUTE($B181,"SAMPLE-",""),"O-","o"))&amp;"-q"))*(scans!$D$2:$D$1601="close")*scans!$E$2:$E$1601))-SUMPRODUCT(MAX((scans!$C$2:$C$1601=(IF(LEFT($A181,7)="SAMPLE-","SAMPLE-","")&amp;LOWER(SUBSTITUTE(SUBSTITUTE($A181,"SAMPLE-",""),"CMP-","c"))&amp;"-"&amp;LOWER(SUBSTITUTE(SUBSTITUTE($B181,"SAMPLE-",""),"O-","o"))&amp;"-q"))*(scans!$D$2:$D$1601="baseline")*scans!$E$2:$E$1601))))</f>
        <v/>
      </c>
      <c r="AO181" s="25">
        <f>IF($A181="","",IF(COUNTIFS(scans!$C$2:$C$1601,(IF(LEFT($A181,7)="SAMPLE-","SAMPLE-","")&amp;LOWER(SUBSTITUTE(SUBSTITUTE($A181,"SAMPLE-",""),"CMP-","c"))&amp;"-"&amp;LOWER(SUBSTITUTE(SUBSTITUTE($B181,"SAMPLE-",""),"O-","o"))&amp;"-p"),scans!$D$2:$D$1601,"close")=0,"",SUMPRODUCT(MAX((scans!$C$2:$C$1601=(IF(LEFT($A181,7)="SAMPLE-","SAMPLE-","")&amp;LOWER(SUBSTITUTE(SUBSTITUTE($A181,"SAMPLE-",""),"CMP-","c"))&amp;"-"&amp;LOWER(SUBSTITUTE(SUBSTITUTE($B181,"SAMPLE-",""),"O-","o"))&amp;"-p"))*(scans!$D$2:$D$1601="close")*scans!$E$2:$E$1601))-SUMPRODUCT(MAX((scans!$C$2:$C$1601=(IF(LEFT($A181,7)="SAMPLE-","SAMPLE-","")&amp;LOWER(SUBSTITUTE(SUBSTITUTE($A181,"SAMPLE-",""),"CMP-","c"))&amp;"-"&amp;LOWER(SUBSTITUTE(SUBSTITUTE($B181,"SAMPLE-",""),"O-","o"))&amp;"-p"))*(scans!$D$2:$D$1601="baseline")*scans!$E$2:$E$1601))))</f>
        <v/>
      </c>
      <c r="AP181" s="25">
        <f>IF($A181="","",IF(COUNTIF(offices!$A$2:$A$61,$B181)=0,"office_id not on offices; ","")&amp;IF(COUNTIF(campaigns!$A$2:$A$51,$A181)=0,"campaign_id not on campaigns; ","")&amp;IF($P181="pending","approval pending; ","")&amp;IF(AND($U181&gt;0,$Y181="",OR($I181="",IF(config!$B$37&lt;&gt;"",config!$B$37,TODAY())&lt;=WORKDAY(N($I181),4,calendar!$A$2:$A$80))),"no usable placement photo yet; ","")&amp;IF(AND($Y181&lt;&gt;"",$Z181=""),"log the placed count; ","")&amp;IF(N($AA181)&gt;N($U181),"placed more than delivered; ","")&amp;IF(AND($AF181&lt;&gt;"",N($AF181)&gt;N($AA181)+N($AD181)),"day-5 count above placed plus top-ups; ","")&amp;IF(AND($U181&gt;0,$I181&lt;&gt;"",IF(config!$B$37&lt;&gt;"",config!$B$37,TODAY())&gt;WORKDAY(N($I181),4,calendar!$A$2:$A$80),$AF181=""),"day-5 count missing; ","")&amp;IF(AND($U181&gt;0,$I181&lt;&gt;"",IF(config!$B$37&lt;&gt;"",config!$B$37,TODAY())&gt;WORKDAY(N($I181),4,calendar!$A$2:$A$80),$AN181=""),"no close link reading; ","")&amp;$R181&amp;IF($P181="N","info: office said no; ","")&amp;IF(AND($P181="Y",$Q181="N"),"info: turned away at the door, so not on the drop (no letter, not in the report or Gate 2; the credit check is on campaigns); ","")&amp;IF(AND($U181&gt;0,$Y181="",$I181&lt;&gt;"",IF(config!$B$37&lt;&gt;"",config!$B$37,TODAY())&gt;WORKDAY(N($I181),4,calendar!$A$2:$A$80)),"info: no usable placement photo, so nothing counts as placed; ","")&amp;IF(AND($U181&gt;0,$I181&lt;&gt;"",IF(config!$B$37&lt;&gt;"",config!$B$37,TODAY())&gt;WORKDAY(N($I181),4,calendar!$A$2:$A$80),N($AL181)&lt;config!$B$30),"info: under "&amp;config!$B$30&amp;" responses; ","")&amp;IF($W181="packing_list","info: delivered count not verified; ",""))</f>
        <v/>
      </c>
      <c r="AQ181" s="25">
        <f>IF(OR($A181="",$I181=""),"",IF($BC181="Y",SUMIFS(survey_frozen!$E$2:$E$251,survey_frozen!$P$2:$P$251,$A181&amp;"|"&amp;$B181),IFERROR(COUNTIFS(INDIRECT("'"&amp;$A181&amp;"'!$B$2:$B$501"),$T181,INDIRECT("'"&amp;$A181&amp;"'!$A$2:$A$501"),"&gt;="&amp;$I181,INDIRECT("'"&amp;$A181&amp;"'!$A$2:$A$501"),"&lt;"&amp;($BA181+1),INDIRECT("'"&amp;$A181&amp;"'!$F$2:$F$501"),"Didn't see it"),0)))</f>
        <v/>
      </c>
      <c r="AR181" s="25">
        <f>IF(OR($A181="",$I181=""),"",IF($BC181="Y",SUMIFS(survey_frozen!$F$2:$F$251,survey_frozen!$P$2:$P$251,$A181&amp;"|"&amp;$B181),IFERROR(COUNTIFS(INDIRECT("'"&amp;$A181&amp;"'!$B$2:$B$501"),$T181,INDIRECT("'"&amp;$A181&amp;"'!$A$2:$A$501"),"&gt;="&amp;$I181,INDIRECT("'"&amp;$A181&amp;"'!$A$2:$A$501"),"&lt;"&amp;($BA181+1),INDIRECT("'"&amp;$A181&amp;"'!$F$2:$F$501"),"Not for me"),0)))</f>
        <v/>
      </c>
      <c r="AS181" s="25">
        <f>IF(OR($A181="",$I181=""),"",IF($BC181="Y",SUMIFS(survey_frozen!$G$2:$G$251,survey_frozen!$P$2:$P$251,$A181&amp;"|"&amp;$B181),IFERROR(COUNTIFS(INDIRECT("'"&amp;$A181&amp;"'!$B$2:$B$501"),$T181,INDIRECT("'"&amp;$A181&amp;"'!$A$2:$A$501"),"&gt;="&amp;$I181,INDIRECT("'"&amp;$A181&amp;"'!$A$2:$A$501"),"&lt;"&amp;($BA181+1),INDIRECT("'"&amp;$A181&amp;"'!$F$2:$F$501"),"Gone by the time I looked"),0)))</f>
        <v/>
      </c>
      <c r="AT181" s="25">
        <f>IF(OR($A181="",$I181=""),"",IF($BC181="Y",SUMIFS(survey_frozen!$H$2:$H$251,survey_frozen!$P$2:$P$251,$A181&amp;"|"&amp;$B181),IFERROR(COUNTIFS(INDIRECT("'"&amp;$A181&amp;"'!$B$2:$B$501"),$T181,INDIRECT("'"&amp;$A181&amp;"'!$A$2:$A$501"),"&gt;="&amp;$I181,INDIRECT("'"&amp;$A181&amp;"'!$A$2:$A$501"),"&lt;"&amp;($BA181+1),INDIRECT("'"&amp;$A181&amp;"'!$D$2:$D$501"),"&gt;=1"),0)))</f>
        <v/>
      </c>
      <c r="AU181" s="25">
        <f>IF(OR($A181="",$I181=""),"",IF($BC181="Y",SUMIFS(survey_frozen!$I$2:$I$251,survey_frozen!$P$2:$P$251,$A181&amp;"|"&amp;$B181),IFERROR(SUMIFS(INDIRECT("'"&amp;$A181&amp;"'!$D$2:$D$501"),INDIRECT("'"&amp;$A181&amp;"'!$B$2:$B$501"),$T181,INDIRECT("'"&amp;$A181&amp;"'!$A$2:$A$501"),"&gt;="&amp;$I181,INDIRECT("'"&amp;$A181&amp;"'!$A$2:$A$501"),"&lt;"&amp;($BA181+1)),0)))</f>
        <v/>
      </c>
      <c r="AV181" s="25">
        <f>IF(OR($A181="",$I181=""),"",IF($BC181="Y",SUMIFS(survey_frozen!$J$2:$J$251,survey_frozen!$P$2:$P$251,$A181&amp;"|"&amp;$B181),IFERROR(COUNTIFS(INDIRECT("'"&amp;$A181&amp;"'!$B$2:$B$501"),$T181,INDIRECT("'"&amp;$A181&amp;"'!$A$2:$A$501"),"&gt;="&amp;$I181,INDIRECT("'"&amp;$A181&amp;"'!$A$2:$A$501"),"&lt;"&amp;($BA181+1),INDIRECT("'"&amp;$A181&amp;"'!$E$2:$E$501"),"Yes"),0)))</f>
        <v/>
      </c>
      <c r="AW181" s="25">
        <f>IF(OR($A181="",$I181=""),"",IF($BC181="Y",SUMIFS(survey_frozen!$K$2:$K$251,survey_frozen!$P$2:$P$251,$A181&amp;"|"&amp;$B181),IFERROR(COUNTIFS(INDIRECT("'"&amp;$A181&amp;"'!$B$2:$B$501"),$T181,INDIRECT("'"&amp;$A181&amp;"'!$A$2:$A$501"),"&gt;="&amp;$I181,INDIRECT("'"&amp;$A181&amp;"'!$A$2:$A$501"),"&lt;"&amp;($BA181+1),INDIRECT("'"&amp;$A181&amp;"'!$E$2:$E$501"),"Maybe"),0)))</f>
        <v/>
      </c>
      <c r="AX181" s="25">
        <f>IF(OR($A181="",$I181=""),"",IF($BC181="Y",SUMIFS(survey_frozen!$L$2:$L$251,survey_frozen!$P$2:$P$251,$A181&amp;"|"&amp;$B181),IFERROR(COUNTIFS(INDIRECT("'"&amp;$A181&amp;"'!$B$2:$B$501"),$T181,INDIRECT("'"&amp;$A181&amp;"'!$A$2:$A$501"),"&gt;="&amp;$I181,INDIRECT("'"&amp;$A181&amp;"'!$A$2:$A$501"),"&lt;"&amp;($BA181+1),INDIRECT("'"&amp;$A181&amp;"'!$E$2:$E$501"),"No"),0)))</f>
        <v/>
      </c>
      <c r="AY181" s="25">
        <f>IF(OR($A181="",$I181=""),"",IF($BC181="Y",SUMIFS(survey_frozen!$M$2:$M$251,survey_frozen!$P$2:$P$251,$A181&amp;"|"&amp;$B181),IFERROR(COUNTIFS(INDIRECT("'"&amp;$A181&amp;"'!$B$2:$B$501"),$T181,INDIRECT("'"&amp;$A181&amp;"'!$A$2:$A$501"),"&gt;="&amp;$I181,INDIRECT("'"&amp;$A181&amp;"'!$A$2:$A$501"),"&lt;"&amp;($BA181+1),INDIRECT("'"&amp;$A181&amp;"'!$G$2:$G$501"),"&lt;&gt;"),0)))</f>
        <v/>
      </c>
      <c r="AZ181" s="25">
        <f>IF($A181="","",$A181&amp;"|"&amp;$L181)</f>
        <v/>
      </c>
      <c r="BA181" s="26">
        <f>IF($A181="","",IFERROR(IF(INDEX(drops!$R$2:$R$21,MATCH($H181,drops!$A$2:$A$21,0))="","",INDEX(drops!$R$2:$R$21,MATCH($H181,drops!$A$2:$A$21,0))),""))</f>
        <v/>
      </c>
      <c r="BB181" s="25">
        <f>IF(OR($A181="",$Q181&lt;&gt;"Y"),1000000,N($AL181))</f>
        <v/>
      </c>
      <c r="BC181" s="25">
        <f>IF($A181="","",IF(COUNTIF(survey_frozen!$P$2:$P$251,$A181&amp;"|"&amp;$B181)&gt;0,"Y",""))</f>
        <v/>
      </c>
    </row>
    <row r="182">
      <c r="C182" s="9" t="n"/>
      <c r="E182" s="9" t="n"/>
      <c r="H182" s="25">
        <f>IF($A182="","",IFERROR(IF(INDEX(campaigns!$B$2:$B$51,MATCH($A182,campaigns!$A$2:$A$51,0))="","",INDEX(campaigns!$B$2:$B$51,MATCH($A182,campaigns!$A$2:$A$51,0))),""))</f>
        <v/>
      </c>
      <c r="I182" s="26">
        <f>IF($A182="","",IFERROR(IF(INDEX(campaigns!$BG$2:$BG$51,MATCH($A182,campaigns!$A$2:$A$51,0))="","",INDEX(campaigns!$BG$2:$BG$51,MATCH($A182,campaigns!$A$2:$A$51,0))),""))</f>
        <v/>
      </c>
      <c r="J182" s="25">
        <f>IF($A182="","",IFERROR(IF(INDEX(campaigns!$BE$2:$BE$51,MATCH($A182,campaigns!$A$2:$A$51,0))="","",INDEX(campaigns!$BE$2:$BE$51,MATCH($A182,campaigns!$A$2:$A$51,0))),""))</f>
        <v/>
      </c>
      <c r="K182" s="25">
        <f>IF($B182="","",IFERROR(IF(INDEX(offices!$N$2:$N$61,MATCH($B182,offices!$A$2:$A$61,0))="","",INDEX(offices!$N$2:$N$61,MATCH($B182,offices!$A$2:$A$61,0))),""))</f>
        <v/>
      </c>
      <c r="L182" s="25">
        <f>IF($A182="","",IF($Q182="N","",COUNTIFS($A$2:$A182,$A182,$Q$2:$Q182,"&lt;&gt;N")))</f>
        <v/>
      </c>
      <c r="M182" s="25">
        <f>IF(OR($A182="",$L182=""),"",IF(AND(config!$B$34="names_if_public",IFERROR(IF(INDEX(offices!$AF$2:$AF$61,MATCH($B182,offices!$A$2:$A$61,0))="","",INDEX(offices!$AF$2:$AF$61,MATCH($B182,offices!$A$2:$A$61,0))),"")="Y"),$K182,CHAR(64+$L182)))</f>
        <v/>
      </c>
      <c r="N182" s="25">
        <f>IF(OR($A182="",$I182=""),"",COUNTIFS(stops!$B$2:$B$151,$B182,stops!$P$2:$P$151,"&lt;"&amp;$I182,stops!$L$2:$L$151,"&lt;&gt;not_delivered")+1)</f>
        <v/>
      </c>
      <c r="O182" s="25">
        <f>IF($A182="","",IF(N($N182)&lt;=config!$B$29,"explicit","opt-out"))</f>
        <v/>
      </c>
      <c r="P182" s="25">
        <f>IF($A182="","",IF($O182="explicit",IF($D182="yes","Y",IF($D182="no","N","pending")),IF($D182="no","N",IF(AND($C182&lt;&gt;"",$I182&lt;&gt;"",$C182&lt;=WORKDAY(N($I182),-5,calendar!$A$2:$A$80)),"Y","pending"))))</f>
        <v/>
      </c>
      <c r="Q182" s="25">
        <f>IF($A182="","",IF($P182="N","N",IF($P182&lt;&gt;"Y","pending",IF(AND((COUNTIFS(stops!$A$2:$A$151,$H182,stops!$B$2:$B$151,$B182,stops!$L$2:$L$151,"declined")+COUNTIFS(stops!$A$2:$A$151,$H182,stops!$B$2:$B$151,$B182,stops!$L$2:$L$151,"building_refused")+COUNTIFS(stops!$A$2:$A$151,$H182,stops!$B$2:$B$151,$B182,stops!$L$2:$L$151,"not_delivered"))&gt;0,N($U182)=0),"N","Y"))))</f>
        <v/>
      </c>
      <c r="R182" s="25">
        <f>IF($A182="","",IF(COUNTIFS($A$2:$A$251,$A182,$B$2:$B$251,$B182)&gt;1,"DUPLICATE ROW; ","")&amp;IF(AND(IFERROR(IF(INDEX(offices!$AC$2:$AC$61,MATCH($B182,offices!$A$2:$A$61,0))="","",INDEX(offices!$AC$2:$AC$61,MATCH($B182,offices!$A$2:$A$61,0))),"")&lt;&gt;"",ISNUMBER(SEARCH($J182,IFERROR(IF(INDEX(offices!$AC$2:$AC$61,MATCH($B182,offices!$A$2:$A$61,0))="","",INDEX(offices!$AC$2:$AC$61,MATCH($B182,offices!$A$2:$A$61,0))),"")))),"BRAND VETOED; ","")&amp;IF(ISNUMBER(SEARCH(IFERROR(IF(INDEX(campaigns!$BF$2:$BF$51,MATCH($A182,campaigns!$A$2:$A$51,0))="","",INDEX(campaigns!$BF$2:$BF$51,MATCH($A182,campaigns!$A$2:$A$51,0))),""),IFERROR(IF(INDEX(offices!$AB$2:$AB$61,MATCH($B182,offices!$A$2:$A$61,0))="","",INDEX(offices!$AB$2:$AB$61,MATCH($B182,offices!$A$2:$A$61,0))),""))),"","info: category not on the office's list; ")&amp;IF(IFERROR(IF(INDEX(offices!$AC$2:$AC$61,MATCH($B182,offices!$A$2:$A$61,0))="","",INDEX(offices!$AC$2:$AC$61,MATCH($B182,offices!$A$2:$A$61,0))),"")&lt;&gt;"","info: read the vetoes against the label; ",""))</f>
        <v/>
      </c>
      <c r="S182" s="25">
        <f>IF($A182="","",IF($G182&lt;&gt;"",$G182,IFERROR(IF(INDEX(offices!$AL$2:$AL$61,MATCH($B182,offices!$A$2:$A$61,0))="","",INDEX(offices!$AL$2:$AL$61,MATCH($B182,offices!$A$2:$A$61,0))),"")))</f>
        <v/>
      </c>
      <c r="T182" s="25">
        <f>IF($A182="","",$A182&amp;"."&amp;$B182)</f>
        <v/>
      </c>
      <c r="U182" s="25">
        <f>IF($A182="","",SUMIFS(inventory!$G$2:$G$801,inventory!$C$2:$C$801,$A182,inventory!$D$2:$D$801,$B182,inventory!$E$2:$E$801,"delivered"))</f>
        <v/>
      </c>
      <c r="V182" s="32">
        <f>IF($A182="","",IFERROR(1/(1/SUMPRODUCT(MAX((inventory!$C$2:$C$801=$A182)*(inventory!$D$2:$D$801=$B182)*(inventory!$E$2:$E$801="delivered")*(inventory!$A$2:$A$801+inventory!$B$2:$B$801)))),""))</f>
        <v/>
      </c>
      <c r="W182" s="25">
        <f>IF($A182="","",IFERROR(IF(INDEX(inventory!$J$2:$J$801,MATCH($A182&amp;"|"&amp;$B182&amp;"|delivered",inventory!$R$2:$R$801,0))="","",INDEX(inventory!$J$2:$J$801,MATCH($A182&amp;"|"&amp;$B182&amp;"|delivered",inventory!$R$2:$R$801,0))),""))</f>
        <v/>
      </c>
      <c r="X182" s="25">
        <f>IF($A182="","",IFERROR(IF(INDEX(photos!$H$2:$H$701,MATCH($A182&amp;"|"&amp;$B182&amp;"|placement|Y",photos!$R$2:$R$701,0))="","",INDEX(photos!$H$2:$H$701,MATCH($A182&amp;"|"&amp;$B182&amp;"|placement|Y",photos!$R$2:$R$701,0))),""))</f>
        <v/>
      </c>
      <c r="Y182" s="26">
        <f>IF($A182="","",IFERROR(IF(INDEX(photos!$E$2:$E$701,MATCH($A182&amp;"|"&amp;$B182&amp;"|placement|Y",photos!$R$2:$R$701,0))="","",INDEX(photos!$E$2:$E$701,MATCH($A182&amp;"|"&amp;$B182&amp;"|placement|Y",photos!$R$2:$R$701,0))),""))</f>
        <v/>
      </c>
      <c r="Z182" s="25">
        <f>IF($A182="","",IF(COUNTIFS(counts!$C$2:$C$701,$A182,counts!$D$2:$D$701,$B182,counts!$E$2:$E$701,"placed")=0,"",SUMIFS(counts!$F$2:$F$701,counts!$C$2:$C$701,$A182,counts!$D$2:$D$701,$B182,counts!$E$2:$E$701,"placed")))</f>
        <v/>
      </c>
      <c r="AA182" s="25">
        <f>IF($A182="","",IF($Y182="",0,N($Z182)))</f>
        <v/>
      </c>
      <c r="AB182" s="25">
        <f>IF($A182="","",IF(OR($Y182="",$I182=""),"N",IF($Y182&lt;=WORKDAY(N($I182),1,calendar!$A$2:$A$80),"Y","N")))</f>
        <v/>
      </c>
      <c r="AC182" s="28">
        <f>IF(OR($A182="",$V182="",$Y182=""),"",ROUND(($Y182+N(IFERROR(IF(INDEX(photos!$F$2:$F$701,MATCH($A182&amp;"|"&amp;$B182&amp;"|placement|Y",photos!$R$2:$R$701,0))="","",INDEX(photos!$F$2:$F$701,MATCH($A182&amp;"|"&amp;$B182&amp;"|placement|Y",photos!$R$2:$R$701,0))),""))-$V182)*24,1))</f>
        <v/>
      </c>
      <c r="AD182" s="25">
        <f>IF($A182="","",SUMIFS(inventory!$G$2:$G$801,inventory!$C$2:$C$801,$A182,inventory!$D$2:$D$801,$B182,inventory!$E$2:$E$801,"topped_up"))</f>
        <v/>
      </c>
      <c r="AE182" s="25">
        <f>IF($A182="","",IF(COUNTIFS(counts!$C$2:$C$701,$A182,counts!$D$2:$D$701,$B182,counts!$E$2:$E$701,"remaining_day3")=0,"",SUMIFS(counts!$F$2:$F$701,counts!$C$2:$C$701,$A182,counts!$D$2:$D$701,$B182,counts!$E$2:$E$701,"remaining_day3")))</f>
        <v/>
      </c>
      <c r="AF182" s="25">
        <f>IF($A182="","",IF(COUNTIFS(counts!$C$2:$C$701,$A182,counts!$D$2:$D$701,$B182,counts!$E$2:$E$701,"remaining_day5")=0,"",SUMIFS(counts!$F$2:$F$701,counts!$C$2:$C$701,$A182,counts!$D$2:$D$701,$B182,counts!$E$2:$E$701,"remaining_day5")))</f>
        <v/>
      </c>
      <c r="AG182" s="25">
        <f>IF(OR($A182="",$AF182=""),"",MAX(0,$AA182+$AD182-$AF182))</f>
        <v/>
      </c>
      <c r="AH182" s="25">
        <f>IF(OR($A182="",$AI182=""),"",IFERROR(IF(INDEX(photos!$H$2:$H$701,MATCH($A182&amp;"|"&amp;$B182&amp;"|later|Y|"&amp;$AI182,photos!$S$2:$S$701,0))="","",INDEX(photos!$H$2:$H$701,MATCH($A182&amp;"|"&amp;$B182&amp;"|later|Y|"&amp;$AI182,photos!$S$2:$S$701,0))),""))</f>
        <v/>
      </c>
      <c r="AI182" s="26">
        <f>IF($A182="","",IFERROR(1/(1/SUMPRODUCT(MAX((photos!$B$2:$B$701=$A182)*(photos!$C$2:$C$701=$B182)*(photos!$D$2:$D$701="later")*(photos!$O$2:$O$701="Y")*photos!$E$2:$E$701))),""))</f>
        <v/>
      </c>
      <c r="AJ182" s="25">
        <f>IF(OR($A182="",$AI182="",$I182=""),"",NETWORKDAYS($I182,$AI182,calendar!$A$2:$A$80))</f>
        <v/>
      </c>
      <c r="AK182" s="25">
        <f>IF($A182="","",IF(AND($X182&lt;&gt;"",$AH182&lt;&gt;""),"Y","N"))</f>
        <v/>
      </c>
      <c r="AL182" s="25">
        <f>IF(OR($A182="",$I182=""),"",IF($BC182="Y",SUMIFS(survey_frozen!$C$2:$C$251,survey_frozen!$P$2:$P$251,$A182&amp;"|"&amp;$B182),IFERROR(COUNTIFS(INDIRECT("'"&amp;$A182&amp;"'!$B$2:$B$501"),$T182,INDIRECT("'"&amp;$A182&amp;"'!$A$2:$A$501"),"&gt;="&amp;$I182,INDIRECT("'"&amp;$A182&amp;"'!$A$2:$A$501"),"&lt;"&amp;($BA182+1)),0)))</f>
        <v/>
      </c>
      <c r="AM182" s="25">
        <f>IF(OR($A182="",$I182=""),"",IF($BC182="Y",SUMIFS(survey_frozen!$D$2:$D$251,survey_frozen!$P$2:$P$251,$A182&amp;"|"&amp;$B182),IFERROR(COUNTIFS(INDIRECT("'"&amp;$A182&amp;"'!$B$2:$B$501"),$T182,INDIRECT("'"&amp;$A182&amp;"'!$A$2:$A$501"),"&gt;="&amp;$I182,INDIRECT("'"&amp;$A182&amp;"'!$A$2:$A$501"),"&lt;"&amp;($BA182+1),INDIRECT("'"&amp;$A182&amp;"'!$C$2:$C$501"),"Yes"),0)))</f>
        <v/>
      </c>
      <c r="AN182" s="25">
        <f>IF($A182="","",IF(COUNTIFS(scans!$C$2:$C$1601,(IF(LEFT($A182,7)="SAMPLE-","SAMPLE-","")&amp;LOWER(SUBSTITUTE(SUBSTITUTE($A182,"SAMPLE-",""),"CMP-","c"))&amp;"-"&amp;LOWER(SUBSTITUTE(SUBSTITUTE($B182,"SAMPLE-",""),"O-","o"))&amp;"-q"),scans!$D$2:$D$1601,"close")=0,"",SUMPRODUCT(MAX((scans!$C$2:$C$1601=(IF(LEFT($A182,7)="SAMPLE-","SAMPLE-","")&amp;LOWER(SUBSTITUTE(SUBSTITUTE($A182,"SAMPLE-",""),"CMP-","c"))&amp;"-"&amp;LOWER(SUBSTITUTE(SUBSTITUTE($B182,"SAMPLE-",""),"O-","o"))&amp;"-q"))*(scans!$D$2:$D$1601="close")*scans!$E$2:$E$1601))-SUMPRODUCT(MAX((scans!$C$2:$C$1601=(IF(LEFT($A182,7)="SAMPLE-","SAMPLE-","")&amp;LOWER(SUBSTITUTE(SUBSTITUTE($A182,"SAMPLE-",""),"CMP-","c"))&amp;"-"&amp;LOWER(SUBSTITUTE(SUBSTITUTE($B182,"SAMPLE-",""),"O-","o"))&amp;"-q"))*(scans!$D$2:$D$1601="baseline")*scans!$E$2:$E$1601))))</f>
        <v/>
      </c>
      <c r="AO182" s="25">
        <f>IF($A182="","",IF(COUNTIFS(scans!$C$2:$C$1601,(IF(LEFT($A182,7)="SAMPLE-","SAMPLE-","")&amp;LOWER(SUBSTITUTE(SUBSTITUTE($A182,"SAMPLE-",""),"CMP-","c"))&amp;"-"&amp;LOWER(SUBSTITUTE(SUBSTITUTE($B182,"SAMPLE-",""),"O-","o"))&amp;"-p"),scans!$D$2:$D$1601,"close")=0,"",SUMPRODUCT(MAX((scans!$C$2:$C$1601=(IF(LEFT($A182,7)="SAMPLE-","SAMPLE-","")&amp;LOWER(SUBSTITUTE(SUBSTITUTE($A182,"SAMPLE-",""),"CMP-","c"))&amp;"-"&amp;LOWER(SUBSTITUTE(SUBSTITUTE($B182,"SAMPLE-",""),"O-","o"))&amp;"-p"))*(scans!$D$2:$D$1601="close")*scans!$E$2:$E$1601))-SUMPRODUCT(MAX((scans!$C$2:$C$1601=(IF(LEFT($A182,7)="SAMPLE-","SAMPLE-","")&amp;LOWER(SUBSTITUTE(SUBSTITUTE($A182,"SAMPLE-",""),"CMP-","c"))&amp;"-"&amp;LOWER(SUBSTITUTE(SUBSTITUTE($B182,"SAMPLE-",""),"O-","o"))&amp;"-p"))*(scans!$D$2:$D$1601="baseline")*scans!$E$2:$E$1601))))</f>
        <v/>
      </c>
      <c r="AP182" s="25">
        <f>IF($A182="","",IF(COUNTIF(offices!$A$2:$A$61,$B182)=0,"office_id not on offices; ","")&amp;IF(COUNTIF(campaigns!$A$2:$A$51,$A182)=0,"campaign_id not on campaigns; ","")&amp;IF($P182="pending","approval pending; ","")&amp;IF(AND($U182&gt;0,$Y182="",OR($I182="",IF(config!$B$37&lt;&gt;"",config!$B$37,TODAY())&lt;=WORKDAY(N($I182),4,calendar!$A$2:$A$80))),"no usable placement photo yet; ","")&amp;IF(AND($Y182&lt;&gt;"",$Z182=""),"log the placed count; ","")&amp;IF(N($AA182)&gt;N($U182),"placed more than delivered; ","")&amp;IF(AND($AF182&lt;&gt;"",N($AF182)&gt;N($AA182)+N($AD182)),"day-5 count above placed plus top-ups; ","")&amp;IF(AND($U182&gt;0,$I182&lt;&gt;"",IF(config!$B$37&lt;&gt;"",config!$B$37,TODAY())&gt;WORKDAY(N($I182),4,calendar!$A$2:$A$80),$AF182=""),"day-5 count missing; ","")&amp;IF(AND($U182&gt;0,$I182&lt;&gt;"",IF(config!$B$37&lt;&gt;"",config!$B$37,TODAY())&gt;WORKDAY(N($I182),4,calendar!$A$2:$A$80),$AN182=""),"no close link reading; ","")&amp;$R182&amp;IF($P182="N","info: office said no; ","")&amp;IF(AND($P182="Y",$Q182="N"),"info: turned away at the door, so not on the drop (no letter, not in the report or Gate 2; the credit check is on campaigns); ","")&amp;IF(AND($U182&gt;0,$Y182="",$I182&lt;&gt;"",IF(config!$B$37&lt;&gt;"",config!$B$37,TODAY())&gt;WORKDAY(N($I182),4,calendar!$A$2:$A$80)),"info: no usable placement photo, so nothing counts as placed; ","")&amp;IF(AND($U182&gt;0,$I182&lt;&gt;"",IF(config!$B$37&lt;&gt;"",config!$B$37,TODAY())&gt;WORKDAY(N($I182),4,calendar!$A$2:$A$80),N($AL182)&lt;config!$B$30),"info: under "&amp;config!$B$30&amp;" responses; ","")&amp;IF($W182="packing_list","info: delivered count not verified; ",""))</f>
        <v/>
      </c>
      <c r="AQ182" s="25">
        <f>IF(OR($A182="",$I182=""),"",IF($BC182="Y",SUMIFS(survey_frozen!$E$2:$E$251,survey_frozen!$P$2:$P$251,$A182&amp;"|"&amp;$B182),IFERROR(COUNTIFS(INDIRECT("'"&amp;$A182&amp;"'!$B$2:$B$501"),$T182,INDIRECT("'"&amp;$A182&amp;"'!$A$2:$A$501"),"&gt;="&amp;$I182,INDIRECT("'"&amp;$A182&amp;"'!$A$2:$A$501"),"&lt;"&amp;($BA182+1),INDIRECT("'"&amp;$A182&amp;"'!$F$2:$F$501"),"Didn't see it"),0)))</f>
        <v/>
      </c>
      <c r="AR182" s="25">
        <f>IF(OR($A182="",$I182=""),"",IF($BC182="Y",SUMIFS(survey_frozen!$F$2:$F$251,survey_frozen!$P$2:$P$251,$A182&amp;"|"&amp;$B182),IFERROR(COUNTIFS(INDIRECT("'"&amp;$A182&amp;"'!$B$2:$B$501"),$T182,INDIRECT("'"&amp;$A182&amp;"'!$A$2:$A$501"),"&gt;="&amp;$I182,INDIRECT("'"&amp;$A182&amp;"'!$A$2:$A$501"),"&lt;"&amp;($BA182+1),INDIRECT("'"&amp;$A182&amp;"'!$F$2:$F$501"),"Not for me"),0)))</f>
        <v/>
      </c>
      <c r="AS182" s="25">
        <f>IF(OR($A182="",$I182=""),"",IF($BC182="Y",SUMIFS(survey_frozen!$G$2:$G$251,survey_frozen!$P$2:$P$251,$A182&amp;"|"&amp;$B182),IFERROR(COUNTIFS(INDIRECT("'"&amp;$A182&amp;"'!$B$2:$B$501"),$T182,INDIRECT("'"&amp;$A182&amp;"'!$A$2:$A$501"),"&gt;="&amp;$I182,INDIRECT("'"&amp;$A182&amp;"'!$A$2:$A$501"),"&lt;"&amp;($BA182+1),INDIRECT("'"&amp;$A182&amp;"'!$F$2:$F$501"),"Gone by the time I looked"),0)))</f>
        <v/>
      </c>
      <c r="AT182" s="25">
        <f>IF(OR($A182="",$I182=""),"",IF($BC182="Y",SUMIFS(survey_frozen!$H$2:$H$251,survey_frozen!$P$2:$P$251,$A182&amp;"|"&amp;$B182),IFERROR(COUNTIFS(INDIRECT("'"&amp;$A182&amp;"'!$B$2:$B$501"),$T182,INDIRECT("'"&amp;$A182&amp;"'!$A$2:$A$501"),"&gt;="&amp;$I182,INDIRECT("'"&amp;$A182&amp;"'!$A$2:$A$501"),"&lt;"&amp;($BA182+1),INDIRECT("'"&amp;$A182&amp;"'!$D$2:$D$501"),"&gt;=1"),0)))</f>
        <v/>
      </c>
      <c r="AU182" s="25">
        <f>IF(OR($A182="",$I182=""),"",IF($BC182="Y",SUMIFS(survey_frozen!$I$2:$I$251,survey_frozen!$P$2:$P$251,$A182&amp;"|"&amp;$B182),IFERROR(SUMIFS(INDIRECT("'"&amp;$A182&amp;"'!$D$2:$D$501"),INDIRECT("'"&amp;$A182&amp;"'!$B$2:$B$501"),$T182,INDIRECT("'"&amp;$A182&amp;"'!$A$2:$A$501"),"&gt;="&amp;$I182,INDIRECT("'"&amp;$A182&amp;"'!$A$2:$A$501"),"&lt;"&amp;($BA182+1)),0)))</f>
        <v/>
      </c>
      <c r="AV182" s="25">
        <f>IF(OR($A182="",$I182=""),"",IF($BC182="Y",SUMIFS(survey_frozen!$J$2:$J$251,survey_frozen!$P$2:$P$251,$A182&amp;"|"&amp;$B182),IFERROR(COUNTIFS(INDIRECT("'"&amp;$A182&amp;"'!$B$2:$B$501"),$T182,INDIRECT("'"&amp;$A182&amp;"'!$A$2:$A$501"),"&gt;="&amp;$I182,INDIRECT("'"&amp;$A182&amp;"'!$A$2:$A$501"),"&lt;"&amp;($BA182+1),INDIRECT("'"&amp;$A182&amp;"'!$E$2:$E$501"),"Yes"),0)))</f>
        <v/>
      </c>
      <c r="AW182" s="25">
        <f>IF(OR($A182="",$I182=""),"",IF($BC182="Y",SUMIFS(survey_frozen!$K$2:$K$251,survey_frozen!$P$2:$P$251,$A182&amp;"|"&amp;$B182),IFERROR(COUNTIFS(INDIRECT("'"&amp;$A182&amp;"'!$B$2:$B$501"),$T182,INDIRECT("'"&amp;$A182&amp;"'!$A$2:$A$501"),"&gt;="&amp;$I182,INDIRECT("'"&amp;$A182&amp;"'!$A$2:$A$501"),"&lt;"&amp;($BA182+1),INDIRECT("'"&amp;$A182&amp;"'!$E$2:$E$501"),"Maybe"),0)))</f>
        <v/>
      </c>
      <c r="AX182" s="25">
        <f>IF(OR($A182="",$I182=""),"",IF($BC182="Y",SUMIFS(survey_frozen!$L$2:$L$251,survey_frozen!$P$2:$P$251,$A182&amp;"|"&amp;$B182),IFERROR(COUNTIFS(INDIRECT("'"&amp;$A182&amp;"'!$B$2:$B$501"),$T182,INDIRECT("'"&amp;$A182&amp;"'!$A$2:$A$501"),"&gt;="&amp;$I182,INDIRECT("'"&amp;$A182&amp;"'!$A$2:$A$501"),"&lt;"&amp;($BA182+1),INDIRECT("'"&amp;$A182&amp;"'!$E$2:$E$501"),"No"),0)))</f>
        <v/>
      </c>
      <c r="AY182" s="25">
        <f>IF(OR($A182="",$I182=""),"",IF($BC182="Y",SUMIFS(survey_frozen!$M$2:$M$251,survey_frozen!$P$2:$P$251,$A182&amp;"|"&amp;$B182),IFERROR(COUNTIFS(INDIRECT("'"&amp;$A182&amp;"'!$B$2:$B$501"),$T182,INDIRECT("'"&amp;$A182&amp;"'!$A$2:$A$501"),"&gt;="&amp;$I182,INDIRECT("'"&amp;$A182&amp;"'!$A$2:$A$501"),"&lt;"&amp;($BA182+1),INDIRECT("'"&amp;$A182&amp;"'!$G$2:$G$501"),"&lt;&gt;"),0)))</f>
        <v/>
      </c>
      <c r="AZ182" s="25">
        <f>IF($A182="","",$A182&amp;"|"&amp;$L182)</f>
        <v/>
      </c>
      <c r="BA182" s="26">
        <f>IF($A182="","",IFERROR(IF(INDEX(drops!$R$2:$R$21,MATCH($H182,drops!$A$2:$A$21,0))="","",INDEX(drops!$R$2:$R$21,MATCH($H182,drops!$A$2:$A$21,0))),""))</f>
        <v/>
      </c>
      <c r="BB182" s="25">
        <f>IF(OR($A182="",$Q182&lt;&gt;"Y"),1000000,N($AL182))</f>
        <v/>
      </c>
      <c r="BC182" s="25">
        <f>IF($A182="","",IF(COUNTIF(survey_frozen!$P$2:$P$251,$A182&amp;"|"&amp;$B182)&gt;0,"Y",""))</f>
        <v/>
      </c>
    </row>
    <row r="183">
      <c r="C183" s="9" t="n"/>
      <c r="E183" s="9" t="n"/>
      <c r="H183" s="25">
        <f>IF($A183="","",IFERROR(IF(INDEX(campaigns!$B$2:$B$51,MATCH($A183,campaigns!$A$2:$A$51,0))="","",INDEX(campaigns!$B$2:$B$51,MATCH($A183,campaigns!$A$2:$A$51,0))),""))</f>
        <v/>
      </c>
      <c r="I183" s="26">
        <f>IF($A183="","",IFERROR(IF(INDEX(campaigns!$BG$2:$BG$51,MATCH($A183,campaigns!$A$2:$A$51,0))="","",INDEX(campaigns!$BG$2:$BG$51,MATCH($A183,campaigns!$A$2:$A$51,0))),""))</f>
        <v/>
      </c>
      <c r="J183" s="25">
        <f>IF($A183="","",IFERROR(IF(INDEX(campaigns!$BE$2:$BE$51,MATCH($A183,campaigns!$A$2:$A$51,0))="","",INDEX(campaigns!$BE$2:$BE$51,MATCH($A183,campaigns!$A$2:$A$51,0))),""))</f>
        <v/>
      </c>
      <c r="K183" s="25">
        <f>IF($B183="","",IFERROR(IF(INDEX(offices!$N$2:$N$61,MATCH($B183,offices!$A$2:$A$61,0))="","",INDEX(offices!$N$2:$N$61,MATCH($B183,offices!$A$2:$A$61,0))),""))</f>
        <v/>
      </c>
      <c r="L183" s="25">
        <f>IF($A183="","",IF($Q183="N","",COUNTIFS($A$2:$A183,$A183,$Q$2:$Q183,"&lt;&gt;N")))</f>
        <v/>
      </c>
      <c r="M183" s="25">
        <f>IF(OR($A183="",$L183=""),"",IF(AND(config!$B$34="names_if_public",IFERROR(IF(INDEX(offices!$AF$2:$AF$61,MATCH($B183,offices!$A$2:$A$61,0))="","",INDEX(offices!$AF$2:$AF$61,MATCH($B183,offices!$A$2:$A$61,0))),"")="Y"),$K183,CHAR(64+$L183)))</f>
        <v/>
      </c>
      <c r="N183" s="25">
        <f>IF(OR($A183="",$I183=""),"",COUNTIFS(stops!$B$2:$B$151,$B183,stops!$P$2:$P$151,"&lt;"&amp;$I183,stops!$L$2:$L$151,"&lt;&gt;not_delivered")+1)</f>
        <v/>
      </c>
      <c r="O183" s="25">
        <f>IF($A183="","",IF(N($N183)&lt;=config!$B$29,"explicit","opt-out"))</f>
        <v/>
      </c>
      <c r="P183" s="25">
        <f>IF($A183="","",IF($O183="explicit",IF($D183="yes","Y",IF($D183="no","N","pending")),IF($D183="no","N",IF(AND($C183&lt;&gt;"",$I183&lt;&gt;"",$C183&lt;=WORKDAY(N($I183),-5,calendar!$A$2:$A$80)),"Y","pending"))))</f>
        <v/>
      </c>
      <c r="Q183" s="25">
        <f>IF($A183="","",IF($P183="N","N",IF($P183&lt;&gt;"Y","pending",IF(AND((COUNTIFS(stops!$A$2:$A$151,$H183,stops!$B$2:$B$151,$B183,stops!$L$2:$L$151,"declined")+COUNTIFS(stops!$A$2:$A$151,$H183,stops!$B$2:$B$151,$B183,stops!$L$2:$L$151,"building_refused")+COUNTIFS(stops!$A$2:$A$151,$H183,stops!$B$2:$B$151,$B183,stops!$L$2:$L$151,"not_delivered"))&gt;0,N($U183)=0),"N","Y"))))</f>
        <v/>
      </c>
      <c r="R183" s="25">
        <f>IF($A183="","",IF(COUNTIFS($A$2:$A$251,$A183,$B$2:$B$251,$B183)&gt;1,"DUPLICATE ROW; ","")&amp;IF(AND(IFERROR(IF(INDEX(offices!$AC$2:$AC$61,MATCH($B183,offices!$A$2:$A$61,0))="","",INDEX(offices!$AC$2:$AC$61,MATCH($B183,offices!$A$2:$A$61,0))),"")&lt;&gt;"",ISNUMBER(SEARCH($J183,IFERROR(IF(INDEX(offices!$AC$2:$AC$61,MATCH($B183,offices!$A$2:$A$61,0))="","",INDEX(offices!$AC$2:$AC$61,MATCH($B183,offices!$A$2:$A$61,0))),"")))),"BRAND VETOED; ","")&amp;IF(ISNUMBER(SEARCH(IFERROR(IF(INDEX(campaigns!$BF$2:$BF$51,MATCH($A183,campaigns!$A$2:$A$51,0))="","",INDEX(campaigns!$BF$2:$BF$51,MATCH($A183,campaigns!$A$2:$A$51,0))),""),IFERROR(IF(INDEX(offices!$AB$2:$AB$61,MATCH($B183,offices!$A$2:$A$61,0))="","",INDEX(offices!$AB$2:$AB$61,MATCH($B183,offices!$A$2:$A$61,0))),""))),"","info: category not on the office's list; ")&amp;IF(IFERROR(IF(INDEX(offices!$AC$2:$AC$61,MATCH($B183,offices!$A$2:$A$61,0))="","",INDEX(offices!$AC$2:$AC$61,MATCH($B183,offices!$A$2:$A$61,0))),"")&lt;&gt;"","info: read the vetoes against the label; ",""))</f>
        <v/>
      </c>
      <c r="S183" s="25">
        <f>IF($A183="","",IF($G183&lt;&gt;"",$G183,IFERROR(IF(INDEX(offices!$AL$2:$AL$61,MATCH($B183,offices!$A$2:$A$61,0))="","",INDEX(offices!$AL$2:$AL$61,MATCH($B183,offices!$A$2:$A$61,0))),"")))</f>
        <v/>
      </c>
      <c r="T183" s="25">
        <f>IF($A183="","",$A183&amp;"."&amp;$B183)</f>
        <v/>
      </c>
      <c r="U183" s="25">
        <f>IF($A183="","",SUMIFS(inventory!$G$2:$G$801,inventory!$C$2:$C$801,$A183,inventory!$D$2:$D$801,$B183,inventory!$E$2:$E$801,"delivered"))</f>
        <v/>
      </c>
      <c r="V183" s="32">
        <f>IF($A183="","",IFERROR(1/(1/SUMPRODUCT(MAX((inventory!$C$2:$C$801=$A183)*(inventory!$D$2:$D$801=$B183)*(inventory!$E$2:$E$801="delivered")*(inventory!$A$2:$A$801+inventory!$B$2:$B$801)))),""))</f>
        <v/>
      </c>
      <c r="W183" s="25">
        <f>IF($A183="","",IFERROR(IF(INDEX(inventory!$J$2:$J$801,MATCH($A183&amp;"|"&amp;$B183&amp;"|delivered",inventory!$R$2:$R$801,0))="","",INDEX(inventory!$J$2:$J$801,MATCH($A183&amp;"|"&amp;$B183&amp;"|delivered",inventory!$R$2:$R$801,0))),""))</f>
        <v/>
      </c>
      <c r="X183" s="25">
        <f>IF($A183="","",IFERROR(IF(INDEX(photos!$H$2:$H$701,MATCH($A183&amp;"|"&amp;$B183&amp;"|placement|Y",photos!$R$2:$R$701,0))="","",INDEX(photos!$H$2:$H$701,MATCH($A183&amp;"|"&amp;$B183&amp;"|placement|Y",photos!$R$2:$R$701,0))),""))</f>
        <v/>
      </c>
      <c r="Y183" s="26">
        <f>IF($A183="","",IFERROR(IF(INDEX(photos!$E$2:$E$701,MATCH($A183&amp;"|"&amp;$B183&amp;"|placement|Y",photos!$R$2:$R$701,0))="","",INDEX(photos!$E$2:$E$701,MATCH($A183&amp;"|"&amp;$B183&amp;"|placement|Y",photos!$R$2:$R$701,0))),""))</f>
        <v/>
      </c>
      <c r="Z183" s="25">
        <f>IF($A183="","",IF(COUNTIFS(counts!$C$2:$C$701,$A183,counts!$D$2:$D$701,$B183,counts!$E$2:$E$701,"placed")=0,"",SUMIFS(counts!$F$2:$F$701,counts!$C$2:$C$701,$A183,counts!$D$2:$D$701,$B183,counts!$E$2:$E$701,"placed")))</f>
        <v/>
      </c>
      <c r="AA183" s="25">
        <f>IF($A183="","",IF($Y183="",0,N($Z183)))</f>
        <v/>
      </c>
      <c r="AB183" s="25">
        <f>IF($A183="","",IF(OR($Y183="",$I183=""),"N",IF($Y183&lt;=WORKDAY(N($I183),1,calendar!$A$2:$A$80),"Y","N")))</f>
        <v/>
      </c>
      <c r="AC183" s="28">
        <f>IF(OR($A183="",$V183="",$Y183=""),"",ROUND(($Y183+N(IFERROR(IF(INDEX(photos!$F$2:$F$701,MATCH($A183&amp;"|"&amp;$B183&amp;"|placement|Y",photos!$R$2:$R$701,0))="","",INDEX(photos!$F$2:$F$701,MATCH($A183&amp;"|"&amp;$B183&amp;"|placement|Y",photos!$R$2:$R$701,0))),""))-$V183)*24,1))</f>
        <v/>
      </c>
      <c r="AD183" s="25">
        <f>IF($A183="","",SUMIFS(inventory!$G$2:$G$801,inventory!$C$2:$C$801,$A183,inventory!$D$2:$D$801,$B183,inventory!$E$2:$E$801,"topped_up"))</f>
        <v/>
      </c>
      <c r="AE183" s="25">
        <f>IF($A183="","",IF(COUNTIFS(counts!$C$2:$C$701,$A183,counts!$D$2:$D$701,$B183,counts!$E$2:$E$701,"remaining_day3")=0,"",SUMIFS(counts!$F$2:$F$701,counts!$C$2:$C$701,$A183,counts!$D$2:$D$701,$B183,counts!$E$2:$E$701,"remaining_day3")))</f>
        <v/>
      </c>
      <c r="AF183" s="25">
        <f>IF($A183="","",IF(COUNTIFS(counts!$C$2:$C$701,$A183,counts!$D$2:$D$701,$B183,counts!$E$2:$E$701,"remaining_day5")=0,"",SUMIFS(counts!$F$2:$F$701,counts!$C$2:$C$701,$A183,counts!$D$2:$D$701,$B183,counts!$E$2:$E$701,"remaining_day5")))</f>
        <v/>
      </c>
      <c r="AG183" s="25">
        <f>IF(OR($A183="",$AF183=""),"",MAX(0,$AA183+$AD183-$AF183))</f>
        <v/>
      </c>
      <c r="AH183" s="25">
        <f>IF(OR($A183="",$AI183=""),"",IFERROR(IF(INDEX(photos!$H$2:$H$701,MATCH($A183&amp;"|"&amp;$B183&amp;"|later|Y|"&amp;$AI183,photos!$S$2:$S$701,0))="","",INDEX(photos!$H$2:$H$701,MATCH($A183&amp;"|"&amp;$B183&amp;"|later|Y|"&amp;$AI183,photos!$S$2:$S$701,0))),""))</f>
        <v/>
      </c>
      <c r="AI183" s="26">
        <f>IF($A183="","",IFERROR(1/(1/SUMPRODUCT(MAX((photos!$B$2:$B$701=$A183)*(photos!$C$2:$C$701=$B183)*(photos!$D$2:$D$701="later")*(photos!$O$2:$O$701="Y")*photos!$E$2:$E$701))),""))</f>
        <v/>
      </c>
      <c r="AJ183" s="25">
        <f>IF(OR($A183="",$AI183="",$I183=""),"",NETWORKDAYS($I183,$AI183,calendar!$A$2:$A$80))</f>
        <v/>
      </c>
      <c r="AK183" s="25">
        <f>IF($A183="","",IF(AND($X183&lt;&gt;"",$AH183&lt;&gt;""),"Y","N"))</f>
        <v/>
      </c>
      <c r="AL183" s="25">
        <f>IF(OR($A183="",$I183=""),"",IF($BC183="Y",SUMIFS(survey_frozen!$C$2:$C$251,survey_frozen!$P$2:$P$251,$A183&amp;"|"&amp;$B183),IFERROR(COUNTIFS(INDIRECT("'"&amp;$A183&amp;"'!$B$2:$B$501"),$T183,INDIRECT("'"&amp;$A183&amp;"'!$A$2:$A$501"),"&gt;="&amp;$I183,INDIRECT("'"&amp;$A183&amp;"'!$A$2:$A$501"),"&lt;"&amp;($BA183+1)),0)))</f>
        <v/>
      </c>
      <c r="AM183" s="25">
        <f>IF(OR($A183="",$I183=""),"",IF($BC183="Y",SUMIFS(survey_frozen!$D$2:$D$251,survey_frozen!$P$2:$P$251,$A183&amp;"|"&amp;$B183),IFERROR(COUNTIFS(INDIRECT("'"&amp;$A183&amp;"'!$B$2:$B$501"),$T183,INDIRECT("'"&amp;$A183&amp;"'!$A$2:$A$501"),"&gt;="&amp;$I183,INDIRECT("'"&amp;$A183&amp;"'!$A$2:$A$501"),"&lt;"&amp;($BA183+1),INDIRECT("'"&amp;$A183&amp;"'!$C$2:$C$501"),"Yes"),0)))</f>
        <v/>
      </c>
      <c r="AN183" s="25">
        <f>IF($A183="","",IF(COUNTIFS(scans!$C$2:$C$1601,(IF(LEFT($A183,7)="SAMPLE-","SAMPLE-","")&amp;LOWER(SUBSTITUTE(SUBSTITUTE($A183,"SAMPLE-",""),"CMP-","c"))&amp;"-"&amp;LOWER(SUBSTITUTE(SUBSTITUTE($B183,"SAMPLE-",""),"O-","o"))&amp;"-q"),scans!$D$2:$D$1601,"close")=0,"",SUMPRODUCT(MAX((scans!$C$2:$C$1601=(IF(LEFT($A183,7)="SAMPLE-","SAMPLE-","")&amp;LOWER(SUBSTITUTE(SUBSTITUTE($A183,"SAMPLE-",""),"CMP-","c"))&amp;"-"&amp;LOWER(SUBSTITUTE(SUBSTITUTE($B183,"SAMPLE-",""),"O-","o"))&amp;"-q"))*(scans!$D$2:$D$1601="close")*scans!$E$2:$E$1601))-SUMPRODUCT(MAX((scans!$C$2:$C$1601=(IF(LEFT($A183,7)="SAMPLE-","SAMPLE-","")&amp;LOWER(SUBSTITUTE(SUBSTITUTE($A183,"SAMPLE-",""),"CMP-","c"))&amp;"-"&amp;LOWER(SUBSTITUTE(SUBSTITUTE($B183,"SAMPLE-",""),"O-","o"))&amp;"-q"))*(scans!$D$2:$D$1601="baseline")*scans!$E$2:$E$1601))))</f>
        <v/>
      </c>
      <c r="AO183" s="25">
        <f>IF($A183="","",IF(COUNTIFS(scans!$C$2:$C$1601,(IF(LEFT($A183,7)="SAMPLE-","SAMPLE-","")&amp;LOWER(SUBSTITUTE(SUBSTITUTE($A183,"SAMPLE-",""),"CMP-","c"))&amp;"-"&amp;LOWER(SUBSTITUTE(SUBSTITUTE($B183,"SAMPLE-",""),"O-","o"))&amp;"-p"),scans!$D$2:$D$1601,"close")=0,"",SUMPRODUCT(MAX((scans!$C$2:$C$1601=(IF(LEFT($A183,7)="SAMPLE-","SAMPLE-","")&amp;LOWER(SUBSTITUTE(SUBSTITUTE($A183,"SAMPLE-",""),"CMP-","c"))&amp;"-"&amp;LOWER(SUBSTITUTE(SUBSTITUTE($B183,"SAMPLE-",""),"O-","o"))&amp;"-p"))*(scans!$D$2:$D$1601="close")*scans!$E$2:$E$1601))-SUMPRODUCT(MAX((scans!$C$2:$C$1601=(IF(LEFT($A183,7)="SAMPLE-","SAMPLE-","")&amp;LOWER(SUBSTITUTE(SUBSTITUTE($A183,"SAMPLE-",""),"CMP-","c"))&amp;"-"&amp;LOWER(SUBSTITUTE(SUBSTITUTE($B183,"SAMPLE-",""),"O-","o"))&amp;"-p"))*(scans!$D$2:$D$1601="baseline")*scans!$E$2:$E$1601))))</f>
        <v/>
      </c>
      <c r="AP183" s="25">
        <f>IF($A183="","",IF(COUNTIF(offices!$A$2:$A$61,$B183)=0,"office_id not on offices; ","")&amp;IF(COUNTIF(campaigns!$A$2:$A$51,$A183)=0,"campaign_id not on campaigns; ","")&amp;IF($P183="pending","approval pending; ","")&amp;IF(AND($U183&gt;0,$Y183="",OR($I183="",IF(config!$B$37&lt;&gt;"",config!$B$37,TODAY())&lt;=WORKDAY(N($I183),4,calendar!$A$2:$A$80))),"no usable placement photo yet; ","")&amp;IF(AND($Y183&lt;&gt;"",$Z183=""),"log the placed count; ","")&amp;IF(N($AA183)&gt;N($U183),"placed more than delivered; ","")&amp;IF(AND($AF183&lt;&gt;"",N($AF183)&gt;N($AA183)+N($AD183)),"day-5 count above placed plus top-ups; ","")&amp;IF(AND($U183&gt;0,$I183&lt;&gt;"",IF(config!$B$37&lt;&gt;"",config!$B$37,TODAY())&gt;WORKDAY(N($I183),4,calendar!$A$2:$A$80),$AF183=""),"day-5 count missing; ","")&amp;IF(AND($U183&gt;0,$I183&lt;&gt;"",IF(config!$B$37&lt;&gt;"",config!$B$37,TODAY())&gt;WORKDAY(N($I183),4,calendar!$A$2:$A$80),$AN183=""),"no close link reading; ","")&amp;$R183&amp;IF($P183="N","info: office said no; ","")&amp;IF(AND($P183="Y",$Q183="N"),"info: turned away at the door, so not on the drop (no letter, not in the report or Gate 2; the credit check is on campaigns); ","")&amp;IF(AND($U183&gt;0,$Y183="",$I183&lt;&gt;"",IF(config!$B$37&lt;&gt;"",config!$B$37,TODAY())&gt;WORKDAY(N($I183),4,calendar!$A$2:$A$80)),"info: no usable placement photo, so nothing counts as placed; ","")&amp;IF(AND($U183&gt;0,$I183&lt;&gt;"",IF(config!$B$37&lt;&gt;"",config!$B$37,TODAY())&gt;WORKDAY(N($I183),4,calendar!$A$2:$A$80),N($AL183)&lt;config!$B$30),"info: under "&amp;config!$B$30&amp;" responses; ","")&amp;IF($W183="packing_list","info: delivered count not verified; ",""))</f>
        <v/>
      </c>
      <c r="AQ183" s="25">
        <f>IF(OR($A183="",$I183=""),"",IF($BC183="Y",SUMIFS(survey_frozen!$E$2:$E$251,survey_frozen!$P$2:$P$251,$A183&amp;"|"&amp;$B183),IFERROR(COUNTIFS(INDIRECT("'"&amp;$A183&amp;"'!$B$2:$B$501"),$T183,INDIRECT("'"&amp;$A183&amp;"'!$A$2:$A$501"),"&gt;="&amp;$I183,INDIRECT("'"&amp;$A183&amp;"'!$A$2:$A$501"),"&lt;"&amp;($BA183+1),INDIRECT("'"&amp;$A183&amp;"'!$F$2:$F$501"),"Didn't see it"),0)))</f>
        <v/>
      </c>
      <c r="AR183" s="25">
        <f>IF(OR($A183="",$I183=""),"",IF($BC183="Y",SUMIFS(survey_frozen!$F$2:$F$251,survey_frozen!$P$2:$P$251,$A183&amp;"|"&amp;$B183),IFERROR(COUNTIFS(INDIRECT("'"&amp;$A183&amp;"'!$B$2:$B$501"),$T183,INDIRECT("'"&amp;$A183&amp;"'!$A$2:$A$501"),"&gt;="&amp;$I183,INDIRECT("'"&amp;$A183&amp;"'!$A$2:$A$501"),"&lt;"&amp;($BA183+1),INDIRECT("'"&amp;$A183&amp;"'!$F$2:$F$501"),"Not for me"),0)))</f>
        <v/>
      </c>
      <c r="AS183" s="25">
        <f>IF(OR($A183="",$I183=""),"",IF($BC183="Y",SUMIFS(survey_frozen!$G$2:$G$251,survey_frozen!$P$2:$P$251,$A183&amp;"|"&amp;$B183),IFERROR(COUNTIFS(INDIRECT("'"&amp;$A183&amp;"'!$B$2:$B$501"),$T183,INDIRECT("'"&amp;$A183&amp;"'!$A$2:$A$501"),"&gt;="&amp;$I183,INDIRECT("'"&amp;$A183&amp;"'!$A$2:$A$501"),"&lt;"&amp;($BA183+1),INDIRECT("'"&amp;$A183&amp;"'!$F$2:$F$501"),"Gone by the time I looked"),0)))</f>
        <v/>
      </c>
      <c r="AT183" s="25">
        <f>IF(OR($A183="",$I183=""),"",IF($BC183="Y",SUMIFS(survey_frozen!$H$2:$H$251,survey_frozen!$P$2:$P$251,$A183&amp;"|"&amp;$B183),IFERROR(COUNTIFS(INDIRECT("'"&amp;$A183&amp;"'!$B$2:$B$501"),$T183,INDIRECT("'"&amp;$A183&amp;"'!$A$2:$A$501"),"&gt;="&amp;$I183,INDIRECT("'"&amp;$A183&amp;"'!$A$2:$A$501"),"&lt;"&amp;($BA183+1),INDIRECT("'"&amp;$A183&amp;"'!$D$2:$D$501"),"&gt;=1"),0)))</f>
        <v/>
      </c>
      <c r="AU183" s="25">
        <f>IF(OR($A183="",$I183=""),"",IF($BC183="Y",SUMIFS(survey_frozen!$I$2:$I$251,survey_frozen!$P$2:$P$251,$A183&amp;"|"&amp;$B183),IFERROR(SUMIFS(INDIRECT("'"&amp;$A183&amp;"'!$D$2:$D$501"),INDIRECT("'"&amp;$A183&amp;"'!$B$2:$B$501"),$T183,INDIRECT("'"&amp;$A183&amp;"'!$A$2:$A$501"),"&gt;="&amp;$I183,INDIRECT("'"&amp;$A183&amp;"'!$A$2:$A$501"),"&lt;"&amp;($BA183+1)),0)))</f>
        <v/>
      </c>
      <c r="AV183" s="25">
        <f>IF(OR($A183="",$I183=""),"",IF($BC183="Y",SUMIFS(survey_frozen!$J$2:$J$251,survey_frozen!$P$2:$P$251,$A183&amp;"|"&amp;$B183),IFERROR(COUNTIFS(INDIRECT("'"&amp;$A183&amp;"'!$B$2:$B$501"),$T183,INDIRECT("'"&amp;$A183&amp;"'!$A$2:$A$501"),"&gt;="&amp;$I183,INDIRECT("'"&amp;$A183&amp;"'!$A$2:$A$501"),"&lt;"&amp;($BA183+1),INDIRECT("'"&amp;$A183&amp;"'!$E$2:$E$501"),"Yes"),0)))</f>
        <v/>
      </c>
      <c r="AW183" s="25">
        <f>IF(OR($A183="",$I183=""),"",IF($BC183="Y",SUMIFS(survey_frozen!$K$2:$K$251,survey_frozen!$P$2:$P$251,$A183&amp;"|"&amp;$B183),IFERROR(COUNTIFS(INDIRECT("'"&amp;$A183&amp;"'!$B$2:$B$501"),$T183,INDIRECT("'"&amp;$A183&amp;"'!$A$2:$A$501"),"&gt;="&amp;$I183,INDIRECT("'"&amp;$A183&amp;"'!$A$2:$A$501"),"&lt;"&amp;($BA183+1),INDIRECT("'"&amp;$A183&amp;"'!$E$2:$E$501"),"Maybe"),0)))</f>
        <v/>
      </c>
      <c r="AX183" s="25">
        <f>IF(OR($A183="",$I183=""),"",IF($BC183="Y",SUMIFS(survey_frozen!$L$2:$L$251,survey_frozen!$P$2:$P$251,$A183&amp;"|"&amp;$B183),IFERROR(COUNTIFS(INDIRECT("'"&amp;$A183&amp;"'!$B$2:$B$501"),$T183,INDIRECT("'"&amp;$A183&amp;"'!$A$2:$A$501"),"&gt;="&amp;$I183,INDIRECT("'"&amp;$A183&amp;"'!$A$2:$A$501"),"&lt;"&amp;($BA183+1),INDIRECT("'"&amp;$A183&amp;"'!$E$2:$E$501"),"No"),0)))</f>
        <v/>
      </c>
      <c r="AY183" s="25">
        <f>IF(OR($A183="",$I183=""),"",IF($BC183="Y",SUMIFS(survey_frozen!$M$2:$M$251,survey_frozen!$P$2:$P$251,$A183&amp;"|"&amp;$B183),IFERROR(COUNTIFS(INDIRECT("'"&amp;$A183&amp;"'!$B$2:$B$501"),$T183,INDIRECT("'"&amp;$A183&amp;"'!$A$2:$A$501"),"&gt;="&amp;$I183,INDIRECT("'"&amp;$A183&amp;"'!$A$2:$A$501"),"&lt;"&amp;($BA183+1),INDIRECT("'"&amp;$A183&amp;"'!$G$2:$G$501"),"&lt;&gt;"),0)))</f>
        <v/>
      </c>
      <c r="AZ183" s="25">
        <f>IF($A183="","",$A183&amp;"|"&amp;$L183)</f>
        <v/>
      </c>
      <c r="BA183" s="26">
        <f>IF($A183="","",IFERROR(IF(INDEX(drops!$R$2:$R$21,MATCH($H183,drops!$A$2:$A$21,0))="","",INDEX(drops!$R$2:$R$21,MATCH($H183,drops!$A$2:$A$21,0))),""))</f>
        <v/>
      </c>
      <c r="BB183" s="25">
        <f>IF(OR($A183="",$Q183&lt;&gt;"Y"),1000000,N($AL183))</f>
        <v/>
      </c>
      <c r="BC183" s="25">
        <f>IF($A183="","",IF(COUNTIF(survey_frozen!$P$2:$P$251,$A183&amp;"|"&amp;$B183)&gt;0,"Y",""))</f>
        <v/>
      </c>
    </row>
    <row r="184">
      <c r="C184" s="9" t="n"/>
      <c r="E184" s="9" t="n"/>
      <c r="H184" s="25">
        <f>IF($A184="","",IFERROR(IF(INDEX(campaigns!$B$2:$B$51,MATCH($A184,campaigns!$A$2:$A$51,0))="","",INDEX(campaigns!$B$2:$B$51,MATCH($A184,campaigns!$A$2:$A$51,0))),""))</f>
        <v/>
      </c>
      <c r="I184" s="26">
        <f>IF($A184="","",IFERROR(IF(INDEX(campaigns!$BG$2:$BG$51,MATCH($A184,campaigns!$A$2:$A$51,0))="","",INDEX(campaigns!$BG$2:$BG$51,MATCH($A184,campaigns!$A$2:$A$51,0))),""))</f>
        <v/>
      </c>
      <c r="J184" s="25">
        <f>IF($A184="","",IFERROR(IF(INDEX(campaigns!$BE$2:$BE$51,MATCH($A184,campaigns!$A$2:$A$51,0))="","",INDEX(campaigns!$BE$2:$BE$51,MATCH($A184,campaigns!$A$2:$A$51,0))),""))</f>
        <v/>
      </c>
      <c r="K184" s="25">
        <f>IF($B184="","",IFERROR(IF(INDEX(offices!$N$2:$N$61,MATCH($B184,offices!$A$2:$A$61,0))="","",INDEX(offices!$N$2:$N$61,MATCH($B184,offices!$A$2:$A$61,0))),""))</f>
        <v/>
      </c>
      <c r="L184" s="25">
        <f>IF($A184="","",IF($Q184="N","",COUNTIFS($A$2:$A184,$A184,$Q$2:$Q184,"&lt;&gt;N")))</f>
        <v/>
      </c>
      <c r="M184" s="25">
        <f>IF(OR($A184="",$L184=""),"",IF(AND(config!$B$34="names_if_public",IFERROR(IF(INDEX(offices!$AF$2:$AF$61,MATCH($B184,offices!$A$2:$A$61,0))="","",INDEX(offices!$AF$2:$AF$61,MATCH($B184,offices!$A$2:$A$61,0))),"")="Y"),$K184,CHAR(64+$L184)))</f>
        <v/>
      </c>
      <c r="N184" s="25">
        <f>IF(OR($A184="",$I184=""),"",COUNTIFS(stops!$B$2:$B$151,$B184,stops!$P$2:$P$151,"&lt;"&amp;$I184,stops!$L$2:$L$151,"&lt;&gt;not_delivered")+1)</f>
        <v/>
      </c>
      <c r="O184" s="25">
        <f>IF($A184="","",IF(N($N184)&lt;=config!$B$29,"explicit","opt-out"))</f>
        <v/>
      </c>
      <c r="P184" s="25">
        <f>IF($A184="","",IF($O184="explicit",IF($D184="yes","Y",IF($D184="no","N","pending")),IF($D184="no","N",IF(AND($C184&lt;&gt;"",$I184&lt;&gt;"",$C184&lt;=WORKDAY(N($I184),-5,calendar!$A$2:$A$80)),"Y","pending"))))</f>
        <v/>
      </c>
      <c r="Q184" s="25">
        <f>IF($A184="","",IF($P184="N","N",IF($P184&lt;&gt;"Y","pending",IF(AND((COUNTIFS(stops!$A$2:$A$151,$H184,stops!$B$2:$B$151,$B184,stops!$L$2:$L$151,"declined")+COUNTIFS(stops!$A$2:$A$151,$H184,stops!$B$2:$B$151,$B184,stops!$L$2:$L$151,"building_refused")+COUNTIFS(stops!$A$2:$A$151,$H184,stops!$B$2:$B$151,$B184,stops!$L$2:$L$151,"not_delivered"))&gt;0,N($U184)=0),"N","Y"))))</f>
        <v/>
      </c>
      <c r="R184" s="25">
        <f>IF($A184="","",IF(COUNTIFS($A$2:$A$251,$A184,$B$2:$B$251,$B184)&gt;1,"DUPLICATE ROW; ","")&amp;IF(AND(IFERROR(IF(INDEX(offices!$AC$2:$AC$61,MATCH($B184,offices!$A$2:$A$61,0))="","",INDEX(offices!$AC$2:$AC$61,MATCH($B184,offices!$A$2:$A$61,0))),"")&lt;&gt;"",ISNUMBER(SEARCH($J184,IFERROR(IF(INDEX(offices!$AC$2:$AC$61,MATCH($B184,offices!$A$2:$A$61,0))="","",INDEX(offices!$AC$2:$AC$61,MATCH($B184,offices!$A$2:$A$61,0))),"")))),"BRAND VETOED; ","")&amp;IF(ISNUMBER(SEARCH(IFERROR(IF(INDEX(campaigns!$BF$2:$BF$51,MATCH($A184,campaigns!$A$2:$A$51,0))="","",INDEX(campaigns!$BF$2:$BF$51,MATCH($A184,campaigns!$A$2:$A$51,0))),""),IFERROR(IF(INDEX(offices!$AB$2:$AB$61,MATCH($B184,offices!$A$2:$A$61,0))="","",INDEX(offices!$AB$2:$AB$61,MATCH($B184,offices!$A$2:$A$61,0))),""))),"","info: category not on the office's list; ")&amp;IF(IFERROR(IF(INDEX(offices!$AC$2:$AC$61,MATCH($B184,offices!$A$2:$A$61,0))="","",INDEX(offices!$AC$2:$AC$61,MATCH($B184,offices!$A$2:$A$61,0))),"")&lt;&gt;"","info: read the vetoes against the label; ",""))</f>
        <v/>
      </c>
      <c r="S184" s="25">
        <f>IF($A184="","",IF($G184&lt;&gt;"",$G184,IFERROR(IF(INDEX(offices!$AL$2:$AL$61,MATCH($B184,offices!$A$2:$A$61,0))="","",INDEX(offices!$AL$2:$AL$61,MATCH($B184,offices!$A$2:$A$61,0))),"")))</f>
        <v/>
      </c>
      <c r="T184" s="25">
        <f>IF($A184="","",$A184&amp;"."&amp;$B184)</f>
        <v/>
      </c>
      <c r="U184" s="25">
        <f>IF($A184="","",SUMIFS(inventory!$G$2:$G$801,inventory!$C$2:$C$801,$A184,inventory!$D$2:$D$801,$B184,inventory!$E$2:$E$801,"delivered"))</f>
        <v/>
      </c>
      <c r="V184" s="32">
        <f>IF($A184="","",IFERROR(1/(1/SUMPRODUCT(MAX((inventory!$C$2:$C$801=$A184)*(inventory!$D$2:$D$801=$B184)*(inventory!$E$2:$E$801="delivered")*(inventory!$A$2:$A$801+inventory!$B$2:$B$801)))),""))</f>
        <v/>
      </c>
      <c r="W184" s="25">
        <f>IF($A184="","",IFERROR(IF(INDEX(inventory!$J$2:$J$801,MATCH($A184&amp;"|"&amp;$B184&amp;"|delivered",inventory!$R$2:$R$801,0))="","",INDEX(inventory!$J$2:$J$801,MATCH($A184&amp;"|"&amp;$B184&amp;"|delivered",inventory!$R$2:$R$801,0))),""))</f>
        <v/>
      </c>
      <c r="X184" s="25">
        <f>IF($A184="","",IFERROR(IF(INDEX(photos!$H$2:$H$701,MATCH($A184&amp;"|"&amp;$B184&amp;"|placement|Y",photos!$R$2:$R$701,0))="","",INDEX(photos!$H$2:$H$701,MATCH($A184&amp;"|"&amp;$B184&amp;"|placement|Y",photos!$R$2:$R$701,0))),""))</f>
        <v/>
      </c>
      <c r="Y184" s="26">
        <f>IF($A184="","",IFERROR(IF(INDEX(photos!$E$2:$E$701,MATCH($A184&amp;"|"&amp;$B184&amp;"|placement|Y",photos!$R$2:$R$701,0))="","",INDEX(photos!$E$2:$E$701,MATCH($A184&amp;"|"&amp;$B184&amp;"|placement|Y",photos!$R$2:$R$701,0))),""))</f>
        <v/>
      </c>
      <c r="Z184" s="25">
        <f>IF($A184="","",IF(COUNTIFS(counts!$C$2:$C$701,$A184,counts!$D$2:$D$701,$B184,counts!$E$2:$E$701,"placed")=0,"",SUMIFS(counts!$F$2:$F$701,counts!$C$2:$C$701,$A184,counts!$D$2:$D$701,$B184,counts!$E$2:$E$701,"placed")))</f>
        <v/>
      </c>
      <c r="AA184" s="25">
        <f>IF($A184="","",IF($Y184="",0,N($Z184)))</f>
        <v/>
      </c>
      <c r="AB184" s="25">
        <f>IF($A184="","",IF(OR($Y184="",$I184=""),"N",IF($Y184&lt;=WORKDAY(N($I184),1,calendar!$A$2:$A$80),"Y","N")))</f>
        <v/>
      </c>
      <c r="AC184" s="28">
        <f>IF(OR($A184="",$V184="",$Y184=""),"",ROUND(($Y184+N(IFERROR(IF(INDEX(photos!$F$2:$F$701,MATCH($A184&amp;"|"&amp;$B184&amp;"|placement|Y",photos!$R$2:$R$701,0))="","",INDEX(photos!$F$2:$F$701,MATCH($A184&amp;"|"&amp;$B184&amp;"|placement|Y",photos!$R$2:$R$701,0))),""))-$V184)*24,1))</f>
        <v/>
      </c>
      <c r="AD184" s="25">
        <f>IF($A184="","",SUMIFS(inventory!$G$2:$G$801,inventory!$C$2:$C$801,$A184,inventory!$D$2:$D$801,$B184,inventory!$E$2:$E$801,"topped_up"))</f>
        <v/>
      </c>
      <c r="AE184" s="25">
        <f>IF($A184="","",IF(COUNTIFS(counts!$C$2:$C$701,$A184,counts!$D$2:$D$701,$B184,counts!$E$2:$E$701,"remaining_day3")=0,"",SUMIFS(counts!$F$2:$F$701,counts!$C$2:$C$701,$A184,counts!$D$2:$D$701,$B184,counts!$E$2:$E$701,"remaining_day3")))</f>
        <v/>
      </c>
      <c r="AF184" s="25">
        <f>IF($A184="","",IF(COUNTIFS(counts!$C$2:$C$701,$A184,counts!$D$2:$D$701,$B184,counts!$E$2:$E$701,"remaining_day5")=0,"",SUMIFS(counts!$F$2:$F$701,counts!$C$2:$C$701,$A184,counts!$D$2:$D$701,$B184,counts!$E$2:$E$701,"remaining_day5")))</f>
        <v/>
      </c>
      <c r="AG184" s="25">
        <f>IF(OR($A184="",$AF184=""),"",MAX(0,$AA184+$AD184-$AF184))</f>
        <v/>
      </c>
      <c r="AH184" s="25">
        <f>IF(OR($A184="",$AI184=""),"",IFERROR(IF(INDEX(photos!$H$2:$H$701,MATCH($A184&amp;"|"&amp;$B184&amp;"|later|Y|"&amp;$AI184,photos!$S$2:$S$701,0))="","",INDEX(photos!$H$2:$H$701,MATCH($A184&amp;"|"&amp;$B184&amp;"|later|Y|"&amp;$AI184,photos!$S$2:$S$701,0))),""))</f>
        <v/>
      </c>
      <c r="AI184" s="26">
        <f>IF($A184="","",IFERROR(1/(1/SUMPRODUCT(MAX((photos!$B$2:$B$701=$A184)*(photos!$C$2:$C$701=$B184)*(photos!$D$2:$D$701="later")*(photos!$O$2:$O$701="Y")*photos!$E$2:$E$701))),""))</f>
        <v/>
      </c>
      <c r="AJ184" s="25">
        <f>IF(OR($A184="",$AI184="",$I184=""),"",NETWORKDAYS($I184,$AI184,calendar!$A$2:$A$80))</f>
        <v/>
      </c>
      <c r="AK184" s="25">
        <f>IF($A184="","",IF(AND($X184&lt;&gt;"",$AH184&lt;&gt;""),"Y","N"))</f>
        <v/>
      </c>
      <c r="AL184" s="25">
        <f>IF(OR($A184="",$I184=""),"",IF($BC184="Y",SUMIFS(survey_frozen!$C$2:$C$251,survey_frozen!$P$2:$P$251,$A184&amp;"|"&amp;$B184),IFERROR(COUNTIFS(INDIRECT("'"&amp;$A184&amp;"'!$B$2:$B$501"),$T184,INDIRECT("'"&amp;$A184&amp;"'!$A$2:$A$501"),"&gt;="&amp;$I184,INDIRECT("'"&amp;$A184&amp;"'!$A$2:$A$501"),"&lt;"&amp;($BA184+1)),0)))</f>
        <v/>
      </c>
      <c r="AM184" s="25">
        <f>IF(OR($A184="",$I184=""),"",IF($BC184="Y",SUMIFS(survey_frozen!$D$2:$D$251,survey_frozen!$P$2:$P$251,$A184&amp;"|"&amp;$B184),IFERROR(COUNTIFS(INDIRECT("'"&amp;$A184&amp;"'!$B$2:$B$501"),$T184,INDIRECT("'"&amp;$A184&amp;"'!$A$2:$A$501"),"&gt;="&amp;$I184,INDIRECT("'"&amp;$A184&amp;"'!$A$2:$A$501"),"&lt;"&amp;($BA184+1),INDIRECT("'"&amp;$A184&amp;"'!$C$2:$C$501"),"Yes"),0)))</f>
        <v/>
      </c>
      <c r="AN184" s="25">
        <f>IF($A184="","",IF(COUNTIFS(scans!$C$2:$C$1601,(IF(LEFT($A184,7)="SAMPLE-","SAMPLE-","")&amp;LOWER(SUBSTITUTE(SUBSTITUTE($A184,"SAMPLE-",""),"CMP-","c"))&amp;"-"&amp;LOWER(SUBSTITUTE(SUBSTITUTE($B184,"SAMPLE-",""),"O-","o"))&amp;"-q"),scans!$D$2:$D$1601,"close")=0,"",SUMPRODUCT(MAX((scans!$C$2:$C$1601=(IF(LEFT($A184,7)="SAMPLE-","SAMPLE-","")&amp;LOWER(SUBSTITUTE(SUBSTITUTE($A184,"SAMPLE-",""),"CMP-","c"))&amp;"-"&amp;LOWER(SUBSTITUTE(SUBSTITUTE($B184,"SAMPLE-",""),"O-","o"))&amp;"-q"))*(scans!$D$2:$D$1601="close")*scans!$E$2:$E$1601))-SUMPRODUCT(MAX((scans!$C$2:$C$1601=(IF(LEFT($A184,7)="SAMPLE-","SAMPLE-","")&amp;LOWER(SUBSTITUTE(SUBSTITUTE($A184,"SAMPLE-",""),"CMP-","c"))&amp;"-"&amp;LOWER(SUBSTITUTE(SUBSTITUTE($B184,"SAMPLE-",""),"O-","o"))&amp;"-q"))*(scans!$D$2:$D$1601="baseline")*scans!$E$2:$E$1601))))</f>
        <v/>
      </c>
      <c r="AO184" s="25">
        <f>IF($A184="","",IF(COUNTIFS(scans!$C$2:$C$1601,(IF(LEFT($A184,7)="SAMPLE-","SAMPLE-","")&amp;LOWER(SUBSTITUTE(SUBSTITUTE($A184,"SAMPLE-",""),"CMP-","c"))&amp;"-"&amp;LOWER(SUBSTITUTE(SUBSTITUTE($B184,"SAMPLE-",""),"O-","o"))&amp;"-p"),scans!$D$2:$D$1601,"close")=0,"",SUMPRODUCT(MAX((scans!$C$2:$C$1601=(IF(LEFT($A184,7)="SAMPLE-","SAMPLE-","")&amp;LOWER(SUBSTITUTE(SUBSTITUTE($A184,"SAMPLE-",""),"CMP-","c"))&amp;"-"&amp;LOWER(SUBSTITUTE(SUBSTITUTE($B184,"SAMPLE-",""),"O-","o"))&amp;"-p"))*(scans!$D$2:$D$1601="close")*scans!$E$2:$E$1601))-SUMPRODUCT(MAX((scans!$C$2:$C$1601=(IF(LEFT($A184,7)="SAMPLE-","SAMPLE-","")&amp;LOWER(SUBSTITUTE(SUBSTITUTE($A184,"SAMPLE-",""),"CMP-","c"))&amp;"-"&amp;LOWER(SUBSTITUTE(SUBSTITUTE($B184,"SAMPLE-",""),"O-","o"))&amp;"-p"))*(scans!$D$2:$D$1601="baseline")*scans!$E$2:$E$1601))))</f>
        <v/>
      </c>
      <c r="AP184" s="25">
        <f>IF($A184="","",IF(COUNTIF(offices!$A$2:$A$61,$B184)=0,"office_id not on offices; ","")&amp;IF(COUNTIF(campaigns!$A$2:$A$51,$A184)=0,"campaign_id not on campaigns; ","")&amp;IF($P184="pending","approval pending; ","")&amp;IF(AND($U184&gt;0,$Y184="",OR($I184="",IF(config!$B$37&lt;&gt;"",config!$B$37,TODAY())&lt;=WORKDAY(N($I184),4,calendar!$A$2:$A$80))),"no usable placement photo yet; ","")&amp;IF(AND($Y184&lt;&gt;"",$Z184=""),"log the placed count; ","")&amp;IF(N($AA184)&gt;N($U184),"placed more than delivered; ","")&amp;IF(AND($AF184&lt;&gt;"",N($AF184)&gt;N($AA184)+N($AD184)),"day-5 count above placed plus top-ups; ","")&amp;IF(AND($U184&gt;0,$I184&lt;&gt;"",IF(config!$B$37&lt;&gt;"",config!$B$37,TODAY())&gt;WORKDAY(N($I184),4,calendar!$A$2:$A$80),$AF184=""),"day-5 count missing; ","")&amp;IF(AND($U184&gt;0,$I184&lt;&gt;"",IF(config!$B$37&lt;&gt;"",config!$B$37,TODAY())&gt;WORKDAY(N($I184),4,calendar!$A$2:$A$80),$AN184=""),"no close link reading; ","")&amp;$R184&amp;IF($P184="N","info: office said no; ","")&amp;IF(AND($P184="Y",$Q184="N"),"info: turned away at the door, so not on the drop (no letter, not in the report or Gate 2; the credit check is on campaigns); ","")&amp;IF(AND($U184&gt;0,$Y184="",$I184&lt;&gt;"",IF(config!$B$37&lt;&gt;"",config!$B$37,TODAY())&gt;WORKDAY(N($I184),4,calendar!$A$2:$A$80)),"info: no usable placement photo, so nothing counts as placed; ","")&amp;IF(AND($U184&gt;0,$I184&lt;&gt;"",IF(config!$B$37&lt;&gt;"",config!$B$37,TODAY())&gt;WORKDAY(N($I184),4,calendar!$A$2:$A$80),N($AL184)&lt;config!$B$30),"info: under "&amp;config!$B$30&amp;" responses; ","")&amp;IF($W184="packing_list","info: delivered count not verified; ",""))</f>
        <v/>
      </c>
      <c r="AQ184" s="25">
        <f>IF(OR($A184="",$I184=""),"",IF($BC184="Y",SUMIFS(survey_frozen!$E$2:$E$251,survey_frozen!$P$2:$P$251,$A184&amp;"|"&amp;$B184),IFERROR(COUNTIFS(INDIRECT("'"&amp;$A184&amp;"'!$B$2:$B$501"),$T184,INDIRECT("'"&amp;$A184&amp;"'!$A$2:$A$501"),"&gt;="&amp;$I184,INDIRECT("'"&amp;$A184&amp;"'!$A$2:$A$501"),"&lt;"&amp;($BA184+1),INDIRECT("'"&amp;$A184&amp;"'!$F$2:$F$501"),"Didn't see it"),0)))</f>
        <v/>
      </c>
      <c r="AR184" s="25">
        <f>IF(OR($A184="",$I184=""),"",IF($BC184="Y",SUMIFS(survey_frozen!$F$2:$F$251,survey_frozen!$P$2:$P$251,$A184&amp;"|"&amp;$B184),IFERROR(COUNTIFS(INDIRECT("'"&amp;$A184&amp;"'!$B$2:$B$501"),$T184,INDIRECT("'"&amp;$A184&amp;"'!$A$2:$A$501"),"&gt;="&amp;$I184,INDIRECT("'"&amp;$A184&amp;"'!$A$2:$A$501"),"&lt;"&amp;($BA184+1),INDIRECT("'"&amp;$A184&amp;"'!$F$2:$F$501"),"Not for me"),0)))</f>
        <v/>
      </c>
      <c r="AS184" s="25">
        <f>IF(OR($A184="",$I184=""),"",IF($BC184="Y",SUMIFS(survey_frozen!$G$2:$G$251,survey_frozen!$P$2:$P$251,$A184&amp;"|"&amp;$B184),IFERROR(COUNTIFS(INDIRECT("'"&amp;$A184&amp;"'!$B$2:$B$501"),$T184,INDIRECT("'"&amp;$A184&amp;"'!$A$2:$A$501"),"&gt;="&amp;$I184,INDIRECT("'"&amp;$A184&amp;"'!$A$2:$A$501"),"&lt;"&amp;($BA184+1),INDIRECT("'"&amp;$A184&amp;"'!$F$2:$F$501"),"Gone by the time I looked"),0)))</f>
        <v/>
      </c>
      <c r="AT184" s="25">
        <f>IF(OR($A184="",$I184=""),"",IF($BC184="Y",SUMIFS(survey_frozen!$H$2:$H$251,survey_frozen!$P$2:$P$251,$A184&amp;"|"&amp;$B184),IFERROR(COUNTIFS(INDIRECT("'"&amp;$A184&amp;"'!$B$2:$B$501"),$T184,INDIRECT("'"&amp;$A184&amp;"'!$A$2:$A$501"),"&gt;="&amp;$I184,INDIRECT("'"&amp;$A184&amp;"'!$A$2:$A$501"),"&lt;"&amp;($BA184+1),INDIRECT("'"&amp;$A184&amp;"'!$D$2:$D$501"),"&gt;=1"),0)))</f>
        <v/>
      </c>
      <c r="AU184" s="25">
        <f>IF(OR($A184="",$I184=""),"",IF($BC184="Y",SUMIFS(survey_frozen!$I$2:$I$251,survey_frozen!$P$2:$P$251,$A184&amp;"|"&amp;$B184),IFERROR(SUMIFS(INDIRECT("'"&amp;$A184&amp;"'!$D$2:$D$501"),INDIRECT("'"&amp;$A184&amp;"'!$B$2:$B$501"),$T184,INDIRECT("'"&amp;$A184&amp;"'!$A$2:$A$501"),"&gt;="&amp;$I184,INDIRECT("'"&amp;$A184&amp;"'!$A$2:$A$501"),"&lt;"&amp;($BA184+1)),0)))</f>
        <v/>
      </c>
      <c r="AV184" s="25">
        <f>IF(OR($A184="",$I184=""),"",IF($BC184="Y",SUMIFS(survey_frozen!$J$2:$J$251,survey_frozen!$P$2:$P$251,$A184&amp;"|"&amp;$B184),IFERROR(COUNTIFS(INDIRECT("'"&amp;$A184&amp;"'!$B$2:$B$501"),$T184,INDIRECT("'"&amp;$A184&amp;"'!$A$2:$A$501"),"&gt;="&amp;$I184,INDIRECT("'"&amp;$A184&amp;"'!$A$2:$A$501"),"&lt;"&amp;($BA184+1),INDIRECT("'"&amp;$A184&amp;"'!$E$2:$E$501"),"Yes"),0)))</f>
        <v/>
      </c>
      <c r="AW184" s="25">
        <f>IF(OR($A184="",$I184=""),"",IF($BC184="Y",SUMIFS(survey_frozen!$K$2:$K$251,survey_frozen!$P$2:$P$251,$A184&amp;"|"&amp;$B184),IFERROR(COUNTIFS(INDIRECT("'"&amp;$A184&amp;"'!$B$2:$B$501"),$T184,INDIRECT("'"&amp;$A184&amp;"'!$A$2:$A$501"),"&gt;="&amp;$I184,INDIRECT("'"&amp;$A184&amp;"'!$A$2:$A$501"),"&lt;"&amp;($BA184+1),INDIRECT("'"&amp;$A184&amp;"'!$E$2:$E$501"),"Maybe"),0)))</f>
        <v/>
      </c>
      <c r="AX184" s="25">
        <f>IF(OR($A184="",$I184=""),"",IF($BC184="Y",SUMIFS(survey_frozen!$L$2:$L$251,survey_frozen!$P$2:$P$251,$A184&amp;"|"&amp;$B184),IFERROR(COUNTIFS(INDIRECT("'"&amp;$A184&amp;"'!$B$2:$B$501"),$T184,INDIRECT("'"&amp;$A184&amp;"'!$A$2:$A$501"),"&gt;="&amp;$I184,INDIRECT("'"&amp;$A184&amp;"'!$A$2:$A$501"),"&lt;"&amp;($BA184+1),INDIRECT("'"&amp;$A184&amp;"'!$E$2:$E$501"),"No"),0)))</f>
        <v/>
      </c>
      <c r="AY184" s="25">
        <f>IF(OR($A184="",$I184=""),"",IF($BC184="Y",SUMIFS(survey_frozen!$M$2:$M$251,survey_frozen!$P$2:$P$251,$A184&amp;"|"&amp;$B184),IFERROR(COUNTIFS(INDIRECT("'"&amp;$A184&amp;"'!$B$2:$B$501"),$T184,INDIRECT("'"&amp;$A184&amp;"'!$A$2:$A$501"),"&gt;="&amp;$I184,INDIRECT("'"&amp;$A184&amp;"'!$A$2:$A$501"),"&lt;"&amp;($BA184+1),INDIRECT("'"&amp;$A184&amp;"'!$G$2:$G$501"),"&lt;&gt;"),0)))</f>
        <v/>
      </c>
      <c r="AZ184" s="25">
        <f>IF($A184="","",$A184&amp;"|"&amp;$L184)</f>
        <v/>
      </c>
      <c r="BA184" s="26">
        <f>IF($A184="","",IFERROR(IF(INDEX(drops!$R$2:$R$21,MATCH($H184,drops!$A$2:$A$21,0))="","",INDEX(drops!$R$2:$R$21,MATCH($H184,drops!$A$2:$A$21,0))),""))</f>
        <v/>
      </c>
      <c r="BB184" s="25">
        <f>IF(OR($A184="",$Q184&lt;&gt;"Y"),1000000,N($AL184))</f>
        <v/>
      </c>
      <c r="BC184" s="25">
        <f>IF($A184="","",IF(COUNTIF(survey_frozen!$P$2:$P$251,$A184&amp;"|"&amp;$B184)&gt;0,"Y",""))</f>
        <v/>
      </c>
    </row>
    <row r="185">
      <c r="C185" s="9" t="n"/>
      <c r="E185" s="9" t="n"/>
      <c r="H185" s="25">
        <f>IF($A185="","",IFERROR(IF(INDEX(campaigns!$B$2:$B$51,MATCH($A185,campaigns!$A$2:$A$51,0))="","",INDEX(campaigns!$B$2:$B$51,MATCH($A185,campaigns!$A$2:$A$51,0))),""))</f>
        <v/>
      </c>
      <c r="I185" s="26">
        <f>IF($A185="","",IFERROR(IF(INDEX(campaigns!$BG$2:$BG$51,MATCH($A185,campaigns!$A$2:$A$51,0))="","",INDEX(campaigns!$BG$2:$BG$51,MATCH($A185,campaigns!$A$2:$A$51,0))),""))</f>
        <v/>
      </c>
      <c r="J185" s="25">
        <f>IF($A185="","",IFERROR(IF(INDEX(campaigns!$BE$2:$BE$51,MATCH($A185,campaigns!$A$2:$A$51,0))="","",INDEX(campaigns!$BE$2:$BE$51,MATCH($A185,campaigns!$A$2:$A$51,0))),""))</f>
        <v/>
      </c>
      <c r="K185" s="25">
        <f>IF($B185="","",IFERROR(IF(INDEX(offices!$N$2:$N$61,MATCH($B185,offices!$A$2:$A$61,0))="","",INDEX(offices!$N$2:$N$61,MATCH($B185,offices!$A$2:$A$61,0))),""))</f>
        <v/>
      </c>
      <c r="L185" s="25">
        <f>IF($A185="","",IF($Q185="N","",COUNTIFS($A$2:$A185,$A185,$Q$2:$Q185,"&lt;&gt;N")))</f>
        <v/>
      </c>
      <c r="M185" s="25">
        <f>IF(OR($A185="",$L185=""),"",IF(AND(config!$B$34="names_if_public",IFERROR(IF(INDEX(offices!$AF$2:$AF$61,MATCH($B185,offices!$A$2:$A$61,0))="","",INDEX(offices!$AF$2:$AF$61,MATCH($B185,offices!$A$2:$A$61,0))),"")="Y"),$K185,CHAR(64+$L185)))</f>
        <v/>
      </c>
      <c r="N185" s="25">
        <f>IF(OR($A185="",$I185=""),"",COUNTIFS(stops!$B$2:$B$151,$B185,stops!$P$2:$P$151,"&lt;"&amp;$I185,stops!$L$2:$L$151,"&lt;&gt;not_delivered")+1)</f>
        <v/>
      </c>
      <c r="O185" s="25">
        <f>IF($A185="","",IF(N($N185)&lt;=config!$B$29,"explicit","opt-out"))</f>
        <v/>
      </c>
      <c r="P185" s="25">
        <f>IF($A185="","",IF($O185="explicit",IF($D185="yes","Y",IF($D185="no","N","pending")),IF($D185="no","N",IF(AND($C185&lt;&gt;"",$I185&lt;&gt;"",$C185&lt;=WORKDAY(N($I185),-5,calendar!$A$2:$A$80)),"Y","pending"))))</f>
        <v/>
      </c>
      <c r="Q185" s="25">
        <f>IF($A185="","",IF($P185="N","N",IF($P185&lt;&gt;"Y","pending",IF(AND((COUNTIFS(stops!$A$2:$A$151,$H185,stops!$B$2:$B$151,$B185,stops!$L$2:$L$151,"declined")+COUNTIFS(stops!$A$2:$A$151,$H185,stops!$B$2:$B$151,$B185,stops!$L$2:$L$151,"building_refused")+COUNTIFS(stops!$A$2:$A$151,$H185,stops!$B$2:$B$151,$B185,stops!$L$2:$L$151,"not_delivered"))&gt;0,N($U185)=0),"N","Y"))))</f>
        <v/>
      </c>
      <c r="R185" s="25">
        <f>IF($A185="","",IF(COUNTIFS($A$2:$A$251,$A185,$B$2:$B$251,$B185)&gt;1,"DUPLICATE ROW; ","")&amp;IF(AND(IFERROR(IF(INDEX(offices!$AC$2:$AC$61,MATCH($B185,offices!$A$2:$A$61,0))="","",INDEX(offices!$AC$2:$AC$61,MATCH($B185,offices!$A$2:$A$61,0))),"")&lt;&gt;"",ISNUMBER(SEARCH($J185,IFERROR(IF(INDEX(offices!$AC$2:$AC$61,MATCH($B185,offices!$A$2:$A$61,0))="","",INDEX(offices!$AC$2:$AC$61,MATCH($B185,offices!$A$2:$A$61,0))),"")))),"BRAND VETOED; ","")&amp;IF(ISNUMBER(SEARCH(IFERROR(IF(INDEX(campaigns!$BF$2:$BF$51,MATCH($A185,campaigns!$A$2:$A$51,0))="","",INDEX(campaigns!$BF$2:$BF$51,MATCH($A185,campaigns!$A$2:$A$51,0))),""),IFERROR(IF(INDEX(offices!$AB$2:$AB$61,MATCH($B185,offices!$A$2:$A$61,0))="","",INDEX(offices!$AB$2:$AB$61,MATCH($B185,offices!$A$2:$A$61,0))),""))),"","info: category not on the office's list; ")&amp;IF(IFERROR(IF(INDEX(offices!$AC$2:$AC$61,MATCH($B185,offices!$A$2:$A$61,0))="","",INDEX(offices!$AC$2:$AC$61,MATCH($B185,offices!$A$2:$A$61,0))),"")&lt;&gt;"","info: read the vetoes against the label; ",""))</f>
        <v/>
      </c>
      <c r="S185" s="25">
        <f>IF($A185="","",IF($G185&lt;&gt;"",$G185,IFERROR(IF(INDEX(offices!$AL$2:$AL$61,MATCH($B185,offices!$A$2:$A$61,0))="","",INDEX(offices!$AL$2:$AL$61,MATCH($B185,offices!$A$2:$A$61,0))),"")))</f>
        <v/>
      </c>
      <c r="T185" s="25">
        <f>IF($A185="","",$A185&amp;"."&amp;$B185)</f>
        <v/>
      </c>
      <c r="U185" s="25">
        <f>IF($A185="","",SUMIFS(inventory!$G$2:$G$801,inventory!$C$2:$C$801,$A185,inventory!$D$2:$D$801,$B185,inventory!$E$2:$E$801,"delivered"))</f>
        <v/>
      </c>
      <c r="V185" s="32">
        <f>IF($A185="","",IFERROR(1/(1/SUMPRODUCT(MAX((inventory!$C$2:$C$801=$A185)*(inventory!$D$2:$D$801=$B185)*(inventory!$E$2:$E$801="delivered")*(inventory!$A$2:$A$801+inventory!$B$2:$B$801)))),""))</f>
        <v/>
      </c>
      <c r="W185" s="25">
        <f>IF($A185="","",IFERROR(IF(INDEX(inventory!$J$2:$J$801,MATCH($A185&amp;"|"&amp;$B185&amp;"|delivered",inventory!$R$2:$R$801,0))="","",INDEX(inventory!$J$2:$J$801,MATCH($A185&amp;"|"&amp;$B185&amp;"|delivered",inventory!$R$2:$R$801,0))),""))</f>
        <v/>
      </c>
      <c r="X185" s="25">
        <f>IF($A185="","",IFERROR(IF(INDEX(photos!$H$2:$H$701,MATCH($A185&amp;"|"&amp;$B185&amp;"|placement|Y",photos!$R$2:$R$701,0))="","",INDEX(photos!$H$2:$H$701,MATCH($A185&amp;"|"&amp;$B185&amp;"|placement|Y",photos!$R$2:$R$701,0))),""))</f>
        <v/>
      </c>
      <c r="Y185" s="26">
        <f>IF($A185="","",IFERROR(IF(INDEX(photos!$E$2:$E$701,MATCH($A185&amp;"|"&amp;$B185&amp;"|placement|Y",photos!$R$2:$R$701,0))="","",INDEX(photos!$E$2:$E$701,MATCH($A185&amp;"|"&amp;$B185&amp;"|placement|Y",photos!$R$2:$R$701,0))),""))</f>
        <v/>
      </c>
      <c r="Z185" s="25">
        <f>IF($A185="","",IF(COUNTIFS(counts!$C$2:$C$701,$A185,counts!$D$2:$D$701,$B185,counts!$E$2:$E$701,"placed")=0,"",SUMIFS(counts!$F$2:$F$701,counts!$C$2:$C$701,$A185,counts!$D$2:$D$701,$B185,counts!$E$2:$E$701,"placed")))</f>
        <v/>
      </c>
      <c r="AA185" s="25">
        <f>IF($A185="","",IF($Y185="",0,N($Z185)))</f>
        <v/>
      </c>
      <c r="AB185" s="25">
        <f>IF($A185="","",IF(OR($Y185="",$I185=""),"N",IF($Y185&lt;=WORKDAY(N($I185),1,calendar!$A$2:$A$80),"Y","N")))</f>
        <v/>
      </c>
      <c r="AC185" s="28">
        <f>IF(OR($A185="",$V185="",$Y185=""),"",ROUND(($Y185+N(IFERROR(IF(INDEX(photos!$F$2:$F$701,MATCH($A185&amp;"|"&amp;$B185&amp;"|placement|Y",photos!$R$2:$R$701,0))="","",INDEX(photos!$F$2:$F$701,MATCH($A185&amp;"|"&amp;$B185&amp;"|placement|Y",photos!$R$2:$R$701,0))),""))-$V185)*24,1))</f>
        <v/>
      </c>
      <c r="AD185" s="25">
        <f>IF($A185="","",SUMIFS(inventory!$G$2:$G$801,inventory!$C$2:$C$801,$A185,inventory!$D$2:$D$801,$B185,inventory!$E$2:$E$801,"topped_up"))</f>
        <v/>
      </c>
      <c r="AE185" s="25">
        <f>IF($A185="","",IF(COUNTIFS(counts!$C$2:$C$701,$A185,counts!$D$2:$D$701,$B185,counts!$E$2:$E$701,"remaining_day3")=0,"",SUMIFS(counts!$F$2:$F$701,counts!$C$2:$C$701,$A185,counts!$D$2:$D$701,$B185,counts!$E$2:$E$701,"remaining_day3")))</f>
        <v/>
      </c>
      <c r="AF185" s="25">
        <f>IF($A185="","",IF(COUNTIFS(counts!$C$2:$C$701,$A185,counts!$D$2:$D$701,$B185,counts!$E$2:$E$701,"remaining_day5")=0,"",SUMIFS(counts!$F$2:$F$701,counts!$C$2:$C$701,$A185,counts!$D$2:$D$701,$B185,counts!$E$2:$E$701,"remaining_day5")))</f>
        <v/>
      </c>
      <c r="AG185" s="25">
        <f>IF(OR($A185="",$AF185=""),"",MAX(0,$AA185+$AD185-$AF185))</f>
        <v/>
      </c>
      <c r="AH185" s="25">
        <f>IF(OR($A185="",$AI185=""),"",IFERROR(IF(INDEX(photos!$H$2:$H$701,MATCH($A185&amp;"|"&amp;$B185&amp;"|later|Y|"&amp;$AI185,photos!$S$2:$S$701,0))="","",INDEX(photos!$H$2:$H$701,MATCH($A185&amp;"|"&amp;$B185&amp;"|later|Y|"&amp;$AI185,photos!$S$2:$S$701,0))),""))</f>
        <v/>
      </c>
      <c r="AI185" s="26">
        <f>IF($A185="","",IFERROR(1/(1/SUMPRODUCT(MAX((photos!$B$2:$B$701=$A185)*(photos!$C$2:$C$701=$B185)*(photos!$D$2:$D$701="later")*(photos!$O$2:$O$701="Y")*photos!$E$2:$E$701))),""))</f>
        <v/>
      </c>
      <c r="AJ185" s="25">
        <f>IF(OR($A185="",$AI185="",$I185=""),"",NETWORKDAYS($I185,$AI185,calendar!$A$2:$A$80))</f>
        <v/>
      </c>
      <c r="AK185" s="25">
        <f>IF($A185="","",IF(AND($X185&lt;&gt;"",$AH185&lt;&gt;""),"Y","N"))</f>
        <v/>
      </c>
      <c r="AL185" s="25">
        <f>IF(OR($A185="",$I185=""),"",IF($BC185="Y",SUMIFS(survey_frozen!$C$2:$C$251,survey_frozen!$P$2:$P$251,$A185&amp;"|"&amp;$B185),IFERROR(COUNTIFS(INDIRECT("'"&amp;$A185&amp;"'!$B$2:$B$501"),$T185,INDIRECT("'"&amp;$A185&amp;"'!$A$2:$A$501"),"&gt;="&amp;$I185,INDIRECT("'"&amp;$A185&amp;"'!$A$2:$A$501"),"&lt;"&amp;($BA185+1)),0)))</f>
        <v/>
      </c>
      <c r="AM185" s="25">
        <f>IF(OR($A185="",$I185=""),"",IF($BC185="Y",SUMIFS(survey_frozen!$D$2:$D$251,survey_frozen!$P$2:$P$251,$A185&amp;"|"&amp;$B185),IFERROR(COUNTIFS(INDIRECT("'"&amp;$A185&amp;"'!$B$2:$B$501"),$T185,INDIRECT("'"&amp;$A185&amp;"'!$A$2:$A$501"),"&gt;="&amp;$I185,INDIRECT("'"&amp;$A185&amp;"'!$A$2:$A$501"),"&lt;"&amp;($BA185+1),INDIRECT("'"&amp;$A185&amp;"'!$C$2:$C$501"),"Yes"),0)))</f>
        <v/>
      </c>
      <c r="AN185" s="25">
        <f>IF($A185="","",IF(COUNTIFS(scans!$C$2:$C$1601,(IF(LEFT($A185,7)="SAMPLE-","SAMPLE-","")&amp;LOWER(SUBSTITUTE(SUBSTITUTE($A185,"SAMPLE-",""),"CMP-","c"))&amp;"-"&amp;LOWER(SUBSTITUTE(SUBSTITUTE($B185,"SAMPLE-",""),"O-","o"))&amp;"-q"),scans!$D$2:$D$1601,"close")=0,"",SUMPRODUCT(MAX((scans!$C$2:$C$1601=(IF(LEFT($A185,7)="SAMPLE-","SAMPLE-","")&amp;LOWER(SUBSTITUTE(SUBSTITUTE($A185,"SAMPLE-",""),"CMP-","c"))&amp;"-"&amp;LOWER(SUBSTITUTE(SUBSTITUTE($B185,"SAMPLE-",""),"O-","o"))&amp;"-q"))*(scans!$D$2:$D$1601="close")*scans!$E$2:$E$1601))-SUMPRODUCT(MAX((scans!$C$2:$C$1601=(IF(LEFT($A185,7)="SAMPLE-","SAMPLE-","")&amp;LOWER(SUBSTITUTE(SUBSTITUTE($A185,"SAMPLE-",""),"CMP-","c"))&amp;"-"&amp;LOWER(SUBSTITUTE(SUBSTITUTE($B185,"SAMPLE-",""),"O-","o"))&amp;"-q"))*(scans!$D$2:$D$1601="baseline")*scans!$E$2:$E$1601))))</f>
        <v/>
      </c>
      <c r="AO185" s="25">
        <f>IF($A185="","",IF(COUNTIFS(scans!$C$2:$C$1601,(IF(LEFT($A185,7)="SAMPLE-","SAMPLE-","")&amp;LOWER(SUBSTITUTE(SUBSTITUTE($A185,"SAMPLE-",""),"CMP-","c"))&amp;"-"&amp;LOWER(SUBSTITUTE(SUBSTITUTE($B185,"SAMPLE-",""),"O-","o"))&amp;"-p"),scans!$D$2:$D$1601,"close")=0,"",SUMPRODUCT(MAX((scans!$C$2:$C$1601=(IF(LEFT($A185,7)="SAMPLE-","SAMPLE-","")&amp;LOWER(SUBSTITUTE(SUBSTITUTE($A185,"SAMPLE-",""),"CMP-","c"))&amp;"-"&amp;LOWER(SUBSTITUTE(SUBSTITUTE($B185,"SAMPLE-",""),"O-","o"))&amp;"-p"))*(scans!$D$2:$D$1601="close")*scans!$E$2:$E$1601))-SUMPRODUCT(MAX((scans!$C$2:$C$1601=(IF(LEFT($A185,7)="SAMPLE-","SAMPLE-","")&amp;LOWER(SUBSTITUTE(SUBSTITUTE($A185,"SAMPLE-",""),"CMP-","c"))&amp;"-"&amp;LOWER(SUBSTITUTE(SUBSTITUTE($B185,"SAMPLE-",""),"O-","o"))&amp;"-p"))*(scans!$D$2:$D$1601="baseline")*scans!$E$2:$E$1601))))</f>
        <v/>
      </c>
      <c r="AP185" s="25">
        <f>IF($A185="","",IF(COUNTIF(offices!$A$2:$A$61,$B185)=0,"office_id not on offices; ","")&amp;IF(COUNTIF(campaigns!$A$2:$A$51,$A185)=0,"campaign_id not on campaigns; ","")&amp;IF($P185="pending","approval pending; ","")&amp;IF(AND($U185&gt;0,$Y185="",OR($I185="",IF(config!$B$37&lt;&gt;"",config!$B$37,TODAY())&lt;=WORKDAY(N($I185),4,calendar!$A$2:$A$80))),"no usable placement photo yet; ","")&amp;IF(AND($Y185&lt;&gt;"",$Z185=""),"log the placed count; ","")&amp;IF(N($AA185)&gt;N($U185),"placed more than delivered; ","")&amp;IF(AND($AF185&lt;&gt;"",N($AF185)&gt;N($AA185)+N($AD185)),"day-5 count above placed plus top-ups; ","")&amp;IF(AND($U185&gt;0,$I185&lt;&gt;"",IF(config!$B$37&lt;&gt;"",config!$B$37,TODAY())&gt;WORKDAY(N($I185),4,calendar!$A$2:$A$80),$AF185=""),"day-5 count missing; ","")&amp;IF(AND($U185&gt;0,$I185&lt;&gt;"",IF(config!$B$37&lt;&gt;"",config!$B$37,TODAY())&gt;WORKDAY(N($I185),4,calendar!$A$2:$A$80),$AN185=""),"no close link reading; ","")&amp;$R185&amp;IF($P185="N","info: office said no; ","")&amp;IF(AND($P185="Y",$Q185="N"),"info: turned away at the door, so not on the drop (no letter, not in the report or Gate 2; the credit check is on campaigns); ","")&amp;IF(AND($U185&gt;0,$Y185="",$I185&lt;&gt;"",IF(config!$B$37&lt;&gt;"",config!$B$37,TODAY())&gt;WORKDAY(N($I185),4,calendar!$A$2:$A$80)),"info: no usable placement photo, so nothing counts as placed; ","")&amp;IF(AND($U185&gt;0,$I185&lt;&gt;"",IF(config!$B$37&lt;&gt;"",config!$B$37,TODAY())&gt;WORKDAY(N($I185),4,calendar!$A$2:$A$80),N($AL185)&lt;config!$B$30),"info: under "&amp;config!$B$30&amp;" responses; ","")&amp;IF($W185="packing_list","info: delivered count not verified; ",""))</f>
        <v/>
      </c>
      <c r="AQ185" s="25">
        <f>IF(OR($A185="",$I185=""),"",IF($BC185="Y",SUMIFS(survey_frozen!$E$2:$E$251,survey_frozen!$P$2:$P$251,$A185&amp;"|"&amp;$B185),IFERROR(COUNTIFS(INDIRECT("'"&amp;$A185&amp;"'!$B$2:$B$501"),$T185,INDIRECT("'"&amp;$A185&amp;"'!$A$2:$A$501"),"&gt;="&amp;$I185,INDIRECT("'"&amp;$A185&amp;"'!$A$2:$A$501"),"&lt;"&amp;($BA185+1),INDIRECT("'"&amp;$A185&amp;"'!$F$2:$F$501"),"Didn't see it"),0)))</f>
        <v/>
      </c>
      <c r="AR185" s="25">
        <f>IF(OR($A185="",$I185=""),"",IF($BC185="Y",SUMIFS(survey_frozen!$F$2:$F$251,survey_frozen!$P$2:$P$251,$A185&amp;"|"&amp;$B185),IFERROR(COUNTIFS(INDIRECT("'"&amp;$A185&amp;"'!$B$2:$B$501"),$T185,INDIRECT("'"&amp;$A185&amp;"'!$A$2:$A$501"),"&gt;="&amp;$I185,INDIRECT("'"&amp;$A185&amp;"'!$A$2:$A$501"),"&lt;"&amp;($BA185+1),INDIRECT("'"&amp;$A185&amp;"'!$F$2:$F$501"),"Not for me"),0)))</f>
        <v/>
      </c>
      <c r="AS185" s="25">
        <f>IF(OR($A185="",$I185=""),"",IF($BC185="Y",SUMIFS(survey_frozen!$G$2:$G$251,survey_frozen!$P$2:$P$251,$A185&amp;"|"&amp;$B185),IFERROR(COUNTIFS(INDIRECT("'"&amp;$A185&amp;"'!$B$2:$B$501"),$T185,INDIRECT("'"&amp;$A185&amp;"'!$A$2:$A$501"),"&gt;="&amp;$I185,INDIRECT("'"&amp;$A185&amp;"'!$A$2:$A$501"),"&lt;"&amp;($BA185+1),INDIRECT("'"&amp;$A185&amp;"'!$F$2:$F$501"),"Gone by the time I looked"),0)))</f>
        <v/>
      </c>
      <c r="AT185" s="25">
        <f>IF(OR($A185="",$I185=""),"",IF($BC185="Y",SUMIFS(survey_frozen!$H$2:$H$251,survey_frozen!$P$2:$P$251,$A185&amp;"|"&amp;$B185),IFERROR(COUNTIFS(INDIRECT("'"&amp;$A185&amp;"'!$B$2:$B$501"),$T185,INDIRECT("'"&amp;$A185&amp;"'!$A$2:$A$501"),"&gt;="&amp;$I185,INDIRECT("'"&amp;$A185&amp;"'!$A$2:$A$501"),"&lt;"&amp;($BA185+1),INDIRECT("'"&amp;$A185&amp;"'!$D$2:$D$501"),"&gt;=1"),0)))</f>
        <v/>
      </c>
      <c r="AU185" s="25">
        <f>IF(OR($A185="",$I185=""),"",IF($BC185="Y",SUMIFS(survey_frozen!$I$2:$I$251,survey_frozen!$P$2:$P$251,$A185&amp;"|"&amp;$B185),IFERROR(SUMIFS(INDIRECT("'"&amp;$A185&amp;"'!$D$2:$D$501"),INDIRECT("'"&amp;$A185&amp;"'!$B$2:$B$501"),$T185,INDIRECT("'"&amp;$A185&amp;"'!$A$2:$A$501"),"&gt;="&amp;$I185,INDIRECT("'"&amp;$A185&amp;"'!$A$2:$A$501"),"&lt;"&amp;($BA185+1)),0)))</f>
        <v/>
      </c>
      <c r="AV185" s="25">
        <f>IF(OR($A185="",$I185=""),"",IF($BC185="Y",SUMIFS(survey_frozen!$J$2:$J$251,survey_frozen!$P$2:$P$251,$A185&amp;"|"&amp;$B185),IFERROR(COUNTIFS(INDIRECT("'"&amp;$A185&amp;"'!$B$2:$B$501"),$T185,INDIRECT("'"&amp;$A185&amp;"'!$A$2:$A$501"),"&gt;="&amp;$I185,INDIRECT("'"&amp;$A185&amp;"'!$A$2:$A$501"),"&lt;"&amp;($BA185+1),INDIRECT("'"&amp;$A185&amp;"'!$E$2:$E$501"),"Yes"),0)))</f>
        <v/>
      </c>
      <c r="AW185" s="25">
        <f>IF(OR($A185="",$I185=""),"",IF($BC185="Y",SUMIFS(survey_frozen!$K$2:$K$251,survey_frozen!$P$2:$P$251,$A185&amp;"|"&amp;$B185),IFERROR(COUNTIFS(INDIRECT("'"&amp;$A185&amp;"'!$B$2:$B$501"),$T185,INDIRECT("'"&amp;$A185&amp;"'!$A$2:$A$501"),"&gt;="&amp;$I185,INDIRECT("'"&amp;$A185&amp;"'!$A$2:$A$501"),"&lt;"&amp;($BA185+1),INDIRECT("'"&amp;$A185&amp;"'!$E$2:$E$501"),"Maybe"),0)))</f>
        <v/>
      </c>
      <c r="AX185" s="25">
        <f>IF(OR($A185="",$I185=""),"",IF($BC185="Y",SUMIFS(survey_frozen!$L$2:$L$251,survey_frozen!$P$2:$P$251,$A185&amp;"|"&amp;$B185),IFERROR(COUNTIFS(INDIRECT("'"&amp;$A185&amp;"'!$B$2:$B$501"),$T185,INDIRECT("'"&amp;$A185&amp;"'!$A$2:$A$501"),"&gt;="&amp;$I185,INDIRECT("'"&amp;$A185&amp;"'!$A$2:$A$501"),"&lt;"&amp;($BA185+1),INDIRECT("'"&amp;$A185&amp;"'!$E$2:$E$501"),"No"),0)))</f>
        <v/>
      </c>
      <c r="AY185" s="25">
        <f>IF(OR($A185="",$I185=""),"",IF($BC185="Y",SUMIFS(survey_frozen!$M$2:$M$251,survey_frozen!$P$2:$P$251,$A185&amp;"|"&amp;$B185),IFERROR(COUNTIFS(INDIRECT("'"&amp;$A185&amp;"'!$B$2:$B$501"),$T185,INDIRECT("'"&amp;$A185&amp;"'!$A$2:$A$501"),"&gt;="&amp;$I185,INDIRECT("'"&amp;$A185&amp;"'!$A$2:$A$501"),"&lt;"&amp;($BA185+1),INDIRECT("'"&amp;$A185&amp;"'!$G$2:$G$501"),"&lt;&gt;"),0)))</f>
        <v/>
      </c>
      <c r="AZ185" s="25">
        <f>IF($A185="","",$A185&amp;"|"&amp;$L185)</f>
        <v/>
      </c>
      <c r="BA185" s="26">
        <f>IF($A185="","",IFERROR(IF(INDEX(drops!$R$2:$R$21,MATCH($H185,drops!$A$2:$A$21,0))="","",INDEX(drops!$R$2:$R$21,MATCH($H185,drops!$A$2:$A$21,0))),""))</f>
        <v/>
      </c>
      <c r="BB185" s="25">
        <f>IF(OR($A185="",$Q185&lt;&gt;"Y"),1000000,N($AL185))</f>
        <v/>
      </c>
      <c r="BC185" s="25">
        <f>IF($A185="","",IF(COUNTIF(survey_frozen!$P$2:$P$251,$A185&amp;"|"&amp;$B185)&gt;0,"Y",""))</f>
        <v/>
      </c>
    </row>
    <row r="186">
      <c r="C186" s="9" t="n"/>
      <c r="E186" s="9" t="n"/>
      <c r="H186" s="25">
        <f>IF($A186="","",IFERROR(IF(INDEX(campaigns!$B$2:$B$51,MATCH($A186,campaigns!$A$2:$A$51,0))="","",INDEX(campaigns!$B$2:$B$51,MATCH($A186,campaigns!$A$2:$A$51,0))),""))</f>
        <v/>
      </c>
      <c r="I186" s="26">
        <f>IF($A186="","",IFERROR(IF(INDEX(campaigns!$BG$2:$BG$51,MATCH($A186,campaigns!$A$2:$A$51,0))="","",INDEX(campaigns!$BG$2:$BG$51,MATCH($A186,campaigns!$A$2:$A$51,0))),""))</f>
        <v/>
      </c>
      <c r="J186" s="25">
        <f>IF($A186="","",IFERROR(IF(INDEX(campaigns!$BE$2:$BE$51,MATCH($A186,campaigns!$A$2:$A$51,0))="","",INDEX(campaigns!$BE$2:$BE$51,MATCH($A186,campaigns!$A$2:$A$51,0))),""))</f>
        <v/>
      </c>
      <c r="K186" s="25">
        <f>IF($B186="","",IFERROR(IF(INDEX(offices!$N$2:$N$61,MATCH($B186,offices!$A$2:$A$61,0))="","",INDEX(offices!$N$2:$N$61,MATCH($B186,offices!$A$2:$A$61,0))),""))</f>
        <v/>
      </c>
      <c r="L186" s="25">
        <f>IF($A186="","",IF($Q186="N","",COUNTIFS($A$2:$A186,$A186,$Q$2:$Q186,"&lt;&gt;N")))</f>
        <v/>
      </c>
      <c r="M186" s="25">
        <f>IF(OR($A186="",$L186=""),"",IF(AND(config!$B$34="names_if_public",IFERROR(IF(INDEX(offices!$AF$2:$AF$61,MATCH($B186,offices!$A$2:$A$61,0))="","",INDEX(offices!$AF$2:$AF$61,MATCH($B186,offices!$A$2:$A$61,0))),"")="Y"),$K186,CHAR(64+$L186)))</f>
        <v/>
      </c>
      <c r="N186" s="25">
        <f>IF(OR($A186="",$I186=""),"",COUNTIFS(stops!$B$2:$B$151,$B186,stops!$P$2:$P$151,"&lt;"&amp;$I186,stops!$L$2:$L$151,"&lt;&gt;not_delivered")+1)</f>
        <v/>
      </c>
      <c r="O186" s="25">
        <f>IF($A186="","",IF(N($N186)&lt;=config!$B$29,"explicit","opt-out"))</f>
        <v/>
      </c>
      <c r="P186" s="25">
        <f>IF($A186="","",IF($O186="explicit",IF($D186="yes","Y",IF($D186="no","N","pending")),IF($D186="no","N",IF(AND($C186&lt;&gt;"",$I186&lt;&gt;"",$C186&lt;=WORKDAY(N($I186),-5,calendar!$A$2:$A$80)),"Y","pending"))))</f>
        <v/>
      </c>
      <c r="Q186" s="25">
        <f>IF($A186="","",IF($P186="N","N",IF($P186&lt;&gt;"Y","pending",IF(AND((COUNTIFS(stops!$A$2:$A$151,$H186,stops!$B$2:$B$151,$B186,stops!$L$2:$L$151,"declined")+COUNTIFS(stops!$A$2:$A$151,$H186,stops!$B$2:$B$151,$B186,stops!$L$2:$L$151,"building_refused")+COUNTIFS(stops!$A$2:$A$151,$H186,stops!$B$2:$B$151,$B186,stops!$L$2:$L$151,"not_delivered"))&gt;0,N($U186)=0),"N","Y"))))</f>
        <v/>
      </c>
      <c r="R186" s="25">
        <f>IF($A186="","",IF(COUNTIFS($A$2:$A$251,$A186,$B$2:$B$251,$B186)&gt;1,"DUPLICATE ROW; ","")&amp;IF(AND(IFERROR(IF(INDEX(offices!$AC$2:$AC$61,MATCH($B186,offices!$A$2:$A$61,0))="","",INDEX(offices!$AC$2:$AC$61,MATCH($B186,offices!$A$2:$A$61,0))),"")&lt;&gt;"",ISNUMBER(SEARCH($J186,IFERROR(IF(INDEX(offices!$AC$2:$AC$61,MATCH($B186,offices!$A$2:$A$61,0))="","",INDEX(offices!$AC$2:$AC$61,MATCH($B186,offices!$A$2:$A$61,0))),"")))),"BRAND VETOED; ","")&amp;IF(ISNUMBER(SEARCH(IFERROR(IF(INDEX(campaigns!$BF$2:$BF$51,MATCH($A186,campaigns!$A$2:$A$51,0))="","",INDEX(campaigns!$BF$2:$BF$51,MATCH($A186,campaigns!$A$2:$A$51,0))),""),IFERROR(IF(INDEX(offices!$AB$2:$AB$61,MATCH($B186,offices!$A$2:$A$61,0))="","",INDEX(offices!$AB$2:$AB$61,MATCH($B186,offices!$A$2:$A$61,0))),""))),"","info: category not on the office's list; ")&amp;IF(IFERROR(IF(INDEX(offices!$AC$2:$AC$61,MATCH($B186,offices!$A$2:$A$61,0))="","",INDEX(offices!$AC$2:$AC$61,MATCH($B186,offices!$A$2:$A$61,0))),"")&lt;&gt;"","info: read the vetoes against the label; ",""))</f>
        <v/>
      </c>
      <c r="S186" s="25">
        <f>IF($A186="","",IF($G186&lt;&gt;"",$G186,IFERROR(IF(INDEX(offices!$AL$2:$AL$61,MATCH($B186,offices!$A$2:$A$61,0))="","",INDEX(offices!$AL$2:$AL$61,MATCH($B186,offices!$A$2:$A$61,0))),"")))</f>
        <v/>
      </c>
      <c r="T186" s="25">
        <f>IF($A186="","",$A186&amp;"."&amp;$B186)</f>
        <v/>
      </c>
      <c r="U186" s="25">
        <f>IF($A186="","",SUMIFS(inventory!$G$2:$G$801,inventory!$C$2:$C$801,$A186,inventory!$D$2:$D$801,$B186,inventory!$E$2:$E$801,"delivered"))</f>
        <v/>
      </c>
      <c r="V186" s="32">
        <f>IF($A186="","",IFERROR(1/(1/SUMPRODUCT(MAX((inventory!$C$2:$C$801=$A186)*(inventory!$D$2:$D$801=$B186)*(inventory!$E$2:$E$801="delivered")*(inventory!$A$2:$A$801+inventory!$B$2:$B$801)))),""))</f>
        <v/>
      </c>
      <c r="W186" s="25">
        <f>IF($A186="","",IFERROR(IF(INDEX(inventory!$J$2:$J$801,MATCH($A186&amp;"|"&amp;$B186&amp;"|delivered",inventory!$R$2:$R$801,0))="","",INDEX(inventory!$J$2:$J$801,MATCH($A186&amp;"|"&amp;$B186&amp;"|delivered",inventory!$R$2:$R$801,0))),""))</f>
        <v/>
      </c>
      <c r="X186" s="25">
        <f>IF($A186="","",IFERROR(IF(INDEX(photos!$H$2:$H$701,MATCH($A186&amp;"|"&amp;$B186&amp;"|placement|Y",photos!$R$2:$R$701,0))="","",INDEX(photos!$H$2:$H$701,MATCH($A186&amp;"|"&amp;$B186&amp;"|placement|Y",photos!$R$2:$R$701,0))),""))</f>
        <v/>
      </c>
      <c r="Y186" s="26">
        <f>IF($A186="","",IFERROR(IF(INDEX(photos!$E$2:$E$701,MATCH($A186&amp;"|"&amp;$B186&amp;"|placement|Y",photos!$R$2:$R$701,0))="","",INDEX(photos!$E$2:$E$701,MATCH($A186&amp;"|"&amp;$B186&amp;"|placement|Y",photos!$R$2:$R$701,0))),""))</f>
        <v/>
      </c>
      <c r="Z186" s="25">
        <f>IF($A186="","",IF(COUNTIFS(counts!$C$2:$C$701,$A186,counts!$D$2:$D$701,$B186,counts!$E$2:$E$701,"placed")=0,"",SUMIFS(counts!$F$2:$F$701,counts!$C$2:$C$701,$A186,counts!$D$2:$D$701,$B186,counts!$E$2:$E$701,"placed")))</f>
        <v/>
      </c>
      <c r="AA186" s="25">
        <f>IF($A186="","",IF($Y186="",0,N($Z186)))</f>
        <v/>
      </c>
      <c r="AB186" s="25">
        <f>IF($A186="","",IF(OR($Y186="",$I186=""),"N",IF($Y186&lt;=WORKDAY(N($I186),1,calendar!$A$2:$A$80),"Y","N")))</f>
        <v/>
      </c>
      <c r="AC186" s="28">
        <f>IF(OR($A186="",$V186="",$Y186=""),"",ROUND(($Y186+N(IFERROR(IF(INDEX(photos!$F$2:$F$701,MATCH($A186&amp;"|"&amp;$B186&amp;"|placement|Y",photos!$R$2:$R$701,0))="","",INDEX(photos!$F$2:$F$701,MATCH($A186&amp;"|"&amp;$B186&amp;"|placement|Y",photos!$R$2:$R$701,0))),""))-$V186)*24,1))</f>
        <v/>
      </c>
      <c r="AD186" s="25">
        <f>IF($A186="","",SUMIFS(inventory!$G$2:$G$801,inventory!$C$2:$C$801,$A186,inventory!$D$2:$D$801,$B186,inventory!$E$2:$E$801,"topped_up"))</f>
        <v/>
      </c>
      <c r="AE186" s="25">
        <f>IF($A186="","",IF(COUNTIFS(counts!$C$2:$C$701,$A186,counts!$D$2:$D$701,$B186,counts!$E$2:$E$701,"remaining_day3")=0,"",SUMIFS(counts!$F$2:$F$701,counts!$C$2:$C$701,$A186,counts!$D$2:$D$701,$B186,counts!$E$2:$E$701,"remaining_day3")))</f>
        <v/>
      </c>
      <c r="AF186" s="25">
        <f>IF($A186="","",IF(COUNTIFS(counts!$C$2:$C$701,$A186,counts!$D$2:$D$701,$B186,counts!$E$2:$E$701,"remaining_day5")=0,"",SUMIFS(counts!$F$2:$F$701,counts!$C$2:$C$701,$A186,counts!$D$2:$D$701,$B186,counts!$E$2:$E$701,"remaining_day5")))</f>
        <v/>
      </c>
      <c r="AG186" s="25">
        <f>IF(OR($A186="",$AF186=""),"",MAX(0,$AA186+$AD186-$AF186))</f>
        <v/>
      </c>
      <c r="AH186" s="25">
        <f>IF(OR($A186="",$AI186=""),"",IFERROR(IF(INDEX(photos!$H$2:$H$701,MATCH($A186&amp;"|"&amp;$B186&amp;"|later|Y|"&amp;$AI186,photos!$S$2:$S$701,0))="","",INDEX(photos!$H$2:$H$701,MATCH($A186&amp;"|"&amp;$B186&amp;"|later|Y|"&amp;$AI186,photos!$S$2:$S$701,0))),""))</f>
        <v/>
      </c>
      <c r="AI186" s="26">
        <f>IF($A186="","",IFERROR(1/(1/SUMPRODUCT(MAX((photos!$B$2:$B$701=$A186)*(photos!$C$2:$C$701=$B186)*(photos!$D$2:$D$701="later")*(photos!$O$2:$O$701="Y")*photos!$E$2:$E$701))),""))</f>
        <v/>
      </c>
      <c r="AJ186" s="25">
        <f>IF(OR($A186="",$AI186="",$I186=""),"",NETWORKDAYS($I186,$AI186,calendar!$A$2:$A$80))</f>
        <v/>
      </c>
      <c r="AK186" s="25">
        <f>IF($A186="","",IF(AND($X186&lt;&gt;"",$AH186&lt;&gt;""),"Y","N"))</f>
        <v/>
      </c>
      <c r="AL186" s="25">
        <f>IF(OR($A186="",$I186=""),"",IF($BC186="Y",SUMIFS(survey_frozen!$C$2:$C$251,survey_frozen!$P$2:$P$251,$A186&amp;"|"&amp;$B186),IFERROR(COUNTIFS(INDIRECT("'"&amp;$A186&amp;"'!$B$2:$B$501"),$T186,INDIRECT("'"&amp;$A186&amp;"'!$A$2:$A$501"),"&gt;="&amp;$I186,INDIRECT("'"&amp;$A186&amp;"'!$A$2:$A$501"),"&lt;"&amp;($BA186+1)),0)))</f>
        <v/>
      </c>
      <c r="AM186" s="25">
        <f>IF(OR($A186="",$I186=""),"",IF($BC186="Y",SUMIFS(survey_frozen!$D$2:$D$251,survey_frozen!$P$2:$P$251,$A186&amp;"|"&amp;$B186),IFERROR(COUNTIFS(INDIRECT("'"&amp;$A186&amp;"'!$B$2:$B$501"),$T186,INDIRECT("'"&amp;$A186&amp;"'!$A$2:$A$501"),"&gt;="&amp;$I186,INDIRECT("'"&amp;$A186&amp;"'!$A$2:$A$501"),"&lt;"&amp;($BA186+1),INDIRECT("'"&amp;$A186&amp;"'!$C$2:$C$501"),"Yes"),0)))</f>
        <v/>
      </c>
      <c r="AN186" s="25">
        <f>IF($A186="","",IF(COUNTIFS(scans!$C$2:$C$1601,(IF(LEFT($A186,7)="SAMPLE-","SAMPLE-","")&amp;LOWER(SUBSTITUTE(SUBSTITUTE($A186,"SAMPLE-",""),"CMP-","c"))&amp;"-"&amp;LOWER(SUBSTITUTE(SUBSTITUTE($B186,"SAMPLE-",""),"O-","o"))&amp;"-q"),scans!$D$2:$D$1601,"close")=0,"",SUMPRODUCT(MAX((scans!$C$2:$C$1601=(IF(LEFT($A186,7)="SAMPLE-","SAMPLE-","")&amp;LOWER(SUBSTITUTE(SUBSTITUTE($A186,"SAMPLE-",""),"CMP-","c"))&amp;"-"&amp;LOWER(SUBSTITUTE(SUBSTITUTE($B186,"SAMPLE-",""),"O-","o"))&amp;"-q"))*(scans!$D$2:$D$1601="close")*scans!$E$2:$E$1601))-SUMPRODUCT(MAX((scans!$C$2:$C$1601=(IF(LEFT($A186,7)="SAMPLE-","SAMPLE-","")&amp;LOWER(SUBSTITUTE(SUBSTITUTE($A186,"SAMPLE-",""),"CMP-","c"))&amp;"-"&amp;LOWER(SUBSTITUTE(SUBSTITUTE($B186,"SAMPLE-",""),"O-","o"))&amp;"-q"))*(scans!$D$2:$D$1601="baseline")*scans!$E$2:$E$1601))))</f>
        <v/>
      </c>
      <c r="AO186" s="25">
        <f>IF($A186="","",IF(COUNTIFS(scans!$C$2:$C$1601,(IF(LEFT($A186,7)="SAMPLE-","SAMPLE-","")&amp;LOWER(SUBSTITUTE(SUBSTITUTE($A186,"SAMPLE-",""),"CMP-","c"))&amp;"-"&amp;LOWER(SUBSTITUTE(SUBSTITUTE($B186,"SAMPLE-",""),"O-","o"))&amp;"-p"),scans!$D$2:$D$1601,"close")=0,"",SUMPRODUCT(MAX((scans!$C$2:$C$1601=(IF(LEFT($A186,7)="SAMPLE-","SAMPLE-","")&amp;LOWER(SUBSTITUTE(SUBSTITUTE($A186,"SAMPLE-",""),"CMP-","c"))&amp;"-"&amp;LOWER(SUBSTITUTE(SUBSTITUTE($B186,"SAMPLE-",""),"O-","o"))&amp;"-p"))*(scans!$D$2:$D$1601="close")*scans!$E$2:$E$1601))-SUMPRODUCT(MAX((scans!$C$2:$C$1601=(IF(LEFT($A186,7)="SAMPLE-","SAMPLE-","")&amp;LOWER(SUBSTITUTE(SUBSTITUTE($A186,"SAMPLE-",""),"CMP-","c"))&amp;"-"&amp;LOWER(SUBSTITUTE(SUBSTITUTE($B186,"SAMPLE-",""),"O-","o"))&amp;"-p"))*(scans!$D$2:$D$1601="baseline")*scans!$E$2:$E$1601))))</f>
        <v/>
      </c>
      <c r="AP186" s="25">
        <f>IF($A186="","",IF(COUNTIF(offices!$A$2:$A$61,$B186)=0,"office_id not on offices; ","")&amp;IF(COUNTIF(campaigns!$A$2:$A$51,$A186)=0,"campaign_id not on campaigns; ","")&amp;IF($P186="pending","approval pending; ","")&amp;IF(AND($U186&gt;0,$Y186="",OR($I186="",IF(config!$B$37&lt;&gt;"",config!$B$37,TODAY())&lt;=WORKDAY(N($I186),4,calendar!$A$2:$A$80))),"no usable placement photo yet; ","")&amp;IF(AND($Y186&lt;&gt;"",$Z186=""),"log the placed count; ","")&amp;IF(N($AA186)&gt;N($U186),"placed more than delivered; ","")&amp;IF(AND($AF186&lt;&gt;"",N($AF186)&gt;N($AA186)+N($AD186)),"day-5 count above placed plus top-ups; ","")&amp;IF(AND($U186&gt;0,$I186&lt;&gt;"",IF(config!$B$37&lt;&gt;"",config!$B$37,TODAY())&gt;WORKDAY(N($I186),4,calendar!$A$2:$A$80),$AF186=""),"day-5 count missing; ","")&amp;IF(AND($U186&gt;0,$I186&lt;&gt;"",IF(config!$B$37&lt;&gt;"",config!$B$37,TODAY())&gt;WORKDAY(N($I186),4,calendar!$A$2:$A$80),$AN186=""),"no close link reading; ","")&amp;$R186&amp;IF($P186="N","info: office said no; ","")&amp;IF(AND($P186="Y",$Q186="N"),"info: turned away at the door, so not on the drop (no letter, not in the report or Gate 2; the credit check is on campaigns); ","")&amp;IF(AND($U186&gt;0,$Y186="",$I186&lt;&gt;"",IF(config!$B$37&lt;&gt;"",config!$B$37,TODAY())&gt;WORKDAY(N($I186),4,calendar!$A$2:$A$80)),"info: no usable placement photo, so nothing counts as placed; ","")&amp;IF(AND($U186&gt;0,$I186&lt;&gt;"",IF(config!$B$37&lt;&gt;"",config!$B$37,TODAY())&gt;WORKDAY(N($I186),4,calendar!$A$2:$A$80),N($AL186)&lt;config!$B$30),"info: under "&amp;config!$B$30&amp;" responses; ","")&amp;IF($W186="packing_list","info: delivered count not verified; ",""))</f>
        <v/>
      </c>
      <c r="AQ186" s="25">
        <f>IF(OR($A186="",$I186=""),"",IF($BC186="Y",SUMIFS(survey_frozen!$E$2:$E$251,survey_frozen!$P$2:$P$251,$A186&amp;"|"&amp;$B186),IFERROR(COUNTIFS(INDIRECT("'"&amp;$A186&amp;"'!$B$2:$B$501"),$T186,INDIRECT("'"&amp;$A186&amp;"'!$A$2:$A$501"),"&gt;="&amp;$I186,INDIRECT("'"&amp;$A186&amp;"'!$A$2:$A$501"),"&lt;"&amp;($BA186+1),INDIRECT("'"&amp;$A186&amp;"'!$F$2:$F$501"),"Didn't see it"),0)))</f>
        <v/>
      </c>
      <c r="AR186" s="25">
        <f>IF(OR($A186="",$I186=""),"",IF($BC186="Y",SUMIFS(survey_frozen!$F$2:$F$251,survey_frozen!$P$2:$P$251,$A186&amp;"|"&amp;$B186),IFERROR(COUNTIFS(INDIRECT("'"&amp;$A186&amp;"'!$B$2:$B$501"),$T186,INDIRECT("'"&amp;$A186&amp;"'!$A$2:$A$501"),"&gt;="&amp;$I186,INDIRECT("'"&amp;$A186&amp;"'!$A$2:$A$501"),"&lt;"&amp;($BA186+1),INDIRECT("'"&amp;$A186&amp;"'!$F$2:$F$501"),"Not for me"),0)))</f>
        <v/>
      </c>
      <c r="AS186" s="25">
        <f>IF(OR($A186="",$I186=""),"",IF($BC186="Y",SUMIFS(survey_frozen!$G$2:$G$251,survey_frozen!$P$2:$P$251,$A186&amp;"|"&amp;$B186),IFERROR(COUNTIFS(INDIRECT("'"&amp;$A186&amp;"'!$B$2:$B$501"),$T186,INDIRECT("'"&amp;$A186&amp;"'!$A$2:$A$501"),"&gt;="&amp;$I186,INDIRECT("'"&amp;$A186&amp;"'!$A$2:$A$501"),"&lt;"&amp;($BA186+1),INDIRECT("'"&amp;$A186&amp;"'!$F$2:$F$501"),"Gone by the time I looked"),0)))</f>
        <v/>
      </c>
      <c r="AT186" s="25">
        <f>IF(OR($A186="",$I186=""),"",IF($BC186="Y",SUMIFS(survey_frozen!$H$2:$H$251,survey_frozen!$P$2:$P$251,$A186&amp;"|"&amp;$B186),IFERROR(COUNTIFS(INDIRECT("'"&amp;$A186&amp;"'!$B$2:$B$501"),$T186,INDIRECT("'"&amp;$A186&amp;"'!$A$2:$A$501"),"&gt;="&amp;$I186,INDIRECT("'"&amp;$A186&amp;"'!$A$2:$A$501"),"&lt;"&amp;($BA186+1),INDIRECT("'"&amp;$A186&amp;"'!$D$2:$D$501"),"&gt;=1"),0)))</f>
        <v/>
      </c>
      <c r="AU186" s="25">
        <f>IF(OR($A186="",$I186=""),"",IF($BC186="Y",SUMIFS(survey_frozen!$I$2:$I$251,survey_frozen!$P$2:$P$251,$A186&amp;"|"&amp;$B186),IFERROR(SUMIFS(INDIRECT("'"&amp;$A186&amp;"'!$D$2:$D$501"),INDIRECT("'"&amp;$A186&amp;"'!$B$2:$B$501"),$T186,INDIRECT("'"&amp;$A186&amp;"'!$A$2:$A$501"),"&gt;="&amp;$I186,INDIRECT("'"&amp;$A186&amp;"'!$A$2:$A$501"),"&lt;"&amp;($BA186+1)),0)))</f>
        <v/>
      </c>
      <c r="AV186" s="25">
        <f>IF(OR($A186="",$I186=""),"",IF($BC186="Y",SUMIFS(survey_frozen!$J$2:$J$251,survey_frozen!$P$2:$P$251,$A186&amp;"|"&amp;$B186),IFERROR(COUNTIFS(INDIRECT("'"&amp;$A186&amp;"'!$B$2:$B$501"),$T186,INDIRECT("'"&amp;$A186&amp;"'!$A$2:$A$501"),"&gt;="&amp;$I186,INDIRECT("'"&amp;$A186&amp;"'!$A$2:$A$501"),"&lt;"&amp;($BA186+1),INDIRECT("'"&amp;$A186&amp;"'!$E$2:$E$501"),"Yes"),0)))</f>
        <v/>
      </c>
      <c r="AW186" s="25">
        <f>IF(OR($A186="",$I186=""),"",IF($BC186="Y",SUMIFS(survey_frozen!$K$2:$K$251,survey_frozen!$P$2:$P$251,$A186&amp;"|"&amp;$B186),IFERROR(COUNTIFS(INDIRECT("'"&amp;$A186&amp;"'!$B$2:$B$501"),$T186,INDIRECT("'"&amp;$A186&amp;"'!$A$2:$A$501"),"&gt;="&amp;$I186,INDIRECT("'"&amp;$A186&amp;"'!$A$2:$A$501"),"&lt;"&amp;($BA186+1),INDIRECT("'"&amp;$A186&amp;"'!$E$2:$E$501"),"Maybe"),0)))</f>
        <v/>
      </c>
      <c r="AX186" s="25">
        <f>IF(OR($A186="",$I186=""),"",IF($BC186="Y",SUMIFS(survey_frozen!$L$2:$L$251,survey_frozen!$P$2:$P$251,$A186&amp;"|"&amp;$B186),IFERROR(COUNTIFS(INDIRECT("'"&amp;$A186&amp;"'!$B$2:$B$501"),$T186,INDIRECT("'"&amp;$A186&amp;"'!$A$2:$A$501"),"&gt;="&amp;$I186,INDIRECT("'"&amp;$A186&amp;"'!$A$2:$A$501"),"&lt;"&amp;($BA186+1),INDIRECT("'"&amp;$A186&amp;"'!$E$2:$E$501"),"No"),0)))</f>
        <v/>
      </c>
      <c r="AY186" s="25">
        <f>IF(OR($A186="",$I186=""),"",IF($BC186="Y",SUMIFS(survey_frozen!$M$2:$M$251,survey_frozen!$P$2:$P$251,$A186&amp;"|"&amp;$B186),IFERROR(COUNTIFS(INDIRECT("'"&amp;$A186&amp;"'!$B$2:$B$501"),$T186,INDIRECT("'"&amp;$A186&amp;"'!$A$2:$A$501"),"&gt;="&amp;$I186,INDIRECT("'"&amp;$A186&amp;"'!$A$2:$A$501"),"&lt;"&amp;($BA186+1),INDIRECT("'"&amp;$A186&amp;"'!$G$2:$G$501"),"&lt;&gt;"),0)))</f>
        <v/>
      </c>
      <c r="AZ186" s="25">
        <f>IF($A186="","",$A186&amp;"|"&amp;$L186)</f>
        <v/>
      </c>
      <c r="BA186" s="26">
        <f>IF($A186="","",IFERROR(IF(INDEX(drops!$R$2:$R$21,MATCH($H186,drops!$A$2:$A$21,0))="","",INDEX(drops!$R$2:$R$21,MATCH($H186,drops!$A$2:$A$21,0))),""))</f>
        <v/>
      </c>
      <c r="BB186" s="25">
        <f>IF(OR($A186="",$Q186&lt;&gt;"Y"),1000000,N($AL186))</f>
        <v/>
      </c>
      <c r="BC186" s="25">
        <f>IF($A186="","",IF(COUNTIF(survey_frozen!$P$2:$P$251,$A186&amp;"|"&amp;$B186)&gt;0,"Y",""))</f>
        <v/>
      </c>
    </row>
    <row r="187">
      <c r="C187" s="9" t="n"/>
      <c r="E187" s="9" t="n"/>
      <c r="H187" s="25">
        <f>IF($A187="","",IFERROR(IF(INDEX(campaigns!$B$2:$B$51,MATCH($A187,campaigns!$A$2:$A$51,0))="","",INDEX(campaigns!$B$2:$B$51,MATCH($A187,campaigns!$A$2:$A$51,0))),""))</f>
        <v/>
      </c>
      <c r="I187" s="26">
        <f>IF($A187="","",IFERROR(IF(INDEX(campaigns!$BG$2:$BG$51,MATCH($A187,campaigns!$A$2:$A$51,0))="","",INDEX(campaigns!$BG$2:$BG$51,MATCH($A187,campaigns!$A$2:$A$51,0))),""))</f>
        <v/>
      </c>
      <c r="J187" s="25">
        <f>IF($A187="","",IFERROR(IF(INDEX(campaigns!$BE$2:$BE$51,MATCH($A187,campaigns!$A$2:$A$51,0))="","",INDEX(campaigns!$BE$2:$BE$51,MATCH($A187,campaigns!$A$2:$A$51,0))),""))</f>
        <v/>
      </c>
      <c r="K187" s="25">
        <f>IF($B187="","",IFERROR(IF(INDEX(offices!$N$2:$N$61,MATCH($B187,offices!$A$2:$A$61,0))="","",INDEX(offices!$N$2:$N$61,MATCH($B187,offices!$A$2:$A$61,0))),""))</f>
        <v/>
      </c>
      <c r="L187" s="25">
        <f>IF($A187="","",IF($Q187="N","",COUNTIFS($A$2:$A187,$A187,$Q$2:$Q187,"&lt;&gt;N")))</f>
        <v/>
      </c>
      <c r="M187" s="25">
        <f>IF(OR($A187="",$L187=""),"",IF(AND(config!$B$34="names_if_public",IFERROR(IF(INDEX(offices!$AF$2:$AF$61,MATCH($B187,offices!$A$2:$A$61,0))="","",INDEX(offices!$AF$2:$AF$61,MATCH($B187,offices!$A$2:$A$61,0))),"")="Y"),$K187,CHAR(64+$L187)))</f>
        <v/>
      </c>
      <c r="N187" s="25">
        <f>IF(OR($A187="",$I187=""),"",COUNTIFS(stops!$B$2:$B$151,$B187,stops!$P$2:$P$151,"&lt;"&amp;$I187,stops!$L$2:$L$151,"&lt;&gt;not_delivered")+1)</f>
        <v/>
      </c>
      <c r="O187" s="25">
        <f>IF($A187="","",IF(N($N187)&lt;=config!$B$29,"explicit","opt-out"))</f>
        <v/>
      </c>
      <c r="P187" s="25">
        <f>IF($A187="","",IF($O187="explicit",IF($D187="yes","Y",IF($D187="no","N","pending")),IF($D187="no","N",IF(AND($C187&lt;&gt;"",$I187&lt;&gt;"",$C187&lt;=WORKDAY(N($I187),-5,calendar!$A$2:$A$80)),"Y","pending"))))</f>
        <v/>
      </c>
      <c r="Q187" s="25">
        <f>IF($A187="","",IF($P187="N","N",IF($P187&lt;&gt;"Y","pending",IF(AND((COUNTIFS(stops!$A$2:$A$151,$H187,stops!$B$2:$B$151,$B187,stops!$L$2:$L$151,"declined")+COUNTIFS(stops!$A$2:$A$151,$H187,stops!$B$2:$B$151,$B187,stops!$L$2:$L$151,"building_refused")+COUNTIFS(stops!$A$2:$A$151,$H187,stops!$B$2:$B$151,$B187,stops!$L$2:$L$151,"not_delivered"))&gt;0,N($U187)=0),"N","Y"))))</f>
        <v/>
      </c>
      <c r="R187" s="25">
        <f>IF($A187="","",IF(COUNTIFS($A$2:$A$251,$A187,$B$2:$B$251,$B187)&gt;1,"DUPLICATE ROW; ","")&amp;IF(AND(IFERROR(IF(INDEX(offices!$AC$2:$AC$61,MATCH($B187,offices!$A$2:$A$61,0))="","",INDEX(offices!$AC$2:$AC$61,MATCH($B187,offices!$A$2:$A$61,0))),"")&lt;&gt;"",ISNUMBER(SEARCH($J187,IFERROR(IF(INDEX(offices!$AC$2:$AC$61,MATCH($B187,offices!$A$2:$A$61,0))="","",INDEX(offices!$AC$2:$AC$61,MATCH($B187,offices!$A$2:$A$61,0))),"")))),"BRAND VETOED; ","")&amp;IF(ISNUMBER(SEARCH(IFERROR(IF(INDEX(campaigns!$BF$2:$BF$51,MATCH($A187,campaigns!$A$2:$A$51,0))="","",INDEX(campaigns!$BF$2:$BF$51,MATCH($A187,campaigns!$A$2:$A$51,0))),""),IFERROR(IF(INDEX(offices!$AB$2:$AB$61,MATCH($B187,offices!$A$2:$A$61,0))="","",INDEX(offices!$AB$2:$AB$61,MATCH($B187,offices!$A$2:$A$61,0))),""))),"","info: category not on the office's list; ")&amp;IF(IFERROR(IF(INDEX(offices!$AC$2:$AC$61,MATCH($B187,offices!$A$2:$A$61,0))="","",INDEX(offices!$AC$2:$AC$61,MATCH($B187,offices!$A$2:$A$61,0))),"")&lt;&gt;"","info: read the vetoes against the label; ",""))</f>
        <v/>
      </c>
      <c r="S187" s="25">
        <f>IF($A187="","",IF($G187&lt;&gt;"",$G187,IFERROR(IF(INDEX(offices!$AL$2:$AL$61,MATCH($B187,offices!$A$2:$A$61,0))="","",INDEX(offices!$AL$2:$AL$61,MATCH($B187,offices!$A$2:$A$61,0))),"")))</f>
        <v/>
      </c>
      <c r="T187" s="25">
        <f>IF($A187="","",$A187&amp;"."&amp;$B187)</f>
        <v/>
      </c>
      <c r="U187" s="25">
        <f>IF($A187="","",SUMIFS(inventory!$G$2:$G$801,inventory!$C$2:$C$801,$A187,inventory!$D$2:$D$801,$B187,inventory!$E$2:$E$801,"delivered"))</f>
        <v/>
      </c>
      <c r="V187" s="32">
        <f>IF($A187="","",IFERROR(1/(1/SUMPRODUCT(MAX((inventory!$C$2:$C$801=$A187)*(inventory!$D$2:$D$801=$B187)*(inventory!$E$2:$E$801="delivered")*(inventory!$A$2:$A$801+inventory!$B$2:$B$801)))),""))</f>
        <v/>
      </c>
      <c r="W187" s="25">
        <f>IF($A187="","",IFERROR(IF(INDEX(inventory!$J$2:$J$801,MATCH($A187&amp;"|"&amp;$B187&amp;"|delivered",inventory!$R$2:$R$801,0))="","",INDEX(inventory!$J$2:$J$801,MATCH($A187&amp;"|"&amp;$B187&amp;"|delivered",inventory!$R$2:$R$801,0))),""))</f>
        <v/>
      </c>
      <c r="X187" s="25">
        <f>IF($A187="","",IFERROR(IF(INDEX(photos!$H$2:$H$701,MATCH($A187&amp;"|"&amp;$B187&amp;"|placement|Y",photos!$R$2:$R$701,0))="","",INDEX(photos!$H$2:$H$701,MATCH($A187&amp;"|"&amp;$B187&amp;"|placement|Y",photos!$R$2:$R$701,0))),""))</f>
        <v/>
      </c>
      <c r="Y187" s="26">
        <f>IF($A187="","",IFERROR(IF(INDEX(photos!$E$2:$E$701,MATCH($A187&amp;"|"&amp;$B187&amp;"|placement|Y",photos!$R$2:$R$701,0))="","",INDEX(photos!$E$2:$E$701,MATCH($A187&amp;"|"&amp;$B187&amp;"|placement|Y",photos!$R$2:$R$701,0))),""))</f>
        <v/>
      </c>
      <c r="Z187" s="25">
        <f>IF($A187="","",IF(COUNTIFS(counts!$C$2:$C$701,$A187,counts!$D$2:$D$701,$B187,counts!$E$2:$E$701,"placed")=0,"",SUMIFS(counts!$F$2:$F$701,counts!$C$2:$C$701,$A187,counts!$D$2:$D$701,$B187,counts!$E$2:$E$701,"placed")))</f>
        <v/>
      </c>
      <c r="AA187" s="25">
        <f>IF($A187="","",IF($Y187="",0,N($Z187)))</f>
        <v/>
      </c>
      <c r="AB187" s="25">
        <f>IF($A187="","",IF(OR($Y187="",$I187=""),"N",IF($Y187&lt;=WORKDAY(N($I187),1,calendar!$A$2:$A$80),"Y","N")))</f>
        <v/>
      </c>
      <c r="AC187" s="28">
        <f>IF(OR($A187="",$V187="",$Y187=""),"",ROUND(($Y187+N(IFERROR(IF(INDEX(photos!$F$2:$F$701,MATCH($A187&amp;"|"&amp;$B187&amp;"|placement|Y",photos!$R$2:$R$701,0))="","",INDEX(photos!$F$2:$F$701,MATCH($A187&amp;"|"&amp;$B187&amp;"|placement|Y",photos!$R$2:$R$701,0))),""))-$V187)*24,1))</f>
        <v/>
      </c>
      <c r="AD187" s="25">
        <f>IF($A187="","",SUMIFS(inventory!$G$2:$G$801,inventory!$C$2:$C$801,$A187,inventory!$D$2:$D$801,$B187,inventory!$E$2:$E$801,"topped_up"))</f>
        <v/>
      </c>
      <c r="AE187" s="25">
        <f>IF($A187="","",IF(COUNTIFS(counts!$C$2:$C$701,$A187,counts!$D$2:$D$701,$B187,counts!$E$2:$E$701,"remaining_day3")=0,"",SUMIFS(counts!$F$2:$F$701,counts!$C$2:$C$701,$A187,counts!$D$2:$D$701,$B187,counts!$E$2:$E$701,"remaining_day3")))</f>
        <v/>
      </c>
      <c r="AF187" s="25">
        <f>IF($A187="","",IF(COUNTIFS(counts!$C$2:$C$701,$A187,counts!$D$2:$D$701,$B187,counts!$E$2:$E$701,"remaining_day5")=0,"",SUMIFS(counts!$F$2:$F$701,counts!$C$2:$C$701,$A187,counts!$D$2:$D$701,$B187,counts!$E$2:$E$701,"remaining_day5")))</f>
        <v/>
      </c>
      <c r="AG187" s="25">
        <f>IF(OR($A187="",$AF187=""),"",MAX(0,$AA187+$AD187-$AF187))</f>
        <v/>
      </c>
      <c r="AH187" s="25">
        <f>IF(OR($A187="",$AI187=""),"",IFERROR(IF(INDEX(photos!$H$2:$H$701,MATCH($A187&amp;"|"&amp;$B187&amp;"|later|Y|"&amp;$AI187,photos!$S$2:$S$701,0))="","",INDEX(photos!$H$2:$H$701,MATCH($A187&amp;"|"&amp;$B187&amp;"|later|Y|"&amp;$AI187,photos!$S$2:$S$701,0))),""))</f>
        <v/>
      </c>
      <c r="AI187" s="26">
        <f>IF($A187="","",IFERROR(1/(1/SUMPRODUCT(MAX((photos!$B$2:$B$701=$A187)*(photos!$C$2:$C$701=$B187)*(photos!$D$2:$D$701="later")*(photos!$O$2:$O$701="Y")*photos!$E$2:$E$701))),""))</f>
        <v/>
      </c>
      <c r="AJ187" s="25">
        <f>IF(OR($A187="",$AI187="",$I187=""),"",NETWORKDAYS($I187,$AI187,calendar!$A$2:$A$80))</f>
        <v/>
      </c>
      <c r="AK187" s="25">
        <f>IF($A187="","",IF(AND($X187&lt;&gt;"",$AH187&lt;&gt;""),"Y","N"))</f>
        <v/>
      </c>
      <c r="AL187" s="25">
        <f>IF(OR($A187="",$I187=""),"",IF($BC187="Y",SUMIFS(survey_frozen!$C$2:$C$251,survey_frozen!$P$2:$P$251,$A187&amp;"|"&amp;$B187),IFERROR(COUNTIFS(INDIRECT("'"&amp;$A187&amp;"'!$B$2:$B$501"),$T187,INDIRECT("'"&amp;$A187&amp;"'!$A$2:$A$501"),"&gt;="&amp;$I187,INDIRECT("'"&amp;$A187&amp;"'!$A$2:$A$501"),"&lt;"&amp;($BA187+1)),0)))</f>
        <v/>
      </c>
      <c r="AM187" s="25">
        <f>IF(OR($A187="",$I187=""),"",IF($BC187="Y",SUMIFS(survey_frozen!$D$2:$D$251,survey_frozen!$P$2:$P$251,$A187&amp;"|"&amp;$B187),IFERROR(COUNTIFS(INDIRECT("'"&amp;$A187&amp;"'!$B$2:$B$501"),$T187,INDIRECT("'"&amp;$A187&amp;"'!$A$2:$A$501"),"&gt;="&amp;$I187,INDIRECT("'"&amp;$A187&amp;"'!$A$2:$A$501"),"&lt;"&amp;($BA187+1),INDIRECT("'"&amp;$A187&amp;"'!$C$2:$C$501"),"Yes"),0)))</f>
        <v/>
      </c>
      <c r="AN187" s="25">
        <f>IF($A187="","",IF(COUNTIFS(scans!$C$2:$C$1601,(IF(LEFT($A187,7)="SAMPLE-","SAMPLE-","")&amp;LOWER(SUBSTITUTE(SUBSTITUTE($A187,"SAMPLE-",""),"CMP-","c"))&amp;"-"&amp;LOWER(SUBSTITUTE(SUBSTITUTE($B187,"SAMPLE-",""),"O-","o"))&amp;"-q"),scans!$D$2:$D$1601,"close")=0,"",SUMPRODUCT(MAX((scans!$C$2:$C$1601=(IF(LEFT($A187,7)="SAMPLE-","SAMPLE-","")&amp;LOWER(SUBSTITUTE(SUBSTITUTE($A187,"SAMPLE-",""),"CMP-","c"))&amp;"-"&amp;LOWER(SUBSTITUTE(SUBSTITUTE($B187,"SAMPLE-",""),"O-","o"))&amp;"-q"))*(scans!$D$2:$D$1601="close")*scans!$E$2:$E$1601))-SUMPRODUCT(MAX((scans!$C$2:$C$1601=(IF(LEFT($A187,7)="SAMPLE-","SAMPLE-","")&amp;LOWER(SUBSTITUTE(SUBSTITUTE($A187,"SAMPLE-",""),"CMP-","c"))&amp;"-"&amp;LOWER(SUBSTITUTE(SUBSTITUTE($B187,"SAMPLE-",""),"O-","o"))&amp;"-q"))*(scans!$D$2:$D$1601="baseline")*scans!$E$2:$E$1601))))</f>
        <v/>
      </c>
      <c r="AO187" s="25">
        <f>IF($A187="","",IF(COUNTIFS(scans!$C$2:$C$1601,(IF(LEFT($A187,7)="SAMPLE-","SAMPLE-","")&amp;LOWER(SUBSTITUTE(SUBSTITUTE($A187,"SAMPLE-",""),"CMP-","c"))&amp;"-"&amp;LOWER(SUBSTITUTE(SUBSTITUTE($B187,"SAMPLE-",""),"O-","o"))&amp;"-p"),scans!$D$2:$D$1601,"close")=0,"",SUMPRODUCT(MAX((scans!$C$2:$C$1601=(IF(LEFT($A187,7)="SAMPLE-","SAMPLE-","")&amp;LOWER(SUBSTITUTE(SUBSTITUTE($A187,"SAMPLE-",""),"CMP-","c"))&amp;"-"&amp;LOWER(SUBSTITUTE(SUBSTITUTE($B187,"SAMPLE-",""),"O-","o"))&amp;"-p"))*(scans!$D$2:$D$1601="close")*scans!$E$2:$E$1601))-SUMPRODUCT(MAX((scans!$C$2:$C$1601=(IF(LEFT($A187,7)="SAMPLE-","SAMPLE-","")&amp;LOWER(SUBSTITUTE(SUBSTITUTE($A187,"SAMPLE-",""),"CMP-","c"))&amp;"-"&amp;LOWER(SUBSTITUTE(SUBSTITUTE($B187,"SAMPLE-",""),"O-","o"))&amp;"-p"))*(scans!$D$2:$D$1601="baseline")*scans!$E$2:$E$1601))))</f>
        <v/>
      </c>
      <c r="AP187" s="25">
        <f>IF($A187="","",IF(COUNTIF(offices!$A$2:$A$61,$B187)=0,"office_id not on offices; ","")&amp;IF(COUNTIF(campaigns!$A$2:$A$51,$A187)=0,"campaign_id not on campaigns; ","")&amp;IF($P187="pending","approval pending; ","")&amp;IF(AND($U187&gt;0,$Y187="",OR($I187="",IF(config!$B$37&lt;&gt;"",config!$B$37,TODAY())&lt;=WORKDAY(N($I187),4,calendar!$A$2:$A$80))),"no usable placement photo yet; ","")&amp;IF(AND($Y187&lt;&gt;"",$Z187=""),"log the placed count; ","")&amp;IF(N($AA187)&gt;N($U187),"placed more than delivered; ","")&amp;IF(AND($AF187&lt;&gt;"",N($AF187)&gt;N($AA187)+N($AD187)),"day-5 count above placed plus top-ups; ","")&amp;IF(AND($U187&gt;0,$I187&lt;&gt;"",IF(config!$B$37&lt;&gt;"",config!$B$37,TODAY())&gt;WORKDAY(N($I187),4,calendar!$A$2:$A$80),$AF187=""),"day-5 count missing; ","")&amp;IF(AND($U187&gt;0,$I187&lt;&gt;"",IF(config!$B$37&lt;&gt;"",config!$B$37,TODAY())&gt;WORKDAY(N($I187),4,calendar!$A$2:$A$80),$AN187=""),"no close link reading; ","")&amp;$R187&amp;IF($P187="N","info: office said no; ","")&amp;IF(AND($P187="Y",$Q187="N"),"info: turned away at the door, so not on the drop (no letter, not in the report or Gate 2; the credit check is on campaigns); ","")&amp;IF(AND($U187&gt;0,$Y187="",$I187&lt;&gt;"",IF(config!$B$37&lt;&gt;"",config!$B$37,TODAY())&gt;WORKDAY(N($I187),4,calendar!$A$2:$A$80)),"info: no usable placement photo, so nothing counts as placed; ","")&amp;IF(AND($U187&gt;0,$I187&lt;&gt;"",IF(config!$B$37&lt;&gt;"",config!$B$37,TODAY())&gt;WORKDAY(N($I187),4,calendar!$A$2:$A$80),N($AL187)&lt;config!$B$30),"info: under "&amp;config!$B$30&amp;" responses; ","")&amp;IF($W187="packing_list","info: delivered count not verified; ",""))</f>
        <v/>
      </c>
      <c r="AQ187" s="25">
        <f>IF(OR($A187="",$I187=""),"",IF($BC187="Y",SUMIFS(survey_frozen!$E$2:$E$251,survey_frozen!$P$2:$P$251,$A187&amp;"|"&amp;$B187),IFERROR(COUNTIFS(INDIRECT("'"&amp;$A187&amp;"'!$B$2:$B$501"),$T187,INDIRECT("'"&amp;$A187&amp;"'!$A$2:$A$501"),"&gt;="&amp;$I187,INDIRECT("'"&amp;$A187&amp;"'!$A$2:$A$501"),"&lt;"&amp;($BA187+1),INDIRECT("'"&amp;$A187&amp;"'!$F$2:$F$501"),"Didn't see it"),0)))</f>
        <v/>
      </c>
      <c r="AR187" s="25">
        <f>IF(OR($A187="",$I187=""),"",IF($BC187="Y",SUMIFS(survey_frozen!$F$2:$F$251,survey_frozen!$P$2:$P$251,$A187&amp;"|"&amp;$B187),IFERROR(COUNTIFS(INDIRECT("'"&amp;$A187&amp;"'!$B$2:$B$501"),$T187,INDIRECT("'"&amp;$A187&amp;"'!$A$2:$A$501"),"&gt;="&amp;$I187,INDIRECT("'"&amp;$A187&amp;"'!$A$2:$A$501"),"&lt;"&amp;($BA187+1),INDIRECT("'"&amp;$A187&amp;"'!$F$2:$F$501"),"Not for me"),0)))</f>
        <v/>
      </c>
      <c r="AS187" s="25">
        <f>IF(OR($A187="",$I187=""),"",IF($BC187="Y",SUMIFS(survey_frozen!$G$2:$G$251,survey_frozen!$P$2:$P$251,$A187&amp;"|"&amp;$B187),IFERROR(COUNTIFS(INDIRECT("'"&amp;$A187&amp;"'!$B$2:$B$501"),$T187,INDIRECT("'"&amp;$A187&amp;"'!$A$2:$A$501"),"&gt;="&amp;$I187,INDIRECT("'"&amp;$A187&amp;"'!$A$2:$A$501"),"&lt;"&amp;($BA187+1),INDIRECT("'"&amp;$A187&amp;"'!$F$2:$F$501"),"Gone by the time I looked"),0)))</f>
        <v/>
      </c>
      <c r="AT187" s="25">
        <f>IF(OR($A187="",$I187=""),"",IF($BC187="Y",SUMIFS(survey_frozen!$H$2:$H$251,survey_frozen!$P$2:$P$251,$A187&amp;"|"&amp;$B187),IFERROR(COUNTIFS(INDIRECT("'"&amp;$A187&amp;"'!$B$2:$B$501"),$T187,INDIRECT("'"&amp;$A187&amp;"'!$A$2:$A$501"),"&gt;="&amp;$I187,INDIRECT("'"&amp;$A187&amp;"'!$A$2:$A$501"),"&lt;"&amp;($BA187+1),INDIRECT("'"&amp;$A187&amp;"'!$D$2:$D$501"),"&gt;=1"),0)))</f>
        <v/>
      </c>
      <c r="AU187" s="25">
        <f>IF(OR($A187="",$I187=""),"",IF($BC187="Y",SUMIFS(survey_frozen!$I$2:$I$251,survey_frozen!$P$2:$P$251,$A187&amp;"|"&amp;$B187),IFERROR(SUMIFS(INDIRECT("'"&amp;$A187&amp;"'!$D$2:$D$501"),INDIRECT("'"&amp;$A187&amp;"'!$B$2:$B$501"),$T187,INDIRECT("'"&amp;$A187&amp;"'!$A$2:$A$501"),"&gt;="&amp;$I187,INDIRECT("'"&amp;$A187&amp;"'!$A$2:$A$501"),"&lt;"&amp;($BA187+1)),0)))</f>
        <v/>
      </c>
      <c r="AV187" s="25">
        <f>IF(OR($A187="",$I187=""),"",IF($BC187="Y",SUMIFS(survey_frozen!$J$2:$J$251,survey_frozen!$P$2:$P$251,$A187&amp;"|"&amp;$B187),IFERROR(COUNTIFS(INDIRECT("'"&amp;$A187&amp;"'!$B$2:$B$501"),$T187,INDIRECT("'"&amp;$A187&amp;"'!$A$2:$A$501"),"&gt;="&amp;$I187,INDIRECT("'"&amp;$A187&amp;"'!$A$2:$A$501"),"&lt;"&amp;($BA187+1),INDIRECT("'"&amp;$A187&amp;"'!$E$2:$E$501"),"Yes"),0)))</f>
        <v/>
      </c>
      <c r="AW187" s="25">
        <f>IF(OR($A187="",$I187=""),"",IF($BC187="Y",SUMIFS(survey_frozen!$K$2:$K$251,survey_frozen!$P$2:$P$251,$A187&amp;"|"&amp;$B187),IFERROR(COUNTIFS(INDIRECT("'"&amp;$A187&amp;"'!$B$2:$B$501"),$T187,INDIRECT("'"&amp;$A187&amp;"'!$A$2:$A$501"),"&gt;="&amp;$I187,INDIRECT("'"&amp;$A187&amp;"'!$A$2:$A$501"),"&lt;"&amp;($BA187+1),INDIRECT("'"&amp;$A187&amp;"'!$E$2:$E$501"),"Maybe"),0)))</f>
        <v/>
      </c>
      <c r="AX187" s="25">
        <f>IF(OR($A187="",$I187=""),"",IF($BC187="Y",SUMIFS(survey_frozen!$L$2:$L$251,survey_frozen!$P$2:$P$251,$A187&amp;"|"&amp;$B187),IFERROR(COUNTIFS(INDIRECT("'"&amp;$A187&amp;"'!$B$2:$B$501"),$T187,INDIRECT("'"&amp;$A187&amp;"'!$A$2:$A$501"),"&gt;="&amp;$I187,INDIRECT("'"&amp;$A187&amp;"'!$A$2:$A$501"),"&lt;"&amp;($BA187+1),INDIRECT("'"&amp;$A187&amp;"'!$E$2:$E$501"),"No"),0)))</f>
        <v/>
      </c>
      <c r="AY187" s="25">
        <f>IF(OR($A187="",$I187=""),"",IF($BC187="Y",SUMIFS(survey_frozen!$M$2:$M$251,survey_frozen!$P$2:$P$251,$A187&amp;"|"&amp;$B187),IFERROR(COUNTIFS(INDIRECT("'"&amp;$A187&amp;"'!$B$2:$B$501"),$T187,INDIRECT("'"&amp;$A187&amp;"'!$A$2:$A$501"),"&gt;="&amp;$I187,INDIRECT("'"&amp;$A187&amp;"'!$A$2:$A$501"),"&lt;"&amp;($BA187+1),INDIRECT("'"&amp;$A187&amp;"'!$G$2:$G$501"),"&lt;&gt;"),0)))</f>
        <v/>
      </c>
      <c r="AZ187" s="25">
        <f>IF($A187="","",$A187&amp;"|"&amp;$L187)</f>
        <v/>
      </c>
      <c r="BA187" s="26">
        <f>IF($A187="","",IFERROR(IF(INDEX(drops!$R$2:$R$21,MATCH($H187,drops!$A$2:$A$21,0))="","",INDEX(drops!$R$2:$R$21,MATCH($H187,drops!$A$2:$A$21,0))),""))</f>
        <v/>
      </c>
      <c r="BB187" s="25">
        <f>IF(OR($A187="",$Q187&lt;&gt;"Y"),1000000,N($AL187))</f>
        <v/>
      </c>
      <c r="BC187" s="25">
        <f>IF($A187="","",IF(COUNTIF(survey_frozen!$P$2:$P$251,$A187&amp;"|"&amp;$B187)&gt;0,"Y",""))</f>
        <v/>
      </c>
    </row>
    <row r="188">
      <c r="C188" s="9" t="n"/>
      <c r="E188" s="9" t="n"/>
      <c r="H188" s="25">
        <f>IF($A188="","",IFERROR(IF(INDEX(campaigns!$B$2:$B$51,MATCH($A188,campaigns!$A$2:$A$51,0))="","",INDEX(campaigns!$B$2:$B$51,MATCH($A188,campaigns!$A$2:$A$51,0))),""))</f>
        <v/>
      </c>
      <c r="I188" s="26">
        <f>IF($A188="","",IFERROR(IF(INDEX(campaigns!$BG$2:$BG$51,MATCH($A188,campaigns!$A$2:$A$51,0))="","",INDEX(campaigns!$BG$2:$BG$51,MATCH($A188,campaigns!$A$2:$A$51,0))),""))</f>
        <v/>
      </c>
      <c r="J188" s="25">
        <f>IF($A188="","",IFERROR(IF(INDEX(campaigns!$BE$2:$BE$51,MATCH($A188,campaigns!$A$2:$A$51,0))="","",INDEX(campaigns!$BE$2:$BE$51,MATCH($A188,campaigns!$A$2:$A$51,0))),""))</f>
        <v/>
      </c>
      <c r="K188" s="25">
        <f>IF($B188="","",IFERROR(IF(INDEX(offices!$N$2:$N$61,MATCH($B188,offices!$A$2:$A$61,0))="","",INDEX(offices!$N$2:$N$61,MATCH($B188,offices!$A$2:$A$61,0))),""))</f>
        <v/>
      </c>
      <c r="L188" s="25">
        <f>IF($A188="","",IF($Q188="N","",COUNTIFS($A$2:$A188,$A188,$Q$2:$Q188,"&lt;&gt;N")))</f>
        <v/>
      </c>
      <c r="M188" s="25">
        <f>IF(OR($A188="",$L188=""),"",IF(AND(config!$B$34="names_if_public",IFERROR(IF(INDEX(offices!$AF$2:$AF$61,MATCH($B188,offices!$A$2:$A$61,0))="","",INDEX(offices!$AF$2:$AF$61,MATCH($B188,offices!$A$2:$A$61,0))),"")="Y"),$K188,CHAR(64+$L188)))</f>
        <v/>
      </c>
      <c r="N188" s="25">
        <f>IF(OR($A188="",$I188=""),"",COUNTIFS(stops!$B$2:$B$151,$B188,stops!$P$2:$P$151,"&lt;"&amp;$I188,stops!$L$2:$L$151,"&lt;&gt;not_delivered")+1)</f>
        <v/>
      </c>
      <c r="O188" s="25">
        <f>IF($A188="","",IF(N($N188)&lt;=config!$B$29,"explicit","opt-out"))</f>
        <v/>
      </c>
      <c r="P188" s="25">
        <f>IF($A188="","",IF($O188="explicit",IF($D188="yes","Y",IF($D188="no","N","pending")),IF($D188="no","N",IF(AND($C188&lt;&gt;"",$I188&lt;&gt;"",$C188&lt;=WORKDAY(N($I188),-5,calendar!$A$2:$A$80)),"Y","pending"))))</f>
        <v/>
      </c>
      <c r="Q188" s="25">
        <f>IF($A188="","",IF($P188="N","N",IF($P188&lt;&gt;"Y","pending",IF(AND((COUNTIFS(stops!$A$2:$A$151,$H188,stops!$B$2:$B$151,$B188,stops!$L$2:$L$151,"declined")+COUNTIFS(stops!$A$2:$A$151,$H188,stops!$B$2:$B$151,$B188,stops!$L$2:$L$151,"building_refused")+COUNTIFS(stops!$A$2:$A$151,$H188,stops!$B$2:$B$151,$B188,stops!$L$2:$L$151,"not_delivered"))&gt;0,N($U188)=0),"N","Y"))))</f>
        <v/>
      </c>
      <c r="R188" s="25">
        <f>IF($A188="","",IF(COUNTIFS($A$2:$A$251,$A188,$B$2:$B$251,$B188)&gt;1,"DUPLICATE ROW; ","")&amp;IF(AND(IFERROR(IF(INDEX(offices!$AC$2:$AC$61,MATCH($B188,offices!$A$2:$A$61,0))="","",INDEX(offices!$AC$2:$AC$61,MATCH($B188,offices!$A$2:$A$61,0))),"")&lt;&gt;"",ISNUMBER(SEARCH($J188,IFERROR(IF(INDEX(offices!$AC$2:$AC$61,MATCH($B188,offices!$A$2:$A$61,0))="","",INDEX(offices!$AC$2:$AC$61,MATCH($B188,offices!$A$2:$A$61,0))),"")))),"BRAND VETOED; ","")&amp;IF(ISNUMBER(SEARCH(IFERROR(IF(INDEX(campaigns!$BF$2:$BF$51,MATCH($A188,campaigns!$A$2:$A$51,0))="","",INDEX(campaigns!$BF$2:$BF$51,MATCH($A188,campaigns!$A$2:$A$51,0))),""),IFERROR(IF(INDEX(offices!$AB$2:$AB$61,MATCH($B188,offices!$A$2:$A$61,0))="","",INDEX(offices!$AB$2:$AB$61,MATCH($B188,offices!$A$2:$A$61,0))),""))),"","info: category not on the office's list; ")&amp;IF(IFERROR(IF(INDEX(offices!$AC$2:$AC$61,MATCH($B188,offices!$A$2:$A$61,0))="","",INDEX(offices!$AC$2:$AC$61,MATCH($B188,offices!$A$2:$A$61,0))),"")&lt;&gt;"","info: read the vetoes against the label; ",""))</f>
        <v/>
      </c>
      <c r="S188" s="25">
        <f>IF($A188="","",IF($G188&lt;&gt;"",$G188,IFERROR(IF(INDEX(offices!$AL$2:$AL$61,MATCH($B188,offices!$A$2:$A$61,0))="","",INDEX(offices!$AL$2:$AL$61,MATCH($B188,offices!$A$2:$A$61,0))),"")))</f>
        <v/>
      </c>
      <c r="T188" s="25">
        <f>IF($A188="","",$A188&amp;"."&amp;$B188)</f>
        <v/>
      </c>
      <c r="U188" s="25">
        <f>IF($A188="","",SUMIFS(inventory!$G$2:$G$801,inventory!$C$2:$C$801,$A188,inventory!$D$2:$D$801,$B188,inventory!$E$2:$E$801,"delivered"))</f>
        <v/>
      </c>
      <c r="V188" s="32">
        <f>IF($A188="","",IFERROR(1/(1/SUMPRODUCT(MAX((inventory!$C$2:$C$801=$A188)*(inventory!$D$2:$D$801=$B188)*(inventory!$E$2:$E$801="delivered")*(inventory!$A$2:$A$801+inventory!$B$2:$B$801)))),""))</f>
        <v/>
      </c>
      <c r="W188" s="25">
        <f>IF($A188="","",IFERROR(IF(INDEX(inventory!$J$2:$J$801,MATCH($A188&amp;"|"&amp;$B188&amp;"|delivered",inventory!$R$2:$R$801,0))="","",INDEX(inventory!$J$2:$J$801,MATCH($A188&amp;"|"&amp;$B188&amp;"|delivered",inventory!$R$2:$R$801,0))),""))</f>
        <v/>
      </c>
      <c r="X188" s="25">
        <f>IF($A188="","",IFERROR(IF(INDEX(photos!$H$2:$H$701,MATCH($A188&amp;"|"&amp;$B188&amp;"|placement|Y",photos!$R$2:$R$701,0))="","",INDEX(photos!$H$2:$H$701,MATCH($A188&amp;"|"&amp;$B188&amp;"|placement|Y",photos!$R$2:$R$701,0))),""))</f>
        <v/>
      </c>
      <c r="Y188" s="26">
        <f>IF($A188="","",IFERROR(IF(INDEX(photos!$E$2:$E$701,MATCH($A188&amp;"|"&amp;$B188&amp;"|placement|Y",photos!$R$2:$R$701,0))="","",INDEX(photos!$E$2:$E$701,MATCH($A188&amp;"|"&amp;$B188&amp;"|placement|Y",photos!$R$2:$R$701,0))),""))</f>
        <v/>
      </c>
      <c r="Z188" s="25">
        <f>IF($A188="","",IF(COUNTIFS(counts!$C$2:$C$701,$A188,counts!$D$2:$D$701,$B188,counts!$E$2:$E$701,"placed")=0,"",SUMIFS(counts!$F$2:$F$701,counts!$C$2:$C$701,$A188,counts!$D$2:$D$701,$B188,counts!$E$2:$E$701,"placed")))</f>
        <v/>
      </c>
      <c r="AA188" s="25">
        <f>IF($A188="","",IF($Y188="",0,N($Z188)))</f>
        <v/>
      </c>
      <c r="AB188" s="25">
        <f>IF($A188="","",IF(OR($Y188="",$I188=""),"N",IF($Y188&lt;=WORKDAY(N($I188),1,calendar!$A$2:$A$80),"Y","N")))</f>
        <v/>
      </c>
      <c r="AC188" s="28">
        <f>IF(OR($A188="",$V188="",$Y188=""),"",ROUND(($Y188+N(IFERROR(IF(INDEX(photos!$F$2:$F$701,MATCH($A188&amp;"|"&amp;$B188&amp;"|placement|Y",photos!$R$2:$R$701,0))="","",INDEX(photos!$F$2:$F$701,MATCH($A188&amp;"|"&amp;$B188&amp;"|placement|Y",photos!$R$2:$R$701,0))),""))-$V188)*24,1))</f>
        <v/>
      </c>
      <c r="AD188" s="25">
        <f>IF($A188="","",SUMIFS(inventory!$G$2:$G$801,inventory!$C$2:$C$801,$A188,inventory!$D$2:$D$801,$B188,inventory!$E$2:$E$801,"topped_up"))</f>
        <v/>
      </c>
      <c r="AE188" s="25">
        <f>IF($A188="","",IF(COUNTIFS(counts!$C$2:$C$701,$A188,counts!$D$2:$D$701,$B188,counts!$E$2:$E$701,"remaining_day3")=0,"",SUMIFS(counts!$F$2:$F$701,counts!$C$2:$C$701,$A188,counts!$D$2:$D$701,$B188,counts!$E$2:$E$701,"remaining_day3")))</f>
        <v/>
      </c>
      <c r="AF188" s="25">
        <f>IF($A188="","",IF(COUNTIFS(counts!$C$2:$C$701,$A188,counts!$D$2:$D$701,$B188,counts!$E$2:$E$701,"remaining_day5")=0,"",SUMIFS(counts!$F$2:$F$701,counts!$C$2:$C$701,$A188,counts!$D$2:$D$701,$B188,counts!$E$2:$E$701,"remaining_day5")))</f>
        <v/>
      </c>
      <c r="AG188" s="25">
        <f>IF(OR($A188="",$AF188=""),"",MAX(0,$AA188+$AD188-$AF188))</f>
        <v/>
      </c>
      <c r="AH188" s="25">
        <f>IF(OR($A188="",$AI188=""),"",IFERROR(IF(INDEX(photos!$H$2:$H$701,MATCH($A188&amp;"|"&amp;$B188&amp;"|later|Y|"&amp;$AI188,photos!$S$2:$S$701,0))="","",INDEX(photos!$H$2:$H$701,MATCH($A188&amp;"|"&amp;$B188&amp;"|later|Y|"&amp;$AI188,photos!$S$2:$S$701,0))),""))</f>
        <v/>
      </c>
      <c r="AI188" s="26">
        <f>IF($A188="","",IFERROR(1/(1/SUMPRODUCT(MAX((photos!$B$2:$B$701=$A188)*(photos!$C$2:$C$701=$B188)*(photos!$D$2:$D$701="later")*(photos!$O$2:$O$701="Y")*photos!$E$2:$E$701))),""))</f>
        <v/>
      </c>
      <c r="AJ188" s="25">
        <f>IF(OR($A188="",$AI188="",$I188=""),"",NETWORKDAYS($I188,$AI188,calendar!$A$2:$A$80))</f>
        <v/>
      </c>
      <c r="AK188" s="25">
        <f>IF($A188="","",IF(AND($X188&lt;&gt;"",$AH188&lt;&gt;""),"Y","N"))</f>
        <v/>
      </c>
      <c r="AL188" s="25">
        <f>IF(OR($A188="",$I188=""),"",IF($BC188="Y",SUMIFS(survey_frozen!$C$2:$C$251,survey_frozen!$P$2:$P$251,$A188&amp;"|"&amp;$B188),IFERROR(COUNTIFS(INDIRECT("'"&amp;$A188&amp;"'!$B$2:$B$501"),$T188,INDIRECT("'"&amp;$A188&amp;"'!$A$2:$A$501"),"&gt;="&amp;$I188,INDIRECT("'"&amp;$A188&amp;"'!$A$2:$A$501"),"&lt;"&amp;($BA188+1)),0)))</f>
        <v/>
      </c>
      <c r="AM188" s="25">
        <f>IF(OR($A188="",$I188=""),"",IF($BC188="Y",SUMIFS(survey_frozen!$D$2:$D$251,survey_frozen!$P$2:$P$251,$A188&amp;"|"&amp;$B188),IFERROR(COUNTIFS(INDIRECT("'"&amp;$A188&amp;"'!$B$2:$B$501"),$T188,INDIRECT("'"&amp;$A188&amp;"'!$A$2:$A$501"),"&gt;="&amp;$I188,INDIRECT("'"&amp;$A188&amp;"'!$A$2:$A$501"),"&lt;"&amp;($BA188+1),INDIRECT("'"&amp;$A188&amp;"'!$C$2:$C$501"),"Yes"),0)))</f>
        <v/>
      </c>
      <c r="AN188" s="25">
        <f>IF($A188="","",IF(COUNTIFS(scans!$C$2:$C$1601,(IF(LEFT($A188,7)="SAMPLE-","SAMPLE-","")&amp;LOWER(SUBSTITUTE(SUBSTITUTE($A188,"SAMPLE-",""),"CMP-","c"))&amp;"-"&amp;LOWER(SUBSTITUTE(SUBSTITUTE($B188,"SAMPLE-",""),"O-","o"))&amp;"-q"),scans!$D$2:$D$1601,"close")=0,"",SUMPRODUCT(MAX((scans!$C$2:$C$1601=(IF(LEFT($A188,7)="SAMPLE-","SAMPLE-","")&amp;LOWER(SUBSTITUTE(SUBSTITUTE($A188,"SAMPLE-",""),"CMP-","c"))&amp;"-"&amp;LOWER(SUBSTITUTE(SUBSTITUTE($B188,"SAMPLE-",""),"O-","o"))&amp;"-q"))*(scans!$D$2:$D$1601="close")*scans!$E$2:$E$1601))-SUMPRODUCT(MAX((scans!$C$2:$C$1601=(IF(LEFT($A188,7)="SAMPLE-","SAMPLE-","")&amp;LOWER(SUBSTITUTE(SUBSTITUTE($A188,"SAMPLE-",""),"CMP-","c"))&amp;"-"&amp;LOWER(SUBSTITUTE(SUBSTITUTE($B188,"SAMPLE-",""),"O-","o"))&amp;"-q"))*(scans!$D$2:$D$1601="baseline")*scans!$E$2:$E$1601))))</f>
        <v/>
      </c>
      <c r="AO188" s="25">
        <f>IF($A188="","",IF(COUNTIFS(scans!$C$2:$C$1601,(IF(LEFT($A188,7)="SAMPLE-","SAMPLE-","")&amp;LOWER(SUBSTITUTE(SUBSTITUTE($A188,"SAMPLE-",""),"CMP-","c"))&amp;"-"&amp;LOWER(SUBSTITUTE(SUBSTITUTE($B188,"SAMPLE-",""),"O-","o"))&amp;"-p"),scans!$D$2:$D$1601,"close")=0,"",SUMPRODUCT(MAX((scans!$C$2:$C$1601=(IF(LEFT($A188,7)="SAMPLE-","SAMPLE-","")&amp;LOWER(SUBSTITUTE(SUBSTITUTE($A188,"SAMPLE-",""),"CMP-","c"))&amp;"-"&amp;LOWER(SUBSTITUTE(SUBSTITUTE($B188,"SAMPLE-",""),"O-","o"))&amp;"-p"))*(scans!$D$2:$D$1601="close")*scans!$E$2:$E$1601))-SUMPRODUCT(MAX((scans!$C$2:$C$1601=(IF(LEFT($A188,7)="SAMPLE-","SAMPLE-","")&amp;LOWER(SUBSTITUTE(SUBSTITUTE($A188,"SAMPLE-",""),"CMP-","c"))&amp;"-"&amp;LOWER(SUBSTITUTE(SUBSTITUTE($B188,"SAMPLE-",""),"O-","o"))&amp;"-p"))*(scans!$D$2:$D$1601="baseline")*scans!$E$2:$E$1601))))</f>
        <v/>
      </c>
      <c r="AP188" s="25">
        <f>IF($A188="","",IF(COUNTIF(offices!$A$2:$A$61,$B188)=0,"office_id not on offices; ","")&amp;IF(COUNTIF(campaigns!$A$2:$A$51,$A188)=0,"campaign_id not on campaigns; ","")&amp;IF($P188="pending","approval pending; ","")&amp;IF(AND($U188&gt;0,$Y188="",OR($I188="",IF(config!$B$37&lt;&gt;"",config!$B$37,TODAY())&lt;=WORKDAY(N($I188),4,calendar!$A$2:$A$80))),"no usable placement photo yet; ","")&amp;IF(AND($Y188&lt;&gt;"",$Z188=""),"log the placed count; ","")&amp;IF(N($AA188)&gt;N($U188),"placed more than delivered; ","")&amp;IF(AND($AF188&lt;&gt;"",N($AF188)&gt;N($AA188)+N($AD188)),"day-5 count above placed plus top-ups; ","")&amp;IF(AND($U188&gt;0,$I188&lt;&gt;"",IF(config!$B$37&lt;&gt;"",config!$B$37,TODAY())&gt;WORKDAY(N($I188),4,calendar!$A$2:$A$80),$AF188=""),"day-5 count missing; ","")&amp;IF(AND($U188&gt;0,$I188&lt;&gt;"",IF(config!$B$37&lt;&gt;"",config!$B$37,TODAY())&gt;WORKDAY(N($I188),4,calendar!$A$2:$A$80),$AN188=""),"no close link reading; ","")&amp;$R188&amp;IF($P188="N","info: office said no; ","")&amp;IF(AND($P188="Y",$Q188="N"),"info: turned away at the door, so not on the drop (no letter, not in the report or Gate 2; the credit check is on campaigns); ","")&amp;IF(AND($U188&gt;0,$Y188="",$I188&lt;&gt;"",IF(config!$B$37&lt;&gt;"",config!$B$37,TODAY())&gt;WORKDAY(N($I188),4,calendar!$A$2:$A$80)),"info: no usable placement photo, so nothing counts as placed; ","")&amp;IF(AND($U188&gt;0,$I188&lt;&gt;"",IF(config!$B$37&lt;&gt;"",config!$B$37,TODAY())&gt;WORKDAY(N($I188),4,calendar!$A$2:$A$80),N($AL188)&lt;config!$B$30),"info: under "&amp;config!$B$30&amp;" responses; ","")&amp;IF($W188="packing_list","info: delivered count not verified; ",""))</f>
        <v/>
      </c>
      <c r="AQ188" s="25">
        <f>IF(OR($A188="",$I188=""),"",IF($BC188="Y",SUMIFS(survey_frozen!$E$2:$E$251,survey_frozen!$P$2:$P$251,$A188&amp;"|"&amp;$B188),IFERROR(COUNTIFS(INDIRECT("'"&amp;$A188&amp;"'!$B$2:$B$501"),$T188,INDIRECT("'"&amp;$A188&amp;"'!$A$2:$A$501"),"&gt;="&amp;$I188,INDIRECT("'"&amp;$A188&amp;"'!$A$2:$A$501"),"&lt;"&amp;($BA188+1),INDIRECT("'"&amp;$A188&amp;"'!$F$2:$F$501"),"Didn't see it"),0)))</f>
        <v/>
      </c>
      <c r="AR188" s="25">
        <f>IF(OR($A188="",$I188=""),"",IF($BC188="Y",SUMIFS(survey_frozen!$F$2:$F$251,survey_frozen!$P$2:$P$251,$A188&amp;"|"&amp;$B188),IFERROR(COUNTIFS(INDIRECT("'"&amp;$A188&amp;"'!$B$2:$B$501"),$T188,INDIRECT("'"&amp;$A188&amp;"'!$A$2:$A$501"),"&gt;="&amp;$I188,INDIRECT("'"&amp;$A188&amp;"'!$A$2:$A$501"),"&lt;"&amp;($BA188+1),INDIRECT("'"&amp;$A188&amp;"'!$F$2:$F$501"),"Not for me"),0)))</f>
        <v/>
      </c>
      <c r="AS188" s="25">
        <f>IF(OR($A188="",$I188=""),"",IF($BC188="Y",SUMIFS(survey_frozen!$G$2:$G$251,survey_frozen!$P$2:$P$251,$A188&amp;"|"&amp;$B188),IFERROR(COUNTIFS(INDIRECT("'"&amp;$A188&amp;"'!$B$2:$B$501"),$T188,INDIRECT("'"&amp;$A188&amp;"'!$A$2:$A$501"),"&gt;="&amp;$I188,INDIRECT("'"&amp;$A188&amp;"'!$A$2:$A$501"),"&lt;"&amp;($BA188+1),INDIRECT("'"&amp;$A188&amp;"'!$F$2:$F$501"),"Gone by the time I looked"),0)))</f>
        <v/>
      </c>
      <c r="AT188" s="25">
        <f>IF(OR($A188="",$I188=""),"",IF($BC188="Y",SUMIFS(survey_frozen!$H$2:$H$251,survey_frozen!$P$2:$P$251,$A188&amp;"|"&amp;$B188),IFERROR(COUNTIFS(INDIRECT("'"&amp;$A188&amp;"'!$B$2:$B$501"),$T188,INDIRECT("'"&amp;$A188&amp;"'!$A$2:$A$501"),"&gt;="&amp;$I188,INDIRECT("'"&amp;$A188&amp;"'!$A$2:$A$501"),"&lt;"&amp;($BA188+1),INDIRECT("'"&amp;$A188&amp;"'!$D$2:$D$501"),"&gt;=1"),0)))</f>
        <v/>
      </c>
      <c r="AU188" s="25">
        <f>IF(OR($A188="",$I188=""),"",IF($BC188="Y",SUMIFS(survey_frozen!$I$2:$I$251,survey_frozen!$P$2:$P$251,$A188&amp;"|"&amp;$B188),IFERROR(SUMIFS(INDIRECT("'"&amp;$A188&amp;"'!$D$2:$D$501"),INDIRECT("'"&amp;$A188&amp;"'!$B$2:$B$501"),$T188,INDIRECT("'"&amp;$A188&amp;"'!$A$2:$A$501"),"&gt;="&amp;$I188,INDIRECT("'"&amp;$A188&amp;"'!$A$2:$A$501"),"&lt;"&amp;($BA188+1)),0)))</f>
        <v/>
      </c>
      <c r="AV188" s="25">
        <f>IF(OR($A188="",$I188=""),"",IF($BC188="Y",SUMIFS(survey_frozen!$J$2:$J$251,survey_frozen!$P$2:$P$251,$A188&amp;"|"&amp;$B188),IFERROR(COUNTIFS(INDIRECT("'"&amp;$A188&amp;"'!$B$2:$B$501"),$T188,INDIRECT("'"&amp;$A188&amp;"'!$A$2:$A$501"),"&gt;="&amp;$I188,INDIRECT("'"&amp;$A188&amp;"'!$A$2:$A$501"),"&lt;"&amp;($BA188+1),INDIRECT("'"&amp;$A188&amp;"'!$E$2:$E$501"),"Yes"),0)))</f>
        <v/>
      </c>
      <c r="AW188" s="25">
        <f>IF(OR($A188="",$I188=""),"",IF($BC188="Y",SUMIFS(survey_frozen!$K$2:$K$251,survey_frozen!$P$2:$P$251,$A188&amp;"|"&amp;$B188),IFERROR(COUNTIFS(INDIRECT("'"&amp;$A188&amp;"'!$B$2:$B$501"),$T188,INDIRECT("'"&amp;$A188&amp;"'!$A$2:$A$501"),"&gt;="&amp;$I188,INDIRECT("'"&amp;$A188&amp;"'!$A$2:$A$501"),"&lt;"&amp;($BA188+1),INDIRECT("'"&amp;$A188&amp;"'!$E$2:$E$501"),"Maybe"),0)))</f>
        <v/>
      </c>
      <c r="AX188" s="25">
        <f>IF(OR($A188="",$I188=""),"",IF($BC188="Y",SUMIFS(survey_frozen!$L$2:$L$251,survey_frozen!$P$2:$P$251,$A188&amp;"|"&amp;$B188),IFERROR(COUNTIFS(INDIRECT("'"&amp;$A188&amp;"'!$B$2:$B$501"),$T188,INDIRECT("'"&amp;$A188&amp;"'!$A$2:$A$501"),"&gt;="&amp;$I188,INDIRECT("'"&amp;$A188&amp;"'!$A$2:$A$501"),"&lt;"&amp;($BA188+1),INDIRECT("'"&amp;$A188&amp;"'!$E$2:$E$501"),"No"),0)))</f>
        <v/>
      </c>
      <c r="AY188" s="25">
        <f>IF(OR($A188="",$I188=""),"",IF($BC188="Y",SUMIFS(survey_frozen!$M$2:$M$251,survey_frozen!$P$2:$P$251,$A188&amp;"|"&amp;$B188),IFERROR(COUNTIFS(INDIRECT("'"&amp;$A188&amp;"'!$B$2:$B$501"),$T188,INDIRECT("'"&amp;$A188&amp;"'!$A$2:$A$501"),"&gt;="&amp;$I188,INDIRECT("'"&amp;$A188&amp;"'!$A$2:$A$501"),"&lt;"&amp;($BA188+1),INDIRECT("'"&amp;$A188&amp;"'!$G$2:$G$501"),"&lt;&gt;"),0)))</f>
        <v/>
      </c>
      <c r="AZ188" s="25">
        <f>IF($A188="","",$A188&amp;"|"&amp;$L188)</f>
        <v/>
      </c>
      <c r="BA188" s="26">
        <f>IF($A188="","",IFERROR(IF(INDEX(drops!$R$2:$R$21,MATCH($H188,drops!$A$2:$A$21,0))="","",INDEX(drops!$R$2:$R$21,MATCH($H188,drops!$A$2:$A$21,0))),""))</f>
        <v/>
      </c>
      <c r="BB188" s="25">
        <f>IF(OR($A188="",$Q188&lt;&gt;"Y"),1000000,N($AL188))</f>
        <v/>
      </c>
      <c r="BC188" s="25">
        <f>IF($A188="","",IF(COUNTIF(survey_frozen!$P$2:$P$251,$A188&amp;"|"&amp;$B188)&gt;0,"Y",""))</f>
        <v/>
      </c>
    </row>
    <row r="189">
      <c r="C189" s="9" t="n"/>
      <c r="E189" s="9" t="n"/>
      <c r="H189" s="25">
        <f>IF($A189="","",IFERROR(IF(INDEX(campaigns!$B$2:$B$51,MATCH($A189,campaigns!$A$2:$A$51,0))="","",INDEX(campaigns!$B$2:$B$51,MATCH($A189,campaigns!$A$2:$A$51,0))),""))</f>
        <v/>
      </c>
      <c r="I189" s="26">
        <f>IF($A189="","",IFERROR(IF(INDEX(campaigns!$BG$2:$BG$51,MATCH($A189,campaigns!$A$2:$A$51,0))="","",INDEX(campaigns!$BG$2:$BG$51,MATCH($A189,campaigns!$A$2:$A$51,0))),""))</f>
        <v/>
      </c>
      <c r="J189" s="25">
        <f>IF($A189="","",IFERROR(IF(INDEX(campaigns!$BE$2:$BE$51,MATCH($A189,campaigns!$A$2:$A$51,0))="","",INDEX(campaigns!$BE$2:$BE$51,MATCH($A189,campaigns!$A$2:$A$51,0))),""))</f>
        <v/>
      </c>
      <c r="K189" s="25">
        <f>IF($B189="","",IFERROR(IF(INDEX(offices!$N$2:$N$61,MATCH($B189,offices!$A$2:$A$61,0))="","",INDEX(offices!$N$2:$N$61,MATCH($B189,offices!$A$2:$A$61,0))),""))</f>
        <v/>
      </c>
      <c r="L189" s="25">
        <f>IF($A189="","",IF($Q189="N","",COUNTIFS($A$2:$A189,$A189,$Q$2:$Q189,"&lt;&gt;N")))</f>
        <v/>
      </c>
      <c r="M189" s="25">
        <f>IF(OR($A189="",$L189=""),"",IF(AND(config!$B$34="names_if_public",IFERROR(IF(INDEX(offices!$AF$2:$AF$61,MATCH($B189,offices!$A$2:$A$61,0))="","",INDEX(offices!$AF$2:$AF$61,MATCH($B189,offices!$A$2:$A$61,0))),"")="Y"),$K189,CHAR(64+$L189)))</f>
        <v/>
      </c>
      <c r="N189" s="25">
        <f>IF(OR($A189="",$I189=""),"",COUNTIFS(stops!$B$2:$B$151,$B189,stops!$P$2:$P$151,"&lt;"&amp;$I189,stops!$L$2:$L$151,"&lt;&gt;not_delivered")+1)</f>
        <v/>
      </c>
      <c r="O189" s="25">
        <f>IF($A189="","",IF(N($N189)&lt;=config!$B$29,"explicit","opt-out"))</f>
        <v/>
      </c>
      <c r="P189" s="25">
        <f>IF($A189="","",IF($O189="explicit",IF($D189="yes","Y",IF($D189="no","N","pending")),IF($D189="no","N",IF(AND($C189&lt;&gt;"",$I189&lt;&gt;"",$C189&lt;=WORKDAY(N($I189),-5,calendar!$A$2:$A$80)),"Y","pending"))))</f>
        <v/>
      </c>
      <c r="Q189" s="25">
        <f>IF($A189="","",IF($P189="N","N",IF($P189&lt;&gt;"Y","pending",IF(AND((COUNTIFS(stops!$A$2:$A$151,$H189,stops!$B$2:$B$151,$B189,stops!$L$2:$L$151,"declined")+COUNTIFS(stops!$A$2:$A$151,$H189,stops!$B$2:$B$151,$B189,stops!$L$2:$L$151,"building_refused")+COUNTIFS(stops!$A$2:$A$151,$H189,stops!$B$2:$B$151,$B189,stops!$L$2:$L$151,"not_delivered"))&gt;0,N($U189)=0),"N","Y"))))</f>
        <v/>
      </c>
      <c r="R189" s="25">
        <f>IF($A189="","",IF(COUNTIFS($A$2:$A$251,$A189,$B$2:$B$251,$B189)&gt;1,"DUPLICATE ROW; ","")&amp;IF(AND(IFERROR(IF(INDEX(offices!$AC$2:$AC$61,MATCH($B189,offices!$A$2:$A$61,0))="","",INDEX(offices!$AC$2:$AC$61,MATCH($B189,offices!$A$2:$A$61,0))),"")&lt;&gt;"",ISNUMBER(SEARCH($J189,IFERROR(IF(INDEX(offices!$AC$2:$AC$61,MATCH($B189,offices!$A$2:$A$61,0))="","",INDEX(offices!$AC$2:$AC$61,MATCH($B189,offices!$A$2:$A$61,0))),"")))),"BRAND VETOED; ","")&amp;IF(ISNUMBER(SEARCH(IFERROR(IF(INDEX(campaigns!$BF$2:$BF$51,MATCH($A189,campaigns!$A$2:$A$51,0))="","",INDEX(campaigns!$BF$2:$BF$51,MATCH($A189,campaigns!$A$2:$A$51,0))),""),IFERROR(IF(INDEX(offices!$AB$2:$AB$61,MATCH($B189,offices!$A$2:$A$61,0))="","",INDEX(offices!$AB$2:$AB$61,MATCH($B189,offices!$A$2:$A$61,0))),""))),"","info: category not on the office's list; ")&amp;IF(IFERROR(IF(INDEX(offices!$AC$2:$AC$61,MATCH($B189,offices!$A$2:$A$61,0))="","",INDEX(offices!$AC$2:$AC$61,MATCH($B189,offices!$A$2:$A$61,0))),"")&lt;&gt;"","info: read the vetoes against the label; ",""))</f>
        <v/>
      </c>
      <c r="S189" s="25">
        <f>IF($A189="","",IF($G189&lt;&gt;"",$G189,IFERROR(IF(INDEX(offices!$AL$2:$AL$61,MATCH($B189,offices!$A$2:$A$61,0))="","",INDEX(offices!$AL$2:$AL$61,MATCH($B189,offices!$A$2:$A$61,0))),"")))</f>
        <v/>
      </c>
      <c r="T189" s="25">
        <f>IF($A189="","",$A189&amp;"."&amp;$B189)</f>
        <v/>
      </c>
      <c r="U189" s="25">
        <f>IF($A189="","",SUMIFS(inventory!$G$2:$G$801,inventory!$C$2:$C$801,$A189,inventory!$D$2:$D$801,$B189,inventory!$E$2:$E$801,"delivered"))</f>
        <v/>
      </c>
      <c r="V189" s="32">
        <f>IF($A189="","",IFERROR(1/(1/SUMPRODUCT(MAX((inventory!$C$2:$C$801=$A189)*(inventory!$D$2:$D$801=$B189)*(inventory!$E$2:$E$801="delivered")*(inventory!$A$2:$A$801+inventory!$B$2:$B$801)))),""))</f>
        <v/>
      </c>
      <c r="W189" s="25">
        <f>IF($A189="","",IFERROR(IF(INDEX(inventory!$J$2:$J$801,MATCH($A189&amp;"|"&amp;$B189&amp;"|delivered",inventory!$R$2:$R$801,0))="","",INDEX(inventory!$J$2:$J$801,MATCH($A189&amp;"|"&amp;$B189&amp;"|delivered",inventory!$R$2:$R$801,0))),""))</f>
        <v/>
      </c>
      <c r="X189" s="25">
        <f>IF($A189="","",IFERROR(IF(INDEX(photos!$H$2:$H$701,MATCH($A189&amp;"|"&amp;$B189&amp;"|placement|Y",photos!$R$2:$R$701,0))="","",INDEX(photos!$H$2:$H$701,MATCH($A189&amp;"|"&amp;$B189&amp;"|placement|Y",photos!$R$2:$R$701,0))),""))</f>
        <v/>
      </c>
      <c r="Y189" s="26">
        <f>IF($A189="","",IFERROR(IF(INDEX(photos!$E$2:$E$701,MATCH($A189&amp;"|"&amp;$B189&amp;"|placement|Y",photos!$R$2:$R$701,0))="","",INDEX(photos!$E$2:$E$701,MATCH($A189&amp;"|"&amp;$B189&amp;"|placement|Y",photos!$R$2:$R$701,0))),""))</f>
        <v/>
      </c>
      <c r="Z189" s="25">
        <f>IF($A189="","",IF(COUNTIFS(counts!$C$2:$C$701,$A189,counts!$D$2:$D$701,$B189,counts!$E$2:$E$701,"placed")=0,"",SUMIFS(counts!$F$2:$F$701,counts!$C$2:$C$701,$A189,counts!$D$2:$D$701,$B189,counts!$E$2:$E$701,"placed")))</f>
        <v/>
      </c>
      <c r="AA189" s="25">
        <f>IF($A189="","",IF($Y189="",0,N($Z189)))</f>
        <v/>
      </c>
      <c r="AB189" s="25">
        <f>IF($A189="","",IF(OR($Y189="",$I189=""),"N",IF($Y189&lt;=WORKDAY(N($I189),1,calendar!$A$2:$A$80),"Y","N")))</f>
        <v/>
      </c>
      <c r="AC189" s="28">
        <f>IF(OR($A189="",$V189="",$Y189=""),"",ROUND(($Y189+N(IFERROR(IF(INDEX(photos!$F$2:$F$701,MATCH($A189&amp;"|"&amp;$B189&amp;"|placement|Y",photos!$R$2:$R$701,0))="","",INDEX(photos!$F$2:$F$701,MATCH($A189&amp;"|"&amp;$B189&amp;"|placement|Y",photos!$R$2:$R$701,0))),""))-$V189)*24,1))</f>
        <v/>
      </c>
      <c r="AD189" s="25">
        <f>IF($A189="","",SUMIFS(inventory!$G$2:$G$801,inventory!$C$2:$C$801,$A189,inventory!$D$2:$D$801,$B189,inventory!$E$2:$E$801,"topped_up"))</f>
        <v/>
      </c>
      <c r="AE189" s="25">
        <f>IF($A189="","",IF(COUNTIFS(counts!$C$2:$C$701,$A189,counts!$D$2:$D$701,$B189,counts!$E$2:$E$701,"remaining_day3")=0,"",SUMIFS(counts!$F$2:$F$701,counts!$C$2:$C$701,$A189,counts!$D$2:$D$701,$B189,counts!$E$2:$E$701,"remaining_day3")))</f>
        <v/>
      </c>
      <c r="AF189" s="25">
        <f>IF($A189="","",IF(COUNTIFS(counts!$C$2:$C$701,$A189,counts!$D$2:$D$701,$B189,counts!$E$2:$E$701,"remaining_day5")=0,"",SUMIFS(counts!$F$2:$F$701,counts!$C$2:$C$701,$A189,counts!$D$2:$D$701,$B189,counts!$E$2:$E$701,"remaining_day5")))</f>
        <v/>
      </c>
      <c r="AG189" s="25">
        <f>IF(OR($A189="",$AF189=""),"",MAX(0,$AA189+$AD189-$AF189))</f>
        <v/>
      </c>
      <c r="AH189" s="25">
        <f>IF(OR($A189="",$AI189=""),"",IFERROR(IF(INDEX(photos!$H$2:$H$701,MATCH($A189&amp;"|"&amp;$B189&amp;"|later|Y|"&amp;$AI189,photos!$S$2:$S$701,0))="","",INDEX(photos!$H$2:$H$701,MATCH($A189&amp;"|"&amp;$B189&amp;"|later|Y|"&amp;$AI189,photos!$S$2:$S$701,0))),""))</f>
        <v/>
      </c>
      <c r="AI189" s="26">
        <f>IF($A189="","",IFERROR(1/(1/SUMPRODUCT(MAX((photos!$B$2:$B$701=$A189)*(photos!$C$2:$C$701=$B189)*(photos!$D$2:$D$701="later")*(photos!$O$2:$O$701="Y")*photos!$E$2:$E$701))),""))</f>
        <v/>
      </c>
      <c r="AJ189" s="25">
        <f>IF(OR($A189="",$AI189="",$I189=""),"",NETWORKDAYS($I189,$AI189,calendar!$A$2:$A$80))</f>
        <v/>
      </c>
      <c r="AK189" s="25">
        <f>IF($A189="","",IF(AND($X189&lt;&gt;"",$AH189&lt;&gt;""),"Y","N"))</f>
        <v/>
      </c>
      <c r="AL189" s="25">
        <f>IF(OR($A189="",$I189=""),"",IF($BC189="Y",SUMIFS(survey_frozen!$C$2:$C$251,survey_frozen!$P$2:$P$251,$A189&amp;"|"&amp;$B189),IFERROR(COUNTIFS(INDIRECT("'"&amp;$A189&amp;"'!$B$2:$B$501"),$T189,INDIRECT("'"&amp;$A189&amp;"'!$A$2:$A$501"),"&gt;="&amp;$I189,INDIRECT("'"&amp;$A189&amp;"'!$A$2:$A$501"),"&lt;"&amp;($BA189+1)),0)))</f>
        <v/>
      </c>
      <c r="AM189" s="25">
        <f>IF(OR($A189="",$I189=""),"",IF($BC189="Y",SUMIFS(survey_frozen!$D$2:$D$251,survey_frozen!$P$2:$P$251,$A189&amp;"|"&amp;$B189),IFERROR(COUNTIFS(INDIRECT("'"&amp;$A189&amp;"'!$B$2:$B$501"),$T189,INDIRECT("'"&amp;$A189&amp;"'!$A$2:$A$501"),"&gt;="&amp;$I189,INDIRECT("'"&amp;$A189&amp;"'!$A$2:$A$501"),"&lt;"&amp;($BA189+1),INDIRECT("'"&amp;$A189&amp;"'!$C$2:$C$501"),"Yes"),0)))</f>
        <v/>
      </c>
      <c r="AN189" s="25">
        <f>IF($A189="","",IF(COUNTIFS(scans!$C$2:$C$1601,(IF(LEFT($A189,7)="SAMPLE-","SAMPLE-","")&amp;LOWER(SUBSTITUTE(SUBSTITUTE($A189,"SAMPLE-",""),"CMP-","c"))&amp;"-"&amp;LOWER(SUBSTITUTE(SUBSTITUTE($B189,"SAMPLE-",""),"O-","o"))&amp;"-q"),scans!$D$2:$D$1601,"close")=0,"",SUMPRODUCT(MAX((scans!$C$2:$C$1601=(IF(LEFT($A189,7)="SAMPLE-","SAMPLE-","")&amp;LOWER(SUBSTITUTE(SUBSTITUTE($A189,"SAMPLE-",""),"CMP-","c"))&amp;"-"&amp;LOWER(SUBSTITUTE(SUBSTITUTE($B189,"SAMPLE-",""),"O-","o"))&amp;"-q"))*(scans!$D$2:$D$1601="close")*scans!$E$2:$E$1601))-SUMPRODUCT(MAX((scans!$C$2:$C$1601=(IF(LEFT($A189,7)="SAMPLE-","SAMPLE-","")&amp;LOWER(SUBSTITUTE(SUBSTITUTE($A189,"SAMPLE-",""),"CMP-","c"))&amp;"-"&amp;LOWER(SUBSTITUTE(SUBSTITUTE($B189,"SAMPLE-",""),"O-","o"))&amp;"-q"))*(scans!$D$2:$D$1601="baseline")*scans!$E$2:$E$1601))))</f>
        <v/>
      </c>
      <c r="AO189" s="25">
        <f>IF($A189="","",IF(COUNTIFS(scans!$C$2:$C$1601,(IF(LEFT($A189,7)="SAMPLE-","SAMPLE-","")&amp;LOWER(SUBSTITUTE(SUBSTITUTE($A189,"SAMPLE-",""),"CMP-","c"))&amp;"-"&amp;LOWER(SUBSTITUTE(SUBSTITUTE($B189,"SAMPLE-",""),"O-","o"))&amp;"-p"),scans!$D$2:$D$1601,"close")=0,"",SUMPRODUCT(MAX((scans!$C$2:$C$1601=(IF(LEFT($A189,7)="SAMPLE-","SAMPLE-","")&amp;LOWER(SUBSTITUTE(SUBSTITUTE($A189,"SAMPLE-",""),"CMP-","c"))&amp;"-"&amp;LOWER(SUBSTITUTE(SUBSTITUTE($B189,"SAMPLE-",""),"O-","o"))&amp;"-p"))*(scans!$D$2:$D$1601="close")*scans!$E$2:$E$1601))-SUMPRODUCT(MAX((scans!$C$2:$C$1601=(IF(LEFT($A189,7)="SAMPLE-","SAMPLE-","")&amp;LOWER(SUBSTITUTE(SUBSTITUTE($A189,"SAMPLE-",""),"CMP-","c"))&amp;"-"&amp;LOWER(SUBSTITUTE(SUBSTITUTE($B189,"SAMPLE-",""),"O-","o"))&amp;"-p"))*(scans!$D$2:$D$1601="baseline")*scans!$E$2:$E$1601))))</f>
        <v/>
      </c>
      <c r="AP189" s="25">
        <f>IF($A189="","",IF(COUNTIF(offices!$A$2:$A$61,$B189)=0,"office_id not on offices; ","")&amp;IF(COUNTIF(campaigns!$A$2:$A$51,$A189)=0,"campaign_id not on campaigns; ","")&amp;IF($P189="pending","approval pending; ","")&amp;IF(AND($U189&gt;0,$Y189="",OR($I189="",IF(config!$B$37&lt;&gt;"",config!$B$37,TODAY())&lt;=WORKDAY(N($I189),4,calendar!$A$2:$A$80))),"no usable placement photo yet; ","")&amp;IF(AND($Y189&lt;&gt;"",$Z189=""),"log the placed count; ","")&amp;IF(N($AA189)&gt;N($U189),"placed more than delivered; ","")&amp;IF(AND($AF189&lt;&gt;"",N($AF189)&gt;N($AA189)+N($AD189)),"day-5 count above placed plus top-ups; ","")&amp;IF(AND($U189&gt;0,$I189&lt;&gt;"",IF(config!$B$37&lt;&gt;"",config!$B$37,TODAY())&gt;WORKDAY(N($I189),4,calendar!$A$2:$A$80),$AF189=""),"day-5 count missing; ","")&amp;IF(AND($U189&gt;0,$I189&lt;&gt;"",IF(config!$B$37&lt;&gt;"",config!$B$37,TODAY())&gt;WORKDAY(N($I189),4,calendar!$A$2:$A$80),$AN189=""),"no close link reading; ","")&amp;$R189&amp;IF($P189="N","info: office said no; ","")&amp;IF(AND($P189="Y",$Q189="N"),"info: turned away at the door, so not on the drop (no letter, not in the report or Gate 2; the credit check is on campaigns); ","")&amp;IF(AND($U189&gt;0,$Y189="",$I189&lt;&gt;"",IF(config!$B$37&lt;&gt;"",config!$B$37,TODAY())&gt;WORKDAY(N($I189),4,calendar!$A$2:$A$80)),"info: no usable placement photo, so nothing counts as placed; ","")&amp;IF(AND($U189&gt;0,$I189&lt;&gt;"",IF(config!$B$37&lt;&gt;"",config!$B$37,TODAY())&gt;WORKDAY(N($I189),4,calendar!$A$2:$A$80),N($AL189)&lt;config!$B$30),"info: under "&amp;config!$B$30&amp;" responses; ","")&amp;IF($W189="packing_list","info: delivered count not verified; ",""))</f>
        <v/>
      </c>
      <c r="AQ189" s="25">
        <f>IF(OR($A189="",$I189=""),"",IF($BC189="Y",SUMIFS(survey_frozen!$E$2:$E$251,survey_frozen!$P$2:$P$251,$A189&amp;"|"&amp;$B189),IFERROR(COUNTIFS(INDIRECT("'"&amp;$A189&amp;"'!$B$2:$B$501"),$T189,INDIRECT("'"&amp;$A189&amp;"'!$A$2:$A$501"),"&gt;="&amp;$I189,INDIRECT("'"&amp;$A189&amp;"'!$A$2:$A$501"),"&lt;"&amp;($BA189+1),INDIRECT("'"&amp;$A189&amp;"'!$F$2:$F$501"),"Didn't see it"),0)))</f>
        <v/>
      </c>
      <c r="AR189" s="25">
        <f>IF(OR($A189="",$I189=""),"",IF($BC189="Y",SUMIFS(survey_frozen!$F$2:$F$251,survey_frozen!$P$2:$P$251,$A189&amp;"|"&amp;$B189),IFERROR(COUNTIFS(INDIRECT("'"&amp;$A189&amp;"'!$B$2:$B$501"),$T189,INDIRECT("'"&amp;$A189&amp;"'!$A$2:$A$501"),"&gt;="&amp;$I189,INDIRECT("'"&amp;$A189&amp;"'!$A$2:$A$501"),"&lt;"&amp;($BA189+1),INDIRECT("'"&amp;$A189&amp;"'!$F$2:$F$501"),"Not for me"),0)))</f>
        <v/>
      </c>
      <c r="AS189" s="25">
        <f>IF(OR($A189="",$I189=""),"",IF($BC189="Y",SUMIFS(survey_frozen!$G$2:$G$251,survey_frozen!$P$2:$P$251,$A189&amp;"|"&amp;$B189),IFERROR(COUNTIFS(INDIRECT("'"&amp;$A189&amp;"'!$B$2:$B$501"),$T189,INDIRECT("'"&amp;$A189&amp;"'!$A$2:$A$501"),"&gt;="&amp;$I189,INDIRECT("'"&amp;$A189&amp;"'!$A$2:$A$501"),"&lt;"&amp;($BA189+1),INDIRECT("'"&amp;$A189&amp;"'!$F$2:$F$501"),"Gone by the time I looked"),0)))</f>
        <v/>
      </c>
      <c r="AT189" s="25">
        <f>IF(OR($A189="",$I189=""),"",IF($BC189="Y",SUMIFS(survey_frozen!$H$2:$H$251,survey_frozen!$P$2:$P$251,$A189&amp;"|"&amp;$B189),IFERROR(COUNTIFS(INDIRECT("'"&amp;$A189&amp;"'!$B$2:$B$501"),$T189,INDIRECT("'"&amp;$A189&amp;"'!$A$2:$A$501"),"&gt;="&amp;$I189,INDIRECT("'"&amp;$A189&amp;"'!$A$2:$A$501"),"&lt;"&amp;($BA189+1),INDIRECT("'"&amp;$A189&amp;"'!$D$2:$D$501"),"&gt;=1"),0)))</f>
        <v/>
      </c>
      <c r="AU189" s="25">
        <f>IF(OR($A189="",$I189=""),"",IF($BC189="Y",SUMIFS(survey_frozen!$I$2:$I$251,survey_frozen!$P$2:$P$251,$A189&amp;"|"&amp;$B189),IFERROR(SUMIFS(INDIRECT("'"&amp;$A189&amp;"'!$D$2:$D$501"),INDIRECT("'"&amp;$A189&amp;"'!$B$2:$B$501"),$T189,INDIRECT("'"&amp;$A189&amp;"'!$A$2:$A$501"),"&gt;="&amp;$I189,INDIRECT("'"&amp;$A189&amp;"'!$A$2:$A$501"),"&lt;"&amp;($BA189+1)),0)))</f>
        <v/>
      </c>
      <c r="AV189" s="25">
        <f>IF(OR($A189="",$I189=""),"",IF($BC189="Y",SUMIFS(survey_frozen!$J$2:$J$251,survey_frozen!$P$2:$P$251,$A189&amp;"|"&amp;$B189),IFERROR(COUNTIFS(INDIRECT("'"&amp;$A189&amp;"'!$B$2:$B$501"),$T189,INDIRECT("'"&amp;$A189&amp;"'!$A$2:$A$501"),"&gt;="&amp;$I189,INDIRECT("'"&amp;$A189&amp;"'!$A$2:$A$501"),"&lt;"&amp;($BA189+1),INDIRECT("'"&amp;$A189&amp;"'!$E$2:$E$501"),"Yes"),0)))</f>
        <v/>
      </c>
      <c r="AW189" s="25">
        <f>IF(OR($A189="",$I189=""),"",IF($BC189="Y",SUMIFS(survey_frozen!$K$2:$K$251,survey_frozen!$P$2:$P$251,$A189&amp;"|"&amp;$B189),IFERROR(COUNTIFS(INDIRECT("'"&amp;$A189&amp;"'!$B$2:$B$501"),$T189,INDIRECT("'"&amp;$A189&amp;"'!$A$2:$A$501"),"&gt;="&amp;$I189,INDIRECT("'"&amp;$A189&amp;"'!$A$2:$A$501"),"&lt;"&amp;($BA189+1),INDIRECT("'"&amp;$A189&amp;"'!$E$2:$E$501"),"Maybe"),0)))</f>
        <v/>
      </c>
      <c r="AX189" s="25">
        <f>IF(OR($A189="",$I189=""),"",IF($BC189="Y",SUMIFS(survey_frozen!$L$2:$L$251,survey_frozen!$P$2:$P$251,$A189&amp;"|"&amp;$B189),IFERROR(COUNTIFS(INDIRECT("'"&amp;$A189&amp;"'!$B$2:$B$501"),$T189,INDIRECT("'"&amp;$A189&amp;"'!$A$2:$A$501"),"&gt;="&amp;$I189,INDIRECT("'"&amp;$A189&amp;"'!$A$2:$A$501"),"&lt;"&amp;($BA189+1),INDIRECT("'"&amp;$A189&amp;"'!$E$2:$E$501"),"No"),0)))</f>
        <v/>
      </c>
      <c r="AY189" s="25">
        <f>IF(OR($A189="",$I189=""),"",IF($BC189="Y",SUMIFS(survey_frozen!$M$2:$M$251,survey_frozen!$P$2:$P$251,$A189&amp;"|"&amp;$B189),IFERROR(COUNTIFS(INDIRECT("'"&amp;$A189&amp;"'!$B$2:$B$501"),$T189,INDIRECT("'"&amp;$A189&amp;"'!$A$2:$A$501"),"&gt;="&amp;$I189,INDIRECT("'"&amp;$A189&amp;"'!$A$2:$A$501"),"&lt;"&amp;($BA189+1),INDIRECT("'"&amp;$A189&amp;"'!$G$2:$G$501"),"&lt;&gt;"),0)))</f>
        <v/>
      </c>
      <c r="AZ189" s="25">
        <f>IF($A189="","",$A189&amp;"|"&amp;$L189)</f>
        <v/>
      </c>
      <c r="BA189" s="26">
        <f>IF($A189="","",IFERROR(IF(INDEX(drops!$R$2:$R$21,MATCH($H189,drops!$A$2:$A$21,0))="","",INDEX(drops!$R$2:$R$21,MATCH($H189,drops!$A$2:$A$21,0))),""))</f>
        <v/>
      </c>
      <c r="BB189" s="25">
        <f>IF(OR($A189="",$Q189&lt;&gt;"Y"),1000000,N($AL189))</f>
        <v/>
      </c>
      <c r="BC189" s="25">
        <f>IF($A189="","",IF(COUNTIF(survey_frozen!$P$2:$P$251,$A189&amp;"|"&amp;$B189)&gt;0,"Y",""))</f>
        <v/>
      </c>
    </row>
    <row r="190">
      <c r="C190" s="9" t="n"/>
      <c r="E190" s="9" t="n"/>
      <c r="H190" s="25">
        <f>IF($A190="","",IFERROR(IF(INDEX(campaigns!$B$2:$B$51,MATCH($A190,campaigns!$A$2:$A$51,0))="","",INDEX(campaigns!$B$2:$B$51,MATCH($A190,campaigns!$A$2:$A$51,0))),""))</f>
        <v/>
      </c>
      <c r="I190" s="26">
        <f>IF($A190="","",IFERROR(IF(INDEX(campaigns!$BG$2:$BG$51,MATCH($A190,campaigns!$A$2:$A$51,0))="","",INDEX(campaigns!$BG$2:$BG$51,MATCH($A190,campaigns!$A$2:$A$51,0))),""))</f>
        <v/>
      </c>
      <c r="J190" s="25">
        <f>IF($A190="","",IFERROR(IF(INDEX(campaigns!$BE$2:$BE$51,MATCH($A190,campaigns!$A$2:$A$51,0))="","",INDEX(campaigns!$BE$2:$BE$51,MATCH($A190,campaigns!$A$2:$A$51,0))),""))</f>
        <v/>
      </c>
      <c r="K190" s="25">
        <f>IF($B190="","",IFERROR(IF(INDEX(offices!$N$2:$N$61,MATCH($B190,offices!$A$2:$A$61,0))="","",INDEX(offices!$N$2:$N$61,MATCH($B190,offices!$A$2:$A$61,0))),""))</f>
        <v/>
      </c>
      <c r="L190" s="25">
        <f>IF($A190="","",IF($Q190="N","",COUNTIFS($A$2:$A190,$A190,$Q$2:$Q190,"&lt;&gt;N")))</f>
        <v/>
      </c>
      <c r="M190" s="25">
        <f>IF(OR($A190="",$L190=""),"",IF(AND(config!$B$34="names_if_public",IFERROR(IF(INDEX(offices!$AF$2:$AF$61,MATCH($B190,offices!$A$2:$A$61,0))="","",INDEX(offices!$AF$2:$AF$61,MATCH($B190,offices!$A$2:$A$61,0))),"")="Y"),$K190,CHAR(64+$L190)))</f>
        <v/>
      </c>
      <c r="N190" s="25">
        <f>IF(OR($A190="",$I190=""),"",COUNTIFS(stops!$B$2:$B$151,$B190,stops!$P$2:$P$151,"&lt;"&amp;$I190,stops!$L$2:$L$151,"&lt;&gt;not_delivered")+1)</f>
        <v/>
      </c>
      <c r="O190" s="25">
        <f>IF($A190="","",IF(N($N190)&lt;=config!$B$29,"explicit","opt-out"))</f>
        <v/>
      </c>
      <c r="P190" s="25">
        <f>IF($A190="","",IF($O190="explicit",IF($D190="yes","Y",IF($D190="no","N","pending")),IF($D190="no","N",IF(AND($C190&lt;&gt;"",$I190&lt;&gt;"",$C190&lt;=WORKDAY(N($I190),-5,calendar!$A$2:$A$80)),"Y","pending"))))</f>
        <v/>
      </c>
      <c r="Q190" s="25">
        <f>IF($A190="","",IF($P190="N","N",IF($P190&lt;&gt;"Y","pending",IF(AND((COUNTIFS(stops!$A$2:$A$151,$H190,stops!$B$2:$B$151,$B190,stops!$L$2:$L$151,"declined")+COUNTIFS(stops!$A$2:$A$151,$H190,stops!$B$2:$B$151,$B190,stops!$L$2:$L$151,"building_refused")+COUNTIFS(stops!$A$2:$A$151,$H190,stops!$B$2:$B$151,$B190,stops!$L$2:$L$151,"not_delivered"))&gt;0,N($U190)=0),"N","Y"))))</f>
        <v/>
      </c>
      <c r="R190" s="25">
        <f>IF($A190="","",IF(COUNTIFS($A$2:$A$251,$A190,$B$2:$B$251,$B190)&gt;1,"DUPLICATE ROW; ","")&amp;IF(AND(IFERROR(IF(INDEX(offices!$AC$2:$AC$61,MATCH($B190,offices!$A$2:$A$61,0))="","",INDEX(offices!$AC$2:$AC$61,MATCH($B190,offices!$A$2:$A$61,0))),"")&lt;&gt;"",ISNUMBER(SEARCH($J190,IFERROR(IF(INDEX(offices!$AC$2:$AC$61,MATCH($B190,offices!$A$2:$A$61,0))="","",INDEX(offices!$AC$2:$AC$61,MATCH($B190,offices!$A$2:$A$61,0))),"")))),"BRAND VETOED; ","")&amp;IF(ISNUMBER(SEARCH(IFERROR(IF(INDEX(campaigns!$BF$2:$BF$51,MATCH($A190,campaigns!$A$2:$A$51,0))="","",INDEX(campaigns!$BF$2:$BF$51,MATCH($A190,campaigns!$A$2:$A$51,0))),""),IFERROR(IF(INDEX(offices!$AB$2:$AB$61,MATCH($B190,offices!$A$2:$A$61,0))="","",INDEX(offices!$AB$2:$AB$61,MATCH($B190,offices!$A$2:$A$61,0))),""))),"","info: category not on the office's list; ")&amp;IF(IFERROR(IF(INDEX(offices!$AC$2:$AC$61,MATCH($B190,offices!$A$2:$A$61,0))="","",INDEX(offices!$AC$2:$AC$61,MATCH($B190,offices!$A$2:$A$61,0))),"")&lt;&gt;"","info: read the vetoes against the label; ",""))</f>
        <v/>
      </c>
      <c r="S190" s="25">
        <f>IF($A190="","",IF($G190&lt;&gt;"",$G190,IFERROR(IF(INDEX(offices!$AL$2:$AL$61,MATCH($B190,offices!$A$2:$A$61,0))="","",INDEX(offices!$AL$2:$AL$61,MATCH($B190,offices!$A$2:$A$61,0))),"")))</f>
        <v/>
      </c>
      <c r="T190" s="25">
        <f>IF($A190="","",$A190&amp;"."&amp;$B190)</f>
        <v/>
      </c>
      <c r="U190" s="25">
        <f>IF($A190="","",SUMIFS(inventory!$G$2:$G$801,inventory!$C$2:$C$801,$A190,inventory!$D$2:$D$801,$B190,inventory!$E$2:$E$801,"delivered"))</f>
        <v/>
      </c>
      <c r="V190" s="32">
        <f>IF($A190="","",IFERROR(1/(1/SUMPRODUCT(MAX((inventory!$C$2:$C$801=$A190)*(inventory!$D$2:$D$801=$B190)*(inventory!$E$2:$E$801="delivered")*(inventory!$A$2:$A$801+inventory!$B$2:$B$801)))),""))</f>
        <v/>
      </c>
      <c r="W190" s="25">
        <f>IF($A190="","",IFERROR(IF(INDEX(inventory!$J$2:$J$801,MATCH($A190&amp;"|"&amp;$B190&amp;"|delivered",inventory!$R$2:$R$801,0))="","",INDEX(inventory!$J$2:$J$801,MATCH($A190&amp;"|"&amp;$B190&amp;"|delivered",inventory!$R$2:$R$801,0))),""))</f>
        <v/>
      </c>
      <c r="X190" s="25">
        <f>IF($A190="","",IFERROR(IF(INDEX(photos!$H$2:$H$701,MATCH($A190&amp;"|"&amp;$B190&amp;"|placement|Y",photos!$R$2:$R$701,0))="","",INDEX(photos!$H$2:$H$701,MATCH($A190&amp;"|"&amp;$B190&amp;"|placement|Y",photos!$R$2:$R$701,0))),""))</f>
        <v/>
      </c>
      <c r="Y190" s="26">
        <f>IF($A190="","",IFERROR(IF(INDEX(photos!$E$2:$E$701,MATCH($A190&amp;"|"&amp;$B190&amp;"|placement|Y",photos!$R$2:$R$701,0))="","",INDEX(photos!$E$2:$E$701,MATCH($A190&amp;"|"&amp;$B190&amp;"|placement|Y",photos!$R$2:$R$701,0))),""))</f>
        <v/>
      </c>
      <c r="Z190" s="25">
        <f>IF($A190="","",IF(COUNTIFS(counts!$C$2:$C$701,$A190,counts!$D$2:$D$701,$B190,counts!$E$2:$E$701,"placed")=0,"",SUMIFS(counts!$F$2:$F$701,counts!$C$2:$C$701,$A190,counts!$D$2:$D$701,$B190,counts!$E$2:$E$701,"placed")))</f>
        <v/>
      </c>
      <c r="AA190" s="25">
        <f>IF($A190="","",IF($Y190="",0,N($Z190)))</f>
        <v/>
      </c>
      <c r="AB190" s="25">
        <f>IF($A190="","",IF(OR($Y190="",$I190=""),"N",IF($Y190&lt;=WORKDAY(N($I190),1,calendar!$A$2:$A$80),"Y","N")))</f>
        <v/>
      </c>
      <c r="AC190" s="28">
        <f>IF(OR($A190="",$V190="",$Y190=""),"",ROUND(($Y190+N(IFERROR(IF(INDEX(photos!$F$2:$F$701,MATCH($A190&amp;"|"&amp;$B190&amp;"|placement|Y",photos!$R$2:$R$701,0))="","",INDEX(photos!$F$2:$F$701,MATCH($A190&amp;"|"&amp;$B190&amp;"|placement|Y",photos!$R$2:$R$701,0))),""))-$V190)*24,1))</f>
        <v/>
      </c>
      <c r="AD190" s="25">
        <f>IF($A190="","",SUMIFS(inventory!$G$2:$G$801,inventory!$C$2:$C$801,$A190,inventory!$D$2:$D$801,$B190,inventory!$E$2:$E$801,"topped_up"))</f>
        <v/>
      </c>
      <c r="AE190" s="25">
        <f>IF($A190="","",IF(COUNTIFS(counts!$C$2:$C$701,$A190,counts!$D$2:$D$701,$B190,counts!$E$2:$E$701,"remaining_day3")=0,"",SUMIFS(counts!$F$2:$F$701,counts!$C$2:$C$701,$A190,counts!$D$2:$D$701,$B190,counts!$E$2:$E$701,"remaining_day3")))</f>
        <v/>
      </c>
      <c r="AF190" s="25">
        <f>IF($A190="","",IF(COUNTIFS(counts!$C$2:$C$701,$A190,counts!$D$2:$D$701,$B190,counts!$E$2:$E$701,"remaining_day5")=0,"",SUMIFS(counts!$F$2:$F$701,counts!$C$2:$C$701,$A190,counts!$D$2:$D$701,$B190,counts!$E$2:$E$701,"remaining_day5")))</f>
        <v/>
      </c>
      <c r="AG190" s="25">
        <f>IF(OR($A190="",$AF190=""),"",MAX(0,$AA190+$AD190-$AF190))</f>
        <v/>
      </c>
      <c r="AH190" s="25">
        <f>IF(OR($A190="",$AI190=""),"",IFERROR(IF(INDEX(photos!$H$2:$H$701,MATCH($A190&amp;"|"&amp;$B190&amp;"|later|Y|"&amp;$AI190,photos!$S$2:$S$701,0))="","",INDEX(photos!$H$2:$H$701,MATCH($A190&amp;"|"&amp;$B190&amp;"|later|Y|"&amp;$AI190,photos!$S$2:$S$701,0))),""))</f>
        <v/>
      </c>
      <c r="AI190" s="26">
        <f>IF($A190="","",IFERROR(1/(1/SUMPRODUCT(MAX((photos!$B$2:$B$701=$A190)*(photos!$C$2:$C$701=$B190)*(photos!$D$2:$D$701="later")*(photos!$O$2:$O$701="Y")*photos!$E$2:$E$701))),""))</f>
        <v/>
      </c>
      <c r="AJ190" s="25">
        <f>IF(OR($A190="",$AI190="",$I190=""),"",NETWORKDAYS($I190,$AI190,calendar!$A$2:$A$80))</f>
        <v/>
      </c>
      <c r="AK190" s="25">
        <f>IF($A190="","",IF(AND($X190&lt;&gt;"",$AH190&lt;&gt;""),"Y","N"))</f>
        <v/>
      </c>
      <c r="AL190" s="25">
        <f>IF(OR($A190="",$I190=""),"",IF($BC190="Y",SUMIFS(survey_frozen!$C$2:$C$251,survey_frozen!$P$2:$P$251,$A190&amp;"|"&amp;$B190),IFERROR(COUNTIFS(INDIRECT("'"&amp;$A190&amp;"'!$B$2:$B$501"),$T190,INDIRECT("'"&amp;$A190&amp;"'!$A$2:$A$501"),"&gt;="&amp;$I190,INDIRECT("'"&amp;$A190&amp;"'!$A$2:$A$501"),"&lt;"&amp;($BA190+1)),0)))</f>
        <v/>
      </c>
      <c r="AM190" s="25">
        <f>IF(OR($A190="",$I190=""),"",IF($BC190="Y",SUMIFS(survey_frozen!$D$2:$D$251,survey_frozen!$P$2:$P$251,$A190&amp;"|"&amp;$B190),IFERROR(COUNTIFS(INDIRECT("'"&amp;$A190&amp;"'!$B$2:$B$501"),$T190,INDIRECT("'"&amp;$A190&amp;"'!$A$2:$A$501"),"&gt;="&amp;$I190,INDIRECT("'"&amp;$A190&amp;"'!$A$2:$A$501"),"&lt;"&amp;($BA190+1),INDIRECT("'"&amp;$A190&amp;"'!$C$2:$C$501"),"Yes"),0)))</f>
        <v/>
      </c>
      <c r="AN190" s="25">
        <f>IF($A190="","",IF(COUNTIFS(scans!$C$2:$C$1601,(IF(LEFT($A190,7)="SAMPLE-","SAMPLE-","")&amp;LOWER(SUBSTITUTE(SUBSTITUTE($A190,"SAMPLE-",""),"CMP-","c"))&amp;"-"&amp;LOWER(SUBSTITUTE(SUBSTITUTE($B190,"SAMPLE-",""),"O-","o"))&amp;"-q"),scans!$D$2:$D$1601,"close")=0,"",SUMPRODUCT(MAX((scans!$C$2:$C$1601=(IF(LEFT($A190,7)="SAMPLE-","SAMPLE-","")&amp;LOWER(SUBSTITUTE(SUBSTITUTE($A190,"SAMPLE-",""),"CMP-","c"))&amp;"-"&amp;LOWER(SUBSTITUTE(SUBSTITUTE($B190,"SAMPLE-",""),"O-","o"))&amp;"-q"))*(scans!$D$2:$D$1601="close")*scans!$E$2:$E$1601))-SUMPRODUCT(MAX((scans!$C$2:$C$1601=(IF(LEFT($A190,7)="SAMPLE-","SAMPLE-","")&amp;LOWER(SUBSTITUTE(SUBSTITUTE($A190,"SAMPLE-",""),"CMP-","c"))&amp;"-"&amp;LOWER(SUBSTITUTE(SUBSTITUTE($B190,"SAMPLE-",""),"O-","o"))&amp;"-q"))*(scans!$D$2:$D$1601="baseline")*scans!$E$2:$E$1601))))</f>
        <v/>
      </c>
      <c r="AO190" s="25">
        <f>IF($A190="","",IF(COUNTIFS(scans!$C$2:$C$1601,(IF(LEFT($A190,7)="SAMPLE-","SAMPLE-","")&amp;LOWER(SUBSTITUTE(SUBSTITUTE($A190,"SAMPLE-",""),"CMP-","c"))&amp;"-"&amp;LOWER(SUBSTITUTE(SUBSTITUTE($B190,"SAMPLE-",""),"O-","o"))&amp;"-p"),scans!$D$2:$D$1601,"close")=0,"",SUMPRODUCT(MAX((scans!$C$2:$C$1601=(IF(LEFT($A190,7)="SAMPLE-","SAMPLE-","")&amp;LOWER(SUBSTITUTE(SUBSTITUTE($A190,"SAMPLE-",""),"CMP-","c"))&amp;"-"&amp;LOWER(SUBSTITUTE(SUBSTITUTE($B190,"SAMPLE-",""),"O-","o"))&amp;"-p"))*(scans!$D$2:$D$1601="close")*scans!$E$2:$E$1601))-SUMPRODUCT(MAX((scans!$C$2:$C$1601=(IF(LEFT($A190,7)="SAMPLE-","SAMPLE-","")&amp;LOWER(SUBSTITUTE(SUBSTITUTE($A190,"SAMPLE-",""),"CMP-","c"))&amp;"-"&amp;LOWER(SUBSTITUTE(SUBSTITUTE($B190,"SAMPLE-",""),"O-","o"))&amp;"-p"))*(scans!$D$2:$D$1601="baseline")*scans!$E$2:$E$1601))))</f>
        <v/>
      </c>
      <c r="AP190" s="25">
        <f>IF($A190="","",IF(COUNTIF(offices!$A$2:$A$61,$B190)=0,"office_id not on offices; ","")&amp;IF(COUNTIF(campaigns!$A$2:$A$51,$A190)=0,"campaign_id not on campaigns; ","")&amp;IF($P190="pending","approval pending; ","")&amp;IF(AND($U190&gt;0,$Y190="",OR($I190="",IF(config!$B$37&lt;&gt;"",config!$B$37,TODAY())&lt;=WORKDAY(N($I190),4,calendar!$A$2:$A$80))),"no usable placement photo yet; ","")&amp;IF(AND($Y190&lt;&gt;"",$Z190=""),"log the placed count; ","")&amp;IF(N($AA190)&gt;N($U190),"placed more than delivered; ","")&amp;IF(AND($AF190&lt;&gt;"",N($AF190)&gt;N($AA190)+N($AD190)),"day-5 count above placed plus top-ups; ","")&amp;IF(AND($U190&gt;0,$I190&lt;&gt;"",IF(config!$B$37&lt;&gt;"",config!$B$37,TODAY())&gt;WORKDAY(N($I190),4,calendar!$A$2:$A$80),$AF190=""),"day-5 count missing; ","")&amp;IF(AND($U190&gt;0,$I190&lt;&gt;"",IF(config!$B$37&lt;&gt;"",config!$B$37,TODAY())&gt;WORKDAY(N($I190),4,calendar!$A$2:$A$80),$AN190=""),"no close link reading; ","")&amp;$R190&amp;IF($P190="N","info: office said no; ","")&amp;IF(AND($P190="Y",$Q190="N"),"info: turned away at the door, so not on the drop (no letter, not in the report or Gate 2; the credit check is on campaigns); ","")&amp;IF(AND($U190&gt;0,$Y190="",$I190&lt;&gt;"",IF(config!$B$37&lt;&gt;"",config!$B$37,TODAY())&gt;WORKDAY(N($I190),4,calendar!$A$2:$A$80)),"info: no usable placement photo, so nothing counts as placed; ","")&amp;IF(AND($U190&gt;0,$I190&lt;&gt;"",IF(config!$B$37&lt;&gt;"",config!$B$37,TODAY())&gt;WORKDAY(N($I190),4,calendar!$A$2:$A$80),N($AL190)&lt;config!$B$30),"info: under "&amp;config!$B$30&amp;" responses; ","")&amp;IF($W190="packing_list","info: delivered count not verified; ",""))</f>
        <v/>
      </c>
      <c r="AQ190" s="25">
        <f>IF(OR($A190="",$I190=""),"",IF($BC190="Y",SUMIFS(survey_frozen!$E$2:$E$251,survey_frozen!$P$2:$P$251,$A190&amp;"|"&amp;$B190),IFERROR(COUNTIFS(INDIRECT("'"&amp;$A190&amp;"'!$B$2:$B$501"),$T190,INDIRECT("'"&amp;$A190&amp;"'!$A$2:$A$501"),"&gt;="&amp;$I190,INDIRECT("'"&amp;$A190&amp;"'!$A$2:$A$501"),"&lt;"&amp;($BA190+1),INDIRECT("'"&amp;$A190&amp;"'!$F$2:$F$501"),"Didn't see it"),0)))</f>
        <v/>
      </c>
      <c r="AR190" s="25">
        <f>IF(OR($A190="",$I190=""),"",IF($BC190="Y",SUMIFS(survey_frozen!$F$2:$F$251,survey_frozen!$P$2:$P$251,$A190&amp;"|"&amp;$B190),IFERROR(COUNTIFS(INDIRECT("'"&amp;$A190&amp;"'!$B$2:$B$501"),$T190,INDIRECT("'"&amp;$A190&amp;"'!$A$2:$A$501"),"&gt;="&amp;$I190,INDIRECT("'"&amp;$A190&amp;"'!$A$2:$A$501"),"&lt;"&amp;($BA190+1),INDIRECT("'"&amp;$A190&amp;"'!$F$2:$F$501"),"Not for me"),0)))</f>
        <v/>
      </c>
      <c r="AS190" s="25">
        <f>IF(OR($A190="",$I190=""),"",IF($BC190="Y",SUMIFS(survey_frozen!$G$2:$G$251,survey_frozen!$P$2:$P$251,$A190&amp;"|"&amp;$B190),IFERROR(COUNTIFS(INDIRECT("'"&amp;$A190&amp;"'!$B$2:$B$501"),$T190,INDIRECT("'"&amp;$A190&amp;"'!$A$2:$A$501"),"&gt;="&amp;$I190,INDIRECT("'"&amp;$A190&amp;"'!$A$2:$A$501"),"&lt;"&amp;($BA190+1),INDIRECT("'"&amp;$A190&amp;"'!$F$2:$F$501"),"Gone by the time I looked"),0)))</f>
        <v/>
      </c>
      <c r="AT190" s="25">
        <f>IF(OR($A190="",$I190=""),"",IF($BC190="Y",SUMIFS(survey_frozen!$H$2:$H$251,survey_frozen!$P$2:$P$251,$A190&amp;"|"&amp;$B190),IFERROR(COUNTIFS(INDIRECT("'"&amp;$A190&amp;"'!$B$2:$B$501"),$T190,INDIRECT("'"&amp;$A190&amp;"'!$A$2:$A$501"),"&gt;="&amp;$I190,INDIRECT("'"&amp;$A190&amp;"'!$A$2:$A$501"),"&lt;"&amp;($BA190+1),INDIRECT("'"&amp;$A190&amp;"'!$D$2:$D$501"),"&gt;=1"),0)))</f>
        <v/>
      </c>
      <c r="AU190" s="25">
        <f>IF(OR($A190="",$I190=""),"",IF($BC190="Y",SUMIFS(survey_frozen!$I$2:$I$251,survey_frozen!$P$2:$P$251,$A190&amp;"|"&amp;$B190),IFERROR(SUMIFS(INDIRECT("'"&amp;$A190&amp;"'!$D$2:$D$501"),INDIRECT("'"&amp;$A190&amp;"'!$B$2:$B$501"),$T190,INDIRECT("'"&amp;$A190&amp;"'!$A$2:$A$501"),"&gt;="&amp;$I190,INDIRECT("'"&amp;$A190&amp;"'!$A$2:$A$501"),"&lt;"&amp;($BA190+1)),0)))</f>
        <v/>
      </c>
      <c r="AV190" s="25">
        <f>IF(OR($A190="",$I190=""),"",IF($BC190="Y",SUMIFS(survey_frozen!$J$2:$J$251,survey_frozen!$P$2:$P$251,$A190&amp;"|"&amp;$B190),IFERROR(COUNTIFS(INDIRECT("'"&amp;$A190&amp;"'!$B$2:$B$501"),$T190,INDIRECT("'"&amp;$A190&amp;"'!$A$2:$A$501"),"&gt;="&amp;$I190,INDIRECT("'"&amp;$A190&amp;"'!$A$2:$A$501"),"&lt;"&amp;($BA190+1),INDIRECT("'"&amp;$A190&amp;"'!$E$2:$E$501"),"Yes"),0)))</f>
        <v/>
      </c>
      <c r="AW190" s="25">
        <f>IF(OR($A190="",$I190=""),"",IF($BC190="Y",SUMIFS(survey_frozen!$K$2:$K$251,survey_frozen!$P$2:$P$251,$A190&amp;"|"&amp;$B190),IFERROR(COUNTIFS(INDIRECT("'"&amp;$A190&amp;"'!$B$2:$B$501"),$T190,INDIRECT("'"&amp;$A190&amp;"'!$A$2:$A$501"),"&gt;="&amp;$I190,INDIRECT("'"&amp;$A190&amp;"'!$A$2:$A$501"),"&lt;"&amp;($BA190+1),INDIRECT("'"&amp;$A190&amp;"'!$E$2:$E$501"),"Maybe"),0)))</f>
        <v/>
      </c>
      <c r="AX190" s="25">
        <f>IF(OR($A190="",$I190=""),"",IF($BC190="Y",SUMIFS(survey_frozen!$L$2:$L$251,survey_frozen!$P$2:$P$251,$A190&amp;"|"&amp;$B190),IFERROR(COUNTIFS(INDIRECT("'"&amp;$A190&amp;"'!$B$2:$B$501"),$T190,INDIRECT("'"&amp;$A190&amp;"'!$A$2:$A$501"),"&gt;="&amp;$I190,INDIRECT("'"&amp;$A190&amp;"'!$A$2:$A$501"),"&lt;"&amp;($BA190+1),INDIRECT("'"&amp;$A190&amp;"'!$E$2:$E$501"),"No"),0)))</f>
        <v/>
      </c>
      <c r="AY190" s="25">
        <f>IF(OR($A190="",$I190=""),"",IF($BC190="Y",SUMIFS(survey_frozen!$M$2:$M$251,survey_frozen!$P$2:$P$251,$A190&amp;"|"&amp;$B190),IFERROR(COUNTIFS(INDIRECT("'"&amp;$A190&amp;"'!$B$2:$B$501"),$T190,INDIRECT("'"&amp;$A190&amp;"'!$A$2:$A$501"),"&gt;="&amp;$I190,INDIRECT("'"&amp;$A190&amp;"'!$A$2:$A$501"),"&lt;"&amp;($BA190+1),INDIRECT("'"&amp;$A190&amp;"'!$G$2:$G$501"),"&lt;&gt;"),0)))</f>
        <v/>
      </c>
      <c r="AZ190" s="25">
        <f>IF($A190="","",$A190&amp;"|"&amp;$L190)</f>
        <v/>
      </c>
      <c r="BA190" s="26">
        <f>IF($A190="","",IFERROR(IF(INDEX(drops!$R$2:$R$21,MATCH($H190,drops!$A$2:$A$21,0))="","",INDEX(drops!$R$2:$R$21,MATCH($H190,drops!$A$2:$A$21,0))),""))</f>
        <v/>
      </c>
      <c r="BB190" s="25">
        <f>IF(OR($A190="",$Q190&lt;&gt;"Y"),1000000,N($AL190))</f>
        <v/>
      </c>
      <c r="BC190" s="25">
        <f>IF($A190="","",IF(COUNTIF(survey_frozen!$P$2:$P$251,$A190&amp;"|"&amp;$B190)&gt;0,"Y",""))</f>
        <v/>
      </c>
    </row>
    <row r="191">
      <c r="C191" s="9" t="n"/>
      <c r="E191" s="9" t="n"/>
      <c r="H191" s="25">
        <f>IF($A191="","",IFERROR(IF(INDEX(campaigns!$B$2:$B$51,MATCH($A191,campaigns!$A$2:$A$51,0))="","",INDEX(campaigns!$B$2:$B$51,MATCH($A191,campaigns!$A$2:$A$51,0))),""))</f>
        <v/>
      </c>
      <c r="I191" s="26">
        <f>IF($A191="","",IFERROR(IF(INDEX(campaigns!$BG$2:$BG$51,MATCH($A191,campaigns!$A$2:$A$51,0))="","",INDEX(campaigns!$BG$2:$BG$51,MATCH($A191,campaigns!$A$2:$A$51,0))),""))</f>
        <v/>
      </c>
      <c r="J191" s="25">
        <f>IF($A191="","",IFERROR(IF(INDEX(campaigns!$BE$2:$BE$51,MATCH($A191,campaigns!$A$2:$A$51,0))="","",INDEX(campaigns!$BE$2:$BE$51,MATCH($A191,campaigns!$A$2:$A$51,0))),""))</f>
        <v/>
      </c>
      <c r="K191" s="25">
        <f>IF($B191="","",IFERROR(IF(INDEX(offices!$N$2:$N$61,MATCH($B191,offices!$A$2:$A$61,0))="","",INDEX(offices!$N$2:$N$61,MATCH($B191,offices!$A$2:$A$61,0))),""))</f>
        <v/>
      </c>
      <c r="L191" s="25">
        <f>IF($A191="","",IF($Q191="N","",COUNTIFS($A$2:$A191,$A191,$Q$2:$Q191,"&lt;&gt;N")))</f>
        <v/>
      </c>
      <c r="M191" s="25">
        <f>IF(OR($A191="",$L191=""),"",IF(AND(config!$B$34="names_if_public",IFERROR(IF(INDEX(offices!$AF$2:$AF$61,MATCH($B191,offices!$A$2:$A$61,0))="","",INDEX(offices!$AF$2:$AF$61,MATCH($B191,offices!$A$2:$A$61,0))),"")="Y"),$K191,CHAR(64+$L191)))</f>
        <v/>
      </c>
      <c r="N191" s="25">
        <f>IF(OR($A191="",$I191=""),"",COUNTIFS(stops!$B$2:$B$151,$B191,stops!$P$2:$P$151,"&lt;"&amp;$I191,stops!$L$2:$L$151,"&lt;&gt;not_delivered")+1)</f>
        <v/>
      </c>
      <c r="O191" s="25">
        <f>IF($A191="","",IF(N($N191)&lt;=config!$B$29,"explicit","opt-out"))</f>
        <v/>
      </c>
      <c r="P191" s="25">
        <f>IF($A191="","",IF($O191="explicit",IF($D191="yes","Y",IF($D191="no","N","pending")),IF($D191="no","N",IF(AND($C191&lt;&gt;"",$I191&lt;&gt;"",$C191&lt;=WORKDAY(N($I191),-5,calendar!$A$2:$A$80)),"Y","pending"))))</f>
        <v/>
      </c>
      <c r="Q191" s="25">
        <f>IF($A191="","",IF($P191="N","N",IF($P191&lt;&gt;"Y","pending",IF(AND((COUNTIFS(stops!$A$2:$A$151,$H191,stops!$B$2:$B$151,$B191,stops!$L$2:$L$151,"declined")+COUNTIFS(stops!$A$2:$A$151,$H191,stops!$B$2:$B$151,$B191,stops!$L$2:$L$151,"building_refused")+COUNTIFS(stops!$A$2:$A$151,$H191,stops!$B$2:$B$151,$B191,stops!$L$2:$L$151,"not_delivered"))&gt;0,N($U191)=0),"N","Y"))))</f>
        <v/>
      </c>
      <c r="R191" s="25">
        <f>IF($A191="","",IF(COUNTIFS($A$2:$A$251,$A191,$B$2:$B$251,$B191)&gt;1,"DUPLICATE ROW; ","")&amp;IF(AND(IFERROR(IF(INDEX(offices!$AC$2:$AC$61,MATCH($B191,offices!$A$2:$A$61,0))="","",INDEX(offices!$AC$2:$AC$61,MATCH($B191,offices!$A$2:$A$61,0))),"")&lt;&gt;"",ISNUMBER(SEARCH($J191,IFERROR(IF(INDEX(offices!$AC$2:$AC$61,MATCH($B191,offices!$A$2:$A$61,0))="","",INDEX(offices!$AC$2:$AC$61,MATCH($B191,offices!$A$2:$A$61,0))),"")))),"BRAND VETOED; ","")&amp;IF(ISNUMBER(SEARCH(IFERROR(IF(INDEX(campaigns!$BF$2:$BF$51,MATCH($A191,campaigns!$A$2:$A$51,0))="","",INDEX(campaigns!$BF$2:$BF$51,MATCH($A191,campaigns!$A$2:$A$51,0))),""),IFERROR(IF(INDEX(offices!$AB$2:$AB$61,MATCH($B191,offices!$A$2:$A$61,0))="","",INDEX(offices!$AB$2:$AB$61,MATCH($B191,offices!$A$2:$A$61,0))),""))),"","info: category not on the office's list; ")&amp;IF(IFERROR(IF(INDEX(offices!$AC$2:$AC$61,MATCH($B191,offices!$A$2:$A$61,0))="","",INDEX(offices!$AC$2:$AC$61,MATCH($B191,offices!$A$2:$A$61,0))),"")&lt;&gt;"","info: read the vetoes against the label; ",""))</f>
        <v/>
      </c>
      <c r="S191" s="25">
        <f>IF($A191="","",IF($G191&lt;&gt;"",$G191,IFERROR(IF(INDEX(offices!$AL$2:$AL$61,MATCH($B191,offices!$A$2:$A$61,0))="","",INDEX(offices!$AL$2:$AL$61,MATCH($B191,offices!$A$2:$A$61,0))),"")))</f>
        <v/>
      </c>
      <c r="T191" s="25">
        <f>IF($A191="","",$A191&amp;"."&amp;$B191)</f>
        <v/>
      </c>
      <c r="U191" s="25">
        <f>IF($A191="","",SUMIFS(inventory!$G$2:$G$801,inventory!$C$2:$C$801,$A191,inventory!$D$2:$D$801,$B191,inventory!$E$2:$E$801,"delivered"))</f>
        <v/>
      </c>
      <c r="V191" s="32">
        <f>IF($A191="","",IFERROR(1/(1/SUMPRODUCT(MAX((inventory!$C$2:$C$801=$A191)*(inventory!$D$2:$D$801=$B191)*(inventory!$E$2:$E$801="delivered")*(inventory!$A$2:$A$801+inventory!$B$2:$B$801)))),""))</f>
        <v/>
      </c>
      <c r="W191" s="25">
        <f>IF($A191="","",IFERROR(IF(INDEX(inventory!$J$2:$J$801,MATCH($A191&amp;"|"&amp;$B191&amp;"|delivered",inventory!$R$2:$R$801,0))="","",INDEX(inventory!$J$2:$J$801,MATCH($A191&amp;"|"&amp;$B191&amp;"|delivered",inventory!$R$2:$R$801,0))),""))</f>
        <v/>
      </c>
      <c r="X191" s="25">
        <f>IF($A191="","",IFERROR(IF(INDEX(photos!$H$2:$H$701,MATCH($A191&amp;"|"&amp;$B191&amp;"|placement|Y",photos!$R$2:$R$701,0))="","",INDEX(photos!$H$2:$H$701,MATCH($A191&amp;"|"&amp;$B191&amp;"|placement|Y",photos!$R$2:$R$701,0))),""))</f>
        <v/>
      </c>
      <c r="Y191" s="26">
        <f>IF($A191="","",IFERROR(IF(INDEX(photos!$E$2:$E$701,MATCH($A191&amp;"|"&amp;$B191&amp;"|placement|Y",photos!$R$2:$R$701,0))="","",INDEX(photos!$E$2:$E$701,MATCH($A191&amp;"|"&amp;$B191&amp;"|placement|Y",photos!$R$2:$R$701,0))),""))</f>
        <v/>
      </c>
      <c r="Z191" s="25">
        <f>IF($A191="","",IF(COUNTIFS(counts!$C$2:$C$701,$A191,counts!$D$2:$D$701,$B191,counts!$E$2:$E$701,"placed")=0,"",SUMIFS(counts!$F$2:$F$701,counts!$C$2:$C$701,$A191,counts!$D$2:$D$701,$B191,counts!$E$2:$E$701,"placed")))</f>
        <v/>
      </c>
      <c r="AA191" s="25">
        <f>IF($A191="","",IF($Y191="",0,N($Z191)))</f>
        <v/>
      </c>
      <c r="AB191" s="25">
        <f>IF($A191="","",IF(OR($Y191="",$I191=""),"N",IF($Y191&lt;=WORKDAY(N($I191),1,calendar!$A$2:$A$80),"Y","N")))</f>
        <v/>
      </c>
      <c r="AC191" s="28">
        <f>IF(OR($A191="",$V191="",$Y191=""),"",ROUND(($Y191+N(IFERROR(IF(INDEX(photos!$F$2:$F$701,MATCH($A191&amp;"|"&amp;$B191&amp;"|placement|Y",photos!$R$2:$R$701,0))="","",INDEX(photos!$F$2:$F$701,MATCH($A191&amp;"|"&amp;$B191&amp;"|placement|Y",photos!$R$2:$R$701,0))),""))-$V191)*24,1))</f>
        <v/>
      </c>
      <c r="AD191" s="25">
        <f>IF($A191="","",SUMIFS(inventory!$G$2:$G$801,inventory!$C$2:$C$801,$A191,inventory!$D$2:$D$801,$B191,inventory!$E$2:$E$801,"topped_up"))</f>
        <v/>
      </c>
      <c r="AE191" s="25">
        <f>IF($A191="","",IF(COUNTIFS(counts!$C$2:$C$701,$A191,counts!$D$2:$D$701,$B191,counts!$E$2:$E$701,"remaining_day3")=0,"",SUMIFS(counts!$F$2:$F$701,counts!$C$2:$C$701,$A191,counts!$D$2:$D$701,$B191,counts!$E$2:$E$701,"remaining_day3")))</f>
        <v/>
      </c>
      <c r="AF191" s="25">
        <f>IF($A191="","",IF(COUNTIFS(counts!$C$2:$C$701,$A191,counts!$D$2:$D$701,$B191,counts!$E$2:$E$701,"remaining_day5")=0,"",SUMIFS(counts!$F$2:$F$701,counts!$C$2:$C$701,$A191,counts!$D$2:$D$701,$B191,counts!$E$2:$E$701,"remaining_day5")))</f>
        <v/>
      </c>
      <c r="AG191" s="25">
        <f>IF(OR($A191="",$AF191=""),"",MAX(0,$AA191+$AD191-$AF191))</f>
        <v/>
      </c>
      <c r="AH191" s="25">
        <f>IF(OR($A191="",$AI191=""),"",IFERROR(IF(INDEX(photos!$H$2:$H$701,MATCH($A191&amp;"|"&amp;$B191&amp;"|later|Y|"&amp;$AI191,photos!$S$2:$S$701,0))="","",INDEX(photos!$H$2:$H$701,MATCH($A191&amp;"|"&amp;$B191&amp;"|later|Y|"&amp;$AI191,photos!$S$2:$S$701,0))),""))</f>
        <v/>
      </c>
      <c r="AI191" s="26">
        <f>IF($A191="","",IFERROR(1/(1/SUMPRODUCT(MAX((photos!$B$2:$B$701=$A191)*(photos!$C$2:$C$701=$B191)*(photos!$D$2:$D$701="later")*(photos!$O$2:$O$701="Y")*photos!$E$2:$E$701))),""))</f>
        <v/>
      </c>
      <c r="AJ191" s="25">
        <f>IF(OR($A191="",$AI191="",$I191=""),"",NETWORKDAYS($I191,$AI191,calendar!$A$2:$A$80))</f>
        <v/>
      </c>
      <c r="AK191" s="25">
        <f>IF($A191="","",IF(AND($X191&lt;&gt;"",$AH191&lt;&gt;""),"Y","N"))</f>
        <v/>
      </c>
      <c r="AL191" s="25">
        <f>IF(OR($A191="",$I191=""),"",IF($BC191="Y",SUMIFS(survey_frozen!$C$2:$C$251,survey_frozen!$P$2:$P$251,$A191&amp;"|"&amp;$B191),IFERROR(COUNTIFS(INDIRECT("'"&amp;$A191&amp;"'!$B$2:$B$501"),$T191,INDIRECT("'"&amp;$A191&amp;"'!$A$2:$A$501"),"&gt;="&amp;$I191,INDIRECT("'"&amp;$A191&amp;"'!$A$2:$A$501"),"&lt;"&amp;($BA191+1)),0)))</f>
        <v/>
      </c>
      <c r="AM191" s="25">
        <f>IF(OR($A191="",$I191=""),"",IF($BC191="Y",SUMIFS(survey_frozen!$D$2:$D$251,survey_frozen!$P$2:$P$251,$A191&amp;"|"&amp;$B191),IFERROR(COUNTIFS(INDIRECT("'"&amp;$A191&amp;"'!$B$2:$B$501"),$T191,INDIRECT("'"&amp;$A191&amp;"'!$A$2:$A$501"),"&gt;="&amp;$I191,INDIRECT("'"&amp;$A191&amp;"'!$A$2:$A$501"),"&lt;"&amp;($BA191+1),INDIRECT("'"&amp;$A191&amp;"'!$C$2:$C$501"),"Yes"),0)))</f>
        <v/>
      </c>
      <c r="AN191" s="25">
        <f>IF($A191="","",IF(COUNTIFS(scans!$C$2:$C$1601,(IF(LEFT($A191,7)="SAMPLE-","SAMPLE-","")&amp;LOWER(SUBSTITUTE(SUBSTITUTE($A191,"SAMPLE-",""),"CMP-","c"))&amp;"-"&amp;LOWER(SUBSTITUTE(SUBSTITUTE($B191,"SAMPLE-",""),"O-","o"))&amp;"-q"),scans!$D$2:$D$1601,"close")=0,"",SUMPRODUCT(MAX((scans!$C$2:$C$1601=(IF(LEFT($A191,7)="SAMPLE-","SAMPLE-","")&amp;LOWER(SUBSTITUTE(SUBSTITUTE($A191,"SAMPLE-",""),"CMP-","c"))&amp;"-"&amp;LOWER(SUBSTITUTE(SUBSTITUTE($B191,"SAMPLE-",""),"O-","o"))&amp;"-q"))*(scans!$D$2:$D$1601="close")*scans!$E$2:$E$1601))-SUMPRODUCT(MAX((scans!$C$2:$C$1601=(IF(LEFT($A191,7)="SAMPLE-","SAMPLE-","")&amp;LOWER(SUBSTITUTE(SUBSTITUTE($A191,"SAMPLE-",""),"CMP-","c"))&amp;"-"&amp;LOWER(SUBSTITUTE(SUBSTITUTE($B191,"SAMPLE-",""),"O-","o"))&amp;"-q"))*(scans!$D$2:$D$1601="baseline")*scans!$E$2:$E$1601))))</f>
        <v/>
      </c>
      <c r="AO191" s="25">
        <f>IF($A191="","",IF(COUNTIFS(scans!$C$2:$C$1601,(IF(LEFT($A191,7)="SAMPLE-","SAMPLE-","")&amp;LOWER(SUBSTITUTE(SUBSTITUTE($A191,"SAMPLE-",""),"CMP-","c"))&amp;"-"&amp;LOWER(SUBSTITUTE(SUBSTITUTE($B191,"SAMPLE-",""),"O-","o"))&amp;"-p"),scans!$D$2:$D$1601,"close")=0,"",SUMPRODUCT(MAX((scans!$C$2:$C$1601=(IF(LEFT($A191,7)="SAMPLE-","SAMPLE-","")&amp;LOWER(SUBSTITUTE(SUBSTITUTE($A191,"SAMPLE-",""),"CMP-","c"))&amp;"-"&amp;LOWER(SUBSTITUTE(SUBSTITUTE($B191,"SAMPLE-",""),"O-","o"))&amp;"-p"))*(scans!$D$2:$D$1601="close")*scans!$E$2:$E$1601))-SUMPRODUCT(MAX((scans!$C$2:$C$1601=(IF(LEFT($A191,7)="SAMPLE-","SAMPLE-","")&amp;LOWER(SUBSTITUTE(SUBSTITUTE($A191,"SAMPLE-",""),"CMP-","c"))&amp;"-"&amp;LOWER(SUBSTITUTE(SUBSTITUTE($B191,"SAMPLE-",""),"O-","o"))&amp;"-p"))*(scans!$D$2:$D$1601="baseline")*scans!$E$2:$E$1601))))</f>
        <v/>
      </c>
      <c r="AP191" s="25">
        <f>IF($A191="","",IF(COUNTIF(offices!$A$2:$A$61,$B191)=0,"office_id not on offices; ","")&amp;IF(COUNTIF(campaigns!$A$2:$A$51,$A191)=0,"campaign_id not on campaigns; ","")&amp;IF($P191="pending","approval pending; ","")&amp;IF(AND($U191&gt;0,$Y191="",OR($I191="",IF(config!$B$37&lt;&gt;"",config!$B$37,TODAY())&lt;=WORKDAY(N($I191),4,calendar!$A$2:$A$80))),"no usable placement photo yet; ","")&amp;IF(AND($Y191&lt;&gt;"",$Z191=""),"log the placed count; ","")&amp;IF(N($AA191)&gt;N($U191),"placed more than delivered; ","")&amp;IF(AND($AF191&lt;&gt;"",N($AF191)&gt;N($AA191)+N($AD191)),"day-5 count above placed plus top-ups; ","")&amp;IF(AND($U191&gt;0,$I191&lt;&gt;"",IF(config!$B$37&lt;&gt;"",config!$B$37,TODAY())&gt;WORKDAY(N($I191),4,calendar!$A$2:$A$80),$AF191=""),"day-5 count missing; ","")&amp;IF(AND($U191&gt;0,$I191&lt;&gt;"",IF(config!$B$37&lt;&gt;"",config!$B$37,TODAY())&gt;WORKDAY(N($I191),4,calendar!$A$2:$A$80),$AN191=""),"no close link reading; ","")&amp;$R191&amp;IF($P191="N","info: office said no; ","")&amp;IF(AND($P191="Y",$Q191="N"),"info: turned away at the door, so not on the drop (no letter, not in the report or Gate 2; the credit check is on campaigns); ","")&amp;IF(AND($U191&gt;0,$Y191="",$I191&lt;&gt;"",IF(config!$B$37&lt;&gt;"",config!$B$37,TODAY())&gt;WORKDAY(N($I191),4,calendar!$A$2:$A$80)),"info: no usable placement photo, so nothing counts as placed; ","")&amp;IF(AND($U191&gt;0,$I191&lt;&gt;"",IF(config!$B$37&lt;&gt;"",config!$B$37,TODAY())&gt;WORKDAY(N($I191),4,calendar!$A$2:$A$80),N($AL191)&lt;config!$B$30),"info: under "&amp;config!$B$30&amp;" responses; ","")&amp;IF($W191="packing_list","info: delivered count not verified; ",""))</f>
        <v/>
      </c>
      <c r="AQ191" s="25">
        <f>IF(OR($A191="",$I191=""),"",IF($BC191="Y",SUMIFS(survey_frozen!$E$2:$E$251,survey_frozen!$P$2:$P$251,$A191&amp;"|"&amp;$B191),IFERROR(COUNTIFS(INDIRECT("'"&amp;$A191&amp;"'!$B$2:$B$501"),$T191,INDIRECT("'"&amp;$A191&amp;"'!$A$2:$A$501"),"&gt;="&amp;$I191,INDIRECT("'"&amp;$A191&amp;"'!$A$2:$A$501"),"&lt;"&amp;($BA191+1),INDIRECT("'"&amp;$A191&amp;"'!$F$2:$F$501"),"Didn't see it"),0)))</f>
        <v/>
      </c>
      <c r="AR191" s="25">
        <f>IF(OR($A191="",$I191=""),"",IF($BC191="Y",SUMIFS(survey_frozen!$F$2:$F$251,survey_frozen!$P$2:$P$251,$A191&amp;"|"&amp;$B191),IFERROR(COUNTIFS(INDIRECT("'"&amp;$A191&amp;"'!$B$2:$B$501"),$T191,INDIRECT("'"&amp;$A191&amp;"'!$A$2:$A$501"),"&gt;="&amp;$I191,INDIRECT("'"&amp;$A191&amp;"'!$A$2:$A$501"),"&lt;"&amp;($BA191+1),INDIRECT("'"&amp;$A191&amp;"'!$F$2:$F$501"),"Not for me"),0)))</f>
        <v/>
      </c>
      <c r="AS191" s="25">
        <f>IF(OR($A191="",$I191=""),"",IF($BC191="Y",SUMIFS(survey_frozen!$G$2:$G$251,survey_frozen!$P$2:$P$251,$A191&amp;"|"&amp;$B191),IFERROR(COUNTIFS(INDIRECT("'"&amp;$A191&amp;"'!$B$2:$B$501"),$T191,INDIRECT("'"&amp;$A191&amp;"'!$A$2:$A$501"),"&gt;="&amp;$I191,INDIRECT("'"&amp;$A191&amp;"'!$A$2:$A$501"),"&lt;"&amp;($BA191+1),INDIRECT("'"&amp;$A191&amp;"'!$F$2:$F$501"),"Gone by the time I looked"),0)))</f>
        <v/>
      </c>
      <c r="AT191" s="25">
        <f>IF(OR($A191="",$I191=""),"",IF($BC191="Y",SUMIFS(survey_frozen!$H$2:$H$251,survey_frozen!$P$2:$P$251,$A191&amp;"|"&amp;$B191),IFERROR(COUNTIFS(INDIRECT("'"&amp;$A191&amp;"'!$B$2:$B$501"),$T191,INDIRECT("'"&amp;$A191&amp;"'!$A$2:$A$501"),"&gt;="&amp;$I191,INDIRECT("'"&amp;$A191&amp;"'!$A$2:$A$501"),"&lt;"&amp;($BA191+1),INDIRECT("'"&amp;$A191&amp;"'!$D$2:$D$501"),"&gt;=1"),0)))</f>
        <v/>
      </c>
      <c r="AU191" s="25">
        <f>IF(OR($A191="",$I191=""),"",IF($BC191="Y",SUMIFS(survey_frozen!$I$2:$I$251,survey_frozen!$P$2:$P$251,$A191&amp;"|"&amp;$B191),IFERROR(SUMIFS(INDIRECT("'"&amp;$A191&amp;"'!$D$2:$D$501"),INDIRECT("'"&amp;$A191&amp;"'!$B$2:$B$501"),$T191,INDIRECT("'"&amp;$A191&amp;"'!$A$2:$A$501"),"&gt;="&amp;$I191,INDIRECT("'"&amp;$A191&amp;"'!$A$2:$A$501"),"&lt;"&amp;($BA191+1)),0)))</f>
        <v/>
      </c>
      <c r="AV191" s="25">
        <f>IF(OR($A191="",$I191=""),"",IF($BC191="Y",SUMIFS(survey_frozen!$J$2:$J$251,survey_frozen!$P$2:$P$251,$A191&amp;"|"&amp;$B191),IFERROR(COUNTIFS(INDIRECT("'"&amp;$A191&amp;"'!$B$2:$B$501"),$T191,INDIRECT("'"&amp;$A191&amp;"'!$A$2:$A$501"),"&gt;="&amp;$I191,INDIRECT("'"&amp;$A191&amp;"'!$A$2:$A$501"),"&lt;"&amp;($BA191+1),INDIRECT("'"&amp;$A191&amp;"'!$E$2:$E$501"),"Yes"),0)))</f>
        <v/>
      </c>
      <c r="AW191" s="25">
        <f>IF(OR($A191="",$I191=""),"",IF($BC191="Y",SUMIFS(survey_frozen!$K$2:$K$251,survey_frozen!$P$2:$P$251,$A191&amp;"|"&amp;$B191),IFERROR(COUNTIFS(INDIRECT("'"&amp;$A191&amp;"'!$B$2:$B$501"),$T191,INDIRECT("'"&amp;$A191&amp;"'!$A$2:$A$501"),"&gt;="&amp;$I191,INDIRECT("'"&amp;$A191&amp;"'!$A$2:$A$501"),"&lt;"&amp;($BA191+1),INDIRECT("'"&amp;$A191&amp;"'!$E$2:$E$501"),"Maybe"),0)))</f>
        <v/>
      </c>
      <c r="AX191" s="25">
        <f>IF(OR($A191="",$I191=""),"",IF($BC191="Y",SUMIFS(survey_frozen!$L$2:$L$251,survey_frozen!$P$2:$P$251,$A191&amp;"|"&amp;$B191),IFERROR(COUNTIFS(INDIRECT("'"&amp;$A191&amp;"'!$B$2:$B$501"),$T191,INDIRECT("'"&amp;$A191&amp;"'!$A$2:$A$501"),"&gt;="&amp;$I191,INDIRECT("'"&amp;$A191&amp;"'!$A$2:$A$501"),"&lt;"&amp;($BA191+1),INDIRECT("'"&amp;$A191&amp;"'!$E$2:$E$501"),"No"),0)))</f>
        <v/>
      </c>
      <c r="AY191" s="25">
        <f>IF(OR($A191="",$I191=""),"",IF($BC191="Y",SUMIFS(survey_frozen!$M$2:$M$251,survey_frozen!$P$2:$P$251,$A191&amp;"|"&amp;$B191),IFERROR(COUNTIFS(INDIRECT("'"&amp;$A191&amp;"'!$B$2:$B$501"),$T191,INDIRECT("'"&amp;$A191&amp;"'!$A$2:$A$501"),"&gt;="&amp;$I191,INDIRECT("'"&amp;$A191&amp;"'!$A$2:$A$501"),"&lt;"&amp;($BA191+1),INDIRECT("'"&amp;$A191&amp;"'!$G$2:$G$501"),"&lt;&gt;"),0)))</f>
        <v/>
      </c>
      <c r="AZ191" s="25">
        <f>IF($A191="","",$A191&amp;"|"&amp;$L191)</f>
        <v/>
      </c>
      <c r="BA191" s="26">
        <f>IF($A191="","",IFERROR(IF(INDEX(drops!$R$2:$R$21,MATCH($H191,drops!$A$2:$A$21,0))="","",INDEX(drops!$R$2:$R$21,MATCH($H191,drops!$A$2:$A$21,0))),""))</f>
        <v/>
      </c>
      <c r="BB191" s="25">
        <f>IF(OR($A191="",$Q191&lt;&gt;"Y"),1000000,N($AL191))</f>
        <v/>
      </c>
      <c r="BC191" s="25">
        <f>IF($A191="","",IF(COUNTIF(survey_frozen!$P$2:$P$251,$A191&amp;"|"&amp;$B191)&gt;0,"Y",""))</f>
        <v/>
      </c>
    </row>
    <row r="192">
      <c r="C192" s="9" t="n"/>
      <c r="E192" s="9" t="n"/>
      <c r="H192" s="25">
        <f>IF($A192="","",IFERROR(IF(INDEX(campaigns!$B$2:$B$51,MATCH($A192,campaigns!$A$2:$A$51,0))="","",INDEX(campaigns!$B$2:$B$51,MATCH($A192,campaigns!$A$2:$A$51,0))),""))</f>
        <v/>
      </c>
      <c r="I192" s="26">
        <f>IF($A192="","",IFERROR(IF(INDEX(campaigns!$BG$2:$BG$51,MATCH($A192,campaigns!$A$2:$A$51,0))="","",INDEX(campaigns!$BG$2:$BG$51,MATCH($A192,campaigns!$A$2:$A$51,0))),""))</f>
        <v/>
      </c>
      <c r="J192" s="25">
        <f>IF($A192="","",IFERROR(IF(INDEX(campaigns!$BE$2:$BE$51,MATCH($A192,campaigns!$A$2:$A$51,0))="","",INDEX(campaigns!$BE$2:$BE$51,MATCH($A192,campaigns!$A$2:$A$51,0))),""))</f>
        <v/>
      </c>
      <c r="K192" s="25">
        <f>IF($B192="","",IFERROR(IF(INDEX(offices!$N$2:$N$61,MATCH($B192,offices!$A$2:$A$61,0))="","",INDEX(offices!$N$2:$N$61,MATCH($B192,offices!$A$2:$A$61,0))),""))</f>
        <v/>
      </c>
      <c r="L192" s="25">
        <f>IF($A192="","",IF($Q192="N","",COUNTIFS($A$2:$A192,$A192,$Q$2:$Q192,"&lt;&gt;N")))</f>
        <v/>
      </c>
      <c r="M192" s="25">
        <f>IF(OR($A192="",$L192=""),"",IF(AND(config!$B$34="names_if_public",IFERROR(IF(INDEX(offices!$AF$2:$AF$61,MATCH($B192,offices!$A$2:$A$61,0))="","",INDEX(offices!$AF$2:$AF$61,MATCH($B192,offices!$A$2:$A$61,0))),"")="Y"),$K192,CHAR(64+$L192)))</f>
        <v/>
      </c>
      <c r="N192" s="25">
        <f>IF(OR($A192="",$I192=""),"",COUNTIFS(stops!$B$2:$B$151,$B192,stops!$P$2:$P$151,"&lt;"&amp;$I192,stops!$L$2:$L$151,"&lt;&gt;not_delivered")+1)</f>
        <v/>
      </c>
      <c r="O192" s="25">
        <f>IF($A192="","",IF(N($N192)&lt;=config!$B$29,"explicit","opt-out"))</f>
        <v/>
      </c>
      <c r="P192" s="25">
        <f>IF($A192="","",IF($O192="explicit",IF($D192="yes","Y",IF($D192="no","N","pending")),IF($D192="no","N",IF(AND($C192&lt;&gt;"",$I192&lt;&gt;"",$C192&lt;=WORKDAY(N($I192),-5,calendar!$A$2:$A$80)),"Y","pending"))))</f>
        <v/>
      </c>
      <c r="Q192" s="25">
        <f>IF($A192="","",IF($P192="N","N",IF($P192&lt;&gt;"Y","pending",IF(AND((COUNTIFS(stops!$A$2:$A$151,$H192,stops!$B$2:$B$151,$B192,stops!$L$2:$L$151,"declined")+COUNTIFS(stops!$A$2:$A$151,$H192,stops!$B$2:$B$151,$B192,stops!$L$2:$L$151,"building_refused")+COUNTIFS(stops!$A$2:$A$151,$H192,stops!$B$2:$B$151,$B192,stops!$L$2:$L$151,"not_delivered"))&gt;0,N($U192)=0),"N","Y"))))</f>
        <v/>
      </c>
      <c r="R192" s="25">
        <f>IF($A192="","",IF(COUNTIFS($A$2:$A$251,$A192,$B$2:$B$251,$B192)&gt;1,"DUPLICATE ROW; ","")&amp;IF(AND(IFERROR(IF(INDEX(offices!$AC$2:$AC$61,MATCH($B192,offices!$A$2:$A$61,0))="","",INDEX(offices!$AC$2:$AC$61,MATCH($B192,offices!$A$2:$A$61,0))),"")&lt;&gt;"",ISNUMBER(SEARCH($J192,IFERROR(IF(INDEX(offices!$AC$2:$AC$61,MATCH($B192,offices!$A$2:$A$61,0))="","",INDEX(offices!$AC$2:$AC$61,MATCH($B192,offices!$A$2:$A$61,0))),"")))),"BRAND VETOED; ","")&amp;IF(ISNUMBER(SEARCH(IFERROR(IF(INDEX(campaigns!$BF$2:$BF$51,MATCH($A192,campaigns!$A$2:$A$51,0))="","",INDEX(campaigns!$BF$2:$BF$51,MATCH($A192,campaigns!$A$2:$A$51,0))),""),IFERROR(IF(INDEX(offices!$AB$2:$AB$61,MATCH($B192,offices!$A$2:$A$61,0))="","",INDEX(offices!$AB$2:$AB$61,MATCH($B192,offices!$A$2:$A$61,0))),""))),"","info: category not on the office's list; ")&amp;IF(IFERROR(IF(INDEX(offices!$AC$2:$AC$61,MATCH($B192,offices!$A$2:$A$61,0))="","",INDEX(offices!$AC$2:$AC$61,MATCH($B192,offices!$A$2:$A$61,0))),"")&lt;&gt;"","info: read the vetoes against the label; ",""))</f>
        <v/>
      </c>
      <c r="S192" s="25">
        <f>IF($A192="","",IF($G192&lt;&gt;"",$G192,IFERROR(IF(INDEX(offices!$AL$2:$AL$61,MATCH($B192,offices!$A$2:$A$61,0))="","",INDEX(offices!$AL$2:$AL$61,MATCH($B192,offices!$A$2:$A$61,0))),"")))</f>
        <v/>
      </c>
      <c r="T192" s="25">
        <f>IF($A192="","",$A192&amp;"."&amp;$B192)</f>
        <v/>
      </c>
      <c r="U192" s="25">
        <f>IF($A192="","",SUMIFS(inventory!$G$2:$G$801,inventory!$C$2:$C$801,$A192,inventory!$D$2:$D$801,$B192,inventory!$E$2:$E$801,"delivered"))</f>
        <v/>
      </c>
      <c r="V192" s="32">
        <f>IF($A192="","",IFERROR(1/(1/SUMPRODUCT(MAX((inventory!$C$2:$C$801=$A192)*(inventory!$D$2:$D$801=$B192)*(inventory!$E$2:$E$801="delivered")*(inventory!$A$2:$A$801+inventory!$B$2:$B$801)))),""))</f>
        <v/>
      </c>
      <c r="W192" s="25">
        <f>IF($A192="","",IFERROR(IF(INDEX(inventory!$J$2:$J$801,MATCH($A192&amp;"|"&amp;$B192&amp;"|delivered",inventory!$R$2:$R$801,0))="","",INDEX(inventory!$J$2:$J$801,MATCH($A192&amp;"|"&amp;$B192&amp;"|delivered",inventory!$R$2:$R$801,0))),""))</f>
        <v/>
      </c>
      <c r="X192" s="25">
        <f>IF($A192="","",IFERROR(IF(INDEX(photos!$H$2:$H$701,MATCH($A192&amp;"|"&amp;$B192&amp;"|placement|Y",photos!$R$2:$R$701,0))="","",INDEX(photos!$H$2:$H$701,MATCH($A192&amp;"|"&amp;$B192&amp;"|placement|Y",photos!$R$2:$R$701,0))),""))</f>
        <v/>
      </c>
      <c r="Y192" s="26">
        <f>IF($A192="","",IFERROR(IF(INDEX(photos!$E$2:$E$701,MATCH($A192&amp;"|"&amp;$B192&amp;"|placement|Y",photos!$R$2:$R$701,0))="","",INDEX(photos!$E$2:$E$701,MATCH($A192&amp;"|"&amp;$B192&amp;"|placement|Y",photos!$R$2:$R$701,0))),""))</f>
        <v/>
      </c>
      <c r="Z192" s="25">
        <f>IF($A192="","",IF(COUNTIFS(counts!$C$2:$C$701,$A192,counts!$D$2:$D$701,$B192,counts!$E$2:$E$701,"placed")=0,"",SUMIFS(counts!$F$2:$F$701,counts!$C$2:$C$701,$A192,counts!$D$2:$D$701,$B192,counts!$E$2:$E$701,"placed")))</f>
        <v/>
      </c>
      <c r="AA192" s="25">
        <f>IF($A192="","",IF($Y192="",0,N($Z192)))</f>
        <v/>
      </c>
      <c r="AB192" s="25">
        <f>IF($A192="","",IF(OR($Y192="",$I192=""),"N",IF($Y192&lt;=WORKDAY(N($I192),1,calendar!$A$2:$A$80),"Y","N")))</f>
        <v/>
      </c>
      <c r="AC192" s="28">
        <f>IF(OR($A192="",$V192="",$Y192=""),"",ROUND(($Y192+N(IFERROR(IF(INDEX(photos!$F$2:$F$701,MATCH($A192&amp;"|"&amp;$B192&amp;"|placement|Y",photos!$R$2:$R$701,0))="","",INDEX(photos!$F$2:$F$701,MATCH($A192&amp;"|"&amp;$B192&amp;"|placement|Y",photos!$R$2:$R$701,0))),""))-$V192)*24,1))</f>
        <v/>
      </c>
      <c r="AD192" s="25">
        <f>IF($A192="","",SUMIFS(inventory!$G$2:$G$801,inventory!$C$2:$C$801,$A192,inventory!$D$2:$D$801,$B192,inventory!$E$2:$E$801,"topped_up"))</f>
        <v/>
      </c>
      <c r="AE192" s="25">
        <f>IF($A192="","",IF(COUNTIFS(counts!$C$2:$C$701,$A192,counts!$D$2:$D$701,$B192,counts!$E$2:$E$701,"remaining_day3")=0,"",SUMIFS(counts!$F$2:$F$701,counts!$C$2:$C$701,$A192,counts!$D$2:$D$701,$B192,counts!$E$2:$E$701,"remaining_day3")))</f>
        <v/>
      </c>
      <c r="AF192" s="25">
        <f>IF($A192="","",IF(COUNTIFS(counts!$C$2:$C$701,$A192,counts!$D$2:$D$701,$B192,counts!$E$2:$E$701,"remaining_day5")=0,"",SUMIFS(counts!$F$2:$F$701,counts!$C$2:$C$701,$A192,counts!$D$2:$D$701,$B192,counts!$E$2:$E$701,"remaining_day5")))</f>
        <v/>
      </c>
      <c r="AG192" s="25">
        <f>IF(OR($A192="",$AF192=""),"",MAX(0,$AA192+$AD192-$AF192))</f>
        <v/>
      </c>
      <c r="AH192" s="25">
        <f>IF(OR($A192="",$AI192=""),"",IFERROR(IF(INDEX(photos!$H$2:$H$701,MATCH($A192&amp;"|"&amp;$B192&amp;"|later|Y|"&amp;$AI192,photos!$S$2:$S$701,0))="","",INDEX(photos!$H$2:$H$701,MATCH($A192&amp;"|"&amp;$B192&amp;"|later|Y|"&amp;$AI192,photos!$S$2:$S$701,0))),""))</f>
        <v/>
      </c>
      <c r="AI192" s="26">
        <f>IF($A192="","",IFERROR(1/(1/SUMPRODUCT(MAX((photos!$B$2:$B$701=$A192)*(photos!$C$2:$C$701=$B192)*(photos!$D$2:$D$701="later")*(photos!$O$2:$O$701="Y")*photos!$E$2:$E$701))),""))</f>
        <v/>
      </c>
      <c r="AJ192" s="25">
        <f>IF(OR($A192="",$AI192="",$I192=""),"",NETWORKDAYS($I192,$AI192,calendar!$A$2:$A$80))</f>
        <v/>
      </c>
      <c r="AK192" s="25">
        <f>IF($A192="","",IF(AND($X192&lt;&gt;"",$AH192&lt;&gt;""),"Y","N"))</f>
        <v/>
      </c>
      <c r="AL192" s="25">
        <f>IF(OR($A192="",$I192=""),"",IF($BC192="Y",SUMIFS(survey_frozen!$C$2:$C$251,survey_frozen!$P$2:$P$251,$A192&amp;"|"&amp;$B192),IFERROR(COUNTIFS(INDIRECT("'"&amp;$A192&amp;"'!$B$2:$B$501"),$T192,INDIRECT("'"&amp;$A192&amp;"'!$A$2:$A$501"),"&gt;="&amp;$I192,INDIRECT("'"&amp;$A192&amp;"'!$A$2:$A$501"),"&lt;"&amp;($BA192+1)),0)))</f>
        <v/>
      </c>
      <c r="AM192" s="25">
        <f>IF(OR($A192="",$I192=""),"",IF($BC192="Y",SUMIFS(survey_frozen!$D$2:$D$251,survey_frozen!$P$2:$P$251,$A192&amp;"|"&amp;$B192),IFERROR(COUNTIFS(INDIRECT("'"&amp;$A192&amp;"'!$B$2:$B$501"),$T192,INDIRECT("'"&amp;$A192&amp;"'!$A$2:$A$501"),"&gt;="&amp;$I192,INDIRECT("'"&amp;$A192&amp;"'!$A$2:$A$501"),"&lt;"&amp;($BA192+1),INDIRECT("'"&amp;$A192&amp;"'!$C$2:$C$501"),"Yes"),0)))</f>
        <v/>
      </c>
      <c r="AN192" s="25">
        <f>IF($A192="","",IF(COUNTIFS(scans!$C$2:$C$1601,(IF(LEFT($A192,7)="SAMPLE-","SAMPLE-","")&amp;LOWER(SUBSTITUTE(SUBSTITUTE($A192,"SAMPLE-",""),"CMP-","c"))&amp;"-"&amp;LOWER(SUBSTITUTE(SUBSTITUTE($B192,"SAMPLE-",""),"O-","o"))&amp;"-q"),scans!$D$2:$D$1601,"close")=0,"",SUMPRODUCT(MAX((scans!$C$2:$C$1601=(IF(LEFT($A192,7)="SAMPLE-","SAMPLE-","")&amp;LOWER(SUBSTITUTE(SUBSTITUTE($A192,"SAMPLE-",""),"CMP-","c"))&amp;"-"&amp;LOWER(SUBSTITUTE(SUBSTITUTE($B192,"SAMPLE-",""),"O-","o"))&amp;"-q"))*(scans!$D$2:$D$1601="close")*scans!$E$2:$E$1601))-SUMPRODUCT(MAX((scans!$C$2:$C$1601=(IF(LEFT($A192,7)="SAMPLE-","SAMPLE-","")&amp;LOWER(SUBSTITUTE(SUBSTITUTE($A192,"SAMPLE-",""),"CMP-","c"))&amp;"-"&amp;LOWER(SUBSTITUTE(SUBSTITUTE($B192,"SAMPLE-",""),"O-","o"))&amp;"-q"))*(scans!$D$2:$D$1601="baseline")*scans!$E$2:$E$1601))))</f>
        <v/>
      </c>
      <c r="AO192" s="25">
        <f>IF($A192="","",IF(COUNTIFS(scans!$C$2:$C$1601,(IF(LEFT($A192,7)="SAMPLE-","SAMPLE-","")&amp;LOWER(SUBSTITUTE(SUBSTITUTE($A192,"SAMPLE-",""),"CMP-","c"))&amp;"-"&amp;LOWER(SUBSTITUTE(SUBSTITUTE($B192,"SAMPLE-",""),"O-","o"))&amp;"-p"),scans!$D$2:$D$1601,"close")=0,"",SUMPRODUCT(MAX((scans!$C$2:$C$1601=(IF(LEFT($A192,7)="SAMPLE-","SAMPLE-","")&amp;LOWER(SUBSTITUTE(SUBSTITUTE($A192,"SAMPLE-",""),"CMP-","c"))&amp;"-"&amp;LOWER(SUBSTITUTE(SUBSTITUTE($B192,"SAMPLE-",""),"O-","o"))&amp;"-p"))*(scans!$D$2:$D$1601="close")*scans!$E$2:$E$1601))-SUMPRODUCT(MAX((scans!$C$2:$C$1601=(IF(LEFT($A192,7)="SAMPLE-","SAMPLE-","")&amp;LOWER(SUBSTITUTE(SUBSTITUTE($A192,"SAMPLE-",""),"CMP-","c"))&amp;"-"&amp;LOWER(SUBSTITUTE(SUBSTITUTE($B192,"SAMPLE-",""),"O-","o"))&amp;"-p"))*(scans!$D$2:$D$1601="baseline")*scans!$E$2:$E$1601))))</f>
        <v/>
      </c>
      <c r="AP192" s="25">
        <f>IF($A192="","",IF(COUNTIF(offices!$A$2:$A$61,$B192)=0,"office_id not on offices; ","")&amp;IF(COUNTIF(campaigns!$A$2:$A$51,$A192)=0,"campaign_id not on campaigns; ","")&amp;IF($P192="pending","approval pending; ","")&amp;IF(AND($U192&gt;0,$Y192="",OR($I192="",IF(config!$B$37&lt;&gt;"",config!$B$37,TODAY())&lt;=WORKDAY(N($I192),4,calendar!$A$2:$A$80))),"no usable placement photo yet; ","")&amp;IF(AND($Y192&lt;&gt;"",$Z192=""),"log the placed count; ","")&amp;IF(N($AA192)&gt;N($U192),"placed more than delivered; ","")&amp;IF(AND($AF192&lt;&gt;"",N($AF192)&gt;N($AA192)+N($AD192)),"day-5 count above placed plus top-ups; ","")&amp;IF(AND($U192&gt;0,$I192&lt;&gt;"",IF(config!$B$37&lt;&gt;"",config!$B$37,TODAY())&gt;WORKDAY(N($I192),4,calendar!$A$2:$A$80),$AF192=""),"day-5 count missing; ","")&amp;IF(AND($U192&gt;0,$I192&lt;&gt;"",IF(config!$B$37&lt;&gt;"",config!$B$37,TODAY())&gt;WORKDAY(N($I192),4,calendar!$A$2:$A$80),$AN192=""),"no close link reading; ","")&amp;$R192&amp;IF($P192="N","info: office said no; ","")&amp;IF(AND($P192="Y",$Q192="N"),"info: turned away at the door, so not on the drop (no letter, not in the report or Gate 2; the credit check is on campaigns); ","")&amp;IF(AND($U192&gt;0,$Y192="",$I192&lt;&gt;"",IF(config!$B$37&lt;&gt;"",config!$B$37,TODAY())&gt;WORKDAY(N($I192),4,calendar!$A$2:$A$80)),"info: no usable placement photo, so nothing counts as placed; ","")&amp;IF(AND($U192&gt;0,$I192&lt;&gt;"",IF(config!$B$37&lt;&gt;"",config!$B$37,TODAY())&gt;WORKDAY(N($I192),4,calendar!$A$2:$A$80),N($AL192)&lt;config!$B$30),"info: under "&amp;config!$B$30&amp;" responses; ","")&amp;IF($W192="packing_list","info: delivered count not verified; ",""))</f>
        <v/>
      </c>
      <c r="AQ192" s="25">
        <f>IF(OR($A192="",$I192=""),"",IF($BC192="Y",SUMIFS(survey_frozen!$E$2:$E$251,survey_frozen!$P$2:$P$251,$A192&amp;"|"&amp;$B192),IFERROR(COUNTIFS(INDIRECT("'"&amp;$A192&amp;"'!$B$2:$B$501"),$T192,INDIRECT("'"&amp;$A192&amp;"'!$A$2:$A$501"),"&gt;="&amp;$I192,INDIRECT("'"&amp;$A192&amp;"'!$A$2:$A$501"),"&lt;"&amp;($BA192+1),INDIRECT("'"&amp;$A192&amp;"'!$F$2:$F$501"),"Didn't see it"),0)))</f>
        <v/>
      </c>
      <c r="AR192" s="25">
        <f>IF(OR($A192="",$I192=""),"",IF($BC192="Y",SUMIFS(survey_frozen!$F$2:$F$251,survey_frozen!$P$2:$P$251,$A192&amp;"|"&amp;$B192),IFERROR(COUNTIFS(INDIRECT("'"&amp;$A192&amp;"'!$B$2:$B$501"),$T192,INDIRECT("'"&amp;$A192&amp;"'!$A$2:$A$501"),"&gt;="&amp;$I192,INDIRECT("'"&amp;$A192&amp;"'!$A$2:$A$501"),"&lt;"&amp;($BA192+1),INDIRECT("'"&amp;$A192&amp;"'!$F$2:$F$501"),"Not for me"),0)))</f>
        <v/>
      </c>
      <c r="AS192" s="25">
        <f>IF(OR($A192="",$I192=""),"",IF($BC192="Y",SUMIFS(survey_frozen!$G$2:$G$251,survey_frozen!$P$2:$P$251,$A192&amp;"|"&amp;$B192),IFERROR(COUNTIFS(INDIRECT("'"&amp;$A192&amp;"'!$B$2:$B$501"),$T192,INDIRECT("'"&amp;$A192&amp;"'!$A$2:$A$501"),"&gt;="&amp;$I192,INDIRECT("'"&amp;$A192&amp;"'!$A$2:$A$501"),"&lt;"&amp;($BA192+1),INDIRECT("'"&amp;$A192&amp;"'!$F$2:$F$501"),"Gone by the time I looked"),0)))</f>
        <v/>
      </c>
      <c r="AT192" s="25">
        <f>IF(OR($A192="",$I192=""),"",IF($BC192="Y",SUMIFS(survey_frozen!$H$2:$H$251,survey_frozen!$P$2:$P$251,$A192&amp;"|"&amp;$B192),IFERROR(COUNTIFS(INDIRECT("'"&amp;$A192&amp;"'!$B$2:$B$501"),$T192,INDIRECT("'"&amp;$A192&amp;"'!$A$2:$A$501"),"&gt;="&amp;$I192,INDIRECT("'"&amp;$A192&amp;"'!$A$2:$A$501"),"&lt;"&amp;($BA192+1),INDIRECT("'"&amp;$A192&amp;"'!$D$2:$D$501"),"&gt;=1"),0)))</f>
        <v/>
      </c>
      <c r="AU192" s="25">
        <f>IF(OR($A192="",$I192=""),"",IF($BC192="Y",SUMIFS(survey_frozen!$I$2:$I$251,survey_frozen!$P$2:$P$251,$A192&amp;"|"&amp;$B192),IFERROR(SUMIFS(INDIRECT("'"&amp;$A192&amp;"'!$D$2:$D$501"),INDIRECT("'"&amp;$A192&amp;"'!$B$2:$B$501"),$T192,INDIRECT("'"&amp;$A192&amp;"'!$A$2:$A$501"),"&gt;="&amp;$I192,INDIRECT("'"&amp;$A192&amp;"'!$A$2:$A$501"),"&lt;"&amp;($BA192+1)),0)))</f>
        <v/>
      </c>
      <c r="AV192" s="25">
        <f>IF(OR($A192="",$I192=""),"",IF($BC192="Y",SUMIFS(survey_frozen!$J$2:$J$251,survey_frozen!$P$2:$P$251,$A192&amp;"|"&amp;$B192),IFERROR(COUNTIFS(INDIRECT("'"&amp;$A192&amp;"'!$B$2:$B$501"),$T192,INDIRECT("'"&amp;$A192&amp;"'!$A$2:$A$501"),"&gt;="&amp;$I192,INDIRECT("'"&amp;$A192&amp;"'!$A$2:$A$501"),"&lt;"&amp;($BA192+1),INDIRECT("'"&amp;$A192&amp;"'!$E$2:$E$501"),"Yes"),0)))</f>
        <v/>
      </c>
      <c r="AW192" s="25">
        <f>IF(OR($A192="",$I192=""),"",IF($BC192="Y",SUMIFS(survey_frozen!$K$2:$K$251,survey_frozen!$P$2:$P$251,$A192&amp;"|"&amp;$B192),IFERROR(COUNTIFS(INDIRECT("'"&amp;$A192&amp;"'!$B$2:$B$501"),$T192,INDIRECT("'"&amp;$A192&amp;"'!$A$2:$A$501"),"&gt;="&amp;$I192,INDIRECT("'"&amp;$A192&amp;"'!$A$2:$A$501"),"&lt;"&amp;($BA192+1),INDIRECT("'"&amp;$A192&amp;"'!$E$2:$E$501"),"Maybe"),0)))</f>
        <v/>
      </c>
      <c r="AX192" s="25">
        <f>IF(OR($A192="",$I192=""),"",IF($BC192="Y",SUMIFS(survey_frozen!$L$2:$L$251,survey_frozen!$P$2:$P$251,$A192&amp;"|"&amp;$B192),IFERROR(COUNTIFS(INDIRECT("'"&amp;$A192&amp;"'!$B$2:$B$501"),$T192,INDIRECT("'"&amp;$A192&amp;"'!$A$2:$A$501"),"&gt;="&amp;$I192,INDIRECT("'"&amp;$A192&amp;"'!$A$2:$A$501"),"&lt;"&amp;($BA192+1),INDIRECT("'"&amp;$A192&amp;"'!$E$2:$E$501"),"No"),0)))</f>
        <v/>
      </c>
      <c r="AY192" s="25">
        <f>IF(OR($A192="",$I192=""),"",IF($BC192="Y",SUMIFS(survey_frozen!$M$2:$M$251,survey_frozen!$P$2:$P$251,$A192&amp;"|"&amp;$B192),IFERROR(COUNTIFS(INDIRECT("'"&amp;$A192&amp;"'!$B$2:$B$501"),$T192,INDIRECT("'"&amp;$A192&amp;"'!$A$2:$A$501"),"&gt;="&amp;$I192,INDIRECT("'"&amp;$A192&amp;"'!$A$2:$A$501"),"&lt;"&amp;($BA192+1),INDIRECT("'"&amp;$A192&amp;"'!$G$2:$G$501"),"&lt;&gt;"),0)))</f>
        <v/>
      </c>
      <c r="AZ192" s="25">
        <f>IF($A192="","",$A192&amp;"|"&amp;$L192)</f>
        <v/>
      </c>
      <c r="BA192" s="26">
        <f>IF($A192="","",IFERROR(IF(INDEX(drops!$R$2:$R$21,MATCH($H192,drops!$A$2:$A$21,0))="","",INDEX(drops!$R$2:$R$21,MATCH($H192,drops!$A$2:$A$21,0))),""))</f>
        <v/>
      </c>
      <c r="BB192" s="25">
        <f>IF(OR($A192="",$Q192&lt;&gt;"Y"),1000000,N($AL192))</f>
        <v/>
      </c>
      <c r="BC192" s="25">
        <f>IF($A192="","",IF(COUNTIF(survey_frozen!$P$2:$P$251,$A192&amp;"|"&amp;$B192)&gt;0,"Y",""))</f>
        <v/>
      </c>
    </row>
    <row r="193">
      <c r="C193" s="9" t="n"/>
      <c r="E193" s="9" t="n"/>
      <c r="H193" s="25">
        <f>IF($A193="","",IFERROR(IF(INDEX(campaigns!$B$2:$B$51,MATCH($A193,campaigns!$A$2:$A$51,0))="","",INDEX(campaigns!$B$2:$B$51,MATCH($A193,campaigns!$A$2:$A$51,0))),""))</f>
        <v/>
      </c>
      <c r="I193" s="26">
        <f>IF($A193="","",IFERROR(IF(INDEX(campaigns!$BG$2:$BG$51,MATCH($A193,campaigns!$A$2:$A$51,0))="","",INDEX(campaigns!$BG$2:$BG$51,MATCH($A193,campaigns!$A$2:$A$51,0))),""))</f>
        <v/>
      </c>
      <c r="J193" s="25">
        <f>IF($A193="","",IFERROR(IF(INDEX(campaigns!$BE$2:$BE$51,MATCH($A193,campaigns!$A$2:$A$51,0))="","",INDEX(campaigns!$BE$2:$BE$51,MATCH($A193,campaigns!$A$2:$A$51,0))),""))</f>
        <v/>
      </c>
      <c r="K193" s="25">
        <f>IF($B193="","",IFERROR(IF(INDEX(offices!$N$2:$N$61,MATCH($B193,offices!$A$2:$A$61,0))="","",INDEX(offices!$N$2:$N$61,MATCH($B193,offices!$A$2:$A$61,0))),""))</f>
        <v/>
      </c>
      <c r="L193" s="25">
        <f>IF($A193="","",IF($Q193="N","",COUNTIFS($A$2:$A193,$A193,$Q$2:$Q193,"&lt;&gt;N")))</f>
        <v/>
      </c>
      <c r="M193" s="25">
        <f>IF(OR($A193="",$L193=""),"",IF(AND(config!$B$34="names_if_public",IFERROR(IF(INDEX(offices!$AF$2:$AF$61,MATCH($B193,offices!$A$2:$A$61,0))="","",INDEX(offices!$AF$2:$AF$61,MATCH($B193,offices!$A$2:$A$61,0))),"")="Y"),$K193,CHAR(64+$L193)))</f>
        <v/>
      </c>
      <c r="N193" s="25">
        <f>IF(OR($A193="",$I193=""),"",COUNTIFS(stops!$B$2:$B$151,$B193,stops!$P$2:$P$151,"&lt;"&amp;$I193,stops!$L$2:$L$151,"&lt;&gt;not_delivered")+1)</f>
        <v/>
      </c>
      <c r="O193" s="25">
        <f>IF($A193="","",IF(N($N193)&lt;=config!$B$29,"explicit","opt-out"))</f>
        <v/>
      </c>
      <c r="P193" s="25">
        <f>IF($A193="","",IF($O193="explicit",IF($D193="yes","Y",IF($D193="no","N","pending")),IF($D193="no","N",IF(AND($C193&lt;&gt;"",$I193&lt;&gt;"",$C193&lt;=WORKDAY(N($I193),-5,calendar!$A$2:$A$80)),"Y","pending"))))</f>
        <v/>
      </c>
      <c r="Q193" s="25">
        <f>IF($A193="","",IF($P193="N","N",IF($P193&lt;&gt;"Y","pending",IF(AND((COUNTIFS(stops!$A$2:$A$151,$H193,stops!$B$2:$B$151,$B193,stops!$L$2:$L$151,"declined")+COUNTIFS(stops!$A$2:$A$151,$H193,stops!$B$2:$B$151,$B193,stops!$L$2:$L$151,"building_refused")+COUNTIFS(stops!$A$2:$A$151,$H193,stops!$B$2:$B$151,$B193,stops!$L$2:$L$151,"not_delivered"))&gt;0,N($U193)=0),"N","Y"))))</f>
        <v/>
      </c>
      <c r="R193" s="25">
        <f>IF($A193="","",IF(COUNTIFS($A$2:$A$251,$A193,$B$2:$B$251,$B193)&gt;1,"DUPLICATE ROW; ","")&amp;IF(AND(IFERROR(IF(INDEX(offices!$AC$2:$AC$61,MATCH($B193,offices!$A$2:$A$61,0))="","",INDEX(offices!$AC$2:$AC$61,MATCH($B193,offices!$A$2:$A$61,0))),"")&lt;&gt;"",ISNUMBER(SEARCH($J193,IFERROR(IF(INDEX(offices!$AC$2:$AC$61,MATCH($B193,offices!$A$2:$A$61,0))="","",INDEX(offices!$AC$2:$AC$61,MATCH($B193,offices!$A$2:$A$61,0))),"")))),"BRAND VETOED; ","")&amp;IF(ISNUMBER(SEARCH(IFERROR(IF(INDEX(campaigns!$BF$2:$BF$51,MATCH($A193,campaigns!$A$2:$A$51,0))="","",INDEX(campaigns!$BF$2:$BF$51,MATCH($A193,campaigns!$A$2:$A$51,0))),""),IFERROR(IF(INDEX(offices!$AB$2:$AB$61,MATCH($B193,offices!$A$2:$A$61,0))="","",INDEX(offices!$AB$2:$AB$61,MATCH($B193,offices!$A$2:$A$61,0))),""))),"","info: category not on the office's list; ")&amp;IF(IFERROR(IF(INDEX(offices!$AC$2:$AC$61,MATCH($B193,offices!$A$2:$A$61,0))="","",INDEX(offices!$AC$2:$AC$61,MATCH($B193,offices!$A$2:$A$61,0))),"")&lt;&gt;"","info: read the vetoes against the label; ",""))</f>
        <v/>
      </c>
      <c r="S193" s="25">
        <f>IF($A193="","",IF($G193&lt;&gt;"",$G193,IFERROR(IF(INDEX(offices!$AL$2:$AL$61,MATCH($B193,offices!$A$2:$A$61,0))="","",INDEX(offices!$AL$2:$AL$61,MATCH($B193,offices!$A$2:$A$61,0))),"")))</f>
        <v/>
      </c>
      <c r="T193" s="25">
        <f>IF($A193="","",$A193&amp;"."&amp;$B193)</f>
        <v/>
      </c>
      <c r="U193" s="25">
        <f>IF($A193="","",SUMIFS(inventory!$G$2:$G$801,inventory!$C$2:$C$801,$A193,inventory!$D$2:$D$801,$B193,inventory!$E$2:$E$801,"delivered"))</f>
        <v/>
      </c>
      <c r="V193" s="32">
        <f>IF($A193="","",IFERROR(1/(1/SUMPRODUCT(MAX((inventory!$C$2:$C$801=$A193)*(inventory!$D$2:$D$801=$B193)*(inventory!$E$2:$E$801="delivered")*(inventory!$A$2:$A$801+inventory!$B$2:$B$801)))),""))</f>
        <v/>
      </c>
      <c r="W193" s="25">
        <f>IF($A193="","",IFERROR(IF(INDEX(inventory!$J$2:$J$801,MATCH($A193&amp;"|"&amp;$B193&amp;"|delivered",inventory!$R$2:$R$801,0))="","",INDEX(inventory!$J$2:$J$801,MATCH($A193&amp;"|"&amp;$B193&amp;"|delivered",inventory!$R$2:$R$801,0))),""))</f>
        <v/>
      </c>
      <c r="X193" s="25">
        <f>IF($A193="","",IFERROR(IF(INDEX(photos!$H$2:$H$701,MATCH($A193&amp;"|"&amp;$B193&amp;"|placement|Y",photos!$R$2:$R$701,0))="","",INDEX(photos!$H$2:$H$701,MATCH($A193&amp;"|"&amp;$B193&amp;"|placement|Y",photos!$R$2:$R$701,0))),""))</f>
        <v/>
      </c>
      <c r="Y193" s="26">
        <f>IF($A193="","",IFERROR(IF(INDEX(photos!$E$2:$E$701,MATCH($A193&amp;"|"&amp;$B193&amp;"|placement|Y",photos!$R$2:$R$701,0))="","",INDEX(photos!$E$2:$E$701,MATCH($A193&amp;"|"&amp;$B193&amp;"|placement|Y",photos!$R$2:$R$701,0))),""))</f>
        <v/>
      </c>
      <c r="Z193" s="25">
        <f>IF($A193="","",IF(COUNTIFS(counts!$C$2:$C$701,$A193,counts!$D$2:$D$701,$B193,counts!$E$2:$E$701,"placed")=0,"",SUMIFS(counts!$F$2:$F$701,counts!$C$2:$C$701,$A193,counts!$D$2:$D$701,$B193,counts!$E$2:$E$701,"placed")))</f>
        <v/>
      </c>
      <c r="AA193" s="25">
        <f>IF($A193="","",IF($Y193="",0,N($Z193)))</f>
        <v/>
      </c>
      <c r="AB193" s="25">
        <f>IF($A193="","",IF(OR($Y193="",$I193=""),"N",IF($Y193&lt;=WORKDAY(N($I193),1,calendar!$A$2:$A$80),"Y","N")))</f>
        <v/>
      </c>
      <c r="AC193" s="28">
        <f>IF(OR($A193="",$V193="",$Y193=""),"",ROUND(($Y193+N(IFERROR(IF(INDEX(photos!$F$2:$F$701,MATCH($A193&amp;"|"&amp;$B193&amp;"|placement|Y",photos!$R$2:$R$701,0))="","",INDEX(photos!$F$2:$F$701,MATCH($A193&amp;"|"&amp;$B193&amp;"|placement|Y",photos!$R$2:$R$701,0))),""))-$V193)*24,1))</f>
        <v/>
      </c>
      <c r="AD193" s="25">
        <f>IF($A193="","",SUMIFS(inventory!$G$2:$G$801,inventory!$C$2:$C$801,$A193,inventory!$D$2:$D$801,$B193,inventory!$E$2:$E$801,"topped_up"))</f>
        <v/>
      </c>
      <c r="AE193" s="25">
        <f>IF($A193="","",IF(COUNTIFS(counts!$C$2:$C$701,$A193,counts!$D$2:$D$701,$B193,counts!$E$2:$E$701,"remaining_day3")=0,"",SUMIFS(counts!$F$2:$F$701,counts!$C$2:$C$701,$A193,counts!$D$2:$D$701,$B193,counts!$E$2:$E$701,"remaining_day3")))</f>
        <v/>
      </c>
      <c r="AF193" s="25">
        <f>IF($A193="","",IF(COUNTIFS(counts!$C$2:$C$701,$A193,counts!$D$2:$D$701,$B193,counts!$E$2:$E$701,"remaining_day5")=0,"",SUMIFS(counts!$F$2:$F$701,counts!$C$2:$C$701,$A193,counts!$D$2:$D$701,$B193,counts!$E$2:$E$701,"remaining_day5")))</f>
        <v/>
      </c>
      <c r="AG193" s="25">
        <f>IF(OR($A193="",$AF193=""),"",MAX(0,$AA193+$AD193-$AF193))</f>
        <v/>
      </c>
      <c r="AH193" s="25">
        <f>IF(OR($A193="",$AI193=""),"",IFERROR(IF(INDEX(photos!$H$2:$H$701,MATCH($A193&amp;"|"&amp;$B193&amp;"|later|Y|"&amp;$AI193,photos!$S$2:$S$701,0))="","",INDEX(photos!$H$2:$H$701,MATCH($A193&amp;"|"&amp;$B193&amp;"|later|Y|"&amp;$AI193,photos!$S$2:$S$701,0))),""))</f>
        <v/>
      </c>
      <c r="AI193" s="26">
        <f>IF($A193="","",IFERROR(1/(1/SUMPRODUCT(MAX((photos!$B$2:$B$701=$A193)*(photos!$C$2:$C$701=$B193)*(photos!$D$2:$D$701="later")*(photos!$O$2:$O$701="Y")*photos!$E$2:$E$701))),""))</f>
        <v/>
      </c>
      <c r="AJ193" s="25">
        <f>IF(OR($A193="",$AI193="",$I193=""),"",NETWORKDAYS($I193,$AI193,calendar!$A$2:$A$80))</f>
        <v/>
      </c>
      <c r="AK193" s="25">
        <f>IF($A193="","",IF(AND($X193&lt;&gt;"",$AH193&lt;&gt;""),"Y","N"))</f>
        <v/>
      </c>
      <c r="AL193" s="25">
        <f>IF(OR($A193="",$I193=""),"",IF($BC193="Y",SUMIFS(survey_frozen!$C$2:$C$251,survey_frozen!$P$2:$P$251,$A193&amp;"|"&amp;$B193),IFERROR(COUNTIFS(INDIRECT("'"&amp;$A193&amp;"'!$B$2:$B$501"),$T193,INDIRECT("'"&amp;$A193&amp;"'!$A$2:$A$501"),"&gt;="&amp;$I193,INDIRECT("'"&amp;$A193&amp;"'!$A$2:$A$501"),"&lt;"&amp;($BA193+1)),0)))</f>
        <v/>
      </c>
      <c r="AM193" s="25">
        <f>IF(OR($A193="",$I193=""),"",IF($BC193="Y",SUMIFS(survey_frozen!$D$2:$D$251,survey_frozen!$P$2:$P$251,$A193&amp;"|"&amp;$B193),IFERROR(COUNTIFS(INDIRECT("'"&amp;$A193&amp;"'!$B$2:$B$501"),$T193,INDIRECT("'"&amp;$A193&amp;"'!$A$2:$A$501"),"&gt;="&amp;$I193,INDIRECT("'"&amp;$A193&amp;"'!$A$2:$A$501"),"&lt;"&amp;($BA193+1),INDIRECT("'"&amp;$A193&amp;"'!$C$2:$C$501"),"Yes"),0)))</f>
        <v/>
      </c>
      <c r="AN193" s="25">
        <f>IF($A193="","",IF(COUNTIFS(scans!$C$2:$C$1601,(IF(LEFT($A193,7)="SAMPLE-","SAMPLE-","")&amp;LOWER(SUBSTITUTE(SUBSTITUTE($A193,"SAMPLE-",""),"CMP-","c"))&amp;"-"&amp;LOWER(SUBSTITUTE(SUBSTITUTE($B193,"SAMPLE-",""),"O-","o"))&amp;"-q"),scans!$D$2:$D$1601,"close")=0,"",SUMPRODUCT(MAX((scans!$C$2:$C$1601=(IF(LEFT($A193,7)="SAMPLE-","SAMPLE-","")&amp;LOWER(SUBSTITUTE(SUBSTITUTE($A193,"SAMPLE-",""),"CMP-","c"))&amp;"-"&amp;LOWER(SUBSTITUTE(SUBSTITUTE($B193,"SAMPLE-",""),"O-","o"))&amp;"-q"))*(scans!$D$2:$D$1601="close")*scans!$E$2:$E$1601))-SUMPRODUCT(MAX((scans!$C$2:$C$1601=(IF(LEFT($A193,7)="SAMPLE-","SAMPLE-","")&amp;LOWER(SUBSTITUTE(SUBSTITUTE($A193,"SAMPLE-",""),"CMP-","c"))&amp;"-"&amp;LOWER(SUBSTITUTE(SUBSTITUTE($B193,"SAMPLE-",""),"O-","o"))&amp;"-q"))*(scans!$D$2:$D$1601="baseline")*scans!$E$2:$E$1601))))</f>
        <v/>
      </c>
      <c r="AO193" s="25">
        <f>IF($A193="","",IF(COUNTIFS(scans!$C$2:$C$1601,(IF(LEFT($A193,7)="SAMPLE-","SAMPLE-","")&amp;LOWER(SUBSTITUTE(SUBSTITUTE($A193,"SAMPLE-",""),"CMP-","c"))&amp;"-"&amp;LOWER(SUBSTITUTE(SUBSTITUTE($B193,"SAMPLE-",""),"O-","o"))&amp;"-p"),scans!$D$2:$D$1601,"close")=0,"",SUMPRODUCT(MAX((scans!$C$2:$C$1601=(IF(LEFT($A193,7)="SAMPLE-","SAMPLE-","")&amp;LOWER(SUBSTITUTE(SUBSTITUTE($A193,"SAMPLE-",""),"CMP-","c"))&amp;"-"&amp;LOWER(SUBSTITUTE(SUBSTITUTE($B193,"SAMPLE-",""),"O-","o"))&amp;"-p"))*(scans!$D$2:$D$1601="close")*scans!$E$2:$E$1601))-SUMPRODUCT(MAX((scans!$C$2:$C$1601=(IF(LEFT($A193,7)="SAMPLE-","SAMPLE-","")&amp;LOWER(SUBSTITUTE(SUBSTITUTE($A193,"SAMPLE-",""),"CMP-","c"))&amp;"-"&amp;LOWER(SUBSTITUTE(SUBSTITUTE($B193,"SAMPLE-",""),"O-","o"))&amp;"-p"))*(scans!$D$2:$D$1601="baseline")*scans!$E$2:$E$1601))))</f>
        <v/>
      </c>
      <c r="AP193" s="25">
        <f>IF($A193="","",IF(COUNTIF(offices!$A$2:$A$61,$B193)=0,"office_id not on offices; ","")&amp;IF(COUNTIF(campaigns!$A$2:$A$51,$A193)=0,"campaign_id not on campaigns; ","")&amp;IF($P193="pending","approval pending; ","")&amp;IF(AND($U193&gt;0,$Y193="",OR($I193="",IF(config!$B$37&lt;&gt;"",config!$B$37,TODAY())&lt;=WORKDAY(N($I193),4,calendar!$A$2:$A$80))),"no usable placement photo yet; ","")&amp;IF(AND($Y193&lt;&gt;"",$Z193=""),"log the placed count; ","")&amp;IF(N($AA193)&gt;N($U193),"placed more than delivered; ","")&amp;IF(AND($AF193&lt;&gt;"",N($AF193)&gt;N($AA193)+N($AD193)),"day-5 count above placed plus top-ups; ","")&amp;IF(AND($U193&gt;0,$I193&lt;&gt;"",IF(config!$B$37&lt;&gt;"",config!$B$37,TODAY())&gt;WORKDAY(N($I193),4,calendar!$A$2:$A$80),$AF193=""),"day-5 count missing; ","")&amp;IF(AND($U193&gt;0,$I193&lt;&gt;"",IF(config!$B$37&lt;&gt;"",config!$B$37,TODAY())&gt;WORKDAY(N($I193),4,calendar!$A$2:$A$80),$AN193=""),"no close link reading; ","")&amp;$R193&amp;IF($P193="N","info: office said no; ","")&amp;IF(AND($P193="Y",$Q193="N"),"info: turned away at the door, so not on the drop (no letter, not in the report or Gate 2; the credit check is on campaigns); ","")&amp;IF(AND($U193&gt;0,$Y193="",$I193&lt;&gt;"",IF(config!$B$37&lt;&gt;"",config!$B$37,TODAY())&gt;WORKDAY(N($I193),4,calendar!$A$2:$A$80)),"info: no usable placement photo, so nothing counts as placed; ","")&amp;IF(AND($U193&gt;0,$I193&lt;&gt;"",IF(config!$B$37&lt;&gt;"",config!$B$37,TODAY())&gt;WORKDAY(N($I193),4,calendar!$A$2:$A$80),N($AL193)&lt;config!$B$30),"info: under "&amp;config!$B$30&amp;" responses; ","")&amp;IF($W193="packing_list","info: delivered count not verified; ",""))</f>
        <v/>
      </c>
      <c r="AQ193" s="25">
        <f>IF(OR($A193="",$I193=""),"",IF($BC193="Y",SUMIFS(survey_frozen!$E$2:$E$251,survey_frozen!$P$2:$P$251,$A193&amp;"|"&amp;$B193),IFERROR(COUNTIFS(INDIRECT("'"&amp;$A193&amp;"'!$B$2:$B$501"),$T193,INDIRECT("'"&amp;$A193&amp;"'!$A$2:$A$501"),"&gt;="&amp;$I193,INDIRECT("'"&amp;$A193&amp;"'!$A$2:$A$501"),"&lt;"&amp;($BA193+1),INDIRECT("'"&amp;$A193&amp;"'!$F$2:$F$501"),"Didn't see it"),0)))</f>
        <v/>
      </c>
      <c r="AR193" s="25">
        <f>IF(OR($A193="",$I193=""),"",IF($BC193="Y",SUMIFS(survey_frozen!$F$2:$F$251,survey_frozen!$P$2:$P$251,$A193&amp;"|"&amp;$B193),IFERROR(COUNTIFS(INDIRECT("'"&amp;$A193&amp;"'!$B$2:$B$501"),$T193,INDIRECT("'"&amp;$A193&amp;"'!$A$2:$A$501"),"&gt;="&amp;$I193,INDIRECT("'"&amp;$A193&amp;"'!$A$2:$A$501"),"&lt;"&amp;($BA193+1),INDIRECT("'"&amp;$A193&amp;"'!$F$2:$F$501"),"Not for me"),0)))</f>
        <v/>
      </c>
      <c r="AS193" s="25">
        <f>IF(OR($A193="",$I193=""),"",IF($BC193="Y",SUMIFS(survey_frozen!$G$2:$G$251,survey_frozen!$P$2:$P$251,$A193&amp;"|"&amp;$B193),IFERROR(COUNTIFS(INDIRECT("'"&amp;$A193&amp;"'!$B$2:$B$501"),$T193,INDIRECT("'"&amp;$A193&amp;"'!$A$2:$A$501"),"&gt;="&amp;$I193,INDIRECT("'"&amp;$A193&amp;"'!$A$2:$A$501"),"&lt;"&amp;($BA193+1),INDIRECT("'"&amp;$A193&amp;"'!$F$2:$F$501"),"Gone by the time I looked"),0)))</f>
        <v/>
      </c>
      <c r="AT193" s="25">
        <f>IF(OR($A193="",$I193=""),"",IF($BC193="Y",SUMIFS(survey_frozen!$H$2:$H$251,survey_frozen!$P$2:$P$251,$A193&amp;"|"&amp;$B193),IFERROR(COUNTIFS(INDIRECT("'"&amp;$A193&amp;"'!$B$2:$B$501"),$T193,INDIRECT("'"&amp;$A193&amp;"'!$A$2:$A$501"),"&gt;="&amp;$I193,INDIRECT("'"&amp;$A193&amp;"'!$A$2:$A$501"),"&lt;"&amp;($BA193+1),INDIRECT("'"&amp;$A193&amp;"'!$D$2:$D$501"),"&gt;=1"),0)))</f>
        <v/>
      </c>
      <c r="AU193" s="25">
        <f>IF(OR($A193="",$I193=""),"",IF($BC193="Y",SUMIFS(survey_frozen!$I$2:$I$251,survey_frozen!$P$2:$P$251,$A193&amp;"|"&amp;$B193),IFERROR(SUMIFS(INDIRECT("'"&amp;$A193&amp;"'!$D$2:$D$501"),INDIRECT("'"&amp;$A193&amp;"'!$B$2:$B$501"),$T193,INDIRECT("'"&amp;$A193&amp;"'!$A$2:$A$501"),"&gt;="&amp;$I193,INDIRECT("'"&amp;$A193&amp;"'!$A$2:$A$501"),"&lt;"&amp;($BA193+1)),0)))</f>
        <v/>
      </c>
      <c r="AV193" s="25">
        <f>IF(OR($A193="",$I193=""),"",IF($BC193="Y",SUMIFS(survey_frozen!$J$2:$J$251,survey_frozen!$P$2:$P$251,$A193&amp;"|"&amp;$B193),IFERROR(COUNTIFS(INDIRECT("'"&amp;$A193&amp;"'!$B$2:$B$501"),$T193,INDIRECT("'"&amp;$A193&amp;"'!$A$2:$A$501"),"&gt;="&amp;$I193,INDIRECT("'"&amp;$A193&amp;"'!$A$2:$A$501"),"&lt;"&amp;($BA193+1),INDIRECT("'"&amp;$A193&amp;"'!$E$2:$E$501"),"Yes"),0)))</f>
        <v/>
      </c>
      <c r="AW193" s="25">
        <f>IF(OR($A193="",$I193=""),"",IF($BC193="Y",SUMIFS(survey_frozen!$K$2:$K$251,survey_frozen!$P$2:$P$251,$A193&amp;"|"&amp;$B193),IFERROR(COUNTIFS(INDIRECT("'"&amp;$A193&amp;"'!$B$2:$B$501"),$T193,INDIRECT("'"&amp;$A193&amp;"'!$A$2:$A$501"),"&gt;="&amp;$I193,INDIRECT("'"&amp;$A193&amp;"'!$A$2:$A$501"),"&lt;"&amp;($BA193+1),INDIRECT("'"&amp;$A193&amp;"'!$E$2:$E$501"),"Maybe"),0)))</f>
        <v/>
      </c>
      <c r="AX193" s="25">
        <f>IF(OR($A193="",$I193=""),"",IF($BC193="Y",SUMIFS(survey_frozen!$L$2:$L$251,survey_frozen!$P$2:$P$251,$A193&amp;"|"&amp;$B193),IFERROR(COUNTIFS(INDIRECT("'"&amp;$A193&amp;"'!$B$2:$B$501"),$T193,INDIRECT("'"&amp;$A193&amp;"'!$A$2:$A$501"),"&gt;="&amp;$I193,INDIRECT("'"&amp;$A193&amp;"'!$A$2:$A$501"),"&lt;"&amp;($BA193+1),INDIRECT("'"&amp;$A193&amp;"'!$E$2:$E$501"),"No"),0)))</f>
        <v/>
      </c>
      <c r="AY193" s="25">
        <f>IF(OR($A193="",$I193=""),"",IF($BC193="Y",SUMIFS(survey_frozen!$M$2:$M$251,survey_frozen!$P$2:$P$251,$A193&amp;"|"&amp;$B193),IFERROR(COUNTIFS(INDIRECT("'"&amp;$A193&amp;"'!$B$2:$B$501"),$T193,INDIRECT("'"&amp;$A193&amp;"'!$A$2:$A$501"),"&gt;="&amp;$I193,INDIRECT("'"&amp;$A193&amp;"'!$A$2:$A$501"),"&lt;"&amp;($BA193+1),INDIRECT("'"&amp;$A193&amp;"'!$G$2:$G$501"),"&lt;&gt;"),0)))</f>
        <v/>
      </c>
      <c r="AZ193" s="25">
        <f>IF($A193="","",$A193&amp;"|"&amp;$L193)</f>
        <v/>
      </c>
      <c r="BA193" s="26">
        <f>IF($A193="","",IFERROR(IF(INDEX(drops!$R$2:$R$21,MATCH($H193,drops!$A$2:$A$21,0))="","",INDEX(drops!$R$2:$R$21,MATCH($H193,drops!$A$2:$A$21,0))),""))</f>
        <v/>
      </c>
      <c r="BB193" s="25">
        <f>IF(OR($A193="",$Q193&lt;&gt;"Y"),1000000,N($AL193))</f>
        <v/>
      </c>
      <c r="BC193" s="25">
        <f>IF($A193="","",IF(COUNTIF(survey_frozen!$P$2:$P$251,$A193&amp;"|"&amp;$B193)&gt;0,"Y",""))</f>
        <v/>
      </c>
    </row>
    <row r="194">
      <c r="C194" s="9" t="n"/>
      <c r="E194" s="9" t="n"/>
      <c r="H194" s="25">
        <f>IF($A194="","",IFERROR(IF(INDEX(campaigns!$B$2:$B$51,MATCH($A194,campaigns!$A$2:$A$51,0))="","",INDEX(campaigns!$B$2:$B$51,MATCH($A194,campaigns!$A$2:$A$51,0))),""))</f>
        <v/>
      </c>
      <c r="I194" s="26">
        <f>IF($A194="","",IFERROR(IF(INDEX(campaigns!$BG$2:$BG$51,MATCH($A194,campaigns!$A$2:$A$51,0))="","",INDEX(campaigns!$BG$2:$BG$51,MATCH($A194,campaigns!$A$2:$A$51,0))),""))</f>
        <v/>
      </c>
      <c r="J194" s="25">
        <f>IF($A194="","",IFERROR(IF(INDEX(campaigns!$BE$2:$BE$51,MATCH($A194,campaigns!$A$2:$A$51,0))="","",INDEX(campaigns!$BE$2:$BE$51,MATCH($A194,campaigns!$A$2:$A$51,0))),""))</f>
        <v/>
      </c>
      <c r="K194" s="25">
        <f>IF($B194="","",IFERROR(IF(INDEX(offices!$N$2:$N$61,MATCH($B194,offices!$A$2:$A$61,0))="","",INDEX(offices!$N$2:$N$61,MATCH($B194,offices!$A$2:$A$61,0))),""))</f>
        <v/>
      </c>
      <c r="L194" s="25">
        <f>IF($A194="","",IF($Q194="N","",COUNTIFS($A$2:$A194,$A194,$Q$2:$Q194,"&lt;&gt;N")))</f>
        <v/>
      </c>
      <c r="M194" s="25">
        <f>IF(OR($A194="",$L194=""),"",IF(AND(config!$B$34="names_if_public",IFERROR(IF(INDEX(offices!$AF$2:$AF$61,MATCH($B194,offices!$A$2:$A$61,0))="","",INDEX(offices!$AF$2:$AF$61,MATCH($B194,offices!$A$2:$A$61,0))),"")="Y"),$K194,CHAR(64+$L194)))</f>
        <v/>
      </c>
      <c r="N194" s="25">
        <f>IF(OR($A194="",$I194=""),"",COUNTIFS(stops!$B$2:$B$151,$B194,stops!$P$2:$P$151,"&lt;"&amp;$I194,stops!$L$2:$L$151,"&lt;&gt;not_delivered")+1)</f>
        <v/>
      </c>
      <c r="O194" s="25">
        <f>IF($A194="","",IF(N($N194)&lt;=config!$B$29,"explicit","opt-out"))</f>
        <v/>
      </c>
      <c r="P194" s="25">
        <f>IF($A194="","",IF($O194="explicit",IF($D194="yes","Y",IF($D194="no","N","pending")),IF($D194="no","N",IF(AND($C194&lt;&gt;"",$I194&lt;&gt;"",$C194&lt;=WORKDAY(N($I194),-5,calendar!$A$2:$A$80)),"Y","pending"))))</f>
        <v/>
      </c>
      <c r="Q194" s="25">
        <f>IF($A194="","",IF($P194="N","N",IF($P194&lt;&gt;"Y","pending",IF(AND((COUNTIFS(stops!$A$2:$A$151,$H194,stops!$B$2:$B$151,$B194,stops!$L$2:$L$151,"declined")+COUNTIFS(stops!$A$2:$A$151,$H194,stops!$B$2:$B$151,$B194,stops!$L$2:$L$151,"building_refused")+COUNTIFS(stops!$A$2:$A$151,$H194,stops!$B$2:$B$151,$B194,stops!$L$2:$L$151,"not_delivered"))&gt;0,N($U194)=0),"N","Y"))))</f>
        <v/>
      </c>
      <c r="R194" s="25">
        <f>IF($A194="","",IF(COUNTIFS($A$2:$A$251,$A194,$B$2:$B$251,$B194)&gt;1,"DUPLICATE ROW; ","")&amp;IF(AND(IFERROR(IF(INDEX(offices!$AC$2:$AC$61,MATCH($B194,offices!$A$2:$A$61,0))="","",INDEX(offices!$AC$2:$AC$61,MATCH($B194,offices!$A$2:$A$61,0))),"")&lt;&gt;"",ISNUMBER(SEARCH($J194,IFERROR(IF(INDEX(offices!$AC$2:$AC$61,MATCH($B194,offices!$A$2:$A$61,0))="","",INDEX(offices!$AC$2:$AC$61,MATCH($B194,offices!$A$2:$A$61,0))),"")))),"BRAND VETOED; ","")&amp;IF(ISNUMBER(SEARCH(IFERROR(IF(INDEX(campaigns!$BF$2:$BF$51,MATCH($A194,campaigns!$A$2:$A$51,0))="","",INDEX(campaigns!$BF$2:$BF$51,MATCH($A194,campaigns!$A$2:$A$51,0))),""),IFERROR(IF(INDEX(offices!$AB$2:$AB$61,MATCH($B194,offices!$A$2:$A$61,0))="","",INDEX(offices!$AB$2:$AB$61,MATCH($B194,offices!$A$2:$A$61,0))),""))),"","info: category not on the office's list; ")&amp;IF(IFERROR(IF(INDEX(offices!$AC$2:$AC$61,MATCH($B194,offices!$A$2:$A$61,0))="","",INDEX(offices!$AC$2:$AC$61,MATCH($B194,offices!$A$2:$A$61,0))),"")&lt;&gt;"","info: read the vetoes against the label; ",""))</f>
        <v/>
      </c>
      <c r="S194" s="25">
        <f>IF($A194="","",IF($G194&lt;&gt;"",$G194,IFERROR(IF(INDEX(offices!$AL$2:$AL$61,MATCH($B194,offices!$A$2:$A$61,0))="","",INDEX(offices!$AL$2:$AL$61,MATCH($B194,offices!$A$2:$A$61,0))),"")))</f>
        <v/>
      </c>
      <c r="T194" s="25">
        <f>IF($A194="","",$A194&amp;"."&amp;$B194)</f>
        <v/>
      </c>
      <c r="U194" s="25">
        <f>IF($A194="","",SUMIFS(inventory!$G$2:$G$801,inventory!$C$2:$C$801,$A194,inventory!$D$2:$D$801,$B194,inventory!$E$2:$E$801,"delivered"))</f>
        <v/>
      </c>
      <c r="V194" s="32">
        <f>IF($A194="","",IFERROR(1/(1/SUMPRODUCT(MAX((inventory!$C$2:$C$801=$A194)*(inventory!$D$2:$D$801=$B194)*(inventory!$E$2:$E$801="delivered")*(inventory!$A$2:$A$801+inventory!$B$2:$B$801)))),""))</f>
        <v/>
      </c>
      <c r="W194" s="25">
        <f>IF($A194="","",IFERROR(IF(INDEX(inventory!$J$2:$J$801,MATCH($A194&amp;"|"&amp;$B194&amp;"|delivered",inventory!$R$2:$R$801,0))="","",INDEX(inventory!$J$2:$J$801,MATCH($A194&amp;"|"&amp;$B194&amp;"|delivered",inventory!$R$2:$R$801,0))),""))</f>
        <v/>
      </c>
      <c r="X194" s="25">
        <f>IF($A194="","",IFERROR(IF(INDEX(photos!$H$2:$H$701,MATCH($A194&amp;"|"&amp;$B194&amp;"|placement|Y",photos!$R$2:$R$701,0))="","",INDEX(photos!$H$2:$H$701,MATCH($A194&amp;"|"&amp;$B194&amp;"|placement|Y",photos!$R$2:$R$701,0))),""))</f>
        <v/>
      </c>
      <c r="Y194" s="26">
        <f>IF($A194="","",IFERROR(IF(INDEX(photos!$E$2:$E$701,MATCH($A194&amp;"|"&amp;$B194&amp;"|placement|Y",photos!$R$2:$R$701,0))="","",INDEX(photos!$E$2:$E$701,MATCH($A194&amp;"|"&amp;$B194&amp;"|placement|Y",photos!$R$2:$R$701,0))),""))</f>
        <v/>
      </c>
      <c r="Z194" s="25">
        <f>IF($A194="","",IF(COUNTIFS(counts!$C$2:$C$701,$A194,counts!$D$2:$D$701,$B194,counts!$E$2:$E$701,"placed")=0,"",SUMIFS(counts!$F$2:$F$701,counts!$C$2:$C$701,$A194,counts!$D$2:$D$701,$B194,counts!$E$2:$E$701,"placed")))</f>
        <v/>
      </c>
      <c r="AA194" s="25">
        <f>IF($A194="","",IF($Y194="",0,N($Z194)))</f>
        <v/>
      </c>
      <c r="AB194" s="25">
        <f>IF($A194="","",IF(OR($Y194="",$I194=""),"N",IF($Y194&lt;=WORKDAY(N($I194),1,calendar!$A$2:$A$80),"Y","N")))</f>
        <v/>
      </c>
      <c r="AC194" s="28">
        <f>IF(OR($A194="",$V194="",$Y194=""),"",ROUND(($Y194+N(IFERROR(IF(INDEX(photos!$F$2:$F$701,MATCH($A194&amp;"|"&amp;$B194&amp;"|placement|Y",photos!$R$2:$R$701,0))="","",INDEX(photos!$F$2:$F$701,MATCH($A194&amp;"|"&amp;$B194&amp;"|placement|Y",photos!$R$2:$R$701,0))),""))-$V194)*24,1))</f>
        <v/>
      </c>
      <c r="AD194" s="25">
        <f>IF($A194="","",SUMIFS(inventory!$G$2:$G$801,inventory!$C$2:$C$801,$A194,inventory!$D$2:$D$801,$B194,inventory!$E$2:$E$801,"topped_up"))</f>
        <v/>
      </c>
      <c r="AE194" s="25">
        <f>IF($A194="","",IF(COUNTIFS(counts!$C$2:$C$701,$A194,counts!$D$2:$D$701,$B194,counts!$E$2:$E$701,"remaining_day3")=0,"",SUMIFS(counts!$F$2:$F$701,counts!$C$2:$C$701,$A194,counts!$D$2:$D$701,$B194,counts!$E$2:$E$701,"remaining_day3")))</f>
        <v/>
      </c>
      <c r="AF194" s="25">
        <f>IF($A194="","",IF(COUNTIFS(counts!$C$2:$C$701,$A194,counts!$D$2:$D$701,$B194,counts!$E$2:$E$701,"remaining_day5")=0,"",SUMIFS(counts!$F$2:$F$701,counts!$C$2:$C$701,$A194,counts!$D$2:$D$701,$B194,counts!$E$2:$E$701,"remaining_day5")))</f>
        <v/>
      </c>
      <c r="AG194" s="25">
        <f>IF(OR($A194="",$AF194=""),"",MAX(0,$AA194+$AD194-$AF194))</f>
        <v/>
      </c>
      <c r="AH194" s="25">
        <f>IF(OR($A194="",$AI194=""),"",IFERROR(IF(INDEX(photos!$H$2:$H$701,MATCH($A194&amp;"|"&amp;$B194&amp;"|later|Y|"&amp;$AI194,photos!$S$2:$S$701,0))="","",INDEX(photos!$H$2:$H$701,MATCH($A194&amp;"|"&amp;$B194&amp;"|later|Y|"&amp;$AI194,photos!$S$2:$S$701,0))),""))</f>
        <v/>
      </c>
      <c r="AI194" s="26">
        <f>IF($A194="","",IFERROR(1/(1/SUMPRODUCT(MAX((photos!$B$2:$B$701=$A194)*(photos!$C$2:$C$701=$B194)*(photos!$D$2:$D$701="later")*(photos!$O$2:$O$701="Y")*photos!$E$2:$E$701))),""))</f>
        <v/>
      </c>
      <c r="AJ194" s="25">
        <f>IF(OR($A194="",$AI194="",$I194=""),"",NETWORKDAYS($I194,$AI194,calendar!$A$2:$A$80))</f>
        <v/>
      </c>
      <c r="AK194" s="25">
        <f>IF($A194="","",IF(AND($X194&lt;&gt;"",$AH194&lt;&gt;""),"Y","N"))</f>
        <v/>
      </c>
      <c r="AL194" s="25">
        <f>IF(OR($A194="",$I194=""),"",IF($BC194="Y",SUMIFS(survey_frozen!$C$2:$C$251,survey_frozen!$P$2:$P$251,$A194&amp;"|"&amp;$B194),IFERROR(COUNTIFS(INDIRECT("'"&amp;$A194&amp;"'!$B$2:$B$501"),$T194,INDIRECT("'"&amp;$A194&amp;"'!$A$2:$A$501"),"&gt;="&amp;$I194,INDIRECT("'"&amp;$A194&amp;"'!$A$2:$A$501"),"&lt;"&amp;($BA194+1)),0)))</f>
        <v/>
      </c>
      <c r="AM194" s="25">
        <f>IF(OR($A194="",$I194=""),"",IF($BC194="Y",SUMIFS(survey_frozen!$D$2:$D$251,survey_frozen!$P$2:$P$251,$A194&amp;"|"&amp;$B194),IFERROR(COUNTIFS(INDIRECT("'"&amp;$A194&amp;"'!$B$2:$B$501"),$T194,INDIRECT("'"&amp;$A194&amp;"'!$A$2:$A$501"),"&gt;="&amp;$I194,INDIRECT("'"&amp;$A194&amp;"'!$A$2:$A$501"),"&lt;"&amp;($BA194+1),INDIRECT("'"&amp;$A194&amp;"'!$C$2:$C$501"),"Yes"),0)))</f>
        <v/>
      </c>
      <c r="AN194" s="25">
        <f>IF($A194="","",IF(COUNTIFS(scans!$C$2:$C$1601,(IF(LEFT($A194,7)="SAMPLE-","SAMPLE-","")&amp;LOWER(SUBSTITUTE(SUBSTITUTE($A194,"SAMPLE-",""),"CMP-","c"))&amp;"-"&amp;LOWER(SUBSTITUTE(SUBSTITUTE($B194,"SAMPLE-",""),"O-","o"))&amp;"-q"),scans!$D$2:$D$1601,"close")=0,"",SUMPRODUCT(MAX((scans!$C$2:$C$1601=(IF(LEFT($A194,7)="SAMPLE-","SAMPLE-","")&amp;LOWER(SUBSTITUTE(SUBSTITUTE($A194,"SAMPLE-",""),"CMP-","c"))&amp;"-"&amp;LOWER(SUBSTITUTE(SUBSTITUTE($B194,"SAMPLE-",""),"O-","o"))&amp;"-q"))*(scans!$D$2:$D$1601="close")*scans!$E$2:$E$1601))-SUMPRODUCT(MAX((scans!$C$2:$C$1601=(IF(LEFT($A194,7)="SAMPLE-","SAMPLE-","")&amp;LOWER(SUBSTITUTE(SUBSTITUTE($A194,"SAMPLE-",""),"CMP-","c"))&amp;"-"&amp;LOWER(SUBSTITUTE(SUBSTITUTE($B194,"SAMPLE-",""),"O-","o"))&amp;"-q"))*(scans!$D$2:$D$1601="baseline")*scans!$E$2:$E$1601))))</f>
        <v/>
      </c>
      <c r="AO194" s="25">
        <f>IF($A194="","",IF(COUNTIFS(scans!$C$2:$C$1601,(IF(LEFT($A194,7)="SAMPLE-","SAMPLE-","")&amp;LOWER(SUBSTITUTE(SUBSTITUTE($A194,"SAMPLE-",""),"CMP-","c"))&amp;"-"&amp;LOWER(SUBSTITUTE(SUBSTITUTE($B194,"SAMPLE-",""),"O-","o"))&amp;"-p"),scans!$D$2:$D$1601,"close")=0,"",SUMPRODUCT(MAX((scans!$C$2:$C$1601=(IF(LEFT($A194,7)="SAMPLE-","SAMPLE-","")&amp;LOWER(SUBSTITUTE(SUBSTITUTE($A194,"SAMPLE-",""),"CMP-","c"))&amp;"-"&amp;LOWER(SUBSTITUTE(SUBSTITUTE($B194,"SAMPLE-",""),"O-","o"))&amp;"-p"))*(scans!$D$2:$D$1601="close")*scans!$E$2:$E$1601))-SUMPRODUCT(MAX((scans!$C$2:$C$1601=(IF(LEFT($A194,7)="SAMPLE-","SAMPLE-","")&amp;LOWER(SUBSTITUTE(SUBSTITUTE($A194,"SAMPLE-",""),"CMP-","c"))&amp;"-"&amp;LOWER(SUBSTITUTE(SUBSTITUTE($B194,"SAMPLE-",""),"O-","o"))&amp;"-p"))*(scans!$D$2:$D$1601="baseline")*scans!$E$2:$E$1601))))</f>
        <v/>
      </c>
      <c r="AP194" s="25">
        <f>IF($A194="","",IF(COUNTIF(offices!$A$2:$A$61,$B194)=0,"office_id not on offices; ","")&amp;IF(COUNTIF(campaigns!$A$2:$A$51,$A194)=0,"campaign_id not on campaigns; ","")&amp;IF($P194="pending","approval pending; ","")&amp;IF(AND($U194&gt;0,$Y194="",OR($I194="",IF(config!$B$37&lt;&gt;"",config!$B$37,TODAY())&lt;=WORKDAY(N($I194),4,calendar!$A$2:$A$80))),"no usable placement photo yet; ","")&amp;IF(AND($Y194&lt;&gt;"",$Z194=""),"log the placed count; ","")&amp;IF(N($AA194)&gt;N($U194),"placed more than delivered; ","")&amp;IF(AND($AF194&lt;&gt;"",N($AF194)&gt;N($AA194)+N($AD194)),"day-5 count above placed plus top-ups; ","")&amp;IF(AND($U194&gt;0,$I194&lt;&gt;"",IF(config!$B$37&lt;&gt;"",config!$B$37,TODAY())&gt;WORKDAY(N($I194),4,calendar!$A$2:$A$80),$AF194=""),"day-5 count missing; ","")&amp;IF(AND($U194&gt;0,$I194&lt;&gt;"",IF(config!$B$37&lt;&gt;"",config!$B$37,TODAY())&gt;WORKDAY(N($I194),4,calendar!$A$2:$A$80),$AN194=""),"no close link reading; ","")&amp;$R194&amp;IF($P194="N","info: office said no; ","")&amp;IF(AND($P194="Y",$Q194="N"),"info: turned away at the door, so not on the drop (no letter, not in the report or Gate 2; the credit check is on campaigns); ","")&amp;IF(AND($U194&gt;0,$Y194="",$I194&lt;&gt;"",IF(config!$B$37&lt;&gt;"",config!$B$37,TODAY())&gt;WORKDAY(N($I194),4,calendar!$A$2:$A$80)),"info: no usable placement photo, so nothing counts as placed; ","")&amp;IF(AND($U194&gt;0,$I194&lt;&gt;"",IF(config!$B$37&lt;&gt;"",config!$B$37,TODAY())&gt;WORKDAY(N($I194),4,calendar!$A$2:$A$80),N($AL194)&lt;config!$B$30),"info: under "&amp;config!$B$30&amp;" responses; ","")&amp;IF($W194="packing_list","info: delivered count not verified; ",""))</f>
        <v/>
      </c>
      <c r="AQ194" s="25">
        <f>IF(OR($A194="",$I194=""),"",IF($BC194="Y",SUMIFS(survey_frozen!$E$2:$E$251,survey_frozen!$P$2:$P$251,$A194&amp;"|"&amp;$B194),IFERROR(COUNTIFS(INDIRECT("'"&amp;$A194&amp;"'!$B$2:$B$501"),$T194,INDIRECT("'"&amp;$A194&amp;"'!$A$2:$A$501"),"&gt;="&amp;$I194,INDIRECT("'"&amp;$A194&amp;"'!$A$2:$A$501"),"&lt;"&amp;($BA194+1),INDIRECT("'"&amp;$A194&amp;"'!$F$2:$F$501"),"Didn't see it"),0)))</f>
        <v/>
      </c>
      <c r="AR194" s="25">
        <f>IF(OR($A194="",$I194=""),"",IF($BC194="Y",SUMIFS(survey_frozen!$F$2:$F$251,survey_frozen!$P$2:$P$251,$A194&amp;"|"&amp;$B194),IFERROR(COUNTIFS(INDIRECT("'"&amp;$A194&amp;"'!$B$2:$B$501"),$T194,INDIRECT("'"&amp;$A194&amp;"'!$A$2:$A$501"),"&gt;="&amp;$I194,INDIRECT("'"&amp;$A194&amp;"'!$A$2:$A$501"),"&lt;"&amp;($BA194+1),INDIRECT("'"&amp;$A194&amp;"'!$F$2:$F$501"),"Not for me"),0)))</f>
        <v/>
      </c>
      <c r="AS194" s="25">
        <f>IF(OR($A194="",$I194=""),"",IF($BC194="Y",SUMIFS(survey_frozen!$G$2:$G$251,survey_frozen!$P$2:$P$251,$A194&amp;"|"&amp;$B194),IFERROR(COUNTIFS(INDIRECT("'"&amp;$A194&amp;"'!$B$2:$B$501"),$T194,INDIRECT("'"&amp;$A194&amp;"'!$A$2:$A$501"),"&gt;="&amp;$I194,INDIRECT("'"&amp;$A194&amp;"'!$A$2:$A$501"),"&lt;"&amp;($BA194+1),INDIRECT("'"&amp;$A194&amp;"'!$F$2:$F$501"),"Gone by the time I looked"),0)))</f>
        <v/>
      </c>
      <c r="AT194" s="25">
        <f>IF(OR($A194="",$I194=""),"",IF($BC194="Y",SUMIFS(survey_frozen!$H$2:$H$251,survey_frozen!$P$2:$P$251,$A194&amp;"|"&amp;$B194),IFERROR(COUNTIFS(INDIRECT("'"&amp;$A194&amp;"'!$B$2:$B$501"),$T194,INDIRECT("'"&amp;$A194&amp;"'!$A$2:$A$501"),"&gt;="&amp;$I194,INDIRECT("'"&amp;$A194&amp;"'!$A$2:$A$501"),"&lt;"&amp;($BA194+1),INDIRECT("'"&amp;$A194&amp;"'!$D$2:$D$501"),"&gt;=1"),0)))</f>
        <v/>
      </c>
      <c r="AU194" s="25">
        <f>IF(OR($A194="",$I194=""),"",IF($BC194="Y",SUMIFS(survey_frozen!$I$2:$I$251,survey_frozen!$P$2:$P$251,$A194&amp;"|"&amp;$B194),IFERROR(SUMIFS(INDIRECT("'"&amp;$A194&amp;"'!$D$2:$D$501"),INDIRECT("'"&amp;$A194&amp;"'!$B$2:$B$501"),$T194,INDIRECT("'"&amp;$A194&amp;"'!$A$2:$A$501"),"&gt;="&amp;$I194,INDIRECT("'"&amp;$A194&amp;"'!$A$2:$A$501"),"&lt;"&amp;($BA194+1)),0)))</f>
        <v/>
      </c>
      <c r="AV194" s="25">
        <f>IF(OR($A194="",$I194=""),"",IF($BC194="Y",SUMIFS(survey_frozen!$J$2:$J$251,survey_frozen!$P$2:$P$251,$A194&amp;"|"&amp;$B194),IFERROR(COUNTIFS(INDIRECT("'"&amp;$A194&amp;"'!$B$2:$B$501"),$T194,INDIRECT("'"&amp;$A194&amp;"'!$A$2:$A$501"),"&gt;="&amp;$I194,INDIRECT("'"&amp;$A194&amp;"'!$A$2:$A$501"),"&lt;"&amp;($BA194+1),INDIRECT("'"&amp;$A194&amp;"'!$E$2:$E$501"),"Yes"),0)))</f>
        <v/>
      </c>
      <c r="AW194" s="25">
        <f>IF(OR($A194="",$I194=""),"",IF($BC194="Y",SUMIFS(survey_frozen!$K$2:$K$251,survey_frozen!$P$2:$P$251,$A194&amp;"|"&amp;$B194),IFERROR(COUNTIFS(INDIRECT("'"&amp;$A194&amp;"'!$B$2:$B$501"),$T194,INDIRECT("'"&amp;$A194&amp;"'!$A$2:$A$501"),"&gt;="&amp;$I194,INDIRECT("'"&amp;$A194&amp;"'!$A$2:$A$501"),"&lt;"&amp;($BA194+1),INDIRECT("'"&amp;$A194&amp;"'!$E$2:$E$501"),"Maybe"),0)))</f>
        <v/>
      </c>
      <c r="AX194" s="25">
        <f>IF(OR($A194="",$I194=""),"",IF($BC194="Y",SUMIFS(survey_frozen!$L$2:$L$251,survey_frozen!$P$2:$P$251,$A194&amp;"|"&amp;$B194),IFERROR(COUNTIFS(INDIRECT("'"&amp;$A194&amp;"'!$B$2:$B$501"),$T194,INDIRECT("'"&amp;$A194&amp;"'!$A$2:$A$501"),"&gt;="&amp;$I194,INDIRECT("'"&amp;$A194&amp;"'!$A$2:$A$501"),"&lt;"&amp;($BA194+1),INDIRECT("'"&amp;$A194&amp;"'!$E$2:$E$501"),"No"),0)))</f>
        <v/>
      </c>
      <c r="AY194" s="25">
        <f>IF(OR($A194="",$I194=""),"",IF($BC194="Y",SUMIFS(survey_frozen!$M$2:$M$251,survey_frozen!$P$2:$P$251,$A194&amp;"|"&amp;$B194),IFERROR(COUNTIFS(INDIRECT("'"&amp;$A194&amp;"'!$B$2:$B$501"),$T194,INDIRECT("'"&amp;$A194&amp;"'!$A$2:$A$501"),"&gt;="&amp;$I194,INDIRECT("'"&amp;$A194&amp;"'!$A$2:$A$501"),"&lt;"&amp;($BA194+1),INDIRECT("'"&amp;$A194&amp;"'!$G$2:$G$501"),"&lt;&gt;"),0)))</f>
        <v/>
      </c>
      <c r="AZ194" s="25">
        <f>IF($A194="","",$A194&amp;"|"&amp;$L194)</f>
        <v/>
      </c>
      <c r="BA194" s="26">
        <f>IF($A194="","",IFERROR(IF(INDEX(drops!$R$2:$R$21,MATCH($H194,drops!$A$2:$A$21,0))="","",INDEX(drops!$R$2:$R$21,MATCH($H194,drops!$A$2:$A$21,0))),""))</f>
        <v/>
      </c>
      <c r="BB194" s="25">
        <f>IF(OR($A194="",$Q194&lt;&gt;"Y"),1000000,N($AL194))</f>
        <v/>
      </c>
      <c r="BC194" s="25">
        <f>IF($A194="","",IF(COUNTIF(survey_frozen!$P$2:$P$251,$A194&amp;"|"&amp;$B194)&gt;0,"Y",""))</f>
        <v/>
      </c>
    </row>
    <row r="195">
      <c r="C195" s="9" t="n"/>
      <c r="E195" s="9" t="n"/>
      <c r="H195" s="25">
        <f>IF($A195="","",IFERROR(IF(INDEX(campaigns!$B$2:$B$51,MATCH($A195,campaigns!$A$2:$A$51,0))="","",INDEX(campaigns!$B$2:$B$51,MATCH($A195,campaigns!$A$2:$A$51,0))),""))</f>
        <v/>
      </c>
      <c r="I195" s="26">
        <f>IF($A195="","",IFERROR(IF(INDEX(campaigns!$BG$2:$BG$51,MATCH($A195,campaigns!$A$2:$A$51,0))="","",INDEX(campaigns!$BG$2:$BG$51,MATCH($A195,campaigns!$A$2:$A$51,0))),""))</f>
        <v/>
      </c>
      <c r="J195" s="25">
        <f>IF($A195="","",IFERROR(IF(INDEX(campaigns!$BE$2:$BE$51,MATCH($A195,campaigns!$A$2:$A$51,0))="","",INDEX(campaigns!$BE$2:$BE$51,MATCH($A195,campaigns!$A$2:$A$51,0))),""))</f>
        <v/>
      </c>
      <c r="K195" s="25">
        <f>IF($B195="","",IFERROR(IF(INDEX(offices!$N$2:$N$61,MATCH($B195,offices!$A$2:$A$61,0))="","",INDEX(offices!$N$2:$N$61,MATCH($B195,offices!$A$2:$A$61,0))),""))</f>
        <v/>
      </c>
      <c r="L195" s="25">
        <f>IF($A195="","",IF($Q195="N","",COUNTIFS($A$2:$A195,$A195,$Q$2:$Q195,"&lt;&gt;N")))</f>
        <v/>
      </c>
      <c r="M195" s="25">
        <f>IF(OR($A195="",$L195=""),"",IF(AND(config!$B$34="names_if_public",IFERROR(IF(INDEX(offices!$AF$2:$AF$61,MATCH($B195,offices!$A$2:$A$61,0))="","",INDEX(offices!$AF$2:$AF$61,MATCH($B195,offices!$A$2:$A$61,0))),"")="Y"),$K195,CHAR(64+$L195)))</f>
        <v/>
      </c>
      <c r="N195" s="25">
        <f>IF(OR($A195="",$I195=""),"",COUNTIFS(stops!$B$2:$B$151,$B195,stops!$P$2:$P$151,"&lt;"&amp;$I195,stops!$L$2:$L$151,"&lt;&gt;not_delivered")+1)</f>
        <v/>
      </c>
      <c r="O195" s="25">
        <f>IF($A195="","",IF(N($N195)&lt;=config!$B$29,"explicit","opt-out"))</f>
        <v/>
      </c>
      <c r="P195" s="25">
        <f>IF($A195="","",IF($O195="explicit",IF($D195="yes","Y",IF($D195="no","N","pending")),IF($D195="no","N",IF(AND($C195&lt;&gt;"",$I195&lt;&gt;"",$C195&lt;=WORKDAY(N($I195),-5,calendar!$A$2:$A$80)),"Y","pending"))))</f>
        <v/>
      </c>
      <c r="Q195" s="25">
        <f>IF($A195="","",IF($P195="N","N",IF($P195&lt;&gt;"Y","pending",IF(AND((COUNTIFS(stops!$A$2:$A$151,$H195,stops!$B$2:$B$151,$B195,stops!$L$2:$L$151,"declined")+COUNTIFS(stops!$A$2:$A$151,$H195,stops!$B$2:$B$151,$B195,stops!$L$2:$L$151,"building_refused")+COUNTIFS(stops!$A$2:$A$151,$H195,stops!$B$2:$B$151,$B195,stops!$L$2:$L$151,"not_delivered"))&gt;0,N($U195)=0),"N","Y"))))</f>
        <v/>
      </c>
      <c r="R195" s="25">
        <f>IF($A195="","",IF(COUNTIFS($A$2:$A$251,$A195,$B$2:$B$251,$B195)&gt;1,"DUPLICATE ROW; ","")&amp;IF(AND(IFERROR(IF(INDEX(offices!$AC$2:$AC$61,MATCH($B195,offices!$A$2:$A$61,0))="","",INDEX(offices!$AC$2:$AC$61,MATCH($B195,offices!$A$2:$A$61,0))),"")&lt;&gt;"",ISNUMBER(SEARCH($J195,IFERROR(IF(INDEX(offices!$AC$2:$AC$61,MATCH($B195,offices!$A$2:$A$61,0))="","",INDEX(offices!$AC$2:$AC$61,MATCH($B195,offices!$A$2:$A$61,0))),"")))),"BRAND VETOED; ","")&amp;IF(ISNUMBER(SEARCH(IFERROR(IF(INDEX(campaigns!$BF$2:$BF$51,MATCH($A195,campaigns!$A$2:$A$51,0))="","",INDEX(campaigns!$BF$2:$BF$51,MATCH($A195,campaigns!$A$2:$A$51,0))),""),IFERROR(IF(INDEX(offices!$AB$2:$AB$61,MATCH($B195,offices!$A$2:$A$61,0))="","",INDEX(offices!$AB$2:$AB$61,MATCH($B195,offices!$A$2:$A$61,0))),""))),"","info: category not on the office's list; ")&amp;IF(IFERROR(IF(INDEX(offices!$AC$2:$AC$61,MATCH($B195,offices!$A$2:$A$61,0))="","",INDEX(offices!$AC$2:$AC$61,MATCH($B195,offices!$A$2:$A$61,0))),"")&lt;&gt;"","info: read the vetoes against the label; ",""))</f>
        <v/>
      </c>
      <c r="S195" s="25">
        <f>IF($A195="","",IF($G195&lt;&gt;"",$G195,IFERROR(IF(INDEX(offices!$AL$2:$AL$61,MATCH($B195,offices!$A$2:$A$61,0))="","",INDEX(offices!$AL$2:$AL$61,MATCH($B195,offices!$A$2:$A$61,0))),"")))</f>
        <v/>
      </c>
      <c r="T195" s="25">
        <f>IF($A195="","",$A195&amp;"."&amp;$B195)</f>
        <v/>
      </c>
      <c r="U195" s="25">
        <f>IF($A195="","",SUMIFS(inventory!$G$2:$G$801,inventory!$C$2:$C$801,$A195,inventory!$D$2:$D$801,$B195,inventory!$E$2:$E$801,"delivered"))</f>
        <v/>
      </c>
      <c r="V195" s="32">
        <f>IF($A195="","",IFERROR(1/(1/SUMPRODUCT(MAX((inventory!$C$2:$C$801=$A195)*(inventory!$D$2:$D$801=$B195)*(inventory!$E$2:$E$801="delivered")*(inventory!$A$2:$A$801+inventory!$B$2:$B$801)))),""))</f>
        <v/>
      </c>
      <c r="W195" s="25">
        <f>IF($A195="","",IFERROR(IF(INDEX(inventory!$J$2:$J$801,MATCH($A195&amp;"|"&amp;$B195&amp;"|delivered",inventory!$R$2:$R$801,0))="","",INDEX(inventory!$J$2:$J$801,MATCH($A195&amp;"|"&amp;$B195&amp;"|delivered",inventory!$R$2:$R$801,0))),""))</f>
        <v/>
      </c>
      <c r="X195" s="25">
        <f>IF($A195="","",IFERROR(IF(INDEX(photos!$H$2:$H$701,MATCH($A195&amp;"|"&amp;$B195&amp;"|placement|Y",photos!$R$2:$R$701,0))="","",INDEX(photos!$H$2:$H$701,MATCH($A195&amp;"|"&amp;$B195&amp;"|placement|Y",photos!$R$2:$R$701,0))),""))</f>
        <v/>
      </c>
      <c r="Y195" s="26">
        <f>IF($A195="","",IFERROR(IF(INDEX(photos!$E$2:$E$701,MATCH($A195&amp;"|"&amp;$B195&amp;"|placement|Y",photos!$R$2:$R$701,0))="","",INDEX(photos!$E$2:$E$701,MATCH($A195&amp;"|"&amp;$B195&amp;"|placement|Y",photos!$R$2:$R$701,0))),""))</f>
        <v/>
      </c>
      <c r="Z195" s="25">
        <f>IF($A195="","",IF(COUNTIFS(counts!$C$2:$C$701,$A195,counts!$D$2:$D$701,$B195,counts!$E$2:$E$701,"placed")=0,"",SUMIFS(counts!$F$2:$F$701,counts!$C$2:$C$701,$A195,counts!$D$2:$D$701,$B195,counts!$E$2:$E$701,"placed")))</f>
        <v/>
      </c>
      <c r="AA195" s="25">
        <f>IF($A195="","",IF($Y195="",0,N($Z195)))</f>
        <v/>
      </c>
      <c r="AB195" s="25">
        <f>IF($A195="","",IF(OR($Y195="",$I195=""),"N",IF($Y195&lt;=WORKDAY(N($I195),1,calendar!$A$2:$A$80),"Y","N")))</f>
        <v/>
      </c>
      <c r="AC195" s="28">
        <f>IF(OR($A195="",$V195="",$Y195=""),"",ROUND(($Y195+N(IFERROR(IF(INDEX(photos!$F$2:$F$701,MATCH($A195&amp;"|"&amp;$B195&amp;"|placement|Y",photos!$R$2:$R$701,0))="","",INDEX(photos!$F$2:$F$701,MATCH($A195&amp;"|"&amp;$B195&amp;"|placement|Y",photos!$R$2:$R$701,0))),""))-$V195)*24,1))</f>
        <v/>
      </c>
      <c r="AD195" s="25">
        <f>IF($A195="","",SUMIFS(inventory!$G$2:$G$801,inventory!$C$2:$C$801,$A195,inventory!$D$2:$D$801,$B195,inventory!$E$2:$E$801,"topped_up"))</f>
        <v/>
      </c>
      <c r="AE195" s="25">
        <f>IF($A195="","",IF(COUNTIFS(counts!$C$2:$C$701,$A195,counts!$D$2:$D$701,$B195,counts!$E$2:$E$701,"remaining_day3")=0,"",SUMIFS(counts!$F$2:$F$701,counts!$C$2:$C$701,$A195,counts!$D$2:$D$701,$B195,counts!$E$2:$E$701,"remaining_day3")))</f>
        <v/>
      </c>
      <c r="AF195" s="25">
        <f>IF($A195="","",IF(COUNTIFS(counts!$C$2:$C$701,$A195,counts!$D$2:$D$701,$B195,counts!$E$2:$E$701,"remaining_day5")=0,"",SUMIFS(counts!$F$2:$F$701,counts!$C$2:$C$701,$A195,counts!$D$2:$D$701,$B195,counts!$E$2:$E$701,"remaining_day5")))</f>
        <v/>
      </c>
      <c r="AG195" s="25">
        <f>IF(OR($A195="",$AF195=""),"",MAX(0,$AA195+$AD195-$AF195))</f>
        <v/>
      </c>
      <c r="AH195" s="25">
        <f>IF(OR($A195="",$AI195=""),"",IFERROR(IF(INDEX(photos!$H$2:$H$701,MATCH($A195&amp;"|"&amp;$B195&amp;"|later|Y|"&amp;$AI195,photos!$S$2:$S$701,0))="","",INDEX(photos!$H$2:$H$701,MATCH($A195&amp;"|"&amp;$B195&amp;"|later|Y|"&amp;$AI195,photos!$S$2:$S$701,0))),""))</f>
        <v/>
      </c>
      <c r="AI195" s="26">
        <f>IF($A195="","",IFERROR(1/(1/SUMPRODUCT(MAX((photos!$B$2:$B$701=$A195)*(photos!$C$2:$C$701=$B195)*(photos!$D$2:$D$701="later")*(photos!$O$2:$O$701="Y")*photos!$E$2:$E$701))),""))</f>
        <v/>
      </c>
      <c r="AJ195" s="25">
        <f>IF(OR($A195="",$AI195="",$I195=""),"",NETWORKDAYS($I195,$AI195,calendar!$A$2:$A$80))</f>
        <v/>
      </c>
      <c r="AK195" s="25">
        <f>IF($A195="","",IF(AND($X195&lt;&gt;"",$AH195&lt;&gt;""),"Y","N"))</f>
        <v/>
      </c>
      <c r="AL195" s="25">
        <f>IF(OR($A195="",$I195=""),"",IF($BC195="Y",SUMIFS(survey_frozen!$C$2:$C$251,survey_frozen!$P$2:$P$251,$A195&amp;"|"&amp;$B195),IFERROR(COUNTIFS(INDIRECT("'"&amp;$A195&amp;"'!$B$2:$B$501"),$T195,INDIRECT("'"&amp;$A195&amp;"'!$A$2:$A$501"),"&gt;="&amp;$I195,INDIRECT("'"&amp;$A195&amp;"'!$A$2:$A$501"),"&lt;"&amp;($BA195+1)),0)))</f>
        <v/>
      </c>
      <c r="AM195" s="25">
        <f>IF(OR($A195="",$I195=""),"",IF($BC195="Y",SUMIFS(survey_frozen!$D$2:$D$251,survey_frozen!$P$2:$P$251,$A195&amp;"|"&amp;$B195),IFERROR(COUNTIFS(INDIRECT("'"&amp;$A195&amp;"'!$B$2:$B$501"),$T195,INDIRECT("'"&amp;$A195&amp;"'!$A$2:$A$501"),"&gt;="&amp;$I195,INDIRECT("'"&amp;$A195&amp;"'!$A$2:$A$501"),"&lt;"&amp;($BA195+1),INDIRECT("'"&amp;$A195&amp;"'!$C$2:$C$501"),"Yes"),0)))</f>
        <v/>
      </c>
      <c r="AN195" s="25">
        <f>IF($A195="","",IF(COUNTIFS(scans!$C$2:$C$1601,(IF(LEFT($A195,7)="SAMPLE-","SAMPLE-","")&amp;LOWER(SUBSTITUTE(SUBSTITUTE($A195,"SAMPLE-",""),"CMP-","c"))&amp;"-"&amp;LOWER(SUBSTITUTE(SUBSTITUTE($B195,"SAMPLE-",""),"O-","o"))&amp;"-q"),scans!$D$2:$D$1601,"close")=0,"",SUMPRODUCT(MAX((scans!$C$2:$C$1601=(IF(LEFT($A195,7)="SAMPLE-","SAMPLE-","")&amp;LOWER(SUBSTITUTE(SUBSTITUTE($A195,"SAMPLE-",""),"CMP-","c"))&amp;"-"&amp;LOWER(SUBSTITUTE(SUBSTITUTE($B195,"SAMPLE-",""),"O-","o"))&amp;"-q"))*(scans!$D$2:$D$1601="close")*scans!$E$2:$E$1601))-SUMPRODUCT(MAX((scans!$C$2:$C$1601=(IF(LEFT($A195,7)="SAMPLE-","SAMPLE-","")&amp;LOWER(SUBSTITUTE(SUBSTITUTE($A195,"SAMPLE-",""),"CMP-","c"))&amp;"-"&amp;LOWER(SUBSTITUTE(SUBSTITUTE($B195,"SAMPLE-",""),"O-","o"))&amp;"-q"))*(scans!$D$2:$D$1601="baseline")*scans!$E$2:$E$1601))))</f>
        <v/>
      </c>
      <c r="AO195" s="25">
        <f>IF($A195="","",IF(COUNTIFS(scans!$C$2:$C$1601,(IF(LEFT($A195,7)="SAMPLE-","SAMPLE-","")&amp;LOWER(SUBSTITUTE(SUBSTITUTE($A195,"SAMPLE-",""),"CMP-","c"))&amp;"-"&amp;LOWER(SUBSTITUTE(SUBSTITUTE($B195,"SAMPLE-",""),"O-","o"))&amp;"-p"),scans!$D$2:$D$1601,"close")=0,"",SUMPRODUCT(MAX((scans!$C$2:$C$1601=(IF(LEFT($A195,7)="SAMPLE-","SAMPLE-","")&amp;LOWER(SUBSTITUTE(SUBSTITUTE($A195,"SAMPLE-",""),"CMP-","c"))&amp;"-"&amp;LOWER(SUBSTITUTE(SUBSTITUTE($B195,"SAMPLE-",""),"O-","o"))&amp;"-p"))*(scans!$D$2:$D$1601="close")*scans!$E$2:$E$1601))-SUMPRODUCT(MAX((scans!$C$2:$C$1601=(IF(LEFT($A195,7)="SAMPLE-","SAMPLE-","")&amp;LOWER(SUBSTITUTE(SUBSTITUTE($A195,"SAMPLE-",""),"CMP-","c"))&amp;"-"&amp;LOWER(SUBSTITUTE(SUBSTITUTE($B195,"SAMPLE-",""),"O-","o"))&amp;"-p"))*(scans!$D$2:$D$1601="baseline")*scans!$E$2:$E$1601))))</f>
        <v/>
      </c>
      <c r="AP195" s="25">
        <f>IF($A195="","",IF(COUNTIF(offices!$A$2:$A$61,$B195)=0,"office_id not on offices; ","")&amp;IF(COUNTIF(campaigns!$A$2:$A$51,$A195)=0,"campaign_id not on campaigns; ","")&amp;IF($P195="pending","approval pending; ","")&amp;IF(AND($U195&gt;0,$Y195="",OR($I195="",IF(config!$B$37&lt;&gt;"",config!$B$37,TODAY())&lt;=WORKDAY(N($I195),4,calendar!$A$2:$A$80))),"no usable placement photo yet; ","")&amp;IF(AND($Y195&lt;&gt;"",$Z195=""),"log the placed count; ","")&amp;IF(N($AA195)&gt;N($U195),"placed more than delivered; ","")&amp;IF(AND($AF195&lt;&gt;"",N($AF195)&gt;N($AA195)+N($AD195)),"day-5 count above placed plus top-ups; ","")&amp;IF(AND($U195&gt;0,$I195&lt;&gt;"",IF(config!$B$37&lt;&gt;"",config!$B$37,TODAY())&gt;WORKDAY(N($I195),4,calendar!$A$2:$A$80),$AF195=""),"day-5 count missing; ","")&amp;IF(AND($U195&gt;0,$I195&lt;&gt;"",IF(config!$B$37&lt;&gt;"",config!$B$37,TODAY())&gt;WORKDAY(N($I195),4,calendar!$A$2:$A$80),$AN195=""),"no close link reading; ","")&amp;$R195&amp;IF($P195="N","info: office said no; ","")&amp;IF(AND($P195="Y",$Q195="N"),"info: turned away at the door, so not on the drop (no letter, not in the report or Gate 2; the credit check is on campaigns); ","")&amp;IF(AND($U195&gt;0,$Y195="",$I195&lt;&gt;"",IF(config!$B$37&lt;&gt;"",config!$B$37,TODAY())&gt;WORKDAY(N($I195),4,calendar!$A$2:$A$80)),"info: no usable placement photo, so nothing counts as placed; ","")&amp;IF(AND($U195&gt;0,$I195&lt;&gt;"",IF(config!$B$37&lt;&gt;"",config!$B$37,TODAY())&gt;WORKDAY(N($I195),4,calendar!$A$2:$A$80),N($AL195)&lt;config!$B$30),"info: under "&amp;config!$B$30&amp;" responses; ","")&amp;IF($W195="packing_list","info: delivered count not verified; ",""))</f>
        <v/>
      </c>
      <c r="AQ195" s="25">
        <f>IF(OR($A195="",$I195=""),"",IF($BC195="Y",SUMIFS(survey_frozen!$E$2:$E$251,survey_frozen!$P$2:$P$251,$A195&amp;"|"&amp;$B195),IFERROR(COUNTIFS(INDIRECT("'"&amp;$A195&amp;"'!$B$2:$B$501"),$T195,INDIRECT("'"&amp;$A195&amp;"'!$A$2:$A$501"),"&gt;="&amp;$I195,INDIRECT("'"&amp;$A195&amp;"'!$A$2:$A$501"),"&lt;"&amp;($BA195+1),INDIRECT("'"&amp;$A195&amp;"'!$F$2:$F$501"),"Didn't see it"),0)))</f>
        <v/>
      </c>
      <c r="AR195" s="25">
        <f>IF(OR($A195="",$I195=""),"",IF($BC195="Y",SUMIFS(survey_frozen!$F$2:$F$251,survey_frozen!$P$2:$P$251,$A195&amp;"|"&amp;$B195),IFERROR(COUNTIFS(INDIRECT("'"&amp;$A195&amp;"'!$B$2:$B$501"),$T195,INDIRECT("'"&amp;$A195&amp;"'!$A$2:$A$501"),"&gt;="&amp;$I195,INDIRECT("'"&amp;$A195&amp;"'!$A$2:$A$501"),"&lt;"&amp;($BA195+1),INDIRECT("'"&amp;$A195&amp;"'!$F$2:$F$501"),"Not for me"),0)))</f>
        <v/>
      </c>
      <c r="AS195" s="25">
        <f>IF(OR($A195="",$I195=""),"",IF($BC195="Y",SUMIFS(survey_frozen!$G$2:$G$251,survey_frozen!$P$2:$P$251,$A195&amp;"|"&amp;$B195),IFERROR(COUNTIFS(INDIRECT("'"&amp;$A195&amp;"'!$B$2:$B$501"),$T195,INDIRECT("'"&amp;$A195&amp;"'!$A$2:$A$501"),"&gt;="&amp;$I195,INDIRECT("'"&amp;$A195&amp;"'!$A$2:$A$501"),"&lt;"&amp;($BA195+1),INDIRECT("'"&amp;$A195&amp;"'!$F$2:$F$501"),"Gone by the time I looked"),0)))</f>
        <v/>
      </c>
      <c r="AT195" s="25">
        <f>IF(OR($A195="",$I195=""),"",IF($BC195="Y",SUMIFS(survey_frozen!$H$2:$H$251,survey_frozen!$P$2:$P$251,$A195&amp;"|"&amp;$B195),IFERROR(COUNTIFS(INDIRECT("'"&amp;$A195&amp;"'!$B$2:$B$501"),$T195,INDIRECT("'"&amp;$A195&amp;"'!$A$2:$A$501"),"&gt;="&amp;$I195,INDIRECT("'"&amp;$A195&amp;"'!$A$2:$A$501"),"&lt;"&amp;($BA195+1),INDIRECT("'"&amp;$A195&amp;"'!$D$2:$D$501"),"&gt;=1"),0)))</f>
        <v/>
      </c>
      <c r="AU195" s="25">
        <f>IF(OR($A195="",$I195=""),"",IF($BC195="Y",SUMIFS(survey_frozen!$I$2:$I$251,survey_frozen!$P$2:$P$251,$A195&amp;"|"&amp;$B195),IFERROR(SUMIFS(INDIRECT("'"&amp;$A195&amp;"'!$D$2:$D$501"),INDIRECT("'"&amp;$A195&amp;"'!$B$2:$B$501"),$T195,INDIRECT("'"&amp;$A195&amp;"'!$A$2:$A$501"),"&gt;="&amp;$I195,INDIRECT("'"&amp;$A195&amp;"'!$A$2:$A$501"),"&lt;"&amp;($BA195+1)),0)))</f>
        <v/>
      </c>
      <c r="AV195" s="25">
        <f>IF(OR($A195="",$I195=""),"",IF($BC195="Y",SUMIFS(survey_frozen!$J$2:$J$251,survey_frozen!$P$2:$P$251,$A195&amp;"|"&amp;$B195),IFERROR(COUNTIFS(INDIRECT("'"&amp;$A195&amp;"'!$B$2:$B$501"),$T195,INDIRECT("'"&amp;$A195&amp;"'!$A$2:$A$501"),"&gt;="&amp;$I195,INDIRECT("'"&amp;$A195&amp;"'!$A$2:$A$501"),"&lt;"&amp;($BA195+1),INDIRECT("'"&amp;$A195&amp;"'!$E$2:$E$501"),"Yes"),0)))</f>
        <v/>
      </c>
      <c r="AW195" s="25">
        <f>IF(OR($A195="",$I195=""),"",IF($BC195="Y",SUMIFS(survey_frozen!$K$2:$K$251,survey_frozen!$P$2:$P$251,$A195&amp;"|"&amp;$B195),IFERROR(COUNTIFS(INDIRECT("'"&amp;$A195&amp;"'!$B$2:$B$501"),$T195,INDIRECT("'"&amp;$A195&amp;"'!$A$2:$A$501"),"&gt;="&amp;$I195,INDIRECT("'"&amp;$A195&amp;"'!$A$2:$A$501"),"&lt;"&amp;($BA195+1),INDIRECT("'"&amp;$A195&amp;"'!$E$2:$E$501"),"Maybe"),0)))</f>
        <v/>
      </c>
      <c r="AX195" s="25">
        <f>IF(OR($A195="",$I195=""),"",IF($BC195="Y",SUMIFS(survey_frozen!$L$2:$L$251,survey_frozen!$P$2:$P$251,$A195&amp;"|"&amp;$B195),IFERROR(COUNTIFS(INDIRECT("'"&amp;$A195&amp;"'!$B$2:$B$501"),$T195,INDIRECT("'"&amp;$A195&amp;"'!$A$2:$A$501"),"&gt;="&amp;$I195,INDIRECT("'"&amp;$A195&amp;"'!$A$2:$A$501"),"&lt;"&amp;($BA195+1),INDIRECT("'"&amp;$A195&amp;"'!$E$2:$E$501"),"No"),0)))</f>
        <v/>
      </c>
      <c r="AY195" s="25">
        <f>IF(OR($A195="",$I195=""),"",IF($BC195="Y",SUMIFS(survey_frozen!$M$2:$M$251,survey_frozen!$P$2:$P$251,$A195&amp;"|"&amp;$B195),IFERROR(COUNTIFS(INDIRECT("'"&amp;$A195&amp;"'!$B$2:$B$501"),$T195,INDIRECT("'"&amp;$A195&amp;"'!$A$2:$A$501"),"&gt;="&amp;$I195,INDIRECT("'"&amp;$A195&amp;"'!$A$2:$A$501"),"&lt;"&amp;($BA195+1),INDIRECT("'"&amp;$A195&amp;"'!$G$2:$G$501"),"&lt;&gt;"),0)))</f>
        <v/>
      </c>
      <c r="AZ195" s="25">
        <f>IF($A195="","",$A195&amp;"|"&amp;$L195)</f>
        <v/>
      </c>
      <c r="BA195" s="26">
        <f>IF($A195="","",IFERROR(IF(INDEX(drops!$R$2:$R$21,MATCH($H195,drops!$A$2:$A$21,0))="","",INDEX(drops!$R$2:$R$21,MATCH($H195,drops!$A$2:$A$21,0))),""))</f>
        <v/>
      </c>
      <c r="BB195" s="25">
        <f>IF(OR($A195="",$Q195&lt;&gt;"Y"),1000000,N($AL195))</f>
        <v/>
      </c>
      <c r="BC195" s="25">
        <f>IF($A195="","",IF(COUNTIF(survey_frozen!$P$2:$P$251,$A195&amp;"|"&amp;$B195)&gt;0,"Y",""))</f>
        <v/>
      </c>
    </row>
    <row r="196">
      <c r="C196" s="9" t="n"/>
      <c r="E196" s="9" t="n"/>
      <c r="H196" s="25">
        <f>IF($A196="","",IFERROR(IF(INDEX(campaigns!$B$2:$B$51,MATCH($A196,campaigns!$A$2:$A$51,0))="","",INDEX(campaigns!$B$2:$B$51,MATCH($A196,campaigns!$A$2:$A$51,0))),""))</f>
        <v/>
      </c>
      <c r="I196" s="26">
        <f>IF($A196="","",IFERROR(IF(INDEX(campaigns!$BG$2:$BG$51,MATCH($A196,campaigns!$A$2:$A$51,0))="","",INDEX(campaigns!$BG$2:$BG$51,MATCH($A196,campaigns!$A$2:$A$51,0))),""))</f>
        <v/>
      </c>
      <c r="J196" s="25">
        <f>IF($A196="","",IFERROR(IF(INDEX(campaigns!$BE$2:$BE$51,MATCH($A196,campaigns!$A$2:$A$51,0))="","",INDEX(campaigns!$BE$2:$BE$51,MATCH($A196,campaigns!$A$2:$A$51,0))),""))</f>
        <v/>
      </c>
      <c r="K196" s="25">
        <f>IF($B196="","",IFERROR(IF(INDEX(offices!$N$2:$N$61,MATCH($B196,offices!$A$2:$A$61,0))="","",INDEX(offices!$N$2:$N$61,MATCH($B196,offices!$A$2:$A$61,0))),""))</f>
        <v/>
      </c>
      <c r="L196" s="25">
        <f>IF($A196="","",IF($Q196="N","",COUNTIFS($A$2:$A196,$A196,$Q$2:$Q196,"&lt;&gt;N")))</f>
        <v/>
      </c>
      <c r="M196" s="25">
        <f>IF(OR($A196="",$L196=""),"",IF(AND(config!$B$34="names_if_public",IFERROR(IF(INDEX(offices!$AF$2:$AF$61,MATCH($B196,offices!$A$2:$A$61,0))="","",INDEX(offices!$AF$2:$AF$61,MATCH($B196,offices!$A$2:$A$61,0))),"")="Y"),$K196,CHAR(64+$L196)))</f>
        <v/>
      </c>
      <c r="N196" s="25">
        <f>IF(OR($A196="",$I196=""),"",COUNTIFS(stops!$B$2:$B$151,$B196,stops!$P$2:$P$151,"&lt;"&amp;$I196,stops!$L$2:$L$151,"&lt;&gt;not_delivered")+1)</f>
        <v/>
      </c>
      <c r="O196" s="25">
        <f>IF($A196="","",IF(N($N196)&lt;=config!$B$29,"explicit","opt-out"))</f>
        <v/>
      </c>
      <c r="P196" s="25">
        <f>IF($A196="","",IF($O196="explicit",IF($D196="yes","Y",IF($D196="no","N","pending")),IF($D196="no","N",IF(AND($C196&lt;&gt;"",$I196&lt;&gt;"",$C196&lt;=WORKDAY(N($I196),-5,calendar!$A$2:$A$80)),"Y","pending"))))</f>
        <v/>
      </c>
      <c r="Q196" s="25">
        <f>IF($A196="","",IF($P196="N","N",IF($P196&lt;&gt;"Y","pending",IF(AND((COUNTIFS(stops!$A$2:$A$151,$H196,stops!$B$2:$B$151,$B196,stops!$L$2:$L$151,"declined")+COUNTIFS(stops!$A$2:$A$151,$H196,stops!$B$2:$B$151,$B196,stops!$L$2:$L$151,"building_refused")+COUNTIFS(stops!$A$2:$A$151,$H196,stops!$B$2:$B$151,$B196,stops!$L$2:$L$151,"not_delivered"))&gt;0,N($U196)=0),"N","Y"))))</f>
        <v/>
      </c>
      <c r="R196" s="25">
        <f>IF($A196="","",IF(COUNTIFS($A$2:$A$251,$A196,$B$2:$B$251,$B196)&gt;1,"DUPLICATE ROW; ","")&amp;IF(AND(IFERROR(IF(INDEX(offices!$AC$2:$AC$61,MATCH($B196,offices!$A$2:$A$61,0))="","",INDEX(offices!$AC$2:$AC$61,MATCH($B196,offices!$A$2:$A$61,0))),"")&lt;&gt;"",ISNUMBER(SEARCH($J196,IFERROR(IF(INDEX(offices!$AC$2:$AC$61,MATCH($B196,offices!$A$2:$A$61,0))="","",INDEX(offices!$AC$2:$AC$61,MATCH($B196,offices!$A$2:$A$61,0))),"")))),"BRAND VETOED; ","")&amp;IF(ISNUMBER(SEARCH(IFERROR(IF(INDEX(campaigns!$BF$2:$BF$51,MATCH($A196,campaigns!$A$2:$A$51,0))="","",INDEX(campaigns!$BF$2:$BF$51,MATCH($A196,campaigns!$A$2:$A$51,0))),""),IFERROR(IF(INDEX(offices!$AB$2:$AB$61,MATCH($B196,offices!$A$2:$A$61,0))="","",INDEX(offices!$AB$2:$AB$61,MATCH($B196,offices!$A$2:$A$61,0))),""))),"","info: category not on the office's list; ")&amp;IF(IFERROR(IF(INDEX(offices!$AC$2:$AC$61,MATCH($B196,offices!$A$2:$A$61,0))="","",INDEX(offices!$AC$2:$AC$61,MATCH($B196,offices!$A$2:$A$61,0))),"")&lt;&gt;"","info: read the vetoes against the label; ",""))</f>
        <v/>
      </c>
      <c r="S196" s="25">
        <f>IF($A196="","",IF($G196&lt;&gt;"",$G196,IFERROR(IF(INDEX(offices!$AL$2:$AL$61,MATCH($B196,offices!$A$2:$A$61,0))="","",INDEX(offices!$AL$2:$AL$61,MATCH($B196,offices!$A$2:$A$61,0))),"")))</f>
        <v/>
      </c>
      <c r="T196" s="25">
        <f>IF($A196="","",$A196&amp;"."&amp;$B196)</f>
        <v/>
      </c>
      <c r="U196" s="25">
        <f>IF($A196="","",SUMIFS(inventory!$G$2:$G$801,inventory!$C$2:$C$801,$A196,inventory!$D$2:$D$801,$B196,inventory!$E$2:$E$801,"delivered"))</f>
        <v/>
      </c>
      <c r="V196" s="32">
        <f>IF($A196="","",IFERROR(1/(1/SUMPRODUCT(MAX((inventory!$C$2:$C$801=$A196)*(inventory!$D$2:$D$801=$B196)*(inventory!$E$2:$E$801="delivered")*(inventory!$A$2:$A$801+inventory!$B$2:$B$801)))),""))</f>
        <v/>
      </c>
      <c r="W196" s="25">
        <f>IF($A196="","",IFERROR(IF(INDEX(inventory!$J$2:$J$801,MATCH($A196&amp;"|"&amp;$B196&amp;"|delivered",inventory!$R$2:$R$801,0))="","",INDEX(inventory!$J$2:$J$801,MATCH($A196&amp;"|"&amp;$B196&amp;"|delivered",inventory!$R$2:$R$801,0))),""))</f>
        <v/>
      </c>
      <c r="X196" s="25">
        <f>IF($A196="","",IFERROR(IF(INDEX(photos!$H$2:$H$701,MATCH($A196&amp;"|"&amp;$B196&amp;"|placement|Y",photos!$R$2:$R$701,0))="","",INDEX(photos!$H$2:$H$701,MATCH($A196&amp;"|"&amp;$B196&amp;"|placement|Y",photos!$R$2:$R$701,0))),""))</f>
        <v/>
      </c>
      <c r="Y196" s="26">
        <f>IF($A196="","",IFERROR(IF(INDEX(photos!$E$2:$E$701,MATCH($A196&amp;"|"&amp;$B196&amp;"|placement|Y",photos!$R$2:$R$701,0))="","",INDEX(photos!$E$2:$E$701,MATCH($A196&amp;"|"&amp;$B196&amp;"|placement|Y",photos!$R$2:$R$701,0))),""))</f>
        <v/>
      </c>
      <c r="Z196" s="25">
        <f>IF($A196="","",IF(COUNTIFS(counts!$C$2:$C$701,$A196,counts!$D$2:$D$701,$B196,counts!$E$2:$E$701,"placed")=0,"",SUMIFS(counts!$F$2:$F$701,counts!$C$2:$C$701,$A196,counts!$D$2:$D$701,$B196,counts!$E$2:$E$701,"placed")))</f>
        <v/>
      </c>
      <c r="AA196" s="25">
        <f>IF($A196="","",IF($Y196="",0,N($Z196)))</f>
        <v/>
      </c>
      <c r="AB196" s="25">
        <f>IF($A196="","",IF(OR($Y196="",$I196=""),"N",IF($Y196&lt;=WORKDAY(N($I196),1,calendar!$A$2:$A$80),"Y","N")))</f>
        <v/>
      </c>
      <c r="AC196" s="28">
        <f>IF(OR($A196="",$V196="",$Y196=""),"",ROUND(($Y196+N(IFERROR(IF(INDEX(photos!$F$2:$F$701,MATCH($A196&amp;"|"&amp;$B196&amp;"|placement|Y",photos!$R$2:$R$701,0))="","",INDEX(photos!$F$2:$F$701,MATCH($A196&amp;"|"&amp;$B196&amp;"|placement|Y",photos!$R$2:$R$701,0))),""))-$V196)*24,1))</f>
        <v/>
      </c>
      <c r="AD196" s="25">
        <f>IF($A196="","",SUMIFS(inventory!$G$2:$G$801,inventory!$C$2:$C$801,$A196,inventory!$D$2:$D$801,$B196,inventory!$E$2:$E$801,"topped_up"))</f>
        <v/>
      </c>
      <c r="AE196" s="25">
        <f>IF($A196="","",IF(COUNTIFS(counts!$C$2:$C$701,$A196,counts!$D$2:$D$701,$B196,counts!$E$2:$E$701,"remaining_day3")=0,"",SUMIFS(counts!$F$2:$F$701,counts!$C$2:$C$701,$A196,counts!$D$2:$D$701,$B196,counts!$E$2:$E$701,"remaining_day3")))</f>
        <v/>
      </c>
      <c r="AF196" s="25">
        <f>IF($A196="","",IF(COUNTIFS(counts!$C$2:$C$701,$A196,counts!$D$2:$D$701,$B196,counts!$E$2:$E$701,"remaining_day5")=0,"",SUMIFS(counts!$F$2:$F$701,counts!$C$2:$C$701,$A196,counts!$D$2:$D$701,$B196,counts!$E$2:$E$701,"remaining_day5")))</f>
        <v/>
      </c>
      <c r="AG196" s="25">
        <f>IF(OR($A196="",$AF196=""),"",MAX(0,$AA196+$AD196-$AF196))</f>
        <v/>
      </c>
      <c r="AH196" s="25">
        <f>IF(OR($A196="",$AI196=""),"",IFERROR(IF(INDEX(photos!$H$2:$H$701,MATCH($A196&amp;"|"&amp;$B196&amp;"|later|Y|"&amp;$AI196,photos!$S$2:$S$701,0))="","",INDEX(photos!$H$2:$H$701,MATCH($A196&amp;"|"&amp;$B196&amp;"|later|Y|"&amp;$AI196,photos!$S$2:$S$701,0))),""))</f>
        <v/>
      </c>
      <c r="AI196" s="26">
        <f>IF($A196="","",IFERROR(1/(1/SUMPRODUCT(MAX((photos!$B$2:$B$701=$A196)*(photos!$C$2:$C$701=$B196)*(photos!$D$2:$D$701="later")*(photos!$O$2:$O$701="Y")*photos!$E$2:$E$701))),""))</f>
        <v/>
      </c>
      <c r="AJ196" s="25">
        <f>IF(OR($A196="",$AI196="",$I196=""),"",NETWORKDAYS($I196,$AI196,calendar!$A$2:$A$80))</f>
        <v/>
      </c>
      <c r="AK196" s="25">
        <f>IF($A196="","",IF(AND($X196&lt;&gt;"",$AH196&lt;&gt;""),"Y","N"))</f>
        <v/>
      </c>
      <c r="AL196" s="25">
        <f>IF(OR($A196="",$I196=""),"",IF($BC196="Y",SUMIFS(survey_frozen!$C$2:$C$251,survey_frozen!$P$2:$P$251,$A196&amp;"|"&amp;$B196),IFERROR(COUNTIFS(INDIRECT("'"&amp;$A196&amp;"'!$B$2:$B$501"),$T196,INDIRECT("'"&amp;$A196&amp;"'!$A$2:$A$501"),"&gt;="&amp;$I196,INDIRECT("'"&amp;$A196&amp;"'!$A$2:$A$501"),"&lt;"&amp;($BA196+1)),0)))</f>
        <v/>
      </c>
      <c r="AM196" s="25">
        <f>IF(OR($A196="",$I196=""),"",IF($BC196="Y",SUMIFS(survey_frozen!$D$2:$D$251,survey_frozen!$P$2:$P$251,$A196&amp;"|"&amp;$B196),IFERROR(COUNTIFS(INDIRECT("'"&amp;$A196&amp;"'!$B$2:$B$501"),$T196,INDIRECT("'"&amp;$A196&amp;"'!$A$2:$A$501"),"&gt;="&amp;$I196,INDIRECT("'"&amp;$A196&amp;"'!$A$2:$A$501"),"&lt;"&amp;($BA196+1),INDIRECT("'"&amp;$A196&amp;"'!$C$2:$C$501"),"Yes"),0)))</f>
        <v/>
      </c>
      <c r="AN196" s="25">
        <f>IF($A196="","",IF(COUNTIFS(scans!$C$2:$C$1601,(IF(LEFT($A196,7)="SAMPLE-","SAMPLE-","")&amp;LOWER(SUBSTITUTE(SUBSTITUTE($A196,"SAMPLE-",""),"CMP-","c"))&amp;"-"&amp;LOWER(SUBSTITUTE(SUBSTITUTE($B196,"SAMPLE-",""),"O-","o"))&amp;"-q"),scans!$D$2:$D$1601,"close")=0,"",SUMPRODUCT(MAX((scans!$C$2:$C$1601=(IF(LEFT($A196,7)="SAMPLE-","SAMPLE-","")&amp;LOWER(SUBSTITUTE(SUBSTITUTE($A196,"SAMPLE-",""),"CMP-","c"))&amp;"-"&amp;LOWER(SUBSTITUTE(SUBSTITUTE($B196,"SAMPLE-",""),"O-","o"))&amp;"-q"))*(scans!$D$2:$D$1601="close")*scans!$E$2:$E$1601))-SUMPRODUCT(MAX((scans!$C$2:$C$1601=(IF(LEFT($A196,7)="SAMPLE-","SAMPLE-","")&amp;LOWER(SUBSTITUTE(SUBSTITUTE($A196,"SAMPLE-",""),"CMP-","c"))&amp;"-"&amp;LOWER(SUBSTITUTE(SUBSTITUTE($B196,"SAMPLE-",""),"O-","o"))&amp;"-q"))*(scans!$D$2:$D$1601="baseline")*scans!$E$2:$E$1601))))</f>
        <v/>
      </c>
      <c r="AO196" s="25">
        <f>IF($A196="","",IF(COUNTIFS(scans!$C$2:$C$1601,(IF(LEFT($A196,7)="SAMPLE-","SAMPLE-","")&amp;LOWER(SUBSTITUTE(SUBSTITUTE($A196,"SAMPLE-",""),"CMP-","c"))&amp;"-"&amp;LOWER(SUBSTITUTE(SUBSTITUTE($B196,"SAMPLE-",""),"O-","o"))&amp;"-p"),scans!$D$2:$D$1601,"close")=0,"",SUMPRODUCT(MAX((scans!$C$2:$C$1601=(IF(LEFT($A196,7)="SAMPLE-","SAMPLE-","")&amp;LOWER(SUBSTITUTE(SUBSTITUTE($A196,"SAMPLE-",""),"CMP-","c"))&amp;"-"&amp;LOWER(SUBSTITUTE(SUBSTITUTE($B196,"SAMPLE-",""),"O-","o"))&amp;"-p"))*(scans!$D$2:$D$1601="close")*scans!$E$2:$E$1601))-SUMPRODUCT(MAX((scans!$C$2:$C$1601=(IF(LEFT($A196,7)="SAMPLE-","SAMPLE-","")&amp;LOWER(SUBSTITUTE(SUBSTITUTE($A196,"SAMPLE-",""),"CMP-","c"))&amp;"-"&amp;LOWER(SUBSTITUTE(SUBSTITUTE($B196,"SAMPLE-",""),"O-","o"))&amp;"-p"))*(scans!$D$2:$D$1601="baseline")*scans!$E$2:$E$1601))))</f>
        <v/>
      </c>
      <c r="AP196" s="25">
        <f>IF($A196="","",IF(COUNTIF(offices!$A$2:$A$61,$B196)=0,"office_id not on offices; ","")&amp;IF(COUNTIF(campaigns!$A$2:$A$51,$A196)=0,"campaign_id not on campaigns; ","")&amp;IF($P196="pending","approval pending; ","")&amp;IF(AND($U196&gt;0,$Y196="",OR($I196="",IF(config!$B$37&lt;&gt;"",config!$B$37,TODAY())&lt;=WORKDAY(N($I196),4,calendar!$A$2:$A$80))),"no usable placement photo yet; ","")&amp;IF(AND($Y196&lt;&gt;"",$Z196=""),"log the placed count; ","")&amp;IF(N($AA196)&gt;N($U196),"placed more than delivered; ","")&amp;IF(AND($AF196&lt;&gt;"",N($AF196)&gt;N($AA196)+N($AD196)),"day-5 count above placed plus top-ups; ","")&amp;IF(AND($U196&gt;0,$I196&lt;&gt;"",IF(config!$B$37&lt;&gt;"",config!$B$37,TODAY())&gt;WORKDAY(N($I196),4,calendar!$A$2:$A$80),$AF196=""),"day-5 count missing; ","")&amp;IF(AND($U196&gt;0,$I196&lt;&gt;"",IF(config!$B$37&lt;&gt;"",config!$B$37,TODAY())&gt;WORKDAY(N($I196),4,calendar!$A$2:$A$80),$AN196=""),"no close link reading; ","")&amp;$R196&amp;IF($P196="N","info: office said no; ","")&amp;IF(AND($P196="Y",$Q196="N"),"info: turned away at the door, so not on the drop (no letter, not in the report or Gate 2; the credit check is on campaigns); ","")&amp;IF(AND($U196&gt;0,$Y196="",$I196&lt;&gt;"",IF(config!$B$37&lt;&gt;"",config!$B$37,TODAY())&gt;WORKDAY(N($I196),4,calendar!$A$2:$A$80)),"info: no usable placement photo, so nothing counts as placed; ","")&amp;IF(AND($U196&gt;0,$I196&lt;&gt;"",IF(config!$B$37&lt;&gt;"",config!$B$37,TODAY())&gt;WORKDAY(N($I196),4,calendar!$A$2:$A$80),N($AL196)&lt;config!$B$30),"info: under "&amp;config!$B$30&amp;" responses; ","")&amp;IF($W196="packing_list","info: delivered count not verified; ",""))</f>
        <v/>
      </c>
      <c r="AQ196" s="25">
        <f>IF(OR($A196="",$I196=""),"",IF($BC196="Y",SUMIFS(survey_frozen!$E$2:$E$251,survey_frozen!$P$2:$P$251,$A196&amp;"|"&amp;$B196),IFERROR(COUNTIFS(INDIRECT("'"&amp;$A196&amp;"'!$B$2:$B$501"),$T196,INDIRECT("'"&amp;$A196&amp;"'!$A$2:$A$501"),"&gt;="&amp;$I196,INDIRECT("'"&amp;$A196&amp;"'!$A$2:$A$501"),"&lt;"&amp;($BA196+1),INDIRECT("'"&amp;$A196&amp;"'!$F$2:$F$501"),"Didn't see it"),0)))</f>
        <v/>
      </c>
      <c r="AR196" s="25">
        <f>IF(OR($A196="",$I196=""),"",IF($BC196="Y",SUMIFS(survey_frozen!$F$2:$F$251,survey_frozen!$P$2:$P$251,$A196&amp;"|"&amp;$B196),IFERROR(COUNTIFS(INDIRECT("'"&amp;$A196&amp;"'!$B$2:$B$501"),$T196,INDIRECT("'"&amp;$A196&amp;"'!$A$2:$A$501"),"&gt;="&amp;$I196,INDIRECT("'"&amp;$A196&amp;"'!$A$2:$A$501"),"&lt;"&amp;($BA196+1),INDIRECT("'"&amp;$A196&amp;"'!$F$2:$F$501"),"Not for me"),0)))</f>
        <v/>
      </c>
      <c r="AS196" s="25">
        <f>IF(OR($A196="",$I196=""),"",IF($BC196="Y",SUMIFS(survey_frozen!$G$2:$G$251,survey_frozen!$P$2:$P$251,$A196&amp;"|"&amp;$B196),IFERROR(COUNTIFS(INDIRECT("'"&amp;$A196&amp;"'!$B$2:$B$501"),$T196,INDIRECT("'"&amp;$A196&amp;"'!$A$2:$A$501"),"&gt;="&amp;$I196,INDIRECT("'"&amp;$A196&amp;"'!$A$2:$A$501"),"&lt;"&amp;($BA196+1),INDIRECT("'"&amp;$A196&amp;"'!$F$2:$F$501"),"Gone by the time I looked"),0)))</f>
        <v/>
      </c>
      <c r="AT196" s="25">
        <f>IF(OR($A196="",$I196=""),"",IF($BC196="Y",SUMIFS(survey_frozen!$H$2:$H$251,survey_frozen!$P$2:$P$251,$A196&amp;"|"&amp;$B196),IFERROR(COUNTIFS(INDIRECT("'"&amp;$A196&amp;"'!$B$2:$B$501"),$T196,INDIRECT("'"&amp;$A196&amp;"'!$A$2:$A$501"),"&gt;="&amp;$I196,INDIRECT("'"&amp;$A196&amp;"'!$A$2:$A$501"),"&lt;"&amp;($BA196+1),INDIRECT("'"&amp;$A196&amp;"'!$D$2:$D$501"),"&gt;=1"),0)))</f>
        <v/>
      </c>
      <c r="AU196" s="25">
        <f>IF(OR($A196="",$I196=""),"",IF($BC196="Y",SUMIFS(survey_frozen!$I$2:$I$251,survey_frozen!$P$2:$P$251,$A196&amp;"|"&amp;$B196),IFERROR(SUMIFS(INDIRECT("'"&amp;$A196&amp;"'!$D$2:$D$501"),INDIRECT("'"&amp;$A196&amp;"'!$B$2:$B$501"),$T196,INDIRECT("'"&amp;$A196&amp;"'!$A$2:$A$501"),"&gt;="&amp;$I196,INDIRECT("'"&amp;$A196&amp;"'!$A$2:$A$501"),"&lt;"&amp;($BA196+1)),0)))</f>
        <v/>
      </c>
      <c r="AV196" s="25">
        <f>IF(OR($A196="",$I196=""),"",IF($BC196="Y",SUMIFS(survey_frozen!$J$2:$J$251,survey_frozen!$P$2:$P$251,$A196&amp;"|"&amp;$B196),IFERROR(COUNTIFS(INDIRECT("'"&amp;$A196&amp;"'!$B$2:$B$501"),$T196,INDIRECT("'"&amp;$A196&amp;"'!$A$2:$A$501"),"&gt;="&amp;$I196,INDIRECT("'"&amp;$A196&amp;"'!$A$2:$A$501"),"&lt;"&amp;($BA196+1),INDIRECT("'"&amp;$A196&amp;"'!$E$2:$E$501"),"Yes"),0)))</f>
        <v/>
      </c>
      <c r="AW196" s="25">
        <f>IF(OR($A196="",$I196=""),"",IF($BC196="Y",SUMIFS(survey_frozen!$K$2:$K$251,survey_frozen!$P$2:$P$251,$A196&amp;"|"&amp;$B196),IFERROR(COUNTIFS(INDIRECT("'"&amp;$A196&amp;"'!$B$2:$B$501"),$T196,INDIRECT("'"&amp;$A196&amp;"'!$A$2:$A$501"),"&gt;="&amp;$I196,INDIRECT("'"&amp;$A196&amp;"'!$A$2:$A$501"),"&lt;"&amp;($BA196+1),INDIRECT("'"&amp;$A196&amp;"'!$E$2:$E$501"),"Maybe"),0)))</f>
        <v/>
      </c>
      <c r="AX196" s="25">
        <f>IF(OR($A196="",$I196=""),"",IF($BC196="Y",SUMIFS(survey_frozen!$L$2:$L$251,survey_frozen!$P$2:$P$251,$A196&amp;"|"&amp;$B196),IFERROR(COUNTIFS(INDIRECT("'"&amp;$A196&amp;"'!$B$2:$B$501"),$T196,INDIRECT("'"&amp;$A196&amp;"'!$A$2:$A$501"),"&gt;="&amp;$I196,INDIRECT("'"&amp;$A196&amp;"'!$A$2:$A$501"),"&lt;"&amp;($BA196+1),INDIRECT("'"&amp;$A196&amp;"'!$E$2:$E$501"),"No"),0)))</f>
        <v/>
      </c>
      <c r="AY196" s="25">
        <f>IF(OR($A196="",$I196=""),"",IF($BC196="Y",SUMIFS(survey_frozen!$M$2:$M$251,survey_frozen!$P$2:$P$251,$A196&amp;"|"&amp;$B196),IFERROR(COUNTIFS(INDIRECT("'"&amp;$A196&amp;"'!$B$2:$B$501"),$T196,INDIRECT("'"&amp;$A196&amp;"'!$A$2:$A$501"),"&gt;="&amp;$I196,INDIRECT("'"&amp;$A196&amp;"'!$A$2:$A$501"),"&lt;"&amp;($BA196+1),INDIRECT("'"&amp;$A196&amp;"'!$G$2:$G$501"),"&lt;&gt;"),0)))</f>
        <v/>
      </c>
      <c r="AZ196" s="25">
        <f>IF($A196="","",$A196&amp;"|"&amp;$L196)</f>
        <v/>
      </c>
      <c r="BA196" s="26">
        <f>IF($A196="","",IFERROR(IF(INDEX(drops!$R$2:$R$21,MATCH($H196,drops!$A$2:$A$21,0))="","",INDEX(drops!$R$2:$R$21,MATCH($H196,drops!$A$2:$A$21,0))),""))</f>
        <v/>
      </c>
      <c r="BB196" s="25">
        <f>IF(OR($A196="",$Q196&lt;&gt;"Y"),1000000,N($AL196))</f>
        <v/>
      </c>
      <c r="BC196" s="25">
        <f>IF($A196="","",IF(COUNTIF(survey_frozen!$P$2:$P$251,$A196&amp;"|"&amp;$B196)&gt;0,"Y",""))</f>
        <v/>
      </c>
    </row>
    <row r="197">
      <c r="C197" s="9" t="n"/>
      <c r="E197" s="9" t="n"/>
      <c r="H197" s="25">
        <f>IF($A197="","",IFERROR(IF(INDEX(campaigns!$B$2:$B$51,MATCH($A197,campaigns!$A$2:$A$51,0))="","",INDEX(campaigns!$B$2:$B$51,MATCH($A197,campaigns!$A$2:$A$51,0))),""))</f>
        <v/>
      </c>
      <c r="I197" s="26">
        <f>IF($A197="","",IFERROR(IF(INDEX(campaigns!$BG$2:$BG$51,MATCH($A197,campaigns!$A$2:$A$51,0))="","",INDEX(campaigns!$BG$2:$BG$51,MATCH($A197,campaigns!$A$2:$A$51,0))),""))</f>
        <v/>
      </c>
      <c r="J197" s="25">
        <f>IF($A197="","",IFERROR(IF(INDEX(campaigns!$BE$2:$BE$51,MATCH($A197,campaigns!$A$2:$A$51,0))="","",INDEX(campaigns!$BE$2:$BE$51,MATCH($A197,campaigns!$A$2:$A$51,0))),""))</f>
        <v/>
      </c>
      <c r="K197" s="25">
        <f>IF($B197="","",IFERROR(IF(INDEX(offices!$N$2:$N$61,MATCH($B197,offices!$A$2:$A$61,0))="","",INDEX(offices!$N$2:$N$61,MATCH($B197,offices!$A$2:$A$61,0))),""))</f>
        <v/>
      </c>
      <c r="L197" s="25">
        <f>IF($A197="","",IF($Q197="N","",COUNTIFS($A$2:$A197,$A197,$Q$2:$Q197,"&lt;&gt;N")))</f>
        <v/>
      </c>
      <c r="M197" s="25">
        <f>IF(OR($A197="",$L197=""),"",IF(AND(config!$B$34="names_if_public",IFERROR(IF(INDEX(offices!$AF$2:$AF$61,MATCH($B197,offices!$A$2:$A$61,0))="","",INDEX(offices!$AF$2:$AF$61,MATCH($B197,offices!$A$2:$A$61,0))),"")="Y"),$K197,CHAR(64+$L197)))</f>
        <v/>
      </c>
      <c r="N197" s="25">
        <f>IF(OR($A197="",$I197=""),"",COUNTIFS(stops!$B$2:$B$151,$B197,stops!$P$2:$P$151,"&lt;"&amp;$I197,stops!$L$2:$L$151,"&lt;&gt;not_delivered")+1)</f>
        <v/>
      </c>
      <c r="O197" s="25">
        <f>IF($A197="","",IF(N($N197)&lt;=config!$B$29,"explicit","opt-out"))</f>
        <v/>
      </c>
      <c r="P197" s="25">
        <f>IF($A197="","",IF($O197="explicit",IF($D197="yes","Y",IF($D197="no","N","pending")),IF($D197="no","N",IF(AND($C197&lt;&gt;"",$I197&lt;&gt;"",$C197&lt;=WORKDAY(N($I197),-5,calendar!$A$2:$A$80)),"Y","pending"))))</f>
        <v/>
      </c>
      <c r="Q197" s="25">
        <f>IF($A197="","",IF($P197="N","N",IF($P197&lt;&gt;"Y","pending",IF(AND((COUNTIFS(stops!$A$2:$A$151,$H197,stops!$B$2:$B$151,$B197,stops!$L$2:$L$151,"declined")+COUNTIFS(stops!$A$2:$A$151,$H197,stops!$B$2:$B$151,$B197,stops!$L$2:$L$151,"building_refused")+COUNTIFS(stops!$A$2:$A$151,$H197,stops!$B$2:$B$151,$B197,stops!$L$2:$L$151,"not_delivered"))&gt;0,N($U197)=0),"N","Y"))))</f>
        <v/>
      </c>
      <c r="R197" s="25">
        <f>IF($A197="","",IF(COUNTIFS($A$2:$A$251,$A197,$B$2:$B$251,$B197)&gt;1,"DUPLICATE ROW; ","")&amp;IF(AND(IFERROR(IF(INDEX(offices!$AC$2:$AC$61,MATCH($B197,offices!$A$2:$A$61,0))="","",INDEX(offices!$AC$2:$AC$61,MATCH($B197,offices!$A$2:$A$61,0))),"")&lt;&gt;"",ISNUMBER(SEARCH($J197,IFERROR(IF(INDEX(offices!$AC$2:$AC$61,MATCH($B197,offices!$A$2:$A$61,0))="","",INDEX(offices!$AC$2:$AC$61,MATCH($B197,offices!$A$2:$A$61,0))),"")))),"BRAND VETOED; ","")&amp;IF(ISNUMBER(SEARCH(IFERROR(IF(INDEX(campaigns!$BF$2:$BF$51,MATCH($A197,campaigns!$A$2:$A$51,0))="","",INDEX(campaigns!$BF$2:$BF$51,MATCH($A197,campaigns!$A$2:$A$51,0))),""),IFERROR(IF(INDEX(offices!$AB$2:$AB$61,MATCH($B197,offices!$A$2:$A$61,0))="","",INDEX(offices!$AB$2:$AB$61,MATCH($B197,offices!$A$2:$A$61,0))),""))),"","info: category not on the office's list; ")&amp;IF(IFERROR(IF(INDEX(offices!$AC$2:$AC$61,MATCH($B197,offices!$A$2:$A$61,0))="","",INDEX(offices!$AC$2:$AC$61,MATCH($B197,offices!$A$2:$A$61,0))),"")&lt;&gt;"","info: read the vetoes against the label; ",""))</f>
        <v/>
      </c>
      <c r="S197" s="25">
        <f>IF($A197="","",IF($G197&lt;&gt;"",$G197,IFERROR(IF(INDEX(offices!$AL$2:$AL$61,MATCH($B197,offices!$A$2:$A$61,0))="","",INDEX(offices!$AL$2:$AL$61,MATCH($B197,offices!$A$2:$A$61,0))),"")))</f>
        <v/>
      </c>
      <c r="T197" s="25">
        <f>IF($A197="","",$A197&amp;"."&amp;$B197)</f>
        <v/>
      </c>
      <c r="U197" s="25">
        <f>IF($A197="","",SUMIFS(inventory!$G$2:$G$801,inventory!$C$2:$C$801,$A197,inventory!$D$2:$D$801,$B197,inventory!$E$2:$E$801,"delivered"))</f>
        <v/>
      </c>
      <c r="V197" s="32">
        <f>IF($A197="","",IFERROR(1/(1/SUMPRODUCT(MAX((inventory!$C$2:$C$801=$A197)*(inventory!$D$2:$D$801=$B197)*(inventory!$E$2:$E$801="delivered")*(inventory!$A$2:$A$801+inventory!$B$2:$B$801)))),""))</f>
        <v/>
      </c>
      <c r="W197" s="25">
        <f>IF($A197="","",IFERROR(IF(INDEX(inventory!$J$2:$J$801,MATCH($A197&amp;"|"&amp;$B197&amp;"|delivered",inventory!$R$2:$R$801,0))="","",INDEX(inventory!$J$2:$J$801,MATCH($A197&amp;"|"&amp;$B197&amp;"|delivered",inventory!$R$2:$R$801,0))),""))</f>
        <v/>
      </c>
      <c r="X197" s="25">
        <f>IF($A197="","",IFERROR(IF(INDEX(photos!$H$2:$H$701,MATCH($A197&amp;"|"&amp;$B197&amp;"|placement|Y",photos!$R$2:$R$701,0))="","",INDEX(photos!$H$2:$H$701,MATCH($A197&amp;"|"&amp;$B197&amp;"|placement|Y",photos!$R$2:$R$701,0))),""))</f>
        <v/>
      </c>
      <c r="Y197" s="26">
        <f>IF($A197="","",IFERROR(IF(INDEX(photos!$E$2:$E$701,MATCH($A197&amp;"|"&amp;$B197&amp;"|placement|Y",photos!$R$2:$R$701,0))="","",INDEX(photos!$E$2:$E$701,MATCH($A197&amp;"|"&amp;$B197&amp;"|placement|Y",photos!$R$2:$R$701,0))),""))</f>
        <v/>
      </c>
      <c r="Z197" s="25">
        <f>IF($A197="","",IF(COUNTIFS(counts!$C$2:$C$701,$A197,counts!$D$2:$D$701,$B197,counts!$E$2:$E$701,"placed")=0,"",SUMIFS(counts!$F$2:$F$701,counts!$C$2:$C$701,$A197,counts!$D$2:$D$701,$B197,counts!$E$2:$E$701,"placed")))</f>
        <v/>
      </c>
      <c r="AA197" s="25">
        <f>IF($A197="","",IF($Y197="",0,N($Z197)))</f>
        <v/>
      </c>
      <c r="AB197" s="25">
        <f>IF($A197="","",IF(OR($Y197="",$I197=""),"N",IF($Y197&lt;=WORKDAY(N($I197),1,calendar!$A$2:$A$80),"Y","N")))</f>
        <v/>
      </c>
      <c r="AC197" s="28">
        <f>IF(OR($A197="",$V197="",$Y197=""),"",ROUND(($Y197+N(IFERROR(IF(INDEX(photos!$F$2:$F$701,MATCH($A197&amp;"|"&amp;$B197&amp;"|placement|Y",photos!$R$2:$R$701,0))="","",INDEX(photos!$F$2:$F$701,MATCH($A197&amp;"|"&amp;$B197&amp;"|placement|Y",photos!$R$2:$R$701,0))),""))-$V197)*24,1))</f>
        <v/>
      </c>
      <c r="AD197" s="25">
        <f>IF($A197="","",SUMIFS(inventory!$G$2:$G$801,inventory!$C$2:$C$801,$A197,inventory!$D$2:$D$801,$B197,inventory!$E$2:$E$801,"topped_up"))</f>
        <v/>
      </c>
      <c r="AE197" s="25">
        <f>IF($A197="","",IF(COUNTIFS(counts!$C$2:$C$701,$A197,counts!$D$2:$D$701,$B197,counts!$E$2:$E$701,"remaining_day3")=0,"",SUMIFS(counts!$F$2:$F$701,counts!$C$2:$C$701,$A197,counts!$D$2:$D$701,$B197,counts!$E$2:$E$701,"remaining_day3")))</f>
        <v/>
      </c>
      <c r="AF197" s="25">
        <f>IF($A197="","",IF(COUNTIFS(counts!$C$2:$C$701,$A197,counts!$D$2:$D$701,$B197,counts!$E$2:$E$701,"remaining_day5")=0,"",SUMIFS(counts!$F$2:$F$701,counts!$C$2:$C$701,$A197,counts!$D$2:$D$701,$B197,counts!$E$2:$E$701,"remaining_day5")))</f>
        <v/>
      </c>
      <c r="AG197" s="25">
        <f>IF(OR($A197="",$AF197=""),"",MAX(0,$AA197+$AD197-$AF197))</f>
        <v/>
      </c>
      <c r="AH197" s="25">
        <f>IF(OR($A197="",$AI197=""),"",IFERROR(IF(INDEX(photos!$H$2:$H$701,MATCH($A197&amp;"|"&amp;$B197&amp;"|later|Y|"&amp;$AI197,photos!$S$2:$S$701,0))="","",INDEX(photos!$H$2:$H$701,MATCH($A197&amp;"|"&amp;$B197&amp;"|later|Y|"&amp;$AI197,photos!$S$2:$S$701,0))),""))</f>
        <v/>
      </c>
      <c r="AI197" s="26">
        <f>IF($A197="","",IFERROR(1/(1/SUMPRODUCT(MAX((photos!$B$2:$B$701=$A197)*(photos!$C$2:$C$701=$B197)*(photos!$D$2:$D$701="later")*(photos!$O$2:$O$701="Y")*photos!$E$2:$E$701))),""))</f>
        <v/>
      </c>
      <c r="AJ197" s="25">
        <f>IF(OR($A197="",$AI197="",$I197=""),"",NETWORKDAYS($I197,$AI197,calendar!$A$2:$A$80))</f>
        <v/>
      </c>
      <c r="AK197" s="25">
        <f>IF($A197="","",IF(AND($X197&lt;&gt;"",$AH197&lt;&gt;""),"Y","N"))</f>
        <v/>
      </c>
      <c r="AL197" s="25">
        <f>IF(OR($A197="",$I197=""),"",IF($BC197="Y",SUMIFS(survey_frozen!$C$2:$C$251,survey_frozen!$P$2:$P$251,$A197&amp;"|"&amp;$B197),IFERROR(COUNTIFS(INDIRECT("'"&amp;$A197&amp;"'!$B$2:$B$501"),$T197,INDIRECT("'"&amp;$A197&amp;"'!$A$2:$A$501"),"&gt;="&amp;$I197,INDIRECT("'"&amp;$A197&amp;"'!$A$2:$A$501"),"&lt;"&amp;($BA197+1)),0)))</f>
        <v/>
      </c>
      <c r="AM197" s="25">
        <f>IF(OR($A197="",$I197=""),"",IF($BC197="Y",SUMIFS(survey_frozen!$D$2:$D$251,survey_frozen!$P$2:$P$251,$A197&amp;"|"&amp;$B197),IFERROR(COUNTIFS(INDIRECT("'"&amp;$A197&amp;"'!$B$2:$B$501"),$T197,INDIRECT("'"&amp;$A197&amp;"'!$A$2:$A$501"),"&gt;="&amp;$I197,INDIRECT("'"&amp;$A197&amp;"'!$A$2:$A$501"),"&lt;"&amp;($BA197+1),INDIRECT("'"&amp;$A197&amp;"'!$C$2:$C$501"),"Yes"),0)))</f>
        <v/>
      </c>
      <c r="AN197" s="25">
        <f>IF($A197="","",IF(COUNTIFS(scans!$C$2:$C$1601,(IF(LEFT($A197,7)="SAMPLE-","SAMPLE-","")&amp;LOWER(SUBSTITUTE(SUBSTITUTE($A197,"SAMPLE-",""),"CMP-","c"))&amp;"-"&amp;LOWER(SUBSTITUTE(SUBSTITUTE($B197,"SAMPLE-",""),"O-","o"))&amp;"-q"),scans!$D$2:$D$1601,"close")=0,"",SUMPRODUCT(MAX((scans!$C$2:$C$1601=(IF(LEFT($A197,7)="SAMPLE-","SAMPLE-","")&amp;LOWER(SUBSTITUTE(SUBSTITUTE($A197,"SAMPLE-",""),"CMP-","c"))&amp;"-"&amp;LOWER(SUBSTITUTE(SUBSTITUTE($B197,"SAMPLE-",""),"O-","o"))&amp;"-q"))*(scans!$D$2:$D$1601="close")*scans!$E$2:$E$1601))-SUMPRODUCT(MAX((scans!$C$2:$C$1601=(IF(LEFT($A197,7)="SAMPLE-","SAMPLE-","")&amp;LOWER(SUBSTITUTE(SUBSTITUTE($A197,"SAMPLE-",""),"CMP-","c"))&amp;"-"&amp;LOWER(SUBSTITUTE(SUBSTITUTE($B197,"SAMPLE-",""),"O-","o"))&amp;"-q"))*(scans!$D$2:$D$1601="baseline")*scans!$E$2:$E$1601))))</f>
        <v/>
      </c>
      <c r="AO197" s="25">
        <f>IF($A197="","",IF(COUNTIFS(scans!$C$2:$C$1601,(IF(LEFT($A197,7)="SAMPLE-","SAMPLE-","")&amp;LOWER(SUBSTITUTE(SUBSTITUTE($A197,"SAMPLE-",""),"CMP-","c"))&amp;"-"&amp;LOWER(SUBSTITUTE(SUBSTITUTE($B197,"SAMPLE-",""),"O-","o"))&amp;"-p"),scans!$D$2:$D$1601,"close")=0,"",SUMPRODUCT(MAX((scans!$C$2:$C$1601=(IF(LEFT($A197,7)="SAMPLE-","SAMPLE-","")&amp;LOWER(SUBSTITUTE(SUBSTITUTE($A197,"SAMPLE-",""),"CMP-","c"))&amp;"-"&amp;LOWER(SUBSTITUTE(SUBSTITUTE($B197,"SAMPLE-",""),"O-","o"))&amp;"-p"))*(scans!$D$2:$D$1601="close")*scans!$E$2:$E$1601))-SUMPRODUCT(MAX((scans!$C$2:$C$1601=(IF(LEFT($A197,7)="SAMPLE-","SAMPLE-","")&amp;LOWER(SUBSTITUTE(SUBSTITUTE($A197,"SAMPLE-",""),"CMP-","c"))&amp;"-"&amp;LOWER(SUBSTITUTE(SUBSTITUTE($B197,"SAMPLE-",""),"O-","o"))&amp;"-p"))*(scans!$D$2:$D$1601="baseline")*scans!$E$2:$E$1601))))</f>
        <v/>
      </c>
      <c r="AP197" s="25">
        <f>IF($A197="","",IF(COUNTIF(offices!$A$2:$A$61,$B197)=0,"office_id not on offices; ","")&amp;IF(COUNTIF(campaigns!$A$2:$A$51,$A197)=0,"campaign_id not on campaigns; ","")&amp;IF($P197="pending","approval pending; ","")&amp;IF(AND($U197&gt;0,$Y197="",OR($I197="",IF(config!$B$37&lt;&gt;"",config!$B$37,TODAY())&lt;=WORKDAY(N($I197),4,calendar!$A$2:$A$80))),"no usable placement photo yet; ","")&amp;IF(AND($Y197&lt;&gt;"",$Z197=""),"log the placed count; ","")&amp;IF(N($AA197)&gt;N($U197),"placed more than delivered; ","")&amp;IF(AND($AF197&lt;&gt;"",N($AF197)&gt;N($AA197)+N($AD197)),"day-5 count above placed plus top-ups; ","")&amp;IF(AND($U197&gt;0,$I197&lt;&gt;"",IF(config!$B$37&lt;&gt;"",config!$B$37,TODAY())&gt;WORKDAY(N($I197),4,calendar!$A$2:$A$80),$AF197=""),"day-5 count missing; ","")&amp;IF(AND($U197&gt;0,$I197&lt;&gt;"",IF(config!$B$37&lt;&gt;"",config!$B$37,TODAY())&gt;WORKDAY(N($I197),4,calendar!$A$2:$A$80),$AN197=""),"no close link reading; ","")&amp;$R197&amp;IF($P197="N","info: office said no; ","")&amp;IF(AND($P197="Y",$Q197="N"),"info: turned away at the door, so not on the drop (no letter, not in the report or Gate 2; the credit check is on campaigns); ","")&amp;IF(AND($U197&gt;0,$Y197="",$I197&lt;&gt;"",IF(config!$B$37&lt;&gt;"",config!$B$37,TODAY())&gt;WORKDAY(N($I197),4,calendar!$A$2:$A$80)),"info: no usable placement photo, so nothing counts as placed; ","")&amp;IF(AND($U197&gt;0,$I197&lt;&gt;"",IF(config!$B$37&lt;&gt;"",config!$B$37,TODAY())&gt;WORKDAY(N($I197),4,calendar!$A$2:$A$80),N($AL197)&lt;config!$B$30),"info: under "&amp;config!$B$30&amp;" responses; ","")&amp;IF($W197="packing_list","info: delivered count not verified; ",""))</f>
        <v/>
      </c>
      <c r="AQ197" s="25">
        <f>IF(OR($A197="",$I197=""),"",IF($BC197="Y",SUMIFS(survey_frozen!$E$2:$E$251,survey_frozen!$P$2:$P$251,$A197&amp;"|"&amp;$B197),IFERROR(COUNTIFS(INDIRECT("'"&amp;$A197&amp;"'!$B$2:$B$501"),$T197,INDIRECT("'"&amp;$A197&amp;"'!$A$2:$A$501"),"&gt;="&amp;$I197,INDIRECT("'"&amp;$A197&amp;"'!$A$2:$A$501"),"&lt;"&amp;($BA197+1),INDIRECT("'"&amp;$A197&amp;"'!$F$2:$F$501"),"Didn't see it"),0)))</f>
        <v/>
      </c>
      <c r="AR197" s="25">
        <f>IF(OR($A197="",$I197=""),"",IF($BC197="Y",SUMIFS(survey_frozen!$F$2:$F$251,survey_frozen!$P$2:$P$251,$A197&amp;"|"&amp;$B197),IFERROR(COUNTIFS(INDIRECT("'"&amp;$A197&amp;"'!$B$2:$B$501"),$T197,INDIRECT("'"&amp;$A197&amp;"'!$A$2:$A$501"),"&gt;="&amp;$I197,INDIRECT("'"&amp;$A197&amp;"'!$A$2:$A$501"),"&lt;"&amp;($BA197+1),INDIRECT("'"&amp;$A197&amp;"'!$F$2:$F$501"),"Not for me"),0)))</f>
        <v/>
      </c>
      <c r="AS197" s="25">
        <f>IF(OR($A197="",$I197=""),"",IF($BC197="Y",SUMIFS(survey_frozen!$G$2:$G$251,survey_frozen!$P$2:$P$251,$A197&amp;"|"&amp;$B197),IFERROR(COUNTIFS(INDIRECT("'"&amp;$A197&amp;"'!$B$2:$B$501"),$T197,INDIRECT("'"&amp;$A197&amp;"'!$A$2:$A$501"),"&gt;="&amp;$I197,INDIRECT("'"&amp;$A197&amp;"'!$A$2:$A$501"),"&lt;"&amp;($BA197+1),INDIRECT("'"&amp;$A197&amp;"'!$F$2:$F$501"),"Gone by the time I looked"),0)))</f>
        <v/>
      </c>
      <c r="AT197" s="25">
        <f>IF(OR($A197="",$I197=""),"",IF($BC197="Y",SUMIFS(survey_frozen!$H$2:$H$251,survey_frozen!$P$2:$P$251,$A197&amp;"|"&amp;$B197),IFERROR(COUNTIFS(INDIRECT("'"&amp;$A197&amp;"'!$B$2:$B$501"),$T197,INDIRECT("'"&amp;$A197&amp;"'!$A$2:$A$501"),"&gt;="&amp;$I197,INDIRECT("'"&amp;$A197&amp;"'!$A$2:$A$501"),"&lt;"&amp;($BA197+1),INDIRECT("'"&amp;$A197&amp;"'!$D$2:$D$501"),"&gt;=1"),0)))</f>
        <v/>
      </c>
      <c r="AU197" s="25">
        <f>IF(OR($A197="",$I197=""),"",IF($BC197="Y",SUMIFS(survey_frozen!$I$2:$I$251,survey_frozen!$P$2:$P$251,$A197&amp;"|"&amp;$B197),IFERROR(SUMIFS(INDIRECT("'"&amp;$A197&amp;"'!$D$2:$D$501"),INDIRECT("'"&amp;$A197&amp;"'!$B$2:$B$501"),$T197,INDIRECT("'"&amp;$A197&amp;"'!$A$2:$A$501"),"&gt;="&amp;$I197,INDIRECT("'"&amp;$A197&amp;"'!$A$2:$A$501"),"&lt;"&amp;($BA197+1)),0)))</f>
        <v/>
      </c>
      <c r="AV197" s="25">
        <f>IF(OR($A197="",$I197=""),"",IF($BC197="Y",SUMIFS(survey_frozen!$J$2:$J$251,survey_frozen!$P$2:$P$251,$A197&amp;"|"&amp;$B197),IFERROR(COUNTIFS(INDIRECT("'"&amp;$A197&amp;"'!$B$2:$B$501"),$T197,INDIRECT("'"&amp;$A197&amp;"'!$A$2:$A$501"),"&gt;="&amp;$I197,INDIRECT("'"&amp;$A197&amp;"'!$A$2:$A$501"),"&lt;"&amp;($BA197+1),INDIRECT("'"&amp;$A197&amp;"'!$E$2:$E$501"),"Yes"),0)))</f>
        <v/>
      </c>
      <c r="AW197" s="25">
        <f>IF(OR($A197="",$I197=""),"",IF($BC197="Y",SUMIFS(survey_frozen!$K$2:$K$251,survey_frozen!$P$2:$P$251,$A197&amp;"|"&amp;$B197),IFERROR(COUNTIFS(INDIRECT("'"&amp;$A197&amp;"'!$B$2:$B$501"),$T197,INDIRECT("'"&amp;$A197&amp;"'!$A$2:$A$501"),"&gt;="&amp;$I197,INDIRECT("'"&amp;$A197&amp;"'!$A$2:$A$501"),"&lt;"&amp;($BA197+1),INDIRECT("'"&amp;$A197&amp;"'!$E$2:$E$501"),"Maybe"),0)))</f>
        <v/>
      </c>
      <c r="AX197" s="25">
        <f>IF(OR($A197="",$I197=""),"",IF($BC197="Y",SUMIFS(survey_frozen!$L$2:$L$251,survey_frozen!$P$2:$P$251,$A197&amp;"|"&amp;$B197),IFERROR(COUNTIFS(INDIRECT("'"&amp;$A197&amp;"'!$B$2:$B$501"),$T197,INDIRECT("'"&amp;$A197&amp;"'!$A$2:$A$501"),"&gt;="&amp;$I197,INDIRECT("'"&amp;$A197&amp;"'!$A$2:$A$501"),"&lt;"&amp;($BA197+1),INDIRECT("'"&amp;$A197&amp;"'!$E$2:$E$501"),"No"),0)))</f>
        <v/>
      </c>
      <c r="AY197" s="25">
        <f>IF(OR($A197="",$I197=""),"",IF($BC197="Y",SUMIFS(survey_frozen!$M$2:$M$251,survey_frozen!$P$2:$P$251,$A197&amp;"|"&amp;$B197),IFERROR(COUNTIFS(INDIRECT("'"&amp;$A197&amp;"'!$B$2:$B$501"),$T197,INDIRECT("'"&amp;$A197&amp;"'!$A$2:$A$501"),"&gt;="&amp;$I197,INDIRECT("'"&amp;$A197&amp;"'!$A$2:$A$501"),"&lt;"&amp;($BA197+1),INDIRECT("'"&amp;$A197&amp;"'!$G$2:$G$501"),"&lt;&gt;"),0)))</f>
        <v/>
      </c>
      <c r="AZ197" s="25">
        <f>IF($A197="","",$A197&amp;"|"&amp;$L197)</f>
        <v/>
      </c>
      <c r="BA197" s="26">
        <f>IF($A197="","",IFERROR(IF(INDEX(drops!$R$2:$R$21,MATCH($H197,drops!$A$2:$A$21,0))="","",INDEX(drops!$R$2:$R$21,MATCH($H197,drops!$A$2:$A$21,0))),""))</f>
        <v/>
      </c>
      <c r="BB197" s="25">
        <f>IF(OR($A197="",$Q197&lt;&gt;"Y"),1000000,N($AL197))</f>
        <v/>
      </c>
      <c r="BC197" s="25">
        <f>IF($A197="","",IF(COUNTIF(survey_frozen!$P$2:$P$251,$A197&amp;"|"&amp;$B197)&gt;0,"Y",""))</f>
        <v/>
      </c>
    </row>
    <row r="198">
      <c r="C198" s="9" t="n"/>
      <c r="E198" s="9" t="n"/>
      <c r="H198" s="25">
        <f>IF($A198="","",IFERROR(IF(INDEX(campaigns!$B$2:$B$51,MATCH($A198,campaigns!$A$2:$A$51,0))="","",INDEX(campaigns!$B$2:$B$51,MATCH($A198,campaigns!$A$2:$A$51,0))),""))</f>
        <v/>
      </c>
      <c r="I198" s="26">
        <f>IF($A198="","",IFERROR(IF(INDEX(campaigns!$BG$2:$BG$51,MATCH($A198,campaigns!$A$2:$A$51,0))="","",INDEX(campaigns!$BG$2:$BG$51,MATCH($A198,campaigns!$A$2:$A$51,0))),""))</f>
        <v/>
      </c>
      <c r="J198" s="25">
        <f>IF($A198="","",IFERROR(IF(INDEX(campaigns!$BE$2:$BE$51,MATCH($A198,campaigns!$A$2:$A$51,0))="","",INDEX(campaigns!$BE$2:$BE$51,MATCH($A198,campaigns!$A$2:$A$51,0))),""))</f>
        <v/>
      </c>
      <c r="K198" s="25">
        <f>IF($B198="","",IFERROR(IF(INDEX(offices!$N$2:$N$61,MATCH($B198,offices!$A$2:$A$61,0))="","",INDEX(offices!$N$2:$N$61,MATCH($B198,offices!$A$2:$A$61,0))),""))</f>
        <v/>
      </c>
      <c r="L198" s="25">
        <f>IF($A198="","",IF($Q198="N","",COUNTIFS($A$2:$A198,$A198,$Q$2:$Q198,"&lt;&gt;N")))</f>
        <v/>
      </c>
      <c r="M198" s="25">
        <f>IF(OR($A198="",$L198=""),"",IF(AND(config!$B$34="names_if_public",IFERROR(IF(INDEX(offices!$AF$2:$AF$61,MATCH($B198,offices!$A$2:$A$61,0))="","",INDEX(offices!$AF$2:$AF$61,MATCH($B198,offices!$A$2:$A$61,0))),"")="Y"),$K198,CHAR(64+$L198)))</f>
        <v/>
      </c>
      <c r="N198" s="25">
        <f>IF(OR($A198="",$I198=""),"",COUNTIFS(stops!$B$2:$B$151,$B198,stops!$P$2:$P$151,"&lt;"&amp;$I198,stops!$L$2:$L$151,"&lt;&gt;not_delivered")+1)</f>
        <v/>
      </c>
      <c r="O198" s="25">
        <f>IF($A198="","",IF(N($N198)&lt;=config!$B$29,"explicit","opt-out"))</f>
        <v/>
      </c>
      <c r="P198" s="25">
        <f>IF($A198="","",IF($O198="explicit",IF($D198="yes","Y",IF($D198="no","N","pending")),IF($D198="no","N",IF(AND($C198&lt;&gt;"",$I198&lt;&gt;"",$C198&lt;=WORKDAY(N($I198),-5,calendar!$A$2:$A$80)),"Y","pending"))))</f>
        <v/>
      </c>
      <c r="Q198" s="25">
        <f>IF($A198="","",IF($P198="N","N",IF($P198&lt;&gt;"Y","pending",IF(AND((COUNTIFS(stops!$A$2:$A$151,$H198,stops!$B$2:$B$151,$B198,stops!$L$2:$L$151,"declined")+COUNTIFS(stops!$A$2:$A$151,$H198,stops!$B$2:$B$151,$B198,stops!$L$2:$L$151,"building_refused")+COUNTIFS(stops!$A$2:$A$151,$H198,stops!$B$2:$B$151,$B198,stops!$L$2:$L$151,"not_delivered"))&gt;0,N($U198)=0),"N","Y"))))</f>
        <v/>
      </c>
      <c r="R198" s="25">
        <f>IF($A198="","",IF(COUNTIFS($A$2:$A$251,$A198,$B$2:$B$251,$B198)&gt;1,"DUPLICATE ROW; ","")&amp;IF(AND(IFERROR(IF(INDEX(offices!$AC$2:$AC$61,MATCH($B198,offices!$A$2:$A$61,0))="","",INDEX(offices!$AC$2:$AC$61,MATCH($B198,offices!$A$2:$A$61,0))),"")&lt;&gt;"",ISNUMBER(SEARCH($J198,IFERROR(IF(INDEX(offices!$AC$2:$AC$61,MATCH($B198,offices!$A$2:$A$61,0))="","",INDEX(offices!$AC$2:$AC$61,MATCH($B198,offices!$A$2:$A$61,0))),"")))),"BRAND VETOED; ","")&amp;IF(ISNUMBER(SEARCH(IFERROR(IF(INDEX(campaigns!$BF$2:$BF$51,MATCH($A198,campaigns!$A$2:$A$51,0))="","",INDEX(campaigns!$BF$2:$BF$51,MATCH($A198,campaigns!$A$2:$A$51,0))),""),IFERROR(IF(INDEX(offices!$AB$2:$AB$61,MATCH($B198,offices!$A$2:$A$61,0))="","",INDEX(offices!$AB$2:$AB$61,MATCH($B198,offices!$A$2:$A$61,0))),""))),"","info: category not on the office's list; ")&amp;IF(IFERROR(IF(INDEX(offices!$AC$2:$AC$61,MATCH($B198,offices!$A$2:$A$61,0))="","",INDEX(offices!$AC$2:$AC$61,MATCH($B198,offices!$A$2:$A$61,0))),"")&lt;&gt;"","info: read the vetoes against the label; ",""))</f>
        <v/>
      </c>
      <c r="S198" s="25">
        <f>IF($A198="","",IF($G198&lt;&gt;"",$G198,IFERROR(IF(INDEX(offices!$AL$2:$AL$61,MATCH($B198,offices!$A$2:$A$61,0))="","",INDEX(offices!$AL$2:$AL$61,MATCH($B198,offices!$A$2:$A$61,0))),"")))</f>
        <v/>
      </c>
      <c r="T198" s="25">
        <f>IF($A198="","",$A198&amp;"."&amp;$B198)</f>
        <v/>
      </c>
      <c r="U198" s="25">
        <f>IF($A198="","",SUMIFS(inventory!$G$2:$G$801,inventory!$C$2:$C$801,$A198,inventory!$D$2:$D$801,$B198,inventory!$E$2:$E$801,"delivered"))</f>
        <v/>
      </c>
      <c r="V198" s="32">
        <f>IF($A198="","",IFERROR(1/(1/SUMPRODUCT(MAX((inventory!$C$2:$C$801=$A198)*(inventory!$D$2:$D$801=$B198)*(inventory!$E$2:$E$801="delivered")*(inventory!$A$2:$A$801+inventory!$B$2:$B$801)))),""))</f>
        <v/>
      </c>
      <c r="W198" s="25">
        <f>IF($A198="","",IFERROR(IF(INDEX(inventory!$J$2:$J$801,MATCH($A198&amp;"|"&amp;$B198&amp;"|delivered",inventory!$R$2:$R$801,0))="","",INDEX(inventory!$J$2:$J$801,MATCH($A198&amp;"|"&amp;$B198&amp;"|delivered",inventory!$R$2:$R$801,0))),""))</f>
        <v/>
      </c>
      <c r="X198" s="25">
        <f>IF($A198="","",IFERROR(IF(INDEX(photos!$H$2:$H$701,MATCH($A198&amp;"|"&amp;$B198&amp;"|placement|Y",photos!$R$2:$R$701,0))="","",INDEX(photos!$H$2:$H$701,MATCH($A198&amp;"|"&amp;$B198&amp;"|placement|Y",photos!$R$2:$R$701,0))),""))</f>
        <v/>
      </c>
      <c r="Y198" s="26">
        <f>IF($A198="","",IFERROR(IF(INDEX(photos!$E$2:$E$701,MATCH($A198&amp;"|"&amp;$B198&amp;"|placement|Y",photos!$R$2:$R$701,0))="","",INDEX(photos!$E$2:$E$701,MATCH($A198&amp;"|"&amp;$B198&amp;"|placement|Y",photos!$R$2:$R$701,0))),""))</f>
        <v/>
      </c>
      <c r="Z198" s="25">
        <f>IF($A198="","",IF(COUNTIFS(counts!$C$2:$C$701,$A198,counts!$D$2:$D$701,$B198,counts!$E$2:$E$701,"placed")=0,"",SUMIFS(counts!$F$2:$F$701,counts!$C$2:$C$701,$A198,counts!$D$2:$D$701,$B198,counts!$E$2:$E$701,"placed")))</f>
        <v/>
      </c>
      <c r="AA198" s="25">
        <f>IF($A198="","",IF($Y198="",0,N($Z198)))</f>
        <v/>
      </c>
      <c r="AB198" s="25">
        <f>IF($A198="","",IF(OR($Y198="",$I198=""),"N",IF($Y198&lt;=WORKDAY(N($I198),1,calendar!$A$2:$A$80),"Y","N")))</f>
        <v/>
      </c>
      <c r="AC198" s="28">
        <f>IF(OR($A198="",$V198="",$Y198=""),"",ROUND(($Y198+N(IFERROR(IF(INDEX(photos!$F$2:$F$701,MATCH($A198&amp;"|"&amp;$B198&amp;"|placement|Y",photos!$R$2:$R$701,0))="","",INDEX(photos!$F$2:$F$701,MATCH($A198&amp;"|"&amp;$B198&amp;"|placement|Y",photos!$R$2:$R$701,0))),""))-$V198)*24,1))</f>
        <v/>
      </c>
      <c r="AD198" s="25">
        <f>IF($A198="","",SUMIFS(inventory!$G$2:$G$801,inventory!$C$2:$C$801,$A198,inventory!$D$2:$D$801,$B198,inventory!$E$2:$E$801,"topped_up"))</f>
        <v/>
      </c>
      <c r="AE198" s="25">
        <f>IF($A198="","",IF(COUNTIFS(counts!$C$2:$C$701,$A198,counts!$D$2:$D$701,$B198,counts!$E$2:$E$701,"remaining_day3")=0,"",SUMIFS(counts!$F$2:$F$701,counts!$C$2:$C$701,$A198,counts!$D$2:$D$701,$B198,counts!$E$2:$E$701,"remaining_day3")))</f>
        <v/>
      </c>
      <c r="AF198" s="25">
        <f>IF($A198="","",IF(COUNTIFS(counts!$C$2:$C$701,$A198,counts!$D$2:$D$701,$B198,counts!$E$2:$E$701,"remaining_day5")=0,"",SUMIFS(counts!$F$2:$F$701,counts!$C$2:$C$701,$A198,counts!$D$2:$D$701,$B198,counts!$E$2:$E$701,"remaining_day5")))</f>
        <v/>
      </c>
      <c r="AG198" s="25">
        <f>IF(OR($A198="",$AF198=""),"",MAX(0,$AA198+$AD198-$AF198))</f>
        <v/>
      </c>
      <c r="AH198" s="25">
        <f>IF(OR($A198="",$AI198=""),"",IFERROR(IF(INDEX(photos!$H$2:$H$701,MATCH($A198&amp;"|"&amp;$B198&amp;"|later|Y|"&amp;$AI198,photos!$S$2:$S$701,0))="","",INDEX(photos!$H$2:$H$701,MATCH($A198&amp;"|"&amp;$B198&amp;"|later|Y|"&amp;$AI198,photos!$S$2:$S$701,0))),""))</f>
        <v/>
      </c>
      <c r="AI198" s="26">
        <f>IF($A198="","",IFERROR(1/(1/SUMPRODUCT(MAX((photos!$B$2:$B$701=$A198)*(photos!$C$2:$C$701=$B198)*(photos!$D$2:$D$701="later")*(photos!$O$2:$O$701="Y")*photos!$E$2:$E$701))),""))</f>
        <v/>
      </c>
      <c r="AJ198" s="25">
        <f>IF(OR($A198="",$AI198="",$I198=""),"",NETWORKDAYS($I198,$AI198,calendar!$A$2:$A$80))</f>
        <v/>
      </c>
      <c r="AK198" s="25">
        <f>IF($A198="","",IF(AND($X198&lt;&gt;"",$AH198&lt;&gt;""),"Y","N"))</f>
        <v/>
      </c>
      <c r="AL198" s="25">
        <f>IF(OR($A198="",$I198=""),"",IF($BC198="Y",SUMIFS(survey_frozen!$C$2:$C$251,survey_frozen!$P$2:$P$251,$A198&amp;"|"&amp;$B198),IFERROR(COUNTIFS(INDIRECT("'"&amp;$A198&amp;"'!$B$2:$B$501"),$T198,INDIRECT("'"&amp;$A198&amp;"'!$A$2:$A$501"),"&gt;="&amp;$I198,INDIRECT("'"&amp;$A198&amp;"'!$A$2:$A$501"),"&lt;"&amp;($BA198+1)),0)))</f>
        <v/>
      </c>
      <c r="AM198" s="25">
        <f>IF(OR($A198="",$I198=""),"",IF($BC198="Y",SUMIFS(survey_frozen!$D$2:$D$251,survey_frozen!$P$2:$P$251,$A198&amp;"|"&amp;$B198),IFERROR(COUNTIFS(INDIRECT("'"&amp;$A198&amp;"'!$B$2:$B$501"),$T198,INDIRECT("'"&amp;$A198&amp;"'!$A$2:$A$501"),"&gt;="&amp;$I198,INDIRECT("'"&amp;$A198&amp;"'!$A$2:$A$501"),"&lt;"&amp;($BA198+1),INDIRECT("'"&amp;$A198&amp;"'!$C$2:$C$501"),"Yes"),0)))</f>
        <v/>
      </c>
      <c r="AN198" s="25">
        <f>IF($A198="","",IF(COUNTIFS(scans!$C$2:$C$1601,(IF(LEFT($A198,7)="SAMPLE-","SAMPLE-","")&amp;LOWER(SUBSTITUTE(SUBSTITUTE($A198,"SAMPLE-",""),"CMP-","c"))&amp;"-"&amp;LOWER(SUBSTITUTE(SUBSTITUTE($B198,"SAMPLE-",""),"O-","o"))&amp;"-q"),scans!$D$2:$D$1601,"close")=0,"",SUMPRODUCT(MAX((scans!$C$2:$C$1601=(IF(LEFT($A198,7)="SAMPLE-","SAMPLE-","")&amp;LOWER(SUBSTITUTE(SUBSTITUTE($A198,"SAMPLE-",""),"CMP-","c"))&amp;"-"&amp;LOWER(SUBSTITUTE(SUBSTITUTE($B198,"SAMPLE-",""),"O-","o"))&amp;"-q"))*(scans!$D$2:$D$1601="close")*scans!$E$2:$E$1601))-SUMPRODUCT(MAX((scans!$C$2:$C$1601=(IF(LEFT($A198,7)="SAMPLE-","SAMPLE-","")&amp;LOWER(SUBSTITUTE(SUBSTITUTE($A198,"SAMPLE-",""),"CMP-","c"))&amp;"-"&amp;LOWER(SUBSTITUTE(SUBSTITUTE($B198,"SAMPLE-",""),"O-","o"))&amp;"-q"))*(scans!$D$2:$D$1601="baseline")*scans!$E$2:$E$1601))))</f>
        <v/>
      </c>
      <c r="AO198" s="25">
        <f>IF($A198="","",IF(COUNTIFS(scans!$C$2:$C$1601,(IF(LEFT($A198,7)="SAMPLE-","SAMPLE-","")&amp;LOWER(SUBSTITUTE(SUBSTITUTE($A198,"SAMPLE-",""),"CMP-","c"))&amp;"-"&amp;LOWER(SUBSTITUTE(SUBSTITUTE($B198,"SAMPLE-",""),"O-","o"))&amp;"-p"),scans!$D$2:$D$1601,"close")=0,"",SUMPRODUCT(MAX((scans!$C$2:$C$1601=(IF(LEFT($A198,7)="SAMPLE-","SAMPLE-","")&amp;LOWER(SUBSTITUTE(SUBSTITUTE($A198,"SAMPLE-",""),"CMP-","c"))&amp;"-"&amp;LOWER(SUBSTITUTE(SUBSTITUTE($B198,"SAMPLE-",""),"O-","o"))&amp;"-p"))*(scans!$D$2:$D$1601="close")*scans!$E$2:$E$1601))-SUMPRODUCT(MAX((scans!$C$2:$C$1601=(IF(LEFT($A198,7)="SAMPLE-","SAMPLE-","")&amp;LOWER(SUBSTITUTE(SUBSTITUTE($A198,"SAMPLE-",""),"CMP-","c"))&amp;"-"&amp;LOWER(SUBSTITUTE(SUBSTITUTE($B198,"SAMPLE-",""),"O-","o"))&amp;"-p"))*(scans!$D$2:$D$1601="baseline")*scans!$E$2:$E$1601))))</f>
        <v/>
      </c>
      <c r="AP198" s="25">
        <f>IF($A198="","",IF(COUNTIF(offices!$A$2:$A$61,$B198)=0,"office_id not on offices; ","")&amp;IF(COUNTIF(campaigns!$A$2:$A$51,$A198)=0,"campaign_id not on campaigns; ","")&amp;IF($P198="pending","approval pending; ","")&amp;IF(AND($U198&gt;0,$Y198="",OR($I198="",IF(config!$B$37&lt;&gt;"",config!$B$37,TODAY())&lt;=WORKDAY(N($I198),4,calendar!$A$2:$A$80))),"no usable placement photo yet; ","")&amp;IF(AND($Y198&lt;&gt;"",$Z198=""),"log the placed count; ","")&amp;IF(N($AA198)&gt;N($U198),"placed more than delivered; ","")&amp;IF(AND($AF198&lt;&gt;"",N($AF198)&gt;N($AA198)+N($AD198)),"day-5 count above placed plus top-ups; ","")&amp;IF(AND($U198&gt;0,$I198&lt;&gt;"",IF(config!$B$37&lt;&gt;"",config!$B$37,TODAY())&gt;WORKDAY(N($I198),4,calendar!$A$2:$A$80),$AF198=""),"day-5 count missing; ","")&amp;IF(AND($U198&gt;0,$I198&lt;&gt;"",IF(config!$B$37&lt;&gt;"",config!$B$37,TODAY())&gt;WORKDAY(N($I198),4,calendar!$A$2:$A$80),$AN198=""),"no close link reading; ","")&amp;$R198&amp;IF($P198="N","info: office said no; ","")&amp;IF(AND($P198="Y",$Q198="N"),"info: turned away at the door, so not on the drop (no letter, not in the report or Gate 2; the credit check is on campaigns); ","")&amp;IF(AND($U198&gt;0,$Y198="",$I198&lt;&gt;"",IF(config!$B$37&lt;&gt;"",config!$B$37,TODAY())&gt;WORKDAY(N($I198),4,calendar!$A$2:$A$80)),"info: no usable placement photo, so nothing counts as placed; ","")&amp;IF(AND($U198&gt;0,$I198&lt;&gt;"",IF(config!$B$37&lt;&gt;"",config!$B$37,TODAY())&gt;WORKDAY(N($I198),4,calendar!$A$2:$A$80),N($AL198)&lt;config!$B$30),"info: under "&amp;config!$B$30&amp;" responses; ","")&amp;IF($W198="packing_list","info: delivered count not verified; ",""))</f>
        <v/>
      </c>
      <c r="AQ198" s="25">
        <f>IF(OR($A198="",$I198=""),"",IF($BC198="Y",SUMIFS(survey_frozen!$E$2:$E$251,survey_frozen!$P$2:$P$251,$A198&amp;"|"&amp;$B198),IFERROR(COUNTIFS(INDIRECT("'"&amp;$A198&amp;"'!$B$2:$B$501"),$T198,INDIRECT("'"&amp;$A198&amp;"'!$A$2:$A$501"),"&gt;="&amp;$I198,INDIRECT("'"&amp;$A198&amp;"'!$A$2:$A$501"),"&lt;"&amp;($BA198+1),INDIRECT("'"&amp;$A198&amp;"'!$F$2:$F$501"),"Didn't see it"),0)))</f>
        <v/>
      </c>
      <c r="AR198" s="25">
        <f>IF(OR($A198="",$I198=""),"",IF($BC198="Y",SUMIFS(survey_frozen!$F$2:$F$251,survey_frozen!$P$2:$P$251,$A198&amp;"|"&amp;$B198),IFERROR(COUNTIFS(INDIRECT("'"&amp;$A198&amp;"'!$B$2:$B$501"),$T198,INDIRECT("'"&amp;$A198&amp;"'!$A$2:$A$501"),"&gt;="&amp;$I198,INDIRECT("'"&amp;$A198&amp;"'!$A$2:$A$501"),"&lt;"&amp;($BA198+1),INDIRECT("'"&amp;$A198&amp;"'!$F$2:$F$501"),"Not for me"),0)))</f>
        <v/>
      </c>
      <c r="AS198" s="25">
        <f>IF(OR($A198="",$I198=""),"",IF($BC198="Y",SUMIFS(survey_frozen!$G$2:$G$251,survey_frozen!$P$2:$P$251,$A198&amp;"|"&amp;$B198),IFERROR(COUNTIFS(INDIRECT("'"&amp;$A198&amp;"'!$B$2:$B$501"),$T198,INDIRECT("'"&amp;$A198&amp;"'!$A$2:$A$501"),"&gt;="&amp;$I198,INDIRECT("'"&amp;$A198&amp;"'!$A$2:$A$501"),"&lt;"&amp;($BA198+1),INDIRECT("'"&amp;$A198&amp;"'!$F$2:$F$501"),"Gone by the time I looked"),0)))</f>
        <v/>
      </c>
      <c r="AT198" s="25">
        <f>IF(OR($A198="",$I198=""),"",IF($BC198="Y",SUMIFS(survey_frozen!$H$2:$H$251,survey_frozen!$P$2:$P$251,$A198&amp;"|"&amp;$B198),IFERROR(COUNTIFS(INDIRECT("'"&amp;$A198&amp;"'!$B$2:$B$501"),$T198,INDIRECT("'"&amp;$A198&amp;"'!$A$2:$A$501"),"&gt;="&amp;$I198,INDIRECT("'"&amp;$A198&amp;"'!$A$2:$A$501"),"&lt;"&amp;($BA198+1),INDIRECT("'"&amp;$A198&amp;"'!$D$2:$D$501"),"&gt;=1"),0)))</f>
        <v/>
      </c>
      <c r="AU198" s="25">
        <f>IF(OR($A198="",$I198=""),"",IF($BC198="Y",SUMIFS(survey_frozen!$I$2:$I$251,survey_frozen!$P$2:$P$251,$A198&amp;"|"&amp;$B198),IFERROR(SUMIFS(INDIRECT("'"&amp;$A198&amp;"'!$D$2:$D$501"),INDIRECT("'"&amp;$A198&amp;"'!$B$2:$B$501"),$T198,INDIRECT("'"&amp;$A198&amp;"'!$A$2:$A$501"),"&gt;="&amp;$I198,INDIRECT("'"&amp;$A198&amp;"'!$A$2:$A$501"),"&lt;"&amp;($BA198+1)),0)))</f>
        <v/>
      </c>
      <c r="AV198" s="25">
        <f>IF(OR($A198="",$I198=""),"",IF($BC198="Y",SUMIFS(survey_frozen!$J$2:$J$251,survey_frozen!$P$2:$P$251,$A198&amp;"|"&amp;$B198),IFERROR(COUNTIFS(INDIRECT("'"&amp;$A198&amp;"'!$B$2:$B$501"),$T198,INDIRECT("'"&amp;$A198&amp;"'!$A$2:$A$501"),"&gt;="&amp;$I198,INDIRECT("'"&amp;$A198&amp;"'!$A$2:$A$501"),"&lt;"&amp;($BA198+1),INDIRECT("'"&amp;$A198&amp;"'!$E$2:$E$501"),"Yes"),0)))</f>
        <v/>
      </c>
      <c r="AW198" s="25">
        <f>IF(OR($A198="",$I198=""),"",IF($BC198="Y",SUMIFS(survey_frozen!$K$2:$K$251,survey_frozen!$P$2:$P$251,$A198&amp;"|"&amp;$B198),IFERROR(COUNTIFS(INDIRECT("'"&amp;$A198&amp;"'!$B$2:$B$501"),$T198,INDIRECT("'"&amp;$A198&amp;"'!$A$2:$A$501"),"&gt;="&amp;$I198,INDIRECT("'"&amp;$A198&amp;"'!$A$2:$A$501"),"&lt;"&amp;($BA198+1),INDIRECT("'"&amp;$A198&amp;"'!$E$2:$E$501"),"Maybe"),0)))</f>
        <v/>
      </c>
      <c r="AX198" s="25">
        <f>IF(OR($A198="",$I198=""),"",IF($BC198="Y",SUMIFS(survey_frozen!$L$2:$L$251,survey_frozen!$P$2:$P$251,$A198&amp;"|"&amp;$B198),IFERROR(COUNTIFS(INDIRECT("'"&amp;$A198&amp;"'!$B$2:$B$501"),$T198,INDIRECT("'"&amp;$A198&amp;"'!$A$2:$A$501"),"&gt;="&amp;$I198,INDIRECT("'"&amp;$A198&amp;"'!$A$2:$A$501"),"&lt;"&amp;($BA198+1),INDIRECT("'"&amp;$A198&amp;"'!$E$2:$E$501"),"No"),0)))</f>
        <v/>
      </c>
      <c r="AY198" s="25">
        <f>IF(OR($A198="",$I198=""),"",IF($BC198="Y",SUMIFS(survey_frozen!$M$2:$M$251,survey_frozen!$P$2:$P$251,$A198&amp;"|"&amp;$B198),IFERROR(COUNTIFS(INDIRECT("'"&amp;$A198&amp;"'!$B$2:$B$501"),$T198,INDIRECT("'"&amp;$A198&amp;"'!$A$2:$A$501"),"&gt;="&amp;$I198,INDIRECT("'"&amp;$A198&amp;"'!$A$2:$A$501"),"&lt;"&amp;($BA198+1),INDIRECT("'"&amp;$A198&amp;"'!$G$2:$G$501"),"&lt;&gt;"),0)))</f>
        <v/>
      </c>
      <c r="AZ198" s="25">
        <f>IF($A198="","",$A198&amp;"|"&amp;$L198)</f>
        <v/>
      </c>
      <c r="BA198" s="26">
        <f>IF($A198="","",IFERROR(IF(INDEX(drops!$R$2:$R$21,MATCH($H198,drops!$A$2:$A$21,0))="","",INDEX(drops!$R$2:$R$21,MATCH($H198,drops!$A$2:$A$21,0))),""))</f>
        <v/>
      </c>
      <c r="BB198" s="25">
        <f>IF(OR($A198="",$Q198&lt;&gt;"Y"),1000000,N($AL198))</f>
        <v/>
      </c>
      <c r="BC198" s="25">
        <f>IF($A198="","",IF(COUNTIF(survey_frozen!$P$2:$P$251,$A198&amp;"|"&amp;$B198)&gt;0,"Y",""))</f>
        <v/>
      </c>
    </row>
    <row r="199">
      <c r="C199" s="9" t="n"/>
      <c r="E199" s="9" t="n"/>
      <c r="H199" s="25">
        <f>IF($A199="","",IFERROR(IF(INDEX(campaigns!$B$2:$B$51,MATCH($A199,campaigns!$A$2:$A$51,0))="","",INDEX(campaigns!$B$2:$B$51,MATCH($A199,campaigns!$A$2:$A$51,0))),""))</f>
        <v/>
      </c>
      <c r="I199" s="26">
        <f>IF($A199="","",IFERROR(IF(INDEX(campaigns!$BG$2:$BG$51,MATCH($A199,campaigns!$A$2:$A$51,0))="","",INDEX(campaigns!$BG$2:$BG$51,MATCH($A199,campaigns!$A$2:$A$51,0))),""))</f>
        <v/>
      </c>
      <c r="J199" s="25">
        <f>IF($A199="","",IFERROR(IF(INDEX(campaigns!$BE$2:$BE$51,MATCH($A199,campaigns!$A$2:$A$51,0))="","",INDEX(campaigns!$BE$2:$BE$51,MATCH($A199,campaigns!$A$2:$A$51,0))),""))</f>
        <v/>
      </c>
      <c r="K199" s="25">
        <f>IF($B199="","",IFERROR(IF(INDEX(offices!$N$2:$N$61,MATCH($B199,offices!$A$2:$A$61,0))="","",INDEX(offices!$N$2:$N$61,MATCH($B199,offices!$A$2:$A$61,0))),""))</f>
        <v/>
      </c>
      <c r="L199" s="25">
        <f>IF($A199="","",IF($Q199="N","",COUNTIFS($A$2:$A199,$A199,$Q$2:$Q199,"&lt;&gt;N")))</f>
        <v/>
      </c>
      <c r="M199" s="25">
        <f>IF(OR($A199="",$L199=""),"",IF(AND(config!$B$34="names_if_public",IFERROR(IF(INDEX(offices!$AF$2:$AF$61,MATCH($B199,offices!$A$2:$A$61,0))="","",INDEX(offices!$AF$2:$AF$61,MATCH($B199,offices!$A$2:$A$61,0))),"")="Y"),$K199,CHAR(64+$L199)))</f>
        <v/>
      </c>
      <c r="N199" s="25">
        <f>IF(OR($A199="",$I199=""),"",COUNTIFS(stops!$B$2:$B$151,$B199,stops!$P$2:$P$151,"&lt;"&amp;$I199,stops!$L$2:$L$151,"&lt;&gt;not_delivered")+1)</f>
        <v/>
      </c>
      <c r="O199" s="25">
        <f>IF($A199="","",IF(N($N199)&lt;=config!$B$29,"explicit","opt-out"))</f>
        <v/>
      </c>
      <c r="P199" s="25">
        <f>IF($A199="","",IF($O199="explicit",IF($D199="yes","Y",IF($D199="no","N","pending")),IF($D199="no","N",IF(AND($C199&lt;&gt;"",$I199&lt;&gt;"",$C199&lt;=WORKDAY(N($I199),-5,calendar!$A$2:$A$80)),"Y","pending"))))</f>
        <v/>
      </c>
      <c r="Q199" s="25">
        <f>IF($A199="","",IF($P199="N","N",IF($P199&lt;&gt;"Y","pending",IF(AND((COUNTIFS(stops!$A$2:$A$151,$H199,stops!$B$2:$B$151,$B199,stops!$L$2:$L$151,"declined")+COUNTIFS(stops!$A$2:$A$151,$H199,stops!$B$2:$B$151,$B199,stops!$L$2:$L$151,"building_refused")+COUNTIFS(stops!$A$2:$A$151,$H199,stops!$B$2:$B$151,$B199,stops!$L$2:$L$151,"not_delivered"))&gt;0,N($U199)=0),"N","Y"))))</f>
        <v/>
      </c>
      <c r="R199" s="25">
        <f>IF($A199="","",IF(COUNTIFS($A$2:$A$251,$A199,$B$2:$B$251,$B199)&gt;1,"DUPLICATE ROW; ","")&amp;IF(AND(IFERROR(IF(INDEX(offices!$AC$2:$AC$61,MATCH($B199,offices!$A$2:$A$61,0))="","",INDEX(offices!$AC$2:$AC$61,MATCH($B199,offices!$A$2:$A$61,0))),"")&lt;&gt;"",ISNUMBER(SEARCH($J199,IFERROR(IF(INDEX(offices!$AC$2:$AC$61,MATCH($B199,offices!$A$2:$A$61,0))="","",INDEX(offices!$AC$2:$AC$61,MATCH($B199,offices!$A$2:$A$61,0))),"")))),"BRAND VETOED; ","")&amp;IF(ISNUMBER(SEARCH(IFERROR(IF(INDEX(campaigns!$BF$2:$BF$51,MATCH($A199,campaigns!$A$2:$A$51,0))="","",INDEX(campaigns!$BF$2:$BF$51,MATCH($A199,campaigns!$A$2:$A$51,0))),""),IFERROR(IF(INDEX(offices!$AB$2:$AB$61,MATCH($B199,offices!$A$2:$A$61,0))="","",INDEX(offices!$AB$2:$AB$61,MATCH($B199,offices!$A$2:$A$61,0))),""))),"","info: category not on the office's list; ")&amp;IF(IFERROR(IF(INDEX(offices!$AC$2:$AC$61,MATCH($B199,offices!$A$2:$A$61,0))="","",INDEX(offices!$AC$2:$AC$61,MATCH($B199,offices!$A$2:$A$61,0))),"")&lt;&gt;"","info: read the vetoes against the label; ",""))</f>
        <v/>
      </c>
      <c r="S199" s="25">
        <f>IF($A199="","",IF($G199&lt;&gt;"",$G199,IFERROR(IF(INDEX(offices!$AL$2:$AL$61,MATCH($B199,offices!$A$2:$A$61,0))="","",INDEX(offices!$AL$2:$AL$61,MATCH($B199,offices!$A$2:$A$61,0))),"")))</f>
        <v/>
      </c>
      <c r="T199" s="25">
        <f>IF($A199="","",$A199&amp;"."&amp;$B199)</f>
        <v/>
      </c>
      <c r="U199" s="25">
        <f>IF($A199="","",SUMIFS(inventory!$G$2:$G$801,inventory!$C$2:$C$801,$A199,inventory!$D$2:$D$801,$B199,inventory!$E$2:$E$801,"delivered"))</f>
        <v/>
      </c>
      <c r="V199" s="32">
        <f>IF($A199="","",IFERROR(1/(1/SUMPRODUCT(MAX((inventory!$C$2:$C$801=$A199)*(inventory!$D$2:$D$801=$B199)*(inventory!$E$2:$E$801="delivered")*(inventory!$A$2:$A$801+inventory!$B$2:$B$801)))),""))</f>
        <v/>
      </c>
      <c r="W199" s="25">
        <f>IF($A199="","",IFERROR(IF(INDEX(inventory!$J$2:$J$801,MATCH($A199&amp;"|"&amp;$B199&amp;"|delivered",inventory!$R$2:$R$801,0))="","",INDEX(inventory!$J$2:$J$801,MATCH($A199&amp;"|"&amp;$B199&amp;"|delivered",inventory!$R$2:$R$801,0))),""))</f>
        <v/>
      </c>
      <c r="X199" s="25">
        <f>IF($A199="","",IFERROR(IF(INDEX(photos!$H$2:$H$701,MATCH($A199&amp;"|"&amp;$B199&amp;"|placement|Y",photos!$R$2:$R$701,0))="","",INDEX(photos!$H$2:$H$701,MATCH($A199&amp;"|"&amp;$B199&amp;"|placement|Y",photos!$R$2:$R$701,0))),""))</f>
        <v/>
      </c>
      <c r="Y199" s="26">
        <f>IF($A199="","",IFERROR(IF(INDEX(photos!$E$2:$E$701,MATCH($A199&amp;"|"&amp;$B199&amp;"|placement|Y",photos!$R$2:$R$701,0))="","",INDEX(photos!$E$2:$E$701,MATCH($A199&amp;"|"&amp;$B199&amp;"|placement|Y",photos!$R$2:$R$701,0))),""))</f>
        <v/>
      </c>
      <c r="Z199" s="25">
        <f>IF($A199="","",IF(COUNTIFS(counts!$C$2:$C$701,$A199,counts!$D$2:$D$701,$B199,counts!$E$2:$E$701,"placed")=0,"",SUMIFS(counts!$F$2:$F$701,counts!$C$2:$C$701,$A199,counts!$D$2:$D$701,$B199,counts!$E$2:$E$701,"placed")))</f>
        <v/>
      </c>
      <c r="AA199" s="25">
        <f>IF($A199="","",IF($Y199="",0,N($Z199)))</f>
        <v/>
      </c>
      <c r="AB199" s="25">
        <f>IF($A199="","",IF(OR($Y199="",$I199=""),"N",IF($Y199&lt;=WORKDAY(N($I199),1,calendar!$A$2:$A$80),"Y","N")))</f>
        <v/>
      </c>
      <c r="AC199" s="28">
        <f>IF(OR($A199="",$V199="",$Y199=""),"",ROUND(($Y199+N(IFERROR(IF(INDEX(photos!$F$2:$F$701,MATCH($A199&amp;"|"&amp;$B199&amp;"|placement|Y",photos!$R$2:$R$701,0))="","",INDEX(photos!$F$2:$F$701,MATCH($A199&amp;"|"&amp;$B199&amp;"|placement|Y",photos!$R$2:$R$701,0))),""))-$V199)*24,1))</f>
        <v/>
      </c>
      <c r="AD199" s="25">
        <f>IF($A199="","",SUMIFS(inventory!$G$2:$G$801,inventory!$C$2:$C$801,$A199,inventory!$D$2:$D$801,$B199,inventory!$E$2:$E$801,"topped_up"))</f>
        <v/>
      </c>
      <c r="AE199" s="25">
        <f>IF($A199="","",IF(COUNTIFS(counts!$C$2:$C$701,$A199,counts!$D$2:$D$701,$B199,counts!$E$2:$E$701,"remaining_day3")=0,"",SUMIFS(counts!$F$2:$F$701,counts!$C$2:$C$701,$A199,counts!$D$2:$D$701,$B199,counts!$E$2:$E$701,"remaining_day3")))</f>
        <v/>
      </c>
      <c r="AF199" s="25">
        <f>IF($A199="","",IF(COUNTIFS(counts!$C$2:$C$701,$A199,counts!$D$2:$D$701,$B199,counts!$E$2:$E$701,"remaining_day5")=0,"",SUMIFS(counts!$F$2:$F$701,counts!$C$2:$C$701,$A199,counts!$D$2:$D$701,$B199,counts!$E$2:$E$701,"remaining_day5")))</f>
        <v/>
      </c>
      <c r="AG199" s="25">
        <f>IF(OR($A199="",$AF199=""),"",MAX(0,$AA199+$AD199-$AF199))</f>
        <v/>
      </c>
      <c r="AH199" s="25">
        <f>IF(OR($A199="",$AI199=""),"",IFERROR(IF(INDEX(photos!$H$2:$H$701,MATCH($A199&amp;"|"&amp;$B199&amp;"|later|Y|"&amp;$AI199,photos!$S$2:$S$701,0))="","",INDEX(photos!$H$2:$H$701,MATCH($A199&amp;"|"&amp;$B199&amp;"|later|Y|"&amp;$AI199,photos!$S$2:$S$701,0))),""))</f>
        <v/>
      </c>
      <c r="AI199" s="26">
        <f>IF($A199="","",IFERROR(1/(1/SUMPRODUCT(MAX((photos!$B$2:$B$701=$A199)*(photos!$C$2:$C$701=$B199)*(photos!$D$2:$D$701="later")*(photos!$O$2:$O$701="Y")*photos!$E$2:$E$701))),""))</f>
        <v/>
      </c>
      <c r="AJ199" s="25">
        <f>IF(OR($A199="",$AI199="",$I199=""),"",NETWORKDAYS($I199,$AI199,calendar!$A$2:$A$80))</f>
        <v/>
      </c>
      <c r="AK199" s="25">
        <f>IF($A199="","",IF(AND($X199&lt;&gt;"",$AH199&lt;&gt;""),"Y","N"))</f>
        <v/>
      </c>
      <c r="AL199" s="25">
        <f>IF(OR($A199="",$I199=""),"",IF($BC199="Y",SUMIFS(survey_frozen!$C$2:$C$251,survey_frozen!$P$2:$P$251,$A199&amp;"|"&amp;$B199),IFERROR(COUNTIFS(INDIRECT("'"&amp;$A199&amp;"'!$B$2:$B$501"),$T199,INDIRECT("'"&amp;$A199&amp;"'!$A$2:$A$501"),"&gt;="&amp;$I199,INDIRECT("'"&amp;$A199&amp;"'!$A$2:$A$501"),"&lt;"&amp;($BA199+1)),0)))</f>
        <v/>
      </c>
      <c r="AM199" s="25">
        <f>IF(OR($A199="",$I199=""),"",IF($BC199="Y",SUMIFS(survey_frozen!$D$2:$D$251,survey_frozen!$P$2:$P$251,$A199&amp;"|"&amp;$B199),IFERROR(COUNTIFS(INDIRECT("'"&amp;$A199&amp;"'!$B$2:$B$501"),$T199,INDIRECT("'"&amp;$A199&amp;"'!$A$2:$A$501"),"&gt;="&amp;$I199,INDIRECT("'"&amp;$A199&amp;"'!$A$2:$A$501"),"&lt;"&amp;($BA199+1),INDIRECT("'"&amp;$A199&amp;"'!$C$2:$C$501"),"Yes"),0)))</f>
        <v/>
      </c>
      <c r="AN199" s="25">
        <f>IF($A199="","",IF(COUNTIFS(scans!$C$2:$C$1601,(IF(LEFT($A199,7)="SAMPLE-","SAMPLE-","")&amp;LOWER(SUBSTITUTE(SUBSTITUTE($A199,"SAMPLE-",""),"CMP-","c"))&amp;"-"&amp;LOWER(SUBSTITUTE(SUBSTITUTE($B199,"SAMPLE-",""),"O-","o"))&amp;"-q"),scans!$D$2:$D$1601,"close")=0,"",SUMPRODUCT(MAX((scans!$C$2:$C$1601=(IF(LEFT($A199,7)="SAMPLE-","SAMPLE-","")&amp;LOWER(SUBSTITUTE(SUBSTITUTE($A199,"SAMPLE-",""),"CMP-","c"))&amp;"-"&amp;LOWER(SUBSTITUTE(SUBSTITUTE($B199,"SAMPLE-",""),"O-","o"))&amp;"-q"))*(scans!$D$2:$D$1601="close")*scans!$E$2:$E$1601))-SUMPRODUCT(MAX((scans!$C$2:$C$1601=(IF(LEFT($A199,7)="SAMPLE-","SAMPLE-","")&amp;LOWER(SUBSTITUTE(SUBSTITUTE($A199,"SAMPLE-",""),"CMP-","c"))&amp;"-"&amp;LOWER(SUBSTITUTE(SUBSTITUTE($B199,"SAMPLE-",""),"O-","o"))&amp;"-q"))*(scans!$D$2:$D$1601="baseline")*scans!$E$2:$E$1601))))</f>
        <v/>
      </c>
      <c r="AO199" s="25">
        <f>IF($A199="","",IF(COUNTIFS(scans!$C$2:$C$1601,(IF(LEFT($A199,7)="SAMPLE-","SAMPLE-","")&amp;LOWER(SUBSTITUTE(SUBSTITUTE($A199,"SAMPLE-",""),"CMP-","c"))&amp;"-"&amp;LOWER(SUBSTITUTE(SUBSTITUTE($B199,"SAMPLE-",""),"O-","o"))&amp;"-p"),scans!$D$2:$D$1601,"close")=0,"",SUMPRODUCT(MAX((scans!$C$2:$C$1601=(IF(LEFT($A199,7)="SAMPLE-","SAMPLE-","")&amp;LOWER(SUBSTITUTE(SUBSTITUTE($A199,"SAMPLE-",""),"CMP-","c"))&amp;"-"&amp;LOWER(SUBSTITUTE(SUBSTITUTE($B199,"SAMPLE-",""),"O-","o"))&amp;"-p"))*(scans!$D$2:$D$1601="close")*scans!$E$2:$E$1601))-SUMPRODUCT(MAX((scans!$C$2:$C$1601=(IF(LEFT($A199,7)="SAMPLE-","SAMPLE-","")&amp;LOWER(SUBSTITUTE(SUBSTITUTE($A199,"SAMPLE-",""),"CMP-","c"))&amp;"-"&amp;LOWER(SUBSTITUTE(SUBSTITUTE($B199,"SAMPLE-",""),"O-","o"))&amp;"-p"))*(scans!$D$2:$D$1601="baseline")*scans!$E$2:$E$1601))))</f>
        <v/>
      </c>
      <c r="AP199" s="25">
        <f>IF($A199="","",IF(COUNTIF(offices!$A$2:$A$61,$B199)=0,"office_id not on offices; ","")&amp;IF(COUNTIF(campaigns!$A$2:$A$51,$A199)=0,"campaign_id not on campaigns; ","")&amp;IF($P199="pending","approval pending; ","")&amp;IF(AND($U199&gt;0,$Y199="",OR($I199="",IF(config!$B$37&lt;&gt;"",config!$B$37,TODAY())&lt;=WORKDAY(N($I199),4,calendar!$A$2:$A$80))),"no usable placement photo yet; ","")&amp;IF(AND($Y199&lt;&gt;"",$Z199=""),"log the placed count; ","")&amp;IF(N($AA199)&gt;N($U199),"placed more than delivered; ","")&amp;IF(AND($AF199&lt;&gt;"",N($AF199)&gt;N($AA199)+N($AD199)),"day-5 count above placed plus top-ups; ","")&amp;IF(AND($U199&gt;0,$I199&lt;&gt;"",IF(config!$B$37&lt;&gt;"",config!$B$37,TODAY())&gt;WORKDAY(N($I199),4,calendar!$A$2:$A$80),$AF199=""),"day-5 count missing; ","")&amp;IF(AND($U199&gt;0,$I199&lt;&gt;"",IF(config!$B$37&lt;&gt;"",config!$B$37,TODAY())&gt;WORKDAY(N($I199),4,calendar!$A$2:$A$80),$AN199=""),"no close link reading; ","")&amp;$R199&amp;IF($P199="N","info: office said no; ","")&amp;IF(AND($P199="Y",$Q199="N"),"info: turned away at the door, so not on the drop (no letter, not in the report or Gate 2; the credit check is on campaigns); ","")&amp;IF(AND($U199&gt;0,$Y199="",$I199&lt;&gt;"",IF(config!$B$37&lt;&gt;"",config!$B$37,TODAY())&gt;WORKDAY(N($I199),4,calendar!$A$2:$A$80)),"info: no usable placement photo, so nothing counts as placed; ","")&amp;IF(AND($U199&gt;0,$I199&lt;&gt;"",IF(config!$B$37&lt;&gt;"",config!$B$37,TODAY())&gt;WORKDAY(N($I199),4,calendar!$A$2:$A$80),N($AL199)&lt;config!$B$30),"info: under "&amp;config!$B$30&amp;" responses; ","")&amp;IF($W199="packing_list","info: delivered count not verified; ",""))</f>
        <v/>
      </c>
      <c r="AQ199" s="25">
        <f>IF(OR($A199="",$I199=""),"",IF($BC199="Y",SUMIFS(survey_frozen!$E$2:$E$251,survey_frozen!$P$2:$P$251,$A199&amp;"|"&amp;$B199),IFERROR(COUNTIFS(INDIRECT("'"&amp;$A199&amp;"'!$B$2:$B$501"),$T199,INDIRECT("'"&amp;$A199&amp;"'!$A$2:$A$501"),"&gt;="&amp;$I199,INDIRECT("'"&amp;$A199&amp;"'!$A$2:$A$501"),"&lt;"&amp;($BA199+1),INDIRECT("'"&amp;$A199&amp;"'!$F$2:$F$501"),"Didn't see it"),0)))</f>
        <v/>
      </c>
      <c r="AR199" s="25">
        <f>IF(OR($A199="",$I199=""),"",IF($BC199="Y",SUMIFS(survey_frozen!$F$2:$F$251,survey_frozen!$P$2:$P$251,$A199&amp;"|"&amp;$B199),IFERROR(COUNTIFS(INDIRECT("'"&amp;$A199&amp;"'!$B$2:$B$501"),$T199,INDIRECT("'"&amp;$A199&amp;"'!$A$2:$A$501"),"&gt;="&amp;$I199,INDIRECT("'"&amp;$A199&amp;"'!$A$2:$A$501"),"&lt;"&amp;($BA199+1),INDIRECT("'"&amp;$A199&amp;"'!$F$2:$F$501"),"Not for me"),0)))</f>
        <v/>
      </c>
      <c r="AS199" s="25">
        <f>IF(OR($A199="",$I199=""),"",IF($BC199="Y",SUMIFS(survey_frozen!$G$2:$G$251,survey_frozen!$P$2:$P$251,$A199&amp;"|"&amp;$B199),IFERROR(COUNTIFS(INDIRECT("'"&amp;$A199&amp;"'!$B$2:$B$501"),$T199,INDIRECT("'"&amp;$A199&amp;"'!$A$2:$A$501"),"&gt;="&amp;$I199,INDIRECT("'"&amp;$A199&amp;"'!$A$2:$A$501"),"&lt;"&amp;($BA199+1),INDIRECT("'"&amp;$A199&amp;"'!$F$2:$F$501"),"Gone by the time I looked"),0)))</f>
        <v/>
      </c>
      <c r="AT199" s="25">
        <f>IF(OR($A199="",$I199=""),"",IF($BC199="Y",SUMIFS(survey_frozen!$H$2:$H$251,survey_frozen!$P$2:$P$251,$A199&amp;"|"&amp;$B199),IFERROR(COUNTIFS(INDIRECT("'"&amp;$A199&amp;"'!$B$2:$B$501"),$T199,INDIRECT("'"&amp;$A199&amp;"'!$A$2:$A$501"),"&gt;="&amp;$I199,INDIRECT("'"&amp;$A199&amp;"'!$A$2:$A$501"),"&lt;"&amp;($BA199+1),INDIRECT("'"&amp;$A199&amp;"'!$D$2:$D$501"),"&gt;=1"),0)))</f>
        <v/>
      </c>
      <c r="AU199" s="25">
        <f>IF(OR($A199="",$I199=""),"",IF($BC199="Y",SUMIFS(survey_frozen!$I$2:$I$251,survey_frozen!$P$2:$P$251,$A199&amp;"|"&amp;$B199),IFERROR(SUMIFS(INDIRECT("'"&amp;$A199&amp;"'!$D$2:$D$501"),INDIRECT("'"&amp;$A199&amp;"'!$B$2:$B$501"),$T199,INDIRECT("'"&amp;$A199&amp;"'!$A$2:$A$501"),"&gt;="&amp;$I199,INDIRECT("'"&amp;$A199&amp;"'!$A$2:$A$501"),"&lt;"&amp;($BA199+1)),0)))</f>
        <v/>
      </c>
      <c r="AV199" s="25">
        <f>IF(OR($A199="",$I199=""),"",IF($BC199="Y",SUMIFS(survey_frozen!$J$2:$J$251,survey_frozen!$P$2:$P$251,$A199&amp;"|"&amp;$B199),IFERROR(COUNTIFS(INDIRECT("'"&amp;$A199&amp;"'!$B$2:$B$501"),$T199,INDIRECT("'"&amp;$A199&amp;"'!$A$2:$A$501"),"&gt;="&amp;$I199,INDIRECT("'"&amp;$A199&amp;"'!$A$2:$A$501"),"&lt;"&amp;($BA199+1),INDIRECT("'"&amp;$A199&amp;"'!$E$2:$E$501"),"Yes"),0)))</f>
        <v/>
      </c>
      <c r="AW199" s="25">
        <f>IF(OR($A199="",$I199=""),"",IF($BC199="Y",SUMIFS(survey_frozen!$K$2:$K$251,survey_frozen!$P$2:$P$251,$A199&amp;"|"&amp;$B199),IFERROR(COUNTIFS(INDIRECT("'"&amp;$A199&amp;"'!$B$2:$B$501"),$T199,INDIRECT("'"&amp;$A199&amp;"'!$A$2:$A$501"),"&gt;="&amp;$I199,INDIRECT("'"&amp;$A199&amp;"'!$A$2:$A$501"),"&lt;"&amp;($BA199+1),INDIRECT("'"&amp;$A199&amp;"'!$E$2:$E$501"),"Maybe"),0)))</f>
        <v/>
      </c>
      <c r="AX199" s="25">
        <f>IF(OR($A199="",$I199=""),"",IF($BC199="Y",SUMIFS(survey_frozen!$L$2:$L$251,survey_frozen!$P$2:$P$251,$A199&amp;"|"&amp;$B199),IFERROR(COUNTIFS(INDIRECT("'"&amp;$A199&amp;"'!$B$2:$B$501"),$T199,INDIRECT("'"&amp;$A199&amp;"'!$A$2:$A$501"),"&gt;="&amp;$I199,INDIRECT("'"&amp;$A199&amp;"'!$A$2:$A$501"),"&lt;"&amp;($BA199+1),INDIRECT("'"&amp;$A199&amp;"'!$E$2:$E$501"),"No"),0)))</f>
        <v/>
      </c>
      <c r="AY199" s="25">
        <f>IF(OR($A199="",$I199=""),"",IF($BC199="Y",SUMIFS(survey_frozen!$M$2:$M$251,survey_frozen!$P$2:$P$251,$A199&amp;"|"&amp;$B199),IFERROR(COUNTIFS(INDIRECT("'"&amp;$A199&amp;"'!$B$2:$B$501"),$T199,INDIRECT("'"&amp;$A199&amp;"'!$A$2:$A$501"),"&gt;="&amp;$I199,INDIRECT("'"&amp;$A199&amp;"'!$A$2:$A$501"),"&lt;"&amp;($BA199+1),INDIRECT("'"&amp;$A199&amp;"'!$G$2:$G$501"),"&lt;&gt;"),0)))</f>
        <v/>
      </c>
      <c r="AZ199" s="25">
        <f>IF($A199="","",$A199&amp;"|"&amp;$L199)</f>
        <v/>
      </c>
      <c r="BA199" s="26">
        <f>IF($A199="","",IFERROR(IF(INDEX(drops!$R$2:$R$21,MATCH($H199,drops!$A$2:$A$21,0))="","",INDEX(drops!$R$2:$R$21,MATCH($H199,drops!$A$2:$A$21,0))),""))</f>
        <v/>
      </c>
      <c r="BB199" s="25">
        <f>IF(OR($A199="",$Q199&lt;&gt;"Y"),1000000,N($AL199))</f>
        <v/>
      </c>
      <c r="BC199" s="25">
        <f>IF($A199="","",IF(COUNTIF(survey_frozen!$P$2:$P$251,$A199&amp;"|"&amp;$B199)&gt;0,"Y",""))</f>
        <v/>
      </c>
    </row>
    <row r="200">
      <c r="C200" s="9" t="n"/>
      <c r="E200" s="9" t="n"/>
      <c r="H200" s="25">
        <f>IF($A200="","",IFERROR(IF(INDEX(campaigns!$B$2:$B$51,MATCH($A200,campaigns!$A$2:$A$51,0))="","",INDEX(campaigns!$B$2:$B$51,MATCH($A200,campaigns!$A$2:$A$51,0))),""))</f>
        <v/>
      </c>
      <c r="I200" s="26">
        <f>IF($A200="","",IFERROR(IF(INDEX(campaigns!$BG$2:$BG$51,MATCH($A200,campaigns!$A$2:$A$51,0))="","",INDEX(campaigns!$BG$2:$BG$51,MATCH($A200,campaigns!$A$2:$A$51,0))),""))</f>
        <v/>
      </c>
      <c r="J200" s="25">
        <f>IF($A200="","",IFERROR(IF(INDEX(campaigns!$BE$2:$BE$51,MATCH($A200,campaigns!$A$2:$A$51,0))="","",INDEX(campaigns!$BE$2:$BE$51,MATCH($A200,campaigns!$A$2:$A$51,0))),""))</f>
        <v/>
      </c>
      <c r="K200" s="25">
        <f>IF($B200="","",IFERROR(IF(INDEX(offices!$N$2:$N$61,MATCH($B200,offices!$A$2:$A$61,0))="","",INDEX(offices!$N$2:$N$61,MATCH($B200,offices!$A$2:$A$61,0))),""))</f>
        <v/>
      </c>
      <c r="L200" s="25">
        <f>IF($A200="","",IF($Q200="N","",COUNTIFS($A$2:$A200,$A200,$Q$2:$Q200,"&lt;&gt;N")))</f>
        <v/>
      </c>
      <c r="M200" s="25">
        <f>IF(OR($A200="",$L200=""),"",IF(AND(config!$B$34="names_if_public",IFERROR(IF(INDEX(offices!$AF$2:$AF$61,MATCH($B200,offices!$A$2:$A$61,0))="","",INDEX(offices!$AF$2:$AF$61,MATCH($B200,offices!$A$2:$A$61,0))),"")="Y"),$K200,CHAR(64+$L200)))</f>
        <v/>
      </c>
      <c r="N200" s="25">
        <f>IF(OR($A200="",$I200=""),"",COUNTIFS(stops!$B$2:$B$151,$B200,stops!$P$2:$P$151,"&lt;"&amp;$I200,stops!$L$2:$L$151,"&lt;&gt;not_delivered")+1)</f>
        <v/>
      </c>
      <c r="O200" s="25">
        <f>IF($A200="","",IF(N($N200)&lt;=config!$B$29,"explicit","opt-out"))</f>
        <v/>
      </c>
      <c r="P200" s="25">
        <f>IF($A200="","",IF($O200="explicit",IF($D200="yes","Y",IF($D200="no","N","pending")),IF($D200="no","N",IF(AND($C200&lt;&gt;"",$I200&lt;&gt;"",$C200&lt;=WORKDAY(N($I200),-5,calendar!$A$2:$A$80)),"Y","pending"))))</f>
        <v/>
      </c>
      <c r="Q200" s="25">
        <f>IF($A200="","",IF($P200="N","N",IF($P200&lt;&gt;"Y","pending",IF(AND((COUNTIFS(stops!$A$2:$A$151,$H200,stops!$B$2:$B$151,$B200,stops!$L$2:$L$151,"declined")+COUNTIFS(stops!$A$2:$A$151,$H200,stops!$B$2:$B$151,$B200,stops!$L$2:$L$151,"building_refused")+COUNTIFS(stops!$A$2:$A$151,$H200,stops!$B$2:$B$151,$B200,stops!$L$2:$L$151,"not_delivered"))&gt;0,N($U200)=0),"N","Y"))))</f>
        <v/>
      </c>
      <c r="R200" s="25">
        <f>IF($A200="","",IF(COUNTIFS($A$2:$A$251,$A200,$B$2:$B$251,$B200)&gt;1,"DUPLICATE ROW; ","")&amp;IF(AND(IFERROR(IF(INDEX(offices!$AC$2:$AC$61,MATCH($B200,offices!$A$2:$A$61,0))="","",INDEX(offices!$AC$2:$AC$61,MATCH($B200,offices!$A$2:$A$61,0))),"")&lt;&gt;"",ISNUMBER(SEARCH($J200,IFERROR(IF(INDEX(offices!$AC$2:$AC$61,MATCH($B200,offices!$A$2:$A$61,0))="","",INDEX(offices!$AC$2:$AC$61,MATCH($B200,offices!$A$2:$A$61,0))),"")))),"BRAND VETOED; ","")&amp;IF(ISNUMBER(SEARCH(IFERROR(IF(INDEX(campaigns!$BF$2:$BF$51,MATCH($A200,campaigns!$A$2:$A$51,0))="","",INDEX(campaigns!$BF$2:$BF$51,MATCH($A200,campaigns!$A$2:$A$51,0))),""),IFERROR(IF(INDEX(offices!$AB$2:$AB$61,MATCH($B200,offices!$A$2:$A$61,0))="","",INDEX(offices!$AB$2:$AB$61,MATCH($B200,offices!$A$2:$A$61,0))),""))),"","info: category not on the office's list; ")&amp;IF(IFERROR(IF(INDEX(offices!$AC$2:$AC$61,MATCH($B200,offices!$A$2:$A$61,0))="","",INDEX(offices!$AC$2:$AC$61,MATCH($B200,offices!$A$2:$A$61,0))),"")&lt;&gt;"","info: read the vetoes against the label; ",""))</f>
        <v/>
      </c>
      <c r="S200" s="25">
        <f>IF($A200="","",IF($G200&lt;&gt;"",$G200,IFERROR(IF(INDEX(offices!$AL$2:$AL$61,MATCH($B200,offices!$A$2:$A$61,0))="","",INDEX(offices!$AL$2:$AL$61,MATCH($B200,offices!$A$2:$A$61,0))),"")))</f>
        <v/>
      </c>
      <c r="T200" s="25">
        <f>IF($A200="","",$A200&amp;"."&amp;$B200)</f>
        <v/>
      </c>
      <c r="U200" s="25">
        <f>IF($A200="","",SUMIFS(inventory!$G$2:$G$801,inventory!$C$2:$C$801,$A200,inventory!$D$2:$D$801,$B200,inventory!$E$2:$E$801,"delivered"))</f>
        <v/>
      </c>
      <c r="V200" s="32">
        <f>IF($A200="","",IFERROR(1/(1/SUMPRODUCT(MAX((inventory!$C$2:$C$801=$A200)*(inventory!$D$2:$D$801=$B200)*(inventory!$E$2:$E$801="delivered")*(inventory!$A$2:$A$801+inventory!$B$2:$B$801)))),""))</f>
        <v/>
      </c>
      <c r="W200" s="25">
        <f>IF($A200="","",IFERROR(IF(INDEX(inventory!$J$2:$J$801,MATCH($A200&amp;"|"&amp;$B200&amp;"|delivered",inventory!$R$2:$R$801,0))="","",INDEX(inventory!$J$2:$J$801,MATCH($A200&amp;"|"&amp;$B200&amp;"|delivered",inventory!$R$2:$R$801,0))),""))</f>
        <v/>
      </c>
      <c r="X200" s="25">
        <f>IF($A200="","",IFERROR(IF(INDEX(photos!$H$2:$H$701,MATCH($A200&amp;"|"&amp;$B200&amp;"|placement|Y",photos!$R$2:$R$701,0))="","",INDEX(photos!$H$2:$H$701,MATCH($A200&amp;"|"&amp;$B200&amp;"|placement|Y",photos!$R$2:$R$701,0))),""))</f>
        <v/>
      </c>
      <c r="Y200" s="26">
        <f>IF($A200="","",IFERROR(IF(INDEX(photos!$E$2:$E$701,MATCH($A200&amp;"|"&amp;$B200&amp;"|placement|Y",photos!$R$2:$R$701,0))="","",INDEX(photos!$E$2:$E$701,MATCH($A200&amp;"|"&amp;$B200&amp;"|placement|Y",photos!$R$2:$R$701,0))),""))</f>
        <v/>
      </c>
      <c r="Z200" s="25">
        <f>IF($A200="","",IF(COUNTIFS(counts!$C$2:$C$701,$A200,counts!$D$2:$D$701,$B200,counts!$E$2:$E$701,"placed")=0,"",SUMIFS(counts!$F$2:$F$701,counts!$C$2:$C$701,$A200,counts!$D$2:$D$701,$B200,counts!$E$2:$E$701,"placed")))</f>
        <v/>
      </c>
      <c r="AA200" s="25">
        <f>IF($A200="","",IF($Y200="",0,N($Z200)))</f>
        <v/>
      </c>
      <c r="AB200" s="25">
        <f>IF($A200="","",IF(OR($Y200="",$I200=""),"N",IF($Y200&lt;=WORKDAY(N($I200),1,calendar!$A$2:$A$80),"Y","N")))</f>
        <v/>
      </c>
      <c r="AC200" s="28">
        <f>IF(OR($A200="",$V200="",$Y200=""),"",ROUND(($Y200+N(IFERROR(IF(INDEX(photos!$F$2:$F$701,MATCH($A200&amp;"|"&amp;$B200&amp;"|placement|Y",photos!$R$2:$R$701,0))="","",INDEX(photos!$F$2:$F$701,MATCH($A200&amp;"|"&amp;$B200&amp;"|placement|Y",photos!$R$2:$R$701,0))),""))-$V200)*24,1))</f>
        <v/>
      </c>
      <c r="AD200" s="25">
        <f>IF($A200="","",SUMIFS(inventory!$G$2:$G$801,inventory!$C$2:$C$801,$A200,inventory!$D$2:$D$801,$B200,inventory!$E$2:$E$801,"topped_up"))</f>
        <v/>
      </c>
      <c r="AE200" s="25">
        <f>IF($A200="","",IF(COUNTIFS(counts!$C$2:$C$701,$A200,counts!$D$2:$D$701,$B200,counts!$E$2:$E$701,"remaining_day3")=0,"",SUMIFS(counts!$F$2:$F$701,counts!$C$2:$C$701,$A200,counts!$D$2:$D$701,$B200,counts!$E$2:$E$701,"remaining_day3")))</f>
        <v/>
      </c>
      <c r="AF200" s="25">
        <f>IF($A200="","",IF(COUNTIFS(counts!$C$2:$C$701,$A200,counts!$D$2:$D$701,$B200,counts!$E$2:$E$701,"remaining_day5")=0,"",SUMIFS(counts!$F$2:$F$701,counts!$C$2:$C$701,$A200,counts!$D$2:$D$701,$B200,counts!$E$2:$E$701,"remaining_day5")))</f>
        <v/>
      </c>
      <c r="AG200" s="25">
        <f>IF(OR($A200="",$AF200=""),"",MAX(0,$AA200+$AD200-$AF200))</f>
        <v/>
      </c>
      <c r="AH200" s="25">
        <f>IF(OR($A200="",$AI200=""),"",IFERROR(IF(INDEX(photos!$H$2:$H$701,MATCH($A200&amp;"|"&amp;$B200&amp;"|later|Y|"&amp;$AI200,photos!$S$2:$S$701,0))="","",INDEX(photos!$H$2:$H$701,MATCH($A200&amp;"|"&amp;$B200&amp;"|later|Y|"&amp;$AI200,photos!$S$2:$S$701,0))),""))</f>
        <v/>
      </c>
      <c r="AI200" s="26">
        <f>IF($A200="","",IFERROR(1/(1/SUMPRODUCT(MAX((photos!$B$2:$B$701=$A200)*(photos!$C$2:$C$701=$B200)*(photos!$D$2:$D$701="later")*(photos!$O$2:$O$701="Y")*photos!$E$2:$E$701))),""))</f>
        <v/>
      </c>
      <c r="AJ200" s="25">
        <f>IF(OR($A200="",$AI200="",$I200=""),"",NETWORKDAYS($I200,$AI200,calendar!$A$2:$A$80))</f>
        <v/>
      </c>
      <c r="AK200" s="25">
        <f>IF($A200="","",IF(AND($X200&lt;&gt;"",$AH200&lt;&gt;""),"Y","N"))</f>
        <v/>
      </c>
      <c r="AL200" s="25">
        <f>IF(OR($A200="",$I200=""),"",IF($BC200="Y",SUMIFS(survey_frozen!$C$2:$C$251,survey_frozen!$P$2:$P$251,$A200&amp;"|"&amp;$B200),IFERROR(COUNTIFS(INDIRECT("'"&amp;$A200&amp;"'!$B$2:$B$501"),$T200,INDIRECT("'"&amp;$A200&amp;"'!$A$2:$A$501"),"&gt;="&amp;$I200,INDIRECT("'"&amp;$A200&amp;"'!$A$2:$A$501"),"&lt;"&amp;($BA200+1)),0)))</f>
        <v/>
      </c>
      <c r="AM200" s="25">
        <f>IF(OR($A200="",$I200=""),"",IF($BC200="Y",SUMIFS(survey_frozen!$D$2:$D$251,survey_frozen!$P$2:$P$251,$A200&amp;"|"&amp;$B200),IFERROR(COUNTIFS(INDIRECT("'"&amp;$A200&amp;"'!$B$2:$B$501"),$T200,INDIRECT("'"&amp;$A200&amp;"'!$A$2:$A$501"),"&gt;="&amp;$I200,INDIRECT("'"&amp;$A200&amp;"'!$A$2:$A$501"),"&lt;"&amp;($BA200+1),INDIRECT("'"&amp;$A200&amp;"'!$C$2:$C$501"),"Yes"),0)))</f>
        <v/>
      </c>
      <c r="AN200" s="25">
        <f>IF($A200="","",IF(COUNTIFS(scans!$C$2:$C$1601,(IF(LEFT($A200,7)="SAMPLE-","SAMPLE-","")&amp;LOWER(SUBSTITUTE(SUBSTITUTE($A200,"SAMPLE-",""),"CMP-","c"))&amp;"-"&amp;LOWER(SUBSTITUTE(SUBSTITUTE($B200,"SAMPLE-",""),"O-","o"))&amp;"-q"),scans!$D$2:$D$1601,"close")=0,"",SUMPRODUCT(MAX((scans!$C$2:$C$1601=(IF(LEFT($A200,7)="SAMPLE-","SAMPLE-","")&amp;LOWER(SUBSTITUTE(SUBSTITUTE($A200,"SAMPLE-",""),"CMP-","c"))&amp;"-"&amp;LOWER(SUBSTITUTE(SUBSTITUTE($B200,"SAMPLE-",""),"O-","o"))&amp;"-q"))*(scans!$D$2:$D$1601="close")*scans!$E$2:$E$1601))-SUMPRODUCT(MAX((scans!$C$2:$C$1601=(IF(LEFT($A200,7)="SAMPLE-","SAMPLE-","")&amp;LOWER(SUBSTITUTE(SUBSTITUTE($A200,"SAMPLE-",""),"CMP-","c"))&amp;"-"&amp;LOWER(SUBSTITUTE(SUBSTITUTE($B200,"SAMPLE-",""),"O-","o"))&amp;"-q"))*(scans!$D$2:$D$1601="baseline")*scans!$E$2:$E$1601))))</f>
        <v/>
      </c>
      <c r="AO200" s="25">
        <f>IF($A200="","",IF(COUNTIFS(scans!$C$2:$C$1601,(IF(LEFT($A200,7)="SAMPLE-","SAMPLE-","")&amp;LOWER(SUBSTITUTE(SUBSTITUTE($A200,"SAMPLE-",""),"CMP-","c"))&amp;"-"&amp;LOWER(SUBSTITUTE(SUBSTITUTE($B200,"SAMPLE-",""),"O-","o"))&amp;"-p"),scans!$D$2:$D$1601,"close")=0,"",SUMPRODUCT(MAX((scans!$C$2:$C$1601=(IF(LEFT($A200,7)="SAMPLE-","SAMPLE-","")&amp;LOWER(SUBSTITUTE(SUBSTITUTE($A200,"SAMPLE-",""),"CMP-","c"))&amp;"-"&amp;LOWER(SUBSTITUTE(SUBSTITUTE($B200,"SAMPLE-",""),"O-","o"))&amp;"-p"))*(scans!$D$2:$D$1601="close")*scans!$E$2:$E$1601))-SUMPRODUCT(MAX((scans!$C$2:$C$1601=(IF(LEFT($A200,7)="SAMPLE-","SAMPLE-","")&amp;LOWER(SUBSTITUTE(SUBSTITUTE($A200,"SAMPLE-",""),"CMP-","c"))&amp;"-"&amp;LOWER(SUBSTITUTE(SUBSTITUTE($B200,"SAMPLE-",""),"O-","o"))&amp;"-p"))*(scans!$D$2:$D$1601="baseline")*scans!$E$2:$E$1601))))</f>
        <v/>
      </c>
      <c r="AP200" s="25">
        <f>IF($A200="","",IF(COUNTIF(offices!$A$2:$A$61,$B200)=0,"office_id not on offices; ","")&amp;IF(COUNTIF(campaigns!$A$2:$A$51,$A200)=0,"campaign_id not on campaigns; ","")&amp;IF($P200="pending","approval pending; ","")&amp;IF(AND($U200&gt;0,$Y200="",OR($I200="",IF(config!$B$37&lt;&gt;"",config!$B$37,TODAY())&lt;=WORKDAY(N($I200),4,calendar!$A$2:$A$80))),"no usable placement photo yet; ","")&amp;IF(AND($Y200&lt;&gt;"",$Z200=""),"log the placed count; ","")&amp;IF(N($AA200)&gt;N($U200),"placed more than delivered; ","")&amp;IF(AND($AF200&lt;&gt;"",N($AF200)&gt;N($AA200)+N($AD200)),"day-5 count above placed plus top-ups; ","")&amp;IF(AND($U200&gt;0,$I200&lt;&gt;"",IF(config!$B$37&lt;&gt;"",config!$B$37,TODAY())&gt;WORKDAY(N($I200),4,calendar!$A$2:$A$80),$AF200=""),"day-5 count missing; ","")&amp;IF(AND($U200&gt;0,$I200&lt;&gt;"",IF(config!$B$37&lt;&gt;"",config!$B$37,TODAY())&gt;WORKDAY(N($I200),4,calendar!$A$2:$A$80),$AN200=""),"no close link reading; ","")&amp;$R200&amp;IF($P200="N","info: office said no; ","")&amp;IF(AND($P200="Y",$Q200="N"),"info: turned away at the door, so not on the drop (no letter, not in the report or Gate 2; the credit check is on campaigns); ","")&amp;IF(AND($U200&gt;0,$Y200="",$I200&lt;&gt;"",IF(config!$B$37&lt;&gt;"",config!$B$37,TODAY())&gt;WORKDAY(N($I200),4,calendar!$A$2:$A$80)),"info: no usable placement photo, so nothing counts as placed; ","")&amp;IF(AND($U200&gt;0,$I200&lt;&gt;"",IF(config!$B$37&lt;&gt;"",config!$B$37,TODAY())&gt;WORKDAY(N($I200),4,calendar!$A$2:$A$80),N($AL200)&lt;config!$B$30),"info: under "&amp;config!$B$30&amp;" responses; ","")&amp;IF($W200="packing_list","info: delivered count not verified; ",""))</f>
        <v/>
      </c>
      <c r="AQ200" s="25">
        <f>IF(OR($A200="",$I200=""),"",IF($BC200="Y",SUMIFS(survey_frozen!$E$2:$E$251,survey_frozen!$P$2:$P$251,$A200&amp;"|"&amp;$B200),IFERROR(COUNTIFS(INDIRECT("'"&amp;$A200&amp;"'!$B$2:$B$501"),$T200,INDIRECT("'"&amp;$A200&amp;"'!$A$2:$A$501"),"&gt;="&amp;$I200,INDIRECT("'"&amp;$A200&amp;"'!$A$2:$A$501"),"&lt;"&amp;($BA200+1),INDIRECT("'"&amp;$A200&amp;"'!$F$2:$F$501"),"Didn't see it"),0)))</f>
        <v/>
      </c>
      <c r="AR200" s="25">
        <f>IF(OR($A200="",$I200=""),"",IF($BC200="Y",SUMIFS(survey_frozen!$F$2:$F$251,survey_frozen!$P$2:$P$251,$A200&amp;"|"&amp;$B200),IFERROR(COUNTIFS(INDIRECT("'"&amp;$A200&amp;"'!$B$2:$B$501"),$T200,INDIRECT("'"&amp;$A200&amp;"'!$A$2:$A$501"),"&gt;="&amp;$I200,INDIRECT("'"&amp;$A200&amp;"'!$A$2:$A$501"),"&lt;"&amp;($BA200+1),INDIRECT("'"&amp;$A200&amp;"'!$F$2:$F$501"),"Not for me"),0)))</f>
        <v/>
      </c>
      <c r="AS200" s="25">
        <f>IF(OR($A200="",$I200=""),"",IF($BC200="Y",SUMIFS(survey_frozen!$G$2:$G$251,survey_frozen!$P$2:$P$251,$A200&amp;"|"&amp;$B200),IFERROR(COUNTIFS(INDIRECT("'"&amp;$A200&amp;"'!$B$2:$B$501"),$T200,INDIRECT("'"&amp;$A200&amp;"'!$A$2:$A$501"),"&gt;="&amp;$I200,INDIRECT("'"&amp;$A200&amp;"'!$A$2:$A$501"),"&lt;"&amp;($BA200+1),INDIRECT("'"&amp;$A200&amp;"'!$F$2:$F$501"),"Gone by the time I looked"),0)))</f>
        <v/>
      </c>
      <c r="AT200" s="25">
        <f>IF(OR($A200="",$I200=""),"",IF($BC200="Y",SUMIFS(survey_frozen!$H$2:$H$251,survey_frozen!$P$2:$P$251,$A200&amp;"|"&amp;$B200),IFERROR(COUNTIFS(INDIRECT("'"&amp;$A200&amp;"'!$B$2:$B$501"),$T200,INDIRECT("'"&amp;$A200&amp;"'!$A$2:$A$501"),"&gt;="&amp;$I200,INDIRECT("'"&amp;$A200&amp;"'!$A$2:$A$501"),"&lt;"&amp;($BA200+1),INDIRECT("'"&amp;$A200&amp;"'!$D$2:$D$501"),"&gt;=1"),0)))</f>
        <v/>
      </c>
      <c r="AU200" s="25">
        <f>IF(OR($A200="",$I200=""),"",IF($BC200="Y",SUMIFS(survey_frozen!$I$2:$I$251,survey_frozen!$P$2:$P$251,$A200&amp;"|"&amp;$B200),IFERROR(SUMIFS(INDIRECT("'"&amp;$A200&amp;"'!$D$2:$D$501"),INDIRECT("'"&amp;$A200&amp;"'!$B$2:$B$501"),$T200,INDIRECT("'"&amp;$A200&amp;"'!$A$2:$A$501"),"&gt;="&amp;$I200,INDIRECT("'"&amp;$A200&amp;"'!$A$2:$A$501"),"&lt;"&amp;($BA200+1)),0)))</f>
        <v/>
      </c>
      <c r="AV200" s="25">
        <f>IF(OR($A200="",$I200=""),"",IF($BC200="Y",SUMIFS(survey_frozen!$J$2:$J$251,survey_frozen!$P$2:$P$251,$A200&amp;"|"&amp;$B200),IFERROR(COUNTIFS(INDIRECT("'"&amp;$A200&amp;"'!$B$2:$B$501"),$T200,INDIRECT("'"&amp;$A200&amp;"'!$A$2:$A$501"),"&gt;="&amp;$I200,INDIRECT("'"&amp;$A200&amp;"'!$A$2:$A$501"),"&lt;"&amp;($BA200+1),INDIRECT("'"&amp;$A200&amp;"'!$E$2:$E$501"),"Yes"),0)))</f>
        <v/>
      </c>
      <c r="AW200" s="25">
        <f>IF(OR($A200="",$I200=""),"",IF($BC200="Y",SUMIFS(survey_frozen!$K$2:$K$251,survey_frozen!$P$2:$P$251,$A200&amp;"|"&amp;$B200),IFERROR(COUNTIFS(INDIRECT("'"&amp;$A200&amp;"'!$B$2:$B$501"),$T200,INDIRECT("'"&amp;$A200&amp;"'!$A$2:$A$501"),"&gt;="&amp;$I200,INDIRECT("'"&amp;$A200&amp;"'!$A$2:$A$501"),"&lt;"&amp;($BA200+1),INDIRECT("'"&amp;$A200&amp;"'!$E$2:$E$501"),"Maybe"),0)))</f>
        <v/>
      </c>
      <c r="AX200" s="25">
        <f>IF(OR($A200="",$I200=""),"",IF($BC200="Y",SUMIFS(survey_frozen!$L$2:$L$251,survey_frozen!$P$2:$P$251,$A200&amp;"|"&amp;$B200),IFERROR(COUNTIFS(INDIRECT("'"&amp;$A200&amp;"'!$B$2:$B$501"),$T200,INDIRECT("'"&amp;$A200&amp;"'!$A$2:$A$501"),"&gt;="&amp;$I200,INDIRECT("'"&amp;$A200&amp;"'!$A$2:$A$501"),"&lt;"&amp;($BA200+1),INDIRECT("'"&amp;$A200&amp;"'!$E$2:$E$501"),"No"),0)))</f>
        <v/>
      </c>
      <c r="AY200" s="25">
        <f>IF(OR($A200="",$I200=""),"",IF($BC200="Y",SUMIFS(survey_frozen!$M$2:$M$251,survey_frozen!$P$2:$P$251,$A200&amp;"|"&amp;$B200),IFERROR(COUNTIFS(INDIRECT("'"&amp;$A200&amp;"'!$B$2:$B$501"),$T200,INDIRECT("'"&amp;$A200&amp;"'!$A$2:$A$501"),"&gt;="&amp;$I200,INDIRECT("'"&amp;$A200&amp;"'!$A$2:$A$501"),"&lt;"&amp;($BA200+1),INDIRECT("'"&amp;$A200&amp;"'!$G$2:$G$501"),"&lt;&gt;"),0)))</f>
        <v/>
      </c>
      <c r="AZ200" s="25">
        <f>IF($A200="","",$A200&amp;"|"&amp;$L200)</f>
        <v/>
      </c>
      <c r="BA200" s="26">
        <f>IF($A200="","",IFERROR(IF(INDEX(drops!$R$2:$R$21,MATCH($H200,drops!$A$2:$A$21,0))="","",INDEX(drops!$R$2:$R$21,MATCH($H200,drops!$A$2:$A$21,0))),""))</f>
        <v/>
      </c>
      <c r="BB200" s="25">
        <f>IF(OR($A200="",$Q200&lt;&gt;"Y"),1000000,N($AL200))</f>
        <v/>
      </c>
      <c r="BC200" s="25">
        <f>IF($A200="","",IF(COUNTIF(survey_frozen!$P$2:$P$251,$A200&amp;"|"&amp;$B200)&gt;0,"Y",""))</f>
        <v/>
      </c>
    </row>
    <row r="201">
      <c r="C201" s="9" t="n"/>
      <c r="E201" s="9" t="n"/>
      <c r="H201" s="25">
        <f>IF($A201="","",IFERROR(IF(INDEX(campaigns!$B$2:$B$51,MATCH($A201,campaigns!$A$2:$A$51,0))="","",INDEX(campaigns!$B$2:$B$51,MATCH($A201,campaigns!$A$2:$A$51,0))),""))</f>
        <v/>
      </c>
      <c r="I201" s="26">
        <f>IF($A201="","",IFERROR(IF(INDEX(campaigns!$BG$2:$BG$51,MATCH($A201,campaigns!$A$2:$A$51,0))="","",INDEX(campaigns!$BG$2:$BG$51,MATCH($A201,campaigns!$A$2:$A$51,0))),""))</f>
        <v/>
      </c>
      <c r="J201" s="25">
        <f>IF($A201="","",IFERROR(IF(INDEX(campaigns!$BE$2:$BE$51,MATCH($A201,campaigns!$A$2:$A$51,0))="","",INDEX(campaigns!$BE$2:$BE$51,MATCH($A201,campaigns!$A$2:$A$51,0))),""))</f>
        <v/>
      </c>
      <c r="K201" s="25">
        <f>IF($B201="","",IFERROR(IF(INDEX(offices!$N$2:$N$61,MATCH($B201,offices!$A$2:$A$61,0))="","",INDEX(offices!$N$2:$N$61,MATCH($B201,offices!$A$2:$A$61,0))),""))</f>
        <v/>
      </c>
      <c r="L201" s="25">
        <f>IF($A201="","",IF($Q201="N","",COUNTIFS($A$2:$A201,$A201,$Q$2:$Q201,"&lt;&gt;N")))</f>
        <v/>
      </c>
      <c r="M201" s="25">
        <f>IF(OR($A201="",$L201=""),"",IF(AND(config!$B$34="names_if_public",IFERROR(IF(INDEX(offices!$AF$2:$AF$61,MATCH($B201,offices!$A$2:$A$61,0))="","",INDEX(offices!$AF$2:$AF$61,MATCH($B201,offices!$A$2:$A$61,0))),"")="Y"),$K201,CHAR(64+$L201)))</f>
        <v/>
      </c>
      <c r="N201" s="25">
        <f>IF(OR($A201="",$I201=""),"",COUNTIFS(stops!$B$2:$B$151,$B201,stops!$P$2:$P$151,"&lt;"&amp;$I201,stops!$L$2:$L$151,"&lt;&gt;not_delivered")+1)</f>
        <v/>
      </c>
      <c r="O201" s="25">
        <f>IF($A201="","",IF(N($N201)&lt;=config!$B$29,"explicit","opt-out"))</f>
        <v/>
      </c>
      <c r="P201" s="25">
        <f>IF($A201="","",IF($O201="explicit",IF($D201="yes","Y",IF($D201="no","N","pending")),IF($D201="no","N",IF(AND($C201&lt;&gt;"",$I201&lt;&gt;"",$C201&lt;=WORKDAY(N($I201),-5,calendar!$A$2:$A$80)),"Y","pending"))))</f>
        <v/>
      </c>
      <c r="Q201" s="25">
        <f>IF($A201="","",IF($P201="N","N",IF($P201&lt;&gt;"Y","pending",IF(AND((COUNTIFS(stops!$A$2:$A$151,$H201,stops!$B$2:$B$151,$B201,stops!$L$2:$L$151,"declined")+COUNTIFS(stops!$A$2:$A$151,$H201,stops!$B$2:$B$151,$B201,stops!$L$2:$L$151,"building_refused")+COUNTIFS(stops!$A$2:$A$151,$H201,stops!$B$2:$B$151,$B201,stops!$L$2:$L$151,"not_delivered"))&gt;0,N($U201)=0),"N","Y"))))</f>
        <v/>
      </c>
      <c r="R201" s="25">
        <f>IF($A201="","",IF(COUNTIFS($A$2:$A$251,$A201,$B$2:$B$251,$B201)&gt;1,"DUPLICATE ROW; ","")&amp;IF(AND(IFERROR(IF(INDEX(offices!$AC$2:$AC$61,MATCH($B201,offices!$A$2:$A$61,0))="","",INDEX(offices!$AC$2:$AC$61,MATCH($B201,offices!$A$2:$A$61,0))),"")&lt;&gt;"",ISNUMBER(SEARCH($J201,IFERROR(IF(INDEX(offices!$AC$2:$AC$61,MATCH($B201,offices!$A$2:$A$61,0))="","",INDEX(offices!$AC$2:$AC$61,MATCH($B201,offices!$A$2:$A$61,0))),"")))),"BRAND VETOED; ","")&amp;IF(ISNUMBER(SEARCH(IFERROR(IF(INDEX(campaigns!$BF$2:$BF$51,MATCH($A201,campaigns!$A$2:$A$51,0))="","",INDEX(campaigns!$BF$2:$BF$51,MATCH($A201,campaigns!$A$2:$A$51,0))),""),IFERROR(IF(INDEX(offices!$AB$2:$AB$61,MATCH($B201,offices!$A$2:$A$61,0))="","",INDEX(offices!$AB$2:$AB$61,MATCH($B201,offices!$A$2:$A$61,0))),""))),"","info: category not on the office's list; ")&amp;IF(IFERROR(IF(INDEX(offices!$AC$2:$AC$61,MATCH($B201,offices!$A$2:$A$61,0))="","",INDEX(offices!$AC$2:$AC$61,MATCH($B201,offices!$A$2:$A$61,0))),"")&lt;&gt;"","info: read the vetoes against the label; ",""))</f>
        <v/>
      </c>
      <c r="S201" s="25">
        <f>IF($A201="","",IF($G201&lt;&gt;"",$G201,IFERROR(IF(INDEX(offices!$AL$2:$AL$61,MATCH($B201,offices!$A$2:$A$61,0))="","",INDEX(offices!$AL$2:$AL$61,MATCH($B201,offices!$A$2:$A$61,0))),"")))</f>
        <v/>
      </c>
      <c r="T201" s="25">
        <f>IF($A201="","",$A201&amp;"."&amp;$B201)</f>
        <v/>
      </c>
      <c r="U201" s="25">
        <f>IF($A201="","",SUMIFS(inventory!$G$2:$G$801,inventory!$C$2:$C$801,$A201,inventory!$D$2:$D$801,$B201,inventory!$E$2:$E$801,"delivered"))</f>
        <v/>
      </c>
      <c r="V201" s="32">
        <f>IF($A201="","",IFERROR(1/(1/SUMPRODUCT(MAX((inventory!$C$2:$C$801=$A201)*(inventory!$D$2:$D$801=$B201)*(inventory!$E$2:$E$801="delivered")*(inventory!$A$2:$A$801+inventory!$B$2:$B$801)))),""))</f>
        <v/>
      </c>
      <c r="W201" s="25">
        <f>IF($A201="","",IFERROR(IF(INDEX(inventory!$J$2:$J$801,MATCH($A201&amp;"|"&amp;$B201&amp;"|delivered",inventory!$R$2:$R$801,0))="","",INDEX(inventory!$J$2:$J$801,MATCH($A201&amp;"|"&amp;$B201&amp;"|delivered",inventory!$R$2:$R$801,0))),""))</f>
        <v/>
      </c>
      <c r="X201" s="25">
        <f>IF($A201="","",IFERROR(IF(INDEX(photos!$H$2:$H$701,MATCH($A201&amp;"|"&amp;$B201&amp;"|placement|Y",photos!$R$2:$R$701,0))="","",INDEX(photos!$H$2:$H$701,MATCH($A201&amp;"|"&amp;$B201&amp;"|placement|Y",photos!$R$2:$R$701,0))),""))</f>
        <v/>
      </c>
      <c r="Y201" s="26">
        <f>IF($A201="","",IFERROR(IF(INDEX(photos!$E$2:$E$701,MATCH($A201&amp;"|"&amp;$B201&amp;"|placement|Y",photos!$R$2:$R$701,0))="","",INDEX(photos!$E$2:$E$701,MATCH($A201&amp;"|"&amp;$B201&amp;"|placement|Y",photos!$R$2:$R$701,0))),""))</f>
        <v/>
      </c>
      <c r="Z201" s="25">
        <f>IF($A201="","",IF(COUNTIFS(counts!$C$2:$C$701,$A201,counts!$D$2:$D$701,$B201,counts!$E$2:$E$701,"placed")=0,"",SUMIFS(counts!$F$2:$F$701,counts!$C$2:$C$701,$A201,counts!$D$2:$D$701,$B201,counts!$E$2:$E$701,"placed")))</f>
        <v/>
      </c>
      <c r="AA201" s="25">
        <f>IF($A201="","",IF($Y201="",0,N($Z201)))</f>
        <v/>
      </c>
      <c r="AB201" s="25">
        <f>IF($A201="","",IF(OR($Y201="",$I201=""),"N",IF($Y201&lt;=WORKDAY(N($I201),1,calendar!$A$2:$A$80),"Y","N")))</f>
        <v/>
      </c>
      <c r="AC201" s="28">
        <f>IF(OR($A201="",$V201="",$Y201=""),"",ROUND(($Y201+N(IFERROR(IF(INDEX(photos!$F$2:$F$701,MATCH($A201&amp;"|"&amp;$B201&amp;"|placement|Y",photos!$R$2:$R$701,0))="","",INDEX(photos!$F$2:$F$701,MATCH($A201&amp;"|"&amp;$B201&amp;"|placement|Y",photos!$R$2:$R$701,0))),""))-$V201)*24,1))</f>
        <v/>
      </c>
      <c r="AD201" s="25">
        <f>IF($A201="","",SUMIFS(inventory!$G$2:$G$801,inventory!$C$2:$C$801,$A201,inventory!$D$2:$D$801,$B201,inventory!$E$2:$E$801,"topped_up"))</f>
        <v/>
      </c>
      <c r="AE201" s="25">
        <f>IF($A201="","",IF(COUNTIFS(counts!$C$2:$C$701,$A201,counts!$D$2:$D$701,$B201,counts!$E$2:$E$701,"remaining_day3")=0,"",SUMIFS(counts!$F$2:$F$701,counts!$C$2:$C$701,$A201,counts!$D$2:$D$701,$B201,counts!$E$2:$E$701,"remaining_day3")))</f>
        <v/>
      </c>
      <c r="AF201" s="25">
        <f>IF($A201="","",IF(COUNTIFS(counts!$C$2:$C$701,$A201,counts!$D$2:$D$701,$B201,counts!$E$2:$E$701,"remaining_day5")=0,"",SUMIFS(counts!$F$2:$F$701,counts!$C$2:$C$701,$A201,counts!$D$2:$D$701,$B201,counts!$E$2:$E$701,"remaining_day5")))</f>
        <v/>
      </c>
      <c r="AG201" s="25">
        <f>IF(OR($A201="",$AF201=""),"",MAX(0,$AA201+$AD201-$AF201))</f>
        <v/>
      </c>
      <c r="AH201" s="25">
        <f>IF(OR($A201="",$AI201=""),"",IFERROR(IF(INDEX(photos!$H$2:$H$701,MATCH($A201&amp;"|"&amp;$B201&amp;"|later|Y|"&amp;$AI201,photos!$S$2:$S$701,0))="","",INDEX(photos!$H$2:$H$701,MATCH($A201&amp;"|"&amp;$B201&amp;"|later|Y|"&amp;$AI201,photos!$S$2:$S$701,0))),""))</f>
        <v/>
      </c>
      <c r="AI201" s="26">
        <f>IF($A201="","",IFERROR(1/(1/SUMPRODUCT(MAX((photos!$B$2:$B$701=$A201)*(photos!$C$2:$C$701=$B201)*(photos!$D$2:$D$701="later")*(photos!$O$2:$O$701="Y")*photos!$E$2:$E$701))),""))</f>
        <v/>
      </c>
      <c r="AJ201" s="25">
        <f>IF(OR($A201="",$AI201="",$I201=""),"",NETWORKDAYS($I201,$AI201,calendar!$A$2:$A$80))</f>
        <v/>
      </c>
      <c r="AK201" s="25">
        <f>IF($A201="","",IF(AND($X201&lt;&gt;"",$AH201&lt;&gt;""),"Y","N"))</f>
        <v/>
      </c>
      <c r="AL201" s="25">
        <f>IF(OR($A201="",$I201=""),"",IF($BC201="Y",SUMIFS(survey_frozen!$C$2:$C$251,survey_frozen!$P$2:$P$251,$A201&amp;"|"&amp;$B201),IFERROR(COUNTIFS(INDIRECT("'"&amp;$A201&amp;"'!$B$2:$B$501"),$T201,INDIRECT("'"&amp;$A201&amp;"'!$A$2:$A$501"),"&gt;="&amp;$I201,INDIRECT("'"&amp;$A201&amp;"'!$A$2:$A$501"),"&lt;"&amp;($BA201+1)),0)))</f>
        <v/>
      </c>
      <c r="AM201" s="25">
        <f>IF(OR($A201="",$I201=""),"",IF($BC201="Y",SUMIFS(survey_frozen!$D$2:$D$251,survey_frozen!$P$2:$P$251,$A201&amp;"|"&amp;$B201),IFERROR(COUNTIFS(INDIRECT("'"&amp;$A201&amp;"'!$B$2:$B$501"),$T201,INDIRECT("'"&amp;$A201&amp;"'!$A$2:$A$501"),"&gt;="&amp;$I201,INDIRECT("'"&amp;$A201&amp;"'!$A$2:$A$501"),"&lt;"&amp;($BA201+1),INDIRECT("'"&amp;$A201&amp;"'!$C$2:$C$501"),"Yes"),0)))</f>
        <v/>
      </c>
      <c r="AN201" s="25">
        <f>IF($A201="","",IF(COUNTIFS(scans!$C$2:$C$1601,(IF(LEFT($A201,7)="SAMPLE-","SAMPLE-","")&amp;LOWER(SUBSTITUTE(SUBSTITUTE($A201,"SAMPLE-",""),"CMP-","c"))&amp;"-"&amp;LOWER(SUBSTITUTE(SUBSTITUTE($B201,"SAMPLE-",""),"O-","o"))&amp;"-q"),scans!$D$2:$D$1601,"close")=0,"",SUMPRODUCT(MAX((scans!$C$2:$C$1601=(IF(LEFT($A201,7)="SAMPLE-","SAMPLE-","")&amp;LOWER(SUBSTITUTE(SUBSTITUTE($A201,"SAMPLE-",""),"CMP-","c"))&amp;"-"&amp;LOWER(SUBSTITUTE(SUBSTITUTE($B201,"SAMPLE-",""),"O-","o"))&amp;"-q"))*(scans!$D$2:$D$1601="close")*scans!$E$2:$E$1601))-SUMPRODUCT(MAX((scans!$C$2:$C$1601=(IF(LEFT($A201,7)="SAMPLE-","SAMPLE-","")&amp;LOWER(SUBSTITUTE(SUBSTITUTE($A201,"SAMPLE-",""),"CMP-","c"))&amp;"-"&amp;LOWER(SUBSTITUTE(SUBSTITUTE($B201,"SAMPLE-",""),"O-","o"))&amp;"-q"))*(scans!$D$2:$D$1601="baseline")*scans!$E$2:$E$1601))))</f>
        <v/>
      </c>
      <c r="AO201" s="25">
        <f>IF($A201="","",IF(COUNTIFS(scans!$C$2:$C$1601,(IF(LEFT($A201,7)="SAMPLE-","SAMPLE-","")&amp;LOWER(SUBSTITUTE(SUBSTITUTE($A201,"SAMPLE-",""),"CMP-","c"))&amp;"-"&amp;LOWER(SUBSTITUTE(SUBSTITUTE($B201,"SAMPLE-",""),"O-","o"))&amp;"-p"),scans!$D$2:$D$1601,"close")=0,"",SUMPRODUCT(MAX((scans!$C$2:$C$1601=(IF(LEFT($A201,7)="SAMPLE-","SAMPLE-","")&amp;LOWER(SUBSTITUTE(SUBSTITUTE($A201,"SAMPLE-",""),"CMP-","c"))&amp;"-"&amp;LOWER(SUBSTITUTE(SUBSTITUTE($B201,"SAMPLE-",""),"O-","o"))&amp;"-p"))*(scans!$D$2:$D$1601="close")*scans!$E$2:$E$1601))-SUMPRODUCT(MAX((scans!$C$2:$C$1601=(IF(LEFT($A201,7)="SAMPLE-","SAMPLE-","")&amp;LOWER(SUBSTITUTE(SUBSTITUTE($A201,"SAMPLE-",""),"CMP-","c"))&amp;"-"&amp;LOWER(SUBSTITUTE(SUBSTITUTE($B201,"SAMPLE-",""),"O-","o"))&amp;"-p"))*(scans!$D$2:$D$1601="baseline")*scans!$E$2:$E$1601))))</f>
        <v/>
      </c>
      <c r="AP201" s="25">
        <f>IF($A201="","",IF(COUNTIF(offices!$A$2:$A$61,$B201)=0,"office_id not on offices; ","")&amp;IF(COUNTIF(campaigns!$A$2:$A$51,$A201)=0,"campaign_id not on campaigns; ","")&amp;IF($P201="pending","approval pending; ","")&amp;IF(AND($U201&gt;0,$Y201="",OR($I201="",IF(config!$B$37&lt;&gt;"",config!$B$37,TODAY())&lt;=WORKDAY(N($I201),4,calendar!$A$2:$A$80))),"no usable placement photo yet; ","")&amp;IF(AND($Y201&lt;&gt;"",$Z201=""),"log the placed count; ","")&amp;IF(N($AA201)&gt;N($U201),"placed more than delivered; ","")&amp;IF(AND($AF201&lt;&gt;"",N($AF201)&gt;N($AA201)+N($AD201)),"day-5 count above placed plus top-ups; ","")&amp;IF(AND($U201&gt;0,$I201&lt;&gt;"",IF(config!$B$37&lt;&gt;"",config!$B$37,TODAY())&gt;WORKDAY(N($I201),4,calendar!$A$2:$A$80),$AF201=""),"day-5 count missing; ","")&amp;IF(AND($U201&gt;0,$I201&lt;&gt;"",IF(config!$B$37&lt;&gt;"",config!$B$37,TODAY())&gt;WORKDAY(N($I201),4,calendar!$A$2:$A$80),$AN201=""),"no close link reading; ","")&amp;$R201&amp;IF($P201="N","info: office said no; ","")&amp;IF(AND($P201="Y",$Q201="N"),"info: turned away at the door, so not on the drop (no letter, not in the report or Gate 2; the credit check is on campaigns); ","")&amp;IF(AND($U201&gt;0,$Y201="",$I201&lt;&gt;"",IF(config!$B$37&lt;&gt;"",config!$B$37,TODAY())&gt;WORKDAY(N($I201),4,calendar!$A$2:$A$80)),"info: no usable placement photo, so nothing counts as placed; ","")&amp;IF(AND($U201&gt;0,$I201&lt;&gt;"",IF(config!$B$37&lt;&gt;"",config!$B$37,TODAY())&gt;WORKDAY(N($I201),4,calendar!$A$2:$A$80),N($AL201)&lt;config!$B$30),"info: under "&amp;config!$B$30&amp;" responses; ","")&amp;IF($W201="packing_list","info: delivered count not verified; ",""))</f>
        <v/>
      </c>
      <c r="AQ201" s="25">
        <f>IF(OR($A201="",$I201=""),"",IF($BC201="Y",SUMIFS(survey_frozen!$E$2:$E$251,survey_frozen!$P$2:$P$251,$A201&amp;"|"&amp;$B201),IFERROR(COUNTIFS(INDIRECT("'"&amp;$A201&amp;"'!$B$2:$B$501"),$T201,INDIRECT("'"&amp;$A201&amp;"'!$A$2:$A$501"),"&gt;="&amp;$I201,INDIRECT("'"&amp;$A201&amp;"'!$A$2:$A$501"),"&lt;"&amp;($BA201+1),INDIRECT("'"&amp;$A201&amp;"'!$F$2:$F$501"),"Didn't see it"),0)))</f>
        <v/>
      </c>
      <c r="AR201" s="25">
        <f>IF(OR($A201="",$I201=""),"",IF($BC201="Y",SUMIFS(survey_frozen!$F$2:$F$251,survey_frozen!$P$2:$P$251,$A201&amp;"|"&amp;$B201),IFERROR(COUNTIFS(INDIRECT("'"&amp;$A201&amp;"'!$B$2:$B$501"),$T201,INDIRECT("'"&amp;$A201&amp;"'!$A$2:$A$501"),"&gt;="&amp;$I201,INDIRECT("'"&amp;$A201&amp;"'!$A$2:$A$501"),"&lt;"&amp;($BA201+1),INDIRECT("'"&amp;$A201&amp;"'!$F$2:$F$501"),"Not for me"),0)))</f>
        <v/>
      </c>
      <c r="AS201" s="25">
        <f>IF(OR($A201="",$I201=""),"",IF($BC201="Y",SUMIFS(survey_frozen!$G$2:$G$251,survey_frozen!$P$2:$P$251,$A201&amp;"|"&amp;$B201),IFERROR(COUNTIFS(INDIRECT("'"&amp;$A201&amp;"'!$B$2:$B$501"),$T201,INDIRECT("'"&amp;$A201&amp;"'!$A$2:$A$501"),"&gt;="&amp;$I201,INDIRECT("'"&amp;$A201&amp;"'!$A$2:$A$501"),"&lt;"&amp;($BA201+1),INDIRECT("'"&amp;$A201&amp;"'!$F$2:$F$501"),"Gone by the time I looked"),0)))</f>
        <v/>
      </c>
      <c r="AT201" s="25">
        <f>IF(OR($A201="",$I201=""),"",IF($BC201="Y",SUMIFS(survey_frozen!$H$2:$H$251,survey_frozen!$P$2:$P$251,$A201&amp;"|"&amp;$B201),IFERROR(COUNTIFS(INDIRECT("'"&amp;$A201&amp;"'!$B$2:$B$501"),$T201,INDIRECT("'"&amp;$A201&amp;"'!$A$2:$A$501"),"&gt;="&amp;$I201,INDIRECT("'"&amp;$A201&amp;"'!$A$2:$A$501"),"&lt;"&amp;($BA201+1),INDIRECT("'"&amp;$A201&amp;"'!$D$2:$D$501"),"&gt;=1"),0)))</f>
        <v/>
      </c>
      <c r="AU201" s="25">
        <f>IF(OR($A201="",$I201=""),"",IF($BC201="Y",SUMIFS(survey_frozen!$I$2:$I$251,survey_frozen!$P$2:$P$251,$A201&amp;"|"&amp;$B201),IFERROR(SUMIFS(INDIRECT("'"&amp;$A201&amp;"'!$D$2:$D$501"),INDIRECT("'"&amp;$A201&amp;"'!$B$2:$B$501"),$T201,INDIRECT("'"&amp;$A201&amp;"'!$A$2:$A$501"),"&gt;="&amp;$I201,INDIRECT("'"&amp;$A201&amp;"'!$A$2:$A$501"),"&lt;"&amp;($BA201+1)),0)))</f>
        <v/>
      </c>
      <c r="AV201" s="25">
        <f>IF(OR($A201="",$I201=""),"",IF($BC201="Y",SUMIFS(survey_frozen!$J$2:$J$251,survey_frozen!$P$2:$P$251,$A201&amp;"|"&amp;$B201),IFERROR(COUNTIFS(INDIRECT("'"&amp;$A201&amp;"'!$B$2:$B$501"),$T201,INDIRECT("'"&amp;$A201&amp;"'!$A$2:$A$501"),"&gt;="&amp;$I201,INDIRECT("'"&amp;$A201&amp;"'!$A$2:$A$501"),"&lt;"&amp;($BA201+1),INDIRECT("'"&amp;$A201&amp;"'!$E$2:$E$501"),"Yes"),0)))</f>
        <v/>
      </c>
      <c r="AW201" s="25">
        <f>IF(OR($A201="",$I201=""),"",IF($BC201="Y",SUMIFS(survey_frozen!$K$2:$K$251,survey_frozen!$P$2:$P$251,$A201&amp;"|"&amp;$B201),IFERROR(COUNTIFS(INDIRECT("'"&amp;$A201&amp;"'!$B$2:$B$501"),$T201,INDIRECT("'"&amp;$A201&amp;"'!$A$2:$A$501"),"&gt;="&amp;$I201,INDIRECT("'"&amp;$A201&amp;"'!$A$2:$A$501"),"&lt;"&amp;($BA201+1),INDIRECT("'"&amp;$A201&amp;"'!$E$2:$E$501"),"Maybe"),0)))</f>
        <v/>
      </c>
      <c r="AX201" s="25">
        <f>IF(OR($A201="",$I201=""),"",IF($BC201="Y",SUMIFS(survey_frozen!$L$2:$L$251,survey_frozen!$P$2:$P$251,$A201&amp;"|"&amp;$B201),IFERROR(COUNTIFS(INDIRECT("'"&amp;$A201&amp;"'!$B$2:$B$501"),$T201,INDIRECT("'"&amp;$A201&amp;"'!$A$2:$A$501"),"&gt;="&amp;$I201,INDIRECT("'"&amp;$A201&amp;"'!$A$2:$A$501"),"&lt;"&amp;($BA201+1),INDIRECT("'"&amp;$A201&amp;"'!$E$2:$E$501"),"No"),0)))</f>
        <v/>
      </c>
      <c r="AY201" s="25">
        <f>IF(OR($A201="",$I201=""),"",IF($BC201="Y",SUMIFS(survey_frozen!$M$2:$M$251,survey_frozen!$P$2:$P$251,$A201&amp;"|"&amp;$B201),IFERROR(COUNTIFS(INDIRECT("'"&amp;$A201&amp;"'!$B$2:$B$501"),$T201,INDIRECT("'"&amp;$A201&amp;"'!$A$2:$A$501"),"&gt;="&amp;$I201,INDIRECT("'"&amp;$A201&amp;"'!$A$2:$A$501"),"&lt;"&amp;($BA201+1),INDIRECT("'"&amp;$A201&amp;"'!$G$2:$G$501"),"&lt;&gt;"),0)))</f>
        <v/>
      </c>
      <c r="AZ201" s="25">
        <f>IF($A201="","",$A201&amp;"|"&amp;$L201)</f>
        <v/>
      </c>
      <c r="BA201" s="26">
        <f>IF($A201="","",IFERROR(IF(INDEX(drops!$R$2:$R$21,MATCH($H201,drops!$A$2:$A$21,0))="","",INDEX(drops!$R$2:$R$21,MATCH($H201,drops!$A$2:$A$21,0))),""))</f>
        <v/>
      </c>
      <c r="BB201" s="25">
        <f>IF(OR($A201="",$Q201&lt;&gt;"Y"),1000000,N($AL201))</f>
        <v/>
      </c>
      <c r="BC201" s="25">
        <f>IF($A201="","",IF(COUNTIF(survey_frozen!$P$2:$P$251,$A201&amp;"|"&amp;$B201)&gt;0,"Y",""))</f>
        <v/>
      </c>
    </row>
    <row r="202">
      <c r="C202" s="9" t="n"/>
      <c r="E202" s="9" t="n"/>
      <c r="H202" s="25">
        <f>IF($A202="","",IFERROR(IF(INDEX(campaigns!$B$2:$B$51,MATCH($A202,campaigns!$A$2:$A$51,0))="","",INDEX(campaigns!$B$2:$B$51,MATCH($A202,campaigns!$A$2:$A$51,0))),""))</f>
        <v/>
      </c>
      <c r="I202" s="26">
        <f>IF($A202="","",IFERROR(IF(INDEX(campaigns!$BG$2:$BG$51,MATCH($A202,campaigns!$A$2:$A$51,0))="","",INDEX(campaigns!$BG$2:$BG$51,MATCH($A202,campaigns!$A$2:$A$51,0))),""))</f>
        <v/>
      </c>
      <c r="J202" s="25">
        <f>IF($A202="","",IFERROR(IF(INDEX(campaigns!$BE$2:$BE$51,MATCH($A202,campaigns!$A$2:$A$51,0))="","",INDEX(campaigns!$BE$2:$BE$51,MATCH($A202,campaigns!$A$2:$A$51,0))),""))</f>
        <v/>
      </c>
      <c r="K202" s="25">
        <f>IF($B202="","",IFERROR(IF(INDEX(offices!$N$2:$N$61,MATCH($B202,offices!$A$2:$A$61,0))="","",INDEX(offices!$N$2:$N$61,MATCH($B202,offices!$A$2:$A$61,0))),""))</f>
        <v/>
      </c>
      <c r="L202" s="25">
        <f>IF($A202="","",IF($Q202="N","",COUNTIFS($A$2:$A202,$A202,$Q$2:$Q202,"&lt;&gt;N")))</f>
        <v/>
      </c>
      <c r="M202" s="25">
        <f>IF(OR($A202="",$L202=""),"",IF(AND(config!$B$34="names_if_public",IFERROR(IF(INDEX(offices!$AF$2:$AF$61,MATCH($B202,offices!$A$2:$A$61,0))="","",INDEX(offices!$AF$2:$AF$61,MATCH($B202,offices!$A$2:$A$61,0))),"")="Y"),$K202,CHAR(64+$L202)))</f>
        <v/>
      </c>
      <c r="N202" s="25">
        <f>IF(OR($A202="",$I202=""),"",COUNTIFS(stops!$B$2:$B$151,$B202,stops!$P$2:$P$151,"&lt;"&amp;$I202,stops!$L$2:$L$151,"&lt;&gt;not_delivered")+1)</f>
        <v/>
      </c>
      <c r="O202" s="25">
        <f>IF($A202="","",IF(N($N202)&lt;=config!$B$29,"explicit","opt-out"))</f>
        <v/>
      </c>
      <c r="P202" s="25">
        <f>IF($A202="","",IF($O202="explicit",IF($D202="yes","Y",IF($D202="no","N","pending")),IF($D202="no","N",IF(AND($C202&lt;&gt;"",$I202&lt;&gt;"",$C202&lt;=WORKDAY(N($I202),-5,calendar!$A$2:$A$80)),"Y","pending"))))</f>
        <v/>
      </c>
      <c r="Q202" s="25">
        <f>IF($A202="","",IF($P202="N","N",IF($P202&lt;&gt;"Y","pending",IF(AND((COUNTIFS(stops!$A$2:$A$151,$H202,stops!$B$2:$B$151,$B202,stops!$L$2:$L$151,"declined")+COUNTIFS(stops!$A$2:$A$151,$H202,stops!$B$2:$B$151,$B202,stops!$L$2:$L$151,"building_refused")+COUNTIFS(stops!$A$2:$A$151,$H202,stops!$B$2:$B$151,$B202,stops!$L$2:$L$151,"not_delivered"))&gt;0,N($U202)=0),"N","Y"))))</f>
        <v/>
      </c>
      <c r="R202" s="25">
        <f>IF($A202="","",IF(COUNTIFS($A$2:$A$251,$A202,$B$2:$B$251,$B202)&gt;1,"DUPLICATE ROW; ","")&amp;IF(AND(IFERROR(IF(INDEX(offices!$AC$2:$AC$61,MATCH($B202,offices!$A$2:$A$61,0))="","",INDEX(offices!$AC$2:$AC$61,MATCH($B202,offices!$A$2:$A$61,0))),"")&lt;&gt;"",ISNUMBER(SEARCH($J202,IFERROR(IF(INDEX(offices!$AC$2:$AC$61,MATCH($B202,offices!$A$2:$A$61,0))="","",INDEX(offices!$AC$2:$AC$61,MATCH($B202,offices!$A$2:$A$61,0))),"")))),"BRAND VETOED; ","")&amp;IF(ISNUMBER(SEARCH(IFERROR(IF(INDEX(campaigns!$BF$2:$BF$51,MATCH($A202,campaigns!$A$2:$A$51,0))="","",INDEX(campaigns!$BF$2:$BF$51,MATCH($A202,campaigns!$A$2:$A$51,0))),""),IFERROR(IF(INDEX(offices!$AB$2:$AB$61,MATCH($B202,offices!$A$2:$A$61,0))="","",INDEX(offices!$AB$2:$AB$61,MATCH($B202,offices!$A$2:$A$61,0))),""))),"","info: category not on the office's list; ")&amp;IF(IFERROR(IF(INDEX(offices!$AC$2:$AC$61,MATCH($B202,offices!$A$2:$A$61,0))="","",INDEX(offices!$AC$2:$AC$61,MATCH($B202,offices!$A$2:$A$61,0))),"")&lt;&gt;"","info: read the vetoes against the label; ",""))</f>
        <v/>
      </c>
      <c r="S202" s="25">
        <f>IF($A202="","",IF($G202&lt;&gt;"",$G202,IFERROR(IF(INDEX(offices!$AL$2:$AL$61,MATCH($B202,offices!$A$2:$A$61,0))="","",INDEX(offices!$AL$2:$AL$61,MATCH($B202,offices!$A$2:$A$61,0))),"")))</f>
        <v/>
      </c>
      <c r="T202" s="25">
        <f>IF($A202="","",$A202&amp;"."&amp;$B202)</f>
        <v/>
      </c>
      <c r="U202" s="25">
        <f>IF($A202="","",SUMIFS(inventory!$G$2:$G$801,inventory!$C$2:$C$801,$A202,inventory!$D$2:$D$801,$B202,inventory!$E$2:$E$801,"delivered"))</f>
        <v/>
      </c>
      <c r="V202" s="32">
        <f>IF($A202="","",IFERROR(1/(1/SUMPRODUCT(MAX((inventory!$C$2:$C$801=$A202)*(inventory!$D$2:$D$801=$B202)*(inventory!$E$2:$E$801="delivered")*(inventory!$A$2:$A$801+inventory!$B$2:$B$801)))),""))</f>
        <v/>
      </c>
      <c r="W202" s="25">
        <f>IF($A202="","",IFERROR(IF(INDEX(inventory!$J$2:$J$801,MATCH($A202&amp;"|"&amp;$B202&amp;"|delivered",inventory!$R$2:$R$801,0))="","",INDEX(inventory!$J$2:$J$801,MATCH($A202&amp;"|"&amp;$B202&amp;"|delivered",inventory!$R$2:$R$801,0))),""))</f>
        <v/>
      </c>
      <c r="X202" s="25">
        <f>IF($A202="","",IFERROR(IF(INDEX(photos!$H$2:$H$701,MATCH($A202&amp;"|"&amp;$B202&amp;"|placement|Y",photos!$R$2:$R$701,0))="","",INDEX(photos!$H$2:$H$701,MATCH($A202&amp;"|"&amp;$B202&amp;"|placement|Y",photos!$R$2:$R$701,0))),""))</f>
        <v/>
      </c>
      <c r="Y202" s="26">
        <f>IF($A202="","",IFERROR(IF(INDEX(photos!$E$2:$E$701,MATCH($A202&amp;"|"&amp;$B202&amp;"|placement|Y",photos!$R$2:$R$701,0))="","",INDEX(photos!$E$2:$E$701,MATCH($A202&amp;"|"&amp;$B202&amp;"|placement|Y",photos!$R$2:$R$701,0))),""))</f>
        <v/>
      </c>
      <c r="Z202" s="25">
        <f>IF($A202="","",IF(COUNTIFS(counts!$C$2:$C$701,$A202,counts!$D$2:$D$701,$B202,counts!$E$2:$E$701,"placed")=0,"",SUMIFS(counts!$F$2:$F$701,counts!$C$2:$C$701,$A202,counts!$D$2:$D$701,$B202,counts!$E$2:$E$701,"placed")))</f>
        <v/>
      </c>
      <c r="AA202" s="25">
        <f>IF($A202="","",IF($Y202="",0,N($Z202)))</f>
        <v/>
      </c>
      <c r="AB202" s="25">
        <f>IF($A202="","",IF(OR($Y202="",$I202=""),"N",IF($Y202&lt;=WORKDAY(N($I202),1,calendar!$A$2:$A$80),"Y","N")))</f>
        <v/>
      </c>
      <c r="AC202" s="28">
        <f>IF(OR($A202="",$V202="",$Y202=""),"",ROUND(($Y202+N(IFERROR(IF(INDEX(photos!$F$2:$F$701,MATCH($A202&amp;"|"&amp;$B202&amp;"|placement|Y",photos!$R$2:$R$701,0))="","",INDEX(photos!$F$2:$F$701,MATCH($A202&amp;"|"&amp;$B202&amp;"|placement|Y",photos!$R$2:$R$701,0))),""))-$V202)*24,1))</f>
        <v/>
      </c>
      <c r="AD202" s="25">
        <f>IF($A202="","",SUMIFS(inventory!$G$2:$G$801,inventory!$C$2:$C$801,$A202,inventory!$D$2:$D$801,$B202,inventory!$E$2:$E$801,"topped_up"))</f>
        <v/>
      </c>
      <c r="AE202" s="25">
        <f>IF($A202="","",IF(COUNTIFS(counts!$C$2:$C$701,$A202,counts!$D$2:$D$701,$B202,counts!$E$2:$E$701,"remaining_day3")=0,"",SUMIFS(counts!$F$2:$F$701,counts!$C$2:$C$701,$A202,counts!$D$2:$D$701,$B202,counts!$E$2:$E$701,"remaining_day3")))</f>
        <v/>
      </c>
      <c r="AF202" s="25">
        <f>IF($A202="","",IF(COUNTIFS(counts!$C$2:$C$701,$A202,counts!$D$2:$D$701,$B202,counts!$E$2:$E$701,"remaining_day5")=0,"",SUMIFS(counts!$F$2:$F$701,counts!$C$2:$C$701,$A202,counts!$D$2:$D$701,$B202,counts!$E$2:$E$701,"remaining_day5")))</f>
        <v/>
      </c>
      <c r="AG202" s="25">
        <f>IF(OR($A202="",$AF202=""),"",MAX(0,$AA202+$AD202-$AF202))</f>
        <v/>
      </c>
      <c r="AH202" s="25">
        <f>IF(OR($A202="",$AI202=""),"",IFERROR(IF(INDEX(photos!$H$2:$H$701,MATCH($A202&amp;"|"&amp;$B202&amp;"|later|Y|"&amp;$AI202,photos!$S$2:$S$701,0))="","",INDEX(photos!$H$2:$H$701,MATCH($A202&amp;"|"&amp;$B202&amp;"|later|Y|"&amp;$AI202,photos!$S$2:$S$701,0))),""))</f>
        <v/>
      </c>
      <c r="AI202" s="26">
        <f>IF($A202="","",IFERROR(1/(1/SUMPRODUCT(MAX((photos!$B$2:$B$701=$A202)*(photos!$C$2:$C$701=$B202)*(photos!$D$2:$D$701="later")*(photos!$O$2:$O$701="Y")*photos!$E$2:$E$701))),""))</f>
        <v/>
      </c>
      <c r="AJ202" s="25">
        <f>IF(OR($A202="",$AI202="",$I202=""),"",NETWORKDAYS($I202,$AI202,calendar!$A$2:$A$80))</f>
        <v/>
      </c>
      <c r="AK202" s="25">
        <f>IF($A202="","",IF(AND($X202&lt;&gt;"",$AH202&lt;&gt;""),"Y","N"))</f>
        <v/>
      </c>
      <c r="AL202" s="25">
        <f>IF(OR($A202="",$I202=""),"",IF($BC202="Y",SUMIFS(survey_frozen!$C$2:$C$251,survey_frozen!$P$2:$P$251,$A202&amp;"|"&amp;$B202),IFERROR(COUNTIFS(INDIRECT("'"&amp;$A202&amp;"'!$B$2:$B$501"),$T202,INDIRECT("'"&amp;$A202&amp;"'!$A$2:$A$501"),"&gt;="&amp;$I202,INDIRECT("'"&amp;$A202&amp;"'!$A$2:$A$501"),"&lt;"&amp;($BA202+1)),0)))</f>
        <v/>
      </c>
      <c r="AM202" s="25">
        <f>IF(OR($A202="",$I202=""),"",IF($BC202="Y",SUMIFS(survey_frozen!$D$2:$D$251,survey_frozen!$P$2:$P$251,$A202&amp;"|"&amp;$B202),IFERROR(COUNTIFS(INDIRECT("'"&amp;$A202&amp;"'!$B$2:$B$501"),$T202,INDIRECT("'"&amp;$A202&amp;"'!$A$2:$A$501"),"&gt;="&amp;$I202,INDIRECT("'"&amp;$A202&amp;"'!$A$2:$A$501"),"&lt;"&amp;($BA202+1),INDIRECT("'"&amp;$A202&amp;"'!$C$2:$C$501"),"Yes"),0)))</f>
        <v/>
      </c>
      <c r="AN202" s="25">
        <f>IF($A202="","",IF(COUNTIFS(scans!$C$2:$C$1601,(IF(LEFT($A202,7)="SAMPLE-","SAMPLE-","")&amp;LOWER(SUBSTITUTE(SUBSTITUTE($A202,"SAMPLE-",""),"CMP-","c"))&amp;"-"&amp;LOWER(SUBSTITUTE(SUBSTITUTE($B202,"SAMPLE-",""),"O-","o"))&amp;"-q"),scans!$D$2:$D$1601,"close")=0,"",SUMPRODUCT(MAX((scans!$C$2:$C$1601=(IF(LEFT($A202,7)="SAMPLE-","SAMPLE-","")&amp;LOWER(SUBSTITUTE(SUBSTITUTE($A202,"SAMPLE-",""),"CMP-","c"))&amp;"-"&amp;LOWER(SUBSTITUTE(SUBSTITUTE($B202,"SAMPLE-",""),"O-","o"))&amp;"-q"))*(scans!$D$2:$D$1601="close")*scans!$E$2:$E$1601))-SUMPRODUCT(MAX((scans!$C$2:$C$1601=(IF(LEFT($A202,7)="SAMPLE-","SAMPLE-","")&amp;LOWER(SUBSTITUTE(SUBSTITUTE($A202,"SAMPLE-",""),"CMP-","c"))&amp;"-"&amp;LOWER(SUBSTITUTE(SUBSTITUTE($B202,"SAMPLE-",""),"O-","o"))&amp;"-q"))*(scans!$D$2:$D$1601="baseline")*scans!$E$2:$E$1601))))</f>
        <v/>
      </c>
      <c r="AO202" s="25">
        <f>IF($A202="","",IF(COUNTIFS(scans!$C$2:$C$1601,(IF(LEFT($A202,7)="SAMPLE-","SAMPLE-","")&amp;LOWER(SUBSTITUTE(SUBSTITUTE($A202,"SAMPLE-",""),"CMP-","c"))&amp;"-"&amp;LOWER(SUBSTITUTE(SUBSTITUTE($B202,"SAMPLE-",""),"O-","o"))&amp;"-p"),scans!$D$2:$D$1601,"close")=0,"",SUMPRODUCT(MAX((scans!$C$2:$C$1601=(IF(LEFT($A202,7)="SAMPLE-","SAMPLE-","")&amp;LOWER(SUBSTITUTE(SUBSTITUTE($A202,"SAMPLE-",""),"CMP-","c"))&amp;"-"&amp;LOWER(SUBSTITUTE(SUBSTITUTE($B202,"SAMPLE-",""),"O-","o"))&amp;"-p"))*(scans!$D$2:$D$1601="close")*scans!$E$2:$E$1601))-SUMPRODUCT(MAX((scans!$C$2:$C$1601=(IF(LEFT($A202,7)="SAMPLE-","SAMPLE-","")&amp;LOWER(SUBSTITUTE(SUBSTITUTE($A202,"SAMPLE-",""),"CMP-","c"))&amp;"-"&amp;LOWER(SUBSTITUTE(SUBSTITUTE($B202,"SAMPLE-",""),"O-","o"))&amp;"-p"))*(scans!$D$2:$D$1601="baseline")*scans!$E$2:$E$1601))))</f>
        <v/>
      </c>
      <c r="AP202" s="25">
        <f>IF($A202="","",IF(COUNTIF(offices!$A$2:$A$61,$B202)=0,"office_id not on offices; ","")&amp;IF(COUNTIF(campaigns!$A$2:$A$51,$A202)=0,"campaign_id not on campaigns; ","")&amp;IF($P202="pending","approval pending; ","")&amp;IF(AND($U202&gt;0,$Y202="",OR($I202="",IF(config!$B$37&lt;&gt;"",config!$B$37,TODAY())&lt;=WORKDAY(N($I202),4,calendar!$A$2:$A$80))),"no usable placement photo yet; ","")&amp;IF(AND($Y202&lt;&gt;"",$Z202=""),"log the placed count; ","")&amp;IF(N($AA202)&gt;N($U202),"placed more than delivered; ","")&amp;IF(AND($AF202&lt;&gt;"",N($AF202)&gt;N($AA202)+N($AD202)),"day-5 count above placed plus top-ups; ","")&amp;IF(AND($U202&gt;0,$I202&lt;&gt;"",IF(config!$B$37&lt;&gt;"",config!$B$37,TODAY())&gt;WORKDAY(N($I202),4,calendar!$A$2:$A$80),$AF202=""),"day-5 count missing; ","")&amp;IF(AND($U202&gt;0,$I202&lt;&gt;"",IF(config!$B$37&lt;&gt;"",config!$B$37,TODAY())&gt;WORKDAY(N($I202),4,calendar!$A$2:$A$80),$AN202=""),"no close link reading; ","")&amp;$R202&amp;IF($P202="N","info: office said no; ","")&amp;IF(AND($P202="Y",$Q202="N"),"info: turned away at the door, so not on the drop (no letter, not in the report or Gate 2; the credit check is on campaigns); ","")&amp;IF(AND($U202&gt;0,$Y202="",$I202&lt;&gt;"",IF(config!$B$37&lt;&gt;"",config!$B$37,TODAY())&gt;WORKDAY(N($I202),4,calendar!$A$2:$A$80)),"info: no usable placement photo, so nothing counts as placed; ","")&amp;IF(AND($U202&gt;0,$I202&lt;&gt;"",IF(config!$B$37&lt;&gt;"",config!$B$37,TODAY())&gt;WORKDAY(N($I202),4,calendar!$A$2:$A$80),N($AL202)&lt;config!$B$30),"info: under "&amp;config!$B$30&amp;" responses; ","")&amp;IF($W202="packing_list","info: delivered count not verified; ",""))</f>
        <v/>
      </c>
      <c r="AQ202" s="25">
        <f>IF(OR($A202="",$I202=""),"",IF($BC202="Y",SUMIFS(survey_frozen!$E$2:$E$251,survey_frozen!$P$2:$P$251,$A202&amp;"|"&amp;$B202),IFERROR(COUNTIFS(INDIRECT("'"&amp;$A202&amp;"'!$B$2:$B$501"),$T202,INDIRECT("'"&amp;$A202&amp;"'!$A$2:$A$501"),"&gt;="&amp;$I202,INDIRECT("'"&amp;$A202&amp;"'!$A$2:$A$501"),"&lt;"&amp;($BA202+1),INDIRECT("'"&amp;$A202&amp;"'!$F$2:$F$501"),"Didn't see it"),0)))</f>
        <v/>
      </c>
      <c r="AR202" s="25">
        <f>IF(OR($A202="",$I202=""),"",IF($BC202="Y",SUMIFS(survey_frozen!$F$2:$F$251,survey_frozen!$P$2:$P$251,$A202&amp;"|"&amp;$B202),IFERROR(COUNTIFS(INDIRECT("'"&amp;$A202&amp;"'!$B$2:$B$501"),$T202,INDIRECT("'"&amp;$A202&amp;"'!$A$2:$A$501"),"&gt;="&amp;$I202,INDIRECT("'"&amp;$A202&amp;"'!$A$2:$A$501"),"&lt;"&amp;($BA202+1),INDIRECT("'"&amp;$A202&amp;"'!$F$2:$F$501"),"Not for me"),0)))</f>
        <v/>
      </c>
      <c r="AS202" s="25">
        <f>IF(OR($A202="",$I202=""),"",IF($BC202="Y",SUMIFS(survey_frozen!$G$2:$G$251,survey_frozen!$P$2:$P$251,$A202&amp;"|"&amp;$B202),IFERROR(COUNTIFS(INDIRECT("'"&amp;$A202&amp;"'!$B$2:$B$501"),$T202,INDIRECT("'"&amp;$A202&amp;"'!$A$2:$A$501"),"&gt;="&amp;$I202,INDIRECT("'"&amp;$A202&amp;"'!$A$2:$A$501"),"&lt;"&amp;($BA202+1),INDIRECT("'"&amp;$A202&amp;"'!$F$2:$F$501"),"Gone by the time I looked"),0)))</f>
        <v/>
      </c>
      <c r="AT202" s="25">
        <f>IF(OR($A202="",$I202=""),"",IF($BC202="Y",SUMIFS(survey_frozen!$H$2:$H$251,survey_frozen!$P$2:$P$251,$A202&amp;"|"&amp;$B202),IFERROR(COUNTIFS(INDIRECT("'"&amp;$A202&amp;"'!$B$2:$B$501"),$T202,INDIRECT("'"&amp;$A202&amp;"'!$A$2:$A$501"),"&gt;="&amp;$I202,INDIRECT("'"&amp;$A202&amp;"'!$A$2:$A$501"),"&lt;"&amp;($BA202+1),INDIRECT("'"&amp;$A202&amp;"'!$D$2:$D$501"),"&gt;=1"),0)))</f>
        <v/>
      </c>
      <c r="AU202" s="25">
        <f>IF(OR($A202="",$I202=""),"",IF($BC202="Y",SUMIFS(survey_frozen!$I$2:$I$251,survey_frozen!$P$2:$P$251,$A202&amp;"|"&amp;$B202),IFERROR(SUMIFS(INDIRECT("'"&amp;$A202&amp;"'!$D$2:$D$501"),INDIRECT("'"&amp;$A202&amp;"'!$B$2:$B$501"),$T202,INDIRECT("'"&amp;$A202&amp;"'!$A$2:$A$501"),"&gt;="&amp;$I202,INDIRECT("'"&amp;$A202&amp;"'!$A$2:$A$501"),"&lt;"&amp;($BA202+1)),0)))</f>
        <v/>
      </c>
      <c r="AV202" s="25">
        <f>IF(OR($A202="",$I202=""),"",IF($BC202="Y",SUMIFS(survey_frozen!$J$2:$J$251,survey_frozen!$P$2:$P$251,$A202&amp;"|"&amp;$B202),IFERROR(COUNTIFS(INDIRECT("'"&amp;$A202&amp;"'!$B$2:$B$501"),$T202,INDIRECT("'"&amp;$A202&amp;"'!$A$2:$A$501"),"&gt;="&amp;$I202,INDIRECT("'"&amp;$A202&amp;"'!$A$2:$A$501"),"&lt;"&amp;($BA202+1),INDIRECT("'"&amp;$A202&amp;"'!$E$2:$E$501"),"Yes"),0)))</f>
        <v/>
      </c>
      <c r="AW202" s="25">
        <f>IF(OR($A202="",$I202=""),"",IF($BC202="Y",SUMIFS(survey_frozen!$K$2:$K$251,survey_frozen!$P$2:$P$251,$A202&amp;"|"&amp;$B202),IFERROR(COUNTIFS(INDIRECT("'"&amp;$A202&amp;"'!$B$2:$B$501"),$T202,INDIRECT("'"&amp;$A202&amp;"'!$A$2:$A$501"),"&gt;="&amp;$I202,INDIRECT("'"&amp;$A202&amp;"'!$A$2:$A$501"),"&lt;"&amp;($BA202+1),INDIRECT("'"&amp;$A202&amp;"'!$E$2:$E$501"),"Maybe"),0)))</f>
        <v/>
      </c>
      <c r="AX202" s="25">
        <f>IF(OR($A202="",$I202=""),"",IF($BC202="Y",SUMIFS(survey_frozen!$L$2:$L$251,survey_frozen!$P$2:$P$251,$A202&amp;"|"&amp;$B202),IFERROR(COUNTIFS(INDIRECT("'"&amp;$A202&amp;"'!$B$2:$B$501"),$T202,INDIRECT("'"&amp;$A202&amp;"'!$A$2:$A$501"),"&gt;="&amp;$I202,INDIRECT("'"&amp;$A202&amp;"'!$A$2:$A$501"),"&lt;"&amp;($BA202+1),INDIRECT("'"&amp;$A202&amp;"'!$E$2:$E$501"),"No"),0)))</f>
        <v/>
      </c>
      <c r="AY202" s="25">
        <f>IF(OR($A202="",$I202=""),"",IF($BC202="Y",SUMIFS(survey_frozen!$M$2:$M$251,survey_frozen!$P$2:$P$251,$A202&amp;"|"&amp;$B202),IFERROR(COUNTIFS(INDIRECT("'"&amp;$A202&amp;"'!$B$2:$B$501"),$T202,INDIRECT("'"&amp;$A202&amp;"'!$A$2:$A$501"),"&gt;="&amp;$I202,INDIRECT("'"&amp;$A202&amp;"'!$A$2:$A$501"),"&lt;"&amp;($BA202+1),INDIRECT("'"&amp;$A202&amp;"'!$G$2:$G$501"),"&lt;&gt;"),0)))</f>
        <v/>
      </c>
      <c r="AZ202" s="25">
        <f>IF($A202="","",$A202&amp;"|"&amp;$L202)</f>
        <v/>
      </c>
      <c r="BA202" s="26">
        <f>IF($A202="","",IFERROR(IF(INDEX(drops!$R$2:$R$21,MATCH($H202,drops!$A$2:$A$21,0))="","",INDEX(drops!$R$2:$R$21,MATCH($H202,drops!$A$2:$A$21,0))),""))</f>
        <v/>
      </c>
      <c r="BB202" s="25">
        <f>IF(OR($A202="",$Q202&lt;&gt;"Y"),1000000,N($AL202))</f>
        <v/>
      </c>
      <c r="BC202" s="25">
        <f>IF($A202="","",IF(COUNTIF(survey_frozen!$P$2:$P$251,$A202&amp;"|"&amp;$B202)&gt;0,"Y",""))</f>
        <v/>
      </c>
    </row>
    <row r="203">
      <c r="C203" s="9" t="n"/>
      <c r="E203" s="9" t="n"/>
      <c r="H203" s="25">
        <f>IF($A203="","",IFERROR(IF(INDEX(campaigns!$B$2:$B$51,MATCH($A203,campaigns!$A$2:$A$51,0))="","",INDEX(campaigns!$B$2:$B$51,MATCH($A203,campaigns!$A$2:$A$51,0))),""))</f>
        <v/>
      </c>
      <c r="I203" s="26">
        <f>IF($A203="","",IFERROR(IF(INDEX(campaigns!$BG$2:$BG$51,MATCH($A203,campaigns!$A$2:$A$51,0))="","",INDEX(campaigns!$BG$2:$BG$51,MATCH($A203,campaigns!$A$2:$A$51,0))),""))</f>
        <v/>
      </c>
      <c r="J203" s="25">
        <f>IF($A203="","",IFERROR(IF(INDEX(campaigns!$BE$2:$BE$51,MATCH($A203,campaigns!$A$2:$A$51,0))="","",INDEX(campaigns!$BE$2:$BE$51,MATCH($A203,campaigns!$A$2:$A$51,0))),""))</f>
        <v/>
      </c>
      <c r="K203" s="25">
        <f>IF($B203="","",IFERROR(IF(INDEX(offices!$N$2:$N$61,MATCH($B203,offices!$A$2:$A$61,0))="","",INDEX(offices!$N$2:$N$61,MATCH($B203,offices!$A$2:$A$61,0))),""))</f>
        <v/>
      </c>
      <c r="L203" s="25">
        <f>IF($A203="","",IF($Q203="N","",COUNTIFS($A$2:$A203,$A203,$Q$2:$Q203,"&lt;&gt;N")))</f>
        <v/>
      </c>
      <c r="M203" s="25">
        <f>IF(OR($A203="",$L203=""),"",IF(AND(config!$B$34="names_if_public",IFERROR(IF(INDEX(offices!$AF$2:$AF$61,MATCH($B203,offices!$A$2:$A$61,0))="","",INDEX(offices!$AF$2:$AF$61,MATCH($B203,offices!$A$2:$A$61,0))),"")="Y"),$K203,CHAR(64+$L203)))</f>
        <v/>
      </c>
      <c r="N203" s="25">
        <f>IF(OR($A203="",$I203=""),"",COUNTIFS(stops!$B$2:$B$151,$B203,stops!$P$2:$P$151,"&lt;"&amp;$I203,stops!$L$2:$L$151,"&lt;&gt;not_delivered")+1)</f>
        <v/>
      </c>
      <c r="O203" s="25">
        <f>IF($A203="","",IF(N($N203)&lt;=config!$B$29,"explicit","opt-out"))</f>
        <v/>
      </c>
      <c r="P203" s="25">
        <f>IF($A203="","",IF($O203="explicit",IF($D203="yes","Y",IF($D203="no","N","pending")),IF($D203="no","N",IF(AND($C203&lt;&gt;"",$I203&lt;&gt;"",$C203&lt;=WORKDAY(N($I203),-5,calendar!$A$2:$A$80)),"Y","pending"))))</f>
        <v/>
      </c>
      <c r="Q203" s="25">
        <f>IF($A203="","",IF($P203="N","N",IF($P203&lt;&gt;"Y","pending",IF(AND((COUNTIFS(stops!$A$2:$A$151,$H203,stops!$B$2:$B$151,$B203,stops!$L$2:$L$151,"declined")+COUNTIFS(stops!$A$2:$A$151,$H203,stops!$B$2:$B$151,$B203,stops!$L$2:$L$151,"building_refused")+COUNTIFS(stops!$A$2:$A$151,$H203,stops!$B$2:$B$151,$B203,stops!$L$2:$L$151,"not_delivered"))&gt;0,N($U203)=0),"N","Y"))))</f>
        <v/>
      </c>
      <c r="R203" s="25">
        <f>IF($A203="","",IF(COUNTIFS($A$2:$A$251,$A203,$B$2:$B$251,$B203)&gt;1,"DUPLICATE ROW; ","")&amp;IF(AND(IFERROR(IF(INDEX(offices!$AC$2:$AC$61,MATCH($B203,offices!$A$2:$A$61,0))="","",INDEX(offices!$AC$2:$AC$61,MATCH($B203,offices!$A$2:$A$61,0))),"")&lt;&gt;"",ISNUMBER(SEARCH($J203,IFERROR(IF(INDEX(offices!$AC$2:$AC$61,MATCH($B203,offices!$A$2:$A$61,0))="","",INDEX(offices!$AC$2:$AC$61,MATCH($B203,offices!$A$2:$A$61,0))),"")))),"BRAND VETOED; ","")&amp;IF(ISNUMBER(SEARCH(IFERROR(IF(INDEX(campaigns!$BF$2:$BF$51,MATCH($A203,campaigns!$A$2:$A$51,0))="","",INDEX(campaigns!$BF$2:$BF$51,MATCH($A203,campaigns!$A$2:$A$51,0))),""),IFERROR(IF(INDEX(offices!$AB$2:$AB$61,MATCH($B203,offices!$A$2:$A$61,0))="","",INDEX(offices!$AB$2:$AB$61,MATCH($B203,offices!$A$2:$A$61,0))),""))),"","info: category not on the office's list; ")&amp;IF(IFERROR(IF(INDEX(offices!$AC$2:$AC$61,MATCH($B203,offices!$A$2:$A$61,0))="","",INDEX(offices!$AC$2:$AC$61,MATCH($B203,offices!$A$2:$A$61,0))),"")&lt;&gt;"","info: read the vetoes against the label; ",""))</f>
        <v/>
      </c>
      <c r="S203" s="25">
        <f>IF($A203="","",IF($G203&lt;&gt;"",$G203,IFERROR(IF(INDEX(offices!$AL$2:$AL$61,MATCH($B203,offices!$A$2:$A$61,0))="","",INDEX(offices!$AL$2:$AL$61,MATCH($B203,offices!$A$2:$A$61,0))),"")))</f>
        <v/>
      </c>
      <c r="T203" s="25">
        <f>IF($A203="","",$A203&amp;"."&amp;$B203)</f>
        <v/>
      </c>
      <c r="U203" s="25">
        <f>IF($A203="","",SUMIFS(inventory!$G$2:$G$801,inventory!$C$2:$C$801,$A203,inventory!$D$2:$D$801,$B203,inventory!$E$2:$E$801,"delivered"))</f>
        <v/>
      </c>
      <c r="V203" s="32">
        <f>IF($A203="","",IFERROR(1/(1/SUMPRODUCT(MAX((inventory!$C$2:$C$801=$A203)*(inventory!$D$2:$D$801=$B203)*(inventory!$E$2:$E$801="delivered")*(inventory!$A$2:$A$801+inventory!$B$2:$B$801)))),""))</f>
        <v/>
      </c>
      <c r="W203" s="25">
        <f>IF($A203="","",IFERROR(IF(INDEX(inventory!$J$2:$J$801,MATCH($A203&amp;"|"&amp;$B203&amp;"|delivered",inventory!$R$2:$R$801,0))="","",INDEX(inventory!$J$2:$J$801,MATCH($A203&amp;"|"&amp;$B203&amp;"|delivered",inventory!$R$2:$R$801,0))),""))</f>
        <v/>
      </c>
      <c r="X203" s="25">
        <f>IF($A203="","",IFERROR(IF(INDEX(photos!$H$2:$H$701,MATCH($A203&amp;"|"&amp;$B203&amp;"|placement|Y",photos!$R$2:$R$701,0))="","",INDEX(photos!$H$2:$H$701,MATCH($A203&amp;"|"&amp;$B203&amp;"|placement|Y",photos!$R$2:$R$701,0))),""))</f>
        <v/>
      </c>
      <c r="Y203" s="26">
        <f>IF($A203="","",IFERROR(IF(INDEX(photos!$E$2:$E$701,MATCH($A203&amp;"|"&amp;$B203&amp;"|placement|Y",photos!$R$2:$R$701,0))="","",INDEX(photos!$E$2:$E$701,MATCH($A203&amp;"|"&amp;$B203&amp;"|placement|Y",photos!$R$2:$R$701,0))),""))</f>
        <v/>
      </c>
      <c r="Z203" s="25">
        <f>IF($A203="","",IF(COUNTIFS(counts!$C$2:$C$701,$A203,counts!$D$2:$D$701,$B203,counts!$E$2:$E$701,"placed")=0,"",SUMIFS(counts!$F$2:$F$701,counts!$C$2:$C$701,$A203,counts!$D$2:$D$701,$B203,counts!$E$2:$E$701,"placed")))</f>
        <v/>
      </c>
      <c r="AA203" s="25">
        <f>IF($A203="","",IF($Y203="",0,N($Z203)))</f>
        <v/>
      </c>
      <c r="AB203" s="25">
        <f>IF($A203="","",IF(OR($Y203="",$I203=""),"N",IF($Y203&lt;=WORKDAY(N($I203),1,calendar!$A$2:$A$80),"Y","N")))</f>
        <v/>
      </c>
      <c r="AC203" s="28">
        <f>IF(OR($A203="",$V203="",$Y203=""),"",ROUND(($Y203+N(IFERROR(IF(INDEX(photos!$F$2:$F$701,MATCH($A203&amp;"|"&amp;$B203&amp;"|placement|Y",photos!$R$2:$R$701,0))="","",INDEX(photos!$F$2:$F$701,MATCH($A203&amp;"|"&amp;$B203&amp;"|placement|Y",photos!$R$2:$R$701,0))),""))-$V203)*24,1))</f>
        <v/>
      </c>
      <c r="AD203" s="25">
        <f>IF($A203="","",SUMIFS(inventory!$G$2:$G$801,inventory!$C$2:$C$801,$A203,inventory!$D$2:$D$801,$B203,inventory!$E$2:$E$801,"topped_up"))</f>
        <v/>
      </c>
      <c r="AE203" s="25">
        <f>IF($A203="","",IF(COUNTIFS(counts!$C$2:$C$701,$A203,counts!$D$2:$D$701,$B203,counts!$E$2:$E$701,"remaining_day3")=0,"",SUMIFS(counts!$F$2:$F$701,counts!$C$2:$C$701,$A203,counts!$D$2:$D$701,$B203,counts!$E$2:$E$701,"remaining_day3")))</f>
        <v/>
      </c>
      <c r="AF203" s="25">
        <f>IF($A203="","",IF(COUNTIFS(counts!$C$2:$C$701,$A203,counts!$D$2:$D$701,$B203,counts!$E$2:$E$701,"remaining_day5")=0,"",SUMIFS(counts!$F$2:$F$701,counts!$C$2:$C$701,$A203,counts!$D$2:$D$701,$B203,counts!$E$2:$E$701,"remaining_day5")))</f>
        <v/>
      </c>
      <c r="AG203" s="25">
        <f>IF(OR($A203="",$AF203=""),"",MAX(0,$AA203+$AD203-$AF203))</f>
        <v/>
      </c>
      <c r="AH203" s="25">
        <f>IF(OR($A203="",$AI203=""),"",IFERROR(IF(INDEX(photos!$H$2:$H$701,MATCH($A203&amp;"|"&amp;$B203&amp;"|later|Y|"&amp;$AI203,photos!$S$2:$S$701,0))="","",INDEX(photos!$H$2:$H$701,MATCH($A203&amp;"|"&amp;$B203&amp;"|later|Y|"&amp;$AI203,photos!$S$2:$S$701,0))),""))</f>
        <v/>
      </c>
      <c r="AI203" s="26">
        <f>IF($A203="","",IFERROR(1/(1/SUMPRODUCT(MAX((photos!$B$2:$B$701=$A203)*(photos!$C$2:$C$701=$B203)*(photos!$D$2:$D$701="later")*(photos!$O$2:$O$701="Y")*photos!$E$2:$E$701))),""))</f>
        <v/>
      </c>
      <c r="AJ203" s="25">
        <f>IF(OR($A203="",$AI203="",$I203=""),"",NETWORKDAYS($I203,$AI203,calendar!$A$2:$A$80))</f>
        <v/>
      </c>
      <c r="AK203" s="25">
        <f>IF($A203="","",IF(AND($X203&lt;&gt;"",$AH203&lt;&gt;""),"Y","N"))</f>
        <v/>
      </c>
      <c r="AL203" s="25">
        <f>IF(OR($A203="",$I203=""),"",IF($BC203="Y",SUMIFS(survey_frozen!$C$2:$C$251,survey_frozen!$P$2:$P$251,$A203&amp;"|"&amp;$B203),IFERROR(COUNTIFS(INDIRECT("'"&amp;$A203&amp;"'!$B$2:$B$501"),$T203,INDIRECT("'"&amp;$A203&amp;"'!$A$2:$A$501"),"&gt;="&amp;$I203,INDIRECT("'"&amp;$A203&amp;"'!$A$2:$A$501"),"&lt;"&amp;($BA203+1)),0)))</f>
        <v/>
      </c>
      <c r="AM203" s="25">
        <f>IF(OR($A203="",$I203=""),"",IF($BC203="Y",SUMIFS(survey_frozen!$D$2:$D$251,survey_frozen!$P$2:$P$251,$A203&amp;"|"&amp;$B203),IFERROR(COUNTIFS(INDIRECT("'"&amp;$A203&amp;"'!$B$2:$B$501"),$T203,INDIRECT("'"&amp;$A203&amp;"'!$A$2:$A$501"),"&gt;="&amp;$I203,INDIRECT("'"&amp;$A203&amp;"'!$A$2:$A$501"),"&lt;"&amp;($BA203+1),INDIRECT("'"&amp;$A203&amp;"'!$C$2:$C$501"),"Yes"),0)))</f>
        <v/>
      </c>
      <c r="AN203" s="25">
        <f>IF($A203="","",IF(COUNTIFS(scans!$C$2:$C$1601,(IF(LEFT($A203,7)="SAMPLE-","SAMPLE-","")&amp;LOWER(SUBSTITUTE(SUBSTITUTE($A203,"SAMPLE-",""),"CMP-","c"))&amp;"-"&amp;LOWER(SUBSTITUTE(SUBSTITUTE($B203,"SAMPLE-",""),"O-","o"))&amp;"-q"),scans!$D$2:$D$1601,"close")=0,"",SUMPRODUCT(MAX((scans!$C$2:$C$1601=(IF(LEFT($A203,7)="SAMPLE-","SAMPLE-","")&amp;LOWER(SUBSTITUTE(SUBSTITUTE($A203,"SAMPLE-",""),"CMP-","c"))&amp;"-"&amp;LOWER(SUBSTITUTE(SUBSTITUTE($B203,"SAMPLE-",""),"O-","o"))&amp;"-q"))*(scans!$D$2:$D$1601="close")*scans!$E$2:$E$1601))-SUMPRODUCT(MAX((scans!$C$2:$C$1601=(IF(LEFT($A203,7)="SAMPLE-","SAMPLE-","")&amp;LOWER(SUBSTITUTE(SUBSTITUTE($A203,"SAMPLE-",""),"CMP-","c"))&amp;"-"&amp;LOWER(SUBSTITUTE(SUBSTITUTE($B203,"SAMPLE-",""),"O-","o"))&amp;"-q"))*(scans!$D$2:$D$1601="baseline")*scans!$E$2:$E$1601))))</f>
        <v/>
      </c>
      <c r="AO203" s="25">
        <f>IF($A203="","",IF(COUNTIFS(scans!$C$2:$C$1601,(IF(LEFT($A203,7)="SAMPLE-","SAMPLE-","")&amp;LOWER(SUBSTITUTE(SUBSTITUTE($A203,"SAMPLE-",""),"CMP-","c"))&amp;"-"&amp;LOWER(SUBSTITUTE(SUBSTITUTE($B203,"SAMPLE-",""),"O-","o"))&amp;"-p"),scans!$D$2:$D$1601,"close")=0,"",SUMPRODUCT(MAX((scans!$C$2:$C$1601=(IF(LEFT($A203,7)="SAMPLE-","SAMPLE-","")&amp;LOWER(SUBSTITUTE(SUBSTITUTE($A203,"SAMPLE-",""),"CMP-","c"))&amp;"-"&amp;LOWER(SUBSTITUTE(SUBSTITUTE($B203,"SAMPLE-",""),"O-","o"))&amp;"-p"))*(scans!$D$2:$D$1601="close")*scans!$E$2:$E$1601))-SUMPRODUCT(MAX((scans!$C$2:$C$1601=(IF(LEFT($A203,7)="SAMPLE-","SAMPLE-","")&amp;LOWER(SUBSTITUTE(SUBSTITUTE($A203,"SAMPLE-",""),"CMP-","c"))&amp;"-"&amp;LOWER(SUBSTITUTE(SUBSTITUTE($B203,"SAMPLE-",""),"O-","o"))&amp;"-p"))*(scans!$D$2:$D$1601="baseline")*scans!$E$2:$E$1601))))</f>
        <v/>
      </c>
      <c r="AP203" s="25">
        <f>IF($A203="","",IF(COUNTIF(offices!$A$2:$A$61,$B203)=0,"office_id not on offices; ","")&amp;IF(COUNTIF(campaigns!$A$2:$A$51,$A203)=0,"campaign_id not on campaigns; ","")&amp;IF($P203="pending","approval pending; ","")&amp;IF(AND($U203&gt;0,$Y203="",OR($I203="",IF(config!$B$37&lt;&gt;"",config!$B$37,TODAY())&lt;=WORKDAY(N($I203),4,calendar!$A$2:$A$80))),"no usable placement photo yet; ","")&amp;IF(AND($Y203&lt;&gt;"",$Z203=""),"log the placed count; ","")&amp;IF(N($AA203)&gt;N($U203),"placed more than delivered; ","")&amp;IF(AND($AF203&lt;&gt;"",N($AF203)&gt;N($AA203)+N($AD203)),"day-5 count above placed plus top-ups; ","")&amp;IF(AND($U203&gt;0,$I203&lt;&gt;"",IF(config!$B$37&lt;&gt;"",config!$B$37,TODAY())&gt;WORKDAY(N($I203),4,calendar!$A$2:$A$80),$AF203=""),"day-5 count missing; ","")&amp;IF(AND($U203&gt;0,$I203&lt;&gt;"",IF(config!$B$37&lt;&gt;"",config!$B$37,TODAY())&gt;WORKDAY(N($I203),4,calendar!$A$2:$A$80),$AN203=""),"no close link reading; ","")&amp;$R203&amp;IF($P203="N","info: office said no; ","")&amp;IF(AND($P203="Y",$Q203="N"),"info: turned away at the door, so not on the drop (no letter, not in the report or Gate 2; the credit check is on campaigns); ","")&amp;IF(AND($U203&gt;0,$Y203="",$I203&lt;&gt;"",IF(config!$B$37&lt;&gt;"",config!$B$37,TODAY())&gt;WORKDAY(N($I203),4,calendar!$A$2:$A$80)),"info: no usable placement photo, so nothing counts as placed; ","")&amp;IF(AND($U203&gt;0,$I203&lt;&gt;"",IF(config!$B$37&lt;&gt;"",config!$B$37,TODAY())&gt;WORKDAY(N($I203),4,calendar!$A$2:$A$80),N($AL203)&lt;config!$B$30),"info: under "&amp;config!$B$30&amp;" responses; ","")&amp;IF($W203="packing_list","info: delivered count not verified; ",""))</f>
        <v/>
      </c>
      <c r="AQ203" s="25">
        <f>IF(OR($A203="",$I203=""),"",IF($BC203="Y",SUMIFS(survey_frozen!$E$2:$E$251,survey_frozen!$P$2:$P$251,$A203&amp;"|"&amp;$B203),IFERROR(COUNTIFS(INDIRECT("'"&amp;$A203&amp;"'!$B$2:$B$501"),$T203,INDIRECT("'"&amp;$A203&amp;"'!$A$2:$A$501"),"&gt;="&amp;$I203,INDIRECT("'"&amp;$A203&amp;"'!$A$2:$A$501"),"&lt;"&amp;($BA203+1),INDIRECT("'"&amp;$A203&amp;"'!$F$2:$F$501"),"Didn't see it"),0)))</f>
        <v/>
      </c>
      <c r="AR203" s="25">
        <f>IF(OR($A203="",$I203=""),"",IF($BC203="Y",SUMIFS(survey_frozen!$F$2:$F$251,survey_frozen!$P$2:$P$251,$A203&amp;"|"&amp;$B203),IFERROR(COUNTIFS(INDIRECT("'"&amp;$A203&amp;"'!$B$2:$B$501"),$T203,INDIRECT("'"&amp;$A203&amp;"'!$A$2:$A$501"),"&gt;="&amp;$I203,INDIRECT("'"&amp;$A203&amp;"'!$A$2:$A$501"),"&lt;"&amp;($BA203+1),INDIRECT("'"&amp;$A203&amp;"'!$F$2:$F$501"),"Not for me"),0)))</f>
        <v/>
      </c>
      <c r="AS203" s="25">
        <f>IF(OR($A203="",$I203=""),"",IF($BC203="Y",SUMIFS(survey_frozen!$G$2:$G$251,survey_frozen!$P$2:$P$251,$A203&amp;"|"&amp;$B203),IFERROR(COUNTIFS(INDIRECT("'"&amp;$A203&amp;"'!$B$2:$B$501"),$T203,INDIRECT("'"&amp;$A203&amp;"'!$A$2:$A$501"),"&gt;="&amp;$I203,INDIRECT("'"&amp;$A203&amp;"'!$A$2:$A$501"),"&lt;"&amp;($BA203+1),INDIRECT("'"&amp;$A203&amp;"'!$F$2:$F$501"),"Gone by the time I looked"),0)))</f>
        <v/>
      </c>
      <c r="AT203" s="25">
        <f>IF(OR($A203="",$I203=""),"",IF($BC203="Y",SUMIFS(survey_frozen!$H$2:$H$251,survey_frozen!$P$2:$P$251,$A203&amp;"|"&amp;$B203),IFERROR(COUNTIFS(INDIRECT("'"&amp;$A203&amp;"'!$B$2:$B$501"),$T203,INDIRECT("'"&amp;$A203&amp;"'!$A$2:$A$501"),"&gt;="&amp;$I203,INDIRECT("'"&amp;$A203&amp;"'!$A$2:$A$501"),"&lt;"&amp;($BA203+1),INDIRECT("'"&amp;$A203&amp;"'!$D$2:$D$501"),"&gt;=1"),0)))</f>
        <v/>
      </c>
      <c r="AU203" s="25">
        <f>IF(OR($A203="",$I203=""),"",IF($BC203="Y",SUMIFS(survey_frozen!$I$2:$I$251,survey_frozen!$P$2:$P$251,$A203&amp;"|"&amp;$B203),IFERROR(SUMIFS(INDIRECT("'"&amp;$A203&amp;"'!$D$2:$D$501"),INDIRECT("'"&amp;$A203&amp;"'!$B$2:$B$501"),$T203,INDIRECT("'"&amp;$A203&amp;"'!$A$2:$A$501"),"&gt;="&amp;$I203,INDIRECT("'"&amp;$A203&amp;"'!$A$2:$A$501"),"&lt;"&amp;($BA203+1)),0)))</f>
        <v/>
      </c>
      <c r="AV203" s="25">
        <f>IF(OR($A203="",$I203=""),"",IF($BC203="Y",SUMIFS(survey_frozen!$J$2:$J$251,survey_frozen!$P$2:$P$251,$A203&amp;"|"&amp;$B203),IFERROR(COUNTIFS(INDIRECT("'"&amp;$A203&amp;"'!$B$2:$B$501"),$T203,INDIRECT("'"&amp;$A203&amp;"'!$A$2:$A$501"),"&gt;="&amp;$I203,INDIRECT("'"&amp;$A203&amp;"'!$A$2:$A$501"),"&lt;"&amp;($BA203+1),INDIRECT("'"&amp;$A203&amp;"'!$E$2:$E$501"),"Yes"),0)))</f>
        <v/>
      </c>
      <c r="AW203" s="25">
        <f>IF(OR($A203="",$I203=""),"",IF($BC203="Y",SUMIFS(survey_frozen!$K$2:$K$251,survey_frozen!$P$2:$P$251,$A203&amp;"|"&amp;$B203),IFERROR(COUNTIFS(INDIRECT("'"&amp;$A203&amp;"'!$B$2:$B$501"),$T203,INDIRECT("'"&amp;$A203&amp;"'!$A$2:$A$501"),"&gt;="&amp;$I203,INDIRECT("'"&amp;$A203&amp;"'!$A$2:$A$501"),"&lt;"&amp;($BA203+1),INDIRECT("'"&amp;$A203&amp;"'!$E$2:$E$501"),"Maybe"),0)))</f>
        <v/>
      </c>
      <c r="AX203" s="25">
        <f>IF(OR($A203="",$I203=""),"",IF($BC203="Y",SUMIFS(survey_frozen!$L$2:$L$251,survey_frozen!$P$2:$P$251,$A203&amp;"|"&amp;$B203),IFERROR(COUNTIFS(INDIRECT("'"&amp;$A203&amp;"'!$B$2:$B$501"),$T203,INDIRECT("'"&amp;$A203&amp;"'!$A$2:$A$501"),"&gt;="&amp;$I203,INDIRECT("'"&amp;$A203&amp;"'!$A$2:$A$501"),"&lt;"&amp;($BA203+1),INDIRECT("'"&amp;$A203&amp;"'!$E$2:$E$501"),"No"),0)))</f>
        <v/>
      </c>
      <c r="AY203" s="25">
        <f>IF(OR($A203="",$I203=""),"",IF($BC203="Y",SUMIFS(survey_frozen!$M$2:$M$251,survey_frozen!$P$2:$P$251,$A203&amp;"|"&amp;$B203),IFERROR(COUNTIFS(INDIRECT("'"&amp;$A203&amp;"'!$B$2:$B$501"),$T203,INDIRECT("'"&amp;$A203&amp;"'!$A$2:$A$501"),"&gt;="&amp;$I203,INDIRECT("'"&amp;$A203&amp;"'!$A$2:$A$501"),"&lt;"&amp;($BA203+1),INDIRECT("'"&amp;$A203&amp;"'!$G$2:$G$501"),"&lt;&gt;"),0)))</f>
        <v/>
      </c>
      <c r="AZ203" s="25">
        <f>IF($A203="","",$A203&amp;"|"&amp;$L203)</f>
        <v/>
      </c>
      <c r="BA203" s="26">
        <f>IF($A203="","",IFERROR(IF(INDEX(drops!$R$2:$R$21,MATCH($H203,drops!$A$2:$A$21,0))="","",INDEX(drops!$R$2:$R$21,MATCH($H203,drops!$A$2:$A$21,0))),""))</f>
        <v/>
      </c>
      <c r="BB203" s="25">
        <f>IF(OR($A203="",$Q203&lt;&gt;"Y"),1000000,N($AL203))</f>
        <v/>
      </c>
      <c r="BC203" s="25">
        <f>IF($A203="","",IF(COUNTIF(survey_frozen!$P$2:$P$251,$A203&amp;"|"&amp;$B203)&gt;0,"Y",""))</f>
        <v/>
      </c>
    </row>
    <row r="204">
      <c r="C204" s="9" t="n"/>
      <c r="E204" s="9" t="n"/>
      <c r="H204" s="25">
        <f>IF($A204="","",IFERROR(IF(INDEX(campaigns!$B$2:$B$51,MATCH($A204,campaigns!$A$2:$A$51,0))="","",INDEX(campaigns!$B$2:$B$51,MATCH($A204,campaigns!$A$2:$A$51,0))),""))</f>
        <v/>
      </c>
      <c r="I204" s="26">
        <f>IF($A204="","",IFERROR(IF(INDEX(campaigns!$BG$2:$BG$51,MATCH($A204,campaigns!$A$2:$A$51,0))="","",INDEX(campaigns!$BG$2:$BG$51,MATCH($A204,campaigns!$A$2:$A$51,0))),""))</f>
        <v/>
      </c>
      <c r="J204" s="25">
        <f>IF($A204="","",IFERROR(IF(INDEX(campaigns!$BE$2:$BE$51,MATCH($A204,campaigns!$A$2:$A$51,0))="","",INDEX(campaigns!$BE$2:$BE$51,MATCH($A204,campaigns!$A$2:$A$51,0))),""))</f>
        <v/>
      </c>
      <c r="K204" s="25">
        <f>IF($B204="","",IFERROR(IF(INDEX(offices!$N$2:$N$61,MATCH($B204,offices!$A$2:$A$61,0))="","",INDEX(offices!$N$2:$N$61,MATCH($B204,offices!$A$2:$A$61,0))),""))</f>
        <v/>
      </c>
      <c r="L204" s="25">
        <f>IF($A204="","",IF($Q204="N","",COUNTIFS($A$2:$A204,$A204,$Q$2:$Q204,"&lt;&gt;N")))</f>
        <v/>
      </c>
      <c r="M204" s="25">
        <f>IF(OR($A204="",$L204=""),"",IF(AND(config!$B$34="names_if_public",IFERROR(IF(INDEX(offices!$AF$2:$AF$61,MATCH($B204,offices!$A$2:$A$61,0))="","",INDEX(offices!$AF$2:$AF$61,MATCH($B204,offices!$A$2:$A$61,0))),"")="Y"),$K204,CHAR(64+$L204)))</f>
        <v/>
      </c>
      <c r="N204" s="25">
        <f>IF(OR($A204="",$I204=""),"",COUNTIFS(stops!$B$2:$B$151,$B204,stops!$P$2:$P$151,"&lt;"&amp;$I204,stops!$L$2:$L$151,"&lt;&gt;not_delivered")+1)</f>
        <v/>
      </c>
      <c r="O204" s="25">
        <f>IF($A204="","",IF(N($N204)&lt;=config!$B$29,"explicit","opt-out"))</f>
        <v/>
      </c>
      <c r="P204" s="25">
        <f>IF($A204="","",IF($O204="explicit",IF($D204="yes","Y",IF($D204="no","N","pending")),IF($D204="no","N",IF(AND($C204&lt;&gt;"",$I204&lt;&gt;"",$C204&lt;=WORKDAY(N($I204),-5,calendar!$A$2:$A$80)),"Y","pending"))))</f>
        <v/>
      </c>
      <c r="Q204" s="25">
        <f>IF($A204="","",IF($P204="N","N",IF($P204&lt;&gt;"Y","pending",IF(AND((COUNTIFS(stops!$A$2:$A$151,$H204,stops!$B$2:$B$151,$B204,stops!$L$2:$L$151,"declined")+COUNTIFS(stops!$A$2:$A$151,$H204,stops!$B$2:$B$151,$B204,stops!$L$2:$L$151,"building_refused")+COUNTIFS(stops!$A$2:$A$151,$H204,stops!$B$2:$B$151,$B204,stops!$L$2:$L$151,"not_delivered"))&gt;0,N($U204)=0),"N","Y"))))</f>
        <v/>
      </c>
      <c r="R204" s="25">
        <f>IF($A204="","",IF(COUNTIFS($A$2:$A$251,$A204,$B$2:$B$251,$B204)&gt;1,"DUPLICATE ROW; ","")&amp;IF(AND(IFERROR(IF(INDEX(offices!$AC$2:$AC$61,MATCH($B204,offices!$A$2:$A$61,0))="","",INDEX(offices!$AC$2:$AC$61,MATCH($B204,offices!$A$2:$A$61,0))),"")&lt;&gt;"",ISNUMBER(SEARCH($J204,IFERROR(IF(INDEX(offices!$AC$2:$AC$61,MATCH($B204,offices!$A$2:$A$61,0))="","",INDEX(offices!$AC$2:$AC$61,MATCH($B204,offices!$A$2:$A$61,0))),"")))),"BRAND VETOED; ","")&amp;IF(ISNUMBER(SEARCH(IFERROR(IF(INDEX(campaigns!$BF$2:$BF$51,MATCH($A204,campaigns!$A$2:$A$51,0))="","",INDEX(campaigns!$BF$2:$BF$51,MATCH($A204,campaigns!$A$2:$A$51,0))),""),IFERROR(IF(INDEX(offices!$AB$2:$AB$61,MATCH($B204,offices!$A$2:$A$61,0))="","",INDEX(offices!$AB$2:$AB$61,MATCH($B204,offices!$A$2:$A$61,0))),""))),"","info: category not on the office's list; ")&amp;IF(IFERROR(IF(INDEX(offices!$AC$2:$AC$61,MATCH($B204,offices!$A$2:$A$61,0))="","",INDEX(offices!$AC$2:$AC$61,MATCH($B204,offices!$A$2:$A$61,0))),"")&lt;&gt;"","info: read the vetoes against the label; ",""))</f>
        <v/>
      </c>
      <c r="S204" s="25">
        <f>IF($A204="","",IF($G204&lt;&gt;"",$G204,IFERROR(IF(INDEX(offices!$AL$2:$AL$61,MATCH($B204,offices!$A$2:$A$61,0))="","",INDEX(offices!$AL$2:$AL$61,MATCH($B204,offices!$A$2:$A$61,0))),"")))</f>
        <v/>
      </c>
      <c r="T204" s="25">
        <f>IF($A204="","",$A204&amp;"."&amp;$B204)</f>
        <v/>
      </c>
      <c r="U204" s="25">
        <f>IF($A204="","",SUMIFS(inventory!$G$2:$G$801,inventory!$C$2:$C$801,$A204,inventory!$D$2:$D$801,$B204,inventory!$E$2:$E$801,"delivered"))</f>
        <v/>
      </c>
      <c r="V204" s="32">
        <f>IF($A204="","",IFERROR(1/(1/SUMPRODUCT(MAX((inventory!$C$2:$C$801=$A204)*(inventory!$D$2:$D$801=$B204)*(inventory!$E$2:$E$801="delivered")*(inventory!$A$2:$A$801+inventory!$B$2:$B$801)))),""))</f>
        <v/>
      </c>
      <c r="W204" s="25">
        <f>IF($A204="","",IFERROR(IF(INDEX(inventory!$J$2:$J$801,MATCH($A204&amp;"|"&amp;$B204&amp;"|delivered",inventory!$R$2:$R$801,0))="","",INDEX(inventory!$J$2:$J$801,MATCH($A204&amp;"|"&amp;$B204&amp;"|delivered",inventory!$R$2:$R$801,0))),""))</f>
        <v/>
      </c>
      <c r="X204" s="25">
        <f>IF($A204="","",IFERROR(IF(INDEX(photos!$H$2:$H$701,MATCH($A204&amp;"|"&amp;$B204&amp;"|placement|Y",photos!$R$2:$R$701,0))="","",INDEX(photos!$H$2:$H$701,MATCH($A204&amp;"|"&amp;$B204&amp;"|placement|Y",photos!$R$2:$R$701,0))),""))</f>
        <v/>
      </c>
      <c r="Y204" s="26">
        <f>IF($A204="","",IFERROR(IF(INDEX(photos!$E$2:$E$701,MATCH($A204&amp;"|"&amp;$B204&amp;"|placement|Y",photos!$R$2:$R$701,0))="","",INDEX(photos!$E$2:$E$701,MATCH($A204&amp;"|"&amp;$B204&amp;"|placement|Y",photos!$R$2:$R$701,0))),""))</f>
        <v/>
      </c>
      <c r="Z204" s="25">
        <f>IF($A204="","",IF(COUNTIFS(counts!$C$2:$C$701,$A204,counts!$D$2:$D$701,$B204,counts!$E$2:$E$701,"placed")=0,"",SUMIFS(counts!$F$2:$F$701,counts!$C$2:$C$701,$A204,counts!$D$2:$D$701,$B204,counts!$E$2:$E$701,"placed")))</f>
        <v/>
      </c>
      <c r="AA204" s="25">
        <f>IF($A204="","",IF($Y204="",0,N($Z204)))</f>
        <v/>
      </c>
      <c r="AB204" s="25">
        <f>IF($A204="","",IF(OR($Y204="",$I204=""),"N",IF($Y204&lt;=WORKDAY(N($I204),1,calendar!$A$2:$A$80),"Y","N")))</f>
        <v/>
      </c>
      <c r="AC204" s="28">
        <f>IF(OR($A204="",$V204="",$Y204=""),"",ROUND(($Y204+N(IFERROR(IF(INDEX(photos!$F$2:$F$701,MATCH($A204&amp;"|"&amp;$B204&amp;"|placement|Y",photos!$R$2:$R$701,0))="","",INDEX(photos!$F$2:$F$701,MATCH($A204&amp;"|"&amp;$B204&amp;"|placement|Y",photos!$R$2:$R$701,0))),""))-$V204)*24,1))</f>
        <v/>
      </c>
      <c r="AD204" s="25">
        <f>IF($A204="","",SUMIFS(inventory!$G$2:$G$801,inventory!$C$2:$C$801,$A204,inventory!$D$2:$D$801,$B204,inventory!$E$2:$E$801,"topped_up"))</f>
        <v/>
      </c>
      <c r="AE204" s="25">
        <f>IF($A204="","",IF(COUNTIFS(counts!$C$2:$C$701,$A204,counts!$D$2:$D$701,$B204,counts!$E$2:$E$701,"remaining_day3")=0,"",SUMIFS(counts!$F$2:$F$701,counts!$C$2:$C$701,$A204,counts!$D$2:$D$701,$B204,counts!$E$2:$E$701,"remaining_day3")))</f>
        <v/>
      </c>
      <c r="AF204" s="25">
        <f>IF($A204="","",IF(COUNTIFS(counts!$C$2:$C$701,$A204,counts!$D$2:$D$701,$B204,counts!$E$2:$E$701,"remaining_day5")=0,"",SUMIFS(counts!$F$2:$F$701,counts!$C$2:$C$701,$A204,counts!$D$2:$D$701,$B204,counts!$E$2:$E$701,"remaining_day5")))</f>
        <v/>
      </c>
      <c r="AG204" s="25">
        <f>IF(OR($A204="",$AF204=""),"",MAX(0,$AA204+$AD204-$AF204))</f>
        <v/>
      </c>
      <c r="AH204" s="25">
        <f>IF(OR($A204="",$AI204=""),"",IFERROR(IF(INDEX(photos!$H$2:$H$701,MATCH($A204&amp;"|"&amp;$B204&amp;"|later|Y|"&amp;$AI204,photos!$S$2:$S$701,0))="","",INDEX(photos!$H$2:$H$701,MATCH($A204&amp;"|"&amp;$B204&amp;"|later|Y|"&amp;$AI204,photos!$S$2:$S$701,0))),""))</f>
        <v/>
      </c>
      <c r="AI204" s="26">
        <f>IF($A204="","",IFERROR(1/(1/SUMPRODUCT(MAX((photos!$B$2:$B$701=$A204)*(photos!$C$2:$C$701=$B204)*(photos!$D$2:$D$701="later")*(photos!$O$2:$O$701="Y")*photos!$E$2:$E$701))),""))</f>
        <v/>
      </c>
      <c r="AJ204" s="25">
        <f>IF(OR($A204="",$AI204="",$I204=""),"",NETWORKDAYS($I204,$AI204,calendar!$A$2:$A$80))</f>
        <v/>
      </c>
      <c r="AK204" s="25">
        <f>IF($A204="","",IF(AND($X204&lt;&gt;"",$AH204&lt;&gt;""),"Y","N"))</f>
        <v/>
      </c>
      <c r="AL204" s="25">
        <f>IF(OR($A204="",$I204=""),"",IF($BC204="Y",SUMIFS(survey_frozen!$C$2:$C$251,survey_frozen!$P$2:$P$251,$A204&amp;"|"&amp;$B204),IFERROR(COUNTIFS(INDIRECT("'"&amp;$A204&amp;"'!$B$2:$B$501"),$T204,INDIRECT("'"&amp;$A204&amp;"'!$A$2:$A$501"),"&gt;="&amp;$I204,INDIRECT("'"&amp;$A204&amp;"'!$A$2:$A$501"),"&lt;"&amp;($BA204+1)),0)))</f>
        <v/>
      </c>
      <c r="AM204" s="25">
        <f>IF(OR($A204="",$I204=""),"",IF($BC204="Y",SUMIFS(survey_frozen!$D$2:$D$251,survey_frozen!$P$2:$P$251,$A204&amp;"|"&amp;$B204),IFERROR(COUNTIFS(INDIRECT("'"&amp;$A204&amp;"'!$B$2:$B$501"),$T204,INDIRECT("'"&amp;$A204&amp;"'!$A$2:$A$501"),"&gt;="&amp;$I204,INDIRECT("'"&amp;$A204&amp;"'!$A$2:$A$501"),"&lt;"&amp;($BA204+1),INDIRECT("'"&amp;$A204&amp;"'!$C$2:$C$501"),"Yes"),0)))</f>
        <v/>
      </c>
      <c r="AN204" s="25">
        <f>IF($A204="","",IF(COUNTIFS(scans!$C$2:$C$1601,(IF(LEFT($A204,7)="SAMPLE-","SAMPLE-","")&amp;LOWER(SUBSTITUTE(SUBSTITUTE($A204,"SAMPLE-",""),"CMP-","c"))&amp;"-"&amp;LOWER(SUBSTITUTE(SUBSTITUTE($B204,"SAMPLE-",""),"O-","o"))&amp;"-q"),scans!$D$2:$D$1601,"close")=0,"",SUMPRODUCT(MAX((scans!$C$2:$C$1601=(IF(LEFT($A204,7)="SAMPLE-","SAMPLE-","")&amp;LOWER(SUBSTITUTE(SUBSTITUTE($A204,"SAMPLE-",""),"CMP-","c"))&amp;"-"&amp;LOWER(SUBSTITUTE(SUBSTITUTE($B204,"SAMPLE-",""),"O-","o"))&amp;"-q"))*(scans!$D$2:$D$1601="close")*scans!$E$2:$E$1601))-SUMPRODUCT(MAX((scans!$C$2:$C$1601=(IF(LEFT($A204,7)="SAMPLE-","SAMPLE-","")&amp;LOWER(SUBSTITUTE(SUBSTITUTE($A204,"SAMPLE-",""),"CMP-","c"))&amp;"-"&amp;LOWER(SUBSTITUTE(SUBSTITUTE($B204,"SAMPLE-",""),"O-","o"))&amp;"-q"))*(scans!$D$2:$D$1601="baseline")*scans!$E$2:$E$1601))))</f>
        <v/>
      </c>
      <c r="AO204" s="25">
        <f>IF($A204="","",IF(COUNTIFS(scans!$C$2:$C$1601,(IF(LEFT($A204,7)="SAMPLE-","SAMPLE-","")&amp;LOWER(SUBSTITUTE(SUBSTITUTE($A204,"SAMPLE-",""),"CMP-","c"))&amp;"-"&amp;LOWER(SUBSTITUTE(SUBSTITUTE($B204,"SAMPLE-",""),"O-","o"))&amp;"-p"),scans!$D$2:$D$1601,"close")=0,"",SUMPRODUCT(MAX((scans!$C$2:$C$1601=(IF(LEFT($A204,7)="SAMPLE-","SAMPLE-","")&amp;LOWER(SUBSTITUTE(SUBSTITUTE($A204,"SAMPLE-",""),"CMP-","c"))&amp;"-"&amp;LOWER(SUBSTITUTE(SUBSTITUTE($B204,"SAMPLE-",""),"O-","o"))&amp;"-p"))*(scans!$D$2:$D$1601="close")*scans!$E$2:$E$1601))-SUMPRODUCT(MAX((scans!$C$2:$C$1601=(IF(LEFT($A204,7)="SAMPLE-","SAMPLE-","")&amp;LOWER(SUBSTITUTE(SUBSTITUTE($A204,"SAMPLE-",""),"CMP-","c"))&amp;"-"&amp;LOWER(SUBSTITUTE(SUBSTITUTE($B204,"SAMPLE-",""),"O-","o"))&amp;"-p"))*(scans!$D$2:$D$1601="baseline")*scans!$E$2:$E$1601))))</f>
        <v/>
      </c>
      <c r="AP204" s="25">
        <f>IF($A204="","",IF(COUNTIF(offices!$A$2:$A$61,$B204)=0,"office_id not on offices; ","")&amp;IF(COUNTIF(campaigns!$A$2:$A$51,$A204)=0,"campaign_id not on campaigns; ","")&amp;IF($P204="pending","approval pending; ","")&amp;IF(AND($U204&gt;0,$Y204="",OR($I204="",IF(config!$B$37&lt;&gt;"",config!$B$37,TODAY())&lt;=WORKDAY(N($I204),4,calendar!$A$2:$A$80))),"no usable placement photo yet; ","")&amp;IF(AND($Y204&lt;&gt;"",$Z204=""),"log the placed count; ","")&amp;IF(N($AA204)&gt;N($U204),"placed more than delivered; ","")&amp;IF(AND($AF204&lt;&gt;"",N($AF204)&gt;N($AA204)+N($AD204)),"day-5 count above placed plus top-ups; ","")&amp;IF(AND($U204&gt;0,$I204&lt;&gt;"",IF(config!$B$37&lt;&gt;"",config!$B$37,TODAY())&gt;WORKDAY(N($I204),4,calendar!$A$2:$A$80),$AF204=""),"day-5 count missing; ","")&amp;IF(AND($U204&gt;0,$I204&lt;&gt;"",IF(config!$B$37&lt;&gt;"",config!$B$37,TODAY())&gt;WORKDAY(N($I204),4,calendar!$A$2:$A$80),$AN204=""),"no close link reading; ","")&amp;$R204&amp;IF($P204="N","info: office said no; ","")&amp;IF(AND($P204="Y",$Q204="N"),"info: turned away at the door, so not on the drop (no letter, not in the report or Gate 2; the credit check is on campaigns); ","")&amp;IF(AND($U204&gt;0,$Y204="",$I204&lt;&gt;"",IF(config!$B$37&lt;&gt;"",config!$B$37,TODAY())&gt;WORKDAY(N($I204),4,calendar!$A$2:$A$80)),"info: no usable placement photo, so nothing counts as placed; ","")&amp;IF(AND($U204&gt;0,$I204&lt;&gt;"",IF(config!$B$37&lt;&gt;"",config!$B$37,TODAY())&gt;WORKDAY(N($I204),4,calendar!$A$2:$A$80),N($AL204)&lt;config!$B$30),"info: under "&amp;config!$B$30&amp;" responses; ","")&amp;IF($W204="packing_list","info: delivered count not verified; ",""))</f>
        <v/>
      </c>
      <c r="AQ204" s="25">
        <f>IF(OR($A204="",$I204=""),"",IF($BC204="Y",SUMIFS(survey_frozen!$E$2:$E$251,survey_frozen!$P$2:$P$251,$A204&amp;"|"&amp;$B204),IFERROR(COUNTIFS(INDIRECT("'"&amp;$A204&amp;"'!$B$2:$B$501"),$T204,INDIRECT("'"&amp;$A204&amp;"'!$A$2:$A$501"),"&gt;="&amp;$I204,INDIRECT("'"&amp;$A204&amp;"'!$A$2:$A$501"),"&lt;"&amp;($BA204+1),INDIRECT("'"&amp;$A204&amp;"'!$F$2:$F$501"),"Didn't see it"),0)))</f>
        <v/>
      </c>
      <c r="AR204" s="25">
        <f>IF(OR($A204="",$I204=""),"",IF($BC204="Y",SUMIFS(survey_frozen!$F$2:$F$251,survey_frozen!$P$2:$P$251,$A204&amp;"|"&amp;$B204),IFERROR(COUNTIFS(INDIRECT("'"&amp;$A204&amp;"'!$B$2:$B$501"),$T204,INDIRECT("'"&amp;$A204&amp;"'!$A$2:$A$501"),"&gt;="&amp;$I204,INDIRECT("'"&amp;$A204&amp;"'!$A$2:$A$501"),"&lt;"&amp;($BA204+1),INDIRECT("'"&amp;$A204&amp;"'!$F$2:$F$501"),"Not for me"),0)))</f>
        <v/>
      </c>
      <c r="AS204" s="25">
        <f>IF(OR($A204="",$I204=""),"",IF($BC204="Y",SUMIFS(survey_frozen!$G$2:$G$251,survey_frozen!$P$2:$P$251,$A204&amp;"|"&amp;$B204),IFERROR(COUNTIFS(INDIRECT("'"&amp;$A204&amp;"'!$B$2:$B$501"),$T204,INDIRECT("'"&amp;$A204&amp;"'!$A$2:$A$501"),"&gt;="&amp;$I204,INDIRECT("'"&amp;$A204&amp;"'!$A$2:$A$501"),"&lt;"&amp;($BA204+1),INDIRECT("'"&amp;$A204&amp;"'!$F$2:$F$501"),"Gone by the time I looked"),0)))</f>
        <v/>
      </c>
      <c r="AT204" s="25">
        <f>IF(OR($A204="",$I204=""),"",IF($BC204="Y",SUMIFS(survey_frozen!$H$2:$H$251,survey_frozen!$P$2:$P$251,$A204&amp;"|"&amp;$B204),IFERROR(COUNTIFS(INDIRECT("'"&amp;$A204&amp;"'!$B$2:$B$501"),$T204,INDIRECT("'"&amp;$A204&amp;"'!$A$2:$A$501"),"&gt;="&amp;$I204,INDIRECT("'"&amp;$A204&amp;"'!$A$2:$A$501"),"&lt;"&amp;($BA204+1),INDIRECT("'"&amp;$A204&amp;"'!$D$2:$D$501"),"&gt;=1"),0)))</f>
        <v/>
      </c>
      <c r="AU204" s="25">
        <f>IF(OR($A204="",$I204=""),"",IF($BC204="Y",SUMIFS(survey_frozen!$I$2:$I$251,survey_frozen!$P$2:$P$251,$A204&amp;"|"&amp;$B204),IFERROR(SUMIFS(INDIRECT("'"&amp;$A204&amp;"'!$D$2:$D$501"),INDIRECT("'"&amp;$A204&amp;"'!$B$2:$B$501"),$T204,INDIRECT("'"&amp;$A204&amp;"'!$A$2:$A$501"),"&gt;="&amp;$I204,INDIRECT("'"&amp;$A204&amp;"'!$A$2:$A$501"),"&lt;"&amp;($BA204+1)),0)))</f>
        <v/>
      </c>
      <c r="AV204" s="25">
        <f>IF(OR($A204="",$I204=""),"",IF($BC204="Y",SUMIFS(survey_frozen!$J$2:$J$251,survey_frozen!$P$2:$P$251,$A204&amp;"|"&amp;$B204),IFERROR(COUNTIFS(INDIRECT("'"&amp;$A204&amp;"'!$B$2:$B$501"),$T204,INDIRECT("'"&amp;$A204&amp;"'!$A$2:$A$501"),"&gt;="&amp;$I204,INDIRECT("'"&amp;$A204&amp;"'!$A$2:$A$501"),"&lt;"&amp;($BA204+1),INDIRECT("'"&amp;$A204&amp;"'!$E$2:$E$501"),"Yes"),0)))</f>
        <v/>
      </c>
      <c r="AW204" s="25">
        <f>IF(OR($A204="",$I204=""),"",IF($BC204="Y",SUMIFS(survey_frozen!$K$2:$K$251,survey_frozen!$P$2:$P$251,$A204&amp;"|"&amp;$B204),IFERROR(COUNTIFS(INDIRECT("'"&amp;$A204&amp;"'!$B$2:$B$501"),$T204,INDIRECT("'"&amp;$A204&amp;"'!$A$2:$A$501"),"&gt;="&amp;$I204,INDIRECT("'"&amp;$A204&amp;"'!$A$2:$A$501"),"&lt;"&amp;($BA204+1),INDIRECT("'"&amp;$A204&amp;"'!$E$2:$E$501"),"Maybe"),0)))</f>
        <v/>
      </c>
      <c r="AX204" s="25">
        <f>IF(OR($A204="",$I204=""),"",IF($BC204="Y",SUMIFS(survey_frozen!$L$2:$L$251,survey_frozen!$P$2:$P$251,$A204&amp;"|"&amp;$B204),IFERROR(COUNTIFS(INDIRECT("'"&amp;$A204&amp;"'!$B$2:$B$501"),$T204,INDIRECT("'"&amp;$A204&amp;"'!$A$2:$A$501"),"&gt;="&amp;$I204,INDIRECT("'"&amp;$A204&amp;"'!$A$2:$A$501"),"&lt;"&amp;($BA204+1),INDIRECT("'"&amp;$A204&amp;"'!$E$2:$E$501"),"No"),0)))</f>
        <v/>
      </c>
      <c r="AY204" s="25">
        <f>IF(OR($A204="",$I204=""),"",IF($BC204="Y",SUMIFS(survey_frozen!$M$2:$M$251,survey_frozen!$P$2:$P$251,$A204&amp;"|"&amp;$B204),IFERROR(COUNTIFS(INDIRECT("'"&amp;$A204&amp;"'!$B$2:$B$501"),$T204,INDIRECT("'"&amp;$A204&amp;"'!$A$2:$A$501"),"&gt;="&amp;$I204,INDIRECT("'"&amp;$A204&amp;"'!$A$2:$A$501"),"&lt;"&amp;($BA204+1),INDIRECT("'"&amp;$A204&amp;"'!$G$2:$G$501"),"&lt;&gt;"),0)))</f>
        <v/>
      </c>
      <c r="AZ204" s="25">
        <f>IF($A204="","",$A204&amp;"|"&amp;$L204)</f>
        <v/>
      </c>
      <c r="BA204" s="26">
        <f>IF($A204="","",IFERROR(IF(INDEX(drops!$R$2:$R$21,MATCH($H204,drops!$A$2:$A$21,0))="","",INDEX(drops!$R$2:$R$21,MATCH($H204,drops!$A$2:$A$21,0))),""))</f>
        <v/>
      </c>
      <c r="BB204" s="25">
        <f>IF(OR($A204="",$Q204&lt;&gt;"Y"),1000000,N($AL204))</f>
        <v/>
      </c>
      <c r="BC204" s="25">
        <f>IF($A204="","",IF(COUNTIF(survey_frozen!$P$2:$P$251,$A204&amp;"|"&amp;$B204)&gt;0,"Y",""))</f>
        <v/>
      </c>
    </row>
    <row r="205">
      <c r="C205" s="9" t="n"/>
      <c r="E205" s="9" t="n"/>
      <c r="H205" s="25">
        <f>IF($A205="","",IFERROR(IF(INDEX(campaigns!$B$2:$B$51,MATCH($A205,campaigns!$A$2:$A$51,0))="","",INDEX(campaigns!$B$2:$B$51,MATCH($A205,campaigns!$A$2:$A$51,0))),""))</f>
        <v/>
      </c>
      <c r="I205" s="26">
        <f>IF($A205="","",IFERROR(IF(INDEX(campaigns!$BG$2:$BG$51,MATCH($A205,campaigns!$A$2:$A$51,0))="","",INDEX(campaigns!$BG$2:$BG$51,MATCH($A205,campaigns!$A$2:$A$51,0))),""))</f>
        <v/>
      </c>
      <c r="J205" s="25">
        <f>IF($A205="","",IFERROR(IF(INDEX(campaigns!$BE$2:$BE$51,MATCH($A205,campaigns!$A$2:$A$51,0))="","",INDEX(campaigns!$BE$2:$BE$51,MATCH($A205,campaigns!$A$2:$A$51,0))),""))</f>
        <v/>
      </c>
      <c r="K205" s="25">
        <f>IF($B205="","",IFERROR(IF(INDEX(offices!$N$2:$N$61,MATCH($B205,offices!$A$2:$A$61,0))="","",INDEX(offices!$N$2:$N$61,MATCH($B205,offices!$A$2:$A$61,0))),""))</f>
        <v/>
      </c>
      <c r="L205" s="25">
        <f>IF($A205="","",IF($Q205="N","",COUNTIFS($A$2:$A205,$A205,$Q$2:$Q205,"&lt;&gt;N")))</f>
        <v/>
      </c>
      <c r="M205" s="25">
        <f>IF(OR($A205="",$L205=""),"",IF(AND(config!$B$34="names_if_public",IFERROR(IF(INDEX(offices!$AF$2:$AF$61,MATCH($B205,offices!$A$2:$A$61,0))="","",INDEX(offices!$AF$2:$AF$61,MATCH($B205,offices!$A$2:$A$61,0))),"")="Y"),$K205,CHAR(64+$L205)))</f>
        <v/>
      </c>
      <c r="N205" s="25">
        <f>IF(OR($A205="",$I205=""),"",COUNTIFS(stops!$B$2:$B$151,$B205,stops!$P$2:$P$151,"&lt;"&amp;$I205,stops!$L$2:$L$151,"&lt;&gt;not_delivered")+1)</f>
        <v/>
      </c>
      <c r="O205" s="25">
        <f>IF($A205="","",IF(N($N205)&lt;=config!$B$29,"explicit","opt-out"))</f>
        <v/>
      </c>
      <c r="P205" s="25">
        <f>IF($A205="","",IF($O205="explicit",IF($D205="yes","Y",IF($D205="no","N","pending")),IF($D205="no","N",IF(AND($C205&lt;&gt;"",$I205&lt;&gt;"",$C205&lt;=WORKDAY(N($I205),-5,calendar!$A$2:$A$80)),"Y","pending"))))</f>
        <v/>
      </c>
      <c r="Q205" s="25">
        <f>IF($A205="","",IF($P205="N","N",IF($P205&lt;&gt;"Y","pending",IF(AND((COUNTIFS(stops!$A$2:$A$151,$H205,stops!$B$2:$B$151,$B205,stops!$L$2:$L$151,"declined")+COUNTIFS(stops!$A$2:$A$151,$H205,stops!$B$2:$B$151,$B205,stops!$L$2:$L$151,"building_refused")+COUNTIFS(stops!$A$2:$A$151,$H205,stops!$B$2:$B$151,$B205,stops!$L$2:$L$151,"not_delivered"))&gt;0,N($U205)=0),"N","Y"))))</f>
        <v/>
      </c>
      <c r="R205" s="25">
        <f>IF($A205="","",IF(COUNTIFS($A$2:$A$251,$A205,$B$2:$B$251,$B205)&gt;1,"DUPLICATE ROW; ","")&amp;IF(AND(IFERROR(IF(INDEX(offices!$AC$2:$AC$61,MATCH($B205,offices!$A$2:$A$61,0))="","",INDEX(offices!$AC$2:$AC$61,MATCH($B205,offices!$A$2:$A$61,0))),"")&lt;&gt;"",ISNUMBER(SEARCH($J205,IFERROR(IF(INDEX(offices!$AC$2:$AC$61,MATCH($B205,offices!$A$2:$A$61,0))="","",INDEX(offices!$AC$2:$AC$61,MATCH($B205,offices!$A$2:$A$61,0))),"")))),"BRAND VETOED; ","")&amp;IF(ISNUMBER(SEARCH(IFERROR(IF(INDEX(campaigns!$BF$2:$BF$51,MATCH($A205,campaigns!$A$2:$A$51,0))="","",INDEX(campaigns!$BF$2:$BF$51,MATCH($A205,campaigns!$A$2:$A$51,0))),""),IFERROR(IF(INDEX(offices!$AB$2:$AB$61,MATCH($B205,offices!$A$2:$A$61,0))="","",INDEX(offices!$AB$2:$AB$61,MATCH($B205,offices!$A$2:$A$61,0))),""))),"","info: category not on the office's list; ")&amp;IF(IFERROR(IF(INDEX(offices!$AC$2:$AC$61,MATCH($B205,offices!$A$2:$A$61,0))="","",INDEX(offices!$AC$2:$AC$61,MATCH($B205,offices!$A$2:$A$61,0))),"")&lt;&gt;"","info: read the vetoes against the label; ",""))</f>
        <v/>
      </c>
      <c r="S205" s="25">
        <f>IF($A205="","",IF($G205&lt;&gt;"",$G205,IFERROR(IF(INDEX(offices!$AL$2:$AL$61,MATCH($B205,offices!$A$2:$A$61,0))="","",INDEX(offices!$AL$2:$AL$61,MATCH($B205,offices!$A$2:$A$61,0))),"")))</f>
        <v/>
      </c>
      <c r="T205" s="25">
        <f>IF($A205="","",$A205&amp;"."&amp;$B205)</f>
        <v/>
      </c>
      <c r="U205" s="25">
        <f>IF($A205="","",SUMIFS(inventory!$G$2:$G$801,inventory!$C$2:$C$801,$A205,inventory!$D$2:$D$801,$B205,inventory!$E$2:$E$801,"delivered"))</f>
        <v/>
      </c>
      <c r="V205" s="32">
        <f>IF($A205="","",IFERROR(1/(1/SUMPRODUCT(MAX((inventory!$C$2:$C$801=$A205)*(inventory!$D$2:$D$801=$B205)*(inventory!$E$2:$E$801="delivered")*(inventory!$A$2:$A$801+inventory!$B$2:$B$801)))),""))</f>
        <v/>
      </c>
      <c r="W205" s="25">
        <f>IF($A205="","",IFERROR(IF(INDEX(inventory!$J$2:$J$801,MATCH($A205&amp;"|"&amp;$B205&amp;"|delivered",inventory!$R$2:$R$801,0))="","",INDEX(inventory!$J$2:$J$801,MATCH($A205&amp;"|"&amp;$B205&amp;"|delivered",inventory!$R$2:$R$801,0))),""))</f>
        <v/>
      </c>
      <c r="X205" s="25">
        <f>IF($A205="","",IFERROR(IF(INDEX(photos!$H$2:$H$701,MATCH($A205&amp;"|"&amp;$B205&amp;"|placement|Y",photos!$R$2:$R$701,0))="","",INDEX(photos!$H$2:$H$701,MATCH($A205&amp;"|"&amp;$B205&amp;"|placement|Y",photos!$R$2:$R$701,0))),""))</f>
        <v/>
      </c>
      <c r="Y205" s="26">
        <f>IF($A205="","",IFERROR(IF(INDEX(photos!$E$2:$E$701,MATCH($A205&amp;"|"&amp;$B205&amp;"|placement|Y",photos!$R$2:$R$701,0))="","",INDEX(photos!$E$2:$E$701,MATCH($A205&amp;"|"&amp;$B205&amp;"|placement|Y",photos!$R$2:$R$701,0))),""))</f>
        <v/>
      </c>
      <c r="Z205" s="25">
        <f>IF($A205="","",IF(COUNTIFS(counts!$C$2:$C$701,$A205,counts!$D$2:$D$701,$B205,counts!$E$2:$E$701,"placed")=0,"",SUMIFS(counts!$F$2:$F$701,counts!$C$2:$C$701,$A205,counts!$D$2:$D$701,$B205,counts!$E$2:$E$701,"placed")))</f>
        <v/>
      </c>
      <c r="AA205" s="25">
        <f>IF($A205="","",IF($Y205="",0,N($Z205)))</f>
        <v/>
      </c>
      <c r="AB205" s="25">
        <f>IF($A205="","",IF(OR($Y205="",$I205=""),"N",IF($Y205&lt;=WORKDAY(N($I205),1,calendar!$A$2:$A$80),"Y","N")))</f>
        <v/>
      </c>
      <c r="AC205" s="28">
        <f>IF(OR($A205="",$V205="",$Y205=""),"",ROUND(($Y205+N(IFERROR(IF(INDEX(photos!$F$2:$F$701,MATCH($A205&amp;"|"&amp;$B205&amp;"|placement|Y",photos!$R$2:$R$701,0))="","",INDEX(photos!$F$2:$F$701,MATCH($A205&amp;"|"&amp;$B205&amp;"|placement|Y",photos!$R$2:$R$701,0))),""))-$V205)*24,1))</f>
        <v/>
      </c>
      <c r="AD205" s="25">
        <f>IF($A205="","",SUMIFS(inventory!$G$2:$G$801,inventory!$C$2:$C$801,$A205,inventory!$D$2:$D$801,$B205,inventory!$E$2:$E$801,"topped_up"))</f>
        <v/>
      </c>
      <c r="AE205" s="25">
        <f>IF($A205="","",IF(COUNTIFS(counts!$C$2:$C$701,$A205,counts!$D$2:$D$701,$B205,counts!$E$2:$E$701,"remaining_day3")=0,"",SUMIFS(counts!$F$2:$F$701,counts!$C$2:$C$701,$A205,counts!$D$2:$D$701,$B205,counts!$E$2:$E$701,"remaining_day3")))</f>
        <v/>
      </c>
      <c r="AF205" s="25">
        <f>IF($A205="","",IF(COUNTIFS(counts!$C$2:$C$701,$A205,counts!$D$2:$D$701,$B205,counts!$E$2:$E$701,"remaining_day5")=0,"",SUMIFS(counts!$F$2:$F$701,counts!$C$2:$C$701,$A205,counts!$D$2:$D$701,$B205,counts!$E$2:$E$701,"remaining_day5")))</f>
        <v/>
      </c>
      <c r="AG205" s="25">
        <f>IF(OR($A205="",$AF205=""),"",MAX(0,$AA205+$AD205-$AF205))</f>
        <v/>
      </c>
      <c r="AH205" s="25">
        <f>IF(OR($A205="",$AI205=""),"",IFERROR(IF(INDEX(photos!$H$2:$H$701,MATCH($A205&amp;"|"&amp;$B205&amp;"|later|Y|"&amp;$AI205,photos!$S$2:$S$701,0))="","",INDEX(photos!$H$2:$H$701,MATCH($A205&amp;"|"&amp;$B205&amp;"|later|Y|"&amp;$AI205,photos!$S$2:$S$701,0))),""))</f>
        <v/>
      </c>
      <c r="AI205" s="26">
        <f>IF($A205="","",IFERROR(1/(1/SUMPRODUCT(MAX((photos!$B$2:$B$701=$A205)*(photos!$C$2:$C$701=$B205)*(photos!$D$2:$D$701="later")*(photos!$O$2:$O$701="Y")*photos!$E$2:$E$701))),""))</f>
        <v/>
      </c>
      <c r="AJ205" s="25">
        <f>IF(OR($A205="",$AI205="",$I205=""),"",NETWORKDAYS($I205,$AI205,calendar!$A$2:$A$80))</f>
        <v/>
      </c>
      <c r="AK205" s="25">
        <f>IF($A205="","",IF(AND($X205&lt;&gt;"",$AH205&lt;&gt;""),"Y","N"))</f>
        <v/>
      </c>
      <c r="AL205" s="25">
        <f>IF(OR($A205="",$I205=""),"",IF($BC205="Y",SUMIFS(survey_frozen!$C$2:$C$251,survey_frozen!$P$2:$P$251,$A205&amp;"|"&amp;$B205),IFERROR(COUNTIFS(INDIRECT("'"&amp;$A205&amp;"'!$B$2:$B$501"),$T205,INDIRECT("'"&amp;$A205&amp;"'!$A$2:$A$501"),"&gt;="&amp;$I205,INDIRECT("'"&amp;$A205&amp;"'!$A$2:$A$501"),"&lt;"&amp;($BA205+1)),0)))</f>
        <v/>
      </c>
      <c r="AM205" s="25">
        <f>IF(OR($A205="",$I205=""),"",IF($BC205="Y",SUMIFS(survey_frozen!$D$2:$D$251,survey_frozen!$P$2:$P$251,$A205&amp;"|"&amp;$B205),IFERROR(COUNTIFS(INDIRECT("'"&amp;$A205&amp;"'!$B$2:$B$501"),$T205,INDIRECT("'"&amp;$A205&amp;"'!$A$2:$A$501"),"&gt;="&amp;$I205,INDIRECT("'"&amp;$A205&amp;"'!$A$2:$A$501"),"&lt;"&amp;($BA205+1),INDIRECT("'"&amp;$A205&amp;"'!$C$2:$C$501"),"Yes"),0)))</f>
        <v/>
      </c>
      <c r="AN205" s="25">
        <f>IF($A205="","",IF(COUNTIFS(scans!$C$2:$C$1601,(IF(LEFT($A205,7)="SAMPLE-","SAMPLE-","")&amp;LOWER(SUBSTITUTE(SUBSTITUTE($A205,"SAMPLE-",""),"CMP-","c"))&amp;"-"&amp;LOWER(SUBSTITUTE(SUBSTITUTE($B205,"SAMPLE-",""),"O-","o"))&amp;"-q"),scans!$D$2:$D$1601,"close")=0,"",SUMPRODUCT(MAX((scans!$C$2:$C$1601=(IF(LEFT($A205,7)="SAMPLE-","SAMPLE-","")&amp;LOWER(SUBSTITUTE(SUBSTITUTE($A205,"SAMPLE-",""),"CMP-","c"))&amp;"-"&amp;LOWER(SUBSTITUTE(SUBSTITUTE($B205,"SAMPLE-",""),"O-","o"))&amp;"-q"))*(scans!$D$2:$D$1601="close")*scans!$E$2:$E$1601))-SUMPRODUCT(MAX((scans!$C$2:$C$1601=(IF(LEFT($A205,7)="SAMPLE-","SAMPLE-","")&amp;LOWER(SUBSTITUTE(SUBSTITUTE($A205,"SAMPLE-",""),"CMP-","c"))&amp;"-"&amp;LOWER(SUBSTITUTE(SUBSTITUTE($B205,"SAMPLE-",""),"O-","o"))&amp;"-q"))*(scans!$D$2:$D$1601="baseline")*scans!$E$2:$E$1601))))</f>
        <v/>
      </c>
      <c r="AO205" s="25">
        <f>IF($A205="","",IF(COUNTIFS(scans!$C$2:$C$1601,(IF(LEFT($A205,7)="SAMPLE-","SAMPLE-","")&amp;LOWER(SUBSTITUTE(SUBSTITUTE($A205,"SAMPLE-",""),"CMP-","c"))&amp;"-"&amp;LOWER(SUBSTITUTE(SUBSTITUTE($B205,"SAMPLE-",""),"O-","o"))&amp;"-p"),scans!$D$2:$D$1601,"close")=0,"",SUMPRODUCT(MAX((scans!$C$2:$C$1601=(IF(LEFT($A205,7)="SAMPLE-","SAMPLE-","")&amp;LOWER(SUBSTITUTE(SUBSTITUTE($A205,"SAMPLE-",""),"CMP-","c"))&amp;"-"&amp;LOWER(SUBSTITUTE(SUBSTITUTE($B205,"SAMPLE-",""),"O-","o"))&amp;"-p"))*(scans!$D$2:$D$1601="close")*scans!$E$2:$E$1601))-SUMPRODUCT(MAX((scans!$C$2:$C$1601=(IF(LEFT($A205,7)="SAMPLE-","SAMPLE-","")&amp;LOWER(SUBSTITUTE(SUBSTITUTE($A205,"SAMPLE-",""),"CMP-","c"))&amp;"-"&amp;LOWER(SUBSTITUTE(SUBSTITUTE($B205,"SAMPLE-",""),"O-","o"))&amp;"-p"))*(scans!$D$2:$D$1601="baseline")*scans!$E$2:$E$1601))))</f>
        <v/>
      </c>
      <c r="AP205" s="25">
        <f>IF($A205="","",IF(COUNTIF(offices!$A$2:$A$61,$B205)=0,"office_id not on offices; ","")&amp;IF(COUNTIF(campaigns!$A$2:$A$51,$A205)=0,"campaign_id not on campaigns; ","")&amp;IF($P205="pending","approval pending; ","")&amp;IF(AND($U205&gt;0,$Y205="",OR($I205="",IF(config!$B$37&lt;&gt;"",config!$B$37,TODAY())&lt;=WORKDAY(N($I205),4,calendar!$A$2:$A$80))),"no usable placement photo yet; ","")&amp;IF(AND($Y205&lt;&gt;"",$Z205=""),"log the placed count; ","")&amp;IF(N($AA205)&gt;N($U205),"placed more than delivered; ","")&amp;IF(AND($AF205&lt;&gt;"",N($AF205)&gt;N($AA205)+N($AD205)),"day-5 count above placed plus top-ups; ","")&amp;IF(AND($U205&gt;0,$I205&lt;&gt;"",IF(config!$B$37&lt;&gt;"",config!$B$37,TODAY())&gt;WORKDAY(N($I205),4,calendar!$A$2:$A$80),$AF205=""),"day-5 count missing; ","")&amp;IF(AND($U205&gt;0,$I205&lt;&gt;"",IF(config!$B$37&lt;&gt;"",config!$B$37,TODAY())&gt;WORKDAY(N($I205),4,calendar!$A$2:$A$80),$AN205=""),"no close link reading; ","")&amp;$R205&amp;IF($P205="N","info: office said no; ","")&amp;IF(AND($P205="Y",$Q205="N"),"info: turned away at the door, so not on the drop (no letter, not in the report or Gate 2; the credit check is on campaigns); ","")&amp;IF(AND($U205&gt;0,$Y205="",$I205&lt;&gt;"",IF(config!$B$37&lt;&gt;"",config!$B$37,TODAY())&gt;WORKDAY(N($I205),4,calendar!$A$2:$A$80)),"info: no usable placement photo, so nothing counts as placed; ","")&amp;IF(AND($U205&gt;0,$I205&lt;&gt;"",IF(config!$B$37&lt;&gt;"",config!$B$37,TODAY())&gt;WORKDAY(N($I205),4,calendar!$A$2:$A$80),N($AL205)&lt;config!$B$30),"info: under "&amp;config!$B$30&amp;" responses; ","")&amp;IF($W205="packing_list","info: delivered count not verified; ",""))</f>
        <v/>
      </c>
      <c r="AQ205" s="25">
        <f>IF(OR($A205="",$I205=""),"",IF($BC205="Y",SUMIFS(survey_frozen!$E$2:$E$251,survey_frozen!$P$2:$P$251,$A205&amp;"|"&amp;$B205),IFERROR(COUNTIFS(INDIRECT("'"&amp;$A205&amp;"'!$B$2:$B$501"),$T205,INDIRECT("'"&amp;$A205&amp;"'!$A$2:$A$501"),"&gt;="&amp;$I205,INDIRECT("'"&amp;$A205&amp;"'!$A$2:$A$501"),"&lt;"&amp;($BA205+1),INDIRECT("'"&amp;$A205&amp;"'!$F$2:$F$501"),"Didn't see it"),0)))</f>
        <v/>
      </c>
      <c r="AR205" s="25">
        <f>IF(OR($A205="",$I205=""),"",IF($BC205="Y",SUMIFS(survey_frozen!$F$2:$F$251,survey_frozen!$P$2:$P$251,$A205&amp;"|"&amp;$B205),IFERROR(COUNTIFS(INDIRECT("'"&amp;$A205&amp;"'!$B$2:$B$501"),$T205,INDIRECT("'"&amp;$A205&amp;"'!$A$2:$A$501"),"&gt;="&amp;$I205,INDIRECT("'"&amp;$A205&amp;"'!$A$2:$A$501"),"&lt;"&amp;($BA205+1),INDIRECT("'"&amp;$A205&amp;"'!$F$2:$F$501"),"Not for me"),0)))</f>
        <v/>
      </c>
      <c r="AS205" s="25">
        <f>IF(OR($A205="",$I205=""),"",IF($BC205="Y",SUMIFS(survey_frozen!$G$2:$G$251,survey_frozen!$P$2:$P$251,$A205&amp;"|"&amp;$B205),IFERROR(COUNTIFS(INDIRECT("'"&amp;$A205&amp;"'!$B$2:$B$501"),$T205,INDIRECT("'"&amp;$A205&amp;"'!$A$2:$A$501"),"&gt;="&amp;$I205,INDIRECT("'"&amp;$A205&amp;"'!$A$2:$A$501"),"&lt;"&amp;($BA205+1),INDIRECT("'"&amp;$A205&amp;"'!$F$2:$F$501"),"Gone by the time I looked"),0)))</f>
        <v/>
      </c>
      <c r="AT205" s="25">
        <f>IF(OR($A205="",$I205=""),"",IF($BC205="Y",SUMIFS(survey_frozen!$H$2:$H$251,survey_frozen!$P$2:$P$251,$A205&amp;"|"&amp;$B205),IFERROR(COUNTIFS(INDIRECT("'"&amp;$A205&amp;"'!$B$2:$B$501"),$T205,INDIRECT("'"&amp;$A205&amp;"'!$A$2:$A$501"),"&gt;="&amp;$I205,INDIRECT("'"&amp;$A205&amp;"'!$A$2:$A$501"),"&lt;"&amp;($BA205+1),INDIRECT("'"&amp;$A205&amp;"'!$D$2:$D$501"),"&gt;=1"),0)))</f>
        <v/>
      </c>
      <c r="AU205" s="25">
        <f>IF(OR($A205="",$I205=""),"",IF($BC205="Y",SUMIFS(survey_frozen!$I$2:$I$251,survey_frozen!$P$2:$P$251,$A205&amp;"|"&amp;$B205),IFERROR(SUMIFS(INDIRECT("'"&amp;$A205&amp;"'!$D$2:$D$501"),INDIRECT("'"&amp;$A205&amp;"'!$B$2:$B$501"),$T205,INDIRECT("'"&amp;$A205&amp;"'!$A$2:$A$501"),"&gt;="&amp;$I205,INDIRECT("'"&amp;$A205&amp;"'!$A$2:$A$501"),"&lt;"&amp;($BA205+1)),0)))</f>
        <v/>
      </c>
      <c r="AV205" s="25">
        <f>IF(OR($A205="",$I205=""),"",IF($BC205="Y",SUMIFS(survey_frozen!$J$2:$J$251,survey_frozen!$P$2:$P$251,$A205&amp;"|"&amp;$B205),IFERROR(COUNTIFS(INDIRECT("'"&amp;$A205&amp;"'!$B$2:$B$501"),$T205,INDIRECT("'"&amp;$A205&amp;"'!$A$2:$A$501"),"&gt;="&amp;$I205,INDIRECT("'"&amp;$A205&amp;"'!$A$2:$A$501"),"&lt;"&amp;($BA205+1),INDIRECT("'"&amp;$A205&amp;"'!$E$2:$E$501"),"Yes"),0)))</f>
        <v/>
      </c>
      <c r="AW205" s="25">
        <f>IF(OR($A205="",$I205=""),"",IF($BC205="Y",SUMIFS(survey_frozen!$K$2:$K$251,survey_frozen!$P$2:$P$251,$A205&amp;"|"&amp;$B205),IFERROR(COUNTIFS(INDIRECT("'"&amp;$A205&amp;"'!$B$2:$B$501"),$T205,INDIRECT("'"&amp;$A205&amp;"'!$A$2:$A$501"),"&gt;="&amp;$I205,INDIRECT("'"&amp;$A205&amp;"'!$A$2:$A$501"),"&lt;"&amp;($BA205+1),INDIRECT("'"&amp;$A205&amp;"'!$E$2:$E$501"),"Maybe"),0)))</f>
        <v/>
      </c>
      <c r="AX205" s="25">
        <f>IF(OR($A205="",$I205=""),"",IF($BC205="Y",SUMIFS(survey_frozen!$L$2:$L$251,survey_frozen!$P$2:$P$251,$A205&amp;"|"&amp;$B205),IFERROR(COUNTIFS(INDIRECT("'"&amp;$A205&amp;"'!$B$2:$B$501"),$T205,INDIRECT("'"&amp;$A205&amp;"'!$A$2:$A$501"),"&gt;="&amp;$I205,INDIRECT("'"&amp;$A205&amp;"'!$A$2:$A$501"),"&lt;"&amp;($BA205+1),INDIRECT("'"&amp;$A205&amp;"'!$E$2:$E$501"),"No"),0)))</f>
        <v/>
      </c>
      <c r="AY205" s="25">
        <f>IF(OR($A205="",$I205=""),"",IF($BC205="Y",SUMIFS(survey_frozen!$M$2:$M$251,survey_frozen!$P$2:$P$251,$A205&amp;"|"&amp;$B205),IFERROR(COUNTIFS(INDIRECT("'"&amp;$A205&amp;"'!$B$2:$B$501"),$T205,INDIRECT("'"&amp;$A205&amp;"'!$A$2:$A$501"),"&gt;="&amp;$I205,INDIRECT("'"&amp;$A205&amp;"'!$A$2:$A$501"),"&lt;"&amp;($BA205+1),INDIRECT("'"&amp;$A205&amp;"'!$G$2:$G$501"),"&lt;&gt;"),0)))</f>
        <v/>
      </c>
      <c r="AZ205" s="25">
        <f>IF($A205="","",$A205&amp;"|"&amp;$L205)</f>
        <v/>
      </c>
      <c r="BA205" s="26">
        <f>IF($A205="","",IFERROR(IF(INDEX(drops!$R$2:$R$21,MATCH($H205,drops!$A$2:$A$21,0))="","",INDEX(drops!$R$2:$R$21,MATCH($H205,drops!$A$2:$A$21,0))),""))</f>
        <v/>
      </c>
      <c r="BB205" s="25">
        <f>IF(OR($A205="",$Q205&lt;&gt;"Y"),1000000,N($AL205))</f>
        <v/>
      </c>
      <c r="BC205" s="25">
        <f>IF($A205="","",IF(COUNTIF(survey_frozen!$P$2:$P$251,$A205&amp;"|"&amp;$B205)&gt;0,"Y",""))</f>
        <v/>
      </c>
    </row>
    <row r="206">
      <c r="C206" s="9" t="n"/>
      <c r="E206" s="9" t="n"/>
      <c r="H206" s="25">
        <f>IF($A206="","",IFERROR(IF(INDEX(campaigns!$B$2:$B$51,MATCH($A206,campaigns!$A$2:$A$51,0))="","",INDEX(campaigns!$B$2:$B$51,MATCH($A206,campaigns!$A$2:$A$51,0))),""))</f>
        <v/>
      </c>
      <c r="I206" s="26">
        <f>IF($A206="","",IFERROR(IF(INDEX(campaigns!$BG$2:$BG$51,MATCH($A206,campaigns!$A$2:$A$51,0))="","",INDEX(campaigns!$BG$2:$BG$51,MATCH($A206,campaigns!$A$2:$A$51,0))),""))</f>
        <v/>
      </c>
      <c r="J206" s="25">
        <f>IF($A206="","",IFERROR(IF(INDEX(campaigns!$BE$2:$BE$51,MATCH($A206,campaigns!$A$2:$A$51,0))="","",INDEX(campaigns!$BE$2:$BE$51,MATCH($A206,campaigns!$A$2:$A$51,0))),""))</f>
        <v/>
      </c>
      <c r="K206" s="25">
        <f>IF($B206="","",IFERROR(IF(INDEX(offices!$N$2:$N$61,MATCH($B206,offices!$A$2:$A$61,0))="","",INDEX(offices!$N$2:$N$61,MATCH($B206,offices!$A$2:$A$61,0))),""))</f>
        <v/>
      </c>
      <c r="L206" s="25">
        <f>IF($A206="","",IF($Q206="N","",COUNTIFS($A$2:$A206,$A206,$Q$2:$Q206,"&lt;&gt;N")))</f>
        <v/>
      </c>
      <c r="M206" s="25">
        <f>IF(OR($A206="",$L206=""),"",IF(AND(config!$B$34="names_if_public",IFERROR(IF(INDEX(offices!$AF$2:$AF$61,MATCH($B206,offices!$A$2:$A$61,0))="","",INDEX(offices!$AF$2:$AF$61,MATCH($B206,offices!$A$2:$A$61,0))),"")="Y"),$K206,CHAR(64+$L206)))</f>
        <v/>
      </c>
      <c r="N206" s="25">
        <f>IF(OR($A206="",$I206=""),"",COUNTIFS(stops!$B$2:$B$151,$B206,stops!$P$2:$P$151,"&lt;"&amp;$I206,stops!$L$2:$L$151,"&lt;&gt;not_delivered")+1)</f>
        <v/>
      </c>
      <c r="O206" s="25">
        <f>IF($A206="","",IF(N($N206)&lt;=config!$B$29,"explicit","opt-out"))</f>
        <v/>
      </c>
      <c r="P206" s="25">
        <f>IF($A206="","",IF($O206="explicit",IF($D206="yes","Y",IF($D206="no","N","pending")),IF($D206="no","N",IF(AND($C206&lt;&gt;"",$I206&lt;&gt;"",$C206&lt;=WORKDAY(N($I206),-5,calendar!$A$2:$A$80)),"Y","pending"))))</f>
        <v/>
      </c>
      <c r="Q206" s="25">
        <f>IF($A206="","",IF($P206="N","N",IF($P206&lt;&gt;"Y","pending",IF(AND((COUNTIFS(stops!$A$2:$A$151,$H206,stops!$B$2:$B$151,$B206,stops!$L$2:$L$151,"declined")+COUNTIFS(stops!$A$2:$A$151,$H206,stops!$B$2:$B$151,$B206,stops!$L$2:$L$151,"building_refused")+COUNTIFS(stops!$A$2:$A$151,$H206,stops!$B$2:$B$151,$B206,stops!$L$2:$L$151,"not_delivered"))&gt;0,N($U206)=0),"N","Y"))))</f>
        <v/>
      </c>
      <c r="R206" s="25">
        <f>IF($A206="","",IF(COUNTIFS($A$2:$A$251,$A206,$B$2:$B$251,$B206)&gt;1,"DUPLICATE ROW; ","")&amp;IF(AND(IFERROR(IF(INDEX(offices!$AC$2:$AC$61,MATCH($B206,offices!$A$2:$A$61,0))="","",INDEX(offices!$AC$2:$AC$61,MATCH($B206,offices!$A$2:$A$61,0))),"")&lt;&gt;"",ISNUMBER(SEARCH($J206,IFERROR(IF(INDEX(offices!$AC$2:$AC$61,MATCH($B206,offices!$A$2:$A$61,0))="","",INDEX(offices!$AC$2:$AC$61,MATCH($B206,offices!$A$2:$A$61,0))),"")))),"BRAND VETOED; ","")&amp;IF(ISNUMBER(SEARCH(IFERROR(IF(INDEX(campaigns!$BF$2:$BF$51,MATCH($A206,campaigns!$A$2:$A$51,0))="","",INDEX(campaigns!$BF$2:$BF$51,MATCH($A206,campaigns!$A$2:$A$51,0))),""),IFERROR(IF(INDEX(offices!$AB$2:$AB$61,MATCH($B206,offices!$A$2:$A$61,0))="","",INDEX(offices!$AB$2:$AB$61,MATCH($B206,offices!$A$2:$A$61,0))),""))),"","info: category not on the office's list; ")&amp;IF(IFERROR(IF(INDEX(offices!$AC$2:$AC$61,MATCH($B206,offices!$A$2:$A$61,0))="","",INDEX(offices!$AC$2:$AC$61,MATCH($B206,offices!$A$2:$A$61,0))),"")&lt;&gt;"","info: read the vetoes against the label; ",""))</f>
        <v/>
      </c>
      <c r="S206" s="25">
        <f>IF($A206="","",IF($G206&lt;&gt;"",$G206,IFERROR(IF(INDEX(offices!$AL$2:$AL$61,MATCH($B206,offices!$A$2:$A$61,0))="","",INDEX(offices!$AL$2:$AL$61,MATCH($B206,offices!$A$2:$A$61,0))),"")))</f>
        <v/>
      </c>
      <c r="T206" s="25">
        <f>IF($A206="","",$A206&amp;"."&amp;$B206)</f>
        <v/>
      </c>
      <c r="U206" s="25">
        <f>IF($A206="","",SUMIFS(inventory!$G$2:$G$801,inventory!$C$2:$C$801,$A206,inventory!$D$2:$D$801,$B206,inventory!$E$2:$E$801,"delivered"))</f>
        <v/>
      </c>
      <c r="V206" s="32">
        <f>IF($A206="","",IFERROR(1/(1/SUMPRODUCT(MAX((inventory!$C$2:$C$801=$A206)*(inventory!$D$2:$D$801=$B206)*(inventory!$E$2:$E$801="delivered")*(inventory!$A$2:$A$801+inventory!$B$2:$B$801)))),""))</f>
        <v/>
      </c>
      <c r="W206" s="25">
        <f>IF($A206="","",IFERROR(IF(INDEX(inventory!$J$2:$J$801,MATCH($A206&amp;"|"&amp;$B206&amp;"|delivered",inventory!$R$2:$R$801,0))="","",INDEX(inventory!$J$2:$J$801,MATCH($A206&amp;"|"&amp;$B206&amp;"|delivered",inventory!$R$2:$R$801,0))),""))</f>
        <v/>
      </c>
      <c r="X206" s="25">
        <f>IF($A206="","",IFERROR(IF(INDEX(photos!$H$2:$H$701,MATCH($A206&amp;"|"&amp;$B206&amp;"|placement|Y",photos!$R$2:$R$701,0))="","",INDEX(photos!$H$2:$H$701,MATCH($A206&amp;"|"&amp;$B206&amp;"|placement|Y",photos!$R$2:$R$701,0))),""))</f>
        <v/>
      </c>
      <c r="Y206" s="26">
        <f>IF($A206="","",IFERROR(IF(INDEX(photos!$E$2:$E$701,MATCH($A206&amp;"|"&amp;$B206&amp;"|placement|Y",photos!$R$2:$R$701,0))="","",INDEX(photos!$E$2:$E$701,MATCH($A206&amp;"|"&amp;$B206&amp;"|placement|Y",photos!$R$2:$R$701,0))),""))</f>
        <v/>
      </c>
      <c r="Z206" s="25">
        <f>IF($A206="","",IF(COUNTIFS(counts!$C$2:$C$701,$A206,counts!$D$2:$D$701,$B206,counts!$E$2:$E$701,"placed")=0,"",SUMIFS(counts!$F$2:$F$701,counts!$C$2:$C$701,$A206,counts!$D$2:$D$701,$B206,counts!$E$2:$E$701,"placed")))</f>
        <v/>
      </c>
      <c r="AA206" s="25">
        <f>IF($A206="","",IF($Y206="",0,N($Z206)))</f>
        <v/>
      </c>
      <c r="AB206" s="25">
        <f>IF($A206="","",IF(OR($Y206="",$I206=""),"N",IF($Y206&lt;=WORKDAY(N($I206),1,calendar!$A$2:$A$80),"Y","N")))</f>
        <v/>
      </c>
      <c r="AC206" s="28">
        <f>IF(OR($A206="",$V206="",$Y206=""),"",ROUND(($Y206+N(IFERROR(IF(INDEX(photos!$F$2:$F$701,MATCH($A206&amp;"|"&amp;$B206&amp;"|placement|Y",photos!$R$2:$R$701,0))="","",INDEX(photos!$F$2:$F$701,MATCH($A206&amp;"|"&amp;$B206&amp;"|placement|Y",photos!$R$2:$R$701,0))),""))-$V206)*24,1))</f>
        <v/>
      </c>
      <c r="AD206" s="25">
        <f>IF($A206="","",SUMIFS(inventory!$G$2:$G$801,inventory!$C$2:$C$801,$A206,inventory!$D$2:$D$801,$B206,inventory!$E$2:$E$801,"topped_up"))</f>
        <v/>
      </c>
      <c r="AE206" s="25">
        <f>IF($A206="","",IF(COUNTIFS(counts!$C$2:$C$701,$A206,counts!$D$2:$D$701,$B206,counts!$E$2:$E$701,"remaining_day3")=0,"",SUMIFS(counts!$F$2:$F$701,counts!$C$2:$C$701,$A206,counts!$D$2:$D$701,$B206,counts!$E$2:$E$701,"remaining_day3")))</f>
        <v/>
      </c>
      <c r="AF206" s="25">
        <f>IF($A206="","",IF(COUNTIFS(counts!$C$2:$C$701,$A206,counts!$D$2:$D$701,$B206,counts!$E$2:$E$701,"remaining_day5")=0,"",SUMIFS(counts!$F$2:$F$701,counts!$C$2:$C$701,$A206,counts!$D$2:$D$701,$B206,counts!$E$2:$E$701,"remaining_day5")))</f>
        <v/>
      </c>
      <c r="AG206" s="25">
        <f>IF(OR($A206="",$AF206=""),"",MAX(0,$AA206+$AD206-$AF206))</f>
        <v/>
      </c>
      <c r="AH206" s="25">
        <f>IF(OR($A206="",$AI206=""),"",IFERROR(IF(INDEX(photos!$H$2:$H$701,MATCH($A206&amp;"|"&amp;$B206&amp;"|later|Y|"&amp;$AI206,photos!$S$2:$S$701,0))="","",INDEX(photos!$H$2:$H$701,MATCH($A206&amp;"|"&amp;$B206&amp;"|later|Y|"&amp;$AI206,photos!$S$2:$S$701,0))),""))</f>
        <v/>
      </c>
      <c r="AI206" s="26">
        <f>IF($A206="","",IFERROR(1/(1/SUMPRODUCT(MAX((photos!$B$2:$B$701=$A206)*(photos!$C$2:$C$701=$B206)*(photos!$D$2:$D$701="later")*(photos!$O$2:$O$701="Y")*photos!$E$2:$E$701))),""))</f>
        <v/>
      </c>
      <c r="AJ206" s="25">
        <f>IF(OR($A206="",$AI206="",$I206=""),"",NETWORKDAYS($I206,$AI206,calendar!$A$2:$A$80))</f>
        <v/>
      </c>
      <c r="AK206" s="25">
        <f>IF($A206="","",IF(AND($X206&lt;&gt;"",$AH206&lt;&gt;""),"Y","N"))</f>
        <v/>
      </c>
      <c r="AL206" s="25">
        <f>IF(OR($A206="",$I206=""),"",IF($BC206="Y",SUMIFS(survey_frozen!$C$2:$C$251,survey_frozen!$P$2:$P$251,$A206&amp;"|"&amp;$B206),IFERROR(COUNTIFS(INDIRECT("'"&amp;$A206&amp;"'!$B$2:$B$501"),$T206,INDIRECT("'"&amp;$A206&amp;"'!$A$2:$A$501"),"&gt;="&amp;$I206,INDIRECT("'"&amp;$A206&amp;"'!$A$2:$A$501"),"&lt;"&amp;($BA206+1)),0)))</f>
        <v/>
      </c>
      <c r="AM206" s="25">
        <f>IF(OR($A206="",$I206=""),"",IF($BC206="Y",SUMIFS(survey_frozen!$D$2:$D$251,survey_frozen!$P$2:$P$251,$A206&amp;"|"&amp;$B206),IFERROR(COUNTIFS(INDIRECT("'"&amp;$A206&amp;"'!$B$2:$B$501"),$T206,INDIRECT("'"&amp;$A206&amp;"'!$A$2:$A$501"),"&gt;="&amp;$I206,INDIRECT("'"&amp;$A206&amp;"'!$A$2:$A$501"),"&lt;"&amp;($BA206+1),INDIRECT("'"&amp;$A206&amp;"'!$C$2:$C$501"),"Yes"),0)))</f>
        <v/>
      </c>
      <c r="AN206" s="25">
        <f>IF($A206="","",IF(COUNTIFS(scans!$C$2:$C$1601,(IF(LEFT($A206,7)="SAMPLE-","SAMPLE-","")&amp;LOWER(SUBSTITUTE(SUBSTITUTE($A206,"SAMPLE-",""),"CMP-","c"))&amp;"-"&amp;LOWER(SUBSTITUTE(SUBSTITUTE($B206,"SAMPLE-",""),"O-","o"))&amp;"-q"),scans!$D$2:$D$1601,"close")=0,"",SUMPRODUCT(MAX((scans!$C$2:$C$1601=(IF(LEFT($A206,7)="SAMPLE-","SAMPLE-","")&amp;LOWER(SUBSTITUTE(SUBSTITUTE($A206,"SAMPLE-",""),"CMP-","c"))&amp;"-"&amp;LOWER(SUBSTITUTE(SUBSTITUTE($B206,"SAMPLE-",""),"O-","o"))&amp;"-q"))*(scans!$D$2:$D$1601="close")*scans!$E$2:$E$1601))-SUMPRODUCT(MAX((scans!$C$2:$C$1601=(IF(LEFT($A206,7)="SAMPLE-","SAMPLE-","")&amp;LOWER(SUBSTITUTE(SUBSTITUTE($A206,"SAMPLE-",""),"CMP-","c"))&amp;"-"&amp;LOWER(SUBSTITUTE(SUBSTITUTE($B206,"SAMPLE-",""),"O-","o"))&amp;"-q"))*(scans!$D$2:$D$1601="baseline")*scans!$E$2:$E$1601))))</f>
        <v/>
      </c>
      <c r="AO206" s="25">
        <f>IF($A206="","",IF(COUNTIFS(scans!$C$2:$C$1601,(IF(LEFT($A206,7)="SAMPLE-","SAMPLE-","")&amp;LOWER(SUBSTITUTE(SUBSTITUTE($A206,"SAMPLE-",""),"CMP-","c"))&amp;"-"&amp;LOWER(SUBSTITUTE(SUBSTITUTE($B206,"SAMPLE-",""),"O-","o"))&amp;"-p"),scans!$D$2:$D$1601,"close")=0,"",SUMPRODUCT(MAX((scans!$C$2:$C$1601=(IF(LEFT($A206,7)="SAMPLE-","SAMPLE-","")&amp;LOWER(SUBSTITUTE(SUBSTITUTE($A206,"SAMPLE-",""),"CMP-","c"))&amp;"-"&amp;LOWER(SUBSTITUTE(SUBSTITUTE($B206,"SAMPLE-",""),"O-","o"))&amp;"-p"))*(scans!$D$2:$D$1601="close")*scans!$E$2:$E$1601))-SUMPRODUCT(MAX((scans!$C$2:$C$1601=(IF(LEFT($A206,7)="SAMPLE-","SAMPLE-","")&amp;LOWER(SUBSTITUTE(SUBSTITUTE($A206,"SAMPLE-",""),"CMP-","c"))&amp;"-"&amp;LOWER(SUBSTITUTE(SUBSTITUTE($B206,"SAMPLE-",""),"O-","o"))&amp;"-p"))*(scans!$D$2:$D$1601="baseline")*scans!$E$2:$E$1601))))</f>
        <v/>
      </c>
      <c r="AP206" s="25">
        <f>IF($A206="","",IF(COUNTIF(offices!$A$2:$A$61,$B206)=0,"office_id not on offices; ","")&amp;IF(COUNTIF(campaigns!$A$2:$A$51,$A206)=0,"campaign_id not on campaigns; ","")&amp;IF($P206="pending","approval pending; ","")&amp;IF(AND($U206&gt;0,$Y206="",OR($I206="",IF(config!$B$37&lt;&gt;"",config!$B$37,TODAY())&lt;=WORKDAY(N($I206),4,calendar!$A$2:$A$80))),"no usable placement photo yet; ","")&amp;IF(AND($Y206&lt;&gt;"",$Z206=""),"log the placed count; ","")&amp;IF(N($AA206)&gt;N($U206),"placed more than delivered; ","")&amp;IF(AND($AF206&lt;&gt;"",N($AF206)&gt;N($AA206)+N($AD206)),"day-5 count above placed plus top-ups; ","")&amp;IF(AND($U206&gt;0,$I206&lt;&gt;"",IF(config!$B$37&lt;&gt;"",config!$B$37,TODAY())&gt;WORKDAY(N($I206),4,calendar!$A$2:$A$80),$AF206=""),"day-5 count missing; ","")&amp;IF(AND($U206&gt;0,$I206&lt;&gt;"",IF(config!$B$37&lt;&gt;"",config!$B$37,TODAY())&gt;WORKDAY(N($I206),4,calendar!$A$2:$A$80),$AN206=""),"no close link reading; ","")&amp;$R206&amp;IF($P206="N","info: office said no; ","")&amp;IF(AND($P206="Y",$Q206="N"),"info: turned away at the door, so not on the drop (no letter, not in the report or Gate 2; the credit check is on campaigns); ","")&amp;IF(AND($U206&gt;0,$Y206="",$I206&lt;&gt;"",IF(config!$B$37&lt;&gt;"",config!$B$37,TODAY())&gt;WORKDAY(N($I206),4,calendar!$A$2:$A$80)),"info: no usable placement photo, so nothing counts as placed; ","")&amp;IF(AND($U206&gt;0,$I206&lt;&gt;"",IF(config!$B$37&lt;&gt;"",config!$B$37,TODAY())&gt;WORKDAY(N($I206),4,calendar!$A$2:$A$80),N($AL206)&lt;config!$B$30),"info: under "&amp;config!$B$30&amp;" responses; ","")&amp;IF($W206="packing_list","info: delivered count not verified; ",""))</f>
        <v/>
      </c>
      <c r="AQ206" s="25">
        <f>IF(OR($A206="",$I206=""),"",IF($BC206="Y",SUMIFS(survey_frozen!$E$2:$E$251,survey_frozen!$P$2:$P$251,$A206&amp;"|"&amp;$B206),IFERROR(COUNTIFS(INDIRECT("'"&amp;$A206&amp;"'!$B$2:$B$501"),$T206,INDIRECT("'"&amp;$A206&amp;"'!$A$2:$A$501"),"&gt;="&amp;$I206,INDIRECT("'"&amp;$A206&amp;"'!$A$2:$A$501"),"&lt;"&amp;($BA206+1),INDIRECT("'"&amp;$A206&amp;"'!$F$2:$F$501"),"Didn't see it"),0)))</f>
        <v/>
      </c>
      <c r="AR206" s="25">
        <f>IF(OR($A206="",$I206=""),"",IF($BC206="Y",SUMIFS(survey_frozen!$F$2:$F$251,survey_frozen!$P$2:$P$251,$A206&amp;"|"&amp;$B206),IFERROR(COUNTIFS(INDIRECT("'"&amp;$A206&amp;"'!$B$2:$B$501"),$T206,INDIRECT("'"&amp;$A206&amp;"'!$A$2:$A$501"),"&gt;="&amp;$I206,INDIRECT("'"&amp;$A206&amp;"'!$A$2:$A$501"),"&lt;"&amp;($BA206+1),INDIRECT("'"&amp;$A206&amp;"'!$F$2:$F$501"),"Not for me"),0)))</f>
        <v/>
      </c>
      <c r="AS206" s="25">
        <f>IF(OR($A206="",$I206=""),"",IF($BC206="Y",SUMIFS(survey_frozen!$G$2:$G$251,survey_frozen!$P$2:$P$251,$A206&amp;"|"&amp;$B206),IFERROR(COUNTIFS(INDIRECT("'"&amp;$A206&amp;"'!$B$2:$B$501"),$T206,INDIRECT("'"&amp;$A206&amp;"'!$A$2:$A$501"),"&gt;="&amp;$I206,INDIRECT("'"&amp;$A206&amp;"'!$A$2:$A$501"),"&lt;"&amp;($BA206+1),INDIRECT("'"&amp;$A206&amp;"'!$F$2:$F$501"),"Gone by the time I looked"),0)))</f>
        <v/>
      </c>
      <c r="AT206" s="25">
        <f>IF(OR($A206="",$I206=""),"",IF($BC206="Y",SUMIFS(survey_frozen!$H$2:$H$251,survey_frozen!$P$2:$P$251,$A206&amp;"|"&amp;$B206),IFERROR(COUNTIFS(INDIRECT("'"&amp;$A206&amp;"'!$B$2:$B$501"),$T206,INDIRECT("'"&amp;$A206&amp;"'!$A$2:$A$501"),"&gt;="&amp;$I206,INDIRECT("'"&amp;$A206&amp;"'!$A$2:$A$501"),"&lt;"&amp;($BA206+1),INDIRECT("'"&amp;$A206&amp;"'!$D$2:$D$501"),"&gt;=1"),0)))</f>
        <v/>
      </c>
      <c r="AU206" s="25">
        <f>IF(OR($A206="",$I206=""),"",IF($BC206="Y",SUMIFS(survey_frozen!$I$2:$I$251,survey_frozen!$P$2:$P$251,$A206&amp;"|"&amp;$B206),IFERROR(SUMIFS(INDIRECT("'"&amp;$A206&amp;"'!$D$2:$D$501"),INDIRECT("'"&amp;$A206&amp;"'!$B$2:$B$501"),$T206,INDIRECT("'"&amp;$A206&amp;"'!$A$2:$A$501"),"&gt;="&amp;$I206,INDIRECT("'"&amp;$A206&amp;"'!$A$2:$A$501"),"&lt;"&amp;($BA206+1)),0)))</f>
        <v/>
      </c>
      <c r="AV206" s="25">
        <f>IF(OR($A206="",$I206=""),"",IF($BC206="Y",SUMIFS(survey_frozen!$J$2:$J$251,survey_frozen!$P$2:$P$251,$A206&amp;"|"&amp;$B206),IFERROR(COUNTIFS(INDIRECT("'"&amp;$A206&amp;"'!$B$2:$B$501"),$T206,INDIRECT("'"&amp;$A206&amp;"'!$A$2:$A$501"),"&gt;="&amp;$I206,INDIRECT("'"&amp;$A206&amp;"'!$A$2:$A$501"),"&lt;"&amp;($BA206+1),INDIRECT("'"&amp;$A206&amp;"'!$E$2:$E$501"),"Yes"),0)))</f>
        <v/>
      </c>
      <c r="AW206" s="25">
        <f>IF(OR($A206="",$I206=""),"",IF($BC206="Y",SUMIFS(survey_frozen!$K$2:$K$251,survey_frozen!$P$2:$P$251,$A206&amp;"|"&amp;$B206),IFERROR(COUNTIFS(INDIRECT("'"&amp;$A206&amp;"'!$B$2:$B$501"),$T206,INDIRECT("'"&amp;$A206&amp;"'!$A$2:$A$501"),"&gt;="&amp;$I206,INDIRECT("'"&amp;$A206&amp;"'!$A$2:$A$501"),"&lt;"&amp;($BA206+1),INDIRECT("'"&amp;$A206&amp;"'!$E$2:$E$501"),"Maybe"),0)))</f>
        <v/>
      </c>
      <c r="AX206" s="25">
        <f>IF(OR($A206="",$I206=""),"",IF($BC206="Y",SUMIFS(survey_frozen!$L$2:$L$251,survey_frozen!$P$2:$P$251,$A206&amp;"|"&amp;$B206),IFERROR(COUNTIFS(INDIRECT("'"&amp;$A206&amp;"'!$B$2:$B$501"),$T206,INDIRECT("'"&amp;$A206&amp;"'!$A$2:$A$501"),"&gt;="&amp;$I206,INDIRECT("'"&amp;$A206&amp;"'!$A$2:$A$501"),"&lt;"&amp;($BA206+1),INDIRECT("'"&amp;$A206&amp;"'!$E$2:$E$501"),"No"),0)))</f>
        <v/>
      </c>
      <c r="AY206" s="25">
        <f>IF(OR($A206="",$I206=""),"",IF($BC206="Y",SUMIFS(survey_frozen!$M$2:$M$251,survey_frozen!$P$2:$P$251,$A206&amp;"|"&amp;$B206),IFERROR(COUNTIFS(INDIRECT("'"&amp;$A206&amp;"'!$B$2:$B$501"),$T206,INDIRECT("'"&amp;$A206&amp;"'!$A$2:$A$501"),"&gt;="&amp;$I206,INDIRECT("'"&amp;$A206&amp;"'!$A$2:$A$501"),"&lt;"&amp;($BA206+1),INDIRECT("'"&amp;$A206&amp;"'!$G$2:$G$501"),"&lt;&gt;"),0)))</f>
        <v/>
      </c>
      <c r="AZ206" s="25">
        <f>IF($A206="","",$A206&amp;"|"&amp;$L206)</f>
        <v/>
      </c>
      <c r="BA206" s="26">
        <f>IF($A206="","",IFERROR(IF(INDEX(drops!$R$2:$R$21,MATCH($H206,drops!$A$2:$A$21,0))="","",INDEX(drops!$R$2:$R$21,MATCH($H206,drops!$A$2:$A$21,0))),""))</f>
        <v/>
      </c>
      <c r="BB206" s="25">
        <f>IF(OR($A206="",$Q206&lt;&gt;"Y"),1000000,N($AL206))</f>
        <v/>
      </c>
      <c r="BC206" s="25">
        <f>IF($A206="","",IF(COUNTIF(survey_frozen!$P$2:$P$251,$A206&amp;"|"&amp;$B206)&gt;0,"Y",""))</f>
        <v/>
      </c>
    </row>
    <row r="207">
      <c r="C207" s="9" t="n"/>
      <c r="E207" s="9" t="n"/>
      <c r="H207" s="25">
        <f>IF($A207="","",IFERROR(IF(INDEX(campaigns!$B$2:$B$51,MATCH($A207,campaigns!$A$2:$A$51,0))="","",INDEX(campaigns!$B$2:$B$51,MATCH($A207,campaigns!$A$2:$A$51,0))),""))</f>
        <v/>
      </c>
      <c r="I207" s="26">
        <f>IF($A207="","",IFERROR(IF(INDEX(campaigns!$BG$2:$BG$51,MATCH($A207,campaigns!$A$2:$A$51,0))="","",INDEX(campaigns!$BG$2:$BG$51,MATCH($A207,campaigns!$A$2:$A$51,0))),""))</f>
        <v/>
      </c>
      <c r="J207" s="25">
        <f>IF($A207="","",IFERROR(IF(INDEX(campaigns!$BE$2:$BE$51,MATCH($A207,campaigns!$A$2:$A$51,0))="","",INDEX(campaigns!$BE$2:$BE$51,MATCH($A207,campaigns!$A$2:$A$51,0))),""))</f>
        <v/>
      </c>
      <c r="K207" s="25">
        <f>IF($B207="","",IFERROR(IF(INDEX(offices!$N$2:$N$61,MATCH($B207,offices!$A$2:$A$61,0))="","",INDEX(offices!$N$2:$N$61,MATCH($B207,offices!$A$2:$A$61,0))),""))</f>
        <v/>
      </c>
      <c r="L207" s="25">
        <f>IF($A207="","",IF($Q207="N","",COUNTIFS($A$2:$A207,$A207,$Q$2:$Q207,"&lt;&gt;N")))</f>
        <v/>
      </c>
      <c r="M207" s="25">
        <f>IF(OR($A207="",$L207=""),"",IF(AND(config!$B$34="names_if_public",IFERROR(IF(INDEX(offices!$AF$2:$AF$61,MATCH($B207,offices!$A$2:$A$61,0))="","",INDEX(offices!$AF$2:$AF$61,MATCH($B207,offices!$A$2:$A$61,0))),"")="Y"),$K207,CHAR(64+$L207)))</f>
        <v/>
      </c>
      <c r="N207" s="25">
        <f>IF(OR($A207="",$I207=""),"",COUNTIFS(stops!$B$2:$B$151,$B207,stops!$P$2:$P$151,"&lt;"&amp;$I207,stops!$L$2:$L$151,"&lt;&gt;not_delivered")+1)</f>
        <v/>
      </c>
      <c r="O207" s="25">
        <f>IF($A207="","",IF(N($N207)&lt;=config!$B$29,"explicit","opt-out"))</f>
        <v/>
      </c>
      <c r="P207" s="25">
        <f>IF($A207="","",IF($O207="explicit",IF($D207="yes","Y",IF($D207="no","N","pending")),IF($D207="no","N",IF(AND($C207&lt;&gt;"",$I207&lt;&gt;"",$C207&lt;=WORKDAY(N($I207),-5,calendar!$A$2:$A$80)),"Y","pending"))))</f>
        <v/>
      </c>
      <c r="Q207" s="25">
        <f>IF($A207="","",IF($P207="N","N",IF($P207&lt;&gt;"Y","pending",IF(AND((COUNTIFS(stops!$A$2:$A$151,$H207,stops!$B$2:$B$151,$B207,stops!$L$2:$L$151,"declined")+COUNTIFS(stops!$A$2:$A$151,$H207,stops!$B$2:$B$151,$B207,stops!$L$2:$L$151,"building_refused")+COUNTIFS(stops!$A$2:$A$151,$H207,stops!$B$2:$B$151,$B207,stops!$L$2:$L$151,"not_delivered"))&gt;0,N($U207)=0),"N","Y"))))</f>
        <v/>
      </c>
      <c r="R207" s="25">
        <f>IF($A207="","",IF(COUNTIFS($A$2:$A$251,$A207,$B$2:$B$251,$B207)&gt;1,"DUPLICATE ROW; ","")&amp;IF(AND(IFERROR(IF(INDEX(offices!$AC$2:$AC$61,MATCH($B207,offices!$A$2:$A$61,0))="","",INDEX(offices!$AC$2:$AC$61,MATCH($B207,offices!$A$2:$A$61,0))),"")&lt;&gt;"",ISNUMBER(SEARCH($J207,IFERROR(IF(INDEX(offices!$AC$2:$AC$61,MATCH($B207,offices!$A$2:$A$61,0))="","",INDEX(offices!$AC$2:$AC$61,MATCH($B207,offices!$A$2:$A$61,0))),"")))),"BRAND VETOED; ","")&amp;IF(ISNUMBER(SEARCH(IFERROR(IF(INDEX(campaigns!$BF$2:$BF$51,MATCH($A207,campaigns!$A$2:$A$51,0))="","",INDEX(campaigns!$BF$2:$BF$51,MATCH($A207,campaigns!$A$2:$A$51,0))),""),IFERROR(IF(INDEX(offices!$AB$2:$AB$61,MATCH($B207,offices!$A$2:$A$61,0))="","",INDEX(offices!$AB$2:$AB$61,MATCH($B207,offices!$A$2:$A$61,0))),""))),"","info: category not on the office's list; ")&amp;IF(IFERROR(IF(INDEX(offices!$AC$2:$AC$61,MATCH($B207,offices!$A$2:$A$61,0))="","",INDEX(offices!$AC$2:$AC$61,MATCH($B207,offices!$A$2:$A$61,0))),"")&lt;&gt;"","info: read the vetoes against the label; ",""))</f>
        <v/>
      </c>
      <c r="S207" s="25">
        <f>IF($A207="","",IF($G207&lt;&gt;"",$G207,IFERROR(IF(INDEX(offices!$AL$2:$AL$61,MATCH($B207,offices!$A$2:$A$61,0))="","",INDEX(offices!$AL$2:$AL$61,MATCH($B207,offices!$A$2:$A$61,0))),"")))</f>
        <v/>
      </c>
      <c r="T207" s="25">
        <f>IF($A207="","",$A207&amp;"."&amp;$B207)</f>
        <v/>
      </c>
      <c r="U207" s="25">
        <f>IF($A207="","",SUMIFS(inventory!$G$2:$G$801,inventory!$C$2:$C$801,$A207,inventory!$D$2:$D$801,$B207,inventory!$E$2:$E$801,"delivered"))</f>
        <v/>
      </c>
      <c r="V207" s="32">
        <f>IF($A207="","",IFERROR(1/(1/SUMPRODUCT(MAX((inventory!$C$2:$C$801=$A207)*(inventory!$D$2:$D$801=$B207)*(inventory!$E$2:$E$801="delivered")*(inventory!$A$2:$A$801+inventory!$B$2:$B$801)))),""))</f>
        <v/>
      </c>
      <c r="W207" s="25">
        <f>IF($A207="","",IFERROR(IF(INDEX(inventory!$J$2:$J$801,MATCH($A207&amp;"|"&amp;$B207&amp;"|delivered",inventory!$R$2:$R$801,0))="","",INDEX(inventory!$J$2:$J$801,MATCH($A207&amp;"|"&amp;$B207&amp;"|delivered",inventory!$R$2:$R$801,0))),""))</f>
        <v/>
      </c>
      <c r="X207" s="25">
        <f>IF($A207="","",IFERROR(IF(INDEX(photos!$H$2:$H$701,MATCH($A207&amp;"|"&amp;$B207&amp;"|placement|Y",photos!$R$2:$R$701,0))="","",INDEX(photos!$H$2:$H$701,MATCH($A207&amp;"|"&amp;$B207&amp;"|placement|Y",photos!$R$2:$R$701,0))),""))</f>
        <v/>
      </c>
      <c r="Y207" s="26">
        <f>IF($A207="","",IFERROR(IF(INDEX(photos!$E$2:$E$701,MATCH($A207&amp;"|"&amp;$B207&amp;"|placement|Y",photos!$R$2:$R$701,0))="","",INDEX(photos!$E$2:$E$701,MATCH($A207&amp;"|"&amp;$B207&amp;"|placement|Y",photos!$R$2:$R$701,0))),""))</f>
        <v/>
      </c>
      <c r="Z207" s="25">
        <f>IF($A207="","",IF(COUNTIFS(counts!$C$2:$C$701,$A207,counts!$D$2:$D$701,$B207,counts!$E$2:$E$701,"placed")=0,"",SUMIFS(counts!$F$2:$F$701,counts!$C$2:$C$701,$A207,counts!$D$2:$D$701,$B207,counts!$E$2:$E$701,"placed")))</f>
        <v/>
      </c>
      <c r="AA207" s="25">
        <f>IF($A207="","",IF($Y207="",0,N($Z207)))</f>
        <v/>
      </c>
      <c r="AB207" s="25">
        <f>IF($A207="","",IF(OR($Y207="",$I207=""),"N",IF($Y207&lt;=WORKDAY(N($I207),1,calendar!$A$2:$A$80),"Y","N")))</f>
        <v/>
      </c>
      <c r="AC207" s="28">
        <f>IF(OR($A207="",$V207="",$Y207=""),"",ROUND(($Y207+N(IFERROR(IF(INDEX(photos!$F$2:$F$701,MATCH($A207&amp;"|"&amp;$B207&amp;"|placement|Y",photos!$R$2:$R$701,0))="","",INDEX(photos!$F$2:$F$701,MATCH($A207&amp;"|"&amp;$B207&amp;"|placement|Y",photos!$R$2:$R$701,0))),""))-$V207)*24,1))</f>
        <v/>
      </c>
      <c r="AD207" s="25">
        <f>IF($A207="","",SUMIFS(inventory!$G$2:$G$801,inventory!$C$2:$C$801,$A207,inventory!$D$2:$D$801,$B207,inventory!$E$2:$E$801,"topped_up"))</f>
        <v/>
      </c>
      <c r="AE207" s="25">
        <f>IF($A207="","",IF(COUNTIFS(counts!$C$2:$C$701,$A207,counts!$D$2:$D$701,$B207,counts!$E$2:$E$701,"remaining_day3")=0,"",SUMIFS(counts!$F$2:$F$701,counts!$C$2:$C$701,$A207,counts!$D$2:$D$701,$B207,counts!$E$2:$E$701,"remaining_day3")))</f>
        <v/>
      </c>
      <c r="AF207" s="25">
        <f>IF($A207="","",IF(COUNTIFS(counts!$C$2:$C$701,$A207,counts!$D$2:$D$701,$B207,counts!$E$2:$E$701,"remaining_day5")=0,"",SUMIFS(counts!$F$2:$F$701,counts!$C$2:$C$701,$A207,counts!$D$2:$D$701,$B207,counts!$E$2:$E$701,"remaining_day5")))</f>
        <v/>
      </c>
      <c r="AG207" s="25">
        <f>IF(OR($A207="",$AF207=""),"",MAX(0,$AA207+$AD207-$AF207))</f>
        <v/>
      </c>
      <c r="AH207" s="25">
        <f>IF(OR($A207="",$AI207=""),"",IFERROR(IF(INDEX(photos!$H$2:$H$701,MATCH($A207&amp;"|"&amp;$B207&amp;"|later|Y|"&amp;$AI207,photos!$S$2:$S$701,0))="","",INDEX(photos!$H$2:$H$701,MATCH($A207&amp;"|"&amp;$B207&amp;"|later|Y|"&amp;$AI207,photos!$S$2:$S$701,0))),""))</f>
        <v/>
      </c>
      <c r="AI207" s="26">
        <f>IF($A207="","",IFERROR(1/(1/SUMPRODUCT(MAX((photos!$B$2:$B$701=$A207)*(photos!$C$2:$C$701=$B207)*(photos!$D$2:$D$701="later")*(photos!$O$2:$O$701="Y")*photos!$E$2:$E$701))),""))</f>
        <v/>
      </c>
      <c r="AJ207" s="25">
        <f>IF(OR($A207="",$AI207="",$I207=""),"",NETWORKDAYS($I207,$AI207,calendar!$A$2:$A$80))</f>
        <v/>
      </c>
      <c r="AK207" s="25">
        <f>IF($A207="","",IF(AND($X207&lt;&gt;"",$AH207&lt;&gt;""),"Y","N"))</f>
        <v/>
      </c>
      <c r="AL207" s="25">
        <f>IF(OR($A207="",$I207=""),"",IF($BC207="Y",SUMIFS(survey_frozen!$C$2:$C$251,survey_frozen!$P$2:$P$251,$A207&amp;"|"&amp;$B207),IFERROR(COUNTIFS(INDIRECT("'"&amp;$A207&amp;"'!$B$2:$B$501"),$T207,INDIRECT("'"&amp;$A207&amp;"'!$A$2:$A$501"),"&gt;="&amp;$I207,INDIRECT("'"&amp;$A207&amp;"'!$A$2:$A$501"),"&lt;"&amp;($BA207+1)),0)))</f>
        <v/>
      </c>
      <c r="AM207" s="25">
        <f>IF(OR($A207="",$I207=""),"",IF($BC207="Y",SUMIFS(survey_frozen!$D$2:$D$251,survey_frozen!$P$2:$P$251,$A207&amp;"|"&amp;$B207),IFERROR(COUNTIFS(INDIRECT("'"&amp;$A207&amp;"'!$B$2:$B$501"),$T207,INDIRECT("'"&amp;$A207&amp;"'!$A$2:$A$501"),"&gt;="&amp;$I207,INDIRECT("'"&amp;$A207&amp;"'!$A$2:$A$501"),"&lt;"&amp;($BA207+1),INDIRECT("'"&amp;$A207&amp;"'!$C$2:$C$501"),"Yes"),0)))</f>
        <v/>
      </c>
      <c r="AN207" s="25">
        <f>IF($A207="","",IF(COUNTIFS(scans!$C$2:$C$1601,(IF(LEFT($A207,7)="SAMPLE-","SAMPLE-","")&amp;LOWER(SUBSTITUTE(SUBSTITUTE($A207,"SAMPLE-",""),"CMP-","c"))&amp;"-"&amp;LOWER(SUBSTITUTE(SUBSTITUTE($B207,"SAMPLE-",""),"O-","o"))&amp;"-q"),scans!$D$2:$D$1601,"close")=0,"",SUMPRODUCT(MAX((scans!$C$2:$C$1601=(IF(LEFT($A207,7)="SAMPLE-","SAMPLE-","")&amp;LOWER(SUBSTITUTE(SUBSTITUTE($A207,"SAMPLE-",""),"CMP-","c"))&amp;"-"&amp;LOWER(SUBSTITUTE(SUBSTITUTE($B207,"SAMPLE-",""),"O-","o"))&amp;"-q"))*(scans!$D$2:$D$1601="close")*scans!$E$2:$E$1601))-SUMPRODUCT(MAX((scans!$C$2:$C$1601=(IF(LEFT($A207,7)="SAMPLE-","SAMPLE-","")&amp;LOWER(SUBSTITUTE(SUBSTITUTE($A207,"SAMPLE-",""),"CMP-","c"))&amp;"-"&amp;LOWER(SUBSTITUTE(SUBSTITUTE($B207,"SAMPLE-",""),"O-","o"))&amp;"-q"))*(scans!$D$2:$D$1601="baseline")*scans!$E$2:$E$1601))))</f>
        <v/>
      </c>
      <c r="AO207" s="25">
        <f>IF($A207="","",IF(COUNTIFS(scans!$C$2:$C$1601,(IF(LEFT($A207,7)="SAMPLE-","SAMPLE-","")&amp;LOWER(SUBSTITUTE(SUBSTITUTE($A207,"SAMPLE-",""),"CMP-","c"))&amp;"-"&amp;LOWER(SUBSTITUTE(SUBSTITUTE($B207,"SAMPLE-",""),"O-","o"))&amp;"-p"),scans!$D$2:$D$1601,"close")=0,"",SUMPRODUCT(MAX((scans!$C$2:$C$1601=(IF(LEFT($A207,7)="SAMPLE-","SAMPLE-","")&amp;LOWER(SUBSTITUTE(SUBSTITUTE($A207,"SAMPLE-",""),"CMP-","c"))&amp;"-"&amp;LOWER(SUBSTITUTE(SUBSTITUTE($B207,"SAMPLE-",""),"O-","o"))&amp;"-p"))*(scans!$D$2:$D$1601="close")*scans!$E$2:$E$1601))-SUMPRODUCT(MAX((scans!$C$2:$C$1601=(IF(LEFT($A207,7)="SAMPLE-","SAMPLE-","")&amp;LOWER(SUBSTITUTE(SUBSTITUTE($A207,"SAMPLE-",""),"CMP-","c"))&amp;"-"&amp;LOWER(SUBSTITUTE(SUBSTITUTE($B207,"SAMPLE-",""),"O-","o"))&amp;"-p"))*(scans!$D$2:$D$1601="baseline")*scans!$E$2:$E$1601))))</f>
        <v/>
      </c>
      <c r="AP207" s="25">
        <f>IF($A207="","",IF(COUNTIF(offices!$A$2:$A$61,$B207)=0,"office_id not on offices; ","")&amp;IF(COUNTIF(campaigns!$A$2:$A$51,$A207)=0,"campaign_id not on campaigns; ","")&amp;IF($P207="pending","approval pending; ","")&amp;IF(AND($U207&gt;0,$Y207="",OR($I207="",IF(config!$B$37&lt;&gt;"",config!$B$37,TODAY())&lt;=WORKDAY(N($I207),4,calendar!$A$2:$A$80))),"no usable placement photo yet; ","")&amp;IF(AND($Y207&lt;&gt;"",$Z207=""),"log the placed count; ","")&amp;IF(N($AA207)&gt;N($U207),"placed more than delivered; ","")&amp;IF(AND($AF207&lt;&gt;"",N($AF207)&gt;N($AA207)+N($AD207)),"day-5 count above placed plus top-ups; ","")&amp;IF(AND($U207&gt;0,$I207&lt;&gt;"",IF(config!$B$37&lt;&gt;"",config!$B$37,TODAY())&gt;WORKDAY(N($I207),4,calendar!$A$2:$A$80),$AF207=""),"day-5 count missing; ","")&amp;IF(AND($U207&gt;0,$I207&lt;&gt;"",IF(config!$B$37&lt;&gt;"",config!$B$37,TODAY())&gt;WORKDAY(N($I207),4,calendar!$A$2:$A$80),$AN207=""),"no close link reading; ","")&amp;$R207&amp;IF($P207="N","info: office said no; ","")&amp;IF(AND($P207="Y",$Q207="N"),"info: turned away at the door, so not on the drop (no letter, not in the report or Gate 2; the credit check is on campaigns); ","")&amp;IF(AND($U207&gt;0,$Y207="",$I207&lt;&gt;"",IF(config!$B$37&lt;&gt;"",config!$B$37,TODAY())&gt;WORKDAY(N($I207),4,calendar!$A$2:$A$80)),"info: no usable placement photo, so nothing counts as placed; ","")&amp;IF(AND($U207&gt;0,$I207&lt;&gt;"",IF(config!$B$37&lt;&gt;"",config!$B$37,TODAY())&gt;WORKDAY(N($I207),4,calendar!$A$2:$A$80),N($AL207)&lt;config!$B$30),"info: under "&amp;config!$B$30&amp;" responses; ","")&amp;IF($W207="packing_list","info: delivered count not verified; ",""))</f>
        <v/>
      </c>
      <c r="AQ207" s="25">
        <f>IF(OR($A207="",$I207=""),"",IF($BC207="Y",SUMIFS(survey_frozen!$E$2:$E$251,survey_frozen!$P$2:$P$251,$A207&amp;"|"&amp;$B207),IFERROR(COUNTIFS(INDIRECT("'"&amp;$A207&amp;"'!$B$2:$B$501"),$T207,INDIRECT("'"&amp;$A207&amp;"'!$A$2:$A$501"),"&gt;="&amp;$I207,INDIRECT("'"&amp;$A207&amp;"'!$A$2:$A$501"),"&lt;"&amp;($BA207+1),INDIRECT("'"&amp;$A207&amp;"'!$F$2:$F$501"),"Didn't see it"),0)))</f>
        <v/>
      </c>
      <c r="AR207" s="25">
        <f>IF(OR($A207="",$I207=""),"",IF($BC207="Y",SUMIFS(survey_frozen!$F$2:$F$251,survey_frozen!$P$2:$P$251,$A207&amp;"|"&amp;$B207),IFERROR(COUNTIFS(INDIRECT("'"&amp;$A207&amp;"'!$B$2:$B$501"),$T207,INDIRECT("'"&amp;$A207&amp;"'!$A$2:$A$501"),"&gt;="&amp;$I207,INDIRECT("'"&amp;$A207&amp;"'!$A$2:$A$501"),"&lt;"&amp;($BA207+1),INDIRECT("'"&amp;$A207&amp;"'!$F$2:$F$501"),"Not for me"),0)))</f>
        <v/>
      </c>
      <c r="AS207" s="25">
        <f>IF(OR($A207="",$I207=""),"",IF($BC207="Y",SUMIFS(survey_frozen!$G$2:$G$251,survey_frozen!$P$2:$P$251,$A207&amp;"|"&amp;$B207),IFERROR(COUNTIFS(INDIRECT("'"&amp;$A207&amp;"'!$B$2:$B$501"),$T207,INDIRECT("'"&amp;$A207&amp;"'!$A$2:$A$501"),"&gt;="&amp;$I207,INDIRECT("'"&amp;$A207&amp;"'!$A$2:$A$501"),"&lt;"&amp;($BA207+1),INDIRECT("'"&amp;$A207&amp;"'!$F$2:$F$501"),"Gone by the time I looked"),0)))</f>
        <v/>
      </c>
      <c r="AT207" s="25">
        <f>IF(OR($A207="",$I207=""),"",IF($BC207="Y",SUMIFS(survey_frozen!$H$2:$H$251,survey_frozen!$P$2:$P$251,$A207&amp;"|"&amp;$B207),IFERROR(COUNTIFS(INDIRECT("'"&amp;$A207&amp;"'!$B$2:$B$501"),$T207,INDIRECT("'"&amp;$A207&amp;"'!$A$2:$A$501"),"&gt;="&amp;$I207,INDIRECT("'"&amp;$A207&amp;"'!$A$2:$A$501"),"&lt;"&amp;($BA207+1),INDIRECT("'"&amp;$A207&amp;"'!$D$2:$D$501"),"&gt;=1"),0)))</f>
        <v/>
      </c>
      <c r="AU207" s="25">
        <f>IF(OR($A207="",$I207=""),"",IF($BC207="Y",SUMIFS(survey_frozen!$I$2:$I$251,survey_frozen!$P$2:$P$251,$A207&amp;"|"&amp;$B207),IFERROR(SUMIFS(INDIRECT("'"&amp;$A207&amp;"'!$D$2:$D$501"),INDIRECT("'"&amp;$A207&amp;"'!$B$2:$B$501"),$T207,INDIRECT("'"&amp;$A207&amp;"'!$A$2:$A$501"),"&gt;="&amp;$I207,INDIRECT("'"&amp;$A207&amp;"'!$A$2:$A$501"),"&lt;"&amp;($BA207+1)),0)))</f>
        <v/>
      </c>
      <c r="AV207" s="25">
        <f>IF(OR($A207="",$I207=""),"",IF($BC207="Y",SUMIFS(survey_frozen!$J$2:$J$251,survey_frozen!$P$2:$P$251,$A207&amp;"|"&amp;$B207),IFERROR(COUNTIFS(INDIRECT("'"&amp;$A207&amp;"'!$B$2:$B$501"),$T207,INDIRECT("'"&amp;$A207&amp;"'!$A$2:$A$501"),"&gt;="&amp;$I207,INDIRECT("'"&amp;$A207&amp;"'!$A$2:$A$501"),"&lt;"&amp;($BA207+1),INDIRECT("'"&amp;$A207&amp;"'!$E$2:$E$501"),"Yes"),0)))</f>
        <v/>
      </c>
      <c r="AW207" s="25">
        <f>IF(OR($A207="",$I207=""),"",IF($BC207="Y",SUMIFS(survey_frozen!$K$2:$K$251,survey_frozen!$P$2:$P$251,$A207&amp;"|"&amp;$B207),IFERROR(COUNTIFS(INDIRECT("'"&amp;$A207&amp;"'!$B$2:$B$501"),$T207,INDIRECT("'"&amp;$A207&amp;"'!$A$2:$A$501"),"&gt;="&amp;$I207,INDIRECT("'"&amp;$A207&amp;"'!$A$2:$A$501"),"&lt;"&amp;($BA207+1),INDIRECT("'"&amp;$A207&amp;"'!$E$2:$E$501"),"Maybe"),0)))</f>
        <v/>
      </c>
      <c r="AX207" s="25">
        <f>IF(OR($A207="",$I207=""),"",IF($BC207="Y",SUMIFS(survey_frozen!$L$2:$L$251,survey_frozen!$P$2:$P$251,$A207&amp;"|"&amp;$B207),IFERROR(COUNTIFS(INDIRECT("'"&amp;$A207&amp;"'!$B$2:$B$501"),$T207,INDIRECT("'"&amp;$A207&amp;"'!$A$2:$A$501"),"&gt;="&amp;$I207,INDIRECT("'"&amp;$A207&amp;"'!$A$2:$A$501"),"&lt;"&amp;($BA207+1),INDIRECT("'"&amp;$A207&amp;"'!$E$2:$E$501"),"No"),0)))</f>
        <v/>
      </c>
      <c r="AY207" s="25">
        <f>IF(OR($A207="",$I207=""),"",IF($BC207="Y",SUMIFS(survey_frozen!$M$2:$M$251,survey_frozen!$P$2:$P$251,$A207&amp;"|"&amp;$B207),IFERROR(COUNTIFS(INDIRECT("'"&amp;$A207&amp;"'!$B$2:$B$501"),$T207,INDIRECT("'"&amp;$A207&amp;"'!$A$2:$A$501"),"&gt;="&amp;$I207,INDIRECT("'"&amp;$A207&amp;"'!$A$2:$A$501"),"&lt;"&amp;($BA207+1),INDIRECT("'"&amp;$A207&amp;"'!$G$2:$G$501"),"&lt;&gt;"),0)))</f>
        <v/>
      </c>
      <c r="AZ207" s="25">
        <f>IF($A207="","",$A207&amp;"|"&amp;$L207)</f>
        <v/>
      </c>
      <c r="BA207" s="26">
        <f>IF($A207="","",IFERROR(IF(INDEX(drops!$R$2:$R$21,MATCH($H207,drops!$A$2:$A$21,0))="","",INDEX(drops!$R$2:$R$21,MATCH($H207,drops!$A$2:$A$21,0))),""))</f>
        <v/>
      </c>
      <c r="BB207" s="25">
        <f>IF(OR($A207="",$Q207&lt;&gt;"Y"),1000000,N($AL207))</f>
        <v/>
      </c>
      <c r="BC207" s="25">
        <f>IF($A207="","",IF(COUNTIF(survey_frozen!$P$2:$P$251,$A207&amp;"|"&amp;$B207)&gt;0,"Y",""))</f>
        <v/>
      </c>
    </row>
    <row r="208">
      <c r="C208" s="9" t="n"/>
      <c r="E208" s="9" t="n"/>
      <c r="H208" s="25">
        <f>IF($A208="","",IFERROR(IF(INDEX(campaigns!$B$2:$B$51,MATCH($A208,campaigns!$A$2:$A$51,0))="","",INDEX(campaigns!$B$2:$B$51,MATCH($A208,campaigns!$A$2:$A$51,0))),""))</f>
        <v/>
      </c>
      <c r="I208" s="26">
        <f>IF($A208="","",IFERROR(IF(INDEX(campaigns!$BG$2:$BG$51,MATCH($A208,campaigns!$A$2:$A$51,0))="","",INDEX(campaigns!$BG$2:$BG$51,MATCH($A208,campaigns!$A$2:$A$51,0))),""))</f>
        <v/>
      </c>
      <c r="J208" s="25">
        <f>IF($A208="","",IFERROR(IF(INDEX(campaigns!$BE$2:$BE$51,MATCH($A208,campaigns!$A$2:$A$51,0))="","",INDEX(campaigns!$BE$2:$BE$51,MATCH($A208,campaigns!$A$2:$A$51,0))),""))</f>
        <v/>
      </c>
      <c r="K208" s="25">
        <f>IF($B208="","",IFERROR(IF(INDEX(offices!$N$2:$N$61,MATCH($B208,offices!$A$2:$A$61,0))="","",INDEX(offices!$N$2:$N$61,MATCH($B208,offices!$A$2:$A$61,0))),""))</f>
        <v/>
      </c>
      <c r="L208" s="25">
        <f>IF($A208="","",IF($Q208="N","",COUNTIFS($A$2:$A208,$A208,$Q$2:$Q208,"&lt;&gt;N")))</f>
        <v/>
      </c>
      <c r="M208" s="25">
        <f>IF(OR($A208="",$L208=""),"",IF(AND(config!$B$34="names_if_public",IFERROR(IF(INDEX(offices!$AF$2:$AF$61,MATCH($B208,offices!$A$2:$A$61,0))="","",INDEX(offices!$AF$2:$AF$61,MATCH($B208,offices!$A$2:$A$61,0))),"")="Y"),$K208,CHAR(64+$L208)))</f>
        <v/>
      </c>
      <c r="N208" s="25">
        <f>IF(OR($A208="",$I208=""),"",COUNTIFS(stops!$B$2:$B$151,$B208,stops!$P$2:$P$151,"&lt;"&amp;$I208,stops!$L$2:$L$151,"&lt;&gt;not_delivered")+1)</f>
        <v/>
      </c>
      <c r="O208" s="25">
        <f>IF($A208="","",IF(N($N208)&lt;=config!$B$29,"explicit","opt-out"))</f>
        <v/>
      </c>
      <c r="P208" s="25">
        <f>IF($A208="","",IF($O208="explicit",IF($D208="yes","Y",IF($D208="no","N","pending")),IF($D208="no","N",IF(AND($C208&lt;&gt;"",$I208&lt;&gt;"",$C208&lt;=WORKDAY(N($I208),-5,calendar!$A$2:$A$80)),"Y","pending"))))</f>
        <v/>
      </c>
      <c r="Q208" s="25">
        <f>IF($A208="","",IF($P208="N","N",IF($P208&lt;&gt;"Y","pending",IF(AND((COUNTIFS(stops!$A$2:$A$151,$H208,stops!$B$2:$B$151,$B208,stops!$L$2:$L$151,"declined")+COUNTIFS(stops!$A$2:$A$151,$H208,stops!$B$2:$B$151,$B208,stops!$L$2:$L$151,"building_refused")+COUNTIFS(stops!$A$2:$A$151,$H208,stops!$B$2:$B$151,$B208,stops!$L$2:$L$151,"not_delivered"))&gt;0,N($U208)=0),"N","Y"))))</f>
        <v/>
      </c>
      <c r="R208" s="25">
        <f>IF($A208="","",IF(COUNTIFS($A$2:$A$251,$A208,$B$2:$B$251,$B208)&gt;1,"DUPLICATE ROW; ","")&amp;IF(AND(IFERROR(IF(INDEX(offices!$AC$2:$AC$61,MATCH($B208,offices!$A$2:$A$61,0))="","",INDEX(offices!$AC$2:$AC$61,MATCH($B208,offices!$A$2:$A$61,0))),"")&lt;&gt;"",ISNUMBER(SEARCH($J208,IFERROR(IF(INDEX(offices!$AC$2:$AC$61,MATCH($B208,offices!$A$2:$A$61,0))="","",INDEX(offices!$AC$2:$AC$61,MATCH($B208,offices!$A$2:$A$61,0))),"")))),"BRAND VETOED; ","")&amp;IF(ISNUMBER(SEARCH(IFERROR(IF(INDEX(campaigns!$BF$2:$BF$51,MATCH($A208,campaigns!$A$2:$A$51,0))="","",INDEX(campaigns!$BF$2:$BF$51,MATCH($A208,campaigns!$A$2:$A$51,0))),""),IFERROR(IF(INDEX(offices!$AB$2:$AB$61,MATCH($B208,offices!$A$2:$A$61,0))="","",INDEX(offices!$AB$2:$AB$61,MATCH($B208,offices!$A$2:$A$61,0))),""))),"","info: category not on the office's list; ")&amp;IF(IFERROR(IF(INDEX(offices!$AC$2:$AC$61,MATCH($B208,offices!$A$2:$A$61,0))="","",INDEX(offices!$AC$2:$AC$61,MATCH($B208,offices!$A$2:$A$61,0))),"")&lt;&gt;"","info: read the vetoes against the label; ",""))</f>
        <v/>
      </c>
      <c r="S208" s="25">
        <f>IF($A208="","",IF($G208&lt;&gt;"",$G208,IFERROR(IF(INDEX(offices!$AL$2:$AL$61,MATCH($B208,offices!$A$2:$A$61,0))="","",INDEX(offices!$AL$2:$AL$61,MATCH($B208,offices!$A$2:$A$61,0))),"")))</f>
        <v/>
      </c>
      <c r="T208" s="25">
        <f>IF($A208="","",$A208&amp;"."&amp;$B208)</f>
        <v/>
      </c>
      <c r="U208" s="25">
        <f>IF($A208="","",SUMIFS(inventory!$G$2:$G$801,inventory!$C$2:$C$801,$A208,inventory!$D$2:$D$801,$B208,inventory!$E$2:$E$801,"delivered"))</f>
        <v/>
      </c>
      <c r="V208" s="32">
        <f>IF($A208="","",IFERROR(1/(1/SUMPRODUCT(MAX((inventory!$C$2:$C$801=$A208)*(inventory!$D$2:$D$801=$B208)*(inventory!$E$2:$E$801="delivered")*(inventory!$A$2:$A$801+inventory!$B$2:$B$801)))),""))</f>
        <v/>
      </c>
      <c r="W208" s="25">
        <f>IF($A208="","",IFERROR(IF(INDEX(inventory!$J$2:$J$801,MATCH($A208&amp;"|"&amp;$B208&amp;"|delivered",inventory!$R$2:$R$801,0))="","",INDEX(inventory!$J$2:$J$801,MATCH($A208&amp;"|"&amp;$B208&amp;"|delivered",inventory!$R$2:$R$801,0))),""))</f>
        <v/>
      </c>
      <c r="X208" s="25">
        <f>IF($A208="","",IFERROR(IF(INDEX(photos!$H$2:$H$701,MATCH($A208&amp;"|"&amp;$B208&amp;"|placement|Y",photos!$R$2:$R$701,0))="","",INDEX(photos!$H$2:$H$701,MATCH($A208&amp;"|"&amp;$B208&amp;"|placement|Y",photos!$R$2:$R$701,0))),""))</f>
        <v/>
      </c>
      <c r="Y208" s="26">
        <f>IF($A208="","",IFERROR(IF(INDEX(photos!$E$2:$E$701,MATCH($A208&amp;"|"&amp;$B208&amp;"|placement|Y",photos!$R$2:$R$701,0))="","",INDEX(photos!$E$2:$E$701,MATCH($A208&amp;"|"&amp;$B208&amp;"|placement|Y",photos!$R$2:$R$701,0))),""))</f>
        <v/>
      </c>
      <c r="Z208" s="25">
        <f>IF($A208="","",IF(COUNTIFS(counts!$C$2:$C$701,$A208,counts!$D$2:$D$701,$B208,counts!$E$2:$E$701,"placed")=0,"",SUMIFS(counts!$F$2:$F$701,counts!$C$2:$C$701,$A208,counts!$D$2:$D$701,$B208,counts!$E$2:$E$701,"placed")))</f>
        <v/>
      </c>
      <c r="AA208" s="25">
        <f>IF($A208="","",IF($Y208="",0,N($Z208)))</f>
        <v/>
      </c>
      <c r="AB208" s="25">
        <f>IF($A208="","",IF(OR($Y208="",$I208=""),"N",IF($Y208&lt;=WORKDAY(N($I208),1,calendar!$A$2:$A$80),"Y","N")))</f>
        <v/>
      </c>
      <c r="AC208" s="28">
        <f>IF(OR($A208="",$V208="",$Y208=""),"",ROUND(($Y208+N(IFERROR(IF(INDEX(photos!$F$2:$F$701,MATCH($A208&amp;"|"&amp;$B208&amp;"|placement|Y",photos!$R$2:$R$701,0))="","",INDEX(photos!$F$2:$F$701,MATCH($A208&amp;"|"&amp;$B208&amp;"|placement|Y",photos!$R$2:$R$701,0))),""))-$V208)*24,1))</f>
        <v/>
      </c>
      <c r="AD208" s="25">
        <f>IF($A208="","",SUMIFS(inventory!$G$2:$G$801,inventory!$C$2:$C$801,$A208,inventory!$D$2:$D$801,$B208,inventory!$E$2:$E$801,"topped_up"))</f>
        <v/>
      </c>
      <c r="AE208" s="25">
        <f>IF($A208="","",IF(COUNTIFS(counts!$C$2:$C$701,$A208,counts!$D$2:$D$701,$B208,counts!$E$2:$E$701,"remaining_day3")=0,"",SUMIFS(counts!$F$2:$F$701,counts!$C$2:$C$701,$A208,counts!$D$2:$D$701,$B208,counts!$E$2:$E$701,"remaining_day3")))</f>
        <v/>
      </c>
      <c r="AF208" s="25">
        <f>IF($A208="","",IF(COUNTIFS(counts!$C$2:$C$701,$A208,counts!$D$2:$D$701,$B208,counts!$E$2:$E$701,"remaining_day5")=0,"",SUMIFS(counts!$F$2:$F$701,counts!$C$2:$C$701,$A208,counts!$D$2:$D$701,$B208,counts!$E$2:$E$701,"remaining_day5")))</f>
        <v/>
      </c>
      <c r="AG208" s="25">
        <f>IF(OR($A208="",$AF208=""),"",MAX(0,$AA208+$AD208-$AF208))</f>
        <v/>
      </c>
      <c r="AH208" s="25">
        <f>IF(OR($A208="",$AI208=""),"",IFERROR(IF(INDEX(photos!$H$2:$H$701,MATCH($A208&amp;"|"&amp;$B208&amp;"|later|Y|"&amp;$AI208,photos!$S$2:$S$701,0))="","",INDEX(photos!$H$2:$H$701,MATCH($A208&amp;"|"&amp;$B208&amp;"|later|Y|"&amp;$AI208,photos!$S$2:$S$701,0))),""))</f>
        <v/>
      </c>
      <c r="AI208" s="26">
        <f>IF($A208="","",IFERROR(1/(1/SUMPRODUCT(MAX((photos!$B$2:$B$701=$A208)*(photos!$C$2:$C$701=$B208)*(photos!$D$2:$D$701="later")*(photos!$O$2:$O$701="Y")*photos!$E$2:$E$701))),""))</f>
        <v/>
      </c>
      <c r="AJ208" s="25">
        <f>IF(OR($A208="",$AI208="",$I208=""),"",NETWORKDAYS($I208,$AI208,calendar!$A$2:$A$80))</f>
        <v/>
      </c>
      <c r="AK208" s="25">
        <f>IF($A208="","",IF(AND($X208&lt;&gt;"",$AH208&lt;&gt;""),"Y","N"))</f>
        <v/>
      </c>
      <c r="AL208" s="25">
        <f>IF(OR($A208="",$I208=""),"",IF($BC208="Y",SUMIFS(survey_frozen!$C$2:$C$251,survey_frozen!$P$2:$P$251,$A208&amp;"|"&amp;$B208),IFERROR(COUNTIFS(INDIRECT("'"&amp;$A208&amp;"'!$B$2:$B$501"),$T208,INDIRECT("'"&amp;$A208&amp;"'!$A$2:$A$501"),"&gt;="&amp;$I208,INDIRECT("'"&amp;$A208&amp;"'!$A$2:$A$501"),"&lt;"&amp;($BA208+1)),0)))</f>
        <v/>
      </c>
      <c r="AM208" s="25">
        <f>IF(OR($A208="",$I208=""),"",IF($BC208="Y",SUMIFS(survey_frozen!$D$2:$D$251,survey_frozen!$P$2:$P$251,$A208&amp;"|"&amp;$B208),IFERROR(COUNTIFS(INDIRECT("'"&amp;$A208&amp;"'!$B$2:$B$501"),$T208,INDIRECT("'"&amp;$A208&amp;"'!$A$2:$A$501"),"&gt;="&amp;$I208,INDIRECT("'"&amp;$A208&amp;"'!$A$2:$A$501"),"&lt;"&amp;($BA208+1),INDIRECT("'"&amp;$A208&amp;"'!$C$2:$C$501"),"Yes"),0)))</f>
        <v/>
      </c>
      <c r="AN208" s="25">
        <f>IF($A208="","",IF(COUNTIFS(scans!$C$2:$C$1601,(IF(LEFT($A208,7)="SAMPLE-","SAMPLE-","")&amp;LOWER(SUBSTITUTE(SUBSTITUTE($A208,"SAMPLE-",""),"CMP-","c"))&amp;"-"&amp;LOWER(SUBSTITUTE(SUBSTITUTE($B208,"SAMPLE-",""),"O-","o"))&amp;"-q"),scans!$D$2:$D$1601,"close")=0,"",SUMPRODUCT(MAX((scans!$C$2:$C$1601=(IF(LEFT($A208,7)="SAMPLE-","SAMPLE-","")&amp;LOWER(SUBSTITUTE(SUBSTITUTE($A208,"SAMPLE-",""),"CMP-","c"))&amp;"-"&amp;LOWER(SUBSTITUTE(SUBSTITUTE($B208,"SAMPLE-",""),"O-","o"))&amp;"-q"))*(scans!$D$2:$D$1601="close")*scans!$E$2:$E$1601))-SUMPRODUCT(MAX((scans!$C$2:$C$1601=(IF(LEFT($A208,7)="SAMPLE-","SAMPLE-","")&amp;LOWER(SUBSTITUTE(SUBSTITUTE($A208,"SAMPLE-",""),"CMP-","c"))&amp;"-"&amp;LOWER(SUBSTITUTE(SUBSTITUTE($B208,"SAMPLE-",""),"O-","o"))&amp;"-q"))*(scans!$D$2:$D$1601="baseline")*scans!$E$2:$E$1601))))</f>
        <v/>
      </c>
      <c r="AO208" s="25">
        <f>IF($A208="","",IF(COUNTIFS(scans!$C$2:$C$1601,(IF(LEFT($A208,7)="SAMPLE-","SAMPLE-","")&amp;LOWER(SUBSTITUTE(SUBSTITUTE($A208,"SAMPLE-",""),"CMP-","c"))&amp;"-"&amp;LOWER(SUBSTITUTE(SUBSTITUTE($B208,"SAMPLE-",""),"O-","o"))&amp;"-p"),scans!$D$2:$D$1601,"close")=0,"",SUMPRODUCT(MAX((scans!$C$2:$C$1601=(IF(LEFT($A208,7)="SAMPLE-","SAMPLE-","")&amp;LOWER(SUBSTITUTE(SUBSTITUTE($A208,"SAMPLE-",""),"CMP-","c"))&amp;"-"&amp;LOWER(SUBSTITUTE(SUBSTITUTE($B208,"SAMPLE-",""),"O-","o"))&amp;"-p"))*(scans!$D$2:$D$1601="close")*scans!$E$2:$E$1601))-SUMPRODUCT(MAX((scans!$C$2:$C$1601=(IF(LEFT($A208,7)="SAMPLE-","SAMPLE-","")&amp;LOWER(SUBSTITUTE(SUBSTITUTE($A208,"SAMPLE-",""),"CMP-","c"))&amp;"-"&amp;LOWER(SUBSTITUTE(SUBSTITUTE($B208,"SAMPLE-",""),"O-","o"))&amp;"-p"))*(scans!$D$2:$D$1601="baseline")*scans!$E$2:$E$1601))))</f>
        <v/>
      </c>
      <c r="AP208" s="25">
        <f>IF($A208="","",IF(COUNTIF(offices!$A$2:$A$61,$B208)=0,"office_id not on offices; ","")&amp;IF(COUNTIF(campaigns!$A$2:$A$51,$A208)=0,"campaign_id not on campaigns; ","")&amp;IF($P208="pending","approval pending; ","")&amp;IF(AND($U208&gt;0,$Y208="",OR($I208="",IF(config!$B$37&lt;&gt;"",config!$B$37,TODAY())&lt;=WORKDAY(N($I208),4,calendar!$A$2:$A$80))),"no usable placement photo yet; ","")&amp;IF(AND($Y208&lt;&gt;"",$Z208=""),"log the placed count; ","")&amp;IF(N($AA208)&gt;N($U208),"placed more than delivered; ","")&amp;IF(AND($AF208&lt;&gt;"",N($AF208)&gt;N($AA208)+N($AD208)),"day-5 count above placed plus top-ups; ","")&amp;IF(AND($U208&gt;0,$I208&lt;&gt;"",IF(config!$B$37&lt;&gt;"",config!$B$37,TODAY())&gt;WORKDAY(N($I208),4,calendar!$A$2:$A$80),$AF208=""),"day-5 count missing; ","")&amp;IF(AND($U208&gt;0,$I208&lt;&gt;"",IF(config!$B$37&lt;&gt;"",config!$B$37,TODAY())&gt;WORKDAY(N($I208),4,calendar!$A$2:$A$80),$AN208=""),"no close link reading; ","")&amp;$R208&amp;IF($P208="N","info: office said no; ","")&amp;IF(AND($P208="Y",$Q208="N"),"info: turned away at the door, so not on the drop (no letter, not in the report or Gate 2; the credit check is on campaigns); ","")&amp;IF(AND($U208&gt;0,$Y208="",$I208&lt;&gt;"",IF(config!$B$37&lt;&gt;"",config!$B$37,TODAY())&gt;WORKDAY(N($I208),4,calendar!$A$2:$A$80)),"info: no usable placement photo, so nothing counts as placed; ","")&amp;IF(AND($U208&gt;0,$I208&lt;&gt;"",IF(config!$B$37&lt;&gt;"",config!$B$37,TODAY())&gt;WORKDAY(N($I208),4,calendar!$A$2:$A$80),N($AL208)&lt;config!$B$30),"info: under "&amp;config!$B$30&amp;" responses; ","")&amp;IF($W208="packing_list","info: delivered count not verified; ",""))</f>
        <v/>
      </c>
      <c r="AQ208" s="25">
        <f>IF(OR($A208="",$I208=""),"",IF($BC208="Y",SUMIFS(survey_frozen!$E$2:$E$251,survey_frozen!$P$2:$P$251,$A208&amp;"|"&amp;$B208),IFERROR(COUNTIFS(INDIRECT("'"&amp;$A208&amp;"'!$B$2:$B$501"),$T208,INDIRECT("'"&amp;$A208&amp;"'!$A$2:$A$501"),"&gt;="&amp;$I208,INDIRECT("'"&amp;$A208&amp;"'!$A$2:$A$501"),"&lt;"&amp;($BA208+1),INDIRECT("'"&amp;$A208&amp;"'!$F$2:$F$501"),"Didn't see it"),0)))</f>
        <v/>
      </c>
      <c r="AR208" s="25">
        <f>IF(OR($A208="",$I208=""),"",IF($BC208="Y",SUMIFS(survey_frozen!$F$2:$F$251,survey_frozen!$P$2:$P$251,$A208&amp;"|"&amp;$B208),IFERROR(COUNTIFS(INDIRECT("'"&amp;$A208&amp;"'!$B$2:$B$501"),$T208,INDIRECT("'"&amp;$A208&amp;"'!$A$2:$A$501"),"&gt;="&amp;$I208,INDIRECT("'"&amp;$A208&amp;"'!$A$2:$A$501"),"&lt;"&amp;($BA208+1),INDIRECT("'"&amp;$A208&amp;"'!$F$2:$F$501"),"Not for me"),0)))</f>
        <v/>
      </c>
      <c r="AS208" s="25">
        <f>IF(OR($A208="",$I208=""),"",IF($BC208="Y",SUMIFS(survey_frozen!$G$2:$G$251,survey_frozen!$P$2:$P$251,$A208&amp;"|"&amp;$B208),IFERROR(COUNTIFS(INDIRECT("'"&amp;$A208&amp;"'!$B$2:$B$501"),$T208,INDIRECT("'"&amp;$A208&amp;"'!$A$2:$A$501"),"&gt;="&amp;$I208,INDIRECT("'"&amp;$A208&amp;"'!$A$2:$A$501"),"&lt;"&amp;($BA208+1),INDIRECT("'"&amp;$A208&amp;"'!$F$2:$F$501"),"Gone by the time I looked"),0)))</f>
        <v/>
      </c>
      <c r="AT208" s="25">
        <f>IF(OR($A208="",$I208=""),"",IF($BC208="Y",SUMIFS(survey_frozen!$H$2:$H$251,survey_frozen!$P$2:$P$251,$A208&amp;"|"&amp;$B208),IFERROR(COUNTIFS(INDIRECT("'"&amp;$A208&amp;"'!$B$2:$B$501"),$T208,INDIRECT("'"&amp;$A208&amp;"'!$A$2:$A$501"),"&gt;="&amp;$I208,INDIRECT("'"&amp;$A208&amp;"'!$A$2:$A$501"),"&lt;"&amp;($BA208+1),INDIRECT("'"&amp;$A208&amp;"'!$D$2:$D$501"),"&gt;=1"),0)))</f>
        <v/>
      </c>
      <c r="AU208" s="25">
        <f>IF(OR($A208="",$I208=""),"",IF($BC208="Y",SUMIFS(survey_frozen!$I$2:$I$251,survey_frozen!$P$2:$P$251,$A208&amp;"|"&amp;$B208),IFERROR(SUMIFS(INDIRECT("'"&amp;$A208&amp;"'!$D$2:$D$501"),INDIRECT("'"&amp;$A208&amp;"'!$B$2:$B$501"),$T208,INDIRECT("'"&amp;$A208&amp;"'!$A$2:$A$501"),"&gt;="&amp;$I208,INDIRECT("'"&amp;$A208&amp;"'!$A$2:$A$501"),"&lt;"&amp;($BA208+1)),0)))</f>
        <v/>
      </c>
      <c r="AV208" s="25">
        <f>IF(OR($A208="",$I208=""),"",IF($BC208="Y",SUMIFS(survey_frozen!$J$2:$J$251,survey_frozen!$P$2:$P$251,$A208&amp;"|"&amp;$B208),IFERROR(COUNTIFS(INDIRECT("'"&amp;$A208&amp;"'!$B$2:$B$501"),$T208,INDIRECT("'"&amp;$A208&amp;"'!$A$2:$A$501"),"&gt;="&amp;$I208,INDIRECT("'"&amp;$A208&amp;"'!$A$2:$A$501"),"&lt;"&amp;($BA208+1),INDIRECT("'"&amp;$A208&amp;"'!$E$2:$E$501"),"Yes"),0)))</f>
        <v/>
      </c>
      <c r="AW208" s="25">
        <f>IF(OR($A208="",$I208=""),"",IF($BC208="Y",SUMIFS(survey_frozen!$K$2:$K$251,survey_frozen!$P$2:$P$251,$A208&amp;"|"&amp;$B208),IFERROR(COUNTIFS(INDIRECT("'"&amp;$A208&amp;"'!$B$2:$B$501"),$T208,INDIRECT("'"&amp;$A208&amp;"'!$A$2:$A$501"),"&gt;="&amp;$I208,INDIRECT("'"&amp;$A208&amp;"'!$A$2:$A$501"),"&lt;"&amp;($BA208+1),INDIRECT("'"&amp;$A208&amp;"'!$E$2:$E$501"),"Maybe"),0)))</f>
        <v/>
      </c>
      <c r="AX208" s="25">
        <f>IF(OR($A208="",$I208=""),"",IF($BC208="Y",SUMIFS(survey_frozen!$L$2:$L$251,survey_frozen!$P$2:$P$251,$A208&amp;"|"&amp;$B208),IFERROR(COUNTIFS(INDIRECT("'"&amp;$A208&amp;"'!$B$2:$B$501"),$T208,INDIRECT("'"&amp;$A208&amp;"'!$A$2:$A$501"),"&gt;="&amp;$I208,INDIRECT("'"&amp;$A208&amp;"'!$A$2:$A$501"),"&lt;"&amp;($BA208+1),INDIRECT("'"&amp;$A208&amp;"'!$E$2:$E$501"),"No"),0)))</f>
        <v/>
      </c>
      <c r="AY208" s="25">
        <f>IF(OR($A208="",$I208=""),"",IF($BC208="Y",SUMIFS(survey_frozen!$M$2:$M$251,survey_frozen!$P$2:$P$251,$A208&amp;"|"&amp;$B208),IFERROR(COUNTIFS(INDIRECT("'"&amp;$A208&amp;"'!$B$2:$B$501"),$T208,INDIRECT("'"&amp;$A208&amp;"'!$A$2:$A$501"),"&gt;="&amp;$I208,INDIRECT("'"&amp;$A208&amp;"'!$A$2:$A$501"),"&lt;"&amp;($BA208+1),INDIRECT("'"&amp;$A208&amp;"'!$G$2:$G$501"),"&lt;&gt;"),0)))</f>
        <v/>
      </c>
      <c r="AZ208" s="25">
        <f>IF($A208="","",$A208&amp;"|"&amp;$L208)</f>
        <v/>
      </c>
      <c r="BA208" s="26">
        <f>IF($A208="","",IFERROR(IF(INDEX(drops!$R$2:$R$21,MATCH($H208,drops!$A$2:$A$21,0))="","",INDEX(drops!$R$2:$R$21,MATCH($H208,drops!$A$2:$A$21,0))),""))</f>
        <v/>
      </c>
      <c r="BB208" s="25">
        <f>IF(OR($A208="",$Q208&lt;&gt;"Y"),1000000,N($AL208))</f>
        <v/>
      </c>
      <c r="BC208" s="25">
        <f>IF($A208="","",IF(COUNTIF(survey_frozen!$P$2:$P$251,$A208&amp;"|"&amp;$B208)&gt;0,"Y",""))</f>
        <v/>
      </c>
    </row>
    <row r="209">
      <c r="C209" s="9" t="n"/>
      <c r="E209" s="9" t="n"/>
      <c r="H209" s="25">
        <f>IF($A209="","",IFERROR(IF(INDEX(campaigns!$B$2:$B$51,MATCH($A209,campaigns!$A$2:$A$51,0))="","",INDEX(campaigns!$B$2:$B$51,MATCH($A209,campaigns!$A$2:$A$51,0))),""))</f>
        <v/>
      </c>
      <c r="I209" s="26">
        <f>IF($A209="","",IFERROR(IF(INDEX(campaigns!$BG$2:$BG$51,MATCH($A209,campaigns!$A$2:$A$51,0))="","",INDEX(campaigns!$BG$2:$BG$51,MATCH($A209,campaigns!$A$2:$A$51,0))),""))</f>
        <v/>
      </c>
      <c r="J209" s="25">
        <f>IF($A209="","",IFERROR(IF(INDEX(campaigns!$BE$2:$BE$51,MATCH($A209,campaigns!$A$2:$A$51,0))="","",INDEX(campaigns!$BE$2:$BE$51,MATCH($A209,campaigns!$A$2:$A$51,0))),""))</f>
        <v/>
      </c>
      <c r="K209" s="25">
        <f>IF($B209="","",IFERROR(IF(INDEX(offices!$N$2:$N$61,MATCH($B209,offices!$A$2:$A$61,0))="","",INDEX(offices!$N$2:$N$61,MATCH($B209,offices!$A$2:$A$61,0))),""))</f>
        <v/>
      </c>
      <c r="L209" s="25">
        <f>IF($A209="","",IF($Q209="N","",COUNTIFS($A$2:$A209,$A209,$Q$2:$Q209,"&lt;&gt;N")))</f>
        <v/>
      </c>
      <c r="M209" s="25">
        <f>IF(OR($A209="",$L209=""),"",IF(AND(config!$B$34="names_if_public",IFERROR(IF(INDEX(offices!$AF$2:$AF$61,MATCH($B209,offices!$A$2:$A$61,0))="","",INDEX(offices!$AF$2:$AF$61,MATCH($B209,offices!$A$2:$A$61,0))),"")="Y"),$K209,CHAR(64+$L209)))</f>
        <v/>
      </c>
      <c r="N209" s="25">
        <f>IF(OR($A209="",$I209=""),"",COUNTIFS(stops!$B$2:$B$151,$B209,stops!$P$2:$P$151,"&lt;"&amp;$I209,stops!$L$2:$L$151,"&lt;&gt;not_delivered")+1)</f>
        <v/>
      </c>
      <c r="O209" s="25">
        <f>IF($A209="","",IF(N($N209)&lt;=config!$B$29,"explicit","opt-out"))</f>
        <v/>
      </c>
      <c r="P209" s="25">
        <f>IF($A209="","",IF($O209="explicit",IF($D209="yes","Y",IF($D209="no","N","pending")),IF($D209="no","N",IF(AND($C209&lt;&gt;"",$I209&lt;&gt;"",$C209&lt;=WORKDAY(N($I209),-5,calendar!$A$2:$A$80)),"Y","pending"))))</f>
        <v/>
      </c>
      <c r="Q209" s="25">
        <f>IF($A209="","",IF($P209="N","N",IF($P209&lt;&gt;"Y","pending",IF(AND((COUNTIFS(stops!$A$2:$A$151,$H209,stops!$B$2:$B$151,$B209,stops!$L$2:$L$151,"declined")+COUNTIFS(stops!$A$2:$A$151,$H209,stops!$B$2:$B$151,$B209,stops!$L$2:$L$151,"building_refused")+COUNTIFS(stops!$A$2:$A$151,$H209,stops!$B$2:$B$151,$B209,stops!$L$2:$L$151,"not_delivered"))&gt;0,N($U209)=0),"N","Y"))))</f>
        <v/>
      </c>
      <c r="R209" s="25">
        <f>IF($A209="","",IF(COUNTIFS($A$2:$A$251,$A209,$B$2:$B$251,$B209)&gt;1,"DUPLICATE ROW; ","")&amp;IF(AND(IFERROR(IF(INDEX(offices!$AC$2:$AC$61,MATCH($B209,offices!$A$2:$A$61,0))="","",INDEX(offices!$AC$2:$AC$61,MATCH($B209,offices!$A$2:$A$61,0))),"")&lt;&gt;"",ISNUMBER(SEARCH($J209,IFERROR(IF(INDEX(offices!$AC$2:$AC$61,MATCH($B209,offices!$A$2:$A$61,0))="","",INDEX(offices!$AC$2:$AC$61,MATCH($B209,offices!$A$2:$A$61,0))),"")))),"BRAND VETOED; ","")&amp;IF(ISNUMBER(SEARCH(IFERROR(IF(INDEX(campaigns!$BF$2:$BF$51,MATCH($A209,campaigns!$A$2:$A$51,0))="","",INDEX(campaigns!$BF$2:$BF$51,MATCH($A209,campaigns!$A$2:$A$51,0))),""),IFERROR(IF(INDEX(offices!$AB$2:$AB$61,MATCH($B209,offices!$A$2:$A$61,0))="","",INDEX(offices!$AB$2:$AB$61,MATCH($B209,offices!$A$2:$A$61,0))),""))),"","info: category not on the office's list; ")&amp;IF(IFERROR(IF(INDEX(offices!$AC$2:$AC$61,MATCH($B209,offices!$A$2:$A$61,0))="","",INDEX(offices!$AC$2:$AC$61,MATCH($B209,offices!$A$2:$A$61,0))),"")&lt;&gt;"","info: read the vetoes against the label; ",""))</f>
        <v/>
      </c>
      <c r="S209" s="25">
        <f>IF($A209="","",IF($G209&lt;&gt;"",$G209,IFERROR(IF(INDEX(offices!$AL$2:$AL$61,MATCH($B209,offices!$A$2:$A$61,0))="","",INDEX(offices!$AL$2:$AL$61,MATCH($B209,offices!$A$2:$A$61,0))),"")))</f>
        <v/>
      </c>
      <c r="T209" s="25">
        <f>IF($A209="","",$A209&amp;"."&amp;$B209)</f>
        <v/>
      </c>
      <c r="U209" s="25">
        <f>IF($A209="","",SUMIFS(inventory!$G$2:$G$801,inventory!$C$2:$C$801,$A209,inventory!$D$2:$D$801,$B209,inventory!$E$2:$E$801,"delivered"))</f>
        <v/>
      </c>
      <c r="V209" s="32">
        <f>IF($A209="","",IFERROR(1/(1/SUMPRODUCT(MAX((inventory!$C$2:$C$801=$A209)*(inventory!$D$2:$D$801=$B209)*(inventory!$E$2:$E$801="delivered")*(inventory!$A$2:$A$801+inventory!$B$2:$B$801)))),""))</f>
        <v/>
      </c>
      <c r="W209" s="25">
        <f>IF($A209="","",IFERROR(IF(INDEX(inventory!$J$2:$J$801,MATCH($A209&amp;"|"&amp;$B209&amp;"|delivered",inventory!$R$2:$R$801,0))="","",INDEX(inventory!$J$2:$J$801,MATCH($A209&amp;"|"&amp;$B209&amp;"|delivered",inventory!$R$2:$R$801,0))),""))</f>
        <v/>
      </c>
      <c r="X209" s="25">
        <f>IF($A209="","",IFERROR(IF(INDEX(photos!$H$2:$H$701,MATCH($A209&amp;"|"&amp;$B209&amp;"|placement|Y",photos!$R$2:$R$701,0))="","",INDEX(photos!$H$2:$H$701,MATCH($A209&amp;"|"&amp;$B209&amp;"|placement|Y",photos!$R$2:$R$701,0))),""))</f>
        <v/>
      </c>
      <c r="Y209" s="26">
        <f>IF($A209="","",IFERROR(IF(INDEX(photos!$E$2:$E$701,MATCH($A209&amp;"|"&amp;$B209&amp;"|placement|Y",photos!$R$2:$R$701,0))="","",INDEX(photos!$E$2:$E$701,MATCH($A209&amp;"|"&amp;$B209&amp;"|placement|Y",photos!$R$2:$R$701,0))),""))</f>
        <v/>
      </c>
      <c r="Z209" s="25">
        <f>IF($A209="","",IF(COUNTIFS(counts!$C$2:$C$701,$A209,counts!$D$2:$D$701,$B209,counts!$E$2:$E$701,"placed")=0,"",SUMIFS(counts!$F$2:$F$701,counts!$C$2:$C$701,$A209,counts!$D$2:$D$701,$B209,counts!$E$2:$E$701,"placed")))</f>
        <v/>
      </c>
      <c r="AA209" s="25">
        <f>IF($A209="","",IF($Y209="",0,N($Z209)))</f>
        <v/>
      </c>
      <c r="AB209" s="25">
        <f>IF($A209="","",IF(OR($Y209="",$I209=""),"N",IF($Y209&lt;=WORKDAY(N($I209),1,calendar!$A$2:$A$80),"Y","N")))</f>
        <v/>
      </c>
      <c r="AC209" s="28">
        <f>IF(OR($A209="",$V209="",$Y209=""),"",ROUND(($Y209+N(IFERROR(IF(INDEX(photos!$F$2:$F$701,MATCH($A209&amp;"|"&amp;$B209&amp;"|placement|Y",photos!$R$2:$R$701,0))="","",INDEX(photos!$F$2:$F$701,MATCH($A209&amp;"|"&amp;$B209&amp;"|placement|Y",photos!$R$2:$R$701,0))),""))-$V209)*24,1))</f>
        <v/>
      </c>
      <c r="AD209" s="25">
        <f>IF($A209="","",SUMIFS(inventory!$G$2:$G$801,inventory!$C$2:$C$801,$A209,inventory!$D$2:$D$801,$B209,inventory!$E$2:$E$801,"topped_up"))</f>
        <v/>
      </c>
      <c r="AE209" s="25">
        <f>IF($A209="","",IF(COUNTIFS(counts!$C$2:$C$701,$A209,counts!$D$2:$D$701,$B209,counts!$E$2:$E$701,"remaining_day3")=0,"",SUMIFS(counts!$F$2:$F$701,counts!$C$2:$C$701,$A209,counts!$D$2:$D$701,$B209,counts!$E$2:$E$701,"remaining_day3")))</f>
        <v/>
      </c>
      <c r="AF209" s="25">
        <f>IF($A209="","",IF(COUNTIFS(counts!$C$2:$C$701,$A209,counts!$D$2:$D$701,$B209,counts!$E$2:$E$701,"remaining_day5")=0,"",SUMIFS(counts!$F$2:$F$701,counts!$C$2:$C$701,$A209,counts!$D$2:$D$701,$B209,counts!$E$2:$E$701,"remaining_day5")))</f>
        <v/>
      </c>
      <c r="AG209" s="25">
        <f>IF(OR($A209="",$AF209=""),"",MAX(0,$AA209+$AD209-$AF209))</f>
        <v/>
      </c>
      <c r="AH209" s="25">
        <f>IF(OR($A209="",$AI209=""),"",IFERROR(IF(INDEX(photos!$H$2:$H$701,MATCH($A209&amp;"|"&amp;$B209&amp;"|later|Y|"&amp;$AI209,photos!$S$2:$S$701,0))="","",INDEX(photos!$H$2:$H$701,MATCH($A209&amp;"|"&amp;$B209&amp;"|later|Y|"&amp;$AI209,photos!$S$2:$S$701,0))),""))</f>
        <v/>
      </c>
      <c r="AI209" s="26">
        <f>IF($A209="","",IFERROR(1/(1/SUMPRODUCT(MAX((photos!$B$2:$B$701=$A209)*(photos!$C$2:$C$701=$B209)*(photos!$D$2:$D$701="later")*(photos!$O$2:$O$701="Y")*photos!$E$2:$E$701))),""))</f>
        <v/>
      </c>
      <c r="AJ209" s="25">
        <f>IF(OR($A209="",$AI209="",$I209=""),"",NETWORKDAYS($I209,$AI209,calendar!$A$2:$A$80))</f>
        <v/>
      </c>
      <c r="AK209" s="25">
        <f>IF($A209="","",IF(AND($X209&lt;&gt;"",$AH209&lt;&gt;""),"Y","N"))</f>
        <v/>
      </c>
      <c r="AL209" s="25">
        <f>IF(OR($A209="",$I209=""),"",IF($BC209="Y",SUMIFS(survey_frozen!$C$2:$C$251,survey_frozen!$P$2:$P$251,$A209&amp;"|"&amp;$B209),IFERROR(COUNTIFS(INDIRECT("'"&amp;$A209&amp;"'!$B$2:$B$501"),$T209,INDIRECT("'"&amp;$A209&amp;"'!$A$2:$A$501"),"&gt;="&amp;$I209,INDIRECT("'"&amp;$A209&amp;"'!$A$2:$A$501"),"&lt;"&amp;($BA209+1)),0)))</f>
        <v/>
      </c>
      <c r="AM209" s="25">
        <f>IF(OR($A209="",$I209=""),"",IF($BC209="Y",SUMIFS(survey_frozen!$D$2:$D$251,survey_frozen!$P$2:$P$251,$A209&amp;"|"&amp;$B209),IFERROR(COUNTIFS(INDIRECT("'"&amp;$A209&amp;"'!$B$2:$B$501"),$T209,INDIRECT("'"&amp;$A209&amp;"'!$A$2:$A$501"),"&gt;="&amp;$I209,INDIRECT("'"&amp;$A209&amp;"'!$A$2:$A$501"),"&lt;"&amp;($BA209+1),INDIRECT("'"&amp;$A209&amp;"'!$C$2:$C$501"),"Yes"),0)))</f>
        <v/>
      </c>
      <c r="AN209" s="25">
        <f>IF($A209="","",IF(COUNTIFS(scans!$C$2:$C$1601,(IF(LEFT($A209,7)="SAMPLE-","SAMPLE-","")&amp;LOWER(SUBSTITUTE(SUBSTITUTE($A209,"SAMPLE-",""),"CMP-","c"))&amp;"-"&amp;LOWER(SUBSTITUTE(SUBSTITUTE($B209,"SAMPLE-",""),"O-","o"))&amp;"-q"),scans!$D$2:$D$1601,"close")=0,"",SUMPRODUCT(MAX((scans!$C$2:$C$1601=(IF(LEFT($A209,7)="SAMPLE-","SAMPLE-","")&amp;LOWER(SUBSTITUTE(SUBSTITUTE($A209,"SAMPLE-",""),"CMP-","c"))&amp;"-"&amp;LOWER(SUBSTITUTE(SUBSTITUTE($B209,"SAMPLE-",""),"O-","o"))&amp;"-q"))*(scans!$D$2:$D$1601="close")*scans!$E$2:$E$1601))-SUMPRODUCT(MAX((scans!$C$2:$C$1601=(IF(LEFT($A209,7)="SAMPLE-","SAMPLE-","")&amp;LOWER(SUBSTITUTE(SUBSTITUTE($A209,"SAMPLE-",""),"CMP-","c"))&amp;"-"&amp;LOWER(SUBSTITUTE(SUBSTITUTE($B209,"SAMPLE-",""),"O-","o"))&amp;"-q"))*(scans!$D$2:$D$1601="baseline")*scans!$E$2:$E$1601))))</f>
        <v/>
      </c>
      <c r="AO209" s="25">
        <f>IF($A209="","",IF(COUNTIFS(scans!$C$2:$C$1601,(IF(LEFT($A209,7)="SAMPLE-","SAMPLE-","")&amp;LOWER(SUBSTITUTE(SUBSTITUTE($A209,"SAMPLE-",""),"CMP-","c"))&amp;"-"&amp;LOWER(SUBSTITUTE(SUBSTITUTE($B209,"SAMPLE-",""),"O-","o"))&amp;"-p"),scans!$D$2:$D$1601,"close")=0,"",SUMPRODUCT(MAX((scans!$C$2:$C$1601=(IF(LEFT($A209,7)="SAMPLE-","SAMPLE-","")&amp;LOWER(SUBSTITUTE(SUBSTITUTE($A209,"SAMPLE-",""),"CMP-","c"))&amp;"-"&amp;LOWER(SUBSTITUTE(SUBSTITUTE($B209,"SAMPLE-",""),"O-","o"))&amp;"-p"))*(scans!$D$2:$D$1601="close")*scans!$E$2:$E$1601))-SUMPRODUCT(MAX((scans!$C$2:$C$1601=(IF(LEFT($A209,7)="SAMPLE-","SAMPLE-","")&amp;LOWER(SUBSTITUTE(SUBSTITUTE($A209,"SAMPLE-",""),"CMP-","c"))&amp;"-"&amp;LOWER(SUBSTITUTE(SUBSTITUTE($B209,"SAMPLE-",""),"O-","o"))&amp;"-p"))*(scans!$D$2:$D$1601="baseline")*scans!$E$2:$E$1601))))</f>
        <v/>
      </c>
      <c r="AP209" s="25">
        <f>IF($A209="","",IF(COUNTIF(offices!$A$2:$A$61,$B209)=0,"office_id not on offices; ","")&amp;IF(COUNTIF(campaigns!$A$2:$A$51,$A209)=0,"campaign_id not on campaigns; ","")&amp;IF($P209="pending","approval pending; ","")&amp;IF(AND($U209&gt;0,$Y209="",OR($I209="",IF(config!$B$37&lt;&gt;"",config!$B$37,TODAY())&lt;=WORKDAY(N($I209),4,calendar!$A$2:$A$80))),"no usable placement photo yet; ","")&amp;IF(AND($Y209&lt;&gt;"",$Z209=""),"log the placed count; ","")&amp;IF(N($AA209)&gt;N($U209),"placed more than delivered; ","")&amp;IF(AND($AF209&lt;&gt;"",N($AF209)&gt;N($AA209)+N($AD209)),"day-5 count above placed plus top-ups; ","")&amp;IF(AND($U209&gt;0,$I209&lt;&gt;"",IF(config!$B$37&lt;&gt;"",config!$B$37,TODAY())&gt;WORKDAY(N($I209),4,calendar!$A$2:$A$80),$AF209=""),"day-5 count missing; ","")&amp;IF(AND($U209&gt;0,$I209&lt;&gt;"",IF(config!$B$37&lt;&gt;"",config!$B$37,TODAY())&gt;WORKDAY(N($I209),4,calendar!$A$2:$A$80),$AN209=""),"no close link reading; ","")&amp;$R209&amp;IF($P209="N","info: office said no; ","")&amp;IF(AND($P209="Y",$Q209="N"),"info: turned away at the door, so not on the drop (no letter, not in the report or Gate 2; the credit check is on campaigns); ","")&amp;IF(AND($U209&gt;0,$Y209="",$I209&lt;&gt;"",IF(config!$B$37&lt;&gt;"",config!$B$37,TODAY())&gt;WORKDAY(N($I209),4,calendar!$A$2:$A$80)),"info: no usable placement photo, so nothing counts as placed; ","")&amp;IF(AND($U209&gt;0,$I209&lt;&gt;"",IF(config!$B$37&lt;&gt;"",config!$B$37,TODAY())&gt;WORKDAY(N($I209),4,calendar!$A$2:$A$80),N($AL209)&lt;config!$B$30),"info: under "&amp;config!$B$30&amp;" responses; ","")&amp;IF($W209="packing_list","info: delivered count not verified; ",""))</f>
        <v/>
      </c>
      <c r="AQ209" s="25">
        <f>IF(OR($A209="",$I209=""),"",IF($BC209="Y",SUMIFS(survey_frozen!$E$2:$E$251,survey_frozen!$P$2:$P$251,$A209&amp;"|"&amp;$B209),IFERROR(COUNTIFS(INDIRECT("'"&amp;$A209&amp;"'!$B$2:$B$501"),$T209,INDIRECT("'"&amp;$A209&amp;"'!$A$2:$A$501"),"&gt;="&amp;$I209,INDIRECT("'"&amp;$A209&amp;"'!$A$2:$A$501"),"&lt;"&amp;($BA209+1),INDIRECT("'"&amp;$A209&amp;"'!$F$2:$F$501"),"Didn't see it"),0)))</f>
        <v/>
      </c>
      <c r="AR209" s="25">
        <f>IF(OR($A209="",$I209=""),"",IF($BC209="Y",SUMIFS(survey_frozen!$F$2:$F$251,survey_frozen!$P$2:$P$251,$A209&amp;"|"&amp;$B209),IFERROR(COUNTIFS(INDIRECT("'"&amp;$A209&amp;"'!$B$2:$B$501"),$T209,INDIRECT("'"&amp;$A209&amp;"'!$A$2:$A$501"),"&gt;="&amp;$I209,INDIRECT("'"&amp;$A209&amp;"'!$A$2:$A$501"),"&lt;"&amp;($BA209+1),INDIRECT("'"&amp;$A209&amp;"'!$F$2:$F$501"),"Not for me"),0)))</f>
        <v/>
      </c>
      <c r="AS209" s="25">
        <f>IF(OR($A209="",$I209=""),"",IF($BC209="Y",SUMIFS(survey_frozen!$G$2:$G$251,survey_frozen!$P$2:$P$251,$A209&amp;"|"&amp;$B209),IFERROR(COUNTIFS(INDIRECT("'"&amp;$A209&amp;"'!$B$2:$B$501"),$T209,INDIRECT("'"&amp;$A209&amp;"'!$A$2:$A$501"),"&gt;="&amp;$I209,INDIRECT("'"&amp;$A209&amp;"'!$A$2:$A$501"),"&lt;"&amp;($BA209+1),INDIRECT("'"&amp;$A209&amp;"'!$F$2:$F$501"),"Gone by the time I looked"),0)))</f>
        <v/>
      </c>
      <c r="AT209" s="25">
        <f>IF(OR($A209="",$I209=""),"",IF($BC209="Y",SUMIFS(survey_frozen!$H$2:$H$251,survey_frozen!$P$2:$P$251,$A209&amp;"|"&amp;$B209),IFERROR(COUNTIFS(INDIRECT("'"&amp;$A209&amp;"'!$B$2:$B$501"),$T209,INDIRECT("'"&amp;$A209&amp;"'!$A$2:$A$501"),"&gt;="&amp;$I209,INDIRECT("'"&amp;$A209&amp;"'!$A$2:$A$501"),"&lt;"&amp;($BA209+1),INDIRECT("'"&amp;$A209&amp;"'!$D$2:$D$501"),"&gt;=1"),0)))</f>
        <v/>
      </c>
      <c r="AU209" s="25">
        <f>IF(OR($A209="",$I209=""),"",IF($BC209="Y",SUMIFS(survey_frozen!$I$2:$I$251,survey_frozen!$P$2:$P$251,$A209&amp;"|"&amp;$B209),IFERROR(SUMIFS(INDIRECT("'"&amp;$A209&amp;"'!$D$2:$D$501"),INDIRECT("'"&amp;$A209&amp;"'!$B$2:$B$501"),$T209,INDIRECT("'"&amp;$A209&amp;"'!$A$2:$A$501"),"&gt;="&amp;$I209,INDIRECT("'"&amp;$A209&amp;"'!$A$2:$A$501"),"&lt;"&amp;($BA209+1)),0)))</f>
        <v/>
      </c>
      <c r="AV209" s="25">
        <f>IF(OR($A209="",$I209=""),"",IF($BC209="Y",SUMIFS(survey_frozen!$J$2:$J$251,survey_frozen!$P$2:$P$251,$A209&amp;"|"&amp;$B209),IFERROR(COUNTIFS(INDIRECT("'"&amp;$A209&amp;"'!$B$2:$B$501"),$T209,INDIRECT("'"&amp;$A209&amp;"'!$A$2:$A$501"),"&gt;="&amp;$I209,INDIRECT("'"&amp;$A209&amp;"'!$A$2:$A$501"),"&lt;"&amp;($BA209+1),INDIRECT("'"&amp;$A209&amp;"'!$E$2:$E$501"),"Yes"),0)))</f>
        <v/>
      </c>
      <c r="AW209" s="25">
        <f>IF(OR($A209="",$I209=""),"",IF($BC209="Y",SUMIFS(survey_frozen!$K$2:$K$251,survey_frozen!$P$2:$P$251,$A209&amp;"|"&amp;$B209),IFERROR(COUNTIFS(INDIRECT("'"&amp;$A209&amp;"'!$B$2:$B$501"),$T209,INDIRECT("'"&amp;$A209&amp;"'!$A$2:$A$501"),"&gt;="&amp;$I209,INDIRECT("'"&amp;$A209&amp;"'!$A$2:$A$501"),"&lt;"&amp;($BA209+1),INDIRECT("'"&amp;$A209&amp;"'!$E$2:$E$501"),"Maybe"),0)))</f>
        <v/>
      </c>
      <c r="AX209" s="25">
        <f>IF(OR($A209="",$I209=""),"",IF($BC209="Y",SUMIFS(survey_frozen!$L$2:$L$251,survey_frozen!$P$2:$P$251,$A209&amp;"|"&amp;$B209),IFERROR(COUNTIFS(INDIRECT("'"&amp;$A209&amp;"'!$B$2:$B$501"),$T209,INDIRECT("'"&amp;$A209&amp;"'!$A$2:$A$501"),"&gt;="&amp;$I209,INDIRECT("'"&amp;$A209&amp;"'!$A$2:$A$501"),"&lt;"&amp;($BA209+1),INDIRECT("'"&amp;$A209&amp;"'!$E$2:$E$501"),"No"),0)))</f>
        <v/>
      </c>
      <c r="AY209" s="25">
        <f>IF(OR($A209="",$I209=""),"",IF($BC209="Y",SUMIFS(survey_frozen!$M$2:$M$251,survey_frozen!$P$2:$P$251,$A209&amp;"|"&amp;$B209),IFERROR(COUNTIFS(INDIRECT("'"&amp;$A209&amp;"'!$B$2:$B$501"),$T209,INDIRECT("'"&amp;$A209&amp;"'!$A$2:$A$501"),"&gt;="&amp;$I209,INDIRECT("'"&amp;$A209&amp;"'!$A$2:$A$501"),"&lt;"&amp;($BA209+1),INDIRECT("'"&amp;$A209&amp;"'!$G$2:$G$501"),"&lt;&gt;"),0)))</f>
        <v/>
      </c>
      <c r="AZ209" s="25">
        <f>IF($A209="","",$A209&amp;"|"&amp;$L209)</f>
        <v/>
      </c>
      <c r="BA209" s="26">
        <f>IF($A209="","",IFERROR(IF(INDEX(drops!$R$2:$R$21,MATCH($H209,drops!$A$2:$A$21,0))="","",INDEX(drops!$R$2:$R$21,MATCH($H209,drops!$A$2:$A$21,0))),""))</f>
        <v/>
      </c>
      <c r="BB209" s="25">
        <f>IF(OR($A209="",$Q209&lt;&gt;"Y"),1000000,N($AL209))</f>
        <v/>
      </c>
      <c r="BC209" s="25">
        <f>IF($A209="","",IF(COUNTIF(survey_frozen!$P$2:$P$251,$A209&amp;"|"&amp;$B209)&gt;0,"Y",""))</f>
        <v/>
      </c>
    </row>
    <row r="210">
      <c r="C210" s="9" t="n"/>
      <c r="E210" s="9" t="n"/>
      <c r="H210" s="25">
        <f>IF($A210="","",IFERROR(IF(INDEX(campaigns!$B$2:$B$51,MATCH($A210,campaigns!$A$2:$A$51,0))="","",INDEX(campaigns!$B$2:$B$51,MATCH($A210,campaigns!$A$2:$A$51,0))),""))</f>
        <v/>
      </c>
      <c r="I210" s="26">
        <f>IF($A210="","",IFERROR(IF(INDEX(campaigns!$BG$2:$BG$51,MATCH($A210,campaigns!$A$2:$A$51,0))="","",INDEX(campaigns!$BG$2:$BG$51,MATCH($A210,campaigns!$A$2:$A$51,0))),""))</f>
        <v/>
      </c>
      <c r="J210" s="25">
        <f>IF($A210="","",IFERROR(IF(INDEX(campaigns!$BE$2:$BE$51,MATCH($A210,campaigns!$A$2:$A$51,0))="","",INDEX(campaigns!$BE$2:$BE$51,MATCH($A210,campaigns!$A$2:$A$51,0))),""))</f>
        <v/>
      </c>
      <c r="K210" s="25">
        <f>IF($B210="","",IFERROR(IF(INDEX(offices!$N$2:$N$61,MATCH($B210,offices!$A$2:$A$61,0))="","",INDEX(offices!$N$2:$N$61,MATCH($B210,offices!$A$2:$A$61,0))),""))</f>
        <v/>
      </c>
      <c r="L210" s="25">
        <f>IF($A210="","",IF($Q210="N","",COUNTIFS($A$2:$A210,$A210,$Q$2:$Q210,"&lt;&gt;N")))</f>
        <v/>
      </c>
      <c r="M210" s="25">
        <f>IF(OR($A210="",$L210=""),"",IF(AND(config!$B$34="names_if_public",IFERROR(IF(INDEX(offices!$AF$2:$AF$61,MATCH($B210,offices!$A$2:$A$61,0))="","",INDEX(offices!$AF$2:$AF$61,MATCH($B210,offices!$A$2:$A$61,0))),"")="Y"),$K210,CHAR(64+$L210)))</f>
        <v/>
      </c>
      <c r="N210" s="25">
        <f>IF(OR($A210="",$I210=""),"",COUNTIFS(stops!$B$2:$B$151,$B210,stops!$P$2:$P$151,"&lt;"&amp;$I210,stops!$L$2:$L$151,"&lt;&gt;not_delivered")+1)</f>
        <v/>
      </c>
      <c r="O210" s="25">
        <f>IF($A210="","",IF(N($N210)&lt;=config!$B$29,"explicit","opt-out"))</f>
        <v/>
      </c>
      <c r="P210" s="25">
        <f>IF($A210="","",IF($O210="explicit",IF($D210="yes","Y",IF($D210="no","N","pending")),IF($D210="no","N",IF(AND($C210&lt;&gt;"",$I210&lt;&gt;"",$C210&lt;=WORKDAY(N($I210),-5,calendar!$A$2:$A$80)),"Y","pending"))))</f>
        <v/>
      </c>
      <c r="Q210" s="25">
        <f>IF($A210="","",IF($P210="N","N",IF($P210&lt;&gt;"Y","pending",IF(AND((COUNTIFS(stops!$A$2:$A$151,$H210,stops!$B$2:$B$151,$B210,stops!$L$2:$L$151,"declined")+COUNTIFS(stops!$A$2:$A$151,$H210,stops!$B$2:$B$151,$B210,stops!$L$2:$L$151,"building_refused")+COUNTIFS(stops!$A$2:$A$151,$H210,stops!$B$2:$B$151,$B210,stops!$L$2:$L$151,"not_delivered"))&gt;0,N($U210)=0),"N","Y"))))</f>
        <v/>
      </c>
      <c r="R210" s="25">
        <f>IF($A210="","",IF(COUNTIFS($A$2:$A$251,$A210,$B$2:$B$251,$B210)&gt;1,"DUPLICATE ROW; ","")&amp;IF(AND(IFERROR(IF(INDEX(offices!$AC$2:$AC$61,MATCH($B210,offices!$A$2:$A$61,0))="","",INDEX(offices!$AC$2:$AC$61,MATCH($B210,offices!$A$2:$A$61,0))),"")&lt;&gt;"",ISNUMBER(SEARCH($J210,IFERROR(IF(INDEX(offices!$AC$2:$AC$61,MATCH($B210,offices!$A$2:$A$61,0))="","",INDEX(offices!$AC$2:$AC$61,MATCH($B210,offices!$A$2:$A$61,0))),"")))),"BRAND VETOED; ","")&amp;IF(ISNUMBER(SEARCH(IFERROR(IF(INDEX(campaigns!$BF$2:$BF$51,MATCH($A210,campaigns!$A$2:$A$51,0))="","",INDEX(campaigns!$BF$2:$BF$51,MATCH($A210,campaigns!$A$2:$A$51,0))),""),IFERROR(IF(INDEX(offices!$AB$2:$AB$61,MATCH($B210,offices!$A$2:$A$61,0))="","",INDEX(offices!$AB$2:$AB$61,MATCH($B210,offices!$A$2:$A$61,0))),""))),"","info: category not on the office's list; ")&amp;IF(IFERROR(IF(INDEX(offices!$AC$2:$AC$61,MATCH($B210,offices!$A$2:$A$61,0))="","",INDEX(offices!$AC$2:$AC$61,MATCH($B210,offices!$A$2:$A$61,0))),"")&lt;&gt;"","info: read the vetoes against the label; ",""))</f>
        <v/>
      </c>
      <c r="S210" s="25">
        <f>IF($A210="","",IF($G210&lt;&gt;"",$G210,IFERROR(IF(INDEX(offices!$AL$2:$AL$61,MATCH($B210,offices!$A$2:$A$61,0))="","",INDEX(offices!$AL$2:$AL$61,MATCH($B210,offices!$A$2:$A$61,0))),"")))</f>
        <v/>
      </c>
      <c r="T210" s="25">
        <f>IF($A210="","",$A210&amp;"."&amp;$B210)</f>
        <v/>
      </c>
      <c r="U210" s="25">
        <f>IF($A210="","",SUMIFS(inventory!$G$2:$G$801,inventory!$C$2:$C$801,$A210,inventory!$D$2:$D$801,$B210,inventory!$E$2:$E$801,"delivered"))</f>
        <v/>
      </c>
      <c r="V210" s="32">
        <f>IF($A210="","",IFERROR(1/(1/SUMPRODUCT(MAX((inventory!$C$2:$C$801=$A210)*(inventory!$D$2:$D$801=$B210)*(inventory!$E$2:$E$801="delivered")*(inventory!$A$2:$A$801+inventory!$B$2:$B$801)))),""))</f>
        <v/>
      </c>
      <c r="W210" s="25">
        <f>IF($A210="","",IFERROR(IF(INDEX(inventory!$J$2:$J$801,MATCH($A210&amp;"|"&amp;$B210&amp;"|delivered",inventory!$R$2:$R$801,0))="","",INDEX(inventory!$J$2:$J$801,MATCH($A210&amp;"|"&amp;$B210&amp;"|delivered",inventory!$R$2:$R$801,0))),""))</f>
        <v/>
      </c>
      <c r="X210" s="25">
        <f>IF($A210="","",IFERROR(IF(INDEX(photos!$H$2:$H$701,MATCH($A210&amp;"|"&amp;$B210&amp;"|placement|Y",photos!$R$2:$R$701,0))="","",INDEX(photos!$H$2:$H$701,MATCH($A210&amp;"|"&amp;$B210&amp;"|placement|Y",photos!$R$2:$R$701,0))),""))</f>
        <v/>
      </c>
      <c r="Y210" s="26">
        <f>IF($A210="","",IFERROR(IF(INDEX(photos!$E$2:$E$701,MATCH($A210&amp;"|"&amp;$B210&amp;"|placement|Y",photos!$R$2:$R$701,0))="","",INDEX(photos!$E$2:$E$701,MATCH($A210&amp;"|"&amp;$B210&amp;"|placement|Y",photos!$R$2:$R$701,0))),""))</f>
        <v/>
      </c>
      <c r="Z210" s="25">
        <f>IF($A210="","",IF(COUNTIFS(counts!$C$2:$C$701,$A210,counts!$D$2:$D$701,$B210,counts!$E$2:$E$701,"placed")=0,"",SUMIFS(counts!$F$2:$F$701,counts!$C$2:$C$701,$A210,counts!$D$2:$D$701,$B210,counts!$E$2:$E$701,"placed")))</f>
        <v/>
      </c>
      <c r="AA210" s="25">
        <f>IF($A210="","",IF($Y210="",0,N($Z210)))</f>
        <v/>
      </c>
      <c r="AB210" s="25">
        <f>IF($A210="","",IF(OR($Y210="",$I210=""),"N",IF($Y210&lt;=WORKDAY(N($I210),1,calendar!$A$2:$A$80),"Y","N")))</f>
        <v/>
      </c>
      <c r="AC210" s="28">
        <f>IF(OR($A210="",$V210="",$Y210=""),"",ROUND(($Y210+N(IFERROR(IF(INDEX(photos!$F$2:$F$701,MATCH($A210&amp;"|"&amp;$B210&amp;"|placement|Y",photos!$R$2:$R$701,0))="","",INDEX(photos!$F$2:$F$701,MATCH($A210&amp;"|"&amp;$B210&amp;"|placement|Y",photos!$R$2:$R$701,0))),""))-$V210)*24,1))</f>
        <v/>
      </c>
      <c r="AD210" s="25">
        <f>IF($A210="","",SUMIFS(inventory!$G$2:$G$801,inventory!$C$2:$C$801,$A210,inventory!$D$2:$D$801,$B210,inventory!$E$2:$E$801,"topped_up"))</f>
        <v/>
      </c>
      <c r="AE210" s="25">
        <f>IF($A210="","",IF(COUNTIFS(counts!$C$2:$C$701,$A210,counts!$D$2:$D$701,$B210,counts!$E$2:$E$701,"remaining_day3")=0,"",SUMIFS(counts!$F$2:$F$701,counts!$C$2:$C$701,$A210,counts!$D$2:$D$701,$B210,counts!$E$2:$E$701,"remaining_day3")))</f>
        <v/>
      </c>
      <c r="AF210" s="25">
        <f>IF($A210="","",IF(COUNTIFS(counts!$C$2:$C$701,$A210,counts!$D$2:$D$701,$B210,counts!$E$2:$E$701,"remaining_day5")=0,"",SUMIFS(counts!$F$2:$F$701,counts!$C$2:$C$701,$A210,counts!$D$2:$D$701,$B210,counts!$E$2:$E$701,"remaining_day5")))</f>
        <v/>
      </c>
      <c r="AG210" s="25">
        <f>IF(OR($A210="",$AF210=""),"",MAX(0,$AA210+$AD210-$AF210))</f>
        <v/>
      </c>
      <c r="AH210" s="25">
        <f>IF(OR($A210="",$AI210=""),"",IFERROR(IF(INDEX(photos!$H$2:$H$701,MATCH($A210&amp;"|"&amp;$B210&amp;"|later|Y|"&amp;$AI210,photos!$S$2:$S$701,0))="","",INDEX(photos!$H$2:$H$701,MATCH($A210&amp;"|"&amp;$B210&amp;"|later|Y|"&amp;$AI210,photos!$S$2:$S$701,0))),""))</f>
        <v/>
      </c>
      <c r="AI210" s="26">
        <f>IF($A210="","",IFERROR(1/(1/SUMPRODUCT(MAX((photos!$B$2:$B$701=$A210)*(photos!$C$2:$C$701=$B210)*(photos!$D$2:$D$701="later")*(photos!$O$2:$O$701="Y")*photos!$E$2:$E$701))),""))</f>
        <v/>
      </c>
      <c r="AJ210" s="25">
        <f>IF(OR($A210="",$AI210="",$I210=""),"",NETWORKDAYS($I210,$AI210,calendar!$A$2:$A$80))</f>
        <v/>
      </c>
      <c r="AK210" s="25">
        <f>IF($A210="","",IF(AND($X210&lt;&gt;"",$AH210&lt;&gt;""),"Y","N"))</f>
        <v/>
      </c>
      <c r="AL210" s="25">
        <f>IF(OR($A210="",$I210=""),"",IF($BC210="Y",SUMIFS(survey_frozen!$C$2:$C$251,survey_frozen!$P$2:$P$251,$A210&amp;"|"&amp;$B210),IFERROR(COUNTIFS(INDIRECT("'"&amp;$A210&amp;"'!$B$2:$B$501"),$T210,INDIRECT("'"&amp;$A210&amp;"'!$A$2:$A$501"),"&gt;="&amp;$I210,INDIRECT("'"&amp;$A210&amp;"'!$A$2:$A$501"),"&lt;"&amp;($BA210+1)),0)))</f>
        <v/>
      </c>
      <c r="AM210" s="25">
        <f>IF(OR($A210="",$I210=""),"",IF($BC210="Y",SUMIFS(survey_frozen!$D$2:$D$251,survey_frozen!$P$2:$P$251,$A210&amp;"|"&amp;$B210),IFERROR(COUNTIFS(INDIRECT("'"&amp;$A210&amp;"'!$B$2:$B$501"),$T210,INDIRECT("'"&amp;$A210&amp;"'!$A$2:$A$501"),"&gt;="&amp;$I210,INDIRECT("'"&amp;$A210&amp;"'!$A$2:$A$501"),"&lt;"&amp;($BA210+1),INDIRECT("'"&amp;$A210&amp;"'!$C$2:$C$501"),"Yes"),0)))</f>
        <v/>
      </c>
      <c r="AN210" s="25">
        <f>IF($A210="","",IF(COUNTIFS(scans!$C$2:$C$1601,(IF(LEFT($A210,7)="SAMPLE-","SAMPLE-","")&amp;LOWER(SUBSTITUTE(SUBSTITUTE($A210,"SAMPLE-",""),"CMP-","c"))&amp;"-"&amp;LOWER(SUBSTITUTE(SUBSTITUTE($B210,"SAMPLE-",""),"O-","o"))&amp;"-q"),scans!$D$2:$D$1601,"close")=0,"",SUMPRODUCT(MAX((scans!$C$2:$C$1601=(IF(LEFT($A210,7)="SAMPLE-","SAMPLE-","")&amp;LOWER(SUBSTITUTE(SUBSTITUTE($A210,"SAMPLE-",""),"CMP-","c"))&amp;"-"&amp;LOWER(SUBSTITUTE(SUBSTITUTE($B210,"SAMPLE-",""),"O-","o"))&amp;"-q"))*(scans!$D$2:$D$1601="close")*scans!$E$2:$E$1601))-SUMPRODUCT(MAX((scans!$C$2:$C$1601=(IF(LEFT($A210,7)="SAMPLE-","SAMPLE-","")&amp;LOWER(SUBSTITUTE(SUBSTITUTE($A210,"SAMPLE-",""),"CMP-","c"))&amp;"-"&amp;LOWER(SUBSTITUTE(SUBSTITUTE($B210,"SAMPLE-",""),"O-","o"))&amp;"-q"))*(scans!$D$2:$D$1601="baseline")*scans!$E$2:$E$1601))))</f>
        <v/>
      </c>
      <c r="AO210" s="25">
        <f>IF($A210="","",IF(COUNTIFS(scans!$C$2:$C$1601,(IF(LEFT($A210,7)="SAMPLE-","SAMPLE-","")&amp;LOWER(SUBSTITUTE(SUBSTITUTE($A210,"SAMPLE-",""),"CMP-","c"))&amp;"-"&amp;LOWER(SUBSTITUTE(SUBSTITUTE($B210,"SAMPLE-",""),"O-","o"))&amp;"-p"),scans!$D$2:$D$1601,"close")=0,"",SUMPRODUCT(MAX((scans!$C$2:$C$1601=(IF(LEFT($A210,7)="SAMPLE-","SAMPLE-","")&amp;LOWER(SUBSTITUTE(SUBSTITUTE($A210,"SAMPLE-",""),"CMP-","c"))&amp;"-"&amp;LOWER(SUBSTITUTE(SUBSTITUTE($B210,"SAMPLE-",""),"O-","o"))&amp;"-p"))*(scans!$D$2:$D$1601="close")*scans!$E$2:$E$1601))-SUMPRODUCT(MAX((scans!$C$2:$C$1601=(IF(LEFT($A210,7)="SAMPLE-","SAMPLE-","")&amp;LOWER(SUBSTITUTE(SUBSTITUTE($A210,"SAMPLE-",""),"CMP-","c"))&amp;"-"&amp;LOWER(SUBSTITUTE(SUBSTITUTE($B210,"SAMPLE-",""),"O-","o"))&amp;"-p"))*(scans!$D$2:$D$1601="baseline")*scans!$E$2:$E$1601))))</f>
        <v/>
      </c>
      <c r="AP210" s="25">
        <f>IF($A210="","",IF(COUNTIF(offices!$A$2:$A$61,$B210)=0,"office_id not on offices; ","")&amp;IF(COUNTIF(campaigns!$A$2:$A$51,$A210)=0,"campaign_id not on campaigns; ","")&amp;IF($P210="pending","approval pending; ","")&amp;IF(AND($U210&gt;0,$Y210="",OR($I210="",IF(config!$B$37&lt;&gt;"",config!$B$37,TODAY())&lt;=WORKDAY(N($I210),4,calendar!$A$2:$A$80))),"no usable placement photo yet; ","")&amp;IF(AND($Y210&lt;&gt;"",$Z210=""),"log the placed count; ","")&amp;IF(N($AA210)&gt;N($U210),"placed more than delivered; ","")&amp;IF(AND($AF210&lt;&gt;"",N($AF210)&gt;N($AA210)+N($AD210)),"day-5 count above placed plus top-ups; ","")&amp;IF(AND($U210&gt;0,$I210&lt;&gt;"",IF(config!$B$37&lt;&gt;"",config!$B$37,TODAY())&gt;WORKDAY(N($I210),4,calendar!$A$2:$A$80),$AF210=""),"day-5 count missing; ","")&amp;IF(AND($U210&gt;0,$I210&lt;&gt;"",IF(config!$B$37&lt;&gt;"",config!$B$37,TODAY())&gt;WORKDAY(N($I210),4,calendar!$A$2:$A$80),$AN210=""),"no close link reading; ","")&amp;$R210&amp;IF($P210="N","info: office said no; ","")&amp;IF(AND($P210="Y",$Q210="N"),"info: turned away at the door, so not on the drop (no letter, not in the report or Gate 2; the credit check is on campaigns); ","")&amp;IF(AND($U210&gt;0,$Y210="",$I210&lt;&gt;"",IF(config!$B$37&lt;&gt;"",config!$B$37,TODAY())&gt;WORKDAY(N($I210),4,calendar!$A$2:$A$80)),"info: no usable placement photo, so nothing counts as placed; ","")&amp;IF(AND($U210&gt;0,$I210&lt;&gt;"",IF(config!$B$37&lt;&gt;"",config!$B$37,TODAY())&gt;WORKDAY(N($I210),4,calendar!$A$2:$A$80),N($AL210)&lt;config!$B$30),"info: under "&amp;config!$B$30&amp;" responses; ","")&amp;IF($W210="packing_list","info: delivered count not verified; ",""))</f>
        <v/>
      </c>
      <c r="AQ210" s="25">
        <f>IF(OR($A210="",$I210=""),"",IF($BC210="Y",SUMIFS(survey_frozen!$E$2:$E$251,survey_frozen!$P$2:$P$251,$A210&amp;"|"&amp;$B210),IFERROR(COUNTIFS(INDIRECT("'"&amp;$A210&amp;"'!$B$2:$B$501"),$T210,INDIRECT("'"&amp;$A210&amp;"'!$A$2:$A$501"),"&gt;="&amp;$I210,INDIRECT("'"&amp;$A210&amp;"'!$A$2:$A$501"),"&lt;"&amp;($BA210+1),INDIRECT("'"&amp;$A210&amp;"'!$F$2:$F$501"),"Didn't see it"),0)))</f>
        <v/>
      </c>
      <c r="AR210" s="25">
        <f>IF(OR($A210="",$I210=""),"",IF($BC210="Y",SUMIFS(survey_frozen!$F$2:$F$251,survey_frozen!$P$2:$P$251,$A210&amp;"|"&amp;$B210),IFERROR(COUNTIFS(INDIRECT("'"&amp;$A210&amp;"'!$B$2:$B$501"),$T210,INDIRECT("'"&amp;$A210&amp;"'!$A$2:$A$501"),"&gt;="&amp;$I210,INDIRECT("'"&amp;$A210&amp;"'!$A$2:$A$501"),"&lt;"&amp;($BA210+1),INDIRECT("'"&amp;$A210&amp;"'!$F$2:$F$501"),"Not for me"),0)))</f>
        <v/>
      </c>
      <c r="AS210" s="25">
        <f>IF(OR($A210="",$I210=""),"",IF($BC210="Y",SUMIFS(survey_frozen!$G$2:$G$251,survey_frozen!$P$2:$P$251,$A210&amp;"|"&amp;$B210),IFERROR(COUNTIFS(INDIRECT("'"&amp;$A210&amp;"'!$B$2:$B$501"),$T210,INDIRECT("'"&amp;$A210&amp;"'!$A$2:$A$501"),"&gt;="&amp;$I210,INDIRECT("'"&amp;$A210&amp;"'!$A$2:$A$501"),"&lt;"&amp;($BA210+1),INDIRECT("'"&amp;$A210&amp;"'!$F$2:$F$501"),"Gone by the time I looked"),0)))</f>
        <v/>
      </c>
      <c r="AT210" s="25">
        <f>IF(OR($A210="",$I210=""),"",IF($BC210="Y",SUMIFS(survey_frozen!$H$2:$H$251,survey_frozen!$P$2:$P$251,$A210&amp;"|"&amp;$B210),IFERROR(COUNTIFS(INDIRECT("'"&amp;$A210&amp;"'!$B$2:$B$501"),$T210,INDIRECT("'"&amp;$A210&amp;"'!$A$2:$A$501"),"&gt;="&amp;$I210,INDIRECT("'"&amp;$A210&amp;"'!$A$2:$A$501"),"&lt;"&amp;($BA210+1),INDIRECT("'"&amp;$A210&amp;"'!$D$2:$D$501"),"&gt;=1"),0)))</f>
        <v/>
      </c>
      <c r="AU210" s="25">
        <f>IF(OR($A210="",$I210=""),"",IF($BC210="Y",SUMIFS(survey_frozen!$I$2:$I$251,survey_frozen!$P$2:$P$251,$A210&amp;"|"&amp;$B210),IFERROR(SUMIFS(INDIRECT("'"&amp;$A210&amp;"'!$D$2:$D$501"),INDIRECT("'"&amp;$A210&amp;"'!$B$2:$B$501"),$T210,INDIRECT("'"&amp;$A210&amp;"'!$A$2:$A$501"),"&gt;="&amp;$I210,INDIRECT("'"&amp;$A210&amp;"'!$A$2:$A$501"),"&lt;"&amp;($BA210+1)),0)))</f>
        <v/>
      </c>
      <c r="AV210" s="25">
        <f>IF(OR($A210="",$I210=""),"",IF($BC210="Y",SUMIFS(survey_frozen!$J$2:$J$251,survey_frozen!$P$2:$P$251,$A210&amp;"|"&amp;$B210),IFERROR(COUNTIFS(INDIRECT("'"&amp;$A210&amp;"'!$B$2:$B$501"),$T210,INDIRECT("'"&amp;$A210&amp;"'!$A$2:$A$501"),"&gt;="&amp;$I210,INDIRECT("'"&amp;$A210&amp;"'!$A$2:$A$501"),"&lt;"&amp;($BA210+1),INDIRECT("'"&amp;$A210&amp;"'!$E$2:$E$501"),"Yes"),0)))</f>
        <v/>
      </c>
      <c r="AW210" s="25">
        <f>IF(OR($A210="",$I210=""),"",IF($BC210="Y",SUMIFS(survey_frozen!$K$2:$K$251,survey_frozen!$P$2:$P$251,$A210&amp;"|"&amp;$B210),IFERROR(COUNTIFS(INDIRECT("'"&amp;$A210&amp;"'!$B$2:$B$501"),$T210,INDIRECT("'"&amp;$A210&amp;"'!$A$2:$A$501"),"&gt;="&amp;$I210,INDIRECT("'"&amp;$A210&amp;"'!$A$2:$A$501"),"&lt;"&amp;($BA210+1),INDIRECT("'"&amp;$A210&amp;"'!$E$2:$E$501"),"Maybe"),0)))</f>
        <v/>
      </c>
      <c r="AX210" s="25">
        <f>IF(OR($A210="",$I210=""),"",IF($BC210="Y",SUMIFS(survey_frozen!$L$2:$L$251,survey_frozen!$P$2:$P$251,$A210&amp;"|"&amp;$B210),IFERROR(COUNTIFS(INDIRECT("'"&amp;$A210&amp;"'!$B$2:$B$501"),$T210,INDIRECT("'"&amp;$A210&amp;"'!$A$2:$A$501"),"&gt;="&amp;$I210,INDIRECT("'"&amp;$A210&amp;"'!$A$2:$A$501"),"&lt;"&amp;($BA210+1),INDIRECT("'"&amp;$A210&amp;"'!$E$2:$E$501"),"No"),0)))</f>
        <v/>
      </c>
      <c r="AY210" s="25">
        <f>IF(OR($A210="",$I210=""),"",IF($BC210="Y",SUMIFS(survey_frozen!$M$2:$M$251,survey_frozen!$P$2:$P$251,$A210&amp;"|"&amp;$B210),IFERROR(COUNTIFS(INDIRECT("'"&amp;$A210&amp;"'!$B$2:$B$501"),$T210,INDIRECT("'"&amp;$A210&amp;"'!$A$2:$A$501"),"&gt;="&amp;$I210,INDIRECT("'"&amp;$A210&amp;"'!$A$2:$A$501"),"&lt;"&amp;($BA210+1),INDIRECT("'"&amp;$A210&amp;"'!$G$2:$G$501"),"&lt;&gt;"),0)))</f>
        <v/>
      </c>
      <c r="AZ210" s="25">
        <f>IF($A210="","",$A210&amp;"|"&amp;$L210)</f>
        <v/>
      </c>
      <c r="BA210" s="26">
        <f>IF($A210="","",IFERROR(IF(INDEX(drops!$R$2:$R$21,MATCH($H210,drops!$A$2:$A$21,0))="","",INDEX(drops!$R$2:$R$21,MATCH($H210,drops!$A$2:$A$21,0))),""))</f>
        <v/>
      </c>
      <c r="BB210" s="25">
        <f>IF(OR($A210="",$Q210&lt;&gt;"Y"),1000000,N($AL210))</f>
        <v/>
      </c>
      <c r="BC210" s="25">
        <f>IF($A210="","",IF(COUNTIF(survey_frozen!$P$2:$P$251,$A210&amp;"|"&amp;$B210)&gt;0,"Y",""))</f>
        <v/>
      </c>
    </row>
    <row r="211">
      <c r="C211" s="9" t="n"/>
      <c r="E211" s="9" t="n"/>
      <c r="H211" s="25">
        <f>IF($A211="","",IFERROR(IF(INDEX(campaigns!$B$2:$B$51,MATCH($A211,campaigns!$A$2:$A$51,0))="","",INDEX(campaigns!$B$2:$B$51,MATCH($A211,campaigns!$A$2:$A$51,0))),""))</f>
        <v/>
      </c>
      <c r="I211" s="26">
        <f>IF($A211="","",IFERROR(IF(INDEX(campaigns!$BG$2:$BG$51,MATCH($A211,campaigns!$A$2:$A$51,0))="","",INDEX(campaigns!$BG$2:$BG$51,MATCH($A211,campaigns!$A$2:$A$51,0))),""))</f>
        <v/>
      </c>
      <c r="J211" s="25">
        <f>IF($A211="","",IFERROR(IF(INDEX(campaigns!$BE$2:$BE$51,MATCH($A211,campaigns!$A$2:$A$51,0))="","",INDEX(campaigns!$BE$2:$BE$51,MATCH($A211,campaigns!$A$2:$A$51,0))),""))</f>
        <v/>
      </c>
      <c r="K211" s="25">
        <f>IF($B211="","",IFERROR(IF(INDEX(offices!$N$2:$N$61,MATCH($B211,offices!$A$2:$A$61,0))="","",INDEX(offices!$N$2:$N$61,MATCH($B211,offices!$A$2:$A$61,0))),""))</f>
        <v/>
      </c>
      <c r="L211" s="25">
        <f>IF($A211="","",IF($Q211="N","",COUNTIFS($A$2:$A211,$A211,$Q$2:$Q211,"&lt;&gt;N")))</f>
        <v/>
      </c>
      <c r="M211" s="25">
        <f>IF(OR($A211="",$L211=""),"",IF(AND(config!$B$34="names_if_public",IFERROR(IF(INDEX(offices!$AF$2:$AF$61,MATCH($B211,offices!$A$2:$A$61,0))="","",INDEX(offices!$AF$2:$AF$61,MATCH($B211,offices!$A$2:$A$61,0))),"")="Y"),$K211,CHAR(64+$L211)))</f>
        <v/>
      </c>
      <c r="N211" s="25">
        <f>IF(OR($A211="",$I211=""),"",COUNTIFS(stops!$B$2:$B$151,$B211,stops!$P$2:$P$151,"&lt;"&amp;$I211,stops!$L$2:$L$151,"&lt;&gt;not_delivered")+1)</f>
        <v/>
      </c>
      <c r="O211" s="25">
        <f>IF($A211="","",IF(N($N211)&lt;=config!$B$29,"explicit","opt-out"))</f>
        <v/>
      </c>
      <c r="P211" s="25">
        <f>IF($A211="","",IF($O211="explicit",IF($D211="yes","Y",IF($D211="no","N","pending")),IF($D211="no","N",IF(AND($C211&lt;&gt;"",$I211&lt;&gt;"",$C211&lt;=WORKDAY(N($I211),-5,calendar!$A$2:$A$80)),"Y","pending"))))</f>
        <v/>
      </c>
      <c r="Q211" s="25">
        <f>IF($A211="","",IF($P211="N","N",IF($P211&lt;&gt;"Y","pending",IF(AND((COUNTIFS(stops!$A$2:$A$151,$H211,stops!$B$2:$B$151,$B211,stops!$L$2:$L$151,"declined")+COUNTIFS(stops!$A$2:$A$151,$H211,stops!$B$2:$B$151,$B211,stops!$L$2:$L$151,"building_refused")+COUNTIFS(stops!$A$2:$A$151,$H211,stops!$B$2:$B$151,$B211,stops!$L$2:$L$151,"not_delivered"))&gt;0,N($U211)=0),"N","Y"))))</f>
        <v/>
      </c>
      <c r="R211" s="25">
        <f>IF($A211="","",IF(COUNTIFS($A$2:$A$251,$A211,$B$2:$B$251,$B211)&gt;1,"DUPLICATE ROW; ","")&amp;IF(AND(IFERROR(IF(INDEX(offices!$AC$2:$AC$61,MATCH($B211,offices!$A$2:$A$61,0))="","",INDEX(offices!$AC$2:$AC$61,MATCH($B211,offices!$A$2:$A$61,0))),"")&lt;&gt;"",ISNUMBER(SEARCH($J211,IFERROR(IF(INDEX(offices!$AC$2:$AC$61,MATCH($B211,offices!$A$2:$A$61,0))="","",INDEX(offices!$AC$2:$AC$61,MATCH($B211,offices!$A$2:$A$61,0))),"")))),"BRAND VETOED; ","")&amp;IF(ISNUMBER(SEARCH(IFERROR(IF(INDEX(campaigns!$BF$2:$BF$51,MATCH($A211,campaigns!$A$2:$A$51,0))="","",INDEX(campaigns!$BF$2:$BF$51,MATCH($A211,campaigns!$A$2:$A$51,0))),""),IFERROR(IF(INDEX(offices!$AB$2:$AB$61,MATCH($B211,offices!$A$2:$A$61,0))="","",INDEX(offices!$AB$2:$AB$61,MATCH($B211,offices!$A$2:$A$61,0))),""))),"","info: category not on the office's list; ")&amp;IF(IFERROR(IF(INDEX(offices!$AC$2:$AC$61,MATCH($B211,offices!$A$2:$A$61,0))="","",INDEX(offices!$AC$2:$AC$61,MATCH($B211,offices!$A$2:$A$61,0))),"")&lt;&gt;"","info: read the vetoes against the label; ",""))</f>
        <v/>
      </c>
      <c r="S211" s="25">
        <f>IF($A211="","",IF($G211&lt;&gt;"",$G211,IFERROR(IF(INDEX(offices!$AL$2:$AL$61,MATCH($B211,offices!$A$2:$A$61,0))="","",INDEX(offices!$AL$2:$AL$61,MATCH($B211,offices!$A$2:$A$61,0))),"")))</f>
        <v/>
      </c>
      <c r="T211" s="25">
        <f>IF($A211="","",$A211&amp;"."&amp;$B211)</f>
        <v/>
      </c>
      <c r="U211" s="25">
        <f>IF($A211="","",SUMIFS(inventory!$G$2:$G$801,inventory!$C$2:$C$801,$A211,inventory!$D$2:$D$801,$B211,inventory!$E$2:$E$801,"delivered"))</f>
        <v/>
      </c>
      <c r="V211" s="32">
        <f>IF($A211="","",IFERROR(1/(1/SUMPRODUCT(MAX((inventory!$C$2:$C$801=$A211)*(inventory!$D$2:$D$801=$B211)*(inventory!$E$2:$E$801="delivered")*(inventory!$A$2:$A$801+inventory!$B$2:$B$801)))),""))</f>
        <v/>
      </c>
      <c r="W211" s="25">
        <f>IF($A211="","",IFERROR(IF(INDEX(inventory!$J$2:$J$801,MATCH($A211&amp;"|"&amp;$B211&amp;"|delivered",inventory!$R$2:$R$801,0))="","",INDEX(inventory!$J$2:$J$801,MATCH($A211&amp;"|"&amp;$B211&amp;"|delivered",inventory!$R$2:$R$801,0))),""))</f>
        <v/>
      </c>
      <c r="X211" s="25">
        <f>IF($A211="","",IFERROR(IF(INDEX(photos!$H$2:$H$701,MATCH($A211&amp;"|"&amp;$B211&amp;"|placement|Y",photos!$R$2:$R$701,0))="","",INDEX(photos!$H$2:$H$701,MATCH($A211&amp;"|"&amp;$B211&amp;"|placement|Y",photos!$R$2:$R$701,0))),""))</f>
        <v/>
      </c>
      <c r="Y211" s="26">
        <f>IF($A211="","",IFERROR(IF(INDEX(photos!$E$2:$E$701,MATCH($A211&amp;"|"&amp;$B211&amp;"|placement|Y",photos!$R$2:$R$701,0))="","",INDEX(photos!$E$2:$E$701,MATCH($A211&amp;"|"&amp;$B211&amp;"|placement|Y",photos!$R$2:$R$701,0))),""))</f>
        <v/>
      </c>
      <c r="Z211" s="25">
        <f>IF($A211="","",IF(COUNTIFS(counts!$C$2:$C$701,$A211,counts!$D$2:$D$701,$B211,counts!$E$2:$E$701,"placed")=0,"",SUMIFS(counts!$F$2:$F$701,counts!$C$2:$C$701,$A211,counts!$D$2:$D$701,$B211,counts!$E$2:$E$701,"placed")))</f>
        <v/>
      </c>
      <c r="AA211" s="25">
        <f>IF($A211="","",IF($Y211="",0,N($Z211)))</f>
        <v/>
      </c>
      <c r="AB211" s="25">
        <f>IF($A211="","",IF(OR($Y211="",$I211=""),"N",IF($Y211&lt;=WORKDAY(N($I211),1,calendar!$A$2:$A$80),"Y","N")))</f>
        <v/>
      </c>
      <c r="AC211" s="28">
        <f>IF(OR($A211="",$V211="",$Y211=""),"",ROUND(($Y211+N(IFERROR(IF(INDEX(photos!$F$2:$F$701,MATCH($A211&amp;"|"&amp;$B211&amp;"|placement|Y",photos!$R$2:$R$701,0))="","",INDEX(photos!$F$2:$F$701,MATCH($A211&amp;"|"&amp;$B211&amp;"|placement|Y",photos!$R$2:$R$701,0))),""))-$V211)*24,1))</f>
        <v/>
      </c>
      <c r="AD211" s="25">
        <f>IF($A211="","",SUMIFS(inventory!$G$2:$G$801,inventory!$C$2:$C$801,$A211,inventory!$D$2:$D$801,$B211,inventory!$E$2:$E$801,"topped_up"))</f>
        <v/>
      </c>
      <c r="AE211" s="25">
        <f>IF($A211="","",IF(COUNTIFS(counts!$C$2:$C$701,$A211,counts!$D$2:$D$701,$B211,counts!$E$2:$E$701,"remaining_day3")=0,"",SUMIFS(counts!$F$2:$F$701,counts!$C$2:$C$701,$A211,counts!$D$2:$D$701,$B211,counts!$E$2:$E$701,"remaining_day3")))</f>
        <v/>
      </c>
      <c r="AF211" s="25">
        <f>IF($A211="","",IF(COUNTIFS(counts!$C$2:$C$701,$A211,counts!$D$2:$D$701,$B211,counts!$E$2:$E$701,"remaining_day5")=0,"",SUMIFS(counts!$F$2:$F$701,counts!$C$2:$C$701,$A211,counts!$D$2:$D$701,$B211,counts!$E$2:$E$701,"remaining_day5")))</f>
        <v/>
      </c>
      <c r="AG211" s="25">
        <f>IF(OR($A211="",$AF211=""),"",MAX(0,$AA211+$AD211-$AF211))</f>
        <v/>
      </c>
      <c r="AH211" s="25">
        <f>IF(OR($A211="",$AI211=""),"",IFERROR(IF(INDEX(photos!$H$2:$H$701,MATCH($A211&amp;"|"&amp;$B211&amp;"|later|Y|"&amp;$AI211,photos!$S$2:$S$701,0))="","",INDEX(photos!$H$2:$H$701,MATCH($A211&amp;"|"&amp;$B211&amp;"|later|Y|"&amp;$AI211,photos!$S$2:$S$701,0))),""))</f>
        <v/>
      </c>
      <c r="AI211" s="26">
        <f>IF($A211="","",IFERROR(1/(1/SUMPRODUCT(MAX((photos!$B$2:$B$701=$A211)*(photos!$C$2:$C$701=$B211)*(photos!$D$2:$D$701="later")*(photos!$O$2:$O$701="Y")*photos!$E$2:$E$701))),""))</f>
        <v/>
      </c>
      <c r="AJ211" s="25">
        <f>IF(OR($A211="",$AI211="",$I211=""),"",NETWORKDAYS($I211,$AI211,calendar!$A$2:$A$80))</f>
        <v/>
      </c>
      <c r="AK211" s="25">
        <f>IF($A211="","",IF(AND($X211&lt;&gt;"",$AH211&lt;&gt;""),"Y","N"))</f>
        <v/>
      </c>
      <c r="AL211" s="25">
        <f>IF(OR($A211="",$I211=""),"",IF($BC211="Y",SUMIFS(survey_frozen!$C$2:$C$251,survey_frozen!$P$2:$P$251,$A211&amp;"|"&amp;$B211),IFERROR(COUNTIFS(INDIRECT("'"&amp;$A211&amp;"'!$B$2:$B$501"),$T211,INDIRECT("'"&amp;$A211&amp;"'!$A$2:$A$501"),"&gt;="&amp;$I211,INDIRECT("'"&amp;$A211&amp;"'!$A$2:$A$501"),"&lt;"&amp;($BA211+1)),0)))</f>
        <v/>
      </c>
      <c r="AM211" s="25">
        <f>IF(OR($A211="",$I211=""),"",IF($BC211="Y",SUMIFS(survey_frozen!$D$2:$D$251,survey_frozen!$P$2:$P$251,$A211&amp;"|"&amp;$B211),IFERROR(COUNTIFS(INDIRECT("'"&amp;$A211&amp;"'!$B$2:$B$501"),$T211,INDIRECT("'"&amp;$A211&amp;"'!$A$2:$A$501"),"&gt;="&amp;$I211,INDIRECT("'"&amp;$A211&amp;"'!$A$2:$A$501"),"&lt;"&amp;($BA211+1),INDIRECT("'"&amp;$A211&amp;"'!$C$2:$C$501"),"Yes"),0)))</f>
        <v/>
      </c>
      <c r="AN211" s="25">
        <f>IF($A211="","",IF(COUNTIFS(scans!$C$2:$C$1601,(IF(LEFT($A211,7)="SAMPLE-","SAMPLE-","")&amp;LOWER(SUBSTITUTE(SUBSTITUTE($A211,"SAMPLE-",""),"CMP-","c"))&amp;"-"&amp;LOWER(SUBSTITUTE(SUBSTITUTE($B211,"SAMPLE-",""),"O-","o"))&amp;"-q"),scans!$D$2:$D$1601,"close")=0,"",SUMPRODUCT(MAX((scans!$C$2:$C$1601=(IF(LEFT($A211,7)="SAMPLE-","SAMPLE-","")&amp;LOWER(SUBSTITUTE(SUBSTITUTE($A211,"SAMPLE-",""),"CMP-","c"))&amp;"-"&amp;LOWER(SUBSTITUTE(SUBSTITUTE($B211,"SAMPLE-",""),"O-","o"))&amp;"-q"))*(scans!$D$2:$D$1601="close")*scans!$E$2:$E$1601))-SUMPRODUCT(MAX((scans!$C$2:$C$1601=(IF(LEFT($A211,7)="SAMPLE-","SAMPLE-","")&amp;LOWER(SUBSTITUTE(SUBSTITUTE($A211,"SAMPLE-",""),"CMP-","c"))&amp;"-"&amp;LOWER(SUBSTITUTE(SUBSTITUTE($B211,"SAMPLE-",""),"O-","o"))&amp;"-q"))*(scans!$D$2:$D$1601="baseline")*scans!$E$2:$E$1601))))</f>
        <v/>
      </c>
      <c r="AO211" s="25">
        <f>IF($A211="","",IF(COUNTIFS(scans!$C$2:$C$1601,(IF(LEFT($A211,7)="SAMPLE-","SAMPLE-","")&amp;LOWER(SUBSTITUTE(SUBSTITUTE($A211,"SAMPLE-",""),"CMP-","c"))&amp;"-"&amp;LOWER(SUBSTITUTE(SUBSTITUTE($B211,"SAMPLE-",""),"O-","o"))&amp;"-p"),scans!$D$2:$D$1601,"close")=0,"",SUMPRODUCT(MAX((scans!$C$2:$C$1601=(IF(LEFT($A211,7)="SAMPLE-","SAMPLE-","")&amp;LOWER(SUBSTITUTE(SUBSTITUTE($A211,"SAMPLE-",""),"CMP-","c"))&amp;"-"&amp;LOWER(SUBSTITUTE(SUBSTITUTE($B211,"SAMPLE-",""),"O-","o"))&amp;"-p"))*(scans!$D$2:$D$1601="close")*scans!$E$2:$E$1601))-SUMPRODUCT(MAX((scans!$C$2:$C$1601=(IF(LEFT($A211,7)="SAMPLE-","SAMPLE-","")&amp;LOWER(SUBSTITUTE(SUBSTITUTE($A211,"SAMPLE-",""),"CMP-","c"))&amp;"-"&amp;LOWER(SUBSTITUTE(SUBSTITUTE($B211,"SAMPLE-",""),"O-","o"))&amp;"-p"))*(scans!$D$2:$D$1601="baseline")*scans!$E$2:$E$1601))))</f>
        <v/>
      </c>
      <c r="AP211" s="25">
        <f>IF($A211="","",IF(COUNTIF(offices!$A$2:$A$61,$B211)=0,"office_id not on offices; ","")&amp;IF(COUNTIF(campaigns!$A$2:$A$51,$A211)=0,"campaign_id not on campaigns; ","")&amp;IF($P211="pending","approval pending; ","")&amp;IF(AND($U211&gt;0,$Y211="",OR($I211="",IF(config!$B$37&lt;&gt;"",config!$B$37,TODAY())&lt;=WORKDAY(N($I211),4,calendar!$A$2:$A$80))),"no usable placement photo yet; ","")&amp;IF(AND($Y211&lt;&gt;"",$Z211=""),"log the placed count; ","")&amp;IF(N($AA211)&gt;N($U211),"placed more than delivered; ","")&amp;IF(AND($AF211&lt;&gt;"",N($AF211)&gt;N($AA211)+N($AD211)),"day-5 count above placed plus top-ups; ","")&amp;IF(AND($U211&gt;0,$I211&lt;&gt;"",IF(config!$B$37&lt;&gt;"",config!$B$37,TODAY())&gt;WORKDAY(N($I211),4,calendar!$A$2:$A$80),$AF211=""),"day-5 count missing; ","")&amp;IF(AND($U211&gt;0,$I211&lt;&gt;"",IF(config!$B$37&lt;&gt;"",config!$B$37,TODAY())&gt;WORKDAY(N($I211),4,calendar!$A$2:$A$80),$AN211=""),"no close link reading; ","")&amp;$R211&amp;IF($P211="N","info: office said no; ","")&amp;IF(AND($P211="Y",$Q211="N"),"info: turned away at the door, so not on the drop (no letter, not in the report or Gate 2; the credit check is on campaigns); ","")&amp;IF(AND($U211&gt;0,$Y211="",$I211&lt;&gt;"",IF(config!$B$37&lt;&gt;"",config!$B$37,TODAY())&gt;WORKDAY(N($I211),4,calendar!$A$2:$A$80)),"info: no usable placement photo, so nothing counts as placed; ","")&amp;IF(AND($U211&gt;0,$I211&lt;&gt;"",IF(config!$B$37&lt;&gt;"",config!$B$37,TODAY())&gt;WORKDAY(N($I211),4,calendar!$A$2:$A$80),N($AL211)&lt;config!$B$30),"info: under "&amp;config!$B$30&amp;" responses; ","")&amp;IF($W211="packing_list","info: delivered count not verified; ",""))</f>
        <v/>
      </c>
      <c r="AQ211" s="25">
        <f>IF(OR($A211="",$I211=""),"",IF($BC211="Y",SUMIFS(survey_frozen!$E$2:$E$251,survey_frozen!$P$2:$P$251,$A211&amp;"|"&amp;$B211),IFERROR(COUNTIFS(INDIRECT("'"&amp;$A211&amp;"'!$B$2:$B$501"),$T211,INDIRECT("'"&amp;$A211&amp;"'!$A$2:$A$501"),"&gt;="&amp;$I211,INDIRECT("'"&amp;$A211&amp;"'!$A$2:$A$501"),"&lt;"&amp;($BA211+1),INDIRECT("'"&amp;$A211&amp;"'!$F$2:$F$501"),"Didn't see it"),0)))</f>
        <v/>
      </c>
      <c r="AR211" s="25">
        <f>IF(OR($A211="",$I211=""),"",IF($BC211="Y",SUMIFS(survey_frozen!$F$2:$F$251,survey_frozen!$P$2:$P$251,$A211&amp;"|"&amp;$B211),IFERROR(COUNTIFS(INDIRECT("'"&amp;$A211&amp;"'!$B$2:$B$501"),$T211,INDIRECT("'"&amp;$A211&amp;"'!$A$2:$A$501"),"&gt;="&amp;$I211,INDIRECT("'"&amp;$A211&amp;"'!$A$2:$A$501"),"&lt;"&amp;($BA211+1),INDIRECT("'"&amp;$A211&amp;"'!$F$2:$F$501"),"Not for me"),0)))</f>
        <v/>
      </c>
      <c r="AS211" s="25">
        <f>IF(OR($A211="",$I211=""),"",IF($BC211="Y",SUMIFS(survey_frozen!$G$2:$G$251,survey_frozen!$P$2:$P$251,$A211&amp;"|"&amp;$B211),IFERROR(COUNTIFS(INDIRECT("'"&amp;$A211&amp;"'!$B$2:$B$501"),$T211,INDIRECT("'"&amp;$A211&amp;"'!$A$2:$A$501"),"&gt;="&amp;$I211,INDIRECT("'"&amp;$A211&amp;"'!$A$2:$A$501"),"&lt;"&amp;($BA211+1),INDIRECT("'"&amp;$A211&amp;"'!$F$2:$F$501"),"Gone by the time I looked"),0)))</f>
        <v/>
      </c>
      <c r="AT211" s="25">
        <f>IF(OR($A211="",$I211=""),"",IF($BC211="Y",SUMIFS(survey_frozen!$H$2:$H$251,survey_frozen!$P$2:$P$251,$A211&amp;"|"&amp;$B211),IFERROR(COUNTIFS(INDIRECT("'"&amp;$A211&amp;"'!$B$2:$B$501"),$T211,INDIRECT("'"&amp;$A211&amp;"'!$A$2:$A$501"),"&gt;="&amp;$I211,INDIRECT("'"&amp;$A211&amp;"'!$A$2:$A$501"),"&lt;"&amp;($BA211+1),INDIRECT("'"&amp;$A211&amp;"'!$D$2:$D$501"),"&gt;=1"),0)))</f>
        <v/>
      </c>
      <c r="AU211" s="25">
        <f>IF(OR($A211="",$I211=""),"",IF($BC211="Y",SUMIFS(survey_frozen!$I$2:$I$251,survey_frozen!$P$2:$P$251,$A211&amp;"|"&amp;$B211),IFERROR(SUMIFS(INDIRECT("'"&amp;$A211&amp;"'!$D$2:$D$501"),INDIRECT("'"&amp;$A211&amp;"'!$B$2:$B$501"),$T211,INDIRECT("'"&amp;$A211&amp;"'!$A$2:$A$501"),"&gt;="&amp;$I211,INDIRECT("'"&amp;$A211&amp;"'!$A$2:$A$501"),"&lt;"&amp;($BA211+1)),0)))</f>
        <v/>
      </c>
      <c r="AV211" s="25">
        <f>IF(OR($A211="",$I211=""),"",IF($BC211="Y",SUMIFS(survey_frozen!$J$2:$J$251,survey_frozen!$P$2:$P$251,$A211&amp;"|"&amp;$B211),IFERROR(COUNTIFS(INDIRECT("'"&amp;$A211&amp;"'!$B$2:$B$501"),$T211,INDIRECT("'"&amp;$A211&amp;"'!$A$2:$A$501"),"&gt;="&amp;$I211,INDIRECT("'"&amp;$A211&amp;"'!$A$2:$A$501"),"&lt;"&amp;($BA211+1),INDIRECT("'"&amp;$A211&amp;"'!$E$2:$E$501"),"Yes"),0)))</f>
        <v/>
      </c>
      <c r="AW211" s="25">
        <f>IF(OR($A211="",$I211=""),"",IF($BC211="Y",SUMIFS(survey_frozen!$K$2:$K$251,survey_frozen!$P$2:$P$251,$A211&amp;"|"&amp;$B211),IFERROR(COUNTIFS(INDIRECT("'"&amp;$A211&amp;"'!$B$2:$B$501"),$T211,INDIRECT("'"&amp;$A211&amp;"'!$A$2:$A$501"),"&gt;="&amp;$I211,INDIRECT("'"&amp;$A211&amp;"'!$A$2:$A$501"),"&lt;"&amp;($BA211+1),INDIRECT("'"&amp;$A211&amp;"'!$E$2:$E$501"),"Maybe"),0)))</f>
        <v/>
      </c>
      <c r="AX211" s="25">
        <f>IF(OR($A211="",$I211=""),"",IF($BC211="Y",SUMIFS(survey_frozen!$L$2:$L$251,survey_frozen!$P$2:$P$251,$A211&amp;"|"&amp;$B211),IFERROR(COUNTIFS(INDIRECT("'"&amp;$A211&amp;"'!$B$2:$B$501"),$T211,INDIRECT("'"&amp;$A211&amp;"'!$A$2:$A$501"),"&gt;="&amp;$I211,INDIRECT("'"&amp;$A211&amp;"'!$A$2:$A$501"),"&lt;"&amp;($BA211+1),INDIRECT("'"&amp;$A211&amp;"'!$E$2:$E$501"),"No"),0)))</f>
        <v/>
      </c>
      <c r="AY211" s="25">
        <f>IF(OR($A211="",$I211=""),"",IF($BC211="Y",SUMIFS(survey_frozen!$M$2:$M$251,survey_frozen!$P$2:$P$251,$A211&amp;"|"&amp;$B211),IFERROR(COUNTIFS(INDIRECT("'"&amp;$A211&amp;"'!$B$2:$B$501"),$T211,INDIRECT("'"&amp;$A211&amp;"'!$A$2:$A$501"),"&gt;="&amp;$I211,INDIRECT("'"&amp;$A211&amp;"'!$A$2:$A$501"),"&lt;"&amp;($BA211+1),INDIRECT("'"&amp;$A211&amp;"'!$G$2:$G$501"),"&lt;&gt;"),0)))</f>
        <v/>
      </c>
      <c r="AZ211" s="25">
        <f>IF($A211="","",$A211&amp;"|"&amp;$L211)</f>
        <v/>
      </c>
      <c r="BA211" s="26">
        <f>IF($A211="","",IFERROR(IF(INDEX(drops!$R$2:$R$21,MATCH($H211,drops!$A$2:$A$21,0))="","",INDEX(drops!$R$2:$R$21,MATCH($H211,drops!$A$2:$A$21,0))),""))</f>
        <v/>
      </c>
      <c r="BB211" s="25">
        <f>IF(OR($A211="",$Q211&lt;&gt;"Y"),1000000,N($AL211))</f>
        <v/>
      </c>
      <c r="BC211" s="25">
        <f>IF($A211="","",IF(COUNTIF(survey_frozen!$P$2:$P$251,$A211&amp;"|"&amp;$B211)&gt;0,"Y",""))</f>
        <v/>
      </c>
    </row>
    <row r="212">
      <c r="C212" s="9" t="n"/>
      <c r="E212" s="9" t="n"/>
      <c r="H212" s="25">
        <f>IF($A212="","",IFERROR(IF(INDEX(campaigns!$B$2:$B$51,MATCH($A212,campaigns!$A$2:$A$51,0))="","",INDEX(campaigns!$B$2:$B$51,MATCH($A212,campaigns!$A$2:$A$51,0))),""))</f>
        <v/>
      </c>
      <c r="I212" s="26">
        <f>IF($A212="","",IFERROR(IF(INDEX(campaigns!$BG$2:$BG$51,MATCH($A212,campaigns!$A$2:$A$51,0))="","",INDEX(campaigns!$BG$2:$BG$51,MATCH($A212,campaigns!$A$2:$A$51,0))),""))</f>
        <v/>
      </c>
      <c r="J212" s="25">
        <f>IF($A212="","",IFERROR(IF(INDEX(campaigns!$BE$2:$BE$51,MATCH($A212,campaigns!$A$2:$A$51,0))="","",INDEX(campaigns!$BE$2:$BE$51,MATCH($A212,campaigns!$A$2:$A$51,0))),""))</f>
        <v/>
      </c>
      <c r="K212" s="25">
        <f>IF($B212="","",IFERROR(IF(INDEX(offices!$N$2:$N$61,MATCH($B212,offices!$A$2:$A$61,0))="","",INDEX(offices!$N$2:$N$61,MATCH($B212,offices!$A$2:$A$61,0))),""))</f>
        <v/>
      </c>
      <c r="L212" s="25">
        <f>IF($A212="","",IF($Q212="N","",COUNTIFS($A$2:$A212,$A212,$Q$2:$Q212,"&lt;&gt;N")))</f>
        <v/>
      </c>
      <c r="M212" s="25">
        <f>IF(OR($A212="",$L212=""),"",IF(AND(config!$B$34="names_if_public",IFERROR(IF(INDEX(offices!$AF$2:$AF$61,MATCH($B212,offices!$A$2:$A$61,0))="","",INDEX(offices!$AF$2:$AF$61,MATCH($B212,offices!$A$2:$A$61,0))),"")="Y"),$K212,CHAR(64+$L212)))</f>
        <v/>
      </c>
      <c r="N212" s="25">
        <f>IF(OR($A212="",$I212=""),"",COUNTIFS(stops!$B$2:$B$151,$B212,stops!$P$2:$P$151,"&lt;"&amp;$I212,stops!$L$2:$L$151,"&lt;&gt;not_delivered")+1)</f>
        <v/>
      </c>
      <c r="O212" s="25">
        <f>IF($A212="","",IF(N($N212)&lt;=config!$B$29,"explicit","opt-out"))</f>
        <v/>
      </c>
      <c r="P212" s="25">
        <f>IF($A212="","",IF($O212="explicit",IF($D212="yes","Y",IF($D212="no","N","pending")),IF($D212="no","N",IF(AND($C212&lt;&gt;"",$I212&lt;&gt;"",$C212&lt;=WORKDAY(N($I212),-5,calendar!$A$2:$A$80)),"Y","pending"))))</f>
        <v/>
      </c>
      <c r="Q212" s="25">
        <f>IF($A212="","",IF($P212="N","N",IF($P212&lt;&gt;"Y","pending",IF(AND((COUNTIFS(stops!$A$2:$A$151,$H212,stops!$B$2:$B$151,$B212,stops!$L$2:$L$151,"declined")+COUNTIFS(stops!$A$2:$A$151,$H212,stops!$B$2:$B$151,$B212,stops!$L$2:$L$151,"building_refused")+COUNTIFS(stops!$A$2:$A$151,$H212,stops!$B$2:$B$151,$B212,stops!$L$2:$L$151,"not_delivered"))&gt;0,N($U212)=0),"N","Y"))))</f>
        <v/>
      </c>
      <c r="R212" s="25">
        <f>IF($A212="","",IF(COUNTIFS($A$2:$A$251,$A212,$B$2:$B$251,$B212)&gt;1,"DUPLICATE ROW; ","")&amp;IF(AND(IFERROR(IF(INDEX(offices!$AC$2:$AC$61,MATCH($B212,offices!$A$2:$A$61,0))="","",INDEX(offices!$AC$2:$AC$61,MATCH($B212,offices!$A$2:$A$61,0))),"")&lt;&gt;"",ISNUMBER(SEARCH($J212,IFERROR(IF(INDEX(offices!$AC$2:$AC$61,MATCH($B212,offices!$A$2:$A$61,0))="","",INDEX(offices!$AC$2:$AC$61,MATCH($B212,offices!$A$2:$A$61,0))),"")))),"BRAND VETOED; ","")&amp;IF(ISNUMBER(SEARCH(IFERROR(IF(INDEX(campaigns!$BF$2:$BF$51,MATCH($A212,campaigns!$A$2:$A$51,0))="","",INDEX(campaigns!$BF$2:$BF$51,MATCH($A212,campaigns!$A$2:$A$51,0))),""),IFERROR(IF(INDEX(offices!$AB$2:$AB$61,MATCH($B212,offices!$A$2:$A$61,0))="","",INDEX(offices!$AB$2:$AB$61,MATCH($B212,offices!$A$2:$A$61,0))),""))),"","info: category not on the office's list; ")&amp;IF(IFERROR(IF(INDEX(offices!$AC$2:$AC$61,MATCH($B212,offices!$A$2:$A$61,0))="","",INDEX(offices!$AC$2:$AC$61,MATCH($B212,offices!$A$2:$A$61,0))),"")&lt;&gt;"","info: read the vetoes against the label; ",""))</f>
        <v/>
      </c>
      <c r="S212" s="25">
        <f>IF($A212="","",IF($G212&lt;&gt;"",$G212,IFERROR(IF(INDEX(offices!$AL$2:$AL$61,MATCH($B212,offices!$A$2:$A$61,0))="","",INDEX(offices!$AL$2:$AL$61,MATCH($B212,offices!$A$2:$A$61,0))),"")))</f>
        <v/>
      </c>
      <c r="T212" s="25">
        <f>IF($A212="","",$A212&amp;"."&amp;$B212)</f>
        <v/>
      </c>
      <c r="U212" s="25">
        <f>IF($A212="","",SUMIFS(inventory!$G$2:$G$801,inventory!$C$2:$C$801,$A212,inventory!$D$2:$D$801,$B212,inventory!$E$2:$E$801,"delivered"))</f>
        <v/>
      </c>
      <c r="V212" s="32">
        <f>IF($A212="","",IFERROR(1/(1/SUMPRODUCT(MAX((inventory!$C$2:$C$801=$A212)*(inventory!$D$2:$D$801=$B212)*(inventory!$E$2:$E$801="delivered")*(inventory!$A$2:$A$801+inventory!$B$2:$B$801)))),""))</f>
        <v/>
      </c>
      <c r="W212" s="25">
        <f>IF($A212="","",IFERROR(IF(INDEX(inventory!$J$2:$J$801,MATCH($A212&amp;"|"&amp;$B212&amp;"|delivered",inventory!$R$2:$R$801,0))="","",INDEX(inventory!$J$2:$J$801,MATCH($A212&amp;"|"&amp;$B212&amp;"|delivered",inventory!$R$2:$R$801,0))),""))</f>
        <v/>
      </c>
      <c r="X212" s="25">
        <f>IF($A212="","",IFERROR(IF(INDEX(photos!$H$2:$H$701,MATCH($A212&amp;"|"&amp;$B212&amp;"|placement|Y",photos!$R$2:$R$701,0))="","",INDEX(photos!$H$2:$H$701,MATCH($A212&amp;"|"&amp;$B212&amp;"|placement|Y",photos!$R$2:$R$701,0))),""))</f>
        <v/>
      </c>
      <c r="Y212" s="26">
        <f>IF($A212="","",IFERROR(IF(INDEX(photos!$E$2:$E$701,MATCH($A212&amp;"|"&amp;$B212&amp;"|placement|Y",photos!$R$2:$R$701,0))="","",INDEX(photos!$E$2:$E$701,MATCH($A212&amp;"|"&amp;$B212&amp;"|placement|Y",photos!$R$2:$R$701,0))),""))</f>
        <v/>
      </c>
      <c r="Z212" s="25">
        <f>IF($A212="","",IF(COUNTIFS(counts!$C$2:$C$701,$A212,counts!$D$2:$D$701,$B212,counts!$E$2:$E$701,"placed")=0,"",SUMIFS(counts!$F$2:$F$701,counts!$C$2:$C$701,$A212,counts!$D$2:$D$701,$B212,counts!$E$2:$E$701,"placed")))</f>
        <v/>
      </c>
      <c r="AA212" s="25">
        <f>IF($A212="","",IF($Y212="",0,N($Z212)))</f>
        <v/>
      </c>
      <c r="AB212" s="25">
        <f>IF($A212="","",IF(OR($Y212="",$I212=""),"N",IF($Y212&lt;=WORKDAY(N($I212),1,calendar!$A$2:$A$80),"Y","N")))</f>
        <v/>
      </c>
      <c r="AC212" s="28">
        <f>IF(OR($A212="",$V212="",$Y212=""),"",ROUND(($Y212+N(IFERROR(IF(INDEX(photos!$F$2:$F$701,MATCH($A212&amp;"|"&amp;$B212&amp;"|placement|Y",photos!$R$2:$R$701,0))="","",INDEX(photos!$F$2:$F$701,MATCH($A212&amp;"|"&amp;$B212&amp;"|placement|Y",photos!$R$2:$R$701,0))),""))-$V212)*24,1))</f>
        <v/>
      </c>
      <c r="AD212" s="25">
        <f>IF($A212="","",SUMIFS(inventory!$G$2:$G$801,inventory!$C$2:$C$801,$A212,inventory!$D$2:$D$801,$B212,inventory!$E$2:$E$801,"topped_up"))</f>
        <v/>
      </c>
      <c r="AE212" s="25">
        <f>IF($A212="","",IF(COUNTIFS(counts!$C$2:$C$701,$A212,counts!$D$2:$D$701,$B212,counts!$E$2:$E$701,"remaining_day3")=0,"",SUMIFS(counts!$F$2:$F$701,counts!$C$2:$C$701,$A212,counts!$D$2:$D$701,$B212,counts!$E$2:$E$701,"remaining_day3")))</f>
        <v/>
      </c>
      <c r="AF212" s="25">
        <f>IF($A212="","",IF(COUNTIFS(counts!$C$2:$C$701,$A212,counts!$D$2:$D$701,$B212,counts!$E$2:$E$701,"remaining_day5")=0,"",SUMIFS(counts!$F$2:$F$701,counts!$C$2:$C$701,$A212,counts!$D$2:$D$701,$B212,counts!$E$2:$E$701,"remaining_day5")))</f>
        <v/>
      </c>
      <c r="AG212" s="25">
        <f>IF(OR($A212="",$AF212=""),"",MAX(0,$AA212+$AD212-$AF212))</f>
        <v/>
      </c>
      <c r="AH212" s="25">
        <f>IF(OR($A212="",$AI212=""),"",IFERROR(IF(INDEX(photos!$H$2:$H$701,MATCH($A212&amp;"|"&amp;$B212&amp;"|later|Y|"&amp;$AI212,photos!$S$2:$S$701,0))="","",INDEX(photos!$H$2:$H$701,MATCH($A212&amp;"|"&amp;$B212&amp;"|later|Y|"&amp;$AI212,photos!$S$2:$S$701,0))),""))</f>
        <v/>
      </c>
      <c r="AI212" s="26">
        <f>IF($A212="","",IFERROR(1/(1/SUMPRODUCT(MAX((photos!$B$2:$B$701=$A212)*(photos!$C$2:$C$701=$B212)*(photos!$D$2:$D$701="later")*(photos!$O$2:$O$701="Y")*photos!$E$2:$E$701))),""))</f>
        <v/>
      </c>
      <c r="AJ212" s="25">
        <f>IF(OR($A212="",$AI212="",$I212=""),"",NETWORKDAYS($I212,$AI212,calendar!$A$2:$A$80))</f>
        <v/>
      </c>
      <c r="AK212" s="25">
        <f>IF($A212="","",IF(AND($X212&lt;&gt;"",$AH212&lt;&gt;""),"Y","N"))</f>
        <v/>
      </c>
      <c r="AL212" s="25">
        <f>IF(OR($A212="",$I212=""),"",IF($BC212="Y",SUMIFS(survey_frozen!$C$2:$C$251,survey_frozen!$P$2:$P$251,$A212&amp;"|"&amp;$B212),IFERROR(COUNTIFS(INDIRECT("'"&amp;$A212&amp;"'!$B$2:$B$501"),$T212,INDIRECT("'"&amp;$A212&amp;"'!$A$2:$A$501"),"&gt;="&amp;$I212,INDIRECT("'"&amp;$A212&amp;"'!$A$2:$A$501"),"&lt;"&amp;($BA212+1)),0)))</f>
        <v/>
      </c>
      <c r="AM212" s="25">
        <f>IF(OR($A212="",$I212=""),"",IF($BC212="Y",SUMIFS(survey_frozen!$D$2:$D$251,survey_frozen!$P$2:$P$251,$A212&amp;"|"&amp;$B212),IFERROR(COUNTIFS(INDIRECT("'"&amp;$A212&amp;"'!$B$2:$B$501"),$T212,INDIRECT("'"&amp;$A212&amp;"'!$A$2:$A$501"),"&gt;="&amp;$I212,INDIRECT("'"&amp;$A212&amp;"'!$A$2:$A$501"),"&lt;"&amp;($BA212+1),INDIRECT("'"&amp;$A212&amp;"'!$C$2:$C$501"),"Yes"),0)))</f>
        <v/>
      </c>
      <c r="AN212" s="25">
        <f>IF($A212="","",IF(COUNTIFS(scans!$C$2:$C$1601,(IF(LEFT($A212,7)="SAMPLE-","SAMPLE-","")&amp;LOWER(SUBSTITUTE(SUBSTITUTE($A212,"SAMPLE-",""),"CMP-","c"))&amp;"-"&amp;LOWER(SUBSTITUTE(SUBSTITUTE($B212,"SAMPLE-",""),"O-","o"))&amp;"-q"),scans!$D$2:$D$1601,"close")=0,"",SUMPRODUCT(MAX((scans!$C$2:$C$1601=(IF(LEFT($A212,7)="SAMPLE-","SAMPLE-","")&amp;LOWER(SUBSTITUTE(SUBSTITUTE($A212,"SAMPLE-",""),"CMP-","c"))&amp;"-"&amp;LOWER(SUBSTITUTE(SUBSTITUTE($B212,"SAMPLE-",""),"O-","o"))&amp;"-q"))*(scans!$D$2:$D$1601="close")*scans!$E$2:$E$1601))-SUMPRODUCT(MAX((scans!$C$2:$C$1601=(IF(LEFT($A212,7)="SAMPLE-","SAMPLE-","")&amp;LOWER(SUBSTITUTE(SUBSTITUTE($A212,"SAMPLE-",""),"CMP-","c"))&amp;"-"&amp;LOWER(SUBSTITUTE(SUBSTITUTE($B212,"SAMPLE-",""),"O-","o"))&amp;"-q"))*(scans!$D$2:$D$1601="baseline")*scans!$E$2:$E$1601))))</f>
        <v/>
      </c>
      <c r="AO212" s="25">
        <f>IF($A212="","",IF(COUNTIFS(scans!$C$2:$C$1601,(IF(LEFT($A212,7)="SAMPLE-","SAMPLE-","")&amp;LOWER(SUBSTITUTE(SUBSTITUTE($A212,"SAMPLE-",""),"CMP-","c"))&amp;"-"&amp;LOWER(SUBSTITUTE(SUBSTITUTE($B212,"SAMPLE-",""),"O-","o"))&amp;"-p"),scans!$D$2:$D$1601,"close")=0,"",SUMPRODUCT(MAX((scans!$C$2:$C$1601=(IF(LEFT($A212,7)="SAMPLE-","SAMPLE-","")&amp;LOWER(SUBSTITUTE(SUBSTITUTE($A212,"SAMPLE-",""),"CMP-","c"))&amp;"-"&amp;LOWER(SUBSTITUTE(SUBSTITUTE($B212,"SAMPLE-",""),"O-","o"))&amp;"-p"))*(scans!$D$2:$D$1601="close")*scans!$E$2:$E$1601))-SUMPRODUCT(MAX((scans!$C$2:$C$1601=(IF(LEFT($A212,7)="SAMPLE-","SAMPLE-","")&amp;LOWER(SUBSTITUTE(SUBSTITUTE($A212,"SAMPLE-",""),"CMP-","c"))&amp;"-"&amp;LOWER(SUBSTITUTE(SUBSTITUTE($B212,"SAMPLE-",""),"O-","o"))&amp;"-p"))*(scans!$D$2:$D$1601="baseline")*scans!$E$2:$E$1601))))</f>
        <v/>
      </c>
      <c r="AP212" s="25">
        <f>IF($A212="","",IF(COUNTIF(offices!$A$2:$A$61,$B212)=0,"office_id not on offices; ","")&amp;IF(COUNTIF(campaigns!$A$2:$A$51,$A212)=0,"campaign_id not on campaigns; ","")&amp;IF($P212="pending","approval pending; ","")&amp;IF(AND($U212&gt;0,$Y212="",OR($I212="",IF(config!$B$37&lt;&gt;"",config!$B$37,TODAY())&lt;=WORKDAY(N($I212),4,calendar!$A$2:$A$80))),"no usable placement photo yet; ","")&amp;IF(AND($Y212&lt;&gt;"",$Z212=""),"log the placed count; ","")&amp;IF(N($AA212)&gt;N($U212),"placed more than delivered; ","")&amp;IF(AND($AF212&lt;&gt;"",N($AF212)&gt;N($AA212)+N($AD212)),"day-5 count above placed plus top-ups; ","")&amp;IF(AND($U212&gt;0,$I212&lt;&gt;"",IF(config!$B$37&lt;&gt;"",config!$B$37,TODAY())&gt;WORKDAY(N($I212),4,calendar!$A$2:$A$80),$AF212=""),"day-5 count missing; ","")&amp;IF(AND($U212&gt;0,$I212&lt;&gt;"",IF(config!$B$37&lt;&gt;"",config!$B$37,TODAY())&gt;WORKDAY(N($I212),4,calendar!$A$2:$A$80),$AN212=""),"no close link reading; ","")&amp;$R212&amp;IF($P212="N","info: office said no; ","")&amp;IF(AND($P212="Y",$Q212="N"),"info: turned away at the door, so not on the drop (no letter, not in the report or Gate 2; the credit check is on campaigns); ","")&amp;IF(AND($U212&gt;0,$Y212="",$I212&lt;&gt;"",IF(config!$B$37&lt;&gt;"",config!$B$37,TODAY())&gt;WORKDAY(N($I212),4,calendar!$A$2:$A$80)),"info: no usable placement photo, so nothing counts as placed; ","")&amp;IF(AND($U212&gt;0,$I212&lt;&gt;"",IF(config!$B$37&lt;&gt;"",config!$B$37,TODAY())&gt;WORKDAY(N($I212),4,calendar!$A$2:$A$80),N($AL212)&lt;config!$B$30),"info: under "&amp;config!$B$30&amp;" responses; ","")&amp;IF($W212="packing_list","info: delivered count not verified; ",""))</f>
        <v/>
      </c>
      <c r="AQ212" s="25">
        <f>IF(OR($A212="",$I212=""),"",IF($BC212="Y",SUMIFS(survey_frozen!$E$2:$E$251,survey_frozen!$P$2:$P$251,$A212&amp;"|"&amp;$B212),IFERROR(COUNTIFS(INDIRECT("'"&amp;$A212&amp;"'!$B$2:$B$501"),$T212,INDIRECT("'"&amp;$A212&amp;"'!$A$2:$A$501"),"&gt;="&amp;$I212,INDIRECT("'"&amp;$A212&amp;"'!$A$2:$A$501"),"&lt;"&amp;($BA212+1),INDIRECT("'"&amp;$A212&amp;"'!$F$2:$F$501"),"Didn't see it"),0)))</f>
        <v/>
      </c>
      <c r="AR212" s="25">
        <f>IF(OR($A212="",$I212=""),"",IF($BC212="Y",SUMIFS(survey_frozen!$F$2:$F$251,survey_frozen!$P$2:$P$251,$A212&amp;"|"&amp;$B212),IFERROR(COUNTIFS(INDIRECT("'"&amp;$A212&amp;"'!$B$2:$B$501"),$T212,INDIRECT("'"&amp;$A212&amp;"'!$A$2:$A$501"),"&gt;="&amp;$I212,INDIRECT("'"&amp;$A212&amp;"'!$A$2:$A$501"),"&lt;"&amp;($BA212+1),INDIRECT("'"&amp;$A212&amp;"'!$F$2:$F$501"),"Not for me"),0)))</f>
        <v/>
      </c>
      <c r="AS212" s="25">
        <f>IF(OR($A212="",$I212=""),"",IF($BC212="Y",SUMIFS(survey_frozen!$G$2:$G$251,survey_frozen!$P$2:$P$251,$A212&amp;"|"&amp;$B212),IFERROR(COUNTIFS(INDIRECT("'"&amp;$A212&amp;"'!$B$2:$B$501"),$T212,INDIRECT("'"&amp;$A212&amp;"'!$A$2:$A$501"),"&gt;="&amp;$I212,INDIRECT("'"&amp;$A212&amp;"'!$A$2:$A$501"),"&lt;"&amp;($BA212+1),INDIRECT("'"&amp;$A212&amp;"'!$F$2:$F$501"),"Gone by the time I looked"),0)))</f>
        <v/>
      </c>
      <c r="AT212" s="25">
        <f>IF(OR($A212="",$I212=""),"",IF($BC212="Y",SUMIFS(survey_frozen!$H$2:$H$251,survey_frozen!$P$2:$P$251,$A212&amp;"|"&amp;$B212),IFERROR(COUNTIFS(INDIRECT("'"&amp;$A212&amp;"'!$B$2:$B$501"),$T212,INDIRECT("'"&amp;$A212&amp;"'!$A$2:$A$501"),"&gt;="&amp;$I212,INDIRECT("'"&amp;$A212&amp;"'!$A$2:$A$501"),"&lt;"&amp;($BA212+1),INDIRECT("'"&amp;$A212&amp;"'!$D$2:$D$501"),"&gt;=1"),0)))</f>
        <v/>
      </c>
      <c r="AU212" s="25">
        <f>IF(OR($A212="",$I212=""),"",IF($BC212="Y",SUMIFS(survey_frozen!$I$2:$I$251,survey_frozen!$P$2:$P$251,$A212&amp;"|"&amp;$B212),IFERROR(SUMIFS(INDIRECT("'"&amp;$A212&amp;"'!$D$2:$D$501"),INDIRECT("'"&amp;$A212&amp;"'!$B$2:$B$501"),$T212,INDIRECT("'"&amp;$A212&amp;"'!$A$2:$A$501"),"&gt;="&amp;$I212,INDIRECT("'"&amp;$A212&amp;"'!$A$2:$A$501"),"&lt;"&amp;($BA212+1)),0)))</f>
        <v/>
      </c>
      <c r="AV212" s="25">
        <f>IF(OR($A212="",$I212=""),"",IF($BC212="Y",SUMIFS(survey_frozen!$J$2:$J$251,survey_frozen!$P$2:$P$251,$A212&amp;"|"&amp;$B212),IFERROR(COUNTIFS(INDIRECT("'"&amp;$A212&amp;"'!$B$2:$B$501"),$T212,INDIRECT("'"&amp;$A212&amp;"'!$A$2:$A$501"),"&gt;="&amp;$I212,INDIRECT("'"&amp;$A212&amp;"'!$A$2:$A$501"),"&lt;"&amp;($BA212+1),INDIRECT("'"&amp;$A212&amp;"'!$E$2:$E$501"),"Yes"),0)))</f>
        <v/>
      </c>
      <c r="AW212" s="25">
        <f>IF(OR($A212="",$I212=""),"",IF($BC212="Y",SUMIFS(survey_frozen!$K$2:$K$251,survey_frozen!$P$2:$P$251,$A212&amp;"|"&amp;$B212),IFERROR(COUNTIFS(INDIRECT("'"&amp;$A212&amp;"'!$B$2:$B$501"),$T212,INDIRECT("'"&amp;$A212&amp;"'!$A$2:$A$501"),"&gt;="&amp;$I212,INDIRECT("'"&amp;$A212&amp;"'!$A$2:$A$501"),"&lt;"&amp;($BA212+1),INDIRECT("'"&amp;$A212&amp;"'!$E$2:$E$501"),"Maybe"),0)))</f>
        <v/>
      </c>
      <c r="AX212" s="25">
        <f>IF(OR($A212="",$I212=""),"",IF($BC212="Y",SUMIFS(survey_frozen!$L$2:$L$251,survey_frozen!$P$2:$P$251,$A212&amp;"|"&amp;$B212),IFERROR(COUNTIFS(INDIRECT("'"&amp;$A212&amp;"'!$B$2:$B$501"),$T212,INDIRECT("'"&amp;$A212&amp;"'!$A$2:$A$501"),"&gt;="&amp;$I212,INDIRECT("'"&amp;$A212&amp;"'!$A$2:$A$501"),"&lt;"&amp;($BA212+1),INDIRECT("'"&amp;$A212&amp;"'!$E$2:$E$501"),"No"),0)))</f>
        <v/>
      </c>
      <c r="AY212" s="25">
        <f>IF(OR($A212="",$I212=""),"",IF($BC212="Y",SUMIFS(survey_frozen!$M$2:$M$251,survey_frozen!$P$2:$P$251,$A212&amp;"|"&amp;$B212),IFERROR(COUNTIFS(INDIRECT("'"&amp;$A212&amp;"'!$B$2:$B$501"),$T212,INDIRECT("'"&amp;$A212&amp;"'!$A$2:$A$501"),"&gt;="&amp;$I212,INDIRECT("'"&amp;$A212&amp;"'!$A$2:$A$501"),"&lt;"&amp;($BA212+1),INDIRECT("'"&amp;$A212&amp;"'!$G$2:$G$501"),"&lt;&gt;"),0)))</f>
        <v/>
      </c>
      <c r="AZ212" s="25">
        <f>IF($A212="","",$A212&amp;"|"&amp;$L212)</f>
        <v/>
      </c>
      <c r="BA212" s="26">
        <f>IF($A212="","",IFERROR(IF(INDEX(drops!$R$2:$R$21,MATCH($H212,drops!$A$2:$A$21,0))="","",INDEX(drops!$R$2:$R$21,MATCH($H212,drops!$A$2:$A$21,0))),""))</f>
        <v/>
      </c>
      <c r="BB212" s="25">
        <f>IF(OR($A212="",$Q212&lt;&gt;"Y"),1000000,N($AL212))</f>
        <v/>
      </c>
      <c r="BC212" s="25">
        <f>IF($A212="","",IF(COUNTIF(survey_frozen!$P$2:$P$251,$A212&amp;"|"&amp;$B212)&gt;0,"Y",""))</f>
        <v/>
      </c>
    </row>
    <row r="213">
      <c r="C213" s="9" t="n"/>
      <c r="E213" s="9" t="n"/>
      <c r="H213" s="25">
        <f>IF($A213="","",IFERROR(IF(INDEX(campaigns!$B$2:$B$51,MATCH($A213,campaigns!$A$2:$A$51,0))="","",INDEX(campaigns!$B$2:$B$51,MATCH($A213,campaigns!$A$2:$A$51,0))),""))</f>
        <v/>
      </c>
      <c r="I213" s="26">
        <f>IF($A213="","",IFERROR(IF(INDEX(campaigns!$BG$2:$BG$51,MATCH($A213,campaigns!$A$2:$A$51,0))="","",INDEX(campaigns!$BG$2:$BG$51,MATCH($A213,campaigns!$A$2:$A$51,0))),""))</f>
        <v/>
      </c>
      <c r="J213" s="25">
        <f>IF($A213="","",IFERROR(IF(INDEX(campaigns!$BE$2:$BE$51,MATCH($A213,campaigns!$A$2:$A$51,0))="","",INDEX(campaigns!$BE$2:$BE$51,MATCH($A213,campaigns!$A$2:$A$51,0))),""))</f>
        <v/>
      </c>
      <c r="K213" s="25">
        <f>IF($B213="","",IFERROR(IF(INDEX(offices!$N$2:$N$61,MATCH($B213,offices!$A$2:$A$61,0))="","",INDEX(offices!$N$2:$N$61,MATCH($B213,offices!$A$2:$A$61,0))),""))</f>
        <v/>
      </c>
      <c r="L213" s="25">
        <f>IF($A213="","",IF($Q213="N","",COUNTIFS($A$2:$A213,$A213,$Q$2:$Q213,"&lt;&gt;N")))</f>
        <v/>
      </c>
      <c r="M213" s="25">
        <f>IF(OR($A213="",$L213=""),"",IF(AND(config!$B$34="names_if_public",IFERROR(IF(INDEX(offices!$AF$2:$AF$61,MATCH($B213,offices!$A$2:$A$61,0))="","",INDEX(offices!$AF$2:$AF$61,MATCH($B213,offices!$A$2:$A$61,0))),"")="Y"),$K213,CHAR(64+$L213)))</f>
        <v/>
      </c>
      <c r="N213" s="25">
        <f>IF(OR($A213="",$I213=""),"",COUNTIFS(stops!$B$2:$B$151,$B213,stops!$P$2:$P$151,"&lt;"&amp;$I213,stops!$L$2:$L$151,"&lt;&gt;not_delivered")+1)</f>
        <v/>
      </c>
      <c r="O213" s="25">
        <f>IF($A213="","",IF(N($N213)&lt;=config!$B$29,"explicit","opt-out"))</f>
        <v/>
      </c>
      <c r="P213" s="25">
        <f>IF($A213="","",IF($O213="explicit",IF($D213="yes","Y",IF($D213="no","N","pending")),IF($D213="no","N",IF(AND($C213&lt;&gt;"",$I213&lt;&gt;"",$C213&lt;=WORKDAY(N($I213),-5,calendar!$A$2:$A$80)),"Y","pending"))))</f>
        <v/>
      </c>
      <c r="Q213" s="25">
        <f>IF($A213="","",IF($P213="N","N",IF($P213&lt;&gt;"Y","pending",IF(AND((COUNTIFS(stops!$A$2:$A$151,$H213,stops!$B$2:$B$151,$B213,stops!$L$2:$L$151,"declined")+COUNTIFS(stops!$A$2:$A$151,$H213,stops!$B$2:$B$151,$B213,stops!$L$2:$L$151,"building_refused")+COUNTIFS(stops!$A$2:$A$151,$H213,stops!$B$2:$B$151,$B213,stops!$L$2:$L$151,"not_delivered"))&gt;0,N($U213)=0),"N","Y"))))</f>
        <v/>
      </c>
      <c r="R213" s="25">
        <f>IF($A213="","",IF(COUNTIFS($A$2:$A$251,$A213,$B$2:$B$251,$B213)&gt;1,"DUPLICATE ROW; ","")&amp;IF(AND(IFERROR(IF(INDEX(offices!$AC$2:$AC$61,MATCH($B213,offices!$A$2:$A$61,0))="","",INDEX(offices!$AC$2:$AC$61,MATCH($B213,offices!$A$2:$A$61,0))),"")&lt;&gt;"",ISNUMBER(SEARCH($J213,IFERROR(IF(INDEX(offices!$AC$2:$AC$61,MATCH($B213,offices!$A$2:$A$61,0))="","",INDEX(offices!$AC$2:$AC$61,MATCH($B213,offices!$A$2:$A$61,0))),"")))),"BRAND VETOED; ","")&amp;IF(ISNUMBER(SEARCH(IFERROR(IF(INDEX(campaigns!$BF$2:$BF$51,MATCH($A213,campaigns!$A$2:$A$51,0))="","",INDEX(campaigns!$BF$2:$BF$51,MATCH($A213,campaigns!$A$2:$A$51,0))),""),IFERROR(IF(INDEX(offices!$AB$2:$AB$61,MATCH($B213,offices!$A$2:$A$61,0))="","",INDEX(offices!$AB$2:$AB$61,MATCH($B213,offices!$A$2:$A$61,0))),""))),"","info: category not on the office's list; ")&amp;IF(IFERROR(IF(INDEX(offices!$AC$2:$AC$61,MATCH($B213,offices!$A$2:$A$61,0))="","",INDEX(offices!$AC$2:$AC$61,MATCH($B213,offices!$A$2:$A$61,0))),"")&lt;&gt;"","info: read the vetoes against the label; ",""))</f>
        <v/>
      </c>
      <c r="S213" s="25">
        <f>IF($A213="","",IF($G213&lt;&gt;"",$G213,IFERROR(IF(INDEX(offices!$AL$2:$AL$61,MATCH($B213,offices!$A$2:$A$61,0))="","",INDEX(offices!$AL$2:$AL$61,MATCH($B213,offices!$A$2:$A$61,0))),"")))</f>
        <v/>
      </c>
      <c r="T213" s="25">
        <f>IF($A213="","",$A213&amp;"."&amp;$B213)</f>
        <v/>
      </c>
      <c r="U213" s="25">
        <f>IF($A213="","",SUMIFS(inventory!$G$2:$G$801,inventory!$C$2:$C$801,$A213,inventory!$D$2:$D$801,$B213,inventory!$E$2:$E$801,"delivered"))</f>
        <v/>
      </c>
      <c r="V213" s="32">
        <f>IF($A213="","",IFERROR(1/(1/SUMPRODUCT(MAX((inventory!$C$2:$C$801=$A213)*(inventory!$D$2:$D$801=$B213)*(inventory!$E$2:$E$801="delivered")*(inventory!$A$2:$A$801+inventory!$B$2:$B$801)))),""))</f>
        <v/>
      </c>
      <c r="W213" s="25">
        <f>IF($A213="","",IFERROR(IF(INDEX(inventory!$J$2:$J$801,MATCH($A213&amp;"|"&amp;$B213&amp;"|delivered",inventory!$R$2:$R$801,0))="","",INDEX(inventory!$J$2:$J$801,MATCH($A213&amp;"|"&amp;$B213&amp;"|delivered",inventory!$R$2:$R$801,0))),""))</f>
        <v/>
      </c>
      <c r="X213" s="25">
        <f>IF($A213="","",IFERROR(IF(INDEX(photos!$H$2:$H$701,MATCH($A213&amp;"|"&amp;$B213&amp;"|placement|Y",photos!$R$2:$R$701,0))="","",INDEX(photos!$H$2:$H$701,MATCH($A213&amp;"|"&amp;$B213&amp;"|placement|Y",photos!$R$2:$R$701,0))),""))</f>
        <v/>
      </c>
      <c r="Y213" s="26">
        <f>IF($A213="","",IFERROR(IF(INDEX(photos!$E$2:$E$701,MATCH($A213&amp;"|"&amp;$B213&amp;"|placement|Y",photos!$R$2:$R$701,0))="","",INDEX(photos!$E$2:$E$701,MATCH($A213&amp;"|"&amp;$B213&amp;"|placement|Y",photos!$R$2:$R$701,0))),""))</f>
        <v/>
      </c>
      <c r="Z213" s="25">
        <f>IF($A213="","",IF(COUNTIFS(counts!$C$2:$C$701,$A213,counts!$D$2:$D$701,$B213,counts!$E$2:$E$701,"placed")=0,"",SUMIFS(counts!$F$2:$F$701,counts!$C$2:$C$701,$A213,counts!$D$2:$D$701,$B213,counts!$E$2:$E$701,"placed")))</f>
        <v/>
      </c>
      <c r="AA213" s="25">
        <f>IF($A213="","",IF($Y213="",0,N($Z213)))</f>
        <v/>
      </c>
      <c r="AB213" s="25">
        <f>IF($A213="","",IF(OR($Y213="",$I213=""),"N",IF($Y213&lt;=WORKDAY(N($I213),1,calendar!$A$2:$A$80),"Y","N")))</f>
        <v/>
      </c>
      <c r="AC213" s="28">
        <f>IF(OR($A213="",$V213="",$Y213=""),"",ROUND(($Y213+N(IFERROR(IF(INDEX(photos!$F$2:$F$701,MATCH($A213&amp;"|"&amp;$B213&amp;"|placement|Y",photos!$R$2:$R$701,0))="","",INDEX(photos!$F$2:$F$701,MATCH($A213&amp;"|"&amp;$B213&amp;"|placement|Y",photos!$R$2:$R$701,0))),""))-$V213)*24,1))</f>
        <v/>
      </c>
      <c r="AD213" s="25">
        <f>IF($A213="","",SUMIFS(inventory!$G$2:$G$801,inventory!$C$2:$C$801,$A213,inventory!$D$2:$D$801,$B213,inventory!$E$2:$E$801,"topped_up"))</f>
        <v/>
      </c>
      <c r="AE213" s="25">
        <f>IF($A213="","",IF(COUNTIFS(counts!$C$2:$C$701,$A213,counts!$D$2:$D$701,$B213,counts!$E$2:$E$701,"remaining_day3")=0,"",SUMIFS(counts!$F$2:$F$701,counts!$C$2:$C$701,$A213,counts!$D$2:$D$701,$B213,counts!$E$2:$E$701,"remaining_day3")))</f>
        <v/>
      </c>
      <c r="AF213" s="25">
        <f>IF($A213="","",IF(COUNTIFS(counts!$C$2:$C$701,$A213,counts!$D$2:$D$701,$B213,counts!$E$2:$E$701,"remaining_day5")=0,"",SUMIFS(counts!$F$2:$F$701,counts!$C$2:$C$701,$A213,counts!$D$2:$D$701,$B213,counts!$E$2:$E$701,"remaining_day5")))</f>
        <v/>
      </c>
      <c r="AG213" s="25">
        <f>IF(OR($A213="",$AF213=""),"",MAX(0,$AA213+$AD213-$AF213))</f>
        <v/>
      </c>
      <c r="AH213" s="25">
        <f>IF(OR($A213="",$AI213=""),"",IFERROR(IF(INDEX(photos!$H$2:$H$701,MATCH($A213&amp;"|"&amp;$B213&amp;"|later|Y|"&amp;$AI213,photos!$S$2:$S$701,0))="","",INDEX(photos!$H$2:$H$701,MATCH($A213&amp;"|"&amp;$B213&amp;"|later|Y|"&amp;$AI213,photos!$S$2:$S$701,0))),""))</f>
        <v/>
      </c>
      <c r="AI213" s="26">
        <f>IF($A213="","",IFERROR(1/(1/SUMPRODUCT(MAX((photos!$B$2:$B$701=$A213)*(photos!$C$2:$C$701=$B213)*(photos!$D$2:$D$701="later")*(photos!$O$2:$O$701="Y")*photos!$E$2:$E$701))),""))</f>
        <v/>
      </c>
      <c r="AJ213" s="25">
        <f>IF(OR($A213="",$AI213="",$I213=""),"",NETWORKDAYS($I213,$AI213,calendar!$A$2:$A$80))</f>
        <v/>
      </c>
      <c r="AK213" s="25">
        <f>IF($A213="","",IF(AND($X213&lt;&gt;"",$AH213&lt;&gt;""),"Y","N"))</f>
        <v/>
      </c>
      <c r="AL213" s="25">
        <f>IF(OR($A213="",$I213=""),"",IF($BC213="Y",SUMIFS(survey_frozen!$C$2:$C$251,survey_frozen!$P$2:$P$251,$A213&amp;"|"&amp;$B213),IFERROR(COUNTIFS(INDIRECT("'"&amp;$A213&amp;"'!$B$2:$B$501"),$T213,INDIRECT("'"&amp;$A213&amp;"'!$A$2:$A$501"),"&gt;="&amp;$I213,INDIRECT("'"&amp;$A213&amp;"'!$A$2:$A$501"),"&lt;"&amp;($BA213+1)),0)))</f>
        <v/>
      </c>
      <c r="AM213" s="25">
        <f>IF(OR($A213="",$I213=""),"",IF($BC213="Y",SUMIFS(survey_frozen!$D$2:$D$251,survey_frozen!$P$2:$P$251,$A213&amp;"|"&amp;$B213),IFERROR(COUNTIFS(INDIRECT("'"&amp;$A213&amp;"'!$B$2:$B$501"),$T213,INDIRECT("'"&amp;$A213&amp;"'!$A$2:$A$501"),"&gt;="&amp;$I213,INDIRECT("'"&amp;$A213&amp;"'!$A$2:$A$501"),"&lt;"&amp;($BA213+1),INDIRECT("'"&amp;$A213&amp;"'!$C$2:$C$501"),"Yes"),0)))</f>
        <v/>
      </c>
      <c r="AN213" s="25">
        <f>IF($A213="","",IF(COUNTIFS(scans!$C$2:$C$1601,(IF(LEFT($A213,7)="SAMPLE-","SAMPLE-","")&amp;LOWER(SUBSTITUTE(SUBSTITUTE($A213,"SAMPLE-",""),"CMP-","c"))&amp;"-"&amp;LOWER(SUBSTITUTE(SUBSTITUTE($B213,"SAMPLE-",""),"O-","o"))&amp;"-q"),scans!$D$2:$D$1601,"close")=0,"",SUMPRODUCT(MAX((scans!$C$2:$C$1601=(IF(LEFT($A213,7)="SAMPLE-","SAMPLE-","")&amp;LOWER(SUBSTITUTE(SUBSTITUTE($A213,"SAMPLE-",""),"CMP-","c"))&amp;"-"&amp;LOWER(SUBSTITUTE(SUBSTITUTE($B213,"SAMPLE-",""),"O-","o"))&amp;"-q"))*(scans!$D$2:$D$1601="close")*scans!$E$2:$E$1601))-SUMPRODUCT(MAX((scans!$C$2:$C$1601=(IF(LEFT($A213,7)="SAMPLE-","SAMPLE-","")&amp;LOWER(SUBSTITUTE(SUBSTITUTE($A213,"SAMPLE-",""),"CMP-","c"))&amp;"-"&amp;LOWER(SUBSTITUTE(SUBSTITUTE($B213,"SAMPLE-",""),"O-","o"))&amp;"-q"))*(scans!$D$2:$D$1601="baseline")*scans!$E$2:$E$1601))))</f>
        <v/>
      </c>
      <c r="AO213" s="25">
        <f>IF($A213="","",IF(COUNTIFS(scans!$C$2:$C$1601,(IF(LEFT($A213,7)="SAMPLE-","SAMPLE-","")&amp;LOWER(SUBSTITUTE(SUBSTITUTE($A213,"SAMPLE-",""),"CMP-","c"))&amp;"-"&amp;LOWER(SUBSTITUTE(SUBSTITUTE($B213,"SAMPLE-",""),"O-","o"))&amp;"-p"),scans!$D$2:$D$1601,"close")=0,"",SUMPRODUCT(MAX((scans!$C$2:$C$1601=(IF(LEFT($A213,7)="SAMPLE-","SAMPLE-","")&amp;LOWER(SUBSTITUTE(SUBSTITUTE($A213,"SAMPLE-",""),"CMP-","c"))&amp;"-"&amp;LOWER(SUBSTITUTE(SUBSTITUTE($B213,"SAMPLE-",""),"O-","o"))&amp;"-p"))*(scans!$D$2:$D$1601="close")*scans!$E$2:$E$1601))-SUMPRODUCT(MAX((scans!$C$2:$C$1601=(IF(LEFT($A213,7)="SAMPLE-","SAMPLE-","")&amp;LOWER(SUBSTITUTE(SUBSTITUTE($A213,"SAMPLE-",""),"CMP-","c"))&amp;"-"&amp;LOWER(SUBSTITUTE(SUBSTITUTE($B213,"SAMPLE-",""),"O-","o"))&amp;"-p"))*(scans!$D$2:$D$1601="baseline")*scans!$E$2:$E$1601))))</f>
        <v/>
      </c>
      <c r="AP213" s="25">
        <f>IF($A213="","",IF(COUNTIF(offices!$A$2:$A$61,$B213)=0,"office_id not on offices; ","")&amp;IF(COUNTIF(campaigns!$A$2:$A$51,$A213)=0,"campaign_id not on campaigns; ","")&amp;IF($P213="pending","approval pending; ","")&amp;IF(AND($U213&gt;0,$Y213="",OR($I213="",IF(config!$B$37&lt;&gt;"",config!$B$37,TODAY())&lt;=WORKDAY(N($I213),4,calendar!$A$2:$A$80))),"no usable placement photo yet; ","")&amp;IF(AND($Y213&lt;&gt;"",$Z213=""),"log the placed count; ","")&amp;IF(N($AA213)&gt;N($U213),"placed more than delivered; ","")&amp;IF(AND($AF213&lt;&gt;"",N($AF213)&gt;N($AA213)+N($AD213)),"day-5 count above placed plus top-ups; ","")&amp;IF(AND($U213&gt;0,$I213&lt;&gt;"",IF(config!$B$37&lt;&gt;"",config!$B$37,TODAY())&gt;WORKDAY(N($I213),4,calendar!$A$2:$A$80),$AF213=""),"day-5 count missing; ","")&amp;IF(AND($U213&gt;0,$I213&lt;&gt;"",IF(config!$B$37&lt;&gt;"",config!$B$37,TODAY())&gt;WORKDAY(N($I213),4,calendar!$A$2:$A$80),$AN213=""),"no close link reading; ","")&amp;$R213&amp;IF($P213="N","info: office said no; ","")&amp;IF(AND($P213="Y",$Q213="N"),"info: turned away at the door, so not on the drop (no letter, not in the report or Gate 2; the credit check is on campaigns); ","")&amp;IF(AND($U213&gt;0,$Y213="",$I213&lt;&gt;"",IF(config!$B$37&lt;&gt;"",config!$B$37,TODAY())&gt;WORKDAY(N($I213),4,calendar!$A$2:$A$80)),"info: no usable placement photo, so nothing counts as placed; ","")&amp;IF(AND($U213&gt;0,$I213&lt;&gt;"",IF(config!$B$37&lt;&gt;"",config!$B$37,TODAY())&gt;WORKDAY(N($I213),4,calendar!$A$2:$A$80),N($AL213)&lt;config!$B$30),"info: under "&amp;config!$B$30&amp;" responses; ","")&amp;IF($W213="packing_list","info: delivered count not verified; ",""))</f>
        <v/>
      </c>
      <c r="AQ213" s="25">
        <f>IF(OR($A213="",$I213=""),"",IF($BC213="Y",SUMIFS(survey_frozen!$E$2:$E$251,survey_frozen!$P$2:$P$251,$A213&amp;"|"&amp;$B213),IFERROR(COUNTIFS(INDIRECT("'"&amp;$A213&amp;"'!$B$2:$B$501"),$T213,INDIRECT("'"&amp;$A213&amp;"'!$A$2:$A$501"),"&gt;="&amp;$I213,INDIRECT("'"&amp;$A213&amp;"'!$A$2:$A$501"),"&lt;"&amp;($BA213+1),INDIRECT("'"&amp;$A213&amp;"'!$F$2:$F$501"),"Didn't see it"),0)))</f>
        <v/>
      </c>
      <c r="AR213" s="25">
        <f>IF(OR($A213="",$I213=""),"",IF($BC213="Y",SUMIFS(survey_frozen!$F$2:$F$251,survey_frozen!$P$2:$P$251,$A213&amp;"|"&amp;$B213),IFERROR(COUNTIFS(INDIRECT("'"&amp;$A213&amp;"'!$B$2:$B$501"),$T213,INDIRECT("'"&amp;$A213&amp;"'!$A$2:$A$501"),"&gt;="&amp;$I213,INDIRECT("'"&amp;$A213&amp;"'!$A$2:$A$501"),"&lt;"&amp;($BA213+1),INDIRECT("'"&amp;$A213&amp;"'!$F$2:$F$501"),"Not for me"),0)))</f>
        <v/>
      </c>
      <c r="AS213" s="25">
        <f>IF(OR($A213="",$I213=""),"",IF($BC213="Y",SUMIFS(survey_frozen!$G$2:$G$251,survey_frozen!$P$2:$P$251,$A213&amp;"|"&amp;$B213),IFERROR(COUNTIFS(INDIRECT("'"&amp;$A213&amp;"'!$B$2:$B$501"),$T213,INDIRECT("'"&amp;$A213&amp;"'!$A$2:$A$501"),"&gt;="&amp;$I213,INDIRECT("'"&amp;$A213&amp;"'!$A$2:$A$501"),"&lt;"&amp;($BA213+1),INDIRECT("'"&amp;$A213&amp;"'!$F$2:$F$501"),"Gone by the time I looked"),0)))</f>
        <v/>
      </c>
      <c r="AT213" s="25">
        <f>IF(OR($A213="",$I213=""),"",IF($BC213="Y",SUMIFS(survey_frozen!$H$2:$H$251,survey_frozen!$P$2:$P$251,$A213&amp;"|"&amp;$B213),IFERROR(COUNTIFS(INDIRECT("'"&amp;$A213&amp;"'!$B$2:$B$501"),$T213,INDIRECT("'"&amp;$A213&amp;"'!$A$2:$A$501"),"&gt;="&amp;$I213,INDIRECT("'"&amp;$A213&amp;"'!$A$2:$A$501"),"&lt;"&amp;($BA213+1),INDIRECT("'"&amp;$A213&amp;"'!$D$2:$D$501"),"&gt;=1"),0)))</f>
        <v/>
      </c>
      <c r="AU213" s="25">
        <f>IF(OR($A213="",$I213=""),"",IF($BC213="Y",SUMIFS(survey_frozen!$I$2:$I$251,survey_frozen!$P$2:$P$251,$A213&amp;"|"&amp;$B213),IFERROR(SUMIFS(INDIRECT("'"&amp;$A213&amp;"'!$D$2:$D$501"),INDIRECT("'"&amp;$A213&amp;"'!$B$2:$B$501"),$T213,INDIRECT("'"&amp;$A213&amp;"'!$A$2:$A$501"),"&gt;="&amp;$I213,INDIRECT("'"&amp;$A213&amp;"'!$A$2:$A$501"),"&lt;"&amp;($BA213+1)),0)))</f>
        <v/>
      </c>
      <c r="AV213" s="25">
        <f>IF(OR($A213="",$I213=""),"",IF($BC213="Y",SUMIFS(survey_frozen!$J$2:$J$251,survey_frozen!$P$2:$P$251,$A213&amp;"|"&amp;$B213),IFERROR(COUNTIFS(INDIRECT("'"&amp;$A213&amp;"'!$B$2:$B$501"),$T213,INDIRECT("'"&amp;$A213&amp;"'!$A$2:$A$501"),"&gt;="&amp;$I213,INDIRECT("'"&amp;$A213&amp;"'!$A$2:$A$501"),"&lt;"&amp;($BA213+1),INDIRECT("'"&amp;$A213&amp;"'!$E$2:$E$501"),"Yes"),0)))</f>
        <v/>
      </c>
      <c r="AW213" s="25">
        <f>IF(OR($A213="",$I213=""),"",IF($BC213="Y",SUMIFS(survey_frozen!$K$2:$K$251,survey_frozen!$P$2:$P$251,$A213&amp;"|"&amp;$B213),IFERROR(COUNTIFS(INDIRECT("'"&amp;$A213&amp;"'!$B$2:$B$501"),$T213,INDIRECT("'"&amp;$A213&amp;"'!$A$2:$A$501"),"&gt;="&amp;$I213,INDIRECT("'"&amp;$A213&amp;"'!$A$2:$A$501"),"&lt;"&amp;($BA213+1),INDIRECT("'"&amp;$A213&amp;"'!$E$2:$E$501"),"Maybe"),0)))</f>
        <v/>
      </c>
      <c r="AX213" s="25">
        <f>IF(OR($A213="",$I213=""),"",IF($BC213="Y",SUMIFS(survey_frozen!$L$2:$L$251,survey_frozen!$P$2:$P$251,$A213&amp;"|"&amp;$B213),IFERROR(COUNTIFS(INDIRECT("'"&amp;$A213&amp;"'!$B$2:$B$501"),$T213,INDIRECT("'"&amp;$A213&amp;"'!$A$2:$A$501"),"&gt;="&amp;$I213,INDIRECT("'"&amp;$A213&amp;"'!$A$2:$A$501"),"&lt;"&amp;($BA213+1),INDIRECT("'"&amp;$A213&amp;"'!$E$2:$E$501"),"No"),0)))</f>
        <v/>
      </c>
      <c r="AY213" s="25">
        <f>IF(OR($A213="",$I213=""),"",IF($BC213="Y",SUMIFS(survey_frozen!$M$2:$M$251,survey_frozen!$P$2:$P$251,$A213&amp;"|"&amp;$B213),IFERROR(COUNTIFS(INDIRECT("'"&amp;$A213&amp;"'!$B$2:$B$501"),$T213,INDIRECT("'"&amp;$A213&amp;"'!$A$2:$A$501"),"&gt;="&amp;$I213,INDIRECT("'"&amp;$A213&amp;"'!$A$2:$A$501"),"&lt;"&amp;($BA213+1),INDIRECT("'"&amp;$A213&amp;"'!$G$2:$G$501"),"&lt;&gt;"),0)))</f>
        <v/>
      </c>
      <c r="AZ213" s="25">
        <f>IF($A213="","",$A213&amp;"|"&amp;$L213)</f>
        <v/>
      </c>
      <c r="BA213" s="26">
        <f>IF($A213="","",IFERROR(IF(INDEX(drops!$R$2:$R$21,MATCH($H213,drops!$A$2:$A$21,0))="","",INDEX(drops!$R$2:$R$21,MATCH($H213,drops!$A$2:$A$21,0))),""))</f>
        <v/>
      </c>
      <c r="BB213" s="25">
        <f>IF(OR($A213="",$Q213&lt;&gt;"Y"),1000000,N($AL213))</f>
        <v/>
      </c>
      <c r="BC213" s="25">
        <f>IF($A213="","",IF(COUNTIF(survey_frozen!$P$2:$P$251,$A213&amp;"|"&amp;$B213)&gt;0,"Y",""))</f>
        <v/>
      </c>
    </row>
    <row r="214">
      <c r="C214" s="9" t="n"/>
      <c r="E214" s="9" t="n"/>
      <c r="H214" s="25">
        <f>IF($A214="","",IFERROR(IF(INDEX(campaigns!$B$2:$B$51,MATCH($A214,campaigns!$A$2:$A$51,0))="","",INDEX(campaigns!$B$2:$B$51,MATCH($A214,campaigns!$A$2:$A$51,0))),""))</f>
        <v/>
      </c>
      <c r="I214" s="26">
        <f>IF($A214="","",IFERROR(IF(INDEX(campaigns!$BG$2:$BG$51,MATCH($A214,campaigns!$A$2:$A$51,0))="","",INDEX(campaigns!$BG$2:$BG$51,MATCH($A214,campaigns!$A$2:$A$51,0))),""))</f>
        <v/>
      </c>
      <c r="J214" s="25">
        <f>IF($A214="","",IFERROR(IF(INDEX(campaigns!$BE$2:$BE$51,MATCH($A214,campaigns!$A$2:$A$51,0))="","",INDEX(campaigns!$BE$2:$BE$51,MATCH($A214,campaigns!$A$2:$A$51,0))),""))</f>
        <v/>
      </c>
      <c r="K214" s="25">
        <f>IF($B214="","",IFERROR(IF(INDEX(offices!$N$2:$N$61,MATCH($B214,offices!$A$2:$A$61,0))="","",INDEX(offices!$N$2:$N$61,MATCH($B214,offices!$A$2:$A$61,0))),""))</f>
        <v/>
      </c>
      <c r="L214" s="25">
        <f>IF($A214="","",IF($Q214="N","",COUNTIFS($A$2:$A214,$A214,$Q$2:$Q214,"&lt;&gt;N")))</f>
        <v/>
      </c>
      <c r="M214" s="25">
        <f>IF(OR($A214="",$L214=""),"",IF(AND(config!$B$34="names_if_public",IFERROR(IF(INDEX(offices!$AF$2:$AF$61,MATCH($B214,offices!$A$2:$A$61,0))="","",INDEX(offices!$AF$2:$AF$61,MATCH($B214,offices!$A$2:$A$61,0))),"")="Y"),$K214,CHAR(64+$L214)))</f>
        <v/>
      </c>
      <c r="N214" s="25">
        <f>IF(OR($A214="",$I214=""),"",COUNTIFS(stops!$B$2:$B$151,$B214,stops!$P$2:$P$151,"&lt;"&amp;$I214,stops!$L$2:$L$151,"&lt;&gt;not_delivered")+1)</f>
        <v/>
      </c>
      <c r="O214" s="25">
        <f>IF($A214="","",IF(N($N214)&lt;=config!$B$29,"explicit","opt-out"))</f>
        <v/>
      </c>
      <c r="P214" s="25">
        <f>IF($A214="","",IF($O214="explicit",IF($D214="yes","Y",IF($D214="no","N","pending")),IF($D214="no","N",IF(AND($C214&lt;&gt;"",$I214&lt;&gt;"",$C214&lt;=WORKDAY(N($I214),-5,calendar!$A$2:$A$80)),"Y","pending"))))</f>
        <v/>
      </c>
      <c r="Q214" s="25">
        <f>IF($A214="","",IF($P214="N","N",IF($P214&lt;&gt;"Y","pending",IF(AND((COUNTIFS(stops!$A$2:$A$151,$H214,stops!$B$2:$B$151,$B214,stops!$L$2:$L$151,"declined")+COUNTIFS(stops!$A$2:$A$151,$H214,stops!$B$2:$B$151,$B214,stops!$L$2:$L$151,"building_refused")+COUNTIFS(stops!$A$2:$A$151,$H214,stops!$B$2:$B$151,$B214,stops!$L$2:$L$151,"not_delivered"))&gt;0,N($U214)=0),"N","Y"))))</f>
        <v/>
      </c>
      <c r="R214" s="25">
        <f>IF($A214="","",IF(COUNTIFS($A$2:$A$251,$A214,$B$2:$B$251,$B214)&gt;1,"DUPLICATE ROW; ","")&amp;IF(AND(IFERROR(IF(INDEX(offices!$AC$2:$AC$61,MATCH($B214,offices!$A$2:$A$61,0))="","",INDEX(offices!$AC$2:$AC$61,MATCH($B214,offices!$A$2:$A$61,0))),"")&lt;&gt;"",ISNUMBER(SEARCH($J214,IFERROR(IF(INDEX(offices!$AC$2:$AC$61,MATCH($B214,offices!$A$2:$A$61,0))="","",INDEX(offices!$AC$2:$AC$61,MATCH($B214,offices!$A$2:$A$61,0))),"")))),"BRAND VETOED; ","")&amp;IF(ISNUMBER(SEARCH(IFERROR(IF(INDEX(campaigns!$BF$2:$BF$51,MATCH($A214,campaigns!$A$2:$A$51,0))="","",INDEX(campaigns!$BF$2:$BF$51,MATCH($A214,campaigns!$A$2:$A$51,0))),""),IFERROR(IF(INDEX(offices!$AB$2:$AB$61,MATCH($B214,offices!$A$2:$A$61,0))="","",INDEX(offices!$AB$2:$AB$61,MATCH($B214,offices!$A$2:$A$61,0))),""))),"","info: category not on the office's list; ")&amp;IF(IFERROR(IF(INDEX(offices!$AC$2:$AC$61,MATCH($B214,offices!$A$2:$A$61,0))="","",INDEX(offices!$AC$2:$AC$61,MATCH($B214,offices!$A$2:$A$61,0))),"")&lt;&gt;"","info: read the vetoes against the label; ",""))</f>
        <v/>
      </c>
      <c r="S214" s="25">
        <f>IF($A214="","",IF($G214&lt;&gt;"",$G214,IFERROR(IF(INDEX(offices!$AL$2:$AL$61,MATCH($B214,offices!$A$2:$A$61,0))="","",INDEX(offices!$AL$2:$AL$61,MATCH($B214,offices!$A$2:$A$61,0))),"")))</f>
        <v/>
      </c>
      <c r="T214" s="25">
        <f>IF($A214="","",$A214&amp;"."&amp;$B214)</f>
        <v/>
      </c>
      <c r="U214" s="25">
        <f>IF($A214="","",SUMIFS(inventory!$G$2:$G$801,inventory!$C$2:$C$801,$A214,inventory!$D$2:$D$801,$B214,inventory!$E$2:$E$801,"delivered"))</f>
        <v/>
      </c>
      <c r="V214" s="32">
        <f>IF($A214="","",IFERROR(1/(1/SUMPRODUCT(MAX((inventory!$C$2:$C$801=$A214)*(inventory!$D$2:$D$801=$B214)*(inventory!$E$2:$E$801="delivered")*(inventory!$A$2:$A$801+inventory!$B$2:$B$801)))),""))</f>
        <v/>
      </c>
      <c r="W214" s="25">
        <f>IF($A214="","",IFERROR(IF(INDEX(inventory!$J$2:$J$801,MATCH($A214&amp;"|"&amp;$B214&amp;"|delivered",inventory!$R$2:$R$801,0))="","",INDEX(inventory!$J$2:$J$801,MATCH($A214&amp;"|"&amp;$B214&amp;"|delivered",inventory!$R$2:$R$801,0))),""))</f>
        <v/>
      </c>
      <c r="X214" s="25">
        <f>IF($A214="","",IFERROR(IF(INDEX(photos!$H$2:$H$701,MATCH($A214&amp;"|"&amp;$B214&amp;"|placement|Y",photos!$R$2:$R$701,0))="","",INDEX(photos!$H$2:$H$701,MATCH($A214&amp;"|"&amp;$B214&amp;"|placement|Y",photos!$R$2:$R$701,0))),""))</f>
        <v/>
      </c>
      <c r="Y214" s="26">
        <f>IF($A214="","",IFERROR(IF(INDEX(photos!$E$2:$E$701,MATCH($A214&amp;"|"&amp;$B214&amp;"|placement|Y",photos!$R$2:$R$701,0))="","",INDEX(photos!$E$2:$E$701,MATCH($A214&amp;"|"&amp;$B214&amp;"|placement|Y",photos!$R$2:$R$701,0))),""))</f>
        <v/>
      </c>
      <c r="Z214" s="25">
        <f>IF($A214="","",IF(COUNTIFS(counts!$C$2:$C$701,$A214,counts!$D$2:$D$701,$B214,counts!$E$2:$E$701,"placed")=0,"",SUMIFS(counts!$F$2:$F$701,counts!$C$2:$C$701,$A214,counts!$D$2:$D$701,$B214,counts!$E$2:$E$701,"placed")))</f>
        <v/>
      </c>
      <c r="AA214" s="25">
        <f>IF($A214="","",IF($Y214="",0,N($Z214)))</f>
        <v/>
      </c>
      <c r="AB214" s="25">
        <f>IF($A214="","",IF(OR($Y214="",$I214=""),"N",IF($Y214&lt;=WORKDAY(N($I214),1,calendar!$A$2:$A$80),"Y","N")))</f>
        <v/>
      </c>
      <c r="AC214" s="28">
        <f>IF(OR($A214="",$V214="",$Y214=""),"",ROUND(($Y214+N(IFERROR(IF(INDEX(photos!$F$2:$F$701,MATCH($A214&amp;"|"&amp;$B214&amp;"|placement|Y",photos!$R$2:$R$701,0))="","",INDEX(photos!$F$2:$F$701,MATCH($A214&amp;"|"&amp;$B214&amp;"|placement|Y",photos!$R$2:$R$701,0))),""))-$V214)*24,1))</f>
        <v/>
      </c>
      <c r="AD214" s="25">
        <f>IF($A214="","",SUMIFS(inventory!$G$2:$G$801,inventory!$C$2:$C$801,$A214,inventory!$D$2:$D$801,$B214,inventory!$E$2:$E$801,"topped_up"))</f>
        <v/>
      </c>
      <c r="AE214" s="25">
        <f>IF($A214="","",IF(COUNTIFS(counts!$C$2:$C$701,$A214,counts!$D$2:$D$701,$B214,counts!$E$2:$E$701,"remaining_day3")=0,"",SUMIFS(counts!$F$2:$F$701,counts!$C$2:$C$701,$A214,counts!$D$2:$D$701,$B214,counts!$E$2:$E$701,"remaining_day3")))</f>
        <v/>
      </c>
      <c r="AF214" s="25">
        <f>IF($A214="","",IF(COUNTIFS(counts!$C$2:$C$701,$A214,counts!$D$2:$D$701,$B214,counts!$E$2:$E$701,"remaining_day5")=0,"",SUMIFS(counts!$F$2:$F$701,counts!$C$2:$C$701,$A214,counts!$D$2:$D$701,$B214,counts!$E$2:$E$701,"remaining_day5")))</f>
        <v/>
      </c>
      <c r="AG214" s="25">
        <f>IF(OR($A214="",$AF214=""),"",MAX(0,$AA214+$AD214-$AF214))</f>
        <v/>
      </c>
      <c r="AH214" s="25">
        <f>IF(OR($A214="",$AI214=""),"",IFERROR(IF(INDEX(photos!$H$2:$H$701,MATCH($A214&amp;"|"&amp;$B214&amp;"|later|Y|"&amp;$AI214,photos!$S$2:$S$701,0))="","",INDEX(photos!$H$2:$H$701,MATCH($A214&amp;"|"&amp;$B214&amp;"|later|Y|"&amp;$AI214,photos!$S$2:$S$701,0))),""))</f>
        <v/>
      </c>
      <c r="AI214" s="26">
        <f>IF($A214="","",IFERROR(1/(1/SUMPRODUCT(MAX((photos!$B$2:$B$701=$A214)*(photos!$C$2:$C$701=$B214)*(photos!$D$2:$D$701="later")*(photos!$O$2:$O$701="Y")*photos!$E$2:$E$701))),""))</f>
        <v/>
      </c>
      <c r="AJ214" s="25">
        <f>IF(OR($A214="",$AI214="",$I214=""),"",NETWORKDAYS($I214,$AI214,calendar!$A$2:$A$80))</f>
        <v/>
      </c>
      <c r="AK214" s="25">
        <f>IF($A214="","",IF(AND($X214&lt;&gt;"",$AH214&lt;&gt;""),"Y","N"))</f>
        <v/>
      </c>
      <c r="AL214" s="25">
        <f>IF(OR($A214="",$I214=""),"",IF($BC214="Y",SUMIFS(survey_frozen!$C$2:$C$251,survey_frozen!$P$2:$P$251,$A214&amp;"|"&amp;$B214),IFERROR(COUNTIFS(INDIRECT("'"&amp;$A214&amp;"'!$B$2:$B$501"),$T214,INDIRECT("'"&amp;$A214&amp;"'!$A$2:$A$501"),"&gt;="&amp;$I214,INDIRECT("'"&amp;$A214&amp;"'!$A$2:$A$501"),"&lt;"&amp;($BA214+1)),0)))</f>
        <v/>
      </c>
      <c r="AM214" s="25">
        <f>IF(OR($A214="",$I214=""),"",IF($BC214="Y",SUMIFS(survey_frozen!$D$2:$D$251,survey_frozen!$P$2:$P$251,$A214&amp;"|"&amp;$B214),IFERROR(COUNTIFS(INDIRECT("'"&amp;$A214&amp;"'!$B$2:$B$501"),$T214,INDIRECT("'"&amp;$A214&amp;"'!$A$2:$A$501"),"&gt;="&amp;$I214,INDIRECT("'"&amp;$A214&amp;"'!$A$2:$A$501"),"&lt;"&amp;($BA214+1),INDIRECT("'"&amp;$A214&amp;"'!$C$2:$C$501"),"Yes"),0)))</f>
        <v/>
      </c>
      <c r="AN214" s="25">
        <f>IF($A214="","",IF(COUNTIFS(scans!$C$2:$C$1601,(IF(LEFT($A214,7)="SAMPLE-","SAMPLE-","")&amp;LOWER(SUBSTITUTE(SUBSTITUTE($A214,"SAMPLE-",""),"CMP-","c"))&amp;"-"&amp;LOWER(SUBSTITUTE(SUBSTITUTE($B214,"SAMPLE-",""),"O-","o"))&amp;"-q"),scans!$D$2:$D$1601,"close")=0,"",SUMPRODUCT(MAX((scans!$C$2:$C$1601=(IF(LEFT($A214,7)="SAMPLE-","SAMPLE-","")&amp;LOWER(SUBSTITUTE(SUBSTITUTE($A214,"SAMPLE-",""),"CMP-","c"))&amp;"-"&amp;LOWER(SUBSTITUTE(SUBSTITUTE($B214,"SAMPLE-",""),"O-","o"))&amp;"-q"))*(scans!$D$2:$D$1601="close")*scans!$E$2:$E$1601))-SUMPRODUCT(MAX((scans!$C$2:$C$1601=(IF(LEFT($A214,7)="SAMPLE-","SAMPLE-","")&amp;LOWER(SUBSTITUTE(SUBSTITUTE($A214,"SAMPLE-",""),"CMP-","c"))&amp;"-"&amp;LOWER(SUBSTITUTE(SUBSTITUTE($B214,"SAMPLE-",""),"O-","o"))&amp;"-q"))*(scans!$D$2:$D$1601="baseline")*scans!$E$2:$E$1601))))</f>
        <v/>
      </c>
      <c r="AO214" s="25">
        <f>IF($A214="","",IF(COUNTIFS(scans!$C$2:$C$1601,(IF(LEFT($A214,7)="SAMPLE-","SAMPLE-","")&amp;LOWER(SUBSTITUTE(SUBSTITUTE($A214,"SAMPLE-",""),"CMP-","c"))&amp;"-"&amp;LOWER(SUBSTITUTE(SUBSTITUTE($B214,"SAMPLE-",""),"O-","o"))&amp;"-p"),scans!$D$2:$D$1601,"close")=0,"",SUMPRODUCT(MAX((scans!$C$2:$C$1601=(IF(LEFT($A214,7)="SAMPLE-","SAMPLE-","")&amp;LOWER(SUBSTITUTE(SUBSTITUTE($A214,"SAMPLE-",""),"CMP-","c"))&amp;"-"&amp;LOWER(SUBSTITUTE(SUBSTITUTE($B214,"SAMPLE-",""),"O-","o"))&amp;"-p"))*(scans!$D$2:$D$1601="close")*scans!$E$2:$E$1601))-SUMPRODUCT(MAX((scans!$C$2:$C$1601=(IF(LEFT($A214,7)="SAMPLE-","SAMPLE-","")&amp;LOWER(SUBSTITUTE(SUBSTITUTE($A214,"SAMPLE-",""),"CMP-","c"))&amp;"-"&amp;LOWER(SUBSTITUTE(SUBSTITUTE($B214,"SAMPLE-",""),"O-","o"))&amp;"-p"))*(scans!$D$2:$D$1601="baseline")*scans!$E$2:$E$1601))))</f>
        <v/>
      </c>
      <c r="AP214" s="25">
        <f>IF($A214="","",IF(COUNTIF(offices!$A$2:$A$61,$B214)=0,"office_id not on offices; ","")&amp;IF(COUNTIF(campaigns!$A$2:$A$51,$A214)=0,"campaign_id not on campaigns; ","")&amp;IF($P214="pending","approval pending; ","")&amp;IF(AND($U214&gt;0,$Y214="",OR($I214="",IF(config!$B$37&lt;&gt;"",config!$B$37,TODAY())&lt;=WORKDAY(N($I214),4,calendar!$A$2:$A$80))),"no usable placement photo yet; ","")&amp;IF(AND($Y214&lt;&gt;"",$Z214=""),"log the placed count; ","")&amp;IF(N($AA214)&gt;N($U214),"placed more than delivered; ","")&amp;IF(AND($AF214&lt;&gt;"",N($AF214)&gt;N($AA214)+N($AD214)),"day-5 count above placed plus top-ups; ","")&amp;IF(AND($U214&gt;0,$I214&lt;&gt;"",IF(config!$B$37&lt;&gt;"",config!$B$37,TODAY())&gt;WORKDAY(N($I214),4,calendar!$A$2:$A$80),$AF214=""),"day-5 count missing; ","")&amp;IF(AND($U214&gt;0,$I214&lt;&gt;"",IF(config!$B$37&lt;&gt;"",config!$B$37,TODAY())&gt;WORKDAY(N($I214),4,calendar!$A$2:$A$80),$AN214=""),"no close link reading; ","")&amp;$R214&amp;IF($P214="N","info: office said no; ","")&amp;IF(AND($P214="Y",$Q214="N"),"info: turned away at the door, so not on the drop (no letter, not in the report or Gate 2; the credit check is on campaigns); ","")&amp;IF(AND($U214&gt;0,$Y214="",$I214&lt;&gt;"",IF(config!$B$37&lt;&gt;"",config!$B$37,TODAY())&gt;WORKDAY(N($I214),4,calendar!$A$2:$A$80)),"info: no usable placement photo, so nothing counts as placed; ","")&amp;IF(AND($U214&gt;0,$I214&lt;&gt;"",IF(config!$B$37&lt;&gt;"",config!$B$37,TODAY())&gt;WORKDAY(N($I214),4,calendar!$A$2:$A$80),N($AL214)&lt;config!$B$30),"info: under "&amp;config!$B$30&amp;" responses; ","")&amp;IF($W214="packing_list","info: delivered count not verified; ",""))</f>
        <v/>
      </c>
      <c r="AQ214" s="25">
        <f>IF(OR($A214="",$I214=""),"",IF($BC214="Y",SUMIFS(survey_frozen!$E$2:$E$251,survey_frozen!$P$2:$P$251,$A214&amp;"|"&amp;$B214),IFERROR(COUNTIFS(INDIRECT("'"&amp;$A214&amp;"'!$B$2:$B$501"),$T214,INDIRECT("'"&amp;$A214&amp;"'!$A$2:$A$501"),"&gt;="&amp;$I214,INDIRECT("'"&amp;$A214&amp;"'!$A$2:$A$501"),"&lt;"&amp;($BA214+1),INDIRECT("'"&amp;$A214&amp;"'!$F$2:$F$501"),"Didn't see it"),0)))</f>
        <v/>
      </c>
      <c r="AR214" s="25">
        <f>IF(OR($A214="",$I214=""),"",IF($BC214="Y",SUMIFS(survey_frozen!$F$2:$F$251,survey_frozen!$P$2:$P$251,$A214&amp;"|"&amp;$B214),IFERROR(COUNTIFS(INDIRECT("'"&amp;$A214&amp;"'!$B$2:$B$501"),$T214,INDIRECT("'"&amp;$A214&amp;"'!$A$2:$A$501"),"&gt;="&amp;$I214,INDIRECT("'"&amp;$A214&amp;"'!$A$2:$A$501"),"&lt;"&amp;($BA214+1),INDIRECT("'"&amp;$A214&amp;"'!$F$2:$F$501"),"Not for me"),0)))</f>
        <v/>
      </c>
      <c r="AS214" s="25">
        <f>IF(OR($A214="",$I214=""),"",IF($BC214="Y",SUMIFS(survey_frozen!$G$2:$G$251,survey_frozen!$P$2:$P$251,$A214&amp;"|"&amp;$B214),IFERROR(COUNTIFS(INDIRECT("'"&amp;$A214&amp;"'!$B$2:$B$501"),$T214,INDIRECT("'"&amp;$A214&amp;"'!$A$2:$A$501"),"&gt;="&amp;$I214,INDIRECT("'"&amp;$A214&amp;"'!$A$2:$A$501"),"&lt;"&amp;($BA214+1),INDIRECT("'"&amp;$A214&amp;"'!$F$2:$F$501"),"Gone by the time I looked"),0)))</f>
        <v/>
      </c>
      <c r="AT214" s="25">
        <f>IF(OR($A214="",$I214=""),"",IF($BC214="Y",SUMIFS(survey_frozen!$H$2:$H$251,survey_frozen!$P$2:$P$251,$A214&amp;"|"&amp;$B214),IFERROR(COUNTIFS(INDIRECT("'"&amp;$A214&amp;"'!$B$2:$B$501"),$T214,INDIRECT("'"&amp;$A214&amp;"'!$A$2:$A$501"),"&gt;="&amp;$I214,INDIRECT("'"&amp;$A214&amp;"'!$A$2:$A$501"),"&lt;"&amp;($BA214+1),INDIRECT("'"&amp;$A214&amp;"'!$D$2:$D$501"),"&gt;=1"),0)))</f>
        <v/>
      </c>
      <c r="AU214" s="25">
        <f>IF(OR($A214="",$I214=""),"",IF($BC214="Y",SUMIFS(survey_frozen!$I$2:$I$251,survey_frozen!$P$2:$P$251,$A214&amp;"|"&amp;$B214),IFERROR(SUMIFS(INDIRECT("'"&amp;$A214&amp;"'!$D$2:$D$501"),INDIRECT("'"&amp;$A214&amp;"'!$B$2:$B$501"),$T214,INDIRECT("'"&amp;$A214&amp;"'!$A$2:$A$501"),"&gt;="&amp;$I214,INDIRECT("'"&amp;$A214&amp;"'!$A$2:$A$501"),"&lt;"&amp;($BA214+1)),0)))</f>
        <v/>
      </c>
      <c r="AV214" s="25">
        <f>IF(OR($A214="",$I214=""),"",IF($BC214="Y",SUMIFS(survey_frozen!$J$2:$J$251,survey_frozen!$P$2:$P$251,$A214&amp;"|"&amp;$B214),IFERROR(COUNTIFS(INDIRECT("'"&amp;$A214&amp;"'!$B$2:$B$501"),$T214,INDIRECT("'"&amp;$A214&amp;"'!$A$2:$A$501"),"&gt;="&amp;$I214,INDIRECT("'"&amp;$A214&amp;"'!$A$2:$A$501"),"&lt;"&amp;($BA214+1),INDIRECT("'"&amp;$A214&amp;"'!$E$2:$E$501"),"Yes"),0)))</f>
        <v/>
      </c>
      <c r="AW214" s="25">
        <f>IF(OR($A214="",$I214=""),"",IF($BC214="Y",SUMIFS(survey_frozen!$K$2:$K$251,survey_frozen!$P$2:$P$251,$A214&amp;"|"&amp;$B214),IFERROR(COUNTIFS(INDIRECT("'"&amp;$A214&amp;"'!$B$2:$B$501"),$T214,INDIRECT("'"&amp;$A214&amp;"'!$A$2:$A$501"),"&gt;="&amp;$I214,INDIRECT("'"&amp;$A214&amp;"'!$A$2:$A$501"),"&lt;"&amp;($BA214+1),INDIRECT("'"&amp;$A214&amp;"'!$E$2:$E$501"),"Maybe"),0)))</f>
        <v/>
      </c>
      <c r="AX214" s="25">
        <f>IF(OR($A214="",$I214=""),"",IF($BC214="Y",SUMIFS(survey_frozen!$L$2:$L$251,survey_frozen!$P$2:$P$251,$A214&amp;"|"&amp;$B214),IFERROR(COUNTIFS(INDIRECT("'"&amp;$A214&amp;"'!$B$2:$B$501"),$T214,INDIRECT("'"&amp;$A214&amp;"'!$A$2:$A$501"),"&gt;="&amp;$I214,INDIRECT("'"&amp;$A214&amp;"'!$A$2:$A$501"),"&lt;"&amp;($BA214+1),INDIRECT("'"&amp;$A214&amp;"'!$E$2:$E$501"),"No"),0)))</f>
        <v/>
      </c>
      <c r="AY214" s="25">
        <f>IF(OR($A214="",$I214=""),"",IF($BC214="Y",SUMIFS(survey_frozen!$M$2:$M$251,survey_frozen!$P$2:$P$251,$A214&amp;"|"&amp;$B214),IFERROR(COUNTIFS(INDIRECT("'"&amp;$A214&amp;"'!$B$2:$B$501"),$T214,INDIRECT("'"&amp;$A214&amp;"'!$A$2:$A$501"),"&gt;="&amp;$I214,INDIRECT("'"&amp;$A214&amp;"'!$A$2:$A$501"),"&lt;"&amp;($BA214+1),INDIRECT("'"&amp;$A214&amp;"'!$G$2:$G$501"),"&lt;&gt;"),0)))</f>
        <v/>
      </c>
      <c r="AZ214" s="25">
        <f>IF($A214="","",$A214&amp;"|"&amp;$L214)</f>
        <v/>
      </c>
      <c r="BA214" s="26">
        <f>IF($A214="","",IFERROR(IF(INDEX(drops!$R$2:$R$21,MATCH($H214,drops!$A$2:$A$21,0))="","",INDEX(drops!$R$2:$R$21,MATCH($H214,drops!$A$2:$A$21,0))),""))</f>
        <v/>
      </c>
      <c r="BB214" s="25">
        <f>IF(OR($A214="",$Q214&lt;&gt;"Y"),1000000,N($AL214))</f>
        <v/>
      </c>
      <c r="BC214" s="25">
        <f>IF($A214="","",IF(COUNTIF(survey_frozen!$P$2:$P$251,$A214&amp;"|"&amp;$B214)&gt;0,"Y",""))</f>
        <v/>
      </c>
    </row>
    <row r="215">
      <c r="C215" s="9" t="n"/>
      <c r="E215" s="9" t="n"/>
      <c r="H215" s="25">
        <f>IF($A215="","",IFERROR(IF(INDEX(campaigns!$B$2:$B$51,MATCH($A215,campaigns!$A$2:$A$51,0))="","",INDEX(campaigns!$B$2:$B$51,MATCH($A215,campaigns!$A$2:$A$51,0))),""))</f>
        <v/>
      </c>
      <c r="I215" s="26">
        <f>IF($A215="","",IFERROR(IF(INDEX(campaigns!$BG$2:$BG$51,MATCH($A215,campaigns!$A$2:$A$51,0))="","",INDEX(campaigns!$BG$2:$BG$51,MATCH($A215,campaigns!$A$2:$A$51,0))),""))</f>
        <v/>
      </c>
      <c r="J215" s="25">
        <f>IF($A215="","",IFERROR(IF(INDEX(campaigns!$BE$2:$BE$51,MATCH($A215,campaigns!$A$2:$A$51,0))="","",INDEX(campaigns!$BE$2:$BE$51,MATCH($A215,campaigns!$A$2:$A$51,0))),""))</f>
        <v/>
      </c>
      <c r="K215" s="25">
        <f>IF($B215="","",IFERROR(IF(INDEX(offices!$N$2:$N$61,MATCH($B215,offices!$A$2:$A$61,0))="","",INDEX(offices!$N$2:$N$61,MATCH($B215,offices!$A$2:$A$61,0))),""))</f>
        <v/>
      </c>
      <c r="L215" s="25">
        <f>IF($A215="","",IF($Q215="N","",COUNTIFS($A$2:$A215,$A215,$Q$2:$Q215,"&lt;&gt;N")))</f>
        <v/>
      </c>
      <c r="M215" s="25">
        <f>IF(OR($A215="",$L215=""),"",IF(AND(config!$B$34="names_if_public",IFERROR(IF(INDEX(offices!$AF$2:$AF$61,MATCH($B215,offices!$A$2:$A$61,0))="","",INDEX(offices!$AF$2:$AF$61,MATCH($B215,offices!$A$2:$A$61,0))),"")="Y"),$K215,CHAR(64+$L215)))</f>
        <v/>
      </c>
      <c r="N215" s="25">
        <f>IF(OR($A215="",$I215=""),"",COUNTIFS(stops!$B$2:$B$151,$B215,stops!$P$2:$P$151,"&lt;"&amp;$I215,stops!$L$2:$L$151,"&lt;&gt;not_delivered")+1)</f>
        <v/>
      </c>
      <c r="O215" s="25">
        <f>IF($A215="","",IF(N($N215)&lt;=config!$B$29,"explicit","opt-out"))</f>
        <v/>
      </c>
      <c r="P215" s="25">
        <f>IF($A215="","",IF($O215="explicit",IF($D215="yes","Y",IF($D215="no","N","pending")),IF($D215="no","N",IF(AND($C215&lt;&gt;"",$I215&lt;&gt;"",$C215&lt;=WORKDAY(N($I215),-5,calendar!$A$2:$A$80)),"Y","pending"))))</f>
        <v/>
      </c>
      <c r="Q215" s="25">
        <f>IF($A215="","",IF($P215="N","N",IF($P215&lt;&gt;"Y","pending",IF(AND((COUNTIFS(stops!$A$2:$A$151,$H215,stops!$B$2:$B$151,$B215,stops!$L$2:$L$151,"declined")+COUNTIFS(stops!$A$2:$A$151,$H215,stops!$B$2:$B$151,$B215,stops!$L$2:$L$151,"building_refused")+COUNTIFS(stops!$A$2:$A$151,$H215,stops!$B$2:$B$151,$B215,stops!$L$2:$L$151,"not_delivered"))&gt;0,N($U215)=0),"N","Y"))))</f>
        <v/>
      </c>
      <c r="R215" s="25">
        <f>IF($A215="","",IF(COUNTIFS($A$2:$A$251,$A215,$B$2:$B$251,$B215)&gt;1,"DUPLICATE ROW; ","")&amp;IF(AND(IFERROR(IF(INDEX(offices!$AC$2:$AC$61,MATCH($B215,offices!$A$2:$A$61,0))="","",INDEX(offices!$AC$2:$AC$61,MATCH($B215,offices!$A$2:$A$61,0))),"")&lt;&gt;"",ISNUMBER(SEARCH($J215,IFERROR(IF(INDEX(offices!$AC$2:$AC$61,MATCH($B215,offices!$A$2:$A$61,0))="","",INDEX(offices!$AC$2:$AC$61,MATCH($B215,offices!$A$2:$A$61,0))),"")))),"BRAND VETOED; ","")&amp;IF(ISNUMBER(SEARCH(IFERROR(IF(INDEX(campaigns!$BF$2:$BF$51,MATCH($A215,campaigns!$A$2:$A$51,0))="","",INDEX(campaigns!$BF$2:$BF$51,MATCH($A215,campaigns!$A$2:$A$51,0))),""),IFERROR(IF(INDEX(offices!$AB$2:$AB$61,MATCH($B215,offices!$A$2:$A$61,0))="","",INDEX(offices!$AB$2:$AB$61,MATCH($B215,offices!$A$2:$A$61,0))),""))),"","info: category not on the office's list; ")&amp;IF(IFERROR(IF(INDEX(offices!$AC$2:$AC$61,MATCH($B215,offices!$A$2:$A$61,0))="","",INDEX(offices!$AC$2:$AC$61,MATCH($B215,offices!$A$2:$A$61,0))),"")&lt;&gt;"","info: read the vetoes against the label; ",""))</f>
        <v/>
      </c>
      <c r="S215" s="25">
        <f>IF($A215="","",IF($G215&lt;&gt;"",$G215,IFERROR(IF(INDEX(offices!$AL$2:$AL$61,MATCH($B215,offices!$A$2:$A$61,0))="","",INDEX(offices!$AL$2:$AL$61,MATCH($B215,offices!$A$2:$A$61,0))),"")))</f>
        <v/>
      </c>
      <c r="T215" s="25">
        <f>IF($A215="","",$A215&amp;"."&amp;$B215)</f>
        <v/>
      </c>
      <c r="U215" s="25">
        <f>IF($A215="","",SUMIFS(inventory!$G$2:$G$801,inventory!$C$2:$C$801,$A215,inventory!$D$2:$D$801,$B215,inventory!$E$2:$E$801,"delivered"))</f>
        <v/>
      </c>
      <c r="V215" s="32">
        <f>IF($A215="","",IFERROR(1/(1/SUMPRODUCT(MAX((inventory!$C$2:$C$801=$A215)*(inventory!$D$2:$D$801=$B215)*(inventory!$E$2:$E$801="delivered")*(inventory!$A$2:$A$801+inventory!$B$2:$B$801)))),""))</f>
        <v/>
      </c>
      <c r="W215" s="25">
        <f>IF($A215="","",IFERROR(IF(INDEX(inventory!$J$2:$J$801,MATCH($A215&amp;"|"&amp;$B215&amp;"|delivered",inventory!$R$2:$R$801,0))="","",INDEX(inventory!$J$2:$J$801,MATCH($A215&amp;"|"&amp;$B215&amp;"|delivered",inventory!$R$2:$R$801,0))),""))</f>
        <v/>
      </c>
      <c r="X215" s="25">
        <f>IF($A215="","",IFERROR(IF(INDEX(photos!$H$2:$H$701,MATCH($A215&amp;"|"&amp;$B215&amp;"|placement|Y",photos!$R$2:$R$701,0))="","",INDEX(photos!$H$2:$H$701,MATCH($A215&amp;"|"&amp;$B215&amp;"|placement|Y",photos!$R$2:$R$701,0))),""))</f>
        <v/>
      </c>
      <c r="Y215" s="26">
        <f>IF($A215="","",IFERROR(IF(INDEX(photos!$E$2:$E$701,MATCH($A215&amp;"|"&amp;$B215&amp;"|placement|Y",photos!$R$2:$R$701,0))="","",INDEX(photos!$E$2:$E$701,MATCH($A215&amp;"|"&amp;$B215&amp;"|placement|Y",photos!$R$2:$R$701,0))),""))</f>
        <v/>
      </c>
      <c r="Z215" s="25">
        <f>IF($A215="","",IF(COUNTIFS(counts!$C$2:$C$701,$A215,counts!$D$2:$D$701,$B215,counts!$E$2:$E$701,"placed")=0,"",SUMIFS(counts!$F$2:$F$701,counts!$C$2:$C$701,$A215,counts!$D$2:$D$701,$B215,counts!$E$2:$E$701,"placed")))</f>
        <v/>
      </c>
      <c r="AA215" s="25">
        <f>IF($A215="","",IF($Y215="",0,N($Z215)))</f>
        <v/>
      </c>
      <c r="AB215" s="25">
        <f>IF($A215="","",IF(OR($Y215="",$I215=""),"N",IF($Y215&lt;=WORKDAY(N($I215),1,calendar!$A$2:$A$80),"Y","N")))</f>
        <v/>
      </c>
      <c r="AC215" s="28">
        <f>IF(OR($A215="",$V215="",$Y215=""),"",ROUND(($Y215+N(IFERROR(IF(INDEX(photos!$F$2:$F$701,MATCH($A215&amp;"|"&amp;$B215&amp;"|placement|Y",photos!$R$2:$R$701,0))="","",INDEX(photos!$F$2:$F$701,MATCH($A215&amp;"|"&amp;$B215&amp;"|placement|Y",photos!$R$2:$R$701,0))),""))-$V215)*24,1))</f>
        <v/>
      </c>
      <c r="AD215" s="25">
        <f>IF($A215="","",SUMIFS(inventory!$G$2:$G$801,inventory!$C$2:$C$801,$A215,inventory!$D$2:$D$801,$B215,inventory!$E$2:$E$801,"topped_up"))</f>
        <v/>
      </c>
      <c r="AE215" s="25">
        <f>IF($A215="","",IF(COUNTIFS(counts!$C$2:$C$701,$A215,counts!$D$2:$D$701,$B215,counts!$E$2:$E$701,"remaining_day3")=0,"",SUMIFS(counts!$F$2:$F$701,counts!$C$2:$C$701,$A215,counts!$D$2:$D$701,$B215,counts!$E$2:$E$701,"remaining_day3")))</f>
        <v/>
      </c>
      <c r="AF215" s="25">
        <f>IF($A215="","",IF(COUNTIFS(counts!$C$2:$C$701,$A215,counts!$D$2:$D$701,$B215,counts!$E$2:$E$701,"remaining_day5")=0,"",SUMIFS(counts!$F$2:$F$701,counts!$C$2:$C$701,$A215,counts!$D$2:$D$701,$B215,counts!$E$2:$E$701,"remaining_day5")))</f>
        <v/>
      </c>
      <c r="AG215" s="25">
        <f>IF(OR($A215="",$AF215=""),"",MAX(0,$AA215+$AD215-$AF215))</f>
        <v/>
      </c>
      <c r="AH215" s="25">
        <f>IF(OR($A215="",$AI215=""),"",IFERROR(IF(INDEX(photos!$H$2:$H$701,MATCH($A215&amp;"|"&amp;$B215&amp;"|later|Y|"&amp;$AI215,photos!$S$2:$S$701,0))="","",INDEX(photos!$H$2:$H$701,MATCH($A215&amp;"|"&amp;$B215&amp;"|later|Y|"&amp;$AI215,photos!$S$2:$S$701,0))),""))</f>
        <v/>
      </c>
      <c r="AI215" s="26">
        <f>IF($A215="","",IFERROR(1/(1/SUMPRODUCT(MAX((photos!$B$2:$B$701=$A215)*(photos!$C$2:$C$701=$B215)*(photos!$D$2:$D$701="later")*(photos!$O$2:$O$701="Y")*photos!$E$2:$E$701))),""))</f>
        <v/>
      </c>
      <c r="AJ215" s="25">
        <f>IF(OR($A215="",$AI215="",$I215=""),"",NETWORKDAYS($I215,$AI215,calendar!$A$2:$A$80))</f>
        <v/>
      </c>
      <c r="AK215" s="25">
        <f>IF($A215="","",IF(AND($X215&lt;&gt;"",$AH215&lt;&gt;""),"Y","N"))</f>
        <v/>
      </c>
      <c r="AL215" s="25">
        <f>IF(OR($A215="",$I215=""),"",IF($BC215="Y",SUMIFS(survey_frozen!$C$2:$C$251,survey_frozen!$P$2:$P$251,$A215&amp;"|"&amp;$B215),IFERROR(COUNTIFS(INDIRECT("'"&amp;$A215&amp;"'!$B$2:$B$501"),$T215,INDIRECT("'"&amp;$A215&amp;"'!$A$2:$A$501"),"&gt;="&amp;$I215,INDIRECT("'"&amp;$A215&amp;"'!$A$2:$A$501"),"&lt;"&amp;($BA215+1)),0)))</f>
        <v/>
      </c>
      <c r="AM215" s="25">
        <f>IF(OR($A215="",$I215=""),"",IF($BC215="Y",SUMIFS(survey_frozen!$D$2:$D$251,survey_frozen!$P$2:$P$251,$A215&amp;"|"&amp;$B215),IFERROR(COUNTIFS(INDIRECT("'"&amp;$A215&amp;"'!$B$2:$B$501"),$T215,INDIRECT("'"&amp;$A215&amp;"'!$A$2:$A$501"),"&gt;="&amp;$I215,INDIRECT("'"&amp;$A215&amp;"'!$A$2:$A$501"),"&lt;"&amp;($BA215+1),INDIRECT("'"&amp;$A215&amp;"'!$C$2:$C$501"),"Yes"),0)))</f>
        <v/>
      </c>
      <c r="AN215" s="25">
        <f>IF($A215="","",IF(COUNTIFS(scans!$C$2:$C$1601,(IF(LEFT($A215,7)="SAMPLE-","SAMPLE-","")&amp;LOWER(SUBSTITUTE(SUBSTITUTE($A215,"SAMPLE-",""),"CMP-","c"))&amp;"-"&amp;LOWER(SUBSTITUTE(SUBSTITUTE($B215,"SAMPLE-",""),"O-","o"))&amp;"-q"),scans!$D$2:$D$1601,"close")=0,"",SUMPRODUCT(MAX((scans!$C$2:$C$1601=(IF(LEFT($A215,7)="SAMPLE-","SAMPLE-","")&amp;LOWER(SUBSTITUTE(SUBSTITUTE($A215,"SAMPLE-",""),"CMP-","c"))&amp;"-"&amp;LOWER(SUBSTITUTE(SUBSTITUTE($B215,"SAMPLE-",""),"O-","o"))&amp;"-q"))*(scans!$D$2:$D$1601="close")*scans!$E$2:$E$1601))-SUMPRODUCT(MAX((scans!$C$2:$C$1601=(IF(LEFT($A215,7)="SAMPLE-","SAMPLE-","")&amp;LOWER(SUBSTITUTE(SUBSTITUTE($A215,"SAMPLE-",""),"CMP-","c"))&amp;"-"&amp;LOWER(SUBSTITUTE(SUBSTITUTE($B215,"SAMPLE-",""),"O-","o"))&amp;"-q"))*(scans!$D$2:$D$1601="baseline")*scans!$E$2:$E$1601))))</f>
        <v/>
      </c>
      <c r="AO215" s="25">
        <f>IF($A215="","",IF(COUNTIFS(scans!$C$2:$C$1601,(IF(LEFT($A215,7)="SAMPLE-","SAMPLE-","")&amp;LOWER(SUBSTITUTE(SUBSTITUTE($A215,"SAMPLE-",""),"CMP-","c"))&amp;"-"&amp;LOWER(SUBSTITUTE(SUBSTITUTE($B215,"SAMPLE-",""),"O-","o"))&amp;"-p"),scans!$D$2:$D$1601,"close")=0,"",SUMPRODUCT(MAX((scans!$C$2:$C$1601=(IF(LEFT($A215,7)="SAMPLE-","SAMPLE-","")&amp;LOWER(SUBSTITUTE(SUBSTITUTE($A215,"SAMPLE-",""),"CMP-","c"))&amp;"-"&amp;LOWER(SUBSTITUTE(SUBSTITUTE($B215,"SAMPLE-",""),"O-","o"))&amp;"-p"))*(scans!$D$2:$D$1601="close")*scans!$E$2:$E$1601))-SUMPRODUCT(MAX((scans!$C$2:$C$1601=(IF(LEFT($A215,7)="SAMPLE-","SAMPLE-","")&amp;LOWER(SUBSTITUTE(SUBSTITUTE($A215,"SAMPLE-",""),"CMP-","c"))&amp;"-"&amp;LOWER(SUBSTITUTE(SUBSTITUTE($B215,"SAMPLE-",""),"O-","o"))&amp;"-p"))*(scans!$D$2:$D$1601="baseline")*scans!$E$2:$E$1601))))</f>
        <v/>
      </c>
      <c r="AP215" s="25">
        <f>IF($A215="","",IF(COUNTIF(offices!$A$2:$A$61,$B215)=0,"office_id not on offices; ","")&amp;IF(COUNTIF(campaigns!$A$2:$A$51,$A215)=0,"campaign_id not on campaigns; ","")&amp;IF($P215="pending","approval pending; ","")&amp;IF(AND($U215&gt;0,$Y215="",OR($I215="",IF(config!$B$37&lt;&gt;"",config!$B$37,TODAY())&lt;=WORKDAY(N($I215),4,calendar!$A$2:$A$80))),"no usable placement photo yet; ","")&amp;IF(AND($Y215&lt;&gt;"",$Z215=""),"log the placed count; ","")&amp;IF(N($AA215)&gt;N($U215),"placed more than delivered; ","")&amp;IF(AND($AF215&lt;&gt;"",N($AF215)&gt;N($AA215)+N($AD215)),"day-5 count above placed plus top-ups; ","")&amp;IF(AND($U215&gt;0,$I215&lt;&gt;"",IF(config!$B$37&lt;&gt;"",config!$B$37,TODAY())&gt;WORKDAY(N($I215),4,calendar!$A$2:$A$80),$AF215=""),"day-5 count missing; ","")&amp;IF(AND($U215&gt;0,$I215&lt;&gt;"",IF(config!$B$37&lt;&gt;"",config!$B$37,TODAY())&gt;WORKDAY(N($I215),4,calendar!$A$2:$A$80),$AN215=""),"no close link reading; ","")&amp;$R215&amp;IF($P215="N","info: office said no; ","")&amp;IF(AND($P215="Y",$Q215="N"),"info: turned away at the door, so not on the drop (no letter, not in the report or Gate 2; the credit check is on campaigns); ","")&amp;IF(AND($U215&gt;0,$Y215="",$I215&lt;&gt;"",IF(config!$B$37&lt;&gt;"",config!$B$37,TODAY())&gt;WORKDAY(N($I215),4,calendar!$A$2:$A$80)),"info: no usable placement photo, so nothing counts as placed; ","")&amp;IF(AND($U215&gt;0,$I215&lt;&gt;"",IF(config!$B$37&lt;&gt;"",config!$B$37,TODAY())&gt;WORKDAY(N($I215),4,calendar!$A$2:$A$80),N($AL215)&lt;config!$B$30),"info: under "&amp;config!$B$30&amp;" responses; ","")&amp;IF($W215="packing_list","info: delivered count not verified; ",""))</f>
        <v/>
      </c>
      <c r="AQ215" s="25">
        <f>IF(OR($A215="",$I215=""),"",IF($BC215="Y",SUMIFS(survey_frozen!$E$2:$E$251,survey_frozen!$P$2:$P$251,$A215&amp;"|"&amp;$B215),IFERROR(COUNTIFS(INDIRECT("'"&amp;$A215&amp;"'!$B$2:$B$501"),$T215,INDIRECT("'"&amp;$A215&amp;"'!$A$2:$A$501"),"&gt;="&amp;$I215,INDIRECT("'"&amp;$A215&amp;"'!$A$2:$A$501"),"&lt;"&amp;($BA215+1),INDIRECT("'"&amp;$A215&amp;"'!$F$2:$F$501"),"Didn't see it"),0)))</f>
        <v/>
      </c>
      <c r="AR215" s="25">
        <f>IF(OR($A215="",$I215=""),"",IF($BC215="Y",SUMIFS(survey_frozen!$F$2:$F$251,survey_frozen!$P$2:$P$251,$A215&amp;"|"&amp;$B215),IFERROR(COUNTIFS(INDIRECT("'"&amp;$A215&amp;"'!$B$2:$B$501"),$T215,INDIRECT("'"&amp;$A215&amp;"'!$A$2:$A$501"),"&gt;="&amp;$I215,INDIRECT("'"&amp;$A215&amp;"'!$A$2:$A$501"),"&lt;"&amp;($BA215+1),INDIRECT("'"&amp;$A215&amp;"'!$F$2:$F$501"),"Not for me"),0)))</f>
        <v/>
      </c>
      <c r="AS215" s="25">
        <f>IF(OR($A215="",$I215=""),"",IF($BC215="Y",SUMIFS(survey_frozen!$G$2:$G$251,survey_frozen!$P$2:$P$251,$A215&amp;"|"&amp;$B215),IFERROR(COUNTIFS(INDIRECT("'"&amp;$A215&amp;"'!$B$2:$B$501"),$T215,INDIRECT("'"&amp;$A215&amp;"'!$A$2:$A$501"),"&gt;="&amp;$I215,INDIRECT("'"&amp;$A215&amp;"'!$A$2:$A$501"),"&lt;"&amp;($BA215+1),INDIRECT("'"&amp;$A215&amp;"'!$F$2:$F$501"),"Gone by the time I looked"),0)))</f>
        <v/>
      </c>
      <c r="AT215" s="25">
        <f>IF(OR($A215="",$I215=""),"",IF($BC215="Y",SUMIFS(survey_frozen!$H$2:$H$251,survey_frozen!$P$2:$P$251,$A215&amp;"|"&amp;$B215),IFERROR(COUNTIFS(INDIRECT("'"&amp;$A215&amp;"'!$B$2:$B$501"),$T215,INDIRECT("'"&amp;$A215&amp;"'!$A$2:$A$501"),"&gt;="&amp;$I215,INDIRECT("'"&amp;$A215&amp;"'!$A$2:$A$501"),"&lt;"&amp;($BA215+1),INDIRECT("'"&amp;$A215&amp;"'!$D$2:$D$501"),"&gt;=1"),0)))</f>
        <v/>
      </c>
      <c r="AU215" s="25">
        <f>IF(OR($A215="",$I215=""),"",IF($BC215="Y",SUMIFS(survey_frozen!$I$2:$I$251,survey_frozen!$P$2:$P$251,$A215&amp;"|"&amp;$B215),IFERROR(SUMIFS(INDIRECT("'"&amp;$A215&amp;"'!$D$2:$D$501"),INDIRECT("'"&amp;$A215&amp;"'!$B$2:$B$501"),$T215,INDIRECT("'"&amp;$A215&amp;"'!$A$2:$A$501"),"&gt;="&amp;$I215,INDIRECT("'"&amp;$A215&amp;"'!$A$2:$A$501"),"&lt;"&amp;($BA215+1)),0)))</f>
        <v/>
      </c>
      <c r="AV215" s="25">
        <f>IF(OR($A215="",$I215=""),"",IF($BC215="Y",SUMIFS(survey_frozen!$J$2:$J$251,survey_frozen!$P$2:$P$251,$A215&amp;"|"&amp;$B215),IFERROR(COUNTIFS(INDIRECT("'"&amp;$A215&amp;"'!$B$2:$B$501"),$T215,INDIRECT("'"&amp;$A215&amp;"'!$A$2:$A$501"),"&gt;="&amp;$I215,INDIRECT("'"&amp;$A215&amp;"'!$A$2:$A$501"),"&lt;"&amp;($BA215+1),INDIRECT("'"&amp;$A215&amp;"'!$E$2:$E$501"),"Yes"),0)))</f>
        <v/>
      </c>
      <c r="AW215" s="25">
        <f>IF(OR($A215="",$I215=""),"",IF($BC215="Y",SUMIFS(survey_frozen!$K$2:$K$251,survey_frozen!$P$2:$P$251,$A215&amp;"|"&amp;$B215),IFERROR(COUNTIFS(INDIRECT("'"&amp;$A215&amp;"'!$B$2:$B$501"),$T215,INDIRECT("'"&amp;$A215&amp;"'!$A$2:$A$501"),"&gt;="&amp;$I215,INDIRECT("'"&amp;$A215&amp;"'!$A$2:$A$501"),"&lt;"&amp;($BA215+1),INDIRECT("'"&amp;$A215&amp;"'!$E$2:$E$501"),"Maybe"),0)))</f>
        <v/>
      </c>
      <c r="AX215" s="25">
        <f>IF(OR($A215="",$I215=""),"",IF($BC215="Y",SUMIFS(survey_frozen!$L$2:$L$251,survey_frozen!$P$2:$P$251,$A215&amp;"|"&amp;$B215),IFERROR(COUNTIFS(INDIRECT("'"&amp;$A215&amp;"'!$B$2:$B$501"),$T215,INDIRECT("'"&amp;$A215&amp;"'!$A$2:$A$501"),"&gt;="&amp;$I215,INDIRECT("'"&amp;$A215&amp;"'!$A$2:$A$501"),"&lt;"&amp;($BA215+1),INDIRECT("'"&amp;$A215&amp;"'!$E$2:$E$501"),"No"),0)))</f>
        <v/>
      </c>
      <c r="AY215" s="25">
        <f>IF(OR($A215="",$I215=""),"",IF($BC215="Y",SUMIFS(survey_frozen!$M$2:$M$251,survey_frozen!$P$2:$P$251,$A215&amp;"|"&amp;$B215),IFERROR(COUNTIFS(INDIRECT("'"&amp;$A215&amp;"'!$B$2:$B$501"),$T215,INDIRECT("'"&amp;$A215&amp;"'!$A$2:$A$501"),"&gt;="&amp;$I215,INDIRECT("'"&amp;$A215&amp;"'!$A$2:$A$501"),"&lt;"&amp;($BA215+1),INDIRECT("'"&amp;$A215&amp;"'!$G$2:$G$501"),"&lt;&gt;"),0)))</f>
        <v/>
      </c>
      <c r="AZ215" s="25">
        <f>IF($A215="","",$A215&amp;"|"&amp;$L215)</f>
        <v/>
      </c>
      <c r="BA215" s="26">
        <f>IF($A215="","",IFERROR(IF(INDEX(drops!$R$2:$R$21,MATCH($H215,drops!$A$2:$A$21,0))="","",INDEX(drops!$R$2:$R$21,MATCH($H215,drops!$A$2:$A$21,0))),""))</f>
        <v/>
      </c>
      <c r="BB215" s="25">
        <f>IF(OR($A215="",$Q215&lt;&gt;"Y"),1000000,N($AL215))</f>
        <v/>
      </c>
      <c r="BC215" s="25">
        <f>IF($A215="","",IF(COUNTIF(survey_frozen!$P$2:$P$251,$A215&amp;"|"&amp;$B215)&gt;0,"Y",""))</f>
        <v/>
      </c>
    </row>
    <row r="216">
      <c r="C216" s="9" t="n"/>
      <c r="E216" s="9" t="n"/>
      <c r="H216" s="25">
        <f>IF($A216="","",IFERROR(IF(INDEX(campaigns!$B$2:$B$51,MATCH($A216,campaigns!$A$2:$A$51,0))="","",INDEX(campaigns!$B$2:$B$51,MATCH($A216,campaigns!$A$2:$A$51,0))),""))</f>
        <v/>
      </c>
      <c r="I216" s="26">
        <f>IF($A216="","",IFERROR(IF(INDEX(campaigns!$BG$2:$BG$51,MATCH($A216,campaigns!$A$2:$A$51,0))="","",INDEX(campaigns!$BG$2:$BG$51,MATCH($A216,campaigns!$A$2:$A$51,0))),""))</f>
        <v/>
      </c>
      <c r="J216" s="25">
        <f>IF($A216="","",IFERROR(IF(INDEX(campaigns!$BE$2:$BE$51,MATCH($A216,campaigns!$A$2:$A$51,0))="","",INDEX(campaigns!$BE$2:$BE$51,MATCH($A216,campaigns!$A$2:$A$51,0))),""))</f>
        <v/>
      </c>
      <c r="K216" s="25">
        <f>IF($B216="","",IFERROR(IF(INDEX(offices!$N$2:$N$61,MATCH($B216,offices!$A$2:$A$61,0))="","",INDEX(offices!$N$2:$N$61,MATCH($B216,offices!$A$2:$A$61,0))),""))</f>
        <v/>
      </c>
      <c r="L216" s="25">
        <f>IF($A216="","",IF($Q216="N","",COUNTIFS($A$2:$A216,$A216,$Q$2:$Q216,"&lt;&gt;N")))</f>
        <v/>
      </c>
      <c r="M216" s="25">
        <f>IF(OR($A216="",$L216=""),"",IF(AND(config!$B$34="names_if_public",IFERROR(IF(INDEX(offices!$AF$2:$AF$61,MATCH($B216,offices!$A$2:$A$61,0))="","",INDEX(offices!$AF$2:$AF$61,MATCH($B216,offices!$A$2:$A$61,0))),"")="Y"),$K216,CHAR(64+$L216)))</f>
        <v/>
      </c>
      <c r="N216" s="25">
        <f>IF(OR($A216="",$I216=""),"",COUNTIFS(stops!$B$2:$B$151,$B216,stops!$P$2:$P$151,"&lt;"&amp;$I216,stops!$L$2:$L$151,"&lt;&gt;not_delivered")+1)</f>
        <v/>
      </c>
      <c r="O216" s="25">
        <f>IF($A216="","",IF(N($N216)&lt;=config!$B$29,"explicit","opt-out"))</f>
        <v/>
      </c>
      <c r="P216" s="25">
        <f>IF($A216="","",IF($O216="explicit",IF($D216="yes","Y",IF($D216="no","N","pending")),IF($D216="no","N",IF(AND($C216&lt;&gt;"",$I216&lt;&gt;"",$C216&lt;=WORKDAY(N($I216),-5,calendar!$A$2:$A$80)),"Y","pending"))))</f>
        <v/>
      </c>
      <c r="Q216" s="25">
        <f>IF($A216="","",IF($P216="N","N",IF($P216&lt;&gt;"Y","pending",IF(AND((COUNTIFS(stops!$A$2:$A$151,$H216,stops!$B$2:$B$151,$B216,stops!$L$2:$L$151,"declined")+COUNTIFS(stops!$A$2:$A$151,$H216,stops!$B$2:$B$151,$B216,stops!$L$2:$L$151,"building_refused")+COUNTIFS(stops!$A$2:$A$151,$H216,stops!$B$2:$B$151,$B216,stops!$L$2:$L$151,"not_delivered"))&gt;0,N($U216)=0),"N","Y"))))</f>
        <v/>
      </c>
      <c r="R216" s="25">
        <f>IF($A216="","",IF(COUNTIFS($A$2:$A$251,$A216,$B$2:$B$251,$B216)&gt;1,"DUPLICATE ROW; ","")&amp;IF(AND(IFERROR(IF(INDEX(offices!$AC$2:$AC$61,MATCH($B216,offices!$A$2:$A$61,0))="","",INDEX(offices!$AC$2:$AC$61,MATCH($B216,offices!$A$2:$A$61,0))),"")&lt;&gt;"",ISNUMBER(SEARCH($J216,IFERROR(IF(INDEX(offices!$AC$2:$AC$61,MATCH($B216,offices!$A$2:$A$61,0))="","",INDEX(offices!$AC$2:$AC$61,MATCH($B216,offices!$A$2:$A$61,0))),"")))),"BRAND VETOED; ","")&amp;IF(ISNUMBER(SEARCH(IFERROR(IF(INDEX(campaigns!$BF$2:$BF$51,MATCH($A216,campaigns!$A$2:$A$51,0))="","",INDEX(campaigns!$BF$2:$BF$51,MATCH($A216,campaigns!$A$2:$A$51,0))),""),IFERROR(IF(INDEX(offices!$AB$2:$AB$61,MATCH($B216,offices!$A$2:$A$61,0))="","",INDEX(offices!$AB$2:$AB$61,MATCH($B216,offices!$A$2:$A$61,0))),""))),"","info: category not on the office's list; ")&amp;IF(IFERROR(IF(INDEX(offices!$AC$2:$AC$61,MATCH($B216,offices!$A$2:$A$61,0))="","",INDEX(offices!$AC$2:$AC$61,MATCH($B216,offices!$A$2:$A$61,0))),"")&lt;&gt;"","info: read the vetoes against the label; ",""))</f>
        <v/>
      </c>
      <c r="S216" s="25">
        <f>IF($A216="","",IF($G216&lt;&gt;"",$G216,IFERROR(IF(INDEX(offices!$AL$2:$AL$61,MATCH($B216,offices!$A$2:$A$61,0))="","",INDEX(offices!$AL$2:$AL$61,MATCH($B216,offices!$A$2:$A$61,0))),"")))</f>
        <v/>
      </c>
      <c r="T216" s="25">
        <f>IF($A216="","",$A216&amp;"."&amp;$B216)</f>
        <v/>
      </c>
      <c r="U216" s="25">
        <f>IF($A216="","",SUMIFS(inventory!$G$2:$G$801,inventory!$C$2:$C$801,$A216,inventory!$D$2:$D$801,$B216,inventory!$E$2:$E$801,"delivered"))</f>
        <v/>
      </c>
      <c r="V216" s="32">
        <f>IF($A216="","",IFERROR(1/(1/SUMPRODUCT(MAX((inventory!$C$2:$C$801=$A216)*(inventory!$D$2:$D$801=$B216)*(inventory!$E$2:$E$801="delivered")*(inventory!$A$2:$A$801+inventory!$B$2:$B$801)))),""))</f>
        <v/>
      </c>
      <c r="W216" s="25">
        <f>IF($A216="","",IFERROR(IF(INDEX(inventory!$J$2:$J$801,MATCH($A216&amp;"|"&amp;$B216&amp;"|delivered",inventory!$R$2:$R$801,0))="","",INDEX(inventory!$J$2:$J$801,MATCH($A216&amp;"|"&amp;$B216&amp;"|delivered",inventory!$R$2:$R$801,0))),""))</f>
        <v/>
      </c>
      <c r="X216" s="25">
        <f>IF($A216="","",IFERROR(IF(INDEX(photos!$H$2:$H$701,MATCH($A216&amp;"|"&amp;$B216&amp;"|placement|Y",photos!$R$2:$R$701,0))="","",INDEX(photos!$H$2:$H$701,MATCH($A216&amp;"|"&amp;$B216&amp;"|placement|Y",photos!$R$2:$R$701,0))),""))</f>
        <v/>
      </c>
      <c r="Y216" s="26">
        <f>IF($A216="","",IFERROR(IF(INDEX(photos!$E$2:$E$701,MATCH($A216&amp;"|"&amp;$B216&amp;"|placement|Y",photos!$R$2:$R$701,0))="","",INDEX(photos!$E$2:$E$701,MATCH($A216&amp;"|"&amp;$B216&amp;"|placement|Y",photos!$R$2:$R$701,0))),""))</f>
        <v/>
      </c>
      <c r="Z216" s="25">
        <f>IF($A216="","",IF(COUNTIFS(counts!$C$2:$C$701,$A216,counts!$D$2:$D$701,$B216,counts!$E$2:$E$701,"placed")=0,"",SUMIFS(counts!$F$2:$F$701,counts!$C$2:$C$701,$A216,counts!$D$2:$D$701,$B216,counts!$E$2:$E$701,"placed")))</f>
        <v/>
      </c>
      <c r="AA216" s="25">
        <f>IF($A216="","",IF($Y216="",0,N($Z216)))</f>
        <v/>
      </c>
      <c r="AB216" s="25">
        <f>IF($A216="","",IF(OR($Y216="",$I216=""),"N",IF($Y216&lt;=WORKDAY(N($I216),1,calendar!$A$2:$A$80),"Y","N")))</f>
        <v/>
      </c>
      <c r="AC216" s="28">
        <f>IF(OR($A216="",$V216="",$Y216=""),"",ROUND(($Y216+N(IFERROR(IF(INDEX(photos!$F$2:$F$701,MATCH($A216&amp;"|"&amp;$B216&amp;"|placement|Y",photos!$R$2:$R$701,0))="","",INDEX(photos!$F$2:$F$701,MATCH($A216&amp;"|"&amp;$B216&amp;"|placement|Y",photos!$R$2:$R$701,0))),""))-$V216)*24,1))</f>
        <v/>
      </c>
      <c r="AD216" s="25">
        <f>IF($A216="","",SUMIFS(inventory!$G$2:$G$801,inventory!$C$2:$C$801,$A216,inventory!$D$2:$D$801,$B216,inventory!$E$2:$E$801,"topped_up"))</f>
        <v/>
      </c>
      <c r="AE216" s="25">
        <f>IF($A216="","",IF(COUNTIFS(counts!$C$2:$C$701,$A216,counts!$D$2:$D$701,$B216,counts!$E$2:$E$701,"remaining_day3")=0,"",SUMIFS(counts!$F$2:$F$701,counts!$C$2:$C$701,$A216,counts!$D$2:$D$701,$B216,counts!$E$2:$E$701,"remaining_day3")))</f>
        <v/>
      </c>
      <c r="AF216" s="25">
        <f>IF($A216="","",IF(COUNTIFS(counts!$C$2:$C$701,$A216,counts!$D$2:$D$701,$B216,counts!$E$2:$E$701,"remaining_day5")=0,"",SUMIFS(counts!$F$2:$F$701,counts!$C$2:$C$701,$A216,counts!$D$2:$D$701,$B216,counts!$E$2:$E$701,"remaining_day5")))</f>
        <v/>
      </c>
      <c r="AG216" s="25">
        <f>IF(OR($A216="",$AF216=""),"",MAX(0,$AA216+$AD216-$AF216))</f>
        <v/>
      </c>
      <c r="AH216" s="25">
        <f>IF(OR($A216="",$AI216=""),"",IFERROR(IF(INDEX(photos!$H$2:$H$701,MATCH($A216&amp;"|"&amp;$B216&amp;"|later|Y|"&amp;$AI216,photos!$S$2:$S$701,0))="","",INDEX(photos!$H$2:$H$701,MATCH($A216&amp;"|"&amp;$B216&amp;"|later|Y|"&amp;$AI216,photos!$S$2:$S$701,0))),""))</f>
        <v/>
      </c>
      <c r="AI216" s="26">
        <f>IF($A216="","",IFERROR(1/(1/SUMPRODUCT(MAX((photos!$B$2:$B$701=$A216)*(photos!$C$2:$C$701=$B216)*(photos!$D$2:$D$701="later")*(photos!$O$2:$O$701="Y")*photos!$E$2:$E$701))),""))</f>
        <v/>
      </c>
      <c r="AJ216" s="25">
        <f>IF(OR($A216="",$AI216="",$I216=""),"",NETWORKDAYS($I216,$AI216,calendar!$A$2:$A$80))</f>
        <v/>
      </c>
      <c r="AK216" s="25">
        <f>IF($A216="","",IF(AND($X216&lt;&gt;"",$AH216&lt;&gt;""),"Y","N"))</f>
        <v/>
      </c>
      <c r="AL216" s="25">
        <f>IF(OR($A216="",$I216=""),"",IF($BC216="Y",SUMIFS(survey_frozen!$C$2:$C$251,survey_frozen!$P$2:$P$251,$A216&amp;"|"&amp;$B216),IFERROR(COUNTIFS(INDIRECT("'"&amp;$A216&amp;"'!$B$2:$B$501"),$T216,INDIRECT("'"&amp;$A216&amp;"'!$A$2:$A$501"),"&gt;="&amp;$I216,INDIRECT("'"&amp;$A216&amp;"'!$A$2:$A$501"),"&lt;"&amp;($BA216+1)),0)))</f>
        <v/>
      </c>
      <c r="AM216" s="25">
        <f>IF(OR($A216="",$I216=""),"",IF($BC216="Y",SUMIFS(survey_frozen!$D$2:$D$251,survey_frozen!$P$2:$P$251,$A216&amp;"|"&amp;$B216),IFERROR(COUNTIFS(INDIRECT("'"&amp;$A216&amp;"'!$B$2:$B$501"),$T216,INDIRECT("'"&amp;$A216&amp;"'!$A$2:$A$501"),"&gt;="&amp;$I216,INDIRECT("'"&amp;$A216&amp;"'!$A$2:$A$501"),"&lt;"&amp;($BA216+1),INDIRECT("'"&amp;$A216&amp;"'!$C$2:$C$501"),"Yes"),0)))</f>
        <v/>
      </c>
      <c r="AN216" s="25">
        <f>IF($A216="","",IF(COUNTIFS(scans!$C$2:$C$1601,(IF(LEFT($A216,7)="SAMPLE-","SAMPLE-","")&amp;LOWER(SUBSTITUTE(SUBSTITUTE($A216,"SAMPLE-",""),"CMP-","c"))&amp;"-"&amp;LOWER(SUBSTITUTE(SUBSTITUTE($B216,"SAMPLE-",""),"O-","o"))&amp;"-q"),scans!$D$2:$D$1601,"close")=0,"",SUMPRODUCT(MAX((scans!$C$2:$C$1601=(IF(LEFT($A216,7)="SAMPLE-","SAMPLE-","")&amp;LOWER(SUBSTITUTE(SUBSTITUTE($A216,"SAMPLE-",""),"CMP-","c"))&amp;"-"&amp;LOWER(SUBSTITUTE(SUBSTITUTE($B216,"SAMPLE-",""),"O-","o"))&amp;"-q"))*(scans!$D$2:$D$1601="close")*scans!$E$2:$E$1601))-SUMPRODUCT(MAX((scans!$C$2:$C$1601=(IF(LEFT($A216,7)="SAMPLE-","SAMPLE-","")&amp;LOWER(SUBSTITUTE(SUBSTITUTE($A216,"SAMPLE-",""),"CMP-","c"))&amp;"-"&amp;LOWER(SUBSTITUTE(SUBSTITUTE($B216,"SAMPLE-",""),"O-","o"))&amp;"-q"))*(scans!$D$2:$D$1601="baseline")*scans!$E$2:$E$1601))))</f>
        <v/>
      </c>
      <c r="AO216" s="25">
        <f>IF($A216="","",IF(COUNTIFS(scans!$C$2:$C$1601,(IF(LEFT($A216,7)="SAMPLE-","SAMPLE-","")&amp;LOWER(SUBSTITUTE(SUBSTITUTE($A216,"SAMPLE-",""),"CMP-","c"))&amp;"-"&amp;LOWER(SUBSTITUTE(SUBSTITUTE($B216,"SAMPLE-",""),"O-","o"))&amp;"-p"),scans!$D$2:$D$1601,"close")=0,"",SUMPRODUCT(MAX((scans!$C$2:$C$1601=(IF(LEFT($A216,7)="SAMPLE-","SAMPLE-","")&amp;LOWER(SUBSTITUTE(SUBSTITUTE($A216,"SAMPLE-",""),"CMP-","c"))&amp;"-"&amp;LOWER(SUBSTITUTE(SUBSTITUTE($B216,"SAMPLE-",""),"O-","o"))&amp;"-p"))*(scans!$D$2:$D$1601="close")*scans!$E$2:$E$1601))-SUMPRODUCT(MAX((scans!$C$2:$C$1601=(IF(LEFT($A216,7)="SAMPLE-","SAMPLE-","")&amp;LOWER(SUBSTITUTE(SUBSTITUTE($A216,"SAMPLE-",""),"CMP-","c"))&amp;"-"&amp;LOWER(SUBSTITUTE(SUBSTITUTE($B216,"SAMPLE-",""),"O-","o"))&amp;"-p"))*(scans!$D$2:$D$1601="baseline")*scans!$E$2:$E$1601))))</f>
        <v/>
      </c>
      <c r="AP216" s="25">
        <f>IF($A216="","",IF(COUNTIF(offices!$A$2:$A$61,$B216)=0,"office_id not on offices; ","")&amp;IF(COUNTIF(campaigns!$A$2:$A$51,$A216)=0,"campaign_id not on campaigns; ","")&amp;IF($P216="pending","approval pending; ","")&amp;IF(AND($U216&gt;0,$Y216="",OR($I216="",IF(config!$B$37&lt;&gt;"",config!$B$37,TODAY())&lt;=WORKDAY(N($I216),4,calendar!$A$2:$A$80))),"no usable placement photo yet; ","")&amp;IF(AND($Y216&lt;&gt;"",$Z216=""),"log the placed count; ","")&amp;IF(N($AA216)&gt;N($U216),"placed more than delivered; ","")&amp;IF(AND($AF216&lt;&gt;"",N($AF216)&gt;N($AA216)+N($AD216)),"day-5 count above placed plus top-ups; ","")&amp;IF(AND($U216&gt;0,$I216&lt;&gt;"",IF(config!$B$37&lt;&gt;"",config!$B$37,TODAY())&gt;WORKDAY(N($I216),4,calendar!$A$2:$A$80),$AF216=""),"day-5 count missing; ","")&amp;IF(AND($U216&gt;0,$I216&lt;&gt;"",IF(config!$B$37&lt;&gt;"",config!$B$37,TODAY())&gt;WORKDAY(N($I216),4,calendar!$A$2:$A$80),$AN216=""),"no close link reading; ","")&amp;$R216&amp;IF($P216="N","info: office said no; ","")&amp;IF(AND($P216="Y",$Q216="N"),"info: turned away at the door, so not on the drop (no letter, not in the report or Gate 2; the credit check is on campaigns); ","")&amp;IF(AND($U216&gt;0,$Y216="",$I216&lt;&gt;"",IF(config!$B$37&lt;&gt;"",config!$B$37,TODAY())&gt;WORKDAY(N($I216),4,calendar!$A$2:$A$80)),"info: no usable placement photo, so nothing counts as placed; ","")&amp;IF(AND($U216&gt;0,$I216&lt;&gt;"",IF(config!$B$37&lt;&gt;"",config!$B$37,TODAY())&gt;WORKDAY(N($I216),4,calendar!$A$2:$A$80),N($AL216)&lt;config!$B$30),"info: under "&amp;config!$B$30&amp;" responses; ","")&amp;IF($W216="packing_list","info: delivered count not verified; ",""))</f>
        <v/>
      </c>
      <c r="AQ216" s="25">
        <f>IF(OR($A216="",$I216=""),"",IF($BC216="Y",SUMIFS(survey_frozen!$E$2:$E$251,survey_frozen!$P$2:$P$251,$A216&amp;"|"&amp;$B216),IFERROR(COUNTIFS(INDIRECT("'"&amp;$A216&amp;"'!$B$2:$B$501"),$T216,INDIRECT("'"&amp;$A216&amp;"'!$A$2:$A$501"),"&gt;="&amp;$I216,INDIRECT("'"&amp;$A216&amp;"'!$A$2:$A$501"),"&lt;"&amp;($BA216+1),INDIRECT("'"&amp;$A216&amp;"'!$F$2:$F$501"),"Didn't see it"),0)))</f>
        <v/>
      </c>
      <c r="AR216" s="25">
        <f>IF(OR($A216="",$I216=""),"",IF($BC216="Y",SUMIFS(survey_frozen!$F$2:$F$251,survey_frozen!$P$2:$P$251,$A216&amp;"|"&amp;$B216),IFERROR(COUNTIFS(INDIRECT("'"&amp;$A216&amp;"'!$B$2:$B$501"),$T216,INDIRECT("'"&amp;$A216&amp;"'!$A$2:$A$501"),"&gt;="&amp;$I216,INDIRECT("'"&amp;$A216&amp;"'!$A$2:$A$501"),"&lt;"&amp;($BA216+1),INDIRECT("'"&amp;$A216&amp;"'!$F$2:$F$501"),"Not for me"),0)))</f>
        <v/>
      </c>
      <c r="AS216" s="25">
        <f>IF(OR($A216="",$I216=""),"",IF($BC216="Y",SUMIFS(survey_frozen!$G$2:$G$251,survey_frozen!$P$2:$P$251,$A216&amp;"|"&amp;$B216),IFERROR(COUNTIFS(INDIRECT("'"&amp;$A216&amp;"'!$B$2:$B$501"),$T216,INDIRECT("'"&amp;$A216&amp;"'!$A$2:$A$501"),"&gt;="&amp;$I216,INDIRECT("'"&amp;$A216&amp;"'!$A$2:$A$501"),"&lt;"&amp;($BA216+1),INDIRECT("'"&amp;$A216&amp;"'!$F$2:$F$501"),"Gone by the time I looked"),0)))</f>
        <v/>
      </c>
      <c r="AT216" s="25">
        <f>IF(OR($A216="",$I216=""),"",IF($BC216="Y",SUMIFS(survey_frozen!$H$2:$H$251,survey_frozen!$P$2:$P$251,$A216&amp;"|"&amp;$B216),IFERROR(COUNTIFS(INDIRECT("'"&amp;$A216&amp;"'!$B$2:$B$501"),$T216,INDIRECT("'"&amp;$A216&amp;"'!$A$2:$A$501"),"&gt;="&amp;$I216,INDIRECT("'"&amp;$A216&amp;"'!$A$2:$A$501"),"&lt;"&amp;($BA216+1),INDIRECT("'"&amp;$A216&amp;"'!$D$2:$D$501"),"&gt;=1"),0)))</f>
        <v/>
      </c>
      <c r="AU216" s="25">
        <f>IF(OR($A216="",$I216=""),"",IF($BC216="Y",SUMIFS(survey_frozen!$I$2:$I$251,survey_frozen!$P$2:$P$251,$A216&amp;"|"&amp;$B216),IFERROR(SUMIFS(INDIRECT("'"&amp;$A216&amp;"'!$D$2:$D$501"),INDIRECT("'"&amp;$A216&amp;"'!$B$2:$B$501"),$T216,INDIRECT("'"&amp;$A216&amp;"'!$A$2:$A$501"),"&gt;="&amp;$I216,INDIRECT("'"&amp;$A216&amp;"'!$A$2:$A$501"),"&lt;"&amp;($BA216+1)),0)))</f>
        <v/>
      </c>
      <c r="AV216" s="25">
        <f>IF(OR($A216="",$I216=""),"",IF($BC216="Y",SUMIFS(survey_frozen!$J$2:$J$251,survey_frozen!$P$2:$P$251,$A216&amp;"|"&amp;$B216),IFERROR(COUNTIFS(INDIRECT("'"&amp;$A216&amp;"'!$B$2:$B$501"),$T216,INDIRECT("'"&amp;$A216&amp;"'!$A$2:$A$501"),"&gt;="&amp;$I216,INDIRECT("'"&amp;$A216&amp;"'!$A$2:$A$501"),"&lt;"&amp;($BA216+1),INDIRECT("'"&amp;$A216&amp;"'!$E$2:$E$501"),"Yes"),0)))</f>
        <v/>
      </c>
      <c r="AW216" s="25">
        <f>IF(OR($A216="",$I216=""),"",IF($BC216="Y",SUMIFS(survey_frozen!$K$2:$K$251,survey_frozen!$P$2:$P$251,$A216&amp;"|"&amp;$B216),IFERROR(COUNTIFS(INDIRECT("'"&amp;$A216&amp;"'!$B$2:$B$501"),$T216,INDIRECT("'"&amp;$A216&amp;"'!$A$2:$A$501"),"&gt;="&amp;$I216,INDIRECT("'"&amp;$A216&amp;"'!$A$2:$A$501"),"&lt;"&amp;($BA216+1),INDIRECT("'"&amp;$A216&amp;"'!$E$2:$E$501"),"Maybe"),0)))</f>
        <v/>
      </c>
      <c r="AX216" s="25">
        <f>IF(OR($A216="",$I216=""),"",IF($BC216="Y",SUMIFS(survey_frozen!$L$2:$L$251,survey_frozen!$P$2:$P$251,$A216&amp;"|"&amp;$B216),IFERROR(COUNTIFS(INDIRECT("'"&amp;$A216&amp;"'!$B$2:$B$501"),$T216,INDIRECT("'"&amp;$A216&amp;"'!$A$2:$A$501"),"&gt;="&amp;$I216,INDIRECT("'"&amp;$A216&amp;"'!$A$2:$A$501"),"&lt;"&amp;($BA216+1),INDIRECT("'"&amp;$A216&amp;"'!$E$2:$E$501"),"No"),0)))</f>
        <v/>
      </c>
      <c r="AY216" s="25">
        <f>IF(OR($A216="",$I216=""),"",IF($BC216="Y",SUMIFS(survey_frozen!$M$2:$M$251,survey_frozen!$P$2:$P$251,$A216&amp;"|"&amp;$B216),IFERROR(COUNTIFS(INDIRECT("'"&amp;$A216&amp;"'!$B$2:$B$501"),$T216,INDIRECT("'"&amp;$A216&amp;"'!$A$2:$A$501"),"&gt;="&amp;$I216,INDIRECT("'"&amp;$A216&amp;"'!$A$2:$A$501"),"&lt;"&amp;($BA216+1),INDIRECT("'"&amp;$A216&amp;"'!$G$2:$G$501"),"&lt;&gt;"),0)))</f>
        <v/>
      </c>
      <c r="AZ216" s="25">
        <f>IF($A216="","",$A216&amp;"|"&amp;$L216)</f>
        <v/>
      </c>
      <c r="BA216" s="26">
        <f>IF($A216="","",IFERROR(IF(INDEX(drops!$R$2:$R$21,MATCH($H216,drops!$A$2:$A$21,0))="","",INDEX(drops!$R$2:$R$21,MATCH($H216,drops!$A$2:$A$21,0))),""))</f>
        <v/>
      </c>
      <c r="BB216" s="25">
        <f>IF(OR($A216="",$Q216&lt;&gt;"Y"),1000000,N($AL216))</f>
        <v/>
      </c>
      <c r="BC216" s="25">
        <f>IF($A216="","",IF(COUNTIF(survey_frozen!$P$2:$P$251,$A216&amp;"|"&amp;$B216)&gt;0,"Y",""))</f>
        <v/>
      </c>
    </row>
    <row r="217">
      <c r="C217" s="9" t="n"/>
      <c r="E217" s="9" t="n"/>
      <c r="H217" s="25">
        <f>IF($A217="","",IFERROR(IF(INDEX(campaigns!$B$2:$B$51,MATCH($A217,campaigns!$A$2:$A$51,0))="","",INDEX(campaigns!$B$2:$B$51,MATCH($A217,campaigns!$A$2:$A$51,0))),""))</f>
        <v/>
      </c>
      <c r="I217" s="26">
        <f>IF($A217="","",IFERROR(IF(INDEX(campaigns!$BG$2:$BG$51,MATCH($A217,campaigns!$A$2:$A$51,0))="","",INDEX(campaigns!$BG$2:$BG$51,MATCH($A217,campaigns!$A$2:$A$51,0))),""))</f>
        <v/>
      </c>
      <c r="J217" s="25">
        <f>IF($A217="","",IFERROR(IF(INDEX(campaigns!$BE$2:$BE$51,MATCH($A217,campaigns!$A$2:$A$51,0))="","",INDEX(campaigns!$BE$2:$BE$51,MATCH($A217,campaigns!$A$2:$A$51,0))),""))</f>
        <v/>
      </c>
      <c r="K217" s="25">
        <f>IF($B217="","",IFERROR(IF(INDEX(offices!$N$2:$N$61,MATCH($B217,offices!$A$2:$A$61,0))="","",INDEX(offices!$N$2:$N$61,MATCH($B217,offices!$A$2:$A$61,0))),""))</f>
        <v/>
      </c>
      <c r="L217" s="25">
        <f>IF($A217="","",IF($Q217="N","",COUNTIFS($A$2:$A217,$A217,$Q$2:$Q217,"&lt;&gt;N")))</f>
        <v/>
      </c>
      <c r="M217" s="25">
        <f>IF(OR($A217="",$L217=""),"",IF(AND(config!$B$34="names_if_public",IFERROR(IF(INDEX(offices!$AF$2:$AF$61,MATCH($B217,offices!$A$2:$A$61,0))="","",INDEX(offices!$AF$2:$AF$61,MATCH($B217,offices!$A$2:$A$61,0))),"")="Y"),$K217,CHAR(64+$L217)))</f>
        <v/>
      </c>
      <c r="N217" s="25">
        <f>IF(OR($A217="",$I217=""),"",COUNTIFS(stops!$B$2:$B$151,$B217,stops!$P$2:$P$151,"&lt;"&amp;$I217,stops!$L$2:$L$151,"&lt;&gt;not_delivered")+1)</f>
        <v/>
      </c>
      <c r="O217" s="25">
        <f>IF($A217="","",IF(N($N217)&lt;=config!$B$29,"explicit","opt-out"))</f>
        <v/>
      </c>
      <c r="P217" s="25">
        <f>IF($A217="","",IF($O217="explicit",IF($D217="yes","Y",IF($D217="no","N","pending")),IF($D217="no","N",IF(AND($C217&lt;&gt;"",$I217&lt;&gt;"",$C217&lt;=WORKDAY(N($I217),-5,calendar!$A$2:$A$80)),"Y","pending"))))</f>
        <v/>
      </c>
      <c r="Q217" s="25">
        <f>IF($A217="","",IF($P217="N","N",IF($P217&lt;&gt;"Y","pending",IF(AND((COUNTIFS(stops!$A$2:$A$151,$H217,stops!$B$2:$B$151,$B217,stops!$L$2:$L$151,"declined")+COUNTIFS(stops!$A$2:$A$151,$H217,stops!$B$2:$B$151,$B217,stops!$L$2:$L$151,"building_refused")+COUNTIFS(stops!$A$2:$A$151,$H217,stops!$B$2:$B$151,$B217,stops!$L$2:$L$151,"not_delivered"))&gt;0,N($U217)=0),"N","Y"))))</f>
        <v/>
      </c>
      <c r="R217" s="25">
        <f>IF($A217="","",IF(COUNTIFS($A$2:$A$251,$A217,$B$2:$B$251,$B217)&gt;1,"DUPLICATE ROW; ","")&amp;IF(AND(IFERROR(IF(INDEX(offices!$AC$2:$AC$61,MATCH($B217,offices!$A$2:$A$61,0))="","",INDEX(offices!$AC$2:$AC$61,MATCH($B217,offices!$A$2:$A$61,0))),"")&lt;&gt;"",ISNUMBER(SEARCH($J217,IFERROR(IF(INDEX(offices!$AC$2:$AC$61,MATCH($B217,offices!$A$2:$A$61,0))="","",INDEX(offices!$AC$2:$AC$61,MATCH($B217,offices!$A$2:$A$61,0))),"")))),"BRAND VETOED; ","")&amp;IF(ISNUMBER(SEARCH(IFERROR(IF(INDEX(campaigns!$BF$2:$BF$51,MATCH($A217,campaigns!$A$2:$A$51,0))="","",INDEX(campaigns!$BF$2:$BF$51,MATCH($A217,campaigns!$A$2:$A$51,0))),""),IFERROR(IF(INDEX(offices!$AB$2:$AB$61,MATCH($B217,offices!$A$2:$A$61,0))="","",INDEX(offices!$AB$2:$AB$61,MATCH($B217,offices!$A$2:$A$61,0))),""))),"","info: category not on the office's list; ")&amp;IF(IFERROR(IF(INDEX(offices!$AC$2:$AC$61,MATCH($B217,offices!$A$2:$A$61,0))="","",INDEX(offices!$AC$2:$AC$61,MATCH($B217,offices!$A$2:$A$61,0))),"")&lt;&gt;"","info: read the vetoes against the label; ",""))</f>
        <v/>
      </c>
      <c r="S217" s="25">
        <f>IF($A217="","",IF($G217&lt;&gt;"",$G217,IFERROR(IF(INDEX(offices!$AL$2:$AL$61,MATCH($B217,offices!$A$2:$A$61,0))="","",INDEX(offices!$AL$2:$AL$61,MATCH($B217,offices!$A$2:$A$61,0))),"")))</f>
        <v/>
      </c>
      <c r="T217" s="25">
        <f>IF($A217="","",$A217&amp;"."&amp;$B217)</f>
        <v/>
      </c>
      <c r="U217" s="25">
        <f>IF($A217="","",SUMIFS(inventory!$G$2:$G$801,inventory!$C$2:$C$801,$A217,inventory!$D$2:$D$801,$B217,inventory!$E$2:$E$801,"delivered"))</f>
        <v/>
      </c>
      <c r="V217" s="32">
        <f>IF($A217="","",IFERROR(1/(1/SUMPRODUCT(MAX((inventory!$C$2:$C$801=$A217)*(inventory!$D$2:$D$801=$B217)*(inventory!$E$2:$E$801="delivered")*(inventory!$A$2:$A$801+inventory!$B$2:$B$801)))),""))</f>
        <v/>
      </c>
      <c r="W217" s="25">
        <f>IF($A217="","",IFERROR(IF(INDEX(inventory!$J$2:$J$801,MATCH($A217&amp;"|"&amp;$B217&amp;"|delivered",inventory!$R$2:$R$801,0))="","",INDEX(inventory!$J$2:$J$801,MATCH($A217&amp;"|"&amp;$B217&amp;"|delivered",inventory!$R$2:$R$801,0))),""))</f>
        <v/>
      </c>
      <c r="X217" s="25">
        <f>IF($A217="","",IFERROR(IF(INDEX(photos!$H$2:$H$701,MATCH($A217&amp;"|"&amp;$B217&amp;"|placement|Y",photos!$R$2:$R$701,0))="","",INDEX(photos!$H$2:$H$701,MATCH($A217&amp;"|"&amp;$B217&amp;"|placement|Y",photos!$R$2:$R$701,0))),""))</f>
        <v/>
      </c>
      <c r="Y217" s="26">
        <f>IF($A217="","",IFERROR(IF(INDEX(photos!$E$2:$E$701,MATCH($A217&amp;"|"&amp;$B217&amp;"|placement|Y",photos!$R$2:$R$701,0))="","",INDEX(photos!$E$2:$E$701,MATCH($A217&amp;"|"&amp;$B217&amp;"|placement|Y",photos!$R$2:$R$701,0))),""))</f>
        <v/>
      </c>
      <c r="Z217" s="25">
        <f>IF($A217="","",IF(COUNTIFS(counts!$C$2:$C$701,$A217,counts!$D$2:$D$701,$B217,counts!$E$2:$E$701,"placed")=0,"",SUMIFS(counts!$F$2:$F$701,counts!$C$2:$C$701,$A217,counts!$D$2:$D$701,$B217,counts!$E$2:$E$701,"placed")))</f>
        <v/>
      </c>
      <c r="AA217" s="25">
        <f>IF($A217="","",IF($Y217="",0,N($Z217)))</f>
        <v/>
      </c>
      <c r="AB217" s="25">
        <f>IF($A217="","",IF(OR($Y217="",$I217=""),"N",IF($Y217&lt;=WORKDAY(N($I217),1,calendar!$A$2:$A$80),"Y","N")))</f>
        <v/>
      </c>
      <c r="AC217" s="28">
        <f>IF(OR($A217="",$V217="",$Y217=""),"",ROUND(($Y217+N(IFERROR(IF(INDEX(photos!$F$2:$F$701,MATCH($A217&amp;"|"&amp;$B217&amp;"|placement|Y",photos!$R$2:$R$701,0))="","",INDEX(photos!$F$2:$F$701,MATCH($A217&amp;"|"&amp;$B217&amp;"|placement|Y",photos!$R$2:$R$701,0))),""))-$V217)*24,1))</f>
        <v/>
      </c>
      <c r="AD217" s="25">
        <f>IF($A217="","",SUMIFS(inventory!$G$2:$G$801,inventory!$C$2:$C$801,$A217,inventory!$D$2:$D$801,$B217,inventory!$E$2:$E$801,"topped_up"))</f>
        <v/>
      </c>
      <c r="AE217" s="25">
        <f>IF($A217="","",IF(COUNTIFS(counts!$C$2:$C$701,$A217,counts!$D$2:$D$701,$B217,counts!$E$2:$E$701,"remaining_day3")=0,"",SUMIFS(counts!$F$2:$F$701,counts!$C$2:$C$701,$A217,counts!$D$2:$D$701,$B217,counts!$E$2:$E$701,"remaining_day3")))</f>
        <v/>
      </c>
      <c r="AF217" s="25">
        <f>IF($A217="","",IF(COUNTIFS(counts!$C$2:$C$701,$A217,counts!$D$2:$D$701,$B217,counts!$E$2:$E$701,"remaining_day5")=0,"",SUMIFS(counts!$F$2:$F$701,counts!$C$2:$C$701,$A217,counts!$D$2:$D$701,$B217,counts!$E$2:$E$701,"remaining_day5")))</f>
        <v/>
      </c>
      <c r="AG217" s="25">
        <f>IF(OR($A217="",$AF217=""),"",MAX(0,$AA217+$AD217-$AF217))</f>
        <v/>
      </c>
      <c r="AH217" s="25">
        <f>IF(OR($A217="",$AI217=""),"",IFERROR(IF(INDEX(photos!$H$2:$H$701,MATCH($A217&amp;"|"&amp;$B217&amp;"|later|Y|"&amp;$AI217,photos!$S$2:$S$701,0))="","",INDEX(photos!$H$2:$H$701,MATCH($A217&amp;"|"&amp;$B217&amp;"|later|Y|"&amp;$AI217,photos!$S$2:$S$701,0))),""))</f>
        <v/>
      </c>
      <c r="AI217" s="26">
        <f>IF($A217="","",IFERROR(1/(1/SUMPRODUCT(MAX((photos!$B$2:$B$701=$A217)*(photos!$C$2:$C$701=$B217)*(photos!$D$2:$D$701="later")*(photos!$O$2:$O$701="Y")*photos!$E$2:$E$701))),""))</f>
        <v/>
      </c>
      <c r="AJ217" s="25">
        <f>IF(OR($A217="",$AI217="",$I217=""),"",NETWORKDAYS($I217,$AI217,calendar!$A$2:$A$80))</f>
        <v/>
      </c>
      <c r="AK217" s="25">
        <f>IF($A217="","",IF(AND($X217&lt;&gt;"",$AH217&lt;&gt;""),"Y","N"))</f>
        <v/>
      </c>
      <c r="AL217" s="25">
        <f>IF(OR($A217="",$I217=""),"",IF($BC217="Y",SUMIFS(survey_frozen!$C$2:$C$251,survey_frozen!$P$2:$P$251,$A217&amp;"|"&amp;$B217),IFERROR(COUNTIFS(INDIRECT("'"&amp;$A217&amp;"'!$B$2:$B$501"),$T217,INDIRECT("'"&amp;$A217&amp;"'!$A$2:$A$501"),"&gt;="&amp;$I217,INDIRECT("'"&amp;$A217&amp;"'!$A$2:$A$501"),"&lt;"&amp;($BA217+1)),0)))</f>
        <v/>
      </c>
      <c r="AM217" s="25">
        <f>IF(OR($A217="",$I217=""),"",IF($BC217="Y",SUMIFS(survey_frozen!$D$2:$D$251,survey_frozen!$P$2:$P$251,$A217&amp;"|"&amp;$B217),IFERROR(COUNTIFS(INDIRECT("'"&amp;$A217&amp;"'!$B$2:$B$501"),$T217,INDIRECT("'"&amp;$A217&amp;"'!$A$2:$A$501"),"&gt;="&amp;$I217,INDIRECT("'"&amp;$A217&amp;"'!$A$2:$A$501"),"&lt;"&amp;($BA217+1),INDIRECT("'"&amp;$A217&amp;"'!$C$2:$C$501"),"Yes"),0)))</f>
        <v/>
      </c>
      <c r="AN217" s="25">
        <f>IF($A217="","",IF(COUNTIFS(scans!$C$2:$C$1601,(IF(LEFT($A217,7)="SAMPLE-","SAMPLE-","")&amp;LOWER(SUBSTITUTE(SUBSTITUTE($A217,"SAMPLE-",""),"CMP-","c"))&amp;"-"&amp;LOWER(SUBSTITUTE(SUBSTITUTE($B217,"SAMPLE-",""),"O-","o"))&amp;"-q"),scans!$D$2:$D$1601,"close")=0,"",SUMPRODUCT(MAX((scans!$C$2:$C$1601=(IF(LEFT($A217,7)="SAMPLE-","SAMPLE-","")&amp;LOWER(SUBSTITUTE(SUBSTITUTE($A217,"SAMPLE-",""),"CMP-","c"))&amp;"-"&amp;LOWER(SUBSTITUTE(SUBSTITUTE($B217,"SAMPLE-",""),"O-","o"))&amp;"-q"))*(scans!$D$2:$D$1601="close")*scans!$E$2:$E$1601))-SUMPRODUCT(MAX((scans!$C$2:$C$1601=(IF(LEFT($A217,7)="SAMPLE-","SAMPLE-","")&amp;LOWER(SUBSTITUTE(SUBSTITUTE($A217,"SAMPLE-",""),"CMP-","c"))&amp;"-"&amp;LOWER(SUBSTITUTE(SUBSTITUTE($B217,"SAMPLE-",""),"O-","o"))&amp;"-q"))*(scans!$D$2:$D$1601="baseline")*scans!$E$2:$E$1601))))</f>
        <v/>
      </c>
      <c r="AO217" s="25">
        <f>IF($A217="","",IF(COUNTIFS(scans!$C$2:$C$1601,(IF(LEFT($A217,7)="SAMPLE-","SAMPLE-","")&amp;LOWER(SUBSTITUTE(SUBSTITUTE($A217,"SAMPLE-",""),"CMP-","c"))&amp;"-"&amp;LOWER(SUBSTITUTE(SUBSTITUTE($B217,"SAMPLE-",""),"O-","o"))&amp;"-p"),scans!$D$2:$D$1601,"close")=0,"",SUMPRODUCT(MAX((scans!$C$2:$C$1601=(IF(LEFT($A217,7)="SAMPLE-","SAMPLE-","")&amp;LOWER(SUBSTITUTE(SUBSTITUTE($A217,"SAMPLE-",""),"CMP-","c"))&amp;"-"&amp;LOWER(SUBSTITUTE(SUBSTITUTE($B217,"SAMPLE-",""),"O-","o"))&amp;"-p"))*(scans!$D$2:$D$1601="close")*scans!$E$2:$E$1601))-SUMPRODUCT(MAX((scans!$C$2:$C$1601=(IF(LEFT($A217,7)="SAMPLE-","SAMPLE-","")&amp;LOWER(SUBSTITUTE(SUBSTITUTE($A217,"SAMPLE-",""),"CMP-","c"))&amp;"-"&amp;LOWER(SUBSTITUTE(SUBSTITUTE($B217,"SAMPLE-",""),"O-","o"))&amp;"-p"))*(scans!$D$2:$D$1601="baseline")*scans!$E$2:$E$1601))))</f>
        <v/>
      </c>
      <c r="AP217" s="25">
        <f>IF($A217="","",IF(COUNTIF(offices!$A$2:$A$61,$B217)=0,"office_id not on offices; ","")&amp;IF(COUNTIF(campaigns!$A$2:$A$51,$A217)=0,"campaign_id not on campaigns; ","")&amp;IF($P217="pending","approval pending; ","")&amp;IF(AND($U217&gt;0,$Y217="",OR($I217="",IF(config!$B$37&lt;&gt;"",config!$B$37,TODAY())&lt;=WORKDAY(N($I217),4,calendar!$A$2:$A$80))),"no usable placement photo yet; ","")&amp;IF(AND($Y217&lt;&gt;"",$Z217=""),"log the placed count; ","")&amp;IF(N($AA217)&gt;N($U217),"placed more than delivered; ","")&amp;IF(AND($AF217&lt;&gt;"",N($AF217)&gt;N($AA217)+N($AD217)),"day-5 count above placed plus top-ups; ","")&amp;IF(AND($U217&gt;0,$I217&lt;&gt;"",IF(config!$B$37&lt;&gt;"",config!$B$37,TODAY())&gt;WORKDAY(N($I217),4,calendar!$A$2:$A$80),$AF217=""),"day-5 count missing; ","")&amp;IF(AND($U217&gt;0,$I217&lt;&gt;"",IF(config!$B$37&lt;&gt;"",config!$B$37,TODAY())&gt;WORKDAY(N($I217),4,calendar!$A$2:$A$80),$AN217=""),"no close link reading; ","")&amp;$R217&amp;IF($P217="N","info: office said no; ","")&amp;IF(AND($P217="Y",$Q217="N"),"info: turned away at the door, so not on the drop (no letter, not in the report or Gate 2; the credit check is on campaigns); ","")&amp;IF(AND($U217&gt;0,$Y217="",$I217&lt;&gt;"",IF(config!$B$37&lt;&gt;"",config!$B$37,TODAY())&gt;WORKDAY(N($I217),4,calendar!$A$2:$A$80)),"info: no usable placement photo, so nothing counts as placed; ","")&amp;IF(AND($U217&gt;0,$I217&lt;&gt;"",IF(config!$B$37&lt;&gt;"",config!$B$37,TODAY())&gt;WORKDAY(N($I217),4,calendar!$A$2:$A$80),N($AL217)&lt;config!$B$30),"info: under "&amp;config!$B$30&amp;" responses; ","")&amp;IF($W217="packing_list","info: delivered count not verified; ",""))</f>
        <v/>
      </c>
      <c r="AQ217" s="25">
        <f>IF(OR($A217="",$I217=""),"",IF($BC217="Y",SUMIFS(survey_frozen!$E$2:$E$251,survey_frozen!$P$2:$P$251,$A217&amp;"|"&amp;$B217),IFERROR(COUNTIFS(INDIRECT("'"&amp;$A217&amp;"'!$B$2:$B$501"),$T217,INDIRECT("'"&amp;$A217&amp;"'!$A$2:$A$501"),"&gt;="&amp;$I217,INDIRECT("'"&amp;$A217&amp;"'!$A$2:$A$501"),"&lt;"&amp;($BA217+1),INDIRECT("'"&amp;$A217&amp;"'!$F$2:$F$501"),"Didn't see it"),0)))</f>
        <v/>
      </c>
      <c r="AR217" s="25">
        <f>IF(OR($A217="",$I217=""),"",IF($BC217="Y",SUMIFS(survey_frozen!$F$2:$F$251,survey_frozen!$P$2:$P$251,$A217&amp;"|"&amp;$B217),IFERROR(COUNTIFS(INDIRECT("'"&amp;$A217&amp;"'!$B$2:$B$501"),$T217,INDIRECT("'"&amp;$A217&amp;"'!$A$2:$A$501"),"&gt;="&amp;$I217,INDIRECT("'"&amp;$A217&amp;"'!$A$2:$A$501"),"&lt;"&amp;($BA217+1),INDIRECT("'"&amp;$A217&amp;"'!$F$2:$F$501"),"Not for me"),0)))</f>
        <v/>
      </c>
      <c r="AS217" s="25">
        <f>IF(OR($A217="",$I217=""),"",IF($BC217="Y",SUMIFS(survey_frozen!$G$2:$G$251,survey_frozen!$P$2:$P$251,$A217&amp;"|"&amp;$B217),IFERROR(COUNTIFS(INDIRECT("'"&amp;$A217&amp;"'!$B$2:$B$501"),$T217,INDIRECT("'"&amp;$A217&amp;"'!$A$2:$A$501"),"&gt;="&amp;$I217,INDIRECT("'"&amp;$A217&amp;"'!$A$2:$A$501"),"&lt;"&amp;($BA217+1),INDIRECT("'"&amp;$A217&amp;"'!$F$2:$F$501"),"Gone by the time I looked"),0)))</f>
        <v/>
      </c>
      <c r="AT217" s="25">
        <f>IF(OR($A217="",$I217=""),"",IF($BC217="Y",SUMIFS(survey_frozen!$H$2:$H$251,survey_frozen!$P$2:$P$251,$A217&amp;"|"&amp;$B217),IFERROR(COUNTIFS(INDIRECT("'"&amp;$A217&amp;"'!$B$2:$B$501"),$T217,INDIRECT("'"&amp;$A217&amp;"'!$A$2:$A$501"),"&gt;="&amp;$I217,INDIRECT("'"&amp;$A217&amp;"'!$A$2:$A$501"),"&lt;"&amp;($BA217+1),INDIRECT("'"&amp;$A217&amp;"'!$D$2:$D$501"),"&gt;=1"),0)))</f>
        <v/>
      </c>
      <c r="AU217" s="25">
        <f>IF(OR($A217="",$I217=""),"",IF($BC217="Y",SUMIFS(survey_frozen!$I$2:$I$251,survey_frozen!$P$2:$P$251,$A217&amp;"|"&amp;$B217),IFERROR(SUMIFS(INDIRECT("'"&amp;$A217&amp;"'!$D$2:$D$501"),INDIRECT("'"&amp;$A217&amp;"'!$B$2:$B$501"),$T217,INDIRECT("'"&amp;$A217&amp;"'!$A$2:$A$501"),"&gt;="&amp;$I217,INDIRECT("'"&amp;$A217&amp;"'!$A$2:$A$501"),"&lt;"&amp;($BA217+1)),0)))</f>
        <v/>
      </c>
      <c r="AV217" s="25">
        <f>IF(OR($A217="",$I217=""),"",IF($BC217="Y",SUMIFS(survey_frozen!$J$2:$J$251,survey_frozen!$P$2:$P$251,$A217&amp;"|"&amp;$B217),IFERROR(COUNTIFS(INDIRECT("'"&amp;$A217&amp;"'!$B$2:$B$501"),$T217,INDIRECT("'"&amp;$A217&amp;"'!$A$2:$A$501"),"&gt;="&amp;$I217,INDIRECT("'"&amp;$A217&amp;"'!$A$2:$A$501"),"&lt;"&amp;($BA217+1),INDIRECT("'"&amp;$A217&amp;"'!$E$2:$E$501"),"Yes"),0)))</f>
        <v/>
      </c>
      <c r="AW217" s="25">
        <f>IF(OR($A217="",$I217=""),"",IF($BC217="Y",SUMIFS(survey_frozen!$K$2:$K$251,survey_frozen!$P$2:$P$251,$A217&amp;"|"&amp;$B217),IFERROR(COUNTIFS(INDIRECT("'"&amp;$A217&amp;"'!$B$2:$B$501"),$T217,INDIRECT("'"&amp;$A217&amp;"'!$A$2:$A$501"),"&gt;="&amp;$I217,INDIRECT("'"&amp;$A217&amp;"'!$A$2:$A$501"),"&lt;"&amp;($BA217+1),INDIRECT("'"&amp;$A217&amp;"'!$E$2:$E$501"),"Maybe"),0)))</f>
        <v/>
      </c>
      <c r="AX217" s="25">
        <f>IF(OR($A217="",$I217=""),"",IF($BC217="Y",SUMIFS(survey_frozen!$L$2:$L$251,survey_frozen!$P$2:$P$251,$A217&amp;"|"&amp;$B217),IFERROR(COUNTIFS(INDIRECT("'"&amp;$A217&amp;"'!$B$2:$B$501"),$T217,INDIRECT("'"&amp;$A217&amp;"'!$A$2:$A$501"),"&gt;="&amp;$I217,INDIRECT("'"&amp;$A217&amp;"'!$A$2:$A$501"),"&lt;"&amp;($BA217+1),INDIRECT("'"&amp;$A217&amp;"'!$E$2:$E$501"),"No"),0)))</f>
        <v/>
      </c>
      <c r="AY217" s="25">
        <f>IF(OR($A217="",$I217=""),"",IF($BC217="Y",SUMIFS(survey_frozen!$M$2:$M$251,survey_frozen!$P$2:$P$251,$A217&amp;"|"&amp;$B217),IFERROR(COUNTIFS(INDIRECT("'"&amp;$A217&amp;"'!$B$2:$B$501"),$T217,INDIRECT("'"&amp;$A217&amp;"'!$A$2:$A$501"),"&gt;="&amp;$I217,INDIRECT("'"&amp;$A217&amp;"'!$A$2:$A$501"),"&lt;"&amp;($BA217+1),INDIRECT("'"&amp;$A217&amp;"'!$G$2:$G$501"),"&lt;&gt;"),0)))</f>
        <v/>
      </c>
      <c r="AZ217" s="25">
        <f>IF($A217="","",$A217&amp;"|"&amp;$L217)</f>
        <v/>
      </c>
      <c r="BA217" s="26">
        <f>IF($A217="","",IFERROR(IF(INDEX(drops!$R$2:$R$21,MATCH($H217,drops!$A$2:$A$21,0))="","",INDEX(drops!$R$2:$R$21,MATCH($H217,drops!$A$2:$A$21,0))),""))</f>
        <v/>
      </c>
      <c r="BB217" s="25">
        <f>IF(OR($A217="",$Q217&lt;&gt;"Y"),1000000,N($AL217))</f>
        <v/>
      </c>
      <c r="BC217" s="25">
        <f>IF($A217="","",IF(COUNTIF(survey_frozen!$P$2:$P$251,$A217&amp;"|"&amp;$B217)&gt;0,"Y",""))</f>
        <v/>
      </c>
    </row>
    <row r="218">
      <c r="C218" s="9" t="n"/>
      <c r="E218" s="9" t="n"/>
      <c r="H218" s="25">
        <f>IF($A218="","",IFERROR(IF(INDEX(campaigns!$B$2:$B$51,MATCH($A218,campaigns!$A$2:$A$51,0))="","",INDEX(campaigns!$B$2:$B$51,MATCH($A218,campaigns!$A$2:$A$51,0))),""))</f>
        <v/>
      </c>
      <c r="I218" s="26">
        <f>IF($A218="","",IFERROR(IF(INDEX(campaigns!$BG$2:$BG$51,MATCH($A218,campaigns!$A$2:$A$51,0))="","",INDEX(campaigns!$BG$2:$BG$51,MATCH($A218,campaigns!$A$2:$A$51,0))),""))</f>
        <v/>
      </c>
      <c r="J218" s="25">
        <f>IF($A218="","",IFERROR(IF(INDEX(campaigns!$BE$2:$BE$51,MATCH($A218,campaigns!$A$2:$A$51,0))="","",INDEX(campaigns!$BE$2:$BE$51,MATCH($A218,campaigns!$A$2:$A$51,0))),""))</f>
        <v/>
      </c>
      <c r="K218" s="25">
        <f>IF($B218="","",IFERROR(IF(INDEX(offices!$N$2:$N$61,MATCH($B218,offices!$A$2:$A$61,0))="","",INDEX(offices!$N$2:$N$61,MATCH($B218,offices!$A$2:$A$61,0))),""))</f>
        <v/>
      </c>
      <c r="L218" s="25">
        <f>IF($A218="","",IF($Q218="N","",COUNTIFS($A$2:$A218,$A218,$Q$2:$Q218,"&lt;&gt;N")))</f>
        <v/>
      </c>
      <c r="M218" s="25">
        <f>IF(OR($A218="",$L218=""),"",IF(AND(config!$B$34="names_if_public",IFERROR(IF(INDEX(offices!$AF$2:$AF$61,MATCH($B218,offices!$A$2:$A$61,0))="","",INDEX(offices!$AF$2:$AF$61,MATCH($B218,offices!$A$2:$A$61,0))),"")="Y"),$K218,CHAR(64+$L218)))</f>
        <v/>
      </c>
      <c r="N218" s="25">
        <f>IF(OR($A218="",$I218=""),"",COUNTIFS(stops!$B$2:$B$151,$B218,stops!$P$2:$P$151,"&lt;"&amp;$I218,stops!$L$2:$L$151,"&lt;&gt;not_delivered")+1)</f>
        <v/>
      </c>
      <c r="O218" s="25">
        <f>IF($A218="","",IF(N($N218)&lt;=config!$B$29,"explicit","opt-out"))</f>
        <v/>
      </c>
      <c r="P218" s="25">
        <f>IF($A218="","",IF($O218="explicit",IF($D218="yes","Y",IF($D218="no","N","pending")),IF($D218="no","N",IF(AND($C218&lt;&gt;"",$I218&lt;&gt;"",$C218&lt;=WORKDAY(N($I218),-5,calendar!$A$2:$A$80)),"Y","pending"))))</f>
        <v/>
      </c>
      <c r="Q218" s="25">
        <f>IF($A218="","",IF($P218="N","N",IF($P218&lt;&gt;"Y","pending",IF(AND((COUNTIFS(stops!$A$2:$A$151,$H218,stops!$B$2:$B$151,$B218,stops!$L$2:$L$151,"declined")+COUNTIFS(stops!$A$2:$A$151,$H218,stops!$B$2:$B$151,$B218,stops!$L$2:$L$151,"building_refused")+COUNTIFS(stops!$A$2:$A$151,$H218,stops!$B$2:$B$151,$B218,stops!$L$2:$L$151,"not_delivered"))&gt;0,N($U218)=0),"N","Y"))))</f>
        <v/>
      </c>
      <c r="R218" s="25">
        <f>IF($A218="","",IF(COUNTIFS($A$2:$A$251,$A218,$B$2:$B$251,$B218)&gt;1,"DUPLICATE ROW; ","")&amp;IF(AND(IFERROR(IF(INDEX(offices!$AC$2:$AC$61,MATCH($B218,offices!$A$2:$A$61,0))="","",INDEX(offices!$AC$2:$AC$61,MATCH($B218,offices!$A$2:$A$61,0))),"")&lt;&gt;"",ISNUMBER(SEARCH($J218,IFERROR(IF(INDEX(offices!$AC$2:$AC$61,MATCH($B218,offices!$A$2:$A$61,0))="","",INDEX(offices!$AC$2:$AC$61,MATCH($B218,offices!$A$2:$A$61,0))),"")))),"BRAND VETOED; ","")&amp;IF(ISNUMBER(SEARCH(IFERROR(IF(INDEX(campaigns!$BF$2:$BF$51,MATCH($A218,campaigns!$A$2:$A$51,0))="","",INDEX(campaigns!$BF$2:$BF$51,MATCH($A218,campaigns!$A$2:$A$51,0))),""),IFERROR(IF(INDEX(offices!$AB$2:$AB$61,MATCH($B218,offices!$A$2:$A$61,0))="","",INDEX(offices!$AB$2:$AB$61,MATCH($B218,offices!$A$2:$A$61,0))),""))),"","info: category not on the office's list; ")&amp;IF(IFERROR(IF(INDEX(offices!$AC$2:$AC$61,MATCH($B218,offices!$A$2:$A$61,0))="","",INDEX(offices!$AC$2:$AC$61,MATCH($B218,offices!$A$2:$A$61,0))),"")&lt;&gt;"","info: read the vetoes against the label; ",""))</f>
        <v/>
      </c>
      <c r="S218" s="25">
        <f>IF($A218="","",IF($G218&lt;&gt;"",$G218,IFERROR(IF(INDEX(offices!$AL$2:$AL$61,MATCH($B218,offices!$A$2:$A$61,0))="","",INDEX(offices!$AL$2:$AL$61,MATCH($B218,offices!$A$2:$A$61,0))),"")))</f>
        <v/>
      </c>
      <c r="T218" s="25">
        <f>IF($A218="","",$A218&amp;"."&amp;$B218)</f>
        <v/>
      </c>
      <c r="U218" s="25">
        <f>IF($A218="","",SUMIFS(inventory!$G$2:$G$801,inventory!$C$2:$C$801,$A218,inventory!$D$2:$D$801,$B218,inventory!$E$2:$E$801,"delivered"))</f>
        <v/>
      </c>
      <c r="V218" s="32">
        <f>IF($A218="","",IFERROR(1/(1/SUMPRODUCT(MAX((inventory!$C$2:$C$801=$A218)*(inventory!$D$2:$D$801=$B218)*(inventory!$E$2:$E$801="delivered")*(inventory!$A$2:$A$801+inventory!$B$2:$B$801)))),""))</f>
        <v/>
      </c>
      <c r="W218" s="25">
        <f>IF($A218="","",IFERROR(IF(INDEX(inventory!$J$2:$J$801,MATCH($A218&amp;"|"&amp;$B218&amp;"|delivered",inventory!$R$2:$R$801,0))="","",INDEX(inventory!$J$2:$J$801,MATCH($A218&amp;"|"&amp;$B218&amp;"|delivered",inventory!$R$2:$R$801,0))),""))</f>
        <v/>
      </c>
      <c r="X218" s="25">
        <f>IF($A218="","",IFERROR(IF(INDEX(photos!$H$2:$H$701,MATCH($A218&amp;"|"&amp;$B218&amp;"|placement|Y",photos!$R$2:$R$701,0))="","",INDEX(photos!$H$2:$H$701,MATCH($A218&amp;"|"&amp;$B218&amp;"|placement|Y",photos!$R$2:$R$701,0))),""))</f>
        <v/>
      </c>
      <c r="Y218" s="26">
        <f>IF($A218="","",IFERROR(IF(INDEX(photos!$E$2:$E$701,MATCH($A218&amp;"|"&amp;$B218&amp;"|placement|Y",photos!$R$2:$R$701,0))="","",INDEX(photos!$E$2:$E$701,MATCH($A218&amp;"|"&amp;$B218&amp;"|placement|Y",photos!$R$2:$R$701,0))),""))</f>
        <v/>
      </c>
      <c r="Z218" s="25">
        <f>IF($A218="","",IF(COUNTIFS(counts!$C$2:$C$701,$A218,counts!$D$2:$D$701,$B218,counts!$E$2:$E$701,"placed")=0,"",SUMIFS(counts!$F$2:$F$701,counts!$C$2:$C$701,$A218,counts!$D$2:$D$701,$B218,counts!$E$2:$E$701,"placed")))</f>
        <v/>
      </c>
      <c r="AA218" s="25">
        <f>IF($A218="","",IF($Y218="",0,N($Z218)))</f>
        <v/>
      </c>
      <c r="AB218" s="25">
        <f>IF($A218="","",IF(OR($Y218="",$I218=""),"N",IF($Y218&lt;=WORKDAY(N($I218),1,calendar!$A$2:$A$80),"Y","N")))</f>
        <v/>
      </c>
      <c r="AC218" s="28">
        <f>IF(OR($A218="",$V218="",$Y218=""),"",ROUND(($Y218+N(IFERROR(IF(INDEX(photos!$F$2:$F$701,MATCH($A218&amp;"|"&amp;$B218&amp;"|placement|Y",photos!$R$2:$R$701,0))="","",INDEX(photos!$F$2:$F$701,MATCH($A218&amp;"|"&amp;$B218&amp;"|placement|Y",photos!$R$2:$R$701,0))),""))-$V218)*24,1))</f>
        <v/>
      </c>
      <c r="AD218" s="25">
        <f>IF($A218="","",SUMIFS(inventory!$G$2:$G$801,inventory!$C$2:$C$801,$A218,inventory!$D$2:$D$801,$B218,inventory!$E$2:$E$801,"topped_up"))</f>
        <v/>
      </c>
      <c r="AE218" s="25">
        <f>IF($A218="","",IF(COUNTIFS(counts!$C$2:$C$701,$A218,counts!$D$2:$D$701,$B218,counts!$E$2:$E$701,"remaining_day3")=0,"",SUMIFS(counts!$F$2:$F$701,counts!$C$2:$C$701,$A218,counts!$D$2:$D$701,$B218,counts!$E$2:$E$701,"remaining_day3")))</f>
        <v/>
      </c>
      <c r="AF218" s="25">
        <f>IF($A218="","",IF(COUNTIFS(counts!$C$2:$C$701,$A218,counts!$D$2:$D$701,$B218,counts!$E$2:$E$701,"remaining_day5")=0,"",SUMIFS(counts!$F$2:$F$701,counts!$C$2:$C$701,$A218,counts!$D$2:$D$701,$B218,counts!$E$2:$E$701,"remaining_day5")))</f>
        <v/>
      </c>
      <c r="AG218" s="25">
        <f>IF(OR($A218="",$AF218=""),"",MAX(0,$AA218+$AD218-$AF218))</f>
        <v/>
      </c>
      <c r="AH218" s="25">
        <f>IF(OR($A218="",$AI218=""),"",IFERROR(IF(INDEX(photos!$H$2:$H$701,MATCH($A218&amp;"|"&amp;$B218&amp;"|later|Y|"&amp;$AI218,photos!$S$2:$S$701,0))="","",INDEX(photos!$H$2:$H$701,MATCH($A218&amp;"|"&amp;$B218&amp;"|later|Y|"&amp;$AI218,photos!$S$2:$S$701,0))),""))</f>
        <v/>
      </c>
      <c r="AI218" s="26">
        <f>IF($A218="","",IFERROR(1/(1/SUMPRODUCT(MAX((photos!$B$2:$B$701=$A218)*(photos!$C$2:$C$701=$B218)*(photos!$D$2:$D$701="later")*(photos!$O$2:$O$701="Y")*photos!$E$2:$E$701))),""))</f>
        <v/>
      </c>
      <c r="AJ218" s="25">
        <f>IF(OR($A218="",$AI218="",$I218=""),"",NETWORKDAYS($I218,$AI218,calendar!$A$2:$A$80))</f>
        <v/>
      </c>
      <c r="AK218" s="25">
        <f>IF($A218="","",IF(AND($X218&lt;&gt;"",$AH218&lt;&gt;""),"Y","N"))</f>
        <v/>
      </c>
      <c r="AL218" s="25">
        <f>IF(OR($A218="",$I218=""),"",IF($BC218="Y",SUMIFS(survey_frozen!$C$2:$C$251,survey_frozen!$P$2:$P$251,$A218&amp;"|"&amp;$B218),IFERROR(COUNTIFS(INDIRECT("'"&amp;$A218&amp;"'!$B$2:$B$501"),$T218,INDIRECT("'"&amp;$A218&amp;"'!$A$2:$A$501"),"&gt;="&amp;$I218,INDIRECT("'"&amp;$A218&amp;"'!$A$2:$A$501"),"&lt;"&amp;($BA218+1)),0)))</f>
        <v/>
      </c>
      <c r="AM218" s="25">
        <f>IF(OR($A218="",$I218=""),"",IF($BC218="Y",SUMIFS(survey_frozen!$D$2:$D$251,survey_frozen!$P$2:$P$251,$A218&amp;"|"&amp;$B218),IFERROR(COUNTIFS(INDIRECT("'"&amp;$A218&amp;"'!$B$2:$B$501"),$T218,INDIRECT("'"&amp;$A218&amp;"'!$A$2:$A$501"),"&gt;="&amp;$I218,INDIRECT("'"&amp;$A218&amp;"'!$A$2:$A$501"),"&lt;"&amp;($BA218+1),INDIRECT("'"&amp;$A218&amp;"'!$C$2:$C$501"),"Yes"),0)))</f>
        <v/>
      </c>
      <c r="AN218" s="25">
        <f>IF($A218="","",IF(COUNTIFS(scans!$C$2:$C$1601,(IF(LEFT($A218,7)="SAMPLE-","SAMPLE-","")&amp;LOWER(SUBSTITUTE(SUBSTITUTE($A218,"SAMPLE-",""),"CMP-","c"))&amp;"-"&amp;LOWER(SUBSTITUTE(SUBSTITUTE($B218,"SAMPLE-",""),"O-","o"))&amp;"-q"),scans!$D$2:$D$1601,"close")=0,"",SUMPRODUCT(MAX((scans!$C$2:$C$1601=(IF(LEFT($A218,7)="SAMPLE-","SAMPLE-","")&amp;LOWER(SUBSTITUTE(SUBSTITUTE($A218,"SAMPLE-",""),"CMP-","c"))&amp;"-"&amp;LOWER(SUBSTITUTE(SUBSTITUTE($B218,"SAMPLE-",""),"O-","o"))&amp;"-q"))*(scans!$D$2:$D$1601="close")*scans!$E$2:$E$1601))-SUMPRODUCT(MAX((scans!$C$2:$C$1601=(IF(LEFT($A218,7)="SAMPLE-","SAMPLE-","")&amp;LOWER(SUBSTITUTE(SUBSTITUTE($A218,"SAMPLE-",""),"CMP-","c"))&amp;"-"&amp;LOWER(SUBSTITUTE(SUBSTITUTE($B218,"SAMPLE-",""),"O-","o"))&amp;"-q"))*(scans!$D$2:$D$1601="baseline")*scans!$E$2:$E$1601))))</f>
        <v/>
      </c>
      <c r="AO218" s="25">
        <f>IF($A218="","",IF(COUNTIFS(scans!$C$2:$C$1601,(IF(LEFT($A218,7)="SAMPLE-","SAMPLE-","")&amp;LOWER(SUBSTITUTE(SUBSTITUTE($A218,"SAMPLE-",""),"CMP-","c"))&amp;"-"&amp;LOWER(SUBSTITUTE(SUBSTITUTE($B218,"SAMPLE-",""),"O-","o"))&amp;"-p"),scans!$D$2:$D$1601,"close")=0,"",SUMPRODUCT(MAX((scans!$C$2:$C$1601=(IF(LEFT($A218,7)="SAMPLE-","SAMPLE-","")&amp;LOWER(SUBSTITUTE(SUBSTITUTE($A218,"SAMPLE-",""),"CMP-","c"))&amp;"-"&amp;LOWER(SUBSTITUTE(SUBSTITUTE($B218,"SAMPLE-",""),"O-","o"))&amp;"-p"))*(scans!$D$2:$D$1601="close")*scans!$E$2:$E$1601))-SUMPRODUCT(MAX((scans!$C$2:$C$1601=(IF(LEFT($A218,7)="SAMPLE-","SAMPLE-","")&amp;LOWER(SUBSTITUTE(SUBSTITUTE($A218,"SAMPLE-",""),"CMP-","c"))&amp;"-"&amp;LOWER(SUBSTITUTE(SUBSTITUTE($B218,"SAMPLE-",""),"O-","o"))&amp;"-p"))*(scans!$D$2:$D$1601="baseline")*scans!$E$2:$E$1601))))</f>
        <v/>
      </c>
      <c r="AP218" s="25">
        <f>IF($A218="","",IF(COUNTIF(offices!$A$2:$A$61,$B218)=0,"office_id not on offices; ","")&amp;IF(COUNTIF(campaigns!$A$2:$A$51,$A218)=0,"campaign_id not on campaigns; ","")&amp;IF($P218="pending","approval pending; ","")&amp;IF(AND($U218&gt;0,$Y218="",OR($I218="",IF(config!$B$37&lt;&gt;"",config!$B$37,TODAY())&lt;=WORKDAY(N($I218),4,calendar!$A$2:$A$80))),"no usable placement photo yet; ","")&amp;IF(AND($Y218&lt;&gt;"",$Z218=""),"log the placed count; ","")&amp;IF(N($AA218)&gt;N($U218),"placed more than delivered; ","")&amp;IF(AND($AF218&lt;&gt;"",N($AF218)&gt;N($AA218)+N($AD218)),"day-5 count above placed plus top-ups; ","")&amp;IF(AND($U218&gt;0,$I218&lt;&gt;"",IF(config!$B$37&lt;&gt;"",config!$B$37,TODAY())&gt;WORKDAY(N($I218),4,calendar!$A$2:$A$80),$AF218=""),"day-5 count missing; ","")&amp;IF(AND($U218&gt;0,$I218&lt;&gt;"",IF(config!$B$37&lt;&gt;"",config!$B$37,TODAY())&gt;WORKDAY(N($I218),4,calendar!$A$2:$A$80),$AN218=""),"no close link reading; ","")&amp;$R218&amp;IF($P218="N","info: office said no; ","")&amp;IF(AND($P218="Y",$Q218="N"),"info: turned away at the door, so not on the drop (no letter, not in the report or Gate 2; the credit check is on campaigns); ","")&amp;IF(AND($U218&gt;0,$Y218="",$I218&lt;&gt;"",IF(config!$B$37&lt;&gt;"",config!$B$37,TODAY())&gt;WORKDAY(N($I218),4,calendar!$A$2:$A$80)),"info: no usable placement photo, so nothing counts as placed; ","")&amp;IF(AND($U218&gt;0,$I218&lt;&gt;"",IF(config!$B$37&lt;&gt;"",config!$B$37,TODAY())&gt;WORKDAY(N($I218),4,calendar!$A$2:$A$80),N($AL218)&lt;config!$B$30),"info: under "&amp;config!$B$30&amp;" responses; ","")&amp;IF($W218="packing_list","info: delivered count not verified; ",""))</f>
        <v/>
      </c>
      <c r="AQ218" s="25">
        <f>IF(OR($A218="",$I218=""),"",IF($BC218="Y",SUMIFS(survey_frozen!$E$2:$E$251,survey_frozen!$P$2:$P$251,$A218&amp;"|"&amp;$B218),IFERROR(COUNTIFS(INDIRECT("'"&amp;$A218&amp;"'!$B$2:$B$501"),$T218,INDIRECT("'"&amp;$A218&amp;"'!$A$2:$A$501"),"&gt;="&amp;$I218,INDIRECT("'"&amp;$A218&amp;"'!$A$2:$A$501"),"&lt;"&amp;($BA218+1),INDIRECT("'"&amp;$A218&amp;"'!$F$2:$F$501"),"Didn't see it"),0)))</f>
        <v/>
      </c>
      <c r="AR218" s="25">
        <f>IF(OR($A218="",$I218=""),"",IF($BC218="Y",SUMIFS(survey_frozen!$F$2:$F$251,survey_frozen!$P$2:$P$251,$A218&amp;"|"&amp;$B218),IFERROR(COUNTIFS(INDIRECT("'"&amp;$A218&amp;"'!$B$2:$B$501"),$T218,INDIRECT("'"&amp;$A218&amp;"'!$A$2:$A$501"),"&gt;="&amp;$I218,INDIRECT("'"&amp;$A218&amp;"'!$A$2:$A$501"),"&lt;"&amp;($BA218+1),INDIRECT("'"&amp;$A218&amp;"'!$F$2:$F$501"),"Not for me"),0)))</f>
        <v/>
      </c>
      <c r="AS218" s="25">
        <f>IF(OR($A218="",$I218=""),"",IF($BC218="Y",SUMIFS(survey_frozen!$G$2:$G$251,survey_frozen!$P$2:$P$251,$A218&amp;"|"&amp;$B218),IFERROR(COUNTIFS(INDIRECT("'"&amp;$A218&amp;"'!$B$2:$B$501"),$T218,INDIRECT("'"&amp;$A218&amp;"'!$A$2:$A$501"),"&gt;="&amp;$I218,INDIRECT("'"&amp;$A218&amp;"'!$A$2:$A$501"),"&lt;"&amp;($BA218+1),INDIRECT("'"&amp;$A218&amp;"'!$F$2:$F$501"),"Gone by the time I looked"),0)))</f>
        <v/>
      </c>
      <c r="AT218" s="25">
        <f>IF(OR($A218="",$I218=""),"",IF($BC218="Y",SUMIFS(survey_frozen!$H$2:$H$251,survey_frozen!$P$2:$P$251,$A218&amp;"|"&amp;$B218),IFERROR(COUNTIFS(INDIRECT("'"&amp;$A218&amp;"'!$B$2:$B$501"),$T218,INDIRECT("'"&amp;$A218&amp;"'!$A$2:$A$501"),"&gt;="&amp;$I218,INDIRECT("'"&amp;$A218&amp;"'!$A$2:$A$501"),"&lt;"&amp;($BA218+1),INDIRECT("'"&amp;$A218&amp;"'!$D$2:$D$501"),"&gt;=1"),0)))</f>
        <v/>
      </c>
      <c r="AU218" s="25">
        <f>IF(OR($A218="",$I218=""),"",IF($BC218="Y",SUMIFS(survey_frozen!$I$2:$I$251,survey_frozen!$P$2:$P$251,$A218&amp;"|"&amp;$B218),IFERROR(SUMIFS(INDIRECT("'"&amp;$A218&amp;"'!$D$2:$D$501"),INDIRECT("'"&amp;$A218&amp;"'!$B$2:$B$501"),$T218,INDIRECT("'"&amp;$A218&amp;"'!$A$2:$A$501"),"&gt;="&amp;$I218,INDIRECT("'"&amp;$A218&amp;"'!$A$2:$A$501"),"&lt;"&amp;($BA218+1)),0)))</f>
        <v/>
      </c>
      <c r="AV218" s="25">
        <f>IF(OR($A218="",$I218=""),"",IF($BC218="Y",SUMIFS(survey_frozen!$J$2:$J$251,survey_frozen!$P$2:$P$251,$A218&amp;"|"&amp;$B218),IFERROR(COUNTIFS(INDIRECT("'"&amp;$A218&amp;"'!$B$2:$B$501"),$T218,INDIRECT("'"&amp;$A218&amp;"'!$A$2:$A$501"),"&gt;="&amp;$I218,INDIRECT("'"&amp;$A218&amp;"'!$A$2:$A$501"),"&lt;"&amp;($BA218+1),INDIRECT("'"&amp;$A218&amp;"'!$E$2:$E$501"),"Yes"),0)))</f>
        <v/>
      </c>
      <c r="AW218" s="25">
        <f>IF(OR($A218="",$I218=""),"",IF($BC218="Y",SUMIFS(survey_frozen!$K$2:$K$251,survey_frozen!$P$2:$P$251,$A218&amp;"|"&amp;$B218),IFERROR(COUNTIFS(INDIRECT("'"&amp;$A218&amp;"'!$B$2:$B$501"),$T218,INDIRECT("'"&amp;$A218&amp;"'!$A$2:$A$501"),"&gt;="&amp;$I218,INDIRECT("'"&amp;$A218&amp;"'!$A$2:$A$501"),"&lt;"&amp;($BA218+1),INDIRECT("'"&amp;$A218&amp;"'!$E$2:$E$501"),"Maybe"),0)))</f>
        <v/>
      </c>
      <c r="AX218" s="25">
        <f>IF(OR($A218="",$I218=""),"",IF($BC218="Y",SUMIFS(survey_frozen!$L$2:$L$251,survey_frozen!$P$2:$P$251,$A218&amp;"|"&amp;$B218),IFERROR(COUNTIFS(INDIRECT("'"&amp;$A218&amp;"'!$B$2:$B$501"),$T218,INDIRECT("'"&amp;$A218&amp;"'!$A$2:$A$501"),"&gt;="&amp;$I218,INDIRECT("'"&amp;$A218&amp;"'!$A$2:$A$501"),"&lt;"&amp;($BA218+1),INDIRECT("'"&amp;$A218&amp;"'!$E$2:$E$501"),"No"),0)))</f>
        <v/>
      </c>
      <c r="AY218" s="25">
        <f>IF(OR($A218="",$I218=""),"",IF($BC218="Y",SUMIFS(survey_frozen!$M$2:$M$251,survey_frozen!$P$2:$P$251,$A218&amp;"|"&amp;$B218),IFERROR(COUNTIFS(INDIRECT("'"&amp;$A218&amp;"'!$B$2:$B$501"),$T218,INDIRECT("'"&amp;$A218&amp;"'!$A$2:$A$501"),"&gt;="&amp;$I218,INDIRECT("'"&amp;$A218&amp;"'!$A$2:$A$501"),"&lt;"&amp;($BA218+1),INDIRECT("'"&amp;$A218&amp;"'!$G$2:$G$501"),"&lt;&gt;"),0)))</f>
        <v/>
      </c>
      <c r="AZ218" s="25">
        <f>IF($A218="","",$A218&amp;"|"&amp;$L218)</f>
        <v/>
      </c>
      <c r="BA218" s="26">
        <f>IF($A218="","",IFERROR(IF(INDEX(drops!$R$2:$R$21,MATCH($H218,drops!$A$2:$A$21,0))="","",INDEX(drops!$R$2:$R$21,MATCH($H218,drops!$A$2:$A$21,0))),""))</f>
        <v/>
      </c>
      <c r="BB218" s="25">
        <f>IF(OR($A218="",$Q218&lt;&gt;"Y"),1000000,N($AL218))</f>
        <v/>
      </c>
      <c r="BC218" s="25">
        <f>IF($A218="","",IF(COUNTIF(survey_frozen!$P$2:$P$251,$A218&amp;"|"&amp;$B218)&gt;0,"Y",""))</f>
        <v/>
      </c>
    </row>
    <row r="219">
      <c r="C219" s="9" t="n"/>
      <c r="E219" s="9" t="n"/>
      <c r="H219" s="25">
        <f>IF($A219="","",IFERROR(IF(INDEX(campaigns!$B$2:$B$51,MATCH($A219,campaigns!$A$2:$A$51,0))="","",INDEX(campaigns!$B$2:$B$51,MATCH($A219,campaigns!$A$2:$A$51,0))),""))</f>
        <v/>
      </c>
      <c r="I219" s="26">
        <f>IF($A219="","",IFERROR(IF(INDEX(campaigns!$BG$2:$BG$51,MATCH($A219,campaigns!$A$2:$A$51,0))="","",INDEX(campaigns!$BG$2:$BG$51,MATCH($A219,campaigns!$A$2:$A$51,0))),""))</f>
        <v/>
      </c>
      <c r="J219" s="25">
        <f>IF($A219="","",IFERROR(IF(INDEX(campaigns!$BE$2:$BE$51,MATCH($A219,campaigns!$A$2:$A$51,0))="","",INDEX(campaigns!$BE$2:$BE$51,MATCH($A219,campaigns!$A$2:$A$51,0))),""))</f>
        <v/>
      </c>
      <c r="K219" s="25">
        <f>IF($B219="","",IFERROR(IF(INDEX(offices!$N$2:$N$61,MATCH($B219,offices!$A$2:$A$61,0))="","",INDEX(offices!$N$2:$N$61,MATCH($B219,offices!$A$2:$A$61,0))),""))</f>
        <v/>
      </c>
      <c r="L219" s="25">
        <f>IF($A219="","",IF($Q219="N","",COUNTIFS($A$2:$A219,$A219,$Q$2:$Q219,"&lt;&gt;N")))</f>
        <v/>
      </c>
      <c r="M219" s="25">
        <f>IF(OR($A219="",$L219=""),"",IF(AND(config!$B$34="names_if_public",IFERROR(IF(INDEX(offices!$AF$2:$AF$61,MATCH($B219,offices!$A$2:$A$61,0))="","",INDEX(offices!$AF$2:$AF$61,MATCH($B219,offices!$A$2:$A$61,0))),"")="Y"),$K219,CHAR(64+$L219)))</f>
        <v/>
      </c>
      <c r="N219" s="25">
        <f>IF(OR($A219="",$I219=""),"",COUNTIFS(stops!$B$2:$B$151,$B219,stops!$P$2:$P$151,"&lt;"&amp;$I219,stops!$L$2:$L$151,"&lt;&gt;not_delivered")+1)</f>
        <v/>
      </c>
      <c r="O219" s="25">
        <f>IF($A219="","",IF(N($N219)&lt;=config!$B$29,"explicit","opt-out"))</f>
        <v/>
      </c>
      <c r="P219" s="25">
        <f>IF($A219="","",IF($O219="explicit",IF($D219="yes","Y",IF($D219="no","N","pending")),IF($D219="no","N",IF(AND($C219&lt;&gt;"",$I219&lt;&gt;"",$C219&lt;=WORKDAY(N($I219),-5,calendar!$A$2:$A$80)),"Y","pending"))))</f>
        <v/>
      </c>
      <c r="Q219" s="25">
        <f>IF($A219="","",IF($P219="N","N",IF($P219&lt;&gt;"Y","pending",IF(AND((COUNTIFS(stops!$A$2:$A$151,$H219,stops!$B$2:$B$151,$B219,stops!$L$2:$L$151,"declined")+COUNTIFS(stops!$A$2:$A$151,$H219,stops!$B$2:$B$151,$B219,stops!$L$2:$L$151,"building_refused")+COUNTIFS(stops!$A$2:$A$151,$H219,stops!$B$2:$B$151,$B219,stops!$L$2:$L$151,"not_delivered"))&gt;0,N($U219)=0),"N","Y"))))</f>
        <v/>
      </c>
      <c r="R219" s="25">
        <f>IF($A219="","",IF(COUNTIFS($A$2:$A$251,$A219,$B$2:$B$251,$B219)&gt;1,"DUPLICATE ROW; ","")&amp;IF(AND(IFERROR(IF(INDEX(offices!$AC$2:$AC$61,MATCH($B219,offices!$A$2:$A$61,0))="","",INDEX(offices!$AC$2:$AC$61,MATCH($B219,offices!$A$2:$A$61,0))),"")&lt;&gt;"",ISNUMBER(SEARCH($J219,IFERROR(IF(INDEX(offices!$AC$2:$AC$61,MATCH($B219,offices!$A$2:$A$61,0))="","",INDEX(offices!$AC$2:$AC$61,MATCH($B219,offices!$A$2:$A$61,0))),"")))),"BRAND VETOED; ","")&amp;IF(ISNUMBER(SEARCH(IFERROR(IF(INDEX(campaigns!$BF$2:$BF$51,MATCH($A219,campaigns!$A$2:$A$51,0))="","",INDEX(campaigns!$BF$2:$BF$51,MATCH($A219,campaigns!$A$2:$A$51,0))),""),IFERROR(IF(INDEX(offices!$AB$2:$AB$61,MATCH($B219,offices!$A$2:$A$61,0))="","",INDEX(offices!$AB$2:$AB$61,MATCH($B219,offices!$A$2:$A$61,0))),""))),"","info: category not on the office's list; ")&amp;IF(IFERROR(IF(INDEX(offices!$AC$2:$AC$61,MATCH($B219,offices!$A$2:$A$61,0))="","",INDEX(offices!$AC$2:$AC$61,MATCH($B219,offices!$A$2:$A$61,0))),"")&lt;&gt;"","info: read the vetoes against the label; ",""))</f>
        <v/>
      </c>
      <c r="S219" s="25">
        <f>IF($A219="","",IF($G219&lt;&gt;"",$G219,IFERROR(IF(INDEX(offices!$AL$2:$AL$61,MATCH($B219,offices!$A$2:$A$61,0))="","",INDEX(offices!$AL$2:$AL$61,MATCH($B219,offices!$A$2:$A$61,0))),"")))</f>
        <v/>
      </c>
      <c r="T219" s="25">
        <f>IF($A219="","",$A219&amp;"."&amp;$B219)</f>
        <v/>
      </c>
      <c r="U219" s="25">
        <f>IF($A219="","",SUMIFS(inventory!$G$2:$G$801,inventory!$C$2:$C$801,$A219,inventory!$D$2:$D$801,$B219,inventory!$E$2:$E$801,"delivered"))</f>
        <v/>
      </c>
      <c r="V219" s="32">
        <f>IF($A219="","",IFERROR(1/(1/SUMPRODUCT(MAX((inventory!$C$2:$C$801=$A219)*(inventory!$D$2:$D$801=$B219)*(inventory!$E$2:$E$801="delivered")*(inventory!$A$2:$A$801+inventory!$B$2:$B$801)))),""))</f>
        <v/>
      </c>
      <c r="W219" s="25">
        <f>IF($A219="","",IFERROR(IF(INDEX(inventory!$J$2:$J$801,MATCH($A219&amp;"|"&amp;$B219&amp;"|delivered",inventory!$R$2:$R$801,0))="","",INDEX(inventory!$J$2:$J$801,MATCH($A219&amp;"|"&amp;$B219&amp;"|delivered",inventory!$R$2:$R$801,0))),""))</f>
        <v/>
      </c>
      <c r="X219" s="25">
        <f>IF($A219="","",IFERROR(IF(INDEX(photos!$H$2:$H$701,MATCH($A219&amp;"|"&amp;$B219&amp;"|placement|Y",photos!$R$2:$R$701,0))="","",INDEX(photos!$H$2:$H$701,MATCH($A219&amp;"|"&amp;$B219&amp;"|placement|Y",photos!$R$2:$R$701,0))),""))</f>
        <v/>
      </c>
      <c r="Y219" s="26">
        <f>IF($A219="","",IFERROR(IF(INDEX(photos!$E$2:$E$701,MATCH($A219&amp;"|"&amp;$B219&amp;"|placement|Y",photos!$R$2:$R$701,0))="","",INDEX(photos!$E$2:$E$701,MATCH($A219&amp;"|"&amp;$B219&amp;"|placement|Y",photos!$R$2:$R$701,0))),""))</f>
        <v/>
      </c>
      <c r="Z219" s="25">
        <f>IF($A219="","",IF(COUNTIFS(counts!$C$2:$C$701,$A219,counts!$D$2:$D$701,$B219,counts!$E$2:$E$701,"placed")=0,"",SUMIFS(counts!$F$2:$F$701,counts!$C$2:$C$701,$A219,counts!$D$2:$D$701,$B219,counts!$E$2:$E$701,"placed")))</f>
        <v/>
      </c>
      <c r="AA219" s="25">
        <f>IF($A219="","",IF($Y219="",0,N($Z219)))</f>
        <v/>
      </c>
      <c r="AB219" s="25">
        <f>IF($A219="","",IF(OR($Y219="",$I219=""),"N",IF($Y219&lt;=WORKDAY(N($I219),1,calendar!$A$2:$A$80),"Y","N")))</f>
        <v/>
      </c>
      <c r="AC219" s="28">
        <f>IF(OR($A219="",$V219="",$Y219=""),"",ROUND(($Y219+N(IFERROR(IF(INDEX(photos!$F$2:$F$701,MATCH($A219&amp;"|"&amp;$B219&amp;"|placement|Y",photos!$R$2:$R$701,0))="","",INDEX(photos!$F$2:$F$701,MATCH($A219&amp;"|"&amp;$B219&amp;"|placement|Y",photos!$R$2:$R$701,0))),""))-$V219)*24,1))</f>
        <v/>
      </c>
      <c r="AD219" s="25">
        <f>IF($A219="","",SUMIFS(inventory!$G$2:$G$801,inventory!$C$2:$C$801,$A219,inventory!$D$2:$D$801,$B219,inventory!$E$2:$E$801,"topped_up"))</f>
        <v/>
      </c>
      <c r="AE219" s="25">
        <f>IF($A219="","",IF(COUNTIFS(counts!$C$2:$C$701,$A219,counts!$D$2:$D$701,$B219,counts!$E$2:$E$701,"remaining_day3")=0,"",SUMIFS(counts!$F$2:$F$701,counts!$C$2:$C$701,$A219,counts!$D$2:$D$701,$B219,counts!$E$2:$E$701,"remaining_day3")))</f>
        <v/>
      </c>
      <c r="AF219" s="25">
        <f>IF($A219="","",IF(COUNTIFS(counts!$C$2:$C$701,$A219,counts!$D$2:$D$701,$B219,counts!$E$2:$E$701,"remaining_day5")=0,"",SUMIFS(counts!$F$2:$F$701,counts!$C$2:$C$701,$A219,counts!$D$2:$D$701,$B219,counts!$E$2:$E$701,"remaining_day5")))</f>
        <v/>
      </c>
      <c r="AG219" s="25">
        <f>IF(OR($A219="",$AF219=""),"",MAX(0,$AA219+$AD219-$AF219))</f>
        <v/>
      </c>
      <c r="AH219" s="25">
        <f>IF(OR($A219="",$AI219=""),"",IFERROR(IF(INDEX(photos!$H$2:$H$701,MATCH($A219&amp;"|"&amp;$B219&amp;"|later|Y|"&amp;$AI219,photos!$S$2:$S$701,0))="","",INDEX(photos!$H$2:$H$701,MATCH($A219&amp;"|"&amp;$B219&amp;"|later|Y|"&amp;$AI219,photos!$S$2:$S$701,0))),""))</f>
        <v/>
      </c>
      <c r="AI219" s="26">
        <f>IF($A219="","",IFERROR(1/(1/SUMPRODUCT(MAX((photos!$B$2:$B$701=$A219)*(photos!$C$2:$C$701=$B219)*(photos!$D$2:$D$701="later")*(photos!$O$2:$O$701="Y")*photos!$E$2:$E$701))),""))</f>
        <v/>
      </c>
      <c r="AJ219" s="25">
        <f>IF(OR($A219="",$AI219="",$I219=""),"",NETWORKDAYS($I219,$AI219,calendar!$A$2:$A$80))</f>
        <v/>
      </c>
      <c r="AK219" s="25">
        <f>IF($A219="","",IF(AND($X219&lt;&gt;"",$AH219&lt;&gt;""),"Y","N"))</f>
        <v/>
      </c>
      <c r="AL219" s="25">
        <f>IF(OR($A219="",$I219=""),"",IF($BC219="Y",SUMIFS(survey_frozen!$C$2:$C$251,survey_frozen!$P$2:$P$251,$A219&amp;"|"&amp;$B219),IFERROR(COUNTIFS(INDIRECT("'"&amp;$A219&amp;"'!$B$2:$B$501"),$T219,INDIRECT("'"&amp;$A219&amp;"'!$A$2:$A$501"),"&gt;="&amp;$I219,INDIRECT("'"&amp;$A219&amp;"'!$A$2:$A$501"),"&lt;"&amp;($BA219+1)),0)))</f>
        <v/>
      </c>
      <c r="AM219" s="25">
        <f>IF(OR($A219="",$I219=""),"",IF($BC219="Y",SUMIFS(survey_frozen!$D$2:$D$251,survey_frozen!$P$2:$P$251,$A219&amp;"|"&amp;$B219),IFERROR(COUNTIFS(INDIRECT("'"&amp;$A219&amp;"'!$B$2:$B$501"),$T219,INDIRECT("'"&amp;$A219&amp;"'!$A$2:$A$501"),"&gt;="&amp;$I219,INDIRECT("'"&amp;$A219&amp;"'!$A$2:$A$501"),"&lt;"&amp;($BA219+1),INDIRECT("'"&amp;$A219&amp;"'!$C$2:$C$501"),"Yes"),0)))</f>
        <v/>
      </c>
      <c r="AN219" s="25">
        <f>IF($A219="","",IF(COUNTIFS(scans!$C$2:$C$1601,(IF(LEFT($A219,7)="SAMPLE-","SAMPLE-","")&amp;LOWER(SUBSTITUTE(SUBSTITUTE($A219,"SAMPLE-",""),"CMP-","c"))&amp;"-"&amp;LOWER(SUBSTITUTE(SUBSTITUTE($B219,"SAMPLE-",""),"O-","o"))&amp;"-q"),scans!$D$2:$D$1601,"close")=0,"",SUMPRODUCT(MAX((scans!$C$2:$C$1601=(IF(LEFT($A219,7)="SAMPLE-","SAMPLE-","")&amp;LOWER(SUBSTITUTE(SUBSTITUTE($A219,"SAMPLE-",""),"CMP-","c"))&amp;"-"&amp;LOWER(SUBSTITUTE(SUBSTITUTE($B219,"SAMPLE-",""),"O-","o"))&amp;"-q"))*(scans!$D$2:$D$1601="close")*scans!$E$2:$E$1601))-SUMPRODUCT(MAX((scans!$C$2:$C$1601=(IF(LEFT($A219,7)="SAMPLE-","SAMPLE-","")&amp;LOWER(SUBSTITUTE(SUBSTITUTE($A219,"SAMPLE-",""),"CMP-","c"))&amp;"-"&amp;LOWER(SUBSTITUTE(SUBSTITUTE($B219,"SAMPLE-",""),"O-","o"))&amp;"-q"))*(scans!$D$2:$D$1601="baseline")*scans!$E$2:$E$1601))))</f>
        <v/>
      </c>
      <c r="AO219" s="25">
        <f>IF($A219="","",IF(COUNTIFS(scans!$C$2:$C$1601,(IF(LEFT($A219,7)="SAMPLE-","SAMPLE-","")&amp;LOWER(SUBSTITUTE(SUBSTITUTE($A219,"SAMPLE-",""),"CMP-","c"))&amp;"-"&amp;LOWER(SUBSTITUTE(SUBSTITUTE($B219,"SAMPLE-",""),"O-","o"))&amp;"-p"),scans!$D$2:$D$1601,"close")=0,"",SUMPRODUCT(MAX((scans!$C$2:$C$1601=(IF(LEFT($A219,7)="SAMPLE-","SAMPLE-","")&amp;LOWER(SUBSTITUTE(SUBSTITUTE($A219,"SAMPLE-",""),"CMP-","c"))&amp;"-"&amp;LOWER(SUBSTITUTE(SUBSTITUTE($B219,"SAMPLE-",""),"O-","o"))&amp;"-p"))*(scans!$D$2:$D$1601="close")*scans!$E$2:$E$1601))-SUMPRODUCT(MAX((scans!$C$2:$C$1601=(IF(LEFT($A219,7)="SAMPLE-","SAMPLE-","")&amp;LOWER(SUBSTITUTE(SUBSTITUTE($A219,"SAMPLE-",""),"CMP-","c"))&amp;"-"&amp;LOWER(SUBSTITUTE(SUBSTITUTE($B219,"SAMPLE-",""),"O-","o"))&amp;"-p"))*(scans!$D$2:$D$1601="baseline")*scans!$E$2:$E$1601))))</f>
        <v/>
      </c>
      <c r="AP219" s="25">
        <f>IF($A219="","",IF(COUNTIF(offices!$A$2:$A$61,$B219)=0,"office_id not on offices; ","")&amp;IF(COUNTIF(campaigns!$A$2:$A$51,$A219)=0,"campaign_id not on campaigns; ","")&amp;IF($P219="pending","approval pending; ","")&amp;IF(AND($U219&gt;0,$Y219="",OR($I219="",IF(config!$B$37&lt;&gt;"",config!$B$37,TODAY())&lt;=WORKDAY(N($I219),4,calendar!$A$2:$A$80))),"no usable placement photo yet; ","")&amp;IF(AND($Y219&lt;&gt;"",$Z219=""),"log the placed count; ","")&amp;IF(N($AA219)&gt;N($U219),"placed more than delivered; ","")&amp;IF(AND($AF219&lt;&gt;"",N($AF219)&gt;N($AA219)+N($AD219)),"day-5 count above placed plus top-ups; ","")&amp;IF(AND($U219&gt;0,$I219&lt;&gt;"",IF(config!$B$37&lt;&gt;"",config!$B$37,TODAY())&gt;WORKDAY(N($I219),4,calendar!$A$2:$A$80),$AF219=""),"day-5 count missing; ","")&amp;IF(AND($U219&gt;0,$I219&lt;&gt;"",IF(config!$B$37&lt;&gt;"",config!$B$37,TODAY())&gt;WORKDAY(N($I219),4,calendar!$A$2:$A$80),$AN219=""),"no close link reading; ","")&amp;$R219&amp;IF($P219="N","info: office said no; ","")&amp;IF(AND($P219="Y",$Q219="N"),"info: turned away at the door, so not on the drop (no letter, not in the report or Gate 2; the credit check is on campaigns); ","")&amp;IF(AND($U219&gt;0,$Y219="",$I219&lt;&gt;"",IF(config!$B$37&lt;&gt;"",config!$B$37,TODAY())&gt;WORKDAY(N($I219),4,calendar!$A$2:$A$80)),"info: no usable placement photo, so nothing counts as placed; ","")&amp;IF(AND($U219&gt;0,$I219&lt;&gt;"",IF(config!$B$37&lt;&gt;"",config!$B$37,TODAY())&gt;WORKDAY(N($I219),4,calendar!$A$2:$A$80),N($AL219)&lt;config!$B$30),"info: under "&amp;config!$B$30&amp;" responses; ","")&amp;IF($W219="packing_list","info: delivered count not verified; ",""))</f>
        <v/>
      </c>
      <c r="AQ219" s="25">
        <f>IF(OR($A219="",$I219=""),"",IF($BC219="Y",SUMIFS(survey_frozen!$E$2:$E$251,survey_frozen!$P$2:$P$251,$A219&amp;"|"&amp;$B219),IFERROR(COUNTIFS(INDIRECT("'"&amp;$A219&amp;"'!$B$2:$B$501"),$T219,INDIRECT("'"&amp;$A219&amp;"'!$A$2:$A$501"),"&gt;="&amp;$I219,INDIRECT("'"&amp;$A219&amp;"'!$A$2:$A$501"),"&lt;"&amp;($BA219+1),INDIRECT("'"&amp;$A219&amp;"'!$F$2:$F$501"),"Didn't see it"),0)))</f>
        <v/>
      </c>
      <c r="AR219" s="25">
        <f>IF(OR($A219="",$I219=""),"",IF($BC219="Y",SUMIFS(survey_frozen!$F$2:$F$251,survey_frozen!$P$2:$P$251,$A219&amp;"|"&amp;$B219),IFERROR(COUNTIFS(INDIRECT("'"&amp;$A219&amp;"'!$B$2:$B$501"),$T219,INDIRECT("'"&amp;$A219&amp;"'!$A$2:$A$501"),"&gt;="&amp;$I219,INDIRECT("'"&amp;$A219&amp;"'!$A$2:$A$501"),"&lt;"&amp;($BA219+1),INDIRECT("'"&amp;$A219&amp;"'!$F$2:$F$501"),"Not for me"),0)))</f>
        <v/>
      </c>
      <c r="AS219" s="25">
        <f>IF(OR($A219="",$I219=""),"",IF($BC219="Y",SUMIFS(survey_frozen!$G$2:$G$251,survey_frozen!$P$2:$P$251,$A219&amp;"|"&amp;$B219),IFERROR(COUNTIFS(INDIRECT("'"&amp;$A219&amp;"'!$B$2:$B$501"),$T219,INDIRECT("'"&amp;$A219&amp;"'!$A$2:$A$501"),"&gt;="&amp;$I219,INDIRECT("'"&amp;$A219&amp;"'!$A$2:$A$501"),"&lt;"&amp;($BA219+1),INDIRECT("'"&amp;$A219&amp;"'!$F$2:$F$501"),"Gone by the time I looked"),0)))</f>
        <v/>
      </c>
      <c r="AT219" s="25">
        <f>IF(OR($A219="",$I219=""),"",IF($BC219="Y",SUMIFS(survey_frozen!$H$2:$H$251,survey_frozen!$P$2:$P$251,$A219&amp;"|"&amp;$B219),IFERROR(COUNTIFS(INDIRECT("'"&amp;$A219&amp;"'!$B$2:$B$501"),$T219,INDIRECT("'"&amp;$A219&amp;"'!$A$2:$A$501"),"&gt;="&amp;$I219,INDIRECT("'"&amp;$A219&amp;"'!$A$2:$A$501"),"&lt;"&amp;($BA219+1),INDIRECT("'"&amp;$A219&amp;"'!$D$2:$D$501"),"&gt;=1"),0)))</f>
        <v/>
      </c>
      <c r="AU219" s="25">
        <f>IF(OR($A219="",$I219=""),"",IF($BC219="Y",SUMIFS(survey_frozen!$I$2:$I$251,survey_frozen!$P$2:$P$251,$A219&amp;"|"&amp;$B219),IFERROR(SUMIFS(INDIRECT("'"&amp;$A219&amp;"'!$D$2:$D$501"),INDIRECT("'"&amp;$A219&amp;"'!$B$2:$B$501"),$T219,INDIRECT("'"&amp;$A219&amp;"'!$A$2:$A$501"),"&gt;="&amp;$I219,INDIRECT("'"&amp;$A219&amp;"'!$A$2:$A$501"),"&lt;"&amp;($BA219+1)),0)))</f>
        <v/>
      </c>
      <c r="AV219" s="25">
        <f>IF(OR($A219="",$I219=""),"",IF($BC219="Y",SUMIFS(survey_frozen!$J$2:$J$251,survey_frozen!$P$2:$P$251,$A219&amp;"|"&amp;$B219),IFERROR(COUNTIFS(INDIRECT("'"&amp;$A219&amp;"'!$B$2:$B$501"),$T219,INDIRECT("'"&amp;$A219&amp;"'!$A$2:$A$501"),"&gt;="&amp;$I219,INDIRECT("'"&amp;$A219&amp;"'!$A$2:$A$501"),"&lt;"&amp;($BA219+1),INDIRECT("'"&amp;$A219&amp;"'!$E$2:$E$501"),"Yes"),0)))</f>
        <v/>
      </c>
      <c r="AW219" s="25">
        <f>IF(OR($A219="",$I219=""),"",IF($BC219="Y",SUMIFS(survey_frozen!$K$2:$K$251,survey_frozen!$P$2:$P$251,$A219&amp;"|"&amp;$B219),IFERROR(COUNTIFS(INDIRECT("'"&amp;$A219&amp;"'!$B$2:$B$501"),$T219,INDIRECT("'"&amp;$A219&amp;"'!$A$2:$A$501"),"&gt;="&amp;$I219,INDIRECT("'"&amp;$A219&amp;"'!$A$2:$A$501"),"&lt;"&amp;($BA219+1),INDIRECT("'"&amp;$A219&amp;"'!$E$2:$E$501"),"Maybe"),0)))</f>
        <v/>
      </c>
      <c r="AX219" s="25">
        <f>IF(OR($A219="",$I219=""),"",IF($BC219="Y",SUMIFS(survey_frozen!$L$2:$L$251,survey_frozen!$P$2:$P$251,$A219&amp;"|"&amp;$B219),IFERROR(COUNTIFS(INDIRECT("'"&amp;$A219&amp;"'!$B$2:$B$501"),$T219,INDIRECT("'"&amp;$A219&amp;"'!$A$2:$A$501"),"&gt;="&amp;$I219,INDIRECT("'"&amp;$A219&amp;"'!$A$2:$A$501"),"&lt;"&amp;($BA219+1),INDIRECT("'"&amp;$A219&amp;"'!$E$2:$E$501"),"No"),0)))</f>
        <v/>
      </c>
      <c r="AY219" s="25">
        <f>IF(OR($A219="",$I219=""),"",IF($BC219="Y",SUMIFS(survey_frozen!$M$2:$M$251,survey_frozen!$P$2:$P$251,$A219&amp;"|"&amp;$B219),IFERROR(COUNTIFS(INDIRECT("'"&amp;$A219&amp;"'!$B$2:$B$501"),$T219,INDIRECT("'"&amp;$A219&amp;"'!$A$2:$A$501"),"&gt;="&amp;$I219,INDIRECT("'"&amp;$A219&amp;"'!$A$2:$A$501"),"&lt;"&amp;($BA219+1),INDIRECT("'"&amp;$A219&amp;"'!$G$2:$G$501"),"&lt;&gt;"),0)))</f>
        <v/>
      </c>
      <c r="AZ219" s="25">
        <f>IF($A219="","",$A219&amp;"|"&amp;$L219)</f>
        <v/>
      </c>
      <c r="BA219" s="26">
        <f>IF($A219="","",IFERROR(IF(INDEX(drops!$R$2:$R$21,MATCH($H219,drops!$A$2:$A$21,0))="","",INDEX(drops!$R$2:$R$21,MATCH($H219,drops!$A$2:$A$21,0))),""))</f>
        <v/>
      </c>
      <c r="BB219" s="25">
        <f>IF(OR($A219="",$Q219&lt;&gt;"Y"),1000000,N($AL219))</f>
        <v/>
      </c>
      <c r="BC219" s="25">
        <f>IF($A219="","",IF(COUNTIF(survey_frozen!$P$2:$P$251,$A219&amp;"|"&amp;$B219)&gt;0,"Y",""))</f>
        <v/>
      </c>
    </row>
    <row r="220">
      <c r="C220" s="9" t="n"/>
      <c r="E220" s="9" t="n"/>
      <c r="H220" s="25">
        <f>IF($A220="","",IFERROR(IF(INDEX(campaigns!$B$2:$B$51,MATCH($A220,campaigns!$A$2:$A$51,0))="","",INDEX(campaigns!$B$2:$B$51,MATCH($A220,campaigns!$A$2:$A$51,0))),""))</f>
        <v/>
      </c>
      <c r="I220" s="26">
        <f>IF($A220="","",IFERROR(IF(INDEX(campaigns!$BG$2:$BG$51,MATCH($A220,campaigns!$A$2:$A$51,0))="","",INDEX(campaigns!$BG$2:$BG$51,MATCH($A220,campaigns!$A$2:$A$51,0))),""))</f>
        <v/>
      </c>
      <c r="J220" s="25">
        <f>IF($A220="","",IFERROR(IF(INDEX(campaigns!$BE$2:$BE$51,MATCH($A220,campaigns!$A$2:$A$51,0))="","",INDEX(campaigns!$BE$2:$BE$51,MATCH($A220,campaigns!$A$2:$A$51,0))),""))</f>
        <v/>
      </c>
      <c r="K220" s="25">
        <f>IF($B220="","",IFERROR(IF(INDEX(offices!$N$2:$N$61,MATCH($B220,offices!$A$2:$A$61,0))="","",INDEX(offices!$N$2:$N$61,MATCH($B220,offices!$A$2:$A$61,0))),""))</f>
        <v/>
      </c>
      <c r="L220" s="25">
        <f>IF($A220="","",IF($Q220="N","",COUNTIFS($A$2:$A220,$A220,$Q$2:$Q220,"&lt;&gt;N")))</f>
        <v/>
      </c>
      <c r="M220" s="25">
        <f>IF(OR($A220="",$L220=""),"",IF(AND(config!$B$34="names_if_public",IFERROR(IF(INDEX(offices!$AF$2:$AF$61,MATCH($B220,offices!$A$2:$A$61,0))="","",INDEX(offices!$AF$2:$AF$61,MATCH($B220,offices!$A$2:$A$61,0))),"")="Y"),$K220,CHAR(64+$L220)))</f>
        <v/>
      </c>
      <c r="N220" s="25">
        <f>IF(OR($A220="",$I220=""),"",COUNTIFS(stops!$B$2:$B$151,$B220,stops!$P$2:$P$151,"&lt;"&amp;$I220,stops!$L$2:$L$151,"&lt;&gt;not_delivered")+1)</f>
        <v/>
      </c>
      <c r="O220" s="25">
        <f>IF($A220="","",IF(N($N220)&lt;=config!$B$29,"explicit","opt-out"))</f>
        <v/>
      </c>
      <c r="P220" s="25">
        <f>IF($A220="","",IF($O220="explicit",IF($D220="yes","Y",IF($D220="no","N","pending")),IF($D220="no","N",IF(AND($C220&lt;&gt;"",$I220&lt;&gt;"",$C220&lt;=WORKDAY(N($I220),-5,calendar!$A$2:$A$80)),"Y","pending"))))</f>
        <v/>
      </c>
      <c r="Q220" s="25">
        <f>IF($A220="","",IF($P220="N","N",IF($P220&lt;&gt;"Y","pending",IF(AND((COUNTIFS(stops!$A$2:$A$151,$H220,stops!$B$2:$B$151,$B220,stops!$L$2:$L$151,"declined")+COUNTIFS(stops!$A$2:$A$151,$H220,stops!$B$2:$B$151,$B220,stops!$L$2:$L$151,"building_refused")+COUNTIFS(stops!$A$2:$A$151,$H220,stops!$B$2:$B$151,$B220,stops!$L$2:$L$151,"not_delivered"))&gt;0,N($U220)=0),"N","Y"))))</f>
        <v/>
      </c>
      <c r="R220" s="25">
        <f>IF($A220="","",IF(COUNTIFS($A$2:$A$251,$A220,$B$2:$B$251,$B220)&gt;1,"DUPLICATE ROW; ","")&amp;IF(AND(IFERROR(IF(INDEX(offices!$AC$2:$AC$61,MATCH($B220,offices!$A$2:$A$61,0))="","",INDEX(offices!$AC$2:$AC$61,MATCH($B220,offices!$A$2:$A$61,0))),"")&lt;&gt;"",ISNUMBER(SEARCH($J220,IFERROR(IF(INDEX(offices!$AC$2:$AC$61,MATCH($B220,offices!$A$2:$A$61,0))="","",INDEX(offices!$AC$2:$AC$61,MATCH($B220,offices!$A$2:$A$61,0))),"")))),"BRAND VETOED; ","")&amp;IF(ISNUMBER(SEARCH(IFERROR(IF(INDEX(campaigns!$BF$2:$BF$51,MATCH($A220,campaigns!$A$2:$A$51,0))="","",INDEX(campaigns!$BF$2:$BF$51,MATCH($A220,campaigns!$A$2:$A$51,0))),""),IFERROR(IF(INDEX(offices!$AB$2:$AB$61,MATCH($B220,offices!$A$2:$A$61,0))="","",INDEX(offices!$AB$2:$AB$61,MATCH($B220,offices!$A$2:$A$61,0))),""))),"","info: category not on the office's list; ")&amp;IF(IFERROR(IF(INDEX(offices!$AC$2:$AC$61,MATCH($B220,offices!$A$2:$A$61,0))="","",INDEX(offices!$AC$2:$AC$61,MATCH($B220,offices!$A$2:$A$61,0))),"")&lt;&gt;"","info: read the vetoes against the label; ",""))</f>
        <v/>
      </c>
      <c r="S220" s="25">
        <f>IF($A220="","",IF($G220&lt;&gt;"",$G220,IFERROR(IF(INDEX(offices!$AL$2:$AL$61,MATCH($B220,offices!$A$2:$A$61,0))="","",INDEX(offices!$AL$2:$AL$61,MATCH($B220,offices!$A$2:$A$61,0))),"")))</f>
        <v/>
      </c>
      <c r="T220" s="25">
        <f>IF($A220="","",$A220&amp;"."&amp;$B220)</f>
        <v/>
      </c>
      <c r="U220" s="25">
        <f>IF($A220="","",SUMIFS(inventory!$G$2:$G$801,inventory!$C$2:$C$801,$A220,inventory!$D$2:$D$801,$B220,inventory!$E$2:$E$801,"delivered"))</f>
        <v/>
      </c>
      <c r="V220" s="32">
        <f>IF($A220="","",IFERROR(1/(1/SUMPRODUCT(MAX((inventory!$C$2:$C$801=$A220)*(inventory!$D$2:$D$801=$B220)*(inventory!$E$2:$E$801="delivered")*(inventory!$A$2:$A$801+inventory!$B$2:$B$801)))),""))</f>
        <v/>
      </c>
      <c r="W220" s="25">
        <f>IF($A220="","",IFERROR(IF(INDEX(inventory!$J$2:$J$801,MATCH($A220&amp;"|"&amp;$B220&amp;"|delivered",inventory!$R$2:$R$801,0))="","",INDEX(inventory!$J$2:$J$801,MATCH($A220&amp;"|"&amp;$B220&amp;"|delivered",inventory!$R$2:$R$801,0))),""))</f>
        <v/>
      </c>
      <c r="X220" s="25">
        <f>IF($A220="","",IFERROR(IF(INDEX(photos!$H$2:$H$701,MATCH($A220&amp;"|"&amp;$B220&amp;"|placement|Y",photos!$R$2:$R$701,0))="","",INDEX(photos!$H$2:$H$701,MATCH($A220&amp;"|"&amp;$B220&amp;"|placement|Y",photos!$R$2:$R$701,0))),""))</f>
        <v/>
      </c>
      <c r="Y220" s="26">
        <f>IF($A220="","",IFERROR(IF(INDEX(photos!$E$2:$E$701,MATCH($A220&amp;"|"&amp;$B220&amp;"|placement|Y",photos!$R$2:$R$701,0))="","",INDEX(photos!$E$2:$E$701,MATCH($A220&amp;"|"&amp;$B220&amp;"|placement|Y",photos!$R$2:$R$701,0))),""))</f>
        <v/>
      </c>
      <c r="Z220" s="25">
        <f>IF($A220="","",IF(COUNTIFS(counts!$C$2:$C$701,$A220,counts!$D$2:$D$701,$B220,counts!$E$2:$E$701,"placed")=0,"",SUMIFS(counts!$F$2:$F$701,counts!$C$2:$C$701,$A220,counts!$D$2:$D$701,$B220,counts!$E$2:$E$701,"placed")))</f>
        <v/>
      </c>
      <c r="AA220" s="25">
        <f>IF($A220="","",IF($Y220="",0,N($Z220)))</f>
        <v/>
      </c>
      <c r="AB220" s="25">
        <f>IF($A220="","",IF(OR($Y220="",$I220=""),"N",IF($Y220&lt;=WORKDAY(N($I220),1,calendar!$A$2:$A$80),"Y","N")))</f>
        <v/>
      </c>
      <c r="AC220" s="28">
        <f>IF(OR($A220="",$V220="",$Y220=""),"",ROUND(($Y220+N(IFERROR(IF(INDEX(photos!$F$2:$F$701,MATCH($A220&amp;"|"&amp;$B220&amp;"|placement|Y",photos!$R$2:$R$701,0))="","",INDEX(photos!$F$2:$F$701,MATCH($A220&amp;"|"&amp;$B220&amp;"|placement|Y",photos!$R$2:$R$701,0))),""))-$V220)*24,1))</f>
        <v/>
      </c>
      <c r="AD220" s="25">
        <f>IF($A220="","",SUMIFS(inventory!$G$2:$G$801,inventory!$C$2:$C$801,$A220,inventory!$D$2:$D$801,$B220,inventory!$E$2:$E$801,"topped_up"))</f>
        <v/>
      </c>
      <c r="AE220" s="25">
        <f>IF($A220="","",IF(COUNTIFS(counts!$C$2:$C$701,$A220,counts!$D$2:$D$701,$B220,counts!$E$2:$E$701,"remaining_day3")=0,"",SUMIFS(counts!$F$2:$F$701,counts!$C$2:$C$701,$A220,counts!$D$2:$D$701,$B220,counts!$E$2:$E$701,"remaining_day3")))</f>
        <v/>
      </c>
      <c r="AF220" s="25">
        <f>IF($A220="","",IF(COUNTIFS(counts!$C$2:$C$701,$A220,counts!$D$2:$D$701,$B220,counts!$E$2:$E$701,"remaining_day5")=0,"",SUMIFS(counts!$F$2:$F$701,counts!$C$2:$C$701,$A220,counts!$D$2:$D$701,$B220,counts!$E$2:$E$701,"remaining_day5")))</f>
        <v/>
      </c>
      <c r="AG220" s="25">
        <f>IF(OR($A220="",$AF220=""),"",MAX(0,$AA220+$AD220-$AF220))</f>
        <v/>
      </c>
      <c r="AH220" s="25">
        <f>IF(OR($A220="",$AI220=""),"",IFERROR(IF(INDEX(photos!$H$2:$H$701,MATCH($A220&amp;"|"&amp;$B220&amp;"|later|Y|"&amp;$AI220,photos!$S$2:$S$701,0))="","",INDEX(photos!$H$2:$H$701,MATCH($A220&amp;"|"&amp;$B220&amp;"|later|Y|"&amp;$AI220,photos!$S$2:$S$701,0))),""))</f>
        <v/>
      </c>
      <c r="AI220" s="26">
        <f>IF($A220="","",IFERROR(1/(1/SUMPRODUCT(MAX((photos!$B$2:$B$701=$A220)*(photos!$C$2:$C$701=$B220)*(photos!$D$2:$D$701="later")*(photos!$O$2:$O$701="Y")*photos!$E$2:$E$701))),""))</f>
        <v/>
      </c>
      <c r="AJ220" s="25">
        <f>IF(OR($A220="",$AI220="",$I220=""),"",NETWORKDAYS($I220,$AI220,calendar!$A$2:$A$80))</f>
        <v/>
      </c>
      <c r="AK220" s="25">
        <f>IF($A220="","",IF(AND($X220&lt;&gt;"",$AH220&lt;&gt;""),"Y","N"))</f>
        <v/>
      </c>
      <c r="AL220" s="25">
        <f>IF(OR($A220="",$I220=""),"",IF($BC220="Y",SUMIFS(survey_frozen!$C$2:$C$251,survey_frozen!$P$2:$P$251,$A220&amp;"|"&amp;$B220),IFERROR(COUNTIFS(INDIRECT("'"&amp;$A220&amp;"'!$B$2:$B$501"),$T220,INDIRECT("'"&amp;$A220&amp;"'!$A$2:$A$501"),"&gt;="&amp;$I220,INDIRECT("'"&amp;$A220&amp;"'!$A$2:$A$501"),"&lt;"&amp;($BA220+1)),0)))</f>
        <v/>
      </c>
      <c r="AM220" s="25">
        <f>IF(OR($A220="",$I220=""),"",IF($BC220="Y",SUMIFS(survey_frozen!$D$2:$D$251,survey_frozen!$P$2:$P$251,$A220&amp;"|"&amp;$B220),IFERROR(COUNTIFS(INDIRECT("'"&amp;$A220&amp;"'!$B$2:$B$501"),$T220,INDIRECT("'"&amp;$A220&amp;"'!$A$2:$A$501"),"&gt;="&amp;$I220,INDIRECT("'"&amp;$A220&amp;"'!$A$2:$A$501"),"&lt;"&amp;($BA220+1),INDIRECT("'"&amp;$A220&amp;"'!$C$2:$C$501"),"Yes"),0)))</f>
        <v/>
      </c>
      <c r="AN220" s="25">
        <f>IF($A220="","",IF(COUNTIFS(scans!$C$2:$C$1601,(IF(LEFT($A220,7)="SAMPLE-","SAMPLE-","")&amp;LOWER(SUBSTITUTE(SUBSTITUTE($A220,"SAMPLE-",""),"CMP-","c"))&amp;"-"&amp;LOWER(SUBSTITUTE(SUBSTITUTE($B220,"SAMPLE-",""),"O-","o"))&amp;"-q"),scans!$D$2:$D$1601,"close")=0,"",SUMPRODUCT(MAX((scans!$C$2:$C$1601=(IF(LEFT($A220,7)="SAMPLE-","SAMPLE-","")&amp;LOWER(SUBSTITUTE(SUBSTITUTE($A220,"SAMPLE-",""),"CMP-","c"))&amp;"-"&amp;LOWER(SUBSTITUTE(SUBSTITUTE($B220,"SAMPLE-",""),"O-","o"))&amp;"-q"))*(scans!$D$2:$D$1601="close")*scans!$E$2:$E$1601))-SUMPRODUCT(MAX((scans!$C$2:$C$1601=(IF(LEFT($A220,7)="SAMPLE-","SAMPLE-","")&amp;LOWER(SUBSTITUTE(SUBSTITUTE($A220,"SAMPLE-",""),"CMP-","c"))&amp;"-"&amp;LOWER(SUBSTITUTE(SUBSTITUTE($B220,"SAMPLE-",""),"O-","o"))&amp;"-q"))*(scans!$D$2:$D$1601="baseline")*scans!$E$2:$E$1601))))</f>
        <v/>
      </c>
      <c r="AO220" s="25">
        <f>IF($A220="","",IF(COUNTIFS(scans!$C$2:$C$1601,(IF(LEFT($A220,7)="SAMPLE-","SAMPLE-","")&amp;LOWER(SUBSTITUTE(SUBSTITUTE($A220,"SAMPLE-",""),"CMP-","c"))&amp;"-"&amp;LOWER(SUBSTITUTE(SUBSTITUTE($B220,"SAMPLE-",""),"O-","o"))&amp;"-p"),scans!$D$2:$D$1601,"close")=0,"",SUMPRODUCT(MAX((scans!$C$2:$C$1601=(IF(LEFT($A220,7)="SAMPLE-","SAMPLE-","")&amp;LOWER(SUBSTITUTE(SUBSTITUTE($A220,"SAMPLE-",""),"CMP-","c"))&amp;"-"&amp;LOWER(SUBSTITUTE(SUBSTITUTE($B220,"SAMPLE-",""),"O-","o"))&amp;"-p"))*(scans!$D$2:$D$1601="close")*scans!$E$2:$E$1601))-SUMPRODUCT(MAX((scans!$C$2:$C$1601=(IF(LEFT($A220,7)="SAMPLE-","SAMPLE-","")&amp;LOWER(SUBSTITUTE(SUBSTITUTE($A220,"SAMPLE-",""),"CMP-","c"))&amp;"-"&amp;LOWER(SUBSTITUTE(SUBSTITUTE($B220,"SAMPLE-",""),"O-","o"))&amp;"-p"))*(scans!$D$2:$D$1601="baseline")*scans!$E$2:$E$1601))))</f>
        <v/>
      </c>
      <c r="AP220" s="25">
        <f>IF($A220="","",IF(COUNTIF(offices!$A$2:$A$61,$B220)=0,"office_id not on offices; ","")&amp;IF(COUNTIF(campaigns!$A$2:$A$51,$A220)=0,"campaign_id not on campaigns; ","")&amp;IF($P220="pending","approval pending; ","")&amp;IF(AND($U220&gt;0,$Y220="",OR($I220="",IF(config!$B$37&lt;&gt;"",config!$B$37,TODAY())&lt;=WORKDAY(N($I220),4,calendar!$A$2:$A$80))),"no usable placement photo yet; ","")&amp;IF(AND($Y220&lt;&gt;"",$Z220=""),"log the placed count; ","")&amp;IF(N($AA220)&gt;N($U220),"placed more than delivered; ","")&amp;IF(AND($AF220&lt;&gt;"",N($AF220)&gt;N($AA220)+N($AD220)),"day-5 count above placed plus top-ups; ","")&amp;IF(AND($U220&gt;0,$I220&lt;&gt;"",IF(config!$B$37&lt;&gt;"",config!$B$37,TODAY())&gt;WORKDAY(N($I220),4,calendar!$A$2:$A$80),$AF220=""),"day-5 count missing; ","")&amp;IF(AND($U220&gt;0,$I220&lt;&gt;"",IF(config!$B$37&lt;&gt;"",config!$B$37,TODAY())&gt;WORKDAY(N($I220),4,calendar!$A$2:$A$80),$AN220=""),"no close link reading; ","")&amp;$R220&amp;IF($P220="N","info: office said no; ","")&amp;IF(AND($P220="Y",$Q220="N"),"info: turned away at the door, so not on the drop (no letter, not in the report or Gate 2; the credit check is on campaigns); ","")&amp;IF(AND($U220&gt;0,$Y220="",$I220&lt;&gt;"",IF(config!$B$37&lt;&gt;"",config!$B$37,TODAY())&gt;WORKDAY(N($I220),4,calendar!$A$2:$A$80)),"info: no usable placement photo, so nothing counts as placed; ","")&amp;IF(AND($U220&gt;0,$I220&lt;&gt;"",IF(config!$B$37&lt;&gt;"",config!$B$37,TODAY())&gt;WORKDAY(N($I220),4,calendar!$A$2:$A$80),N($AL220)&lt;config!$B$30),"info: under "&amp;config!$B$30&amp;" responses; ","")&amp;IF($W220="packing_list","info: delivered count not verified; ",""))</f>
        <v/>
      </c>
      <c r="AQ220" s="25">
        <f>IF(OR($A220="",$I220=""),"",IF($BC220="Y",SUMIFS(survey_frozen!$E$2:$E$251,survey_frozen!$P$2:$P$251,$A220&amp;"|"&amp;$B220),IFERROR(COUNTIFS(INDIRECT("'"&amp;$A220&amp;"'!$B$2:$B$501"),$T220,INDIRECT("'"&amp;$A220&amp;"'!$A$2:$A$501"),"&gt;="&amp;$I220,INDIRECT("'"&amp;$A220&amp;"'!$A$2:$A$501"),"&lt;"&amp;($BA220+1),INDIRECT("'"&amp;$A220&amp;"'!$F$2:$F$501"),"Didn't see it"),0)))</f>
        <v/>
      </c>
      <c r="AR220" s="25">
        <f>IF(OR($A220="",$I220=""),"",IF($BC220="Y",SUMIFS(survey_frozen!$F$2:$F$251,survey_frozen!$P$2:$P$251,$A220&amp;"|"&amp;$B220),IFERROR(COUNTIFS(INDIRECT("'"&amp;$A220&amp;"'!$B$2:$B$501"),$T220,INDIRECT("'"&amp;$A220&amp;"'!$A$2:$A$501"),"&gt;="&amp;$I220,INDIRECT("'"&amp;$A220&amp;"'!$A$2:$A$501"),"&lt;"&amp;($BA220+1),INDIRECT("'"&amp;$A220&amp;"'!$F$2:$F$501"),"Not for me"),0)))</f>
        <v/>
      </c>
      <c r="AS220" s="25">
        <f>IF(OR($A220="",$I220=""),"",IF($BC220="Y",SUMIFS(survey_frozen!$G$2:$G$251,survey_frozen!$P$2:$P$251,$A220&amp;"|"&amp;$B220),IFERROR(COUNTIFS(INDIRECT("'"&amp;$A220&amp;"'!$B$2:$B$501"),$T220,INDIRECT("'"&amp;$A220&amp;"'!$A$2:$A$501"),"&gt;="&amp;$I220,INDIRECT("'"&amp;$A220&amp;"'!$A$2:$A$501"),"&lt;"&amp;($BA220+1),INDIRECT("'"&amp;$A220&amp;"'!$F$2:$F$501"),"Gone by the time I looked"),0)))</f>
        <v/>
      </c>
      <c r="AT220" s="25">
        <f>IF(OR($A220="",$I220=""),"",IF($BC220="Y",SUMIFS(survey_frozen!$H$2:$H$251,survey_frozen!$P$2:$P$251,$A220&amp;"|"&amp;$B220),IFERROR(COUNTIFS(INDIRECT("'"&amp;$A220&amp;"'!$B$2:$B$501"),$T220,INDIRECT("'"&amp;$A220&amp;"'!$A$2:$A$501"),"&gt;="&amp;$I220,INDIRECT("'"&amp;$A220&amp;"'!$A$2:$A$501"),"&lt;"&amp;($BA220+1),INDIRECT("'"&amp;$A220&amp;"'!$D$2:$D$501"),"&gt;=1"),0)))</f>
        <v/>
      </c>
      <c r="AU220" s="25">
        <f>IF(OR($A220="",$I220=""),"",IF($BC220="Y",SUMIFS(survey_frozen!$I$2:$I$251,survey_frozen!$P$2:$P$251,$A220&amp;"|"&amp;$B220),IFERROR(SUMIFS(INDIRECT("'"&amp;$A220&amp;"'!$D$2:$D$501"),INDIRECT("'"&amp;$A220&amp;"'!$B$2:$B$501"),$T220,INDIRECT("'"&amp;$A220&amp;"'!$A$2:$A$501"),"&gt;="&amp;$I220,INDIRECT("'"&amp;$A220&amp;"'!$A$2:$A$501"),"&lt;"&amp;($BA220+1)),0)))</f>
        <v/>
      </c>
      <c r="AV220" s="25">
        <f>IF(OR($A220="",$I220=""),"",IF($BC220="Y",SUMIFS(survey_frozen!$J$2:$J$251,survey_frozen!$P$2:$P$251,$A220&amp;"|"&amp;$B220),IFERROR(COUNTIFS(INDIRECT("'"&amp;$A220&amp;"'!$B$2:$B$501"),$T220,INDIRECT("'"&amp;$A220&amp;"'!$A$2:$A$501"),"&gt;="&amp;$I220,INDIRECT("'"&amp;$A220&amp;"'!$A$2:$A$501"),"&lt;"&amp;($BA220+1),INDIRECT("'"&amp;$A220&amp;"'!$E$2:$E$501"),"Yes"),0)))</f>
        <v/>
      </c>
      <c r="AW220" s="25">
        <f>IF(OR($A220="",$I220=""),"",IF($BC220="Y",SUMIFS(survey_frozen!$K$2:$K$251,survey_frozen!$P$2:$P$251,$A220&amp;"|"&amp;$B220),IFERROR(COUNTIFS(INDIRECT("'"&amp;$A220&amp;"'!$B$2:$B$501"),$T220,INDIRECT("'"&amp;$A220&amp;"'!$A$2:$A$501"),"&gt;="&amp;$I220,INDIRECT("'"&amp;$A220&amp;"'!$A$2:$A$501"),"&lt;"&amp;($BA220+1),INDIRECT("'"&amp;$A220&amp;"'!$E$2:$E$501"),"Maybe"),0)))</f>
        <v/>
      </c>
      <c r="AX220" s="25">
        <f>IF(OR($A220="",$I220=""),"",IF($BC220="Y",SUMIFS(survey_frozen!$L$2:$L$251,survey_frozen!$P$2:$P$251,$A220&amp;"|"&amp;$B220),IFERROR(COUNTIFS(INDIRECT("'"&amp;$A220&amp;"'!$B$2:$B$501"),$T220,INDIRECT("'"&amp;$A220&amp;"'!$A$2:$A$501"),"&gt;="&amp;$I220,INDIRECT("'"&amp;$A220&amp;"'!$A$2:$A$501"),"&lt;"&amp;($BA220+1),INDIRECT("'"&amp;$A220&amp;"'!$E$2:$E$501"),"No"),0)))</f>
        <v/>
      </c>
      <c r="AY220" s="25">
        <f>IF(OR($A220="",$I220=""),"",IF($BC220="Y",SUMIFS(survey_frozen!$M$2:$M$251,survey_frozen!$P$2:$P$251,$A220&amp;"|"&amp;$B220),IFERROR(COUNTIFS(INDIRECT("'"&amp;$A220&amp;"'!$B$2:$B$501"),$T220,INDIRECT("'"&amp;$A220&amp;"'!$A$2:$A$501"),"&gt;="&amp;$I220,INDIRECT("'"&amp;$A220&amp;"'!$A$2:$A$501"),"&lt;"&amp;($BA220+1),INDIRECT("'"&amp;$A220&amp;"'!$G$2:$G$501"),"&lt;&gt;"),0)))</f>
        <v/>
      </c>
      <c r="AZ220" s="25">
        <f>IF($A220="","",$A220&amp;"|"&amp;$L220)</f>
        <v/>
      </c>
      <c r="BA220" s="26">
        <f>IF($A220="","",IFERROR(IF(INDEX(drops!$R$2:$R$21,MATCH($H220,drops!$A$2:$A$21,0))="","",INDEX(drops!$R$2:$R$21,MATCH($H220,drops!$A$2:$A$21,0))),""))</f>
        <v/>
      </c>
      <c r="BB220" s="25">
        <f>IF(OR($A220="",$Q220&lt;&gt;"Y"),1000000,N($AL220))</f>
        <v/>
      </c>
      <c r="BC220" s="25">
        <f>IF($A220="","",IF(COUNTIF(survey_frozen!$P$2:$P$251,$A220&amp;"|"&amp;$B220)&gt;0,"Y",""))</f>
        <v/>
      </c>
    </row>
    <row r="221">
      <c r="C221" s="9" t="n"/>
      <c r="E221" s="9" t="n"/>
      <c r="H221" s="25">
        <f>IF($A221="","",IFERROR(IF(INDEX(campaigns!$B$2:$B$51,MATCH($A221,campaigns!$A$2:$A$51,0))="","",INDEX(campaigns!$B$2:$B$51,MATCH($A221,campaigns!$A$2:$A$51,0))),""))</f>
        <v/>
      </c>
      <c r="I221" s="26">
        <f>IF($A221="","",IFERROR(IF(INDEX(campaigns!$BG$2:$BG$51,MATCH($A221,campaigns!$A$2:$A$51,0))="","",INDEX(campaigns!$BG$2:$BG$51,MATCH($A221,campaigns!$A$2:$A$51,0))),""))</f>
        <v/>
      </c>
      <c r="J221" s="25">
        <f>IF($A221="","",IFERROR(IF(INDEX(campaigns!$BE$2:$BE$51,MATCH($A221,campaigns!$A$2:$A$51,0))="","",INDEX(campaigns!$BE$2:$BE$51,MATCH($A221,campaigns!$A$2:$A$51,0))),""))</f>
        <v/>
      </c>
      <c r="K221" s="25">
        <f>IF($B221="","",IFERROR(IF(INDEX(offices!$N$2:$N$61,MATCH($B221,offices!$A$2:$A$61,0))="","",INDEX(offices!$N$2:$N$61,MATCH($B221,offices!$A$2:$A$61,0))),""))</f>
        <v/>
      </c>
      <c r="L221" s="25">
        <f>IF($A221="","",IF($Q221="N","",COUNTIFS($A$2:$A221,$A221,$Q$2:$Q221,"&lt;&gt;N")))</f>
        <v/>
      </c>
      <c r="M221" s="25">
        <f>IF(OR($A221="",$L221=""),"",IF(AND(config!$B$34="names_if_public",IFERROR(IF(INDEX(offices!$AF$2:$AF$61,MATCH($B221,offices!$A$2:$A$61,0))="","",INDEX(offices!$AF$2:$AF$61,MATCH($B221,offices!$A$2:$A$61,0))),"")="Y"),$K221,CHAR(64+$L221)))</f>
        <v/>
      </c>
      <c r="N221" s="25">
        <f>IF(OR($A221="",$I221=""),"",COUNTIFS(stops!$B$2:$B$151,$B221,stops!$P$2:$P$151,"&lt;"&amp;$I221,stops!$L$2:$L$151,"&lt;&gt;not_delivered")+1)</f>
        <v/>
      </c>
      <c r="O221" s="25">
        <f>IF($A221="","",IF(N($N221)&lt;=config!$B$29,"explicit","opt-out"))</f>
        <v/>
      </c>
      <c r="P221" s="25">
        <f>IF($A221="","",IF($O221="explicit",IF($D221="yes","Y",IF($D221="no","N","pending")),IF($D221="no","N",IF(AND($C221&lt;&gt;"",$I221&lt;&gt;"",$C221&lt;=WORKDAY(N($I221),-5,calendar!$A$2:$A$80)),"Y","pending"))))</f>
        <v/>
      </c>
      <c r="Q221" s="25">
        <f>IF($A221="","",IF($P221="N","N",IF($P221&lt;&gt;"Y","pending",IF(AND((COUNTIFS(stops!$A$2:$A$151,$H221,stops!$B$2:$B$151,$B221,stops!$L$2:$L$151,"declined")+COUNTIFS(stops!$A$2:$A$151,$H221,stops!$B$2:$B$151,$B221,stops!$L$2:$L$151,"building_refused")+COUNTIFS(stops!$A$2:$A$151,$H221,stops!$B$2:$B$151,$B221,stops!$L$2:$L$151,"not_delivered"))&gt;0,N($U221)=0),"N","Y"))))</f>
        <v/>
      </c>
      <c r="R221" s="25">
        <f>IF($A221="","",IF(COUNTIFS($A$2:$A$251,$A221,$B$2:$B$251,$B221)&gt;1,"DUPLICATE ROW; ","")&amp;IF(AND(IFERROR(IF(INDEX(offices!$AC$2:$AC$61,MATCH($B221,offices!$A$2:$A$61,0))="","",INDEX(offices!$AC$2:$AC$61,MATCH($B221,offices!$A$2:$A$61,0))),"")&lt;&gt;"",ISNUMBER(SEARCH($J221,IFERROR(IF(INDEX(offices!$AC$2:$AC$61,MATCH($B221,offices!$A$2:$A$61,0))="","",INDEX(offices!$AC$2:$AC$61,MATCH($B221,offices!$A$2:$A$61,0))),"")))),"BRAND VETOED; ","")&amp;IF(ISNUMBER(SEARCH(IFERROR(IF(INDEX(campaigns!$BF$2:$BF$51,MATCH($A221,campaigns!$A$2:$A$51,0))="","",INDEX(campaigns!$BF$2:$BF$51,MATCH($A221,campaigns!$A$2:$A$51,0))),""),IFERROR(IF(INDEX(offices!$AB$2:$AB$61,MATCH($B221,offices!$A$2:$A$61,0))="","",INDEX(offices!$AB$2:$AB$61,MATCH($B221,offices!$A$2:$A$61,0))),""))),"","info: category not on the office's list; ")&amp;IF(IFERROR(IF(INDEX(offices!$AC$2:$AC$61,MATCH($B221,offices!$A$2:$A$61,0))="","",INDEX(offices!$AC$2:$AC$61,MATCH($B221,offices!$A$2:$A$61,0))),"")&lt;&gt;"","info: read the vetoes against the label; ",""))</f>
        <v/>
      </c>
      <c r="S221" s="25">
        <f>IF($A221="","",IF($G221&lt;&gt;"",$G221,IFERROR(IF(INDEX(offices!$AL$2:$AL$61,MATCH($B221,offices!$A$2:$A$61,0))="","",INDEX(offices!$AL$2:$AL$61,MATCH($B221,offices!$A$2:$A$61,0))),"")))</f>
        <v/>
      </c>
      <c r="T221" s="25">
        <f>IF($A221="","",$A221&amp;"."&amp;$B221)</f>
        <v/>
      </c>
      <c r="U221" s="25">
        <f>IF($A221="","",SUMIFS(inventory!$G$2:$G$801,inventory!$C$2:$C$801,$A221,inventory!$D$2:$D$801,$B221,inventory!$E$2:$E$801,"delivered"))</f>
        <v/>
      </c>
      <c r="V221" s="32">
        <f>IF($A221="","",IFERROR(1/(1/SUMPRODUCT(MAX((inventory!$C$2:$C$801=$A221)*(inventory!$D$2:$D$801=$B221)*(inventory!$E$2:$E$801="delivered")*(inventory!$A$2:$A$801+inventory!$B$2:$B$801)))),""))</f>
        <v/>
      </c>
      <c r="W221" s="25">
        <f>IF($A221="","",IFERROR(IF(INDEX(inventory!$J$2:$J$801,MATCH($A221&amp;"|"&amp;$B221&amp;"|delivered",inventory!$R$2:$R$801,0))="","",INDEX(inventory!$J$2:$J$801,MATCH($A221&amp;"|"&amp;$B221&amp;"|delivered",inventory!$R$2:$R$801,0))),""))</f>
        <v/>
      </c>
      <c r="X221" s="25">
        <f>IF($A221="","",IFERROR(IF(INDEX(photos!$H$2:$H$701,MATCH($A221&amp;"|"&amp;$B221&amp;"|placement|Y",photos!$R$2:$R$701,0))="","",INDEX(photos!$H$2:$H$701,MATCH($A221&amp;"|"&amp;$B221&amp;"|placement|Y",photos!$R$2:$R$701,0))),""))</f>
        <v/>
      </c>
      <c r="Y221" s="26">
        <f>IF($A221="","",IFERROR(IF(INDEX(photos!$E$2:$E$701,MATCH($A221&amp;"|"&amp;$B221&amp;"|placement|Y",photos!$R$2:$R$701,0))="","",INDEX(photos!$E$2:$E$701,MATCH($A221&amp;"|"&amp;$B221&amp;"|placement|Y",photos!$R$2:$R$701,0))),""))</f>
        <v/>
      </c>
      <c r="Z221" s="25">
        <f>IF($A221="","",IF(COUNTIFS(counts!$C$2:$C$701,$A221,counts!$D$2:$D$701,$B221,counts!$E$2:$E$701,"placed")=0,"",SUMIFS(counts!$F$2:$F$701,counts!$C$2:$C$701,$A221,counts!$D$2:$D$701,$B221,counts!$E$2:$E$701,"placed")))</f>
        <v/>
      </c>
      <c r="AA221" s="25">
        <f>IF($A221="","",IF($Y221="",0,N($Z221)))</f>
        <v/>
      </c>
      <c r="AB221" s="25">
        <f>IF($A221="","",IF(OR($Y221="",$I221=""),"N",IF($Y221&lt;=WORKDAY(N($I221),1,calendar!$A$2:$A$80),"Y","N")))</f>
        <v/>
      </c>
      <c r="AC221" s="28">
        <f>IF(OR($A221="",$V221="",$Y221=""),"",ROUND(($Y221+N(IFERROR(IF(INDEX(photos!$F$2:$F$701,MATCH($A221&amp;"|"&amp;$B221&amp;"|placement|Y",photos!$R$2:$R$701,0))="","",INDEX(photos!$F$2:$F$701,MATCH($A221&amp;"|"&amp;$B221&amp;"|placement|Y",photos!$R$2:$R$701,0))),""))-$V221)*24,1))</f>
        <v/>
      </c>
      <c r="AD221" s="25">
        <f>IF($A221="","",SUMIFS(inventory!$G$2:$G$801,inventory!$C$2:$C$801,$A221,inventory!$D$2:$D$801,$B221,inventory!$E$2:$E$801,"topped_up"))</f>
        <v/>
      </c>
      <c r="AE221" s="25">
        <f>IF($A221="","",IF(COUNTIFS(counts!$C$2:$C$701,$A221,counts!$D$2:$D$701,$B221,counts!$E$2:$E$701,"remaining_day3")=0,"",SUMIFS(counts!$F$2:$F$701,counts!$C$2:$C$701,$A221,counts!$D$2:$D$701,$B221,counts!$E$2:$E$701,"remaining_day3")))</f>
        <v/>
      </c>
      <c r="AF221" s="25">
        <f>IF($A221="","",IF(COUNTIFS(counts!$C$2:$C$701,$A221,counts!$D$2:$D$701,$B221,counts!$E$2:$E$701,"remaining_day5")=0,"",SUMIFS(counts!$F$2:$F$701,counts!$C$2:$C$701,$A221,counts!$D$2:$D$701,$B221,counts!$E$2:$E$701,"remaining_day5")))</f>
        <v/>
      </c>
      <c r="AG221" s="25">
        <f>IF(OR($A221="",$AF221=""),"",MAX(0,$AA221+$AD221-$AF221))</f>
        <v/>
      </c>
      <c r="AH221" s="25">
        <f>IF(OR($A221="",$AI221=""),"",IFERROR(IF(INDEX(photos!$H$2:$H$701,MATCH($A221&amp;"|"&amp;$B221&amp;"|later|Y|"&amp;$AI221,photos!$S$2:$S$701,0))="","",INDEX(photos!$H$2:$H$701,MATCH($A221&amp;"|"&amp;$B221&amp;"|later|Y|"&amp;$AI221,photos!$S$2:$S$701,0))),""))</f>
        <v/>
      </c>
      <c r="AI221" s="26">
        <f>IF($A221="","",IFERROR(1/(1/SUMPRODUCT(MAX((photos!$B$2:$B$701=$A221)*(photos!$C$2:$C$701=$B221)*(photos!$D$2:$D$701="later")*(photos!$O$2:$O$701="Y")*photos!$E$2:$E$701))),""))</f>
        <v/>
      </c>
      <c r="AJ221" s="25">
        <f>IF(OR($A221="",$AI221="",$I221=""),"",NETWORKDAYS($I221,$AI221,calendar!$A$2:$A$80))</f>
        <v/>
      </c>
      <c r="AK221" s="25">
        <f>IF($A221="","",IF(AND($X221&lt;&gt;"",$AH221&lt;&gt;""),"Y","N"))</f>
        <v/>
      </c>
      <c r="AL221" s="25">
        <f>IF(OR($A221="",$I221=""),"",IF($BC221="Y",SUMIFS(survey_frozen!$C$2:$C$251,survey_frozen!$P$2:$P$251,$A221&amp;"|"&amp;$B221),IFERROR(COUNTIFS(INDIRECT("'"&amp;$A221&amp;"'!$B$2:$B$501"),$T221,INDIRECT("'"&amp;$A221&amp;"'!$A$2:$A$501"),"&gt;="&amp;$I221,INDIRECT("'"&amp;$A221&amp;"'!$A$2:$A$501"),"&lt;"&amp;($BA221+1)),0)))</f>
        <v/>
      </c>
      <c r="AM221" s="25">
        <f>IF(OR($A221="",$I221=""),"",IF($BC221="Y",SUMIFS(survey_frozen!$D$2:$D$251,survey_frozen!$P$2:$P$251,$A221&amp;"|"&amp;$B221),IFERROR(COUNTIFS(INDIRECT("'"&amp;$A221&amp;"'!$B$2:$B$501"),$T221,INDIRECT("'"&amp;$A221&amp;"'!$A$2:$A$501"),"&gt;="&amp;$I221,INDIRECT("'"&amp;$A221&amp;"'!$A$2:$A$501"),"&lt;"&amp;($BA221+1),INDIRECT("'"&amp;$A221&amp;"'!$C$2:$C$501"),"Yes"),0)))</f>
        <v/>
      </c>
      <c r="AN221" s="25">
        <f>IF($A221="","",IF(COUNTIFS(scans!$C$2:$C$1601,(IF(LEFT($A221,7)="SAMPLE-","SAMPLE-","")&amp;LOWER(SUBSTITUTE(SUBSTITUTE($A221,"SAMPLE-",""),"CMP-","c"))&amp;"-"&amp;LOWER(SUBSTITUTE(SUBSTITUTE($B221,"SAMPLE-",""),"O-","o"))&amp;"-q"),scans!$D$2:$D$1601,"close")=0,"",SUMPRODUCT(MAX((scans!$C$2:$C$1601=(IF(LEFT($A221,7)="SAMPLE-","SAMPLE-","")&amp;LOWER(SUBSTITUTE(SUBSTITUTE($A221,"SAMPLE-",""),"CMP-","c"))&amp;"-"&amp;LOWER(SUBSTITUTE(SUBSTITUTE($B221,"SAMPLE-",""),"O-","o"))&amp;"-q"))*(scans!$D$2:$D$1601="close")*scans!$E$2:$E$1601))-SUMPRODUCT(MAX((scans!$C$2:$C$1601=(IF(LEFT($A221,7)="SAMPLE-","SAMPLE-","")&amp;LOWER(SUBSTITUTE(SUBSTITUTE($A221,"SAMPLE-",""),"CMP-","c"))&amp;"-"&amp;LOWER(SUBSTITUTE(SUBSTITUTE($B221,"SAMPLE-",""),"O-","o"))&amp;"-q"))*(scans!$D$2:$D$1601="baseline")*scans!$E$2:$E$1601))))</f>
        <v/>
      </c>
      <c r="AO221" s="25">
        <f>IF($A221="","",IF(COUNTIFS(scans!$C$2:$C$1601,(IF(LEFT($A221,7)="SAMPLE-","SAMPLE-","")&amp;LOWER(SUBSTITUTE(SUBSTITUTE($A221,"SAMPLE-",""),"CMP-","c"))&amp;"-"&amp;LOWER(SUBSTITUTE(SUBSTITUTE($B221,"SAMPLE-",""),"O-","o"))&amp;"-p"),scans!$D$2:$D$1601,"close")=0,"",SUMPRODUCT(MAX((scans!$C$2:$C$1601=(IF(LEFT($A221,7)="SAMPLE-","SAMPLE-","")&amp;LOWER(SUBSTITUTE(SUBSTITUTE($A221,"SAMPLE-",""),"CMP-","c"))&amp;"-"&amp;LOWER(SUBSTITUTE(SUBSTITUTE($B221,"SAMPLE-",""),"O-","o"))&amp;"-p"))*(scans!$D$2:$D$1601="close")*scans!$E$2:$E$1601))-SUMPRODUCT(MAX((scans!$C$2:$C$1601=(IF(LEFT($A221,7)="SAMPLE-","SAMPLE-","")&amp;LOWER(SUBSTITUTE(SUBSTITUTE($A221,"SAMPLE-",""),"CMP-","c"))&amp;"-"&amp;LOWER(SUBSTITUTE(SUBSTITUTE($B221,"SAMPLE-",""),"O-","o"))&amp;"-p"))*(scans!$D$2:$D$1601="baseline")*scans!$E$2:$E$1601))))</f>
        <v/>
      </c>
      <c r="AP221" s="25">
        <f>IF($A221="","",IF(COUNTIF(offices!$A$2:$A$61,$B221)=0,"office_id not on offices; ","")&amp;IF(COUNTIF(campaigns!$A$2:$A$51,$A221)=0,"campaign_id not on campaigns; ","")&amp;IF($P221="pending","approval pending; ","")&amp;IF(AND($U221&gt;0,$Y221="",OR($I221="",IF(config!$B$37&lt;&gt;"",config!$B$37,TODAY())&lt;=WORKDAY(N($I221),4,calendar!$A$2:$A$80))),"no usable placement photo yet; ","")&amp;IF(AND($Y221&lt;&gt;"",$Z221=""),"log the placed count; ","")&amp;IF(N($AA221)&gt;N($U221),"placed more than delivered; ","")&amp;IF(AND($AF221&lt;&gt;"",N($AF221)&gt;N($AA221)+N($AD221)),"day-5 count above placed plus top-ups; ","")&amp;IF(AND($U221&gt;0,$I221&lt;&gt;"",IF(config!$B$37&lt;&gt;"",config!$B$37,TODAY())&gt;WORKDAY(N($I221),4,calendar!$A$2:$A$80),$AF221=""),"day-5 count missing; ","")&amp;IF(AND($U221&gt;0,$I221&lt;&gt;"",IF(config!$B$37&lt;&gt;"",config!$B$37,TODAY())&gt;WORKDAY(N($I221),4,calendar!$A$2:$A$80),$AN221=""),"no close link reading; ","")&amp;$R221&amp;IF($P221="N","info: office said no; ","")&amp;IF(AND($P221="Y",$Q221="N"),"info: turned away at the door, so not on the drop (no letter, not in the report or Gate 2; the credit check is on campaigns); ","")&amp;IF(AND($U221&gt;0,$Y221="",$I221&lt;&gt;"",IF(config!$B$37&lt;&gt;"",config!$B$37,TODAY())&gt;WORKDAY(N($I221),4,calendar!$A$2:$A$80)),"info: no usable placement photo, so nothing counts as placed; ","")&amp;IF(AND($U221&gt;0,$I221&lt;&gt;"",IF(config!$B$37&lt;&gt;"",config!$B$37,TODAY())&gt;WORKDAY(N($I221),4,calendar!$A$2:$A$80),N($AL221)&lt;config!$B$30),"info: under "&amp;config!$B$30&amp;" responses; ","")&amp;IF($W221="packing_list","info: delivered count not verified; ",""))</f>
        <v/>
      </c>
      <c r="AQ221" s="25">
        <f>IF(OR($A221="",$I221=""),"",IF($BC221="Y",SUMIFS(survey_frozen!$E$2:$E$251,survey_frozen!$P$2:$P$251,$A221&amp;"|"&amp;$B221),IFERROR(COUNTIFS(INDIRECT("'"&amp;$A221&amp;"'!$B$2:$B$501"),$T221,INDIRECT("'"&amp;$A221&amp;"'!$A$2:$A$501"),"&gt;="&amp;$I221,INDIRECT("'"&amp;$A221&amp;"'!$A$2:$A$501"),"&lt;"&amp;($BA221+1),INDIRECT("'"&amp;$A221&amp;"'!$F$2:$F$501"),"Didn't see it"),0)))</f>
        <v/>
      </c>
      <c r="AR221" s="25">
        <f>IF(OR($A221="",$I221=""),"",IF($BC221="Y",SUMIFS(survey_frozen!$F$2:$F$251,survey_frozen!$P$2:$P$251,$A221&amp;"|"&amp;$B221),IFERROR(COUNTIFS(INDIRECT("'"&amp;$A221&amp;"'!$B$2:$B$501"),$T221,INDIRECT("'"&amp;$A221&amp;"'!$A$2:$A$501"),"&gt;="&amp;$I221,INDIRECT("'"&amp;$A221&amp;"'!$A$2:$A$501"),"&lt;"&amp;($BA221+1),INDIRECT("'"&amp;$A221&amp;"'!$F$2:$F$501"),"Not for me"),0)))</f>
        <v/>
      </c>
      <c r="AS221" s="25">
        <f>IF(OR($A221="",$I221=""),"",IF($BC221="Y",SUMIFS(survey_frozen!$G$2:$G$251,survey_frozen!$P$2:$P$251,$A221&amp;"|"&amp;$B221),IFERROR(COUNTIFS(INDIRECT("'"&amp;$A221&amp;"'!$B$2:$B$501"),$T221,INDIRECT("'"&amp;$A221&amp;"'!$A$2:$A$501"),"&gt;="&amp;$I221,INDIRECT("'"&amp;$A221&amp;"'!$A$2:$A$501"),"&lt;"&amp;($BA221+1),INDIRECT("'"&amp;$A221&amp;"'!$F$2:$F$501"),"Gone by the time I looked"),0)))</f>
        <v/>
      </c>
      <c r="AT221" s="25">
        <f>IF(OR($A221="",$I221=""),"",IF($BC221="Y",SUMIFS(survey_frozen!$H$2:$H$251,survey_frozen!$P$2:$P$251,$A221&amp;"|"&amp;$B221),IFERROR(COUNTIFS(INDIRECT("'"&amp;$A221&amp;"'!$B$2:$B$501"),$T221,INDIRECT("'"&amp;$A221&amp;"'!$A$2:$A$501"),"&gt;="&amp;$I221,INDIRECT("'"&amp;$A221&amp;"'!$A$2:$A$501"),"&lt;"&amp;($BA221+1),INDIRECT("'"&amp;$A221&amp;"'!$D$2:$D$501"),"&gt;=1"),0)))</f>
        <v/>
      </c>
      <c r="AU221" s="25">
        <f>IF(OR($A221="",$I221=""),"",IF($BC221="Y",SUMIFS(survey_frozen!$I$2:$I$251,survey_frozen!$P$2:$P$251,$A221&amp;"|"&amp;$B221),IFERROR(SUMIFS(INDIRECT("'"&amp;$A221&amp;"'!$D$2:$D$501"),INDIRECT("'"&amp;$A221&amp;"'!$B$2:$B$501"),$T221,INDIRECT("'"&amp;$A221&amp;"'!$A$2:$A$501"),"&gt;="&amp;$I221,INDIRECT("'"&amp;$A221&amp;"'!$A$2:$A$501"),"&lt;"&amp;($BA221+1)),0)))</f>
        <v/>
      </c>
      <c r="AV221" s="25">
        <f>IF(OR($A221="",$I221=""),"",IF($BC221="Y",SUMIFS(survey_frozen!$J$2:$J$251,survey_frozen!$P$2:$P$251,$A221&amp;"|"&amp;$B221),IFERROR(COUNTIFS(INDIRECT("'"&amp;$A221&amp;"'!$B$2:$B$501"),$T221,INDIRECT("'"&amp;$A221&amp;"'!$A$2:$A$501"),"&gt;="&amp;$I221,INDIRECT("'"&amp;$A221&amp;"'!$A$2:$A$501"),"&lt;"&amp;($BA221+1),INDIRECT("'"&amp;$A221&amp;"'!$E$2:$E$501"),"Yes"),0)))</f>
        <v/>
      </c>
      <c r="AW221" s="25">
        <f>IF(OR($A221="",$I221=""),"",IF($BC221="Y",SUMIFS(survey_frozen!$K$2:$K$251,survey_frozen!$P$2:$P$251,$A221&amp;"|"&amp;$B221),IFERROR(COUNTIFS(INDIRECT("'"&amp;$A221&amp;"'!$B$2:$B$501"),$T221,INDIRECT("'"&amp;$A221&amp;"'!$A$2:$A$501"),"&gt;="&amp;$I221,INDIRECT("'"&amp;$A221&amp;"'!$A$2:$A$501"),"&lt;"&amp;($BA221+1),INDIRECT("'"&amp;$A221&amp;"'!$E$2:$E$501"),"Maybe"),0)))</f>
        <v/>
      </c>
      <c r="AX221" s="25">
        <f>IF(OR($A221="",$I221=""),"",IF($BC221="Y",SUMIFS(survey_frozen!$L$2:$L$251,survey_frozen!$P$2:$P$251,$A221&amp;"|"&amp;$B221),IFERROR(COUNTIFS(INDIRECT("'"&amp;$A221&amp;"'!$B$2:$B$501"),$T221,INDIRECT("'"&amp;$A221&amp;"'!$A$2:$A$501"),"&gt;="&amp;$I221,INDIRECT("'"&amp;$A221&amp;"'!$A$2:$A$501"),"&lt;"&amp;($BA221+1),INDIRECT("'"&amp;$A221&amp;"'!$E$2:$E$501"),"No"),0)))</f>
        <v/>
      </c>
      <c r="AY221" s="25">
        <f>IF(OR($A221="",$I221=""),"",IF($BC221="Y",SUMIFS(survey_frozen!$M$2:$M$251,survey_frozen!$P$2:$P$251,$A221&amp;"|"&amp;$B221),IFERROR(COUNTIFS(INDIRECT("'"&amp;$A221&amp;"'!$B$2:$B$501"),$T221,INDIRECT("'"&amp;$A221&amp;"'!$A$2:$A$501"),"&gt;="&amp;$I221,INDIRECT("'"&amp;$A221&amp;"'!$A$2:$A$501"),"&lt;"&amp;($BA221+1),INDIRECT("'"&amp;$A221&amp;"'!$G$2:$G$501"),"&lt;&gt;"),0)))</f>
        <v/>
      </c>
      <c r="AZ221" s="25">
        <f>IF($A221="","",$A221&amp;"|"&amp;$L221)</f>
        <v/>
      </c>
      <c r="BA221" s="26">
        <f>IF($A221="","",IFERROR(IF(INDEX(drops!$R$2:$R$21,MATCH($H221,drops!$A$2:$A$21,0))="","",INDEX(drops!$R$2:$R$21,MATCH($H221,drops!$A$2:$A$21,0))),""))</f>
        <v/>
      </c>
      <c r="BB221" s="25">
        <f>IF(OR($A221="",$Q221&lt;&gt;"Y"),1000000,N($AL221))</f>
        <v/>
      </c>
      <c r="BC221" s="25">
        <f>IF($A221="","",IF(COUNTIF(survey_frozen!$P$2:$P$251,$A221&amp;"|"&amp;$B221)&gt;0,"Y",""))</f>
        <v/>
      </c>
    </row>
    <row r="222">
      <c r="C222" s="9" t="n"/>
      <c r="E222" s="9" t="n"/>
      <c r="H222" s="25">
        <f>IF($A222="","",IFERROR(IF(INDEX(campaigns!$B$2:$B$51,MATCH($A222,campaigns!$A$2:$A$51,0))="","",INDEX(campaigns!$B$2:$B$51,MATCH($A222,campaigns!$A$2:$A$51,0))),""))</f>
        <v/>
      </c>
      <c r="I222" s="26">
        <f>IF($A222="","",IFERROR(IF(INDEX(campaigns!$BG$2:$BG$51,MATCH($A222,campaigns!$A$2:$A$51,0))="","",INDEX(campaigns!$BG$2:$BG$51,MATCH($A222,campaigns!$A$2:$A$51,0))),""))</f>
        <v/>
      </c>
      <c r="J222" s="25">
        <f>IF($A222="","",IFERROR(IF(INDEX(campaigns!$BE$2:$BE$51,MATCH($A222,campaigns!$A$2:$A$51,0))="","",INDEX(campaigns!$BE$2:$BE$51,MATCH($A222,campaigns!$A$2:$A$51,0))),""))</f>
        <v/>
      </c>
      <c r="K222" s="25">
        <f>IF($B222="","",IFERROR(IF(INDEX(offices!$N$2:$N$61,MATCH($B222,offices!$A$2:$A$61,0))="","",INDEX(offices!$N$2:$N$61,MATCH($B222,offices!$A$2:$A$61,0))),""))</f>
        <v/>
      </c>
      <c r="L222" s="25">
        <f>IF($A222="","",IF($Q222="N","",COUNTIFS($A$2:$A222,$A222,$Q$2:$Q222,"&lt;&gt;N")))</f>
        <v/>
      </c>
      <c r="M222" s="25">
        <f>IF(OR($A222="",$L222=""),"",IF(AND(config!$B$34="names_if_public",IFERROR(IF(INDEX(offices!$AF$2:$AF$61,MATCH($B222,offices!$A$2:$A$61,0))="","",INDEX(offices!$AF$2:$AF$61,MATCH($B222,offices!$A$2:$A$61,0))),"")="Y"),$K222,CHAR(64+$L222)))</f>
        <v/>
      </c>
      <c r="N222" s="25">
        <f>IF(OR($A222="",$I222=""),"",COUNTIFS(stops!$B$2:$B$151,$B222,stops!$P$2:$P$151,"&lt;"&amp;$I222,stops!$L$2:$L$151,"&lt;&gt;not_delivered")+1)</f>
        <v/>
      </c>
      <c r="O222" s="25">
        <f>IF($A222="","",IF(N($N222)&lt;=config!$B$29,"explicit","opt-out"))</f>
        <v/>
      </c>
      <c r="P222" s="25">
        <f>IF($A222="","",IF($O222="explicit",IF($D222="yes","Y",IF($D222="no","N","pending")),IF($D222="no","N",IF(AND($C222&lt;&gt;"",$I222&lt;&gt;"",$C222&lt;=WORKDAY(N($I222),-5,calendar!$A$2:$A$80)),"Y","pending"))))</f>
        <v/>
      </c>
      <c r="Q222" s="25">
        <f>IF($A222="","",IF($P222="N","N",IF($P222&lt;&gt;"Y","pending",IF(AND((COUNTIFS(stops!$A$2:$A$151,$H222,stops!$B$2:$B$151,$B222,stops!$L$2:$L$151,"declined")+COUNTIFS(stops!$A$2:$A$151,$H222,stops!$B$2:$B$151,$B222,stops!$L$2:$L$151,"building_refused")+COUNTIFS(stops!$A$2:$A$151,$H222,stops!$B$2:$B$151,$B222,stops!$L$2:$L$151,"not_delivered"))&gt;0,N($U222)=0),"N","Y"))))</f>
        <v/>
      </c>
      <c r="R222" s="25">
        <f>IF($A222="","",IF(COUNTIFS($A$2:$A$251,$A222,$B$2:$B$251,$B222)&gt;1,"DUPLICATE ROW; ","")&amp;IF(AND(IFERROR(IF(INDEX(offices!$AC$2:$AC$61,MATCH($B222,offices!$A$2:$A$61,0))="","",INDEX(offices!$AC$2:$AC$61,MATCH($B222,offices!$A$2:$A$61,0))),"")&lt;&gt;"",ISNUMBER(SEARCH($J222,IFERROR(IF(INDEX(offices!$AC$2:$AC$61,MATCH($B222,offices!$A$2:$A$61,0))="","",INDEX(offices!$AC$2:$AC$61,MATCH($B222,offices!$A$2:$A$61,0))),"")))),"BRAND VETOED; ","")&amp;IF(ISNUMBER(SEARCH(IFERROR(IF(INDEX(campaigns!$BF$2:$BF$51,MATCH($A222,campaigns!$A$2:$A$51,0))="","",INDEX(campaigns!$BF$2:$BF$51,MATCH($A222,campaigns!$A$2:$A$51,0))),""),IFERROR(IF(INDEX(offices!$AB$2:$AB$61,MATCH($B222,offices!$A$2:$A$61,0))="","",INDEX(offices!$AB$2:$AB$61,MATCH($B222,offices!$A$2:$A$61,0))),""))),"","info: category not on the office's list; ")&amp;IF(IFERROR(IF(INDEX(offices!$AC$2:$AC$61,MATCH($B222,offices!$A$2:$A$61,0))="","",INDEX(offices!$AC$2:$AC$61,MATCH($B222,offices!$A$2:$A$61,0))),"")&lt;&gt;"","info: read the vetoes against the label; ",""))</f>
        <v/>
      </c>
      <c r="S222" s="25">
        <f>IF($A222="","",IF($G222&lt;&gt;"",$G222,IFERROR(IF(INDEX(offices!$AL$2:$AL$61,MATCH($B222,offices!$A$2:$A$61,0))="","",INDEX(offices!$AL$2:$AL$61,MATCH($B222,offices!$A$2:$A$61,0))),"")))</f>
        <v/>
      </c>
      <c r="T222" s="25">
        <f>IF($A222="","",$A222&amp;"."&amp;$B222)</f>
        <v/>
      </c>
      <c r="U222" s="25">
        <f>IF($A222="","",SUMIFS(inventory!$G$2:$G$801,inventory!$C$2:$C$801,$A222,inventory!$D$2:$D$801,$B222,inventory!$E$2:$E$801,"delivered"))</f>
        <v/>
      </c>
      <c r="V222" s="32">
        <f>IF($A222="","",IFERROR(1/(1/SUMPRODUCT(MAX((inventory!$C$2:$C$801=$A222)*(inventory!$D$2:$D$801=$B222)*(inventory!$E$2:$E$801="delivered")*(inventory!$A$2:$A$801+inventory!$B$2:$B$801)))),""))</f>
        <v/>
      </c>
      <c r="W222" s="25">
        <f>IF($A222="","",IFERROR(IF(INDEX(inventory!$J$2:$J$801,MATCH($A222&amp;"|"&amp;$B222&amp;"|delivered",inventory!$R$2:$R$801,0))="","",INDEX(inventory!$J$2:$J$801,MATCH($A222&amp;"|"&amp;$B222&amp;"|delivered",inventory!$R$2:$R$801,0))),""))</f>
        <v/>
      </c>
      <c r="X222" s="25">
        <f>IF($A222="","",IFERROR(IF(INDEX(photos!$H$2:$H$701,MATCH($A222&amp;"|"&amp;$B222&amp;"|placement|Y",photos!$R$2:$R$701,0))="","",INDEX(photos!$H$2:$H$701,MATCH($A222&amp;"|"&amp;$B222&amp;"|placement|Y",photos!$R$2:$R$701,0))),""))</f>
        <v/>
      </c>
      <c r="Y222" s="26">
        <f>IF($A222="","",IFERROR(IF(INDEX(photos!$E$2:$E$701,MATCH($A222&amp;"|"&amp;$B222&amp;"|placement|Y",photos!$R$2:$R$701,0))="","",INDEX(photos!$E$2:$E$701,MATCH($A222&amp;"|"&amp;$B222&amp;"|placement|Y",photos!$R$2:$R$701,0))),""))</f>
        <v/>
      </c>
      <c r="Z222" s="25">
        <f>IF($A222="","",IF(COUNTIFS(counts!$C$2:$C$701,$A222,counts!$D$2:$D$701,$B222,counts!$E$2:$E$701,"placed")=0,"",SUMIFS(counts!$F$2:$F$701,counts!$C$2:$C$701,$A222,counts!$D$2:$D$701,$B222,counts!$E$2:$E$701,"placed")))</f>
        <v/>
      </c>
      <c r="AA222" s="25">
        <f>IF($A222="","",IF($Y222="",0,N($Z222)))</f>
        <v/>
      </c>
      <c r="AB222" s="25">
        <f>IF($A222="","",IF(OR($Y222="",$I222=""),"N",IF($Y222&lt;=WORKDAY(N($I222),1,calendar!$A$2:$A$80),"Y","N")))</f>
        <v/>
      </c>
      <c r="AC222" s="28">
        <f>IF(OR($A222="",$V222="",$Y222=""),"",ROUND(($Y222+N(IFERROR(IF(INDEX(photos!$F$2:$F$701,MATCH($A222&amp;"|"&amp;$B222&amp;"|placement|Y",photos!$R$2:$R$701,0))="","",INDEX(photos!$F$2:$F$701,MATCH($A222&amp;"|"&amp;$B222&amp;"|placement|Y",photos!$R$2:$R$701,0))),""))-$V222)*24,1))</f>
        <v/>
      </c>
      <c r="AD222" s="25">
        <f>IF($A222="","",SUMIFS(inventory!$G$2:$G$801,inventory!$C$2:$C$801,$A222,inventory!$D$2:$D$801,$B222,inventory!$E$2:$E$801,"topped_up"))</f>
        <v/>
      </c>
      <c r="AE222" s="25">
        <f>IF($A222="","",IF(COUNTIFS(counts!$C$2:$C$701,$A222,counts!$D$2:$D$701,$B222,counts!$E$2:$E$701,"remaining_day3")=0,"",SUMIFS(counts!$F$2:$F$701,counts!$C$2:$C$701,$A222,counts!$D$2:$D$701,$B222,counts!$E$2:$E$701,"remaining_day3")))</f>
        <v/>
      </c>
      <c r="AF222" s="25">
        <f>IF($A222="","",IF(COUNTIFS(counts!$C$2:$C$701,$A222,counts!$D$2:$D$701,$B222,counts!$E$2:$E$701,"remaining_day5")=0,"",SUMIFS(counts!$F$2:$F$701,counts!$C$2:$C$701,$A222,counts!$D$2:$D$701,$B222,counts!$E$2:$E$701,"remaining_day5")))</f>
        <v/>
      </c>
      <c r="AG222" s="25">
        <f>IF(OR($A222="",$AF222=""),"",MAX(0,$AA222+$AD222-$AF222))</f>
        <v/>
      </c>
      <c r="AH222" s="25">
        <f>IF(OR($A222="",$AI222=""),"",IFERROR(IF(INDEX(photos!$H$2:$H$701,MATCH($A222&amp;"|"&amp;$B222&amp;"|later|Y|"&amp;$AI222,photos!$S$2:$S$701,0))="","",INDEX(photos!$H$2:$H$701,MATCH($A222&amp;"|"&amp;$B222&amp;"|later|Y|"&amp;$AI222,photos!$S$2:$S$701,0))),""))</f>
        <v/>
      </c>
      <c r="AI222" s="26">
        <f>IF($A222="","",IFERROR(1/(1/SUMPRODUCT(MAX((photos!$B$2:$B$701=$A222)*(photos!$C$2:$C$701=$B222)*(photos!$D$2:$D$701="later")*(photos!$O$2:$O$701="Y")*photos!$E$2:$E$701))),""))</f>
        <v/>
      </c>
      <c r="AJ222" s="25">
        <f>IF(OR($A222="",$AI222="",$I222=""),"",NETWORKDAYS($I222,$AI222,calendar!$A$2:$A$80))</f>
        <v/>
      </c>
      <c r="AK222" s="25">
        <f>IF($A222="","",IF(AND($X222&lt;&gt;"",$AH222&lt;&gt;""),"Y","N"))</f>
        <v/>
      </c>
      <c r="AL222" s="25">
        <f>IF(OR($A222="",$I222=""),"",IF($BC222="Y",SUMIFS(survey_frozen!$C$2:$C$251,survey_frozen!$P$2:$P$251,$A222&amp;"|"&amp;$B222),IFERROR(COUNTIFS(INDIRECT("'"&amp;$A222&amp;"'!$B$2:$B$501"),$T222,INDIRECT("'"&amp;$A222&amp;"'!$A$2:$A$501"),"&gt;="&amp;$I222,INDIRECT("'"&amp;$A222&amp;"'!$A$2:$A$501"),"&lt;"&amp;($BA222+1)),0)))</f>
        <v/>
      </c>
      <c r="AM222" s="25">
        <f>IF(OR($A222="",$I222=""),"",IF($BC222="Y",SUMIFS(survey_frozen!$D$2:$D$251,survey_frozen!$P$2:$P$251,$A222&amp;"|"&amp;$B222),IFERROR(COUNTIFS(INDIRECT("'"&amp;$A222&amp;"'!$B$2:$B$501"),$T222,INDIRECT("'"&amp;$A222&amp;"'!$A$2:$A$501"),"&gt;="&amp;$I222,INDIRECT("'"&amp;$A222&amp;"'!$A$2:$A$501"),"&lt;"&amp;($BA222+1),INDIRECT("'"&amp;$A222&amp;"'!$C$2:$C$501"),"Yes"),0)))</f>
        <v/>
      </c>
      <c r="AN222" s="25">
        <f>IF($A222="","",IF(COUNTIFS(scans!$C$2:$C$1601,(IF(LEFT($A222,7)="SAMPLE-","SAMPLE-","")&amp;LOWER(SUBSTITUTE(SUBSTITUTE($A222,"SAMPLE-",""),"CMP-","c"))&amp;"-"&amp;LOWER(SUBSTITUTE(SUBSTITUTE($B222,"SAMPLE-",""),"O-","o"))&amp;"-q"),scans!$D$2:$D$1601,"close")=0,"",SUMPRODUCT(MAX((scans!$C$2:$C$1601=(IF(LEFT($A222,7)="SAMPLE-","SAMPLE-","")&amp;LOWER(SUBSTITUTE(SUBSTITUTE($A222,"SAMPLE-",""),"CMP-","c"))&amp;"-"&amp;LOWER(SUBSTITUTE(SUBSTITUTE($B222,"SAMPLE-",""),"O-","o"))&amp;"-q"))*(scans!$D$2:$D$1601="close")*scans!$E$2:$E$1601))-SUMPRODUCT(MAX((scans!$C$2:$C$1601=(IF(LEFT($A222,7)="SAMPLE-","SAMPLE-","")&amp;LOWER(SUBSTITUTE(SUBSTITUTE($A222,"SAMPLE-",""),"CMP-","c"))&amp;"-"&amp;LOWER(SUBSTITUTE(SUBSTITUTE($B222,"SAMPLE-",""),"O-","o"))&amp;"-q"))*(scans!$D$2:$D$1601="baseline")*scans!$E$2:$E$1601))))</f>
        <v/>
      </c>
      <c r="AO222" s="25">
        <f>IF($A222="","",IF(COUNTIFS(scans!$C$2:$C$1601,(IF(LEFT($A222,7)="SAMPLE-","SAMPLE-","")&amp;LOWER(SUBSTITUTE(SUBSTITUTE($A222,"SAMPLE-",""),"CMP-","c"))&amp;"-"&amp;LOWER(SUBSTITUTE(SUBSTITUTE($B222,"SAMPLE-",""),"O-","o"))&amp;"-p"),scans!$D$2:$D$1601,"close")=0,"",SUMPRODUCT(MAX((scans!$C$2:$C$1601=(IF(LEFT($A222,7)="SAMPLE-","SAMPLE-","")&amp;LOWER(SUBSTITUTE(SUBSTITUTE($A222,"SAMPLE-",""),"CMP-","c"))&amp;"-"&amp;LOWER(SUBSTITUTE(SUBSTITUTE($B222,"SAMPLE-",""),"O-","o"))&amp;"-p"))*(scans!$D$2:$D$1601="close")*scans!$E$2:$E$1601))-SUMPRODUCT(MAX((scans!$C$2:$C$1601=(IF(LEFT($A222,7)="SAMPLE-","SAMPLE-","")&amp;LOWER(SUBSTITUTE(SUBSTITUTE($A222,"SAMPLE-",""),"CMP-","c"))&amp;"-"&amp;LOWER(SUBSTITUTE(SUBSTITUTE($B222,"SAMPLE-",""),"O-","o"))&amp;"-p"))*(scans!$D$2:$D$1601="baseline")*scans!$E$2:$E$1601))))</f>
        <v/>
      </c>
      <c r="AP222" s="25">
        <f>IF($A222="","",IF(COUNTIF(offices!$A$2:$A$61,$B222)=0,"office_id not on offices; ","")&amp;IF(COUNTIF(campaigns!$A$2:$A$51,$A222)=0,"campaign_id not on campaigns; ","")&amp;IF($P222="pending","approval pending; ","")&amp;IF(AND($U222&gt;0,$Y222="",OR($I222="",IF(config!$B$37&lt;&gt;"",config!$B$37,TODAY())&lt;=WORKDAY(N($I222),4,calendar!$A$2:$A$80))),"no usable placement photo yet; ","")&amp;IF(AND($Y222&lt;&gt;"",$Z222=""),"log the placed count; ","")&amp;IF(N($AA222)&gt;N($U222),"placed more than delivered; ","")&amp;IF(AND($AF222&lt;&gt;"",N($AF222)&gt;N($AA222)+N($AD222)),"day-5 count above placed plus top-ups; ","")&amp;IF(AND($U222&gt;0,$I222&lt;&gt;"",IF(config!$B$37&lt;&gt;"",config!$B$37,TODAY())&gt;WORKDAY(N($I222),4,calendar!$A$2:$A$80),$AF222=""),"day-5 count missing; ","")&amp;IF(AND($U222&gt;0,$I222&lt;&gt;"",IF(config!$B$37&lt;&gt;"",config!$B$37,TODAY())&gt;WORKDAY(N($I222),4,calendar!$A$2:$A$80),$AN222=""),"no close link reading; ","")&amp;$R222&amp;IF($P222="N","info: office said no; ","")&amp;IF(AND($P222="Y",$Q222="N"),"info: turned away at the door, so not on the drop (no letter, not in the report or Gate 2; the credit check is on campaigns); ","")&amp;IF(AND($U222&gt;0,$Y222="",$I222&lt;&gt;"",IF(config!$B$37&lt;&gt;"",config!$B$37,TODAY())&gt;WORKDAY(N($I222),4,calendar!$A$2:$A$80)),"info: no usable placement photo, so nothing counts as placed; ","")&amp;IF(AND($U222&gt;0,$I222&lt;&gt;"",IF(config!$B$37&lt;&gt;"",config!$B$37,TODAY())&gt;WORKDAY(N($I222),4,calendar!$A$2:$A$80),N($AL222)&lt;config!$B$30),"info: under "&amp;config!$B$30&amp;" responses; ","")&amp;IF($W222="packing_list","info: delivered count not verified; ",""))</f>
        <v/>
      </c>
      <c r="AQ222" s="25">
        <f>IF(OR($A222="",$I222=""),"",IF($BC222="Y",SUMIFS(survey_frozen!$E$2:$E$251,survey_frozen!$P$2:$P$251,$A222&amp;"|"&amp;$B222),IFERROR(COUNTIFS(INDIRECT("'"&amp;$A222&amp;"'!$B$2:$B$501"),$T222,INDIRECT("'"&amp;$A222&amp;"'!$A$2:$A$501"),"&gt;="&amp;$I222,INDIRECT("'"&amp;$A222&amp;"'!$A$2:$A$501"),"&lt;"&amp;($BA222+1),INDIRECT("'"&amp;$A222&amp;"'!$F$2:$F$501"),"Didn't see it"),0)))</f>
        <v/>
      </c>
      <c r="AR222" s="25">
        <f>IF(OR($A222="",$I222=""),"",IF($BC222="Y",SUMIFS(survey_frozen!$F$2:$F$251,survey_frozen!$P$2:$P$251,$A222&amp;"|"&amp;$B222),IFERROR(COUNTIFS(INDIRECT("'"&amp;$A222&amp;"'!$B$2:$B$501"),$T222,INDIRECT("'"&amp;$A222&amp;"'!$A$2:$A$501"),"&gt;="&amp;$I222,INDIRECT("'"&amp;$A222&amp;"'!$A$2:$A$501"),"&lt;"&amp;($BA222+1),INDIRECT("'"&amp;$A222&amp;"'!$F$2:$F$501"),"Not for me"),0)))</f>
        <v/>
      </c>
      <c r="AS222" s="25">
        <f>IF(OR($A222="",$I222=""),"",IF($BC222="Y",SUMIFS(survey_frozen!$G$2:$G$251,survey_frozen!$P$2:$P$251,$A222&amp;"|"&amp;$B222),IFERROR(COUNTIFS(INDIRECT("'"&amp;$A222&amp;"'!$B$2:$B$501"),$T222,INDIRECT("'"&amp;$A222&amp;"'!$A$2:$A$501"),"&gt;="&amp;$I222,INDIRECT("'"&amp;$A222&amp;"'!$A$2:$A$501"),"&lt;"&amp;($BA222+1),INDIRECT("'"&amp;$A222&amp;"'!$F$2:$F$501"),"Gone by the time I looked"),0)))</f>
        <v/>
      </c>
      <c r="AT222" s="25">
        <f>IF(OR($A222="",$I222=""),"",IF($BC222="Y",SUMIFS(survey_frozen!$H$2:$H$251,survey_frozen!$P$2:$P$251,$A222&amp;"|"&amp;$B222),IFERROR(COUNTIFS(INDIRECT("'"&amp;$A222&amp;"'!$B$2:$B$501"),$T222,INDIRECT("'"&amp;$A222&amp;"'!$A$2:$A$501"),"&gt;="&amp;$I222,INDIRECT("'"&amp;$A222&amp;"'!$A$2:$A$501"),"&lt;"&amp;($BA222+1),INDIRECT("'"&amp;$A222&amp;"'!$D$2:$D$501"),"&gt;=1"),0)))</f>
        <v/>
      </c>
      <c r="AU222" s="25">
        <f>IF(OR($A222="",$I222=""),"",IF($BC222="Y",SUMIFS(survey_frozen!$I$2:$I$251,survey_frozen!$P$2:$P$251,$A222&amp;"|"&amp;$B222),IFERROR(SUMIFS(INDIRECT("'"&amp;$A222&amp;"'!$D$2:$D$501"),INDIRECT("'"&amp;$A222&amp;"'!$B$2:$B$501"),$T222,INDIRECT("'"&amp;$A222&amp;"'!$A$2:$A$501"),"&gt;="&amp;$I222,INDIRECT("'"&amp;$A222&amp;"'!$A$2:$A$501"),"&lt;"&amp;($BA222+1)),0)))</f>
        <v/>
      </c>
      <c r="AV222" s="25">
        <f>IF(OR($A222="",$I222=""),"",IF($BC222="Y",SUMIFS(survey_frozen!$J$2:$J$251,survey_frozen!$P$2:$P$251,$A222&amp;"|"&amp;$B222),IFERROR(COUNTIFS(INDIRECT("'"&amp;$A222&amp;"'!$B$2:$B$501"),$T222,INDIRECT("'"&amp;$A222&amp;"'!$A$2:$A$501"),"&gt;="&amp;$I222,INDIRECT("'"&amp;$A222&amp;"'!$A$2:$A$501"),"&lt;"&amp;($BA222+1),INDIRECT("'"&amp;$A222&amp;"'!$E$2:$E$501"),"Yes"),0)))</f>
        <v/>
      </c>
      <c r="AW222" s="25">
        <f>IF(OR($A222="",$I222=""),"",IF($BC222="Y",SUMIFS(survey_frozen!$K$2:$K$251,survey_frozen!$P$2:$P$251,$A222&amp;"|"&amp;$B222),IFERROR(COUNTIFS(INDIRECT("'"&amp;$A222&amp;"'!$B$2:$B$501"),$T222,INDIRECT("'"&amp;$A222&amp;"'!$A$2:$A$501"),"&gt;="&amp;$I222,INDIRECT("'"&amp;$A222&amp;"'!$A$2:$A$501"),"&lt;"&amp;($BA222+1),INDIRECT("'"&amp;$A222&amp;"'!$E$2:$E$501"),"Maybe"),0)))</f>
        <v/>
      </c>
      <c r="AX222" s="25">
        <f>IF(OR($A222="",$I222=""),"",IF($BC222="Y",SUMIFS(survey_frozen!$L$2:$L$251,survey_frozen!$P$2:$P$251,$A222&amp;"|"&amp;$B222),IFERROR(COUNTIFS(INDIRECT("'"&amp;$A222&amp;"'!$B$2:$B$501"),$T222,INDIRECT("'"&amp;$A222&amp;"'!$A$2:$A$501"),"&gt;="&amp;$I222,INDIRECT("'"&amp;$A222&amp;"'!$A$2:$A$501"),"&lt;"&amp;($BA222+1),INDIRECT("'"&amp;$A222&amp;"'!$E$2:$E$501"),"No"),0)))</f>
        <v/>
      </c>
      <c r="AY222" s="25">
        <f>IF(OR($A222="",$I222=""),"",IF($BC222="Y",SUMIFS(survey_frozen!$M$2:$M$251,survey_frozen!$P$2:$P$251,$A222&amp;"|"&amp;$B222),IFERROR(COUNTIFS(INDIRECT("'"&amp;$A222&amp;"'!$B$2:$B$501"),$T222,INDIRECT("'"&amp;$A222&amp;"'!$A$2:$A$501"),"&gt;="&amp;$I222,INDIRECT("'"&amp;$A222&amp;"'!$A$2:$A$501"),"&lt;"&amp;($BA222+1),INDIRECT("'"&amp;$A222&amp;"'!$G$2:$G$501"),"&lt;&gt;"),0)))</f>
        <v/>
      </c>
      <c r="AZ222" s="25">
        <f>IF($A222="","",$A222&amp;"|"&amp;$L222)</f>
        <v/>
      </c>
      <c r="BA222" s="26">
        <f>IF($A222="","",IFERROR(IF(INDEX(drops!$R$2:$R$21,MATCH($H222,drops!$A$2:$A$21,0))="","",INDEX(drops!$R$2:$R$21,MATCH($H222,drops!$A$2:$A$21,0))),""))</f>
        <v/>
      </c>
      <c r="BB222" s="25">
        <f>IF(OR($A222="",$Q222&lt;&gt;"Y"),1000000,N($AL222))</f>
        <v/>
      </c>
      <c r="BC222" s="25">
        <f>IF($A222="","",IF(COUNTIF(survey_frozen!$P$2:$P$251,$A222&amp;"|"&amp;$B222)&gt;0,"Y",""))</f>
        <v/>
      </c>
    </row>
    <row r="223">
      <c r="C223" s="9" t="n"/>
      <c r="E223" s="9" t="n"/>
      <c r="H223" s="25">
        <f>IF($A223="","",IFERROR(IF(INDEX(campaigns!$B$2:$B$51,MATCH($A223,campaigns!$A$2:$A$51,0))="","",INDEX(campaigns!$B$2:$B$51,MATCH($A223,campaigns!$A$2:$A$51,0))),""))</f>
        <v/>
      </c>
      <c r="I223" s="26">
        <f>IF($A223="","",IFERROR(IF(INDEX(campaigns!$BG$2:$BG$51,MATCH($A223,campaigns!$A$2:$A$51,0))="","",INDEX(campaigns!$BG$2:$BG$51,MATCH($A223,campaigns!$A$2:$A$51,0))),""))</f>
        <v/>
      </c>
      <c r="J223" s="25">
        <f>IF($A223="","",IFERROR(IF(INDEX(campaigns!$BE$2:$BE$51,MATCH($A223,campaigns!$A$2:$A$51,0))="","",INDEX(campaigns!$BE$2:$BE$51,MATCH($A223,campaigns!$A$2:$A$51,0))),""))</f>
        <v/>
      </c>
      <c r="K223" s="25">
        <f>IF($B223="","",IFERROR(IF(INDEX(offices!$N$2:$N$61,MATCH($B223,offices!$A$2:$A$61,0))="","",INDEX(offices!$N$2:$N$61,MATCH($B223,offices!$A$2:$A$61,0))),""))</f>
        <v/>
      </c>
      <c r="L223" s="25">
        <f>IF($A223="","",IF($Q223="N","",COUNTIFS($A$2:$A223,$A223,$Q$2:$Q223,"&lt;&gt;N")))</f>
        <v/>
      </c>
      <c r="M223" s="25">
        <f>IF(OR($A223="",$L223=""),"",IF(AND(config!$B$34="names_if_public",IFERROR(IF(INDEX(offices!$AF$2:$AF$61,MATCH($B223,offices!$A$2:$A$61,0))="","",INDEX(offices!$AF$2:$AF$61,MATCH($B223,offices!$A$2:$A$61,0))),"")="Y"),$K223,CHAR(64+$L223)))</f>
        <v/>
      </c>
      <c r="N223" s="25">
        <f>IF(OR($A223="",$I223=""),"",COUNTIFS(stops!$B$2:$B$151,$B223,stops!$P$2:$P$151,"&lt;"&amp;$I223,stops!$L$2:$L$151,"&lt;&gt;not_delivered")+1)</f>
        <v/>
      </c>
      <c r="O223" s="25">
        <f>IF($A223="","",IF(N($N223)&lt;=config!$B$29,"explicit","opt-out"))</f>
        <v/>
      </c>
      <c r="P223" s="25">
        <f>IF($A223="","",IF($O223="explicit",IF($D223="yes","Y",IF($D223="no","N","pending")),IF($D223="no","N",IF(AND($C223&lt;&gt;"",$I223&lt;&gt;"",$C223&lt;=WORKDAY(N($I223),-5,calendar!$A$2:$A$80)),"Y","pending"))))</f>
        <v/>
      </c>
      <c r="Q223" s="25">
        <f>IF($A223="","",IF($P223="N","N",IF($P223&lt;&gt;"Y","pending",IF(AND((COUNTIFS(stops!$A$2:$A$151,$H223,stops!$B$2:$B$151,$B223,stops!$L$2:$L$151,"declined")+COUNTIFS(stops!$A$2:$A$151,$H223,stops!$B$2:$B$151,$B223,stops!$L$2:$L$151,"building_refused")+COUNTIFS(stops!$A$2:$A$151,$H223,stops!$B$2:$B$151,$B223,stops!$L$2:$L$151,"not_delivered"))&gt;0,N($U223)=0),"N","Y"))))</f>
        <v/>
      </c>
      <c r="R223" s="25">
        <f>IF($A223="","",IF(COUNTIFS($A$2:$A$251,$A223,$B$2:$B$251,$B223)&gt;1,"DUPLICATE ROW; ","")&amp;IF(AND(IFERROR(IF(INDEX(offices!$AC$2:$AC$61,MATCH($B223,offices!$A$2:$A$61,0))="","",INDEX(offices!$AC$2:$AC$61,MATCH($B223,offices!$A$2:$A$61,0))),"")&lt;&gt;"",ISNUMBER(SEARCH($J223,IFERROR(IF(INDEX(offices!$AC$2:$AC$61,MATCH($B223,offices!$A$2:$A$61,0))="","",INDEX(offices!$AC$2:$AC$61,MATCH($B223,offices!$A$2:$A$61,0))),"")))),"BRAND VETOED; ","")&amp;IF(ISNUMBER(SEARCH(IFERROR(IF(INDEX(campaigns!$BF$2:$BF$51,MATCH($A223,campaigns!$A$2:$A$51,0))="","",INDEX(campaigns!$BF$2:$BF$51,MATCH($A223,campaigns!$A$2:$A$51,0))),""),IFERROR(IF(INDEX(offices!$AB$2:$AB$61,MATCH($B223,offices!$A$2:$A$61,0))="","",INDEX(offices!$AB$2:$AB$61,MATCH($B223,offices!$A$2:$A$61,0))),""))),"","info: category not on the office's list; ")&amp;IF(IFERROR(IF(INDEX(offices!$AC$2:$AC$61,MATCH($B223,offices!$A$2:$A$61,0))="","",INDEX(offices!$AC$2:$AC$61,MATCH($B223,offices!$A$2:$A$61,0))),"")&lt;&gt;"","info: read the vetoes against the label; ",""))</f>
        <v/>
      </c>
      <c r="S223" s="25">
        <f>IF($A223="","",IF($G223&lt;&gt;"",$G223,IFERROR(IF(INDEX(offices!$AL$2:$AL$61,MATCH($B223,offices!$A$2:$A$61,0))="","",INDEX(offices!$AL$2:$AL$61,MATCH($B223,offices!$A$2:$A$61,0))),"")))</f>
        <v/>
      </c>
      <c r="T223" s="25">
        <f>IF($A223="","",$A223&amp;"."&amp;$B223)</f>
        <v/>
      </c>
      <c r="U223" s="25">
        <f>IF($A223="","",SUMIFS(inventory!$G$2:$G$801,inventory!$C$2:$C$801,$A223,inventory!$D$2:$D$801,$B223,inventory!$E$2:$E$801,"delivered"))</f>
        <v/>
      </c>
      <c r="V223" s="32">
        <f>IF($A223="","",IFERROR(1/(1/SUMPRODUCT(MAX((inventory!$C$2:$C$801=$A223)*(inventory!$D$2:$D$801=$B223)*(inventory!$E$2:$E$801="delivered")*(inventory!$A$2:$A$801+inventory!$B$2:$B$801)))),""))</f>
        <v/>
      </c>
      <c r="W223" s="25">
        <f>IF($A223="","",IFERROR(IF(INDEX(inventory!$J$2:$J$801,MATCH($A223&amp;"|"&amp;$B223&amp;"|delivered",inventory!$R$2:$R$801,0))="","",INDEX(inventory!$J$2:$J$801,MATCH($A223&amp;"|"&amp;$B223&amp;"|delivered",inventory!$R$2:$R$801,0))),""))</f>
        <v/>
      </c>
      <c r="X223" s="25">
        <f>IF($A223="","",IFERROR(IF(INDEX(photos!$H$2:$H$701,MATCH($A223&amp;"|"&amp;$B223&amp;"|placement|Y",photos!$R$2:$R$701,0))="","",INDEX(photos!$H$2:$H$701,MATCH($A223&amp;"|"&amp;$B223&amp;"|placement|Y",photos!$R$2:$R$701,0))),""))</f>
        <v/>
      </c>
      <c r="Y223" s="26">
        <f>IF($A223="","",IFERROR(IF(INDEX(photos!$E$2:$E$701,MATCH($A223&amp;"|"&amp;$B223&amp;"|placement|Y",photos!$R$2:$R$701,0))="","",INDEX(photos!$E$2:$E$701,MATCH($A223&amp;"|"&amp;$B223&amp;"|placement|Y",photos!$R$2:$R$701,0))),""))</f>
        <v/>
      </c>
      <c r="Z223" s="25">
        <f>IF($A223="","",IF(COUNTIFS(counts!$C$2:$C$701,$A223,counts!$D$2:$D$701,$B223,counts!$E$2:$E$701,"placed")=0,"",SUMIFS(counts!$F$2:$F$701,counts!$C$2:$C$701,$A223,counts!$D$2:$D$701,$B223,counts!$E$2:$E$701,"placed")))</f>
        <v/>
      </c>
      <c r="AA223" s="25">
        <f>IF($A223="","",IF($Y223="",0,N($Z223)))</f>
        <v/>
      </c>
      <c r="AB223" s="25">
        <f>IF($A223="","",IF(OR($Y223="",$I223=""),"N",IF($Y223&lt;=WORKDAY(N($I223),1,calendar!$A$2:$A$80),"Y","N")))</f>
        <v/>
      </c>
      <c r="AC223" s="28">
        <f>IF(OR($A223="",$V223="",$Y223=""),"",ROUND(($Y223+N(IFERROR(IF(INDEX(photos!$F$2:$F$701,MATCH($A223&amp;"|"&amp;$B223&amp;"|placement|Y",photos!$R$2:$R$701,0))="","",INDEX(photos!$F$2:$F$701,MATCH($A223&amp;"|"&amp;$B223&amp;"|placement|Y",photos!$R$2:$R$701,0))),""))-$V223)*24,1))</f>
        <v/>
      </c>
      <c r="AD223" s="25">
        <f>IF($A223="","",SUMIFS(inventory!$G$2:$G$801,inventory!$C$2:$C$801,$A223,inventory!$D$2:$D$801,$B223,inventory!$E$2:$E$801,"topped_up"))</f>
        <v/>
      </c>
      <c r="AE223" s="25">
        <f>IF($A223="","",IF(COUNTIFS(counts!$C$2:$C$701,$A223,counts!$D$2:$D$701,$B223,counts!$E$2:$E$701,"remaining_day3")=0,"",SUMIFS(counts!$F$2:$F$701,counts!$C$2:$C$701,$A223,counts!$D$2:$D$701,$B223,counts!$E$2:$E$701,"remaining_day3")))</f>
        <v/>
      </c>
      <c r="AF223" s="25">
        <f>IF($A223="","",IF(COUNTIFS(counts!$C$2:$C$701,$A223,counts!$D$2:$D$701,$B223,counts!$E$2:$E$701,"remaining_day5")=0,"",SUMIFS(counts!$F$2:$F$701,counts!$C$2:$C$701,$A223,counts!$D$2:$D$701,$B223,counts!$E$2:$E$701,"remaining_day5")))</f>
        <v/>
      </c>
      <c r="AG223" s="25">
        <f>IF(OR($A223="",$AF223=""),"",MAX(0,$AA223+$AD223-$AF223))</f>
        <v/>
      </c>
      <c r="AH223" s="25">
        <f>IF(OR($A223="",$AI223=""),"",IFERROR(IF(INDEX(photos!$H$2:$H$701,MATCH($A223&amp;"|"&amp;$B223&amp;"|later|Y|"&amp;$AI223,photos!$S$2:$S$701,0))="","",INDEX(photos!$H$2:$H$701,MATCH($A223&amp;"|"&amp;$B223&amp;"|later|Y|"&amp;$AI223,photos!$S$2:$S$701,0))),""))</f>
        <v/>
      </c>
      <c r="AI223" s="26">
        <f>IF($A223="","",IFERROR(1/(1/SUMPRODUCT(MAX((photos!$B$2:$B$701=$A223)*(photos!$C$2:$C$701=$B223)*(photos!$D$2:$D$701="later")*(photos!$O$2:$O$701="Y")*photos!$E$2:$E$701))),""))</f>
        <v/>
      </c>
      <c r="AJ223" s="25">
        <f>IF(OR($A223="",$AI223="",$I223=""),"",NETWORKDAYS($I223,$AI223,calendar!$A$2:$A$80))</f>
        <v/>
      </c>
      <c r="AK223" s="25">
        <f>IF($A223="","",IF(AND($X223&lt;&gt;"",$AH223&lt;&gt;""),"Y","N"))</f>
        <v/>
      </c>
      <c r="AL223" s="25">
        <f>IF(OR($A223="",$I223=""),"",IF($BC223="Y",SUMIFS(survey_frozen!$C$2:$C$251,survey_frozen!$P$2:$P$251,$A223&amp;"|"&amp;$B223),IFERROR(COUNTIFS(INDIRECT("'"&amp;$A223&amp;"'!$B$2:$B$501"),$T223,INDIRECT("'"&amp;$A223&amp;"'!$A$2:$A$501"),"&gt;="&amp;$I223,INDIRECT("'"&amp;$A223&amp;"'!$A$2:$A$501"),"&lt;"&amp;($BA223+1)),0)))</f>
        <v/>
      </c>
      <c r="AM223" s="25">
        <f>IF(OR($A223="",$I223=""),"",IF($BC223="Y",SUMIFS(survey_frozen!$D$2:$D$251,survey_frozen!$P$2:$P$251,$A223&amp;"|"&amp;$B223),IFERROR(COUNTIFS(INDIRECT("'"&amp;$A223&amp;"'!$B$2:$B$501"),$T223,INDIRECT("'"&amp;$A223&amp;"'!$A$2:$A$501"),"&gt;="&amp;$I223,INDIRECT("'"&amp;$A223&amp;"'!$A$2:$A$501"),"&lt;"&amp;($BA223+1),INDIRECT("'"&amp;$A223&amp;"'!$C$2:$C$501"),"Yes"),0)))</f>
        <v/>
      </c>
      <c r="AN223" s="25">
        <f>IF($A223="","",IF(COUNTIFS(scans!$C$2:$C$1601,(IF(LEFT($A223,7)="SAMPLE-","SAMPLE-","")&amp;LOWER(SUBSTITUTE(SUBSTITUTE($A223,"SAMPLE-",""),"CMP-","c"))&amp;"-"&amp;LOWER(SUBSTITUTE(SUBSTITUTE($B223,"SAMPLE-",""),"O-","o"))&amp;"-q"),scans!$D$2:$D$1601,"close")=0,"",SUMPRODUCT(MAX((scans!$C$2:$C$1601=(IF(LEFT($A223,7)="SAMPLE-","SAMPLE-","")&amp;LOWER(SUBSTITUTE(SUBSTITUTE($A223,"SAMPLE-",""),"CMP-","c"))&amp;"-"&amp;LOWER(SUBSTITUTE(SUBSTITUTE($B223,"SAMPLE-",""),"O-","o"))&amp;"-q"))*(scans!$D$2:$D$1601="close")*scans!$E$2:$E$1601))-SUMPRODUCT(MAX((scans!$C$2:$C$1601=(IF(LEFT($A223,7)="SAMPLE-","SAMPLE-","")&amp;LOWER(SUBSTITUTE(SUBSTITUTE($A223,"SAMPLE-",""),"CMP-","c"))&amp;"-"&amp;LOWER(SUBSTITUTE(SUBSTITUTE($B223,"SAMPLE-",""),"O-","o"))&amp;"-q"))*(scans!$D$2:$D$1601="baseline")*scans!$E$2:$E$1601))))</f>
        <v/>
      </c>
      <c r="AO223" s="25">
        <f>IF($A223="","",IF(COUNTIFS(scans!$C$2:$C$1601,(IF(LEFT($A223,7)="SAMPLE-","SAMPLE-","")&amp;LOWER(SUBSTITUTE(SUBSTITUTE($A223,"SAMPLE-",""),"CMP-","c"))&amp;"-"&amp;LOWER(SUBSTITUTE(SUBSTITUTE($B223,"SAMPLE-",""),"O-","o"))&amp;"-p"),scans!$D$2:$D$1601,"close")=0,"",SUMPRODUCT(MAX((scans!$C$2:$C$1601=(IF(LEFT($A223,7)="SAMPLE-","SAMPLE-","")&amp;LOWER(SUBSTITUTE(SUBSTITUTE($A223,"SAMPLE-",""),"CMP-","c"))&amp;"-"&amp;LOWER(SUBSTITUTE(SUBSTITUTE($B223,"SAMPLE-",""),"O-","o"))&amp;"-p"))*(scans!$D$2:$D$1601="close")*scans!$E$2:$E$1601))-SUMPRODUCT(MAX((scans!$C$2:$C$1601=(IF(LEFT($A223,7)="SAMPLE-","SAMPLE-","")&amp;LOWER(SUBSTITUTE(SUBSTITUTE($A223,"SAMPLE-",""),"CMP-","c"))&amp;"-"&amp;LOWER(SUBSTITUTE(SUBSTITUTE($B223,"SAMPLE-",""),"O-","o"))&amp;"-p"))*(scans!$D$2:$D$1601="baseline")*scans!$E$2:$E$1601))))</f>
        <v/>
      </c>
      <c r="AP223" s="25">
        <f>IF($A223="","",IF(COUNTIF(offices!$A$2:$A$61,$B223)=0,"office_id not on offices; ","")&amp;IF(COUNTIF(campaigns!$A$2:$A$51,$A223)=0,"campaign_id not on campaigns; ","")&amp;IF($P223="pending","approval pending; ","")&amp;IF(AND($U223&gt;0,$Y223="",OR($I223="",IF(config!$B$37&lt;&gt;"",config!$B$37,TODAY())&lt;=WORKDAY(N($I223),4,calendar!$A$2:$A$80))),"no usable placement photo yet; ","")&amp;IF(AND($Y223&lt;&gt;"",$Z223=""),"log the placed count; ","")&amp;IF(N($AA223)&gt;N($U223),"placed more than delivered; ","")&amp;IF(AND($AF223&lt;&gt;"",N($AF223)&gt;N($AA223)+N($AD223)),"day-5 count above placed plus top-ups; ","")&amp;IF(AND($U223&gt;0,$I223&lt;&gt;"",IF(config!$B$37&lt;&gt;"",config!$B$37,TODAY())&gt;WORKDAY(N($I223),4,calendar!$A$2:$A$80),$AF223=""),"day-5 count missing; ","")&amp;IF(AND($U223&gt;0,$I223&lt;&gt;"",IF(config!$B$37&lt;&gt;"",config!$B$37,TODAY())&gt;WORKDAY(N($I223),4,calendar!$A$2:$A$80),$AN223=""),"no close link reading; ","")&amp;$R223&amp;IF($P223="N","info: office said no; ","")&amp;IF(AND($P223="Y",$Q223="N"),"info: turned away at the door, so not on the drop (no letter, not in the report or Gate 2; the credit check is on campaigns); ","")&amp;IF(AND($U223&gt;0,$Y223="",$I223&lt;&gt;"",IF(config!$B$37&lt;&gt;"",config!$B$37,TODAY())&gt;WORKDAY(N($I223),4,calendar!$A$2:$A$80)),"info: no usable placement photo, so nothing counts as placed; ","")&amp;IF(AND($U223&gt;0,$I223&lt;&gt;"",IF(config!$B$37&lt;&gt;"",config!$B$37,TODAY())&gt;WORKDAY(N($I223),4,calendar!$A$2:$A$80),N($AL223)&lt;config!$B$30),"info: under "&amp;config!$B$30&amp;" responses; ","")&amp;IF($W223="packing_list","info: delivered count not verified; ",""))</f>
        <v/>
      </c>
      <c r="AQ223" s="25">
        <f>IF(OR($A223="",$I223=""),"",IF($BC223="Y",SUMIFS(survey_frozen!$E$2:$E$251,survey_frozen!$P$2:$P$251,$A223&amp;"|"&amp;$B223),IFERROR(COUNTIFS(INDIRECT("'"&amp;$A223&amp;"'!$B$2:$B$501"),$T223,INDIRECT("'"&amp;$A223&amp;"'!$A$2:$A$501"),"&gt;="&amp;$I223,INDIRECT("'"&amp;$A223&amp;"'!$A$2:$A$501"),"&lt;"&amp;($BA223+1),INDIRECT("'"&amp;$A223&amp;"'!$F$2:$F$501"),"Didn't see it"),0)))</f>
        <v/>
      </c>
      <c r="AR223" s="25">
        <f>IF(OR($A223="",$I223=""),"",IF($BC223="Y",SUMIFS(survey_frozen!$F$2:$F$251,survey_frozen!$P$2:$P$251,$A223&amp;"|"&amp;$B223),IFERROR(COUNTIFS(INDIRECT("'"&amp;$A223&amp;"'!$B$2:$B$501"),$T223,INDIRECT("'"&amp;$A223&amp;"'!$A$2:$A$501"),"&gt;="&amp;$I223,INDIRECT("'"&amp;$A223&amp;"'!$A$2:$A$501"),"&lt;"&amp;($BA223+1),INDIRECT("'"&amp;$A223&amp;"'!$F$2:$F$501"),"Not for me"),0)))</f>
        <v/>
      </c>
      <c r="AS223" s="25">
        <f>IF(OR($A223="",$I223=""),"",IF($BC223="Y",SUMIFS(survey_frozen!$G$2:$G$251,survey_frozen!$P$2:$P$251,$A223&amp;"|"&amp;$B223),IFERROR(COUNTIFS(INDIRECT("'"&amp;$A223&amp;"'!$B$2:$B$501"),$T223,INDIRECT("'"&amp;$A223&amp;"'!$A$2:$A$501"),"&gt;="&amp;$I223,INDIRECT("'"&amp;$A223&amp;"'!$A$2:$A$501"),"&lt;"&amp;($BA223+1),INDIRECT("'"&amp;$A223&amp;"'!$F$2:$F$501"),"Gone by the time I looked"),0)))</f>
        <v/>
      </c>
      <c r="AT223" s="25">
        <f>IF(OR($A223="",$I223=""),"",IF($BC223="Y",SUMIFS(survey_frozen!$H$2:$H$251,survey_frozen!$P$2:$P$251,$A223&amp;"|"&amp;$B223),IFERROR(COUNTIFS(INDIRECT("'"&amp;$A223&amp;"'!$B$2:$B$501"),$T223,INDIRECT("'"&amp;$A223&amp;"'!$A$2:$A$501"),"&gt;="&amp;$I223,INDIRECT("'"&amp;$A223&amp;"'!$A$2:$A$501"),"&lt;"&amp;($BA223+1),INDIRECT("'"&amp;$A223&amp;"'!$D$2:$D$501"),"&gt;=1"),0)))</f>
        <v/>
      </c>
      <c r="AU223" s="25">
        <f>IF(OR($A223="",$I223=""),"",IF($BC223="Y",SUMIFS(survey_frozen!$I$2:$I$251,survey_frozen!$P$2:$P$251,$A223&amp;"|"&amp;$B223),IFERROR(SUMIFS(INDIRECT("'"&amp;$A223&amp;"'!$D$2:$D$501"),INDIRECT("'"&amp;$A223&amp;"'!$B$2:$B$501"),$T223,INDIRECT("'"&amp;$A223&amp;"'!$A$2:$A$501"),"&gt;="&amp;$I223,INDIRECT("'"&amp;$A223&amp;"'!$A$2:$A$501"),"&lt;"&amp;($BA223+1)),0)))</f>
        <v/>
      </c>
      <c r="AV223" s="25">
        <f>IF(OR($A223="",$I223=""),"",IF($BC223="Y",SUMIFS(survey_frozen!$J$2:$J$251,survey_frozen!$P$2:$P$251,$A223&amp;"|"&amp;$B223),IFERROR(COUNTIFS(INDIRECT("'"&amp;$A223&amp;"'!$B$2:$B$501"),$T223,INDIRECT("'"&amp;$A223&amp;"'!$A$2:$A$501"),"&gt;="&amp;$I223,INDIRECT("'"&amp;$A223&amp;"'!$A$2:$A$501"),"&lt;"&amp;($BA223+1),INDIRECT("'"&amp;$A223&amp;"'!$E$2:$E$501"),"Yes"),0)))</f>
        <v/>
      </c>
      <c r="AW223" s="25">
        <f>IF(OR($A223="",$I223=""),"",IF($BC223="Y",SUMIFS(survey_frozen!$K$2:$K$251,survey_frozen!$P$2:$P$251,$A223&amp;"|"&amp;$B223),IFERROR(COUNTIFS(INDIRECT("'"&amp;$A223&amp;"'!$B$2:$B$501"),$T223,INDIRECT("'"&amp;$A223&amp;"'!$A$2:$A$501"),"&gt;="&amp;$I223,INDIRECT("'"&amp;$A223&amp;"'!$A$2:$A$501"),"&lt;"&amp;($BA223+1),INDIRECT("'"&amp;$A223&amp;"'!$E$2:$E$501"),"Maybe"),0)))</f>
        <v/>
      </c>
      <c r="AX223" s="25">
        <f>IF(OR($A223="",$I223=""),"",IF($BC223="Y",SUMIFS(survey_frozen!$L$2:$L$251,survey_frozen!$P$2:$P$251,$A223&amp;"|"&amp;$B223),IFERROR(COUNTIFS(INDIRECT("'"&amp;$A223&amp;"'!$B$2:$B$501"),$T223,INDIRECT("'"&amp;$A223&amp;"'!$A$2:$A$501"),"&gt;="&amp;$I223,INDIRECT("'"&amp;$A223&amp;"'!$A$2:$A$501"),"&lt;"&amp;($BA223+1),INDIRECT("'"&amp;$A223&amp;"'!$E$2:$E$501"),"No"),0)))</f>
        <v/>
      </c>
      <c r="AY223" s="25">
        <f>IF(OR($A223="",$I223=""),"",IF($BC223="Y",SUMIFS(survey_frozen!$M$2:$M$251,survey_frozen!$P$2:$P$251,$A223&amp;"|"&amp;$B223),IFERROR(COUNTIFS(INDIRECT("'"&amp;$A223&amp;"'!$B$2:$B$501"),$T223,INDIRECT("'"&amp;$A223&amp;"'!$A$2:$A$501"),"&gt;="&amp;$I223,INDIRECT("'"&amp;$A223&amp;"'!$A$2:$A$501"),"&lt;"&amp;($BA223+1),INDIRECT("'"&amp;$A223&amp;"'!$G$2:$G$501"),"&lt;&gt;"),0)))</f>
        <v/>
      </c>
      <c r="AZ223" s="25">
        <f>IF($A223="","",$A223&amp;"|"&amp;$L223)</f>
        <v/>
      </c>
      <c r="BA223" s="26">
        <f>IF($A223="","",IFERROR(IF(INDEX(drops!$R$2:$R$21,MATCH($H223,drops!$A$2:$A$21,0))="","",INDEX(drops!$R$2:$R$21,MATCH($H223,drops!$A$2:$A$21,0))),""))</f>
        <v/>
      </c>
      <c r="BB223" s="25">
        <f>IF(OR($A223="",$Q223&lt;&gt;"Y"),1000000,N($AL223))</f>
        <v/>
      </c>
      <c r="BC223" s="25">
        <f>IF($A223="","",IF(COUNTIF(survey_frozen!$P$2:$P$251,$A223&amp;"|"&amp;$B223)&gt;0,"Y",""))</f>
        <v/>
      </c>
    </row>
    <row r="224">
      <c r="C224" s="9" t="n"/>
      <c r="E224" s="9" t="n"/>
      <c r="H224" s="25">
        <f>IF($A224="","",IFERROR(IF(INDEX(campaigns!$B$2:$B$51,MATCH($A224,campaigns!$A$2:$A$51,0))="","",INDEX(campaigns!$B$2:$B$51,MATCH($A224,campaigns!$A$2:$A$51,0))),""))</f>
        <v/>
      </c>
      <c r="I224" s="26">
        <f>IF($A224="","",IFERROR(IF(INDEX(campaigns!$BG$2:$BG$51,MATCH($A224,campaigns!$A$2:$A$51,0))="","",INDEX(campaigns!$BG$2:$BG$51,MATCH($A224,campaigns!$A$2:$A$51,0))),""))</f>
        <v/>
      </c>
      <c r="J224" s="25">
        <f>IF($A224="","",IFERROR(IF(INDEX(campaigns!$BE$2:$BE$51,MATCH($A224,campaigns!$A$2:$A$51,0))="","",INDEX(campaigns!$BE$2:$BE$51,MATCH($A224,campaigns!$A$2:$A$51,0))),""))</f>
        <v/>
      </c>
      <c r="K224" s="25">
        <f>IF($B224="","",IFERROR(IF(INDEX(offices!$N$2:$N$61,MATCH($B224,offices!$A$2:$A$61,0))="","",INDEX(offices!$N$2:$N$61,MATCH($B224,offices!$A$2:$A$61,0))),""))</f>
        <v/>
      </c>
      <c r="L224" s="25">
        <f>IF($A224="","",IF($Q224="N","",COUNTIFS($A$2:$A224,$A224,$Q$2:$Q224,"&lt;&gt;N")))</f>
        <v/>
      </c>
      <c r="M224" s="25">
        <f>IF(OR($A224="",$L224=""),"",IF(AND(config!$B$34="names_if_public",IFERROR(IF(INDEX(offices!$AF$2:$AF$61,MATCH($B224,offices!$A$2:$A$61,0))="","",INDEX(offices!$AF$2:$AF$61,MATCH($B224,offices!$A$2:$A$61,0))),"")="Y"),$K224,CHAR(64+$L224)))</f>
        <v/>
      </c>
      <c r="N224" s="25">
        <f>IF(OR($A224="",$I224=""),"",COUNTIFS(stops!$B$2:$B$151,$B224,stops!$P$2:$P$151,"&lt;"&amp;$I224,stops!$L$2:$L$151,"&lt;&gt;not_delivered")+1)</f>
        <v/>
      </c>
      <c r="O224" s="25">
        <f>IF($A224="","",IF(N($N224)&lt;=config!$B$29,"explicit","opt-out"))</f>
        <v/>
      </c>
      <c r="P224" s="25">
        <f>IF($A224="","",IF($O224="explicit",IF($D224="yes","Y",IF($D224="no","N","pending")),IF($D224="no","N",IF(AND($C224&lt;&gt;"",$I224&lt;&gt;"",$C224&lt;=WORKDAY(N($I224),-5,calendar!$A$2:$A$80)),"Y","pending"))))</f>
        <v/>
      </c>
      <c r="Q224" s="25">
        <f>IF($A224="","",IF($P224="N","N",IF($P224&lt;&gt;"Y","pending",IF(AND((COUNTIFS(stops!$A$2:$A$151,$H224,stops!$B$2:$B$151,$B224,stops!$L$2:$L$151,"declined")+COUNTIFS(stops!$A$2:$A$151,$H224,stops!$B$2:$B$151,$B224,stops!$L$2:$L$151,"building_refused")+COUNTIFS(stops!$A$2:$A$151,$H224,stops!$B$2:$B$151,$B224,stops!$L$2:$L$151,"not_delivered"))&gt;0,N($U224)=0),"N","Y"))))</f>
        <v/>
      </c>
      <c r="R224" s="25">
        <f>IF($A224="","",IF(COUNTIFS($A$2:$A$251,$A224,$B$2:$B$251,$B224)&gt;1,"DUPLICATE ROW; ","")&amp;IF(AND(IFERROR(IF(INDEX(offices!$AC$2:$AC$61,MATCH($B224,offices!$A$2:$A$61,0))="","",INDEX(offices!$AC$2:$AC$61,MATCH($B224,offices!$A$2:$A$61,0))),"")&lt;&gt;"",ISNUMBER(SEARCH($J224,IFERROR(IF(INDEX(offices!$AC$2:$AC$61,MATCH($B224,offices!$A$2:$A$61,0))="","",INDEX(offices!$AC$2:$AC$61,MATCH($B224,offices!$A$2:$A$61,0))),"")))),"BRAND VETOED; ","")&amp;IF(ISNUMBER(SEARCH(IFERROR(IF(INDEX(campaigns!$BF$2:$BF$51,MATCH($A224,campaigns!$A$2:$A$51,0))="","",INDEX(campaigns!$BF$2:$BF$51,MATCH($A224,campaigns!$A$2:$A$51,0))),""),IFERROR(IF(INDEX(offices!$AB$2:$AB$61,MATCH($B224,offices!$A$2:$A$61,0))="","",INDEX(offices!$AB$2:$AB$61,MATCH($B224,offices!$A$2:$A$61,0))),""))),"","info: category not on the office's list; ")&amp;IF(IFERROR(IF(INDEX(offices!$AC$2:$AC$61,MATCH($B224,offices!$A$2:$A$61,0))="","",INDEX(offices!$AC$2:$AC$61,MATCH($B224,offices!$A$2:$A$61,0))),"")&lt;&gt;"","info: read the vetoes against the label; ",""))</f>
        <v/>
      </c>
      <c r="S224" s="25">
        <f>IF($A224="","",IF($G224&lt;&gt;"",$G224,IFERROR(IF(INDEX(offices!$AL$2:$AL$61,MATCH($B224,offices!$A$2:$A$61,0))="","",INDEX(offices!$AL$2:$AL$61,MATCH($B224,offices!$A$2:$A$61,0))),"")))</f>
        <v/>
      </c>
      <c r="T224" s="25">
        <f>IF($A224="","",$A224&amp;"."&amp;$B224)</f>
        <v/>
      </c>
      <c r="U224" s="25">
        <f>IF($A224="","",SUMIFS(inventory!$G$2:$G$801,inventory!$C$2:$C$801,$A224,inventory!$D$2:$D$801,$B224,inventory!$E$2:$E$801,"delivered"))</f>
        <v/>
      </c>
      <c r="V224" s="32">
        <f>IF($A224="","",IFERROR(1/(1/SUMPRODUCT(MAX((inventory!$C$2:$C$801=$A224)*(inventory!$D$2:$D$801=$B224)*(inventory!$E$2:$E$801="delivered")*(inventory!$A$2:$A$801+inventory!$B$2:$B$801)))),""))</f>
        <v/>
      </c>
      <c r="W224" s="25">
        <f>IF($A224="","",IFERROR(IF(INDEX(inventory!$J$2:$J$801,MATCH($A224&amp;"|"&amp;$B224&amp;"|delivered",inventory!$R$2:$R$801,0))="","",INDEX(inventory!$J$2:$J$801,MATCH($A224&amp;"|"&amp;$B224&amp;"|delivered",inventory!$R$2:$R$801,0))),""))</f>
        <v/>
      </c>
      <c r="X224" s="25">
        <f>IF($A224="","",IFERROR(IF(INDEX(photos!$H$2:$H$701,MATCH($A224&amp;"|"&amp;$B224&amp;"|placement|Y",photos!$R$2:$R$701,0))="","",INDEX(photos!$H$2:$H$701,MATCH($A224&amp;"|"&amp;$B224&amp;"|placement|Y",photos!$R$2:$R$701,0))),""))</f>
        <v/>
      </c>
      <c r="Y224" s="26">
        <f>IF($A224="","",IFERROR(IF(INDEX(photos!$E$2:$E$701,MATCH($A224&amp;"|"&amp;$B224&amp;"|placement|Y",photos!$R$2:$R$701,0))="","",INDEX(photos!$E$2:$E$701,MATCH($A224&amp;"|"&amp;$B224&amp;"|placement|Y",photos!$R$2:$R$701,0))),""))</f>
        <v/>
      </c>
      <c r="Z224" s="25">
        <f>IF($A224="","",IF(COUNTIFS(counts!$C$2:$C$701,$A224,counts!$D$2:$D$701,$B224,counts!$E$2:$E$701,"placed")=0,"",SUMIFS(counts!$F$2:$F$701,counts!$C$2:$C$701,$A224,counts!$D$2:$D$701,$B224,counts!$E$2:$E$701,"placed")))</f>
        <v/>
      </c>
      <c r="AA224" s="25">
        <f>IF($A224="","",IF($Y224="",0,N($Z224)))</f>
        <v/>
      </c>
      <c r="AB224" s="25">
        <f>IF($A224="","",IF(OR($Y224="",$I224=""),"N",IF($Y224&lt;=WORKDAY(N($I224),1,calendar!$A$2:$A$80),"Y","N")))</f>
        <v/>
      </c>
      <c r="AC224" s="28">
        <f>IF(OR($A224="",$V224="",$Y224=""),"",ROUND(($Y224+N(IFERROR(IF(INDEX(photos!$F$2:$F$701,MATCH($A224&amp;"|"&amp;$B224&amp;"|placement|Y",photos!$R$2:$R$701,0))="","",INDEX(photos!$F$2:$F$701,MATCH($A224&amp;"|"&amp;$B224&amp;"|placement|Y",photos!$R$2:$R$701,0))),""))-$V224)*24,1))</f>
        <v/>
      </c>
      <c r="AD224" s="25">
        <f>IF($A224="","",SUMIFS(inventory!$G$2:$G$801,inventory!$C$2:$C$801,$A224,inventory!$D$2:$D$801,$B224,inventory!$E$2:$E$801,"topped_up"))</f>
        <v/>
      </c>
      <c r="AE224" s="25">
        <f>IF($A224="","",IF(COUNTIFS(counts!$C$2:$C$701,$A224,counts!$D$2:$D$701,$B224,counts!$E$2:$E$701,"remaining_day3")=0,"",SUMIFS(counts!$F$2:$F$701,counts!$C$2:$C$701,$A224,counts!$D$2:$D$701,$B224,counts!$E$2:$E$701,"remaining_day3")))</f>
        <v/>
      </c>
      <c r="AF224" s="25">
        <f>IF($A224="","",IF(COUNTIFS(counts!$C$2:$C$701,$A224,counts!$D$2:$D$701,$B224,counts!$E$2:$E$701,"remaining_day5")=0,"",SUMIFS(counts!$F$2:$F$701,counts!$C$2:$C$701,$A224,counts!$D$2:$D$701,$B224,counts!$E$2:$E$701,"remaining_day5")))</f>
        <v/>
      </c>
      <c r="AG224" s="25">
        <f>IF(OR($A224="",$AF224=""),"",MAX(0,$AA224+$AD224-$AF224))</f>
        <v/>
      </c>
      <c r="AH224" s="25">
        <f>IF(OR($A224="",$AI224=""),"",IFERROR(IF(INDEX(photos!$H$2:$H$701,MATCH($A224&amp;"|"&amp;$B224&amp;"|later|Y|"&amp;$AI224,photos!$S$2:$S$701,0))="","",INDEX(photos!$H$2:$H$701,MATCH($A224&amp;"|"&amp;$B224&amp;"|later|Y|"&amp;$AI224,photos!$S$2:$S$701,0))),""))</f>
        <v/>
      </c>
      <c r="AI224" s="26">
        <f>IF($A224="","",IFERROR(1/(1/SUMPRODUCT(MAX((photos!$B$2:$B$701=$A224)*(photos!$C$2:$C$701=$B224)*(photos!$D$2:$D$701="later")*(photos!$O$2:$O$701="Y")*photos!$E$2:$E$701))),""))</f>
        <v/>
      </c>
      <c r="AJ224" s="25">
        <f>IF(OR($A224="",$AI224="",$I224=""),"",NETWORKDAYS($I224,$AI224,calendar!$A$2:$A$80))</f>
        <v/>
      </c>
      <c r="AK224" s="25">
        <f>IF($A224="","",IF(AND($X224&lt;&gt;"",$AH224&lt;&gt;""),"Y","N"))</f>
        <v/>
      </c>
      <c r="AL224" s="25">
        <f>IF(OR($A224="",$I224=""),"",IF($BC224="Y",SUMIFS(survey_frozen!$C$2:$C$251,survey_frozen!$P$2:$P$251,$A224&amp;"|"&amp;$B224),IFERROR(COUNTIFS(INDIRECT("'"&amp;$A224&amp;"'!$B$2:$B$501"),$T224,INDIRECT("'"&amp;$A224&amp;"'!$A$2:$A$501"),"&gt;="&amp;$I224,INDIRECT("'"&amp;$A224&amp;"'!$A$2:$A$501"),"&lt;"&amp;($BA224+1)),0)))</f>
        <v/>
      </c>
      <c r="AM224" s="25">
        <f>IF(OR($A224="",$I224=""),"",IF($BC224="Y",SUMIFS(survey_frozen!$D$2:$D$251,survey_frozen!$P$2:$P$251,$A224&amp;"|"&amp;$B224),IFERROR(COUNTIFS(INDIRECT("'"&amp;$A224&amp;"'!$B$2:$B$501"),$T224,INDIRECT("'"&amp;$A224&amp;"'!$A$2:$A$501"),"&gt;="&amp;$I224,INDIRECT("'"&amp;$A224&amp;"'!$A$2:$A$501"),"&lt;"&amp;($BA224+1),INDIRECT("'"&amp;$A224&amp;"'!$C$2:$C$501"),"Yes"),0)))</f>
        <v/>
      </c>
      <c r="AN224" s="25">
        <f>IF($A224="","",IF(COUNTIFS(scans!$C$2:$C$1601,(IF(LEFT($A224,7)="SAMPLE-","SAMPLE-","")&amp;LOWER(SUBSTITUTE(SUBSTITUTE($A224,"SAMPLE-",""),"CMP-","c"))&amp;"-"&amp;LOWER(SUBSTITUTE(SUBSTITUTE($B224,"SAMPLE-",""),"O-","o"))&amp;"-q"),scans!$D$2:$D$1601,"close")=0,"",SUMPRODUCT(MAX((scans!$C$2:$C$1601=(IF(LEFT($A224,7)="SAMPLE-","SAMPLE-","")&amp;LOWER(SUBSTITUTE(SUBSTITUTE($A224,"SAMPLE-",""),"CMP-","c"))&amp;"-"&amp;LOWER(SUBSTITUTE(SUBSTITUTE($B224,"SAMPLE-",""),"O-","o"))&amp;"-q"))*(scans!$D$2:$D$1601="close")*scans!$E$2:$E$1601))-SUMPRODUCT(MAX((scans!$C$2:$C$1601=(IF(LEFT($A224,7)="SAMPLE-","SAMPLE-","")&amp;LOWER(SUBSTITUTE(SUBSTITUTE($A224,"SAMPLE-",""),"CMP-","c"))&amp;"-"&amp;LOWER(SUBSTITUTE(SUBSTITUTE($B224,"SAMPLE-",""),"O-","o"))&amp;"-q"))*(scans!$D$2:$D$1601="baseline")*scans!$E$2:$E$1601))))</f>
        <v/>
      </c>
      <c r="AO224" s="25">
        <f>IF($A224="","",IF(COUNTIFS(scans!$C$2:$C$1601,(IF(LEFT($A224,7)="SAMPLE-","SAMPLE-","")&amp;LOWER(SUBSTITUTE(SUBSTITUTE($A224,"SAMPLE-",""),"CMP-","c"))&amp;"-"&amp;LOWER(SUBSTITUTE(SUBSTITUTE($B224,"SAMPLE-",""),"O-","o"))&amp;"-p"),scans!$D$2:$D$1601,"close")=0,"",SUMPRODUCT(MAX((scans!$C$2:$C$1601=(IF(LEFT($A224,7)="SAMPLE-","SAMPLE-","")&amp;LOWER(SUBSTITUTE(SUBSTITUTE($A224,"SAMPLE-",""),"CMP-","c"))&amp;"-"&amp;LOWER(SUBSTITUTE(SUBSTITUTE($B224,"SAMPLE-",""),"O-","o"))&amp;"-p"))*(scans!$D$2:$D$1601="close")*scans!$E$2:$E$1601))-SUMPRODUCT(MAX((scans!$C$2:$C$1601=(IF(LEFT($A224,7)="SAMPLE-","SAMPLE-","")&amp;LOWER(SUBSTITUTE(SUBSTITUTE($A224,"SAMPLE-",""),"CMP-","c"))&amp;"-"&amp;LOWER(SUBSTITUTE(SUBSTITUTE($B224,"SAMPLE-",""),"O-","o"))&amp;"-p"))*(scans!$D$2:$D$1601="baseline")*scans!$E$2:$E$1601))))</f>
        <v/>
      </c>
      <c r="AP224" s="25">
        <f>IF($A224="","",IF(COUNTIF(offices!$A$2:$A$61,$B224)=0,"office_id not on offices; ","")&amp;IF(COUNTIF(campaigns!$A$2:$A$51,$A224)=0,"campaign_id not on campaigns; ","")&amp;IF($P224="pending","approval pending; ","")&amp;IF(AND($U224&gt;0,$Y224="",OR($I224="",IF(config!$B$37&lt;&gt;"",config!$B$37,TODAY())&lt;=WORKDAY(N($I224),4,calendar!$A$2:$A$80))),"no usable placement photo yet; ","")&amp;IF(AND($Y224&lt;&gt;"",$Z224=""),"log the placed count; ","")&amp;IF(N($AA224)&gt;N($U224),"placed more than delivered; ","")&amp;IF(AND($AF224&lt;&gt;"",N($AF224)&gt;N($AA224)+N($AD224)),"day-5 count above placed plus top-ups; ","")&amp;IF(AND($U224&gt;0,$I224&lt;&gt;"",IF(config!$B$37&lt;&gt;"",config!$B$37,TODAY())&gt;WORKDAY(N($I224),4,calendar!$A$2:$A$80),$AF224=""),"day-5 count missing; ","")&amp;IF(AND($U224&gt;0,$I224&lt;&gt;"",IF(config!$B$37&lt;&gt;"",config!$B$37,TODAY())&gt;WORKDAY(N($I224),4,calendar!$A$2:$A$80),$AN224=""),"no close link reading; ","")&amp;$R224&amp;IF($P224="N","info: office said no; ","")&amp;IF(AND($P224="Y",$Q224="N"),"info: turned away at the door, so not on the drop (no letter, not in the report or Gate 2; the credit check is on campaigns); ","")&amp;IF(AND($U224&gt;0,$Y224="",$I224&lt;&gt;"",IF(config!$B$37&lt;&gt;"",config!$B$37,TODAY())&gt;WORKDAY(N($I224),4,calendar!$A$2:$A$80)),"info: no usable placement photo, so nothing counts as placed; ","")&amp;IF(AND($U224&gt;0,$I224&lt;&gt;"",IF(config!$B$37&lt;&gt;"",config!$B$37,TODAY())&gt;WORKDAY(N($I224),4,calendar!$A$2:$A$80),N($AL224)&lt;config!$B$30),"info: under "&amp;config!$B$30&amp;" responses; ","")&amp;IF($W224="packing_list","info: delivered count not verified; ",""))</f>
        <v/>
      </c>
      <c r="AQ224" s="25">
        <f>IF(OR($A224="",$I224=""),"",IF($BC224="Y",SUMIFS(survey_frozen!$E$2:$E$251,survey_frozen!$P$2:$P$251,$A224&amp;"|"&amp;$B224),IFERROR(COUNTIFS(INDIRECT("'"&amp;$A224&amp;"'!$B$2:$B$501"),$T224,INDIRECT("'"&amp;$A224&amp;"'!$A$2:$A$501"),"&gt;="&amp;$I224,INDIRECT("'"&amp;$A224&amp;"'!$A$2:$A$501"),"&lt;"&amp;($BA224+1),INDIRECT("'"&amp;$A224&amp;"'!$F$2:$F$501"),"Didn't see it"),0)))</f>
        <v/>
      </c>
      <c r="AR224" s="25">
        <f>IF(OR($A224="",$I224=""),"",IF($BC224="Y",SUMIFS(survey_frozen!$F$2:$F$251,survey_frozen!$P$2:$P$251,$A224&amp;"|"&amp;$B224),IFERROR(COUNTIFS(INDIRECT("'"&amp;$A224&amp;"'!$B$2:$B$501"),$T224,INDIRECT("'"&amp;$A224&amp;"'!$A$2:$A$501"),"&gt;="&amp;$I224,INDIRECT("'"&amp;$A224&amp;"'!$A$2:$A$501"),"&lt;"&amp;($BA224+1),INDIRECT("'"&amp;$A224&amp;"'!$F$2:$F$501"),"Not for me"),0)))</f>
        <v/>
      </c>
      <c r="AS224" s="25">
        <f>IF(OR($A224="",$I224=""),"",IF($BC224="Y",SUMIFS(survey_frozen!$G$2:$G$251,survey_frozen!$P$2:$P$251,$A224&amp;"|"&amp;$B224),IFERROR(COUNTIFS(INDIRECT("'"&amp;$A224&amp;"'!$B$2:$B$501"),$T224,INDIRECT("'"&amp;$A224&amp;"'!$A$2:$A$501"),"&gt;="&amp;$I224,INDIRECT("'"&amp;$A224&amp;"'!$A$2:$A$501"),"&lt;"&amp;($BA224+1),INDIRECT("'"&amp;$A224&amp;"'!$F$2:$F$501"),"Gone by the time I looked"),0)))</f>
        <v/>
      </c>
      <c r="AT224" s="25">
        <f>IF(OR($A224="",$I224=""),"",IF($BC224="Y",SUMIFS(survey_frozen!$H$2:$H$251,survey_frozen!$P$2:$P$251,$A224&amp;"|"&amp;$B224),IFERROR(COUNTIFS(INDIRECT("'"&amp;$A224&amp;"'!$B$2:$B$501"),$T224,INDIRECT("'"&amp;$A224&amp;"'!$A$2:$A$501"),"&gt;="&amp;$I224,INDIRECT("'"&amp;$A224&amp;"'!$A$2:$A$501"),"&lt;"&amp;($BA224+1),INDIRECT("'"&amp;$A224&amp;"'!$D$2:$D$501"),"&gt;=1"),0)))</f>
        <v/>
      </c>
      <c r="AU224" s="25">
        <f>IF(OR($A224="",$I224=""),"",IF($BC224="Y",SUMIFS(survey_frozen!$I$2:$I$251,survey_frozen!$P$2:$P$251,$A224&amp;"|"&amp;$B224),IFERROR(SUMIFS(INDIRECT("'"&amp;$A224&amp;"'!$D$2:$D$501"),INDIRECT("'"&amp;$A224&amp;"'!$B$2:$B$501"),$T224,INDIRECT("'"&amp;$A224&amp;"'!$A$2:$A$501"),"&gt;="&amp;$I224,INDIRECT("'"&amp;$A224&amp;"'!$A$2:$A$501"),"&lt;"&amp;($BA224+1)),0)))</f>
        <v/>
      </c>
      <c r="AV224" s="25">
        <f>IF(OR($A224="",$I224=""),"",IF($BC224="Y",SUMIFS(survey_frozen!$J$2:$J$251,survey_frozen!$P$2:$P$251,$A224&amp;"|"&amp;$B224),IFERROR(COUNTIFS(INDIRECT("'"&amp;$A224&amp;"'!$B$2:$B$501"),$T224,INDIRECT("'"&amp;$A224&amp;"'!$A$2:$A$501"),"&gt;="&amp;$I224,INDIRECT("'"&amp;$A224&amp;"'!$A$2:$A$501"),"&lt;"&amp;($BA224+1),INDIRECT("'"&amp;$A224&amp;"'!$E$2:$E$501"),"Yes"),0)))</f>
        <v/>
      </c>
      <c r="AW224" s="25">
        <f>IF(OR($A224="",$I224=""),"",IF($BC224="Y",SUMIFS(survey_frozen!$K$2:$K$251,survey_frozen!$P$2:$P$251,$A224&amp;"|"&amp;$B224),IFERROR(COUNTIFS(INDIRECT("'"&amp;$A224&amp;"'!$B$2:$B$501"),$T224,INDIRECT("'"&amp;$A224&amp;"'!$A$2:$A$501"),"&gt;="&amp;$I224,INDIRECT("'"&amp;$A224&amp;"'!$A$2:$A$501"),"&lt;"&amp;($BA224+1),INDIRECT("'"&amp;$A224&amp;"'!$E$2:$E$501"),"Maybe"),0)))</f>
        <v/>
      </c>
      <c r="AX224" s="25">
        <f>IF(OR($A224="",$I224=""),"",IF($BC224="Y",SUMIFS(survey_frozen!$L$2:$L$251,survey_frozen!$P$2:$P$251,$A224&amp;"|"&amp;$B224),IFERROR(COUNTIFS(INDIRECT("'"&amp;$A224&amp;"'!$B$2:$B$501"),$T224,INDIRECT("'"&amp;$A224&amp;"'!$A$2:$A$501"),"&gt;="&amp;$I224,INDIRECT("'"&amp;$A224&amp;"'!$A$2:$A$501"),"&lt;"&amp;($BA224+1),INDIRECT("'"&amp;$A224&amp;"'!$E$2:$E$501"),"No"),0)))</f>
        <v/>
      </c>
      <c r="AY224" s="25">
        <f>IF(OR($A224="",$I224=""),"",IF($BC224="Y",SUMIFS(survey_frozen!$M$2:$M$251,survey_frozen!$P$2:$P$251,$A224&amp;"|"&amp;$B224),IFERROR(COUNTIFS(INDIRECT("'"&amp;$A224&amp;"'!$B$2:$B$501"),$T224,INDIRECT("'"&amp;$A224&amp;"'!$A$2:$A$501"),"&gt;="&amp;$I224,INDIRECT("'"&amp;$A224&amp;"'!$A$2:$A$501"),"&lt;"&amp;($BA224+1),INDIRECT("'"&amp;$A224&amp;"'!$G$2:$G$501"),"&lt;&gt;"),0)))</f>
        <v/>
      </c>
      <c r="AZ224" s="25">
        <f>IF($A224="","",$A224&amp;"|"&amp;$L224)</f>
        <v/>
      </c>
      <c r="BA224" s="26">
        <f>IF($A224="","",IFERROR(IF(INDEX(drops!$R$2:$R$21,MATCH($H224,drops!$A$2:$A$21,0))="","",INDEX(drops!$R$2:$R$21,MATCH($H224,drops!$A$2:$A$21,0))),""))</f>
        <v/>
      </c>
      <c r="BB224" s="25">
        <f>IF(OR($A224="",$Q224&lt;&gt;"Y"),1000000,N($AL224))</f>
        <v/>
      </c>
      <c r="BC224" s="25">
        <f>IF($A224="","",IF(COUNTIF(survey_frozen!$P$2:$P$251,$A224&amp;"|"&amp;$B224)&gt;0,"Y",""))</f>
        <v/>
      </c>
    </row>
    <row r="225">
      <c r="C225" s="9" t="n"/>
      <c r="E225" s="9" t="n"/>
      <c r="H225" s="25">
        <f>IF($A225="","",IFERROR(IF(INDEX(campaigns!$B$2:$B$51,MATCH($A225,campaigns!$A$2:$A$51,0))="","",INDEX(campaigns!$B$2:$B$51,MATCH($A225,campaigns!$A$2:$A$51,0))),""))</f>
        <v/>
      </c>
      <c r="I225" s="26">
        <f>IF($A225="","",IFERROR(IF(INDEX(campaigns!$BG$2:$BG$51,MATCH($A225,campaigns!$A$2:$A$51,0))="","",INDEX(campaigns!$BG$2:$BG$51,MATCH($A225,campaigns!$A$2:$A$51,0))),""))</f>
        <v/>
      </c>
      <c r="J225" s="25">
        <f>IF($A225="","",IFERROR(IF(INDEX(campaigns!$BE$2:$BE$51,MATCH($A225,campaigns!$A$2:$A$51,0))="","",INDEX(campaigns!$BE$2:$BE$51,MATCH($A225,campaigns!$A$2:$A$51,0))),""))</f>
        <v/>
      </c>
      <c r="K225" s="25">
        <f>IF($B225="","",IFERROR(IF(INDEX(offices!$N$2:$N$61,MATCH($B225,offices!$A$2:$A$61,0))="","",INDEX(offices!$N$2:$N$61,MATCH($B225,offices!$A$2:$A$61,0))),""))</f>
        <v/>
      </c>
      <c r="L225" s="25">
        <f>IF($A225="","",IF($Q225="N","",COUNTIFS($A$2:$A225,$A225,$Q$2:$Q225,"&lt;&gt;N")))</f>
        <v/>
      </c>
      <c r="M225" s="25">
        <f>IF(OR($A225="",$L225=""),"",IF(AND(config!$B$34="names_if_public",IFERROR(IF(INDEX(offices!$AF$2:$AF$61,MATCH($B225,offices!$A$2:$A$61,0))="","",INDEX(offices!$AF$2:$AF$61,MATCH($B225,offices!$A$2:$A$61,0))),"")="Y"),$K225,CHAR(64+$L225)))</f>
        <v/>
      </c>
      <c r="N225" s="25">
        <f>IF(OR($A225="",$I225=""),"",COUNTIFS(stops!$B$2:$B$151,$B225,stops!$P$2:$P$151,"&lt;"&amp;$I225,stops!$L$2:$L$151,"&lt;&gt;not_delivered")+1)</f>
        <v/>
      </c>
      <c r="O225" s="25">
        <f>IF($A225="","",IF(N($N225)&lt;=config!$B$29,"explicit","opt-out"))</f>
        <v/>
      </c>
      <c r="P225" s="25">
        <f>IF($A225="","",IF($O225="explicit",IF($D225="yes","Y",IF($D225="no","N","pending")),IF($D225="no","N",IF(AND($C225&lt;&gt;"",$I225&lt;&gt;"",$C225&lt;=WORKDAY(N($I225),-5,calendar!$A$2:$A$80)),"Y","pending"))))</f>
        <v/>
      </c>
      <c r="Q225" s="25">
        <f>IF($A225="","",IF($P225="N","N",IF($P225&lt;&gt;"Y","pending",IF(AND((COUNTIFS(stops!$A$2:$A$151,$H225,stops!$B$2:$B$151,$B225,stops!$L$2:$L$151,"declined")+COUNTIFS(stops!$A$2:$A$151,$H225,stops!$B$2:$B$151,$B225,stops!$L$2:$L$151,"building_refused")+COUNTIFS(stops!$A$2:$A$151,$H225,stops!$B$2:$B$151,$B225,stops!$L$2:$L$151,"not_delivered"))&gt;0,N($U225)=0),"N","Y"))))</f>
        <v/>
      </c>
      <c r="R225" s="25">
        <f>IF($A225="","",IF(COUNTIFS($A$2:$A$251,$A225,$B$2:$B$251,$B225)&gt;1,"DUPLICATE ROW; ","")&amp;IF(AND(IFERROR(IF(INDEX(offices!$AC$2:$AC$61,MATCH($B225,offices!$A$2:$A$61,0))="","",INDEX(offices!$AC$2:$AC$61,MATCH($B225,offices!$A$2:$A$61,0))),"")&lt;&gt;"",ISNUMBER(SEARCH($J225,IFERROR(IF(INDEX(offices!$AC$2:$AC$61,MATCH($B225,offices!$A$2:$A$61,0))="","",INDEX(offices!$AC$2:$AC$61,MATCH($B225,offices!$A$2:$A$61,0))),"")))),"BRAND VETOED; ","")&amp;IF(ISNUMBER(SEARCH(IFERROR(IF(INDEX(campaigns!$BF$2:$BF$51,MATCH($A225,campaigns!$A$2:$A$51,0))="","",INDEX(campaigns!$BF$2:$BF$51,MATCH($A225,campaigns!$A$2:$A$51,0))),""),IFERROR(IF(INDEX(offices!$AB$2:$AB$61,MATCH($B225,offices!$A$2:$A$61,0))="","",INDEX(offices!$AB$2:$AB$61,MATCH($B225,offices!$A$2:$A$61,0))),""))),"","info: category not on the office's list; ")&amp;IF(IFERROR(IF(INDEX(offices!$AC$2:$AC$61,MATCH($B225,offices!$A$2:$A$61,0))="","",INDEX(offices!$AC$2:$AC$61,MATCH($B225,offices!$A$2:$A$61,0))),"")&lt;&gt;"","info: read the vetoes against the label; ",""))</f>
        <v/>
      </c>
      <c r="S225" s="25">
        <f>IF($A225="","",IF($G225&lt;&gt;"",$G225,IFERROR(IF(INDEX(offices!$AL$2:$AL$61,MATCH($B225,offices!$A$2:$A$61,0))="","",INDEX(offices!$AL$2:$AL$61,MATCH($B225,offices!$A$2:$A$61,0))),"")))</f>
        <v/>
      </c>
      <c r="T225" s="25">
        <f>IF($A225="","",$A225&amp;"."&amp;$B225)</f>
        <v/>
      </c>
      <c r="U225" s="25">
        <f>IF($A225="","",SUMIFS(inventory!$G$2:$G$801,inventory!$C$2:$C$801,$A225,inventory!$D$2:$D$801,$B225,inventory!$E$2:$E$801,"delivered"))</f>
        <v/>
      </c>
      <c r="V225" s="32">
        <f>IF($A225="","",IFERROR(1/(1/SUMPRODUCT(MAX((inventory!$C$2:$C$801=$A225)*(inventory!$D$2:$D$801=$B225)*(inventory!$E$2:$E$801="delivered")*(inventory!$A$2:$A$801+inventory!$B$2:$B$801)))),""))</f>
        <v/>
      </c>
      <c r="W225" s="25">
        <f>IF($A225="","",IFERROR(IF(INDEX(inventory!$J$2:$J$801,MATCH($A225&amp;"|"&amp;$B225&amp;"|delivered",inventory!$R$2:$R$801,0))="","",INDEX(inventory!$J$2:$J$801,MATCH($A225&amp;"|"&amp;$B225&amp;"|delivered",inventory!$R$2:$R$801,0))),""))</f>
        <v/>
      </c>
      <c r="X225" s="25">
        <f>IF($A225="","",IFERROR(IF(INDEX(photos!$H$2:$H$701,MATCH($A225&amp;"|"&amp;$B225&amp;"|placement|Y",photos!$R$2:$R$701,0))="","",INDEX(photos!$H$2:$H$701,MATCH($A225&amp;"|"&amp;$B225&amp;"|placement|Y",photos!$R$2:$R$701,0))),""))</f>
        <v/>
      </c>
      <c r="Y225" s="26">
        <f>IF($A225="","",IFERROR(IF(INDEX(photos!$E$2:$E$701,MATCH($A225&amp;"|"&amp;$B225&amp;"|placement|Y",photos!$R$2:$R$701,0))="","",INDEX(photos!$E$2:$E$701,MATCH($A225&amp;"|"&amp;$B225&amp;"|placement|Y",photos!$R$2:$R$701,0))),""))</f>
        <v/>
      </c>
      <c r="Z225" s="25">
        <f>IF($A225="","",IF(COUNTIFS(counts!$C$2:$C$701,$A225,counts!$D$2:$D$701,$B225,counts!$E$2:$E$701,"placed")=0,"",SUMIFS(counts!$F$2:$F$701,counts!$C$2:$C$701,$A225,counts!$D$2:$D$701,$B225,counts!$E$2:$E$701,"placed")))</f>
        <v/>
      </c>
      <c r="AA225" s="25">
        <f>IF($A225="","",IF($Y225="",0,N($Z225)))</f>
        <v/>
      </c>
      <c r="AB225" s="25">
        <f>IF($A225="","",IF(OR($Y225="",$I225=""),"N",IF($Y225&lt;=WORKDAY(N($I225),1,calendar!$A$2:$A$80),"Y","N")))</f>
        <v/>
      </c>
      <c r="AC225" s="28">
        <f>IF(OR($A225="",$V225="",$Y225=""),"",ROUND(($Y225+N(IFERROR(IF(INDEX(photos!$F$2:$F$701,MATCH($A225&amp;"|"&amp;$B225&amp;"|placement|Y",photos!$R$2:$R$701,0))="","",INDEX(photos!$F$2:$F$701,MATCH($A225&amp;"|"&amp;$B225&amp;"|placement|Y",photos!$R$2:$R$701,0))),""))-$V225)*24,1))</f>
        <v/>
      </c>
      <c r="AD225" s="25">
        <f>IF($A225="","",SUMIFS(inventory!$G$2:$G$801,inventory!$C$2:$C$801,$A225,inventory!$D$2:$D$801,$B225,inventory!$E$2:$E$801,"topped_up"))</f>
        <v/>
      </c>
      <c r="AE225" s="25">
        <f>IF($A225="","",IF(COUNTIFS(counts!$C$2:$C$701,$A225,counts!$D$2:$D$701,$B225,counts!$E$2:$E$701,"remaining_day3")=0,"",SUMIFS(counts!$F$2:$F$701,counts!$C$2:$C$701,$A225,counts!$D$2:$D$701,$B225,counts!$E$2:$E$701,"remaining_day3")))</f>
        <v/>
      </c>
      <c r="AF225" s="25">
        <f>IF($A225="","",IF(COUNTIFS(counts!$C$2:$C$701,$A225,counts!$D$2:$D$701,$B225,counts!$E$2:$E$701,"remaining_day5")=0,"",SUMIFS(counts!$F$2:$F$701,counts!$C$2:$C$701,$A225,counts!$D$2:$D$701,$B225,counts!$E$2:$E$701,"remaining_day5")))</f>
        <v/>
      </c>
      <c r="AG225" s="25">
        <f>IF(OR($A225="",$AF225=""),"",MAX(0,$AA225+$AD225-$AF225))</f>
        <v/>
      </c>
      <c r="AH225" s="25">
        <f>IF(OR($A225="",$AI225=""),"",IFERROR(IF(INDEX(photos!$H$2:$H$701,MATCH($A225&amp;"|"&amp;$B225&amp;"|later|Y|"&amp;$AI225,photos!$S$2:$S$701,0))="","",INDEX(photos!$H$2:$H$701,MATCH($A225&amp;"|"&amp;$B225&amp;"|later|Y|"&amp;$AI225,photos!$S$2:$S$701,0))),""))</f>
        <v/>
      </c>
      <c r="AI225" s="26">
        <f>IF($A225="","",IFERROR(1/(1/SUMPRODUCT(MAX((photos!$B$2:$B$701=$A225)*(photos!$C$2:$C$701=$B225)*(photos!$D$2:$D$701="later")*(photos!$O$2:$O$701="Y")*photos!$E$2:$E$701))),""))</f>
        <v/>
      </c>
      <c r="AJ225" s="25">
        <f>IF(OR($A225="",$AI225="",$I225=""),"",NETWORKDAYS($I225,$AI225,calendar!$A$2:$A$80))</f>
        <v/>
      </c>
      <c r="AK225" s="25">
        <f>IF($A225="","",IF(AND($X225&lt;&gt;"",$AH225&lt;&gt;""),"Y","N"))</f>
        <v/>
      </c>
      <c r="AL225" s="25">
        <f>IF(OR($A225="",$I225=""),"",IF($BC225="Y",SUMIFS(survey_frozen!$C$2:$C$251,survey_frozen!$P$2:$P$251,$A225&amp;"|"&amp;$B225),IFERROR(COUNTIFS(INDIRECT("'"&amp;$A225&amp;"'!$B$2:$B$501"),$T225,INDIRECT("'"&amp;$A225&amp;"'!$A$2:$A$501"),"&gt;="&amp;$I225,INDIRECT("'"&amp;$A225&amp;"'!$A$2:$A$501"),"&lt;"&amp;($BA225+1)),0)))</f>
        <v/>
      </c>
      <c r="AM225" s="25">
        <f>IF(OR($A225="",$I225=""),"",IF($BC225="Y",SUMIFS(survey_frozen!$D$2:$D$251,survey_frozen!$P$2:$P$251,$A225&amp;"|"&amp;$B225),IFERROR(COUNTIFS(INDIRECT("'"&amp;$A225&amp;"'!$B$2:$B$501"),$T225,INDIRECT("'"&amp;$A225&amp;"'!$A$2:$A$501"),"&gt;="&amp;$I225,INDIRECT("'"&amp;$A225&amp;"'!$A$2:$A$501"),"&lt;"&amp;($BA225+1),INDIRECT("'"&amp;$A225&amp;"'!$C$2:$C$501"),"Yes"),0)))</f>
        <v/>
      </c>
      <c r="AN225" s="25">
        <f>IF($A225="","",IF(COUNTIFS(scans!$C$2:$C$1601,(IF(LEFT($A225,7)="SAMPLE-","SAMPLE-","")&amp;LOWER(SUBSTITUTE(SUBSTITUTE($A225,"SAMPLE-",""),"CMP-","c"))&amp;"-"&amp;LOWER(SUBSTITUTE(SUBSTITUTE($B225,"SAMPLE-",""),"O-","o"))&amp;"-q"),scans!$D$2:$D$1601,"close")=0,"",SUMPRODUCT(MAX((scans!$C$2:$C$1601=(IF(LEFT($A225,7)="SAMPLE-","SAMPLE-","")&amp;LOWER(SUBSTITUTE(SUBSTITUTE($A225,"SAMPLE-",""),"CMP-","c"))&amp;"-"&amp;LOWER(SUBSTITUTE(SUBSTITUTE($B225,"SAMPLE-",""),"O-","o"))&amp;"-q"))*(scans!$D$2:$D$1601="close")*scans!$E$2:$E$1601))-SUMPRODUCT(MAX((scans!$C$2:$C$1601=(IF(LEFT($A225,7)="SAMPLE-","SAMPLE-","")&amp;LOWER(SUBSTITUTE(SUBSTITUTE($A225,"SAMPLE-",""),"CMP-","c"))&amp;"-"&amp;LOWER(SUBSTITUTE(SUBSTITUTE($B225,"SAMPLE-",""),"O-","o"))&amp;"-q"))*(scans!$D$2:$D$1601="baseline")*scans!$E$2:$E$1601))))</f>
        <v/>
      </c>
      <c r="AO225" s="25">
        <f>IF($A225="","",IF(COUNTIFS(scans!$C$2:$C$1601,(IF(LEFT($A225,7)="SAMPLE-","SAMPLE-","")&amp;LOWER(SUBSTITUTE(SUBSTITUTE($A225,"SAMPLE-",""),"CMP-","c"))&amp;"-"&amp;LOWER(SUBSTITUTE(SUBSTITUTE($B225,"SAMPLE-",""),"O-","o"))&amp;"-p"),scans!$D$2:$D$1601,"close")=0,"",SUMPRODUCT(MAX((scans!$C$2:$C$1601=(IF(LEFT($A225,7)="SAMPLE-","SAMPLE-","")&amp;LOWER(SUBSTITUTE(SUBSTITUTE($A225,"SAMPLE-",""),"CMP-","c"))&amp;"-"&amp;LOWER(SUBSTITUTE(SUBSTITUTE($B225,"SAMPLE-",""),"O-","o"))&amp;"-p"))*(scans!$D$2:$D$1601="close")*scans!$E$2:$E$1601))-SUMPRODUCT(MAX((scans!$C$2:$C$1601=(IF(LEFT($A225,7)="SAMPLE-","SAMPLE-","")&amp;LOWER(SUBSTITUTE(SUBSTITUTE($A225,"SAMPLE-",""),"CMP-","c"))&amp;"-"&amp;LOWER(SUBSTITUTE(SUBSTITUTE($B225,"SAMPLE-",""),"O-","o"))&amp;"-p"))*(scans!$D$2:$D$1601="baseline")*scans!$E$2:$E$1601))))</f>
        <v/>
      </c>
      <c r="AP225" s="25">
        <f>IF($A225="","",IF(COUNTIF(offices!$A$2:$A$61,$B225)=0,"office_id not on offices; ","")&amp;IF(COUNTIF(campaigns!$A$2:$A$51,$A225)=0,"campaign_id not on campaigns; ","")&amp;IF($P225="pending","approval pending; ","")&amp;IF(AND($U225&gt;0,$Y225="",OR($I225="",IF(config!$B$37&lt;&gt;"",config!$B$37,TODAY())&lt;=WORKDAY(N($I225),4,calendar!$A$2:$A$80))),"no usable placement photo yet; ","")&amp;IF(AND($Y225&lt;&gt;"",$Z225=""),"log the placed count; ","")&amp;IF(N($AA225)&gt;N($U225),"placed more than delivered; ","")&amp;IF(AND($AF225&lt;&gt;"",N($AF225)&gt;N($AA225)+N($AD225)),"day-5 count above placed plus top-ups; ","")&amp;IF(AND($U225&gt;0,$I225&lt;&gt;"",IF(config!$B$37&lt;&gt;"",config!$B$37,TODAY())&gt;WORKDAY(N($I225),4,calendar!$A$2:$A$80),$AF225=""),"day-5 count missing; ","")&amp;IF(AND($U225&gt;0,$I225&lt;&gt;"",IF(config!$B$37&lt;&gt;"",config!$B$37,TODAY())&gt;WORKDAY(N($I225),4,calendar!$A$2:$A$80),$AN225=""),"no close link reading; ","")&amp;$R225&amp;IF($P225="N","info: office said no; ","")&amp;IF(AND($P225="Y",$Q225="N"),"info: turned away at the door, so not on the drop (no letter, not in the report or Gate 2; the credit check is on campaigns); ","")&amp;IF(AND($U225&gt;0,$Y225="",$I225&lt;&gt;"",IF(config!$B$37&lt;&gt;"",config!$B$37,TODAY())&gt;WORKDAY(N($I225),4,calendar!$A$2:$A$80)),"info: no usable placement photo, so nothing counts as placed; ","")&amp;IF(AND($U225&gt;0,$I225&lt;&gt;"",IF(config!$B$37&lt;&gt;"",config!$B$37,TODAY())&gt;WORKDAY(N($I225),4,calendar!$A$2:$A$80),N($AL225)&lt;config!$B$30),"info: under "&amp;config!$B$30&amp;" responses; ","")&amp;IF($W225="packing_list","info: delivered count not verified; ",""))</f>
        <v/>
      </c>
      <c r="AQ225" s="25">
        <f>IF(OR($A225="",$I225=""),"",IF($BC225="Y",SUMIFS(survey_frozen!$E$2:$E$251,survey_frozen!$P$2:$P$251,$A225&amp;"|"&amp;$B225),IFERROR(COUNTIFS(INDIRECT("'"&amp;$A225&amp;"'!$B$2:$B$501"),$T225,INDIRECT("'"&amp;$A225&amp;"'!$A$2:$A$501"),"&gt;="&amp;$I225,INDIRECT("'"&amp;$A225&amp;"'!$A$2:$A$501"),"&lt;"&amp;($BA225+1),INDIRECT("'"&amp;$A225&amp;"'!$F$2:$F$501"),"Didn't see it"),0)))</f>
        <v/>
      </c>
      <c r="AR225" s="25">
        <f>IF(OR($A225="",$I225=""),"",IF($BC225="Y",SUMIFS(survey_frozen!$F$2:$F$251,survey_frozen!$P$2:$P$251,$A225&amp;"|"&amp;$B225),IFERROR(COUNTIFS(INDIRECT("'"&amp;$A225&amp;"'!$B$2:$B$501"),$T225,INDIRECT("'"&amp;$A225&amp;"'!$A$2:$A$501"),"&gt;="&amp;$I225,INDIRECT("'"&amp;$A225&amp;"'!$A$2:$A$501"),"&lt;"&amp;($BA225+1),INDIRECT("'"&amp;$A225&amp;"'!$F$2:$F$501"),"Not for me"),0)))</f>
        <v/>
      </c>
      <c r="AS225" s="25">
        <f>IF(OR($A225="",$I225=""),"",IF($BC225="Y",SUMIFS(survey_frozen!$G$2:$G$251,survey_frozen!$P$2:$P$251,$A225&amp;"|"&amp;$B225),IFERROR(COUNTIFS(INDIRECT("'"&amp;$A225&amp;"'!$B$2:$B$501"),$T225,INDIRECT("'"&amp;$A225&amp;"'!$A$2:$A$501"),"&gt;="&amp;$I225,INDIRECT("'"&amp;$A225&amp;"'!$A$2:$A$501"),"&lt;"&amp;($BA225+1),INDIRECT("'"&amp;$A225&amp;"'!$F$2:$F$501"),"Gone by the time I looked"),0)))</f>
        <v/>
      </c>
      <c r="AT225" s="25">
        <f>IF(OR($A225="",$I225=""),"",IF($BC225="Y",SUMIFS(survey_frozen!$H$2:$H$251,survey_frozen!$P$2:$P$251,$A225&amp;"|"&amp;$B225),IFERROR(COUNTIFS(INDIRECT("'"&amp;$A225&amp;"'!$B$2:$B$501"),$T225,INDIRECT("'"&amp;$A225&amp;"'!$A$2:$A$501"),"&gt;="&amp;$I225,INDIRECT("'"&amp;$A225&amp;"'!$A$2:$A$501"),"&lt;"&amp;($BA225+1),INDIRECT("'"&amp;$A225&amp;"'!$D$2:$D$501"),"&gt;=1"),0)))</f>
        <v/>
      </c>
      <c r="AU225" s="25">
        <f>IF(OR($A225="",$I225=""),"",IF($BC225="Y",SUMIFS(survey_frozen!$I$2:$I$251,survey_frozen!$P$2:$P$251,$A225&amp;"|"&amp;$B225),IFERROR(SUMIFS(INDIRECT("'"&amp;$A225&amp;"'!$D$2:$D$501"),INDIRECT("'"&amp;$A225&amp;"'!$B$2:$B$501"),$T225,INDIRECT("'"&amp;$A225&amp;"'!$A$2:$A$501"),"&gt;="&amp;$I225,INDIRECT("'"&amp;$A225&amp;"'!$A$2:$A$501"),"&lt;"&amp;($BA225+1)),0)))</f>
        <v/>
      </c>
      <c r="AV225" s="25">
        <f>IF(OR($A225="",$I225=""),"",IF($BC225="Y",SUMIFS(survey_frozen!$J$2:$J$251,survey_frozen!$P$2:$P$251,$A225&amp;"|"&amp;$B225),IFERROR(COUNTIFS(INDIRECT("'"&amp;$A225&amp;"'!$B$2:$B$501"),$T225,INDIRECT("'"&amp;$A225&amp;"'!$A$2:$A$501"),"&gt;="&amp;$I225,INDIRECT("'"&amp;$A225&amp;"'!$A$2:$A$501"),"&lt;"&amp;($BA225+1),INDIRECT("'"&amp;$A225&amp;"'!$E$2:$E$501"),"Yes"),0)))</f>
        <v/>
      </c>
      <c r="AW225" s="25">
        <f>IF(OR($A225="",$I225=""),"",IF($BC225="Y",SUMIFS(survey_frozen!$K$2:$K$251,survey_frozen!$P$2:$P$251,$A225&amp;"|"&amp;$B225),IFERROR(COUNTIFS(INDIRECT("'"&amp;$A225&amp;"'!$B$2:$B$501"),$T225,INDIRECT("'"&amp;$A225&amp;"'!$A$2:$A$501"),"&gt;="&amp;$I225,INDIRECT("'"&amp;$A225&amp;"'!$A$2:$A$501"),"&lt;"&amp;($BA225+1),INDIRECT("'"&amp;$A225&amp;"'!$E$2:$E$501"),"Maybe"),0)))</f>
        <v/>
      </c>
      <c r="AX225" s="25">
        <f>IF(OR($A225="",$I225=""),"",IF($BC225="Y",SUMIFS(survey_frozen!$L$2:$L$251,survey_frozen!$P$2:$P$251,$A225&amp;"|"&amp;$B225),IFERROR(COUNTIFS(INDIRECT("'"&amp;$A225&amp;"'!$B$2:$B$501"),$T225,INDIRECT("'"&amp;$A225&amp;"'!$A$2:$A$501"),"&gt;="&amp;$I225,INDIRECT("'"&amp;$A225&amp;"'!$A$2:$A$501"),"&lt;"&amp;($BA225+1),INDIRECT("'"&amp;$A225&amp;"'!$E$2:$E$501"),"No"),0)))</f>
        <v/>
      </c>
      <c r="AY225" s="25">
        <f>IF(OR($A225="",$I225=""),"",IF($BC225="Y",SUMIFS(survey_frozen!$M$2:$M$251,survey_frozen!$P$2:$P$251,$A225&amp;"|"&amp;$B225),IFERROR(COUNTIFS(INDIRECT("'"&amp;$A225&amp;"'!$B$2:$B$501"),$T225,INDIRECT("'"&amp;$A225&amp;"'!$A$2:$A$501"),"&gt;="&amp;$I225,INDIRECT("'"&amp;$A225&amp;"'!$A$2:$A$501"),"&lt;"&amp;($BA225+1),INDIRECT("'"&amp;$A225&amp;"'!$G$2:$G$501"),"&lt;&gt;"),0)))</f>
        <v/>
      </c>
      <c r="AZ225" s="25">
        <f>IF($A225="","",$A225&amp;"|"&amp;$L225)</f>
        <v/>
      </c>
      <c r="BA225" s="26">
        <f>IF($A225="","",IFERROR(IF(INDEX(drops!$R$2:$R$21,MATCH($H225,drops!$A$2:$A$21,0))="","",INDEX(drops!$R$2:$R$21,MATCH($H225,drops!$A$2:$A$21,0))),""))</f>
        <v/>
      </c>
      <c r="BB225" s="25">
        <f>IF(OR($A225="",$Q225&lt;&gt;"Y"),1000000,N($AL225))</f>
        <v/>
      </c>
      <c r="BC225" s="25">
        <f>IF($A225="","",IF(COUNTIF(survey_frozen!$P$2:$P$251,$A225&amp;"|"&amp;$B225)&gt;0,"Y",""))</f>
        <v/>
      </c>
    </row>
    <row r="226">
      <c r="C226" s="9" t="n"/>
      <c r="E226" s="9" t="n"/>
      <c r="H226" s="25">
        <f>IF($A226="","",IFERROR(IF(INDEX(campaigns!$B$2:$B$51,MATCH($A226,campaigns!$A$2:$A$51,0))="","",INDEX(campaigns!$B$2:$B$51,MATCH($A226,campaigns!$A$2:$A$51,0))),""))</f>
        <v/>
      </c>
      <c r="I226" s="26">
        <f>IF($A226="","",IFERROR(IF(INDEX(campaigns!$BG$2:$BG$51,MATCH($A226,campaigns!$A$2:$A$51,0))="","",INDEX(campaigns!$BG$2:$BG$51,MATCH($A226,campaigns!$A$2:$A$51,0))),""))</f>
        <v/>
      </c>
      <c r="J226" s="25">
        <f>IF($A226="","",IFERROR(IF(INDEX(campaigns!$BE$2:$BE$51,MATCH($A226,campaigns!$A$2:$A$51,0))="","",INDEX(campaigns!$BE$2:$BE$51,MATCH($A226,campaigns!$A$2:$A$51,0))),""))</f>
        <v/>
      </c>
      <c r="K226" s="25">
        <f>IF($B226="","",IFERROR(IF(INDEX(offices!$N$2:$N$61,MATCH($B226,offices!$A$2:$A$61,0))="","",INDEX(offices!$N$2:$N$61,MATCH($B226,offices!$A$2:$A$61,0))),""))</f>
        <v/>
      </c>
      <c r="L226" s="25">
        <f>IF($A226="","",IF($Q226="N","",COUNTIFS($A$2:$A226,$A226,$Q$2:$Q226,"&lt;&gt;N")))</f>
        <v/>
      </c>
      <c r="M226" s="25">
        <f>IF(OR($A226="",$L226=""),"",IF(AND(config!$B$34="names_if_public",IFERROR(IF(INDEX(offices!$AF$2:$AF$61,MATCH($B226,offices!$A$2:$A$61,0))="","",INDEX(offices!$AF$2:$AF$61,MATCH($B226,offices!$A$2:$A$61,0))),"")="Y"),$K226,CHAR(64+$L226)))</f>
        <v/>
      </c>
      <c r="N226" s="25">
        <f>IF(OR($A226="",$I226=""),"",COUNTIFS(stops!$B$2:$B$151,$B226,stops!$P$2:$P$151,"&lt;"&amp;$I226,stops!$L$2:$L$151,"&lt;&gt;not_delivered")+1)</f>
        <v/>
      </c>
      <c r="O226" s="25">
        <f>IF($A226="","",IF(N($N226)&lt;=config!$B$29,"explicit","opt-out"))</f>
        <v/>
      </c>
      <c r="P226" s="25">
        <f>IF($A226="","",IF($O226="explicit",IF($D226="yes","Y",IF($D226="no","N","pending")),IF($D226="no","N",IF(AND($C226&lt;&gt;"",$I226&lt;&gt;"",$C226&lt;=WORKDAY(N($I226),-5,calendar!$A$2:$A$80)),"Y","pending"))))</f>
        <v/>
      </c>
      <c r="Q226" s="25">
        <f>IF($A226="","",IF($P226="N","N",IF($P226&lt;&gt;"Y","pending",IF(AND((COUNTIFS(stops!$A$2:$A$151,$H226,stops!$B$2:$B$151,$B226,stops!$L$2:$L$151,"declined")+COUNTIFS(stops!$A$2:$A$151,$H226,stops!$B$2:$B$151,$B226,stops!$L$2:$L$151,"building_refused")+COUNTIFS(stops!$A$2:$A$151,$H226,stops!$B$2:$B$151,$B226,stops!$L$2:$L$151,"not_delivered"))&gt;0,N($U226)=0),"N","Y"))))</f>
        <v/>
      </c>
      <c r="R226" s="25">
        <f>IF($A226="","",IF(COUNTIFS($A$2:$A$251,$A226,$B$2:$B$251,$B226)&gt;1,"DUPLICATE ROW; ","")&amp;IF(AND(IFERROR(IF(INDEX(offices!$AC$2:$AC$61,MATCH($B226,offices!$A$2:$A$61,0))="","",INDEX(offices!$AC$2:$AC$61,MATCH($B226,offices!$A$2:$A$61,0))),"")&lt;&gt;"",ISNUMBER(SEARCH($J226,IFERROR(IF(INDEX(offices!$AC$2:$AC$61,MATCH($B226,offices!$A$2:$A$61,0))="","",INDEX(offices!$AC$2:$AC$61,MATCH($B226,offices!$A$2:$A$61,0))),"")))),"BRAND VETOED; ","")&amp;IF(ISNUMBER(SEARCH(IFERROR(IF(INDEX(campaigns!$BF$2:$BF$51,MATCH($A226,campaigns!$A$2:$A$51,0))="","",INDEX(campaigns!$BF$2:$BF$51,MATCH($A226,campaigns!$A$2:$A$51,0))),""),IFERROR(IF(INDEX(offices!$AB$2:$AB$61,MATCH($B226,offices!$A$2:$A$61,0))="","",INDEX(offices!$AB$2:$AB$61,MATCH($B226,offices!$A$2:$A$61,0))),""))),"","info: category not on the office's list; ")&amp;IF(IFERROR(IF(INDEX(offices!$AC$2:$AC$61,MATCH($B226,offices!$A$2:$A$61,0))="","",INDEX(offices!$AC$2:$AC$61,MATCH($B226,offices!$A$2:$A$61,0))),"")&lt;&gt;"","info: read the vetoes against the label; ",""))</f>
        <v/>
      </c>
      <c r="S226" s="25">
        <f>IF($A226="","",IF($G226&lt;&gt;"",$G226,IFERROR(IF(INDEX(offices!$AL$2:$AL$61,MATCH($B226,offices!$A$2:$A$61,0))="","",INDEX(offices!$AL$2:$AL$61,MATCH($B226,offices!$A$2:$A$61,0))),"")))</f>
        <v/>
      </c>
      <c r="T226" s="25">
        <f>IF($A226="","",$A226&amp;"."&amp;$B226)</f>
        <v/>
      </c>
      <c r="U226" s="25">
        <f>IF($A226="","",SUMIFS(inventory!$G$2:$G$801,inventory!$C$2:$C$801,$A226,inventory!$D$2:$D$801,$B226,inventory!$E$2:$E$801,"delivered"))</f>
        <v/>
      </c>
      <c r="V226" s="32">
        <f>IF($A226="","",IFERROR(1/(1/SUMPRODUCT(MAX((inventory!$C$2:$C$801=$A226)*(inventory!$D$2:$D$801=$B226)*(inventory!$E$2:$E$801="delivered")*(inventory!$A$2:$A$801+inventory!$B$2:$B$801)))),""))</f>
        <v/>
      </c>
      <c r="W226" s="25">
        <f>IF($A226="","",IFERROR(IF(INDEX(inventory!$J$2:$J$801,MATCH($A226&amp;"|"&amp;$B226&amp;"|delivered",inventory!$R$2:$R$801,0))="","",INDEX(inventory!$J$2:$J$801,MATCH($A226&amp;"|"&amp;$B226&amp;"|delivered",inventory!$R$2:$R$801,0))),""))</f>
        <v/>
      </c>
      <c r="X226" s="25">
        <f>IF($A226="","",IFERROR(IF(INDEX(photos!$H$2:$H$701,MATCH($A226&amp;"|"&amp;$B226&amp;"|placement|Y",photos!$R$2:$R$701,0))="","",INDEX(photos!$H$2:$H$701,MATCH($A226&amp;"|"&amp;$B226&amp;"|placement|Y",photos!$R$2:$R$701,0))),""))</f>
        <v/>
      </c>
      <c r="Y226" s="26">
        <f>IF($A226="","",IFERROR(IF(INDEX(photos!$E$2:$E$701,MATCH($A226&amp;"|"&amp;$B226&amp;"|placement|Y",photos!$R$2:$R$701,0))="","",INDEX(photos!$E$2:$E$701,MATCH($A226&amp;"|"&amp;$B226&amp;"|placement|Y",photos!$R$2:$R$701,0))),""))</f>
        <v/>
      </c>
      <c r="Z226" s="25">
        <f>IF($A226="","",IF(COUNTIFS(counts!$C$2:$C$701,$A226,counts!$D$2:$D$701,$B226,counts!$E$2:$E$701,"placed")=0,"",SUMIFS(counts!$F$2:$F$701,counts!$C$2:$C$701,$A226,counts!$D$2:$D$701,$B226,counts!$E$2:$E$701,"placed")))</f>
        <v/>
      </c>
      <c r="AA226" s="25">
        <f>IF($A226="","",IF($Y226="",0,N($Z226)))</f>
        <v/>
      </c>
      <c r="AB226" s="25">
        <f>IF($A226="","",IF(OR($Y226="",$I226=""),"N",IF($Y226&lt;=WORKDAY(N($I226),1,calendar!$A$2:$A$80),"Y","N")))</f>
        <v/>
      </c>
      <c r="AC226" s="28">
        <f>IF(OR($A226="",$V226="",$Y226=""),"",ROUND(($Y226+N(IFERROR(IF(INDEX(photos!$F$2:$F$701,MATCH($A226&amp;"|"&amp;$B226&amp;"|placement|Y",photos!$R$2:$R$701,0))="","",INDEX(photos!$F$2:$F$701,MATCH($A226&amp;"|"&amp;$B226&amp;"|placement|Y",photos!$R$2:$R$701,0))),""))-$V226)*24,1))</f>
        <v/>
      </c>
      <c r="AD226" s="25">
        <f>IF($A226="","",SUMIFS(inventory!$G$2:$G$801,inventory!$C$2:$C$801,$A226,inventory!$D$2:$D$801,$B226,inventory!$E$2:$E$801,"topped_up"))</f>
        <v/>
      </c>
      <c r="AE226" s="25">
        <f>IF($A226="","",IF(COUNTIFS(counts!$C$2:$C$701,$A226,counts!$D$2:$D$701,$B226,counts!$E$2:$E$701,"remaining_day3")=0,"",SUMIFS(counts!$F$2:$F$701,counts!$C$2:$C$701,$A226,counts!$D$2:$D$701,$B226,counts!$E$2:$E$701,"remaining_day3")))</f>
        <v/>
      </c>
      <c r="AF226" s="25">
        <f>IF($A226="","",IF(COUNTIFS(counts!$C$2:$C$701,$A226,counts!$D$2:$D$701,$B226,counts!$E$2:$E$701,"remaining_day5")=0,"",SUMIFS(counts!$F$2:$F$701,counts!$C$2:$C$701,$A226,counts!$D$2:$D$701,$B226,counts!$E$2:$E$701,"remaining_day5")))</f>
        <v/>
      </c>
      <c r="AG226" s="25">
        <f>IF(OR($A226="",$AF226=""),"",MAX(0,$AA226+$AD226-$AF226))</f>
        <v/>
      </c>
      <c r="AH226" s="25">
        <f>IF(OR($A226="",$AI226=""),"",IFERROR(IF(INDEX(photos!$H$2:$H$701,MATCH($A226&amp;"|"&amp;$B226&amp;"|later|Y|"&amp;$AI226,photos!$S$2:$S$701,0))="","",INDEX(photos!$H$2:$H$701,MATCH($A226&amp;"|"&amp;$B226&amp;"|later|Y|"&amp;$AI226,photos!$S$2:$S$701,0))),""))</f>
        <v/>
      </c>
      <c r="AI226" s="26">
        <f>IF($A226="","",IFERROR(1/(1/SUMPRODUCT(MAX((photos!$B$2:$B$701=$A226)*(photos!$C$2:$C$701=$B226)*(photos!$D$2:$D$701="later")*(photos!$O$2:$O$701="Y")*photos!$E$2:$E$701))),""))</f>
        <v/>
      </c>
      <c r="AJ226" s="25">
        <f>IF(OR($A226="",$AI226="",$I226=""),"",NETWORKDAYS($I226,$AI226,calendar!$A$2:$A$80))</f>
        <v/>
      </c>
      <c r="AK226" s="25">
        <f>IF($A226="","",IF(AND($X226&lt;&gt;"",$AH226&lt;&gt;""),"Y","N"))</f>
        <v/>
      </c>
      <c r="AL226" s="25">
        <f>IF(OR($A226="",$I226=""),"",IF($BC226="Y",SUMIFS(survey_frozen!$C$2:$C$251,survey_frozen!$P$2:$P$251,$A226&amp;"|"&amp;$B226),IFERROR(COUNTIFS(INDIRECT("'"&amp;$A226&amp;"'!$B$2:$B$501"),$T226,INDIRECT("'"&amp;$A226&amp;"'!$A$2:$A$501"),"&gt;="&amp;$I226,INDIRECT("'"&amp;$A226&amp;"'!$A$2:$A$501"),"&lt;"&amp;($BA226+1)),0)))</f>
        <v/>
      </c>
      <c r="AM226" s="25">
        <f>IF(OR($A226="",$I226=""),"",IF($BC226="Y",SUMIFS(survey_frozen!$D$2:$D$251,survey_frozen!$P$2:$P$251,$A226&amp;"|"&amp;$B226),IFERROR(COUNTIFS(INDIRECT("'"&amp;$A226&amp;"'!$B$2:$B$501"),$T226,INDIRECT("'"&amp;$A226&amp;"'!$A$2:$A$501"),"&gt;="&amp;$I226,INDIRECT("'"&amp;$A226&amp;"'!$A$2:$A$501"),"&lt;"&amp;($BA226+1),INDIRECT("'"&amp;$A226&amp;"'!$C$2:$C$501"),"Yes"),0)))</f>
        <v/>
      </c>
      <c r="AN226" s="25">
        <f>IF($A226="","",IF(COUNTIFS(scans!$C$2:$C$1601,(IF(LEFT($A226,7)="SAMPLE-","SAMPLE-","")&amp;LOWER(SUBSTITUTE(SUBSTITUTE($A226,"SAMPLE-",""),"CMP-","c"))&amp;"-"&amp;LOWER(SUBSTITUTE(SUBSTITUTE($B226,"SAMPLE-",""),"O-","o"))&amp;"-q"),scans!$D$2:$D$1601,"close")=0,"",SUMPRODUCT(MAX((scans!$C$2:$C$1601=(IF(LEFT($A226,7)="SAMPLE-","SAMPLE-","")&amp;LOWER(SUBSTITUTE(SUBSTITUTE($A226,"SAMPLE-",""),"CMP-","c"))&amp;"-"&amp;LOWER(SUBSTITUTE(SUBSTITUTE($B226,"SAMPLE-",""),"O-","o"))&amp;"-q"))*(scans!$D$2:$D$1601="close")*scans!$E$2:$E$1601))-SUMPRODUCT(MAX((scans!$C$2:$C$1601=(IF(LEFT($A226,7)="SAMPLE-","SAMPLE-","")&amp;LOWER(SUBSTITUTE(SUBSTITUTE($A226,"SAMPLE-",""),"CMP-","c"))&amp;"-"&amp;LOWER(SUBSTITUTE(SUBSTITUTE($B226,"SAMPLE-",""),"O-","o"))&amp;"-q"))*(scans!$D$2:$D$1601="baseline")*scans!$E$2:$E$1601))))</f>
        <v/>
      </c>
      <c r="AO226" s="25">
        <f>IF($A226="","",IF(COUNTIFS(scans!$C$2:$C$1601,(IF(LEFT($A226,7)="SAMPLE-","SAMPLE-","")&amp;LOWER(SUBSTITUTE(SUBSTITUTE($A226,"SAMPLE-",""),"CMP-","c"))&amp;"-"&amp;LOWER(SUBSTITUTE(SUBSTITUTE($B226,"SAMPLE-",""),"O-","o"))&amp;"-p"),scans!$D$2:$D$1601,"close")=0,"",SUMPRODUCT(MAX((scans!$C$2:$C$1601=(IF(LEFT($A226,7)="SAMPLE-","SAMPLE-","")&amp;LOWER(SUBSTITUTE(SUBSTITUTE($A226,"SAMPLE-",""),"CMP-","c"))&amp;"-"&amp;LOWER(SUBSTITUTE(SUBSTITUTE($B226,"SAMPLE-",""),"O-","o"))&amp;"-p"))*(scans!$D$2:$D$1601="close")*scans!$E$2:$E$1601))-SUMPRODUCT(MAX((scans!$C$2:$C$1601=(IF(LEFT($A226,7)="SAMPLE-","SAMPLE-","")&amp;LOWER(SUBSTITUTE(SUBSTITUTE($A226,"SAMPLE-",""),"CMP-","c"))&amp;"-"&amp;LOWER(SUBSTITUTE(SUBSTITUTE($B226,"SAMPLE-",""),"O-","o"))&amp;"-p"))*(scans!$D$2:$D$1601="baseline")*scans!$E$2:$E$1601))))</f>
        <v/>
      </c>
      <c r="AP226" s="25">
        <f>IF($A226="","",IF(COUNTIF(offices!$A$2:$A$61,$B226)=0,"office_id not on offices; ","")&amp;IF(COUNTIF(campaigns!$A$2:$A$51,$A226)=0,"campaign_id not on campaigns; ","")&amp;IF($P226="pending","approval pending; ","")&amp;IF(AND($U226&gt;0,$Y226="",OR($I226="",IF(config!$B$37&lt;&gt;"",config!$B$37,TODAY())&lt;=WORKDAY(N($I226),4,calendar!$A$2:$A$80))),"no usable placement photo yet; ","")&amp;IF(AND($Y226&lt;&gt;"",$Z226=""),"log the placed count; ","")&amp;IF(N($AA226)&gt;N($U226),"placed more than delivered; ","")&amp;IF(AND($AF226&lt;&gt;"",N($AF226)&gt;N($AA226)+N($AD226)),"day-5 count above placed plus top-ups; ","")&amp;IF(AND($U226&gt;0,$I226&lt;&gt;"",IF(config!$B$37&lt;&gt;"",config!$B$37,TODAY())&gt;WORKDAY(N($I226),4,calendar!$A$2:$A$80),$AF226=""),"day-5 count missing; ","")&amp;IF(AND($U226&gt;0,$I226&lt;&gt;"",IF(config!$B$37&lt;&gt;"",config!$B$37,TODAY())&gt;WORKDAY(N($I226),4,calendar!$A$2:$A$80),$AN226=""),"no close link reading; ","")&amp;$R226&amp;IF($P226="N","info: office said no; ","")&amp;IF(AND($P226="Y",$Q226="N"),"info: turned away at the door, so not on the drop (no letter, not in the report or Gate 2; the credit check is on campaigns); ","")&amp;IF(AND($U226&gt;0,$Y226="",$I226&lt;&gt;"",IF(config!$B$37&lt;&gt;"",config!$B$37,TODAY())&gt;WORKDAY(N($I226),4,calendar!$A$2:$A$80)),"info: no usable placement photo, so nothing counts as placed; ","")&amp;IF(AND($U226&gt;0,$I226&lt;&gt;"",IF(config!$B$37&lt;&gt;"",config!$B$37,TODAY())&gt;WORKDAY(N($I226),4,calendar!$A$2:$A$80),N($AL226)&lt;config!$B$30),"info: under "&amp;config!$B$30&amp;" responses; ","")&amp;IF($W226="packing_list","info: delivered count not verified; ",""))</f>
        <v/>
      </c>
      <c r="AQ226" s="25">
        <f>IF(OR($A226="",$I226=""),"",IF($BC226="Y",SUMIFS(survey_frozen!$E$2:$E$251,survey_frozen!$P$2:$P$251,$A226&amp;"|"&amp;$B226),IFERROR(COUNTIFS(INDIRECT("'"&amp;$A226&amp;"'!$B$2:$B$501"),$T226,INDIRECT("'"&amp;$A226&amp;"'!$A$2:$A$501"),"&gt;="&amp;$I226,INDIRECT("'"&amp;$A226&amp;"'!$A$2:$A$501"),"&lt;"&amp;($BA226+1),INDIRECT("'"&amp;$A226&amp;"'!$F$2:$F$501"),"Didn't see it"),0)))</f>
        <v/>
      </c>
      <c r="AR226" s="25">
        <f>IF(OR($A226="",$I226=""),"",IF($BC226="Y",SUMIFS(survey_frozen!$F$2:$F$251,survey_frozen!$P$2:$P$251,$A226&amp;"|"&amp;$B226),IFERROR(COUNTIFS(INDIRECT("'"&amp;$A226&amp;"'!$B$2:$B$501"),$T226,INDIRECT("'"&amp;$A226&amp;"'!$A$2:$A$501"),"&gt;="&amp;$I226,INDIRECT("'"&amp;$A226&amp;"'!$A$2:$A$501"),"&lt;"&amp;($BA226+1),INDIRECT("'"&amp;$A226&amp;"'!$F$2:$F$501"),"Not for me"),0)))</f>
        <v/>
      </c>
      <c r="AS226" s="25">
        <f>IF(OR($A226="",$I226=""),"",IF($BC226="Y",SUMIFS(survey_frozen!$G$2:$G$251,survey_frozen!$P$2:$P$251,$A226&amp;"|"&amp;$B226),IFERROR(COUNTIFS(INDIRECT("'"&amp;$A226&amp;"'!$B$2:$B$501"),$T226,INDIRECT("'"&amp;$A226&amp;"'!$A$2:$A$501"),"&gt;="&amp;$I226,INDIRECT("'"&amp;$A226&amp;"'!$A$2:$A$501"),"&lt;"&amp;($BA226+1),INDIRECT("'"&amp;$A226&amp;"'!$F$2:$F$501"),"Gone by the time I looked"),0)))</f>
        <v/>
      </c>
      <c r="AT226" s="25">
        <f>IF(OR($A226="",$I226=""),"",IF($BC226="Y",SUMIFS(survey_frozen!$H$2:$H$251,survey_frozen!$P$2:$P$251,$A226&amp;"|"&amp;$B226),IFERROR(COUNTIFS(INDIRECT("'"&amp;$A226&amp;"'!$B$2:$B$501"),$T226,INDIRECT("'"&amp;$A226&amp;"'!$A$2:$A$501"),"&gt;="&amp;$I226,INDIRECT("'"&amp;$A226&amp;"'!$A$2:$A$501"),"&lt;"&amp;($BA226+1),INDIRECT("'"&amp;$A226&amp;"'!$D$2:$D$501"),"&gt;=1"),0)))</f>
        <v/>
      </c>
      <c r="AU226" s="25">
        <f>IF(OR($A226="",$I226=""),"",IF($BC226="Y",SUMIFS(survey_frozen!$I$2:$I$251,survey_frozen!$P$2:$P$251,$A226&amp;"|"&amp;$B226),IFERROR(SUMIFS(INDIRECT("'"&amp;$A226&amp;"'!$D$2:$D$501"),INDIRECT("'"&amp;$A226&amp;"'!$B$2:$B$501"),$T226,INDIRECT("'"&amp;$A226&amp;"'!$A$2:$A$501"),"&gt;="&amp;$I226,INDIRECT("'"&amp;$A226&amp;"'!$A$2:$A$501"),"&lt;"&amp;($BA226+1)),0)))</f>
        <v/>
      </c>
      <c r="AV226" s="25">
        <f>IF(OR($A226="",$I226=""),"",IF($BC226="Y",SUMIFS(survey_frozen!$J$2:$J$251,survey_frozen!$P$2:$P$251,$A226&amp;"|"&amp;$B226),IFERROR(COUNTIFS(INDIRECT("'"&amp;$A226&amp;"'!$B$2:$B$501"),$T226,INDIRECT("'"&amp;$A226&amp;"'!$A$2:$A$501"),"&gt;="&amp;$I226,INDIRECT("'"&amp;$A226&amp;"'!$A$2:$A$501"),"&lt;"&amp;($BA226+1),INDIRECT("'"&amp;$A226&amp;"'!$E$2:$E$501"),"Yes"),0)))</f>
        <v/>
      </c>
      <c r="AW226" s="25">
        <f>IF(OR($A226="",$I226=""),"",IF($BC226="Y",SUMIFS(survey_frozen!$K$2:$K$251,survey_frozen!$P$2:$P$251,$A226&amp;"|"&amp;$B226),IFERROR(COUNTIFS(INDIRECT("'"&amp;$A226&amp;"'!$B$2:$B$501"),$T226,INDIRECT("'"&amp;$A226&amp;"'!$A$2:$A$501"),"&gt;="&amp;$I226,INDIRECT("'"&amp;$A226&amp;"'!$A$2:$A$501"),"&lt;"&amp;($BA226+1),INDIRECT("'"&amp;$A226&amp;"'!$E$2:$E$501"),"Maybe"),0)))</f>
        <v/>
      </c>
      <c r="AX226" s="25">
        <f>IF(OR($A226="",$I226=""),"",IF($BC226="Y",SUMIFS(survey_frozen!$L$2:$L$251,survey_frozen!$P$2:$P$251,$A226&amp;"|"&amp;$B226),IFERROR(COUNTIFS(INDIRECT("'"&amp;$A226&amp;"'!$B$2:$B$501"),$T226,INDIRECT("'"&amp;$A226&amp;"'!$A$2:$A$501"),"&gt;="&amp;$I226,INDIRECT("'"&amp;$A226&amp;"'!$A$2:$A$501"),"&lt;"&amp;($BA226+1),INDIRECT("'"&amp;$A226&amp;"'!$E$2:$E$501"),"No"),0)))</f>
        <v/>
      </c>
      <c r="AY226" s="25">
        <f>IF(OR($A226="",$I226=""),"",IF($BC226="Y",SUMIFS(survey_frozen!$M$2:$M$251,survey_frozen!$P$2:$P$251,$A226&amp;"|"&amp;$B226),IFERROR(COUNTIFS(INDIRECT("'"&amp;$A226&amp;"'!$B$2:$B$501"),$T226,INDIRECT("'"&amp;$A226&amp;"'!$A$2:$A$501"),"&gt;="&amp;$I226,INDIRECT("'"&amp;$A226&amp;"'!$A$2:$A$501"),"&lt;"&amp;($BA226+1),INDIRECT("'"&amp;$A226&amp;"'!$G$2:$G$501"),"&lt;&gt;"),0)))</f>
        <v/>
      </c>
      <c r="AZ226" s="25">
        <f>IF($A226="","",$A226&amp;"|"&amp;$L226)</f>
        <v/>
      </c>
      <c r="BA226" s="26">
        <f>IF($A226="","",IFERROR(IF(INDEX(drops!$R$2:$R$21,MATCH($H226,drops!$A$2:$A$21,0))="","",INDEX(drops!$R$2:$R$21,MATCH($H226,drops!$A$2:$A$21,0))),""))</f>
        <v/>
      </c>
      <c r="BB226" s="25">
        <f>IF(OR($A226="",$Q226&lt;&gt;"Y"),1000000,N($AL226))</f>
        <v/>
      </c>
      <c r="BC226" s="25">
        <f>IF($A226="","",IF(COUNTIF(survey_frozen!$P$2:$P$251,$A226&amp;"|"&amp;$B226)&gt;0,"Y",""))</f>
        <v/>
      </c>
    </row>
    <row r="227">
      <c r="C227" s="9" t="n"/>
      <c r="E227" s="9" t="n"/>
      <c r="H227" s="25">
        <f>IF($A227="","",IFERROR(IF(INDEX(campaigns!$B$2:$B$51,MATCH($A227,campaigns!$A$2:$A$51,0))="","",INDEX(campaigns!$B$2:$B$51,MATCH($A227,campaigns!$A$2:$A$51,0))),""))</f>
        <v/>
      </c>
      <c r="I227" s="26">
        <f>IF($A227="","",IFERROR(IF(INDEX(campaigns!$BG$2:$BG$51,MATCH($A227,campaigns!$A$2:$A$51,0))="","",INDEX(campaigns!$BG$2:$BG$51,MATCH($A227,campaigns!$A$2:$A$51,0))),""))</f>
        <v/>
      </c>
      <c r="J227" s="25">
        <f>IF($A227="","",IFERROR(IF(INDEX(campaigns!$BE$2:$BE$51,MATCH($A227,campaigns!$A$2:$A$51,0))="","",INDEX(campaigns!$BE$2:$BE$51,MATCH($A227,campaigns!$A$2:$A$51,0))),""))</f>
        <v/>
      </c>
      <c r="K227" s="25">
        <f>IF($B227="","",IFERROR(IF(INDEX(offices!$N$2:$N$61,MATCH($B227,offices!$A$2:$A$61,0))="","",INDEX(offices!$N$2:$N$61,MATCH($B227,offices!$A$2:$A$61,0))),""))</f>
        <v/>
      </c>
      <c r="L227" s="25">
        <f>IF($A227="","",IF($Q227="N","",COUNTIFS($A$2:$A227,$A227,$Q$2:$Q227,"&lt;&gt;N")))</f>
        <v/>
      </c>
      <c r="M227" s="25">
        <f>IF(OR($A227="",$L227=""),"",IF(AND(config!$B$34="names_if_public",IFERROR(IF(INDEX(offices!$AF$2:$AF$61,MATCH($B227,offices!$A$2:$A$61,0))="","",INDEX(offices!$AF$2:$AF$61,MATCH($B227,offices!$A$2:$A$61,0))),"")="Y"),$K227,CHAR(64+$L227)))</f>
        <v/>
      </c>
      <c r="N227" s="25">
        <f>IF(OR($A227="",$I227=""),"",COUNTIFS(stops!$B$2:$B$151,$B227,stops!$P$2:$P$151,"&lt;"&amp;$I227,stops!$L$2:$L$151,"&lt;&gt;not_delivered")+1)</f>
        <v/>
      </c>
      <c r="O227" s="25">
        <f>IF($A227="","",IF(N($N227)&lt;=config!$B$29,"explicit","opt-out"))</f>
        <v/>
      </c>
      <c r="P227" s="25">
        <f>IF($A227="","",IF($O227="explicit",IF($D227="yes","Y",IF($D227="no","N","pending")),IF($D227="no","N",IF(AND($C227&lt;&gt;"",$I227&lt;&gt;"",$C227&lt;=WORKDAY(N($I227),-5,calendar!$A$2:$A$80)),"Y","pending"))))</f>
        <v/>
      </c>
      <c r="Q227" s="25">
        <f>IF($A227="","",IF($P227="N","N",IF($P227&lt;&gt;"Y","pending",IF(AND((COUNTIFS(stops!$A$2:$A$151,$H227,stops!$B$2:$B$151,$B227,stops!$L$2:$L$151,"declined")+COUNTIFS(stops!$A$2:$A$151,$H227,stops!$B$2:$B$151,$B227,stops!$L$2:$L$151,"building_refused")+COUNTIFS(stops!$A$2:$A$151,$H227,stops!$B$2:$B$151,$B227,stops!$L$2:$L$151,"not_delivered"))&gt;0,N($U227)=0),"N","Y"))))</f>
        <v/>
      </c>
      <c r="R227" s="25">
        <f>IF($A227="","",IF(COUNTIFS($A$2:$A$251,$A227,$B$2:$B$251,$B227)&gt;1,"DUPLICATE ROW; ","")&amp;IF(AND(IFERROR(IF(INDEX(offices!$AC$2:$AC$61,MATCH($B227,offices!$A$2:$A$61,0))="","",INDEX(offices!$AC$2:$AC$61,MATCH($B227,offices!$A$2:$A$61,0))),"")&lt;&gt;"",ISNUMBER(SEARCH($J227,IFERROR(IF(INDEX(offices!$AC$2:$AC$61,MATCH($B227,offices!$A$2:$A$61,0))="","",INDEX(offices!$AC$2:$AC$61,MATCH($B227,offices!$A$2:$A$61,0))),"")))),"BRAND VETOED; ","")&amp;IF(ISNUMBER(SEARCH(IFERROR(IF(INDEX(campaigns!$BF$2:$BF$51,MATCH($A227,campaigns!$A$2:$A$51,0))="","",INDEX(campaigns!$BF$2:$BF$51,MATCH($A227,campaigns!$A$2:$A$51,0))),""),IFERROR(IF(INDEX(offices!$AB$2:$AB$61,MATCH($B227,offices!$A$2:$A$61,0))="","",INDEX(offices!$AB$2:$AB$61,MATCH($B227,offices!$A$2:$A$61,0))),""))),"","info: category not on the office's list; ")&amp;IF(IFERROR(IF(INDEX(offices!$AC$2:$AC$61,MATCH($B227,offices!$A$2:$A$61,0))="","",INDEX(offices!$AC$2:$AC$61,MATCH($B227,offices!$A$2:$A$61,0))),"")&lt;&gt;"","info: read the vetoes against the label; ",""))</f>
        <v/>
      </c>
      <c r="S227" s="25">
        <f>IF($A227="","",IF($G227&lt;&gt;"",$G227,IFERROR(IF(INDEX(offices!$AL$2:$AL$61,MATCH($B227,offices!$A$2:$A$61,0))="","",INDEX(offices!$AL$2:$AL$61,MATCH($B227,offices!$A$2:$A$61,0))),"")))</f>
        <v/>
      </c>
      <c r="T227" s="25">
        <f>IF($A227="","",$A227&amp;"."&amp;$B227)</f>
        <v/>
      </c>
      <c r="U227" s="25">
        <f>IF($A227="","",SUMIFS(inventory!$G$2:$G$801,inventory!$C$2:$C$801,$A227,inventory!$D$2:$D$801,$B227,inventory!$E$2:$E$801,"delivered"))</f>
        <v/>
      </c>
      <c r="V227" s="32">
        <f>IF($A227="","",IFERROR(1/(1/SUMPRODUCT(MAX((inventory!$C$2:$C$801=$A227)*(inventory!$D$2:$D$801=$B227)*(inventory!$E$2:$E$801="delivered")*(inventory!$A$2:$A$801+inventory!$B$2:$B$801)))),""))</f>
        <v/>
      </c>
      <c r="W227" s="25">
        <f>IF($A227="","",IFERROR(IF(INDEX(inventory!$J$2:$J$801,MATCH($A227&amp;"|"&amp;$B227&amp;"|delivered",inventory!$R$2:$R$801,0))="","",INDEX(inventory!$J$2:$J$801,MATCH($A227&amp;"|"&amp;$B227&amp;"|delivered",inventory!$R$2:$R$801,0))),""))</f>
        <v/>
      </c>
      <c r="X227" s="25">
        <f>IF($A227="","",IFERROR(IF(INDEX(photos!$H$2:$H$701,MATCH($A227&amp;"|"&amp;$B227&amp;"|placement|Y",photos!$R$2:$R$701,0))="","",INDEX(photos!$H$2:$H$701,MATCH($A227&amp;"|"&amp;$B227&amp;"|placement|Y",photos!$R$2:$R$701,0))),""))</f>
        <v/>
      </c>
      <c r="Y227" s="26">
        <f>IF($A227="","",IFERROR(IF(INDEX(photos!$E$2:$E$701,MATCH($A227&amp;"|"&amp;$B227&amp;"|placement|Y",photos!$R$2:$R$701,0))="","",INDEX(photos!$E$2:$E$701,MATCH($A227&amp;"|"&amp;$B227&amp;"|placement|Y",photos!$R$2:$R$701,0))),""))</f>
        <v/>
      </c>
      <c r="Z227" s="25">
        <f>IF($A227="","",IF(COUNTIFS(counts!$C$2:$C$701,$A227,counts!$D$2:$D$701,$B227,counts!$E$2:$E$701,"placed")=0,"",SUMIFS(counts!$F$2:$F$701,counts!$C$2:$C$701,$A227,counts!$D$2:$D$701,$B227,counts!$E$2:$E$701,"placed")))</f>
        <v/>
      </c>
      <c r="AA227" s="25">
        <f>IF($A227="","",IF($Y227="",0,N($Z227)))</f>
        <v/>
      </c>
      <c r="AB227" s="25">
        <f>IF($A227="","",IF(OR($Y227="",$I227=""),"N",IF($Y227&lt;=WORKDAY(N($I227),1,calendar!$A$2:$A$80),"Y","N")))</f>
        <v/>
      </c>
      <c r="AC227" s="28">
        <f>IF(OR($A227="",$V227="",$Y227=""),"",ROUND(($Y227+N(IFERROR(IF(INDEX(photos!$F$2:$F$701,MATCH($A227&amp;"|"&amp;$B227&amp;"|placement|Y",photos!$R$2:$R$701,0))="","",INDEX(photos!$F$2:$F$701,MATCH($A227&amp;"|"&amp;$B227&amp;"|placement|Y",photos!$R$2:$R$701,0))),""))-$V227)*24,1))</f>
        <v/>
      </c>
      <c r="AD227" s="25">
        <f>IF($A227="","",SUMIFS(inventory!$G$2:$G$801,inventory!$C$2:$C$801,$A227,inventory!$D$2:$D$801,$B227,inventory!$E$2:$E$801,"topped_up"))</f>
        <v/>
      </c>
      <c r="AE227" s="25">
        <f>IF($A227="","",IF(COUNTIFS(counts!$C$2:$C$701,$A227,counts!$D$2:$D$701,$B227,counts!$E$2:$E$701,"remaining_day3")=0,"",SUMIFS(counts!$F$2:$F$701,counts!$C$2:$C$701,$A227,counts!$D$2:$D$701,$B227,counts!$E$2:$E$701,"remaining_day3")))</f>
        <v/>
      </c>
      <c r="AF227" s="25">
        <f>IF($A227="","",IF(COUNTIFS(counts!$C$2:$C$701,$A227,counts!$D$2:$D$701,$B227,counts!$E$2:$E$701,"remaining_day5")=0,"",SUMIFS(counts!$F$2:$F$701,counts!$C$2:$C$701,$A227,counts!$D$2:$D$701,$B227,counts!$E$2:$E$701,"remaining_day5")))</f>
        <v/>
      </c>
      <c r="AG227" s="25">
        <f>IF(OR($A227="",$AF227=""),"",MAX(0,$AA227+$AD227-$AF227))</f>
        <v/>
      </c>
      <c r="AH227" s="25">
        <f>IF(OR($A227="",$AI227=""),"",IFERROR(IF(INDEX(photos!$H$2:$H$701,MATCH($A227&amp;"|"&amp;$B227&amp;"|later|Y|"&amp;$AI227,photos!$S$2:$S$701,0))="","",INDEX(photos!$H$2:$H$701,MATCH($A227&amp;"|"&amp;$B227&amp;"|later|Y|"&amp;$AI227,photos!$S$2:$S$701,0))),""))</f>
        <v/>
      </c>
      <c r="AI227" s="26">
        <f>IF($A227="","",IFERROR(1/(1/SUMPRODUCT(MAX((photos!$B$2:$B$701=$A227)*(photos!$C$2:$C$701=$B227)*(photos!$D$2:$D$701="later")*(photos!$O$2:$O$701="Y")*photos!$E$2:$E$701))),""))</f>
        <v/>
      </c>
      <c r="AJ227" s="25">
        <f>IF(OR($A227="",$AI227="",$I227=""),"",NETWORKDAYS($I227,$AI227,calendar!$A$2:$A$80))</f>
        <v/>
      </c>
      <c r="AK227" s="25">
        <f>IF($A227="","",IF(AND($X227&lt;&gt;"",$AH227&lt;&gt;""),"Y","N"))</f>
        <v/>
      </c>
      <c r="AL227" s="25">
        <f>IF(OR($A227="",$I227=""),"",IF($BC227="Y",SUMIFS(survey_frozen!$C$2:$C$251,survey_frozen!$P$2:$P$251,$A227&amp;"|"&amp;$B227),IFERROR(COUNTIFS(INDIRECT("'"&amp;$A227&amp;"'!$B$2:$B$501"),$T227,INDIRECT("'"&amp;$A227&amp;"'!$A$2:$A$501"),"&gt;="&amp;$I227,INDIRECT("'"&amp;$A227&amp;"'!$A$2:$A$501"),"&lt;"&amp;($BA227+1)),0)))</f>
        <v/>
      </c>
      <c r="AM227" s="25">
        <f>IF(OR($A227="",$I227=""),"",IF($BC227="Y",SUMIFS(survey_frozen!$D$2:$D$251,survey_frozen!$P$2:$P$251,$A227&amp;"|"&amp;$B227),IFERROR(COUNTIFS(INDIRECT("'"&amp;$A227&amp;"'!$B$2:$B$501"),$T227,INDIRECT("'"&amp;$A227&amp;"'!$A$2:$A$501"),"&gt;="&amp;$I227,INDIRECT("'"&amp;$A227&amp;"'!$A$2:$A$501"),"&lt;"&amp;($BA227+1),INDIRECT("'"&amp;$A227&amp;"'!$C$2:$C$501"),"Yes"),0)))</f>
        <v/>
      </c>
      <c r="AN227" s="25">
        <f>IF($A227="","",IF(COUNTIFS(scans!$C$2:$C$1601,(IF(LEFT($A227,7)="SAMPLE-","SAMPLE-","")&amp;LOWER(SUBSTITUTE(SUBSTITUTE($A227,"SAMPLE-",""),"CMP-","c"))&amp;"-"&amp;LOWER(SUBSTITUTE(SUBSTITUTE($B227,"SAMPLE-",""),"O-","o"))&amp;"-q"),scans!$D$2:$D$1601,"close")=0,"",SUMPRODUCT(MAX((scans!$C$2:$C$1601=(IF(LEFT($A227,7)="SAMPLE-","SAMPLE-","")&amp;LOWER(SUBSTITUTE(SUBSTITUTE($A227,"SAMPLE-",""),"CMP-","c"))&amp;"-"&amp;LOWER(SUBSTITUTE(SUBSTITUTE($B227,"SAMPLE-",""),"O-","o"))&amp;"-q"))*(scans!$D$2:$D$1601="close")*scans!$E$2:$E$1601))-SUMPRODUCT(MAX((scans!$C$2:$C$1601=(IF(LEFT($A227,7)="SAMPLE-","SAMPLE-","")&amp;LOWER(SUBSTITUTE(SUBSTITUTE($A227,"SAMPLE-",""),"CMP-","c"))&amp;"-"&amp;LOWER(SUBSTITUTE(SUBSTITUTE($B227,"SAMPLE-",""),"O-","o"))&amp;"-q"))*(scans!$D$2:$D$1601="baseline")*scans!$E$2:$E$1601))))</f>
        <v/>
      </c>
      <c r="AO227" s="25">
        <f>IF($A227="","",IF(COUNTIFS(scans!$C$2:$C$1601,(IF(LEFT($A227,7)="SAMPLE-","SAMPLE-","")&amp;LOWER(SUBSTITUTE(SUBSTITUTE($A227,"SAMPLE-",""),"CMP-","c"))&amp;"-"&amp;LOWER(SUBSTITUTE(SUBSTITUTE($B227,"SAMPLE-",""),"O-","o"))&amp;"-p"),scans!$D$2:$D$1601,"close")=0,"",SUMPRODUCT(MAX((scans!$C$2:$C$1601=(IF(LEFT($A227,7)="SAMPLE-","SAMPLE-","")&amp;LOWER(SUBSTITUTE(SUBSTITUTE($A227,"SAMPLE-",""),"CMP-","c"))&amp;"-"&amp;LOWER(SUBSTITUTE(SUBSTITUTE($B227,"SAMPLE-",""),"O-","o"))&amp;"-p"))*(scans!$D$2:$D$1601="close")*scans!$E$2:$E$1601))-SUMPRODUCT(MAX((scans!$C$2:$C$1601=(IF(LEFT($A227,7)="SAMPLE-","SAMPLE-","")&amp;LOWER(SUBSTITUTE(SUBSTITUTE($A227,"SAMPLE-",""),"CMP-","c"))&amp;"-"&amp;LOWER(SUBSTITUTE(SUBSTITUTE($B227,"SAMPLE-",""),"O-","o"))&amp;"-p"))*(scans!$D$2:$D$1601="baseline")*scans!$E$2:$E$1601))))</f>
        <v/>
      </c>
      <c r="AP227" s="25">
        <f>IF($A227="","",IF(COUNTIF(offices!$A$2:$A$61,$B227)=0,"office_id not on offices; ","")&amp;IF(COUNTIF(campaigns!$A$2:$A$51,$A227)=0,"campaign_id not on campaigns; ","")&amp;IF($P227="pending","approval pending; ","")&amp;IF(AND($U227&gt;0,$Y227="",OR($I227="",IF(config!$B$37&lt;&gt;"",config!$B$37,TODAY())&lt;=WORKDAY(N($I227),4,calendar!$A$2:$A$80))),"no usable placement photo yet; ","")&amp;IF(AND($Y227&lt;&gt;"",$Z227=""),"log the placed count; ","")&amp;IF(N($AA227)&gt;N($U227),"placed more than delivered; ","")&amp;IF(AND($AF227&lt;&gt;"",N($AF227)&gt;N($AA227)+N($AD227)),"day-5 count above placed plus top-ups; ","")&amp;IF(AND($U227&gt;0,$I227&lt;&gt;"",IF(config!$B$37&lt;&gt;"",config!$B$37,TODAY())&gt;WORKDAY(N($I227),4,calendar!$A$2:$A$80),$AF227=""),"day-5 count missing; ","")&amp;IF(AND($U227&gt;0,$I227&lt;&gt;"",IF(config!$B$37&lt;&gt;"",config!$B$37,TODAY())&gt;WORKDAY(N($I227),4,calendar!$A$2:$A$80),$AN227=""),"no close link reading; ","")&amp;$R227&amp;IF($P227="N","info: office said no; ","")&amp;IF(AND($P227="Y",$Q227="N"),"info: turned away at the door, so not on the drop (no letter, not in the report or Gate 2; the credit check is on campaigns); ","")&amp;IF(AND($U227&gt;0,$Y227="",$I227&lt;&gt;"",IF(config!$B$37&lt;&gt;"",config!$B$37,TODAY())&gt;WORKDAY(N($I227),4,calendar!$A$2:$A$80)),"info: no usable placement photo, so nothing counts as placed; ","")&amp;IF(AND($U227&gt;0,$I227&lt;&gt;"",IF(config!$B$37&lt;&gt;"",config!$B$37,TODAY())&gt;WORKDAY(N($I227),4,calendar!$A$2:$A$80),N($AL227)&lt;config!$B$30),"info: under "&amp;config!$B$30&amp;" responses; ","")&amp;IF($W227="packing_list","info: delivered count not verified; ",""))</f>
        <v/>
      </c>
      <c r="AQ227" s="25">
        <f>IF(OR($A227="",$I227=""),"",IF($BC227="Y",SUMIFS(survey_frozen!$E$2:$E$251,survey_frozen!$P$2:$P$251,$A227&amp;"|"&amp;$B227),IFERROR(COUNTIFS(INDIRECT("'"&amp;$A227&amp;"'!$B$2:$B$501"),$T227,INDIRECT("'"&amp;$A227&amp;"'!$A$2:$A$501"),"&gt;="&amp;$I227,INDIRECT("'"&amp;$A227&amp;"'!$A$2:$A$501"),"&lt;"&amp;($BA227+1),INDIRECT("'"&amp;$A227&amp;"'!$F$2:$F$501"),"Didn't see it"),0)))</f>
        <v/>
      </c>
      <c r="AR227" s="25">
        <f>IF(OR($A227="",$I227=""),"",IF($BC227="Y",SUMIFS(survey_frozen!$F$2:$F$251,survey_frozen!$P$2:$P$251,$A227&amp;"|"&amp;$B227),IFERROR(COUNTIFS(INDIRECT("'"&amp;$A227&amp;"'!$B$2:$B$501"),$T227,INDIRECT("'"&amp;$A227&amp;"'!$A$2:$A$501"),"&gt;="&amp;$I227,INDIRECT("'"&amp;$A227&amp;"'!$A$2:$A$501"),"&lt;"&amp;($BA227+1),INDIRECT("'"&amp;$A227&amp;"'!$F$2:$F$501"),"Not for me"),0)))</f>
        <v/>
      </c>
      <c r="AS227" s="25">
        <f>IF(OR($A227="",$I227=""),"",IF($BC227="Y",SUMIFS(survey_frozen!$G$2:$G$251,survey_frozen!$P$2:$P$251,$A227&amp;"|"&amp;$B227),IFERROR(COUNTIFS(INDIRECT("'"&amp;$A227&amp;"'!$B$2:$B$501"),$T227,INDIRECT("'"&amp;$A227&amp;"'!$A$2:$A$501"),"&gt;="&amp;$I227,INDIRECT("'"&amp;$A227&amp;"'!$A$2:$A$501"),"&lt;"&amp;($BA227+1),INDIRECT("'"&amp;$A227&amp;"'!$F$2:$F$501"),"Gone by the time I looked"),0)))</f>
        <v/>
      </c>
      <c r="AT227" s="25">
        <f>IF(OR($A227="",$I227=""),"",IF($BC227="Y",SUMIFS(survey_frozen!$H$2:$H$251,survey_frozen!$P$2:$P$251,$A227&amp;"|"&amp;$B227),IFERROR(COUNTIFS(INDIRECT("'"&amp;$A227&amp;"'!$B$2:$B$501"),$T227,INDIRECT("'"&amp;$A227&amp;"'!$A$2:$A$501"),"&gt;="&amp;$I227,INDIRECT("'"&amp;$A227&amp;"'!$A$2:$A$501"),"&lt;"&amp;($BA227+1),INDIRECT("'"&amp;$A227&amp;"'!$D$2:$D$501"),"&gt;=1"),0)))</f>
        <v/>
      </c>
      <c r="AU227" s="25">
        <f>IF(OR($A227="",$I227=""),"",IF($BC227="Y",SUMIFS(survey_frozen!$I$2:$I$251,survey_frozen!$P$2:$P$251,$A227&amp;"|"&amp;$B227),IFERROR(SUMIFS(INDIRECT("'"&amp;$A227&amp;"'!$D$2:$D$501"),INDIRECT("'"&amp;$A227&amp;"'!$B$2:$B$501"),$T227,INDIRECT("'"&amp;$A227&amp;"'!$A$2:$A$501"),"&gt;="&amp;$I227,INDIRECT("'"&amp;$A227&amp;"'!$A$2:$A$501"),"&lt;"&amp;($BA227+1)),0)))</f>
        <v/>
      </c>
      <c r="AV227" s="25">
        <f>IF(OR($A227="",$I227=""),"",IF($BC227="Y",SUMIFS(survey_frozen!$J$2:$J$251,survey_frozen!$P$2:$P$251,$A227&amp;"|"&amp;$B227),IFERROR(COUNTIFS(INDIRECT("'"&amp;$A227&amp;"'!$B$2:$B$501"),$T227,INDIRECT("'"&amp;$A227&amp;"'!$A$2:$A$501"),"&gt;="&amp;$I227,INDIRECT("'"&amp;$A227&amp;"'!$A$2:$A$501"),"&lt;"&amp;($BA227+1),INDIRECT("'"&amp;$A227&amp;"'!$E$2:$E$501"),"Yes"),0)))</f>
        <v/>
      </c>
      <c r="AW227" s="25">
        <f>IF(OR($A227="",$I227=""),"",IF($BC227="Y",SUMIFS(survey_frozen!$K$2:$K$251,survey_frozen!$P$2:$P$251,$A227&amp;"|"&amp;$B227),IFERROR(COUNTIFS(INDIRECT("'"&amp;$A227&amp;"'!$B$2:$B$501"),$T227,INDIRECT("'"&amp;$A227&amp;"'!$A$2:$A$501"),"&gt;="&amp;$I227,INDIRECT("'"&amp;$A227&amp;"'!$A$2:$A$501"),"&lt;"&amp;($BA227+1),INDIRECT("'"&amp;$A227&amp;"'!$E$2:$E$501"),"Maybe"),0)))</f>
        <v/>
      </c>
      <c r="AX227" s="25">
        <f>IF(OR($A227="",$I227=""),"",IF($BC227="Y",SUMIFS(survey_frozen!$L$2:$L$251,survey_frozen!$P$2:$P$251,$A227&amp;"|"&amp;$B227),IFERROR(COUNTIFS(INDIRECT("'"&amp;$A227&amp;"'!$B$2:$B$501"),$T227,INDIRECT("'"&amp;$A227&amp;"'!$A$2:$A$501"),"&gt;="&amp;$I227,INDIRECT("'"&amp;$A227&amp;"'!$A$2:$A$501"),"&lt;"&amp;($BA227+1),INDIRECT("'"&amp;$A227&amp;"'!$E$2:$E$501"),"No"),0)))</f>
        <v/>
      </c>
      <c r="AY227" s="25">
        <f>IF(OR($A227="",$I227=""),"",IF($BC227="Y",SUMIFS(survey_frozen!$M$2:$M$251,survey_frozen!$P$2:$P$251,$A227&amp;"|"&amp;$B227),IFERROR(COUNTIFS(INDIRECT("'"&amp;$A227&amp;"'!$B$2:$B$501"),$T227,INDIRECT("'"&amp;$A227&amp;"'!$A$2:$A$501"),"&gt;="&amp;$I227,INDIRECT("'"&amp;$A227&amp;"'!$A$2:$A$501"),"&lt;"&amp;($BA227+1),INDIRECT("'"&amp;$A227&amp;"'!$G$2:$G$501"),"&lt;&gt;"),0)))</f>
        <v/>
      </c>
      <c r="AZ227" s="25">
        <f>IF($A227="","",$A227&amp;"|"&amp;$L227)</f>
        <v/>
      </c>
      <c r="BA227" s="26">
        <f>IF($A227="","",IFERROR(IF(INDEX(drops!$R$2:$R$21,MATCH($H227,drops!$A$2:$A$21,0))="","",INDEX(drops!$R$2:$R$21,MATCH($H227,drops!$A$2:$A$21,0))),""))</f>
        <v/>
      </c>
      <c r="BB227" s="25">
        <f>IF(OR($A227="",$Q227&lt;&gt;"Y"),1000000,N($AL227))</f>
        <v/>
      </c>
      <c r="BC227" s="25">
        <f>IF($A227="","",IF(COUNTIF(survey_frozen!$P$2:$P$251,$A227&amp;"|"&amp;$B227)&gt;0,"Y",""))</f>
        <v/>
      </c>
    </row>
    <row r="228">
      <c r="C228" s="9" t="n"/>
      <c r="E228" s="9" t="n"/>
      <c r="H228" s="25">
        <f>IF($A228="","",IFERROR(IF(INDEX(campaigns!$B$2:$B$51,MATCH($A228,campaigns!$A$2:$A$51,0))="","",INDEX(campaigns!$B$2:$B$51,MATCH($A228,campaigns!$A$2:$A$51,0))),""))</f>
        <v/>
      </c>
      <c r="I228" s="26">
        <f>IF($A228="","",IFERROR(IF(INDEX(campaigns!$BG$2:$BG$51,MATCH($A228,campaigns!$A$2:$A$51,0))="","",INDEX(campaigns!$BG$2:$BG$51,MATCH($A228,campaigns!$A$2:$A$51,0))),""))</f>
        <v/>
      </c>
      <c r="J228" s="25">
        <f>IF($A228="","",IFERROR(IF(INDEX(campaigns!$BE$2:$BE$51,MATCH($A228,campaigns!$A$2:$A$51,0))="","",INDEX(campaigns!$BE$2:$BE$51,MATCH($A228,campaigns!$A$2:$A$51,0))),""))</f>
        <v/>
      </c>
      <c r="K228" s="25">
        <f>IF($B228="","",IFERROR(IF(INDEX(offices!$N$2:$N$61,MATCH($B228,offices!$A$2:$A$61,0))="","",INDEX(offices!$N$2:$N$61,MATCH($B228,offices!$A$2:$A$61,0))),""))</f>
        <v/>
      </c>
      <c r="L228" s="25">
        <f>IF($A228="","",IF($Q228="N","",COUNTIFS($A$2:$A228,$A228,$Q$2:$Q228,"&lt;&gt;N")))</f>
        <v/>
      </c>
      <c r="M228" s="25">
        <f>IF(OR($A228="",$L228=""),"",IF(AND(config!$B$34="names_if_public",IFERROR(IF(INDEX(offices!$AF$2:$AF$61,MATCH($B228,offices!$A$2:$A$61,0))="","",INDEX(offices!$AF$2:$AF$61,MATCH($B228,offices!$A$2:$A$61,0))),"")="Y"),$K228,CHAR(64+$L228)))</f>
        <v/>
      </c>
      <c r="N228" s="25">
        <f>IF(OR($A228="",$I228=""),"",COUNTIFS(stops!$B$2:$B$151,$B228,stops!$P$2:$P$151,"&lt;"&amp;$I228,stops!$L$2:$L$151,"&lt;&gt;not_delivered")+1)</f>
        <v/>
      </c>
      <c r="O228" s="25">
        <f>IF($A228="","",IF(N($N228)&lt;=config!$B$29,"explicit","opt-out"))</f>
        <v/>
      </c>
      <c r="P228" s="25">
        <f>IF($A228="","",IF($O228="explicit",IF($D228="yes","Y",IF($D228="no","N","pending")),IF($D228="no","N",IF(AND($C228&lt;&gt;"",$I228&lt;&gt;"",$C228&lt;=WORKDAY(N($I228),-5,calendar!$A$2:$A$80)),"Y","pending"))))</f>
        <v/>
      </c>
      <c r="Q228" s="25">
        <f>IF($A228="","",IF($P228="N","N",IF($P228&lt;&gt;"Y","pending",IF(AND((COUNTIFS(stops!$A$2:$A$151,$H228,stops!$B$2:$B$151,$B228,stops!$L$2:$L$151,"declined")+COUNTIFS(stops!$A$2:$A$151,$H228,stops!$B$2:$B$151,$B228,stops!$L$2:$L$151,"building_refused")+COUNTIFS(stops!$A$2:$A$151,$H228,stops!$B$2:$B$151,$B228,stops!$L$2:$L$151,"not_delivered"))&gt;0,N($U228)=0),"N","Y"))))</f>
        <v/>
      </c>
      <c r="R228" s="25">
        <f>IF($A228="","",IF(COUNTIFS($A$2:$A$251,$A228,$B$2:$B$251,$B228)&gt;1,"DUPLICATE ROW; ","")&amp;IF(AND(IFERROR(IF(INDEX(offices!$AC$2:$AC$61,MATCH($B228,offices!$A$2:$A$61,0))="","",INDEX(offices!$AC$2:$AC$61,MATCH($B228,offices!$A$2:$A$61,0))),"")&lt;&gt;"",ISNUMBER(SEARCH($J228,IFERROR(IF(INDEX(offices!$AC$2:$AC$61,MATCH($B228,offices!$A$2:$A$61,0))="","",INDEX(offices!$AC$2:$AC$61,MATCH($B228,offices!$A$2:$A$61,0))),"")))),"BRAND VETOED; ","")&amp;IF(ISNUMBER(SEARCH(IFERROR(IF(INDEX(campaigns!$BF$2:$BF$51,MATCH($A228,campaigns!$A$2:$A$51,0))="","",INDEX(campaigns!$BF$2:$BF$51,MATCH($A228,campaigns!$A$2:$A$51,0))),""),IFERROR(IF(INDEX(offices!$AB$2:$AB$61,MATCH($B228,offices!$A$2:$A$61,0))="","",INDEX(offices!$AB$2:$AB$61,MATCH($B228,offices!$A$2:$A$61,0))),""))),"","info: category not on the office's list; ")&amp;IF(IFERROR(IF(INDEX(offices!$AC$2:$AC$61,MATCH($B228,offices!$A$2:$A$61,0))="","",INDEX(offices!$AC$2:$AC$61,MATCH($B228,offices!$A$2:$A$61,0))),"")&lt;&gt;"","info: read the vetoes against the label; ",""))</f>
        <v/>
      </c>
      <c r="S228" s="25">
        <f>IF($A228="","",IF($G228&lt;&gt;"",$G228,IFERROR(IF(INDEX(offices!$AL$2:$AL$61,MATCH($B228,offices!$A$2:$A$61,0))="","",INDEX(offices!$AL$2:$AL$61,MATCH($B228,offices!$A$2:$A$61,0))),"")))</f>
        <v/>
      </c>
      <c r="T228" s="25">
        <f>IF($A228="","",$A228&amp;"."&amp;$B228)</f>
        <v/>
      </c>
      <c r="U228" s="25">
        <f>IF($A228="","",SUMIFS(inventory!$G$2:$G$801,inventory!$C$2:$C$801,$A228,inventory!$D$2:$D$801,$B228,inventory!$E$2:$E$801,"delivered"))</f>
        <v/>
      </c>
      <c r="V228" s="32">
        <f>IF($A228="","",IFERROR(1/(1/SUMPRODUCT(MAX((inventory!$C$2:$C$801=$A228)*(inventory!$D$2:$D$801=$B228)*(inventory!$E$2:$E$801="delivered")*(inventory!$A$2:$A$801+inventory!$B$2:$B$801)))),""))</f>
        <v/>
      </c>
      <c r="W228" s="25">
        <f>IF($A228="","",IFERROR(IF(INDEX(inventory!$J$2:$J$801,MATCH($A228&amp;"|"&amp;$B228&amp;"|delivered",inventory!$R$2:$R$801,0))="","",INDEX(inventory!$J$2:$J$801,MATCH($A228&amp;"|"&amp;$B228&amp;"|delivered",inventory!$R$2:$R$801,0))),""))</f>
        <v/>
      </c>
      <c r="X228" s="25">
        <f>IF($A228="","",IFERROR(IF(INDEX(photos!$H$2:$H$701,MATCH($A228&amp;"|"&amp;$B228&amp;"|placement|Y",photos!$R$2:$R$701,0))="","",INDEX(photos!$H$2:$H$701,MATCH($A228&amp;"|"&amp;$B228&amp;"|placement|Y",photos!$R$2:$R$701,0))),""))</f>
        <v/>
      </c>
      <c r="Y228" s="26">
        <f>IF($A228="","",IFERROR(IF(INDEX(photos!$E$2:$E$701,MATCH($A228&amp;"|"&amp;$B228&amp;"|placement|Y",photos!$R$2:$R$701,0))="","",INDEX(photos!$E$2:$E$701,MATCH($A228&amp;"|"&amp;$B228&amp;"|placement|Y",photos!$R$2:$R$701,0))),""))</f>
        <v/>
      </c>
      <c r="Z228" s="25">
        <f>IF($A228="","",IF(COUNTIFS(counts!$C$2:$C$701,$A228,counts!$D$2:$D$701,$B228,counts!$E$2:$E$701,"placed")=0,"",SUMIFS(counts!$F$2:$F$701,counts!$C$2:$C$701,$A228,counts!$D$2:$D$701,$B228,counts!$E$2:$E$701,"placed")))</f>
        <v/>
      </c>
      <c r="AA228" s="25">
        <f>IF($A228="","",IF($Y228="",0,N($Z228)))</f>
        <v/>
      </c>
      <c r="AB228" s="25">
        <f>IF($A228="","",IF(OR($Y228="",$I228=""),"N",IF($Y228&lt;=WORKDAY(N($I228),1,calendar!$A$2:$A$80),"Y","N")))</f>
        <v/>
      </c>
      <c r="AC228" s="28">
        <f>IF(OR($A228="",$V228="",$Y228=""),"",ROUND(($Y228+N(IFERROR(IF(INDEX(photos!$F$2:$F$701,MATCH($A228&amp;"|"&amp;$B228&amp;"|placement|Y",photos!$R$2:$R$701,0))="","",INDEX(photos!$F$2:$F$701,MATCH($A228&amp;"|"&amp;$B228&amp;"|placement|Y",photos!$R$2:$R$701,0))),""))-$V228)*24,1))</f>
        <v/>
      </c>
      <c r="AD228" s="25">
        <f>IF($A228="","",SUMIFS(inventory!$G$2:$G$801,inventory!$C$2:$C$801,$A228,inventory!$D$2:$D$801,$B228,inventory!$E$2:$E$801,"topped_up"))</f>
        <v/>
      </c>
      <c r="AE228" s="25">
        <f>IF($A228="","",IF(COUNTIFS(counts!$C$2:$C$701,$A228,counts!$D$2:$D$701,$B228,counts!$E$2:$E$701,"remaining_day3")=0,"",SUMIFS(counts!$F$2:$F$701,counts!$C$2:$C$701,$A228,counts!$D$2:$D$701,$B228,counts!$E$2:$E$701,"remaining_day3")))</f>
        <v/>
      </c>
      <c r="AF228" s="25">
        <f>IF($A228="","",IF(COUNTIFS(counts!$C$2:$C$701,$A228,counts!$D$2:$D$701,$B228,counts!$E$2:$E$701,"remaining_day5")=0,"",SUMIFS(counts!$F$2:$F$701,counts!$C$2:$C$701,$A228,counts!$D$2:$D$701,$B228,counts!$E$2:$E$701,"remaining_day5")))</f>
        <v/>
      </c>
      <c r="AG228" s="25">
        <f>IF(OR($A228="",$AF228=""),"",MAX(0,$AA228+$AD228-$AF228))</f>
        <v/>
      </c>
      <c r="AH228" s="25">
        <f>IF(OR($A228="",$AI228=""),"",IFERROR(IF(INDEX(photos!$H$2:$H$701,MATCH($A228&amp;"|"&amp;$B228&amp;"|later|Y|"&amp;$AI228,photos!$S$2:$S$701,0))="","",INDEX(photos!$H$2:$H$701,MATCH($A228&amp;"|"&amp;$B228&amp;"|later|Y|"&amp;$AI228,photos!$S$2:$S$701,0))),""))</f>
        <v/>
      </c>
      <c r="AI228" s="26">
        <f>IF($A228="","",IFERROR(1/(1/SUMPRODUCT(MAX((photos!$B$2:$B$701=$A228)*(photos!$C$2:$C$701=$B228)*(photos!$D$2:$D$701="later")*(photos!$O$2:$O$701="Y")*photos!$E$2:$E$701))),""))</f>
        <v/>
      </c>
      <c r="AJ228" s="25">
        <f>IF(OR($A228="",$AI228="",$I228=""),"",NETWORKDAYS($I228,$AI228,calendar!$A$2:$A$80))</f>
        <v/>
      </c>
      <c r="AK228" s="25">
        <f>IF($A228="","",IF(AND($X228&lt;&gt;"",$AH228&lt;&gt;""),"Y","N"))</f>
        <v/>
      </c>
      <c r="AL228" s="25">
        <f>IF(OR($A228="",$I228=""),"",IF($BC228="Y",SUMIFS(survey_frozen!$C$2:$C$251,survey_frozen!$P$2:$P$251,$A228&amp;"|"&amp;$B228),IFERROR(COUNTIFS(INDIRECT("'"&amp;$A228&amp;"'!$B$2:$B$501"),$T228,INDIRECT("'"&amp;$A228&amp;"'!$A$2:$A$501"),"&gt;="&amp;$I228,INDIRECT("'"&amp;$A228&amp;"'!$A$2:$A$501"),"&lt;"&amp;($BA228+1)),0)))</f>
        <v/>
      </c>
      <c r="AM228" s="25">
        <f>IF(OR($A228="",$I228=""),"",IF($BC228="Y",SUMIFS(survey_frozen!$D$2:$D$251,survey_frozen!$P$2:$P$251,$A228&amp;"|"&amp;$B228),IFERROR(COUNTIFS(INDIRECT("'"&amp;$A228&amp;"'!$B$2:$B$501"),$T228,INDIRECT("'"&amp;$A228&amp;"'!$A$2:$A$501"),"&gt;="&amp;$I228,INDIRECT("'"&amp;$A228&amp;"'!$A$2:$A$501"),"&lt;"&amp;($BA228+1),INDIRECT("'"&amp;$A228&amp;"'!$C$2:$C$501"),"Yes"),0)))</f>
        <v/>
      </c>
      <c r="AN228" s="25">
        <f>IF($A228="","",IF(COUNTIFS(scans!$C$2:$C$1601,(IF(LEFT($A228,7)="SAMPLE-","SAMPLE-","")&amp;LOWER(SUBSTITUTE(SUBSTITUTE($A228,"SAMPLE-",""),"CMP-","c"))&amp;"-"&amp;LOWER(SUBSTITUTE(SUBSTITUTE($B228,"SAMPLE-",""),"O-","o"))&amp;"-q"),scans!$D$2:$D$1601,"close")=0,"",SUMPRODUCT(MAX((scans!$C$2:$C$1601=(IF(LEFT($A228,7)="SAMPLE-","SAMPLE-","")&amp;LOWER(SUBSTITUTE(SUBSTITUTE($A228,"SAMPLE-",""),"CMP-","c"))&amp;"-"&amp;LOWER(SUBSTITUTE(SUBSTITUTE($B228,"SAMPLE-",""),"O-","o"))&amp;"-q"))*(scans!$D$2:$D$1601="close")*scans!$E$2:$E$1601))-SUMPRODUCT(MAX((scans!$C$2:$C$1601=(IF(LEFT($A228,7)="SAMPLE-","SAMPLE-","")&amp;LOWER(SUBSTITUTE(SUBSTITUTE($A228,"SAMPLE-",""),"CMP-","c"))&amp;"-"&amp;LOWER(SUBSTITUTE(SUBSTITUTE($B228,"SAMPLE-",""),"O-","o"))&amp;"-q"))*(scans!$D$2:$D$1601="baseline")*scans!$E$2:$E$1601))))</f>
        <v/>
      </c>
      <c r="AO228" s="25">
        <f>IF($A228="","",IF(COUNTIFS(scans!$C$2:$C$1601,(IF(LEFT($A228,7)="SAMPLE-","SAMPLE-","")&amp;LOWER(SUBSTITUTE(SUBSTITUTE($A228,"SAMPLE-",""),"CMP-","c"))&amp;"-"&amp;LOWER(SUBSTITUTE(SUBSTITUTE($B228,"SAMPLE-",""),"O-","o"))&amp;"-p"),scans!$D$2:$D$1601,"close")=0,"",SUMPRODUCT(MAX((scans!$C$2:$C$1601=(IF(LEFT($A228,7)="SAMPLE-","SAMPLE-","")&amp;LOWER(SUBSTITUTE(SUBSTITUTE($A228,"SAMPLE-",""),"CMP-","c"))&amp;"-"&amp;LOWER(SUBSTITUTE(SUBSTITUTE($B228,"SAMPLE-",""),"O-","o"))&amp;"-p"))*(scans!$D$2:$D$1601="close")*scans!$E$2:$E$1601))-SUMPRODUCT(MAX((scans!$C$2:$C$1601=(IF(LEFT($A228,7)="SAMPLE-","SAMPLE-","")&amp;LOWER(SUBSTITUTE(SUBSTITUTE($A228,"SAMPLE-",""),"CMP-","c"))&amp;"-"&amp;LOWER(SUBSTITUTE(SUBSTITUTE($B228,"SAMPLE-",""),"O-","o"))&amp;"-p"))*(scans!$D$2:$D$1601="baseline")*scans!$E$2:$E$1601))))</f>
        <v/>
      </c>
      <c r="AP228" s="25">
        <f>IF($A228="","",IF(COUNTIF(offices!$A$2:$A$61,$B228)=0,"office_id not on offices; ","")&amp;IF(COUNTIF(campaigns!$A$2:$A$51,$A228)=0,"campaign_id not on campaigns; ","")&amp;IF($P228="pending","approval pending; ","")&amp;IF(AND($U228&gt;0,$Y228="",OR($I228="",IF(config!$B$37&lt;&gt;"",config!$B$37,TODAY())&lt;=WORKDAY(N($I228),4,calendar!$A$2:$A$80))),"no usable placement photo yet; ","")&amp;IF(AND($Y228&lt;&gt;"",$Z228=""),"log the placed count; ","")&amp;IF(N($AA228)&gt;N($U228),"placed more than delivered; ","")&amp;IF(AND($AF228&lt;&gt;"",N($AF228)&gt;N($AA228)+N($AD228)),"day-5 count above placed plus top-ups; ","")&amp;IF(AND($U228&gt;0,$I228&lt;&gt;"",IF(config!$B$37&lt;&gt;"",config!$B$37,TODAY())&gt;WORKDAY(N($I228),4,calendar!$A$2:$A$80),$AF228=""),"day-5 count missing; ","")&amp;IF(AND($U228&gt;0,$I228&lt;&gt;"",IF(config!$B$37&lt;&gt;"",config!$B$37,TODAY())&gt;WORKDAY(N($I228),4,calendar!$A$2:$A$80),$AN228=""),"no close link reading; ","")&amp;$R228&amp;IF($P228="N","info: office said no; ","")&amp;IF(AND($P228="Y",$Q228="N"),"info: turned away at the door, so not on the drop (no letter, not in the report or Gate 2; the credit check is on campaigns); ","")&amp;IF(AND($U228&gt;0,$Y228="",$I228&lt;&gt;"",IF(config!$B$37&lt;&gt;"",config!$B$37,TODAY())&gt;WORKDAY(N($I228),4,calendar!$A$2:$A$80)),"info: no usable placement photo, so nothing counts as placed; ","")&amp;IF(AND($U228&gt;0,$I228&lt;&gt;"",IF(config!$B$37&lt;&gt;"",config!$B$37,TODAY())&gt;WORKDAY(N($I228),4,calendar!$A$2:$A$80),N($AL228)&lt;config!$B$30),"info: under "&amp;config!$B$30&amp;" responses; ","")&amp;IF($W228="packing_list","info: delivered count not verified; ",""))</f>
        <v/>
      </c>
      <c r="AQ228" s="25">
        <f>IF(OR($A228="",$I228=""),"",IF($BC228="Y",SUMIFS(survey_frozen!$E$2:$E$251,survey_frozen!$P$2:$P$251,$A228&amp;"|"&amp;$B228),IFERROR(COUNTIFS(INDIRECT("'"&amp;$A228&amp;"'!$B$2:$B$501"),$T228,INDIRECT("'"&amp;$A228&amp;"'!$A$2:$A$501"),"&gt;="&amp;$I228,INDIRECT("'"&amp;$A228&amp;"'!$A$2:$A$501"),"&lt;"&amp;($BA228+1),INDIRECT("'"&amp;$A228&amp;"'!$F$2:$F$501"),"Didn't see it"),0)))</f>
        <v/>
      </c>
      <c r="AR228" s="25">
        <f>IF(OR($A228="",$I228=""),"",IF($BC228="Y",SUMIFS(survey_frozen!$F$2:$F$251,survey_frozen!$P$2:$P$251,$A228&amp;"|"&amp;$B228),IFERROR(COUNTIFS(INDIRECT("'"&amp;$A228&amp;"'!$B$2:$B$501"),$T228,INDIRECT("'"&amp;$A228&amp;"'!$A$2:$A$501"),"&gt;="&amp;$I228,INDIRECT("'"&amp;$A228&amp;"'!$A$2:$A$501"),"&lt;"&amp;($BA228+1),INDIRECT("'"&amp;$A228&amp;"'!$F$2:$F$501"),"Not for me"),0)))</f>
        <v/>
      </c>
      <c r="AS228" s="25">
        <f>IF(OR($A228="",$I228=""),"",IF($BC228="Y",SUMIFS(survey_frozen!$G$2:$G$251,survey_frozen!$P$2:$P$251,$A228&amp;"|"&amp;$B228),IFERROR(COUNTIFS(INDIRECT("'"&amp;$A228&amp;"'!$B$2:$B$501"),$T228,INDIRECT("'"&amp;$A228&amp;"'!$A$2:$A$501"),"&gt;="&amp;$I228,INDIRECT("'"&amp;$A228&amp;"'!$A$2:$A$501"),"&lt;"&amp;($BA228+1),INDIRECT("'"&amp;$A228&amp;"'!$F$2:$F$501"),"Gone by the time I looked"),0)))</f>
        <v/>
      </c>
      <c r="AT228" s="25">
        <f>IF(OR($A228="",$I228=""),"",IF($BC228="Y",SUMIFS(survey_frozen!$H$2:$H$251,survey_frozen!$P$2:$P$251,$A228&amp;"|"&amp;$B228),IFERROR(COUNTIFS(INDIRECT("'"&amp;$A228&amp;"'!$B$2:$B$501"),$T228,INDIRECT("'"&amp;$A228&amp;"'!$A$2:$A$501"),"&gt;="&amp;$I228,INDIRECT("'"&amp;$A228&amp;"'!$A$2:$A$501"),"&lt;"&amp;($BA228+1),INDIRECT("'"&amp;$A228&amp;"'!$D$2:$D$501"),"&gt;=1"),0)))</f>
        <v/>
      </c>
      <c r="AU228" s="25">
        <f>IF(OR($A228="",$I228=""),"",IF($BC228="Y",SUMIFS(survey_frozen!$I$2:$I$251,survey_frozen!$P$2:$P$251,$A228&amp;"|"&amp;$B228),IFERROR(SUMIFS(INDIRECT("'"&amp;$A228&amp;"'!$D$2:$D$501"),INDIRECT("'"&amp;$A228&amp;"'!$B$2:$B$501"),$T228,INDIRECT("'"&amp;$A228&amp;"'!$A$2:$A$501"),"&gt;="&amp;$I228,INDIRECT("'"&amp;$A228&amp;"'!$A$2:$A$501"),"&lt;"&amp;($BA228+1)),0)))</f>
        <v/>
      </c>
      <c r="AV228" s="25">
        <f>IF(OR($A228="",$I228=""),"",IF($BC228="Y",SUMIFS(survey_frozen!$J$2:$J$251,survey_frozen!$P$2:$P$251,$A228&amp;"|"&amp;$B228),IFERROR(COUNTIFS(INDIRECT("'"&amp;$A228&amp;"'!$B$2:$B$501"),$T228,INDIRECT("'"&amp;$A228&amp;"'!$A$2:$A$501"),"&gt;="&amp;$I228,INDIRECT("'"&amp;$A228&amp;"'!$A$2:$A$501"),"&lt;"&amp;($BA228+1),INDIRECT("'"&amp;$A228&amp;"'!$E$2:$E$501"),"Yes"),0)))</f>
        <v/>
      </c>
      <c r="AW228" s="25">
        <f>IF(OR($A228="",$I228=""),"",IF($BC228="Y",SUMIFS(survey_frozen!$K$2:$K$251,survey_frozen!$P$2:$P$251,$A228&amp;"|"&amp;$B228),IFERROR(COUNTIFS(INDIRECT("'"&amp;$A228&amp;"'!$B$2:$B$501"),$T228,INDIRECT("'"&amp;$A228&amp;"'!$A$2:$A$501"),"&gt;="&amp;$I228,INDIRECT("'"&amp;$A228&amp;"'!$A$2:$A$501"),"&lt;"&amp;($BA228+1),INDIRECT("'"&amp;$A228&amp;"'!$E$2:$E$501"),"Maybe"),0)))</f>
        <v/>
      </c>
      <c r="AX228" s="25">
        <f>IF(OR($A228="",$I228=""),"",IF($BC228="Y",SUMIFS(survey_frozen!$L$2:$L$251,survey_frozen!$P$2:$P$251,$A228&amp;"|"&amp;$B228),IFERROR(COUNTIFS(INDIRECT("'"&amp;$A228&amp;"'!$B$2:$B$501"),$T228,INDIRECT("'"&amp;$A228&amp;"'!$A$2:$A$501"),"&gt;="&amp;$I228,INDIRECT("'"&amp;$A228&amp;"'!$A$2:$A$501"),"&lt;"&amp;($BA228+1),INDIRECT("'"&amp;$A228&amp;"'!$E$2:$E$501"),"No"),0)))</f>
        <v/>
      </c>
      <c r="AY228" s="25">
        <f>IF(OR($A228="",$I228=""),"",IF($BC228="Y",SUMIFS(survey_frozen!$M$2:$M$251,survey_frozen!$P$2:$P$251,$A228&amp;"|"&amp;$B228),IFERROR(COUNTIFS(INDIRECT("'"&amp;$A228&amp;"'!$B$2:$B$501"),$T228,INDIRECT("'"&amp;$A228&amp;"'!$A$2:$A$501"),"&gt;="&amp;$I228,INDIRECT("'"&amp;$A228&amp;"'!$A$2:$A$501"),"&lt;"&amp;($BA228+1),INDIRECT("'"&amp;$A228&amp;"'!$G$2:$G$501"),"&lt;&gt;"),0)))</f>
        <v/>
      </c>
      <c r="AZ228" s="25">
        <f>IF($A228="","",$A228&amp;"|"&amp;$L228)</f>
        <v/>
      </c>
      <c r="BA228" s="26">
        <f>IF($A228="","",IFERROR(IF(INDEX(drops!$R$2:$R$21,MATCH($H228,drops!$A$2:$A$21,0))="","",INDEX(drops!$R$2:$R$21,MATCH($H228,drops!$A$2:$A$21,0))),""))</f>
        <v/>
      </c>
      <c r="BB228" s="25">
        <f>IF(OR($A228="",$Q228&lt;&gt;"Y"),1000000,N($AL228))</f>
        <v/>
      </c>
      <c r="BC228" s="25">
        <f>IF($A228="","",IF(COUNTIF(survey_frozen!$P$2:$P$251,$A228&amp;"|"&amp;$B228)&gt;0,"Y",""))</f>
        <v/>
      </c>
    </row>
    <row r="229">
      <c r="C229" s="9" t="n"/>
      <c r="E229" s="9" t="n"/>
      <c r="H229" s="25">
        <f>IF($A229="","",IFERROR(IF(INDEX(campaigns!$B$2:$B$51,MATCH($A229,campaigns!$A$2:$A$51,0))="","",INDEX(campaigns!$B$2:$B$51,MATCH($A229,campaigns!$A$2:$A$51,0))),""))</f>
        <v/>
      </c>
      <c r="I229" s="26">
        <f>IF($A229="","",IFERROR(IF(INDEX(campaigns!$BG$2:$BG$51,MATCH($A229,campaigns!$A$2:$A$51,0))="","",INDEX(campaigns!$BG$2:$BG$51,MATCH($A229,campaigns!$A$2:$A$51,0))),""))</f>
        <v/>
      </c>
      <c r="J229" s="25">
        <f>IF($A229="","",IFERROR(IF(INDEX(campaigns!$BE$2:$BE$51,MATCH($A229,campaigns!$A$2:$A$51,0))="","",INDEX(campaigns!$BE$2:$BE$51,MATCH($A229,campaigns!$A$2:$A$51,0))),""))</f>
        <v/>
      </c>
      <c r="K229" s="25">
        <f>IF($B229="","",IFERROR(IF(INDEX(offices!$N$2:$N$61,MATCH($B229,offices!$A$2:$A$61,0))="","",INDEX(offices!$N$2:$N$61,MATCH($B229,offices!$A$2:$A$61,0))),""))</f>
        <v/>
      </c>
      <c r="L229" s="25">
        <f>IF($A229="","",IF($Q229="N","",COUNTIFS($A$2:$A229,$A229,$Q$2:$Q229,"&lt;&gt;N")))</f>
        <v/>
      </c>
      <c r="M229" s="25">
        <f>IF(OR($A229="",$L229=""),"",IF(AND(config!$B$34="names_if_public",IFERROR(IF(INDEX(offices!$AF$2:$AF$61,MATCH($B229,offices!$A$2:$A$61,0))="","",INDEX(offices!$AF$2:$AF$61,MATCH($B229,offices!$A$2:$A$61,0))),"")="Y"),$K229,CHAR(64+$L229)))</f>
        <v/>
      </c>
      <c r="N229" s="25">
        <f>IF(OR($A229="",$I229=""),"",COUNTIFS(stops!$B$2:$B$151,$B229,stops!$P$2:$P$151,"&lt;"&amp;$I229,stops!$L$2:$L$151,"&lt;&gt;not_delivered")+1)</f>
        <v/>
      </c>
      <c r="O229" s="25">
        <f>IF($A229="","",IF(N($N229)&lt;=config!$B$29,"explicit","opt-out"))</f>
        <v/>
      </c>
      <c r="P229" s="25">
        <f>IF($A229="","",IF($O229="explicit",IF($D229="yes","Y",IF($D229="no","N","pending")),IF($D229="no","N",IF(AND($C229&lt;&gt;"",$I229&lt;&gt;"",$C229&lt;=WORKDAY(N($I229),-5,calendar!$A$2:$A$80)),"Y","pending"))))</f>
        <v/>
      </c>
      <c r="Q229" s="25">
        <f>IF($A229="","",IF($P229="N","N",IF($P229&lt;&gt;"Y","pending",IF(AND((COUNTIFS(stops!$A$2:$A$151,$H229,stops!$B$2:$B$151,$B229,stops!$L$2:$L$151,"declined")+COUNTIFS(stops!$A$2:$A$151,$H229,stops!$B$2:$B$151,$B229,stops!$L$2:$L$151,"building_refused")+COUNTIFS(stops!$A$2:$A$151,$H229,stops!$B$2:$B$151,$B229,stops!$L$2:$L$151,"not_delivered"))&gt;0,N($U229)=0),"N","Y"))))</f>
        <v/>
      </c>
      <c r="R229" s="25">
        <f>IF($A229="","",IF(COUNTIFS($A$2:$A$251,$A229,$B$2:$B$251,$B229)&gt;1,"DUPLICATE ROW; ","")&amp;IF(AND(IFERROR(IF(INDEX(offices!$AC$2:$AC$61,MATCH($B229,offices!$A$2:$A$61,0))="","",INDEX(offices!$AC$2:$AC$61,MATCH($B229,offices!$A$2:$A$61,0))),"")&lt;&gt;"",ISNUMBER(SEARCH($J229,IFERROR(IF(INDEX(offices!$AC$2:$AC$61,MATCH($B229,offices!$A$2:$A$61,0))="","",INDEX(offices!$AC$2:$AC$61,MATCH($B229,offices!$A$2:$A$61,0))),"")))),"BRAND VETOED; ","")&amp;IF(ISNUMBER(SEARCH(IFERROR(IF(INDEX(campaigns!$BF$2:$BF$51,MATCH($A229,campaigns!$A$2:$A$51,0))="","",INDEX(campaigns!$BF$2:$BF$51,MATCH($A229,campaigns!$A$2:$A$51,0))),""),IFERROR(IF(INDEX(offices!$AB$2:$AB$61,MATCH($B229,offices!$A$2:$A$61,0))="","",INDEX(offices!$AB$2:$AB$61,MATCH($B229,offices!$A$2:$A$61,0))),""))),"","info: category not on the office's list; ")&amp;IF(IFERROR(IF(INDEX(offices!$AC$2:$AC$61,MATCH($B229,offices!$A$2:$A$61,0))="","",INDEX(offices!$AC$2:$AC$61,MATCH($B229,offices!$A$2:$A$61,0))),"")&lt;&gt;"","info: read the vetoes against the label; ",""))</f>
        <v/>
      </c>
      <c r="S229" s="25">
        <f>IF($A229="","",IF($G229&lt;&gt;"",$G229,IFERROR(IF(INDEX(offices!$AL$2:$AL$61,MATCH($B229,offices!$A$2:$A$61,0))="","",INDEX(offices!$AL$2:$AL$61,MATCH($B229,offices!$A$2:$A$61,0))),"")))</f>
        <v/>
      </c>
      <c r="T229" s="25">
        <f>IF($A229="","",$A229&amp;"."&amp;$B229)</f>
        <v/>
      </c>
      <c r="U229" s="25">
        <f>IF($A229="","",SUMIFS(inventory!$G$2:$G$801,inventory!$C$2:$C$801,$A229,inventory!$D$2:$D$801,$B229,inventory!$E$2:$E$801,"delivered"))</f>
        <v/>
      </c>
      <c r="V229" s="32">
        <f>IF($A229="","",IFERROR(1/(1/SUMPRODUCT(MAX((inventory!$C$2:$C$801=$A229)*(inventory!$D$2:$D$801=$B229)*(inventory!$E$2:$E$801="delivered")*(inventory!$A$2:$A$801+inventory!$B$2:$B$801)))),""))</f>
        <v/>
      </c>
      <c r="W229" s="25">
        <f>IF($A229="","",IFERROR(IF(INDEX(inventory!$J$2:$J$801,MATCH($A229&amp;"|"&amp;$B229&amp;"|delivered",inventory!$R$2:$R$801,0))="","",INDEX(inventory!$J$2:$J$801,MATCH($A229&amp;"|"&amp;$B229&amp;"|delivered",inventory!$R$2:$R$801,0))),""))</f>
        <v/>
      </c>
      <c r="X229" s="25">
        <f>IF($A229="","",IFERROR(IF(INDEX(photos!$H$2:$H$701,MATCH($A229&amp;"|"&amp;$B229&amp;"|placement|Y",photos!$R$2:$R$701,0))="","",INDEX(photos!$H$2:$H$701,MATCH($A229&amp;"|"&amp;$B229&amp;"|placement|Y",photos!$R$2:$R$701,0))),""))</f>
        <v/>
      </c>
      <c r="Y229" s="26">
        <f>IF($A229="","",IFERROR(IF(INDEX(photos!$E$2:$E$701,MATCH($A229&amp;"|"&amp;$B229&amp;"|placement|Y",photos!$R$2:$R$701,0))="","",INDEX(photos!$E$2:$E$701,MATCH($A229&amp;"|"&amp;$B229&amp;"|placement|Y",photos!$R$2:$R$701,0))),""))</f>
        <v/>
      </c>
      <c r="Z229" s="25">
        <f>IF($A229="","",IF(COUNTIFS(counts!$C$2:$C$701,$A229,counts!$D$2:$D$701,$B229,counts!$E$2:$E$701,"placed")=0,"",SUMIFS(counts!$F$2:$F$701,counts!$C$2:$C$701,$A229,counts!$D$2:$D$701,$B229,counts!$E$2:$E$701,"placed")))</f>
        <v/>
      </c>
      <c r="AA229" s="25">
        <f>IF($A229="","",IF($Y229="",0,N($Z229)))</f>
        <v/>
      </c>
      <c r="AB229" s="25">
        <f>IF($A229="","",IF(OR($Y229="",$I229=""),"N",IF($Y229&lt;=WORKDAY(N($I229),1,calendar!$A$2:$A$80),"Y","N")))</f>
        <v/>
      </c>
      <c r="AC229" s="28">
        <f>IF(OR($A229="",$V229="",$Y229=""),"",ROUND(($Y229+N(IFERROR(IF(INDEX(photos!$F$2:$F$701,MATCH($A229&amp;"|"&amp;$B229&amp;"|placement|Y",photos!$R$2:$R$701,0))="","",INDEX(photos!$F$2:$F$701,MATCH($A229&amp;"|"&amp;$B229&amp;"|placement|Y",photos!$R$2:$R$701,0))),""))-$V229)*24,1))</f>
        <v/>
      </c>
      <c r="AD229" s="25">
        <f>IF($A229="","",SUMIFS(inventory!$G$2:$G$801,inventory!$C$2:$C$801,$A229,inventory!$D$2:$D$801,$B229,inventory!$E$2:$E$801,"topped_up"))</f>
        <v/>
      </c>
      <c r="AE229" s="25">
        <f>IF($A229="","",IF(COUNTIFS(counts!$C$2:$C$701,$A229,counts!$D$2:$D$701,$B229,counts!$E$2:$E$701,"remaining_day3")=0,"",SUMIFS(counts!$F$2:$F$701,counts!$C$2:$C$701,$A229,counts!$D$2:$D$701,$B229,counts!$E$2:$E$701,"remaining_day3")))</f>
        <v/>
      </c>
      <c r="AF229" s="25">
        <f>IF($A229="","",IF(COUNTIFS(counts!$C$2:$C$701,$A229,counts!$D$2:$D$701,$B229,counts!$E$2:$E$701,"remaining_day5")=0,"",SUMIFS(counts!$F$2:$F$701,counts!$C$2:$C$701,$A229,counts!$D$2:$D$701,$B229,counts!$E$2:$E$701,"remaining_day5")))</f>
        <v/>
      </c>
      <c r="AG229" s="25">
        <f>IF(OR($A229="",$AF229=""),"",MAX(0,$AA229+$AD229-$AF229))</f>
        <v/>
      </c>
      <c r="AH229" s="25">
        <f>IF(OR($A229="",$AI229=""),"",IFERROR(IF(INDEX(photos!$H$2:$H$701,MATCH($A229&amp;"|"&amp;$B229&amp;"|later|Y|"&amp;$AI229,photos!$S$2:$S$701,0))="","",INDEX(photos!$H$2:$H$701,MATCH($A229&amp;"|"&amp;$B229&amp;"|later|Y|"&amp;$AI229,photos!$S$2:$S$701,0))),""))</f>
        <v/>
      </c>
      <c r="AI229" s="26">
        <f>IF($A229="","",IFERROR(1/(1/SUMPRODUCT(MAX((photos!$B$2:$B$701=$A229)*(photos!$C$2:$C$701=$B229)*(photos!$D$2:$D$701="later")*(photos!$O$2:$O$701="Y")*photos!$E$2:$E$701))),""))</f>
        <v/>
      </c>
      <c r="AJ229" s="25">
        <f>IF(OR($A229="",$AI229="",$I229=""),"",NETWORKDAYS($I229,$AI229,calendar!$A$2:$A$80))</f>
        <v/>
      </c>
      <c r="AK229" s="25">
        <f>IF($A229="","",IF(AND($X229&lt;&gt;"",$AH229&lt;&gt;""),"Y","N"))</f>
        <v/>
      </c>
      <c r="AL229" s="25">
        <f>IF(OR($A229="",$I229=""),"",IF($BC229="Y",SUMIFS(survey_frozen!$C$2:$C$251,survey_frozen!$P$2:$P$251,$A229&amp;"|"&amp;$B229),IFERROR(COUNTIFS(INDIRECT("'"&amp;$A229&amp;"'!$B$2:$B$501"),$T229,INDIRECT("'"&amp;$A229&amp;"'!$A$2:$A$501"),"&gt;="&amp;$I229,INDIRECT("'"&amp;$A229&amp;"'!$A$2:$A$501"),"&lt;"&amp;($BA229+1)),0)))</f>
        <v/>
      </c>
      <c r="AM229" s="25">
        <f>IF(OR($A229="",$I229=""),"",IF($BC229="Y",SUMIFS(survey_frozen!$D$2:$D$251,survey_frozen!$P$2:$P$251,$A229&amp;"|"&amp;$B229),IFERROR(COUNTIFS(INDIRECT("'"&amp;$A229&amp;"'!$B$2:$B$501"),$T229,INDIRECT("'"&amp;$A229&amp;"'!$A$2:$A$501"),"&gt;="&amp;$I229,INDIRECT("'"&amp;$A229&amp;"'!$A$2:$A$501"),"&lt;"&amp;($BA229+1),INDIRECT("'"&amp;$A229&amp;"'!$C$2:$C$501"),"Yes"),0)))</f>
        <v/>
      </c>
      <c r="AN229" s="25">
        <f>IF($A229="","",IF(COUNTIFS(scans!$C$2:$C$1601,(IF(LEFT($A229,7)="SAMPLE-","SAMPLE-","")&amp;LOWER(SUBSTITUTE(SUBSTITUTE($A229,"SAMPLE-",""),"CMP-","c"))&amp;"-"&amp;LOWER(SUBSTITUTE(SUBSTITUTE($B229,"SAMPLE-",""),"O-","o"))&amp;"-q"),scans!$D$2:$D$1601,"close")=0,"",SUMPRODUCT(MAX((scans!$C$2:$C$1601=(IF(LEFT($A229,7)="SAMPLE-","SAMPLE-","")&amp;LOWER(SUBSTITUTE(SUBSTITUTE($A229,"SAMPLE-",""),"CMP-","c"))&amp;"-"&amp;LOWER(SUBSTITUTE(SUBSTITUTE($B229,"SAMPLE-",""),"O-","o"))&amp;"-q"))*(scans!$D$2:$D$1601="close")*scans!$E$2:$E$1601))-SUMPRODUCT(MAX((scans!$C$2:$C$1601=(IF(LEFT($A229,7)="SAMPLE-","SAMPLE-","")&amp;LOWER(SUBSTITUTE(SUBSTITUTE($A229,"SAMPLE-",""),"CMP-","c"))&amp;"-"&amp;LOWER(SUBSTITUTE(SUBSTITUTE($B229,"SAMPLE-",""),"O-","o"))&amp;"-q"))*(scans!$D$2:$D$1601="baseline")*scans!$E$2:$E$1601))))</f>
        <v/>
      </c>
      <c r="AO229" s="25">
        <f>IF($A229="","",IF(COUNTIFS(scans!$C$2:$C$1601,(IF(LEFT($A229,7)="SAMPLE-","SAMPLE-","")&amp;LOWER(SUBSTITUTE(SUBSTITUTE($A229,"SAMPLE-",""),"CMP-","c"))&amp;"-"&amp;LOWER(SUBSTITUTE(SUBSTITUTE($B229,"SAMPLE-",""),"O-","o"))&amp;"-p"),scans!$D$2:$D$1601,"close")=0,"",SUMPRODUCT(MAX((scans!$C$2:$C$1601=(IF(LEFT($A229,7)="SAMPLE-","SAMPLE-","")&amp;LOWER(SUBSTITUTE(SUBSTITUTE($A229,"SAMPLE-",""),"CMP-","c"))&amp;"-"&amp;LOWER(SUBSTITUTE(SUBSTITUTE($B229,"SAMPLE-",""),"O-","o"))&amp;"-p"))*(scans!$D$2:$D$1601="close")*scans!$E$2:$E$1601))-SUMPRODUCT(MAX((scans!$C$2:$C$1601=(IF(LEFT($A229,7)="SAMPLE-","SAMPLE-","")&amp;LOWER(SUBSTITUTE(SUBSTITUTE($A229,"SAMPLE-",""),"CMP-","c"))&amp;"-"&amp;LOWER(SUBSTITUTE(SUBSTITUTE($B229,"SAMPLE-",""),"O-","o"))&amp;"-p"))*(scans!$D$2:$D$1601="baseline")*scans!$E$2:$E$1601))))</f>
        <v/>
      </c>
      <c r="AP229" s="25">
        <f>IF($A229="","",IF(COUNTIF(offices!$A$2:$A$61,$B229)=0,"office_id not on offices; ","")&amp;IF(COUNTIF(campaigns!$A$2:$A$51,$A229)=0,"campaign_id not on campaigns; ","")&amp;IF($P229="pending","approval pending; ","")&amp;IF(AND($U229&gt;0,$Y229="",OR($I229="",IF(config!$B$37&lt;&gt;"",config!$B$37,TODAY())&lt;=WORKDAY(N($I229),4,calendar!$A$2:$A$80))),"no usable placement photo yet; ","")&amp;IF(AND($Y229&lt;&gt;"",$Z229=""),"log the placed count; ","")&amp;IF(N($AA229)&gt;N($U229),"placed more than delivered; ","")&amp;IF(AND($AF229&lt;&gt;"",N($AF229)&gt;N($AA229)+N($AD229)),"day-5 count above placed plus top-ups; ","")&amp;IF(AND($U229&gt;0,$I229&lt;&gt;"",IF(config!$B$37&lt;&gt;"",config!$B$37,TODAY())&gt;WORKDAY(N($I229),4,calendar!$A$2:$A$80),$AF229=""),"day-5 count missing; ","")&amp;IF(AND($U229&gt;0,$I229&lt;&gt;"",IF(config!$B$37&lt;&gt;"",config!$B$37,TODAY())&gt;WORKDAY(N($I229),4,calendar!$A$2:$A$80),$AN229=""),"no close link reading; ","")&amp;$R229&amp;IF($P229="N","info: office said no; ","")&amp;IF(AND($P229="Y",$Q229="N"),"info: turned away at the door, so not on the drop (no letter, not in the report or Gate 2; the credit check is on campaigns); ","")&amp;IF(AND($U229&gt;0,$Y229="",$I229&lt;&gt;"",IF(config!$B$37&lt;&gt;"",config!$B$37,TODAY())&gt;WORKDAY(N($I229),4,calendar!$A$2:$A$80)),"info: no usable placement photo, so nothing counts as placed; ","")&amp;IF(AND($U229&gt;0,$I229&lt;&gt;"",IF(config!$B$37&lt;&gt;"",config!$B$37,TODAY())&gt;WORKDAY(N($I229),4,calendar!$A$2:$A$80),N($AL229)&lt;config!$B$30),"info: under "&amp;config!$B$30&amp;" responses; ","")&amp;IF($W229="packing_list","info: delivered count not verified; ",""))</f>
        <v/>
      </c>
      <c r="AQ229" s="25">
        <f>IF(OR($A229="",$I229=""),"",IF($BC229="Y",SUMIFS(survey_frozen!$E$2:$E$251,survey_frozen!$P$2:$P$251,$A229&amp;"|"&amp;$B229),IFERROR(COUNTIFS(INDIRECT("'"&amp;$A229&amp;"'!$B$2:$B$501"),$T229,INDIRECT("'"&amp;$A229&amp;"'!$A$2:$A$501"),"&gt;="&amp;$I229,INDIRECT("'"&amp;$A229&amp;"'!$A$2:$A$501"),"&lt;"&amp;($BA229+1),INDIRECT("'"&amp;$A229&amp;"'!$F$2:$F$501"),"Didn't see it"),0)))</f>
        <v/>
      </c>
      <c r="AR229" s="25">
        <f>IF(OR($A229="",$I229=""),"",IF($BC229="Y",SUMIFS(survey_frozen!$F$2:$F$251,survey_frozen!$P$2:$P$251,$A229&amp;"|"&amp;$B229),IFERROR(COUNTIFS(INDIRECT("'"&amp;$A229&amp;"'!$B$2:$B$501"),$T229,INDIRECT("'"&amp;$A229&amp;"'!$A$2:$A$501"),"&gt;="&amp;$I229,INDIRECT("'"&amp;$A229&amp;"'!$A$2:$A$501"),"&lt;"&amp;($BA229+1),INDIRECT("'"&amp;$A229&amp;"'!$F$2:$F$501"),"Not for me"),0)))</f>
        <v/>
      </c>
      <c r="AS229" s="25">
        <f>IF(OR($A229="",$I229=""),"",IF($BC229="Y",SUMIFS(survey_frozen!$G$2:$G$251,survey_frozen!$P$2:$P$251,$A229&amp;"|"&amp;$B229),IFERROR(COUNTIFS(INDIRECT("'"&amp;$A229&amp;"'!$B$2:$B$501"),$T229,INDIRECT("'"&amp;$A229&amp;"'!$A$2:$A$501"),"&gt;="&amp;$I229,INDIRECT("'"&amp;$A229&amp;"'!$A$2:$A$501"),"&lt;"&amp;($BA229+1),INDIRECT("'"&amp;$A229&amp;"'!$F$2:$F$501"),"Gone by the time I looked"),0)))</f>
        <v/>
      </c>
      <c r="AT229" s="25">
        <f>IF(OR($A229="",$I229=""),"",IF($BC229="Y",SUMIFS(survey_frozen!$H$2:$H$251,survey_frozen!$P$2:$P$251,$A229&amp;"|"&amp;$B229),IFERROR(COUNTIFS(INDIRECT("'"&amp;$A229&amp;"'!$B$2:$B$501"),$T229,INDIRECT("'"&amp;$A229&amp;"'!$A$2:$A$501"),"&gt;="&amp;$I229,INDIRECT("'"&amp;$A229&amp;"'!$A$2:$A$501"),"&lt;"&amp;($BA229+1),INDIRECT("'"&amp;$A229&amp;"'!$D$2:$D$501"),"&gt;=1"),0)))</f>
        <v/>
      </c>
      <c r="AU229" s="25">
        <f>IF(OR($A229="",$I229=""),"",IF($BC229="Y",SUMIFS(survey_frozen!$I$2:$I$251,survey_frozen!$P$2:$P$251,$A229&amp;"|"&amp;$B229),IFERROR(SUMIFS(INDIRECT("'"&amp;$A229&amp;"'!$D$2:$D$501"),INDIRECT("'"&amp;$A229&amp;"'!$B$2:$B$501"),$T229,INDIRECT("'"&amp;$A229&amp;"'!$A$2:$A$501"),"&gt;="&amp;$I229,INDIRECT("'"&amp;$A229&amp;"'!$A$2:$A$501"),"&lt;"&amp;($BA229+1)),0)))</f>
        <v/>
      </c>
      <c r="AV229" s="25">
        <f>IF(OR($A229="",$I229=""),"",IF($BC229="Y",SUMIFS(survey_frozen!$J$2:$J$251,survey_frozen!$P$2:$P$251,$A229&amp;"|"&amp;$B229),IFERROR(COUNTIFS(INDIRECT("'"&amp;$A229&amp;"'!$B$2:$B$501"),$T229,INDIRECT("'"&amp;$A229&amp;"'!$A$2:$A$501"),"&gt;="&amp;$I229,INDIRECT("'"&amp;$A229&amp;"'!$A$2:$A$501"),"&lt;"&amp;($BA229+1),INDIRECT("'"&amp;$A229&amp;"'!$E$2:$E$501"),"Yes"),0)))</f>
        <v/>
      </c>
      <c r="AW229" s="25">
        <f>IF(OR($A229="",$I229=""),"",IF($BC229="Y",SUMIFS(survey_frozen!$K$2:$K$251,survey_frozen!$P$2:$P$251,$A229&amp;"|"&amp;$B229),IFERROR(COUNTIFS(INDIRECT("'"&amp;$A229&amp;"'!$B$2:$B$501"),$T229,INDIRECT("'"&amp;$A229&amp;"'!$A$2:$A$501"),"&gt;="&amp;$I229,INDIRECT("'"&amp;$A229&amp;"'!$A$2:$A$501"),"&lt;"&amp;($BA229+1),INDIRECT("'"&amp;$A229&amp;"'!$E$2:$E$501"),"Maybe"),0)))</f>
        <v/>
      </c>
      <c r="AX229" s="25">
        <f>IF(OR($A229="",$I229=""),"",IF($BC229="Y",SUMIFS(survey_frozen!$L$2:$L$251,survey_frozen!$P$2:$P$251,$A229&amp;"|"&amp;$B229),IFERROR(COUNTIFS(INDIRECT("'"&amp;$A229&amp;"'!$B$2:$B$501"),$T229,INDIRECT("'"&amp;$A229&amp;"'!$A$2:$A$501"),"&gt;="&amp;$I229,INDIRECT("'"&amp;$A229&amp;"'!$A$2:$A$501"),"&lt;"&amp;($BA229+1),INDIRECT("'"&amp;$A229&amp;"'!$E$2:$E$501"),"No"),0)))</f>
        <v/>
      </c>
      <c r="AY229" s="25">
        <f>IF(OR($A229="",$I229=""),"",IF($BC229="Y",SUMIFS(survey_frozen!$M$2:$M$251,survey_frozen!$P$2:$P$251,$A229&amp;"|"&amp;$B229),IFERROR(COUNTIFS(INDIRECT("'"&amp;$A229&amp;"'!$B$2:$B$501"),$T229,INDIRECT("'"&amp;$A229&amp;"'!$A$2:$A$501"),"&gt;="&amp;$I229,INDIRECT("'"&amp;$A229&amp;"'!$A$2:$A$501"),"&lt;"&amp;($BA229+1),INDIRECT("'"&amp;$A229&amp;"'!$G$2:$G$501"),"&lt;&gt;"),0)))</f>
        <v/>
      </c>
      <c r="AZ229" s="25">
        <f>IF($A229="","",$A229&amp;"|"&amp;$L229)</f>
        <v/>
      </c>
      <c r="BA229" s="26">
        <f>IF($A229="","",IFERROR(IF(INDEX(drops!$R$2:$R$21,MATCH($H229,drops!$A$2:$A$21,0))="","",INDEX(drops!$R$2:$R$21,MATCH($H229,drops!$A$2:$A$21,0))),""))</f>
        <v/>
      </c>
      <c r="BB229" s="25">
        <f>IF(OR($A229="",$Q229&lt;&gt;"Y"),1000000,N($AL229))</f>
        <v/>
      </c>
      <c r="BC229" s="25">
        <f>IF($A229="","",IF(COUNTIF(survey_frozen!$P$2:$P$251,$A229&amp;"|"&amp;$B229)&gt;0,"Y",""))</f>
        <v/>
      </c>
    </row>
    <row r="230">
      <c r="C230" s="9" t="n"/>
      <c r="E230" s="9" t="n"/>
      <c r="H230" s="25">
        <f>IF($A230="","",IFERROR(IF(INDEX(campaigns!$B$2:$B$51,MATCH($A230,campaigns!$A$2:$A$51,0))="","",INDEX(campaigns!$B$2:$B$51,MATCH($A230,campaigns!$A$2:$A$51,0))),""))</f>
        <v/>
      </c>
      <c r="I230" s="26">
        <f>IF($A230="","",IFERROR(IF(INDEX(campaigns!$BG$2:$BG$51,MATCH($A230,campaigns!$A$2:$A$51,0))="","",INDEX(campaigns!$BG$2:$BG$51,MATCH($A230,campaigns!$A$2:$A$51,0))),""))</f>
        <v/>
      </c>
      <c r="J230" s="25">
        <f>IF($A230="","",IFERROR(IF(INDEX(campaigns!$BE$2:$BE$51,MATCH($A230,campaigns!$A$2:$A$51,0))="","",INDEX(campaigns!$BE$2:$BE$51,MATCH($A230,campaigns!$A$2:$A$51,0))),""))</f>
        <v/>
      </c>
      <c r="K230" s="25">
        <f>IF($B230="","",IFERROR(IF(INDEX(offices!$N$2:$N$61,MATCH($B230,offices!$A$2:$A$61,0))="","",INDEX(offices!$N$2:$N$61,MATCH($B230,offices!$A$2:$A$61,0))),""))</f>
        <v/>
      </c>
      <c r="L230" s="25">
        <f>IF($A230="","",IF($Q230="N","",COUNTIFS($A$2:$A230,$A230,$Q$2:$Q230,"&lt;&gt;N")))</f>
        <v/>
      </c>
      <c r="M230" s="25">
        <f>IF(OR($A230="",$L230=""),"",IF(AND(config!$B$34="names_if_public",IFERROR(IF(INDEX(offices!$AF$2:$AF$61,MATCH($B230,offices!$A$2:$A$61,0))="","",INDEX(offices!$AF$2:$AF$61,MATCH($B230,offices!$A$2:$A$61,0))),"")="Y"),$K230,CHAR(64+$L230)))</f>
        <v/>
      </c>
      <c r="N230" s="25">
        <f>IF(OR($A230="",$I230=""),"",COUNTIFS(stops!$B$2:$B$151,$B230,stops!$P$2:$P$151,"&lt;"&amp;$I230,stops!$L$2:$L$151,"&lt;&gt;not_delivered")+1)</f>
        <v/>
      </c>
      <c r="O230" s="25">
        <f>IF($A230="","",IF(N($N230)&lt;=config!$B$29,"explicit","opt-out"))</f>
        <v/>
      </c>
      <c r="P230" s="25">
        <f>IF($A230="","",IF($O230="explicit",IF($D230="yes","Y",IF($D230="no","N","pending")),IF($D230="no","N",IF(AND($C230&lt;&gt;"",$I230&lt;&gt;"",$C230&lt;=WORKDAY(N($I230),-5,calendar!$A$2:$A$80)),"Y","pending"))))</f>
        <v/>
      </c>
      <c r="Q230" s="25">
        <f>IF($A230="","",IF($P230="N","N",IF($P230&lt;&gt;"Y","pending",IF(AND((COUNTIFS(stops!$A$2:$A$151,$H230,stops!$B$2:$B$151,$B230,stops!$L$2:$L$151,"declined")+COUNTIFS(stops!$A$2:$A$151,$H230,stops!$B$2:$B$151,$B230,stops!$L$2:$L$151,"building_refused")+COUNTIFS(stops!$A$2:$A$151,$H230,stops!$B$2:$B$151,$B230,stops!$L$2:$L$151,"not_delivered"))&gt;0,N($U230)=0),"N","Y"))))</f>
        <v/>
      </c>
      <c r="R230" s="25">
        <f>IF($A230="","",IF(COUNTIFS($A$2:$A$251,$A230,$B$2:$B$251,$B230)&gt;1,"DUPLICATE ROW; ","")&amp;IF(AND(IFERROR(IF(INDEX(offices!$AC$2:$AC$61,MATCH($B230,offices!$A$2:$A$61,0))="","",INDEX(offices!$AC$2:$AC$61,MATCH($B230,offices!$A$2:$A$61,0))),"")&lt;&gt;"",ISNUMBER(SEARCH($J230,IFERROR(IF(INDEX(offices!$AC$2:$AC$61,MATCH($B230,offices!$A$2:$A$61,0))="","",INDEX(offices!$AC$2:$AC$61,MATCH($B230,offices!$A$2:$A$61,0))),"")))),"BRAND VETOED; ","")&amp;IF(ISNUMBER(SEARCH(IFERROR(IF(INDEX(campaigns!$BF$2:$BF$51,MATCH($A230,campaigns!$A$2:$A$51,0))="","",INDEX(campaigns!$BF$2:$BF$51,MATCH($A230,campaigns!$A$2:$A$51,0))),""),IFERROR(IF(INDEX(offices!$AB$2:$AB$61,MATCH($B230,offices!$A$2:$A$61,0))="","",INDEX(offices!$AB$2:$AB$61,MATCH($B230,offices!$A$2:$A$61,0))),""))),"","info: category not on the office's list; ")&amp;IF(IFERROR(IF(INDEX(offices!$AC$2:$AC$61,MATCH($B230,offices!$A$2:$A$61,0))="","",INDEX(offices!$AC$2:$AC$61,MATCH($B230,offices!$A$2:$A$61,0))),"")&lt;&gt;"","info: read the vetoes against the label; ",""))</f>
        <v/>
      </c>
      <c r="S230" s="25">
        <f>IF($A230="","",IF($G230&lt;&gt;"",$G230,IFERROR(IF(INDEX(offices!$AL$2:$AL$61,MATCH($B230,offices!$A$2:$A$61,0))="","",INDEX(offices!$AL$2:$AL$61,MATCH($B230,offices!$A$2:$A$61,0))),"")))</f>
        <v/>
      </c>
      <c r="T230" s="25">
        <f>IF($A230="","",$A230&amp;"."&amp;$B230)</f>
        <v/>
      </c>
      <c r="U230" s="25">
        <f>IF($A230="","",SUMIFS(inventory!$G$2:$G$801,inventory!$C$2:$C$801,$A230,inventory!$D$2:$D$801,$B230,inventory!$E$2:$E$801,"delivered"))</f>
        <v/>
      </c>
      <c r="V230" s="32">
        <f>IF($A230="","",IFERROR(1/(1/SUMPRODUCT(MAX((inventory!$C$2:$C$801=$A230)*(inventory!$D$2:$D$801=$B230)*(inventory!$E$2:$E$801="delivered")*(inventory!$A$2:$A$801+inventory!$B$2:$B$801)))),""))</f>
        <v/>
      </c>
      <c r="W230" s="25">
        <f>IF($A230="","",IFERROR(IF(INDEX(inventory!$J$2:$J$801,MATCH($A230&amp;"|"&amp;$B230&amp;"|delivered",inventory!$R$2:$R$801,0))="","",INDEX(inventory!$J$2:$J$801,MATCH($A230&amp;"|"&amp;$B230&amp;"|delivered",inventory!$R$2:$R$801,0))),""))</f>
        <v/>
      </c>
      <c r="X230" s="25">
        <f>IF($A230="","",IFERROR(IF(INDEX(photos!$H$2:$H$701,MATCH($A230&amp;"|"&amp;$B230&amp;"|placement|Y",photos!$R$2:$R$701,0))="","",INDEX(photos!$H$2:$H$701,MATCH($A230&amp;"|"&amp;$B230&amp;"|placement|Y",photos!$R$2:$R$701,0))),""))</f>
        <v/>
      </c>
      <c r="Y230" s="26">
        <f>IF($A230="","",IFERROR(IF(INDEX(photos!$E$2:$E$701,MATCH($A230&amp;"|"&amp;$B230&amp;"|placement|Y",photos!$R$2:$R$701,0))="","",INDEX(photos!$E$2:$E$701,MATCH($A230&amp;"|"&amp;$B230&amp;"|placement|Y",photos!$R$2:$R$701,0))),""))</f>
        <v/>
      </c>
      <c r="Z230" s="25">
        <f>IF($A230="","",IF(COUNTIFS(counts!$C$2:$C$701,$A230,counts!$D$2:$D$701,$B230,counts!$E$2:$E$701,"placed")=0,"",SUMIFS(counts!$F$2:$F$701,counts!$C$2:$C$701,$A230,counts!$D$2:$D$701,$B230,counts!$E$2:$E$701,"placed")))</f>
        <v/>
      </c>
      <c r="AA230" s="25">
        <f>IF($A230="","",IF($Y230="",0,N($Z230)))</f>
        <v/>
      </c>
      <c r="AB230" s="25">
        <f>IF($A230="","",IF(OR($Y230="",$I230=""),"N",IF($Y230&lt;=WORKDAY(N($I230),1,calendar!$A$2:$A$80),"Y","N")))</f>
        <v/>
      </c>
      <c r="AC230" s="28">
        <f>IF(OR($A230="",$V230="",$Y230=""),"",ROUND(($Y230+N(IFERROR(IF(INDEX(photos!$F$2:$F$701,MATCH($A230&amp;"|"&amp;$B230&amp;"|placement|Y",photos!$R$2:$R$701,0))="","",INDEX(photos!$F$2:$F$701,MATCH($A230&amp;"|"&amp;$B230&amp;"|placement|Y",photos!$R$2:$R$701,0))),""))-$V230)*24,1))</f>
        <v/>
      </c>
      <c r="AD230" s="25">
        <f>IF($A230="","",SUMIFS(inventory!$G$2:$G$801,inventory!$C$2:$C$801,$A230,inventory!$D$2:$D$801,$B230,inventory!$E$2:$E$801,"topped_up"))</f>
        <v/>
      </c>
      <c r="AE230" s="25">
        <f>IF($A230="","",IF(COUNTIFS(counts!$C$2:$C$701,$A230,counts!$D$2:$D$701,$B230,counts!$E$2:$E$701,"remaining_day3")=0,"",SUMIFS(counts!$F$2:$F$701,counts!$C$2:$C$701,$A230,counts!$D$2:$D$701,$B230,counts!$E$2:$E$701,"remaining_day3")))</f>
        <v/>
      </c>
      <c r="AF230" s="25">
        <f>IF($A230="","",IF(COUNTIFS(counts!$C$2:$C$701,$A230,counts!$D$2:$D$701,$B230,counts!$E$2:$E$701,"remaining_day5")=0,"",SUMIFS(counts!$F$2:$F$701,counts!$C$2:$C$701,$A230,counts!$D$2:$D$701,$B230,counts!$E$2:$E$701,"remaining_day5")))</f>
        <v/>
      </c>
      <c r="AG230" s="25">
        <f>IF(OR($A230="",$AF230=""),"",MAX(0,$AA230+$AD230-$AF230))</f>
        <v/>
      </c>
      <c r="AH230" s="25">
        <f>IF(OR($A230="",$AI230=""),"",IFERROR(IF(INDEX(photos!$H$2:$H$701,MATCH($A230&amp;"|"&amp;$B230&amp;"|later|Y|"&amp;$AI230,photos!$S$2:$S$701,0))="","",INDEX(photos!$H$2:$H$701,MATCH($A230&amp;"|"&amp;$B230&amp;"|later|Y|"&amp;$AI230,photos!$S$2:$S$701,0))),""))</f>
        <v/>
      </c>
      <c r="AI230" s="26">
        <f>IF($A230="","",IFERROR(1/(1/SUMPRODUCT(MAX((photos!$B$2:$B$701=$A230)*(photos!$C$2:$C$701=$B230)*(photos!$D$2:$D$701="later")*(photos!$O$2:$O$701="Y")*photos!$E$2:$E$701))),""))</f>
        <v/>
      </c>
      <c r="AJ230" s="25">
        <f>IF(OR($A230="",$AI230="",$I230=""),"",NETWORKDAYS($I230,$AI230,calendar!$A$2:$A$80))</f>
        <v/>
      </c>
      <c r="AK230" s="25">
        <f>IF($A230="","",IF(AND($X230&lt;&gt;"",$AH230&lt;&gt;""),"Y","N"))</f>
        <v/>
      </c>
      <c r="AL230" s="25">
        <f>IF(OR($A230="",$I230=""),"",IF($BC230="Y",SUMIFS(survey_frozen!$C$2:$C$251,survey_frozen!$P$2:$P$251,$A230&amp;"|"&amp;$B230),IFERROR(COUNTIFS(INDIRECT("'"&amp;$A230&amp;"'!$B$2:$B$501"),$T230,INDIRECT("'"&amp;$A230&amp;"'!$A$2:$A$501"),"&gt;="&amp;$I230,INDIRECT("'"&amp;$A230&amp;"'!$A$2:$A$501"),"&lt;"&amp;($BA230+1)),0)))</f>
        <v/>
      </c>
      <c r="AM230" s="25">
        <f>IF(OR($A230="",$I230=""),"",IF($BC230="Y",SUMIFS(survey_frozen!$D$2:$D$251,survey_frozen!$P$2:$P$251,$A230&amp;"|"&amp;$B230),IFERROR(COUNTIFS(INDIRECT("'"&amp;$A230&amp;"'!$B$2:$B$501"),$T230,INDIRECT("'"&amp;$A230&amp;"'!$A$2:$A$501"),"&gt;="&amp;$I230,INDIRECT("'"&amp;$A230&amp;"'!$A$2:$A$501"),"&lt;"&amp;($BA230+1),INDIRECT("'"&amp;$A230&amp;"'!$C$2:$C$501"),"Yes"),0)))</f>
        <v/>
      </c>
      <c r="AN230" s="25">
        <f>IF($A230="","",IF(COUNTIFS(scans!$C$2:$C$1601,(IF(LEFT($A230,7)="SAMPLE-","SAMPLE-","")&amp;LOWER(SUBSTITUTE(SUBSTITUTE($A230,"SAMPLE-",""),"CMP-","c"))&amp;"-"&amp;LOWER(SUBSTITUTE(SUBSTITUTE($B230,"SAMPLE-",""),"O-","o"))&amp;"-q"),scans!$D$2:$D$1601,"close")=0,"",SUMPRODUCT(MAX((scans!$C$2:$C$1601=(IF(LEFT($A230,7)="SAMPLE-","SAMPLE-","")&amp;LOWER(SUBSTITUTE(SUBSTITUTE($A230,"SAMPLE-",""),"CMP-","c"))&amp;"-"&amp;LOWER(SUBSTITUTE(SUBSTITUTE($B230,"SAMPLE-",""),"O-","o"))&amp;"-q"))*(scans!$D$2:$D$1601="close")*scans!$E$2:$E$1601))-SUMPRODUCT(MAX((scans!$C$2:$C$1601=(IF(LEFT($A230,7)="SAMPLE-","SAMPLE-","")&amp;LOWER(SUBSTITUTE(SUBSTITUTE($A230,"SAMPLE-",""),"CMP-","c"))&amp;"-"&amp;LOWER(SUBSTITUTE(SUBSTITUTE($B230,"SAMPLE-",""),"O-","o"))&amp;"-q"))*(scans!$D$2:$D$1601="baseline")*scans!$E$2:$E$1601))))</f>
        <v/>
      </c>
      <c r="AO230" s="25">
        <f>IF($A230="","",IF(COUNTIFS(scans!$C$2:$C$1601,(IF(LEFT($A230,7)="SAMPLE-","SAMPLE-","")&amp;LOWER(SUBSTITUTE(SUBSTITUTE($A230,"SAMPLE-",""),"CMP-","c"))&amp;"-"&amp;LOWER(SUBSTITUTE(SUBSTITUTE($B230,"SAMPLE-",""),"O-","o"))&amp;"-p"),scans!$D$2:$D$1601,"close")=0,"",SUMPRODUCT(MAX((scans!$C$2:$C$1601=(IF(LEFT($A230,7)="SAMPLE-","SAMPLE-","")&amp;LOWER(SUBSTITUTE(SUBSTITUTE($A230,"SAMPLE-",""),"CMP-","c"))&amp;"-"&amp;LOWER(SUBSTITUTE(SUBSTITUTE($B230,"SAMPLE-",""),"O-","o"))&amp;"-p"))*(scans!$D$2:$D$1601="close")*scans!$E$2:$E$1601))-SUMPRODUCT(MAX((scans!$C$2:$C$1601=(IF(LEFT($A230,7)="SAMPLE-","SAMPLE-","")&amp;LOWER(SUBSTITUTE(SUBSTITUTE($A230,"SAMPLE-",""),"CMP-","c"))&amp;"-"&amp;LOWER(SUBSTITUTE(SUBSTITUTE($B230,"SAMPLE-",""),"O-","o"))&amp;"-p"))*(scans!$D$2:$D$1601="baseline")*scans!$E$2:$E$1601))))</f>
        <v/>
      </c>
      <c r="AP230" s="25">
        <f>IF($A230="","",IF(COUNTIF(offices!$A$2:$A$61,$B230)=0,"office_id not on offices; ","")&amp;IF(COUNTIF(campaigns!$A$2:$A$51,$A230)=0,"campaign_id not on campaigns; ","")&amp;IF($P230="pending","approval pending; ","")&amp;IF(AND($U230&gt;0,$Y230="",OR($I230="",IF(config!$B$37&lt;&gt;"",config!$B$37,TODAY())&lt;=WORKDAY(N($I230),4,calendar!$A$2:$A$80))),"no usable placement photo yet; ","")&amp;IF(AND($Y230&lt;&gt;"",$Z230=""),"log the placed count; ","")&amp;IF(N($AA230)&gt;N($U230),"placed more than delivered; ","")&amp;IF(AND($AF230&lt;&gt;"",N($AF230)&gt;N($AA230)+N($AD230)),"day-5 count above placed plus top-ups; ","")&amp;IF(AND($U230&gt;0,$I230&lt;&gt;"",IF(config!$B$37&lt;&gt;"",config!$B$37,TODAY())&gt;WORKDAY(N($I230),4,calendar!$A$2:$A$80),$AF230=""),"day-5 count missing; ","")&amp;IF(AND($U230&gt;0,$I230&lt;&gt;"",IF(config!$B$37&lt;&gt;"",config!$B$37,TODAY())&gt;WORKDAY(N($I230),4,calendar!$A$2:$A$80),$AN230=""),"no close link reading; ","")&amp;$R230&amp;IF($P230="N","info: office said no; ","")&amp;IF(AND($P230="Y",$Q230="N"),"info: turned away at the door, so not on the drop (no letter, not in the report or Gate 2; the credit check is on campaigns); ","")&amp;IF(AND($U230&gt;0,$Y230="",$I230&lt;&gt;"",IF(config!$B$37&lt;&gt;"",config!$B$37,TODAY())&gt;WORKDAY(N($I230),4,calendar!$A$2:$A$80)),"info: no usable placement photo, so nothing counts as placed; ","")&amp;IF(AND($U230&gt;0,$I230&lt;&gt;"",IF(config!$B$37&lt;&gt;"",config!$B$37,TODAY())&gt;WORKDAY(N($I230),4,calendar!$A$2:$A$80),N($AL230)&lt;config!$B$30),"info: under "&amp;config!$B$30&amp;" responses; ","")&amp;IF($W230="packing_list","info: delivered count not verified; ",""))</f>
        <v/>
      </c>
      <c r="AQ230" s="25">
        <f>IF(OR($A230="",$I230=""),"",IF($BC230="Y",SUMIFS(survey_frozen!$E$2:$E$251,survey_frozen!$P$2:$P$251,$A230&amp;"|"&amp;$B230),IFERROR(COUNTIFS(INDIRECT("'"&amp;$A230&amp;"'!$B$2:$B$501"),$T230,INDIRECT("'"&amp;$A230&amp;"'!$A$2:$A$501"),"&gt;="&amp;$I230,INDIRECT("'"&amp;$A230&amp;"'!$A$2:$A$501"),"&lt;"&amp;($BA230+1),INDIRECT("'"&amp;$A230&amp;"'!$F$2:$F$501"),"Didn't see it"),0)))</f>
        <v/>
      </c>
      <c r="AR230" s="25">
        <f>IF(OR($A230="",$I230=""),"",IF($BC230="Y",SUMIFS(survey_frozen!$F$2:$F$251,survey_frozen!$P$2:$P$251,$A230&amp;"|"&amp;$B230),IFERROR(COUNTIFS(INDIRECT("'"&amp;$A230&amp;"'!$B$2:$B$501"),$T230,INDIRECT("'"&amp;$A230&amp;"'!$A$2:$A$501"),"&gt;="&amp;$I230,INDIRECT("'"&amp;$A230&amp;"'!$A$2:$A$501"),"&lt;"&amp;($BA230+1),INDIRECT("'"&amp;$A230&amp;"'!$F$2:$F$501"),"Not for me"),0)))</f>
        <v/>
      </c>
      <c r="AS230" s="25">
        <f>IF(OR($A230="",$I230=""),"",IF($BC230="Y",SUMIFS(survey_frozen!$G$2:$G$251,survey_frozen!$P$2:$P$251,$A230&amp;"|"&amp;$B230),IFERROR(COUNTIFS(INDIRECT("'"&amp;$A230&amp;"'!$B$2:$B$501"),$T230,INDIRECT("'"&amp;$A230&amp;"'!$A$2:$A$501"),"&gt;="&amp;$I230,INDIRECT("'"&amp;$A230&amp;"'!$A$2:$A$501"),"&lt;"&amp;($BA230+1),INDIRECT("'"&amp;$A230&amp;"'!$F$2:$F$501"),"Gone by the time I looked"),0)))</f>
        <v/>
      </c>
      <c r="AT230" s="25">
        <f>IF(OR($A230="",$I230=""),"",IF($BC230="Y",SUMIFS(survey_frozen!$H$2:$H$251,survey_frozen!$P$2:$P$251,$A230&amp;"|"&amp;$B230),IFERROR(COUNTIFS(INDIRECT("'"&amp;$A230&amp;"'!$B$2:$B$501"),$T230,INDIRECT("'"&amp;$A230&amp;"'!$A$2:$A$501"),"&gt;="&amp;$I230,INDIRECT("'"&amp;$A230&amp;"'!$A$2:$A$501"),"&lt;"&amp;($BA230+1),INDIRECT("'"&amp;$A230&amp;"'!$D$2:$D$501"),"&gt;=1"),0)))</f>
        <v/>
      </c>
      <c r="AU230" s="25">
        <f>IF(OR($A230="",$I230=""),"",IF($BC230="Y",SUMIFS(survey_frozen!$I$2:$I$251,survey_frozen!$P$2:$P$251,$A230&amp;"|"&amp;$B230),IFERROR(SUMIFS(INDIRECT("'"&amp;$A230&amp;"'!$D$2:$D$501"),INDIRECT("'"&amp;$A230&amp;"'!$B$2:$B$501"),$T230,INDIRECT("'"&amp;$A230&amp;"'!$A$2:$A$501"),"&gt;="&amp;$I230,INDIRECT("'"&amp;$A230&amp;"'!$A$2:$A$501"),"&lt;"&amp;($BA230+1)),0)))</f>
        <v/>
      </c>
      <c r="AV230" s="25">
        <f>IF(OR($A230="",$I230=""),"",IF($BC230="Y",SUMIFS(survey_frozen!$J$2:$J$251,survey_frozen!$P$2:$P$251,$A230&amp;"|"&amp;$B230),IFERROR(COUNTIFS(INDIRECT("'"&amp;$A230&amp;"'!$B$2:$B$501"),$T230,INDIRECT("'"&amp;$A230&amp;"'!$A$2:$A$501"),"&gt;="&amp;$I230,INDIRECT("'"&amp;$A230&amp;"'!$A$2:$A$501"),"&lt;"&amp;($BA230+1),INDIRECT("'"&amp;$A230&amp;"'!$E$2:$E$501"),"Yes"),0)))</f>
        <v/>
      </c>
      <c r="AW230" s="25">
        <f>IF(OR($A230="",$I230=""),"",IF($BC230="Y",SUMIFS(survey_frozen!$K$2:$K$251,survey_frozen!$P$2:$P$251,$A230&amp;"|"&amp;$B230),IFERROR(COUNTIFS(INDIRECT("'"&amp;$A230&amp;"'!$B$2:$B$501"),$T230,INDIRECT("'"&amp;$A230&amp;"'!$A$2:$A$501"),"&gt;="&amp;$I230,INDIRECT("'"&amp;$A230&amp;"'!$A$2:$A$501"),"&lt;"&amp;($BA230+1),INDIRECT("'"&amp;$A230&amp;"'!$E$2:$E$501"),"Maybe"),0)))</f>
        <v/>
      </c>
      <c r="AX230" s="25">
        <f>IF(OR($A230="",$I230=""),"",IF($BC230="Y",SUMIFS(survey_frozen!$L$2:$L$251,survey_frozen!$P$2:$P$251,$A230&amp;"|"&amp;$B230),IFERROR(COUNTIFS(INDIRECT("'"&amp;$A230&amp;"'!$B$2:$B$501"),$T230,INDIRECT("'"&amp;$A230&amp;"'!$A$2:$A$501"),"&gt;="&amp;$I230,INDIRECT("'"&amp;$A230&amp;"'!$A$2:$A$501"),"&lt;"&amp;($BA230+1),INDIRECT("'"&amp;$A230&amp;"'!$E$2:$E$501"),"No"),0)))</f>
        <v/>
      </c>
      <c r="AY230" s="25">
        <f>IF(OR($A230="",$I230=""),"",IF($BC230="Y",SUMIFS(survey_frozen!$M$2:$M$251,survey_frozen!$P$2:$P$251,$A230&amp;"|"&amp;$B230),IFERROR(COUNTIFS(INDIRECT("'"&amp;$A230&amp;"'!$B$2:$B$501"),$T230,INDIRECT("'"&amp;$A230&amp;"'!$A$2:$A$501"),"&gt;="&amp;$I230,INDIRECT("'"&amp;$A230&amp;"'!$A$2:$A$501"),"&lt;"&amp;($BA230+1),INDIRECT("'"&amp;$A230&amp;"'!$G$2:$G$501"),"&lt;&gt;"),0)))</f>
        <v/>
      </c>
      <c r="AZ230" s="25">
        <f>IF($A230="","",$A230&amp;"|"&amp;$L230)</f>
        <v/>
      </c>
      <c r="BA230" s="26">
        <f>IF($A230="","",IFERROR(IF(INDEX(drops!$R$2:$R$21,MATCH($H230,drops!$A$2:$A$21,0))="","",INDEX(drops!$R$2:$R$21,MATCH($H230,drops!$A$2:$A$21,0))),""))</f>
        <v/>
      </c>
      <c r="BB230" s="25">
        <f>IF(OR($A230="",$Q230&lt;&gt;"Y"),1000000,N($AL230))</f>
        <v/>
      </c>
      <c r="BC230" s="25">
        <f>IF($A230="","",IF(COUNTIF(survey_frozen!$P$2:$P$251,$A230&amp;"|"&amp;$B230)&gt;0,"Y",""))</f>
        <v/>
      </c>
    </row>
    <row r="231">
      <c r="C231" s="9" t="n"/>
      <c r="E231" s="9" t="n"/>
      <c r="H231" s="25">
        <f>IF($A231="","",IFERROR(IF(INDEX(campaigns!$B$2:$B$51,MATCH($A231,campaigns!$A$2:$A$51,0))="","",INDEX(campaigns!$B$2:$B$51,MATCH($A231,campaigns!$A$2:$A$51,0))),""))</f>
        <v/>
      </c>
      <c r="I231" s="26">
        <f>IF($A231="","",IFERROR(IF(INDEX(campaigns!$BG$2:$BG$51,MATCH($A231,campaigns!$A$2:$A$51,0))="","",INDEX(campaigns!$BG$2:$BG$51,MATCH($A231,campaigns!$A$2:$A$51,0))),""))</f>
        <v/>
      </c>
      <c r="J231" s="25">
        <f>IF($A231="","",IFERROR(IF(INDEX(campaigns!$BE$2:$BE$51,MATCH($A231,campaigns!$A$2:$A$51,0))="","",INDEX(campaigns!$BE$2:$BE$51,MATCH($A231,campaigns!$A$2:$A$51,0))),""))</f>
        <v/>
      </c>
      <c r="K231" s="25">
        <f>IF($B231="","",IFERROR(IF(INDEX(offices!$N$2:$N$61,MATCH($B231,offices!$A$2:$A$61,0))="","",INDEX(offices!$N$2:$N$61,MATCH($B231,offices!$A$2:$A$61,0))),""))</f>
        <v/>
      </c>
      <c r="L231" s="25">
        <f>IF($A231="","",IF($Q231="N","",COUNTIFS($A$2:$A231,$A231,$Q$2:$Q231,"&lt;&gt;N")))</f>
        <v/>
      </c>
      <c r="M231" s="25">
        <f>IF(OR($A231="",$L231=""),"",IF(AND(config!$B$34="names_if_public",IFERROR(IF(INDEX(offices!$AF$2:$AF$61,MATCH($B231,offices!$A$2:$A$61,0))="","",INDEX(offices!$AF$2:$AF$61,MATCH($B231,offices!$A$2:$A$61,0))),"")="Y"),$K231,CHAR(64+$L231)))</f>
        <v/>
      </c>
      <c r="N231" s="25">
        <f>IF(OR($A231="",$I231=""),"",COUNTIFS(stops!$B$2:$B$151,$B231,stops!$P$2:$P$151,"&lt;"&amp;$I231,stops!$L$2:$L$151,"&lt;&gt;not_delivered")+1)</f>
        <v/>
      </c>
      <c r="O231" s="25">
        <f>IF($A231="","",IF(N($N231)&lt;=config!$B$29,"explicit","opt-out"))</f>
        <v/>
      </c>
      <c r="P231" s="25">
        <f>IF($A231="","",IF($O231="explicit",IF($D231="yes","Y",IF($D231="no","N","pending")),IF($D231="no","N",IF(AND($C231&lt;&gt;"",$I231&lt;&gt;"",$C231&lt;=WORKDAY(N($I231),-5,calendar!$A$2:$A$80)),"Y","pending"))))</f>
        <v/>
      </c>
      <c r="Q231" s="25">
        <f>IF($A231="","",IF($P231="N","N",IF($P231&lt;&gt;"Y","pending",IF(AND((COUNTIFS(stops!$A$2:$A$151,$H231,stops!$B$2:$B$151,$B231,stops!$L$2:$L$151,"declined")+COUNTIFS(stops!$A$2:$A$151,$H231,stops!$B$2:$B$151,$B231,stops!$L$2:$L$151,"building_refused")+COUNTIFS(stops!$A$2:$A$151,$H231,stops!$B$2:$B$151,$B231,stops!$L$2:$L$151,"not_delivered"))&gt;0,N($U231)=0),"N","Y"))))</f>
        <v/>
      </c>
      <c r="R231" s="25">
        <f>IF($A231="","",IF(COUNTIFS($A$2:$A$251,$A231,$B$2:$B$251,$B231)&gt;1,"DUPLICATE ROW; ","")&amp;IF(AND(IFERROR(IF(INDEX(offices!$AC$2:$AC$61,MATCH($B231,offices!$A$2:$A$61,0))="","",INDEX(offices!$AC$2:$AC$61,MATCH($B231,offices!$A$2:$A$61,0))),"")&lt;&gt;"",ISNUMBER(SEARCH($J231,IFERROR(IF(INDEX(offices!$AC$2:$AC$61,MATCH($B231,offices!$A$2:$A$61,0))="","",INDEX(offices!$AC$2:$AC$61,MATCH($B231,offices!$A$2:$A$61,0))),"")))),"BRAND VETOED; ","")&amp;IF(ISNUMBER(SEARCH(IFERROR(IF(INDEX(campaigns!$BF$2:$BF$51,MATCH($A231,campaigns!$A$2:$A$51,0))="","",INDEX(campaigns!$BF$2:$BF$51,MATCH($A231,campaigns!$A$2:$A$51,0))),""),IFERROR(IF(INDEX(offices!$AB$2:$AB$61,MATCH($B231,offices!$A$2:$A$61,0))="","",INDEX(offices!$AB$2:$AB$61,MATCH($B231,offices!$A$2:$A$61,0))),""))),"","info: category not on the office's list; ")&amp;IF(IFERROR(IF(INDEX(offices!$AC$2:$AC$61,MATCH($B231,offices!$A$2:$A$61,0))="","",INDEX(offices!$AC$2:$AC$61,MATCH($B231,offices!$A$2:$A$61,0))),"")&lt;&gt;"","info: read the vetoes against the label; ",""))</f>
        <v/>
      </c>
      <c r="S231" s="25">
        <f>IF($A231="","",IF($G231&lt;&gt;"",$G231,IFERROR(IF(INDEX(offices!$AL$2:$AL$61,MATCH($B231,offices!$A$2:$A$61,0))="","",INDEX(offices!$AL$2:$AL$61,MATCH($B231,offices!$A$2:$A$61,0))),"")))</f>
        <v/>
      </c>
      <c r="T231" s="25">
        <f>IF($A231="","",$A231&amp;"."&amp;$B231)</f>
        <v/>
      </c>
      <c r="U231" s="25">
        <f>IF($A231="","",SUMIFS(inventory!$G$2:$G$801,inventory!$C$2:$C$801,$A231,inventory!$D$2:$D$801,$B231,inventory!$E$2:$E$801,"delivered"))</f>
        <v/>
      </c>
      <c r="V231" s="32">
        <f>IF($A231="","",IFERROR(1/(1/SUMPRODUCT(MAX((inventory!$C$2:$C$801=$A231)*(inventory!$D$2:$D$801=$B231)*(inventory!$E$2:$E$801="delivered")*(inventory!$A$2:$A$801+inventory!$B$2:$B$801)))),""))</f>
        <v/>
      </c>
      <c r="W231" s="25">
        <f>IF($A231="","",IFERROR(IF(INDEX(inventory!$J$2:$J$801,MATCH($A231&amp;"|"&amp;$B231&amp;"|delivered",inventory!$R$2:$R$801,0))="","",INDEX(inventory!$J$2:$J$801,MATCH($A231&amp;"|"&amp;$B231&amp;"|delivered",inventory!$R$2:$R$801,0))),""))</f>
        <v/>
      </c>
      <c r="X231" s="25">
        <f>IF($A231="","",IFERROR(IF(INDEX(photos!$H$2:$H$701,MATCH($A231&amp;"|"&amp;$B231&amp;"|placement|Y",photos!$R$2:$R$701,0))="","",INDEX(photos!$H$2:$H$701,MATCH($A231&amp;"|"&amp;$B231&amp;"|placement|Y",photos!$R$2:$R$701,0))),""))</f>
        <v/>
      </c>
      <c r="Y231" s="26">
        <f>IF($A231="","",IFERROR(IF(INDEX(photos!$E$2:$E$701,MATCH($A231&amp;"|"&amp;$B231&amp;"|placement|Y",photos!$R$2:$R$701,0))="","",INDEX(photos!$E$2:$E$701,MATCH($A231&amp;"|"&amp;$B231&amp;"|placement|Y",photos!$R$2:$R$701,0))),""))</f>
        <v/>
      </c>
      <c r="Z231" s="25">
        <f>IF($A231="","",IF(COUNTIFS(counts!$C$2:$C$701,$A231,counts!$D$2:$D$701,$B231,counts!$E$2:$E$701,"placed")=0,"",SUMIFS(counts!$F$2:$F$701,counts!$C$2:$C$701,$A231,counts!$D$2:$D$701,$B231,counts!$E$2:$E$701,"placed")))</f>
        <v/>
      </c>
      <c r="AA231" s="25">
        <f>IF($A231="","",IF($Y231="",0,N($Z231)))</f>
        <v/>
      </c>
      <c r="AB231" s="25">
        <f>IF($A231="","",IF(OR($Y231="",$I231=""),"N",IF($Y231&lt;=WORKDAY(N($I231),1,calendar!$A$2:$A$80),"Y","N")))</f>
        <v/>
      </c>
      <c r="AC231" s="28">
        <f>IF(OR($A231="",$V231="",$Y231=""),"",ROUND(($Y231+N(IFERROR(IF(INDEX(photos!$F$2:$F$701,MATCH($A231&amp;"|"&amp;$B231&amp;"|placement|Y",photos!$R$2:$R$701,0))="","",INDEX(photos!$F$2:$F$701,MATCH($A231&amp;"|"&amp;$B231&amp;"|placement|Y",photos!$R$2:$R$701,0))),""))-$V231)*24,1))</f>
        <v/>
      </c>
      <c r="AD231" s="25">
        <f>IF($A231="","",SUMIFS(inventory!$G$2:$G$801,inventory!$C$2:$C$801,$A231,inventory!$D$2:$D$801,$B231,inventory!$E$2:$E$801,"topped_up"))</f>
        <v/>
      </c>
      <c r="AE231" s="25">
        <f>IF($A231="","",IF(COUNTIFS(counts!$C$2:$C$701,$A231,counts!$D$2:$D$701,$B231,counts!$E$2:$E$701,"remaining_day3")=0,"",SUMIFS(counts!$F$2:$F$701,counts!$C$2:$C$701,$A231,counts!$D$2:$D$701,$B231,counts!$E$2:$E$701,"remaining_day3")))</f>
        <v/>
      </c>
      <c r="AF231" s="25">
        <f>IF($A231="","",IF(COUNTIFS(counts!$C$2:$C$701,$A231,counts!$D$2:$D$701,$B231,counts!$E$2:$E$701,"remaining_day5")=0,"",SUMIFS(counts!$F$2:$F$701,counts!$C$2:$C$701,$A231,counts!$D$2:$D$701,$B231,counts!$E$2:$E$701,"remaining_day5")))</f>
        <v/>
      </c>
      <c r="AG231" s="25">
        <f>IF(OR($A231="",$AF231=""),"",MAX(0,$AA231+$AD231-$AF231))</f>
        <v/>
      </c>
      <c r="AH231" s="25">
        <f>IF(OR($A231="",$AI231=""),"",IFERROR(IF(INDEX(photos!$H$2:$H$701,MATCH($A231&amp;"|"&amp;$B231&amp;"|later|Y|"&amp;$AI231,photos!$S$2:$S$701,0))="","",INDEX(photos!$H$2:$H$701,MATCH($A231&amp;"|"&amp;$B231&amp;"|later|Y|"&amp;$AI231,photos!$S$2:$S$701,0))),""))</f>
        <v/>
      </c>
      <c r="AI231" s="26">
        <f>IF($A231="","",IFERROR(1/(1/SUMPRODUCT(MAX((photos!$B$2:$B$701=$A231)*(photos!$C$2:$C$701=$B231)*(photos!$D$2:$D$701="later")*(photos!$O$2:$O$701="Y")*photos!$E$2:$E$701))),""))</f>
        <v/>
      </c>
      <c r="AJ231" s="25">
        <f>IF(OR($A231="",$AI231="",$I231=""),"",NETWORKDAYS($I231,$AI231,calendar!$A$2:$A$80))</f>
        <v/>
      </c>
      <c r="AK231" s="25">
        <f>IF($A231="","",IF(AND($X231&lt;&gt;"",$AH231&lt;&gt;""),"Y","N"))</f>
        <v/>
      </c>
      <c r="AL231" s="25">
        <f>IF(OR($A231="",$I231=""),"",IF($BC231="Y",SUMIFS(survey_frozen!$C$2:$C$251,survey_frozen!$P$2:$P$251,$A231&amp;"|"&amp;$B231),IFERROR(COUNTIFS(INDIRECT("'"&amp;$A231&amp;"'!$B$2:$B$501"),$T231,INDIRECT("'"&amp;$A231&amp;"'!$A$2:$A$501"),"&gt;="&amp;$I231,INDIRECT("'"&amp;$A231&amp;"'!$A$2:$A$501"),"&lt;"&amp;($BA231+1)),0)))</f>
        <v/>
      </c>
      <c r="AM231" s="25">
        <f>IF(OR($A231="",$I231=""),"",IF($BC231="Y",SUMIFS(survey_frozen!$D$2:$D$251,survey_frozen!$P$2:$P$251,$A231&amp;"|"&amp;$B231),IFERROR(COUNTIFS(INDIRECT("'"&amp;$A231&amp;"'!$B$2:$B$501"),$T231,INDIRECT("'"&amp;$A231&amp;"'!$A$2:$A$501"),"&gt;="&amp;$I231,INDIRECT("'"&amp;$A231&amp;"'!$A$2:$A$501"),"&lt;"&amp;($BA231+1),INDIRECT("'"&amp;$A231&amp;"'!$C$2:$C$501"),"Yes"),0)))</f>
        <v/>
      </c>
      <c r="AN231" s="25">
        <f>IF($A231="","",IF(COUNTIFS(scans!$C$2:$C$1601,(IF(LEFT($A231,7)="SAMPLE-","SAMPLE-","")&amp;LOWER(SUBSTITUTE(SUBSTITUTE($A231,"SAMPLE-",""),"CMP-","c"))&amp;"-"&amp;LOWER(SUBSTITUTE(SUBSTITUTE($B231,"SAMPLE-",""),"O-","o"))&amp;"-q"),scans!$D$2:$D$1601,"close")=0,"",SUMPRODUCT(MAX((scans!$C$2:$C$1601=(IF(LEFT($A231,7)="SAMPLE-","SAMPLE-","")&amp;LOWER(SUBSTITUTE(SUBSTITUTE($A231,"SAMPLE-",""),"CMP-","c"))&amp;"-"&amp;LOWER(SUBSTITUTE(SUBSTITUTE($B231,"SAMPLE-",""),"O-","o"))&amp;"-q"))*(scans!$D$2:$D$1601="close")*scans!$E$2:$E$1601))-SUMPRODUCT(MAX((scans!$C$2:$C$1601=(IF(LEFT($A231,7)="SAMPLE-","SAMPLE-","")&amp;LOWER(SUBSTITUTE(SUBSTITUTE($A231,"SAMPLE-",""),"CMP-","c"))&amp;"-"&amp;LOWER(SUBSTITUTE(SUBSTITUTE($B231,"SAMPLE-",""),"O-","o"))&amp;"-q"))*(scans!$D$2:$D$1601="baseline")*scans!$E$2:$E$1601))))</f>
        <v/>
      </c>
      <c r="AO231" s="25">
        <f>IF($A231="","",IF(COUNTIFS(scans!$C$2:$C$1601,(IF(LEFT($A231,7)="SAMPLE-","SAMPLE-","")&amp;LOWER(SUBSTITUTE(SUBSTITUTE($A231,"SAMPLE-",""),"CMP-","c"))&amp;"-"&amp;LOWER(SUBSTITUTE(SUBSTITUTE($B231,"SAMPLE-",""),"O-","o"))&amp;"-p"),scans!$D$2:$D$1601,"close")=0,"",SUMPRODUCT(MAX((scans!$C$2:$C$1601=(IF(LEFT($A231,7)="SAMPLE-","SAMPLE-","")&amp;LOWER(SUBSTITUTE(SUBSTITUTE($A231,"SAMPLE-",""),"CMP-","c"))&amp;"-"&amp;LOWER(SUBSTITUTE(SUBSTITUTE($B231,"SAMPLE-",""),"O-","o"))&amp;"-p"))*(scans!$D$2:$D$1601="close")*scans!$E$2:$E$1601))-SUMPRODUCT(MAX((scans!$C$2:$C$1601=(IF(LEFT($A231,7)="SAMPLE-","SAMPLE-","")&amp;LOWER(SUBSTITUTE(SUBSTITUTE($A231,"SAMPLE-",""),"CMP-","c"))&amp;"-"&amp;LOWER(SUBSTITUTE(SUBSTITUTE($B231,"SAMPLE-",""),"O-","o"))&amp;"-p"))*(scans!$D$2:$D$1601="baseline")*scans!$E$2:$E$1601))))</f>
        <v/>
      </c>
      <c r="AP231" s="25">
        <f>IF($A231="","",IF(COUNTIF(offices!$A$2:$A$61,$B231)=0,"office_id not on offices; ","")&amp;IF(COUNTIF(campaigns!$A$2:$A$51,$A231)=0,"campaign_id not on campaigns; ","")&amp;IF($P231="pending","approval pending; ","")&amp;IF(AND($U231&gt;0,$Y231="",OR($I231="",IF(config!$B$37&lt;&gt;"",config!$B$37,TODAY())&lt;=WORKDAY(N($I231),4,calendar!$A$2:$A$80))),"no usable placement photo yet; ","")&amp;IF(AND($Y231&lt;&gt;"",$Z231=""),"log the placed count; ","")&amp;IF(N($AA231)&gt;N($U231),"placed more than delivered; ","")&amp;IF(AND($AF231&lt;&gt;"",N($AF231)&gt;N($AA231)+N($AD231)),"day-5 count above placed plus top-ups; ","")&amp;IF(AND($U231&gt;0,$I231&lt;&gt;"",IF(config!$B$37&lt;&gt;"",config!$B$37,TODAY())&gt;WORKDAY(N($I231),4,calendar!$A$2:$A$80),$AF231=""),"day-5 count missing; ","")&amp;IF(AND($U231&gt;0,$I231&lt;&gt;"",IF(config!$B$37&lt;&gt;"",config!$B$37,TODAY())&gt;WORKDAY(N($I231),4,calendar!$A$2:$A$80),$AN231=""),"no close link reading; ","")&amp;$R231&amp;IF($P231="N","info: office said no; ","")&amp;IF(AND($P231="Y",$Q231="N"),"info: turned away at the door, so not on the drop (no letter, not in the report or Gate 2; the credit check is on campaigns); ","")&amp;IF(AND($U231&gt;0,$Y231="",$I231&lt;&gt;"",IF(config!$B$37&lt;&gt;"",config!$B$37,TODAY())&gt;WORKDAY(N($I231),4,calendar!$A$2:$A$80)),"info: no usable placement photo, so nothing counts as placed; ","")&amp;IF(AND($U231&gt;0,$I231&lt;&gt;"",IF(config!$B$37&lt;&gt;"",config!$B$37,TODAY())&gt;WORKDAY(N($I231),4,calendar!$A$2:$A$80),N($AL231)&lt;config!$B$30),"info: under "&amp;config!$B$30&amp;" responses; ","")&amp;IF($W231="packing_list","info: delivered count not verified; ",""))</f>
        <v/>
      </c>
      <c r="AQ231" s="25">
        <f>IF(OR($A231="",$I231=""),"",IF($BC231="Y",SUMIFS(survey_frozen!$E$2:$E$251,survey_frozen!$P$2:$P$251,$A231&amp;"|"&amp;$B231),IFERROR(COUNTIFS(INDIRECT("'"&amp;$A231&amp;"'!$B$2:$B$501"),$T231,INDIRECT("'"&amp;$A231&amp;"'!$A$2:$A$501"),"&gt;="&amp;$I231,INDIRECT("'"&amp;$A231&amp;"'!$A$2:$A$501"),"&lt;"&amp;($BA231+1),INDIRECT("'"&amp;$A231&amp;"'!$F$2:$F$501"),"Didn't see it"),0)))</f>
        <v/>
      </c>
      <c r="AR231" s="25">
        <f>IF(OR($A231="",$I231=""),"",IF($BC231="Y",SUMIFS(survey_frozen!$F$2:$F$251,survey_frozen!$P$2:$P$251,$A231&amp;"|"&amp;$B231),IFERROR(COUNTIFS(INDIRECT("'"&amp;$A231&amp;"'!$B$2:$B$501"),$T231,INDIRECT("'"&amp;$A231&amp;"'!$A$2:$A$501"),"&gt;="&amp;$I231,INDIRECT("'"&amp;$A231&amp;"'!$A$2:$A$501"),"&lt;"&amp;($BA231+1),INDIRECT("'"&amp;$A231&amp;"'!$F$2:$F$501"),"Not for me"),0)))</f>
        <v/>
      </c>
      <c r="AS231" s="25">
        <f>IF(OR($A231="",$I231=""),"",IF($BC231="Y",SUMIFS(survey_frozen!$G$2:$G$251,survey_frozen!$P$2:$P$251,$A231&amp;"|"&amp;$B231),IFERROR(COUNTIFS(INDIRECT("'"&amp;$A231&amp;"'!$B$2:$B$501"),$T231,INDIRECT("'"&amp;$A231&amp;"'!$A$2:$A$501"),"&gt;="&amp;$I231,INDIRECT("'"&amp;$A231&amp;"'!$A$2:$A$501"),"&lt;"&amp;($BA231+1),INDIRECT("'"&amp;$A231&amp;"'!$F$2:$F$501"),"Gone by the time I looked"),0)))</f>
        <v/>
      </c>
      <c r="AT231" s="25">
        <f>IF(OR($A231="",$I231=""),"",IF($BC231="Y",SUMIFS(survey_frozen!$H$2:$H$251,survey_frozen!$P$2:$P$251,$A231&amp;"|"&amp;$B231),IFERROR(COUNTIFS(INDIRECT("'"&amp;$A231&amp;"'!$B$2:$B$501"),$T231,INDIRECT("'"&amp;$A231&amp;"'!$A$2:$A$501"),"&gt;="&amp;$I231,INDIRECT("'"&amp;$A231&amp;"'!$A$2:$A$501"),"&lt;"&amp;($BA231+1),INDIRECT("'"&amp;$A231&amp;"'!$D$2:$D$501"),"&gt;=1"),0)))</f>
        <v/>
      </c>
      <c r="AU231" s="25">
        <f>IF(OR($A231="",$I231=""),"",IF($BC231="Y",SUMIFS(survey_frozen!$I$2:$I$251,survey_frozen!$P$2:$P$251,$A231&amp;"|"&amp;$B231),IFERROR(SUMIFS(INDIRECT("'"&amp;$A231&amp;"'!$D$2:$D$501"),INDIRECT("'"&amp;$A231&amp;"'!$B$2:$B$501"),$T231,INDIRECT("'"&amp;$A231&amp;"'!$A$2:$A$501"),"&gt;="&amp;$I231,INDIRECT("'"&amp;$A231&amp;"'!$A$2:$A$501"),"&lt;"&amp;($BA231+1)),0)))</f>
        <v/>
      </c>
      <c r="AV231" s="25">
        <f>IF(OR($A231="",$I231=""),"",IF($BC231="Y",SUMIFS(survey_frozen!$J$2:$J$251,survey_frozen!$P$2:$P$251,$A231&amp;"|"&amp;$B231),IFERROR(COUNTIFS(INDIRECT("'"&amp;$A231&amp;"'!$B$2:$B$501"),$T231,INDIRECT("'"&amp;$A231&amp;"'!$A$2:$A$501"),"&gt;="&amp;$I231,INDIRECT("'"&amp;$A231&amp;"'!$A$2:$A$501"),"&lt;"&amp;($BA231+1),INDIRECT("'"&amp;$A231&amp;"'!$E$2:$E$501"),"Yes"),0)))</f>
        <v/>
      </c>
      <c r="AW231" s="25">
        <f>IF(OR($A231="",$I231=""),"",IF($BC231="Y",SUMIFS(survey_frozen!$K$2:$K$251,survey_frozen!$P$2:$P$251,$A231&amp;"|"&amp;$B231),IFERROR(COUNTIFS(INDIRECT("'"&amp;$A231&amp;"'!$B$2:$B$501"),$T231,INDIRECT("'"&amp;$A231&amp;"'!$A$2:$A$501"),"&gt;="&amp;$I231,INDIRECT("'"&amp;$A231&amp;"'!$A$2:$A$501"),"&lt;"&amp;($BA231+1),INDIRECT("'"&amp;$A231&amp;"'!$E$2:$E$501"),"Maybe"),0)))</f>
        <v/>
      </c>
      <c r="AX231" s="25">
        <f>IF(OR($A231="",$I231=""),"",IF($BC231="Y",SUMIFS(survey_frozen!$L$2:$L$251,survey_frozen!$P$2:$P$251,$A231&amp;"|"&amp;$B231),IFERROR(COUNTIFS(INDIRECT("'"&amp;$A231&amp;"'!$B$2:$B$501"),$T231,INDIRECT("'"&amp;$A231&amp;"'!$A$2:$A$501"),"&gt;="&amp;$I231,INDIRECT("'"&amp;$A231&amp;"'!$A$2:$A$501"),"&lt;"&amp;($BA231+1),INDIRECT("'"&amp;$A231&amp;"'!$E$2:$E$501"),"No"),0)))</f>
        <v/>
      </c>
      <c r="AY231" s="25">
        <f>IF(OR($A231="",$I231=""),"",IF($BC231="Y",SUMIFS(survey_frozen!$M$2:$M$251,survey_frozen!$P$2:$P$251,$A231&amp;"|"&amp;$B231),IFERROR(COUNTIFS(INDIRECT("'"&amp;$A231&amp;"'!$B$2:$B$501"),$T231,INDIRECT("'"&amp;$A231&amp;"'!$A$2:$A$501"),"&gt;="&amp;$I231,INDIRECT("'"&amp;$A231&amp;"'!$A$2:$A$501"),"&lt;"&amp;($BA231+1),INDIRECT("'"&amp;$A231&amp;"'!$G$2:$G$501"),"&lt;&gt;"),0)))</f>
        <v/>
      </c>
      <c r="AZ231" s="25">
        <f>IF($A231="","",$A231&amp;"|"&amp;$L231)</f>
        <v/>
      </c>
      <c r="BA231" s="26">
        <f>IF($A231="","",IFERROR(IF(INDEX(drops!$R$2:$R$21,MATCH($H231,drops!$A$2:$A$21,0))="","",INDEX(drops!$R$2:$R$21,MATCH($H231,drops!$A$2:$A$21,0))),""))</f>
        <v/>
      </c>
      <c r="BB231" s="25">
        <f>IF(OR($A231="",$Q231&lt;&gt;"Y"),1000000,N($AL231))</f>
        <v/>
      </c>
      <c r="BC231" s="25">
        <f>IF($A231="","",IF(COUNTIF(survey_frozen!$P$2:$P$251,$A231&amp;"|"&amp;$B231)&gt;0,"Y",""))</f>
        <v/>
      </c>
    </row>
    <row r="232">
      <c r="C232" s="9" t="n"/>
      <c r="E232" s="9" t="n"/>
      <c r="H232" s="25">
        <f>IF($A232="","",IFERROR(IF(INDEX(campaigns!$B$2:$B$51,MATCH($A232,campaigns!$A$2:$A$51,0))="","",INDEX(campaigns!$B$2:$B$51,MATCH($A232,campaigns!$A$2:$A$51,0))),""))</f>
        <v/>
      </c>
      <c r="I232" s="26">
        <f>IF($A232="","",IFERROR(IF(INDEX(campaigns!$BG$2:$BG$51,MATCH($A232,campaigns!$A$2:$A$51,0))="","",INDEX(campaigns!$BG$2:$BG$51,MATCH($A232,campaigns!$A$2:$A$51,0))),""))</f>
        <v/>
      </c>
      <c r="J232" s="25">
        <f>IF($A232="","",IFERROR(IF(INDEX(campaigns!$BE$2:$BE$51,MATCH($A232,campaigns!$A$2:$A$51,0))="","",INDEX(campaigns!$BE$2:$BE$51,MATCH($A232,campaigns!$A$2:$A$51,0))),""))</f>
        <v/>
      </c>
      <c r="K232" s="25">
        <f>IF($B232="","",IFERROR(IF(INDEX(offices!$N$2:$N$61,MATCH($B232,offices!$A$2:$A$61,0))="","",INDEX(offices!$N$2:$N$61,MATCH($B232,offices!$A$2:$A$61,0))),""))</f>
        <v/>
      </c>
      <c r="L232" s="25">
        <f>IF($A232="","",IF($Q232="N","",COUNTIFS($A$2:$A232,$A232,$Q$2:$Q232,"&lt;&gt;N")))</f>
        <v/>
      </c>
      <c r="M232" s="25">
        <f>IF(OR($A232="",$L232=""),"",IF(AND(config!$B$34="names_if_public",IFERROR(IF(INDEX(offices!$AF$2:$AF$61,MATCH($B232,offices!$A$2:$A$61,0))="","",INDEX(offices!$AF$2:$AF$61,MATCH($B232,offices!$A$2:$A$61,0))),"")="Y"),$K232,CHAR(64+$L232)))</f>
        <v/>
      </c>
      <c r="N232" s="25">
        <f>IF(OR($A232="",$I232=""),"",COUNTIFS(stops!$B$2:$B$151,$B232,stops!$P$2:$P$151,"&lt;"&amp;$I232,stops!$L$2:$L$151,"&lt;&gt;not_delivered")+1)</f>
        <v/>
      </c>
      <c r="O232" s="25">
        <f>IF($A232="","",IF(N($N232)&lt;=config!$B$29,"explicit","opt-out"))</f>
        <v/>
      </c>
      <c r="P232" s="25">
        <f>IF($A232="","",IF($O232="explicit",IF($D232="yes","Y",IF($D232="no","N","pending")),IF($D232="no","N",IF(AND($C232&lt;&gt;"",$I232&lt;&gt;"",$C232&lt;=WORKDAY(N($I232),-5,calendar!$A$2:$A$80)),"Y","pending"))))</f>
        <v/>
      </c>
      <c r="Q232" s="25">
        <f>IF($A232="","",IF($P232="N","N",IF($P232&lt;&gt;"Y","pending",IF(AND((COUNTIFS(stops!$A$2:$A$151,$H232,stops!$B$2:$B$151,$B232,stops!$L$2:$L$151,"declined")+COUNTIFS(stops!$A$2:$A$151,$H232,stops!$B$2:$B$151,$B232,stops!$L$2:$L$151,"building_refused")+COUNTIFS(stops!$A$2:$A$151,$H232,stops!$B$2:$B$151,$B232,stops!$L$2:$L$151,"not_delivered"))&gt;0,N($U232)=0),"N","Y"))))</f>
        <v/>
      </c>
      <c r="R232" s="25">
        <f>IF($A232="","",IF(COUNTIFS($A$2:$A$251,$A232,$B$2:$B$251,$B232)&gt;1,"DUPLICATE ROW; ","")&amp;IF(AND(IFERROR(IF(INDEX(offices!$AC$2:$AC$61,MATCH($B232,offices!$A$2:$A$61,0))="","",INDEX(offices!$AC$2:$AC$61,MATCH($B232,offices!$A$2:$A$61,0))),"")&lt;&gt;"",ISNUMBER(SEARCH($J232,IFERROR(IF(INDEX(offices!$AC$2:$AC$61,MATCH($B232,offices!$A$2:$A$61,0))="","",INDEX(offices!$AC$2:$AC$61,MATCH($B232,offices!$A$2:$A$61,0))),"")))),"BRAND VETOED; ","")&amp;IF(ISNUMBER(SEARCH(IFERROR(IF(INDEX(campaigns!$BF$2:$BF$51,MATCH($A232,campaigns!$A$2:$A$51,0))="","",INDEX(campaigns!$BF$2:$BF$51,MATCH($A232,campaigns!$A$2:$A$51,0))),""),IFERROR(IF(INDEX(offices!$AB$2:$AB$61,MATCH($B232,offices!$A$2:$A$61,0))="","",INDEX(offices!$AB$2:$AB$61,MATCH($B232,offices!$A$2:$A$61,0))),""))),"","info: category not on the office's list; ")&amp;IF(IFERROR(IF(INDEX(offices!$AC$2:$AC$61,MATCH($B232,offices!$A$2:$A$61,0))="","",INDEX(offices!$AC$2:$AC$61,MATCH($B232,offices!$A$2:$A$61,0))),"")&lt;&gt;"","info: read the vetoes against the label; ",""))</f>
        <v/>
      </c>
      <c r="S232" s="25">
        <f>IF($A232="","",IF($G232&lt;&gt;"",$G232,IFERROR(IF(INDEX(offices!$AL$2:$AL$61,MATCH($B232,offices!$A$2:$A$61,0))="","",INDEX(offices!$AL$2:$AL$61,MATCH($B232,offices!$A$2:$A$61,0))),"")))</f>
        <v/>
      </c>
      <c r="T232" s="25">
        <f>IF($A232="","",$A232&amp;"."&amp;$B232)</f>
        <v/>
      </c>
      <c r="U232" s="25">
        <f>IF($A232="","",SUMIFS(inventory!$G$2:$G$801,inventory!$C$2:$C$801,$A232,inventory!$D$2:$D$801,$B232,inventory!$E$2:$E$801,"delivered"))</f>
        <v/>
      </c>
      <c r="V232" s="32">
        <f>IF($A232="","",IFERROR(1/(1/SUMPRODUCT(MAX((inventory!$C$2:$C$801=$A232)*(inventory!$D$2:$D$801=$B232)*(inventory!$E$2:$E$801="delivered")*(inventory!$A$2:$A$801+inventory!$B$2:$B$801)))),""))</f>
        <v/>
      </c>
      <c r="W232" s="25">
        <f>IF($A232="","",IFERROR(IF(INDEX(inventory!$J$2:$J$801,MATCH($A232&amp;"|"&amp;$B232&amp;"|delivered",inventory!$R$2:$R$801,0))="","",INDEX(inventory!$J$2:$J$801,MATCH($A232&amp;"|"&amp;$B232&amp;"|delivered",inventory!$R$2:$R$801,0))),""))</f>
        <v/>
      </c>
      <c r="X232" s="25">
        <f>IF($A232="","",IFERROR(IF(INDEX(photos!$H$2:$H$701,MATCH($A232&amp;"|"&amp;$B232&amp;"|placement|Y",photos!$R$2:$R$701,0))="","",INDEX(photos!$H$2:$H$701,MATCH($A232&amp;"|"&amp;$B232&amp;"|placement|Y",photos!$R$2:$R$701,0))),""))</f>
        <v/>
      </c>
      <c r="Y232" s="26">
        <f>IF($A232="","",IFERROR(IF(INDEX(photos!$E$2:$E$701,MATCH($A232&amp;"|"&amp;$B232&amp;"|placement|Y",photos!$R$2:$R$701,0))="","",INDEX(photos!$E$2:$E$701,MATCH($A232&amp;"|"&amp;$B232&amp;"|placement|Y",photos!$R$2:$R$701,0))),""))</f>
        <v/>
      </c>
      <c r="Z232" s="25">
        <f>IF($A232="","",IF(COUNTIFS(counts!$C$2:$C$701,$A232,counts!$D$2:$D$701,$B232,counts!$E$2:$E$701,"placed")=0,"",SUMIFS(counts!$F$2:$F$701,counts!$C$2:$C$701,$A232,counts!$D$2:$D$701,$B232,counts!$E$2:$E$701,"placed")))</f>
        <v/>
      </c>
      <c r="AA232" s="25">
        <f>IF($A232="","",IF($Y232="",0,N($Z232)))</f>
        <v/>
      </c>
      <c r="AB232" s="25">
        <f>IF($A232="","",IF(OR($Y232="",$I232=""),"N",IF($Y232&lt;=WORKDAY(N($I232),1,calendar!$A$2:$A$80),"Y","N")))</f>
        <v/>
      </c>
      <c r="AC232" s="28">
        <f>IF(OR($A232="",$V232="",$Y232=""),"",ROUND(($Y232+N(IFERROR(IF(INDEX(photos!$F$2:$F$701,MATCH($A232&amp;"|"&amp;$B232&amp;"|placement|Y",photos!$R$2:$R$701,0))="","",INDEX(photos!$F$2:$F$701,MATCH($A232&amp;"|"&amp;$B232&amp;"|placement|Y",photos!$R$2:$R$701,0))),""))-$V232)*24,1))</f>
        <v/>
      </c>
      <c r="AD232" s="25">
        <f>IF($A232="","",SUMIFS(inventory!$G$2:$G$801,inventory!$C$2:$C$801,$A232,inventory!$D$2:$D$801,$B232,inventory!$E$2:$E$801,"topped_up"))</f>
        <v/>
      </c>
      <c r="AE232" s="25">
        <f>IF($A232="","",IF(COUNTIFS(counts!$C$2:$C$701,$A232,counts!$D$2:$D$701,$B232,counts!$E$2:$E$701,"remaining_day3")=0,"",SUMIFS(counts!$F$2:$F$701,counts!$C$2:$C$701,$A232,counts!$D$2:$D$701,$B232,counts!$E$2:$E$701,"remaining_day3")))</f>
        <v/>
      </c>
      <c r="AF232" s="25">
        <f>IF($A232="","",IF(COUNTIFS(counts!$C$2:$C$701,$A232,counts!$D$2:$D$701,$B232,counts!$E$2:$E$701,"remaining_day5")=0,"",SUMIFS(counts!$F$2:$F$701,counts!$C$2:$C$701,$A232,counts!$D$2:$D$701,$B232,counts!$E$2:$E$701,"remaining_day5")))</f>
        <v/>
      </c>
      <c r="AG232" s="25">
        <f>IF(OR($A232="",$AF232=""),"",MAX(0,$AA232+$AD232-$AF232))</f>
        <v/>
      </c>
      <c r="AH232" s="25">
        <f>IF(OR($A232="",$AI232=""),"",IFERROR(IF(INDEX(photos!$H$2:$H$701,MATCH($A232&amp;"|"&amp;$B232&amp;"|later|Y|"&amp;$AI232,photos!$S$2:$S$701,0))="","",INDEX(photos!$H$2:$H$701,MATCH($A232&amp;"|"&amp;$B232&amp;"|later|Y|"&amp;$AI232,photos!$S$2:$S$701,0))),""))</f>
        <v/>
      </c>
      <c r="AI232" s="26">
        <f>IF($A232="","",IFERROR(1/(1/SUMPRODUCT(MAX((photos!$B$2:$B$701=$A232)*(photos!$C$2:$C$701=$B232)*(photos!$D$2:$D$701="later")*(photos!$O$2:$O$701="Y")*photos!$E$2:$E$701))),""))</f>
        <v/>
      </c>
      <c r="AJ232" s="25">
        <f>IF(OR($A232="",$AI232="",$I232=""),"",NETWORKDAYS($I232,$AI232,calendar!$A$2:$A$80))</f>
        <v/>
      </c>
      <c r="AK232" s="25">
        <f>IF($A232="","",IF(AND($X232&lt;&gt;"",$AH232&lt;&gt;""),"Y","N"))</f>
        <v/>
      </c>
      <c r="AL232" s="25">
        <f>IF(OR($A232="",$I232=""),"",IF($BC232="Y",SUMIFS(survey_frozen!$C$2:$C$251,survey_frozen!$P$2:$P$251,$A232&amp;"|"&amp;$B232),IFERROR(COUNTIFS(INDIRECT("'"&amp;$A232&amp;"'!$B$2:$B$501"),$T232,INDIRECT("'"&amp;$A232&amp;"'!$A$2:$A$501"),"&gt;="&amp;$I232,INDIRECT("'"&amp;$A232&amp;"'!$A$2:$A$501"),"&lt;"&amp;($BA232+1)),0)))</f>
        <v/>
      </c>
      <c r="AM232" s="25">
        <f>IF(OR($A232="",$I232=""),"",IF($BC232="Y",SUMIFS(survey_frozen!$D$2:$D$251,survey_frozen!$P$2:$P$251,$A232&amp;"|"&amp;$B232),IFERROR(COUNTIFS(INDIRECT("'"&amp;$A232&amp;"'!$B$2:$B$501"),$T232,INDIRECT("'"&amp;$A232&amp;"'!$A$2:$A$501"),"&gt;="&amp;$I232,INDIRECT("'"&amp;$A232&amp;"'!$A$2:$A$501"),"&lt;"&amp;($BA232+1),INDIRECT("'"&amp;$A232&amp;"'!$C$2:$C$501"),"Yes"),0)))</f>
        <v/>
      </c>
      <c r="AN232" s="25">
        <f>IF($A232="","",IF(COUNTIFS(scans!$C$2:$C$1601,(IF(LEFT($A232,7)="SAMPLE-","SAMPLE-","")&amp;LOWER(SUBSTITUTE(SUBSTITUTE($A232,"SAMPLE-",""),"CMP-","c"))&amp;"-"&amp;LOWER(SUBSTITUTE(SUBSTITUTE($B232,"SAMPLE-",""),"O-","o"))&amp;"-q"),scans!$D$2:$D$1601,"close")=0,"",SUMPRODUCT(MAX((scans!$C$2:$C$1601=(IF(LEFT($A232,7)="SAMPLE-","SAMPLE-","")&amp;LOWER(SUBSTITUTE(SUBSTITUTE($A232,"SAMPLE-",""),"CMP-","c"))&amp;"-"&amp;LOWER(SUBSTITUTE(SUBSTITUTE($B232,"SAMPLE-",""),"O-","o"))&amp;"-q"))*(scans!$D$2:$D$1601="close")*scans!$E$2:$E$1601))-SUMPRODUCT(MAX((scans!$C$2:$C$1601=(IF(LEFT($A232,7)="SAMPLE-","SAMPLE-","")&amp;LOWER(SUBSTITUTE(SUBSTITUTE($A232,"SAMPLE-",""),"CMP-","c"))&amp;"-"&amp;LOWER(SUBSTITUTE(SUBSTITUTE($B232,"SAMPLE-",""),"O-","o"))&amp;"-q"))*(scans!$D$2:$D$1601="baseline")*scans!$E$2:$E$1601))))</f>
        <v/>
      </c>
      <c r="AO232" s="25">
        <f>IF($A232="","",IF(COUNTIFS(scans!$C$2:$C$1601,(IF(LEFT($A232,7)="SAMPLE-","SAMPLE-","")&amp;LOWER(SUBSTITUTE(SUBSTITUTE($A232,"SAMPLE-",""),"CMP-","c"))&amp;"-"&amp;LOWER(SUBSTITUTE(SUBSTITUTE($B232,"SAMPLE-",""),"O-","o"))&amp;"-p"),scans!$D$2:$D$1601,"close")=0,"",SUMPRODUCT(MAX((scans!$C$2:$C$1601=(IF(LEFT($A232,7)="SAMPLE-","SAMPLE-","")&amp;LOWER(SUBSTITUTE(SUBSTITUTE($A232,"SAMPLE-",""),"CMP-","c"))&amp;"-"&amp;LOWER(SUBSTITUTE(SUBSTITUTE($B232,"SAMPLE-",""),"O-","o"))&amp;"-p"))*(scans!$D$2:$D$1601="close")*scans!$E$2:$E$1601))-SUMPRODUCT(MAX((scans!$C$2:$C$1601=(IF(LEFT($A232,7)="SAMPLE-","SAMPLE-","")&amp;LOWER(SUBSTITUTE(SUBSTITUTE($A232,"SAMPLE-",""),"CMP-","c"))&amp;"-"&amp;LOWER(SUBSTITUTE(SUBSTITUTE($B232,"SAMPLE-",""),"O-","o"))&amp;"-p"))*(scans!$D$2:$D$1601="baseline")*scans!$E$2:$E$1601))))</f>
        <v/>
      </c>
      <c r="AP232" s="25">
        <f>IF($A232="","",IF(COUNTIF(offices!$A$2:$A$61,$B232)=0,"office_id not on offices; ","")&amp;IF(COUNTIF(campaigns!$A$2:$A$51,$A232)=0,"campaign_id not on campaigns; ","")&amp;IF($P232="pending","approval pending; ","")&amp;IF(AND($U232&gt;0,$Y232="",OR($I232="",IF(config!$B$37&lt;&gt;"",config!$B$37,TODAY())&lt;=WORKDAY(N($I232),4,calendar!$A$2:$A$80))),"no usable placement photo yet; ","")&amp;IF(AND($Y232&lt;&gt;"",$Z232=""),"log the placed count; ","")&amp;IF(N($AA232)&gt;N($U232),"placed more than delivered; ","")&amp;IF(AND($AF232&lt;&gt;"",N($AF232)&gt;N($AA232)+N($AD232)),"day-5 count above placed plus top-ups; ","")&amp;IF(AND($U232&gt;0,$I232&lt;&gt;"",IF(config!$B$37&lt;&gt;"",config!$B$37,TODAY())&gt;WORKDAY(N($I232),4,calendar!$A$2:$A$80),$AF232=""),"day-5 count missing; ","")&amp;IF(AND($U232&gt;0,$I232&lt;&gt;"",IF(config!$B$37&lt;&gt;"",config!$B$37,TODAY())&gt;WORKDAY(N($I232),4,calendar!$A$2:$A$80),$AN232=""),"no close link reading; ","")&amp;$R232&amp;IF($P232="N","info: office said no; ","")&amp;IF(AND($P232="Y",$Q232="N"),"info: turned away at the door, so not on the drop (no letter, not in the report or Gate 2; the credit check is on campaigns); ","")&amp;IF(AND($U232&gt;0,$Y232="",$I232&lt;&gt;"",IF(config!$B$37&lt;&gt;"",config!$B$37,TODAY())&gt;WORKDAY(N($I232),4,calendar!$A$2:$A$80)),"info: no usable placement photo, so nothing counts as placed; ","")&amp;IF(AND($U232&gt;0,$I232&lt;&gt;"",IF(config!$B$37&lt;&gt;"",config!$B$37,TODAY())&gt;WORKDAY(N($I232),4,calendar!$A$2:$A$80),N($AL232)&lt;config!$B$30),"info: under "&amp;config!$B$30&amp;" responses; ","")&amp;IF($W232="packing_list","info: delivered count not verified; ",""))</f>
        <v/>
      </c>
      <c r="AQ232" s="25">
        <f>IF(OR($A232="",$I232=""),"",IF($BC232="Y",SUMIFS(survey_frozen!$E$2:$E$251,survey_frozen!$P$2:$P$251,$A232&amp;"|"&amp;$B232),IFERROR(COUNTIFS(INDIRECT("'"&amp;$A232&amp;"'!$B$2:$B$501"),$T232,INDIRECT("'"&amp;$A232&amp;"'!$A$2:$A$501"),"&gt;="&amp;$I232,INDIRECT("'"&amp;$A232&amp;"'!$A$2:$A$501"),"&lt;"&amp;($BA232+1),INDIRECT("'"&amp;$A232&amp;"'!$F$2:$F$501"),"Didn't see it"),0)))</f>
        <v/>
      </c>
      <c r="AR232" s="25">
        <f>IF(OR($A232="",$I232=""),"",IF($BC232="Y",SUMIFS(survey_frozen!$F$2:$F$251,survey_frozen!$P$2:$P$251,$A232&amp;"|"&amp;$B232),IFERROR(COUNTIFS(INDIRECT("'"&amp;$A232&amp;"'!$B$2:$B$501"),$T232,INDIRECT("'"&amp;$A232&amp;"'!$A$2:$A$501"),"&gt;="&amp;$I232,INDIRECT("'"&amp;$A232&amp;"'!$A$2:$A$501"),"&lt;"&amp;($BA232+1),INDIRECT("'"&amp;$A232&amp;"'!$F$2:$F$501"),"Not for me"),0)))</f>
        <v/>
      </c>
      <c r="AS232" s="25">
        <f>IF(OR($A232="",$I232=""),"",IF($BC232="Y",SUMIFS(survey_frozen!$G$2:$G$251,survey_frozen!$P$2:$P$251,$A232&amp;"|"&amp;$B232),IFERROR(COUNTIFS(INDIRECT("'"&amp;$A232&amp;"'!$B$2:$B$501"),$T232,INDIRECT("'"&amp;$A232&amp;"'!$A$2:$A$501"),"&gt;="&amp;$I232,INDIRECT("'"&amp;$A232&amp;"'!$A$2:$A$501"),"&lt;"&amp;($BA232+1),INDIRECT("'"&amp;$A232&amp;"'!$F$2:$F$501"),"Gone by the time I looked"),0)))</f>
        <v/>
      </c>
      <c r="AT232" s="25">
        <f>IF(OR($A232="",$I232=""),"",IF($BC232="Y",SUMIFS(survey_frozen!$H$2:$H$251,survey_frozen!$P$2:$P$251,$A232&amp;"|"&amp;$B232),IFERROR(COUNTIFS(INDIRECT("'"&amp;$A232&amp;"'!$B$2:$B$501"),$T232,INDIRECT("'"&amp;$A232&amp;"'!$A$2:$A$501"),"&gt;="&amp;$I232,INDIRECT("'"&amp;$A232&amp;"'!$A$2:$A$501"),"&lt;"&amp;($BA232+1),INDIRECT("'"&amp;$A232&amp;"'!$D$2:$D$501"),"&gt;=1"),0)))</f>
        <v/>
      </c>
      <c r="AU232" s="25">
        <f>IF(OR($A232="",$I232=""),"",IF($BC232="Y",SUMIFS(survey_frozen!$I$2:$I$251,survey_frozen!$P$2:$P$251,$A232&amp;"|"&amp;$B232),IFERROR(SUMIFS(INDIRECT("'"&amp;$A232&amp;"'!$D$2:$D$501"),INDIRECT("'"&amp;$A232&amp;"'!$B$2:$B$501"),$T232,INDIRECT("'"&amp;$A232&amp;"'!$A$2:$A$501"),"&gt;="&amp;$I232,INDIRECT("'"&amp;$A232&amp;"'!$A$2:$A$501"),"&lt;"&amp;($BA232+1)),0)))</f>
        <v/>
      </c>
      <c r="AV232" s="25">
        <f>IF(OR($A232="",$I232=""),"",IF($BC232="Y",SUMIFS(survey_frozen!$J$2:$J$251,survey_frozen!$P$2:$P$251,$A232&amp;"|"&amp;$B232),IFERROR(COUNTIFS(INDIRECT("'"&amp;$A232&amp;"'!$B$2:$B$501"),$T232,INDIRECT("'"&amp;$A232&amp;"'!$A$2:$A$501"),"&gt;="&amp;$I232,INDIRECT("'"&amp;$A232&amp;"'!$A$2:$A$501"),"&lt;"&amp;($BA232+1),INDIRECT("'"&amp;$A232&amp;"'!$E$2:$E$501"),"Yes"),0)))</f>
        <v/>
      </c>
      <c r="AW232" s="25">
        <f>IF(OR($A232="",$I232=""),"",IF($BC232="Y",SUMIFS(survey_frozen!$K$2:$K$251,survey_frozen!$P$2:$P$251,$A232&amp;"|"&amp;$B232),IFERROR(COUNTIFS(INDIRECT("'"&amp;$A232&amp;"'!$B$2:$B$501"),$T232,INDIRECT("'"&amp;$A232&amp;"'!$A$2:$A$501"),"&gt;="&amp;$I232,INDIRECT("'"&amp;$A232&amp;"'!$A$2:$A$501"),"&lt;"&amp;($BA232+1),INDIRECT("'"&amp;$A232&amp;"'!$E$2:$E$501"),"Maybe"),0)))</f>
        <v/>
      </c>
      <c r="AX232" s="25">
        <f>IF(OR($A232="",$I232=""),"",IF($BC232="Y",SUMIFS(survey_frozen!$L$2:$L$251,survey_frozen!$P$2:$P$251,$A232&amp;"|"&amp;$B232),IFERROR(COUNTIFS(INDIRECT("'"&amp;$A232&amp;"'!$B$2:$B$501"),$T232,INDIRECT("'"&amp;$A232&amp;"'!$A$2:$A$501"),"&gt;="&amp;$I232,INDIRECT("'"&amp;$A232&amp;"'!$A$2:$A$501"),"&lt;"&amp;($BA232+1),INDIRECT("'"&amp;$A232&amp;"'!$E$2:$E$501"),"No"),0)))</f>
        <v/>
      </c>
      <c r="AY232" s="25">
        <f>IF(OR($A232="",$I232=""),"",IF($BC232="Y",SUMIFS(survey_frozen!$M$2:$M$251,survey_frozen!$P$2:$P$251,$A232&amp;"|"&amp;$B232),IFERROR(COUNTIFS(INDIRECT("'"&amp;$A232&amp;"'!$B$2:$B$501"),$T232,INDIRECT("'"&amp;$A232&amp;"'!$A$2:$A$501"),"&gt;="&amp;$I232,INDIRECT("'"&amp;$A232&amp;"'!$A$2:$A$501"),"&lt;"&amp;($BA232+1),INDIRECT("'"&amp;$A232&amp;"'!$G$2:$G$501"),"&lt;&gt;"),0)))</f>
        <v/>
      </c>
      <c r="AZ232" s="25">
        <f>IF($A232="","",$A232&amp;"|"&amp;$L232)</f>
        <v/>
      </c>
      <c r="BA232" s="26">
        <f>IF($A232="","",IFERROR(IF(INDEX(drops!$R$2:$R$21,MATCH($H232,drops!$A$2:$A$21,0))="","",INDEX(drops!$R$2:$R$21,MATCH($H232,drops!$A$2:$A$21,0))),""))</f>
        <v/>
      </c>
      <c r="BB232" s="25">
        <f>IF(OR($A232="",$Q232&lt;&gt;"Y"),1000000,N($AL232))</f>
        <v/>
      </c>
      <c r="BC232" s="25">
        <f>IF($A232="","",IF(COUNTIF(survey_frozen!$P$2:$P$251,$A232&amp;"|"&amp;$B232)&gt;0,"Y",""))</f>
        <v/>
      </c>
    </row>
    <row r="233">
      <c r="C233" s="9" t="n"/>
      <c r="E233" s="9" t="n"/>
      <c r="H233" s="25">
        <f>IF($A233="","",IFERROR(IF(INDEX(campaigns!$B$2:$B$51,MATCH($A233,campaigns!$A$2:$A$51,0))="","",INDEX(campaigns!$B$2:$B$51,MATCH($A233,campaigns!$A$2:$A$51,0))),""))</f>
        <v/>
      </c>
      <c r="I233" s="26">
        <f>IF($A233="","",IFERROR(IF(INDEX(campaigns!$BG$2:$BG$51,MATCH($A233,campaigns!$A$2:$A$51,0))="","",INDEX(campaigns!$BG$2:$BG$51,MATCH($A233,campaigns!$A$2:$A$51,0))),""))</f>
        <v/>
      </c>
      <c r="J233" s="25">
        <f>IF($A233="","",IFERROR(IF(INDEX(campaigns!$BE$2:$BE$51,MATCH($A233,campaigns!$A$2:$A$51,0))="","",INDEX(campaigns!$BE$2:$BE$51,MATCH($A233,campaigns!$A$2:$A$51,0))),""))</f>
        <v/>
      </c>
      <c r="K233" s="25">
        <f>IF($B233="","",IFERROR(IF(INDEX(offices!$N$2:$N$61,MATCH($B233,offices!$A$2:$A$61,0))="","",INDEX(offices!$N$2:$N$61,MATCH($B233,offices!$A$2:$A$61,0))),""))</f>
        <v/>
      </c>
      <c r="L233" s="25">
        <f>IF($A233="","",IF($Q233="N","",COUNTIFS($A$2:$A233,$A233,$Q$2:$Q233,"&lt;&gt;N")))</f>
        <v/>
      </c>
      <c r="M233" s="25">
        <f>IF(OR($A233="",$L233=""),"",IF(AND(config!$B$34="names_if_public",IFERROR(IF(INDEX(offices!$AF$2:$AF$61,MATCH($B233,offices!$A$2:$A$61,0))="","",INDEX(offices!$AF$2:$AF$61,MATCH($B233,offices!$A$2:$A$61,0))),"")="Y"),$K233,CHAR(64+$L233)))</f>
        <v/>
      </c>
      <c r="N233" s="25">
        <f>IF(OR($A233="",$I233=""),"",COUNTIFS(stops!$B$2:$B$151,$B233,stops!$P$2:$P$151,"&lt;"&amp;$I233,stops!$L$2:$L$151,"&lt;&gt;not_delivered")+1)</f>
        <v/>
      </c>
      <c r="O233" s="25">
        <f>IF($A233="","",IF(N($N233)&lt;=config!$B$29,"explicit","opt-out"))</f>
        <v/>
      </c>
      <c r="P233" s="25">
        <f>IF($A233="","",IF($O233="explicit",IF($D233="yes","Y",IF($D233="no","N","pending")),IF($D233="no","N",IF(AND($C233&lt;&gt;"",$I233&lt;&gt;"",$C233&lt;=WORKDAY(N($I233),-5,calendar!$A$2:$A$80)),"Y","pending"))))</f>
        <v/>
      </c>
      <c r="Q233" s="25">
        <f>IF($A233="","",IF($P233="N","N",IF($P233&lt;&gt;"Y","pending",IF(AND((COUNTIFS(stops!$A$2:$A$151,$H233,stops!$B$2:$B$151,$B233,stops!$L$2:$L$151,"declined")+COUNTIFS(stops!$A$2:$A$151,$H233,stops!$B$2:$B$151,$B233,stops!$L$2:$L$151,"building_refused")+COUNTIFS(stops!$A$2:$A$151,$H233,stops!$B$2:$B$151,$B233,stops!$L$2:$L$151,"not_delivered"))&gt;0,N($U233)=0),"N","Y"))))</f>
        <v/>
      </c>
      <c r="R233" s="25">
        <f>IF($A233="","",IF(COUNTIFS($A$2:$A$251,$A233,$B$2:$B$251,$B233)&gt;1,"DUPLICATE ROW; ","")&amp;IF(AND(IFERROR(IF(INDEX(offices!$AC$2:$AC$61,MATCH($B233,offices!$A$2:$A$61,0))="","",INDEX(offices!$AC$2:$AC$61,MATCH($B233,offices!$A$2:$A$61,0))),"")&lt;&gt;"",ISNUMBER(SEARCH($J233,IFERROR(IF(INDEX(offices!$AC$2:$AC$61,MATCH($B233,offices!$A$2:$A$61,0))="","",INDEX(offices!$AC$2:$AC$61,MATCH($B233,offices!$A$2:$A$61,0))),"")))),"BRAND VETOED; ","")&amp;IF(ISNUMBER(SEARCH(IFERROR(IF(INDEX(campaigns!$BF$2:$BF$51,MATCH($A233,campaigns!$A$2:$A$51,0))="","",INDEX(campaigns!$BF$2:$BF$51,MATCH($A233,campaigns!$A$2:$A$51,0))),""),IFERROR(IF(INDEX(offices!$AB$2:$AB$61,MATCH($B233,offices!$A$2:$A$61,0))="","",INDEX(offices!$AB$2:$AB$61,MATCH($B233,offices!$A$2:$A$61,0))),""))),"","info: category not on the office's list; ")&amp;IF(IFERROR(IF(INDEX(offices!$AC$2:$AC$61,MATCH($B233,offices!$A$2:$A$61,0))="","",INDEX(offices!$AC$2:$AC$61,MATCH($B233,offices!$A$2:$A$61,0))),"")&lt;&gt;"","info: read the vetoes against the label; ",""))</f>
        <v/>
      </c>
      <c r="S233" s="25">
        <f>IF($A233="","",IF($G233&lt;&gt;"",$G233,IFERROR(IF(INDEX(offices!$AL$2:$AL$61,MATCH($B233,offices!$A$2:$A$61,0))="","",INDEX(offices!$AL$2:$AL$61,MATCH($B233,offices!$A$2:$A$61,0))),"")))</f>
        <v/>
      </c>
      <c r="T233" s="25">
        <f>IF($A233="","",$A233&amp;"."&amp;$B233)</f>
        <v/>
      </c>
      <c r="U233" s="25">
        <f>IF($A233="","",SUMIFS(inventory!$G$2:$G$801,inventory!$C$2:$C$801,$A233,inventory!$D$2:$D$801,$B233,inventory!$E$2:$E$801,"delivered"))</f>
        <v/>
      </c>
      <c r="V233" s="32">
        <f>IF($A233="","",IFERROR(1/(1/SUMPRODUCT(MAX((inventory!$C$2:$C$801=$A233)*(inventory!$D$2:$D$801=$B233)*(inventory!$E$2:$E$801="delivered")*(inventory!$A$2:$A$801+inventory!$B$2:$B$801)))),""))</f>
        <v/>
      </c>
      <c r="W233" s="25">
        <f>IF($A233="","",IFERROR(IF(INDEX(inventory!$J$2:$J$801,MATCH($A233&amp;"|"&amp;$B233&amp;"|delivered",inventory!$R$2:$R$801,0))="","",INDEX(inventory!$J$2:$J$801,MATCH($A233&amp;"|"&amp;$B233&amp;"|delivered",inventory!$R$2:$R$801,0))),""))</f>
        <v/>
      </c>
      <c r="X233" s="25">
        <f>IF($A233="","",IFERROR(IF(INDEX(photos!$H$2:$H$701,MATCH($A233&amp;"|"&amp;$B233&amp;"|placement|Y",photos!$R$2:$R$701,0))="","",INDEX(photos!$H$2:$H$701,MATCH($A233&amp;"|"&amp;$B233&amp;"|placement|Y",photos!$R$2:$R$701,0))),""))</f>
        <v/>
      </c>
      <c r="Y233" s="26">
        <f>IF($A233="","",IFERROR(IF(INDEX(photos!$E$2:$E$701,MATCH($A233&amp;"|"&amp;$B233&amp;"|placement|Y",photos!$R$2:$R$701,0))="","",INDEX(photos!$E$2:$E$701,MATCH($A233&amp;"|"&amp;$B233&amp;"|placement|Y",photos!$R$2:$R$701,0))),""))</f>
        <v/>
      </c>
      <c r="Z233" s="25">
        <f>IF($A233="","",IF(COUNTIFS(counts!$C$2:$C$701,$A233,counts!$D$2:$D$701,$B233,counts!$E$2:$E$701,"placed")=0,"",SUMIFS(counts!$F$2:$F$701,counts!$C$2:$C$701,$A233,counts!$D$2:$D$701,$B233,counts!$E$2:$E$701,"placed")))</f>
        <v/>
      </c>
      <c r="AA233" s="25">
        <f>IF($A233="","",IF($Y233="",0,N($Z233)))</f>
        <v/>
      </c>
      <c r="AB233" s="25">
        <f>IF($A233="","",IF(OR($Y233="",$I233=""),"N",IF($Y233&lt;=WORKDAY(N($I233),1,calendar!$A$2:$A$80),"Y","N")))</f>
        <v/>
      </c>
      <c r="AC233" s="28">
        <f>IF(OR($A233="",$V233="",$Y233=""),"",ROUND(($Y233+N(IFERROR(IF(INDEX(photos!$F$2:$F$701,MATCH($A233&amp;"|"&amp;$B233&amp;"|placement|Y",photos!$R$2:$R$701,0))="","",INDEX(photos!$F$2:$F$701,MATCH($A233&amp;"|"&amp;$B233&amp;"|placement|Y",photos!$R$2:$R$701,0))),""))-$V233)*24,1))</f>
        <v/>
      </c>
      <c r="AD233" s="25">
        <f>IF($A233="","",SUMIFS(inventory!$G$2:$G$801,inventory!$C$2:$C$801,$A233,inventory!$D$2:$D$801,$B233,inventory!$E$2:$E$801,"topped_up"))</f>
        <v/>
      </c>
      <c r="AE233" s="25">
        <f>IF($A233="","",IF(COUNTIFS(counts!$C$2:$C$701,$A233,counts!$D$2:$D$701,$B233,counts!$E$2:$E$701,"remaining_day3")=0,"",SUMIFS(counts!$F$2:$F$701,counts!$C$2:$C$701,$A233,counts!$D$2:$D$701,$B233,counts!$E$2:$E$701,"remaining_day3")))</f>
        <v/>
      </c>
      <c r="AF233" s="25">
        <f>IF($A233="","",IF(COUNTIFS(counts!$C$2:$C$701,$A233,counts!$D$2:$D$701,$B233,counts!$E$2:$E$701,"remaining_day5")=0,"",SUMIFS(counts!$F$2:$F$701,counts!$C$2:$C$701,$A233,counts!$D$2:$D$701,$B233,counts!$E$2:$E$701,"remaining_day5")))</f>
        <v/>
      </c>
      <c r="AG233" s="25">
        <f>IF(OR($A233="",$AF233=""),"",MAX(0,$AA233+$AD233-$AF233))</f>
        <v/>
      </c>
      <c r="AH233" s="25">
        <f>IF(OR($A233="",$AI233=""),"",IFERROR(IF(INDEX(photos!$H$2:$H$701,MATCH($A233&amp;"|"&amp;$B233&amp;"|later|Y|"&amp;$AI233,photos!$S$2:$S$701,0))="","",INDEX(photos!$H$2:$H$701,MATCH($A233&amp;"|"&amp;$B233&amp;"|later|Y|"&amp;$AI233,photos!$S$2:$S$701,0))),""))</f>
        <v/>
      </c>
      <c r="AI233" s="26">
        <f>IF($A233="","",IFERROR(1/(1/SUMPRODUCT(MAX((photos!$B$2:$B$701=$A233)*(photos!$C$2:$C$701=$B233)*(photos!$D$2:$D$701="later")*(photos!$O$2:$O$701="Y")*photos!$E$2:$E$701))),""))</f>
        <v/>
      </c>
      <c r="AJ233" s="25">
        <f>IF(OR($A233="",$AI233="",$I233=""),"",NETWORKDAYS($I233,$AI233,calendar!$A$2:$A$80))</f>
        <v/>
      </c>
      <c r="AK233" s="25">
        <f>IF($A233="","",IF(AND($X233&lt;&gt;"",$AH233&lt;&gt;""),"Y","N"))</f>
        <v/>
      </c>
      <c r="AL233" s="25">
        <f>IF(OR($A233="",$I233=""),"",IF($BC233="Y",SUMIFS(survey_frozen!$C$2:$C$251,survey_frozen!$P$2:$P$251,$A233&amp;"|"&amp;$B233),IFERROR(COUNTIFS(INDIRECT("'"&amp;$A233&amp;"'!$B$2:$B$501"),$T233,INDIRECT("'"&amp;$A233&amp;"'!$A$2:$A$501"),"&gt;="&amp;$I233,INDIRECT("'"&amp;$A233&amp;"'!$A$2:$A$501"),"&lt;"&amp;($BA233+1)),0)))</f>
        <v/>
      </c>
      <c r="AM233" s="25">
        <f>IF(OR($A233="",$I233=""),"",IF($BC233="Y",SUMIFS(survey_frozen!$D$2:$D$251,survey_frozen!$P$2:$P$251,$A233&amp;"|"&amp;$B233),IFERROR(COUNTIFS(INDIRECT("'"&amp;$A233&amp;"'!$B$2:$B$501"),$T233,INDIRECT("'"&amp;$A233&amp;"'!$A$2:$A$501"),"&gt;="&amp;$I233,INDIRECT("'"&amp;$A233&amp;"'!$A$2:$A$501"),"&lt;"&amp;($BA233+1),INDIRECT("'"&amp;$A233&amp;"'!$C$2:$C$501"),"Yes"),0)))</f>
        <v/>
      </c>
      <c r="AN233" s="25">
        <f>IF($A233="","",IF(COUNTIFS(scans!$C$2:$C$1601,(IF(LEFT($A233,7)="SAMPLE-","SAMPLE-","")&amp;LOWER(SUBSTITUTE(SUBSTITUTE($A233,"SAMPLE-",""),"CMP-","c"))&amp;"-"&amp;LOWER(SUBSTITUTE(SUBSTITUTE($B233,"SAMPLE-",""),"O-","o"))&amp;"-q"),scans!$D$2:$D$1601,"close")=0,"",SUMPRODUCT(MAX((scans!$C$2:$C$1601=(IF(LEFT($A233,7)="SAMPLE-","SAMPLE-","")&amp;LOWER(SUBSTITUTE(SUBSTITUTE($A233,"SAMPLE-",""),"CMP-","c"))&amp;"-"&amp;LOWER(SUBSTITUTE(SUBSTITUTE($B233,"SAMPLE-",""),"O-","o"))&amp;"-q"))*(scans!$D$2:$D$1601="close")*scans!$E$2:$E$1601))-SUMPRODUCT(MAX((scans!$C$2:$C$1601=(IF(LEFT($A233,7)="SAMPLE-","SAMPLE-","")&amp;LOWER(SUBSTITUTE(SUBSTITUTE($A233,"SAMPLE-",""),"CMP-","c"))&amp;"-"&amp;LOWER(SUBSTITUTE(SUBSTITUTE($B233,"SAMPLE-",""),"O-","o"))&amp;"-q"))*(scans!$D$2:$D$1601="baseline")*scans!$E$2:$E$1601))))</f>
        <v/>
      </c>
      <c r="AO233" s="25">
        <f>IF($A233="","",IF(COUNTIFS(scans!$C$2:$C$1601,(IF(LEFT($A233,7)="SAMPLE-","SAMPLE-","")&amp;LOWER(SUBSTITUTE(SUBSTITUTE($A233,"SAMPLE-",""),"CMP-","c"))&amp;"-"&amp;LOWER(SUBSTITUTE(SUBSTITUTE($B233,"SAMPLE-",""),"O-","o"))&amp;"-p"),scans!$D$2:$D$1601,"close")=0,"",SUMPRODUCT(MAX((scans!$C$2:$C$1601=(IF(LEFT($A233,7)="SAMPLE-","SAMPLE-","")&amp;LOWER(SUBSTITUTE(SUBSTITUTE($A233,"SAMPLE-",""),"CMP-","c"))&amp;"-"&amp;LOWER(SUBSTITUTE(SUBSTITUTE($B233,"SAMPLE-",""),"O-","o"))&amp;"-p"))*(scans!$D$2:$D$1601="close")*scans!$E$2:$E$1601))-SUMPRODUCT(MAX((scans!$C$2:$C$1601=(IF(LEFT($A233,7)="SAMPLE-","SAMPLE-","")&amp;LOWER(SUBSTITUTE(SUBSTITUTE($A233,"SAMPLE-",""),"CMP-","c"))&amp;"-"&amp;LOWER(SUBSTITUTE(SUBSTITUTE($B233,"SAMPLE-",""),"O-","o"))&amp;"-p"))*(scans!$D$2:$D$1601="baseline")*scans!$E$2:$E$1601))))</f>
        <v/>
      </c>
      <c r="AP233" s="25">
        <f>IF($A233="","",IF(COUNTIF(offices!$A$2:$A$61,$B233)=0,"office_id not on offices; ","")&amp;IF(COUNTIF(campaigns!$A$2:$A$51,$A233)=0,"campaign_id not on campaigns; ","")&amp;IF($P233="pending","approval pending; ","")&amp;IF(AND($U233&gt;0,$Y233="",OR($I233="",IF(config!$B$37&lt;&gt;"",config!$B$37,TODAY())&lt;=WORKDAY(N($I233),4,calendar!$A$2:$A$80))),"no usable placement photo yet; ","")&amp;IF(AND($Y233&lt;&gt;"",$Z233=""),"log the placed count; ","")&amp;IF(N($AA233)&gt;N($U233),"placed more than delivered; ","")&amp;IF(AND($AF233&lt;&gt;"",N($AF233)&gt;N($AA233)+N($AD233)),"day-5 count above placed plus top-ups; ","")&amp;IF(AND($U233&gt;0,$I233&lt;&gt;"",IF(config!$B$37&lt;&gt;"",config!$B$37,TODAY())&gt;WORKDAY(N($I233),4,calendar!$A$2:$A$80),$AF233=""),"day-5 count missing; ","")&amp;IF(AND($U233&gt;0,$I233&lt;&gt;"",IF(config!$B$37&lt;&gt;"",config!$B$37,TODAY())&gt;WORKDAY(N($I233),4,calendar!$A$2:$A$80),$AN233=""),"no close link reading; ","")&amp;$R233&amp;IF($P233="N","info: office said no; ","")&amp;IF(AND($P233="Y",$Q233="N"),"info: turned away at the door, so not on the drop (no letter, not in the report or Gate 2; the credit check is on campaigns); ","")&amp;IF(AND($U233&gt;0,$Y233="",$I233&lt;&gt;"",IF(config!$B$37&lt;&gt;"",config!$B$37,TODAY())&gt;WORKDAY(N($I233),4,calendar!$A$2:$A$80)),"info: no usable placement photo, so nothing counts as placed; ","")&amp;IF(AND($U233&gt;0,$I233&lt;&gt;"",IF(config!$B$37&lt;&gt;"",config!$B$37,TODAY())&gt;WORKDAY(N($I233),4,calendar!$A$2:$A$80),N($AL233)&lt;config!$B$30),"info: under "&amp;config!$B$30&amp;" responses; ","")&amp;IF($W233="packing_list","info: delivered count not verified; ",""))</f>
        <v/>
      </c>
      <c r="AQ233" s="25">
        <f>IF(OR($A233="",$I233=""),"",IF($BC233="Y",SUMIFS(survey_frozen!$E$2:$E$251,survey_frozen!$P$2:$P$251,$A233&amp;"|"&amp;$B233),IFERROR(COUNTIFS(INDIRECT("'"&amp;$A233&amp;"'!$B$2:$B$501"),$T233,INDIRECT("'"&amp;$A233&amp;"'!$A$2:$A$501"),"&gt;="&amp;$I233,INDIRECT("'"&amp;$A233&amp;"'!$A$2:$A$501"),"&lt;"&amp;($BA233+1),INDIRECT("'"&amp;$A233&amp;"'!$F$2:$F$501"),"Didn't see it"),0)))</f>
        <v/>
      </c>
      <c r="AR233" s="25">
        <f>IF(OR($A233="",$I233=""),"",IF($BC233="Y",SUMIFS(survey_frozen!$F$2:$F$251,survey_frozen!$P$2:$P$251,$A233&amp;"|"&amp;$B233),IFERROR(COUNTIFS(INDIRECT("'"&amp;$A233&amp;"'!$B$2:$B$501"),$T233,INDIRECT("'"&amp;$A233&amp;"'!$A$2:$A$501"),"&gt;="&amp;$I233,INDIRECT("'"&amp;$A233&amp;"'!$A$2:$A$501"),"&lt;"&amp;($BA233+1),INDIRECT("'"&amp;$A233&amp;"'!$F$2:$F$501"),"Not for me"),0)))</f>
        <v/>
      </c>
      <c r="AS233" s="25">
        <f>IF(OR($A233="",$I233=""),"",IF($BC233="Y",SUMIFS(survey_frozen!$G$2:$G$251,survey_frozen!$P$2:$P$251,$A233&amp;"|"&amp;$B233),IFERROR(COUNTIFS(INDIRECT("'"&amp;$A233&amp;"'!$B$2:$B$501"),$T233,INDIRECT("'"&amp;$A233&amp;"'!$A$2:$A$501"),"&gt;="&amp;$I233,INDIRECT("'"&amp;$A233&amp;"'!$A$2:$A$501"),"&lt;"&amp;($BA233+1),INDIRECT("'"&amp;$A233&amp;"'!$F$2:$F$501"),"Gone by the time I looked"),0)))</f>
        <v/>
      </c>
      <c r="AT233" s="25">
        <f>IF(OR($A233="",$I233=""),"",IF($BC233="Y",SUMIFS(survey_frozen!$H$2:$H$251,survey_frozen!$P$2:$P$251,$A233&amp;"|"&amp;$B233),IFERROR(COUNTIFS(INDIRECT("'"&amp;$A233&amp;"'!$B$2:$B$501"),$T233,INDIRECT("'"&amp;$A233&amp;"'!$A$2:$A$501"),"&gt;="&amp;$I233,INDIRECT("'"&amp;$A233&amp;"'!$A$2:$A$501"),"&lt;"&amp;($BA233+1),INDIRECT("'"&amp;$A233&amp;"'!$D$2:$D$501"),"&gt;=1"),0)))</f>
        <v/>
      </c>
      <c r="AU233" s="25">
        <f>IF(OR($A233="",$I233=""),"",IF($BC233="Y",SUMIFS(survey_frozen!$I$2:$I$251,survey_frozen!$P$2:$P$251,$A233&amp;"|"&amp;$B233),IFERROR(SUMIFS(INDIRECT("'"&amp;$A233&amp;"'!$D$2:$D$501"),INDIRECT("'"&amp;$A233&amp;"'!$B$2:$B$501"),$T233,INDIRECT("'"&amp;$A233&amp;"'!$A$2:$A$501"),"&gt;="&amp;$I233,INDIRECT("'"&amp;$A233&amp;"'!$A$2:$A$501"),"&lt;"&amp;($BA233+1)),0)))</f>
        <v/>
      </c>
      <c r="AV233" s="25">
        <f>IF(OR($A233="",$I233=""),"",IF($BC233="Y",SUMIFS(survey_frozen!$J$2:$J$251,survey_frozen!$P$2:$P$251,$A233&amp;"|"&amp;$B233),IFERROR(COUNTIFS(INDIRECT("'"&amp;$A233&amp;"'!$B$2:$B$501"),$T233,INDIRECT("'"&amp;$A233&amp;"'!$A$2:$A$501"),"&gt;="&amp;$I233,INDIRECT("'"&amp;$A233&amp;"'!$A$2:$A$501"),"&lt;"&amp;($BA233+1),INDIRECT("'"&amp;$A233&amp;"'!$E$2:$E$501"),"Yes"),0)))</f>
        <v/>
      </c>
      <c r="AW233" s="25">
        <f>IF(OR($A233="",$I233=""),"",IF($BC233="Y",SUMIFS(survey_frozen!$K$2:$K$251,survey_frozen!$P$2:$P$251,$A233&amp;"|"&amp;$B233),IFERROR(COUNTIFS(INDIRECT("'"&amp;$A233&amp;"'!$B$2:$B$501"),$T233,INDIRECT("'"&amp;$A233&amp;"'!$A$2:$A$501"),"&gt;="&amp;$I233,INDIRECT("'"&amp;$A233&amp;"'!$A$2:$A$501"),"&lt;"&amp;($BA233+1),INDIRECT("'"&amp;$A233&amp;"'!$E$2:$E$501"),"Maybe"),0)))</f>
        <v/>
      </c>
      <c r="AX233" s="25">
        <f>IF(OR($A233="",$I233=""),"",IF($BC233="Y",SUMIFS(survey_frozen!$L$2:$L$251,survey_frozen!$P$2:$P$251,$A233&amp;"|"&amp;$B233),IFERROR(COUNTIFS(INDIRECT("'"&amp;$A233&amp;"'!$B$2:$B$501"),$T233,INDIRECT("'"&amp;$A233&amp;"'!$A$2:$A$501"),"&gt;="&amp;$I233,INDIRECT("'"&amp;$A233&amp;"'!$A$2:$A$501"),"&lt;"&amp;($BA233+1),INDIRECT("'"&amp;$A233&amp;"'!$E$2:$E$501"),"No"),0)))</f>
        <v/>
      </c>
      <c r="AY233" s="25">
        <f>IF(OR($A233="",$I233=""),"",IF($BC233="Y",SUMIFS(survey_frozen!$M$2:$M$251,survey_frozen!$P$2:$P$251,$A233&amp;"|"&amp;$B233),IFERROR(COUNTIFS(INDIRECT("'"&amp;$A233&amp;"'!$B$2:$B$501"),$T233,INDIRECT("'"&amp;$A233&amp;"'!$A$2:$A$501"),"&gt;="&amp;$I233,INDIRECT("'"&amp;$A233&amp;"'!$A$2:$A$501"),"&lt;"&amp;($BA233+1),INDIRECT("'"&amp;$A233&amp;"'!$G$2:$G$501"),"&lt;&gt;"),0)))</f>
        <v/>
      </c>
      <c r="AZ233" s="25">
        <f>IF($A233="","",$A233&amp;"|"&amp;$L233)</f>
        <v/>
      </c>
      <c r="BA233" s="26">
        <f>IF($A233="","",IFERROR(IF(INDEX(drops!$R$2:$R$21,MATCH($H233,drops!$A$2:$A$21,0))="","",INDEX(drops!$R$2:$R$21,MATCH($H233,drops!$A$2:$A$21,0))),""))</f>
        <v/>
      </c>
      <c r="BB233" s="25">
        <f>IF(OR($A233="",$Q233&lt;&gt;"Y"),1000000,N($AL233))</f>
        <v/>
      </c>
      <c r="BC233" s="25">
        <f>IF($A233="","",IF(COUNTIF(survey_frozen!$P$2:$P$251,$A233&amp;"|"&amp;$B233)&gt;0,"Y",""))</f>
        <v/>
      </c>
    </row>
    <row r="234">
      <c r="C234" s="9" t="n"/>
      <c r="E234" s="9" t="n"/>
      <c r="H234" s="25">
        <f>IF($A234="","",IFERROR(IF(INDEX(campaigns!$B$2:$B$51,MATCH($A234,campaigns!$A$2:$A$51,0))="","",INDEX(campaigns!$B$2:$B$51,MATCH($A234,campaigns!$A$2:$A$51,0))),""))</f>
        <v/>
      </c>
      <c r="I234" s="26">
        <f>IF($A234="","",IFERROR(IF(INDEX(campaigns!$BG$2:$BG$51,MATCH($A234,campaigns!$A$2:$A$51,0))="","",INDEX(campaigns!$BG$2:$BG$51,MATCH($A234,campaigns!$A$2:$A$51,0))),""))</f>
        <v/>
      </c>
      <c r="J234" s="25">
        <f>IF($A234="","",IFERROR(IF(INDEX(campaigns!$BE$2:$BE$51,MATCH($A234,campaigns!$A$2:$A$51,0))="","",INDEX(campaigns!$BE$2:$BE$51,MATCH($A234,campaigns!$A$2:$A$51,0))),""))</f>
        <v/>
      </c>
      <c r="K234" s="25">
        <f>IF($B234="","",IFERROR(IF(INDEX(offices!$N$2:$N$61,MATCH($B234,offices!$A$2:$A$61,0))="","",INDEX(offices!$N$2:$N$61,MATCH($B234,offices!$A$2:$A$61,0))),""))</f>
        <v/>
      </c>
      <c r="L234" s="25">
        <f>IF($A234="","",IF($Q234="N","",COUNTIFS($A$2:$A234,$A234,$Q$2:$Q234,"&lt;&gt;N")))</f>
        <v/>
      </c>
      <c r="M234" s="25">
        <f>IF(OR($A234="",$L234=""),"",IF(AND(config!$B$34="names_if_public",IFERROR(IF(INDEX(offices!$AF$2:$AF$61,MATCH($B234,offices!$A$2:$A$61,0))="","",INDEX(offices!$AF$2:$AF$61,MATCH($B234,offices!$A$2:$A$61,0))),"")="Y"),$K234,CHAR(64+$L234)))</f>
        <v/>
      </c>
      <c r="N234" s="25">
        <f>IF(OR($A234="",$I234=""),"",COUNTIFS(stops!$B$2:$B$151,$B234,stops!$P$2:$P$151,"&lt;"&amp;$I234,stops!$L$2:$L$151,"&lt;&gt;not_delivered")+1)</f>
        <v/>
      </c>
      <c r="O234" s="25">
        <f>IF($A234="","",IF(N($N234)&lt;=config!$B$29,"explicit","opt-out"))</f>
        <v/>
      </c>
      <c r="P234" s="25">
        <f>IF($A234="","",IF($O234="explicit",IF($D234="yes","Y",IF($D234="no","N","pending")),IF($D234="no","N",IF(AND($C234&lt;&gt;"",$I234&lt;&gt;"",$C234&lt;=WORKDAY(N($I234),-5,calendar!$A$2:$A$80)),"Y","pending"))))</f>
        <v/>
      </c>
      <c r="Q234" s="25">
        <f>IF($A234="","",IF($P234="N","N",IF($P234&lt;&gt;"Y","pending",IF(AND((COUNTIFS(stops!$A$2:$A$151,$H234,stops!$B$2:$B$151,$B234,stops!$L$2:$L$151,"declined")+COUNTIFS(stops!$A$2:$A$151,$H234,stops!$B$2:$B$151,$B234,stops!$L$2:$L$151,"building_refused")+COUNTIFS(stops!$A$2:$A$151,$H234,stops!$B$2:$B$151,$B234,stops!$L$2:$L$151,"not_delivered"))&gt;0,N($U234)=0),"N","Y"))))</f>
        <v/>
      </c>
      <c r="R234" s="25">
        <f>IF($A234="","",IF(COUNTIFS($A$2:$A$251,$A234,$B$2:$B$251,$B234)&gt;1,"DUPLICATE ROW; ","")&amp;IF(AND(IFERROR(IF(INDEX(offices!$AC$2:$AC$61,MATCH($B234,offices!$A$2:$A$61,0))="","",INDEX(offices!$AC$2:$AC$61,MATCH($B234,offices!$A$2:$A$61,0))),"")&lt;&gt;"",ISNUMBER(SEARCH($J234,IFERROR(IF(INDEX(offices!$AC$2:$AC$61,MATCH($B234,offices!$A$2:$A$61,0))="","",INDEX(offices!$AC$2:$AC$61,MATCH($B234,offices!$A$2:$A$61,0))),"")))),"BRAND VETOED; ","")&amp;IF(ISNUMBER(SEARCH(IFERROR(IF(INDEX(campaigns!$BF$2:$BF$51,MATCH($A234,campaigns!$A$2:$A$51,0))="","",INDEX(campaigns!$BF$2:$BF$51,MATCH($A234,campaigns!$A$2:$A$51,0))),""),IFERROR(IF(INDEX(offices!$AB$2:$AB$61,MATCH($B234,offices!$A$2:$A$61,0))="","",INDEX(offices!$AB$2:$AB$61,MATCH($B234,offices!$A$2:$A$61,0))),""))),"","info: category not on the office's list; ")&amp;IF(IFERROR(IF(INDEX(offices!$AC$2:$AC$61,MATCH($B234,offices!$A$2:$A$61,0))="","",INDEX(offices!$AC$2:$AC$61,MATCH($B234,offices!$A$2:$A$61,0))),"")&lt;&gt;"","info: read the vetoes against the label; ",""))</f>
        <v/>
      </c>
      <c r="S234" s="25">
        <f>IF($A234="","",IF($G234&lt;&gt;"",$G234,IFERROR(IF(INDEX(offices!$AL$2:$AL$61,MATCH($B234,offices!$A$2:$A$61,0))="","",INDEX(offices!$AL$2:$AL$61,MATCH($B234,offices!$A$2:$A$61,0))),"")))</f>
        <v/>
      </c>
      <c r="T234" s="25">
        <f>IF($A234="","",$A234&amp;"."&amp;$B234)</f>
        <v/>
      </c>
      <c r="U234" s="25">
        <f>IF($A234="","",SUMIFS(inventory!$G$2:$G$801,inventory!$C$2:$C$801,$A234,inventory!$D$2:$D$801,$B234,inventory!$E$2:$E$801,"delivered"))</f>
        <v/>
      </c>
      <c r="V234" s="32">
        <f>IF($A234="","",IFERROR(1/(1/SUMPRODUCT(MAX((inventory!$C$2:$C$801=$A234)*(inventory!$D$2:$D$801=$B234)*(inventory!$E$2:$E$801="delivered")*(inventory!$A$2:$A$801+inventory!$B$2:$B$801)))),""))</f>
        <v/>
      </c>
      <c r="W234" s="25">
        <f>IF($A234="","",IFERROR(IF(INDEX(inventory!$J$2:$J$801,MATCH($A234&amp;"|"&amp;$B234&amp;"|delivered",inventory!$R$2:$R$801,0))="","",INDEX(inventory!$J$2:$J$801,MATCH($A234&amp;"|"&amp;$B234&amp;"|delivered",inventory!$R$2:$R$801,0))),""))</f>
        <v/>
      </c>
      <c r="X234" s="25">
        <f>IF($A234="","",IFERROR(IF(INDEX(photos!$H$2:$H$701,MATCH($A234&amp;"|"&amp;$B234&amp;"|placement|Y",photos!$R$2:$R$701,0))="","",INDEX(photos!$H$2:$H$701,MATCH($A234&amp;"|"&amp;$B234&amp;"|placement|Y",photos!$R$2:$R$701,0))),""))</f>
        <v/>
      </c>
      <c r="Y234" s="26">
        <f>IF($A234="","",IFERROR(IF(INDEX(photos!$E$2:$E$701,MATCH($A234&amp;"|"&amp;$B234&amp;"|placement|Y",photos!$R$2:$R$701,0))="","",INDEX(photos!$E$2:$E$701,MATCH($A234&amp;"|"&amp;$B234&amp;"|placement|Y",photos!$R$2:$R$701,0))),""))</f>
        <v/>
      </c>
      <c r="Z234" s="25">
        <f>IF($A234="","",IF(COUNTIFS(counts!$C$2:$C$701,$A234,counts!$D$2:$D$701,$B234,counts!$E$2:$E$701,"placed")=0,"",SUMIFS(counts!$F$2:$F$701,counts!$C$2:$C$701,$A234,counts!$D$2:$D$701,$B234,counts!$E$2:$E$701,"placed")))</f>
        <v/>
      </c>
      <c r="AA234" s="25">
        <f>IF($A234="","",IF($Y234="",0,N($Z234)))</f>
        <v/>
      </c>
      <c r="AB234" s="25">
        <f>IF($A234="","",IF(OR($Y234="",$I234=""),"N",IF($Y234&lt;=WORKDAY(N($I234),1,calendar!$A$2:$A$80),"Y","N")))</f>
        <v/>
      </c>
      <c r="AC234" s="28">
        <f>IF(OR($A234="",$V234="",$Y234=""),"",ROUND(($Y234+N(IFERROR(IF(INDEX(photos!$F$2:$F$701,MATCH($A234&amp;"|"&amp;$B234&amp;"|placement|Y",photos!$R$2:$R$701,0))="","",INDEX(photos!$F$2:$F$701,MATCH($A234&amp;"|"&amp;$B234&amp;"|placement|Y",photos!$R$2:$R$701,0))),""))-$V234)*24,1))</f>
        <v/>
      </c>
      <c r="AD234" s="25">
        <f>IF($A234="","",SUMIFS(inventory!$G$2:$G$801,inventory!$C$2:$C$801,$A234,inventory!$D$2:$D$801,$B234,inventory!$E$2:$E$801,"topped_up"))</f>
        <v/>
      </c>
      <c r="AE234" s="25">
        <f>IF($A234="","",IF(COUNTIFS(counts!$C$2:$C$701,$A234,counts!$D$2:$D$701,$B234,counts!$E$2:$E$701,"remaining_day3")=0,"",SUMIFS(counts!$F$2:$F$701,counts!$C$2:$C$701,$A234,counts!$D$2:$D$701,$B234,counts!$E$2:$E$701,"remaining_day3")))</f>
        <v/>
      </c>
      <c r="AF234" s="25">
        <f>IF($A234="","",IF(COUNTIFS(counts!$C$2:$C$701,$A234,counts!$D$2:$D$701,$B234,counts!$E$2:$E$701,"remaining_day5")=0,"",SUMIFS(counts!$F$2:$F$701,counts!$C$2:$C$701,$A234,counts!$D$2:$D$701,$B234,counts!$E$2:$E$701,"remaining_day5")))</f>
        <v/>
      </c>
      <c r="AG234" s="25">
        <f>IF(OR($A234="",$AF234=""),"",MAX(0,$AA234+$AD234-$AF234))</f>
        <v/>
      </c>
      <c r="AH234" s="25">
        <f>IF(OR($A234="",$AI234=""),"",IFERROR(IF(INDEX(photos!$H$2:$H$701,MATCH($A234&amp;"|"&amp;$B234&amp;"|later|Y|"&amp;$AI234,photos!$S$2:$S$701,0))="","",INDEX(photos!$H$2:$H$701,MATCH($A234&amp;"|"&amp;$B234&amp;"|later|Y|"&amp;$AI234,photos!$S$2:$S$701,0))),""))</f>
        <v/>
      </c>
      <c r="AI234" s="26">
        <f>IF($A234="","",IFERROR(1/(1/SUMPRODUCT(MAX((photos!$B$2:$B$701=$A234)*(photos!$C$2:$C$701=$B234)*(photos!$D$2:$D$701="later")*(photos!$O$2:$O$701="Y")*photos!$E$2:$E$701))),""))</f>
        <v/>
      </c>
      <c r="AJ234" s="25">
        <f>IF(OR($A234="",$AI234="",$I234=""),"",NETWORKDAYS($I234,$AI234,calendar!$A$2:$A$80))</f>
        <v/>
      </c>
      <c r="AK234" s="25">
        <f>IF($A234="","",IF(AND($X234&lt;&gt;"",$AH234&lt;&gt;""),"Y","N"))</f>
        <v/>
      </c>
      <c r="AL234" s="25">
        <f>IF(OR($A234="",$I234=""),"",IF($BC234="Y",SUMIFS(survey_frozen!$C$2:$C$251,survey_frozen!$P$2:$P$251,$A234&amp;"|"&amp;$B234),IFERROR(COUNTIFS(INDIRECT("'"&amp;$A234&amp;"'!$B$2:$B$501"),$T234,INDIRECT("'"&amp;$A234&amp;"'!$A$2:$A$501"),"&gt;="&amp;$I234,INDIRECT("'"&amp;$A234&amp;"'!$A$2:$A$501"),"&lt;"&amp;($BA234+1)),0)))</f>
        <v/>
      </c>
      <c r="AM234" s="25">
        <f>IF(OR($A234="",$I234=""),"",IF($BC234="Y",SUMIFS(survey_frozen!$D$2:$D$251,survey_frozen!$P$2:$P$251,$A234&amp;"|"&amp;$B234),IFERROR(COUNTIFS(INDIRECT("'"&amp;$A234&amp;"'!$B$2:$B$501"),$T234,INDIRECT("'"&amp;$A234&amp;"'!$A$2:$A$501"),"&gt;="&amp;$I234,INDIRECT("'"&amp;$A234&amp;"'!$A$2:$A$501"),"&lt;"&amp;($BA234+1),INDIRECT("'"&amp;$A234&amp;"'!$C$2:$C$501"),"Yes"),0)))</f>
        <v/>
      </c>
      <c r="AN234" s="25">
        <f>IF($A234="","",IF(COUNTIFS(scans!$C$2:$C$1601,(IF(LEFT($A234,7)="SAMPLE-","SAMPLE-","")&amp;LOWER(SUBSTITUTE(SUBSTITUTE($A234,"SAMPLE-",""),"CMP-","c"))&amp;"-"&amp;LOWER(SUBSTITUTE(SUBSTITUTE($B234,"SAMPLE-",""),"O-","o"))&amp;"-q"),scans!$D$2:$D$1601,"close")=0,"",SUMPRODUCT(MAX((scans!$C$2:$C$1601=(IF(LEFT($A234,7)="SAMPLE-","SAMPLE-","")&amp;LOWER(SUBSTITUTE(SUBSTITUTE($A234,"SAMPLE-",""),"CMP-","c"))&amp;"-"&amp;LOWER(SUBSTITUTE(SUBSTITUTE($B234,"SAMPLE-",""),"O-","o"))&amp;"-q"))*(scans!$D$2:$D$1601="close")*scans!$E$2:$E$1601))-SUMPRODUCT(MAX((scans!$C$2:$C$1601=(IF(LEFT($A234,7)="SAMPLE-","SAMPLE-","")&amp;LOWER(SUBSTITUTE(SUBSTITUTE($A234,"SAMPLE-",""),"CMP-","c"))&amp;"-"&amp;LOWER(SUBSTITUTE(SUBSTITUTE($B234,"SAMPLE-",""),"O-","o"))&amp;"-q"))*(scans!$D$2:$D$1601="baseline")*scans!$E$2:$E$1601))))</f>
        <v/>
      </c>
      <c r="AO234" s="25">
        <f>IF($A234="","",IF(COUNTIFS(scans!$C$2:$C$1601,(IF(LEFT($A234,7)="SAMPLE-","SAMPLE-","")&amp;LOWER(SUBSTITUTE(SUBSTITUTE($A234,"SAMPLE-",""),"CMP-","c"))&amp;"-"&amp;LOWER(SUBSTITUTE(SUBSTITUTE($B234,"SAMPLE-",""),"O-","o"))&amp;"-p"),scans!$D$2:$D$1601,"close")=0,"",SUMPRODUCT(MAX((scans!$C$2:$C$1601=(IF(LEFT($A234,7)="SAMPLE-","SAMPLE-","")&amp;LOWER(SUBSTITUTE(SUBSTITUTE($A234,"SAMPLE-",""),"CMP-","c"))&amp;"-"&amp;LOWER(SUBSTITUTE(SUBSTITUTE($B234,"SAMPLE-",""),"O-","o"))&amp;"-p"))*(scans!$D$2:$D$1601="close")*scans!$E$2:$E$1601))-SUMPRODUCT(MAX((scans!$C$2:$C$1601=(IF(LEFT($A234,7)="SAMPLE-","SAMPLE-","")&amp;LOWER(SUBSTITUTE(SUBSTITUTE($A234,"SAMPLE-",""),"CMP-","c"))&amp;"-"&amp;LOWER(SUBSTITUTE(SUBSTITUTE($B234,"SAMPLE-",""),"O-","o"))&amp;"-p"))*(scans!$D$2:$D$1601="baseline")*scans!$E$2:$E$1601))))</f>
        <v/>
      </c>
      <c r="AP234" s="25">
        <f>IF($A234="","",IF(COUNTIF(offices!$A$2:$A$61,$B234)=0,"office_id not on offices; ","")&amp;IF(COUNTIF(campaigns!$A$2:$A$51,$A234)=0,"campaign_id not on campaigns; ","")&amp;IF($P234="pending","approval pending; ","")&amp;IF(AND($U234&gt;0,$Y234="",OR($I234="",IF(config!$B$37&lt;&gt;"",config!$B$37,TODAY())&lt;=WORKDAY(N($I234),4,calendar!$A$2:$A$80))),"no usable placement photo yet; ","")&amp;IF(AND($Y234&lt;&gt;"",$Z234=""),"log the placed count; ","")&amp;IF(N($AA234)&gt;N($U234),"placed more than delivered; ","")&amp;IF(AND($AF234&lt;&gt;"",N($AF234)&gt;N($AA234)+N($AD234)),"day-5 count above placed plus top-ups; ","")&amp;IF(AND($U234&gt;0,$I234&lt;&gt;"",IF(config!$B$37&lt;&gt;"",config!$B$37,TODAY())&gt;WORKDAY(N($I234),4,calendar!$A$2:$A$80),$AF234=""),"day-5 count missing; ","")&amp;IF(AND($U234&gt;0,$I234&lt;&gt;"",IF(config!$B$37&lt;&gt;"",config!$B$37,TODAY())&gt;WORKDAY(N($I234),4,calendar!$A$2:$A$80),$AN234=""),"no close link reading; ","")&amp;$R234&amp;IF($P234="N","info: office said no; ","")&amp;IF(AND($P234="Y",$Q234="N"),"info: turned away at the door, so not on the drop (no letter, not in the report or Gate 2; the credit check is on campaigns); ","")&amp;IF(AND($U234&gt;0,$Y234="",$I234&lt;&gt;"",IF(config!$B$37&lt;&gt;"",config!$B$37,TODAY())&gt;WORKDAY(N($I234),4,calendar!$A$2:$A$80)),"info: no usable placement photo, so nothing counts as placed; ","")&amp;IF(AND($U234&gt;0,$I234&lt;&gt;"",IF(config!$B$37&lt;&gt;"",config!$B$37,TODAY())&gt;WORKDAY(N($I234),4,calendar!$A$2:$A$80),N($AL234)&lt;config!$B$30),"info: under "&amp;config!$B$30&amp;" responses; ","")&amp;IF($W234="packing_list","info: delivered count not verified; ",""))</f>
        <v/>
      </c>
      <c r="AQ234" s="25">
        <f>IF(OR($A234="",$I234=""),"",IF($BC234="Y",SUMIFS(survey_frozen!$E$2:$E$251,survey_frozen!$P$2:$P$251,$A234&amp;"|"&amp;$B234),IFERROR(COUNTIFS(INDIRECT("'"&amp;$A234&amp;"'!$B$2:$B$501"),$T234,INDIRECT("'"&amp;$A234&amp;"'!$A$2:$A$501"),"&gt;="&amp;$I234,INDIRECT("'"&amp;$A234&amp;"'!$A$2:$A$501"),"&lt;"&amp;($BA234+1),INDIRECT("'"&amp;$A234&amp;"'!$F$2:$F$501"),"Didn't see it"),0)))</f>
        <v/>
      </c>
      <c r="AR234" s="25">
        <f>IF(OR($A234="",$I234=""),"",IF($BC234="Y",SUMIFS(survey_frozen!$F$2:$F$251,survey_frozen!$P$2:$P$251,$A234&amp;"|"&amp;$B234),IFERROR(COUNTIFS(INDIRECT("'"&amp;$A234&amp;"'!$B$2:$B$501"),$T234,INDIRECT("'"&amp;$A234&amp;"'!$A$2:$A$501"),"&gt;="&amp;$I234,INDIRECT("'"&amp;$A234&amp;"'!$A$2:$A$501"),"&lt;"&amp;($BA234+1),INDIRECT("'"&amp;$A234&amp;"'!$F$2:$F$501"),"Not for me"),0)))</f>
        <v/>
      </c>
      <c r="AS234" s="25">
        <f>IF(OR($A234="",$I234=""),"",IF($BC234="Y",SUMIFS(survey_frozen!$G$2:$G$251,survey_frozen!$P$2:$P$251,$A234&amp;"|"&amp;$B234),IFERROR(COUNTIFS(INDIRECT("'"&amp;$A234&amp;"'!$B$2:$B$501"),$T234,INDIRECT("'"&amp;$A234&amp;"'!$A$2:$A$501"),"&gt;="&amp;$I234,INDIRECT("'"&amp;$A234&amp;"'!$A$2:$A$501"),"&lt;"&amp;($BA234+1),INDIRECT("'"&amp;$A234&amp;"'!$F$2:$F$501"),"Gone by the time I looked"),0)))</f>
        <v/>
      </c>
      <c r="AT234" s="25">
        <f>IF(OR($A234="",$I234=""),"",IF($BC234="Y",SUMIFS(survey_frozen!$H$2:$H$251,survey_frozen!$P$2:$P$251,$A234&amp;"|"&amp;$B234),IFERROR(COUNTIFS(INDIRECT("'"&amp;$A234&amp;"'!$B$2:$B$501"),$T234,INDIRECT("'"&amp;$A234&amp;"'!$A$2:$A$501"),"&gt;="&amp;$I234,INDIRECT("'"&amp;$A234&amp;"'!$A$2:$A$501"),"&lt;"&amp;($BA234+1),INDIRECT("'"&amp;$A234&amp;"'!$D$2:$D$501"),"&gt;=1"),0)))</f>
        <v/>
      </c>
      <c r="AU234" s="25">
        <f>IF(OR($A234="",$I234=""),"",IF($BC234="Y",SUMIFS(survey_frozen!$I$2:$I$251,survey_frozen!$P$2:$P$251,$A234&amp;"|"&amp;$B234),IFERROR(SUMIFS(INDIRECT("'"&amp;$A234&amp;"'!$D$2:$D$501"),INDIRECT("'"&amp;$A234&amp;"'!$B$2:$B$501"),$T234,INDIRECT("'"&amp;$A234&amp;"'!$A$2:$A$501"),"&gt;="&amp;$I234,INDIRECT("'"&amp;$A234&amp;"'!$A$2:$A$501"),"&lt;"&amp;($BA234+1)),0)))</f>
        <v/>
      </c>
      <c r="AV234" s="25">
        <f>IF(OR($A234="",$I234=""),"",IF($BC234="Y",SUMIFS(survey_frozen!$J$2:$J$251,survey_frozen!$P$2:$P$251,$A234&amp;"|"&amp;$B234),IFERROR(COUNTIFS(INDIRECT("'"&amp;$A234&amp;"'!$B$2:$B$501"),$T234,INDIRECT("'"&amp;$A234&amp;"'!$A$2:$A$501"),"&gt;="&amp;$I234,INDIRECT("'"&amp;$A234&amp;"'!$A$2:$A$501"),"&lt;"&amp;($BA234+1),INDIRECT("'"&amp;$A234&amp;"'!$E$2:$E$501"),"Yes"),0)))</f>
        <v/>
      </c>
      <c r="AW234" s="25">
        <f>IF(OR($A234="",$I234=""),"",IF($BC234="Y",SUMIFS(survey_frozen!$K$2:$K$251,survey_frozen!$P$2:$P$251,$A234&amp;"|"&amp;$B234),IFERROR(COUNTIFS(INDIRECT("'"&amp;$A234&amp;"'!$B$2:$B$501"),$T234,INDIRECT("'"&amp;$A234&amp;"'!$A$2:$A$501"),"&gt;="&amp;$I234,INDIRECT("'"&amp;$A234&amp;"'!$A$2:$A$501"),"&lt;"&amp;($BA234+1),INDIRECT("'"&amp;$A234&amp;"'!$E$2:$E$501"),"Maybe"),0)))</f>
        <v/>
      </c>
      <c r="AX234" s="25">
        <f>IF(OR($A234="",$I234=""),"",IF($BC234="Y",SUMIFS(survey_frozen!$L$2:$L$251,survey_frozen!$P$2:$P$251,$A234&amp;"|"&amp;$B234),IFERROR(COUNTIFS(INDIRECT("'"&amp;$A234&amp;"'!$B$2:$B$501"),$T234,INDIRECT("'"&amp;$A234&amp;"'!$A$2:$A$501"),"&gt;="&amp;$I234,INDIRECT("'"&amp;$A234&amp;"'!$A$2:$A$501"),"&lt;"&amp;($BA234+1),INDIRECT("'"&amp;$A234&amp;"'!$E$2:$E$501"),"No"),0)))</f>
        <v/>
      </c>
      <c r="AY234" s="25">
        <f>IF(OR($A234="",$I234=""),"",IF($BC234="Y",SUMIFS(survey_frozen!$M$2:$M$251,survey_frozen!$P$2:$P$251,$A234&amp;"|"&amp;$B234),IFERROR(COUNTIFS(INDIRECT("'"&amp;$A234&amp;"'!$B$2:$B$501"),$T234,INDIRECT("'"&amp;$A234&amp;"'!$A$2:$A$501"),"&gt;="&amp;$I234,INDIRECT("'"&amp;$A234&amp;"'!$A$2:$A$501"),"&lt;"&amp;($BA234+1),INDIRECT("'"&amp;$A234&amp;"'!$G$2:$G$501"),"&lt;&gt;"),0)))</f>
        <v/>
      </c>
      <c r="AZ234" s="25">
        <f>IF($A234="","",$A234&amp;"|"&amp;$L234)</f>
        <v/>
      </c>
      <c r="BA234" s="26">
        <f>IF($A234="","",IFERROR(IF(INDEX(drops!$R$2:$R$21,MATCH($H234,drops!$A$2:$A$21,0))="","",INDEX(drops!$R$2:$R$21,MATCH($H234,drops!$A$2:$A$21,0))),""))</f>
        <v/>
      </c>
      <c r="BB234" s="25">
        <f>IF(OR($A234="",$Q234&lt;&gt;"Y"),1000000,N($AL234))</f>
        <v/>
      </c>
      <c r="BC234" s="25">
        <f>IF($A234="","",IF(COUNTIF(survey_frozen!$P$2:$P$251,$A234&amp;"|"&amp;$B234)&gt;0,"Y",""))</f>
        <v/>
      </c>
    </row>
    <row r="235">
      <c r="C235" s="9" t="n"/>
      <c r="E235" s="9" t="n"/>
      <c r="H235" s="25">
        <f>IF($A235="","",IFERROR(IF(INDEX(campaigns!$B$2:$B$51,MATCH($A235,campaigns!$A$2:$A$51,0))="","",INDEX(campaigns!$B$2:$B$51,MATCH($A235,campaigns!$A$2:$A$51,0))),""))</f>
        <v/>
      </c>
      <c r="I235" s="26">
        <f>IF($A235="","",IFERROR(IF(INDEX(campaigns!$BG$2:$BG$51,MATCH($A235,campaigns!$A$2:$A$51,0))="","",INDEX(campaigns!$BG$2:$BG$51,MATCH($A235,campaigns!$A$2:$A$51,0))),""))</f>
        <v/>
      </c>
      <c r="J235" s="25">
        <f>IF($A235="","",IFERROR(IF(INDEX(campaigns!$BE$2:$BE$51,MATCH($A235,campaigns!$A$2:$A$51,0))="","",INDEX(campaigns!$BE$2:$BE$51,MATCH($A235,campaigns!$A$2:$A$51,0))),""))</f>
        <v/>
      </c>
      <c r="K235" s="25">
        <f>IF($B235="","",IFERROR(IF(INDEX(offices!$N$2:$N$61,MATCH($B235,offices!$A$2:$A$61,0))="","",INDEX(offices!$N$2:$N$61,MATCH($B235,offices!$A$2:$A$61,0))),""))</f>
        <v/>
      </c>
      <c r="L235" s="25">
        <f>IF($A235="","",IF($Q235="N","",COUNTIFS($A$2:$A235,$A235,$Q$2:$Q235,"&lt;&gt;N")))</f>
        <v/>
      </c>
      <c r="M235" s="25">
        <f>IF(OR($A235="",$L235=""),"",IF(AND(config!$B$34="names_if_public",IFERROR(IF(INDEX(offices!$AF$2:$AF$61,MATCH($B235,offices!$A$2:$A$61,0))="","",INDEX(offices!$AF$2:$AF$61,MATCH($B235,offices!$A$2:$A$61,0))),"")="Y"),$K235,CHAR(64+$L235)))</f>
        <v/>
      </c>
      <c r="N235" s="25">
        <f>IF(OR($A235="",$I235=""),"",COUNTIFS(stops!$B$2:$B$151,$B235,stops!$P$2:$P$151,"&lt;"&amp;$I235,stops!$L$2:$L$151,"&lt;&gt;not_delivered")+1)</f>
        <v/>
      </c>
      <c r="O235" s="25">
        <f>IF($A235="","",IF(N($N235)&lt;=config!$B$29,"explicit","opt-out"))</f>
        <v/>
      </c>
      <c r="P235" s="25">
        <f>IF($A235="","",IF($O235="explicit",IF($D235="yes","Y",IF($D235="no","N","pending")),IF($D235="no","N",IF(AND($C235&lt;&gt;"",$I235&lt;&gt;"",$C235&lt;=WORKDAY(N($I235),-5,calendar!$A$2:$A$80)),"Y","pending"))))</f>
        <v/>
      </c>
      <c r="Q235" s="25">
        <f>IF($A235="","",IF($P235="N","N",IF($P235&lt;&gt;"Y","pending",IF(AND((COUNTIFS(stops!$A$2:$A$151,$H235,stops!$B$2:$B$151,$B235,stops!$L$2:$L$151,"declined")+COUNTIFS(stops!$A$2:$A$151,$H235,stops!$B$2:$B$151,$B235,stops!$L$2:$L$151,"building_refused")+COUNTIFS(stops!$A$2:$A$151,$H235,stops!$B$2:$B$151,$B235,stops!$L$2:$L$151,"not_delivered"))&gt;0,N($U235)=0),"N","Y"))))</f>
        <v/>
      </c>
      <c r="R235" s="25">
        <f>IF($A235="","",IF(COUNTIFS($A$2:$A$251,$A235,$B$2:$B$251,$B235)&gt;1,"DUPLICATE ROW; ","")&amp;IF(AND(IFERROR(IF(INDEX(offices!$AC$2:$AC$61,MATCH($B235,offices!$A$2:$A$61,0))="","",INDEX(offices!$AC$2:$AC$61,MATCH($B235,offices!$A$2:$A$61,0))),"")&lt;&gt;"",ISNUMBER(SEARCH($J235,IFERROR(IF(INDEX(offices!$AC$2:$AC$61,MATCH($B235,offices!$A$2:$A$61,0))="","",INDEX(offices!$AC$2:$AC$61,MATCH($B235,offices!$A$2:$A$61,0))),"")))),"BRAND VETOED; ","")&amp;IF(ISNUMBER(SEARCH(IFERROR(IF(INDEX(campaigns!$BF$2:$BF$51,MATCH($A235,campaigns!$A$2:$A$51,0))="","",INDEX(campaigns!$BF$2:$BF$51,MATCH($A235,campaigns!$A$2:$A$51,0))),""),IFERROR(IF(INDEX(offices!$AB$2:$AB$61,MATCH($B235,offices!$A$2:$A$61,0))="","",INDEX(offices!$AB$2:$AB$61,MATCH($B235,offices!$A$2:$A$61,0))),""))),"","info: category not on the office's list; ")&amp;IF(IFERROR(IF(INDEX(offices!$AC$2:$AC$61,MATCH($B235,offices!$A$2:$A$61,0))="","",INDEX(offices!$AC$2:$AC$61,MATCH($B235,offices!$A$2:$A$61,0))),"")&lt;&gt;"","info: read the vetoes against the label; ",""))</f>
        <v/>
      </c>
      <c r="S235" s="25">
        <f>IF($A235="","",IF($G235&lt;&gt;"",$G235,IFERROR(IF(INDEX(offices!$AL$2:$AL$61,MATCH($B235,offices!$A$2:$A$61,0))="","",INDEX(offices!$AL$2:$AL$61,MATCH($B235,offices!$A$2:$A$61,0))),"")))</f>
        <v/>
      </c>
      <c r="T235" s="25">
        <f>IF($A235="","",$A235&amp;"."&amp;$B235)</f>
        <v/>
      </c>
      <c r="U235" s="25">
        <f>IF($A235="","",SUMIFS(inventory!$G$2:$G$801,inventory!$C$2:$C$801,$A235,inventory!$D$2:$D$801,$B235,inventory!$E$2:$E$801,"delivered"))</f>
        <v/>
      </c>
      <c r="V235" s="32">
        <f>IF($A235="","",IFERROR(1/(1/SUMPRODUCT(MAX((inventory!$C$2:$C$801=$A235)*(inventory!$D$2:$D$801=$B235)*(inventory!$E$2:$E$801="delivered")*(inventory!$A$2:$A$801+inventory!$B$2:$B$801)))),""))</f>
        <v/>
      </c>
      <c r="W235" s="25">
        <f>IF($A235="","",IFERROR(IF(INDEX(inventory!$J$2:$J$801,MATCH($A235&amp;"|"&amp;$B235&amp;"|delivered",inventory!$R$2:$R$801,0))="","",INDEX(inventory!$J$2:$J$801,MATCH($A235&amp;"|"&amp;$B235&amp;"|delivered",inventory!$R$2:$R$801,0))),""))</f>
        <v/>
      </c>
      <c r="X235" s="25">
        <f>IF($A235="","",IFERROR(IF(INDEX(photos!$H$2:$H$701,MATCH($A235&amp;"|"&amp;$B235&amp;"|placement|Y",photos!$R$2:$R$701,0))="","",INDEX(photos!$H$2:$H$701,MATCH($A235&amp;"|"&amp;$B235&amp;"|placement|Y",photos!$R$2:$R$701,0))),""))</f>
        <v/>
      </c>
      <c r="Y235" s="26">
        <f>IF($A235="","",IFERROR(IF(INDEX(photos!$E$2:$E$701,MATCH($A235&amp;"|"&amp;$B235&amp;"|placement|Y",photos!$R$2:$R$701,0))="","",INDEX(photos!$E$2:$E$701,MATCH($A235&amp;"|"&amp;$B235&amp;"|placement|Y",photos!$R$2:$R$701,0))),""))</f>
        <v/>
      </c>
      <c r="Z235" s="25">
        <f>IF($A235="","",IF(COUNTIFS(counts!$C$2:$C$701,$A235,counts!$D$2:$D$701,$B235,counts!$E$2:$E$701,"placed")=0,"",SUMIFS(counts!$F$2:$F$701,counts!$C$2:$C$701,$A235,counts!$D$2:$D$701,$B235,counts!$E$2:$E$701,"placed")))</f>
        <v/>
      </c>
      <c r="AA235" s="25">
        <f>IF($A235="","",IF($Y235="",0,N($Z235)))</f>
        <v/>
      </c>
      <c r="AB235" s="25">
        <f>IF($A235="","",IF(OR($Y235="",$I235=""),"N",IF($Y235&lt;=WORKDAY(N($I235),1,calendar!$A$2:$A$80),"Y","N")))</f>
        <v/>
      </c>
      <c r="AC235" s="28">
        <f>IF(OR($A235="",$V235="",$Y235=""),"",ROUND(($Y235+N(IFERROR(IF(INDEX(photos!$F$2:$F$701,MATCH($A235&amp;"|"&amp;$B235&amp;"|placement|Y",photos!$R$2:$R$701,0))="","",INDEX(photos!$F$2:$F$701,MATCH($A235&amp;"|"&amp;$B235&amp;"|placement|Y",photos!$R$2:$R$701,0))),""))-$V235)*24,1))</f>
        <v/>
      </c>
      <c r="AD235" s="25">
        <f>IF($A235="","",SUMIFS(inventory!$G$2:$G$801,inventory!$C$2:$C$801,$A235,inventory!$D$2:$D$801,$B235,inventory!$E$2:$E$801,"topped_up"))</f>
        <v/>
      </c>
      <c r="AE235" s="25">
        <f>IF($A235="","",IF(COUNTIFS(counts!$C$2:$C$701,$A235,counts!$D$2:$D$701,$B235,counts!$E$2:$E$701,"remaining_day3")=0,"",SUMIFS(counts!$F$2:$F$701,counts!$C$2:$C$701,$A235,counts!$D$2:$D$701,$B235,counts!$E$2:$E$701,"remaining_day3")))</f>
        <v/>
      </c>
      <c r="AF235" s="25">
        <f>IF($A235="","",IF(COUNTIFS(counts!$C$2:$C$701,$A235,counts!$D$2:$D$701,$B235,counts!$E$2:$E$701,"remaining_day5")=0,"",SUMIFS(counts!$F$2:$F$701,counts!$C$2:$C$701,$A235,counts!$D$2:$D$701,$B235,counts!$E$2:$E$701,"remaining_day5")))</f>
        <v/>
      </c>
      <c r="AG235" s="25">
        <f>IF(OR($A235="",$AF235=""),"",MAX(0,$AA235+$AD235-$AF235))</f>
        <v/>
      </c>
      <c r="AH235" s="25">
        <f>IF(OR($A235="",$AI235=""),"",IFERROR(IF(INDEX(photos!$H$2:$H$701,MATCH($A235&amp;"|"&amp;$B235&amp;"|later|Y|"&amp;$AI235,photos!$S$2:$S$701,0))="","",INDEX(photos!$H$2:$H$701,MATCH($A235&amp;"|"&amp;$B235&amp;"|later|Y|"&amp;$AI235,photos!$S$2:$S$701,0))),""))</f>
        <v/>
      </c>
      <c r="AI235" s="26">
        <f>IF($A235="","",IFERROR(1/(1/SUMPRODUCT(MAX((photos!$B$2:$B$701=$A235)*(photos!$C$2:$C$701=$B235)*(photos!$D$2:$D$701="later")*(photos!$O$2:$O$701="Y")*photos!$E$2:$E$701))),""))</f>
        <v/>
      </c>
      <c r="AJ235" s="25">
        <f>IF(OR($A235="",$AI235="",$I235=""),"",NETWORKDAYS($I235,$AI235,calendar!$A$2:$A$80))</f>
        <v/>
      </c>
      <c r="AK235" s="25">
        <f>IF($A235="","",IF(AND($X235&lt;&gt;"",$AH235&lt;&gt;""),"Y","N"))</f>
        <v/>
      </c>
      <c r="AL235" s="25">
        <f>IF(OR($A235="",$I235=""),"",IF($BC235="Y",SUMIFS(survey_frozen!$C$2:$C$251,survey_frozen!$P$2:$P$251,$A235&amp;"|"&amp;$B235),IFERROR(COUNTIFS(INDIRECT("'"&amp;$A235&amp;"'!$B$2:$B$501"),$T235,INDIRECT("'"&amp;$A235&amp;"'!$A$2:$A$501"),"&gt;="&amp;$I235,INDIRECT("'"&amp;$A235&amp;"'!$A$2:$A$501"),"&lt;"&amp;($BA235+1)),0)))</f>
        <v/>
      </c>
      <c r="AM235" s="25">
        <f>IF(OR($A235="",$I235=""),"",IF($BC235="Y",SUMIFS(survey_frozen!$D$2:$D$251,survey_frozen!$P$2:$P$251,$A235&amp;"|"&amp;$B235),IFERROR(COUNTIFS(INDIRECT("'"&amp;$A235&amp;"'!$B$2:$B$501"),$T235,INDIRECT("'"&amp;$A235&amp;"'!$A$2:$A$501"),"&gt;="&amp;$I235,INDIRECT("'"&amp;$A235&amp;"'!$A$2:$A$501"),"&lt;"&amp;($BA235+1),INDIRECT("'"&amp;$A235&amp;"'!$C$2:$C$501"),"Yes"),0)))</f>
        <v/>
      </c>
      <c r="AN235" s="25">
        <f>IF($A235="","",IF(COUNTIFS(scans!$C$2:$C$1601,(IF(LEFT($A235,7)="SAMPLE-","SAMPLE-","")&amp;LOWER(SUBSTITUTE(SUBSTITUTE($A235,"SAMPLE-",""),"CMP-","c"))&amp;"-"&amp;LOWER(SUBSTITUTE(SUBSTITUTE($B235,"SAMPLE-",""),"O-","o"))&amp;"-q"),scans!$D$2:$D$1601,"close")=0,"",SUMPRODUCT(MAX((scans!$C$2:$C$1601=(IF(LEFT($A235,7)="SAMPLE-","SAMPLE-","")&amp;LOWER(SUBSTITUTE(SUBSTITUTE($A235,"SAMPLE-",""),"CMP-","c"))&amp;"-"&amp;LOWER(SUBSTITUTE(SUBSTITUTE($B235,"SAMPLE-",""),"O-","o"))&amp;"-q"))*(scans!$D$2:$D$1601="close")*scans!$E$2:$E$1601))-SUMPRODUCT(MAX((scans!$C$2:$C$1601=(IF(LEFT($A235,7)="SAMPLE-","SAMPLE-","")&amp;LOWER(SUBSTITUTE(SUBSTITUTE($A235,"SAMPLE-",""),"CMP-","c"))&amp;"-"&amp;LOWER(SUBSTITUTE(SUBSTITUTE($B235,"SAMPLE-",""),"O-","o"))&amp;"-q"))*(scans!$D$2:$D$1601="baseline")*scans!$E$2:$E$1601))))</f>
        <v/>
      </c>
      <c r="AO235" s="25">
        <f>IF($A235="","",IF(COUNTIFS(scans!$C$2:$C$1601,(IF(LEFT($A235,7)="SAMPLE-","SAMPLE-","")&amp;LOWER(SUBSTITUTE(SUBSTITUTE($A235,"SAMPLE-",""),"CMP-","c"))&amp;"-"&amp;LOWER(SUBSTITUTE(SUBSTITUTE($B235,"SAMPLE-",""),"O-","o"))&amp;"-p"),scans!$D$2:$D$1601,"close")=0,"",SUMPRODUCT(MAX((scans!$C$2:$C$1601=(IF(LEFT($A235,7)="SAMPLE-","SAMPLE-","")&amp;LOWER(SUBSTITUTE(SUBSTITUTE($A235,"SAMPLE-",""),"CMP-","c"))&amp;"-"&amp;LOWER(SUBSTITUTE(SUBSTITUTE($B235,"SAMPLE-",""),"O-","o"))&amp;"-p"))*(scans!$D$2:$D$1601="close")*scans!$E$2:$E$1601))-SUMPRODUCT(MAX((scans!$C$2:$C$1601=(IF(LEFT($A235,7)="SAMPLE-","SAMPLE-","")&amp;LOWER(SUBSTITUTE(SUBSTITUTE($A235,"SAMPLE-",""),"CMP-","c"))&amp;"-"&amp;LOWER(SUBSTITUTE(SUBSTITUTE($B235,"SAMPLE-",""),"O-","o"))&amp;"-p"))*(scans!$D$2:$D$1601="baseline")*scans!$E$2:$E$1601))))</f>
        <v/>
      </c>
      <c r="AP235" s="25">
        <f>IF($A235="","",IF(COUNTIF(offices!$A$2:$A$61,$B235)=0,"office_id not on offices; ","")&amp;IF(COUNTIF(campaigns!$A$2:$A$51,$A235)=0,"campaign_id not on campaigns; ","")&amp;IF($P235="pending","approval pending; ","")&amp;IF(AND($U235&gt;0,$Y235="",OR($I235="",IF(config!$B$37&lt;&gt;"",config!$B$37,TODAY())&lt;=WORKDAY(N($I235),4,calendar!$A$2:$A$80))),"no usable placement photo yet; ","")&amp;IF(AND($Y235&lt;&gt;"",$Z235=""),"log the placed count; ","")&amp;IF(N($AA235)&gt;N($U235),"placed more than delivered; ","")&amp;IF(AND($AF235&lt;&gt;"",N($AF235)&gt;N($AA235)+N($AD235)),"day-5 count above placed plus top-ups; ","")&amp;IF(AND($U235&gt;0,$I235&lt;&gt;"",IF(config!$B$37&lt;&gt;"",config!$B$37,TODAY())&gt;WORKDAY(N($I235),4,calendar!$A$2:$A$80),$AF235=""),"day-5 count missing; ","")&amp;IF(AND($U235&gt;0,$I235&lt;&gt;"",IF(config!$B$37&lt;&gt;"",config!$B$37,TODAY())&gt;WORKDAY(N($I235),4,calendar!$A$2:$A$80),$AN235=""),"no close link reading; ","")&amp;$R235&amp;IF($P235="N","info: office said no; ","")&amp;IF(AND($P235="Y",$Q235="N"),"info: turned away at the door, so not on the drop (no letter, not in the report or Gate 2; the credit check is on campaigns); ","")&amp;IF(AND($U235&gt;0,$Y235="",$I235&lt;&gt;"",IF(config!$B$37&lt;&gt;"",config!$B$37,TODAY())&gt;WORKDAY(N($I235),4,calendar!$A$2:$A$80)),"info: no usable placement photo, so nothing counts as placed; ","")&amp;IF(AND($U235&gt;0,$I235&lt;&gt;"",IF(config!$B$37&lt;&gt;"",config!$B$37,TODAY())&gt;WORKDAY(N($I235),4,calendar!$A$2:$A$80),N($AL235)&lt;config!$B$30),"info: under "&amp;config!$B$30&amp;" responses; ","")&amp;IF($W235="packing_list","info: delivered count not verified; ",""))</f>
        <v/>
      </c>
      <c r="AQ235" s="25">
        <f>IF(OR($A235="",$I235=""),"",IF($BC235="Y",SUMIFS(survey_frozen!$E$2:$E$251,survey_frozen!$P$2:$P$251,$A235&amp;"|"&amp;$B235),IFERROR(COUNTIFS(INDIRECT("'"&amp;$A235&amp;"'!$B$2:$B$501"),$T235,INDIRECT("'"&amp;$A235&amp;"'!$A$2:$A$501"),"&gt;="&amp;$I235,INDIRECT("'"&amp;$A235&amp;"'!$A$2:$A$501"),"&lt;"&amp;($BA235+1),INDIRECT("'"&amp;$A235&amp;"'!$F$2:$F$501"),"Didn't see it"),0)))</f>
        <v/>
      </c>
      <c r="AR235" s="25">
        <f>IF(OR($A235="",$I235=""),"",IF($BC235="Y",SUMIFS(survey_frozen!$F$2:$F$251,survey_frozen!$P$2:$P$251,$A235&amp;"|"&amp;$B235),IFERROR(COUNTIFS(INDIRECT("'"&amp;$A235&amp;"'!$B$2:$B$501"),$T235,INDIRECT("'"&amp;$A235&amp;"'!$A$2:$A$501"),"&gt;="&amp;$I235,INDIRECT("'"&amp;$A235&amp;"'!$A$2:$A$501"),"&lt;"&amp;($BA235+1),INDIRECT("'"&amp;$A235&amp;"'!$F$2:$F$501"),"Not for me"),0)))</f>
        <v/>
      </c>
      <c r="AS235" s="25">
        <f>IF(OR($A235="",$I235=""),"",IF($BC235="Y",SUMIFS(survey_frozen!$G$2:$G$251,survey_frozen!$P$2:$P$251,$A235&amp;"|"&amp;$B235),IFERROR(COUNTIFS(INDIRECT("'"&amp;$A235&amp;"'!$B$2:$B$501"),$T235,INDIRECT("'"&amp;$A235&amp;"'!$A$2:$A$501"),"&gt;="&amp;$I235,INDIRECT("'"&amp;$A235&amp;"'!$A$2:$A$501"),"&lt;"&amp;($BA235+1),INDIRECT("'"&amp;$A235&amp;"'!$F$2:$F$501"),"Gone by the time I looked"),0)))</f>
        <v/>
      </c>
      <c r="AT235" s="25">
        <f>IF(OR($A235="",$I235=""),"",IF($BC235="Y",SUMIFS(survey_frozen!$H$2:$H$251,survey_frozen!$P$2:$P$251,$A235&amp;"|"&amp;$B235),IFERROR(COUNTIFS(INDIRECT("'"&amp;$A235&amp;"'!$B$2:$B$501"),$T235,INDIRECT("'"&amp;$A235&amp;"'!$A$2:$A$501"),"&gt;="&amp;$I235,INDIRECT("'"&amp;$A235&amp;"'!$A$2:$A$501"),"&lt;"&amp;($BA235+1),INDIRECT("'"&amp;$A235&amp;"'!$D$2:$D$501"),"&gt;=1"),0)))</f>
        <v/>
      </c>
      <c r="AU235" s="25">
        <f>IF(OR($A235="",$I235=""),"",IF($BC235="Y",SUMIFS(survey_frozen!$I$2:$I$251,survey_frozen!$P$2:$P$251,$A235&amp;"|"&amp;$B235),IFERROR(SUMIFS(INDIRECT("'"&amp;$A235&amp;"'!$D$2:$D$501"),INDIRECT("'"&amp;$A235&amp;"'!$B$2:$B$501"),$T235,INDIRECT("'"&amp;$A235&amp;"'!$A$2:$A$501"),"&gt;="&amp;$I235,INDIRECT("'"&amp;$A235&amp;"'!$A$2:$A$501"),"&lt;"&amp;($BA235+1)),0)))</f>
        <v/>
      </c>
      <c r="AV235" s="25">
        <f>IF(OR($A235="",$I235=""),"",IF($BC235="Y",SUMIFS(survey_frozen!$J$2:$J$251,survey_frozen!$P$2:$P$251,$A235&amp;"|"&amp;$B235),IFERROR(COUNTIFS(INDIRECT("'"&amp;$A235&amp;"'!$B$2:$B$501"),$T235,INDIRECT("'"&amp;$A235&amp;"'!$A$2:$A$501"),"&gt;="&amp;$I235,INDIRECT("'"&amp;$A235&amp;"'!$A$2:$A$501"),"&lt;"&amp;($BA235+1),INDIRECT("'"&amp;$A235&amp;"'!$E$2:$E$501"),"Yes"),0)))</f>
        <v/>
      </c>
      <c r="AW235" s="25">
        <f>IF(OR($A235="",$I235=""),"",IF($BC235="Y",SUMIFS(survey_frozen!$K$2:$K$251,survey_frozen!$P$2:$P$251,$A235&amp;"|"&amp;$B235),IFERROR(COUNTIFS(INDIRECT("'"&amp;$A235&amp;"'!$B$2:$B$501"),$T235,INDIRECT("'"&amp;$A235&amp;"'!$A$2:$A$501"),"&gt;="&amp;$I235,INDIRECT("'"&amp;$A235&amp;"'!$A$2:$A$501"),"&lt;"&amp;($BA235+1),INDIRECT("'"&amp;$A235&amp;"'!$E$2:$E$501"),"Maybe"),0)))</f>
        <v/>
      </c>
      <c r="AX235" s="25">
        <f>IF(OR($A235="",$I235=""),"",IF($BC235="Y",SUMIFS(survey_frozen!$L$2:$L$251,survey_frozen!$P$2:$P$251,$A235&amp;"|"&amp;$B235),IFERROR(COUNTIFS(INDIRECT("'"&amp;$A235&amp;"'!$B$2:$B$501"),$T235,INDIRECT("'"&amp;$A235&amp;"'!$A$2:$A$501"),"&gt;="&amp;$I235,INDIRECT("'"&amp;$A235&amp;"'!$A$2:$A$501"),"&lt;"&amp;($BA235+1),INDIRECT("'"&amp;$A235&amp;"'!$E$2:$E$501"),"No"),0)))</f>
        <v/>
      </c>
      <c r="AY235" s="25">
        <f>IF(OR($A235="",$I235=""),"",IF($BC235="Y",SUMIFS(survey_frozen!$M$2:$M$251,survey_frozen!$P$2:$P$251,$A235&amp;"|"&amp;$B235),IFERROR(COUNTIFS(INDIRECT("'"&amp;$A235&amp;"'!$B$2:$B$501"),$T235,INDIRECT("'"&amp;$A235&amp;"'!$A$2:$A$501"),"&gt;="&amp;$I235,INDIRECT("'"&amp;$A235&amp;"'!$A$2:$A$501"),"&lt;"&amp;($BA235+1),INDIRECT("'"&amp;$A235&amp;"'!$G$2:$G$501"),"&lt;&gt;"),0)))</f>
        <v/>
      </c>
      <c r="AZ235" s="25">
        <f>IF($A235="","",$A235&amp;"|"&amp;$L235)</f>
        <v/>
      </c>
      <c r="BA235" s="26">
        <f>IF($A235="","",IFERROR(IF(INDEX(drops!$R$2:$R$21,MATCH($H235,drops!$A$2:$A$21,0))="","",INDEX(drops!$R$2:$R$21,MATCH($H235,drops!$A$2:$A$21,0))),""))</f>
        <v/>
      </c>
      <c r="BB235" s="25">
        <f>IF(OR($A235="",$Q235&lt;&gt;"Y"),1000000,N($AL235))</f>
        <v/>
      </c>
      <c r="BC235" s="25">
        <f>IF($A235="","",IF(COUNTIF(survey_frozen!$P$2:$P$251,$A235&amp;"|"&amp;$B235)&gt;0,"Y",""))</f>
        <v/>
      </c>
    </row>
    <row r="236">
      <c r="C236" s="9" t="n"/>
      <c r="E236" s="9" t="n"/>
      <c r="H236" s="25">
        <f>IF($A236="","",IFERROR(IF(INDEX(campaigns!$B$2:$B$51,MATCH($A236,campaigns!$A$2:$A$51,0))="","",INDEX(campaigns!$B$2:$B$51,MATCH($A236,campaigns!$A$2:$A$51,0))),""))</f>
        <v/>
      </c>
      <c r="I236" s="26">
        <f>IF($A236="","",IFERROR(IF(INDEX(campaigns!$BG$2:$BG$51,MATCH($A236,campaigns!$A$2:$A$51,0))="","",INDEX(campaigns!$BG$2:$BG$51,MATCH($A236,campaigns!$A$2:$A$51,0))),""))</f>
        <v/>
      </c>
      <c r="J236" s="25">
        <f>IF($A236="","",IFERROR(IF(INDEX(campaigns!$BE$2:$BE$51,MATCH($A236,campaigns!$A$2:$A$51,0))="","",INDEX(campaigns!$BE$2:$BE$51,MATCH($A236,campaigns!$A$2:$A$51,0))),""))</f>
        <v/>
      </c>
      <c r="K236" s="25">
        <f>IF($B236="","",IFERROR(IF(INDEX(offices!$N$2:$N$61,MATCH($B236,offices!$A$2:$A$61,0))="","",INDEX(offices!$N$2:$N$61,MATCH($B236,offices!$A$2:$A$61,0))),""))</f>
        <v/>
      </c>
      <c r="L236" s="25">
        <f>IF($A236="","",IF($Q236="N","",COUNTIFS($A$2:$A236,$A236,$Q$2:$Q236,"&lt;&gt;N")))</f>
        <v/>
      </c>
      <c r="M236" s="25">
        <f>IF(OR($A236="",$L236=""),"",IF(AND(config!$B$34="names_if_public",IFERROR(IF(INDEX(offices!$AF$2:$AF$61,MATCH($B236,offices!$A$2:$A$61,0))="","",INDEX(offices!$AF$2:$AF$61,MATCH($B236,offices!$A$2:$A$61,0))),"")="Y"),$K236,CHAR(64+$L236)))</f>
        <v/>
      </c>
      <c r="N236" s="25">
        <f>IF(OR($A236="",$I236=""),"",COUNTIFS(stops!$B$2:$B$151,$B236,stops!$P$2:$P$151,"&lt;"&amp;$I236,stops!$L$2:$L$151,"&lt;&gt;not_delivered")+1)</f>
        <v/>
      </c>
      <c r="O236" s="25">
        <f>IF($A236="","",IF(N($N236)&lt;=config!$B$29,"explicit","opt-out"))</f>
        <v/>
      </c>
      <c r="P236" s="25">
        <f>IF($A236="","",IF($O236="explicit",IF($D236="yes","Y",IF($D236="no","N","pending")),IF($D236="no","N",IF(AND($C236&lt;&gt;"",$I236&lt;&gt;"",$C236&lt;=WORKDAY(N($I236),-5,calendar!$A$2:$A$80)),"Y","pending"))))</f>
        <v/>
      </c>
      <c r="Q236" s="25">
        <f>IF($A236="","",IF($P236="N","N",IF($P236&lt;&gt;"Y","pending",IF(AND((COUNTIFS(stops!$A$2:$A$151,$H236,stops!$B$2:$B$151,$B236,stops!$L$2:$L$151,"declined")+COUNTIFS(stops!$A$2:$A$151,$H236,stops!$B$2:$B$151,$B236,stops!$L$2:$L$151,"building_refused")+COUNTIFS(stops!$A$2:$A$151,$H236,stops!$B$2:$B$151,$B236,stops!$L$2:$L$151,"not_delivered"))&gt;0,N($U236)=0),"N","Y"))))</f>
        <v/>
      </c>
      <c r="R236" s="25">
        <f>IF($A236="","",IF(COUNTIFS($A$2:$A$251,$A236,$B$2:$B$251,$B236)&gt;1,"DUPLICATE ROW; ","")&amp;IF(AND(IFERROR(IF(INDEX(offices!$AC$2:$AC$61,MATCH($B236,offices!$A$2:$A$61,0))="","",INDEX(offices!$AC$2:$AC$61,MATCH($B236,offices!$A$2:$A$61,0))),"")&lt;&gt;"",ISNUMBER(SEARCH($J236,IFERROR(IF(INDEX(offices!$AC$2:$AC$61,MATCH($B236,offices!$A$2:$A$61,0))="","",INDEX(offices!$AC$2:$AC$61,MATCH($B236,offices!$A$2:$A$61,0))),"")))),"BRAND VETOED; ","")&amp;IF(ISNUMBER(SEARCH(IFERROR(IF(INDEX(campaigns!$BF$2:$BF$51,MATCH($A236,campaigns!$A$2:$A$51,0))="","",INDEX(campaigns!$BF$2:$BF$51,MATCH($A236,campaigns!$A$2:$A$51,0))),""),IFERROR(IF(INDEX(offices!$AB$2:$AB$61,MATCH($B236,offices!$A$2:$A$61,0))="","",INDEX(offices!$AB$2:$AB$61,MATCH($B236,offices!$A$2:$A$61,0))),""))),"","info: category not on the office's list; ")&amp;IF(IFERROR(IF(INDEX(offices!$AC$2:$AC$61,MATCH($B236,offices!$A$2:$A$61,0))="","",INDEX(offices!$AC$2:$AC$61,MATCH($B236,offices!$A$2:$A$61,0))),"")&lt;&gt;"","info: read the vetoes against the label; ",""))</f>
        <v/>
      </c>
      <c r="S236" s="25">
        <f>IF($A236="","",IF($G236&lt;&gt;"",$G236,IFERROR(IF(INDEX(offices!$AL$2:$AL$61,MATCH($B236,offices!$A$2:$A$61,0))="","",INDEX(offices!$AL$2:$AL$61,MATCH($B236,offices!$A$2:$A$61,0))),"")))</f>
        <v/>
      </c>
      <c r="T236" s="25">
        <f>IF($A236="","",$A236&amp;"."&amp;$B236)</f>
        <v/>
      </c>
      <c r="U236" s="25">
        <f>IF($A236="","",SUMIFS(inventory!$G$2:$G$801,inventory!$C$2:$C$801,$A236,inventory!$D$2:$D$801,$B236,inventory!$E$2:$E$801,"delivered"))</f>
        <v/>
      </c>
      <c r="V236" s="32">
        <f>IF($A236="","",IFERROR(1/(1/SUMPRODUCT(MAX((inventory!$C$2:$C$801=$A236)*(inventory!$D$2:$D$801=$B236)*(inventory!$E$2:$E$801="delivered")*(inventory!$A$2:$A$801+inventory!$B$2:$B$801)))),""))</f>
        <v/>
      </c>
      <c r="W236" s="25">
        <f>IF($A236="","",IFERROR(IF(INDEX(inventory!$J$2:$J$801,MATCH($A236&amp;"|"&amp;$B236&amp;"|delivered",inventory!$R$2:$R$801,0))="","",INDEX(inventory!$J$2:$J$801,MATCH($A236&amp;"|"&amp;$B236&amp;"|delivered",inventory!$R$2:$R$801,0))),""))</f>
        <v/>
      </c>
      <c r="X236" s="25">
        <f>IF($A236="","",IFERROR(IF(INDEX(photos!$H$2:$H$701,MATCH($A236&amp;"|"&amp;$B236&amp;"|placement|Y",photos!$R$2:$R$701,0))="","",INDEX(photos!$H$2:$H$701,MATCH($A236&amp;"|"&amp;$B236&amp;"|placement|Y",photos!$R$2:$R$701,0))),""))</f>
        <v/>
      </c>
      <c r="Y236" s="26">
        <f>IF($A236="","",IFERROR(IF(INDEX(photos!$E$2:$E$701,MATCH($A236&amp;"|"&amp;$B236&amp;"|placement|Y",photos!$R$2:$R$701,0))="","",INDEX(photos!$E$2:$E$701,MATCH($A236&amp;"|"&amp;$B236&amp;"|placement|Y",photos!$R$2:$R$701,0))),""))</f>
        <v/>
      </c>
      <c r="Z236" s="25">
        <f>IF($A236="","",IF(COUNTIFS(counts!$C$2:$C$701,$A236,counts!$D$2:$D$701,$B236,counts!$E$2:$E$701,"placed")=0,"",SUMIFS(counts!$F$2:$F$701,counts!$C$2:$C$701,$A236,counts!$D$2:$D$701,$B236,counts!$E$2:$E$701,"placed")))</f>
        <v/>
      </c>
      <c r="AA236" s="25">
        <f>IF($A236="","",IF($Y236="",0,N($Z236)))</f>
        <v/>
      </c>
      <c r="AB236" s="25">
        <f>IF($A236="","",IF(OR($Y236="",$I236=""),"N",IF($Y236&lt;=WORKDAY(N($I236),1,calendar!$A$2:$A$80),"Y","N")))</f>
        <v/>
      </c>
      <c r="AC236" s="28">
        <f>IF(OR($A236="",$V236="",$Y236=""),"",ROUND(($Y236+N(IFERROR(IF(INDEX(photos!$F$2:$F$701,MATCH($A236&amp;"|"&amp;$B236&amp;"|placement|Y",photos!$R$2:$R$701,0))="","",INDEX(photos!$F$2:$F$701,MATCH($A236&amp;"|"&amp;$B236&amp;"|placement|Y",photos!$R$2:$R$701,0))),""))-$V236)*24,1))</f>
        <v/>
      </c>
      <c r="AD236" s="25">
        <f>IF($A236="","",SUMIFS(inventory!$G$2:$G$801,inventory!$C$2:$C$801,$A236,inventory!$D$2:$D$801,$B236,inventory!$E$2:$E$801,"topped_up"))</f>
        <v/>
      </c>
      <c r="AE236" s="25">
        <f>IF($A236="","",IF(COUNTIFS(counts!$C$2:$C$701,$A236,counts!$D$2:$D$701,$B236,counts!$E$2:$E$701,"remaining_day3")=0,"",SUMIFS(counts!$F$2:$F$701,counts!$C$2:$C$701,$A236,counts!$D$2:$D$701,$B236,counts!$E$2:$E$701,"remaining_day3")))</f>
        <v/>
      </c>
      <c r="AF236" s="25">
        <f>IF($A236="","",IF(COUNTIFS(counts!$C$2:$C$701,$A236,counts!$D$2:$D$701,$B236,counts!$E$2:$E$701,"remaining_day5")=0,"",SUMIFS(counts!$F$2:$F$701,counts!$C$2:$C$701,$A236,counts!$D$2:$D$701,$B236,counts!$E$2:$E$701,"remaining_day5")))</f>
        <v/>
      </c>
      <c r="AG236" s="25">
        <f>IF(OR($A236="",$AF236=""),"",MAX(0,$AA236+$AD236-$AF236))</f>
        <v/>
      </c>
      <c r="AH236" s="25">
        <f>IF(OR($A236="",$AI236=""),"",IFERROR(IF(INDEX(photos!$H$2:$H$701,MATCH($A236&amp;"|"&amp;$B236&amp;"|later|Y|"&amp;$AI236,photos!$S$2:$S$701,0))="","",INDEX(photos!$H$2:$H$701,MATCH($A236&amp;"|"&amp;$B236&amp;"|later|Y|"&amp;$AI236,photos!$S$2:$S$701,0))),""))</f>
        <v/>
      </c>
      <c r="AI236" s="26">
        <f>IF($A236="","",IFERROR(1/(1/SUMPRODUCT(MAX((photos!$B$2:$B$701=$A236)*(photos!$C$2:$C$701=$B236)*(photos!$D$2:$D$701="later")*(photos!$O$2:$O$701="Y")*photos!$E$2:$E$701))),""))</f>
        <v/>
      </c>
      <c r="AJ236" s="25">
        <f>IF(OR($A236="",$AI236="",$I236=""),"",NETWORKDAYS($I236,$AI236,calendar!$A$2:$A$80))</f>
        <v/>
      </c>
      <c r="AK236" s="25">
        <f>IF($A236="","",IF(AND($X236&lt;&gt;"",$AH236&lt;&gt;""),"Y","N"))</f>
        <v/>
      </c>
      <c r="AL236" s="25">
        <f>IF(OR($A236="",$I236=""),"",IF($BC236="Y",SUMIFS(survey_frozen!$C$2:$C$251,survey_frozen!$P$2:$P$251,$A236&amp;"|"&amp;$B236),IFERROR(COUNTIFS(INDIRECT("'"&amp;$A236&amp;"'!$B$2:$B$501"),$T236,INDIRECT("'"&amp;$A236&amp;"'!$A$2:$A$501"),"&gt;="&amp;$I236,INDIRECT("'"&amp;$A236&amp;"'!$A$2:$A$501"),"&lt;"&amp;($BA236+1)),0)))</f>
        <v/>
      </c>
      <c r="AM236" s="25">
        <f>IF(OR($A236="",$I236=""),"",IF($BC236="Y",SUMIFS(survey_frozen!$D$2:$D$251,survey_frozen!$P$2:$P$251,$A236&amp;"|"&amp;$B236),IFERROR(COUNTIFS(INDIRECT("'"&amp;$A236&amp;"'!$B$2:$B$501"),$T236,INDIRECT("'"&amp;$A236&amp;"'!$A$2:$A$501"),"&gt;="&amp;$I236,INDIRECT("'"&amp;$A236&amp;"'!$A$2:$A$501"),"&lt;"&amp;($BA236+1),INDIRECT("'"&amp;$A236&amp;"'!$C$2:$C$501"),"Yes"),0)))</f>
        <v/>
      </c>
      <c r="AN236" s="25">
        <f>IF($A236="","",IF(COUNTIFS(scans!$C$2:$C$1601,(IF(LEFT($A236,7)="SAMPLE-","SAMPLE-","")&amp;LOWER(SUBSTITUTE(SUBSTITUTE($A236,"SAMPLE-",""),"CMP-","c"))&amp;"-"&amp;LOWER(SUBSTITUTE(SUBSTITUTE($B236,"SAMPLE-",""),"O-","o"))&amp;"-q"),scans!$D$2:$D$1601,"close")=0,"",SUMPRODUCT(MAX((scans!$C$2:$C$1601=(IF(LEFT($A236,7)="SAMPLE-","SAMPLE-","")&amp;LOWER(SUBSTITUTE(SUBSTITUTE($A236,"SAMPLE-",""),"CMP-","c"))&amp;"-"&amp;LOWER(SUBSTITUTE(SUBSTITUTE($B236,"SAMPLE-",""),"O-","o"))&amp;"-q"))*(scans!$D$2:$D$1601="close")*scans!$E$2:$E$1601))-SUMPRODUCT(MAX((scans!$C$2:$C$1601=(IF(LEFT($A236,7)="SAMPLE-","SAMPLE-","")&amp;LOWER(SUBSTITUTE(SUBSTITUTE($A236,"SAMPLE-",""),"CMP-","c"))&amp;"-"&amp;LOWER(SUBSTITUTE(SUBSTITUTE($B236,"SAMPLE-",""),"O-","o"))&amp;"-q"))*(scans!$D$2:$D$1601="baseline")*scans!$E$2:$E$1601))))</f>
        <v/>
      </c>
      <c r="AO236" s="25">
        <f>IF($A236="","",IF(COUNTIFS(scans!$C$2:$C$1601,(IF(LEFT($A236,7)="SAMPLE-","SAMPLE-","")&amp;LOWER(SUBSTITUTE(SUBSTITUTE($A236,"SAMPLE-",""),"CMP-","c"))&amp;"-"&amp;LOWER(SUBSTITUTE(SUBSTITUTE($B236,"SAMPLE-",""),"O-","o"))&amp;"-p"),scans!$D$2:$D$1601,"close")=0,"",SUMPRODUCT(MAX((scans!$C$2:$C$1601=(IF(LEFT($A236,7)="SAMPLE-","SAMPLE-","")&amp;LOWER(SUBSTITUTE(SUBSTITUTE($A236,"SAMPLE-",""),"CMP-","c"))&amp;"-"&amp;LOWER(SUBSTITUTE(SUBSTITUTE($B236,"SAMPLE-",""),"O-","o"))&amp;"-p"))*(scans!$D$2:$D$1601="close")*scans!$E$2:$E$1601))-SUMPRODUCT(MAX((scans!$C$2:$C$1601=(IF(LEFT($A236,7)="SAMPLE-","SAMPLE-","")&amp;LOWER(SUBSTITUTE(SUBSTITUTE($A236,"SAMPLE-",""),"CMP-","c"))&amp;"-"&amp;LOWER(SUBSTITUTE(SUBSTITUTE($B236,"SAMPLE-",""),"O-","o"))&amp;"-p"))*(scans!$D$2:$D$1601="baseline")*scans!$E$2:$E$1601))))</f>
        <v/>
      </c>
      <c r="AP236" s="25">
        <f>IF($A236="","",IF(COUNTIF(offices!$A$2:$A$61,$B236)=0,"office_id not on offices; ","")&amp;IF(COUNTIF(campaigns!$A$2:$A$51,$A236)=0,"campaign_id not on campaigns; ","")&amp;IF($P236="pending","approval pending; ","")&amp;IF(AND($U236&gt;0,$Y236="",OR($I236="",IF(config!$B$37&lt;&gt;"",config!$B$37,TODAY())&lt;=WORKDAY(N($I236),4,calendar!$A$2:$A$80))),"no usable placement photo yet; ","")&amp;IF(AND($Y236&lt;&gt;"",$Z236=""),"log the placed count; ","")&amp;IF(N($AA236)&gt;N($U236),"placed more than delivered; ","")&amp;IF(AND($AF236&lt;&gt;"",N($AF236)&gt;N($AA236)+N($AD236)),"day-5 count above placed plus top-ups; ","")&amp;IF(AND($U236&gt;0,$I236&lt;&gt;"",IF(config!$B$37&lt;&gt;"",config!$B$37,TODAY())&gt;WORKDAY(N($I236),4,calendar!$A$2:$A$80),$AF236=""),"day-5 count missing; ","")&amp;IF(AND($U236&gt;0,$I236&lt;&gt;"",IF(config!$B$37&lt;&gt;"",config!$B$37,TODAY())&gt;WORKDAY(N($I236),4,calendar!$A$2:$A$80),$AN236=""),"no close link reading; ","")&amp;$R236&amp;IF($P236="N","info: office said no; ","")&amp;IF(AND($P236="Y",$Q236="N"),"info: turned away at the door, so not on the drop (no letter, not in the report or Gate 2; the credit check is on campaigns); ","")&amp;IF(AND($U236&gt;0,$Y236="",$I236&lt;&gt;"",IF(config!$B$37&lt;&gt;"",config!$B$37,TODAY())&gt;WORKDAY(N($I236),4,calendar!$A$2:$A$80)),"info: no usable placement photo, so nothing counts as placed; ","")&amp;IF(AND($U236&gt;0,$I236&lt;&gt;"",IF(config!$B$37&lt;&gt;"",config!$B$37,TODAY())&gt;WORKDAY(N($I236),4,calendar!$A$2:$A$80),N($AL236)&lt;config!$B$30),"info: under "&amp;config!$B$30&amp;" responses; ","")&amp;IF($W236="packing_list","info: delivered count not verified; ",""))</f>
        <v/>
      </c>
      <c r="AQ236" s="25">
        <f>IF(OR($A236="",$I236=""),"",IF($BC236="Y",SUMIFS(survey_frozen!$E$2:$E$251,survey_frozen!$P$2:$P$251,$A236&amp;"|"&amp;$B236),IFERROR(COUNTIFS(INDIRECT("'"&amp;$A236&amp;"'!$B$2:$B$501"),$T236,INDIRECT("'"&amp;$A236&amp;"'!$A$2:$A$501"),"&gt;="&amp;$I236,INDIRECT("'"&amp;$A236&amp;"'!$A$2:$A$501"),"&lt;"&amp;($BA236+1),INDIRECT("'"&amp;$A236&amp;"'!$F$2:$F$501"),"Didn't see it"),0)))</f>
        <v/>
      </c>
      <c r="AR236" s="25">
        <f>IF(OR($A236="",$I236=""),"",IF($BC236="Y",SUMIFS(survey_frozen!$F$2:$F$251,survey_frozen!$P$2:$P$251,$A236&amp;"|"&amp;$B236),IFERROR(COUNTIFS(INDIRECT("'"&amp;$A236&amp;"'!$B$2:$B$501"),$T236,INDIRECT("'"&amp;$A236&amp;"'!$A$2:$A$501"),"&gt;="&amp;$I236,INDIRECT("'"&amp;$A236&amp;"'!$A$2:$A$501"),"&lt;"&amp;($BA236+1),INDIRECT("'"&amp;$A236&amp;"'!$F$2:$F$501"),"Not for me"),0)))</f>
        <v/>
      </c>
      <c r="AS236" s="25">
        <f>IF(OR($A236="",$I236=""),"",IF($BC236="Y",SUMIFS(survey_frozen!$G$2:$G$251,survey_frozen!$P$2:$P$251,$A236&amp;"|"&amp;$B236),IFERROR(COUNTIFS(INDIRECT("'"&amp;$A236&amp;"'!$B$2:$B$501"),$T236,INDIRECT("'"&amp;$A236&amp;"'!$A$2:$A$501"),"&gt;="&amp;$I236,INDIRECT("'"&amp;$A236&amp;"'!$A$2:$A$501"),"&lt;"&amp;($BA236+1),INDIRECT("'"&amp;$A236&amp;"'!$F$2:$F$501"),"Gone by the time I looked"),0)))</f>
        <v/>
      </c>
      <c r="AT236" s="25">
        <f>IF(OR($A236="",$I236=""),"",IF($BC236="Y",SUMIFS(survey_frozen!$H$2:$H$251,survey_frozen!$P$2:$P$251,$A236&amp;"|"&amp;$B236),IFERROR(COUNTIFS(INDIRECT("'"&amp;$A236&amp;"'!$B$2:$B$501"),$T236,INDIRECT("'"&amp;$A236&amp;"'!$A$2:$A$501"),"&gt;="&amp;$I236,INDIRECT("'"&amp;$A236&amp;"'!$A$2:$A$501"),"&lt;"&amp;($BA236+1),INDIRECT("'"&amp;$A236&amp;"'!$D$2:$D$501"),"&gt;=1"),0)))</f>
        <v/>
      </c>
      <c r="AU236" s="25">
        <f>IF(OR($A236="",$I236=""),"",IF($BC236="Y",SUMIFS(survey_frozen!$I$2:$I$251,survey_frozen!$P$2:$P$251,$A236&amp;"|"&amp;$B236),IFERROR(SUMIFS(INDIRECT("'"&amp;$A236&amp;"'!$D$2:$D$501"),INDIRECT("'"&amp;$A236&amp;"'!$B$2:$B$501"),$T236,INDIRECT("'"&amp;$A236&amp;"'!$A$2:$A$501"),"&gt;="&amp;$I236,INDIRECT("'"&amp;$A236&amp;"'!$A$2:$A$501"),"&lt;"&amp;($BA236+1)),0)))</f>
        <v/>
      </c>
      <c r="AV236" s="25">
        <f>IF(OR($A236="",$I236=""),"",IF($BC236="Y",SUMIFS(survey_frozen!$J$2:$J$251,survey_frozen!$P$2:$P$251,$A236&amp;"|"&amp;$B236),IFERROR(COUNTIFS(INDIRECT("'"&amp;$A236&amp;"'!$B$2:$B$501"),$T236,INDIRECT("'"&amp;$A236&amp;"'!$A$2:$A$501"),"&gt;="&amp;$I236,INDIRECT("'"&amp;$A236&amp;"'!$A$2:$A$501"),"&lt;"&amp;($BA236+1),INDIRECT("'"&amp;$A236&amp;"'!$E$2:$E$501"),"Yes"),0)))</f>
        <v/>
      </c>
      <c r="AW236" s="25">
        <f>IF(OR($A236="",$I236=""),"",IF($BC236="Y",SUMIFS(survey_frozen!$K$2:$K$251,survey_frozen!$P$2:$P$251,$A236&amp;"|"&amp;$B236),IFERROR(COUNTIFS(INDIRECT("'"&amp;$A236&amp;"'!$B$2:$B$501"),$T236,INDIRECT("'"&amp;$A236&amp;"'!$A$2:$A$501"),"&gt;="&amp;$I236,INDIRECT("'"&amp;$A236&amp;"'!$A$2:$A$501"),"&lt;"&amp;($BA236+1),INDIRECT("'"&amp;$A236&amp;"'!$E$2:$E$501"),"Maybe"),0)))</f>
        <v/>
      </c>
      <c r="AX236" s="25">
        <f>IF(OR($A236="",$I236=""),"",IF($BC236="Y",SUMIFS(survey_frozen!$L$2:$L$251,survey_frozen!$P$2:$P$251,$A236&amp;"|"&amp;$B236),IFERROR(COUNTIFS(INDIRECT("'"&amp;$A236&amp;"'!$B$2:$B$501"),$T236,INDIRECT("'"&amp;$A236&amp;"'!$A$2:$A$501"),"&gt;="&amp;$I236,INDIRECT("'"&amp;$A236&amp;"'!$A$2:$A$501"),"&lt;"&amp;($BA236+1),INDIRECT("'"&amp;$A236&amp;"'!$E$2:$E$501"),"No"),0)))</f>
        <v/>
      </c>
      <c r="AY236" s="25">
        <f>IF(OR($A236="",$I236=""),"",IF($BC236="Y",SUMIFS(survey_frozen!$M$2:$M$251,survey_frozen!$P$2:$P$251,$A236&amp;"|"&amp;$B236),IFERROR(COUNTIFS(INDIRECT("'"&amp;$A236&amp;"'!$B$2:$B$501"),$T236,INDIRECT("'"&amp;$A236&amp;"'!$A$2:$A$501"),"&gt;="&amp;$I236,INDIRECT("'"&amp;$A236&amp;"'!$A$2:$A$501"),"&lt;"&amp;($BA236+1),INDIRECT("'"&amp;$A236&amp;"'!$G$2:$G$501"),"&lt;&gt;"),0)))</f>
        <v/>
      </c>
      <c r="AZ236" s="25">
        <f>IF($A236="","",$A236&amp;"|"&amp;$L236)</f>
        <v/>
      </c>
      <c r="BA236" s="26">
        <f>IF($A236="","",IFERROR(IF(INDEX(drops!$R$2:$R$21,MATCH($H236,drops!$A$2:$A$21,0))="","",INDEX(drops!$R$2:$R$21,MATCH($H236,drops!$A$2:$A$21,0))),""))</f>
        <v/>
      </c>
      <c r="BB236" s="25">
        <f>IF(OR($A236="",$Q236&lt;&gt;"Y"),1000000,N($AL236))</f>
        <v/>
      </c>
      <c r="BC236" s="25">
        <f>IF($A236="","",IF(COUNTIF(survey_frozen!$P$2:$P$251,$A236&amp;"|"&amp;$B236)&gt;0,"Y",""))</f>
        <v/>
      </c>
    </row>
    <row r="237">
      <c r="C237" s="9" t="n"/>
      <c r="E237" s="9" t="n"/>
      <c r="H237" s="25">
        <f>IF($A237="","",IFERROR(IF(INDEX(campaigns!$B$2:$B$51,MATCH($A237,campaigns!$A$2:$A$51,0))="","",INDEX(campaigns!$B$2:$B$51,MATCH($A237,campaigns!$A$2:$A$51,0))),""))</f>
        <v/>
      </c>
      <c r="I237" s="26">
        <f>IF($A237="","",IFERROR(IF(INDEX(campaigns!$BG$2:$BG$51,MATCH($A237,campaigns!$A$2:$A$51,0))="","",INDEX(campaigns!$BG$2:$BG$51,MATCH($A237,campaigns!$A$2:$A$51,0))),""))</f>
        <v/>
      </c>
      <c r="J237" s="25">
        <f>IF($A237="","",IFERROR(IF(INDEX(campaigns!$BE$2:$BE$51,MATCH($A237,campaigns!$A$2:$A$51,0))="","",INDEX(campaigns!$BE$2:$BE$51,MATCH($A237,campaigns!$A$2:$A$51,0))),""))</f>
        <v/>
      </c>
      <c r="K237" s="25">
        <f>IF($B237="","",IFERROR(IF(INDEX(offices!$N$2:$N$61,MATCH($B237,offices!$A$2:$A$61,0))="","",INDEX(offices!$N$2:$N$61,MATCH($B237,offices!$A$2:$A$61,0))),""))</f>
        <v/>
      </c>
      <c r="L237" s="25">
        <f>IF($A237="","",IF($Q237="N","",COUNTIFS($A$2:$A237,$A237,$Q$2:$Q237,"&lt;&gt;N")))</f>
        <v/>
      </c>
      <c r="M237" s="25">
        <f>IF(OR($A237="",$L237=""),"",IF(AND(config!$B$34="names_if_public",IFERROR(IF(INDEX(offices!$AF$2:$AF$61,MATCH($B237,offices!$A$2:$A$61,0))="","",INDEX(offices!$AF$2:$AF$61,MATCH($B237,offices!$A$2:$A$61,0))),"")="Y"),$K237,CHAR(64+$L237)))</f>
        <v/>
      </c>
      <c r="N237" s="25">
        <f>IF(OR($A237="",$I237=""),"",COUNTIFS(stops!$B$2:$B$151,$B237,stops!$P$2:$P$151,"&lt;"&amp;$I237,stops!$L$2:$L$151,"&lt;&gt;not_delivered")+1)</f>
        <v/>
      </c>
      <c r="O237" s="25">
        <f>IF($A237="","",IF(N($N237)&lt;=config!$B$29,"explicit","opt-out"))</f>
        <v/>
      </c>
      <c r="P237" s="25">
        <f>IF($A237="","",IF($O237="explicit",IF($D237="yes","Y",IF($D237="no","N","pending")),IF($D237="no","N",IF(AND($C237&lt;&gt;"",$I237&lt;&gt;"",$C237&lt;=WORKDAY(N($I237),-5,calendar!$A$2:$A$80)),"Y","pending"))))</f>
        <v/>
      </c>
      <c r="Q237" s="25">
        <f>IF($A237="","",IF($P237="N","N",IF($P237&lt;&gt;"Y","pending",IF(AND((COUNTIFS(stops!$A$2:$A$151,$H237,stops!$B$2:$B$151,$B237,stops!$L$2:$L$151,"declined")+COUNTIFS(stops!$A$2:$A$151,$H237,stops!$B$2:$B$151,$B237,stops!$L$2:$L$151,"building_refused")+COUNTIFS(stops!$A$2:$A$151,$H237,stops!$B$2:$B$151,$B237,stops!$L$2:$L$151,"not_delivered"))&gt;0,N($U237)=0),"N","Y"))))</f>
        <v/>
      </c>
      <c r="R237" s="25">
        <f>IF($A237="","",IF(COUNTIFS($A$2:$A$251,$A237,$B$2:$B$251,$B237)&gt;1,"DUPLICATE ROW; ","")&amp;IF(AND(IFERROR(IF(INDEX(offices!$AC$2:$AC$61,MATCH($B237,offices!$A$2:$A$61,0))="","",INDEX(offices!$AC$2:$AC$61,MATCH($B237,offices!$A$2:$A$61,0))),"")&lt;&gt;"",ISNUMBER(SEARCH($J237,IFERROR(IF(INDEX(offices!$AC$2:$AC$61,MATCH($B237,offices!$A$2:$A$61,0))="","",INDEX(offices!$AC$2:$AC$61,MATCH($B237,offices!$A$2:$A$61,0))),"")))),"BRAND VETOED; ","")&amp;IF(ISNUMBER(SEARCH(IFERROR(IF(INDEX(campaigns!$BF$2:$BF$51,MATCH($A237,campaigns!$A$2:$A$51,0))="","",INDEX(campaigns!$BF$2:$BF$51,MATCH($A237,campaigns!$A$2:$A$51,0))),""),IFERROR(IF(INDEX(offices!$AB$2:$AB$61,MATCH($B237,offices!$A$2:$A$61,0))="","",INDEX(offices!$AB$2:$AB$61,MATCH($B237,offices!$A$2:$A$61,0))),""))),"","info: category not on the office's list; ")&amp;IF(IFERROR(IF(INDEX(offices!$AC$2:$AC$61,MATCH($B237,offices!$A$2:$A$61,0))="","",INDEX(offices!$AC$2:$AC$61,MATCH($B237,offices!$A$2:$A$61,0))),"")&lt;&gt;"","info: read the vetoes against the label; ",""))</f>
        <v/>
      </c>
      <c r="S237" s="25">
        <f>IF($A237="","",IF($G237&lt;&gt;"",$G237,IFERROR(IF(INDEX(offices!$AL$2:$AL$61,MATCH($B237,offices!$A$2:$A$61,0))="","",INDEX(offices!$AL$2:$AL$61,MATCH($B237,offices!$A$2:$A$61,0))),"")))</f>
        <v/>
      </c>
      <c r="T237" s="25">
        <f>IF($A237="","",$A237&amp;"."&amp;$B237)</f>
        <v/>
      </c>
      <c r="U237" s="25">
        <f>IF($A237="","",SUMIFS(inventory!$G$2:$G$801,inventory!$C$2:$C$801,$A237,inventory!$D$2:$D$801,$B237,inventory!$E$2:$E$801,"delivered"))</f>
        <v/>
      </c>
      <c r="V237" s="32">
        <f>IF($A237="","",IFERROR(1/(1/SUMPRODUCT(MAX((inventory!$C$2:$C$801=$A237)*(inventory!$D$2:$D$801=$B237)*(inventory!$E$2:$E$801="delivered")*(inventory!$A$2:$A$801+inventory!$B$2:$B$801)))),""))</f>
        <v/>
      </c>
      <c r="W237" s="25">
        <f>IF($A237="","",IFERROR(IF(INDEX(inventory!$J$2:$J$801,MATCH($A237&amp;"|"&amp;$B237&amp;"|delivered",inventory!$R$2:$R$801,0))="","",INDEX(inventory!$J$2:$J$801,MATCH($A237&amp;"|"&amp;$B237&amp;"|delivered",inventory!$R$2:$R$801,0))),""))</f>
        <v/>
      </c>
      <c r="X237" s="25">
        <f>IF($A237="","",IFERROR(IF(INDEX(photos!$H$2:$H$701,MATCH($A237&amp;"|"&amp;$B237&amp;"|placement|Y",photos!$R$2:$R$701,0))="","",INDEX(photos!$H$2:$H$701,MATCH($A237&amp;"|"&amp;$B237&amp;"|placement|Y",photos!$R$2:$R$701,0))),""))</f>
        <v/>
      </c>
      <c r="Y237" s="26">
        <f>IF($A237="","",IFERROR(IF(INDEX(photos!$E$2:$E$701,MATCH($A237&amp;"|"&amp;$B237&amp;"|placement|Y",photos!$R$2:$R$701,0))="","",INDEX(photos!$E$2:$E$701,MATCH($A237&amp;"|"&amp;$B237&amp;"|placement|Y",photos!$R$2:$R$701,0))),""))</f>
        <v/>
      </c>
      <c r="Z237" s="25">
        <f>IF($A237="","",IF(COUNTIFS(counts!$C$2:$C$701,$A237,counts!$D$2:$D$701,$B237,counts!$E$2:$E$701,"placed")=0,"",SUMIFS(counts!$F$2:$F$701,counts!$C$2:$C$701,$A237,counts!$D$2:$D$701,$B237,counts!$E$2:$E$701,"placed")))</f>
        <v/>
      </c>
      <c r="AA237" s="25">
        <f>IF($A237="","",IF($Y237="",0,N($Z237)))</f>
        <v/>
      </c>
      <c r="AB237" s="25">
        <f>IF($A237="","",IF(OR($Y237="",$I237=""),"N",IF($Y237&lt;=WORKDAY(N($I237),1,calendar!$A$2:$A$80),"Y","N")))</f>
        <v/>
      </c>
      <c r="AC237" s="28">
        <f>IF(OR($A237="",$V237="",$Y237=""),"",ROUND(($Y237+N(IFERROR(IF(INDEX(photos!$F$2:$F$701,MATCH($A237&amp;"|"&amp;$B237&amp;"|placement|Y",photos!$R$2:$R$701,0))="","",INDEX(photos!$F$2:$F$701,MATCH($A237&amp;"|"&amp;$B237&amp;"|placement|Y",photos!$R$2:$R$701,0))),""))-$V237)*24,1))</f>
        <v/>
      </c>
      <c r="AD237" s="25">
        <f>IF($A237="","",SUMIFS(inventory!$G$2:$G$801,inventory!$C$2:$C$801,$A237,inventory!$D$2:$D$801,$B237,inventory!$E$2:$E$801,"topped_up"))</f>
        <v/>
      </c>
      <c r="AE237" s="25">
        <f>IF($A237="","",IF(COUNTIFS(counts!$C$2:$C$701,$A237,counts!$D$2:$D$701,$B237,counts!$E$2:$E$701,"remaining_day3")=0,"",SUMIFS(counts!$F$2:$F$701,counts!$C$2:$C$701,$A237,counts!$D$2:$D$701,$B237,counts!$E$2:$E$701,"remaining_day3")))</f>
        <v/>
      </c>
      <c r="AF237" s="25">
        <f>IF($A237="","",IF(COUNTIFS(counts!$C$2:$C$701,$A237,counts!$D$2:$D$701,$B237,counts!$E$2:$E$701,"remaining_day5")=0,"",SUMIFS(counts!$F$2:$F$701,counts!$C$2:$C$701,$A237,counts!$D$2:$D$701,$B237,counts!$E$2:$E$701,"remaining_day5")))</f>
        <v/>
      </c>
      <c r="AG237" s="25">
        <f>IF(OR($A237="",$AF237=""),"",MAX(0,$AA237+$AD237-$AF237))</f>
        <v/>
      </c>
      <c r="AH237" s="25">
        <f>IF(OR($A237="",$AI237=""),"",IFERROR(IF(INDEX(photos!$H$2:$H$701,MATCH($A237&amp;"|"&amp;$B237&amp;"|later|Y|"&amp;$AI237,photos!$S$2:$S$701,0))="","",INDEX(photos!$H$2:$H$701,MATCH($A237&amp;"|"&amp;$B237&amp;"|later|Y|"&amp;$AI237,photos!$S$2:$S$701,0))),""))</f>
        <v/>
      </c>
      <c r="AI237" s="26">
        <f>IF($A237="","",IFERROR(1/(1/SUMPRODUCT(MAX((photos!$B$2:$B$701=$A237)*(photos!$C$2:$C$701=$B237)*(photos!$D$2:$D$701="later")*(photos!$O$2:$O$701="Y")*photos!$E$2:$E$701))),""))</f>
        <v/>
      </c>
      <c r="AJ237" s="25">
        <f>IF(OR($A237="",$AI237="",$I237=""),"",NETWORKDAYS($I237,$AI237,calendar!$A$2:$A$80))</f>
        <v/>
      </c>
      <c r="AK237" s="25">
        <f>IF($A237="","",IF(AND($X237&lt;&gt;"",$AH237&lt;&gt;""),"Y","N"))</f>
        <v/>
      </c>
      <c r="AL237" s="25">
        <f>IF(OR($A237="",$I237=""),"",IF($BC237="Y",SUMIFS(survey_frozen!$C$2:$C$251,survey_frozen!$P$2:$P$251,$A237&amp;"|"&amp;$B237),IFERROR(COUNTIFS(INDIRECT("'"&amp;$A237&amp;"'!$B$2:$B$501"),$T237,INDIRECT("'"&amp;$A237&amp;"'!$A$2:$A$501"),"&gt;="&amp;$I237,INDIRECT("'"&amp;$A237&amp;"'!$A$2:$A$501"),"&lt;"&amp;($BA237+1)),0)))</f>
        <v/>
      </c>
      <c r="AM237" s="25">
        <f>IF(OR($A237="",$I237=""),"",IF($BC237="Y",SUMIFS(survey_frozen!$D$2:$D$251,survey_frozen!$P$2:$P$251,$A237&amp;"|"&amp;$B237),IFERROR(COUNTIFS(INDIRECT("'"&amp;$A237&amp;"'!$B$2:$B$501"),$T237,INDIRECT("'"&amp;$A237&amp;"'!$A$2:$A$501"),"&gt;="&amp;$I237,INDIRECT("'"&amp;$A237&amp;"'!$A$2:$A$501"),"&lt;"&amp;($BA237+1),INDIRECT("'"&amp;$A237&amp;"'!$C$2:$C$501"),"Yes"),0)))</f>
        <v/>
      </c>
      <c r="AN237" s="25">
        <f>IF($A237="","",IF(COUNTIFS(scans!$C$2:$C$1601,(IF(LEFT($A237,7)="SAMPLE-","SAMPLE-","")&amp;LOWER(SUBSTITUTE(SUBSTITUTE($A237,"SAMPLE-",""),"CMP-","c"))&amp;"-"&amp;LOWER(SUBSTITUTE(SUBSTITUTE($B237,"SAMPLE-",""),"O-","o"))&amp;"-q"),scans!$D$2:$D$1601,"close")=0,"",SUMPRODUCT(MAX((scans!$C$2:$C$1601=(IF(LEFT($A237,7)="SAMPLE-","SAMPLE-","")&amp;LOWER(SUBSTITUTE(SUBSTITUTE($A237,"SAMPLE-",""),"CMP-","c"))&amp;"-"&amp;LOWER(SUBSTITUTE(SUBSTITUTE($B237,"SAMPLE-",""),"O-","o"))&amp;"-q"))*(scans!$D$2:$D$1601="close")*scans!$E$2:$E$1601))-SUMPRODUCT(MAX((scans!$C$2:$C$1601=(IF(LEFT($A237,7)="SAMPLE-","SAMPLE-","")&amp;LOWER(SUBSTITUTE(SUBSTITUTE($A237,"SAMPLE-",""),"CMP-","c"))&amp;"-"&amp;LOWER(SUBSTITUTE(SUBSTITUTE($B237,"SAMPLE-",""),"O-","o"))&amp;"-q"))*(scans!$D$2:$D$1601="baseline")*scans!$E$2:$E$1601))))</f>
        <v/>
      </c>
      <c r="AO237" s="25">
        <f>IF($A237="","",IF(COUNTIFS(scans!$C$2:$C$1601,(IF(LEFT($A237,7)="SAMPLE-","SAMPLE-","")&amp;LOWER(SUBSTITUTE(SUBSTITUTE($A237,"SAMPLE-",""),"CMP-","c"))&amp;"-"&amp;LOWER(SUBSTITUTE(SUBSTITUTE($B237,"SAMPLE-",""),"O-","o"))&amp;"-p"),scans!$D$2:$D$1601,"close")=0,"",SUMPRODUCT(MAX((scans!$C$2:$C$1601=(IF(LEFT($A237,7)="SAMPLE-","SAMPLE-","")&amp;LOWER(SUBSTITUTE(SUBSTITUTE($A237,"SAMPLE-",""),"CMP-","c"))&amp;"-"&amp;LOWER(SUBSTITUTE(SUBSTITUTE($B237,"SAMPLE-",""),"O-","o"))&amp;"-p"))*(scans!$D$2:$D$1601="close")*scans!$E$2:$E$1601))-SUMPRODUCT(MAX((scans!$C$2:$C$1601=(IF(LEFT($A237,7)="SAMPLE-","SAMPLE-","")&amp;LOWER(SUBSTITUTE(SUBSTITUTE($A237,"SAMPLE-",""),"CMP-","c"))&amp;"-"&amp;LOWER(SUBSTITUTE(SUBSTITUTE($B237,"SAMPLE-",""),"O-","o"))&amp;"-p"))*(scans!$D$2:$D$1601="baseline")*scans!$E$2:$E$1601))))</f>
        <v/>
      </c>
      <c r="AP237" s="25">
        <f>IF($A237="","",IF(COUNTIF(offices!$A$2:$A$61,$B237)=0,"office_id not on offices; ","")&amp;IF(COUNTIF(campaigns!$A$2:$A$51,$A237)=0,"campaign_id not on campaigns; ","")&amp;IF($P237="pending","approval pending; ","")&amp;IF(AND($U237&gt;0,$Y237="",OR($I237="",IF(config!$B$37&lt;&gt;"",config!$B$37,TODAY())&lt;=WORKDAY(N($I237),4,calendar!$A$2:$A$80))),"no usable placement photo yet; ","")&amp;IF(AND($Y237&lt;&gt;"",$Z237=""),"log the placed count; ","")&amp;IF(N($AA237)&gt;N($U237),"placed more than delivered; ","")&amp;IF(AND($AF237&lt;&gt;"",N($AF237)&gt;N($AA237)+N($AD237)),"day-5 count above placed plus top-ups; ","")&amp;IF(AND($U237&gt;0,$I237&lt;&gt;"",IF(config!$B$37&lt;&gt;"",config!$B$37,TODAY())&gt;WORKDAY(N($I237),4,calendar!$A$2:$A$80),$AF237=""),"day-5 count missing; ","")&amp;IF(AND($U237&gt;0,$I237&lt;&gt;"",IF(config!$B$37&lt;&gt;"",config!$B$37,TODAY())&gt;WORKDAY(N($I237),4,calendar!$A$2:$A$80),$AN237=""),"no close link reading; ","")&amp;$R237&amp;IF($P237="N","info: office said no; ","")&amp;IF(AND($P237="Y",$Q237="N"),"info: turned away at the door, so not on the drop (no letter, not in the report or Gate 2; the credit check is on campaigns); ","")&amp;IF(AND($U237&gt;0,$Y237="",$I237&lt;&gt;"",IF(config!$B$37&lt;&gt;"",config!$B$37,TODAY())&gt;WORKDAY(N($I237),4,calendar!$A$2:$A$80)),"info: no usable placement photo, so nothing counts as placed; ","")&amp;IF(AND($U237&gt;0,$I237&lt;&gt;"",IF(config!$B$37&lt;&gt;"",config!$B$37,TODAY())&gt;WORKDAY(N($I237),4,calendar!$A$2:$A$80),N($AL237)&lt;config!$B$30),"info: under "&amp;config!$B$30&amp;" responses; ","")&amp;IF($W237="packing_list","info: delivered count not verified; ",""))</f>
        <v/>
      </c>
      <c r="AQ237" s="25">
        <f>IF(OR($A237="",$I237=""),"",IF($BC237="Y",SUMIFS(survey_frozen!$E$2:$E$251,survey_frozen!$P$2:$P$251,$A237&amp;"|"&amp;$B237),IFERROR(COUNTIFS(INDIRECT("'"&amp;$A237&amp;"'!$B$2:$B$501"),$T237,INDIRECT("'"&amp;$A237&amp;"'!$A$2:$A$501"),"&gt;="&amp;$I237,INDIRECT("'"&amp;$A237&amp;"'!$A$2:$A$501"),"&lt;"&amp;($BA237+1),INDIRECT("'"&amp;$A237&amp;"'!$F$2:$F$501"),"Didn't see it"),0)))</f>
        <v/>
      </c>
      <c r="AR237" s="25">
        <f>IF(OR($A237="",$I237=""),"",IF($BC237="Y",SUMIFS(survey_frozen!$F$2:$F$251,survey_frozen!$P$2:$P$251,$A237&amp;"|"&amp;$B237),IFERROR(COUNTIFS(INDIRECT("'"&amp;$A237&amp;"'!$B$2:$B$501"),$T237,INDIRECT("'"&amp;$A237&amp;"'!$A$2:$A$501"),"&gt;="&amp;$I237,INDIRECT("'"&amp;$A237&amp;"'!$A$2:$A$501"),"&lt;"&amp;($BA237+1),INDIRECT("'"&amp;$A237&amp;"'!$F$2:$F$501"),"Not for me"),0)))</f>
        <v/>
      </c>
      <c r="AS237" s="25">
        <f>IF(OR($A237="",$I237=""),"",IF($BC237="Y",SUMIFS(survey_frozen!$G$2:$G$251,survey_frozen!$P$2:$P$251,$A237&amp;"|"&amp;$B237),IFERROR(COUNTIFS(INDIRECT("'"&amp;$A237&amp;"'!$B$2:$B$501"),$T237,INDIRECT("'"&amp;$A237&amp;"'!$A$2:$A$501"),"&gt;="&amp;$I237,INDIRECT("'"&amp;$A237&amp;"'!$A$2:$A$501"),"&lt;"&amp;($BA237+1),INDIRECT("'"&amp;$A237&amp;"'!$F$2:$F$501"),"Gone by the time I looked"),0)))</f>
        <v/>
      </c>
      <c r="AT237" s="25">
        <f>IF(OR($A237="",$I237=""),"",IF($BC237="Y",SUMIFS(survey_frozen!$H$2:$H$251,survey_frozen!$P$2:$P$251,$A237&amp;"|"&amp;$B237),IFERROR(COUNTIFS(INDIRECT("'"&amp;$A237&amp;"'!$B$2:$B$501"),$T237,INDIRECT("'"&amp;$A237&amp;"'!$A$2:$A$501"),"&gt;="&amp;$I237,INDIRECT("'"&amp;$A237&amp;"'!$A$2:$A$501"),"&lt;"&amp;($BA237+1),INDIRECT("'"&amp;$A237&amp;"'!$D$2:$D$501"),"&gt;=1"),0)))</f>
        <v/>
      </c>
      <c r="AU237" s="25">
        <f>IF(OR($A237="",$I237=""),"",IF($BC237="Y",SUMIFS(survey_frozen!$I$2:$I$251,survey_frozen!$P$2:$P$251,$A237&amp;"|"&amp;$B237),IFERROR(SUMIFS(INDIRECT("'"&amp;$A237&amp;"'!$D$2:$D$501"),INDIRECT("'"&amp;$A237&amp;"'!$B$2:$B$501"),$T237,INDIRECT("'"&amp;$A237&amp;"'!$A$2:$A$501"),"&gt;="&amp;$I237,INDIRECT("'"&amp;$A237&amp;"'!$A$2:$A$501"),"&lt;"&amp;($BA237+1)),0)))</f>
        <v/>
      </c>
      <c r="AV237" s="25">
        <f>IF(OR($A237="",$I237=""),"",IF($BC237="Y",SUMIFS(survey_frozen!$J$2:$J$251,survey_frozen!$P$2:$P$251,$A237&amp;"|"&amp;$B237),IFERROR(COUNTIFS(INDIRECT("'"&amp;$A237&amp;"'!$B$2:$B$501"),$T237,INDIRECT("'"&amp;$A237&amp;"'!$A$2:$A$501"),"&gt;="&amp;$I237,INDIRECT("'"&amp;$A237&amp;"'!$A$2:$A$501"),"&lt;"&amp;($BA237+1),INDIRECT("'"&amp;$A237&amp;"'!$E$2:$E$501"),"Yes"),0)))</f>
        <v/>
      </c>
      <c r="AW237" s="25">
        <f>IF(OR($A237="",$I237=""),"",IF($BC237="Y",SUMIFS(survey_frozen!$K$2:$K$251,survey_frozen!$P$2:$P$251,$A237&amp;"|"&amp;$B237),IFERROR(COUNTIFS(INDIRECT("'"&amp;$A237&amp;"'!$B$2:$B$501"),$T237,INDIRECT("'"&amp;$A237&amp;"'!$A$2:$A$501"),"&gt;="&amp;$I237,INDIRECT("'"&amp;$A237&amp;"'!$A$2:$A$501"),"&lt;"&amp;($BA237+1),INDIRECT("'"&amp;$A237&amp;"'!$E$2:$E$501"),"Maybe"),0)))</f>
        <v/>
      </c>
      <c r="AX237" s="25">
        <f>IF(OR($A237="",$I237=""),"",IF($BC237="Y",SUMIFS(survey_frozen!$L$2:$L$251,survey_frozen!$P$2:$P$251,$A237&amp;"|"&amp;$B237),IFERROR(COUNTIFS(INDIRECT("'"&amp;$A237&amp;"'!$B$2:$B$501"),$T237,INDIRECT("'"&amp;$A237&amp;"'!$A$2:$A$501"),"&gt;="&amp;$I237,INDIRECT("'"&amp;$A237&amp;"'!$A$2:$A$501"),"&lt;"&amp;($BA237+1),INDIRECT("'"&amp;$A237&amp;"'!$E$2:$E$501"),"No"),0)))</f>
        <v/>
      </c>
      <c r="AY237" s="25">
        <f>IF(OR($A237="",$I237=""),"",IF($BC237="Y",SUMIFS(survey_frozen!$M$2:$M$251,survey_frozen!$P$2:$P$251,$A237&amp;"|"&amp;$B237),IFERROR(COUNTIFS(INDIRECT("'"&amp;$A237&amp;"'!$B$2:$B$501"),$T237,INDIRECT("'"&amp;$A237&amp;"'!$A$2:$A$501"),"&gt;="&amp;$I237,INDIRECT("'"&amp;$A237&amp;"'!$A$2:$A$501"),"&lt;"&amp;($BA237+1),INDIRECT("'"&amp;$A237&amp;"'!$G$2:$G$501"),"&lt;&gt;"),0)))</f>
        <v/>
      </c>
      <c r="AZ237" s="25">
        <f>IF($A237="","",$A237&amp;"|"&amp;$L237)</f>
        <v/>
      </c>
      <c r="BA237" s="26">
        <f>IF($A237="","",IFERROR(IF(INDEX(drops!$R$2:$R$21,MATCH($H237,drops!$A$2:$A$21,0))="","",INDEX(drops!$R$2:$R$21,MATCH($H237,drops!$A$2:$A$21,0))),""))</f>
        <v/>
      </c>
      <c r="BB237" s="25">
        <f>IF(OR($A237="",$Q237&lt;&gt;"Y"),1000000,N($AL237))</f>
        <v/>
      </c>
      <c r="BC237" s="25">
        <f>IF($A237="","",IF(COUNTIF(survey_frozen!$P$2:$P$251,$A237&amp;"|"&amp;$B237)&gt;0,"Y",""))</f>
        <v/>
      </c>
    </row>
    <row r="238">
      <c r="C238" s="9" t="n"/>
      <c r="E238" s="9" t="n"/>
      <c r="H238" s="25">
        <f>IF($A238="","",IFERROR(IF(INDEX(campaigns!$B$2:$B$51,MATCH($A238,campaigns!$A$2:$A$51,0))="","",INDEX(campaigns!$B$2:$B$51,MATCH($A238,campaigns!$A$2:$A$51,0))),""))</f>
        <v/>
      </c>
      <c r="I238" s="26">
        <f>IF($A238="","",IFERROR(IF(INDEX(campaigns!$BG$2:$BG$51,MATCH($A238,campaigns!$A$2:$A$51,0))="","",INDEX(campaigns!$BG$2:$BG$51,MATCH($A238,campaigns!$A$2:$A$51,0))),""))</f>
        <v/>
      </c>
      <c r="J238" s="25">
        <f>IF($A238="","",IFERROR(IF(INDEX(campaigns!$BE$2:$BE$51,MATCH($A238,campaigns!$A$2:$A$51,0))="","",INDEX(campaigns!$BE$2:$BE$51,MATCH($A238,campaigns!$A$2:$A$51,0))),""))</f>
        <v/>
      </c>
      <c r="K238" s="25">
        <f>IF($B238="","",IFERROR(IF(INDEX(offices!$N$2:$N$61,MATCH($B238,offices!$A$2:$A$61,0))="","",INDEX(offices!$N$2:$N$61,MATCH($B238,offices!$A$2:$A$61,0))),""))</f>
        <v/>
      </c>
      <c r="L238" s="25">
        <f>IF($A238="","",IF($Q238="N","",COUNTIFS($A$2:$A238,$A238,$Q$2:$Q238,"&lt;&gt;N")))</f>
        <v/>
      </c>
      <c r="M238" s="25">
        <f>IF(OR($A238="",$L238=""),"",IF(AND(config!$B$34="names_if_public",IFERROR(IF(INDEX(offices!$AF$2:$AF$61,MATCH($B238,offices!$A$2:$A$61,0))="","",INDEX(offices!$AF$2:$AF$61,MATCH($B238,offices!$A$2:$A$61,0))),"")="Y"),$K238,CHAR(64+$L238)))</f>
        <v/>
      </c>
      <c r="N238" s="25">
        <f>IF(OR($A238="",$I238=""),"",COUNTIFS(stops!$B$2:$B$151,$B238,stops!$P$2:$P$151,"&lt;"&amp;$I238,stops!$L$2:$L$151,"&lt;&gt;not_delivered")+1)</f>
        <v/>
      </c>
      <c r="O238" s="25">
        <f>IF($A238="","",IF(N($N238)&lt;=config!$B$29,"explicit","opt-out"))</f>
        <v/>
      </c>
      <c r="P238" s="25">
        <f>IF($A238="","",IF($O238="explicit",IF($D238="yes","Y",IF($D238="no","N","pending")),IF($D238="no","N",IF(AND($C238&lt;&gt;"",$I238&lt;&gt;"",$C238&lt;=WORKDAY(N($I238),-5,calendar!$A$2:$A$80)),"Y","pending"))))</f>
        <v/>
      </c>
      <c r="Q238" s="25">
        <f>IF($A238="","",IF($P238="N","N",IF($P238&lt;&gt;"Y","pending",IF(AND((COUNTIFS(stops!$A$2:$A$151,$H238,stops!$B$2:$B$151,$B238,stops!$L$2:$L$151,"declined")+COUNTIFS(stops!$A$2:$A$151,$H238,stops!$B$2:$B$151,$B238,stops!$L$2:$L$151,"building_refused")+COUNTIFS(stops!$A$2:$A$151,$H238,stops!$B$2:$B$151,$B238,stops!$L$2:$L$151,"not_delivered"))&gt;0,N($U238)=0),"N","Y"))))</f>
        <v/>
      </c>
      <c r="R238" s="25">
        <f>IF($A238="","",IF(COUNTIFS($A$2:$A$251,$A238,$B$2:$B$251,$B238)&gt;1,"DUPLICATE ROW; ","")&amp;IF(AND(IFERROR(IF(INDEX(offices!$AC$2:$AC$61,MATCH($B238,offices!$A$2:$A$61,0))="","",INDEX(offices!$AC$2:$AC$61,MATCH($B238,offices!$A$2:$A$61,0))),"")&lt;&gt;"",ISNUMBER(SEARCH($J238,IFERROR(IF(INDEX(offices!$AC$2:$AC$61,MATCH($B238,offices!$A$2:$A$61,0))="","",INDEX(offices!$AC$2:$AC$61,MATCH($B238,offices!$A$2:$A$61,0))),"")))),"BRAND VETOED; ","")&amp;IF(ISNUMBER(SEARCH(IFERROR(IF(INDEX(campaigns!$BF$2:$BF$51,MATCH($A238,campaigns!$A$2:$A$51,0))="","",INDEX(campaigns!$BF$2:$BF$51,MATCH($A238,campaigns!$A$2:$A$51,0))),""),IFERROR(IF(INDEX(offices!$AB$2:$AB$61,MATCH($B238,offices!$A$2:$A$61,0))="","",INDEX(offices!$AB$2:$AB$61,MATCH($B238,offices!$A$2:$A$61,0))),""))),"","info: category not on the office's list; ")&amp;IF(IFERROR(IF(INDEX(offices!$AC$2:$AC$61,MATCH($B238,offices!$A$2:$A$61,0))="","",INDEX(offices!$AC$2:$AC$61,MATCH($B238,offices!$A$2:$A$61,0))),"")&lt;&gt;"","info: read the vetoes against the label; ",""))</f>
        <v/>
      </c>
      <c r="S238" s="25">
        <f>IF($A238="","",IF($G238&lt;&gt;"",$G238,IFERROR(IF(INDEX(offices!$AL$2:$AL$61,MATCH($B238,offices!$A$2:$A$61,0))="","",INDEX(offices!$AL$2:$AL$61,MATCH($B238,offices!$A$2:$A$61,0))),"")))</f>
        <v/>
      </c>
      <c r="T238" s="25">
        <f>IF($A238="","",$A238&amp;"."&amp;$B238)</f>
        <v/>
      </c>
      <c r="U238" s="25">
        <f>IF($A238="","",SUMIFS(inventory!$G$2:$G$801,inventory!$C$2:$C$801,$A238,inventory!$D$2:$D$801,$B238,inventory!$E$2:$E$801,"delivered"))</f>
        <v/>
      </c>
      <c r="V238" s="32">
        <f>IF($A238="","",IFERROR(1/(1/SUMPRODUCT(MAX((inventory!$C$2:$C$801=$A238)*(inventory!$D$2:$D$801=$B238)*(inventory!$E$2:$E$801="delivered")*(inventory!$A$2:$A$801+inventory!$B$2:$B$801)))),""))</f>
        <v/>
      </c>
      <c r="W238" s="25">
        <f>IF($A238="","",IFERROR(IF(INDEX(inventory!$J$2:$J$801,MATCH($A238&amp;"|"&amp;$B238&amp;"|delivered",inventory!$R$2:$R$801,0))="","",INDEX(inventory!$J$2:$J$801,MATCH($A238&amp;"|"&amp;$B238&amp;"|delivered",inventory!$R$2:$R$801,0))),""))</f>
        <v/>
      </c>
      <c r="X238" s="25">
        <f>IF($A238="","",IFERROR(IF(INDEX(photos!$H$2:$H$701,MATCH($A238&amp;"|"&amp;$B238&amp;"|placement|Y",photos!$R$2:$R$701,0))="","",INDEX(photos!$H$2:$H$701,MATCH($A238&amp;"|"&amp;$B238&amp;"|placement|Y",photos!$R$2:$R$701,0))),""))</f>
        <v/>
      </c>
      <c r="Y238" s="26">
        <f>IF($A238="","",IFERROR(IF(INDEX(photos!$E$2:$E$701,MATCH($A238&amp;"|"&amp;$B238&amp;"|placement|Y",photos!$R$2:$R$701,0))="","",INDEX(photos!$E$2:$E$701,MATCH($A238&amp;"|"&amp;$B238&amp;"|placement|Y",photos!$R$2:$R$701,0))),""))</f>
        <v/>
      </c>
      <c r="Z238" s="25">
        <f>IF($A238="","",IF(COUNTIFS(counts!$C$2:$C$701,$A238,counts!$D$2:$D$701,$B238,counts!$E$2:$E$701,"placed")=0,"",SUMIFS(counts!$F$2:$F$701,counts!$C$2:$C$701,$A238,counts!$D$2:$D$701,$B238,counts!$E$2:$E$701,"placed")))</f>
        <v/>
      </c>
      <c r="AA238" s="25">
        <f>IF($A238="","",IF($Y238="",0,N($Z238)))</f>
        <v/>
      </c>
      <c r="AB238" s="25">
        <f>IF($A238="","",IF(OR($Y238="",$I238=""),"N",IF($Y238&lt;=WORKDAY(N($I238),1,calendar!$A$2:$A$80),"Y","N")))</f>
        <v/>
      </c>
      <c r="AC238" s="28">
        <f>IF(OR($A238="",$V238="",$Y238=""),"",ROUND(($Y238+N(IFERROR(IF(INDEX(photos!$F$2:$F$701,MATCH($A238&amp;"|"&amp;$B238&amp;"|placement|Y",photos!$R$2:$R$701,0))="","",INDEX(photos!$F$2:$F$701,MATCH($A238&amp;"|"&amp;$B238&amp;"|placement|Y",photos!$R$2:$R$701,0))),""))-$V238)*24,1))</f>
        <v/>
      </c>
      <c r="AD238" s="25">
        <f>IF($A238="","",SUMIFS(inventory!$G$2:$G$801,inventory!$C$2:$C$801,$A238,inventory!$D$2:$D$801,$B238,inventory!$E$2:$E$801,"topped_up"))</f>
        <v/>
      </c>
      <c r="AE238" s="25">
        <f>IF($A238="","",IF(COUNTIFS(counts!$C$2:$C$701,$A238,counts!$D$2:$D$701,$B238,counts!$E$2:$E$701,"remaining_day3")=0,"",SUMIFS(counts!$F$2:$F$701,counts!$C$2:$C$701,$A238,counts!$D$2:$D$701,$B238,counts!$E$2:$E$701,"remaining_day3")))</f>
        <v/>
      </c>
      <c r="AF238" s="25">
        <f>IF($A238="","",IF(COUNTIFS(counts!$C$2:$C$701,$A238,counts!$D$2:$D$701,$B238,counts!$E$2:$E$701,"remaining_day5")=0,"",SUMIFS(counts!$F$2:$F$701,counts!$C$2:$C$701,$A238,counts!$D$2:$D$701,$B238,counts!$E$2:$E$701,"remaining_day5")))</f>
        <v/>
      </c>
      <c r="AG238" s="25">
        <f>IF(OR($A238="",$AF238=""),"",MAX(0,$AA238+$AD238-$AF238))</f>
        <v/>
      </c>
      <c r="AH238" s="25">
        <f>IF(OR($A238="",$AI238=""),"",IFERROR(IF(INDEX(photos!$H$2:$H$701,MATCH($A238&amp;"|"&amp;$B238&amp;"|later|Y|"&amp;$AI238,photos!$S$2:$S$701,0))="","",INDEX(photos!$H$2:$H$701,MATCH($A238&amp;"|"&amp;$B238&amp;"|later|Y|"&amp;$AI238,photos!$S$2:$S$701,0))),""))</f>
        <v/>
      </c>
      <c r="AI238" s="26">
        <f>IF($A238="","",IFERROR(1/(1/SUMPRODUCT(MAX((photos!$B$2:$B$701=$A238)*(photos!$C$2:$C$701=$B238)*(photos!$D$2:$D$701="later")*(photos!$O$2:$O$701="Y")*photos!$E$2:$E$701))),""))</f>
        <v/>
      </c>
      <c r="AJ238" s="25">
        <f>IF(OR($A238="",$AI238="",$I238=""),"",NETWORKDAYS($I238,$AI238,calendar!$A$2:$A$80))</f>
        <v/>
      </c>
      <c r="AK238" s="25">
        <f>IF($A238="","",IF(AND($X238&lt;&gt;"",$AH238&lt;&gt;""),"Y","N"))</f>
        <v/>
      </c>
      <c r="AL238" s="25">
        <f>IF(OR($A238="",$I238=""),"",IF($BC238="Y",SUMIFS(survey_frozen!$C$2:$C$251,survey_frozen!$P$2:$P$251,$A238&amp;"|"&amp;$B238),IFERROR(COUNTIFS(INDIRECT("'"&amp;$A238&amp;"'!$B$2:$B$501"),$T238,INDIRECT("'"&amp;$A238&amp;"'!$A$2:$A$501"),"&gt;="&amp;$I238,INDIRECT("'"&amp;$A238&amp;"'!$A$2:$A$501"),"&lt;"&amp;($BA238+1)),0)))</f>
        <v/>
      </c>
      <c r="AM238" s="25">
        <f>IF(OR($A238="",$I238=""),"",IF($BC238="Y",SUMIFS(survey_frozen!$D$2:$D$251,survey_frozen!$P$2:$P$251,$A238&amp;"|"&amp;$B238),IFERROR(COUNTIFS(INDIRECT("'"&amp;$A238&amp;"'!$B$2:$B$501"),$T238,INDIRECT("'"&amp;$A238&amp;"'!$A$2:$A$501"),"&gt;="&amp;$I238,INDIRECT("'"&amp;$A238&amp;"'!$A$2:$A$501"),"&lt;"&amp;($BA238+1),INDIRECT("'"&amp;$A238&amp;"'!$C$2:$C$501"),"Yes"),0)))</f>
        <v/>
      </c>
      <c r="AN238" s="25">
        <f>IF($A238="","",IF(COUNTIFS(scans!$C$2:$C$1601,(IF(LEFT($A238,7)="SAMPLE-","SAMPLE-","")&amp;LOWER(SUBSTITUTE(SUBSTITUTE($A238,"SAMPLE-",""),"CMP-","c"))&amp;"-"&amp;LOWER(SUBSTITUTE(SUBSTITUTE($B238,"SAMPLE-",""),"O-","o"))&amp;"-q"),scans!$D$2:$D$1601,"close")=0,"",SUMPRODUCT(MAX((scans!$C$2:$C$1601=(IF(LEFT($A238,7)="SAMPLE-","SAMPLE-","")&amp;LOWER(SUBSTITUTE(SUBSTITUTE($A238,"SAMPLE-",""),"CMP-","c"))&amp;"-"&amp;LOWER(SUBSTITUTE(SUBSTITUTE($B238,"SAMPLE-",""),"O-","o"))&amp;"-q"))*(scans!$D$2:$D$1601="close")*scans!$E$2:$E$1601))-SUMPRODUCT(MAX((scans!$C$2:$C$1601=(IF(LEFT($A238,7)="SAMPLE-","SAMPLE-","")&amp;LOWER(SUBSTITUTE(SUBSTITUTE($A238,"SAMPLE-",""),"CMP-","c"))&amp;"-"&amp;LOWER(SUBSTITUTE(SUBSTITUTE($B238,"SAMPLE-",""),"O-","o"))&amp;"-q"))*(scans!$D$2:$D$1601="baseline")*scans!$E$2:$E$1601))))</f>
        <v/>
      </c>
      <c r="AO238" s="25">
        <f>IF($A238="","",IF(COUNTIFS(scans!$C$2:$C$1601,(IF(LEFT($A238,7)="SAMPLE-","SAMPLE-","")&amp;LOWER(SUBSTITUTE(SUBSTITUTE($A238,"SAMPLE-",""),"CMP-","c"))&amp;"-"&amp;LOWER(SUBSTITUTE(SUBSTITUTE($B238,"SAMPLE-",""),"O-","o"))&amp;"-p"),scans!$D$2:$D$1601,"close")=0,"",SUMPRODUCT(MAX((scans!$C$2:$C$1601=(IF(LEFT($A238,7)="SAMPLE-","SAMPLE-","")&amp;LOWER(SUBSTITUTE(SUBSTITUTE($A238,"SAMPLE-",""),"CMP-","c"))&amp;"-"&amp;LOWER(SUBSTITUTE(SUBSTITUTE($B238,"SAMPLE-",""),"O-","o"))&amp;"-p"))*(scans!$D$2:$D$1601="close")*scans!$E$2:$E$1601))-SUMPRODUCT(MAX((scans!$C$2:$C$1601=(IF(LEFT($A238,7)="SAMPLE-","SAMPLE-","")&amp;LOWER(SUBSTITUTE(SUBSTITUTE($A238,"SAMPLE-",""),"CMP-","c"))&amp;"-"&amp;LOWER(SUBSTITUTE(SUBSTITUTE($B238,"SAMPLE-",""),"O-","o"))&amp;"-p"))*(scans!$D$2:$D$1601="baseline")*scans!$E$2:$E$1601))))</f>
        <v/>
      </c>
      <c r="AP238" s="25">
        <f>IF($A238="","",IF(COUNTIF(offices!$A$2:$A$61,$B238)=0,"office_id not on offices; ","")&amp;IF(COUNTIF(campaigns!$A$2:$A$51,$A238)=0,"campaign_id not on campaigns; ","")&amp;IF($P238="pending","approval pending; ","")&amp;IF(AND($U238&gt;0,$Y238="",OR($I238="",IF(config!$B$37&lt;&gt;"",config!$B$37,TODAY())&lt;=WORKDAY(N($I238),4,calendar!$A$2:$A$80))),"no usable placement photo yet; ","")&amp;IF(AND($Y238&lt;&gt;"",$Z238=""),"log the placed count; ","")&amp;IF(N($AA238)&gt;N($U238),"placed more than delivered; ","")&amp;IF(AND($AF238&lt;&gt;"",N($AF238)&gt;N($AA238)+N($AD238)),"day-5 count above placed plus top-ups; ","")&amp;IF(AND($U238&gt;0,$I238&lt;&gt;"",IF(config!$B$37&lt;&gt;"",config!$B$37,TODAY())&gt;WORKDAY(N($I238),4,calendar!$A$2:$A$80),$AF238=""),"day-5 count missing; ","")&amp;IF(AND($U238&gt;0,$I238&lt;&gt;"",IF(config!$B$37&lt;&gt;"",config!$B$37,TODAY())&gt;WORKDAY(N($I238),4,calendar!$A$2:$A$80),$AN238=""),"no close link reading; ","")&amp;$R238&amp;IF($P238="N","info: office said no; ","")&amp;IF(AND($P238="Y",$Q238="N"),"info: turned away at the door, so not on the drop (no letter, not in the report or Gate 2; the credit check is on campaigns); ","")&amp;IF(AND($U238&gt;0,$Y238="",$I238&lt;&gt;"",IF(config!$B$37&lt;&gt;"",config!$B$37,TODAY())&gt;WORKDAY(N($I238),4,calendar!$A$2:$A$80)),"info: no usable placement photo, so nothing counts as placed; ","")&amp;IF(AND($U238&gt;0,$I238&lt;&gt;"",IF(config!$B$37&lt;&gt;"",config!$B$37,TODAY())&gt;WORKDAY(N($I238),4,calendar!$A$2:$A$80),N($AL238)&lt;config!$B$30),"info: under "&amp;config!$B$30&amp;" responses; ","")&amp;IF($W238="packing_list","info: delivered count not verified; ",""))</f>
        <v/>
      </c>
      <c r="AQ238" s="25">
        <f>IF(OR($A238="",$I238=""),"",IF($BC238="Y",SUMIFS(survey_frozen!$E$2:$E$251,survey_frozen!$P$2:$P$251,$A238&amp;"|"&amp;$B238),IFERROR(COUNTIFS(INDIRECT("'"&amp;$A238&amp;"'!$B$2:$B$501"),$T238,INDIRECT("'"&amp;$A238&amp;"'!$A$2:$A$501"),"&gt;="&amp;$I238,INDIRECT("'"&amp;$A238&amp;"'!$A$2:$A$501"),"&lt;"&amp;($BA238+1),INDIRECT("'"&amp;$A238&amp;"'!$F$2:$F$501"),"Didn't see it"),0)))</f>
        <v/>
      </c>
      <c r="AR238" s="25">
        <f>IF(OR($A238="",$I238=""),"",IF($BC238="Y",SUMIFS(survey_frozen!$F$2:$F$251,survey_frozen!$P$2:$P$251,$A238&amp;"|"&amp;$B238),IFERROR(COUNTIFS(INDIRECT("'"&amp;$A238&amp;"'!$B$2:$B$501"),$T238,INDIRECT("'"&amp;$A238&amp;"'!$A$2:$A$501"),"&gt;="&amp;$I238,INDIRECT("'"&amp;$A238&amp;"'!$A$2:$A$501"),"&lt;"&amp;($BA238+1),INDIRECT("'"&amp;$A238&amp;"'!$F$2:$F$501"),"Not for me"),0)))</f>
        <v/>
      </c>
      <c r="AS238" s="25">
        <f>IF(OR($A238="",$I238=""),"",IF($BC238="Y",SUMIFS(survey_frozen!$G$2:$G$251,survey_frozen!$P$2:$P$251,$A238&amp;"|"&amp;$B238),IFERROR(COUNTIFS(INDIRECT("'"&amp;$A238&amp;"'!$B$2:$B$501"),$T238,INDIRECT("'"&amp;$A238&amp;"'!$A$2:$A$501"),"&gt;="&amp;$I238,INDIRECT("'"&amp;$A238&amp;"'!$A$2:$A$501"),"&lt;"&amp;($BA238+1),INDIRECT("'"&amp;$A238&amp;"'!$F$2:$F$501"),"Gone by the time I looked"),0)))</f>
        <v/>
      </c>
      <c r="AT238" s="25">
        <f>IF(OR($A238="",$I238=""),"",IF($BC238="Y",SUMIFS(survey_frozen!$H$2:$H$251,survey_frozen!$P$2:$P$251,$A238&amp;"|"&amp;$B238),IFERROR(COUNTIFS(INDIRECT("'"&amp;$A238&amp;"'!$B$2:$B$501"),$T238,INDIRECT("'"&amp;$A238&amp;"'!$A$2:$A$501"),"&gt;="&amp;$I238,INDIRECT("'"&amp;$A238&amp;"'!$A$2:$A$501"),"&lt;"&amp;($BA238+1),INDIRECT("'"&amp;$A238&amp;"'!$D$2:$D$501"),"&gt;=1"),0)))</f>
        <v/>
      </c>
      <c r="AU238" s="25">
        <f>IF(OR($A238="",$I238=""),"",IF($BC238="Y",SUMIFS(survey_frozen!$I$2:$I$251,survey_frozen!$P$2:$P$251,$A238&amp;"|"&amp;$B238),IFERROR(SUMIFS(INDIRECT("'"&amp;$A238&amp;"'!$D$2:$D$501"),INDIRECT("'"&amp;$A238&amp;"'!$B$2:$B$501"),$T238,INDIRECT("'"&amp;$A238&amp;"'!$A$2:$A$501"),"&gt;="&amp;$I238,INDIRECT("'"&amp;$A238&amp;"'!$A$2:$A$501"),"&lt;"&amp;($BA238+1)),0)))</f>
        <v/>
      </c>
      <c r="AV238" s="25">
        <f>IF(OR($A238="",$I238=""),"",IF($BC238="Y",SUMIFS(survey_frozen!$J$2:$J$251,survey_frozen!$P$2:$P$251,$A238&amp;"|"&amp;$B238),IFERROR(COUNTIFS(INDIRECT("'"&amp;$A238&amp;"'!$B$2:$B$501"),$T238,INDIRECT("'"&amp;$A238&amp;"'!$A$2:$A$501"),"&gt;="&amp;$I238,INDIRECT("'"&amp;$A238&amp;"'!$A$2:$A$501"),"&lt;"&amp;($BA238+1),INDIRECT("'"&amp;$A238&amp;"'!$E$2:$E$501"),"Yes"),0)))</f>
        <v/>
      </c>
      <c r="AW238" s="25">
        <f>IF(OR($A238="",$I238=""),"",IF($BC238="Y",SUMIFS(survey_frozen!$K$2:$K$251,survey_frozen!$P$2:$P$251,$A238&amp;"|"&amp;$B238),IFERROR(COUNTIFS(INDIRECT("'"&amp;$A238&amp;"'!$B$2:$B$501"),$T238,INDIRECT("'"&amp;$A238&amp;"'!$A$2:$A$501"),"&gt;="&amp;$I238,INDIRECT("'"&amp;$A238&amp;"'!$A$2:$A$501"),"&lt;"&amp;($BA238+1),INDIRECT("'"&amp;$A238&amp;"'!$E$2:$E$501"),"Maybe"),0)))</f>
        <v/>
      </c>
      <c r="AX238" s="25">
        <f>IF(OR($A238="",$I238=""),"",IF($BC238="Y",SUMIFS(survey_frozen!$L$2:$L$251,survey_frozen!$P$2:$P$251,$A238&amp;"|"&amp;$B238),IFERROR(COUNTIFS(INDIRECT("'"&amp;$A238&amp;"'!$B$2:$B$501"),$T238,INDIRECT("'"&amp;$A238&amp;"'!$A$2:$A$501"),"&gt;="&amp;$I238,INDIRECT("'"&amp;$A238&amp;"'!$A$2:$A$501"),"&lt;"&amp;($BA238+1),INDIRECT("'"&amp;$A238&amp;"'!$E$2:$E$501"),"No"),0)))</f>
        <v/>
      </c>
      <c r="AY238" s="25">
        <f>IF(OR($A238="",$I238=""),"",IF($BC238="Y",SUMIFS(survey_frozen!$M$2:$M$251,survey_frozen!$P$2:$P$251,$A238&amp;"|"&amp;$B238),IFERROR(COUNTIFS(INDIRECT("'"&amp;$A238&amp;"'!$B$2:$B$501"),$T238,INDIRECT("'"&amp;$A238&amp;"'!$A$2:$A$501"),"&gt;="&amp;$I238,INDIRECT("'"&amp;$A238&amp;"'!$A$2:$A$501"),"&lt;"&amp;($BA238+1),INDIRECT("'"&amp;$A238&amp;"'!$G$2:$G$501"),"&lt;&gt;"),0)))</f>
        <v/>
      </c>
      <c r="AZ238" s="25">
        <f>IF($A238="","",$A238&amp;"|"&amp;$L238)</f>
        <v/>
      </c>
      <c r="BA238" s="26">
        <f>IF($A238="","",IFERROR(IF(INDEX(drops!$R$2:$R$21,MATCH($H238,drops!$A$2:$A$21,0))="","",INDEX(drops!$R$2:$R$21,MATCH($H238,drops!$A$2:$A$21,0))),""))</f>
        <v/>
      </c>
      <c r="BB238" s="25">
        <f>IF(OR($A238="",$Q238&lt;&gt;"Y"),1000000,N($AL238))</f>
        <v/>
      </c>
      <c r="BC238" s="25">
        <f>IF($A238="","",IF(COUNTIF(survey_frozen!$P$2:$P$251,$A238&amp;"|"&amp;$B238)&gt;0,"Y",""))</f>
        <v/>
      </c>
    </row>
    <row r="239">
      <c r="C239" s="9" t="n"/>
      <c r="E239" s="9" t="n"/>
      <c r="H239" s="25">
        <f>IF($A239="","",IFERROR(IF(INDEX(campaigns!$B$2:$B$51,MATCH($A239,campaigns!$A$2:$A$51,0))="","",INDEX(campaigns!$B$2:$B$51,MATCH($A239,campaigns!$A$2:$A$51,0))),""))</f>
        <v/>
      </c>
      <c r="I239" s="26">
        <f>IF($A239="","",IFERROR(IF(INDEX(campaigns!$BG$2:$BG$51,MATCH($A239,campaigns!$A$2:$A$51,0))="","",INDEX(campaigns!$BG$2:$BG$51,MATCH($A239,campaigns!$A$2:$A$51,0))),""))</f>
        <v/>
      </c>
      <c r="J239" s="25">
        <f>IF($A239="","",IFERROR(IF(INDEX(campaigns!$BE$2:$BE$51,MATCH($A239,campaigns!$A$2:$A$51,0))="","",INDEX(campaigns!$BE$2:$BE$51,MATCH($A239,campaigns!$A$2:$A$51,0))),""))</f>
        <v/>
      </c>
      <c r="K239" s="25">
        <f>IF($B239="","",IFERROR(IF(INDEX(offices!$N$2:$N$61,MATCH($B239,offices!$A$2:$A$61,0))="","",INDEX(offices!$N$2:$N$61,MATCH($B239,offices!$A$2:$A$61,0))),""))</f>
        <v/>
      </c>
      <c r="L239" s="25">
        <f>IF($A239="","",IF($Q239="N","",COUNTIFS($A$2:$A239,$A239,$Q$2:$Q239,"&lt;&gt;N")))</f>
        <v/>
      </c>
      <c r="M239" s="25">
        <f>IF(OR($A239="",$L239=""),"",IF(AND(config!$B$34="names_if_public",IFERROR(IF(INDEX(offices!$AF$2:$AF$61,MATCH($B239,offices!$A$2:$A$61,0))="","",INDEX(offices!$AF$2:$AF$61,MATCH($B239,offices!$A$2:$A$61,0))),"")="Y"),$K239,CHAR(64+$L239)))</f>
        <v/>
      </c>
      <c r="N239" s="25">
        <f>IF(OR($A239="",$I239=""),"",COUNTIFS(stops!$B$2:$B$151,$B239,stops!$P$2:$P$151,"&lt;"&amp;$I239,stops!$L$2:$L$151,"&lt;&gt;not_delivered")+1)</f>
        <v/>
      </c>
      <c r="O239" s="25">
        <f>IF($A239="","",IF(N($N239)&lt;=config!$B$29,"explicit","opt-out"))</f>
        <v/>
      </c>
      <c r="P239" s="25">
        <f>IF($A239="","",IF($O239="explicit",IF($D239="yes","Y",IF($D239="no","N","pending")),IF($D239="no","N",IF(AND($C239&lt;&gt;"",$I239&lt;&gt;"",$C239&lt;=WORKDAY(N($I239),-5,calendar!$A$2:$A$80)),"Y","pending"))))</f>
        <v/>
      </c>
      <c r="Q239" s="25">
        <f>IF($A239="","",IF($P239="N","N",IF($P239&lt;&gt;"Y","pending",IF(AND((COUNTIFS(stops!$A$2:$A$151,$H239,stops!$B$2:$B$151,$B239,stops!$L$2:$L$151,"declined")+COUNTIFS(stops!$A$2:$A$151,$H239,stops!$B$2:$B$151,$B239,stops!$L$2:$L$151,"building_refused")+COUNTIFS(stops!$A$2:$A$151,$H239,stops!$B$2:$B$151,$B239,stops!$L$2:$L$151,"not_delivered"))&gt;0,N($U239)=0),"N","Y"))))</f>
        <v/>
      </c>
      <c r="R239" s="25">
        <f>IF($A239="","",IF(COUNTIFS($A$2:$A$251,$A239,$B$2:$B$251,$B239)&gt;1,"DUPLICATE ROW; ","")&amp;IF(AND(IFERROR(IF(INDEX(offices!$AC$2:$AC$61,MATCH($B239,offices!$A$2:$A$61,0))="","",INDEX(offices!$AC$2:$AC$61,MATCH($B239,offices!$A$2:$A$61,0))),"")&lt;&gt;"",ISNUMBER(SEARCH($J239,IFERROR(IF(INDEX(offices!$AC$2:$AC$61,MATCH($B239,offices!$A$2:$A$61,0))="","",INDEX(offices!$AC$2:$AC$61,MATCH($B239,offices!$A$2:$A$61,0))),"")))),"BRAND VETOED; ","")&amp;IF(ISNUMBER(SEARCH(IFERROR(IF(INDEX(campaigns!$BF$2:$BF$51,MATCH($A239,campaigns!$A$2:$A$51,0))="","",INDEX(campaigns!$BF$2:$BF$51,MATCH($A239,campaigns!$A$2:$A$51,0))),""),IFERROR(IF(INDEX(offices!$AB$2:$AB$61,MATCH($B239,offices!$A$2:$A$61,0))="","",INDEX(offices!$AB$2:$AB$61,MATCH($B239,offices!$A$2:$A$61,0))),""))),"","info: category not on the office's list; ")&amp;IF(IFERROR(IF(INDEX(offices!$AC$2:$AC$61,MATCH($B239,offices!$A$2:$A$61,0))="","",INDEX(offices!$AC$2:$AC$61,MATCH($B239,offices!$A$2:$A$61,0))),"")&lt;&gt;"","info: read the vetoes against the label; ",""))</f>
        <v/>
      </c>
      <c r="S239" s="25">
        <f>IF($A239="","",IF($G239&lt;&gt;"",$G239,IFERROR(IF(INDEX(offices!$AL$2:$AL$61,MATCH($B239,offices!$A$2:$A$61,0))="","",INDEX(offices!$AL$2:$AL$61,MATCH($B239,offices!$A$2:$A$61,0))),"")))</f>
        <v/>
      </c>
      <c r="T239" s="25">
        <f>IF($A239="","",$A239&amp;"."&amp;$B239)</f>
        <v/>
      </c>
      <c r="U239" s="25">
        <f>IF($A239="","",SUMIFS(inventory!$G$2:$G$801,inventory!$C$2:$C$801,$A239,inventory!$D$2:$D$801,$B239,inventory!$E$2:$E$801,"delivered"))</f>
        <v/>
      </c>
      <c r="V239" s="32">
        <f>IF($A239="","",IFERROR(1/(1/SUMPRODUCT(MAX((inventory!$C$2:$C$801=$A239)*(inventory!$D$2:$D$801=$B239)*(inventory!$E$2:$E$801="delivered")*(inventory!$A$2:$A$801+inventory!$B$2:$B$801)))),""))</f>
        <v/>
      </c>
      <c r="W239" s="25">
        <f>IF($A239="","",IFERROR(IF(INDEX(inventory!$J$2:$J$801,MATCH($A239&amp;"|"&amp;$B239&amp;"|delivered",inventory!$R$2:$R$801,0))="","",INDEX(inventory!$J$2:$J$801,MATCH($A239&amp;"|"&amp;$B239&amp;"|delivered",inventory!$R$2:$R$801,0))),""))</f>
        <v/>
      </c>
      <c r="X239" s="25">
        <f>IF($A239="","",IFERROR(IF(INDEX(photos!$H$2:$H$701,MATCH($A239&amp;"|"&amp;$B239&amp;"|placement|Y",photos!$R$2:$R$701,0))="","",INDEX(photos!$H$2:$H$701,MATCH($A239&amp;"|"&amp;$B239&amp;"|placement|Y",photos!$R$2:$R$701,0))),""))</f>
        <v/>
      </c>
      <c r="Y239" s="26">
        <f>IF($A239="","",IFERROR(IF(INDEX(photos!$E$2:$E$701,MATCH($A239&amp;"|"&amp;$B239&amp;"|placement|Y",photos!$R$2:$R$701,0))="","",INDEX(photos!$E$2:$E$701,MATCH($A239&amp;"|"&amp;$B239&amp;"|placement|Y",photos!$R$2:$R$701,0))),""))</f>
        <v/>
      </c>
      <c r="Z239" s="25">
        <f>IF($A239="","",IF(COUNTIFS(counts!$C$2:$C$701,$A239,counts!$D$2:$D$701,$B239,counts!$E$2:$E$701,"placed")=0,"",SUMIFS(counts!$F$2:$F$701,counts!$C$2:$C$701,$A239,counts!$D$2:$D$701,$B239,counts!$E$2:$E$701,"placed")))</f>
        <v/>
      </c>
      <c r="AA239" s="25">
        <f>IF($A239="","",IF($Y239="",0,N($Z239)))</f>
        <v/>
      </c>
      <c r="AB239" s="25">
        <f>IF($A239="","",IF(OR($Y239="",$I239=""),"N",IF($Y239&lt;=WORKDAY(N($I239),1,calendar!$A$2:$A$80),"Y","N")))</f>
        <v/>
      </c>
      <c r="AC239" s="28">
        <f>IF(OR($A239="",$V239="",$Y239=""),"",ROUND(($Y239+N(IFERROR(IF(INDEX(photos!$F$2:$F$701,MATCH($A239&amp;"|"&amp;$B239&amp;"|placement|Y",photos!$R$2:$R$701,0))="","",INDEX(photos!$F$2:$F$701,MATCH($A239&amp;"|"&amp;$B239&amp;"|placement|Y",photos!$R$2:$R$701,0))),""))-$V239)*24,1))</f>
        <v/>
      </c>
      <c r="AD239" s="25">
        <f>IF($A239="","",SUMIFS(inventory!$G$2:$G$801,inventory!$C$2:$C$801,$A239,inventory!$D$2:$D$801,$B239,inventory!$E$2:$E$801,"topped_up"))</f>
        <v/>
      </c>
      <c r="AE239" s="25">
        <f>IF($A239="","",IF(COUNTIFS(counts!$C$2:$C$701,$A239,counts!$D$2:$D$701,$B239,counts!$E$2:$E$701,"remaining_day3")=0,"",SUMIFS(counts!$F$2:$F$701,counts!$C$2:$C$701,$A239,counts!$D$2:$D$701,$B239,counts!$E$2:$E$701,"remaining_day3")))</f>
        <v/>
      </c>
      <c r="AF239" s="25">
        <f>IF($A239="","",IF(COUNTIFS(counts!$C$2:$C$701,$A239,counts!$D$2:$D$701,$B239,counts!$E$2:$E$701,"remaining_day5")=0,"",SUMIFS(counts!$F$2:$F$701,counts!$C$2:$C$701,$A239,counts!$D$2:$D$701,$B239,counts!$E$2:$E$701,"remaining_day5")))</f>
        <v/>
      </c>
      <c r="AG239" s="25">
        <f>IF(OR($A239="",$AF239=""),"",MAX(0,$AA239+$AD239-$AF239))</f>
        <v/>
      </c>
      <c r="AH239" s="25">
        <f>IF(OR($A239="",$AI239=""),"",IFERROR(IF(INDEX(photos!$H$2:$H$701,MATCH($A239&amp;"|"&amp;$B239&amp;"|later|Y|"&amp;$AI239,photos!$S$2:$S$701,0))="","",INDEX(photos!$H$2:$H$701,MATCH($A239&amp;"|"&amp;$B239&amp;"|later|Y|"&amp;$AI239,photos!$S$2:$S$701,0))),""))</f>
        <v/>
      </c>
      <c r="AI239" s="26">
        <f>IF($A239="","",IFERROR(1/(1/SUMPRODUCT(MAX((photos!$B$2:$B$701=$A239)*(photos!$C$2:$C$701=$B239)*(photos!$D$2:$D$701="later")*(photos!$O$2:$O$701="Y")*photos!$E$2:$E$701))),""))</f>
        <v/>
      </c>
      <c r="AJ239" s="25">
        <f>IF(OR($A239="",$AI239="",$I239=""),"",NETWORKDAYS($I239,$AI239,calendar!$A$2:$A$80))</f>
        <v/>
      </c>
      <c r="AK239" s="25">
        <f>IF($A239="","",IF(AND($X239&lt;&gt;"",$AH239&lt;&gt;""),"Y","N"))</f>
        <v/>
      </c>
      <c r="AL239" s="25">
        <f>IF(OR($A239="",$I239=""),"",IF($BC239="Y",SUMIFS(survey_frozen!$C$2:$C$251,survey_frozen!$P$2:$P$251,$A239&amp;"|"&amp;$B239),IFERROR(COUNTIFS(INDIRECT("'"&amp;$A239&amp;"'!$B$2:$B$501"),$T239,INDIRECT("'"&amp;$A239&amp;"'!$A$2:$A$501"),"&gt;="&amp;$I239,INDIRECT("'"&amp;$A239&amp;"'!$A$2:$A$501"),"&lt;"&amp;($BA239+1)),0)))</f>
        <v/>
      </c>
      <c r="AM239" s="25">
        <f>IF(OR($A239="",$I239=""),"",IF($BC239="Y",SUMIFS(survey_frozen!$D$2:$D$251,survey_frozen!$P$2:$P$251,$A239&amp;"|"&amp;$B239),IFERROR(COUNTIFS(INDIRECT("'"&amp;$A239&amp;"'!$B$2:$B$501"),$T239,INDIRECT("'"&amp;$A239&amp;"'!$A$2:$A$501"),"&gt;="&amp;$I239,INDIRECT("'"&amp;$A239&amp;"'!$A$2:$A$501"),"&lt;"&amp;($BA239+1),INDIRECT("'"&amp;$A239&amp;"'!$C$2:$C$501"),"Yes"),0)))</f>
        <v/>
      </c>
      <c r="AN239" s="25">
        <f>IF($A239="","",IF(COUNTIFS(scans!$C$2:$C$1601,(IF(LEFT($A239,7)="SAMPLE-","SAMPLE-","")&amp;LOWER(SUBSTITUTE(SUBSTITUTE($A239,"SAMPLE-",""),"CMP-","c"))&amp;"-"&amp;LOWER(SUBSTITUTE(SUBSTITUTE($B239,"SAMPLE-",""),"O-","o"))&amp;"-q"),scans!$D$2:$D$1601,"close")=0,"",SUMPRODUCT(MAX((scans!$C$2:$C$1601=(IF(LEFT($A239,7)="SAMPLE-","SAMPLE-","")&amp;LOWER(SUBSTITUTE(SUBSTITUTE($A239,"SAMPLE-",""),"CMP-","c"))&amp;"-"&amp;LOWER(SUBSTITUTE(SUBSTITUTE($B239,"SAMPLE-",""),"O-","o"))&amp;"-q"))*(scans!$D$2:$D$1601="close")*scans!$E$2:$E$1601))-SUMPRODUCT(MAX((scans!$C$2:$C$1601=(IF(LEFT($A239,7)="SAMPLE-","SAMPLE-","")&amp;LOWER(SUBSTITUTE(SUBSTITUTE($A239,"SAMPLE-",""),"CMP-","c"))&amp;"-"&amp;LOWER(SUBSTITUTE(SUBSTITUTE($B239,"SAMPLE-",""),"O-","o"))&amp;"-q"))*(scans!$D$2:$D$1601="baseline")*scans!$E$2:$E$1601))))</f>
        <v/>
      </c>
      <c r="AO239" s="25">
        <f>IF($A239="","",IF(COUNTIFS(scans!$C$2:$C$1601,(IF(LEFT($A239,7)="SAMPLE-","SAMPLE-","")&amp;LOWER(SUBSTITUTE(SUBSTITUTE($A239,"SAMPLE-",""),"CMP-","c"))&amp;"-"&amp;LOWER(SUBSTITUTE(SUBSTITUTE($B239,"SAMPLE-",""),"O-","o"))&amp;"-p"),scans!$D$2:$D$1601,"close")=0,"",SUMPRODUCT(MAX((scans!$C$2:$C$1601=(IF(LEFT($A239,7)="SAMPLE-","SAMPLE-","")&amp;LOWER(SUBSTITUTE(SUBSTITUTE($A239,"SAMPLE-",""),"CMP-","c"))&amp;"-"&amp;LOWER(SUBSTITUTE(SUBSTITUTE($B239,"SAMPLE-",""),"O-","o"))&amp;"-p"))*(scans!$D$2:$D$1601="close")*scans!$E$2:$E$1601))-SUMPRODUCT(MAX((scans!$C$2:$C$1601=(IF(LEFT($A239,7)="SAMPLE-","SAMPLE-","")&amp;LOWER(SUBSTITUTE(SUBSTITUTE($A239,"SAMPLE-",""),"CMP-","c"))&amp;"-"&amp;LOWER(SUBSTITUTE(SUBSTITUTE($B239,"SAMPLE-",""),"O-","o"))&amp;"-p"))*(scans!$D$2:$D$1601="baseline")*scans!$E$2:$E$1601))))</f>
        <v/>
      </c>
      <c r="AP239" s="25">
        <f>IF($A239="","",IF(COUNTIF(offices!$A$2:$A$61,$B239)=0,"office_id not on offices; ","")&amp;IF(COUNTIF(campaigns!$A$2:$A$51,$A239)=0,"campaign_id not on campaigns; ","")&amp;IF($P239="pending","approval pending; ","")&amp;IF(AND($U239&gt;0,$Y239="",OR($I239="",IF(config!$B$37&lt;&gt;"",config!$B$37,TODAY())&lt;=WORKDAY(N($I239),4,calendar!$A$2:$A$80))),"no usable placement photo yet; ","")&amp;IF(AND($Y239&lt;&gt;"",$Z239=""),"log the placed count; ","")&amp;IF(N($AA239)&gt;N($U239),"placed more than delivered; ","")&amp;IF(AND($AF239&lt;&gt;"",N($AF239)&gt;N($AA239)+N($AD239)),"day-5 count above placed plus top-ups; ","")&amp;IF(AND($U239&gt;0,$I239&lt;&gt;"",IF(config!$B$37&lt;&gt;"",config!$B$37,TODAY())&gt;WORKDAY(N($I239),4,calendar!$A$2:$A$80),$AF239=""),"day-5 count missing; ","")&amp;IF(AND($U239&gt;0,$I239&lt;&gt;"",IF(config!$B$37&lt;&gt;"",config!$B$37,TODAY())&gt;WORKDAY(N($I239),4,calendar!$A$2:$A$80),$AN239=""),"no close link reading; ","")&amp;$R239&amp;IF($P239="N","info: office said no; ","")&amp;IF(AND($P239="Y",$Q239="N"),"info: turned away at the door, so not on the drop (no letter, not in the report or Gate 2; the credit check is on campaigns); ","")&amp;IF(AND($U239&gt;0,$Y239="",$I239&lt;&gt;"",IF(config!$B$37&lt;&gt;"",config!$B$37,TODAY())&gt;WORKDAY(N($I239),4,calendar!$A$2:$A$80)),"info: no usable placement photo, so nothing counts as placed; ","")&amp;IF(AND($U239&gt;0,$I239&lt;&gt;"",IF(config!$B$37&lt;&gt;"",config!$B$37,TODAY())&gt;WORKDAY(N($I239),4,calendar!$A$2:$A$80),N($AL239)&lt;config!$B$30),"info: under "&amp;config!$B$30&amp;" responses; ","")&amp;IF($W239="packing_list","info: delivered count not verified; ",""))</f>
        <v/>
      </c>
      <c r="AQ239" s="25">
        <f>IF(OR($A239="",$I239=""),"",IF($BC239="Y",SUMIFS(survey_frozen!$E$2:$E$251,survey_frozen!$P$2:$P$251,$A239&amp;"|"&amp;$B239),IFERROR(COUNTIFS(INDIRECT("'"&amp;$A239&amp;"'!$B$2:$B$501"),$T239,INDIRECT("'"&amp;$A239&amp;"'!$A$2:$A$501"),"&gt;="&amp;$I239,INDIRECT("'"&amp;$A239&amp;"'!$A$2:$A$501"),"&lt;"&amp;($BA239+1),INDIRECT("'"&amp;$A239&amp;"'!$F$2:$F$501"),"Didn't see it"),0)))</f>
        <v/>
      </c>
      <c r="AR239" s="25">
        <f>IF(OR($A239="",$I239=""),"",IF($BC239="Y",SUMIFS(survey_frozen!$F$2:$F$251,survey_frozen!$P$2:$P$251,$A239&amp;"|"&amp;$B239),IFERROR(COUNTIFS(INDIRECT("'"&amp;$A239&amp;"'!$B$2:$B$501"),$T239,INDIRECT("'"&amp;$A239&amp;"'!$A$2:$A$501"),"&gt;="&amp;$I239,INDIRECT("'"&amp;$A239&amp;"'!$A$2:$A$501"),"&lt;"&amp;($BA239+1),INDIRECT("'"&amp;$A239&amp;"'!$F$2:$F$501"),"Not for me"),0)))</f>
        <v/>
      </c>
      <c r="AS239" s="25">
        <f>IF(OR($A239="",$I239=""),"",IF($BC239="Y",SUMIFS(survey_frozen!$G$2:$G$251,survey_frozen!$P$2:$P$251,$A239&amp;"|"&amp;$B239),IFERROR(COUNTIFS(INDIRECT("'"&amp;$A239&amp;"'!$B$2:$B$501"),$T239,INDIRECT("'"&amp;$A239&amp;"'!$A$2:$A$501"),"&gt;="&amp;$I239,INDIRECT("'"&amp;$A239&amp;"'!$A$2:$A$501"),"&lt;"&amp;($BA239+1),INDIRECT("'"&amp;$A239&amp;"'!$F$2:$F$501"),"Gone by the time I looked"),0)))</f>
        <v/>
      </c>
      <c r="AT239" s="25">
        <f>IF(OR($A239="",$I239=""),"",IF($BC239="Y",SUMIFS(survey_frozen!$H$2:$H$251,survey_frozen!$P$2:$P$251,$A239&amp;"|"&amp;$B239),IFERROR(COUNTIFS(INDIRECT("'"&amp;$A239&amp;"'!$B$2:$B$501"),$T239,INDIRECT("'"&amp;$A239&amp;"'!$A$2:$A$501"),"&gt;="&amp;$I239,INDIRECT("'"&amp;$A239&amp;"'!$A$2:$A$501"),"&lt;"&amp;($BA239+1),INDIRECT("'"&amp;$A239&amp;"'!$D$2:$D$501"),"&gt;=1"),0)))</f>
        <v/>
      </c>
      <c r="AU239" s="25">
        <f>IF(OR($A239="",$I239=""),"",IF($BC239="Y",SUMIFS(survey_frozen!$I$2:$I$251,survey_frozen!$P$2:$P$251,$A239&amp;"|"&amp;$B239),IFERROR(SUMIFS(INDIRECT("'"&amp;$A239&amp;"'!$D$2:$D$501"),INDIRECT("'"&amp;$A239&amp;"'!$B$2:$B$501"),$T239,INDIRECT("'"&amp;$A239&amp;"'!$A$2:$A$501"),"&gt;="&amp;$I239,INDIRECT("'"&amp;$A239&amp;"'!$A$2:$A$501"),"&lt;"&amp;($BA239+1)),0)))</f>
        <v/>
      </c>
      <c r="AV239" s="25">
        <f>IF(OR($A239="",$I239=""),"",IF($BC239="Y",SUMIFS(survey_frozen!$J$2:$J$251,survey_frozen!$P$2:$P$251,$A239&amp;"|"&amp;$B239),IFERROR(COUNTIFS(INDIRECT("'"&amp;$A239&amp;"'!$B$2:$B$501"),$T239,INDIRECT("'"&amp;$A239&amp;"'!$A$2:$A$501"),"&gt;="&amp;$I239,INDIRECT("'"&amp;$A239&amp;"'!$A$2:$A$501"),"&lt;"&amp;($BA239+1),INDIRECT("'"&amp;$A239&amp;"'!$E$2:$E$501"),"Yes"),0)))</f>
        <v/>
      </c>
      <c r="AW239" s="25">
        <f>IF(OR($A239="",$I239=""),"",IF($BC239="Y",SUMIFS(survey_frozen!$K$2:$K$251,survey_frozen!$P$2:$P$251,$A239&amp;"|"&amp;$B239),IFERROR(COUNTIFS(INDIRECT("'"&amp;$A239&amp;"'!$B$2:$B$501"),$T239,INDIRECT("'"&amp;$A239&amp;"'!$A$2:$A$501"),"&gt;="&amp;$I239,INDIRECT("'"&amp;$A239&amp;"'!$A$2:$A$501"),"&lt;"&amp;($BA239+1),INDIRECT("'"&amp;$A239&amp;"'!$E$2:$E$501"),"Maybe"),0)))</f>
        <v/>
      </c>
      <c r="AX239" s="25">
        <f>IF(OR($A239="",$I239=""),"",IF($BC239="Y",SUMIFS(survey_frozen!$L$2:$L$251,survey_frozen!$P$2:$P$251,$A239&amp;"|"&amp;$B239),IFERROR(COUNTIFS(INDIRECT("'"&amp;$A239&amp;"'!$B$2:$B$501"),$T239,INDIRECT("'"&amp;$A239&amp;"'!$A$2:$A$501"),"&gt;="&amp;$I239,INDIRECT("'"&amp;$A239&amp;"'!$A$2:$A$501"),"&lt;"&amp;($BA239+1),INDIRECT("'"&amp;$A239&amp;"'!$E$2:$E$501"),"No"),0)))</f>
        <v/>
      </c>
      <c r="AY239" s="25">
        <f>IF(OR($A239="",$I239=""),"",IF($BC239="Y",SUMIFS(survey_frozen!$M$2:$M$251,survey_frozen!$P$2:$P$251,$A239&amp;"|"&amp;$B239),IFERROR(COUNTIFS(INDIRECT("'"&amp;$A239&amp;"'!$B$2:$B$501"),$T239,INDIRECT("'"&amp;$A239&amp;"'!$A$2:$A$501"),"&gt;="&amp;$I239,INDIRECT("'"&amp;$A239&amp;"'!$A$2:$A$501"),"&lt;"&amp;($BA239+1),INDIRECT("'"&amp;$A239&amp;"'!$G$2:$G$501"),"&lt;&gt;"),0)))</f>
        <v/>
      </c>
      <c r="AZ239" s="25">
        <f>IF($A239="","",$A239&amp;"|"&amp;$L239)</f>
        <v/>
      </c>
      <c r="BA239" s="26">
        <f>IF($A239="","",IFERROR(IF(INDEX(drops!$R$2:$R$21,MATCH($H239,drops!$A$2:$A$21,0))="","",INDEX(drops!$R$2:$R$21,MATCH($H239,drops!$A$2:$A$21,0))),""))</f>
        <v/>
      </c>
      <c r="BB239" s="25">
        <f>IF(OR($A239="",$Q239&lt;&gt;"Y"),1000000,N($AL239))</f>
        <v/>
      </c>
      <c r="BC239" s="25">
        <f>IF($A239="","",IF(COUNTIF(survey_frozen!$P$2:$P$251,$A239&amp;"|"&amp;$B239)&gt;0,"Y",""))</f>
        <v/>
      </c>
    </row>
    <row r="240">
      <c r="C240" s="9" t="n"/>
      <c r="E240" s="9" t="n"/>
      <c r="H240" s="25">
        <f>IF($A240="","",IFERROR(IF(INDEX(campaigns!$B$2:$B$51,MATCH($A240,campaigns!$A$2:$A$51,0))="","",INDEX(campaigns!$B$2:$B$51,MATCH($A240,campaigns!$A$2:$A$51,0))),""))</f>
        <v/>
      </c>
      <c r="I240" s="26">
        <f>IF($A240="","",IFERROR(IF(INDEX(campaigns!$BG$2:$BG$51,MATCH($A240,campaigns!$A$2:$A$51,0))="","",INDEX(campaigns!$BG$2:$BG$51,MATCH($A240,campaigns!$A$2:$A$51,0))),""))</f>
        <v/>
      </c>
      <c r="J240" s="25">
        <f>IF($A240="","",IFERROR(IF(INDEX(campaigns!$BE$2:$BE$51,MATCH($A240,campaigns!$A$2:$A$51,0))="","",INDEX(campaigns!$BE$2:$BE$51,MATCH($A240,campaigns!$A$2:$A$51,0))),""))</f>
        <v/>
      </c>
      <c r="K240" s="25">
        <f>IF($B240="","",IFERROR(IF(INDEX(offices!$N$2:$N$61,MATCH($B240,offices!$A$2:$A$61,0))="","",INDEX(offices!$N$2:$N$61,MATCH($B240,offices!$A$2:$A$61,0))),""))</f>
        <v/>
      </c>
      <c r="L240" s="25">
        <f>IF($A240="","",IF($Q240="N","",COUNTIFS($A$2:$A240,$A240,$Q$2:$Q240,"&lt;&gt;N")))</f>
        <v/>
      </c>
      <c r="M240" s="25">
        <f>IF(OR($A240="",$L240=""),"",IF(AND(config!$B$34="names_if_public",IFERROR(IF(INDEX(offices!$AF$2:$AF$61,MATCH($B240,offices!$A$2:$A$61,0))="","",INDEX(offices!$AF$2:$AF$61,MATCH($B240,offices!$A$2:$A$61,0))),"")="Y"),$K240,CHAR(64+$L240)))</f>
        <v/>
      </c>
      <c r="N240" s="25">
        <f>IF(OR($A240="",$I240=""),"",COUNTIFS(stops!$B$2:$B$151,$B240,stops!$P$2:$P$151,"&lt;"&amp;$I240,stops!$L$2:$L$151,"&lt;&gt;not_delivered")+1)</f>
        <v/>
      </c>
      <c r="O240" s="25">
        <f>IF($A240="","",IF(N($N240)&lt;=config!$B$29,"explicit","opt-out"))</f>
        <v/>
      </c>
      <c r="P240" s="25">
        <f>IF($A240="","",IF($O240="explicit",IF($D240="yes","Y",IF($D240="no","N","pending")),IF($D240="no","N",IF(AND($C240&lt;&gt;"",$I240&lt;&gt;"",$C240&lt;=WORKDAY(N($I240),-5,calendar!$A$2:$A$80)),"Y","pending"))))</f>
        <v/>
      </c>
      <c r="Q240" s="25">
        <f>IF($A240="","",IF($P240="N","N",IF($P240&lt;&gt;"Y","pending",IF(AND((COUNTIFS(stops!$A$2:$A$151,$H240,stops!$B$2:$B$151,$B240,stops!$L$2:$L$151,"declined")+COUNTIFS(stops!$A$2:$A$151,$H240,stops!$B$2:$B$151,$B240,stops!$L$2:$L$151,"building_refused")+COUNTIFS(stops!$A$2:$A$151,$H240,stops!$B$2:$B$151,$B240,stops!$L$2:$L$151,"not_delivered"))&gt;0,N($U240)=0),"N","Y"))))</f>
        <v/>
      </c>
      <c r="R240" s="25">
        <f>IF($A240="","",IF(COUNTIFS($A$2:$A$251,$A240,$B$2:$B$251,$B240)&gt;1,"DUPLICATE ROW; ","")&amp;IF(AND(IFERROR(IF(INDEX(offices!$AC$2:$AC$61,MATCH($B240,offices!$A$2:$A$61,0))="","",INDEX(offices!$AC$2:$AC$61,MATCH($B240,offices!$A$2:$A$61,0))),"")&lt;&gt;"",ISNUMBER(SEARCH($J240,IFERROR(IF(INDEX(offices!$AC$2:$AC$61,MATCH($B240,offices!$A$2:$A$61,0))="","",INDEX(offices!$AC$2:$AC$61,MATCH($B240,offices!$A$2:$A$61,0))),"")))),"BRAND VETOED; ","")&amp;IF(ISNUMBER(SEARCH(IFERROR(IF(INDEX(campaigns!$BF$2:$BF$51,MATCH($A240,campaigns!$A$2:$A$51,0))="","",INDEX(campaigns!$BF$2:$BF$51,MATCH($A240,campaigns!$A$2:$A$51,0))),""),IFERROR(IF(INDEX(offices!$AB$2:$AB$61,MATCH($B240,offices!$A$2:$A$61,0))="","",INDEX(offices!$AB$2:$AB$61,MATCH($B240,offices!$A$2:$A$61,0))),""))),"","info: category not on the office's list; ")&amp;IF(IFERROR(IF(INDEX(offices!$AC$2:$AC$61,MATCH($B240,offices!$A$2:$A$61,0))="","",INDEX(offices!$AC$2:$AC$61,MATCH($B240,offices!$A$2:$A$61,0))),"")&lt;&gt;"","info: read the vetoes against the label; ",""))</f>
        <v/>
      </c>
      <c r="S240" s="25">
        <f>IF($A240="","",IF($G240&lt;&gt;"",$G240,IFERROR(IF(INDEX(offices!$AL$2:$AL$61,MATCH($B240,offices!$A$2:$A$61,0))="","",INDEX(offices!$AL$2:$AL$61,MATCH($B240,offices!$A$2:$A$61,0))),"")))</f>
        <v/>
      </c>
      <c r="T240" s="25">
        <f>IF($A240="","",$A240&amp;"."&amp;$B240)</f>
        <v/>
      </c>
      <c r="U240" s="25">
        <f>IF($A240="","",SUMIFS(inventory!$G$2:$G$801,inventory!$C$2:$C$801,$A240,inventory!$D$2:$D$801,$B240,inventory!$E$2:$E$801,"delivered"))</f>
        <v/>
      </c>
      <c r="V240" s="32">
        <f>IF($A240="","",IFERROR(1/(1/SUMPRODUCT(MAX((inventory!$C$2:$C$801=$A240)*(inventory!$D$2:$D$801=$B240)*(inventory!$E$2:$E$801="delivered")*(inventory!$A$2:$A$801+inventory!$B$2:$B$801)))),""))</f>
        <v/>
      </c>
      <c r="W240" s="25">
        <f>IF($A240="","",IFERROR(IF(INDEX(inventory!$J$2:$J$801,MATCH($A240&amp;"|"&amp;$B240&amp;"|delivered",inventory!$R$2:$R$801,0))="","",INDEX(inventory!$J$2:$J$801,MATCH($A240&amp;"|"&amp;$B240&amp;"|delivered",inventory!$R$2:$R$801,0))),""))</f>
        <v/>
      </c>
      <c r="X240" s="25">
        <f>IF($A240="","",IFERROR(IF(INDEX(photos!$H$2:$H$701,MATCH($A240&amp;"|"&amp;$B240&amp;"|placement|Y",photos!$R$2:$R$701,0))="","",INDEX(photos!$H$2:$H$701,MATCH($A240&amp;"|"&amp;$B240&amp;"|placement|Y",photos!$R$2:$R$701,0))),""))</f>
        <v/>
      </c>
      <c r="Y240" s="26">
        <f>IF($A240="","",IFERROR(IF(INDEX(photos!$E$2:$E$701,MATCH($A240&amp;"|"&amp;$B240&amp;"|placement|Y",photos!$R$2:$R$701,0))="","",INDEX(photos!$E$2:$E$701,MATCH($A240&amp;"|"&amp;$B240&amp;"|placement|Y",photos!$R$2:$R$701,0))),""))</f>
        <v/>
      </c>
      <c r="Z240" s="25">
        <f>IF($A240="","",IF(COUNTIFS(counts!$C$2:$C$701,$A240,counts!$D$2:$D$701,$B240,counts!$E$2:$E$701,"placed")=0,"",SUMIFS(counts!$F$2:$F$701,counts!$C$2:$C$701,$A240,counts!$D$2:$D$701,$B240,counts!$E$2:$E$701,"placed")))</f>
        <v/>
      </c>
      <c r="AA240" s="25">
        <f>IF($A240="","",IF($Y240="",0,N($Z240)))</f>
        <v/>
      </c>
      <c r="AB240" s="25">
        <f>IF($A240="","",IF(OR($Y240="",$I240=""),"N",IF($Y240&lt;=WORKDAY(N($I240),1,calendar!$A$2:$A$80),"Y","N")))</f>
        <v/>
      </c>
      <c r="AC240" s="28">
        <f>IF(OR($A240="",$V240="",$Y240=""),"",ROUND(($Y240+N(IFERROR(IF(INDEX(photos!$F$2:$F$701,MATCH($A240&amp;"|"&amp;$B240&amp;"|placement|Y",photos!$R$2:$R$701,0))="","",INDEX(photos!$F$2:$F$701,MATCH($A240&amp;"|"&amp;$B240&amp;"|placement|Y",photos!$R$2:$R$701,0))),""))-$V240)*24,1))</f>
        <v/>
      </c>
      <c r="AD240" s="25">
        <f>IF($A240="","",SUMIFS(inventory!$G$2:$G$801,inventory!$C$2:$C$801,$A240,inventory!$D$2:$D$801,$B240,inventory!$E$2:$E$801,"topped_up"))</f>
        <v/>
      </c>
      <c r="AE240" s="25">
        <f>IF($A240="","",IF(COUNTIFS(counts!$C$2:$C$701,$A240,counts!$D$2:$D$701,$B240,counts!$E$2:$E$701,"remaining_day3")=0,"",SUMIFS(counts!$F$2:$F$701,counts!$C$2:$C$701,$A240,counts!$D$2:$D$701,$B240,counts!$E$2:$E$701,"remaining_day3")))</f>
        <v/>
      </c>
      <c r="AF240" s="25">
        <f>IF($A240="","",IF(COUNTIFS(counts!$C$2:$C$701,$A240,counts!$D$2:$D$701,$B240,counts!$E$2:$E$701,"remaining_day5")=0,"",SUMIFS(counts!$F$2:$F$701,counts!$C$2:$C$701,$A240,counts!$D$2:$D$701,$B240,counts!$E$2:$E$701,"remaining_day5")))</f>
        <v/>
      </c>
      <c r="AG240" s="25">
        <f>IF(OR($A240="",$AF240=""),"",MAX(0,$AA240+$AD240-$AF240))</f>
        <v/>
      </c>
      <c r="AH240" s="25">
        <f>IF(OR($A240="",$AI240=""),"",IFERROR(IF(INDEX(photos!$H$2:$H$701,MATCH($A240&amp;"|"&amp;$B240&amp;"|later|Y|"&amp;$AI240,photos!$S$2:$S$701,0))="","",INDEX(photos!$H$2:$H$701,MATCH($A240&amp;"|"&amp;$B240&amp;"|later|Y|"&amp;$AI240,photos!$S$2:$S$701,0))),""))</f>
        <v/>
      </c>
      <c r="AI240" s="26">
        <f>IF($A240="","",IFERROR(1/(1/SUMPRODUCT(MAX((photos!$B$2:$B$701=$A240)*(photos!$C$2:$C$701=$B240)*(photos!$D$2:$D$701="later")*(photos!$O$2:$O$701="Y")*photos!$E$2:$E$701))),""))</f>
        <v/>
      </c>
      <c r="AJ240" s="25">
        <f>IF(OR($A240="",$AI240="",$I240=""),"",NETWORKDAYS($I240,$AI240,calendar!$A$2:$A$80))</f>
        <v/>
      </c>
      <c r="AK240" s="25">
        <f>IF($A240="","",IF(AND($X240&lt;&gt;"",$AH240&lt;&gt;""),"Y","N"))</f>
        <v/>
      </c>
      <c r="AL240" s="25">
        <f>IF(OR($A240="",$I240=""),"",IF($BC240="Y",SUMIFS(survey_frozen!$C$2:$C$251,survey_frozen!$P$2:$P$251,$A240&amp;"|"&amp;$B240),IFERROR(COUNTIFS(INDIRECT("'"&amp;$A240&amp;"'!$B$2:$B$501"),$T240,INDIRECT("'"&amp;$A240&amp;"'!$A$2:$A$501"),"&gt;="&amp;$I240,INDIRECT("'"&amp;$A240&amp;"'!$A$2:$A$501"),"&lt;"&amp;($BA240+1)),0)))</f>
        <v/>
      </c>
      <c r="AM240" s="25">
        <f>IF(OR($A240="",$I240=""),"",IF($BC240="Y",SUMIFS(survey_frozen!$D$2:$D$251,survey_frozen!$P$2:$P$251,$A240&amp;"|"&amp;$B240),IFERROR(COUNTIFS(INDIRECT("'"&amp;$A240&amp;"'!$B$2:$B$501"),$T240,INDIRECT("'"&amp;$A240&amp;"'!$A$2:$A$501"),"&gt;="&amp;$I240,INDIRECT("'"&amp;$A240&amp;"'!$A$2:$A$501"),"&lt;"&amp;($BA240+1),INDIRECT("'"&amp;$A240&amp;"'!$C$2:$C$501"),"Yes"),0)))</f>
        <v/>
      </c>
      <c r="AN240" s="25">
        <f>IF($A240="","",IF(COUNTIFS(scans!$C$2:$C$1601,(IF(LEFT($A240,7)="SAMPLE-","SAMPLE-","")&amp;LOWER(SUBSTITUTE(SUBSTITUTE($A240,"SAMPLE-",""),"CMP-","c"))&amp;"-"&amp;LOWER(SUBSTITUTE(SUBSTITUTE($B240,"SAMPLE-",""),"O-","o"))&amp;"-q"),scans!$D$2:$D$1601,"close")=0,"",SUMPRODUCT(MAX((scans!$C$2:$C$1601=(IF(LEFT($A240,7)="SAMPLE-","SAMPLE-","")&amp;LOWER(SUBSTITUTE(SUBSTITUTE($A240,"SAMPLE-",""),"CMP-","c"))&amp;"-"&amp;LOWER(SUBSTITUTE(SUBSTITUTE($B240,"SAMPLE-",""),"O-","o"))&amp;"-q"))*(scans!$D$2:$D$1601="close")*scans!$E$2:$E$1601))-SUMPRODUCT(MAX((scans!$C$2:$C$1601=(IF(LEFT($A240,7)="SAMPLE-","SAMPLE-","")&amp;LOWER(SUBSTITUTE(SUBSTITUTE($A240,"SAMPLE-",""),"CMP-","c"))&amp;"-"&amp;LOWER(SUBSTITUTE(SUBSTITUTE($B240,"SAMPLE-",""),"O-","o"))&amp;"-q"))*(scans!$D$2:$D$1601="baseline")*scans!$E$2:$E$1601))))</f>
        <v/>
      </c>
      <c r="AO240" s="25">
        <f>IF($A240="","",IF(COUNTIFS(scans!$C$2:$C$1601,(IF(LEFT($A240,7)="SAMPLE-","SAMPLE-","")&amp;LOWER(SUBSTITUTE(SUBSTITUTE($A240,"SAMPLE-",""),"CMP-","c"))&amp;"-"&amp;LOWER(SUBSTITUTE(SUBSTITUTE($B240,"SAMPLE-",""),"O-","o"))&amp;"-p"),scans!$D$2:$D$1601,"close")=0,"",SUMPRODUCT(MAX((scans!$C$2:$C$1601=(IF(LEFT($A240,7)="SAMPLE-","SAMPLE-","")&amp;LOWER(SUBSTITUTE(SUBSTITUTE($A240,"SAMPLE-",""),"CMP-","c"))&amp;"-"&amp;LOWER(SUBSTITUTE(SUBSTITUTE($B240,"SAMPLE-",""),"O-","o"))&amp;"-p"))*(scans!$D$2:$D$1601="close")*scans!$E$2:$E$1601))-SUMPRODUCT(MAX((scans!$C$2:$C$1601=(IF(LEFT($A240,7)="SAMPLE-","SAMPLE-","")&amp;LOWER(SUBSTITUTE(SUBSTITUTE($A240,"SAMPLE-",""),"CMP-","c"))&amp;"-"&amp;LOWER(SUBSTITUTE(SUBSTITUTE($B240,"SAMPLE-",""),"O-","o"))&amp;"-p"))*(scans!$D$2:$D$1601="baseline")*scans!$E$2:$E$1601))))</f>
        <v/>
      </c>
      <c r="AP240" s="25">
        <f>IF($A240="","",IF(COUNTIF(offices!$A$2:$A$61,$B240)=0,"office_id not on offices; ","")&amp;IF(COUNTIF(campaigns!$A$2:$A$51,$A240)=0,"campaign_id not on campaigns; ","")&amp;IF($P240="pending","approval pending; ","")&amp;IF(AND($U240&gt;0,$Y240="",OR($I240="",IF(config!$B$37&lt;&gt;"",config!$B$37,TODAY())&lt;=WORKDAY(N($I240),4,calendar!$A$2:$A$80))),"no usable placement photo yet; ","")&amp;IF(AND($Y240&lt;&gt;"",$Z240=""),"log the placed count; ","")&amp;IF(N($AA240)&gt;N($U240),"placed more than delivered; ","")&amp;IF(AND($AF240&lt;&gt;"",N($AF240)&gt;N($AA240)+N($AD240)),"day-5 count above placed plus top-ups; ","")&amp;IF(AND($U240&gt;0,$I240&lt;&gt;"",IF(config!$B$37&lt;&gt;"",config!$B$37,TODAY())&gt;WORKDAY(N($I240),4,calendar!$A$2:$A$80),$AF240=""),"day-5 count missing; ","")&amp;IF(AND($U240&gt;0,$I240&lt;&gt;"",IF(config!$B$37&lt;&gt;"",config!$B$37,TODAY())&gt;WORKDAY(N($I240),4,calendar!$A$2:$A$80),$AN240=""),"no close link reading; ","")&amp;$R240&amp;IF($P240="N","info: office said no; ","")&amp;IF(AND($P240="Y",$Q240="N"),"info: turned away at the door, so not on the drop (no letter, not in the report or Gate 2; the credit check is on campaigns); ","")&amp;IF(AND($U240&gt;0,$Y240="",$I240&lt;&gt;"",IF(config!$B$37&lt;&gt;"",config!$B$37,TODAY())&gt;WORKDAY(N($I240),4,calendar!$A$2:$A$80)),"info: no usable placement photo, so nothing counts as placed; ","")&amp;IF(AND($U240&gt;0,$I240&lt;&gt;"",IF(config!$B$37&lt;&gt;"",config!$B$37,TODAY())&gt;WORKDAY(N($I240),4,calendar!$A$2:$A$80),N($AL240)&lt;config!$B$30),"info: under "&amp;config!$B$30&amp;" responses; ","")&amp;IF($W240="packing_list","info: delivered count not verified; ",""))</f>
        <v/>
      </c>
      <c r="AQ240" s="25">
        <f>IF(OR($A240="",$I240=""),"",IF($BC240="Y",SUMIFS(survey_frozen!$E$2:$E$251,survey_frozen!$P$2:$P$251,$A240&amp;"|"&amp;$B240),IFERROR(COUNTIFS(INDIRECT("'"&amp;$A240&amp;"'!$B$2:$B$501"),$T240,INDIRECT("'"&amp;$A240&amp;"'!$A$2:$A$501"),"&gt;="&amp;$I240,INDIRECT("'"&amp;$A240&amp;"'!$A$2:$A$501"),"&lt;"&amp;($BA240+1),INDIRECT("'"&amp;$A240&amp;"'!$F$2:$F$501"),"Didn't see it"),0)))</f>
        <v/>
      </c>
      <c r="AR240" s="25">
        <f>IF(OR($A240="",$I240=""),"",IF($BC240="Y",SUMIFS(survey_frozen!$F$2:$F$251,survey_frozen!$P$2:$P$251,$A240&amp;"|"&amp;$B240),IFERROR(COUNTIFS(INDIRECT("'"&amp;$A240&amp;"'!$B$2:$B$501"),$T240,INDIRECT("'"&amp;$A240&amp;"'!$A$2:$A$501"),"&gt;="&amp;$I240,INDIRECT("'"&amp;$A240&amp;"'!$A$2:$A$501"),"&lt;"&amp;($BA240+1),INDIRECT("'"&amp;$A240&amp;"'!$F$2:$F$501"),"Not for me"),0)))</f>
        <v/>
      </c>
      <c r="AS240" s="25">
        <f>IF(OR($A240="",$I240=""),"",IF($BC240="Y",SUMIFS(survey_frozen!$G$2:$G$251,survey_frozen!$P$2:$P$251,$A240&amp;"|"&amp;$B240),IFERROR(COUNTIFS(INDIRECT("'"&amp;$A240&amp;"'!$B$2:$B$501"),$T240,INDIRECT("'"&amp;$A240&amp;"'!$A$2:$A$501"),"&gt;="&amp;$I240,INDIRECT("'"&amp;$A240&amp;"'!$A$2:$A$501"),"&lt;"&amp;($BA240+1),INDIRECT("'"&amp;$A240&amp;"'!$F$2:$F$501"),"Gone by the time I looked"),0)))</f>
        <v/>
      </c>
      <c r="AT240" s="25">
        <f>IF(OR($A240="",$I240=""),"",IF($BC240="Y",SUMIFS(survey_frozen!$H$2:$H$251,survey_frozen!$P$2:$P$251,$A240&amp;"|"&amp;$B240),IFERROR(COUNTIFS(INDIRECT("'"&amp;$A240&amp;"'!$B$2:$B$501"),$T240,INDIRECT("'"&amp;$A240&amp;"'!$A$2:$A$501"),"&gt;="&amp;$I240,INDIRECT("'"&amp;$A240&amp;"'!$A$2:$A$501"),"&lt;"&amp;($BA240+1),INDIRECT("'"&amp;$A240&amp;"'!$D$2:$D$501"),"&gt;=1"),0)))</f>
        <v/>
      </c>
      <c r="AU240" s="25">
        <f>IF(OR($A240="",$I240=""),"",IF($BC240="Y",SUMIFS(survey_frozen!$I$2:$I$251,survey_frozen!$P$2:$P$251,$A240&amp;"|"&amp;$B240),IFERROR(SUMIFS(INDIRECT("'"&amp;$A240&amp;"'!$D$2:$D$501"),INDIRECT("'"&amp;$A240&amp;"'!$B$2:$B$501"),$T240,INDIRECT("'"&amp;$A240&amp;"'!$A$2:$A$501"),"&gt;="&amp;$I240,INDIRECT("'"&amp;$A240&amp;"'!$A$2:$A$501"),"&lt;"&amp;($BA240+1)),0)))</f>
        <v/>
      </c>
      <c r="AV240" s="25">
        <f>IF(OR($A240="",$I240=""),"",IF($BC240="Y",SUMIFS(survey_frozen!$J$2:$J$251,survey_frozen!$P$2:$P$251,$A240&amp;"|"&amp;$B240),IFERROR(COUNTIFS(INDIRECT("'"&amp;$A240&amp;"'!$B$2:$B$501"),$T240,INDIRECT("'"&amp;$A240&amp;"'!$A$2:$A$501"),"&gt;="&amp;$I240,INDIRECT("'"&amp;$A240&amp;"'!$A$2:$A$501"),"&lt;"&amp;($BA240+1),INDIRECT("'"&amp;$A240&amp;"'!$E$2:$E$501"),"Yes"),0)))</f>
        <v/>
      </c>
      <c r="AW240" s="25">
        <f>IF(OR($A240="",$I240=""),"",IF($BC240="Y",SUMIFS(survey_frozen!$K$2:$K$251,survey_frozen!$P$2:$P$251,$A240&amp;"|"&amp;$B240),IFERROR(COUNTIFS(INDIRECT("'"&amp;$A240&amp;"'!$B$2:$B$501"),$T240,INDIRECT("'"&amp;$A240&amp;"'!$A$2:$A$501"),"&gt;="&amp;$I240,INDIRECT("'"&amp;$A240&amp;"'!$A$2:$A$501"),"&lt;"&amp;($BA240+1),INDIRECT("'"&amp;$A240&amp;"'!$E$2:$E$501"),"Maybe"),0)))</f>
        <v/>
      </c>
      <c r="AX240" s="25">
        <f>IF(OR($A240="",$I240=""),"",IF($BC240="Y",SUMIFS(survey_frozen!$L$2:$L$251,survey_frozen!$P$2:$P$251,$A240&amp;"|"&amp;$B240),IFERROR(COUNTIFS(INDIRECT("'"&amp;$A240&amp;"'!$B$2:$B$501"),$T240,INDIRECT("'"&amp;$A240&amp;"'!$A$2:$A$501"),"&gt;="&amp;$I240,INDIRECT("'"&amp;$A240&amp;"'!$A$2:$A$501"),"&lt;"&amp;($BA240+1),INDIRECT("'"&amp;$A240&amp;"'!$E$2:$E$501"),"No"),0)))</f>
        <v/>
      </c>
      <c r="AY240" s="25">
        <f>IF(OR($A240="",$I240=""),"",IF($BC240="Y",SUMIFS(survey_frozen!$M$2:$M$251,survey_frozen!$P$2:$P$251,$A240&amp;"|"&amp;$B240),IFERROR(COUNTIFS(INDIRECT("'"&amp;$A240&amp;"'!$B$2:$B$501"),$T240,INDIRECT("'"&amp;$A240&amp;"'!$A$2:$A$501"),"&gt;="&amp;$I240,INDIRECT("'"&amp;$A240&amp;"'!$A$2:$A$501"),"&lt;"&amp;($BA240+1),INDIRECT("'"&amp;$A240&amp;"'!$G$2:$G$501"),"&lt;&gt;"),0)))</f>
        <v/>
      </c>
      <c r="AZ240" s="25">
        <f>IF($A240="","",$A240&amp;"|"&amp;$L240)</f>
        <v/>
      </c>
      <c r="BA240" s="26">
        <f>IF($A240="","",IFERROR(IF(INDEX(drops!$R$2:$R$21,MATCH($H240,drops!$A$2:$A$21,0))="","",INDEX(drops!$R$2:$R$21,MATCH($H240,drops!$A$2:$A$21,0))),""))</f>
        <v/>
      </c>
      <c r="BB240" s="25">
        <f>IF(OR($A240="",$Q240&lt;&gt;"Y"),1000000,N($AL240))</f>
        <v/>
      </c>
      <c r="BC240" s="25">
        <f>IF($A240="","",IF(COUNTIF(survey_frozen!$P$2:$P$251,$A240&amp;"|"&amp;$B240)&gt;0,"Y",""))</f>
        <v/>
      </c>
    </row>
    <row r="241">
      <c r="C241" s="9" t="n"/>
      <c r="E241" s="9" t="n"/>
      <c r="H241" s="25">
        <f>IF($A241="","",IFERROR(IF(INDEX(campaigns!$B$2:$B$51,MATCH($A241,campaigns!$A$2:$A$51,0))="","",INDEX(campaigns!$B$2:$B$51,MATCH($A241,campaigns!$A$2:$A$51,0))),""))</f>
        <v/>
      </c>
      <c r="I241" s="26">
        <f>IF($A241="","",IFERROR(IF(INDEX(campaigns!$BG$2:$BG$51,MATCH($A241,campaigns!$A$2:$A$51,0))="","",INDEX(campaigns!$BG$2:$BG$51,MATCH($A241,campaigns!$A$2:$A$51,0))),""))</f>
        <v/>
      </c>
      <c r="J241" s="25">
        <f>IF($A241="","",IFERROR(IF(INDEX(campaigns!$BE$2:$BE$51,MATCH($A241,campaigns!$A$2:$A$51,0))="","",INDEX(campaigns!$BE$2:$BE$51,MATCH($A241,campaigns!$A$2:$A$51,0))),""))</f>
        <v/>
      </c>
      <c r="K241" s="25">
        <f>IF($B241="","",IFERROR(IF(INDEX(offices!$N$2:$N$61,MATCH($B241,offices!$A$2:$A$61,0))="","",INDEX(offices!$N$2:$N$61,MATCH($B241,offices!$A$2:$A$61,0))),""))</f>
        <v/>
      </c>
      <c r="L241" s="25">
        <f>IF($A241="","",IF($Q241="N","",COUNTIFS($A$2:$A241,$A241,$Q$2:$Q241,"&lt;&gt;N")))</f>
        <v/>
      </c>
      <c r="M241" s="25">
        <f>IF(OR($A241="",$L241=""),"",IF(AND(config!$B$34="names_if_public",IFERROR(IF(INDEX(offices!$AF$2:$AF$61,MATCH($B241,offices!$A$2:$A$61,0))="","",INDEX(offices!$AF$2:$AF$61,MATCH($B241,offices!$A$2:$A$61,0))),"")="Y"),$K241,CHAR(64+$L241)))</f>
        <v/>
      </c>
      <c r="N241" s="25">
        <f>IF(OR($A241="",$I241=""),"",COUNTIFS(stops!$B$2:$B$151,$B241,stops!$P$2:$P$151,"&lt;"&amp;$I241,stops!$L$2:$L$151,"&lt;&gt;not_delivered")+1)</f>
        <v/>
      </c>
      <c r="O241" s="25">
        <f>IF($A241="","",IF(N($N241)&lt;=config!$B$29,"explicit","opt-out"))</f>
        <v/>
      </c>
      <c r="P241" s="25">
        <f>IF($A241="","",IF($O241="explicit",IF($D241="yes","Y",IF($D241="no","N","pending")),IF($D241="no","N",IF(AND($C241&lt;&gt;"",$I241&lt;&gt;"",$C241&lt;=WORKDAY(N($I241),-5,calendar!$A$2:$A$80)),"Y","pending"))))</f>
        <v/>
      </c>
      <c r="Q241" s="25">
        <f>IF($A241="","",IF($P241="N","N",IF($P241&lt;&gt;"Y","pending",IF(AND((COUNTIFS(stops!$A$2:$A$151,$H241,stops!$B$2:$B$151,$B241,stops!$L$2:$L$151,"declined")+COUNTIFS(stops!$A$2:$A$151,$H241,stops!$B$2:$B$151,$B241,stops!$L$2:$L$151,"building_refused")+COUNTIFS(stops!$A$2:$A$151,$H241,stops!$B$2:$B$151,$B241,stops!$L$2:$L$151,"not_delivered"))&gt;0,N($U241)=0),"N","Y"))))</f>
        <v/>
      </c>
      <c r="R241" s="25">
        <f>IF($A241="","",IF(COUNTIFS($A$2:$A$251,$A241,$B$2:$B$251,$B241)&gt;1,"DUPLICATE ROW; ","")&amp;IF(AND(IFERROR(IF(INDEX(offices!$AC$2:$AC$61,MATCH($B241,offices!$A$2:$A$61,0))="","",INDEX(offices!$AC$2:$AC$61,MATCH($B241,offices!$A$2:$A$61,0))),"")&lt;&gt;"",ISNUMBER(SEARCH($J241,IFERROR(IF(INDEX(offices!$AC$2:$AC$61,MATCH($B241,offices!$A$2:$A$61,0))="","",INDEX(offices!$AC$2:$AC$61,MATCH($B241,offices!$A$2:$A$61,0))),"")))),"BRAND VETOED; ","")&amp;IF(ISNUMBER(SEARCH(IFERROR(IF(INDEX(campaigns!$BF$2:$BF$51,MATCH($A241,campaigns!$A$2:$A$51,0))="","",INDEX(campaigns!$BF$2:$BF$51,MATCH($A241,campaigns!$A$2:$A$51,0))),""),IFERROR(IF(INDEX(offices!$AB$2:$AB$61,MATCH($B241,offices!$A$2:$A$61,0))="","",INDEX(offices!$AB$2:$AB$61,MATCH($B241,offices!$A$2:$A$61,0))),""))),"","info: category not on the office's list; ")&amp;IF(IFERROR(IF(INDEX(offices!$AC$2:$AC$61,MATCH($B241,offices!$A$2:$A$61,0))="","",INDEX(offices!$AC$2:$AC$61,MATCH($B241,offices!$A$2:$A$61,0))),"")&lt;&gt;"","info: read the vetoes against the label; ",""))</f>
        <v/>
      </c>
      <c r="S241" s="25">
        <f>IF($A241="","",IF($G241&lt;&gt;"",$G241,IFERROR(IF(INDEX(offices!$AL$2:$AL$61,MATCH($B241,offices!$A$2:$A$61,0))="","",INDEX(offices!$AL$2:$AL$61,MATCH($B241,offices!$A$2:$A$61,0))),"")))</f>
        <v/>
      </c>
      <c r="T241" s="25">
        <f>IF($A241="","",$A241&amp;"."&amp;$B241)</f>
        <v/>
      </c>
      <c r="U241" s="25">
        <f>IF($A241="","",SUMIFS(inventory!$G$2:$G$801,inventory!$C$2:$C$801,$A241,inventory!$D$2:$D$801,$B241,inventory!$E$2:$E$801,"delivered"))</f>
        <v/>
      </c>
      <c r="V241" s="32">
        <f>IF($A241="","",IFERROR(1/(1/SUMPRODUCT(MAX((inventory!$C$2:$C$801=$A241)*(inventory!$D$2:$D$801=$B241)*(inventory!$E$2:$E$801="delivered")*(inventory!$A$2:$A$801+inventory!$B$2:$B$801)))),""))</f>
        <v/>
      </c>
      <c r="W241" s="25">
        <f>IF($A241="","",IFERROR(IF(INDEX(inventory!$J$2:$J$801,MATCH($A241&amp;"|"&amp;$B241&amp;"|delivered",inventory!$R$2:$R$801,0))="","",INDEX(inventory!$J$2:$J$801,MATCH($A241&amp;"|"&amp;$B241&amp;"|delivered",inventory!$R$2:$R$801,0))),""))</f>
        <v/>
      </c>
      <c r="X241" s="25">
        <f>IF($A241="","",IFERROR(IF(INDEX(photos!$H$2:$H$701,MATCH($A241&amp;"|"&amp;$B241&amp;"|placement|Y",photos!$R$2:$R$701,0))="","",INDEX(photos!$H$2:$H$701,MATCH($A241&amp;"|"&amp;$B241&amp;"|placement|Y",photos!$R$2:$R$701,0))),""))</f>
        <v/>
      </c>
      <c r="Y241" s="26">
        <f>IF($A241="","",IFERROR(IF(INDEX(photos!$E$2:$E$701,MATCH($A241&amp;"|"&amp;$B241&amp;"|placement|Y",photos!$R$2:$R$701,0))="","",INDEX(photos!$E$2:$E$701,MATCH($A241&amp;"|"&amp;$B241&amp;"|placement|Y",photos!$R$2:$R$701,0))),""))</f>
        <v/>
      </c>
      <c r="Z241" s="25">
        <f>IF($A241="","",IF(COUNTIFS(counts!$C$2:$C$701,$A241,counts!$D$2:$D$701,$B241,counts!$E$2:$E$701,"placed")=0,"",SUMIFS(counts!$F$2:$F$701,counts!$C$2:$C$701,$A241,counts!$D$2:$D$701,$B241,counts!$E$2:$E$701,"placed")))</f>
        <v/>
      </c>
      <c r="AA241" s="25">
        <f>IF($A241="","",IF($Y241="",0,N($Z241)))</f>
        <v/>
      </c>
      <c r="AB241" s="25">
        <f>IF($A241="","",IF(OR($Y241="",$I241=""),"N",IF($Y241&lt;=WORKDAY(N($I241),1,calendar!$A$2:$A$80),"Y","N")))</f>
        <v/>
      </c>
      <c r="AC241" s="28">
        <f>IF(OR($A241="",$V241="",$Y241=""),"",ROUND(($Y241+N(IFERROR(IF(INDEX(photos!$F$2:$F$701,MATCH($A241&amp;"|"&amp;$B241&amp;"|placement|Y",photos!$R$2:$R$701,0))="","",INDEX(photos!$F$2:$F$701,MATCH($A241&amp;"|"&amp;$B241&amp;"|placement|Y",photos!$R$2:$R$701,0))),""))-$V241)*24,1))</f>
        <v/>
      </c>
      <c r="AD241" s="25">
        <f>IF($A241="","",SUMIFS(inventory!$G$2:$G$801,inventory!$C$2:$C$801,$A241,inventory!$D$2:$D$801,$B241,inventory!$E$2:$E$801,"topped_up"))</f>
        <v/>
      </c>
      <c r="AE241" s="25">
        <f>IF($A241="","",IF(COUNTIFS(counts!$C$2:$C$701,$A241,counts!$D$2:$D$701,$B241,counts!$E$2:$E$701,"remaining_day3")=0,"",SUMIFS(counts!$F$2:$F$701,counts!$C$2:$C$701,$A241,counts!$D$2:$D$701,$B241,counts!$E$2:$E$701,"remaining_day3")))</f>
        <v/>
      </c>
      <c r="AF241" s="25">
        <f>IF($A241="","",IF(COUNTIFS(counts!$C$2:$C$701,$A241,counts!$D$2:$D$701,$B241,counts!$E$2:$E$701,"remaining_day5")=0,"",SUMIFS(counts!$F$2:$F$701,counts!$C$2:$C$701,$A241,counts!$D$2:$D$701,$B241,counts!$E$2:$E$701,"remaining_day5")))</f>
        <v/>
      </c>
      <c r="AG241" s="25">
        <f>IF(OR($A241="",$AF241=""),"",MAX(0,$AA241+$AD241-$AF241))</f>
        <v/>
      </c>
      <c r="AH241" s="25">
        <f>IF(OR($A241="",$AI241=""),"",IFERROR(IF(INDEX(photos!$H$2:$H$701,MATCH($A241&amp;"|"&amp;$B241&amp;"|later|Y|"&amp;$AI241,photos!$S$2:$S$701,0))="","",INDEX(photos!$H$2:$H$701,MATCH($A241&amp;"|"&amp;$B241&amp;"|later|Y|"&amp;$AI241,photos!$S$2:$S$701,0))),""))</f>
        <v/>
      </c>
      <c r="AI241" s="26">
        <f>IF($A241="","",IFERROR(1/(1/SUMPRODUCT(MAX((photos!$B$2:$B$701=$A241)*(photos!$C$2:$C$701=$B241)*(photos!$D$2:$D$701="later")*(photos!$O$2:$O$701="Y")*photos!$E$2:$E$701))),""))</f>
        <v/>
      </c>
      <c r="AJ241" s="25">
        <f>IF(OR($A241="",$AI241="",$I241=""),"",NETWORKDAYS($I241,$AI241,calendar!$A$2:$A$80))</f>
        <v/>
      </c>
      <c r="AK241" s="25">
        <f>IF($A241="","",IF(AND($X241&lt;&gt;"",$AH241&lt;&gt;""),"Y","N"))</f>
        <v/>
      </c>
      <c r="AL241" s="25">
        <f>IF(OR($A241="",$I241=""),"",IF($BC241="Y",SUMIFS(survey_frozen!$C$2:$C$251,survey_frozen!$P$2:$P$251,$A241&amp;"|"&amp;$B241),IFERROR(COUNTIFS(INDIRECT("'"&amp;$A241&amp;"'!$B$2:$B$501"),$T241,INDIRECT("'"&amp;$A241&amp;"'!$A$2:$A$501"),"&gt;="&amp;$I241,INDIRECT("'"&amp;$A241&amp;"'!$A$2:$A$501"),"&lt;"&amp;($BA241+1)),0)))</f>
        <v/>
      </c>
      <c r="AM241" s="25">
        <f>IF(OR($A241="",$I241=""),"",IF($BC241="Y",SUMIFS(survey_frozen!$D$2:$D$251,survey_frozen!$P$2:$P$251,$A241&amp;"|"&amp;$B241),IFERROR(COUNTIFS(INDIRECT("'"&amp;$A241&amp;"'!$B$2:$B$501"),$T241,INDIRECT("'"&amp;$A241&amp;"'!$A$2:$A$501"),"&gt;="&amp;$I241,INDIRECT("'"&amp;$A241&amp;"'!$A$2:$A$501"),"&lt;"&amp;($BA241+1),INDIRECT("'"&amp;$A241&amp;"'!$C$2:$C$501"),"Yes"),0)))</f>
        <v/>
      </c>
      <c r="AN241" s="25">
        <f>IF($A241="","",IF(COUNTIFS(scans!$C$2:$C$1601,(IF(LEFT($A241,7)="SAMPLE-","SAMPLE-","")&amp;LOWER(SUBSTITUTE(SUBSTITUTE($A241,"SAMPLE-",""),"CMP-","c"))&amp;"-"&amp;LOWER(SUBSTITUTE(SUBSTITUTE($B241,"SAMPLE-",""),"O-","o"))&amp;"-q"),scans!$D$2:$D$1601,"close")=0,"",SUMPRODUCT(MAX((scans!$C$2:$C$1601=(IF(LEFT($A241,7)="SAMPLE-","SAMPLE-","")&amp;LOWER(SUBSTITUTE(SUBSTITUTE($A241,"SAMPLE-",""),"CMP-","c"))&amp;"-"&amp;LOWER(SUBSTITUTE(SUBSTITUTE($B241,"SAMPLE-",""),"O-","o"))&amp;"-q"))*(scans!$D$2:$D$1601="close")*scans!$E$2:$E$1601))-SUMPRODUCT(MAX((scans!$C$2:$C$1601=(IF(LEFT($A241,7)="SAMPLE-","SAMPLE-","")&amp;LOWER(SUBSTITUTE(SUBSTITUTE($A241,"SAMPLE-",""),"CMP-","c"))&amp;"-"&amp;LOWER(SUBSTITUTE(SUBSTITUTE($B241,"SAMPLE-",""),"O-","o"))&amp;"-q"))*(scans!$D$2:$D$1601="baseline")*scans!$E$2:$E$1601))))</f>
        <v/>
      </c>
      <c r="AO241" s="25">
        <f>IF($A241="","",IF(COUNTIFS(scans!$C$2:$C$1601,(IF(LEFT($A241,7)="SAMPLE-","SAMPLE-","")&amp;LOWER(SUBSTITUTE(SUBSTITUTE($A241,"SAMPLE-",""),"CMP-","c"))&amp;"-"&amp;LOWER(SUBSTITUTE(SUBSTITUTE($B241,"SAMPLE-",""),"O-","o"))&amp;"-p"),scans!$D$2:$D$1601,"close")=0,"",SUMPRODUCT(MAX((scans!$C$2:$C$1601=(IF(LEFT($A241,7)="SAMPLE-","SAMPLE-","")&amp;LOWER(SUBSTITUTE(SUBSTITUTE($A241,"SAMPLE-",""),"CMP-","c"))&amp;"-"&amp;LOWER(SUBSTITUTE(SUBSTITUTE($B241,"SAMPLE-",""),"O-","o"))&amp;"-p"))*(scans!$D$2:$D$1601="close")*scans!$E$2:$E$1601))-SUMPRODUCT(MAX((scans!$C$2:$C$1601=(IF(LEFT($A241,7)="SAMPLE-","SAMPLE-","")&amp;LOWER(SUBSTITUTE(SUBSTITUTE($A241,"SAMPLE-",""),"CMP-","c"))&amp;"-"&amp;LOWER(SUBSTITUTE(SUBSTITUTE($B241,"SAMPLE-",""),"O-","o"))&amp;"-p"))*(scans!$D$2:$D$1601="baseline")*scans!$E$2:$E$1601))))</f>
        <v/>
      </c>
      <c r="AP241" s="25">
        <f>IF($A241="","",IF(COUNTIF(offices!$A$2:$A$61,$B241)=0,"office_id not on offices; ","")&amp;IF(COUNTIF(campaigns!$A$2:$A$51,$A241)=0,"campaign_id not on campaigns; ","")&amp;IF($P241="pending","approval pending; ","")&amp;IF(AND($U241&gt;0,$Y241="",OR($I241="",IF(config!$B$37&lt;&gt;"",config!$B$37,TODAY())&lt;=WORKDAY(N($I241),4,calendar!$A$2:$A$80))),"no usable placement photo yet; ","")&amp;IF(AND($Y241&lt;&gt;"",$Z241=""),"log the placed count; ","")&amp;IF(N($AA241)&gt;N($U241),"placed more than delivered; ","")&amp;IF(AND($AF241&lt;&gt;"",N($AF241)&gt;N($AA241)+N($AD241)),"day-5 count above placed plus top-ups; ","")&amp;IF(AND($U241&gt;0,$I241&lt;&gt;"",IF(config!$B$37&lt;&gt;"",config!$B$37,TODAY())&gt;WORKDAY(N($I241),4,calendar!$A$2:$A$80),$AF241=""),"day-5 count missing; ","")&amp;IF(AND($U241&gt;0,$I241&lt;&gt;"",IF(config!$B$37&lt;&gt;"",config!$B$37,TODAY())&gt;WORKDAY(N($I241),4,calendar!$A$2:$A$80),$AN241=""),"no close link reading; ","")&amp;$R241&amp;IF($P241="N","info: office said no; ","")&amp;IF(AND($P241="Y",$Q241="N"),"info: turned away at the door, so not on the drop (no letter, not in the report or Gate 2; the credit check is on campaigns); ","")&amp;IF(AND($U241&gt;0,$Y241="",$I241&lt;&gt;"",IF(config!$B$37&lt;&gt;"",config!$B$37,TODAY())&gt;WORKDAY(N($I241),4,calendar!$A$2:$A$80)),"info: no usable placement photo, so nothing counts as placed; ","")&amp;IF(AND($U241&gt;0,$I241&lt;&gt;"",IF(config!$B$37&lt;&gt;"",config!$B$37,TODAY())&gt;WORKDAY(N($I241),4,calendar!$A$2:$A$80),N($AL241)&lt;config!$B$30),"info: under "&amp;config!$B$30&amp;" responses; ","")&amp;IF($W241="packing_list","info: delivered count not verified; ",""))</f>
        <v/>
      </c>
      <c r="AQ241" s="25">
        <f>IF(OR($A241="",$I241=""),"",IF($BC241="Y",SUMIFS(survey_frozen!$E$2:$E$251,survey_frozen!$P$2:$P$251,$A241&amp;"|"&amp;$B241),IFERROR(COUNTIFS(INDIRECT("'"&amp;$A241&amp;"'!$B$2:$B$501"),$T241,INDIRECT("'"&amp;$A241&amp;"'!$A$2:$A$501"),"&gt;="&amp;$I241,INDIRECT("'"&amp;$A241&amp;"'!$A$2:$A$501"),"&lt;"&amp;($BA241+1),INDIRECT("'"&amp;$A241&amp;"'!$F$2:$F$501"),"Didn't see it"),0)))</f>
        <v/>
      </c>
      <c r="AR241" s="25">
        <f>IF(OR($A241="",$I241=""),"",IF($BC241="Y",SUMIFS(survey_frozen!$F$2:$F$251,survey_frozen!$P$2:$P$251,$A241&amp;"|"&amp;$B241),IFERROR(COUNTIFS(INDIRECT("'"&amp;$A241&amp;"'!$B$2:$B$501"),$T241,INDIRECT("'"&amp;$A241&amp;"'!$A$2:$A$501"),"&gt;="&amp;$I241,INDIRECT("'"&amp;$A241&amp;"'!$A$2:$A$501"),"&lt;"&amp;($BA241+1),INDIRECT("'"&amp;$A241&amp;"'!$F$2:$F$501"),"Not for me"),0)))</f>
        <v/>
      </c>
      <c r="AS241" s="25">
        <f>IF(OR($A241="",$I241=""),"",IF($BC241="Y",SUMIFS(survey_frozen!$G$2:$G$251,survey_frozen!$P$2:$P$251,$A241&amp;"|"&amp;$B241),IFERROR(COUNTIFS(INDIRECT("'"&amp;$A241&amp;"'!$B$2:$B$501"),$T241,INDIRECT("'"&amp;$A241&amp;"'!$A$2:$A$501"),"&gt;="&amp;$I241,INDIRECT("'"&amp;$A241&amp;"'!$A$2:$A$501"),"&lt;"&amp;($BA241+1),INDIRECT("'"&amp;$A241&amp;"'!$F$2:$F$501"),"Gone by the time I looked"),0)))</f>
        <v/>
      </c>
      <c r="AT241" s="25">
        <f>IF(OR($A241="",$I241=""),"",IF($BC241="Y",SUMIFS(survey_frozen!$H$2:$H$251,survey_frozen!$P$2:$P$251,$A241&amp;"|"&amp;$B241),IFERROR(COUNTIFS(INDIRECT("'"&amp;$A241&amp;"'!$B$2:$B$501"),$T241,INDIRECT("'"&amp;$A241&amp;"'!$A$2:$A$501"),"&gt;="&amp;$I241,INDIRECT("'"&amp;$A241&amp;"'!$A$2:$A$501"),"&lt;"&amp;($BA241+1),INDIRECT("'"&amp;$A241&amp;"'!$D$2:$D$501"),"&gt;=1"),0)))</f>
        <v/>
      </c>
      <c r="AU241" s="25">
        <f>IF(OR($A241="",$I241=""),"",IF($BC241="Y",SUMIFS(survey_frozen!$I$2:$I$251,survey_frozen!$P$2:$P$251,$A241&amp;"|"&amp;$B241),IFERROR(SUMIFS(INDIRECT("'"&amp;$A241&amp;"'!$D$2:$D$501"),INDIRECT("'"&amp;$A241&amp;"'!$B$2:$B$501"),$T241,INDIRECT("'"&amp;$A241&amp;"'!$A$2:$A$501"),"&gt;="&amp;$I241,INDIRECT("'"&amp;$A241&amp;"'!$A$2:$A$501"),"&lt;"&amp;($BA241+1)),0)))</f>
        <v/>
      </c>
      <c r="AV241" s="25">
        <f>IF(OR($A241="",$I241=""),"",IF($BC241="Y",SUMIFS(survey_frozen!$J$2:$J$251,survey_frozen!$P$2:$P$251,$A241&amp;"|"&amp;$B241),IFERROR(COUNTIFS(INDIRECT("'"&amp;$A241&amp;"'!$B$2:$B$501"),$T241,INDIRECT("'"&amp;$A241&amp;"'!$A$2:$A$501"),"&gt;="&amp;$I241,INDIRECT("'"&amp;$A241&amp;"'!$A$2:$A$501"),"&lt;"&amp;($BA241+1),INDIRECT("'"&amp;$A241&amp;"'!$E$2:$E$501"),"Yes"),0)))</f>
        <v/>
      </c>
      <c r="AW241" s="25">
        <f>IF(OR($A241="",$I241=""),"",IF($BC241="Y",SUMIFS(survey_frozen!$K$2:$K$251,survey_frozen!$P$2:$P$251,$A241&amp;"|"&amp;$B241),IFERROR(COUNTIFS(INDIRECT("'"&amp;$A241&amp;"'!$B$2:$B$501"),$T241,INDIRECT("'"&amp;$A241&amp;"'!$A$2:$A$501"),"&gt;="&amp;$I241,INDIRECT("'"&amp;$A241&amp;"'!$A$2:$A$501"),"&lt;"&amp;($BA241+1),INDIRECT("'"&amp;$A241&amp;"'!$E$2:$E$501"),"Maybe"),0)))</f>
        <v/>
      </c>
      <c r="AX241" s="25">
        <f>IF(OR($A241="",$I241=""),"",IF($BC241="Y",SUMIFS(survey_frozen!$L$2:$L$251,survey_frozen!$P$2:$P$251,$A241&amp;"|"&amp;$B241),IFERROR(COUNTIFS(INDIRECT("'"&amp;$A241&amp;"'!$B$2:$B$501"),$T241,INDIRECT("'"&amp;$A241&amp;"'!$A$2:$A$501"),"&gt;="&amp;$I241,INDIRECT("'"&amp;$A241&amp;"'!$A$2:$A$501"),"&lt;"&amp;($BA241+1),INDIRECT("'"&amp;$A241&amp;"'!$E$2:$E$501"),"No"),0)))</f>
        <v/>
      </c>
      <c r="AY241" s="25">
        <f>IF(OR($A241="",$I241=""),"",IF($BC241="Y",SUMIFS(survey_frozen!$M$2:$M$251,survey_frozen!$P$2:$P$251,$A241&amp;"|"&amp;$B241),IFERROR(COUNTIFS(INDIRECT("'"&amp;$A241&amp;"'!$B$2:$B$501"),$T241,INDIRECT("'"&amp;$A241&amp;"'!$A$2:$A$501"),"&gt;="&amp;$I241,INDIRECT("'"&amp;$A241&amp;"'!$A$2:$A$501"),"&lt;"&amp;($BA241+1),INDIRECT("'"&amp;$A241&amp;"'!$G$2:$G$501"),"&lt;&gt;"),0)))</f>
        <v/>
      </c>
      <c r="AZ241" s="25">
        <f>IF($A241="","",$A241&amp;"|"&amp;$L241)</f>
        <v/>
      </c>
      <c r="BA241" s="26">
        <f>IF($A241="","",IFERROR(IF(INDEX(drops!$R$2:$R$21,MATCH($H241,drops!$A$2:$A$21,0))="","",INDEX(drops!$R$2:$R$21,MATCH($H241,drops!$A$2:$A$21,0))),""))</f>
        <v/>
      </c>
      <c r="BB241" s="25">
        <f>IF(OR($A241="",$Q241&lt;&gt;"Y"),1000000,N($AL241))</f>
        <v/>
      </c>
      <c r="BC241" s="25">
        <f>IF($A241="","",IF(COUNTIF(survey_frozen!$P$2:$P$251,$A241&amp;"|"&amp;$B241)&gt;0,"Y",""))</f>
        <v/>
      </c>
    </row>
    <row r="242">
      <c r="C242" s="9" t="n"/>
      <c r="E242" s="9" t="n"/>
      <c r="H242" s="25">
        <f>IF($A242="","",IFERROR(IF(INDEX(campaigns!$B$2:$B$51,MATCH($A242,campaigns!$A$2:$A$51,0))="","",INDEX(campaigns!$B$2:$B$51,MATCH($A242,campaigns!$A$2:$A$51,0))),""))</f>
        <v/>
      </c>
      <c r="I242" s="26">
        <f>IF($A242="","",IFERROR(IF(INDEX(campaigns!$BG$2:$BG$51,MATCH($A242,campaigns!$A$2:$A$51,0))="","",INDEX(campaigns!$BG$2:$BG$51,MATCH($A242,campaigns!$A$2:$A$51,0))),""))</f>
        <v/>
      </c>
      <c r="J242" s="25">
        <f>IF($A242="","",IFERROR(IF(INDEX(campaigns!$BE$2:$BE$51,MATCH($A242,campaigns!$A$2:$A$51,0))="","",INDEX(campaigns!$BE$2:$BE$51,MATCH($A242,campaigns!$A$2:$A$51,0))),""))</f>
        <v/>
      </c>
      <c r="K242" s="25">
        <f>IF($B242="","",IFERROR(IF(INDEX(offices!$N$2:$N$61,MATCH($B242,offices!$A$2:$A$61,0))="","",INDEX(offices!$N$2:$N$61,MATCH($B242,offices!$A$2:$A$61,0))),""))</f>
        <v/>
      </c>
      <c r="L242" s="25">
        <f>IF($A242="","",IF($Q242="N","",COUNTIFS($A$2:$A242,$A242,$Q$2:$Q242,"&lt;&gt;N")))</f>
        <v/>
      </c>
      <c r="M242" s="25">
        <f>IF(OR($A242="",$L242=""),"",IF(AND(config!$B$34="names_if_public",IFERROR(IF(INDEX(offices!$AF$2:$AF$61,MATCH($B242,offices!$A$2:$A$61,0))="","",INDEX(offices!$AF$2:$AF$61,MATCH($B242,offices!$A$2:$A$61,0))),"")="Y"),$K242,CHAR(64+$L242)))</f>
        <v/>
      </c>
      <c r="N242" s="25">
        <f>IF(OR($A242="",$I242=""),"",COUNTIFS(stops!$B$2:$B$151,$B242,stops!$P$2:$P$151,"&lt;"&amp;$I242,stops!$L$2:$L$151,"&lt;&gt;not_delivered")+1)</f>
        <v/>
      </c>
      <c r="O242" s="25">
        <f>IF($A242="","",IF(N($N242)&lt;=config!$B$29,"explicit","opt-out"))</f>
        <v/>
      </c>
      <c r="P242" s="25">
        <f>IF($A242="","",IF($O242="explicit",IF($D242="yes","Y",IF($D242="no","N","pending")),IF($D242="no","N",IF(AND($C242&lt;&gt;"",$I242&lt;&gt;"",$C242&lt;=WORKDAY(N($I242),-5,calendar!$A$2:$A$80)),"Y","pending"))))</f>
        <v/>
      </c>
      <c r="Q242" s="25">
        <f>IF($A242="","",IF($P242="N","N",IF($P242&lt;&gt;"Y","pending",IF(AND((COUNTIFS(stops!$A$2:$A$151,$H242,stops!$B$2:$B$151,$B242,stops!$L$2:$L$151,"declined")+COUNTIFS(stops!$A$2:$A$151,$H242,stops!$B$2:$B$151,$B242,stops!$L$2:$L$151,"building_refused")+COUNTIFS(stops!$A$2:$A$151,$H242,stops!$B$2:$B$151,$B242,stops!$L$2:$L$151,"not_delivered"))&gt;0,N($U242)=0),"N","Y"))))</f>
        <v/>
      </c>
      <c r="R242" s="25">
        <f>IF($A242="","",IF(COUNTIFS($A$2:$A$251,$A242,$B$2:$B$251,$B242)&gt;1,"DUPLICATE ROW; ","")&amp;IF(AND(IFERROR(IF(INDEX(offices!$AC$2:$AC$61,MATCH($B242,offices!$A$2:$A$61,0))="","",INDEX(offices!$AC$2:$AC$61,MATCH($B242,offices!$A$2:$A$61,0))),"")&lt;&gt;"",ISNUMBER(SEARCH($J242,IFERROR(IF(INDEX(offices!$AC$2:$AC$61,MATCH($B242,offices!$A$2:$A$61,0))="","",INDEX(offices!$AC$2:$AC$61,MATCH($B242,offices!$A$2:$A$61,0))),"")))),"BRAND VETOED; ","")&amp;IF(ISNUMBER(SEARCH(IFERROR(IF(INDEX(campaigns!$BF$2:$BF$51,MATCH($A242,campaigns!$A$2:$A$51,0))="","",INDEX(campaigns!$BF$2:$BF$51,MATCH($A242,campaigns!$A$2:$A$51,0))),""),IFERROR(IF(INDEX(offices!$AB$2:$AB$61,MATCH($B242,offices!$A$2:$A$61,0))="","",INDEX(offices!$AB$2:$AB$61,MATCH($B242,offices!$A$2:$A$61,0))),""))),"","info: category not on the office's list; ")&amp;IF(IFERROR(IF(INDEX(offices!$AC$2:$AC$61,MATCH($B242,offices!$A$2:$A$61,0))="","",INDEX(offices!$AC$2:$AC$61,MATCH($B242,offices!$A$2:$A$61,0))),"")&lt;&gt;"","info: read the vetoes against the label; ",""))</f>
        <v/>
      </c>
      <c r="S242" s="25">
        <f>IF($A242="","",IF($G242&lt;&gt;"",$G242,IFERROR(IF(INDEX(offices!$AL$2:$AL$61,MATCH($B242,offices!$A$2:$A$61,0))="","",INDEX(offices!$AL$2:$AL$61,MATCH($B242,offices!$A$2:$A$61,0))),"")))</f>
        <v/>
      </c>
      <c r="T242" s="25">
        <f>IF($A242="","",$A242&amp;"."&amp;$B242)</f>
        <v/>
      </c>
      <c r="U242" s="25">
        <f>IF($A242="","",SUMIFS(inventory!$G$2:$G$801,inventory!$C$2:$C$801,$A242,inventory!$D$2:$D$801,$B242,inventory!$E$2:$E$801,"delivered"))</f>
        <v/>
      </c>
      <c r="V242" s="32">
        <f>IF($A242="","",IFERROR(1/(1/SUMPRODUCT(MAX((inventory!$C$2:$C$801=$A242)*(inventory!$D$2:$D$801=$B242)*(inventory!$E$2:$E$801="delivered")*(inventory!$A$2:$A$801+inventory!$B$2:$B$801)))),""))</f>
        <v/>
      </c>
      <c r="W242" s="25">
        <f>IF($A242="","",IFERROR(IF(INDEX(inventory!$J$2:$J$801,MATCH($A242&amp;"|"&amp;$B242&amp;"|delivered",inventory!$R$2:$R$801,0))="","",INDEX(inventory!$J$2:$J$801,MATCH($A242&amp;"|"&amp;$B242&amp;"|delivered",inventory!$R$2:$R$801,0))),""))</f>
        <v/>
      </c>
      <c r="X242" s="25">
        <f>IF($A242="","",IFERROR(IF(INDEX(photos!$H$2:$H$701,MATCH($A242&amp;"|"&amp;$B242&amp;"|placement|Y",photos!$R$2:$R$701,0))="","",INDEX(photos!$H$2:$H$701,MATCH($A242&amp;"|"&amp;$B242&amp;"|placement|Y",photos!$R$2:$R$701,0))),""))</f>
        <v/>
      </c>
      <c r="Y242" s="26">
        <f>IF($A242="","",IFERROR(IF(INDEX(photos!$E$2:$E$701,MATCH($A242&amp;"|"&amp;$B242&amp;"|placement|Y",photos!$R$2:$R$701,0))="","",INDEX(photos!$E$2:$E$701,MATCH($A242&amp;"|"&amp;$B242&amp;"|placement|Y",photos!$R$2:$R$701,0))),""))</f>
        <v/>
      </c>
      <c r="Z242" s="25">
        <f>IF($A242="","",IF(COUNTIFS(counts!$C$2:$C$701,$A242,counts!$D$2:$D$701,$B242,counts!$E$2:$E$701,"placed")=0,"",SUMIFS(counts!$F$2:$F$701,counts!$C$2:$C$701,$A242,counts!$D$2:$D$701,$B242,counts!$E$2:$E$701,"placed")))</f>
        <v/>
      </c>
      <c r="AA242" s="25">
        <f>IF($A242="","",IF($Y242="",0,N($Z242)))</f>
        <v/>
      </c>
      <c r="AB242" s="25">
        <f>IF($A242="","",IF(OR($Y242="",$I242=""),"N",IF($Y242&lt;=WORKDAY(N($I242),1,calendar!$A$2:$A$80),"Y","N")))</f>
        <v/>
      </c>
      <c r="AC242" s="28">
        <f>IF(OR($A242="",$V242="",$Y242=""),"",ROUND(($Y242+N(IFERROR(IF(INDEX(photos!$F$2:$F$701,MATCH($A242&amp;"|"&amp;$B242&amp;"|placement|Y",photos!$R$2:$R$701,0))="","",INDEX(photos!$F$2:$F$701,MATCH($A242&amp;"|"&amp;$B242&amp;"|placement|Y",photos!$R$2:$R$701,0))),""))-$V242)*24,1))</f>
        <v/>
      </c>
      <c r="AD242" s="25">
        <f>IF($A242="","",SUMIFS(inventory!$G$2:$G$801,inventory!$C$2:$C$801,$A242,inventory!$D$2:$D$801,$B242,inventory!$E$2:$E$801,"topped_up"))</f>
        <v/>
      </c>
      <c r="AE242" s="25">
        <f>IF($A242="","",IF(COUNTIFS(counts!$C$2:$C$701,$A242,counts!$D$2:$D$701,$B242,counts!$E$2:$E$701,"remaining_day3")=0,"",SUMIFS(counts!$F$2:$F$701,counts!$C$2:$C$701,$A242,counts!$D$2:$D$701,$B242,counts!$E$2:$E$701,"remaining_day3")))</f>
        <v/>
      </c>
      <c r="AF242" s="25">
        <f>IF($A242="","",IF(COUNTIFS(counts!$C$2:$C$701,$A242,counts!$D$2:$D$701,$B242,counts!$E$2:$E$701,"remaining_day5")=0,"",SUMIFS(counts!$F$2:$F$701,counts!$C$2:$C$701,$A242,counts!$D$2:$D$701,$B242,counts!$E$2:$E$701,"remaining_day5")))</f>
        <v/>
      </c>
      <c r="AG242" s="25">
        <f>IF(OR($A242="",$AF242=""),"",MAX(0,$AA242+$AD242-$AF242))</f>
        <v/>
      </c>
      <c r="AH242" s="25">
        <f>IF(OR($A242="",$AI242=""),"",IFERROR(IF(INDEX(photos!$H$2:$H$701,MATCH($A242&amp;"|"&amp;$B242&amp;"|later|Y|"&amp;$AI242,photos!$S$2:$S$701,0))="","",INDEX(photos!$H$2:$H$701,MATCH($A242&amp;"|"&amp;$B242&amp;"|later|Y|"&amp;$AI242,photos!$S$2:$S$701,0))),""))</f>
        <v/>
      </c>
      <c r="AI242" s="26">
        <f>IF($A242="","",IFERROR(1/(1/SUMPRODUCT(MAX((photos!$B$2:$B$701=$A242)*(photos!$C$2:$C$701=$B242)*(photos!$D$2:$D$701="later")*(photos!$O$2:$O$701="Y")*photos!$E$2:$E$701))),""))</f>
        <v/>
      </c>
      <c r="AJ242" s="25">
        <f>IF(OR($A242="",$AI242="",$I242=""),"",NETWORKDAYS($I242,$AI242,calendar!$A$2:$A$80))</f>
        <v/>
      </c>
      <c r="AK242" s="25">
        <f>IF($A242="","",IF(AND($X242&lt;&gt;"",$AH242&lt;&gt;""),"Y","N"))</f>
        <v/>
      </c>
      <c r="AL242" s="25">
        <f>IF(OR($A242="",$I242=""),"",IF($BC242="Y",SUMIFS(survey_frozen!$C$2:$C$251,survey_frozen!$P$2:$P$251,$A242&amp;"|"&amp;$B242),IFERROR(COUNTIFS(INDIRECT("'"&amp;$A242&amp;"'!$B$2:$B$501"),$T242,INDIRECT("'"&amp;$A242&amp;"'!$A$2:$A$501"),"&gt;="&amp;$I242,INDIRECT("'"&amp;$A242&amp;"'!$A$2:$A$501"),"&lt;"&amp;($BA242+1)),0)))</f>
        <v/>
      </c>
      <c r="AM242" s="25">
        <f>IF(OR($A242="",$I242=""),"",IF($BC242="Y",SUMIFS(survey_frozen!$D$2:$D$251,survey_frozen!$P$2:$P$251,$A242&amp;"|"&amp;$B242),IFERROR(COUNTIFS(INDIRECT("'"&amp;$A242&amp;"'!$B$2:$B$501"),$T242,INDIRECT("'"&amp;$A242&amp;"'!$A$2:$A$501"),"&gt;="&amp;$I242,INDIRECT("'"&amp;$A242&amp;"'!$A$2:$A$501"),"&lt;"&amp;($BA242+1),INDIRECT("'"&amp;$A242&amp;"'!$C$2:$C$501"),"Yes"),0)))</f>
        <v/>
      </c>
      <c r="AN242" s="25">
        <f>IF($A242="","",IF(COUNTIFS(scans!$C$2:$C$1601,(IF(LEFT($A242,7)="SAMPLE-","SAMPLE-","")&amp;LOWER(SUBSTITUTE(SUBSTITUTE($A242,"SAMPLE-",""),"CMP-","c"))&amp;"-"&amp;LOWER(SUBSTITUTE(SUBSTITUTE($B242,"SAMPLE-",""),"O-","o"))&amp;"-q"),scans!$D$2:$D$1601,"close")=0,"",SUMPRODUCT(MAX((scans!$C$2:$C$1601=(IF(LEFT($A242,7)="SAMPLE-","SAMPLE-","")&amp;LOWER(SUBSTITUTE(SUBSTITUTE($A242,"SAMPLE-",""),"CMP-","c"))&amp;"-"&amp;LOWER(SUBSTITUTE(SUBSTITUTE($B242,"SAMPLE-",""),"O-","o"))&amp;"-q"))*(scans!$D$2:$D$1601="close")*scans!$E$2:$E$1601))-SUMPRODUCT(MAX((scans!$C$2:$C$1601=(IF(LEFT($A242,7)="SAMPLE-","SAMPLE-","")&amp;LOWER(SUBSTITUTE(SUBSTITUTE($A242,"SAMPLE-",""),"CMP-","c"))&amp;"-"&amp;LOWER(SUBSTITUTE(SUBSTITUTE($B242,"SAMPLE-",""),"O-","o"))&amp;"-q"))*(scans!$D$2:$D$1601="baseline")*scans!$E$2:$E$1601))))</f>
        <v/>
      </c>
      <c r="AO242" s="25">
        <f>IF($A242="","",IF(COUNTIFS(scans!$C$2:$C$1601,(IF(LEFT($A242,7)="SAMPLE-","SAMPLE-","")&amp;LOWER(SUBSTITUTE(SUBSTITUTE($A242,"SAMPLE-",""),"CMP-","c"))&amp;"-"&amp;LOWER(SUBSTITUTE(SUBSTITUTE($B242,"SAMPLE-",""),"O-","o"))&amp;"-p"),scans!$D$2:$D$1601,"close")=0,"",SUMPRODUCT(MAX((scans!$C$2:$C$1601=(IF(LEFT($A242,7)="SAMPLE-","SAMPLE-","")&amp;LOWER(SUBSTITUTE(SUBSTITUTE($A242,"SAMPLE-",""),"CMP-","c"))&amp;"-"&amp;LOWER(SUBSTITUTE(SUBSTITUTE($B242,"SAMPLE-",""),"O-","o"))&amp;"-p"))*(scans!$D$2:$D$1601="close")*scans!$E$2:$E$1601))-SUMPRODUCT(MAX((scans!$C$2:$C$1601=(IF(LEFT($A242,7)="SAMPLE-","SAMPLE-","")&amp;LOWER(SUBSTITUTE(SUBSTITUTE($A242,"SAMPLE-",""),"CMP-","c"))&amp;"-"&amp;LOWER(SUBSTITUTE(SUBSTITUTE($B242,"SAMPLE-",""),"O-","o"))&amp;"-p"))*(scans!$D$2:$D$1601="baseline")*scans!$E$2:$E$1601))))</f>
        <v/>
      </c>
      <c r="AP242" s="25">
        <f>IF($A242="","",IF(COUNTIF(offices!$A$2:$A$61,$B242)=0,"office_id not on offices; ","")&amp;IF(COUNTIF(campaigns!$A$2:$A$51,$A242)=0,"campaign_id not on campaigns; ","")&amp;IF($P242="pending","approval pending; ","")&amp;IF(AND($U242&gt;0,$Y242="",OR($I242="",IF(config!$B$37&lt;&gt;"",config!$B$37,TODAY())&lt;=WORKDAY(N($I242),4,calendar!$A$2:$A$80))),"no usable placement photo yet; ","")&amp;IF(AND($Y242&lt;&gt;"",$Z242=""),"log the placed count; ","")&amp;IF(N($AA242)&gt;N($U242),"placed more than delivered; ","")&amp;IF(AND($AF242&lt;&gt;"",N($AF242)&gt;N($AA242)+N($AD242)),"day-5 count above placed plus top-ups; ","")&amp;IF(AND($U242&gt;0,$I242&lt;&gt;"",IF(config!$B$37&lt;&gt;"",config!$B$37,TODAY())&gt;WORKDAY(N($I242),4,calendar!$A$2:$A$80),$AF242=""),"day-5 count missing; ","")&amp;IF(AND($U242&gt;0,$I242&lt;&gt;"",IF(config!$B$37&lt;&gt;"",config!$B$37,TODAY())&gt;WORKDAY(N($I242),4,calendar!$A$2:$A$80),$AN242=""),"no close link reading; ","")&amp;$R242&amp;IF($P242="N","info: office said no; ","")&amp;IF(AND($P242="Y",$Q242="N"),"info: turned away at the door, so not on the drop (no letter, not in the report or Gate 2; the credit check is on campaigns); ","")&amp;IF(AND($U242&gt;0,$Y242="",$I242&lt;&gt;"",IF(config!$B$37&lt;&gt;"",config!$B$37,TODAY())&gt;WORKDAY(N($I242),4,calendar!$A$2:$A$80)),"info: no usable placement photo, so nothing counts as placed; ","")&amp;IF(AND($U242&gt;0,$I242&lt;&gt;"",IF(config!$B$37&lt;&gt;"",config!$B$37,TODAY())&gt;WORKDAY(N($I242),4,calendar!$A$2:$A$80),N($AL242)&lt;config!$B$30),"info: under "&amp;config!$B$30&amp;" responses; ","")&amp;IF($W242="packing_list","info: delivered count not verified; ",""))</f>
        <v/>
      </c>
      <c r="AQ242" s="25">
        <f>IF(OR($A242="",$I242=""),"",IF($BC242="Y",SUMIFS(survey_frozen!$E$2:$E$251,survey_frozen!$P$2:$P$251,$A242&amp;"|"&amp;$B242),IFERROR(COUNTIFS(INDIRECT("'"&amp;$A242&amp;"'!$B$2:$B$501"),$T242,INDIRECT("'"&amp;$A242&amp;"'!$A$2:$A$501"),"&gt;="&amp;$I242,INDIRECT("'"&amp;$A242&amp;"'!$A$2:$A$501"),"&lt;"&amp;($BA242+1),INDIRECT("'"&amp;$A242&amp;"'!$F$2:$F$501"),"Didn't see it"),0)))</f>
        <v/>
      </c>
      <c r="AR242" s="25">
        <f>IF(OR($A242="",$I242=""),"",IF($BC242="Y",SUMIFS(survey_frozen!$F$2:$F$251,survey_frozen!$P$2:$P$251,$A242&amp;"|"&amp;$B242),IFERROR(COUNTIFS(INDIRECT("'"&amp;$A242&amp;"'!$B$2:$B$501"),$T242,INDIRECT("'"&amp;$A242&amp;"'!$A$2:$A$501"),"&gt;="&amp;$I242,INDIRECT("'"&amp;$A242&amp;"'!$A$2:$A$501"),"&lt;"&amp;($BA242+1),INDIRECT("'"&amp;$A242&amp;"'!$F$2:$F$501"),"Not for me"),0)))</f>
        <v/>
      </c>
      <c r="AS242" s="25">
        <f>IF(OR($A242="",$I242=""),"",IF($BC242="Y",SUMIFS(survey_frozen!$G$2:$G$251,survey_frozen!$P$2:$P$251,$A242&amp;"|"&amp;$B242),IFERROR(COUNTIFS(INDIRECT("'"&amp;$A242&amp;"'!$B$2:$B$501"),$T242,INDIRECT("'"&amp;$A242&amp;"'!$A$2:$A$501"),"&gt;="&amp;$I242,INDIRECT("'"&amp;$A242&amp;"'!$A$2:$A$501"),"&lt;"&amp;($BA242+1),INDIRECT("'"&amp;$A242&amp;"'!$F$2:$F$501"),"Gone by the time I looked"),0)))</f>
        <v/>
      </c>
      <c r="AT242" s="25">
        <f>IF(OR($A242="",$I242=""),"",IF($BC242="Y",SUMIFS(survey_frozen!$H$2:$H$251,survey_frozen!$P$2:$P$251,$A242&amp;"|"&amp;$B242),IFERROR(COUNTIFS(INDIRECT("'"&amp;$A242&amp;"'!$B$2:$B$501"),$T242,INDIRECT("'"&amp;$A242&amp;"'!$A$2:$A$501"),"&gt;="&amp;$I242,INDIRECT("'"&amp;$A242&amp;"'!$A$2:$A$501"),"&lt;"&amp;($BA242+1),INDIRECT("'"&amp;$A242&amp;"'!$D$2:$D$501"),"&gt;=1"),0)))</f>
        <v/>
      </c>
      <c r="AU242" s="25">
        <f>IF(OR($A242="",$I242=""),"",IF($BC242="Y",SUMIFS(survey_frozen!$I$2:$I$251,survey_frozen!$P$2:$P$251,$A242&amp;"|"&amp;$B242),IFERROR(SUMIFS(INDIRECT("'"&amp;$A242&amp;"'!$D$2:$D$501"),INDIRECT("'"&amp;$A242&amp;"'!$B$2:$B$501"),$T242,INDIRECT("'"&amp;$A242&amp;"'!$A$2:$A$501"),"&gt;="&amp;$I242,INDIRECT("'"&amp;$A242&amp;"'!$A$2:$A$501"),"&lt;"&amp;($BA242+1)),0)))</f>
        <v/>
      </c>
      <c r="AV242" s="25">
        <f>IF(OR($A242="",$I242=""),"",IF($BC242="Y",SUMIFS(survey_frozen!$J$2:$J$251,survey_frozen!$P$2:$P$251,$A242&amp;"|"&amp;$B242),IFERROR(COUNTIFS(INDIRECT("'"&amp;$A242&amp;"'!$B$2:$B$501"),$T242,INDIRECT("'"&amp;$A242&amp;"'!$A$2:$A$501"),"&gt;="&amp;$I242,INDIRECT("'"&amp;$A242&amp;"'!$A$2:$A$501"),"&lt;"&amp;($BA242+1),INDIRECT("'"&amp;$A242&amp;"'!$E$2:$E$501"),"Yes"),0)))</f>
        <v/>
      </c>
      <c r="AW242" s="25">
        <f>IF(OR($A242="",$I242=""),"",IF($BC242="Y",SUMIFS(survey_frozen!$K$2:$K$251,survey_frozen!$P$2:$P$251,$A242&amp;"|"&amp;$B242),IFERROR(COUNTIFS(INDIRECT("'"&amp;$A242&amp;"'!$B$2:$B$501"),$T242,INDIRECT("'"&amp;$A242&amp;"'!$A$2:$A$501"),"&gt;="&amp;$I242,INDIRECT("'"&amp;$A242&amp;"'!$A$2:$A$501"),"&lt;"&amp;($BA242+1),INDIRECT("'"&amp;$A242&amp;"'!$E$2:$E$501"),"Maybe"),0)))</f>
        <v/>
      </c>
      <c r="AX242" s="25">
        <f>IF(OR($A242="",$I242=""),"",IF($BC242="Y",SUMIFS(survey_frozen!$L$2:$L$251,survey_frozen!$P$2:$P$251,$A242&amp;"|"&amp;$B242),IFERROR(COUNTIFS(INDIRECT("'"&amp;$A242&amp;"'!$B$2:$B$501"),$T242,INDIRECT("'"&amp;$A242&amp;"'!$A$2:$A$501"),"&gt;="&amp;$I242,INDIRECT("'"&amp;$A242&amp;"'!$A$2:$A$501"),"&lt;"&amp;($BA242+1),INDIRECT("'"&amp;$A242&amp;"'!$E$2:$E$501"),"No"),0)))</f>
        <v/>
      </c>
      <c r="AY242" s="25">
        <f>IF(OR($A242="",$I242=""),"",IF($BC242="Y",SUMIFS(survey_frozen!$M$2:$M$251,survey_frozen!$P$2:$P$251,$A242&amp;"|"&amp;$B242),IFERROR(COUNTIFS(INDIRECT("'"&amp;$A242&amp;"'!$B$2:$B$501"),$T242,INDIRECT("'"&amp;$A242&amp;"'!$A$2:$A$501"),"&gt;="&amp;$I242,INDIRECT("'"&amp;$A242&amp;"'!$A$2:$A$501"),"&lt;"&amp;($BA242+1),INDIRECT("'"&amp;$A242&amp;"'!$G$2:$G$501"),"&lt;&gt;"),0)))</f>
        <v/>
      </c>
      <c r="AZ242" s="25">
        <f>IF($A242="","",$A242&amp;"|"&amp;$L242)</f>
        <v/>
      </c>
      <c r="BA242" s="26">
        <f>IF($A242="","",IFERROR(IF(INDEX(drops!$R$2:$R$21,MATCH($H242,drops!$A$2:$A$21,0))="","",INDEX(drops!$R$2:$R$21,MATCH($H242,drops!$A$2:$A$21,0))),""))</f>
        <v/>
      </c>
      <c r="BB242" s="25">
        <f>IF(OR($A242="",$Q242&lt;&gt;"Y"),1000000,N($AL242))</f>
        <v/>
      </c>
      <c r="BC242" s="25">
        <f>IF($A242="","",IF(COUNTIF(survey_frozen!$P$2:$P$251,$A242&amp;"|"&amp;$B242)&gt;0,"Y",""))</f>
        <v/>
      </c>
    </row>
    <row r="243">
      <c r="C243" s="9" t="n"/>
      <c r="E243" s="9" t="n"/>
      <c r="H243" s="25">
        <f>IF($A243="","",IFERROR(IF(INDEX(campaigns!$B$2:$B$51,MATCH($A243,campaigns!$A$2:$A$51,0))="","",INDEX(campaigns!$B$2:$B$51,MATCH($A243,campaigns!$A$2:$A$51,0))),""))</f>
        <v/>
      </c>
      <c r="I243" s="26">
        <f>IF($A243="","",IFERROR(IF(INDEX(campaigns!$BG$2:$BG$51,MATCH($A243,campaigns!$A$2:$A$51,0))="","",INDEX(campaigns!$BG$2:$BG$51,MATCH($A243,campaigns!$A$2:$A$51,0))),""))</f>
        <v/>
      </c>
      <c r="J243" s="25">
        <f>IF($A243="","",IFERROR(IF(INDEX(campaigns!$BE$2:$BE$51,MATCH($A243,campaigns!$A$2:$A$51,0))="","",INDEX(campaigns!$BE$2:$BE$51,MATCH($A243,campaigns!$A$2:$A$51,0))),""))</f>
        <v/>
      </c>
      <c r="K243" s="25">
        <f>IF($B243="","",IFERROR(IF(INDEX(offices!$N$2:$N$61,MATCH($B243,offices!$A$2:$A$61,0))="","",INDEX(offices!$N$2:$N$61,MATCH($B243,offices!$A$2:$A$61,0))),""))</f>
        <v/>
      </c>
      <c r="L243" s="25">
        <f>IF($A243="","",IF($Q243="N","",COUNTIFS($A$2:$A243,$A243,$Q$2:$Q243,"&lt;&gt;N")))</f>
        <v/>
      </c>
      <c r="M243" s="25">
        <f>IF(OR($A243="",$L243=""),"",IF(AND(config!$B$34="names_if_public",IFERROR(IF(INDEX(offices!$AF$2:$AF$61,MATCH($B243,offices!$A$2:$A$61,0))="","",INDEX(offices!$AF$2:$AF$61,MATCH($B243,offices!$A$2:$A$61,0))),"")="Y"),$K243,CHAR(64+$L243)))</f>
        <v/>
      </c>
      <c r="N243" s="25">
        <f>IF(OR($A243="",$I243=""),"",COUNTIFS(stops!$B$2:$B$151,$B243,stops!$P$2:$P$151,"&lt;"&amp;$I243,stops!$L$2:$L$151,"&lt;&gt;not_delivered")+1)</f>
        <v/>
      </c>
      <c r="O243" s="25">
        <f>IF($A243="","",IF(N($N243)&lt;=config!$B$29,"explicit","opt-out"))</f>
        <v/>
      </c>
      <c r="P243" s="25">
        <f>IF($A243="","",IF($O243="explicit",IF($D243="yes","Y",IF($D243="no","N","pending")),IF($D243="no","N",IF(AND($C243&lt;&gt;"",$I243&lt;&gt;"",$C243&lt;=WORKDAY(N($I243),-5,calendar!$A$2:$A$80)),"Y","pending"))))</f>
        <v/>
      </c>
      <c r="Q243" s="25">
        <f>IF($A243="","",IF($P243="N","N",IF($P243&lt;&gt;"Y","pending",IF(AND((COUNTIFS(stops!$A$2:$A$151,$H243,stops!$B$2:$B$151,$B243,stops!$L$2:$L$151,"declined")+COUNTIFS(stops!$A$2:$A$151,$H243,stops!$B$2:$B$151,$B243,stops!$L$2:$L$151,"building_refused")+COUNTIFS(stops!$A$2:$A$151,$H243,stops!$B$2:$B$151,$B243,stops!$L$2:$L$151,"not_delivered"))&gt;0,N($U243)=0),"N","Y"))))</f>
        <v/>
      </c>
      <c r="R243" s="25">
        <f>IF($A243="","",IF(COUNTIFS($A$2:$A$251,$A243,$B$2:$B$251,$B243)&gt;1,"DUPLICATE ROW; ","")&amp;IF(AND(IFERROR(IF(INDEX(offices!$AC$2:$AC$61,MATCH($B243,offices!$A$2:$A$61,0))="","",INDEX(offices!$AC$2:$AC$61,MATCH($B243,offices!$A$2:$A$61,0))),"")&lt;&gt;"",ISNUMBER(SEARCH($J243,IFERROR(IF(INDEX(offices!$AC$2:$AC$61,MATCH($B243,offices!$A$2:$A$61,0))="","",INDEX(offices!$AC$2:$AC$61,MATCH($B243,offices!$A$2:$A$61,0))),"")))),"BRAND VETOED; ","")&amp;IF(ISNUMBER(SEARCH(IFERROR(IF(INDEX(campaigns!$BF$2:$BF$51,MATCH($A243,campaigns!$A$2:$A$51,0))="","",INDEX(campaigns!$BF$2:$BF$51,MATCH($A243,campaigns!$A$2:$A$51,0))),""),IFERROR(IF(INDEX(offices!$AB$2:$AB$61,MATCH($B243,offices!$A$2:$A$61,0))="","",INDEX(offices!$AB$2:$AB$61,MATCH($B243,offices!$A$2:$A$61,0))),""))),"","info: category not on the office's list; ")&amp;IF(IFERROR(IF(INDEX(offices!$AC$2:$AC$61,MATCH($B243,offices!$A$2:$A$61,0))="","",INDEX(offices!$AC$2:$AC$61,MATCH($B243,offices!$A$2:$A$61,0))),"")&lt;&gt;"","info: read the vetoes against the label; ",""))</f>
        <v/>
      </c>
      <c r="S243" s="25">
        <f>IF($A243="","",IF($G243&lt;&gt;"",$G243,IFERROR(IF(INDEX(offices!$AL$2:$AL$61,MATCH($B243,offices!$A$2:$A$61,0))="","",INDEX(offices!$AL$2:$AL$61,MATCH($B243,offices!$A$2:$A$61,0))),"")))</f>
        <v/>
      </c>
      <c r="T243" s="25">
        <f>IF($A243="","",$A243&amp;"."&amp;$B243)</f>
        <v/>
      </c>
      <c r="U243" s="25">
        <f>IF($A243="","",SUMIFS(inventory!$G$2:$G$801,inventory!$C$2:$C$801,$A243,inventory!$D$2:$D$801,$B243,inventory!$E$2:$E$801,"delivered"))</f>
        <v/>
      </c>
      <c r="V243" s="32">
        <f>IF($A243="","",IFERROR(1/(1/SUMPRODUCT(MAX((inventory!$C$2:$C$801=$A243)*(inventory!$D$2:$D$801=$B243)*(inventory!$E$2:$E$801="delivered")*(inventory!$A$2:$A$801+inventory!$B$2:$B$801)))),""))</f>
        <v/>
      </c>
      <c r="W243" s="25">
        <f>IF($A243="","",IFERROR(IF(INDEX(inventory!$J$2:$J$801,MATCH($A243&amp;"|"&amp;$B243&amp;"|delivered",inventory!$R$2:$R$801,0))="","",INDEX(inventory!$J$2:$J$801,MATCH($A243&amp;"|"&amp;$B243&amp;"|delivered",inventory!$R$2:$R$801,0))),""))</f>
        <v/>
      </c>
      <c r="X243" s="25">
        <f>IF($A243="","",IFERROR(IF(INDEX(photos!$H$2:$H$701,MATCH($A243&amp;"|"&amp;$B243&amp;"|placement|Y",photos!$R$2:$R$701,0))="","",INDEX(photos!$H$2:$H$701,MATCH($A243&amp;"|"&amp;$B243&amp;"|placement|Y",photos!$R$2:$R$701,0))),""))</f>
        <v/>
      </c>
      <c r="Y243" s="26">
        <f>IF($A243="","",IFERROR(IF(INDEX(photos!$E$2:$E$701,MATCH($A243&amp;"|"&amp;$B243&amp;"|placement|Y",photos!$R$2:$R$701,0))="","",INDEX(photos!$E$2:$E$701,MATCH($A243&amp;"|"&amp;$B243&amp;"|placement|Y",photos!$R$2:$R$701,0))),""))</f>
        <v/>
      </c>
      <c r="Z243" s="25">
        <f>IF($A243="","",IF(COUNTIFS(counts!$C$2:$C$701,$A243,counts!$D$2:$D$701,$B243,counts!$E$2:$E$701,"placed")=0,"",SUMIFS(counts!$F$2:$F$701,counts!$C$2:$C$701,$A243,counts!$D$2:$D$701,$B243,counts!$E$2:$E$701,"placed")))</f>
        <v/>
      </c>
      <c r="AA243" s="25">
        <f>IF($A243="","",IF($Y243="",0,N($Z243)))</f>
        <v/>
      </c>
      <c r="AB243" s="25">
        <f>IF($A243="","",IF(OR($Y243="",$I243=""),"N",IF($Y243&lt;=WORKDAY(N($I243),1,calendar!$A$2:$A$80),"Y","N")))</f>
        <v/>
      </c>
      <c r="AC243" s="28">
        <f>IF(OR($A243="",$V243="",$Y243=""),"",ROUND(($Y243+N(IFERROR(IF(INDEX(photos!$F$2:$F$701,MATCH($A243&amp;"|"&amp;$B243&amp;"|placement|Y",photos!$R$2:$R$701,0))="","",INDEX(photos!$F$2:$F$701,MATCH($A243&amp;"|"&amp;$B243&amp;"|placement|Y",photos!$R$2:$R$701,0))),""))-$V243)*24,1))</f>
        <v/>
      </c>
      <c r="AD243" s="25">
        <f>IF($A243="","",SUMIFS(inventory!$G$2:$G$801,inventory!$C$2:$C$801,$A243,inventory!$D$2:$D$801,$B243,inventory!$E$2:$E$801,"topped_up"))</f>
        <v/>
      </c>
      <c r="AE243" s="25">
        <f>IF($A243="","",IF(COUNTIFS(counts!$C$2:$C$701,$A243,counts!$D$2:$D$701,$B243,counts!$E$2:$E$701,"remaining_day3")=0,"",SUMIFS(counts!$F$2:$F$701,counts!$C$2:$C$701,$A243,counts!$D$2:$D$701,$B243,counts!$E$2:$E$701,"remaining_day3")))</f>
        <v/>
      </c>
      <c r="AF243" s="25">
        <f>IF($A243="","",IF(COUNTIFS(counts!$C$2:$C$701,$A243,counts!$D$2:$D$701,$B243,counts!$E$2:$E$701,"remaining_day5")=0,"",SUMIFS(counts!$F$2:$F$701,counts!$C$2:$C$701,$A243,counts!$D$2:$D$701,$B243,counts!$E$2:$E$701,"remaining_day5")))</f>
        <v/>
      </c>
      <c r="AG243" s="25">
        <f>IF(OR($A243="",$AF243=""),"",MAX(0,$AA243+$AD243-$AF243))</f>
        <v/>
      </c>
      <c r="AH243" s="25">
        <f>IF(OR($A243="",$AI243=""),"",IFERROR(IF(INDEX(photos!$H$2:$H$701,MATCH($A243&amp;"|"&amp;$B243&amp;"|later|Y|"&amp;$AI243,photos!$S$2:$S$701,0))="","",INDEX(photos!$H$2:$H$701,MATCH($A243&amp;"|"&amp;$B243&amp;"|later|Y|"&amp;$AI243,photos!$S$2:$S$701,0))),""))</f>
        <v/>
      </c>
      <c r="AI243" s="26">
        <f>IF($A243="","",IFERROR(1/(1/SUMPRODUCT(MAX((photos!$B$2:$B$701=$A243)*(photos!$C$2:$C$701=$B243)*(photos!$D$2:$D$701="later")*(photos!$O$2:$O$701="Y")*photos!$E$2:$E$701))),""))</f>
        <v/>
      </c>
      <c r="AJ243" s="25">
        <f>IF(OR($A243="",$AI243="",$I243=""),"",NETWORKDAYS($I243,$AI243,calendar!$A$2:$A$80))</f>
        <v/>
      </c>
      <c r="AK243" s="25">
        <f>IF($A243="","",IF(AND($X243&lt;&gt;"",$AH243&lt;&gt;""),"Y","N"))</f>
        <v/>
      </c>
      <c r="AL243" s="25">
        <f>IF(OR($A243="",$I243=""),"",IF($BC243="Y",SUMIFS(survey_frozen!$C$2:$C$251,survey_frozen!$P$2:$P$251,$A243&amp;"|"&amp;$B243),IFERROR(COUNTIFS(INDIRECT("'"&amp;$A243&amp;"'!$B$2:$B$501"),$T243,INDIRECT("'"&amp;$A243&amp;"'!$A$2:$A$501"),"&gt;="&amp;$I243,INDIRECT("'"&amp;$A243&amp;"'!$A$2:$A$501"),"&lt;"&amp;($BA243+1)),0)))</f>
        <v/>
      </c>
      <c r="AM243" s="25">
        <f>IF(OR($A243="",$I243=""),"",IF($BC243="Y",SUMIFS(survey_frozen!$D$2:$D$251,survey_frozen!$P$2:$P$251,$A243&amp;"|"&amp;$B243),IFERROR(COUNTIFS(INDIRECT("'"&amp;$A243&amp;"'!$B$2:$B$501"),$T243,INDIRECT("'"&amp;$A243&amp;"'!$A$2:$A$501"),"&gt;="&amp;$I243,INDIRECT("'"&amp;$A243&amp;"'!$A$2:$A$501"),"&lt;"&amp;($BA243+1),INDIRECT("'"&amp;$A243&amp;"'!$C$2:$C$501"),"Yes"),0)))</f>
        <v/>
      </c>
      <c r="AN243" s="25">
        <f>IF($A243="","",IF(COUNTIFS(scans!$C$2:$C$1601,(IF(LEFT($A243,7)="SAMPLE-","SAMPLE-","")&amp;LOWER(SUBSTITUTE(SUBSTITUTE($A243,"SAMPLE-",""),"CMP-","c"))&amp;"-"&amp;LOWER(SUBSTITUTE(SUBSTITUTE($B243,"SAMPLE-",""),"O-","o"))&amp;"-q"),scans!$D$2:$D$1601,"close")=0,"",SUMPRODUCT(MAX((scans!$C$2:$C$1601=(IF(LEFT($A243,7)="SAMPLE-","SAMPLE-","")&amp;LOWER(SUBSTITUTE(SUBSTITUTE($A243,"SAMPLE-",""),"CMP-","c"))&amp;"-"&amp;LOWER(SUBSTITUTE(SUBSTITUTE($B243,"SAMPLE-",""),"O-","o"))&amp;"-q"))*(scans!$D$2:$D$1601="close")*scans!$E$2:$E$1601))-SUMPRODUCT(MAX((scans!$C$2:$C$1601=(IF(LEFT($A243,7)="SAMPLE-","SAMPLE-","")&amp;LOWER(SUBSTITUTE(SUBSTITUTE($A243,"SAMPLE-",""),"CMP-","c"))&amp;"-"&amp;LOWER(SUBSTITUTE(SUBSTITUTE($B243,"SAMPLE-",""),"O-","o"))&amp;"-q"))*(scans!$D$2:$D$1601="baseline")*scans!$E$2:$E$1601))))</f>
        <v/>
      </c>
      <c r="AO243" s="25">
        <f>IF($A243="","",IF(COUNTIFS(scans!$C$2:$C$1601,(IF(LEFT($A243,7)="SAMPLE-","SAMPLE-","")&amp;LOWER(SUBSTITUTE(SUBSTITUTE($A243,"SAMPLE-",""),"CMP-","c"))&amp;"-"&amp;LOWER(SUBSTITUTE(SUBSTITUTE($B243,"SAMPLE-",""),"O-","o"))&amp;"-p"),scans!$D$2:$D$1601,"close")=0,"",SUMPRODUCT(MAX((scans!$C$2:$C$1601=(IF(LEFT($A243,7)="SAMPLE-","SAMPLE-","")&amp;LOWER(SUBSTITUTE(SUBSTITUTE($A243,"SAMPLE-",""),"CMP-","c"))&amp;"-"&amp;LOWER(SUBSTITUTE(SUBSTITUTE($B243,"SAMPLE-",""),"O-","o"))&amp;"-p"))*(scans!$D$2:$D$1601="close")*scans!$E$2:$E$1601))-SUMPRODUCT(MAX((scans!$C$2:$C$1601=(IF(LEFT($A243,7)="SAMPLE-","SAMPLE-","")&amp;LOWER(SUBSTITUTE(SUBSTITUTE($A243,"SAMPLE-",""),"CMP-","c"))&amp;"-"&amp;LOWER(SUBSTITUTE(SUBSTITUTE($B243,"SAMPLE-",""),"O-","o"))&amp;"-p"))*(scans!$D$2:$D$1601="baseline")*scans!$E$2:$E$1601))))</f>
        <v/>
      </c>
      <c r="AP243" s="25">
        <f>IF($A243="","",IF(COUNTIF(offices!$A$2:$A$61,$B243)=0,"office_id not on offices; ","")&amp;IF(COUNTIF(campaigns!$A$2:$A$51,$A243)=0,"campaign_id not on campaigns; ","")&amp;IF($P243="pending","approval pending; ","")&amp;IF(AND($U243&gt;0,$Y243="",OR($I243="",IF(config!$B$37&lt;&gt;"",config!$B$37,TODAY())&lt;=WORKDAY(N($I243),4,calendar!$A$2:$A$80))),"no usable placement photo yet; ","")&amp;IF(AND($Y243&lt;&gt;"",$Z243=""),"log the placed count; ","")&amp;IF(N($AA243)&gt;N($U243),"placed more than delivered; ","")&amp;IF(AND($AF243&lt;&gt;"",N($AF243)&gt;N($AA243)+N($AD243)),"day-5 count above placed plus top-ups; ","")&amp;IF(AND($U243&gt;0,$I243&lt;&gt;"",IF(config!$B$37&lt;&gt;"",config!$B$37,TODAY())&gt;WORKDAY(N($I243),4,calendar!$A$2:$A$80),$AF243=""),"day-5 count missing; ","")&amp;IF(AND($U243&gt;0,$I243&lt;&gt;"",IF(config!$B$37&lt;&gt;"",config!$B$37,TODAY())&gt;WORKDAY(N($I243),4,calendar!$A$2:$A$80),$AN243=""),"no close link reading; ","")&amp;$R243&amp;IF($P243="N","info: office said no; ","")&amp;IF(AND($P243="Y",$Q243="N"),"info: turned away at the door, so not on the drop (no letter, not in the report or Gate 2; the credit check is on campaigns); ","")&amp;IF(AND($U243&gt;0,$Y243="",$I243&lt;&gt;"",IF(config!$B$37&lt;&gt;"",config!$B$37,TODAY())&gt;WORKDAY(N($I243),4,calendar!$A$2:$A$80)),"info: no usable placement photo, so nothing counts as placed; ","")&amp;IF(AND($U243&gt;0,$I243&lt;&gt;"",IF(config!$B$37&lt;&gt;"",config!$B$37,TODAY())&gt;WORKDAY(N($I243),4,calendar!$A$2:$A$80),N($AL243)&lt;config!$B$30),"info: under "&amp;config!$B$30&amp;" responses; ","")&amp;IF($W243="packing_list","info: delivered count not verified; ",""))</f>
        <v/>
      </c>
      <c r="AQ243" s="25">
        <f>IF(OR($A243="",$I243=""),"",IF($BC243="Y",SUMIFS(survey_frozen!$E$2:$E$251,survey_frozen!$P$2:$P$251,$A243&amp;"|"&amp;$B243),IFERROR(COUNTIFS(INDIRECT("'"&amp;$A243&amp;"'!$B$2:$B$501"),$T243,INDIRECT("'"&amp;$A243&amp;"'!$A$2:$A$501"),"&gt;="&amp;$I243,INDIRECT("'"&amp;$A243&amp;"'!$A$2:$A$501"),"&lt;"&amp;($BA243+1),INDIRECT("'"&amp;$A243&amp;"'!$F$2:$F$501"),"Didn't see it"),0)))</f>
        <v/>
      </c>
      <c r="AR243" s="25">
        <f>IF(OR($A243="",$I243=""),"",IF($BC243="Y",SUMIFS(survey_frozen!$F$2:$F$251,survey_frozen!$P$2:$P$251,$A243&amp;"|"&amp;$B243),IFERROR(COUNTIFS(INDIRECT("'"&amp;$A243&amp;"'!$B$2:$B$501"),$T243,INDIRECT("'"&amp;$A243&amp;"'!$A$2:$A$501"),"&gt;="&amp;$I243,INDIRECT("'"&amp;$A243&amp;"'!$A$2:$A$501"),"&lt;"&amp;($BA243+1),INDIRECT("'"&amp;$A243&amp;"'!$F$2:$F$501"),"Not for me"),0)))</f>
        <v/>
      </c>
      <c r="AS243" s="25">
        <f>IF(OR($A243="",$I243=""),"",IF($BC243="Y",SUMIFS(survey_frozen!$G$2:$G$251,survey_frozen!$P$2:$P$251,$A243&amp;"|"&amp;$B243),IFERROR(COUNTIFS(INDIRECT("'"&amp;$A243&amp;"'!$B$2:$B$501"),$T243,INDIRECT("'"&amp;$A243&amp;"'!$A$2:$A$501"),"&gt;="&amp;$I243,INDIRECT("'"&amp;$A243&amp;"'!$A$2:$A$501"),"&lt;"&amp;($BA243+1),INDIRECT("'"&amp;$A243&amp;"'!$F$2:$F$501"),"Gone by the time I looked"),0)))</f>
        <v/>
      </c>
      <c r="AT243" s="25">
        <f>IF(OR($A243="",$I243=""),"",IF($BC243="Y",SUMIFS(survey_frozen!$H$2:$H$251,survey_frozen!$P$2:$P$251,$A243&amp;"|"&amp;$B243),IFERROR(COUNTIFS(INDIRECT("'"&amp;$A243&amp;"'!$B$2:$B$501"),$T243,INDIRECT("'"&amp;$A243&amp;"'!$A$2:$A$501"),"&gt;="&amp;$I243,INDIRECT("'"&amp;$A243&amp;"'!$A$2:$A$501"),"&lt;"&amp;($BA243+1),INDIRECT("'"&amp;$A243&amp;"'!$D$2:$D$501"),"&gt;=1"),0)))</f>
        <v/>
      </c>
      <c r="AU243" s="25">
        <f>IF(OR($A243="",$I243=""),"",IF($BC243="Y",SUMIFS(survey_frozen!$I$2:$I$251,survey_frozen!$P$2:$P$251,$A243&amp;"|"&amp;$B243),IFERROR(SUMIFS(INDIRECT("'"&amp;$A243&amp;"'!$D$2:$D$501"),INDIRECT("'"&amp;$A243&amp;"'!$B$2:$B$501"),$T243,INDIRECT("'"&amp;$A243&amp;"'!$A$2:$A$501"),"&gt;="&amp;$I243,INDIRECT("'"&amp;$A243&amp;"'!$A$2:$A$501"),"&lt;"&amp;($BA243+1)),0)))</f>
        <v/>
      </c>
      <c r="AV243" s="25">
        <f>IF(OR($A243="",$I243=""),"",IF($BC243="Y",SUMIFS(survey_frozen!$J$2:$J$251,survey_frozen!$P$2:$P$251,$A243&amp;"|"&amp;$B243),IFERROR(COUNTIFS(INDIRECT("'"&amp;$A243&amp;"'!$B$2:$B$501"),$T243,INDIRECT("'"&amp;$A243&amp;"'!$A$2:$A$501"),"&gt;="&amp;$I243,INDIRECT("'"&amp;$A243&amp;"'!$A$2:$A$501"),"&lt;"&amp;($BA243+1),INDIRECT("'"&amp;$A243&amp;"'!$E$2:$E$501"),"Yes"),0)))</f>
        <v/>
      </c>
      <c r="AW243" s="25">
        <f>IF(OR($A243="",$I243=""),"",IF($BC243="Y",SUMIFS(survey_frozen!$K$2:$K$251,survey_frozen!$P$2:$P$251,$A243&amp;"|"&amp;$B243),IFERROR(COUNTIFS(INDIRECT("'"&amp;$A243&amp;"'!$B$2:$B$501"),$T243,INDIRECT("'"&amp;$A243&amp;"'!$A$2:$A$501"),"&gt;="&amp;$I243,INDIRECT("'"&amp;$A243&amp;"'!$A$2:$A$501"),"&lt;"&amp;($BA243+1),INDIRECT("'"&amp;$A243&amp;"'!$E$2:$E$501"),"Maybe"),0)))</f>
        <v/>
      </c>
      <c r="AX243" s="25">
        <f>IF(OR($A243="",$I243=""),"",IF($BC243="Y",SUMIFS(survey_frozen!$L$2:$L$251,survey_frozen!$P$2:$P$251,$A243&amp;"|"&amp;$B243),IFERROR(COUNTIFS(INDIRECT("'"&amp;$A243&amp;"'!$B$2:$B$501"),$T243,INDIRECT("'"&amp;$A243&amp;"'!$A$2:$A$501"),"&gt;="&amp;$I243,INDIRECT("'"&amp;$A243&amp;"'!$A$2:$A$501"),"&lt;"&amp;($BA243+1),INDIRECT("'"&amp;$A243&amp;"'!$E$2:$E$501"),"No"),0)))</f>
        <v/>
      </c>
      <c r="AY243" s="25">
        <f>IF(OR($A243="",$I243=""),"",IF($BC243="Y",SUMIFS(survey_frozen!$M$2:$M$251,survey_frozen!$P$2:$P$251,$A243&amp;"|"&amp;$B243),IFERROR(COUNTIFS(INDIRECT("'"&amp;$A243&amp;"'!$B$2:$B$501"),$T243,INDIRECT("'"&amp;$A243&amp;"'!$A$2:$A$501"),"&gt;="&amp;$I243,INDIRECT("'"&amp;$A243&amp;"'!$A$2:$A$501"),"&lt;"&amp;($BA243+1),INDIRECT("'"&amp;$A243&amp;"'!$G$2:$G$501"),"&lt;&gt;"),0)))</f>
        <v/>
      </c>
      <c r="AZ243" s="25">
        <f>IF($A243="","",$A243&amp;"|"&amp;$L243)</f>
        <v/>
      </c>
      <c r="BA243" s="26">
        <f>IF($A243="","",IFERROR(IF(INDEX(drops!$R$2:$R$21,MATCH($H243,drops!$A$2:$A$21,0))="","",INDEX(drops!$R$2:$R$21,MATCH($H243,drops!$A$2:$A$21,0))),""))</f>
        <v/>
      </c>
      <c r="BB243" s="25">
        <f>IF(OR($A243="",$Q243&lt;&gt;"Y"),1000000,N($AL243))</f>
        <v/>
      </c>
      <c r="BC243" s="25">
        <f>IF($A243="","",IF(COUNTIF(survey_frozen!$P$2:$P$251,$A243&amp;"|"&amp;$B243)&gt;0,"Y",""))</f>
        <v/>
      </c>
    </row>
    <row r="244">
      <c r="C244" s="9" t="n"/>
      <c r="E244" s="9" t="n"/>
      <c r="H244" s="25">
        <f>IF($A244="","",IFERROR(IF(INDEX(campaigns!$B$2:$B$51,MATCH($A244,campaigns!$A$2:$A$51,0))="","",INDEX(campaigns!$B$2:$B$51,MATCH($A244,campaigns!$A$2:$A$51,0))),""))</f>
        <v/>
      </c>
      <c r="I244" s="26">
        <f>IF($A244="","",IFERROR(IF(INDEX(campaigns!$BG$2:$BG$51,MATCH($A244,campaigns!$A$2:$A$51,0))="","",INDEX(campaigns!$BG$2:$BG$51,MATCH($A244,campaigns!$A$2:$A$51,0))),""))</f>
        <v/>
      </c>
      <c r="J244" s="25">
        <f>IF($A244="","",IFERROR(IF(INDEX(campaigns!$BE$2:$BE$51,MATCH($A244,campaigns!$A$2:$A$51,0))="","",INDEX(campaigns!$BE$2:$BE$51,MATCH($A244,campaigns!$A$2:$A$51,0))),""))</f>
        <v/>
      </c>
      <c r="K244" s="25">
        <f>IF($B244="","",IFERROR(IF(INDEX(offices!$N$2:$N$61,MATCH($B244,offices!$A$2:$A$61,0))="","",INDEX(offices!$N$2:$N$61,MATCH($B244,offices!$A$2:$A$61,0))),""))</f>
        <v/>
      </c>
      <c r="L244" s="25">
        <f>IF($A244="","",IF($Q244="N","",COUNTIFS($A$2:$A244,$A244,$Q$2:$Q244,"&lt;&gt;N")))</f>
        <v/>
      </c>
      <c r="M244" s="25">
        <f>IF(OR($A244="",$L244=""),"",IF(AND(config!$B$34="names_if_public",IFERROR(IF(INDEX(offices!$AF$2:$AF$61,MATCH($B244,offices!$A$2:$A$61,0))="","",INDEX(offices!$AF$2:$AF$61,MATCH($B244,offices!$A$2:$A$61,0))),"")="Y"),$K244,CHAR(64+$L244)))</f>
        <v/>
      </c>
      <c r="N244" s="25">
        <f>IF(OR($A244="",$I244=""),"",COUNTIFS(stops!$B$2:$B$151,$B244,stops!$P$2:$P$151,"&lt;"&amp;$I244,stops!$L$2:$L$151,"&lt;&gt;not_delivered")+1)</f>
        <v/>
      </c>
      <c r="O244" s="25">
        <f>IF($A244="","",IF(N($N244)&lt;=config!$B$29,"explicit","opt-out"))</f>
        <v/>
      </c>
      <c r="P244" s="25">
        <f>IF($A244="","",IF($O244="explicit",IF($D244="yes","Y",IF($D244="no","N","pending")),IF($D244="no","N",IF(AND($C244&lt;&gt;"",$I244&lt;&gt;"",$C244&lt;=WORKDAY(N($I244),-5,calendar!$A$2:$A$80)),"Y","pending"))))</f>
        <v/>
      </c>
      <c r="Q244" s="25">
        <f>IF($A244="","",IF($P244="N","N",IF($P244&lt;&gt;"Y","pending",IF(AND((COUNTIFS(stops!$A$2:$A$151,$H244,stops!$B$2:$B$151,$B244,stops!$L$2:$L$151,"declined")+COUNTIFS(stops!$A$2:$A$151,$H244,stops!$B$2:$B$151,$B244,stops!$L$2:$L$151,"building_refused")+COUNTIFS(stops!$A$2:$A$151,$H244,stops!$B$2:$B$151,$B244,stops!$L$2:$L$151,"not_delivered"))&gt;0,N($U244)=0),"N","Y"))))</f>
        <v/>
      </c>
      <c r="R244" s="25">
        <f>IF($A244="","",IF(COUNTIFS($A$2:$A$251,$A244,$B$2:$B$251,$B244)&gt;1,"DUPLICATE ROW; ","")&amp;IF(AND(IFERROR(IF(INDEX(offices!$AC$2:$AC$61,MATCH($B244,offices!$A$2:$A$61,0))="","",INDEX(offices!$AC$2:$AC$61,MATCH($B244,offices!$A$2:$A$61,0))),"")&lt;&gt;"",ISNUMBER(SEARCH($J244,IFERROR(IF(INDEX(offices!$AC$2:$AC$61,MATCH($B244,offices!$A$2:$A$61,0))="","",INDEX(offices!$AC$2:$AC$61,MATCH($B244,offices!$A$2:$A$61,0))),"")))),"BRAND VETOED; ","")&amp;IF(ISNUMBER(SEARCH(IFERROR(IF(INDEX(campaigns!$BF$2:$BF$51,MATCH($A244,campaigns!$A$2:$A$51,0))="","",INDEX(campaigns!$BF$2:$BF$51,MATCH($A244,campaigns!$A$2:$A$51,0))),""),IFERROR(IF(INDEX(offices!$AB$2:$AB$61,MATCH($B244,offices!$A$2:$A$61,0))="","",INDEX(offices!$AB$2:$AB$61,MATCH($B244,offices!$A$2:$A$61,0))),""))),"","info: category not on the office's list; ")&amp;IF(IFERROR(IF(INDEX(offices!$AC$2:$AC$61,MATCH($B244,offices!$A$2:$A$61,0))="","",INDEX(offices!$AC$2:$AC$61,MATCH($B244,offices!$A$2:$A$61,0))),"")&lt;&gt;"","info: read the vetoes against the label; ",""))</f>
        <v/>
      </c>
      <c r="S244" s="25">
        <f>IF($A244="","",IF($G244&lt;&gt;"",$G244,IFERROR(IF(INDEX(offices!$AL$2:$AL$61,MATCH($B244,offices!$A$2:$A$61,0))="","",INDEX(offices!$AL$2:$AL$61,MATCH($B244,offices!$A$2:$A$61,0))),"")))</f>
        <v/>
      </c>
      <c r="T244" s="25">
        <f>IF($A244="","",$A244&amp;"."&amp;$B244)</f>
        <v/>
      </c>
      <c r="U244" s="25">
        <f>IF($A244="","",SUMIFS(inventory!$G$2:$G$801,inventory!$C$2:$C$801,$A244,inventory!$D$2:$D$801,$B244,inventory!$E$2:$E$801,"delivered"))</f>
        <v/>
      </c>
      <c r="V244" s="32">
        <f>IF($A244="","",IFERROR(1/(1/SUMPRODUCT(MAX((inventory!$C$2:$C$801=$A244)*(inventory!$D$2:$D$801=$B244)*(inventory!$E$2:$E$801="delivered")*(inventory!$A$2:$A$801+inventory!$B$2:$B$801)))),""))</f>
        <v/>
      </c>
      <c r="W244" s="25">
        <f>IF($A244="","",IFERROR(IF(INDEX(inventory!$J$2:$J$801,MATCH($A244&amp;"|"&amp;$B244&amp;"|delivered",inventory!$R$2:$R$801,0))="","",INDEX(inventory!$J$2:$J$801,MATCH($A244&amp;"|"&amp;$B244&amp;"|delivered",inventory!$R$2:$R$801,0))),""))</f>
        <v/>
      </c>
      <c r="X244" s="25">
        <f>IF($A244="","",IFERROR(IF(INDEX(photos!$H$2:$H$701,MATCH($A244&amp;"|"&amp;$B244&amp;"|placement|Y",photos!$R$2:$R$701,0))="","",INDEX(photos!$H$2:$H$701,MATCH($A244&amp;"|"&amp;$B244&amp;"|placement|Y",photos!$R$2:$R$701,0))),""))</f>
        <v/>
      </c>
      <c r="Y244" s="26">
        <f>IF($A244="","",IFERROR(IF(INDEX(photos!$E$2:$E$701,MATCH($A244&amp;"|"&amp;$B244&amp;"|placement|Y",photos!$R$2:$R$701,0))="","",INDEX(photos!$E$2:$E$701,MATCH($A244&amp;"|"&amp;$B244&amp;"|placement|Y",photos!$R$2:$R$701,0))),""))</f>
        <v/>
      </c>
      <c r="Z244" s="25">
        <f>IF($A244="","",IF(COUNTIFS(counts!$C$2:$C$701,$A244,counts!$D$2:$D$701,$B244,counts!$E$2:$E$701,"placed")=0,"",SUMIFS(counts!$F$2:$F$701,counts!$C$2:$C$701,$A244,counts!$D$2:$D$701,$B244,counts!$E$2:$E$701,"placed")))</f>
        <v/>
      </c>
      <c r="AA244" s="25">
        <f>IF($A244="","",IF($Y244="",0,N($Z244)))</f>
        <v/>
      </c>
      <c r="AB244" s="25">
        <f>IF($A244="","",IF(OR($Y244="",$I244=""),"N",IF($Y244&lt;=WORKDAY(N($I244),1,calendar!$A$2:$A$80),"Y","N")))</f>
        <v/>
      </c>
      <c r="AC244" s="28">
        <f>IF(OR($A244="",$V244="",$Y244=""),"",ROUND(($Y244+N(IFERROR(IF(INDEX(photos!$F$2:$F$701,MATCH($A244&amp;"|"&amp;$B244&amp;"|placement|Y",photos!$R$2:$R$701,0))="","",INDEX(photos!$F$2:$F$701,MATCH($A244&amp;"|"&amp;$B244&amp;"|placement|Y",photos!$R$2:$R$701,0))),""))-$V244)*24,1))</f>
        <v/>
      </c>
      <c r="AD244" s="25">
        <f>IF($A244="","",SUMIFS(inventory!$G$2:$G$801,inventory!$C$2:$C$801,$A244,inventory!$D$2:$D$801,$B244,inventory!$E$2:$E$801,"topped_up"))</f>
        <v/>
      </c>
      <c r="AE244" s="25">
        <f>IF($A244="","",IF(COUNTIFS(counts!$C$2:$C$701,$A244,counts!$D$2:$D$701,$B244,counts!$E$2:$E$701,"remaining_day3")=0,"",SUMIFS(counts!$F$2:$F$701,counts!$C$2:$C$701,$A244,counts!$D$2:$D$701,$B244,counts!$E$2:$E$701,"remaining_day3")))</f>
        <v/>
      </c>
      <c r="AF244" s="25">
        <f>IF($A244="","",IF(COUNTIFS(counts!$C$2:$C$701,$A244,counts!$D$2:$D$701,$B244,counts!$E$2:$E$701,"remaining_day5")=0,"",SUMIFS(counts!$F$2:$F$701,counts!$C$2:$C$701,$A244,counts!$D$2:$D$701,$B244,counts!$E$2:$E$701,"remaining_day5")))</f>
        <v/>
      </c>
      <c r="AG244" s="25">
        <f>IF(OR($A244="",$AF244=""),"",MAX(0,$AA244+$AD244-$AF244))</f>
        <v/>
      </c>
      <c r="AH244" s="25">
        <f>IF(OR($A244="",$AI244=""),"",IFERROR(IF(INDEX(photos!$H$2:$H$701,MATCH($A244&amp;"|"&amp;$B244&amp;"|later|Y|"&amp;$AI244,photos!$S$2:$S$701,0))="","",INDEX(photos!$H$2:$H$701,MATCH($A244&amp;"|"&amp;$B244&amp;"|later|Y|"&amp;$AI244,photos!$S$2:$S$701,0))),""))</f>
        <v/>
      </c>
      <c r="AI244" s="26">
        <f>IF($A244="","",IFERROR(1/(1/SUMPRODUCT(MAX((photos!$B$2:$B$701=$A244)*(photos!$C$2:$C$701=$B244)*(photos!$D$2:$D$701="later")*(photos!$O$2:$O$701="Y")*photos!$E$2:$E$701))),""))</f>
        <v/>
      </c>
      <c r="AJ244" s="25">
        <f>IF(OR($A244="",$AI244="",$I244=""),"",NETWORKDAYS($I244,$AI244,calendar!$A$2:$A$80))</f>
        <v/>
      </c>
      <c r="AK244" s="25">
        <f>IF($A244="","",IF(AND($X244&lt;&gt;"",$AH244&lt;&gt;""),"Y","N"))</f>
        <v/>
      </c>
      <c r="AL244" s="25">
        <f>IF(OR($A244="",$I244=""),"",IF($BC244="Y",SUMIFS(survey_frozen!$C$2:$C$251,survey_frozen!$P$2:$P$251,$A244&amp;"|"&amp;$B244),IFERROR(COUNTIFS(INDIRECT("'"&amp;$A244&amp;"'!$B$2:$B$501"),$T244,INDIRECT("'"&amp;$A244&amp;"'!$A$2:$A$501"),"&gt;="&amp;$I244,INDIRECT("'"&amp;$A244&amp;"'!$A$2:$A$501"),"&lt;"&amp;($BA244+1)),0)))</f>
        <v/>
      </c>
      <c r="AM244" s="25">
        <f>IF(OR($A244="",$I244=""),"",IF($BC244="Y",SUMIFS(survey_frozen!$D$2:$D$251,survey_frozen!$P$2:$P$251,$A244&amp;"|"&amp;$B244),IFERROR(COUNTIFS(INDIRECT("'"&amp;$A244&amp;"'!$B$2:$B$501"),$T244,INDIRECT("'"&amp;$A244&amp;"'!$A$2:$A$501"),"&gt;="&amp;$I244,INDIRECT("'"&amp;$A244&amp;"'!$A$2:$A$501"),"&lt;"&amp;($BA244+1),INDIRECT("'"&amp;$A244&amp;"'!$C$2:$C$501"),"Yes"),0)))</f>
        <v/>
      </c>
      <c r="AN244" s="25">
        <f>IF($A244="","",IF(COUNTIFS(scans!$C$2:$C$1601,(IF(LEFT($A244,7)="SAMPLE-","SAMPLE-","")&amp;LOWER(SUBSTITUTE(SUBSTITUTE($A244,"SAMPLE-",""),"CMP-","c"))&amp;"-"&amp;LOWER(SUBSTITUTE(SUBSTITUTE($B244,"SAMPLE-",""),"O-","o"))&amp;"-q"),scans!$D$2:$D$1601,"close")=0,"",SUMPRODUCT(MAX((scans!$C$2:$C$1601=(IF(LEFT($A244,7)="SAMPLE-","SAMPLE-","")&amp;LOWER(SUBSTITUTE(SUBSTITUTE($A244,"SAMPLE-",""),"CMP-","c"))&amp;"-"&amp;LOWER(SUBSTITUTE(SUBSTITUTE($B244,"SAMPLE-",""),"O-","o"))&amp;"-q"))*(scans!$D$2:$D$1601="close")*scans!$E$2:$E$1601))-SUMPRODUCT(MAX((scans!$C$2:$C$1601=(IF(LEFT($A244,7)="SAMPLE-","SAMPLE-","")&amp;LOWER(SUBSTITUTE(SUBSTITUTE($A244,"SAMPLE-",""),"CMP-","c"))&amp;"-"&amp;LOWER(SUBSTITUTE(SUBSTITUTE($B244,"SAMPLE-",""),"O-","o"))&amp;"-q"))*(scans!$D$2:$D$1601="baseline")*scans!$E$2:$E$1601))))</f>
        <v/>
      </c>
      <c r="AO244" s="25">
        <f>IF($A244="","",IF(COUNTIFS(scans!$C$2:$C$1601,(IF(LEFT($A244,7)="SAMPLE-","SAMPLE-","")&amp;LOWER(SUBSTITUTE(SUBSTITUTE($A244,"SAMPLE-",""),"CMP-","c"))&amp;"-"&amp;LOWER(SUBSTITUTE(SUBSTITUTE($B244,"SAMPLE-",""),"O-","o"))&amp;"-p"),scans!$D$2:$D$1601,"close")=0,"",SUMPRODUCT(MAX((scans!$C$2:$C$1601=(IF(LEFT($A244,7)="SAMPLE-","SAMPLE-","")&amp;LOWER(SUBSTITUTE(SUBSTITUTE($A244,"SAMPLE-",""),"CMP-","c"))&amp;"-"&amp;LOWER(SUBSTITUTE(SUBSTITUTE($B244,"SAMPLE-",""),"O-","o"))&amp;"-p"))*(scans!$D$2:$D$1601="close")*scans!$E$2:$E$1601))-SUMPRODUCT(MAX((scans!$C$2:$C$1601=(IF(LEFT($A244,7)="SAMPLE-","SAMPLE-","")&amp;LOWER(SUBSTITUTE(SUBSTITUTE($A244,"SAMPLE-",""),"CMP-","c"))&amp;"-"&amp;LOWER(SUBSTITUTE(SUBSTITUTE($B244,"SAMPLE-",""),"O-","o"))&amp;"-p"))*(scans!$D$2:$D$1601="baseline")*scans!$E$2:$E$1601))))</f>
        <v/>
      </c>
      <c r="AP244" s="25">
        <f>IF($A244="","",IF(COUNTIF(offices!$A$2:$A$61,$B244)=0,"office_id not on offices; ","")&amp;IF(COUNTIF(campaigns!$A$2:$A$51,$A244)=0,"campaign_id not on campaigns; ","")&amp;IF($P244="pending","approval pending; ","")&amp;IF(AND($U244&gt;0,$Y244="",OR($I244="",IF(config!$B$37&lt;&gt;"",config!$B$37,TODAY())&lt;=WORKDAY(N($I244),4,calendar!$A$2:$A$80))),"no usable placement photo yet; ","")&amp;IF(AND($Y244&lt;&gt;"",$Z244=""),"log the placed count; ","")&amp;IF(N($AA244)&gt;N($U244),"placed more than delivered; ","")&amp;IF(AND($AF244&lt;&gt;"",N($AF244)&gt;N($AA244)+N($AD244)),"day-5 count above placed plus top-ups; ","")&amp;IF(AND($U244&gt;0,$I244&lt;&gt;"",IF(config!$B$37&lt;&gt;"",config!$B$37,TODAY())&gt;WORKDAY(N($I244),4,calendar!$A$2:$A$80),$AF244=""),"day-5 count missing; ","")&amp;IF(AND($U244&gt;0,$I244&lt;&gt;"",IF(config!$B$37&lt;&gt;"",config!$B$37,TODAY())&gt;WORKDAY(N($I244),4,calendar!$A$2:$A$80),$AN244=""),"no close link reading; ","")&amp;$R244&amp;IF($P244="N","info: office said no; ","")&amp;IF(AND($P244="Y",$Q244="N"),"info: turned away at the door, so not on the drop (no letter, not in the report or Gate 2; the credit check is on campaigns); ","")&amp;IF(AND($U244&gt;0,$Y244="",$I244&lt;&gt;"",IF(config!$B$37&lt;&gt;"",config!$B$37,TODAY())&gt;WORKDAY(N($I244),4,calendar!$A$2:$A$80)),"info: no usable placement photo, so nothing counts as placed; ","")&amp;IF(AND($U244&gt;0,$I244&lt;&gt;"",IF(config!$B$37&lt;&gt;"",config!$B$37,TODAY())&gt;WORKDAY(N($I244),4,calendar!$A$2:$A$80),N($AL244)&lt;config!$B$30),"info: under "&amp;config!$B$30&amp;" responses; ","")&amp;IF($W244="packing_list","info: delivered count not verified; ",""))</f>
        <v/>
      </c>
      <c r="AQ244" s="25">
        <f>IF(OR($A244="",$I244=""),"",IF($BC244="Y",SUMIFS(survey_frozen!$E$2:$E$251,survey_frozen!$P$2:$P$251,$A244&amp;"|"&amp;$B244),IFERROR(COUNTIFS(INDIRECT("'"&amp;$A244&amp;"'!$B$2:$B$501"),$T244,INDIRECT("'"&amp;$A244&amp;"'!$A$2:$A$501"),"&gt;="&amp;$I244,INDIRECT("'"&amp;$A244&amp;"'!$A$2:$A$501"),"&lt;"&amp;($BA244+1),INDIRECT("'"&amp;$A244&amp;"'!$F$2:$F$501"),"Didn't see it"),0)))</f>
        <v/>
      </c>
      <c r="AR244" s="25">
        <f>IF(OR($A244="",$I244=""),"",IF($BC244="Y",SUMIFS(survey_frozen!$F$2:$F$251,survey_frozen!$P$2:$P$251,$A244&amp;"|"&amp;$B244),IFERROR(COUNTIFS(INDIRECT("'"&amp;$A244&amp;"'!$B$2:$B$501"),$T244,INDIRECT("'"&amp;$A244&amp;"'!$A$2:$A$501"),"&gt;="&amp;$I244,INDIRECT("'"&amp;$A244&amp;"'!$A$2:$A$501"),"&lt;"&amp;($BA244+1),INDIRECT("'"&amp;$A244&amp;"'!$F$2:$F$501"),"Not for me"),0)))</f>
        <v/>
      </c>
      <c r="AS244" s="25">
        <f>IF(OR($A244="",$I244=""),"",IF($BC244="Y",SUMIFS(survey_frozen!$G$2:$G$251,survey_frozen!$P$2:$P$251,$A244&amp;"|"&amp;$B244),IFERROR(COUNTIFS(INDIRECT("'"&amp;$A244&amp;"'!$B$2:$B$501"),$T244,INDIRECT("'"&amp;$A244&amp;"'!$A$2:$A$501"),"&gt;="&amp;$I244,INDIRECT("'"&amp;$A244&amp;"'!$A$2:$A$501"),"&lt;"&amp;($BA244+1),INDIRECT("'"&amp;$A244&amp;"'!$F$2:$F$501"),"Gone by the time I looked"),0)))</f>
        <v/>
      </c>
      <c r="AT244" s="25">
        <f>IF(OR($A244="",$I244=""),"",IF($BC244="Y",SUMIFS(survey_frozen!$H$2:$H$251,survey_frozen!$P$2:$P$251,$A244&amp;"|"&amp;$B244),IFERROR(COUNTIFS(INDIRECT("'"&amp;$A244&amp;"'!$B$2:$B$501"),$T244,INDIRECT("'"&amp;$A244&amp;"'!$A$2:$A$501"),"&gt;="&amp;$I244,INDIRECT("'"&amp;$A244&amp;"'!$A$2:$A$501"),"&lt;"&amp;($BA244+1),INDIRECT("'"&amp;$A244&amp;"'!$D$2:$D$501"),"&gt;=1"),0)))</f>
        <v/>
      </c>
      <c r="AU244" s="25">
        <f>IF(OR($A244="",$I244=""),"",IF($BC244="Y",SUMIFS(survey_frozen!$I$2:$I$251,survey_frozen!$P$2:$P$251,$A244&amp;"|"&amp;$B244),IFERROR(SUMIFS(INDIRECT("'"&amp;$A244&amp;"'!$D$2:$D$501"),INDIRECT("'"&amp;$A244&amp;"'!$B$2:$B$501"),$T244,INDIRECT("'"&amp;$A244&amp;"'!$A$2:$A$501"),"&gt;="&amp;$I244,INDIRECT("'"&amp;$A244&amp;"'!$A$2:$A$501"),"&lt;"&amp;($BA244+1)),0)))</f>
        <v/>
      </c>
      <c r="AV244" s="25">
        <f>IF(OR($A244="",$I244=""),"",IF($BC244="Y",SUMIFS(survey_frozen!$J$2:$J$251,survey_frozen!$P$2:$P$251,$A244&amp;"|"&amp;$B244),IFERROR(COUNTIFS(INDIRECT("'"&amp;$A244&amp;"'!$B$2:$B$501"),$T244,INDIRECT("'"&amp;$A244&amp;"'!$A$2:$A$501"),"&gt;="&amp;$I244,INDIRECT("'"&amp;$A244&amp;"'!$A$2:$A$501"),"&lt;"&amp;($BA244+1),INDIRECT("'"&amp;$A244&amp;"'!$E$2:$E$501"),"Yes"),0)))</f>
        <v/>
      </c>
      <c r="AW244" s="25">
        <f>IF(OR($A244="",$I244=""),"",IF($BC244="Y",SUMIFS(survey_frozen!$K$2:$K$251,survey_frozen!$P$2:$P$251,$A244&amp;"|"&amp;$B244),IFERROR(COUNTIFS(INDIRECT("'"&amp;$A244&amp;"'!$B$2:$B$501"),$T244,INDIRECT("'"&amp;$A244&amp;"'!$A$2:$A$501"),"&gt;="&amp;$I244,INDIRECT("'"&amp;$A244&amp;"'!$A$2:$A$501"),"&lt;"&amp;($BA244+1),INDIRECT("'"&amp;$A244&amp;"'!$E$2:$E$501"),"Maybe"),0)))</f>
        <v/>
      </c>
      <c r="AX244" s="25">
        <f>IF(OR($A244="",$I244=""),"",IF($BC244="Y",SUMIFS(survey_frozen!$L$2:$L$251,survey_frozen!$P$2:$P$251,$A244&amp;"|"&amp;$B244),IFERROR(COUNTIFS(INDIRECT("'"&amp;$A244&amp;"'!$B$2:$B$501"),$T244,INDIRECT("'"&amp;$A244&amp;"'!$A$2:$A$501"),"&gt;="&amp;$I244,INDIRECT("'"&amp;$A244&amp;"'!$A$2:$A$501"),"&lt;"&amp;($BA244+1),INDIRECT("'"&amp;$A244&amp;"'!$E$2:$E$501"),"No"),0)))</f>
        <v/>
      </c>
      <c r="AY244" s="25">
        <f>IF(OR($A244="",$I244=""),"",IF($BC244="Y",SUMIFS(survey_frozen!$M$2:$M$251,survey_frozen!$P$2:$P$251,$A244&amp;"|"&amp;$B244),IFERROR(COUNTIFS(INDIRECT("'"&amp;$A244&amp;"'!$B$2:$B$501"),$T244,INDIRECT("'"&amp;$A244&amp;"'!$A$2:$A$501"),"&gt;="&amp;$I244,INDIRECT("'"&amp;$A244&amp;"'!$A$2:$A$501"),"&lt;"&amp;($BA244+1),INDIRECT("'"&amp;$A244&amp;"'!$G$2:$G$501"),"&lt;&gt;"),0)))</f>
        <v/>
      </c>
      <c r="AZ244" s="25">
        <f>IF($A244="","",$A244&amp;"|"&amp;$L244)</f>
        <v/>
      </c>
      <c r="BA244" s="26">
        <f>IF($A244="","",IFERROR(IF(INDEX(drops!$R$2:$R$21,MATCH($H244,drops!$A$2:$A$21,0))="","",INDEX(drops!$R$2:$R$21,MATCH($H244,drops!$A$2:$A$21,0))),""))</f>
        <v/>
      </c>
      <c r="BB244" s="25">
        <f>IF(OR($A244="",$Q244&lt;&gt;"Y"),1000000,N($AL244))</f>
        <v/>
      </c>
      <c r="BC244" s="25">
        <f>IF($A244="","",IF(COUNTIF(survey_frozen!$P$2:$P$251,$A244&amp;"|"&amp;$B244)&gt;0,"Y",""))</f>
        <v/>
      </c>
    </row>
    <row r="245">
      <c r="C245" s="9" t="n"/>
      <c r="E245" s="9" t="n"/>
      <c r="H245" s="25">
        <f>IF($A245="","",IFERROR(IF(INDEX(campaigns!$B$2:$B$51,MATCH($A245,campaigns!$A$2:$A$51,0))="","",INDEX(campaigns!$B$2:$B$51,MATCH($A245,campaigns!$A$2:$A$51,0))),""))</f>
        <v/>
      </c>
      <c r="I245" s="26">
        <f>IF($A245="","",IFERROR(IF(INDEX(campaigns!$BG$2:$BG$51,MATCH($A245,campaigns!$A$2:$A$51,0))="","",INDEX(campaigns!$BG$2:$BG$51,MATCH($A245,campaigns!$A$2:$A$51,0))),""))</f>
        <v/>
      </c>
      <c r="J245" s="25">
        <f>IF($A245="","",IFERROR(IF(INDEX(campaigns!$BE$2:$BE$51,MATCH($A245,campaigns!$A$2:$A$51,0))="","",INDEX(campaigns!$BE$2:$BE$51,MATCH($A245,campaigns!$A$2:$A$51,0))),""))</f>
        <v/>
      </c>
      <c r="K245" s="25">
        <f>IF($B245="","",IFERROR(IF(INDEX(offices!$N$2:$N$61,MATCH($B245,offices!$A$2:$A$61,0))="","",INDEX(offices!$N$2:$N$61,MATCH($B245,offices!$A$2:$A$61,0))),""))</f>
        <v/>
      </c>
      <c r="L245" s="25">
        <f>IF($A245="","",IF($Q245="N","",COUNTIFS($A$2:$A245,$A245,$Q$2:$Q245,"&lt;&gt;N")))</f>
        <v/>
      </c>
      <c r="M245" s="25">
        <f>IF(OR($A245="",$L245=""),"",IF(AND(config!$B$34="names_if_public",IFERROR(IF(INDEX(offices!$AF$2:$AF$61,MATCH($B245,offices!$A$2:$A$61,0))="","",INDEX(offices!$AF$2:$AF$61,MATCH($B245,offices!$A$2:$A$61,0))),"")="Y"),$K245,CHAR(64+$L245)))</f>
        <v/>
      </c>
      <c r="N245" s="25">
        <f>IF(OR($A245="",$I245=""),"",COUNTIFS(stops!$B$2:$B$151,$B245,stops!$P$2:$P$151,"&lt;"&amp;$I245,stops!$L$2:$L$151,"&lt;&gt;not_delivered")+1)</f>
        <v/>
      </c>
      <c r="O245" s="25">
        <f>IF($A245="","",IF(N($N245)&lt;=config!$B$29,"explicit","opt-out"))</f>
        <v/>
      </c>
      <c r="P245" s="25">
        <f>IF($A245="","",IF($O245="explicit",IF($D245="yes","Y",IF($D245="no","N","pending")),IF($D245="no","N",IF(AND($C245&lt;&gt;"",$I245&lt;&gt;"",$C245&lt;=WORKDAY(N($I245),-5,calendar!$A$2:$A$80)),"Y","pending"))))</f>
        <v/>
      </c>
      <c r="Q245" s="25">
        <f>IF($A245="","",IF($P245="N","N",IF($P245&lt;&gt;"Y","pending",IF(AND((COUNTIFS(stops!$A$2:$A$151,$H245,stops!$B$2:$B$151,$B245,stops!$L$2:$L$151,"declined")+COUNTIFS(stops!$A$2:$A$151,$H245,stops!$B$2:$B$151,$B245,stops!$L$2:$L$151,"building_refused")+COUNTIFS(stops!$A$2:$A$151,$H245,stops!$B$2:$B$151,$B245,stops!$L$2:$L$151,"not_delivered"))&gt;0,N($U245)=0),"N","Y"))))</f>
        <v/>
      </c>
      <c r="R245" s="25">
        <f>IF($A245="","",IF(COUNTIFS($A$2:$A$251,$A245,$B$2:$B$251,$B245)&gt;1,"DUPLICATE ROW; ","")&amp;IF(AND(IFERROR(IF(INDEX(offices!$AC$2:$AC$61,MATCH($B245,offices!$A$2:$A$61,0))="","",INDEX(offices!$AC$2:$AC$61,MATCH($B245,offices!$A$2:$A$61,0))),"")&lt;&gt;"",ISNUMBER(SEARCH($J245,IFERROR(IF(INDEX(offices!$AC$2:$AC$61,MATCH($B245,offices!$A$2:$A$61,0))="","",INDEX(offices!$AC$2:$AC$61,MATCH($B245,offices!$A$2:$A$61,0))),"")))),"BRAND VETOED; ","")&amp;IF(ISNUMBER(SEARCH(IFERROR(IF(INDEX(campaigns!$BF$2:$BF$51,MATCH($A245,campaigns!$A$2:$A$51,0))="","",INDEX(campaigns!$BF$2:$BF$51,MATCH($A245,campaigns!$A$2:$A$51,0))),""),IFERROR(IF(INDEX(offices!$AB$2:$AB$61,MATCH($B245,offices!$A$2:$A$61,0))="","",INDEX(offices!$AB$2:$AB$61,MATCH($B245,offices!$A$2:$A$61,0))),""))),"","info: category not on the office's list; ")&amp;IF(IFERROR(IF(INDEX(offices!$AC$2:$AC$61,MATCH($B245,offices!$A$2:$A$61,0))="","",INDEX(offices!$AC$2:$AC$61,MATCH($B245,offices!$A$2:$A$61,0))),"")&lt;&gt;"","info: read the vetoes against the label; ",""))</f>
        <v/>
      </c>
      <c r="S245" s="25">
        <f>IF($A245="","",IF($G245&lt;&gt;"",$G245,IFERROR(IF(INDEX(offices!$AL$2:$AL$61,MATCH($B245,offices!$A$2:$A$61,0))="","",INDEX(offices!$AL$2:$AL$61,MATCH($B245,offices!$A$2:$A$61,0))),"")))</f>
        <v/>
      </c>
      <c r="T245" s="25">
        <f>IF($A245="","",$A245&amp;"."&amp;$B245)</f>
        <v/>
      </c>
      <c r="U245" s="25">
        <f>IF($A245="","",SUMIFS(inventory!$G$2:$G$801,inventory!$C$2:$C$801,$A245,inventory!$D$2:$D$801,$B245,inventory!$E$2:$E$801,"delivered"))</f>
        <v/>
      </c>
      <c r="V245" s="32">
        <f>IF($A245="","",IFERROR(1/(1/SUMPRODUCT(MAX((inventory!$C$2:$C$801=$A245)*(inventory!$D$2:$D$801=$B245)*(inventory!$E$2:$E$801="delivered")*(inventory!$A$2:$A$801+inventory!$B$2:$B$801)))),""))</f>
        <v/>
      </c>
      <c r="W245" s="25">
        <f>IF($A245="","",IFERROR(IF(INDEX(inventory!$J$2:$J$801,MATCH($A245&amp;"|"&amp;$B245&amp;"|delivered",inventory!$R$2:$R$801,0))="","",INDEX(inventory!$J$2:$J$801,MATCH($A245&amp;"|"&amp;$B245&amp;"|delivered",inventory!$R$2:$R$801,0))),""))</f>
        <v/>
      </c>
      <c r="X245" s="25">
        <f>IF($A245="","",IFERROR(IF(INDEX(photos!$H$2:$H$701,MATCH($A245&amp;"|"&amp;$B245&amp;"|placement|Y",photos!$R$2:$R$701,0))="","",INDEX(photos!$H$2:$H$701,MATCH($A245&amp;"|"&amp;$B245&amp;"|placement|Y",photos!$R$2:$R$701,0))),""))</f>
        <v/>
      </c>
      <c r="Y245" s="26">
        <f>IF($A245="","",IFERROR(IF(INDEX(photos!$E$2:$E$701,MATCH($A245&amp;"|"&amp;$B245&amp;"|placement|Y",photos!$R$2:$R$701,0))="","",INDEX(photos!$E$2:$E$701,MATCH($A245&amp;"|"&amp;$B245&amp;"|placement|Y",photos!$R$2:$R$701,0))),""))</f>
        <v/>
      </c>
      <c r="Z245" s="25">
        <f>IF($A245="","",IF(COUNTIFS(counts!$C$2:$C$701,$A245,counts!$D$2:$D$701,$B245,counts!$E$2:$E$701,"placed")=0,"",SUMIFS(counts!$F$2:$F$701,counts!$C$2:$C$701,$A245,counts!$D$2:$D$701,$B245,counts!$E$2:$E$701,"placed")))</f>
        <v/>
      </c>
      <c r="AA245" s="25">
        <f>IF($A245="","",IF($Y245="",0,N($Z245)))</f>
        <v/>
      </c>
      <c r="AB245" s="25">
        <f>IF($A245="","",IF(OR($Y245="",$I245=""),"N",IF($Y245&lt;=WORKDAY(N($I245),1,calendar!$A$2:$A$80),"Y","N")))</f>
        <v/>
      </c>
      <c r="AC245" s="28">
        <f>IF(OR($A245="",$V245="",$Y245=""),"",ROUND(($Y245+N(IFERROR(IF(INDEX(photos!$F$2:$F$701,MATCH($A245&amp;"|"&amp;$B245&amp;"|placement|Y",photos!$R$2:$R$701,0))="","",INDEX(photos!$F$2:$F$701,MATCH($A245&amp;"|"&amp;$B245&amp;"|placement|Y",photos!$R$2:$R$701,0))),""))-$V245)*24,1))</f>
        <v/>
      </c>
      <c r="AD245" s="25">
        <f>IF($A245="","",SUMIFS(inventory!$G$2:$G$801,inventory!$C$2:$C$801,$A245,inventory!$D$2:$D$801,$B245,inventory!$E$2:$E$801,"topped_up"))</f>
        <v/>
      </c>
      <c r="AE245" s="25">
        <f>IF($A245="","",IF(COUNTIFS(counts!$C$2:$C$701,$A245,counts!$D$2:$D$701,$B245,counts!$E$2:$E$701,"remaining_day3")=0,"",SUMIFS(counts!$F$2:$F$701,counts!$C$2:$C$701,$A245,counts!$D$2:$D$701,$B245,counts!$E$2:$E$701,"remaining_day3")))</f>
        <v/>
      </c>
      <c r="AF245" s="25">
        <f>IF($A245="","",IF(COUNTIFS(counts!$C$2:$C$701,$A245,counts!$D$2:$D$701,$B245,counts!$E$2:$E$701,"remaining_day5")=0,"",SUMIFS(counts!$F$2:$F$701,counts!$C$2:$C$701,$A245,counts!$D$2:$D$701,$B245,counts!$E$2:$E$701,"remaining_day5")))</f>
        <v/>
      </c>
      <c r="AG245" s="25">
        <f>IF(OR($A245="",$AF245=""),"",MAX(0,$AA245+$AD245-$AF245))</f>
        <v/>
      </c>
      <c r="AH245" s="25">
        <f>IF(OR($A245="",$AI245=""),"",IFERROR(IF(INDEX(photos!$H$2:$H$701,MATCH($A245&amp;"|"&amp;$B245&amp;"|later|Y|"&amp;$AI245,photos!$S$2:$S$701,0))="","",INDEX(photos!$H$2:$H$701,MATCH($A245&amp;"|"&amp;$B245&amp;"|later|Y|"&amp;$AI245,photos!$S$2:$S$701,0))),""))</f>
        <v/>
      </c>
      <c r="AI245" s="26">
        <f>IF($A245="","",IFERROR(1/(1/SUMPRODUCT(MAX((photos!$B$2:$B$701=$A245)*(photos!$C$2:$C$701=$B245)*(photos!$D$2:$D$701="later")*(photos!$O$2:$O$701="Y")*photos!$E$2:$E$701))),""))</f>
        <v/>
      </c>
      <c r="AJ245" s="25">
        <f>IF(OR($A245="",$AI245="",$I245=""),"",NETWORKDAYS($I245,$AI245,calendar!$A$2:$A$80))</f>
        <v/>
      </c>
      <c r="AK245" s="25">
        <f>IF($A245="","",IF(AND($X245&lt;&gt;"",$AH245&lt;&gt;""),"Y","N"))</f>
        <v/>
      </c>
      <c r="AL245" s="25">
        <f>IF(OR($A245="",$I245=""),"",IF($BC245="Y",SUMIFS(survey_frozen!$C$2:$C$251,survey_frozen!$P$2:$P$251,$A245&amp;"|"&amp;$B245),IFERROR(COUNTIFS(INDIRECT("'"&amp;$A245&amp;"'!$B$2:$B$501"),$T245,INDIRECT("'"&amp;$A245&amp;"'!$A$2:$A$501"),"&gt;="&amp;$I245,INDIRECT("'"&amp;$A245&amp;"'!$A$2:$A$501"),"&lt;"&amp;($BA245+1)),0)))</f>
        <v/>
      </c>
      <c r="AM245" s="25">
        <f>IF(OR($A245="",$I245=""),"",IF($BC245="Y",SUMIFS(survey_frozen!$D$2:$D$251,survey_frozen!$P$2:$P$251,$A245&amp;"|"&amp;$B245),IFERROR(COUNTIFS(INDIRECT("'"&amp;$A245&amp;"'!$B$2:$B$501"),$T245,INDIRECT("'"&amp;$A245&amp;"'!$A$2:$A$501"),"&gt;="&amp;$I245,INDIRECT("'"&amp;$A245&amp;"'!$A$2:$A$501"),"&lt;"&amp;($BA245+1),INDIRECT("'"&amp;$A245&amp;"'!$C$2:$C$501"),"Yes"),0)))</f>
        <v/>
      </c>
      <c r="AN245" s="25">
        <f>IF($A245="","",IF(COUNTIFS(scans!$C$2:$C$1601,(IF(LEFT($A245,7)="SAMPLE-","SAMPLE-","")&amp;LOWER(SUBSTITUTE(SUBSTITUTE($A245,"SAMPLE-",""),"CMP-","c"))&amp;"-"&amp;LOWER(SUBSTITUTE(SUBSTITUTE($B245,"SAMPLE-",""),"O-","o"))&amp;"-q"),scans!$D$2:$D$1601,"close")=0,"",SUMPRODUCT(MAX((scans!$C$2:$C$1601=(IF(LEFT($A245,7)="SAMPLE-","SAMPLE-","")&amp;LOWER(SUBSTITUTE(SUBSTITUTE($A245,"SAMPLE-",""),"CMP-","c"))&amp;"-"&amp;LOWER(SUBSTITUTE(SUBSTITUTE($B245,"SAMPLE-",""),"O-","o"))&amp;"-q"))*(scans!$D$2:$D$1601="close")*scans!$E$2:$E$1601))-SUMPRODUCT(MAX((scans!$C$2:$C$1601=(IF(LEFT($A245,7)="SAMPLE-","SAMPLE-","")&amp;LOWER(SUBSTITUTE(SUBSTITUTE($A245,"SAMPLE-",""),"CMP-","c"))&amp;"-"&amp;LOWER(SUBSTITUTE(SUBSTITUTE($B245,"SAMPLE-",""),"O-","o"))&amp;"-q"))*(scans!$D$2:$D$1601="baseline")*scans!$E$2:$E$1601))))</f>
        <v/>
      </c>
      <c r="AO245" s="25">
        <f>IF($A245="","",IF(COUNTIFS(scans!$C$2:$C$1601,(IF(LEFT($A245,7)="SAMPLE-","SAMPLE-","")&amp;LOWER(SUBSTITUTE(SUBSTITUTE($A245,"SAMPLE-",""),"CMP-","c"))&amp;"-"&amp;LOWER(SUBSTITUTE(SUBSTITUTE($B245,"SAMPLE-",""),"O-","o"))&amp;"-p"),scans!$D$2:$D$1601,"close")=0,"",SUMPRODUCT(MAX((scans!$C$2:$C$1601=(IF(LEFT($A245,7)="SAMPLE-","SAMPLE-","")&amp;LOWER(SUBSTITUTE(SUBSTITUTE($A245,"SAMPLE-",""),"CMP-","c"))&amp;"-"&amp;LOWER(SUBSTITUTE(SUBSTITUTE($B245,"SAMPLE-",""),"O-","o"))&amp;"-p"))*(scans!$D$2:$D$1601="close")*scans!$E$2:$E$1601))-SUMPRODUCT(MAX((scans!$C$2:$C$1601=(IF(LEFT($A245,7)="SAMPLE-","SAMPLE-","")&amp;LOWER(SUBSTITUTE(SUBSTITUTE($A245,"SAMPLE-",""),"CMP-","c"))&amp;"-"&amp;LOWER(SUBSTITUTE(SUBSTITUTE($B245,"SAMPLE-",""),"O-","o"))&amp;"-p"))*(scans!$D$2:$D$1601="baseline")*scans!$E$2:$E$1601))))</f>
        <v/>
      </c>
      <c r="AP245" s="25">
        <f>IF($A245="","",IF(COUNTIF(offices!$A$2:$A$61,$B245)=0,"office_id not on offices; ","")&amp;IF(COUNTIF(campaigns!$A$2:$A$51,$A245)=0,"campaign_id not on campaigns; ","")&amp;IF($P245="pending","approval pending; ","")&amp;IF(AND($U245&gt;0,$Y245="",OR($I245="",IF(config!$B$37&lt;&gt;"",config!$B$37,TODAY())&lt;=WORKDAY(N($I245),4,calendar!$A$2:$A$80))),"no usable placement photo yet; ","")&amp;IF(AND($Y245&lt;&gt;"",$Z245=""),"log the placed count; ","")&amp;IF(N($AA245)&gt;N($U245),"placed more than delivered; ","")&amp;IF(AND($AF245&lt;&gt;"",N($AF245)&gt;N($AA245)+N($AD245)),"day-5 count above placed plus top-ups; ","")&amp;IF(AND($U245&gt;0,$I245&lt;&gt;"",IF(config!$B$37&lt;&gt;"",config!$B$37,TODAY())&gt;WORKDAY(N($I245),4,calendar!$A$2:$A$80),$AF245=""),"day-5 count missing; ","")&amp;IF(AND($U245&gt;0,$I245&lt;&gt;"",IF(config!$B$37&lt;&gt;"",config!$B$37,TODAY())&gt;WORKDAY(N($I245),4,calendar!$A$2:$A$80),$AN245=""),"no close link reading; ","")&amp;$R245&amp;IF($P245="N","info: office said no; ","")&amp;IF(AND($P245="Y",$Q245="N"),"info: turned away at the door, so not on the drop (no letter, not in the report or Gate 2; the credit check is on campaigns); ","")&amp;IF(AND($U245&gt;0,$Y245="",$I245&lt;&gt;"",IF(config!$B$37&lt;&gt;"",config!$B$37,TODAY())&gt;WORKDAY(N($I245),4,calendar!$A$2:$A$80)),"info: no usable placement photo, so nothing counts as placed; ","")&amp;IF(AND($U245&gt;0,$I245&lt;&gt;"",IF(config!$B$37&lt;&gt;"",config!$B$37,TODAY())&gt;WORKDAY(N($I245),4,calendar!$A$2:$A$80),N($AL245)&lt;config!$B$30),"info: under "&amp;config!$B$30&amp;" responses; ","")&amp;IF($W245="packing_list","info: delivered count not verified; ",""))</f>
        <v/>
      </c>
      <c r="AQ245" s="25">
        <f>IF(OR($A245="",$I245=""),"",IF($BC245="Y",SUMIFS(survey_frozen!$E$2:$E$251,survey_frozen!$P$2:$P$251,$A245&amp;"|"&amp;$B245),IFERROR(COUNTIFS(INDIRECT("'"&amp;$A245&amp;"'!$B$2:$B$501"),$T245,INDIRECT("'"&amp;$A245&amp;"'!$A$2:$A$501"),"&gt;="&amp;$I245,INDIRECT("'"&amp;$A245&amp;"'!$A$2:$A$501"),"&lt;"&amp;($BA245+1),INDIRECT("'"&amp;$A245&amp;"'!$F$2:$F$501"),"Didn't see it"),0)))</f>
        <v/>
      </c>
      <c r="AR245" s="25">
        <f>IF(OR($A245="",$I245=""),"",IF($BC245="Y",SUMIFS(survey_frozen!$F$2:$F$251,survey_frozen!$P$2:$P$251,$A245&amp;"|"&amp;$B245),IFERROR(COUNTIFS(INDIRECT("'"&amp;$A245&amp;"'!$B$2:$B$501"),$T245,INDIRECT("'"&amp;$A245&amp;"'!$A$2:$A$501"),"&gt;="&amp;$I245,INDIRECT("'"&amp;$A245&amp;"'!$A$2:$A$501"),"&lt;"&amp;($BA245+1),INDIRECT("'"&amp;$A245&amp;"'!$F$2:$F$501"),"Not for me"),0)))</f>
        <v/>
      </c>
      <c r="AS245" s="25">
        <f>IF(OR($A245="",$I245=""),"",IF($BC245="Y",SUMIFS(survey_frozen!$G$2:$G$251,survey_frozen!$P$2:$P$251,$A245&amp;"|"&amp;$B245),IFERROR(COUNTIFS(INDIRECT("'"&amp;$A245&amp;"'!$B$2:$B$501"),$T245,INDIRECT("'"&amp;$A245&amp;"'!$A$2:$A$501"),"&gt;="&amp;$I245,INDIRECT("'"&amp;$A245&amp;"'!$A$2:$A$501"),"&lt;"&amp;($BA245+1),INDIRECT("'"&amp;$A245&amp;"'!$F$2:$F$501"),"Gone by the time I looked"),0)))</f>
        <v/>
      </c>
      <c r="AT245" s="25">
        <f>IF(OR($A245="",$I245=""),"",IF($BC245="Y",SUMIFS(survey_frozen!$H$2:$H$251,survey_frozen!$P$2:$P$251,$A245&amp;"|"&amp;$B245),IFERROR(COUNTIFS(INDIRECT("'"&amp;$A245&amp;"'!$B$2:$B$501"),$T245,INDIRECT("'"&amp;$A245&amp;"'!$A$2:$A$501"),"&gt;="&amp;$I245,INDIRECT("'"&amp;$A245&amp;"'!$A$2:$A$501"),"&lt;"&amp;($BA245+1),INDIRECT("'"&amp;$A245&amp;"'!$D$2:$D$501"),"&gt;=1"),0)))</f>
        <v/>
      </c>
      <c r="AU245" s="25">
        <f>IF(OR($A245="",$I245=""),"",IF($BC245="Y",SUMIFS(survey_frozen!$I$2:$I$251,survey_frozen!$P$2:$P$251,$A245&amp;"|"&amp;$B245),IFERROR(SUMIFS(INDIRECT("'"&amp;$A245&amp;"'!$D$2:$D$501"),INDIRECT("'"&amp;$A245&amp;"'!$B$2:$B$501"),$T245,INDIRECT("'"&amp;$A245&amp;"'!$A$2:$A$501"),"&gt;="&amp;$I245,INDIRECT("'"&amp;$A245&amp;"'!$A$2:$A$501"),"&lt;"&amp;($BA245+1)),0)))</f>
        <v/>
      </c>
      <c r="AV245" s="25">
        <f>IF(OR($A245="",$I245=""),"",IF($BC245="Y",SUMIFS(survey_frozen!$J$2:$J$251,survey_frozen!$P$2:$P$251,$A245&amp;"|"&amp;$B245),IFERROR(COUNTIFS(INDIRECT("'"&amp;$A245&amp;"'!$B$2:$B$501"),$T245,INDIRECT("'"&amp;$A245&amp;"'!$A$2:$A$501"),"&gt;="&amp;$I245,INDIRECT("'"&amp;$A245&amp;"'!$A$2:$A$501"),"&lt;"&amp;($BA245+1),INDIRECT("'"&amp;$A245&amp;"'!$E$2:$E$501"),"Yes"),0)))</f>
        <v/>
      </c>
      <c r="AW245" s="25">
        <f>IF(OR($A245="",$I245=""),"",IF($BC245="Y",SUMIFS(survey_frozen!$K$2:$K$251,survey_frozen!$P$2:$P$251,$A245&amp;"|"&amp;$B245),IFERROR(COUNTIFS(INDIRECT("'"&amp;$A245&amp;"'!$B$2:$B$501"),$T245,INDIRECT("'"&amp;$A245&amp;"'!$A$2:$A$501"),"&gt;="&amp;$I245,INDIRECT("'"&amp;$A245&amp;"'!$A$2:$A$501"),"&lt;"&amp;($BA245+1),INDIRECT("'"&amp;$A245&amp;"'!$E$2:$E$501"),"Maybe"),0)))</f>
        <v/>
      </c>
      <c r="AX245" s="25">
        <f>IF(OR($A245="",$I245=""),"",IF($BC245="Y",SUMIFS(survey_frozen!$L$2:$L$251,survey_frozen!$P$2:$P$251,$A245&amp;"|"&amp;$B245),IFERROR(COUNTIFS(INDIRECT("'"&amp;$A245&amp;"'!$B$2:$B$501"),$T245,INDIRECT("'"&amp;$A245&amp;"'!$A$2:$A$501"),"&gt;="&amp;$I245,INDIRECT("'"&amp;$A245&amp;"'!$A$2:$A$501"),"&lt;"&amp;($BA245+1),INDIRECT("'"&amp;$A245&amp;"'!$E$2:$E$501"),"No"),0)))</f>
        <v/>
      </c>
      <c r="AY245" s="25">
        <f>IF(OR($A245="",$I245=""),"",IF($BC245="Y",SUMIFS(survey_frozen!$M$2:$M$251,survey_frozen!$P$2:$P$251,$A245&amp;"|"&amp;$B245),IFERROR(COUNTIFS(INDIRECT("'"&amp;$A245&amp;"'!$B$2:$B$501"),$T245,INDIRECT("'"&amp;$A245&amp;"'!$A$2:$A$501"),"&gt;="&amp;$I245,INDIRECT("'"&amp;$A245&amp;"'!$A$2:$A$501"),"&lt;"&amp;($BA245+1),INDIRECT("'"&amp;$A245&amp;"'!$G$2:$G$501"),"&lt;&gt;"),0)))</f>
        <v/>
      </c>
      <c r="AZ245" s="25">
        <f>IF($A245="","",$A245&amp;"|"&amp;$L245)</f>
        <v/>
      </c>
      <c r="BA245" s="26">
        <f>IF($A245="","",IFERROR(IF(INDEX(drops!$R$2:$R$21,MATCH($H245,drops!$A$2:$A$21,0))="","",INDEX(drops!$R$2:$R$21,MATCH($H245,drops!$A$2:$A$21,0))),""))</f>
        <v/>
      </c>
      <c r="BB245" s="25">
        <f>IF(OR($A245="",$Q245&lt;&gt;"Y"),1000000,N($AL245))</f>
        <v/>
      </c>
      <c r="BC245" s="25">
        <f>IF($A245="","",IF(COUNTIF(survey_frozen!$P$2:$P$251,$A245&amp;"|"&amp;$B245)&gt;0,"Y",""))</f>
        <v/>
      </c>
    </row>
    <row r="246">
      <c r="C246" s="9" t="n"/>
      <c r="E246" s="9" t="n"/>
      <c r="H246" s="25">
        <f>IF($A246="","",IFERROR(IF(INDEX(campaigns!$B$2:$B$51,MATCH($A246,campaigns!$A$2:$A$51,0))="","",INDEX(campaigns!$B$2:$B$51,MATCH($A246,campaigns!$A$2:$A$51,0))),""))</f>
        <v/>
      </c>
      <c r="I246" s="26">
        <f>IF($A246="","",IFERROR(IF(INDEX(campaigns!$BG$2:$BG$51,MATCH($A246,campaigns!$A$2:$A$51,0))="","",INDEX(campaigns!$BG$2:$BG$51,MATCH($A246,campaigns!$A$2:$A$51,0))),""))</f>
        <v/>
      </c>
      <c r="J246" s="25">
        <f>IF($A246="","",IFERROR(IF(INDEX(campaigns!$BE$2:$BE$51,MATCH($A246,campaigns!$A$2:$A$51,0))="","",INDEX(campaigns!$BE$2:$BE$51,MATCH($A246,campaigns!$A$2:$A$51,0))),""))</f>
        <v/>
      </c>
      <c r="K246" s="25">
        <f>IF($B246="","",IFERROR(IF(INDEX(offices!$N$2:$N$61,MATCH($B246,offices!$A$2:$A$61,0))="","",INDEX(offices!$N$2:$N$61,MATCH($B246,offices!$A$2:$A$61,0))),""))</f>
        <v/>
      </c>
      <c r="L246" s="25">
        <f>IF($A246="","",IF($Q246="N","",COUNTIFS($A$2:$A246,$A246,$Q$2:$Q246,"&lt;&gt;N")))</f>
        <v/>
      </c>
      <c r="M246" s="25">
        <f>IF(OR($A246="",$L246=""),"",IF(AND(config!$B$34="names_if_public",IFERROR(IF(INDEX(offices!$AF$2:$AF$61,MATCH($B246,offices!$A$2:$A$61,0))="","",INDEX(offices!$AF$2:$AF$61,MATCH($B246,offices!$A$2:$A$61,0))),"")="Y"),$K246,CHAR(64+$L246)))</f>
        <v/>
      </c>
      <c r="N246" s="25">
        <f>IF(OR($A246="",$I246=""),"",COUNTIFS(stops!$B$2:$B$151,$B246,stops!$P$2:$P$151,"&lt;"&amp;$I246,stops!$L$2:$L$151,"&lt;&gt;not_delivered")+1)</f>
        <v/>
      </c>
      <c r="O246" s="25">
        <f>IF($A246="","",IF(N($N246)&lt;=config!$B$29,"explicit","opt-out"))</f>
        <v/>
      </c>
      <c r="P246" s="25">
        <f>IF($A246="","",IF($O246="explicit",IF($D246="yes","Y",IF($D246="no","N","pending")),IF($D246="no","N",IF(AND($C246&lt;&gt;"",$I246&lt;&gt;"",$C246&lt;=WORKDAY(N($I246),-5,calendar!$A$2:$A$80)),"Y","pending"))))</f>
        <v/>
      </c>
      <c r="Q246" s="25">
        <f>IF($A246="","",IF($P246="N","N",IF($P246&lt;&gt;"Y","pending",IF(AND((COUNTIFS(stops!$A$2:$A$151,$H246,stops!$B$2:$B$151,$B246,stops!$L$2:$L$151,"declined")+COUNTIFS(stops!$A$2:$A$151,$H246,stops!$B$2:$B$151,$B246,stops!$L$2:$L$151,"building_refused")+COUNTIFS(stops!$A$2:$A$151,$H246,stops!$B$2:$B$151,$B246,stops!$L$2:$L$151,"not_delivered"))&gt;0,N($U246)=0),"N","Y"))))</f>
        <v/>
      </c>
      <c r="R246" s="25">
        <f>IF($A246="","",IF(COUNTIFS($A$2:$A$251,$A246,$B$2:$B$251,$B246)&gt;1,"DUPLICATE ROW; ","")&amp;IF(AND(IFERROR(IF(INDEX(offices!$AC$2:$AC$61,MATCH($B246,offices!$A$2:$A$61,0))="","",INDEX(offices!$AC$2:$AC$61,MATCH($B246,offices!$A$2:$A$61,0))),"")&lt;&gt;"",ISNUMBER(SEARCH($J246,IFERROR(IF(INDEX(offices!$AC$2:$AC$61,MATCH($B246,offices!$A$2:$A$61,0))="","",INDEX(offices!$AC$2:$AC$61,MATCH($B246,offices!$A$2:$A$61,0))),"")))),"BRAND VETOED; ","")&amp;IF(ISNUMBER(SEARCH(IFERROR(IF(INDEX(campaigns!$BF$2:$BF$51,MATCH($A246,campaigns!$A$2:$A$51,0))="","",INDEX(campaigns!$BF$2:$BF$51,MATCH($A246,campaigns!$A$2:$A$51,0))),""),IFERROR(IF(INDEX(offices!$AB$2:$AB$61,MATCH($B246,offices!$A$2:$A$61,0))="","",INDEX(offices!$AB$2:$AB$61,MATCH($B246,offices!$A$2:$A$61,0))),""))),"","info: category not on the office's list; ")&amp;IF(IFERROR(IF(INDEX(offices!$AC$2:$AC$61,MATCH($B246,offices!$A$2:$A$61,0))="","",INDEX(offices!$AC$2:$AC$61,MATCH($B246,offices!$A$2:$A$61,0))),"")&lt;&gt;"","info: read the vetoes against the label; ",""))</f>
        <v/>
      </c>
      <c r="S246" s="25">
        <f>IF($A246="","",IF($G246&lt;&gt;"",$G246,IFERROR(IF(INDEX(offices!$AL$2:$AL$61,MATCH($B246,offices!$A$2:$A$61,0))="","",INDEX(offices!$AL$2:$AL$61,MATCH($B246,offices!$A$2:$A$61,0))),"")))</f>
        <v/>
      </c>
      <c r="T246" s="25">
        <f>IF($A246="","",$A246&amp;"."&amp;$B246)</f>
        <v/>
      </c>
      <c r="U246" s="25">
        <f>IF($A246="","",SUMIFS(inventory!$G$2:$G$801,inventory!$C$2:$C$801,$A246,inventory!$D$2:$D$801,$B246,inventory!$E$2:$E$801,"delivered"))</f>
        <v/>
      </c>
      <c r="V246" s="32">
        <f>IF($A246="","",IFERROR(1/(1/SUMPRODUCT(MAX((inventory!$C$2:$C$801=$A246)*(inventory!$D$2:$D$801=$B246)*(inventory!$E$2:$E$801="delivered")*(inventory!$A$2:$A$801+inventory!$B$2:$B$801)))),""))</f>
        <v/>
      </c>
      <c r="W246" s="25">
        <f>IF($A246="","",IFERROR(IF(INDEX(inventory!$J$2:$J$801,MATCH($A246&amp;"|"&amp;$B246&amp;"|delivered",inventory!$R$2:$R$801,0))="","",INDEX(inventory!$J$2:$J$801,MATCH($A246&amp;"|"&amp;$B246&amp;"|delivered",inventory!$R$2:$R$801,0))),""))</f>
        <v/>
      </c>
      <c r="X246" s="25">
        <f>IF($A246="","",IFERROR(IF(INDEX(photos!$H$2:$H$701,MATCH($A246&amp;"|"&amp;$B246&amp;"|placement|Y",photos!$R$2:$R$701,0))="","",INDEX(photos!$H$2:$H$701,MATCH($A246&amp;"|"&amp;$B246&amp;"|placement|Y",photos!$R$2:$R$701,0))),""))</f>
        <v/>
      </c>
      <c r="Y246" s="26">
        <f>IF($A246="","",IFERROR(IF(INDEX(photos!$E$2:$E$701,MATCH($A246&amp;"|"&amp;$B246&amp;"|placement|Y",photos!$R$2:$R$701,0))="","",INDEX(photos!$E$2:$E$701,MATCH($A246&amp;"|"&amp;$B246&amp;"|placement|Y",photos!$R$2:$R$701,0))),""))</f>
        <v/>
      </c>
      <c r="Z246" s="25">
        <f>IF($A246="","",IF(COUNTIFS(counts!$C$2:$C$701,$A246,counts!$D$2:$D$701,$B246,counts!$E$2:$E$701,"placed")=0,"",SUMIFS(counts!$F$2:$F$701,counts!$C$2:$C$701,$A246,counts!$D$2:$D$701,$B246,counts!$E$2:$E$701,"placed")))</f>
        <v/>
      </c>
      <c r="AA246" s="25">
        <f>IF($A246="","",IF($Y246="",0,N($Z246)))</f>
        <v/>
      </c>
      <c r="AB246" s="25">
        <f>IF($A246="","",IF(OR($Y246="",$I246=""),"N",IF($Y246&lt;=WORKDAY(N($I246),1,calendar!$A$2:$A$80),"Y","N")))</f>
        <v/>
      </c>
      <c r="AC246" s="28">
        <f>IF(OR($A246="",$V246="",$Y246=""),"",ROUND(($Y246+N(IFERROR(IF(INDEX(photos!$F$2:$F$701,MATCH($A246&amp;"|"&amp;$B246&amp;"|placement|Y",photos!$R$2:$R$701,0))="","",INDEX(photos!$F$2:$F$701,MATCH($A246&amp;"|"&amp;$B246&amp;"|placement|Y",photos!$R$2:$R$701,0))),""))-$V246)*24,1))</f>
        <v/>
      </c>
      <c r="AD246" s="25">
        <f>IF($A246="","",SUMIFS(inventory!$G$2:$G$801,inventory!$C$2:$C$801,$A246,inventory!$D$2:$D$801,$B246,inventory!$E$2:$E$801,"topped_up"))</f>
        <v/>
      </c>
      <c r="AE246" s="25">
        <f>IF($A246="","",IF(COUNTIFS(counts!$C$2:$C$701,$A246,counts!$D$2:$D$701,$B246,counts!$E$2:$E$701,"remaining_day3")=0,"",SUMIFS(counts!$F$2:$F$701,counts!$C$2:$C$701,$A246,counts!$D$2:$D$701,$B246,counts!$E$2:$E$701,"remaining_day3")))</f>
        <v/>
      </c>
      <c r="AF246" s="25">
        <f>IF($A246="","",IF(COUNTIFS(counts!$C$2:$C$701,$A246,counts!$D$2:$D$701,$B246,counts!$E$2:$E$701,"remaining_day5")=0,"",SUMIFS(counts!$F$2:$F$701,counts!$C$2:$C$701,$A246,counts!$D$2:$D$701,$B246,counts!$E$2:$E$701,"remaining_day5")))</f>
        <v/>
      </c>
      <c r="AG246" s="25">
        <f>IF(OR($A246="",$AF246=""),"",MAX(0,$AA246+$AD246-$AF246))</f>
        <v/>
      </c>
      <c r="AH246" s="25">
        <f>IF(OR($A246="",$AI246=""),"",IFERROR(IF(INDEX(photos!$H$2:$H$701,MATCH($A246&amp;"|"&amp;$B246&amp;"|later|Y|"&amp;$AI246,photos!$S$2:$S$701,0))="","",INDEX(photos!$H$2:$H$701,MATCH($A246&amp;"|"&amp;$B246&amp;"|later|Y|"&amp;$AI246,photos!$S$2:$S$701,0))),""))</f>
        <v/>
      </c>
      <c r="AI246" s="26">
        <f>IF($A246="","",IFERROR(1/(1/SUMPRODUCT(MAX((photos!$B$2:$B$701=$A246)*(photos!$C$2:$C$701=$B246)*(photos!$D$2:$D$701="later")*(photos!$O$2:$O$701="Y")*photos!$E$2:$E$701))),""))</f>
        <v/>
      </c>
      <c r="AJ246" s="25">
        <f>IF(OR($A246="",$AI246="",$I246=""),"",NETWORKDAYS($I246,$AI246,calendar!$A$2:$A$80))</f>
        <v/>
      </c>
      <c r="AK246" s="25">
        <f>IF($A246="","",IF(AND($X246&lt;&gt;"",$AH246&lt;&gt;""),"Y","N"))</f>
        <v/>
      </c>
      <c r="AL246" s="25">
        <f>IF(OR($A246="",$I246=""),"",IF($BC246="Y",SUMIFS(survey_frozen!$C$2:$C$251,survey_frozen!$P$2:$P$251,$A246&amp;"|"&amp;$B246),IFERROR(COUNTIFS(INDIRECT("'"&amp;$A246&amp;"'!$B$2:$B$501"),$T246,INDIRECT("'"&amp;$A246&amp;"'!$A$2:$A$501"),"&gt;="&amp;$I246,INDIRECT("'"&amp;$A246&amp;"'!$A$2:$A$501"),"&lt;"&amp;($BA246+1)),0)))</f>
        <v/>
      </c>
      <c r="AM246" s="25">
        <f>IF(OR($A246="",$I246=""),"",IF($BC246="Y",SUMIFS(survey_frozen!$D$2:$D$251,survey_frozen!$P$2:$P$251,$A246&amp;"|"&amp;$B246),IFERROR(COUNTIFS(INDIRECT("'"&amp;$A246&amp;"'!$B$2:$B$501"),$T246,INDIRECT("'"&amp;$A246&amp;"'!$A$2:$A$501"),"&gt;="&amp;$I246,INDIRECT("'"&amp;$A246&amp;"'!$A$2:$A$501"),"&lt;"&amp;($BA246+1),INDIRECT("'"&amp;$A246&amp;"'!$C$2:$C$501"),"Yes"),0)))</f>
        <v/>
      </c>
      <c r="AN246" s="25">
        <f>IF($A246="","",IF(COUNTIFS(scans!$C$2:$C$1601,(IF(LEFT($A246,7)="SAMPLE-","SAMPLE-","")&amp;LOWER(SUBSTITUTE(SUBSTITUTE($A246,"SAMPLE-",""),"CMP-","c"))&amp;"-"&amp;LOWER(SUBSTITUTE(SUBSTITUTE($B246,"SAMPLE-",""),"O-","o"))&amp;"-q"),scans!$D$2:$D$1601,"close")=0,"",SUMPRODUCT(MAX((scans!$C$2:$C$1601=(IF(LEFT($A246,7)="SAMPLE-","SAMPLE-","")&amp;LOWER(SUBSTITUTE(SUBSTITUTE($A246,"SAMPLE-",""),"CMP-","c"))&amp;"-"&amp;LOWER(SUBSTITUTE(SUBSTITUTE($B246,"SAMPLE-",""),"O-","o"))&amp;"-q"))*(scans!$D$2:$D$1601="close")*scans!$E$2:$E$1601))-SUMPRODUCT(MAX((scans!$C$2:$C$1601=(IF(LEFT($A246,7)="SAMPLE-","SAMPLE-","")&amp;LOWER(SUBSTITUTE(SUBSTITUTE($A246,"SAMPLE-",""),"CMP-","c"))&amp;"-"&amp;LOWER(SUBSTITUTE(SUBSTITUTE($B246,"SAMPLE-",""),"O-","o"))&amp;"-q"))*(scans!$D$2:$D$1601="baseline")*scans!$E$2:$E$1601))))</f>
        <v/>
      </c>
      <c r="AO246" s="25">
        <f>IF($A246="","",IF(COUNTIFS(scans!$C$2:$C$1601,(IF(LEFT($A246,7)="SAMPLE-","SAMPLE-","")&amp;LOWER(SUBSTITUTE(SUBSTITUTE($A246,"SAMPLE-",""),"CMP-","c"))&amp;"-"&amp;LOWER(SUBSTITUTE(SUBSTITUTE($B246,"SAMPLE-",""),"O-","o"))&amp;"-p"),scans!$D$2:$D$1601,"close")=0,"",SUMPRODUCT(MAX((scans!$C$2:$C$1601=(IF(LEFT($A246,7)="SAMPLE-","SAMPLE-","")&amp;LOWER(SUBSTITUTE(SUBSTITUTE($A246,"SAMPLE-",""),"CMP-","c"))&amp;"-"&amp;LOWER(SUBSTITUTE(SUBSTITUTE($B246,"SAMPLE-",""),"O-","o"))&amp;"-p"))*(scans!$D$2:$D$1601="close")*scans!$E$2:$E$1601))-SUMPRODUCT(MAX((scans!$C$2:$C$1601=(IF(LEFT($A246,7)="SAMPLE-","SAMPLE-","")&amp;LOWER(SUBSTITUTE(SUBSTITUTE($A246,"SAMPLE-",""),"CMP-","c"))&amp;"-"&amp;LOWER(SUBSTITUTE(SUBSTITUTE($B246,"SAMPLE-",""),"O-","o"))&amp;"-p"))*(scans!$D$2:$D$1601="baseline")*scans!$E$2:$E$1601))))</f>
        <v/>
      </c>
      <c r="AP246" s="25">
        <f>IF($A246="","",IF(COUNTIF(offices!$A$2:$A$61,$B246)=0,"office_id not on offices; ","")&amp;IF(COUNTIF(campaigns!$A$2:$A$51,$A246)=0,"campaign_id not on campaigns; ","")&amp;IF($P246="pending","approval pending; ","")&amp;IF(AND($U246&gt;0,$Y246="",OR($I246="",IF(config!$B$37&lt;&gt;"",config!$B$37,TODAY())&lt;=WORKDAY(N($I246),4,calendar!$A$2:$A$80))),"no usable placement photo yet; ","")&amp;IF(AND($Y246&lt;&gt;"",$Z246=""),"log the placed count; ","")&amp;IF(N($AA246)&gt;N($U246),"placed more than delivered; ","")&amp;IF(AND($AF246&lt;&gt;"",N($AF246)&gt;N($AA246)+N($AD246)),"day-5 count above placed plus top-ups; ","")&amp;IF(AND($U246&gt;0,$I246&lt;&gt;"",IF(config!$B$37&lt;&gt;"",config!$B$37,TODAY())&gt;WORKDAY(N($I246),4,calendar!$A$2:$A$80),$AF246=""),"day-5 count missing; ","")&amp;IF(AND($U246&gt;0,$I246&lt;&gt;"",IF(config!$B$37&lt;&gt;"",config!$B$37,TODAY())&gt;WORKDAY(N($I246),4,calendar!$A$2:$A$80),$AN246=""),"no close link reading; ","")&amp;$R246&amp;IF($P246="N","info: office said no; ","")&amp;IF(AND($P246="Y",$Q246="N"),"info: turned away at the door, so not on the drop (no letter, not in the report or Gate 2; the credit check is on campaigns); ","")&amp;IF(AND($U246&gt;0,$Y246="",$I246&lt;&gt;"",IF(config!$B$37&lt;&gt;"",config!$B$37,TODAY())&gt;WORKDAY(N($I246),4,calendar!$A$2:$A$80)),"info: no usable placement photo, so nothing counts as placed; ","")&amp;IF(AND($U246&gt;0,$I246&lt;&gt;"",IF(config!$B$37&lt;&gt;"",config!$B$37,TODAY())&gt;WORKDAY(N($I246),4,calendar!$A$2:$A$80),N($AL246)&lt;config!$B$30),"info: under "&amp;config!$B$30&amp;" responses; ","")&amp;IF($W246="packing_list","info: delivered count not verified; ",""))</f>
        <v/>
      </c>
      <c r="AQ246" s="25">
        <f>IF(OR($A246="",$I246=""),"",IF($BC246="Y",SUMIFS(survey_frozen!$E$2:$E$251,survey_frozen!$P$2:$P$251,$A246&amp;"|"&amp;$B246),IFERROR(COUNTIFS(INDIRECT("'"&amp;$A246&amp;"'!$B$2:$B$501"),$T246,INDIRECT("'"&amp;$A246&amp;"'!$A$2:$A$501"),"&gt;="&amp;$I246,INDIRECT("'"&amp;$A246&amp;"'!$A$2:$A$501"),"&lt;"&amp;($BA246+1),INDIRECT("'"&amp;$A246&amp;"'!$F$2:$F$501"),"Didn't see it"),0)))</f>
        <v/>
      </c>
      <c r="AR246" s="25">
        <f>IF(OR($A246="",$I246=""),"",IF($BC246="Y",SUMIFS(survey_frozen!$F$2:$F$251,survey_frozen!$P$2:$P$251,$A246&amp;"|"&amp;$B246),IFERROR(COUNTIFS(INDIRECT("'"&amp;$A246&amp;"'!$B$2:$B$501"),$T246,INDIRECT("'"&amp;$A246&amp;"'!$A$2:$A$501"),"&gt;="&amp;$I246,INDIRECT("'"&amp;$A246&amp;"'!$A$2:$A$501"),"&lt;"&amp;($BA246+1),INDIRECT("'"&amp;$A246&amp;"'!$F$2:$F$501"),"Not for me"),0)))</f>
        <v/>
      </c>
      <c r="AS246" s="25">
        <f>IF(OR($A246="",$I246=""),"",IF($BC246="Y",SUMIFS(survey_frozen!$G$2:$G$251,survey_frozen!$P$2:$P$251,$A246&amp;"|"&amp;$B246),IFERROR(COUNTIFS(INDIRECT("'"&amp;$A246&amp;"'!$B$2:$B$501"),$T246,INDIRECT("'"&amp;$A246&amp;"'!$A$2:$A$501"),"&gt;="&amp;$I246,INDIRECT("'"&amp;$A246&amp;"'!$A$2:$A$501"),"&lt;"&amp;($BA246+1),INDIRECT("'"&amp;$A246&amp;"'!$F$2:$F$501"),"Gone by the time I looked"),0)))</f>
        <v/>
      </c>
      <c r="AT246" s="25">
        <f>IF(OR($A246="",$I246=""),"",IF($BC246="Y",SUMIFS(survey_frozen!$H$2:$H$251,survey_frozen!$P$2:$P$251,$A246&amp;"|"&amp;$B246),IFERROR(COUNTIFS(INDIRECT("'"&amp;$A246&amp;"'!$B$2:$B$501"),$T246,INDIRECT("'"&amp;$A246&amp;"'!$A$2:$A$501"),"&gt;="&amp;$I246,INDIRECT("'"&amp;$A246&amp;"'!$A$2:$A$501"),"&lt;"&amp;($BA246+1),INDIRECT("'"&amp;$A246&amp;"'!$D$2:$D$501"),"&gt;=1"),0)))</f>
        <v/>
      </c>
      <c r="AU246" s="25">
        <f>IF(OR($A246="",$I246=""),"",IF($BC246="Y",SUMIFS(survey_frozen!$I$2:$I$251,survey_frozen!$P$2:$P$251,$A246&amp;"|"&amp;$B246),IFERROR(SUMIFS(INDIRECT("'"&amp;$A246&amp;"'!$D$2:$D$501"),INDIRECT("'"&amp;$A246&amp;"'!$B$2:$B$501"),$T246,INDIRECT("'"&amp;$A246&amp;"'!$A$2:$A$501"),"&gt;="&amp;$I246,INDIRECT("'"&amp;$A246&amp;"'!$A$2:$A$501"),"&lt;"&amp;($BA246+1)),0)))</f>
        <v/>
      </c>
      <c r="AV246" s="25">
        <f>IF(OR($A246="",$I246=""),"",IF($BC246="Y",SUMIFS(survey_frozen!$J$2:$J$251,survey_frozen!$P$2:$P$251,$A246&amp;"|"&amp;$B246),IFERROR(COUNTIFS(INDIRECT("'"&amp;$A246&amp;"'!$B$2:$B$501"),$T246,INDIRECT("'"&amp;$A246&amp;"'!$A$2:$A$501"),"&gt;="&amp;$I246,INDIRECT("'"&amp;$A246&amp;"'!$A$2:$A$501"),"&lt;"&amp;($BA246+1),INDIRECT("'"&amp;$A246&amp;"'!$E$2:$E$501"),"Yes"),0)))</f>
        <v/>
      </c>
      <c r="AW246" s="25">
        <f>IF(OR($A246="",$I246=""),"",IF($BC246="Y",SUMIFS(survey_frozen!$K$2:$K$251,survey_frozen!$P$2:$P$251,$A246&amp;"|"&amp;$B246),IFERROR(COUNTIFS(INDIRECT("'"&amp;$A246&amp;"'!$B$2:$B$501"),$T246,INDIRECT("'"&amp;$A246&amp;"'!$A$2:$A$501"),"&gt;="&amp;$I246,INDIRECT("'"&amp;$A246&amp;"'!$A$2:$A$501"),"&lt;"&amp;($BA246+1),INDIRECT("'"&amp;$A246&amp;"'!$E$2:$E$501"),"Maybe"),0)))</f>
        <v/>
      </c>
      <c r="AX246" s="25">
        <f>IF(OR($A246="",$I246=""),"",IF($BC246="Y",SUMIFS(survey_frozen!$L$2:$L$251,survey_frozen!$P$2:$P$251,$A246&amp;"|"&amp;$B246),IFERROR(COUNTIFS(INDIRECT("'"&amp;$A246&amp;"'!$B$2:$B$501"),$T246,INDIRECT("'"&amp;$A246&amp;"'!$A$2:$A$501"),"&gt;="&amp;$I246,INDIRECT("'"&amp;$A246&amp;"'!$A$2:$A$501"),"&lt;"&amp;($BA246+1),INDIRECT("'"&amp;$A246&amp;"'!$E$2:$E$501"),"No"),0)))</f>
        <v/>
      </c>
      <c r="AY246" s="25">
        <f>IF(OR($A246="",$I246=""),"",IF($BC246="Y",SUMIFS(survey_frozen!$M$2:$M$251,survey_frozen!$P$2:$P$251,$A246&amp;"|"&amp;$B246),IFERROR(COUNTIFS(INDIRECT("'"&amp;$A246&amp;"'!$B$2:$B$501"),$T246,INDIRECT("'"&amp;$A246&amp;"'!$A$2:$A$501"),"&gt;="&amp;$I246,INDIRECT("'"&amp;$A246&amp;"'!$A$2:$A$501"),"&lt;"&amp;($BA246+1),INDIRECT("'"&amp;$A246&amp;"'!$G$2:$G$501"),"&lt;&gt;"),0)))</f>
        <v/>
      </c>
      <c r="AZ246" s="25">
        <f>IF($A246="","",$A246&amp;"|"&amp;$L246)</f>
        <v/>
      </c>
      <c r="BA246" s="26">
        <f>IF($A246="","",IFERROR(IF(INDEX(drops!$R$2:$R$21,MATCH($H246,drops!$A$2:$A$21,0))="","",INDEX(drops!$R$2:$R$21,MATCH($H246,drops!$A$2:$A$21,0))),""))</f>
        <v/>
      </c>
      <c r="BB246" s="25">
        <f>IF(OR($A246="",$Q246&lt;&gt;"Y"),1000000,N($AL246))</f>
        <v/>
      </c>
      <c r="BC246" s="25">
        <f>IF($A246="","",IF(COUNTIF(survey_frozen!$P$2:$P$251,$A246&amp;"|"&amp;$B246)&gt;0,"Y",""))</f>
        <v/>
      </c>
    </row>
    <row r="247">
      <c r="C247" s="9" t="n"/>
      <c r="E247" s="9" t="n"/>
      <c r="H247" s="25">
        <f>IF($A247="","",IFERROR(IF(INDEX(campaigns!$B$2:$B$51,MATCH($A247,campaigns!$A$2:$A$51,0))="","",INDEX(campaigns!$B$2:$B$51,MATCH($A247,campaigns!$A$2:$A$51,0))),""))</f>
        <v/>
      </c>
      <c r="I247" s="26">
        <f>IF($A247="","",IFERROR(IF(INDEX(campaigns!$BG$2:$BG$51,MATCH($A247,campaigns!$A$2:$A$51,0))="","",INDEX(campaigns!$BG$2:$BG$51,MATCH($A247,campaigns!$A$2:$A$51,0))),""))</f>
        <v/>
      </c>
      <c r="J247" s="25">
        <f>IF($A247="","",IFERROR(IF(INDEX(campaigns!$BE$2:$BE$51,MATCH($A247,campaigns!$A$2:$A$51,0))="","",INDEX(campaigns!$BE$2:$BE$51,MATCH($A247,campaigns!$A$2:$A$51,0))),""))</f>
        <v/>
      </c>
      <c r="K247" s="25">
        <f>IF($B247="","",IFERROR(IF(INDEX(offices!$N$2:$N$61,MATCH($B247,offices!$A$2:$A$61,0))="","",INDEX(offices!$N$2:$N$61,MATCH($B247,offices!$A$2:$A$61,0))),""))</f>
        <v/>
      </c>
      <c r="L247" s="25">
        <f>IF($A247="","",IF($Q247="N","",COUNTIFS($A$2:$A247,$A247,$Q$2:$Q247,"&lt;&gt;N")))</f>
        <v/>
      </c>
      <c r="M247" s="25">
        <f>IF(OR($A247="",$L247=""),"",IF(AND(config!$B$34="names_if_public",IFERROR(IF(INDEX(offices!$AF$2:$AF$61,MATCH($B247,offices!$A$2:$A$61,0))="","",INDEX(offices!$AF$2:$AF$61,MATCH($B247,offices!$A$2:$A$61,0))),"")="Y"),$K247,CHAR(64+$L247)))</f>
        <v/>
      </c>
      <c r="N247" s="25">
        <f>IF(OR($A247="",$I247=""),"",COUNTIFS(stops!$B$2:$B$151,$B247,stops!$P$2:$P$151,"&lt;"&amp;$I247,stops!$L$2:$L$151,"&lt;&gt;not_delivered")+1)</f>
        <v/>
      </c>
      <c r="O247" s="25">
        <f>IF($A247="","",IF(N($N247)&lt;=config!$B$29,"explicit","opt-out"))</f>
        <v/>
      </c>
      <c r="P247" s="25">
        <f>IF($A247="","",IF($O247="explicit",IF($D247="yes","Y",IF($D247="no","N","pending")),IF($D247="no","N",IF(AND($C247&lt;&gt;"",$I247&lt;&gt;"",$C247&lt;=WORKDAY(N($I247),-5,calendar!$A$2:$A$80)),"Y","pending"))))</f>
        <v/>
      </c>
      <c r="Q247" s="25">
        <f>IF($A247="","",IF($P247="N","N",IF($P247&lt;&gt;"Y","pending",IF(AND((COUNTIFS(stops!$A$2:$A$151,$H247,stops!$B$2:$B$151,$B247,stops!$L$2:$L$151,"declined")+COUNTIFS(stops!$A$2:$A$151,$H247,stops!$B$2:$B$151,$B247,stops!$L$2:$L$151,"building_refused")+COUNTIFS(stops!$A$2:$A$151,$H247,stops!$B$2:$B$151,$B247,stops!$L$2:$L$151,"not_delivered"))&gt;0,N($U247)=0),"N","Y"))))</f>
        <v/>
      </c>
      <c r="R247" s="25">
        <f>IF($A247="","",IF(COUNTIFS($A$2:$A$251,$A247,$B$2:$B$251,$B247)&gt;1,"DUPLICATE ROW; ","")&amp;IF(AND(IFERROR(IF(INDEX(offices!$AC$2:$AC$61,MATCH($B247,offices!$A$2:$A$61,0))="","",INDEX(offices!$AC$2:$AC$61,MATCH($B247,offices!$A$2:$A$61,0))),"")&lt;&gt;"",ISNUMBER(SEARCH($J247,IFERROR(IF(INDEX(offices!$AC$2:$AC$61,MATCH($B247,offices!$A$2:$A$61,0))="","",INDEX(offices!$AC$2:$AC$61,MATCH($B247,offices!$A$2:$A$61,0))),"")))),"BRAND VETOED; ","")&amp;IF(ISNUMBER(SEARCH(IFERROR(IF(INDEX(campaigns!$BF$2:$BF$51,MATCH($A247,campaigns!$A$2:$A$51,0))="","",INDEX(campaigns!$BF$2:$BF$51,MATCH($A247,campaigns!$A$2:$A$51,0))),""),IFERROR(IF(INDEX(offices!$AB$2:$AB$61,MATCH($B247,offices!$A$2:$A$61,0))="","",INDEX(offices!$AB$2:$AB$61,MATCH($B247,offices!$A$2:$A$61,0))),""))),"","info: category not on the office's list; ")&amp;IF(IFERROR(IF(INDEX(offices!$AC$2:$AC$61,MATCH($B247,offices!$A$2:$A$61,0))="","",INDEX(offices!$AC$2:$AC$61,MATCH($B247,offices!$A$2:$A$61,0))),"")&lt;&gt;"","info: read the vetoes against the label; ",""))</f>
        <v/>
      </c>
      <c r="S247" s="25">
        <f>IF($A247="","",IF($G247&lt;&gt;"",$G247,IFERROR(IF(INDEX(offices!$AL$2:$AL$61,MATCH($B247,offices!$A$2:$A$61,0))="","",INDEX(offices!$AL$2:$AL$61,MATCH($B247,offices!$A$2:$A$61,0))),"")))</f>
        <v/>
      </c>
      <c r="T247" s="25">
        <f>IF($A247="","",$A247&amp;"."&amp;$B247)</f>
        <v/>
      </c>
      <c r="U247" s="25">
        <f>IF($A247="","",SUMIFS(inventory!$G$2:$G$801,inventory!$C$2:$C$801,$A247,inventory!$D$2:$D$801,$B247,inventory!$E$2:$E$801,"delivered"))</f>
        <v/>
      </c>
      <c r="V247" s="32">
        <f>IF($A247="","",IFERROR(1/(1/SUMPRODUCT(MAX((inventory!$C$2:$C$801=$A247)*(inventory!$D$2:$D$801=$B247)*(inventory!$E$2:$E$801="delivered")*(inventory!$A$2:$A$801+inventory!$B$2:$B$801)))),""))</f>
        <v/>
      </c>
      <c r="W247" s="25">
        <f>IF($A247="","",IFERROR(IF(INDEX(inventory!$J$2:$J$801,MATCH($A247&amp;"|"&amp;$B247&amp;"|delivered",inventory!$R$2:$R$801,0))="","",INDEX(inventory!$J$2:$J$801,MATCH($A247&amp;"|"&amp;$B247&amp;"|delivered",inventory!$R$2:$R$801,0))),""))</f>
        <v/>
      </c>
      <c r="X247" s="25">
        <f>IF($A247="","",IFERROR(IF(INDEX(photos!$H$2:$H$701,MATCH($A247&amp;"|"&amp;$B247&amp;"|placement|Y",photos!$R$2:$R$701,0))="","",INDEX(photos!$H$2:$H$701,MATCH($A247&amp;"|"&amp;$B247&amp;"|placement|Y",photos!$R$2:$R$701,0))),""))</f>
        <v/>
      </c>
      <c r="Y247" s="26">
        <f>IF($A247="","",IFERROR(IF(INDEX(photos!$E$2:$E$701,MATCH($A247&amp;"|"&amp;$B247&amp;"|placement|Y",photos!$R$2:$R$701,0))="","",INDEX(photos!$E$2:$E$701,MATCH($A247&amp;"|"&amp;$B247&amp;"|placement|Y",photos!$R$2:$R$701,0))),""))</f>
        <v/>
      </c>
      <c r="Z247" s="25">
        <f>IF($A247="","",IF(COUNTIFS(counts!$C$2:$C$701,$A247,counts!$D$2:$D$701,$B247,counts!$E$2:$E$701,"placed")=0,"",SUMIFS(counts!$F$2:$F$701,counts!$C$2:$C$701,$A247,counts!$D$2:$D$701,$B247,counts!$E$2:$E$701,"placed")))</f>
        <v/>
      </c>
      <c r="AA247" s="25">
        <f>IF($A247="","",IF($Y247="",0,N($Z247)))</f>
        <v/>
      </c>
      <c r="AB247" s="25">
        <f>IF($A247="","",IF(OR($Y247="",$I247=""),"N",IF($Y247&lt;=WORKDAY(N($I247),1,calendar!$A$2:$A$80),"Y","N")))</f>
        <v/>
      </c>
      <c r="AC247" s="28">
        <f>IF(OR($A247="",$V247="",$Y247=""),"",ROUND(($Y247+N(IFERROR(IF(INDEX(photos!$F$2:$F$701,MATCH($A247&amp;"|"&amp;$B247&amp;"|placement|Y",photos!$R$2:$R$701,0))="","",INDEX(photos!$F$2:$F$701,MATCH($A247&amp;"|"&amp;$B247&amp;"|placement|Y",photos!$R$2:$R$701,0))),""))-$V247)*24,1))</f>
        <v/>
      </c>
      <c r="AD247" s="25">
        <f>IF($A247="","",SUMIFS(inventory!$G$2:$G$801,inventory!$C$2:$C$801,$A247,inventory!$D$2:$D$801,$B247,inventory!$E$2:$E$801,"topped_up"))</f>
        <v/>
      </c>
      <c r="AE247" s="25">
        <f>IF($A247="","",IF(COUNTIFS(counts!$C$2:$C$701,$A247,counts!$D$2:$D$701,$B247,counts!$E$2:$E$701,"remaining_day3")=0,"",SUMIFS(counts!$F$2:$F$701,counts!$C$2:$C$701,$A247,counts!$D$2:$D$701,$B247,counts!$E$2:$E$701,"remaining_day3")))</f>
        <v/>
      </c>
      <c r="AF247" s="25">
        <f>IF($A247="","",IF(COUNTIFS(counts!$C$2:$C$701,$A247,counts!$D$2:$D$701,$B247,counts!$E$2:$E$701,"remaining_day5")=0,"",SUMIFS(counts!$F$2:$F$701,counts!$C$2:$C$701,$A247,counts!$D$2:$D$701,$B247,counts!$E$2:$E$701,"remaining_day5")))</f>
        <v/>
      </c>
      <c r="AG247" s="25">
        <f>IF(OR($A247="",$AF247=""),"",MAX(0,$AA247+$AD247-$AF247))</f>
        <v/>
      </c>
      <c r="AH247" s="25">
        <f>IF(OR($A247="",$AI247=""),"",IFERROR(IF(INDEX(photos!$H$2:$H$701,MATCH($A247&amp;"|"&amp;$B247&amp;"|later|Y|"&amp;$AI247,photos!$S$2:$S$701,0))="","",INDEX(photos!$H$2:$H$701,MATCH($A247&amp;"|"&amp;$B247&amp;"|later|Y|"&amp;$AI247,photos!$S$2:$S$701,0))),""))</f>
        <v/>
      </c>
      <c r="AI247" s="26">
        <f>IF($A247="","",IFERROR(1/(1/SUMPRODUCT(MAX((photos!$B$2:$B$701=$A247)*(photos!$C$2:$C$701=$B247)*(photos!$D$2:$D$701="later")*(photos!$O$2:$O$701="Y")*photos!$E$2:$E$701))),""))</f>
        <v/>
      </c>
      <c r="AJ247" s="25">
        <f>IF(OR($A247="",$AI247="",$I247=""),"",NETWORKDAYS($I247,$AI247,calendar!$A$2:$A$80))</f>
        <v/>
      </c>
      <c r="AK247" s="25">
        <f>IF($A247="","",IF(AND($X247&lt;&gt;"",$AH247&lt;&gt;""),"Y","N"))</f>
        <v/>
      </c>
      <c r="AL247" s="25">
        <f>IF(OR($A247="",$I247=""),"",IF($BC247="Y",SUMIFS(survey_frozen!$C$2:$C$251,survey_frozen!$P$2:$P$251,$A247&amp;"|"&amp;$B247),IFERROR(COUNTIFS(INDIRECT("'"&amp;$A247&amp;"'!$B$2:$B$501"),$T247,INDIRECT("'"&amp;$A247&amp;"'!$A$2:$A$501"),"&gt;="&amp;$I247,INDIRECT("'"&amp;$A247&amp;"'!$A$2:$A$501"),"&lt;"&amp;($BA247+1)),0)))</f>
        <v/>
      </c>
      <c r="AM247" s="25">
        <f>IF(OR($A247="",$I247=""),"",IF($BC247="Y",SUMIFS(survey_frozen!$D$2:$D$251,survey_frozen!$P$2:$P$251,$A247&amp;"|"&amp;$B247),IFERROR(COUNTIFS(INDIRECT("'"&amp;$A247&amp;"'!$B$2:$B$501"),$T247,INDIRECT("'"&amp;$A247&amp;"'!$A$2:$A$501"),"&gt;="&amp;$I247,INDIRECT("'"&amp;$A247&amp;"'!$A$2:$A$501"),"&lt;"&amp;($BA247+1),INDIRECT("'"&amp;$A247&amp;"'!$C$2:$C$501"),"Yes"),0)))</f>
        <v/>
      </c>
      <c r="AN247" s="25">
        <f>IF($A247="","",IF(COUNTIFS(scans!$C$2:$C$1601,(IF(LEFT($A247,7)="SAMPLE-","SAMPLE-","")&amp;LOWER(SUBSTITUTE(SUBSTITUTE($A247,"SAMPLE-",""),"CMP-","c"))&amp;"-"&amp;LOWER(SUBSTITUTE(SUBSTITUTE($B247,"SAMPLE-",""),"O-","o"))&amp;"-q"),scans!$D$2:$D$1601,"close")=0,"",SUMPRODUCT(MAX((scans!$C$2:$C$1601=(IF(LEFT($A247,7)="SAMPLE-","SAMPLE-","")&amp;LOWER(SUBSTITUTE(SUBSTITUTE($A247,"SAMPLE-",""),"CMP-","c"))&amp;"-"&amp;LOWER(SUBSTITUTE(SUBSTITUTE($B247,"SAMPLE-",""),"O-","o"))&amp;"-q"))*(scans!$D$2:$D$1601="close")*scans!$E$2:$E$1601))-SUMPRODUCT(MAX((scans!$C$2:$C$1601=(IF(LEFT($A247,7)="SAMPLE-","SAMPLE-","")&amp;LOWER(SUBSTITUTE(SUBSTITUTE($A247,"SAMPLE-",""),"CMP-","c"))&amp;"-"&amp;LOWER(SUBSTITUTE(SUBSTITUTE($B247,"SAMPLE-",""),"O-","o"))&amp;"-q"))*(scans!$D$2:$D$1601="baseline")*scans!$E$2:$E$1601))))</f>
        <v/>
      </c>
      <c r="AO247" s="25">
        <f>IF($A247="","",IF(COUNTIFS(scans!$C$2:$C$1601,(IF(LEFT($A247,7)="SAMPLE-","SAMPLE-","")&amp;LOWER(SUBSTITUTE(SUBSTITUTE($A247,"SAMPLE-",""),"CMP-","c"))&amp;"-"&amp;LOWER(SUBSTITUTE(SUBSTITUTE($B247,"SAMPLE-",""),"O-","o"))&amp;"-p"),scans!$D$2:$D$1601,"close")=0,"",SUMPRODUCT(MAX((scans!$C$2:$C$1601=(IF(LEFT($A247,7)="SAMPLE-","SAMPLE-","")&amp;LOWER(SUBSTITUTE(SUBSTITUTE($A247,"SAMPLE-",""),"CMP-","c"))&amp;"-"&amp;LOWER(SUBSTITUTE(SUBSTITUTE($B247,"SAMPLE-",""),"O-","o"))&amp;"-p"))*(scans!$D$2:$D$1601="close")*scans!$E$2:$E$1601))-SUMPRODUCT(MAX((scans!$C$2:$C$1601=(IF(LEFT($A247,7)="SAMPLE-","SAMPLE-","")&amp;LOWER(SUBSTITUTE(SUBSTITUTE($A247,"SAMPLE-",""),"CMP-","c"))&amp;"-"&amp;LOWER(SUBSTITUTE(SUBSTITUTE($B247,"SAMPLE-",""),"O-","o"))&amp;"-p"))*(scans!$D$2:$D$1601="baseline")*scans!$E$2:$E$1601))))</f>
        <v/>
      </c>
      <c r="AP247" s="25">
        <f>IF($A247="","",IF(COUNTIF(offices!$A$2:$A$61,$B247)=0,"office_id not on offices; ","")&amp;IF(COUNTIF(campaigns!$A$2:$A$51,$A247)=0,"campaign_id not on campaigns; ","")&amp;IF($P247="pending","approval pending; ","")&amp;IF(AND($U247&gt;0,$Y247="",OR($I247="",IF(config!$B$37&lt;&gt;"",config!$B$37,TODAY())&lt;=WORKDAY(N($I247),4,calendar!$A$2:$A$80))),"no usable placement photo yet; ","")&amp;IF(AND($Y247&lt;&gt;"",$Z247=""),"log the placed count; ","")&amp;IF(N($AA247)&gt;N($U247),"placed more than delivered; ","")&amp;IF(AND($AF247&lt;&gt;"",N($AF247)&gt;N($AA247)+N($AD247)),"day-5 count above placed plus top-ups; ","")&amp;IF(AND($U247&gt;0,$I247&lt;&gt;"",IF(config!$B$37&lt;&gt;"",config!$B$37,TODAY())&gt;WORKDAY(N($I247),4,calendar!$A$2:$A$80),$AF247=""),"day-5 count missing; ","")&amp;IF(AND($U247&gt;0,$I247&lt;&gt;"",IF(config!$B$37&lt;&gt;"",config!$B$37,TODAY())&gt;WORKDAY(N($I247),4,calendar!$A$2:$A$80),$AN247=""),"no close link reading; ","")&amp;$R247&amp;IF($P247="N","info: office said no; ","")&amp;IF(AND($P247="Y",$Q247="N"),"info: turned away at the door, so not on the drop (no letter, not in the report or Gate 2; the credit check is on campaigns); ","")&amp;IF(AND($U247&gt;0,$Y247="",$I247&lt;&gt;"",IF(config!$B$37&lt;&gt;"",config!$B$37,TODAY())&gt;WORKDAY(N($I247),4,calendar!$A$2:$A$80)),"info: no usable placement photo, so nothing counts as placed; ","")&amp;IF(AND($U247&gt;0,$I247&lt;&gt;"",IF(config!$B$37&lt;&gt;"",config!$B$37,TODAY())&gt;WORKDAY(N($I247),4,calendar!$A$2:$A$80),N($AL247)&lt;config!$B$30),"info: under "&amp;config!$B$30&amp;" responses; ","")&amp;IF($W247="packing_list","info: delivered count not verified; ",""))</f>
        <v/>
      </c>
      <c r="AQ247" s="25">
        <f>IF(OR($A247="",$I247=""),"",IF($BC247="Y",SUMIFS(survey_frozen!$E$2:$E$251,survey_frozen!$P$2:$P$251,$A247&amp;"|"&amp;$B247),IFERROR(COUNTIFS(INDIRECT("'"&amp;$A247&amp;"'!$B$2:$B$501"),$T247,INDIRECT("'"&amp;$A247&amp;"'!$A$2:$A$501"),"&gt;="&amp;$I247,INDIRECT("'"&amp;$A247&amp;"'!$A$2:$A$501"),"&lt;"&amp;($BA247+1),INDIRECT("'"&amp;$A247&amp;"'!$F$2:$F$501"),"Didn't see it"),0)))</f>
        <v/>
      </c>
      <c r="AR247" s="25">
        <f>IF(OR($A247="",$I247=""),"",IF($BC247="Y",SUMIFS(survey_frozen!$F$2:$F$251,survey_frozen!$P$2:$P$251,$A247&amp;"|"&amp;$B247),IFERROR(COUNTIFS(INDIRECT("'"&amp;$A247&amp;"'!$B$2:$B$501"),$T247,INDIRECT("'"&amp;$A247&amp;"'!$A$2:$A$501"),"&gt;="&amp;$I247,INDIRECT("'"&amp;$A247&amp;"'!$A$2:$A$501"),"&lt;"&amp;($BA247+1),INDIRECT("'"&amp;$A247&amp;"'!$F$2:$F$501"),"Not for me"),0)))</f>
        <v/>
      </c>
      <c r="AS247" s="25">
        <f>IF(OR($A247="",$I247=""),"",IF($BC247="Y",SUMIFS(survey_frozen!$G$2:$G$251,survey_frozen!$P$2:$P$251,$A247&amp;"|"&amp;$B247),IFERROR(COUNTIFS(INDIRECT("'"&amp;$A247&amp;"'!$B$2:$B$501"),$T247,INDIRECT("'"&amp;$A247&amp;"'!$A$2:$A$501"),"&gt;="&amp;$I247,INDIRECT("'"&amp;$A247&amp;"'!$A$2:$A$501"),"&lt;"&amp;($BA247+1),INDIRECT("'"&amp;$A247&amp;"'!$F$2:$F$501"),"Gone by the time I looked"),0)))</f>
        <v/>
      </c>
      <c r="AT247" s="25">
        <f>IF(OR($A247="",$I247=""),"",IF($BC247="Y",SUMIFS(survey_frozen!$H$2:$H$251,survey_frozen!$P$2:$P$251,$A247&amp;"|"&amp;$B247),IFERROR(COUNTIFS(INDIRECT("'"&amp;$A247&amp;"'!$B$2:$B$501"),$T247,INDIRECT("'"&amp;$A247&amp;"'!$A$2:$A$501"),"&gt;="&amp;$I247,INDIRECT("'"&amp;$A247&amp;"'!$A$2:$A$501"),"&lt;"&amp;($BA247+1),INDIRECT("'"&amp;$A247&amp;"'!$D$2:$D$501"),"&gt;=1"),0)))</f>
        <v/>
      </c>
      <c r="AU247" s="25">
        <f>IF(OR($A247="",$I247=""),"",IF($BC247="Y",SUMIFS(survey_frozen!$I$2:$I$251,survey_frozen!$P$2:$P$251,$A247&amp;"|"&amp;$B247),IFERROR(SUMIFS(INDIRECT("'"&amp;$A247&amp;"'!$D$2:$D$501"),INDIRECT("'"&amp;$A247&amp;"'!$B$2:$B$501"),$T247,INDIRECT("'"&amp;$A247&amp;"'!$A$2:$A$501"),"&gt;="&amp;$I247,INDIRECT("'"&amp;$A247&amp;"'!$A$2:$A$501"),"&lt;"&amp;($BA247+1)),0)))</f>
        <v/>
      </c>
      <c r="AV247" s="25">
        <f>IF(OR($A247="",$I247=""),"",IF($BC247="Y",SUMIFS(survey_frozen!$J$2:$J$251,survey_frozen!$P$2:$P$251,$A247&amp;"|"&amp;$B247),IFERROR(COUNTIFS(INDIRECT("'"&amp;$A247&amp;"'!$B$2:$B$501"),$T247,INDIRECT("'"&amp;$A247&amp;"'!$A$2:$A$501"),"&gt;="&amp;$I247,INDIRECT("'"&amp;$A247&amp;"'!$A$2:$A$501"),"&lt;"&amp;($BA247+1),INDIRECT("'"&amp;$A247&amp;"'!$E$2:$E$501"),"Yes"),0)))</f>
        <v/>
      </c>
      <c r="AW247" s="25">
        <f>IF(OR($A247="",$I247=""),"",IF($BC247="Y",SUMIFS(survey_frozen!$K$2:$K$251,survey_frozen!$P$2:$P$251,$A247&amp;"|"&amp;$B247),IFERROR(COUNTIFS(INDIRECT("'"&amp;$A247&amp;"'!$B$2:$B$501"),$T247,INDIRECT("'"&amp;$A247&amp;"'!$A$2:$A$501"),"&gt;="&amp;$I247,INDIRECT("'"&amp;$A247&amp;"'!$A$2:$A$501"),"&lt;"&amp;($BA247+1),INDIRECT("'"&amp;$A247&amp;"'!$E$2:$E$501"),"Maybe"),0)))</f>
        <v/>
      </c>
      <c r="AX247" s="25">
        <f>IF(OR($A247="",$I247=""),"",IF($BC247="Y",SUMIFS(survey_frozen!$L$2:$L$251,survey_frozen!$P$2:$P$251,$A247&amp;"|"&amp;$B247),IFERROR(COUNTIFS(INDIRECT("'"&amp;$A247&amp;"'!$B$2:$B$501"),$T247,INDIRECT("'"&amp;$A247&amp;"'!$A$2:$A$501"),"&gt;="&amp;$I247,INDIRECT("'"&amp;$A247&amp;"'!$A$2:$A$501"),"&lt;"&amp;($BA247+1),INDIRECT("'"&amp;$A247&amp;"'!$E$2:$E$501"),"No"),0)))</f>
        <v/>
      </c>
      <c r="AY247" s="25">
        <f>IF(OR($A247="",$I247=""),"",IF($BC247="Y",SUMIFS(survey_frozen!$M$2:$M$251,survey_frozen!$P$2:$P$251,$A247&amp;"|"&amp;$B247),IFERROR(COUNTIFS(INDIRECT("'"&amp;$A247&amp;"'!$B$2:$B$501"),$T247,INDIRECT("'"&amp;$A247&amp;"'!$A$2:$A$501"),"&gt;="&amp;$I247,INDIRECT("'"&amp;$A247&amp;"'!$A$2:$A$501"),"&lt;"&amp;($BA247+1),INDIRECT("'"&amp;$A247&amp;"'!$G$2:$G$501"),"&lt;&gt;"),0)))</f>
        <v/>
      </c>
      <c r="AZ247" s="25">
        <f>IF($A247="","",$A247&amp;"|"&amp;$L247)</f>
        <v/>
      </c>
      <c r="BA247" s="26">
        <f>IF($A247="","",IFERROR(IF(INDEX(drops!$R$2:$R$21,MATCH($H247,drops!$A$2:$A$21,0))="","",INDEX(drops!$R$2:$R$21,MATCH($H247,drops!$A$2:$A$21,0))),""))</f>
        <v/>
      </c>
      <c r="BB247" s="25">
        <f>IF(OR($A247="",$Q247&lt;&gt;"Y"),1000000,N($AL247))</f>
        <v/>
      </c>
      <c r="BC247" s="25">
        <f>IF($A247="","",IF(COUNTIF(survey_frozen!$P$2:$P$251,$A247&amp;"|"&amp;$B247)&gt;0,"Y",""))</f>
        <v/>
      </c>
    </row>
    <row r="248">
      <c r="C248" s="9" t="n"/>
      <c r="E248" s="9" t="n"/>
      <c r="H248" s="25">
        <f>IF($A248="","",IFERROR(IF(INDEX(campaigns!$B$2:$B$51,MATCH($A248,campaigns!$A$2:$A$51,0))="","",INDEX(campaigns!$B$2:$B$51,MATCH($A248,campaigns!$A$2:$A$51,0))),""))</f>
        <v/>
      </c>
      <c r="I248" s="26">
        <f>IF($A248="","",IFERROR(IF(INDEX(campaigns!$BG$2:$BG$51,MATCH($A248,campaigns!$A$2:$A$51,0))="","",INDEX(campaigns!$BG$2:$BG$51,MATCH($A248,campaigns!$A$2:$A$51,0))),""))</f>
        <v/>
      </c>
      <c r="J248" s="25">
        <f>IF($A248="","",IFERROR(IF(INDEX(campaigns!$BE$2:$BE$51,MATCH($A248,campaigns!$A$2:$A$51,0))="","",INDEX(campaigns!$BE$2:$BE$51,MATCH($A248,campaigns!$A$2:$A$51,0))),""))</f>
        <v/>
      </c>
      <c r="K248" s="25">
        <f>IF($B248="","",IFERROR(IF(INDEX(offices!$N$2:$N$61,MATCH($B248,offices!$A$2:$A$61,0))="","",INDEX(offices!$N$2:$N$61,MATCH($B248,offices!$A$2:$A$61,0))),""))</f>
        <v/>
      </c>
      <c r="L248" s="25">
        <f>IF($A248="","",IF($Q248="N","",COUNTIFS($A$2:$A248,$A248,$Q$2:$Q248,"&lt;&gt;N")))</f>
        <v/>
      </c>
      <c r="M248" s="25">
        <f>IF(OR($A248="",$L248=""),"",IF(AND(config!$B$34="names_if_public",IFERROR(IF(INDEX(offices!$AF$2:$AF$61,MATCH($B248,offices!$A$2:$A$61,0))="","",INDEX(offices!$AF$2:$AF$61,MATCH($B248,offices!$A$2:$A$61,0))),"")="Y"),$K248,CHAR(64+$L248)))</f>
        <v/>
      </c>
      <c r="N248" s="25">
        <f>IF(OR($A248="",$I248=""),"",COUNTIFS(stops!$B$2:$B$151,$B248,stops!$P$2:$P$151,"&lt;"&amp;$I248,stops!$L$2:$L$151,"&lt;&gt;not_delivered")+1)</f>
        <v/>
      </c>
      <c r="O248" s="25">
        <f>IF($A248="","",IF(N($N248)&lt;=config!$B$29,"explicit","opt-out"))</f>
        <v/>
      </c>
      <c r="P248" s="25">
        <f>IF($A248="","",IF($O248="explicit",IF($D248="yes","Y",IF($D248="no","N","pending")),IF($D248="no","N",IF(AND($C248&lt;&gt;"",$I248&lt;&gt;"",$C248&lt;=WORKDAY(N($I248),-5,calendar!$A$2:$A$80)),"Y","pending"))))</f>
        <v/>
      </c>
      <c r="Q248" s="25">
        <f>IF($A248="","",IF($P248="N","N",IF($P248&lt;&gt;"Y","pending",IF(AND((COUNTIFS(stops!$A$2:$A$151,$H248,stops!$B$2:$B$151,$B248,stops!$L$2:$L$151,"declined")+COUNTIFS(stops!$A$2:$A$151,$H248,stops!$B$2:$B$151,$B248,stops!$L$2:$L$151,"building_refused")+COUNTIFS(stops!$A$2:$A$151,$H248,stops!$B$2:$B$151,$B248,stops!$L$2:$L$151,"not_delivered"))&gt;0,N($U248)=0),"N","Y"))))</f>
        <v/>
      </c>
      <c r="R248" s="25">
        <f>IF($A248="","",IF(COUNTIFS($A$2:$A$251,$A248,$B$2:$B$251,$B248)&gt;1,"DUPLICATE ROW; ","")&amp;IF(AND(IFERROR(IF(INDEX(offices!$AC$2:$AC$61,MATCH($B248,offices!$A$2:$A$61,0))="","",INDEX(offices!$AC$2:$AC$61,MATCH($B248,offices!$A$2:$A$61,0))),"")&lt;&gt;"",ISNUMBER(SEARCH($J248,IFERROR(IF(INDEX(offices!$AC$2:$AC$61,MATCH($B248,offices!$A$2:$A$61,0))="","",INDEX(offices!$AC$2:$AC$61,MATCH($B248,offices!$A$2:$A$61,0))),"")))),"BRAND VETOED; ","")&amp;IF(ISNUMBER(SEARCH(IFERROR(IF(INDEX(campaigns!$BF$2:$BF$51,MATCH($A248,campaigns!$A$2:$A$51,0))="","",INDEX(campaigns!$BF$2:$BF$51,MATCH($A248,campaigns!$A$2:$A$51,0))),""),IFERROR(IF(INDEX(offices!$AB$2:$AB$61,MATCH($B248,offices!$A$2:$A$61,0))="","",INDEX(offices!$AB$2:$AB$61,MATCH($B248,offices!$A$2:$A$61,0))),""))),"","info: category not on the office's list; ")&amp;IF(IFERROR(IF(INDEX(offices!$AC$2:$AC$61,MATCH($B248,offices!$A$2:$A$61,0))="","",INDEX(offices!$AC$2:$AC$61,MATCH($B248,offices!$A$2:$A$61,0))),"")&lt;&gt;"","info: read the vetoes against the label; ",""))</f>
        <v/>
      </c>
      <c r="S248" s="25">
        <f>IF($A248="","",IF($G248&lt;&gt;"",$G248,IFERROR(IF(INDEX(offices!$AL$2:$AL$61,MATCH($B248,offices!$A$2:$A$61,0))="","",INDEX(offices!$AL$2:$AL$61,MATCH($B248,offices!$A$2:$A$61,0))),"")))</f>
        <v/>
      </c>
      <c r="T248" s="25">
        <f>IF($A248="","",$A248&amp;"."&amp;$B248)</f>
        <v/>
      </c>
      <c r="U248" s="25">
        <f>IF($A248="","",SUMIFS(inventory!$G$2:$G$801,inventory!$C$2:$C$801,$A248,inventory!$D$2:$D$801,$B248,inventory!$E$2:$E$801,"delivered"))</f>
        <v/>
      </c>
      <c r="V248" s="32">
        <f>IF($A248="","",IFERROR(1/(1/SUMPRODUCT(MAX((inventory!$C$2:$C$801=$A248)*(inventory!$D$2:$D$801=$B248)*(inventory!$E$2:$E$801="delivered")*(inventory!$A$2:$A$801+inventory!$B$2:$B$801)))),""))</f>
        <v/>
      </c>
      <c r="W248" s="25">
        <f>IF($A248="","",IFERROR(IF(INDEX(inventory!$J$2:$J$801,MATCH($A248&amp;"|"&amp;$B248&amp;"|delivered",inventory!$R$2:$R$801,0))="","",INDEX(inventory!$J$2:$J$801,MATCH($A248&amp;"|"&amp;$B248&amp;"|delivered",inventory!$R$2:$R$801,0))),""))</f>
        <v/>
      </c>
      <c r="X248" s="25">
        <f>IF($A248="","",IFERROR(IF(INDEX(photos!$H$2:$H$701,MATCH($A248&amp;"|"&amp;$B248&amp;"|placement|Y",photos!$R$2:$R$701,0))="","",INDEX(photos!$H$2:$H$701,MATCH($A248&amp;"|"&amp;$B248&amp;"|placement|Y",photos!$R$2:$R$701,0))),""))</f>
        <v/>
      </c>
      <c r="Y248" s="26">
        <f>IF($A248="","",IFERROR(IF(INDEX(photos!$E$2:$E$701,MATCH($A248&amp;"|"&amp;$B248&amp;"|placement|Y",photos!$R$2:$R$701,0))="","",INDEX(photos!$E$2:$E$701,MATCH($A248&amp;"|"&amp;$B248&amp;"|placement|Y",photos!$R$2:$R$701,0))),""))</f>
        <v/>
      </c>
      <c r="Z248" s="25">
        <f>IF($A248="","",IF(COUNTIFS(counts!$C$2:$C$701,$A248,counts!$D$2:$D$701,$B248,counts!$E$2:$E$701,"placed")=0,"",SUMIFS(counts!$F$2:$F$701,counts!$C$2:$C$701,$A248,counts!$D$2:$D$701,$B248,counts!$E$2:$E$701,"placed")))</f>
        <v/>
      </c>
      <c r="AA248" s="25">
        <f>IF($A248="","",IF($Y248="",0,N($Z248)))</f>
        <v/>
      </c>
      <c r="AB248" s="25">
        <f>IF($A248="","",IF(OR($Y248="",$I248=""),"N",IF($Y248&lt;=WORKDAY(N($I248),1,calendar!$A$2:$A$80),"Y","N")))</f>
        <v/>
      </c>
      <c r="AC248" s="28">
        <f>IF(OR($A248="",$V248="",$Y248=""),"",ROUND(($Y248+N(IFERROR(IF(INDEX(photos!$F$2:$F$701,MATCH($A248&amp;"|"&amp;$B248&amp;"|placement|Y",photos!$R$2:$R$701,0))="","",INDEX(photos!$F$2:$F$701,MATCH($A248&amp;"|"&amp;$B248&amp;"|placement|Y",photos!$R$2:$R$701,0))),""))-$V248)*24,1))</f>
        <v/>
      </c>
      <c r="AD248" s="25">
        <f>IF($A248="","",SUMIFS(inventory!$G$2:$G$801,inventory!$C$2:$C$801,$A248,inventory!$D$2:$D$801,$B248,inventory!$E$2:$E$801,"topped_up"))</f>
        <v/>
      </c>
      <c r="AE248" s="25">
        <f>IF($A248="","",IF(COUNTIFS(counts!$C$2:$C$701,$A248,counts!$D$2:$D$701,$B248,counts!$E$2:$E$701,"remaining_day3")=0,"",SUMIFS(counts!$F$2:$F$701,counts!$C$2:$C$701,$A248,counts!$D$2:$D$701,$B248,counts!$E$2:$E$701,"remaining_day3")))</f>
        <v/>
      </c>
      <c r="AF248" s="25">
        <f>IF($A248="","",IF(COUNTIFS(counts!$C$2:$C$701,$A248,counts!$D$2:$D$701,$B248,counts!$E$2:$E$701,"remaining_day5")=0,"",SUMIFS(counts!$F$2:$F$701,counts!$C$2:$C$701,$A248,counts!$D$2:$D$701,$B248,counts!$E$2:$E$701,"remaining_day5")))</f>
        <v/>
      </c>
      <c r="AG248" s="25">
        <f>IF(OR($A248="",$AF248=""),"",MAX(0,$AA248+$AD248-$AF248))</f>
        <v/>
      </c>
      <c r="AH248" s="25">
        <f>IF(OR($A248="",$AI248=""),"",IFERROR(IF(INDEX(photos!$H$2:$H$701,MATCH($A248&amp;"|"&amp;$B248&amp;"|later|Y|"&amp;$AI248,photos!$S$2:$S$701,0))="","",INDEX(photos!$H$2:$H$701,MATCH($A248&amp;"|"&amp;$B248&amp;"|later|Y|"&amp;$AI248,photos!$S$2:$S$701,0))),""))</f>
        <v/>
      </c>
      <c r="AI248" s="26">
        <f>IF($A248="","",IFERROR(1/(1/SUMPRODUCT(MAX((photos!$B$2:$B$701=$A248)*(photos!$C$2:$C$701=$B248)*(photos!$D$2:$D$701="later")*(photos!$O$2:$O$701="Y")*photos!$E$2:$E$701))),""))</f>
        <v/>
      </c>
      <c r="AJ248" s="25">
        <f>IF(OR($A248="",$AI248="",$I248=""),"",NETWORKDAYS($I248,$AI248,calendar!$A$2:$A$80))</f>
        <v/>
      </c>
      <c r="AK248" s="25">
        <f>IF($A248="","",IF(AND($X248&lt;&gt;"",$AH248&lt;&gt;""),"Y","N"))</f>
        <v/>
      </c>
      <c r="AL248" s="25">
        <f>IF(OR($A248="",$I248=""),"",IF($BC248="Y",SUMIFS(survey_frozen!$C$2:$C$251,survey_frozen!$P$2:$P$251,$A248&amp;"|"&amp;$B248),IFERROR(COUNTIFS(INDIRECT("'"&amp;$A248&amp;"'!$B$2:$B$501"),$T248,INDIRECT("'"&amp;$A248&amp;"'!$A$2:$A$501"),"&gt;="&amp;$I248,INDIRECT("'"&amp;$A248&amp;"'!$A$2:$A$501"),"&lt;"&amp;($BA248+1)),0)))</f>
        <v/>
      </c>
      <c r="AM248" s="25">
        <f>IF(OR($A248="",$I248=""),"",IF($BC248="Y",SUMIFS(survey_frozen!$D$2:$D$251,survey_frozen!$P$2:$P$251,$A248&amp;"|"&amp;$B248),IFERROR(COUNTIFS(INDIRECT("'"&amp;$A248&amp;"'!$B$2:$B$501"),$T248,INDIRECT("'"&amp;$A248&amp;"'!$A$2:$A$501"),"&gt;="&amp;$I248,INDIRECT("'"&amp;$A248&amp;"'!$A$2:$A$501"),"&lt;"&amp;($BA248+1),INDIRECT("'"&amp;$A248&amp;"'!$C$2:$C$501"),"Yes"),0)))</f>
        <v/>
      </c>
      <c r="AN248" s="25">
        <f>IF($A248="","",IF(COUNTIFS(scans!$C$2:$C$1601,(IF(LEFT($A248,7)="SAMPLE-","SAMPLE-","")&amp;LOWER(SUBSTITUTE(SUBSTITUTE($A248,"SAMPLE-",""),"CMP-","c"))&amp;"-"&amp;LOWER(SUBSTITUTE(SUBSTITUTE($B248,"SAMPLE-",""),"O-","o"))&amp;"-q"),scans!$D$2:$D$1601,"close")=0,"",SUMPRODUCT(MAX((scans!$C$2:$C$1601=(IF(LEFT($A248,7)="SAMPLE-","SAMPLE-","")&amp;LOWER(SUBSTITUTE(SUBSTITUTE($A248,"SAMPLE-",""),"CMP-","c"))&amp;"-"&amp;LOWER(SUBSTITUTE(SUBSTITUTE($B248,"SAMPLE-",""),"O-","o"))&amp;"-q"))*(scans!$D$2:$D$1601="close")*scans!$E$2:$E$1601))-SUMPRODUCT(MAX((scans!$C$2:$C$1601=(IF(LEFT($A248,7)="SAMPLE-","SAMPLE-","")&amp;LOWER(SUBSTITUTE(SUBSTITUTE($A248,"SAMPLE-",""),"CMP-","c"))&amp;"-"&amp;LOWER(SUBSTITUTE(SUBSTITUTE($B248,"SAMPLE-",""),"O-","o"))&amp;"-q"))*(scans!$D$2:$D$1601="baseline")*scans!$E$2:$E$1601))))</f>
        <v/>
      </c>
      <c r="AO248" s="25">
        <f>IF($A248="","",IF(COUNTIFS(scans!$C$2:$C$1601,(IF(LEFT($A248,7)="SAMPLE-","SAMPLE-","")&amp;LOWER(SUBSTITUTE(SUBSTITUTE($A248,"SAMPLE-",""),"CMP-","c"))&amp;"-"&amp;LOWER(SUBSTITUTE(SUBSTITUTE($B248,"SAMPLE-",""),"O-","o"))&amp;"-p"),scans!$D$2:$D$1601,"close")=0,"",SUMPRODUCT(MAX((scans!$C$2:$C$1601=(IF(LEFT($A248,7)="SAMPLE-","SAMPLE-","")&amp;LOWER(SUBSTITUTE(SUBSTITUTE($A248,"SAMPLE-",""),"CMP-","c"))&amp;"-"&amp;LOWER(SUBSTITUTE(SUBSTITUTE($B248,"SAMPLE-",""),"O-","o"))&amp;"-p"))*(scans!$D$2:$D$1601="close")*scans!$E$2:$E$1601))-SUMPRODUCT(MAX((scans!$C$2:$C$1601=(IF(LEFT($A248,7)="SAMPLE-","SAMPLE-","")&amp;LOWER(SUBSTITUTE(SUBSTITUTE($A248,"SAMPLE-",""),"CMP-","c"))&amp;"-"&amp;LOWER(SUBSTITUTE(SUBSTITUTE($B248,"SAMPLE-",""),"O-","o"))&amp;"-p"))*(scans!$D$2:$D$1601="baseline")*scans!$E$2:$E$1601))))</f>
        <v/>
      </c>
      <c r="AP248" s="25">
        <f>IF($A248="","",IF(COUNTIF(offices!$A$2:$A$61,$B248)=0,"office_id not on offices; ","")&amp;IF(COUNTIF(campaigns!$A$2:$A$51,$A248)=0,"campaign_id not on campaigns; ","")&amp;IF($P248="pending","approval pending; ","")&amp;IF(AND($U248&gt;0,$Y248="",OR($I248="",IF(config!$B$37&lt;&gt;"",config!$B$37,TODAY())&lt;=WORKDAY(N($I248),4,calendar!$A$2:$A$80))),"no usable placement photo yet; ","")&amp;IF(AND($Y248&lt;&gt;"",$Z248=""),"log the placed count; ","")&amp;IF(N($AA248)&gt;N($U248),"placed more than delivered; ","")&amp;IF(AND($AF248&lt;&gt;"",N($AF248)&gt;N($AA248)+N($AD248)),"day-5 count above placed plus top-ups; ","")&amp;IF(AND($U248&gt;0,$I248&lt;&gt;"",IF(config!$B$37&lt;&gt;"",config!$B$37,TODAY())&gt;WORKDAY(N($I248),4,calendar!$A$2:$A$80),$AF248=""),"day-5 count missing; ","")&amp;IF(AND($U248&gt;0,$I248&lt;&gt;"",IF(config!$B$37&lt;&gt;"",config!$B$37,TODAY())&gt;WORKDAY(N($I248),4,calendar!$A$2:$A$80),$AN248=""),"no close link reading; ","")&amp;$R248&amp;IF($P248="N","info: office said no; ","")&amp;IF(AND($P248="Y",$Q248="N"),"info: turned away at the door, so not on the drop (no letter, not in the report or Gate 2; the credit check is on campaigns); ","")&amp;IF(AND($U248&gt;0,$Y248="",$I248&lt;&gt;"",IF(config!$B$37&lt;&gt;"",config!$B$37,TODAY())&gt;WORKDAY(N($I248),4,calendar!$A$2:$A$80)),"info: no usable placement photo, so nothing counts as placed; ","")&amp;IF(AND($U248&gt;0,$I248&lt;&gt;"",IF(config!$B$37&lt;&gt;"",config!$B$37,TODAY())&gt;WORKDAY(N($I248),4,calendar!$A$2:$A$80),N($AL248)&lt;config!$B$30),"info: under "&amp;config!$B$30&amp;" responses; ","")&amp;IF($W248="packing_list","info: delivered count not verified; ",""))</f>
        <v/>
      </c>
      <c r="AQ248" s="25">
        <f>IF(OR($A248="",$I248=""),"",IF($BC248="Y",SUMIFS(survey_frozen!$E$2:$E$251,survey_frozen!$P$2:$P$251,$A248&amp;"|"&amp;$B248),IFERROR(COUNTIFS(INDIRECT("'"&amp;$A248&amp;"'!$B$2:$B$501"),$T248,INDIRECT("'"&amp;$A248&amp;"'!$A$2:$A$501"),"&gt;="&amp;$I248,INDIRECT("'"&amp;$A248&amp;"'!$A$2:$A$501"),"&lt;"&amp;($BA248+1),INDIRECT("'"&amp;$A248&amp;"'!$F$2:$F$501"),"Didn't see it"),0)))</f>
        <v/>
      </c>
      <c r="AR248" s="25">
        <f>IF(OR($A248="",$I248=""),"",IF($BC248="Y",SUMIFS(survey_frozen!$F$2:$F$251,survey_frozen!$P$2:$P$251,$A248&amp;"|"&amp;$B248),IFERROR(COUNTIFS(INDIRECT("'"&amp;$A248&amp;"'!$B$2:$B$501"),$T248,INDIRECT("'"&amp;$A248&amp;"'!$A$2:$A$501"),"&gt;="&amp;$I248,INDIRECT("'"&amp;$A248&amp;"'!$A$2:$A$501"),"&lt;"&amp;($BA248+1),INDIRECT("'"&amp;$A248&amp;"'!$F$2:$F$501"),"Not for me"),0)))</f>
        <v/>
      </c>
      <c r="AS248" s="25">
        <f>IF(OR($A248="",$I248=""),"",IF($BC248="Y",SUMIFS(survey_frozen!$G$2:$G$251,survey_frozen!$P$2:$P$251,$A248&amp;"|"&amp;$B248),IFERROR(COUNTIFS(INDIRECT("'"&amp;$A248&amp;"'!$B$2:$B$501"),$T248,INDIRECT("'"&amp;$A248&amp;"'!$A$2:$A$501"),"&gt;="&amp;$I248,INDIRECT("'"&amp;$A248&amp;"'!$A$2:$A$501"),"&lt;"&amp;($BA248+1),INDIRECT("'"&amp;$A248&amp;"'!$F$2:$F$501"),"Gone by the time I looked"),0)))</f>
        <v/>
      </c>
      <c r="AT248" s="25">
        <f>IF(OR($A248="",$I248=""),"",IF($BC248="Y",SUMIFS(survey_frozen!$H$2:$H$251,survey_frozen!$P$2:$P$251,$A248&amp;"|"&amp;$B248),IFERROR(COUNTIFS(INDIRECT("'"&amp;$A248&amp;"'!$B$2:$B$501"),$T248,INDIRECT("'"&amp;$A248&amp;"'!$A$2:$A$501"),"&gt;="&amp;$I248,INDIRECT("'"&amp;$A248&amp;"'!$A$2:$A$501"),"&lt;"&amp;($BA248+1),INDIRECT("'"&amp;$A248&amp;"'!$D$2:$D$501"),"&gt;=1"),0)))</f>
        <v/>
      </c>
      <c r="AU248" s="25">
        <f>IF(OR($A248="",$I248=""),"",IF($BC248="Y",SUMIFS(survey_frozen!$I$2:$I$251,survey_frozen!$P$2:$P$251,$A248&amp;"|"&amp;$B248),IFERROR(SUMIFS(INDIRECT("'"&amp;$A248&amp;"'!$D$2:$D$501"),INDIRECT("'"&amp;$A248&amp;"'!$B$2:$B$501"),$T248,INDIRECT("'"&amp;$A248&amp;"'!$A$2:$A$501"),"&gt;="&amp;$I248,INDIRECT("'"&amp;$A248&amp;"'!$A$2:$A$501"),"&lt;"&amp;($BA248+1)),0)))</f>
        <v/>
      </c>
      <c r="AV248" s="25">
        <f>IF(OR($A248="",$I248=""),"",IF($BC248="Y",SUMIFS(survey_frozen!$J$2:$J$251,survey_frozen!$P$2:$P$251,$A248&amp;"|"&amp;$B248),IFERROR(COUNTIFS(INDIRECT("'"&amp;$A248&amp;"'!$B$2:$B$501"),$T248,INDIRECT("'"&amp;$A248&amp;"'!$A$2:$A$501"),"&gt;="&amp;$I248,INDIRECT("'"&amp;$A248&amp;"'!$A$2:$A$501"),"&lt;"&amp;($BA248+1),INDIRECT("'"&amp;$A248&amp;"'!$E$2:$E$501"),"Yes"),0)))</f>
        <v/>
      </c>
      <c r="AW248" s="25">
        <f>IF(OR($A248="",$I248=""),"",IF($BC248="Y",SUMIFS(survey_frozen!$K$2:$K$251,survey_frozen!$P$2:$P$251,$A248&amp;"|"&amp;$B248),IFERROR(COUNTIFS(INDIRECT("'"&amp;$A248&amp;"'!$B$2:$B$501"),$T248,INDIRECT("'"&amp;$A248&amp;"'!$A$2:$A$501"),"&gt;="&amp;$I248,INDIRECT("'"&amp;$A248&amp;"'!$A$2:$A$501"),"&lt;"&amp;($BA248+1),INDIRECT("'"&amp;$A248&amp;"'!$E$2:$E$501"),"Maybe"),0)))</f>
        <v/>
      </c>
      <c r="AX248" s="25">
        <f>IF(OR($A248="",$I248=""),"",IF($BC248="Y",SUMIFS(survey_frozen!$L$2:$L$251,survey_frozen!$P$2:$P$251,$A248&amp;"|"&amp;$B248),IFERROR(COUNTIFS(INDIRECT("'"&amp;$A248&amp;"'!$B$2:$B$501"),$T248,INDIRECT("'"&amp;$A248&amp;"'!$A$2:$A$501"),"&gt;="&amp;$I248,INDIRECT("'"&amp;$A248&amp;"'!$A$2:$A$501"),"&lt;"&amp;($BA248+1),INDIRECT("'"&amp;$A248&amp;"'!$E$2:$E$501"),"No"),0)))</f>
        <v/>
      </c>
      <c r="AY248" s="25">
        <f>IF(OR($A248="",$I248=""),"",IF($BC248="Y",SUMIFS(survey_frozen!$M$2:$M$251,survey_frozen!$P$2:$P$251,$A248&amp;"|"&amp;$B248),IFERROR(COUNTIFS(INDIRECT("'"&amp;$A248&amp;"'!$B$2:$B$501"),$T248,INDIRECT("'"&amp;$A248&amp;"'!$A$2:$A$501"),"&gt;="&amp;$I248,INDIRECT("'"&amp;$A248&amp;"'!$A$2:$A$501"),"&lt;"&amp;($BA248+1),INDIRECT("'"&amp;$A248&amp;"'!$G$2:$G$501"),"&lt;&gt;"),0)))</f>
        <v/>
      </c>
      <c r="AZ248" s="25">
        <f>IF($A248="","",$A248&amp;"|"&amp;$L248)</f>
        <v/>
      </c>
      <c r="BA248" s="26">
        <f>IF($A248="","",IFERROR(IF(INDEX(drops!$R$2:$R$21,MATCH($H248,drops!$A$2:$A$21,0))="","",INDEX(drops!$R$2:$R$21,MATCH($H248,drops!$A$2:$A$21,0))),""))</f>
        <v/>
      </c>
      <c r="BB248" s="25">
        <f>IF(OR($A248="",$Q248&lt;&gt;"Y"),1000000,N($AL248))</f>
        <v/>
      </c>
      <c r="BC248" s="25">
        <f>IF($A248="","",IF(COUNTIF(survey_frozen!$P$2:$P$251,$A248&amp;"|"&amp;$B248)&gt;0,"Y",""))</f>
        <v/>
      </c>
    </row>
    <row r="249">
      <c r="C249" s="9" t="n"/>
      <c r="E249" s="9" t="n"/>
      <c r="H249" s="25">
        <f>IF($A249="","",IFERROR(IF(INDEX(campaigns!$B$2:$B$51,MATCH($A249,campaigns!$A$2:$A$51,0))="","",INDEX(campaigns!$B$2:$B$51,MATCH($A249,campaigns!$A$2:$A$51,0))),""))</f>
        <v/>
      </c>
      <c r="I249" s="26">
        <f>IF($A249="","",IFERROR(IF(INDEX(campaigns!$BG$2:$BG$51,MATCH($A249,campaigns!$A$2:$A$51,0))="","",INDEX(campaigns!$BG$2:$BG$51,MATCH($A249,campaigns!$A$2:$A$51,0))),""))</f>
        <v/>
      </c>
      <c r="J249" s="25">
        <f>IF($A249="","",IFERROR(IF(INDEX(campaigns!$BE$2:$BE$51,MATCH($A249,campaigns!$A$2:$A$51,0))="","",INDEX(campaigns!$BE$2:$BE$51,MATCH($A249,campaigns!$A$2:$A$51,0))),""))</f>
        <v/>
      </c>
      <c r="K249" s="25">
        <f>IF($B249="","",IFERROR(IF(INDEX(offices!$N$2:$N$61,MATCH($B249,offices!$A$2:$A$61,0))="","",INDEX(offices!$N$2:$N$61,MATCH($B249,offices!$A$2:$A$61,0))),""))</f>
        <v/>
      </c>
      <c r="L249" s="25">
        <f>IF($A249="","",IF($Q249="N","",COUNTIFS($A$2:$A249,$A249,$Q$2:$Q249,"&lt;&gt;N")))</f>
        <v/>
      </c>
      <c r="M249" s="25">
        <f>IF(OR($A249="",$L249=""),"",IF(AND(config!$B$34="names_if_public",IFERROR(IF(INDEX(offices!$AF$2:$AF$61,MATCH($B249,offices!$A$2:$A$61,0))="","",INDEX(offices!$AF$2:$AF$61,MATCH($B249,offices!$A$2:$A$61,0))),"")="Y"),$K249,CHAR(64+$L249)))</f>
        <v/>
      </c>
      <c r="N249" s="25">
        <f>IF(OR($A249="",$I249=""),"",COUNTIFS(stops!$B$2:$B$151,$B249,stops!$P$2:$P$151,"&lt;"&amp;$I249,stops!$L$2:$L$151,"&lt;&gt;not_delivered")+1)</f>
        <v/>
      </c>
      <c r="O249" s="25">
        <f>IF($A249="","",IF(N($N249)&lt;=config!$B$29,"explicit","opt-out"))</f>
        <v/>
      </c>
      <c r="P249" s="25">
        <f>IF($A249="","",IF($O249="explicit",IF($D249="yes","Y",IF($D249="no","N","pending")),IF($D249="no","N",IF(AND($C249&lt;&gt;"",$I249&lt;&gt;"",$C249&lt;=WORKDAY(N($I249),-5,calendar!$A$2:$A$80)),"Y","pending"))))</f>
        <v/>
      </c>
      <c r="Q249" s="25">
        <f>IF($A249="","",IF($P249="N","N",IF($P249&lt;&gt;"Y","pending",IF(AND((COUNTIFS(stops!$A$2:$A$151,$H249,stops!$B$2:$B$151,$B249,stops!$L$2:$L$151,"declined")+COUNTIFS(stops!$A$2:$A$151,$H249,stops!$B$2:$B$151,$B249,stops!$L$2:$L$151,"building_refused")+COUNTIFS(stops!$A$2:$A$151,$H249,stops!$B$2:$B$151,$B249,stops!$L$2:$L$151,"not_delivered"))&gt;0,N($U249)=0),"N","Y"))))</f>
        <v/>
      </c>
      <c r="R249" s="25">
        <f>IF($A249="","",IF(COUNTIFS($A$2:$A$251,$A249,$B$2:$B$251,$B249)&gt;1,"DUPLICATE ROW; ","")&amp;IF(AND(IFERROR(IF(INDEX(offices!$AC$2:$AC$61,MATCH($B249,offices!$A$2:$A$61,0))="","",INDEX(offices!$AC$2:$AC$61,MATCH($B249,offices!$A$2:$A$61,0))),"")&lt;&gt;"",ISNUMBER(SEARCH($J249,IFERROR(IF(INDEX(offices!$AC$2:$AC$61,MATCH($B249,offices!$A$2:$A$61,0))="","",INDEX(offices!$AC$2:$AC$61,MATCH($B249,offices!$A$2:$A$61,0))),"")))),"BRAND VETOED; ","")&amp;IF(ISNUMBER(SEARCH(IFERROR(IF(INDEX(campaigns!$BF$2:$BF$51,MATCH($A249,campaigns!$A$2:$A$51,0))="","",INDEX(campaigns!$BF$2:$BF$51,MATCH($A249,campaigns!$A$2:$A$51,0))),""),IFERROR(IF(INDEX(offices!$AB$2:$AB$61,MATCH($B249,offices!$A$2:$A$61,0))="","",INDEX(offices!$AB$2:$AB$61,MATCH($B249,offices!$A$2:$A$61,0))),""))),"","info: category not on the office's list; ")&amp;IF(IFERROR(IF(INDEX(offices!$AC$2:$AC$61,MATCH($B249,offices!$A$2:$A$61,0))="","",INDEX(offices!$AC$2:$AC$61,MATCH($B249,offices!$A$2:$A$61,0))),"")&lt;&gt;"","info: read the vetoes against the label; ",""))</f>
        <v/>
      </c>
      <c r="S249" s="25">
        <f>IF($A249="","",IF($G249&lt;&gt;"",$G249,IFERROR(IF(INDEX(offices!$AL$2:$AL$61,MATCH($B249,offices!$A$2:$A$61,0))="","",INDEX(offices!$AL$2:$AL$61,MATCH($B249,offices!$A$2:$A$61,0))),"")))</f>
        <v/>
      </c>
      <c r="T249" s="25">
        <f>IF($A249="","",$A249&amp;"."&amp;$B249)</f>
        <v/>
      </c>
      <c r="U249" s="25">
        <f>IF($A249="","",SUMIFS(inventory!$G$2:$G$801,inventory!$C$2:$C$801,$A249,inventory!$D$2:$D$801,$B249,inventory!$E$2:$E$801,"delivered"))</f>
        <v/>
      </c>
      <c r="V249" s="32">
        <f>IF($A249="","",IFERROR(1/(1/SUMPRODUCT(MAX((inventory!$C$2:$C$801=$A249)*(inventory!$D$2:$D$801=$B249)*(inventory!$E$2:$E$801="delivered")*(inventory!$A$2:$A$801+inventory!$B$2:$B$801)))),""))</f>
        <v/>
      </c>
      <c r="W249" s="25">
        <f>IF($A249="","",IFERROR(IF(INDEX(inventory!$J$2:$J$801,MATCH($A249&amp;"|"&amp;$B249&amp;"|delivered",inventory!$R$2:$R$801,0))="","",INDEX(inventory!$J$2:$J$801,MATCH($A249&amp;"|"&amp;$B249&amp;"|delivered",inventory!$R$2:$R$801,0))),""))</f>
        <v/>
      </c>
      <c r="X249" s="25">
        <f>IF($A249="","",IFERROR(IF(INDEX(photos!$H$2:$H$701,MATCH($A249&amp;"|"&amp;$B249&amp;"|placement|Y",photos!$R$2:$R$701,0))="","",INDEX(photos!$H$2:$H$701,MATCH($A249&amp;"|"&amp;$B249&amp;"|placement|Y",photos!$R$2:$R$701,0))),""))</f>
        <v/>
      </c>
      <c r="Y249" s="26">
        <f>IF($A249="","",IFERROR(IF(INDEX(photos!$E$2:$E$701,MATCH($A249&amp;"|"&amp;$B249&amp;"|placement|Y",photos!$R$2:$R$701,0))="","",INDEX(photos!$E$2:$E$701,MATCH($A249&amp;"|"&amp;$B249&amp;"|placement|Y",photos!$R$2:$R$701,0))),""))</f>
        <v/>
      </c>
      <c r="Z249" s="25">
        <f>IF($A249="","",IF(COUNTIFS(counts!$C$2:$C$701,$A249,counts!$D$2:$D$701,$B249,counts!$E$2:$E$701,"placed")=0,"",SUMIFS(counts!$F$2:$F$701,counts!$C$2:$C$701,$A249,counts!$D$2:$D$701,$B249,counts!$E$2:$E$701,"placed")))</f>
        <v/>
      </c>
      <c r="AA249" s="25">
        <f>IF($A249="","",IF($Y249="",0,N($Z249)))</f>
        <v/>
      </c>
      <c r="AB249" s="25">
        <f>IF($A249="","",IF(OR($Y249="",$I249=""),"N",IF($Y249&lt;=WORKDAY(N($I249),1,calendar!$A$2:$A$80),"Y","N")))</f>
        <v/>
      </c>
      <c r="AC249" s="28">
        <f>IF(OR($A249="",$V249="",$Y249=""),"",ROUND(($Y249+N(IFERROR(IF(INDEX(photos!$F$2:$F$701,MATCH($A249&amp;"|"&amp;$B249&amp;"|placement|Y",photos!$R$2:$R$701,0))="","",INDEX(photos!$F$2:$F$701,MATCH($A249&amp;"|"&amp;$B249&amp;"|placement|Y",photos!$R$2:$R$701,0))),""))-$V249)*24,1))</f>
        <v/>
      </c>
      <c r="AD249" s="25">
        <f>IF($A249="","",SUMIFS(inventory!$G$2:$G$801,inventory!$C$2:$C$801,$A249,inventory!$D$2:$D$801,$B249,inventory!$E$2:$E$801,"topped_up"))</f>
        <v/>
      </c>
      <c r="AE249" s="25">
        <f>IF($A249="","",IF(COUNTIFS(counts!$C$2:$C$701,$A249,counts!$D$2:$D$701,$B249,counts!$E$2:$E$701,"remaining_day3")=0,"",SUMIFS(counts!$F$2:$F$701,counts!$C$2:$C$701,$A249,counts!$D$2:$D$701,$B249,counts!$E$2:$E$701,"remaining_day3")))</f>
        <v/>
      </c>
      <c r="AF249" s="25">
        <f>IF($A249="","",IF(COUNTIFS(counts!$C$2:$C$701,$A249,counts!$D$2:$D$701,$B249,counts!$E$2:$E$701,"remaining_day5")=0,"",SUMIFS(counts!$F$2:$F$701,counts!$C$2:$C$701,$A249,counts!$D$2:$D$701,$B249,counts!$E$2:$E$701,"remaining_day5")))</f>
        <v/>
      </c>
      <c r="AG249" s="25">
        <f>IF(OR($A249="",$AF249=""),"",MAX(0,$AA249+$AD249-$AF249))</f>
        <v/>
      </c>
      <c r="AH249" s="25">
        <f>IF(OR($A249="",$AI249=""),"",IFERROR(IF(INDEX(photos!$H$2:$H$701,MATCH($A249&amp;"|"&amp;$B249&amp;"|later|Y|"&amp;$AI249,photos!$S$2:$S$701,0))="","",INDEX(photos!$H$2:$H$701,MATCH($A249&amp;"|"&amp;$B249&amp;"|later|Y|"&amp;$AI249,photos!$S$2:$S$701,0))),""))</f>
        <v/>
      </c>
      <c r="AI249" s="26">
        <f>IF($A249="","",IFERROR(1/(1/SUMPRODUCT(MAX((photos!$B$2:$B$701=$A249)*(photos!$C$2:$C$701=$B249)*(photos!$D$2:$D$701="later")*(photos!$O$2:$O$701="Y")*photos!$E$2:$E$701))),""))</f>
        <v/>
      </c>
      <c r="AJ249" s="25">
        <f>IF(OR($A249="",$AI249="",$I249=""),"",NETWORKDAYS($I249,$AI249,calendar!$A$2:$A$80))</f>
        <v/>
      </c>
      <c r="AK249" s="25">
        <f>IF($A249="","",IF(AND($X249&lt;&gt;"",$AH249&lt;&gt;""),"Y","N"))</f>
        <v/>
      </c>
      <c r="AL249" s="25">
        <f>IF(OR($A249="",$I249=""),"",IF($BC249="Y",SUMIFS(survey_frozen!$C$2:$C$251,survey_frozen!$P$2:$P$251,$A249&amp;"|"&amp;$B249),IFERROR(COUNTIFS(INDIRECT("'"&amp;$A249&amp;"'!$B$2:$B$501"),$T249,INDIRECT("'"&amp;$A249&amp;"'!$A$2:$A$501"),"&gt;="&amp;$I249,INDIRECT("'"&amp;$A249&amp;"'!$A$2:$A$501"),"&lt;"&amp;($BA249+1)),0)))</f>
        <v/>
      </c>
      <c r="AM249" s="25">
        <f>IF(OR($A249="",$I249=""),"",IF($BC249="Y",SUMIFS(survey_frozen!$D$2:$D$251,survey_frozen!$P$2:$P$251,$A249&amp;"|"&amp;$B249),IFERROR(COUNTIFS(INDIRECT("'"&amp;$A249&amp;"'!$B$2:$B$501"),$T249,INDIRECT("'"&amp;$A249&amp;"'!$A$2:$A$501"),"&gt;="&amp;$I249,INDIRECT("'"&amp;$A249&amp;"'!$A$2:$A$501"),"&lt;"&amp;($BA249+1),INDIRECT("'"&amp;$A249&amp;"'!$C$2:$C$501"),"Yes"),0)))</f>
        <v/>
      </c>
      <c r="AN249" s="25">
        <f>IF($A249="","",IF(COUNTIFS(scans!$C$2:$C$1601,(IF(LEFT($A249,7)="SAMPLE-","SAMPLE-","")&amp;LOWER(SUBSTITUTE(SUBSTITUTE($A249,"SAMPLE-",""),"CMP-","c"))&amp;"-"&amp;LOWER(SUBSTITUTE(SUBSTITUTE($B249,"SAMPLE-",""),"O-","o"))&amp;"-q"),scans!$D$2:$D$1601,"close")=0,"",SUMPRODUCT(MAX((scans!$C$2:$C$1601=(IF(LEFT($A249,7)="SAMPLE-","SAMPLE-","")&amp;LOWER(SUBSTITUTE(SUBSTITUTE($A249,"SAMPLE-",""),"CMP-","c"))&amp;"-"&amp;LOWER(SUBSTITUTE(SUBSTITUTE($B249,"SAMPLE-",""),"O-","o"))&amp;"-q"))*(scans!$D$2:$D$1601="close")*scans!$E$2:$E$1601))-SUMPRODUCT(MAX((scans!$C$2:$C$1601=(IF(LEFT($A249,7)="SAMPLE-","SAMPLE-","")&amp;LOWER(SUBSTITUTE(SUBSTITUTE($A249,"SAMPLE-",""),"CMP-","c"))&amp;"-"&amp;LOWER(SUBSTITUTE(SUBSTITUTE($B249,"SAMPLE-",""),"O-","o"))&amp;"-q"))*(scans!$D$2:$D$1601="baseline")*scans!$E$2:$E$1601))))</f>
        <v/>
      </c>
      <c r="AO249" s="25">
        <f>IF($A249="","",IF(COUNTIFS(scans!$C$2:$C$1601,(IF(LEFT($A249,7)="SAMPLE-","SAMPLE-","")&amp;LOWER(SUBSTITUTE(SUBSTITUTE($A249,"SAMPLE-",""),"CMP-","c"))&amp;"-"&amp;LOWER(SUBSTITUTE(SUBSTITUTE($B249,"SAMPLE-",""),"O-","o"))&amp;"-p"),scans!$D$2:$D$1601,"close")=0,"",SUMPRODUCT(MAX((scans!$C$2:$C$1601=(IF(LEFT($A249,7)="SAMPLE-","SAMPLE-","")&amp;LOWER(SUBSTITUTE(SUBSTITUTE($A249,"SAMPLE-",""),"CMP-","c"))&amp;"-"&amp;LOWER(SUBSTITUTE(SUBSTITUTE($B249,"SAMPLE-",""),"O-","o"))&amp;"-p"))*(scans!$D$2:$D$1601="close")*scans!$E$2:$E$1601))-SUMPRODUCT(MAX((scans!$C$2:$C$1601=(IF(LEFT($A249,7)="SAMPLE-","SAMPLE-","")&amp;LOWER(SUBSTITUTE(SUBSTITUTE($A249,"SAMPLE-",""),"CMP-","c"))&amp;"-"&amp;LOWER(SUBSTITUTE(SUBSTITUTE($B249,"SAMPLE-",""),"O-","o"))&amp;"-p"))*(scans!$D$2:$D$1601="baseline")*scans!$E$2:$E$1601))))</f>
        <v/>
      </c>
      <c r="AP249" s="25">
        <f>IF($A249="","",IF(COUNTIF(offices!$A$2:$A$61,$B249)=0,"office_id not on offices; ","")&amp;IF(COUNTIF(campaigns!$A$2:$A$51,$A249)=0,"campaign_id not on campaigns; ","")&amp;IF($P249="pending","approval pending; ","")&amp;IF(AND($U249&gt;0,$Y249="",OR($I249="",IF(config!$B$37&lt;&gt;"",config!$B$37,TODAY())&lt;=WORKDAY(N($I249),4,calendar!$A$2:$A$80))),"no usable placement photo yet; ","")&amp;IF(AND($Y249&lt;&gt;"",$Z249=""),"log the placed count; ","")&amp;IF(N($AA249)&gt;N($U249),"placed more than delivered; ","")&amp;IF(AND($AF249&lt;&gt;"",N($AF249)&gt;N($AA249)+N($AD249)),"day-5 count above placed plus top-ups; ","")&amp;IF(AND($U249&gt;0,$I249&lt;&gt;"",IF(config!$B$37&lt;&gt;"",config!$B$37,TODAY())&gt;WORKDAY(N($I249),4,calendar!$A$2:$A$80),$AF249=""),"day-5 count missing; ","")&amp;IF(AND($U249&gt;0,$I249&lt;&gt;"",IF(config!$B$37&lt;&gt;"",config!$B$37,TODAY())&gt;WORKDAY(N($I249),4,calendar!$A$2:$A$80),$AN249=""),"no close link reading; ","")&amp;$R249&amp;IF($P249="N","info: office said no; ","")&amp;IF(AND($P249="Y",$Q249="N"),"info: turned away at the door, so not on the drop (no letter, not in the report or Gate 2; the credit check is on campaigns); ","")&amp;IF(AND($U249&gt;0,$Y249="",$I249&lt;&gt;"",IF(config!$B$37&lt;&gt;"",config!$B$37,TODAY())&gt;WORKDAY(N($I249),4,calendar!$A$2:$A$80)),"info: no usable placement photo, so nothing counts as placed; ","")&amp;IF(AND($U249&gt;0,$I249&lt;&gt;"",IF(config!$B$37&lt;&gt;"",config!$B$37,TODAY())&gt;WORKDAY(N($I249),4,calendar!$A$2:$A$80),N($AL249)&lt;config!$B$30),"info: under "&amp;config!$B$30&amp;" responses; ","")&amp;IF($W249="packing_list","info: delivered count not verified; ",""))</f>
        <v/>
      </c>
      <c r="AQ249" s="25">
        <f>IF(OR($A249="",$I249=""),"",IF($BC249="Y",SUMIFS(survey_frozen!$E$2:$E$251,survey_frozen!$P$2:$P$251,$A249&amp;"|"&amp;$B249),IFERROR(COUNTIFS(INDIRECT("'"&amp;$A249&amp;"'!$B$2:$B$501"),$T249,INDIRECT("'"&amp;$A249&amp;"'!$A$2:$A$501"),"&gt;="&amp;$I249,INDIRECT("'"&amp;$A249&amp;"'!$A$2:$A$501"),"&lt;"&amp;($BA249+1),INDIRECT("'"&amp;$A249&amp;"'!$F$2:$F$501"),"Didn't see it"),0)))</f>
        <v/>
      </c>
      <c r="AR249" s="25">
        <f>IF(OR($A249="",$I249=""),"",IF($BC249="Y",SUMIFS(survey_frozen!$F$2:$F$251,survey_frozen!$P$2:$P$251,$A249&amp;"|"&amp;$B249),IFERROR(COUNTIFS(INDIRECT("'"&amp;$A249&amp;"'!$B$2:$B$501"),$T249,INDIRECT("'"&amp;$A249&amp;"'!$A$2:$A$501"),"&gt;="&amp;$I249,INDIRECT("'"&amp;$A249&amp;"'!$A$2:$A$501"),"&lt;"&amp;($BA249+1),INDIRECT("'"&amp;$A249&amp;"'!$F$2:$F$501"),"Not for me"),0)))</f>
        <v/>
      </c>
      <c r="AS249" s="25">
        <f>IF(OR($A249="",$I249=""),"",IF($BC249="Y",SUMIFS(survey_frozen!$G$2:$G$251,survey_frozen!$P$2:$P$251,$A249&amp;"|"&amp;$B249),IFERROR(COUNTIFS(INDIRECT("'"&amp;$A249&amp;"'!$B$2:$B$501"),$T249,INDIRECT("'"&amp;$A249&amp;"'!$A$2:$A$501"),"&gt;="&amp;$I249,INDIRECT("'"&amp;$A249&amp;"'!$A$2:$A$501"),"&lt;"&amp;($BA249+1),INDIRECT("'"&amp;$A249&amp;"'!$F$2:$F$501"),"Gone by the time I looked"),0)))</f>
        <v/>
      </c>
      <c r="AT249" s="25">
        <f>IF(OR($A249="",$I249=""),"",IF($BC249="Y",SUMIFS(survey_frozen!$H$2:$H$251,survey_frozen!$P$2:$P$251,$A249&amp;"|"&amp;$B249),IFERROR(COUNTIFS(INDIRECT("'"&amp;$A249&amp;"'!$B$2:$B$501"),$T249,INDIRECT("'"&amp;$A249&amp;"'!$A$2:$A$501"),"&gt;="&amp;$I249,INDIRECT("'"&amp;$A249&amp;"'!$A$2:$A$501"),"&lt;"&amp;($BA249+1),INDIRECT("'"&amp;$A249&amp;"'!$D$2:$D$501"),"&gt;=1"),0)))</f>
        <v/>
      </c>
      <c r="AU249" s="25">
        <f>IF(OR($A249="",$I249=""),"",IF($BC249="Y",SUMIFS(survey_frozen!$I$2:$I$251,survey_frozen!$P$2:$P$251,$A249&amp;"|"&amp;$B249),IFERROR(SUMIFS(INDIRECT("'"&amp;$A249&amp;"'!$D$2:$D$501"),INDIRECT("'"&amp;$A249&amp;"'!$B$2:$B$501"),$T249,INDIRECT("'"&amp;$A249&amp;"'!$A$2:$A$501"),"&gt;="&amp;$I249,INDIRECT("'"&amp;$A249&amp;"'!$A$2:$A$501"),"&lt;"&amp;($BA249+1)),0)))</f>
        <v/>
      </c>
      <c r="AV249" s="25">
        <f>IF(OR($A249="",$I249=""),"",IF($BC249="Y",SUMIFS(survey_frozen!$J$2:$J$251,survey_frozen!$P$2:$P$251,$A249&amp;"|"&amp;$B249),IFERROR(COUNTIFS(INDIRECT("'"&amp;$A249&amp;"'!$B$2:$B$501"),$T249,INDIRECT("'"&amp;$A249&amp;"'!$A$2:$A$501"),"&gt;="&amp;$I249,INDIRECT("'"&amp;$A249&amp;"'!$A$2:$A$501"),"&lt;"&amp;($BA249+1),INDIRECT("'"&amp;$A249&amp;"'!$E$2:$E$501"),"Yes"),0)))</f>
        <v/>
      </c>
      <c r="AW249" s="25">
        <f>IF(OR($A249="",$I249=""),"",IF($BC249="Y",SUMIFS(survey_frozen!$K$2:$K$251,survey_frozen!$P$2:$P$251,$A249&amp;"|"&amp;$B249),IFERROR(COUNTIFS(INDIRECT("'"&amp;$A249&amp;"'!$B$2:$B$501"),$T249,INDIRECT("'"&amp;$A249&amp;"'!$A$2:$A$501"),"&gt;="&amp;$I249,INDIRECT("'"&amp;$A249&amp;"'!$A$2:$A$501"),"&lt;"&amp;($BA249+1),INDIRECT("'"&amp;$A249&amp;"'!$E$2:$E$501"),"Maybe"),0)))</f>
        <v/>
      </c>
      <c r="AX249" s="25">
        <f>IF(OR($A249="",$I249=""),"",IF($BC249="Y",SUMIFS(survey_frozen!$L$2:$L$251,survey_frozen!$P$2:$P$251,$A249&amp;"|"&amp;$B249),IFERROR(COUNTIFS(INDIRECT("'"&amp;$A249&amp;"'!$B$2:$B$501"),$T249,INDIRECT("'"&amp;$A249&amp;"'!$A$2:$A$501"),"&gt;="&amp;$I249,INDIRECT("'"&amp;$A249&amp;"'!$A$2:$A$501"),"&lt;"&amp;($BA249+1),INDIRECT("'"&amp;$A249&amp;"'!$E$2:$E$501"),"No"),0)))</f>
        <v/>
      </c>
      <c r="AY249" s="25">
        <f>IF(OR($A249="",$I249=""),"",IF($BC249="Y",SUMIFS(survey_frozen!$M$2:$M$251,survey_frozen!$P$2:$P$251,$A249&amp;"|"&amp;$B249),IFERROR(COUNTIFS(INDIRECT("'"&amp;$A249&amp;"'!$B$2:$B$501"),$T249,INDIRECT("'"&amp;$A249&amp;"'!$A$2:$A$501"),"&gt;="&amp;$I249,INDIRECT("'"&amp;$A249&amp;"'!$A$2:$A$501"),"&lt;"&amp;($BA249+1),INDIRECT("'"&amp;$A249&amp;"'!$G$2:$G$501"),"&lt;&gt;"),0)))</f>
        <v/>
      </c>
      <c r="AZ249" s="25">
        <f>IF($A249="","",$A249&amp;"|"&amp;$L249)</f>
        <v/>
      </c>
      <c r="BA249" s="26">
        <f>IF($A249="","",IFERROR(IF(INDEX(drops!$R$2:$R$21,MATCH($H249,drops!$A$2:$A$21,0))="","",INDEX(drops!$R$2:$R$21,MATCH($H249,drops!$A$2:$A$21,0))),""))</f>
        <v/>
      </c>
      <c r="BB249" s="25">
        <f>IF(OR($A249="",$Q249&lt;&gt;"Y"),1000000,N($AL249))</f>
        <v/>
      </c>
      <c r="BC249" s="25">
        <f>IF($A249="","",IF(COUNTIF(survey_frozen!$P$2:$P$251,$A249&amp;"|"&amp;$B249)&gt;0,"Y",""))</f>
        <v/>
      </c>
    </row>
    <row r="250">
      <c r="C250" s="9" t="n"/>
      <c r="E250" s="9" t="n"/>
      <c r="H250" s="25">
        <f>IF($A250="","",IFERROR(IF(INDEX(campaigns!$B$2:$B$51,MATCH($A250,campaigns!$A$2:$A$51,0))="","",INDEX(campaigns!$B$2:$B$51,MATCH($A250,campaigns!$A$2:$A$51,0))),""))</f>
        <v/>
      </c>
      <c r="I250" s="26">
        <f>IF($A250="","",IFERROR(IF(INDEX(campaigns!$BG$2:$BG$51,MATCH($A250,campaigns!$A$2:$A$51,0))="","",INDEX(campaigns!$BG$2:$BG$51,MATCH($A250,campaigns!$A$2:$A$51,0))),""))</f>
        <v/>
      </c>
      <c r="J250" s="25">
        <f>IF($A250="","",IFERROR(IF(INDEX(campaigns!$BE$2:$BE$51,MATCH($A250,campaigns!$A$2:$A$51,0))="","",INDEX(campaigns!$BE$2:$BE$51,MATCH($A250,campaigns!$A$2:$A$51,0))),""))</f>
        <v/>
      </c>
      <c r="K250" s="25">
        <f>IF($B250="","",IFERROR(IF(INDEX(offices!$N$2:$N$61,MATCH($B250,offices!$A$2:$A$61,0))="","",INDEX(offices!$N$2:$N$61,MATCH($B250,offices!$A$2:$A$61,0))),""))</f>
        <v/>
      </c>
      <c r="L250" s="25">
        <f>IF($A250="","",IF($Q250="N","",COUNTIFS($A$2:$A250,$A250,$Q$2:$Q250,"&lt;&gt;N")))</f>
        <v/>
      </c>
      <c r="M250" s="25">
        <f>IF(OR($A250="",$L250=""),"",IF(AND(config!$B$34="names_if_public",IFERROR(IF(INDEX(offices!$AF$2:$AF$61,MATCH($B250,offices!$A$2:$A$61,0))="","",INDEX(offices!$AF$2:$AF$61,MATCH($B250,offices!$A$2:$A$61,0))),"")="Y"),$K250,CHAR(64+$L250)))</f>
        <v/>
      </c>
      <c r="N250" s="25">
        <f>IF(OR($A250="",$I250=""),"",COUNTIFS(stops!$B$2:$B$151,$B250,stops!$P$2:$P$151,"&lt;"&amp;$I250,stops!$L$2:$L$151,"&lt;&gt;not_delivered")+1)</f>
        <v/>
      </c>
      <c r="O250" s="25">
        <f>IF($A250="","",IF(N($N250)&lt;=config!$B$29,"explicit","opt-out"))</f>
        <v/>
      </c>
      <c r="P250" s="25">
        <f>IF($A250="","",IF($O250="explicit",IF($D250="yes","Y",IF($D250="no","N","pending")),IF($D250="no","N",IF(AND($C250&lt;&gt;"",$I250&lt;&gt;"",$C250&lt;=WORKDAY(N($I250),-5,calendar!$A$2:$A$80)),"Y","pending"))))</f>
        <v/>
      </c>
      <c r="Q250" s="25">
        <f>IF($A250="","",IF($P250="N","N",IF($P250&lt;&gt;"Y","pending",IF(AND((COUNTIFS(stops!$A$2:$A$151,$H250,stops!$B$2:$B$151,$B250,stops!$L$2:$L$151,"declined")+COUNTIFS(stops!$A$2:$A$151,$H250,stops!$B$2:$B$151,$B250,stops!$L$2:$L$151,"building_refused")+COUNTIFS(stops!$A$2:$A$151,$H250,stops!$B$2:$B$151,$B250,stops!$L$2:$L$151,"not_delivered"))&gt;0,N($U250)=0),"N","Y"))))</f>
        <v/>
      </c>
      <c r="R250" s="25">
        <f>IF($A250="","",IF(COUNTIFS($A$2:$A$251,$A250,$B$2:$B$251,$B250)&gt;1,"DUPLICATE ROW; ","")&amp;IF(AND(IFERROR(IF(INDEX(offices!$AC$2:$AC$61,MATCH($B250,offices!$A$2:$A$61,0))="","",INDEX(offices!$AC$2:$AC$61,MATCH($B250,offices!$A$2:$A$61,0))),"")&lt;&gt;"",ISNUMBER(SEARCH($J250,IFERROR(IF(INDEX(offices!$AC$2:$AC$61,MATCH($B250,offices!$A$2:$A$61,0))="","",INDEX(offices!$AC$2:$AC$61,MATCH($B250,offices!$A$2:$A$61,0))),"")))),"BRAND VETOED; ","")&amp;IF(ISNUMBER(SEARCH(IFERROR(IF(INDEX(campaigns!$BF$2:$BF$51,MATCH($A250,campaigns!$A$2:$A$51,0))="","",INDEX(campaigns!$BF$2:$BF$51,MATCH($A250,campaigns!$A$2:$A$51,0))),""),IFERROR(IF(INDEX(offices!$AB$2:$AB$61,MATCH($B250,offices!$A$2:$A$61,0))="","",INDEX(offices!$AB$2:$AB$61,MATCH($B250,offices!$A$2:$A$61,0))),""))),"","info: category not on the office's list; ")&amp;IF(IFERROR(IF(INDEX(offices!$AC$2:$AC$61,MATCH($B250,offices!$A$2:$A$61,0))="","",INDEX(offices!$AC$2:$AC$61,MATCH($B250,offices!$A$2:$A$61,0))),"")&lt;&gt;"","info: read the vetoes against the label; ",""))</f>
        <v/>
      </c>
      <c r="S250" s="25">
        <f>IF($A250="","",IF($G250&lt;&gt;"",$G250,IFERROR(IF(INDEX(offices!$AL$2:$AL$61,MATCH($B250,offices!$A$2:$A$61,0))="","",INDEX(offices!$AL$2:$AL$61,MATCH($B250,offices!$A$2:$A$61,0))),"")))</f>
        <v/>
      </c>
      <c r="T250" s="25">
        <f>IF($A250="","",$A250&amp;"."&amp;$B250)</f>
        <v/>
      </c>
      <c r="U250" s="25">
        <f>IF($A250="","",SUMIFS(inventory!$G$2:$G$801,inventory!$C$2:$C$801,$A250,inventory!$D$2:$D$801,$B250,inventory!$E$2:$E$801,"delivered"))</f>
        <v/>
      </c>
      <c r="V250" s="32">
        <f>IF($A250="","",IFERROR(1/(1/SUMPRODUCT(MAX((inventory!$C$2:$C$801=$A250)*(inventory!$D$2:$D$801=$B250)*(inventory!$E$2:$E$801="delivered")*(inventory!$A$2:$A$801+inventory!$B$2:$B$801)))),""))</f>
        <v/>
      </c>
      <c r="W250" s="25">
        <f>IF($A250="","",IFERROR(IF(INDEX(inventory!$J$2:$J$801,MATCH($A250&amp;"|"&amp;$B250&amp;"|delivered",inventory!$R$2:$R$801,0))="","",INDEX(inventory!$J$2:$J$801,MATCH($A250&amp;"|"&amp;$B250&amp;"|delivered",inventory!$R$2:$R$801,0))),""))</f>
        <v/>
      </c>
      <c r="X250" s="25">
        <f>IF($A250="","",IFERROR(IF(INDEX(photos!$H$2:$H$701,MATCH($A250&amp;"|"&amp;$B250&amp;"|placement|Y",photos!$R$2:$R$701,0))="","",INDEX(photos!$H$2:$H$701,MATCH($A250&amp;"|"&amp;$B250&amp;"|placement|Y",photos!$R$2:$R$701,0))),""))</f>
        <v/>
      </c>
      <c r="Y250" s="26">
        <f>IF($A250="","",IFERROR(IF(INDEX(photos!$E$2:$E$701,MATCH($A250&amp;"|"&amp;$B250&amp;"|placement|Y",photos!$R$2:$R$701,0))="","",INDEX(photos!$E$2:$E$701,MATCH($A250&amp;"|"&amp;$B250&amp;"|placement|Y",photos!$R$2:$R$701,0))),""))</f>
        <v/>
      </c>
      <c r="Z250" s="25">
        <f>IF($A250="","",IF(COUNTIFS(counts!$C$2:$C$701,$A250,counts!$D$2:$D$701,$B250,counts!$E$2:$E$701,"placed")=0,"",SUMIFS(counts!$F$2:$F$701,counts!$C$2:$C$701,$A250,counts!$D$2:$D$701,$B250,counts!$E$2:$E$701,"placed")))</f>
        <v/>
      </c>
      <c r="AA250" s="25">
        <f>IF($A250="","",IF($Y250="",0,N($Z250)))</f>
        <v/>
      </c>
      <c r="AB250" s="25">
        <f>IF($A250="","",IF(OR($Y250="",$I250=""),"N",IF($Y250&lt;=WORKDAY(N($I250),1,calendar!$A$2:$A$80),"Y","N")))</f>
        <v/>
      </c>
      <c r="AC250" s="28">
        <f>IF(OR($A250="",$V250="",$Y250=""),"",ROUND(($Y250+N(IFERROR(IF(INDEX(photos!$F$2:$F$701,MATCH($A250&amp;"|"&amp;$B250&amp;"|placement|Y",photos!$R$2:$R$701,0))="","",INDEX(photos!$F$2:$F$701,MATCH($A250&amp;"|"&amp;$B250&amp;"|placement|Y",photos!$R$2:$R$701,0))),""))-$V250)*24,1))</f>
        <v/>
      </c>
      <c r="AD250" s="25">
        <f>IF($A250="","",SUMIFS(inventory!$G$2:$G$801,inventory!$C$2:$C$801,$A250,inventory!$D$2:$D$801,$B250,inventory!$E$2:$E$801,"topped_up"))</f>
        <v/>
      </c>
      <c r="AE250" s="25">
        <f>IF($A250="","",IF(COUNTIFS(counts!$C$2:$C$701,$A250,counts!$D$2:$D$701,$B250,counts!$E$2:$E$701,"remaining_day3")=0,"",SUMIFS(counts!$F$2:$F$701,counts!$C$2:$C$701,$A250,counts!$D$2:$D$701,$B250,counts!$E$2:$E$701,"remaining_day3")))</f>
        <v/>
      </c>
      <c r="AF250" s="25">
        <f>IF($A250="","",IF(COUNTIFS(counts!$C$2:$C$701,$A250,counts!$D$2:$D$701,$B250,counts!$E$2:$E$701,"remaining_day5")=0,"",SUMIFS(counts!$F$2:$F$701,counts!$C$2:$C$701,$A250,counts!$D$2:$D$701,$B250,counts!$E$2:$E$701,"remaining_day5")))</f>
        <v/>
      </c>
      <c r="AG250" s="25">
        <f>IF(OR($A250="",$AF250=""),"",MAX(0,$AA250+$AD250-$AF250))</f>
        <v/>
      </c>
      <c r="AH250" s="25">
        <f>IF(OR($A250="",$AI250=""),"",IFERROR(IF(INDEX(photos!$H$2:$H$701,MATCH($A250&amp;"|"&amp;$B250&amp;"|later|Y|"&amp;$AI250,photos!$S$2:$S$701,0))="","",INDEX(photos!$H$2:$H$701,MATCH($A250&amp;"|"&amp;$B250&amp;"|later|Y|"&amp;$AI250,photos!$S$2:$S$701,0))),""))</f>
        <v/>
      </c>
      <c r="AI250" s="26">
        <f>IF($A250="","",IFERROR(1/(1/SUMPRODUCT(MAX((photos!$B$2:$B$701=$A250)*(photos!$C$2:$C$701=$B250)*(photos!$D$2:$D$701="later")*(photos!$O$2:$O$701="Y")*photos!$E$2:$E$701))),""))</f>
        <v/>
      </c>
      <c r="AJ250" s="25">
        <f>IF(OR($A250="",$AI250="",$I250=""),"",NETWORKDAYS($I250,$AI250,calendar!$A$2:$A$80))</f>
        <v/>
      </c>
      <c r="AK250" s="25">
        <f>IF($A250="","",IF(AND($X250&lt;&gt;"",$AH250&lt;&gt;""),"Y","N"))</f>
        <v/>
      </c>
      <c r="AL250" s="25">
        <f>IF(OR($A250="",$I250=""),"",IF($BC250="Y",SUMIFS(survey_frozen!$C$2:$C$251,survey_frozen!$P$2:$P$251,$A250&amp;"|"&amp;$B250),IFERROR(COUNTIFS(INDIRECT("'"&amp;$A250&amp;"'!$B$2:$B$501"),$T250,INDIRECT("'"&amp;$A250&amp;"'!$A$2:$A$501"),"&gt;="&amp;$I250,INDIRECT("'"&amp;$A250&amp;"'!$A$2:$A$501"),"&lt;"&amp;($BA250+1)),0)))</f>
        <v/>
      </c>
      <c r="AM250" s="25">
        <f>IF(OR($A250="",$I250=""),"",IF($BC250="Y",SUMIFS(survey_frozen!$D$2:$D$251,survey_frozen!$P$2:$P$251,$A250&amp;"|"&amp;$B250),IFERROR(COUNTIFS(INDIRECT("'"&amp;$A250&amp;"'!$B$2:$B$501"),$T250,INDIRECT("'"&amp;$A250&amp;"'!$A$2:$A$501"),"&gt;="&amp;$I250,INDIRECT("'"&amp;$A250&amp;"'!$A$2:$A$501"),"&lt;"&amp;($BA250+1),INDIRECT("'"&amp;$A250&amp;"'!$C$2:$C$501"),"Yes"),0)))</f>
        <v/>
      </c>
      <c r="AN250" s="25">
        <f>IF($A250="","",IF(COUNTIFS(scans!$C$2:$C$1601,(IF(LEFT($A250,7)="SAMPLE-","SAMPLE-","")&amp;LOWER(SUBSTITUTE(SUBSTITUTE($A250,"SAMPLE-",""),"CMP-","c"))&amp;"-"&amp;LOWER(SUBSTITUTE(SUBSTITUTE($B250,"SAMPLE-",""),"O-","o"))&amp;"-q"),scans!$D$2:$D$1601,"close")=0,"",SUMPRODUCT(MAX((scans!$C$2:$C$1601=(IF(LEFT($A250,7)="SAMPLE-","SAMPLE-","")&amp;LOWER(SUBSTITUTE(SUBSTITUTE($A250,"SAMPLE-",""),"CMP-","c"))&amp;"-"&amp;LOWER(SUBSTITUTE(SUBSTITUTE($B250,"SAMPLE-",""),"O-","o"))&amp;"-q"))*(scans!$D$2:$D$1601="close")*scans!$E$2:$E$1601))-SUMPRODUCT(MAX((scans!$C$2:$C$1601=(IF(LEFT($A250,7)="SAMPLE-","SAMPLE-","")&amp;LOWER(SUBSTITUTE(SUBSTITUTE($A250,"SAMPLE-",""),"CMP-","c"))&amp;"-"&amp;LOWER(SUBSTITUTE(SUBSTITUTE($B250,"SAMPLE-",""),"O-","o"))&amp;"-q"))*(scans!$D$2:$D$1601="baseline")*scans!$E$2:$E$1601))))</f>
        <v/>
      </c>
      <c r="AO250" s="25">
        <f>IF($A250="","",IF(COUNTIFS(scans!$C$2:$C$1601,(IF(LEFT($A250,7)="SAMPLE-","SAMPLE-","")&amp;LOWER(SUBSTITUTE(SUBSTITUTE($A250,"SAMPLE-",""),"CMP-","c"))&amp;"-"&amp;LOWER(SUBSTITUTE(SUBSTITUTE($B250,"SAMPLE-",""),"O-","o"))&amp;"-p"),scans!$D$2:$D$1601,"close")=0,"",SUMPRODUCT(MAX((scans!$C$2:$C$1601=(IF(LEFT($A250,7)="SAMPLE-","SAMPLE-","")&amp;LOWER(SUBSTITUTE(SUBSTITUTE($A250,"SAMPLE-",""),"CMP-","c"))&amp;"-"&amp;LOWER(SUBSTITUTE(SUBSTITUTE($B250,"SAMPLE-",""),"O-","o"))&amp;"-p"))*(scans!$D$2:$D$1601="close")*scans!$E$2:$E$1601))-SUMPRODUCT(MAX((scans!$C$2:$C$1601=(IF(LEFT($A250,7)="SAMPLE-","SAMPLE-","")&amp;LOWER(SUBSTITUTE(SUBSTITUTE($A250,"SAMPLE-",""),"CMP-","c"))&amp;"-"&amp;LOWER(SUBSTITUTE(SUBSTITUTE($B250,"SAMPLE-",""),"O-","o"))&amp;"-p"))*(scans!$D$2:$D$1601="baseline")*scans!$E$2:$E$1601))))</f>
        <v/>
      </c>
      <c r="AP250" s="25">
        <f>IF($A250="","",IF(COUNTIF(offices!$A$2:$A$61,$B250)=0,"office_id not on offices; ","")&amp;IF(COUNTIF(campaigns!$A$2:$A$51,$A250)=0,"campaign_id not on campaigns; ","")&amp;IF($P250="pending","approval pending; ","")&amp;IF(AND($U250&gt;0,$Y250="",OR($I250="",IF(config!$B$37&lt;&gt;"",config!$B$37,TODAY())&lt;=WORKDAY(N($I250),4,calendar!$A$2:$A$80))),"no usable placement photo yet; ","")&amp;IF(AND($Y250&lt;&gt;"",$Z250=""),"log the placed count; ","")&amp;IF(N($AA250)&gt;N($U250),"placed more than delivered; ","")&amp;IF(AND($AF250&lt;&gt;"",N($AF250)&gt;N($AA250)+N($AD250)),"day-5 count above placed plus top-ups; ","")&amp;IF(AND($U250&gt;0,$I250&lt;&gt;"",IF(config!$B$37&lt;&gt;"",config!$B$37,TODAY())&gt;WORKDAY(N($I250),4,calendar!$A$2:$A$80),$AF250=""),"day-5 count missing; ","")&amp;IF(AND($U250&gt;0,$I250&lt;&gt;"",IF(config!$B$37&lt;&gt;"",config!$B$37,TODAY())&gt;WORKDAY(N($I250),4,calendar!$A$2:$A$80),$AN250=""),"no close link reading; ","")&amp;$R250&amp;IF($P250="N","info: office said no; ","")&amp;IF(AND($P250="Y",$Q250="N"),"info: turned away at the door, so not on the drop (no letter, not in the report or Gate 2; the credit check is on campaigns); ","")&amp;IF(AND($U250&gt;0,$Y250="",$I250&lt;&gt;"",IF(config!$B$37&lt;&gt;"",config!$B$37,TODAY())&gt;WORKDAY(N($I250),4,calendar!$A$2:$A$80)),"info: no usable placement photo, so nothing counts as placed; ","")&amp;IF(AND($U250&gt;0,$I250&lt;&gt;"",IF(config!$B$37&lt;&gt;"",config!$B$37,TODAY())&gt;WORKDAY(N($I250),4,calendar!$A$2:$A$80),N($AL250)&lt;config!$B$30),"info: under "&amp;config!$B$30&amp;" responses; ","")&amp;IF($W250="packing_list","info: delivered count not verified; ",""))</f>
        <v/>
      </c>
      <c r="AQ250" s="25">
        <f>IF(OR($A250="",$I250=""),"",IF($BC250="Y",SUMIFS(survey_frozen!$E$2:$E$251,survey_frozen!$P$2:$P$251,$A250&amp;"|"&amp;$B250),IFERROR(COUNTIFS(INDIRECT("'"&amp;$A250&amp;"'!$B$2:$B$501"),$T250,INDIRECT("'"&amp;$A250&amp;"'!$A$2:$A$501"),"&gt;="&amp;$I250,INDIRECT("'"&amp;$A250&amp;"'!$A$2:$A$501"),"&lt;"&amp;($BA250+1),INDIRECT("'"&amp;$A250&amp;"'!$F$2:$F$501"),"Didn't see it"),0)))</f>
        <v/>
      </c>
      <c r="AR250" s="25">
        <f>IF(OR($A250="",$I250=""),"",IF($BC250="Y",SUMIFS(survey_frozen!$F$2:$F$251,survey_frozen!$P$2:$P$251,$A250&amp;"|"&amp;$B250),IFERROR(COUNTIFS(INDIRECT("'"&amp;$A250&amp;"'!$B$2:$B$501"),$T250,INDIRECT("'"&amp;$A250&amp;"'!$A$2:$A$501"),"&gt;="&amp;$I250,INDIRECT("'"&amp;$A250&amp;"'!$A$2:$A$501"),"&lt;"&amp;($BA250+1),INDIRECT("'"&amp;$A250&amp;"'!$F$2:$F$501"),"Not for me"),0)))</f>
        <v/>
      </c>
      <c r="AS250" s="25">
        <f>IF(OR($A250="",$I250=""),"",IF($BC250="Y",SUMIFS(survey_frozen!$G$2:$G$251,survey_frozen!$P$2:$P$251,$A250&amp;"|"&amp;$B250),IFERROR(COUNTIFS(INDIRECT("'"&amp;$A250&amp;"'!$B$2:$B$501"),$T250,INDIRECT("'"&amp;$A250&amp;"'!$A$2:$A$501"),"&gt;="&amp;$I250,INDIRECT("'"&amp;$A250&amp;"'!$A$2:$A$501"),"&lt;"&amp;($BA250+1),INDIRECT("'"&amp;$A250&amp;"'!$F$2:$F$501"),"Gone by the time I looked"),0)))</f>
        <v/>
      </c>
      <c r="AT250" s="25">
        <f>IF(OR($A250="",$I250=""),"",IF($BC250="Y",SUMIFS(survey_frozen!$H$2:$H$251,survey_frozen!$P$2:$P$251,$A250&amp;"|"&amp;$B250),IFERROR(COUNTIFS(INDIRECT("'"&amp;$A250&amp;"'!$B$2:$B$501"),$T250,INDIRECT("'"&amp;$A250&amp;"'!$A$2:$A$501"),"&gt;="&amp;$I250,INDIRECT("'"&amp;$A250&amp;"'!$A$2:$A$501"),"&lt;"&amp;($BA250+1),INDIRECT("'"&amp;$A250&amp;"'!$D$2:$D$501"),"&gt;=1"),0)))</f>
        <v/>
      </c>
      <c r="AU250" s="25">
        <f>IF(OR($A250="",$I250=""),"",IF($BC250="Y",SUMIFS(survey_frozen!$I$2:$I$251,survey_frozen!$P$2:$P$251,$A250&amp;"|"&amp;$B250),IFERROR(SUMIFS(INDIRECT("'"&amp;$A250&amp;"'!$D$2:$D$501"),INDIRECT("'"&amp;$A250&amp;"'!$B$2:$B$501"),$T250,INDIRECT("'"&amp;$A250&amp;"'!$A$2:$A$501"),"&gt;="&amp;$I250,INDIRECT("'"&amp;$A250&amp;"'!$A$2:$A$501"),"&lt;"&amp;($BA250+1)),0)))</f>
        <v/>
      </c>
      <c r="AV250" s="25">
        <f>IF(OR($A250="",$I250=""),"",IF($BC250="Y",SUMIFS(survey_frozen!$J$2:$J$251,survey_frozen!$P$2:$P$251,$A250&amp;"|"&amp;$B250),IFERROR(COUNTIFS(INDIRECT("'"&amp;$A250&amp;"'!$B$2:$B$501"),$T250,INDIRECT("'"&amp;$A250&amp;"'!$A$2:$A$501"),"&gt;="&amp;$I250,INDIRECT("'"&amp;$A250&amp;"'!$A$2:$A$501"),"&lt;"&amp;($BA250+1),INDIRECT("'"&amp;$A250&amp;"'!$E$2:$E$501"),"Yes"),0)))</f>
        <v/>
      </c>
      <c r="AW250" s="25">
        <f>IF(OR($A250="",$I250=""),"",IF($BC250="Y",SUMIFS(survey_frozen!$K$2:$K$251,survey_frozen!$P$2:$P$251,$A250&amp;"|"&amp;$B250),IFERROR(COUNTIFS(INDIRECT("'"&amp;$A250&amp;"'!$B$2:$B$501"),$T250,INDIRECT("'"&amp;$A250&amp;"'!$A$2:$A$501"),"&gt;="&amp;$I250,INDIRECT("'"&amp;$A250&amp;"'!$A$2:$A$501"),"&lt;"&amp;($BA250+1),INDIRECT("'"&amp;$A250&amp;"'!$E$2:$E$501"),"Maybe"),0)))</f>
        <v/>
      </c>
      <c r="AX250" s="25">
        <f>IF(OR($A250="",$I250=""),"",IF($BC250="Y",SUMIFS(survey_frozen!$L$2:$L$251,survey_frozen!$P$2:$P$251,$A250&amp;"|"&amp;$B250),IFERROR(COUNTIFS(INDIRECT("'"&amp;$A250&amp;"'!$B$2:$B$501"),$T250,INDIRECT("'"&amp;$A250&amp;"'!$A$2:$A$501"),"&gt;="&amp;$I250,INDIRECT("'"&amp;$A250&amp;"'!$A$2:$A$501"),"&lt;"&amp;($BA250+1),INDIRECT("'"&amp;$A250&amp;"'!$E$2:$E$501"),"No"),0)))</f>
        <v/>
      </c>
      <c r="AY250" s="25">
        <f>IF(OR($A250="",$I250=""),"",IF($BC250="Y",SUMIFS(survey_frozen!$M$2:$M$251,survey_frozen!$P$2:$P$251,$A250&amp;"|"&amp;$B250),IFERROR(COUNTIFS(INDIRECT("'"&amp;$A250&amp;"'!$B$2:$B$501"),$T250,INDIRECT("'"&amp;$A250&amp;"'!$A$2:$A$501"),"&gt;="&amp;$I250,INDIRECT("'"&amp;$A250&amp;"'!$A$2:$A$501"),"&lt;"&amp;($BA250+1),INDIRECT("'"&amp;$A250&amp;"'!$G$2:$G$501"),"&lt;&gt;"),0)))</f>
        <v/>
      </c>
      <c r="AZ250" s="25">
        <f>IF($A250="","",$A250&amp;"|"&amp;$L250)</f>
        <v/>
      </c>
      <c r="BA250" s="26">
        <f>IF($A250="","",IFERROR(IF(INDEX(drops!$R$2:$R$21,MATCH($H250,drops!$A$2:$A$21,0))="","",INDEX(drops!$R$2:$R$21,MATCH($H250,drops!$A$2:$A$21,0))),""))</f>
        <v/>
      </c>
      <c r="BB250" s="25">
        <f>IF(OR($A250="",$Q250&lt;&gt;"Y"),1000000,N($AL250))</f>
        <v/>
      </c>
      <c r="BC250" s="25">
        <f>IF($A250="","",IF(COUNTIF(survey_frozen!$P$2:$P$251,$A250&amp;"|"&amp;$B250)&gt;0,"Y",""))</f>
        <v/>
      </c>
    </row>
    <row r="251">
      <c r="C251" s="9" t="n"/>
      <c r="E251" s="9" t="n"/>
      <c r="H251" s="25">
        <f>IF($A251="","",IFERROR(IF(INDEX(campaigns!$B$2:$B$51,MATCH($A251,campaigns!$A$2:$A$51,0))="","",INDEX(campaigns!$B$2:$B$51,MATCH($A251,campaigns!$A$2:$A$51,0))),""))</f>
        <v/>
      </c>
      <c r="I251" s="26">
        <f>IF($A251="","",IFERROR(IF(INDEX(campaigns!$BG$2:$BG$51,MATCH($A251,campaigns!$A$2:$A$51,0))="","",INDEX(campaigns!$BG$2:$BG$51,MATCH($A251,campaigns!$A$2:$A$51,0))),""))</f>
        <v/>
      </c>
      <c r="J251" s="25">
        <f>IF($A251="","",IFERROR(IF(INDEX(campaigns!$BE$2:$BE$51,MATCH($A251,campaigns!$A$2:$A$51,0))="","",INDEX(campaigns!$BE$2:$BE$51,MATCH($A251,campaigns!$A$2:$A$51,0))),""))</f>
        <v/>
      </c>
      <c r="K251" s="25">
        <f>IF($B251="","",IFERROR(IF(INDEX(offices!$N$2:$N$61,MATCH($B251,offices!$A$2:$A$61,0))="","",INDEX(offices!$N$2:$N$61,MATCH($B251,offices!$A$2:$A$61,0))),""))</f>
        <v/>
      </c>
      <c r="L251" s="25">
        <f>IF($A251="","",IF($Q251="N","",COUNTIFS($A$2:$A251,$A251,$Q$2:$Q251,"&lt;&gt;N")))</f>
        <v/>
      </c>
      <c r="M251" s="25">
        <f>IF(OR($A251="",$L251=""),"",IF(AND(config!$B$34="names_if_public",IFERROR(IF(INDEX(offices!$AF$2:$AF$61,MATCH($B251,offices!$A$2:$A$61,0))="","",INDEX(offices!$AF$2:$AF$61,MATCH($B251,offices!$A$2:$A$61,0))),"")="Y"),$K251,CHAR(64+$L251)))</f>
        <v/>
      </c>
      <c r="N251" s="25">
        <f>IF(OR($A251="",$I251=""),"",COUNTIFS(stops!$B$2:$B$151,$B251,stops!$P$2:$P$151,"&lt;"&amp;$I251,stops!$L$2:$L$151,"&lt;&gt;not_delivered")+1)</f>
        <v/>
      </c>
      <c r="O251" s="25">
        <f>IF($A251="","",IF(N($N251)&lt;=config!$B$29,"explicit","opt-out"))</f>
        <v/>
      </c>
      <c r="P251" s="25">
        <f>IF($A251="","",IF($O251="explicit",IF($D251="yes","Y",IF($D251="no","N","pending")),IF($D251="no","N",IF(AND($C251&lt;&gt;"",$I251&lt;&gt;"",$C251&lt;=WORKDAY(N($I251),-5,calendar!$A$2:$A$80)),"Y","pending"))))</f>
        <v/>
      </c>
      <c r="Q251" s="25">
        <f>IF($A251="","",IF($P251="N","N",IF($P251&lt;&gt;"Y","pending",IF(AND((COUNTIFS(stops!$A$2:$A$151,$H251,stops!$B$2:$B$151,$B251,stops!$L$2:$L$151,"declined")+COUNTIFS(stops!$A$2:$A$151,$H251,stops!$B$2:$B$151,$B251,stops!$L$2:$L$151,"building_refused")+COUNTIFS(stops!$A$2:$A$151,$H251,stops!$B$2:$B$151,$B251,stops!$L$2:$L$151,"not_delivered"))&gt;0,N($U251)=0),"N","Y"))))</f>
        <v/>
      </c>
      <c r="R251" s="25">
        <f>IF($A251="","",IF(COUNTIFS($A$2:$A$251,$A251,$B$2:$B$251,$B251)&gt;1,"DUPLICATE ROW; ","")&amp;IF(AND(IFERROR(IF(INDEX(offices!$AC$2:$AC$61,MATCH($B251,offices!$A$2:$A$61,0))="","",INDEX(offices!$AC$2:$AC$61,MATCH($B251,offices!$A$2:$A$61,0))),"")&lt;&gt;"",ISNUMBER(SEARCH($J251,IFERROR(IF(INDEX(offices!$AC$2:$AC$61,MATCH($B251,offices!$A$2:$A$61,0))="","",INDEX(offices!$AC$2:$AC$61,MATCH($B251,offices!$A$2:$A$61,0))),"")))),"BRAND VETOED; ","")&amp;IF(ISNUMBER(SEARCH(IFERROR(IF(INDEX(campaigns!$BF$2:$BF$51,MATCH($A251,campaigns!$A$2:$A$51,0))="","",INDEX(campaigns!$BF$2:$BF$51,MATCH($A251,campaigns!$A$2:$A$51,0))),""),IFERROR(IF(INDEX(offices!$AB$2:$AB$61,MATCH($B251,offices!$A$2:$A$61,0))="","",INDEX(offices!$AB$2:$AB$61,MATCH($B251,offices!$A$2:$A$61,0))),""))),"","info: category not on the office's list; ")&amp;IF(IFERROR(IF(INDEX(offices!$AC$2:$AC$61,MATCH($B251,offices!$A$2:$A$61,0))="","",INDEX(offices!$AC$2:$AC$61,MATCH($B251,offices!$A$2:$A$61,0))),"")&lt;&gt;"","info: read the vetoes against the label; ",""))</f>
        <v/>
      </c>
      <c r="S251" s="25">
        <f>IF($A251="","",IF($G251&lt;&gt;"",$G251,IFERROR(IF(INDEX(offices!$AL$2:$AL$61,MATCH($B251,offices!$A$2:$A$61,0))="","",INDEX(offices!$AL$2:$AL$61,MATCH($B251,offices!$A$2:$A$61,0))),"")))</f>
        <v/>
      </c>
      <c r="T251" s="25">
        <f>IF($A251="","",$A251&amp;"."&amp;$B251)</f>
        <v/>
      </c>
      <c r="U251" s="25">
        <f>IF($A251="","",SUMIFS(inventory!$G$2:$G$801,inventory!$C$2:$C$801,$A251,inventory!$D$2:$D$801,$B251,inventory!$E$2:$E$801,"delivered"))</f>
        <v/>
      </c>
      <c r="V251" s="32">
        <f>IF($A251="","",IFERROR(1/(1/SUMPRODUCT(MAX((inventory!$C$2:$C$801=$A251)*(inventory!$D$2:$D$801=$B251)*(inventory!$E$2:$E$801="delivered")*(inventory!$A$2:$A$801+inventory!$B$2:$B$801)))),""))</f>
        <v/>
      </c>
      <c r="W251" s="25">
        <f>IF($A251="","",IFERROR(IF(INDEX(inventory!$J$2:$J$801,MATCH($A251&amp;"|"&amp;$B251&amp;"|delivered",inventory!$R$2:$R$801,0))="","",INDEX(inventory!$J$2:$J$801,MATCH($A251&amp;"|"&amp;$B251&amp;"|delivered",inventory!$R$2:$R$801,0))),""))</f>
        <v/>
      </c>
      <c r="X251" s="25">
        <f>IF($A251="","",IFERROR(IF(INDEX(photos!$H$2:$H$701,MATCH($A251&amp;"|"&amp;$B251&amp;"|placement|Y",photos!$R$2:$R$701,0))="","",INDEX(photos!$H$2:$H$701,MATCH($A251&amp;"|"&amp;$B251&amp;"|placement|Y",photos!$R$2:$R$701,0))),""))</f>
        <v/>
      </c>
      <c r="Y251" s="26">
        <f>IF($A251="","",IFERROR(IF(INDEX(photos!$E$2:$E$701,MATCH($A251&amp;"|"&amp;$B251&amp;"|placement|Y",photos!$R$2:$R$701,0))="","",INDEX(photos!$E$2:$E$701,MATCH($A251&amp;"|"&amp;$B251&amp;"|placement|Y",photos!$R$2:$R$701,0))),""))</f>
        <v/>
      </c>
      <c r="Z251" s="25">
        <f>IF($A251="","",IF(COUNTIFS(counts!$C$2:$C$701,$A251,counts!$D$2:$D$701,$B251,counts!$E$2:$E$701,"placed")=0,"",SUMIFS(counts!$F$2:$F$701,counts!$C$2:$C$701,$A251,counts!$D$2:$D$701,$B251,counts!$E$2:$E$701,"placed")))</f>
        <v/>
      </c>
      <c r="AA251" s="25">
        <f>IF($A251="","",IF($Y251="",0,N($Z251)))</f>
        <v/>
      </c>
      <c r="AB251" s="25">
        <f>IF($A251="","",IF(OR($Y251="",$I251=""),"N",IF($Y251&lt;=WORKDAY(N($I251),1,calendar!$A$2:$A$80),"Y","N")))</f>
        <v/>
      </c>
      <c r="AC251" s="28">
        <f>IF(OR($A251="",$V251="",$Y251=""),"",ROUND(($Y251+N(IFERROR(IF(INDEX(photos!$F$2:$F$701,MATCH($A251&amp;"|"&amp;$B251&amp;"|placement|Y",photos!$R$2:$R$701,0))="","",INDEX(photos!$F$2:$F$701,MATCH($A251&amp;"|"&amp;$B251&amp;"|placement|Y",photos!$R$2:$R$701,0))),""))-$V251)*24,1))</f>
        <v/>
      </c>
      <c r="AD251" s="25">
        <f>IF($A251="","",SUMIFS(inventory!$G$2:$G$801,inventory!$C$2:$C$801,$A251,inventory!$D$2:$D$801,$B251,inventory!$E$2:$E$801,"topped_up"))</f>
        <v/>
      </c>
      <c r="AE251" s="25">
        <f>IF($A251="","",IF(COUNTIFS(counts!$C$2:$C$701,$A251,counts!$D$2:$D$701,$B251,counts!$E$2:$E$701,"remaining_day3")=0,"",SUMIFS(counts!$F$2:$F$701,counts!$C$2:$C$701,$A251,counts!$D$2:$D$701,$B251,counts!$E$2:$E$701,"remaining_day3")))</f>
        <v/>
      </c>
      <c r="AF251" s="25">
        <f>IF($A251="","",IF(COUNTIFS(counts!$C$2:$C$701,$A251,counts!$D$2:$D$701,$B251,counts!$E$2:$E$701,"remaining_day5")=0,"",SUMIFS(counts!$F$2:$F$701,counts!$C$2:$C$701,$A251,counts!$D$2:$D$701,$B251,counts!$E$2:$E$701,"remaining_day5")))</f>
        <v/>
      </c>
      <c r="AG251" s="25">
        <f>IF(OR($A251="",$AF251=""),"",MAX(0,$AA251+$AD251-$AF251))</f>
        <v/>
      </c>
      <c r="AH251" s="25">
        <f>IF(OR($A251="",$AI251=""),"",IFERROR(IF(INDEX(photos!$H$2:$H$701,MATCH($A251&amp;"|"&amp;$B251&amp;"|later|Y|"&amp;$AI251,photos!$S$2:$S$701,0))="","",INDEX(photos!$H$2:$H$701,MATCH($A251&amp;"|"&amp;$B251&amp;"|later|Y|"&amp;$AI251,photos!$S$2:$S$701,0))),""))</f>
        <v/>
      </c>
      <c r="AI251" s="26">
        <f>IF($A251="","",IFERROR(1/(1/SUMPRODUCT(MAX((photos!$B$2:$B$701=$A251)*(photos!$C$2:$C$701=$B251)*(photos!$D$2:$D$701="later")*(photos!$O$2:$O$701="Y")*photos!$E$2:$E$701))),""))</f>
        <v/>
      </c>
      <c r="AJ251" s="25">
        <f>IF(OR($A251="",$AI251="",$I251=""),"",NETWORKDAYS($I251,$AI251,calendar!$A$2:$A$80))</f>
        <v/>
      </c>
      <c r="AK251" s="25">
        <f>IF($A251="","",IF(AND($X251&lt;&gt;"",$AH251&lt;&gt;""),"Y","N"))</f>
        <v/>
      </c>
      <c r="AL251" s="25">
        <f>IF(OR($A251="",$I251=""),"",IF($BC251="Y",SUMIFS(survey_frozen!$C$2:$C$251,survey_frozen!$P$2:$P$251,$A251&amp;"|"&amp;$B251),IFERROR(COUNTIFS(INDIRECT("'"&amp;$A251&amp;"'!$B$2:$B$501"),$T251,INDIRECT("'"&amp;$A251&amp;"'!$A$2:$A$501"),"&gt;="&amp;$I251,INDIRECT("'"&amp;$A251&amp;"'!$A$2:$A$501"),"&lt;"&amp;($BA251+1)),0)))</f>
        <v/>
      </c>
      <c r="AM251" s="25">
        <f>IF(OR($A251="",$I251=""),"",IF($BC251="Y",SUMIFS(survey_frozen!$D$2:$D$251,survey_frozen!$P$2:$P$251,$A251&amp;"|"&amp;$B251),IFERROR(COUNTIFS(INDIRECT("'"&amp;$A251&amp;"'!$B$2:$B$501"),$T251,INDIRECT("'"&amp;$A251&amp;"'!$A$2:$A$501"),"&gt;="&amp;$I251,INDIRECT("'"&amp;$A251&amp;"'!$A$2:$A$501"),"&lt;"&amp;($BA251+1),INDIRECT("'"&amp;$A251&amp;"'!$C$2:$C$501"),"Yes"),0)))</f>
        <v/>
      </c>
      <c r="AN251" s="25">
        <f>IF($A251="","",IF(COUNTIFS(scans!$C$2:$C$1601,(IF(LEFT($A251,7)="SAMPLE-","SAMPLE-","")&amp;LOWER(SUBSTITUTE(SUBSTITUTE($A251,"SAMPLE-",""),"CMP-","c"))&amp;"-"&amp;LOWER(SUBSTITUTE(SUBSTITUTE($B251,"SAMPLE-",""),"O-","o"))&amp;"-q"),scans!$D$2:$D$1601,"close")=0,"",SUMPRODUCT(MAX((scans!$C$2:$C$1601=(IF(LEFT($A251,7)="SAMPLE-","SAMPLE-","")&amp;LOWER(SUBSTITUTE(SUBSTITUTE($A251,"SAMPLE-",""),"CMP-","c"))&amp;"-"&amp;LOWER(SUBSTITUTE(SUBSTITUTE($B251,"SAMPLE-",""),"O-","o"))&amp;"-q"))*(scans!$D$2:$D$1601="close")*scans!$E$2:$E$1601))-SUMPRODUCT(MAX((scans!$C$2:$C$1601=(IF(LEFT($A251,7)="SAMPLE-","SAMPLE-","")&amp;LOWER(SUBSTITUTE(SUBSTITUTE($A251,"SAMPLE-",""),"CMP-","c"))&amp;"-"&amp;LOWER(SUBSTITUTE(SUBSTITUTE($B251,"SAMPLE-",""),"O-","o"))&amp;"-q"))*(scans!$D$2:$D$1601="baseline")*scans!$E$2:$E$1601))))</f>
        <v/>
      </c>
      <c r="AO251" s="25">
        <f>IF($A251="","",IF(COUNTIFS(scans!$C$2:$C$1601,(IF(LEFT($A251,7)="SAMPLE-","SAMPLE-","")&amp;LOWER(SUBSTITUTE(SUBSTITUTE($A251,"SAMPLE-",""),"CMP-","c"))&amp;"-"&amp;LOWER(SUBSTITUTE(SUBSTITUTE($B251,"SAMPLE-",""),"O-","o"))&amp;"-p"),scans!$D$2:$D$1601,"close")=0,"",SUMPRODUCT(MAX((scans!$C$2:$C$1601=(IF(LEFT($A251,7)="SAMPLE-","SAMPLE-","")&amp;LOWER(SUBSTITUTE(SUBSTITUTE($A251,"SAMPLE-",""),"CMP-","c"))&amp;"-"&amp;LOWER(SUBSTITUTE(SUBSTITUTE($B251,"SAMPLE-",""),"O-","o"))&amp;"-p"))*(scans!$D$2:$D$1601="close")*scans!$E$2:$E$1601))-SUMPRODUCT(MAX((scans!$C$2:$C$1601=(IF(LEFT($A251,7)="SAMPLE-","SAMPLE-","")&amp;LOWER(SUBSTITUTE(SUBSTITUTE($A251,"SAMPLE-",""),"CMP-","c"))&amp;"-"&amp;LOWER(SUBSTITUTE(SUBSTITUTE($B251,"SAMPLE-",""),"O-","o"))&amp;"-p"))*(scans!$D$2:$D$1601="baseline")*scans!$E$2:$E$1601))))</f>
        <v/>
      </c>
      <c r="AP251" s="25">
        <f>IF($A251="","",IF(COUNTIF(offices!$A$2:$A$61,$B251)=0,"office_id not on offices; ","")&amp;IF(COUNTIF(campaigns!$A$2:$A$51,$A251)=0,"campaign_id not on campaigns; ","")&amp;IF($P251="pending","approval pending; ","")&amp;IF(AND($U251&gt;0,$Y251="",OR($I251="",IF(config!$B$37&lt;&gt;"",config!$B$37,TODAY())&lt;=WORKDAY(N($I251),4,calendar!$A$2:$A$80))),"no usable placement photo yet; ","")&amp;IF(AND($Y251&lt;&gt;"",$Z251=""),"log the placed count; ","")&amp;IF(N($AA251)&gt;N($U251),"placed more than delivered; ","")&amp;IF(AND($AF251&lt;&gt;"",N($AF251)&gt;N($AA251)+N($AD251)),"day-5 count above placed plus top-ups; ","")&amp;IF(AND($U251&gt;0,$I251&lt;&gt;"",IF(config!$B$37&lt;&gt;"",config!$B$37,TODAY())&gt;WORKDAY(N($I251),4,calendar!$A$2:$A$80),$AF251=""),"day-5 count missing; ","")&amp;IF(AND($U251&gt;0,$I251&lt;&gt;"",IF(config!$B$37&lt;&gt;"",config!$B$37,TODAY())&gt;WORKDAY(N($I251),4,calendar!$A$2:$A$80),$AN251=""),"no close link reading; ","")&amp;$R251&amp;IF($P251="N","info: office said no; ","")&amp;IF(AND($P251="Y",$Q251="N"),"info: turned away at the door, so not on the drop (no letter, not in the report or Gate 2; the credit check is on campaigns); ","")&amp;IF(AND($U251&gt;0,$Y251="",$I251&lt;&gt;"",IF(config!$B$37&lt;&gt;"",config!$B$37,TODAY())&gt;WORKDAY(N($I251),4,calendar!$A$2:$A$80)),"info: no usable placement photo, so nothing counts as placed; ","")&amp;IF(AND($U251&gt;0,$I251&lt;&gt;"",IF(config!$B$37&lt;&gt;"",config!$B$37,TODAY())&gt;WORKDAY(N($I251),4,calendar!$A$2:$A$80),N($AL251)&lt;config!$B$30),"info: under "&amp;config!$B$30&amp;" responses; ","")&amp;IF($W251="packing_list","info: delivered count not verified; ",""))</f>
        <v/>
      </c>
      <c r="AQ251" s="25">
        <f>IF(OR($A251="",$I251=""),"",IF($BC251="Y",SUMIFS(survey_frozen!$E$2:$E$251,survey_frozen!$P$2:$P$251,$A251&amp;"|"&amp;$B251),IFERROR(COUNTIFS(INDIRECT("'"&amp;$A251&amp;"'!$B$2:$B$501"),$T251,INDIRECT("'"&amp;$A251&amp;"'!$A$2:$A$501"),"&gt;="&amp;$I251,INDIRECT("'"&amp;$A251&amp;"'!$A$2:$A$501"),"&lt;"&amp;($BA251+1),INDIRECT("'"&amp;$A251&amp;"'!$F$2:$F$501"),"Didn't see it"),0)))</f>
        <v/>
      </c>
      <c r="AR251" s="25">
        <f>IF(OR($A251="",$I251=""),"",IF($BC251="Y",SUMIFS(survey_frozen!$F$2:$F$251,survey_frozen!$P$2:$P$251,$A251&amp;"|"&amp;$B251),IFERROR(COUNTIFS(INDIRECT("'"&amp;$A251&amp;"'!$B$2:$B$501"),$T251,INDIRECT("'"&amp;$A251&amp;"'!$A$2:$A$501"),"&gt;="&amp;$I251,INDIRECT("'"&amp;$A251&amp;"'!$A$2:$A$501"),"&lt;"&amp;($BA251+1),INDIRECT("'"&amp;$A251&amp;"'!$F$2:$F$501"),"Not for me"),0)))</f>
        <v/>
      </c>
      <c r="AS251" s="25">
        <f>IF(OR($A251="",$I251=""),"",IF($BC251="Y",SUMIFS(survey_frozen!$G$2:$G$251,survey_frozen!$P$2:$P$251,$A251&amp;"|"&amp;$B251),IFERROR(COUNTIFS(INDIRECT("'"&amp;$A251&amp;"'!$B$2:$B$501"),$T251,INDIRECT("'"&amp;$A251&amp;"'!$A$2:$A$501"),"&gt;="&amp;$I251,INDIRECT("'"&amp;$A251&amp;"'!$A$2:$A$501"),"&lt;"&amp;($BA251+1),INDIRECT("'"&amp;$A251&amp;"'!$F$2:$F$501"),"Gone by the time I looked"),0)))</f>
        <v/>
      </c>
      <c r="AT251" s="25">
        <f>IF(OR($A251="",$I251=""),"",IF($BC251="Y",SUMIFS(survey_frozen!$H$2:$H$251,survey_frozen!$P$2:$P$251,$A251&amp;"|"&amp;$B251),IFERROR(COUNTIFS(INDIRECT("'"&amp;$A251&amp;"'!$B$2:$B$501"),$T251,INDIRECT("'"&amp;$A251&amp;"'!$A$2:$A$501"),"&gt;="&amp;$I251,INDIRECT("'"&amp;$A251&amp;"'!$A$2:$A$501"),"&lt;"&amp;($BA251+1),INDIRECT("'"&amp;$A251&amp;"'!$D$2:$D$501"),"&gt;=1"),0)))</f>
        <v/>
      </c>
      <c r="AU251" s="25">
        <f>IF(OR($A251="",$I251=""),"",IF($BC251="Y",SUMIFS(survey_frozen!$I$2:$I$251,survey_frozen!$P$2:$P$251,$A251&amp;"|"&amp;$B251),IFERROR(SUMIFS(INDIRECT("'"&amp;$A251&amp;"'!$D$2:$D$501"),INDIRECT("'"&amp;$A251&amp;"'!$B$2:$B$501"),$T251,INDIRECT("'"&amp;$A251&amp;"'!$A$2:$A$501"),"&gt;="&amp;$I251,INDIRECT("'"&amp;$A251&amp;"'!$A$2:$A$501"),"&lt;"&amp;($BA251+1)),0)))</f>
        <v/>
      </c>
      <c r="AV251" s="25">
        <f>IF(OR($A251="",$I251=""),"",IF($BC251="Y",SUMIFS(survey_frozen!$J$2:$J$251,survey_frozen!$P$2:$P$251,$A251&amp;"|"&amp;$B251),IFERROR(COUNTIFS(INDIRECT("'"&amp;$A251&amp;"'!$B$2:$B$501"),$T251,INDIRECT("'"&amp;$A251&amp;"'!$A$2:$A$501"),"&gt;="&amp;$I251,INDIRECT("'"&amp;$A251&amp;"'!$A$2:$A$501"),"&lt;"&amp;($BA251+1),INDIRECT("'"&amp;$A251&amp;"'!$E$2:$E$501"),"Yes"),0)))</f>
        <v/>
      </c>
      <c r="AW251" s="25">
        <f>IF(OR($A251="",$I251=""),"",IF($BC251="Y",SUMIFS(survey_frozen!$K$2:$K$251,survey_frozen!$P$2:$P$251,$A251&amp;"|"&amp;$B251),IFERROR(COUNTIFS(INDIRECT("'"&amp;$A251&amp;"'!$B$2:$B$501"),$T251,INDIRECT("'"&amp;$A251&amp;"'!$A$2:$A$501"),"&gt;="&amp;$I251,INDIRECT("'"&amp;$A251&amp;"'!$A$2:$A$501"),"&lt;"&amp;($BA251+1),INDIRECT("'"&amp;$A251&amp;"'!$E$2:$E$501"),"Maybe"),0)))</f>
        <v/>
      </c>
      <c r="AX251" s="25">
        <f>IF(OR($A251="",$I251=""),"",IF($BC251="Y",SUMIFS(survey_frozen!$L$2:$L$251,survey_frozen!$P$2:$P$251,$A251&amp;"|"&amp;$B251),IFERROR(COUNTIFS(INDIRECT("'"&amp;$A251&amp;"'!$B$2:$B$501"),$T251,INDIRECT("'"&amp;$A251&amp;"'!$A$2:$A$501"),"&gt;="&amp;$I251,INDIRECT("'"&amp;$A251&amp;"'!$A$2:$A$501"),"&lt;"&amp;($BA251+1),INDIRECT("'"&amp;$A251&amp;"'!$E$2:$E$501"),"No"),0)))</f>
        <v/>
      </c>
      <c r="AY251" s="25">
        <f>IF(OR($A251="",$I251=""),"",IF($BC251="Y",SUMIFS(survey_frozen!$M$2:$M$251,survey_frozen!$P$2:$P$251,$A251&amp;"|"&amp;$B251),IFERROR(COUNTIFS(INDIRECT("'"&amp;$A251&amp;"'!$B$2:$B$501"),$T251,INDIRECT("'"&amp;$A251&amp;"'!$A$2:$A$501"),"&gt;="&amp;$I251,INDIRECT("'"&amp;$A251&amp;"'!$A$2:$A$501"),"&lt;"&amp;($BA251+1),INDIRECT("'"&amp;$A251&amp;"'!$G$2:$G$501"),"&lt;&gt;"),0)))</f>
        <v/>
      </c>
      <c r="AZ251" s="25">
        <f>IF($A251="","",$A251&amp;"|"&amp;$L251)</f>
        <v/>
      </c>
      <c r="BA251" s="26">
        <f>IF($A251="","",IFERROR(IF(INDEX(drops!$R$2:$R$21,MATCH($H251,drops!$A$2:$A$21,0))="","",INDEX(drops!$R$2:$R$21,MATCH($H251,drops!$A$2:$A$21,0))),""))</f>
        <v/>
      </c>
      <c r="BB251" s="25">
        <f>IF(OR($A251="",$Q251&lt;&gt;"Y"),1000000,N($AL251))</f>
        <v/>
      </c>
      <c r="BC251" s="25">
        <f>IF($A251="","",IF(COUNTIF(survey_frozen!$P$2:$P$251,$A251&amp;"|"&amp;$B251)&gt;0,"Y",""))</f>
        <v/>
      </c>
    </row>
  </sheetData>
  <conditionalFormatting sqref="AP2:AP251">
    <cfRule type="expression" priority="1" dxfId="1">
      <formula>LEN(AP2)&gt;0</formula>
    </cfRule>
  </conditionalFormatting>
  <dataValidations count="1">
    <dataValidation sqref="D2:D251" showDropDown="0" showInputMessage="0" showErrorMessage="1" allowBlank="1" errorTitle="Not on the list" error="Pick a value from the list." type="list">
      <formula1>"yes,no"</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E2EFDA"/>
    <outlinePr summaryBelow="1" summaryRight="1"/>
    <pageSetUpPr/>
  </sheetPr>
  <dimension ref="A1:AD1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6" customWidth="1" min="3" max="3"/>
    <col width="8" customWidth="1" min="4" max="4"/>
    <col width="14" customWidth="1" min="5" max="5"/>
    <col width="14" customWidth="1" min="6" max="6"/>
    <col width="14" customWidth="1" min="7" max="7"/>
    <col width="18" customWidth="1" min="8" max="8"/>
    <col width="8" customWidth="1" min="9" max="9"/>
    <col width="8" customWidth="1" min="10" max="10"/>
    <col width="14" customWidth="1" min="11" max="11"/>
    <col width="14" customWidth="1" min="12" max="12"/>
    <col width="24" customWidth="1" min="13" max="13"/>
    <col width="14" customWidth="1" min="14" max="14"/>
    <col width="14" customWidth="1" min="15" max="15"/>
    <col width="14" customWidth="1" min="16" max="16"/>
    <col width="18" customWidth="1" min="17" max="17"/>
    <col width="22" customWidth="1" min="18" max="18"/>
    <col width="14" customWidth="1" min="19" max="19"/>
    <col width="14" customWidth="1" min="20" max="20"/>
    <col width="14" customWidth="1" min="21" max="21"/>
    <col width="14" customWidth="1" min="22" max="22"/>
    <col width="14" customWidth="1" min="23" max="23"/>
    <col width="7" customWidth="1" min="24" max="24"/>
    <col width="14" customWidth="1" min="25" max="25"/>
    <col width="7" customWidth="1" min="26" max="26"/>
    <col width="7" customWidth="1" min="27" max="27"/>
    <col width="7" customWidth="1" min="28" max="28"/>
    <col width="7" customWidth="1" min="29" max="29"/>
    <col width="34" customWidth="1" min="30" max="30"/>
  </cols>
  <sheetData>
    <row r="1">
      <c r="A1" s="23" t="inlineStr">
        <is>
          <t>drop_id</t>
        </is>
      </c>
      <c r="B1" s="23" t="inlineStr">
        <is>
          <t>office_id</t>
        </is>
      </c>
      <c r="C1" s="23" t="inlineStr">
        <is>
          <t>route_order</t>
        </is>
      </c>
      <c r="D1" s="23" t="inlineStr">
        <is>
          <t>planned_time</t>
        </is>
      </c>
      <c r="E1" s="23" t="inlineStr">
        <is>
          <t>slack_post_sent_date</t>
        </is>
      </c>
      <c r="F1" s="23" t="inlineStr">
        <is>
          <t>confirm_text_sent_date</t>
        </is>
      </c>
      <c r="G1" s="23" t="inlineStr">
        <is>
          <t>kit_mailed_date</t>
        </is>
      </c>
      <c r="H1" s="23" t="inlineStr">
        <is>
          <t>carrier_tracking</t>
        </is>
      </c>
      <c r="I1" s="23" t="inlineStr">
        <is>
          <t>arrival_time</t>
        </is>
      </c>
      <c r="J1" s="23" t="inlineStr">
        <is>
          <t>departure_time</t>
        </is>
      </c>
      <c r="K1" s="23" t="inlineStr">
        <is>
          <t>handed_to_role</t>
        </is>
      </c>
      <c r="L1" s="23" t="inlineStr">
        <is>
          <t>outcome</t>
        </is>
      </c>
      <c r="M1" s="23" t="inlineStr">
        <is>
          <t>notes</t>
        </is>
      </c>
      <c r="N1" s="23" t="inlineStr">
        <is>
          <t>office_debrief_date</t>
        </is>
      </c>
      <c r="O1" s="23" t="inlineStr">
        <is>
          <t>office_would_do_again</t>
        </is>
      </c>
      <c r="P1" s="24" t="inlineStr">
        <is>
          <t>drop_date</t>
        </is>
      </c>
      <c r="Q1" s="24" t="inlineStr">
        <is>
          <t>company</t>
        </is>
      </c>
      <c r="R1" s="24" t="inlineStr">
        <is>
          <t>office_address</t>
        </is>
      </c>
      <c r="S1" s="24" t="inlineStr">
        <is>
          <t>floor_suite</t>
        </is>
      </c>
      <c r="T1" s="24" t="inlineStr">
        <is>
          <t>receiving_window</t>
        </is>
      </c>
      <c r="U1" s="24" t="inlineStr">
        <is>
          <t>receiving_type</t>
        </is>
      </c>
      <c r="V1" s="24" t="inlineStr">
        <is>
          <t>pantry_owner_name</t>
        </is>
      </c>
      <c r="W1" s="24" t="inlineStr">
        <is>
          <t>owner_phone</t>
        </is>
      </c>
      <c r="X1" s="24" t="inlineStr">
        <is>
          <t>front_desk_fallback_ok</t>
        </is>
      </c>
      <c r="Y1" s="24" t="inlineStr">
        <is>
          <t>building_coi_status</t>
        </is>
      </c>
      <c r="Z1" s="24" t="inlineStr">
        <is>
          <t>campaigns_here</t>
        </is>
      </c>
      <c r="AA1" s="24" t="inlineStr">
        <is>
          <t>units_here</t>
        </is>
      </c>
      <c r="AB1" s="24" t="inlineStr">
        <is>
          <t>first_drop</t>
        </is>
      </c>
      <c r="AC1" s="24" t="inlineStr">
        <is>
          <t>minutes_on_site</t>
        </is>
      </c>
      <c r="AD1" s="24" t="inlineStr">
        <is>
          <t>checks</t>
        </is>
      </c>
    </row>
    <row r="2">
      <c r="A2" t="inlineStr">
        <is>
          <t>SAMPLE-DRP-001</t>
        </is>
      </c>
      <c r="B2" t="inlineStr">
        <is>
          <t>SAMPLE-O-001</t>
        </is>
      </c>
      <c r="C2" t="n">
        <v>1</v>
      </c>
      <c r="D2" s="33" t="n">
        <v>0.3402777777777778</v>
      </c>
      <c r="E2" s="9" t="n">
        <v>46394</v>
      </c>
      <c r="F2" s="9" t="n">
        <v>46398</v>
      </c>
      <c r="G2" s="9" t="n"/>
      <c r="I2" s="33" t="n">
        <v>0.3472222222222222</v>
      </c>
      <c r="J2" s="33" t="n">
        <v>0.3597222222222222</v>
      </c>
      <c r="K2" t="inlineStr">
        <is>
          <t>pantry owner</t>
        </is>
      </c>
      <c r="L2" t="inlineStr">
        <is>
          <t>placed_by_us</t>
        </is>
      </c>
      <c r="N2" s="9" t="n"/>
      <c r="P2" s="26">
        <f>IF($A2="","",IF(IFERROR(IF(INDEX(drops!$I$2:$I$21,MATCH($A2,drops!$A$2:$A$21,0))="","",INDEX(drops!$I$2:$I$21,MATCH($A2,drops!$A$2:$A$21,0))),"")="OK",IFERROR(IF(INDEX(drops!$B$2:$B$21,MATCH($A2,drops!$A$2:$A$21,0))="","",INDEX(drops!$B$2:$B$21,MATCH($A2,drops!$A$2:$A$21,0))),""),""))</f>
        <v/>
      </c>
      <c r="Q2" s="25">
        <f>IF($B2="","",IFERROR(IF(INDEX(offices!$N$2:$N$61,MATCH($B2,offices!$A$2:$A$61,0))="","",INDEX(offices!$N$2:$N$61,MATCH($B2,offices!$A$2:$A$61,0))),""))</f>
        <v/>
      </c>
      <c r="R2" s="25">
        <f>IF($B2="","",IFERROR(IF(INDEX(offices!$O$2:$O$61,MATCH($B2,offices!$A$2:$A$61,0))="","",INDEX(offices!$O$2:$O$61,MATCH($B2,offices!$A$2:$A$61,0))),""))</f>
        <v/>
      </c>
      <c r="S2" s="25">
        <f>IF($B2="","",IFERROR(IF(INDEX(offices!$P$2:$P$61,MATCH($B2,offices!$A$2:$A$61,0))="","",INDEX(offices!$P$2:$P$61,MATCH($B2,offices!$A$2:$A$61,0))),""))</f>
        <v/>
      </c>
      <c r="T2" s="25">
        <f>IF($B2="","",IFERROR(IF(INDEX(offices!$Y$2:$Y$61,MATCH($B2,offices!$A$2:$A$61,0))="","",INDEX(offices!$Y$2:$Y$61,MATCH($B2,offices!$A$2:$A$61,0))),""))</f>
        <v/>
      </c>
      <c r="U2" s="25">
        <f>IF($B2="","",IFERROR(IF(INDEX(offices!$X$2:$X$61,MATCH($B2,offices!$A$2:$A$61,0))="","",INDEX(offices!$X$2:$X$61,MATCH($B2,offices!$A$2:$A$61,0))),""))</f>
        <v/>
      </c>
      <c r="V2" s="25">
        <f>IF($B2="","",IFERROR(IF(INDEX(offices!$U$2:$U$61,MATCH($B2,offices!$A$2:$A$61,0))="","",INDEX(offices!$U$2:$U$61,MATCH($B2,offices!$A$2:$A$61,0))),""))</f>
        <v/>
      </c>
      <c r="W2" s="25">
        <f>IF($B2="","",IFERROR(IF(INDEX(offices!$AI$2:$AI$61,MATCH($B2,offices!$A$2:$A$61,0))="","",INDEX(offices!$AI$2:$AI$61,MATCH($B2,offices!$A$2:$A$61,0))),""))</f>
        <v/>
      </c>
      <c r="X2" s="25">
        <f>IF($B2="","",IFERROR(IF(INDEX(offices!$G$2:$G$61,MATCH($B2,offices!$A$2:$A$61,0))="","",INDEX(offices!$G$2:$G$61,MATCH($B2,offices!$A$2:$A$61,0))),""))</f>
        <v/>
      </c>
      <c r="Y2" s="25">
        <f>IF($B2="","",IFERROR(IF(INDEX(offices!$I$2:$I$61,MATCH($B2,offices!$A$2:$A$61,0))="","",INDEX(offices!$I$2:$I$61,MATCH($B2,offices!$A$2:$A$61,0))),""))</f>
        <v/>
      </c>
      <c r="Z2" s="25">
        <f>IF($A2="","",COUNTIFS(approvals!$H$2:$H$251,$A2,approvals!$B$2:$B$251,$B2,approvals!$P$2:$P$251,"Y"))</f>
        <v/>
      </c>
      <c r="AA2" s="25">
        <f>IF($A2="","",SUMIFS(approvals!$S$2:$S$251,approvals!$H$2:$H$251,$A2,approvals!$B$2:$B$251,$B2,approvals!$P$2:$P$251,"Y"))</f>
        <v/>
      </c>
      <c r="AB2" s="25">
        <f>IF(OR($A2="",$P2=""),"",IF(COUNTIFS(stops!$B$2:$B$151,$B2,stops!$P$2:$P$151,"&lt;"&amp;$P2,stops!$L$2:$L$151,"&lt;&gt;not_delivered")=0,"Y","N"))</f>
        <v/>
      </c>
      <c r="AC2" s="25">
        <f>IF(OR($I2="",$J2=""),"",ROUND(($J2-$I2)*1440,0))</f>
        <v/>
      </c>
      <c r="AD2" s="25">
        <f>IF($A2="","",IF(COUNTIFS(stops!$A$2:$A$151,$A2,stops!$B$2:$B$151,$B2)&gt;1,"DUPLICATE stop; ","")&amp;IF(AND(OR(IFERROR(IF(INDEX(offices!$Z$2:$Z$61,MATCH($B2,offices!$A$2:$A$61,0))="","",INDEX(offices!$Z$2:$Z$61,MATCH($B2,offices!$A$2:$A$61,0))),"")="yes",IFERROR(IF(INDEX(offices!$Z$2:$Z$61,MATCH($B2,offices!$A$2:$A$61,0))="","",INDEX(offices!$Z$2:$Z$61,MATCH($B2,offices!$A$2:$A$61,0))),"")="unsure"),$Y2&lt;&gt;"received",$Y2&lt;&gt;"not_needed"),"building certificate not received; ","")&amp;IF($W2="","owner phone missing; ","")&amp;IF(N($Z2)=0,"no approved brand for this stop; ","")&amp;IF(AND($P2&lt;&gt;"",IF(config!$B$37&lt;&gt;"",config!$B$37,TODAY())&gt;$P2,$L2=""),"log the outcome; ","")&amp;IF(AND(OR($L2="declined",$L2="building_refused",$L2="not_delivered"),N($Z2)&gt;0,COUNTIFS(approvals!$H$2:$H$251,$A2,approvals!$B$2:$B$251,$B2,approvals!$P$2:$P$251,"Y",approvals!$U$2:$U$251,"&gt;0")&gt;=N($Z2)),"outcome says "&amp;$L2&amp;" but every brand here is logged delivered: fix the outcome, or delete the wrong delivered rows (SOP section 4); ","")&amp;IF(AND(OR($L2="declined",$L2="building_refused",$L2="not_delivered"),COUNTIFS(approvals!$H$2:$H$251,$A2,approvals!$B$2:$B$251,$B2,approvals!$P$2:$P$251,"Y",approvals!$U$2:$U$251,"&gt;0")&gt;0,COUNTIFS(approvals!$H$2:$H$251,$A2,approvals!$B$2:$B$251,$B2,approvals!$P$2:$P$251,"Y",approvals!$U$2:$U$251,"&gt;0")&lt;N($Z2)),"info: "&amp;(N($Z2)-COUNTIFS(approvals!$H$2:$H$251,$A2,approvals!$B$2:$B$251,$B2,approvals!$P$2:$P$251,"Y",approvals!$U$2:$U$251,"&gt;0"))&amp;" brand(s) turned away at the door, the rest delivered; ","")&amp;IF(AND($AB2="Y",IFERROR(IF(INDEX(drops!$C$2:$C$21,MATCH($A2,drops!$A$2:$A$21,0))="","",INDEX(drops!$C$2:$C$21,MATCH($A2,drops!$A$2:$A$21,0))),"")="direct-ship"),"info: first drop: visit in person on T; ","")&amp;IF(AND($U2="front desk",$X2&lt;&gt;"Y"),"info: front desk not agreed: the owner must take it; ",""))</f>
        <v/>
      </c>
    </row>
    <row r="3">
      <c r="A3" t="inlineStr">
        <is>
          <t>SAMPLE-DRP-001</t>
        </is>
      </c>
      <c r="B3" t="inlineStr">
        <is>
          <t>SAMPLE-O-003</t>
        </is>
      </c>
      <c r="C3" t="n">
        <v>2</v>
      </c>
      <c r="D3" s="33" t="n">
        <v>0.3715277777777778</v>
      </c>
      <c r="E3" s="9" t="n">
        <v>46394</v>
      </c>
      <c r="F3" s="9" t="n">
        <v>46398</v>
      </c>
      <c r="G3" s="9" t="n"/>
      <c r="I3" s="33" t="n">
        <v>0.3729166666666667</v>
      </c>
      <c r="J3" s="33" t="n">
        <v>0.3847222222222222</v>
      </c>
      <c r="K3" t="inlineStr">
        <is>
          <t>pantry owner</t>
        </is>
      </c>
      <c r="L3" t="inlineStr">
        <is>
          <t>placed_by_us</t>
        </is>
      </c>
      <c r="N3" s="9" t="n"/>
      <c r="P3" s="26">
        <f>IF($A3="","",IF(IFERROR(IF(INDEX(drops!$I$2:$I$21,MATCH($A3,drops!$A$2:$A$21,0))="","",INDEX(drops!$I$2:$I$21,MATCH($A3,drops!$A$2:$A$21,0))),"")="OK",IFERROR(IF(INDEX(drops!$B$2:$B$21,MATCH($A3,drops!$A$2:$A$21,0))="","",INDEX(drops!$B$2:$B$21,MATCH($A3,drops!$A$2:$A$21,0))),""),""))</f>
        <v/>
      </c>
      <c r="Q3" s="25">
        <f>IF($B3="","",IFERROR(IF(INDEX(offices!$N$2:$N$61,MATCH($B3,offices!$A$2:$A$61,0))="","",INDEX(offices!$N$2:$N$61,MATCH($B3,offices!$A$2:$A$61,0))),""))</f>
        <v/>
      </c>
      <c r="R3" s="25">
        <f>IF($B3="","",IFERROR(IF(INDEX(offices!$O$2:$O$61,MATCH($B3,offices!$A$2:$A$61,0))="","",INDEX(offices!$O$2:$O$61,MATCH($B3,offices!$A$2:$A$61,0))),""))</f>
        <v/>
      </c>
      <c r="S3" s="25">
        <f>IF($B3="","",IFERROR(IF(INDEX(offices!$P$2:$P$61,MATCH($B3,offices!$A$2:$A$61,0))="","",INDEX(offices!$P$2:$P$61,MATCH($B3,offices!$A$2:$A$61,0))),""))</f>
        <v/>
      </c>
      <c r="T3" s="25">
        <f>IF($B3="","",IFERROR(IF(INDEX(offices!$Y$2:$Y$61,MATCH($B3,offices!$A$2:$A$61,0))="","",INDEX(offices!$Y$2:$Y$61,MATCH($B3,offices!$A$2:$A$61,0))),""))</f>
        <v/>
      </c>
      <c r="U3" s="25">
        <f>IF($B3="","",IFERROR(IF(INDEX(offices!$X$2:$X$61,MATCH($B3,offices!$A$2:$A$61,0))="","",INDEX(offices!$X$2:$X$61,MATCH($B3,offices!$A$2:$A$61,0))),""))</f>
        <v/>
      </c>
      <c r="V3" s="25">
        <f>IF($B3="","",IFERROR(IF(INDEX(offices!$U$2:$U$61,MATCH($B3,offices!$A$2:$A$61,0))="","",INDEX(offices!$U$2:$U$61,MATCH($B3,offices!$A$2:$A$61,0))),""))</f>
        <v/>
      </c>
      <c r="W3" s="25">
        <f>IF($B3="","",IFERROR(IF(INDEX(offices!$AI$2:$AI$61,MATCH($B3,offices!$A$2:$A$61,0))="","",INDEX(offices!$AI$2:$AI$61,MATCH($B3,offices!$A$2:$A$61,0))),""))</f>
        <v/>
      </c>
      <c r="X3" s="25">
        <f>IF($B3="","",IFERROR(IF(INDEX(offices!$G$2:$G$61,MATCH($B3,offices!$A$2:$A$61,0))="","",INDEX(offices!$G$2:$G$61,MATCH($B3,offices!$A$2:$A$61,0))),""))</f>
        <v/>
      </c>
      <c r="Y3" s="25">
        <f>IF($B3="","",IFERROR(IF(INDEX(offices!$I$2:$I$61,MATCH($B3,offices!$A$2:$A$61,0))="","",INDEX(offices!$I$2:$I$61,MATCH($B3,offices!$A$2:$A$61,0))),""))</f>
        <v/>
      </c>
      <c r="Z3" s="25">
        <f>IF($A3="","",COUNTIFS(approvals!$H$2:$H$251,$A3,approvals!$B$2:$B$251,$B3,approvals!$P$2:$P$251,"Y"))</f>
        <v/>
      </c>
      <c r="AA3" s="25">
        <f>IF($A3="","",SUMIFS(approvals!$S$2:$S$251,approvals!$H$2:$H$251,$A3,approvals!$B$2:$B$251,$B3,approvals!$P$2:$P$251,"Y"))</f>
        <v/>
      </c>
      <c r="AB3" s="25">
        <f>IF(OR($A3="",$P3=""),"",IF(COUNTIFS(stops!$B$2:$B$151,$B3,stops!$P$2:$P$151,"&lt;"&amp;$P3,stops!$L$2:$L$151,"&lt;&gt;not_delivered")=0,"Y","N"))</f>
        <v/>
      </c>
      <c r="AC3" s="25">
        <f>IF(OR($I3="",$J3=""),"",ROUND(($J3-$I3)*1440,0))</f>
        <v/>
      </c>
      <c r="AD3" s="25">
        <f>IF($A3="","",IF(COUNTIFS(stops!$A$2:$A$151,$A3,stops!$B$2:$B$151,$B3)&gt;1,"DUPLICATE stop; ","")&amp;IF(AND(OR(IFERROR(IF(INDEX(offices!$Z$2:$Z$61,MATCH($B3,offices!$A$2:$A$61,0))="","",INDEX(offices!$Z$2:$Z$61,MATCH($B3,offices!$A$2:$A$61,0))),"")="yes",IFERROR(IF(INDEX(offices!$Z$2:$Z$61,MATCH($B3,offices!$A$2:$A$61,0))="","",INDEX(offices!$Z$2:$Z$61,MATCH($B3,offices!$A$2:$A$61,0))),"")="unsure"),$Y3&lt;&gt;"received",$Y3&lt;&gt;"not_needed"),"building certificate not received; ","")&amp;IF($W3="","owner phone missing; ","")&amp;IF(N($Z3)=0,"no approved brand for this stop; ","")&amp;IF(AND($P3&lt;&gt;"",IF(config!$B$37&lt;&gt;"",config!$B$37,TODAY())&gt;$P3,$L3=""),"log the outcome; ","")&amp;IF(AND(OR($L3="declined",$L3="building_refused",$L3="not_delivered"),N($Z3)&gt;0,COUNTIFS(approvals!$H$2:$H$251,$A3,approvals!$B$2:$B$251,$B3,approvals!$P$2:$P$251,"Y",approvals!$U$2:$U$251,"&gt;0")&gt;=N($Z3)),"outcome says "&amp;$L3&amp;" but every brand here is logged delivered: fix the outcome, or delete the wrong delivered rows (SOP section 4); ","")&amp;IF(AND(OR($L3="declined",$L3="building_refused",$L3="not_delivered"),COUNTIFS(approvals!$H$2:$H$251,$A3,approvals!$B$2:$B$251,$B3,approvals!$P$2:$P$251,"Y",approvals!$U$2:$U$251,"&gt;0")&gt;0,COUNTIFS(approvals!$H$2:$H$251,$A3,approvals!$B$2:$B$251,$B3,approvals!$P$2:$P$251,"Y",approvals!$U$2:$U$251,"&gt;0")&lt;N($Z3)),"info: "&amp;(N($Z3)-COUNTIFS(approvals!$H$2:$H$251,$A3,approvals!$B$2:$B$251,$B3,approvals!$P$2:$P$251,"Y",approvals!$U$2:$U$251,"&gt;0"))&amp;" brand(s) turned away at the door, the rest delivered; ","")&amp;IF(AND($AB3="Y",IFERROR(IF(INDEX(drops!$C$2:$C$21,MATCH($A3,drops!$A$2:$A$21,0))="","",INDEX(drops!$C$2:$C$21,MATCH($A3,drops!$A$2:$A$21,0))),"")="direct-ship"),"info: first drop: visit in person on T; ","")&amp;IF(AND($U3="front desk",$X3&lt;&gt;"Y"),"info: front desk not agreed: the owner must take it; ",""))</f>
        <v/>
      </c>
    </row>
    <row r="4">
      <c r="A4" t="inlineStr">
        <is>
          <t>SAMPLE-DRP-001</t>
        </is>
      </c>
      <c r="B4" t="inlineStr">
        <is>
          <t>SAMPLE-O-002</t>
        </is>
      </c>
      <c r="C4" t="n">
        <v>3</v>
      </c>
      <c r="D4" s="33" t="n">
        <v>0.3958333333333333</v>
      </c>
      <c r="E4" s="9" t="n">
        <v>46394</v>
      </c>
      <c r="F4" s="9" t="n">
        <v>46398</v>
      </c>
      <c r="G4" s="9" t="n"/>
      <c r="I4" s="33" t="n">
        <v>0.3965277777777778</v>
      </c>
      <c r="J4" s="33" t="n">
        <v>0.4069444444444444</v>
      </c>
      <c r="K4" t="inlineStr">
        <is>
          <t>pantry owner</t>
        </is>
      </c>
      <c r="L4" t="inlineStr">
        <is>
          <t>handed_to_owner</t>
        </is>
      </c>
      <c r="N4" s="9" t="n"/>
      <c r="P4" s="26">
        <f>IF($A4="","",IF(IFERROR(IF(INDEX(drops!$I$2:$I$21,MATCH($A4,drops!$A$2:$A$21,0))="","",INDEX(drops!$I$2:$I$21,MATCH($A4,drops!$A$2:$A$21,0))),"")="OK",IFERROR(IF(INDEX(drops!$B$2:$B$21,MATCH($A4,drops!$A$2:$A$21,0))="","",INDEX(drops!$B$2:$B$21,MATCH($A4,drops!$A$2:$A$21,0))),""),""))</f>
        <v/>
      </c>
      <c r="Q4" s="25">
        <f>IF($B4="","",IFERROR(IF(INDEX(offices!$N$2:$N$61,MATCH($B4,offices!$A$2:$A$61,0))="","",INDEX(offices!$N$2:$N$61,MATCH($B4,offices!$A$2:$A$61,0))),""))</f>
        <v/>
      </c>
      <c r="R4" s="25">
        <f>IF($B4="","",IFERROR(IF(INDEX(offices!$O$2:$O$61,MATCH($B4,offices!$A$2:$A$61,0))="","",INDEX(offices!$O$2:$O$61,MATCH($B4,offices!$A$2:$A$61,0))),""))</f>
        <v/>
      </c>
      <c r="S4" s="25">
        <f>IF($B4="","",IFERROR(IF(INDEX(offices!$P$2:$P$61,MATCH($B4,offices!$A$2:$A$61,0))="","",INDEX(offices!$P$2:$P$61,MATCH($B4,offices!$A$2:$A$61,0))),""))</f>
        <v/>
      </c>
      <c r="T4" s="25">
        <f>IF($B4="","",IFERROR(IF(INDEX(offices!$Y$2:$Y$61,MATCH($B4,offices!$A$2:$A$61,0))="","",INDEX(offices!$Y$2:$Y$61,MATCH($B4,offices!$A$2:$A$61,0))),""))</f>
        <v/>
      </c>
      <c r="U4" s="25">
        <f>IF($B4="","",IFERROR(IF(INDEX(offices!$X$2:$X$61,MATCH($B4,offices!$A$2:$A$61,0))="","",INDEX(offices!$X$2:$X$61,MATCH($B4,offices!$A$2:$A$61,0))),""))</f>
        <v/>
      </c>
      <c r="V4" s="25">
        <f>IF($B4="","",IFERROR(IF(INDEX(offices!$U$2:$U$61,MATCH($B4,offices!$A$2:$A$61,0))="","",INDEX(offices!$U$2:$U$61,MATCH($B4,offices!$A$2:$A$61,0))),""))</f>
        <v/>
      </c>
      <c r="W4" s="25">
        <f>IF($B4="","",IFERROR(IF(INDEX(offices!$AI$2:$AI$61,MATCH($B4,offices!$A$2:$A$61,0))="","",INDEX(offices!$AI$2:$AI$61,MATCH($B4,offices!$A$2:$A$61,0))),""))</f>
        <v/>
      </c>
      <c r="X4" s="25">
        <f>IF($B4="","",IFERROR(IF(INDEX(offices!$G$2:$G$61,MATCH($B4,offices!$A$2:$A$61,0))="","",INDEX(offices!$G$2:$G$61,MATCH($B4,offices!$A$2:$A$61,0))),""))</f>
        <v/>
      </c>
      <c r="Y4" s="25">
        <f>IF($B4="","",IFERROR(IF(INDEX(offices!$I$2:$I$61,MATCH($B4,offices!$A$2:$A$61,0))="","",INDEX(offices!$I$2:$I$61,MATCH($B4,offices!$A$2:$A$61,0))),""))</f>
        <v/>
      </c>
      <c r="Z4" s="25">
        <f>IF($A4="","",COUNTIFS(approvals!$H$2:$H$251,$A4,approvals!$B$2:$B$251,$B4,approvals!$P$2:$P$251,"Y"))</f>
        <v/>
      </c>
      <c r="AA4" s="25">
        <f>IF($A4="","",SUMIFS(approvals!$S$2:$S$251,approvals!$H$2:$H$251,$A4,approvals!$B$2:$B$251,$B4,approvals!$P$2:$P$251,"Y"))</f>
        <v/>
      </c>
      <c r="AB4" s="25">
        <f>IF(OR($A4="",$P4=""),"",IF(COUNTIFS(stops!$B$2:$B$151,$B4,stops!$P$2:$P$151,"&lt;"&amp;$P4,stops!$L$2:$L$151,"&lt;&gt;not_delivered")=0,"Y","N"))</f>
        <v/>
      </c>
      <c r="AC4" s="25">
        <f>IF(OR($I4="",$J4=""),"",ROUND(($J4-$I4)*1440,0))</f>
        <v/>
      </c>
      <c r="AD4" s="25">
        <f>IF($A4="","",IF(COUNTIFS(stops!$A$2:$A$151,$A4,stops!$B$2:$B$151,$B4)&gt;1,"DUPLICATE stop; ","")&amp;IF(AND(OR(IFERROR(IF(INDEX(offices!$Z$2:$Z$61,MATCH($B4,offices!$A$2:$A$61,0))="","",INDEX(offices!$Z$2:$Z$61,MATCH($B4,offices!$A$2:$A$61,0))),"")="yes",IFERROR(IF(INDEX(offices!$Z$2:$Z$61,MATCH($B4,offices!$A$2:$A$61,0))="","",INDEX(offices!$Z$2:$Z$61,MATCH($B4,offices!$A$2:$A$61,0))),"")="unsure"),$Y4&lt;&gt;"received",$Y4&lt;&gt;"not_needed"),"building certificate not received; ","")&amp;IF($W4="","owner phone missing; ","")&amp;IF(N($Z4)=0,"no approved brand for this stop; ","")&amp;IF(AND($P4&lt;&gt;"",IF(config!$B$37&lt;&gt;"",config!$B$37,TODAY())&gt;$P4,$L4=""),"log the outcome; ","")&amp;IF(AND(OR($L4="declined",$L4="building_refused",$L4="not_delivered"),N($Z4)&gt;0,COUNTIFS(approvals!$H$2:$H$251,$A4,approvals!$B$2:$B$251,$B4,approvals!$P$2:$P$251,"Y",approvals!$U$2:$U$251,"&gt;0")&gt;=N($Z4)),"outcome says "&amp;$L4&amp;" but every brand here is logged delivered: fix the outcome, or delete the wrong delivered rows (SOP section 4); ","")&amp;IF(AND(OR($L4="declined",$L4="building_refused",$L4="not_delivered"),COUNTIFS(approvals!$H$2:$H$251,$A4,approvals!$B$2:$B$251,$B4,approvals!$P$2:$P$251,"Y",approvals!$U$2:$U$251,"&gt;0")&gt;0,COUNTIFS(approvals!$H$2:$H$251,$A4,approvals!$B$2:$B$251,$B4,approvals!$P$2:$P$251,"Y",approvals!$U$2:$U$251,"&gt;0")&lt;N($Z4)),"info: "&amp;(N($Z4)-COUNTIFS(approvals!$H$2:$H$251,$A4,approvals!$B$2:$B$251,$B4,approvals!$P$2:$P$251,"Y",approvals!$U$2:$U$251,"&gt;0"))&amp;" brand(s) turned away at the door, the rest delivered; ","")&amp;IF(AND($AB4="Y",IFERROR(IF(INDEX(drops!$C$2:$C$21,MATCH($A4,drops!$A$2:$A$21,0))="","",INDEX(drops!$C$2:$C$21,MATCH($A4,drops!$A$2:$A$21,0))),"")="direct-ship"),"info: first drop: visit in person on T; ","")&amp;IF(AND($U4="front desk",$X4&lt;&gt;"Y"),"info: front desk not agreed: the owner must take it; ",""))</f>
        <v/>
      </c>
    </row>
    <row r="5">
      <c r="A5" t="inlineStr">
        <is>
          <t>SAMPLE-DRP-001</t>
        </is>
      </c>
      <c r="B5" t="inlineStr">
        <is>
          <t>SAMPLE-O-005</t>
        </is>
      </c>
      <c r="C5" t="n">
        <v>4</v>
      </c>
      <c r="D5" s="33" t="n">
        <v>0.4236111111111111</v>
      </c>
      <c r="E5" s="9" t="n">
        <v>46394</v>
      </c>
      <c r="F5" s="9" t="n">
        <v>46398</v>
      </c>
      <c r="G5" s="9" t="n"/>
      <c r="I5" s="33" t="n">
        <v>0.4263888888888889</v>
      </c>
      <c r="J5" s="33" t="n">
        <v>0.4416666666666667</v>
      </c>
      <c r="K5" t="inlineStr">
        <is>
          <t>pantry owner</t>
        </is>
      </c>
      <c r="L5" t="inlineStr">
        <is>
          <t>handed_to_owner</t>
        </is>
      </c>
      <c r="N5" s="9" t="n"/>
      <c r="P5" s="26">
        <f>IF($A5="","",IF(IFERROR(IF(INDEX(drops!$I$2:$I$21,MATCH($A5,drops!$A$2:$A$21,0))="","",INDEX(drops!$I$2:$I$21,MATCH($A5,drops!$A$2:$A$21,0))),"")="OK",IFERROR(IF(INDEX(drops!$B$2:$B$21,MATCH($A5,drops!$A$2:$A$21,0))="","",INDEX(drops!$B$2:$B$21,MATCH($A5,drops!$A$2:$A$21,0))),""),""))</f>
        <v/>
      </c>
      <c r="Q5" s="25">
        <f>IF($B5="","",IFERROR(IF(INDEX(offices!$N$2:$N$61,MATCH($B5,offices!$A$2:$A$61,0))="","",INDEX(offices!$N$2:$N$61,MATCH($B5,offices!$A$2:$A$61,0))),""))</f>
        <v/>
      </c>
      <c r="R5" s="25">
        <f>IF($B5="","",IFERROR(IF(INDEX(offices!$O$2:$O$61,MATCH($B5,offices!$A$2:$A$61,0))="","",INDEX(offices!$O$2:$O$61,MATCH($B5,offices!$A$2:$A$61,0))),""))</f>
        <v/>
      </c>
      <c r="S5" s="25">
        <f>IF($B5="","",IFERROR(IF(INDEX(offices!$P$2:$P$61,MATCH($B5,offices!$A$2:$A$61,0))="","",INDEX(offices!$P$2:$P$61,MATCH($B5,offices!$A$2:$A$61,0))),""))</f>
        <v/>
      </c>
      <c r="T5" s="25">
        <f>IF($B5="","",IFERROR(IF(INDEX(offices!$Y$2:$Y$61,MATCH($B5,offices!$A$2:$A$61,0))="","",INDEX(offices!$Y$2:$Y$61,MATCH($B5,offices!$A$2:$A$61,0))),""))</f>
        <v/>
      </c>
      <c r="U5" s="25">
        <f>IF($B5="","",IFERROR(IF(INDEX(offices!$X$2:$X$61,MATCH($B5,offices!$A$2:$A$61,0))="","",INDEX(offices!$X$2:$X$61,MATCH($B5,offices!$A$2:$A$61,0))),""))</f>
        <v/>
      </c>
      <c r="V5" s="25">
        <f>IF($B5="","",IFERROR(IF(INDEX(offices!$U$2:$U$61,MATCH($B5,offices!$A$2:$A$61,0))="","",INDEX(offices!$U$2:$U$61,MATCH($B5,offices!$A$2:$A$61,0))),""))</f>
        <v/>
      </c>
      <c r="W5" s="25">
        <f>IF($B5="","",IFERROR(IF(INDEX(offices!$AI$2:$AI$61,MATCH($B5,offices!$A$2:$A$61,0))="","",INDEX(offices!$AI$2:$AI$61,MATCH($B5,offices!$A$2:$A$61,0))),""))</f>
        <v/>
      </c>
      <c r="X5" s="25">
        <f>IF($B5="","",IFERROR(IF(INDEX(offices!$G$2:$G$61,MATCH($B5,offices!$A$2:$A$61,0))="","",INDEX(offices!$G$2:$G$61,MATCH($B5,offices!$A$2:$A$61,0))),""))</f>
        <v/>
      </c>
      <c r="Y5" s="25">
        <f>IF($B5="","",IFERROR(IF(INDEX(offices!$I$2:$I$61,MATCH($B5,offices!$A$2:$A$61,0))="","",INDEX(offices!$I$2:$I$61,MATCH($B5,offices!$A$2:$A$61,0))),""))</f>
        <v/>
      </c>
      <c r="Z5" s="25">
        <f>IF($A5="","",COUNTIFS(approvals!$H$2:$H$251,$A5,approvals!$B$2:$B$251,$B5,approvals!$P$2:$P$251,"Y"))</f>
        <v/>
      </c>
      <c r="AA5" s="25">
        <f>IF($A5="","",SUMIFS(approvals!$S$2:$S$251,approvals!$H$2:$H$251,$A5,approvals!$B$2:$B$251,$B5,approvals!$P$2:$P$251,"Y"))</f>
        <v/>
      </c>
      <c r="AB5" s="25">
        <f>IF(OR($A5="",$P5=""),"",IF(COUNTIFS(stops!$B$2:$B$151,$B5,stops!$P$2:$P$151,"&lt;"&amp;$P5,stops!$L$2:$L$151,"&lt;&gt;not_delivered")=0,"Y","N"))</f>
        <v/>
      </c>
      <c r="AC5" s="25">
        <f>IF(OR($I5="",$J5=""),"",ROUND(($J5-$I5)*1440,0))</f>
        <v/>
      </c>
      <c r="AD5" s="25">
        <f>IF($A5="","",IF(COUNTIFS(stops!$A$2:$A$151,$A5,stops!$B$2:$B$151,$B5)&gt;1,"DUPLICATE stop; ","")&amp;IF(AND(OR(IFERROR(IF(INDEX(offices!$Z$2:$Z$61,MATCH($B5,offices!$A$2:$A$61,0))="","",INDEX(offices!$Z$2:$Z$61,MATCH($B5,offices!$A$2:$A$61,0))),"")="yes",IFERROR(IF(INDEX(offices!$Z$2:$Z$61,MATCH($B5,offices!$A$2:$A$61,0))="","",INDEX(offices!$Z$2:$Z$61,MATCH($B5,offices!$A$2:$A$61,0))),"")="unsure"),$Y5&lt;&gt;"received",$Y5&lt;&gt;"not_needed"),"building certificate not received; ","")&amp;IF($W5="","owner phone missing; ","")&amp;IF(N($Z5)=0,"no approved brand for this stop; ","")&amp;IF(AND($P5&lt;&gt;"",IF(config!$B$37&lt;&gt;"",config!$B$37,TODAY())&gt;$P5,$L5=""),"log the outcome; ","")&amp;IF(AND(OR($L5="declined",$L5="building_refused",$L5="not_delivered"),N($Z5)&gt;0,COUNTIFS(approvals!$H$2:$H$251,$A5,approvals!$B$2:$B$251,$B5,approvals!$P$2:$P$251,"Y",approvals!$U$2:$U$251,"&gt;0")&gt;=N($Z5)),"outcome says "&amp;$L5&amp;" but every brand here is logged delivered: fix the outcome, or delete the wrong delivered rows (SOP section 4); ","")&amp;IF(AND(OR($L5="declined",$L5="building_refused",$L5="not_delivered"),COUNTIFS(approvals!$H$2:$H$251,$A5,approvals!$B$2:$B$251,$B5,approvals!$P$2:$P$251,"Y",approvals!$U$2:$U$251,"&gt;0")&gt;0,COUNTIFS(approvals!$H$2:$H$251,$A5,approvals!$B$2:$B$251,$B5,approvals!$P$2:$P$251,"Y",approvals!$U$2:$U$251,"&gt;0")&lt;N($Z5)),"info: "&amp;(N($Z5)-COUNTIFS(approvals!$H$2:$H$251,$A5,approvals!$B$2:$B$251,$B5,approvals!$P$2:$P$251,"Y",approvals!$U$2:$U$251,"&gt;0"))&amp;" brand(s) turned away at the door, the rest delivered; ","")&amp;IF(AND($AB5="Y",IFERROR(IF(INDEX(drops!$C$2:$C$21,MATCH($A5,drops!$A$2:$A$21,0))="","",INDEX(drops!$C$2:$C$21,MATCH($A5,drops!$A$2:$A$21,0))),"")="direct-ship"),"info: first drop: visit in person on T; ","")&amp;IF(AND($U5="front desk",$X5&lt;&gt;"Y"),"info: front desk not agreed: the owner must take it; ",""))</f>
        <v/>
      </c>
    </row>
    <row r="6">
      <c r="A6" t="inlineStr">
        <is>
          <t>SAMPLE-DRP-001</t>
        </is>
      </c>
      <c r="B6" t="inlineStr">
        <is>
          <t>SAMPLE-O-004</t>
        </is>
      </c>
      <c r="C6" t="n">
        <v>5</v>
      </c>
      <c r="D6" s="33" t="n">
        <v>0.4513888888888889</v>
      </c>
      <c r="E6" s="9" t="n">
        <v>46394</v>
      </c>
      <c r="F6" s="9" t="n">
        <v>46398</v>
      </c>
      <c r="G6" s="9" t="n"/>
      <c r="I6" s="33" t="n">
        <v>0.4527777777777778</v>
      </c>
      <c r="J6" s="33" t="n">
        <v>0.4611111111111111</v>
      </c>
      <c r="K6" t="inlineStr">
        <is>
          <t>front desk</t>
        </is>
      </c>
      <c r="L6" t="inlineStr">
        <is>
          <t>front_desk_agreed</t>
        </is>
      </c>
      <c r="M6" t="inlineStr">
        <is>
          <t>SAMPLE owner out; mailroom signed as agreed</t>
        </is>
      </c>
      <c r="N6" s="9" t="n"/>
      <c r="P6" s="26">
        <f>IF($A6="","",IF(IFERROR(IF(INDEX(drops!$I$2:$I$21,MATCH($A6,drops!$A$2:$A$21,0))="","",INDEX(drops!$I$2:$I$21,MATCH($A6,drops!$A$2:$A$21,0))),"")="OK",IFERROR(IF(INDEX(drops!$B$2:$B$21,MATCH($A6,drops!$A$2:$A$21,0))="","",INDEX(drops!$B$2:$B$21,MATCH($A6,drops!$A$2:$A$21,0))),""),""))</f>
        <v/>
      </c>
      <c r="Q6" s="25">
        <f>IF($B6="","",IFERROR(IF(INDEX(offices!$N$2:$N$61,MATCH($B6,offices!$A$2:$A$61,0))="","",INDEX(offices!$N$2:$N$61,MATCH($B6,offices!$A$2:$A$61,0))),""))</f>
        <v/>
      </c>
      <c r="R6" s="25">
        <f>IF($B6="","",IFERROR(IF(INDEX(offices!$O$2:$O$61,MATCH($B6,offices!$A$2:$A$61,0))="","",INDEX(offices!$O$2:$O$61,MATCH($B6,offices!$A$2:$A$61,0))),""))</f>
        <v/>
      </c>
      <c r="S6" s="25">
        <f>IF($B6="","",IFERROR(IF(INDEX(offices!$P$2:$P$61,MATCH($B6,offices!$A$2:$A$61,0))="","",INDEX(offices!$P$2:$P$61,MATCH($B6,offices!$A$2:$A$61,0))),""))</f>
        <v/>
      </c>
      <c r="T6" s="25">
        <f>IF($B6="","",IFERROR(IF(INDEX(offices!$Y$2:$Y$61,MATCH($B6,offices!$A$2:$A$61,0))="","",INDEX(offices!$Y$2:$Y$61,MATCH($B6,offices!$A$2:$A$61,0))),""))</f>
        <v/>
      </c>
      <c r="U6" s="25">
        <f>IF($B6="","",IFERROR(IF(INDEX(offices!$X$2:$X$61,MATCH($B6,offices!$A$2:$A$61,0))="","",INDEX(offices!$X$2:$X$61,MATCH($B6,offices!$A$2:$A$61,0))),""))</f>
        <v/>
      </c>
      <c r="V6" s="25">
        <f>IF($B6="","",IFERROR(IF(INDEX(offices!$U$2:$U$61,MATCH($B6,offices!$A$2:$A$61,0))="","",INDEX(offices!$U$2:$U$61,MATCH($B6,offices!$A$2:$A$61,0))),""))</f>
        <v/>
      </c>
      <c r="W6" s="25">
        <f>IF($B6="","",IFERROR(IF(INDEX(offices!$AI$2:$AI$61,MATCH($B6,offices!$A$2:$A$61,0))="","",INDEX(offices!$AI$2:$AI$61,MATCH($B6,offices!$A$2:$A$61,0))),""))</f>
        <v/>
      </c>
      <c r="X6" s="25">
        <f>IF($B6="","",IFERROR(IF(INDEX(offices!$G$2:$G$61,MATCH($B6,offices!$A$2:$A$61,0))="","",INDEX(offices!$G$2:$G$61,MATCH($B6,offices!$A$2:$A$61,0))),""))</f>
        <v/>
      </c>
      <c r="Y6" s="25">
        <f>IF($B6="","",IFERROR(IF(INDEX(offices!$I$2:$I$61,MATCH($B6,offices!$A$2:$A$61,0))="","",INDEX(offices!$I$2:$I$61,MATCH($B6,offices!$A$2:$A$61,0))),""))</f>
        <v/>
      </c>
      <c r="Z6" s="25">
        <f>IF($A6="","",COUNTIFS(approvals!$H$2:$H$251,$A6,approvals!$B$2:$B$251,$B6,approvals!$P$2:$P$251,"Y"))</f>
        <v/>
      </c>
      <c r="AA6" s="25">
        <f>IF($A6="","",SUMIFS(approvals!$S$2:$S$251,approvals!$H$2:$H$251,$A6,approvals!$B$2:$B$251,$B6,approvals!$P$2:$P$251,"Y"))</f>
        <v/>
      </c>
      <c r="AB6" s="25">
        <f>IF(OR($A6="",$P6=""),"",IF(COUNTIFS(stops!$B$2:$B$151,$B6,stops!$P$2:$P$151,"&lt;"&amp;$P6,stops!$L$2:$L$151,"&lt;&gt;not_delivered")=0,"Y","N"))</f>
        <v/>
      </c>
      <c r="AC6" s="25">
        <f>IF(OR($I6="",$J6=""),"",ROUND(($J6-$I6)*1440,0))</f>
        <v/>
      </c>
      <c r="AD6" s="25">
        <f>IF($A6="","",IF(COUNTIFS(stops!$A$2:$A$151,$A6,stops!$B$2:$B$151,$B6)&gt;1,"DUPLICATE stop; ","")&amp;IF(AND(OR(IFERROR(IF(INDEX(offices!$Z$2:$Z$61,MATCH($B6,offices!$A$2:$A$61,0))="","",INDEX(offices!$Z$2:$Z$61,MATCH($B6,offices!$A$2:$A$61,0))),"")="yes",IFERROR(IF(INDEX(offices!$Z$2:$Z$61,MATCH($B6,offices!$A$2:$A$61,0))="","",INDEX(offices!$Z$2:$Z$61,MATCH($B6,offices!$A$2:$A$61,0))),"")="unsure"),$Y6&lt;&gt;"received",$Y6&lt;&gt;"not_needed"),"building certificate not received; ","")&amp;IF($W6="","owner phone missing; ","")&amp;IF(N($Z6)=0,"no approved brand for this stop; ","")&amp;IF(AND($P6&lt;&gt;"",IF(config!$B$37&lt;&gt;"",config!$B$37,TODAY())&gt;$P6,$L6=""),"log the outcome; ","")&amp;IF(AND(OR($L6="declined",$L6="building_refused",$L6="not_delivered"),N($Z6)&gt;0,COUNTIFS(approvals!$H$2:$H$251,$A6,approvals!$B$2:$B$251,$B6,approvals!$P$2:$P$251,"Y",approvals!$U$2:$U$251,"&gt;0")&gt;=N($Z6)),"outcome says "&amp;$L6&amp;" but every brand here is logged delivered: fix the outcome, or delete the wrong delivered rows (SOP section 4); ","")&amp;IF(AND(OR($L6="declined",$L6="building_refused",$L6="not_delivered"),COUNTIFS(approvals!$H$2:$H$251,$A6,approvals!$B$2:$B$251,$B6,approvals!$P$2:$P$251,"Y",approvals!$U$2:$U$251,"&gt;0")&gt;0,COUNTIFS(approvals!$H$2:$H$251,$A6,approvals!$B$2:$B$251,$B6,approvals!$P$2:$P$251,"Y",approvals!$U$2:$U$251,"&gt;0")&lt;N($Z6)),"info: "&amp;(N($Z6)-COUNTIFS(approvals!$H$2:$H$251,$A6,approvals!$B$2:$B$251,$B6,approvals!$P$2:$P$251,"Y",approvals!$U$2:$U$251,"&gt;0"))&amp;" brand(s) turned away at the door, the rest delivered; ","")&amp;IF(AND($AB6="Y",IFERROR(IF(INDEX(drops!$C$2:$C$21,MATCH($A6,drops!$A$2:$A$21,0))="","",INDEX(drops!$C$2:$C$21,MATCH($A6,drops!$A$2:$A$21,0))),"")="direct-ship"),"info: first drop: visit in person on T; ","")&amp;IF(AND($U6="front desk",$X6&lt;&gt;"Y"),"info: front desk not agreed: the owner must take it; ",""))</f>
        <v/>
      </c>
    </row>
    <row r="7">
      <c r="D7" s="33" t="n"/>
      <c r="E7" s="9" t="n"/>
      <c r="F7" s="9" t="n"/>
      <c r="G7" s="9" t="n"/>
      <c r="I7" s="33" t="n"/>
      <c r="J7" s="33" t="n"/>
      <c r="N7" s="9" t="n"/>
      <c r="P7" s="26">
        <f>IF($A7="","",IF(IFERROR(IF(INDEX(drops!$I$2:$I$21,MATCH($A7,drops!$A$2:$A$21,0))="","",INDEX(drops!$I$2:$I$21,MATCH($A7,drops!$A$2:$A$21,0))),"")="OK",IFERROR(IF(INDEX(drops!$B$2:$B$21,MATCH($A7,drops!$A$2:$A$21,0))="","",INDEX(drops!$B$2:$B$21,MATCH($A7,drops!$A$2:$A$21,0))),""),""))</f>
        <v/>
      </c>
      <c r="Q7" s="25">
        <f>IF($B7="","",IFERROR(IF(INDEX(offices!$N$2:$N$61,MATCH($B7,offices!$A$2:$A$61,0))="","",INDEX(offices!$N$2:$N$61,MATCH($B7,offices!$A$2:$A$61,0))),""))</f>
        <v/>
      </c>
      <c r="R7" s="25">
        <f>IF($B7="","",IFERROR(IF(INDEX(offices!$O$2:$O$61,MATCH($B7,offices!$A$2:$A$61,0))="","",INDEX(offices!$O$2:$O$61,MATCH($B7,offices!$A$2:$A$61,0))),""))</f>
        <v/>
      </c>
      <c r="S7" s="25">
        <f>IF($B7="","",IFERROR(IF(INDEX(offices!$P$2:$P$61,MATCH($B7,offices!$A$2:$A$61,0))="","",INDEX(offices!$P$2:$P$61,MATCH($B7,offices!$A$2:$A$61,0))),""))</f>
        <v/>
      </c>
      <c r="T7" s="25">
        <f>IF($B7="","",IFERROR(IF(INDEX(offices!$Y$2:$Y$61,MATCH($B7,offices!$A$2:$A$61,0))="","",INDEX(offices!$Y$2:$Y$61,MATCH($B7,offices!$A$2:$A$61,0))),""))</f>
        <v/>
      </c>
      <c r="U7" s="25">
        <f>IF($B7="","",IFERROR(IF(INDEX(offices!$X$2:$X$61,MATCH($B7,offices!$A$2:$A$61,0))="","",INDEX(offices!$X$2:$X$61,MATCH($B7,offices!$A$2:$A$61,0))),""))</f>
        <v/>
      </c>
      <c r="V7" s="25">
        <f>IF($B7="","",IFERROR(IF(INDEX(offices!$U$2:$U$61,MATCH($B7,offices!$A$2:$A$61,0))="","",INDEX(offices!$U$2:$U$61,MATCH($B7,offices!$A$2:$A$61,0))),""))</f>
        <v/>
      </c>
      <c r="W7" s="25">
        <f>IF($B7="","",IFERROR(IF(INDEX(offices!$AI$2:$AI$61,MATCH($B7,offices!$A$2:$A$61,0))="","",INDEX(offices!$AI$2:$AI$61,MATCH($B7,offices!$A$2:$A$61,0))),""))</f>
        <v/>
      </c>
      <c r="X7" s="25">
        <f>IF($B7="","",IFERROR(IF(INDEX(offices!$G$2:$G$61,MATCH($B7,offices!$A$2:$A$61,0))="","",INDEX(offices!$G$2:$G$61,MATCH($B7,offices!$A$2:$A$61,0))),""))</f>
        <v/>
      </c>
      <c r="Y7" s="25">
        <f>IF($B7="","",IFERROR(IF(INDEX(offices!$I$2:$I$61,MATCH($B7,offices!$A$2:$A$61,0))="","",INDEX(offices!$I$2:$I$61,MATCH($B7,offices!$A$2:$A$61,0))),""))</f>
        <v/>
      </c>
      <c r="Z7" s="25">
        <f>IF($A7="","",COUNTIFS(approvals!$H$2:$H$251,$A7,approvals!$B$2:$B$251,$B7,approvals!$P$2:$P$251,"Y"))</f>
        <v/>
      </c>
      <c r="AA7" s="25">
        <f>IF($A7="","",SUMIFS(approvals!$S$2:$S$251,approvals!$H$2:$H$251,$A7,approvals!$B$2:$B$251,$B7,approvals!$P$2:$P$251,"Y"))</f>
        <v/>
      </c>
      <c r="AB7" s="25">
        <f>IF(OR($A7="",$P7=""),"",IF(COUNTIFS(stops!$B$2:$B$151,$B7,stops!$P$2:$P$151,"&lt;"&amp;$P7,stops!$L$2:$L$151,"&lt;&gt;not_delivered")=0,"Y","N"))</f>
        <v/>
      </c>
      <c r="AC7" s="25">
        <f>IF(OR($I7="",$J7=""),"",ROUND(($J7-$I7)*1440,0))</f>
        <v/>
      </c>
      <c r="AD7" s="25">
        <f>IF($A7="","",IF(COUNTIFS(stops!$A$2:$A$151,$A7,stops!$B$2:$B$151,$B7)&gt;1,"DUPLICATE stop; ","")&amp;IF(AND(OR(IFERROR(IF(INDEX(offices!$Z$2:$Z$61,MATCH($B7,offices!$A$2:$A$61,0))="","",INDEX(offices!$Z$2:$Z$61,MATCH($B7,offices!$A$2:$A$61,0))),"")="yes",IFERROR(IF(INDEX(offices!$Z$2:$Z$61,MATCH($B7,offices!$A$2:$A$61,0))="","",INDEX(offices!$Z$2:$Z$61,MATCH($B7,offices!$A$2:$A$61,0))),"")="unsure"),$Y7&lt;&gt;"received",$Y7&lt;&gt;"not_needed"),"building certificate not received; ","")&amp;IF($W7="","owner phone missing; ","")&amp;IF(N($Z7)=0,"no approved brand for this stop; ","")&amp;IF(AND($P7&lt;&gt;"",IF(config!$B$37&lt;&gt;"",config!$B$37,TODAY())&gt;$P7,$L7=""),"log the outcome; ","")&amp;IF(AND(OR($L7="declined",$L7="building_refused",$L7="not_delivered"),N($Z7)&gt;0,COUNTIFS(approvals!$H$2:$H$251,$A7,approvals!$B$2:$B$251,$B7,approvals!$P$2:$P$251,"Y",approvals!$U$2:$U$251,"&gt;0")&gt;=N($Z7)),"outcome says "&amp;$L7&amp;" but every brand here is logged delivered: fix the outcome, or delete the wrong delivered rows (SOP section 4); ","")&amp;IF(AND(OR($L7="declined",$L7="building_refused",$L7="not_delivered"),COUNTIFS(approvals!$H$2:$H$251,$A7,approvals!$B$2:$B$251,$B7,approvals!$P$2:$P$251,"Y",approvals!$U$2:$U$251,"&gt;0")&gt;0,COUNTIFS(approvals!$H$2:$H$251,$A7,approvals!$B$2:$B$251,$B7,approvals!$P$2:$P$251,"Y",approvals!$U$2:$U$251,"&gt;0")&lt;N($Z7)),"info: "&amp;(N($Z7)-COUNTIFS(approvals!$H$2:$H$251,$A7,approvals!$B$2:$B$251,$B7,approvals!$P$2:$P$251,"Y",approvals!$U$2:$U$251,"&gt;0"))&amp;" brand(s) turned away at the door, the rest delivered; ","")&amp;IF(AND($AB7="Y",IFERROR(IF(INDEX(drops!$C$2:$C$21,MATCH($A7,drops!$A$2:$A$21,0))="","",INDEX(drops!$C$2:$C$21,MATCH($A7,drops!$A$2:$A$21,0))),"")="direct-ship"),"info: first drop: visit in person on T; ","")&amp;IF(AND($U7="front desk",$X7&lt;&gt;"Y"),"info: front desk not agreed: the owner must take it; ",""))</f>
        <v/>
      </c>
    </row>
    <row r="8">
      <c r="D8" s="33" t="n"/>
      <c r="E8" s="9" t="n"/>
      <c r="F8" s="9" t="n"/>
      <c r="G8" s="9" t="n"/>
      <c r="I8" s="33" t="n"/>
      <c r="J8" s="33" t="n"/>
      <c r="N8" s="9" t="n"/>
      <c r="P8" s="26">
        <f>IF($A8="","",IF(IFERROR(IF(INDEX(drops!$I$2:$I$21,MATCH($A8,drops!$A$2:$A$21,0))="","",INDEX(drops!$I$2:$I$21,MATCH($A8,drops!$A$2:$A$21,0))),"")="OK",IFERROR(IF(INDEX(drops!$B$2:$B$21,MATCH($A8,drops!$A$2:$A$21,0))="","",INDEX(drops!$B$2:$B$21,MATCH($A8,drops!$A$2:$A$21,0))),""),""))</f>
        <v/>
      </c>
      <c r="Q8" s="25">
        <f>IF($B8="","",IFERROR(IF(INDEX(offices!$N$2:$N$61,MATCH($B8,offices!$A$2:$A$61,0))="","",INDEX(offices!$N$2:$N$61,MATCH($B8,offices!$A$2:$A$61,0))),""))</f>
        <v/>
      </c>
      <c r="R8" s="25">
        <f>IF($B8="","",IFERROR(IF(INDEX(offices!$O$2:$O$61,MATCH($B8,offices!$A$2:$A$61,0))="","",INDEX(offices!$O$2:$O$61,MATCH($B8,offices!$A$2:$A$61,0))),""))</f>
        <v/>
      </c>
      <c r="S8" s="25">
        <f>IF($B8="","",IFERROR(IF(INDEX(offices!$P$2:$P$61,MATCH($B8,offices!$A$2:$A$61,0))="","",INDEX(offices!$P$2:$P$61,MATCH($B8,offices!$A$2:$A$61,0))),""))</f>
        <v/>
      </c>
      <c r="T8" s="25">
        <f>IF($B8="","",IFERROR(IF(INDEX(offices!$Y$2:$Y$61,MATCH($B8,offices!$A$2:$A$61,0))="","",INDEX(offices!$Y$2:$Y$61,MATCH($B8,offices!$A$2:$A$61,0))),""))</f>
        <v/>
      </c>
      <c r="U8" s="25">
        <f>IF($B8="","",IFERROR(IF(INDEX(offices!$X$2:$X$61,MATCH($B8,offices!$A$2:$A$61,0))="","",INDEX(offices!$X$2:$X$61,MATCH($B8,offices!$A$2:$A$61,0))),""))</f>
        <v/>
      </c>
      <c r="V8" s="25">
        <f>IF($B8="","",IFERROR(IF(INDEX(offices!$U$2:$U$61,MATCH($B8,offices!$A$2:$A$61,0))="","",INDEX(offices!$U$2:$U$61,MATCH($B8,offices!$A$2:$A$61,0))),""))</f>
        <v/>
      </c>
      <c r="W8" s="25">
        <f>IF($B8="","",IFERROR(IF(INDEX(offices!$AI$2:$AI$61,MATCH($B8,offices!$A$2:$A$61,0))="","",INDEX(offices!$AI$2:$AI$61,MATCH($B8,offices!$A$2:$A$61,0))),""))</f>
        <v/>
      </c>
      <c r="X8" s="25">
        <f>IF($B8="","",IFERROR(IF(INDEX(offices!$G$2:$G$61,MATCH($B8,offices!$A$2:$A$61,0))="","",INDEX(offices!$G$2:$G$61,MATCH($B8,offices!$A$2:$A$61,0))),""))</f>
        <v/>
      </c>
      <c r="Y8" s="25">
        <f>IF($B8="","",IFERROR(IF(INDEX(offices!$I$2:$I$61,MATCH($B8,offices!$A$2:$A$61,0))="","",INDEX(offices!$I$2:$I$61,MATCH($B8,offices!$A$2:$A$61,0))),""))</f>
        <v/>
      </c>
      <c r="Z8" s="25">
        <f>IF($A8="","",COUNTIFS(approvals!$H$2:$H$251,$A8,approvals!$B$2:$B$251,$B8,approvals!$P$2:$P$251,"Y"))</f>
        <v/>
      </c>
      <c r="AA8" s="25">
        <f>IF($A8="","",SUMIFS(approvals!$S$2:$S$251,approvals!$H$2:$H$251,$A8,approvals!$B$2:$B$251,$B8,approvals!$P$2:$P$251,"Y"))</f>
        <v/>
      </c>
      <c r="AB8" s="25">
        <f>IF(OR($A8="",$P8=""),"",IF(COUNTIFS(stops!$B$2:$B$151,$B8,stops!$P$2:$P$151,"&lt;"&amp;$P8,stops!$L$2:$L$151,"&lt;&gt;not_delivered")=0,"Y","N"))</f>
        <v/>
      </c>
      <c r="AC8" s="25">
        <f>IF(OR($I8="",$J8=""),"",ROUND(($J8-$I8)*1440,0))</f>
        <v/>
      </c>
      <c r="AD8" s="25">
        <f>IF($A8="","",IF(COUNTIFS(stops!$A$2:$A$151,$A8,stops!$B$2:$B$151,$B8)&gt;1,"DUPLICATE stop; ","")&amp;IF(AND(OR(IFERROR(IF(INDEX(offices!$Z$2:$Z$61,MATCH($B8,offices!$A$2:$A$61,0))="","",INDEX(offices!$Z$2:$Z$61,MATCH($B8,offices!$A$2:$A$61,0))),"")="yes",IFERROR(IF(INDEX(offices!$Z$2:$Z$61,MATCH($B8,offices!$A$2:$A$61,0))="","",INDEX(offices!$Z$2:$Z$61,MATCH($B8,offices!$A$2:$A$61,0))),"")="unsure"),$Y8&lt;&gt;"received",$Y8&lt;&gt;"not_needed"),"building certificate not received; ","")&amp;IF($W8="","owner phone missing; ","")&amp;IF(N($Z8)=0,"no approved brand for this stop; ","")&amp;IF(AND($P8&lt;&gt;"",IF(config!$B$37&lt;&gt;"",config!$B$37,TODAY())&gt;$P8,$L8=""),"log the outcome; ","")&amp;IF(AND(OR($L8="declined",$L8="building_refused",$L8="not_delivered"),N($Z8)&gt;0,COUNTIFS(approvals!$H$2:$H$251,$A8,approvals!$B$2:$B$251,$B8,approvals!$P$2:$P$251,"Y",approvals!$U$2:$U$251,"&gt;0")&gt;=N($Z8)),"outcome says "&amp;$L8&amp;" but every brand here is logged delivered: fix the outcome, or delete the wrong delivered rows (SOP section 4); ","")&amp;IF(AND(OR($L8="declined",$L8="building_refused",$L8="not_delivered"),COUNTIFS(approvals!$H$2:$H$251,$A8,approvals!$B$2:$B$251,$B8,approvals!$P$2:$P$251,"Y",approvals!$U$2:$U$251,"&gt;0")&gt;0,COUNTIFS(approvals!$H$2:$H$251,$A8,approvals!$B$2:$B$251,$B8,approvals!$P$2:$P$251,"Y",approvals!$U$2:$U$251,"&gt;0")&lt;N($Z8)),"info: "&amp;(N($Z8)-COUNTIFS(approvals!$H$2:$H$251,$A8,approvals!$B$2:$B$251,$B8,approvals!$P$2:$P$251,"Y",approvals!$U$2:$U$251,"&gt;0"))&amp;" brand(s) turned away at the door, the rest delivered; ","")&amp;IF(AND($AB8="Y",IFERROR(IF(INDEX(drops!$C$2:$C$21,MATCH($A8,drops!$A$2:$A$21,0))="","",INDEX(drops!$C$2:$C$21,MATCH($A8,drops!$A$2:$A$21,0))),"")="direct-ship"),"info: first drop: visit in person on T; ","")&amp;IF(AND($U8="front desk",$X8&lt;&gt;"Y"),"info: front desk not agreed: the owner must take it; ",""))</f>
        <v/>
      </c>
    </row>
    <row r="9">
      <c r="D9" s="33" t="n"/>
      <c r="E9" s="9" t="n"/>
      <c r="F9" s="9" t="n"/>
      <c r="G9" s="9" t="n"/>
      <c r="I9" s="33" t="n"/>
      <c r="J9" s="33" t="n"/>
      <c r="N9" s="9" t="n"/>
      <c r="P9" s="26">
        <f>IF($A9="","",IF(IFERROR(IF(INDEX(drops!$I$2:$I$21,MATCH($A9,drops!$A$2:$A$21,0))="","",INDEX(drops!$I$2:$I$21,MATCH($A9,drops!$A$2:$A$21,0))),"")="OK",IFERROR(IF(INDEX(drops!$B$2:$B$21,MATCH($A9,drops!$A$2:$A$21,0))="","",INDEX(drops!$B$2:$B$21,MATCH($A9,drops!$A$2:$A$21,0))),""),""))</f>
        <v/>
      </c>
      <c r="Q9" s="25">
        <f>IF($B9="","",IFERROR(IF(INDEX(offices!$N$2:$N$61,MATCH($B9,offices!$A$2:$A$61,0))="","",INDEX(offices!$N$2:$N$61,MATCH($B9,offices!$A$2:$A$61,0))),""))</f>
        <v/>
      </c>
      <c r="R9" s="25">
        <f>IF($B9="","",IFERROR(IF(INDEX(offices!$O$2:$O$61,MATCH($B9,offices!$A$2:$A$61,0))="","",INDEX(offices!$O$2:$O$61,MATCH($B9,offices!$A$2:$A$61,0))),""))</f>
        <v/>
      </c>
      <c r="S9" s="25">
        <f>IF($B9="","",IFERROR(IF(INDEX(offices!$P$2:$P$61,MATCH($B9,offices!$A$2:$A$61,0))="","",INDEX(offices!$P$2:$P$61,MATCH($B9,offices!$A$2:$A$61,0))),""))</f>
        <v/>
      </c>
      <c r="T9" s="25">
        <f>IF($B9="","",IFERROR(IF(INDEX(offices!$Y$2:$Y$61,MATCH($B9,offices!$A$2:$A$61,0))="","",INDEX(offices!$Y$2:$Y$61,MATCH($B9,offices!$A$2:$A$61,0))),""))</f>
        <v/>
      </c>
      <c r="U9" s="25">
        <f>IF($B9="","",IFERROR(IF(INDEX(offices!$X$2:$X$61,MATCH($B9,offices!$A$2:$A$61,0))="","",INDEX(offices!$X$2:$X$61,MATCH($B9,offices!$A$2:$A$61,0))),""))</f>
        <v/>
      </c>
      <c r="V9" s="25">
        <f>IF($B9="","",IFERROR(IF(INDEX(offices!$U$2:$U$61,MATCH($B9,offices!$A$2:$A$61,0))="","",INDEX(offices!$U$2:$U$61,MATCH($B9,offices!$A$2:$A$61,0))),""))</f>
        <v/>
      </c>
      <c r="W9" s="25">
        <f>IF($B9="","",IFERROR(IF(INDEX(offices!$AI$2:$AI$61,MATCH($B9,offices!$A$2:$A$61,0))="","",INDEX(offices!$AI$2:$AI$61,MATCH($B9,offices!$A$2:$A$61,0))),""))</f>
        <v/>
      </c>
      <c r="X9" s="25">
        <f>IF($B9="","",IFERROR(IF(INDEX(offices!$G$2:$G$61,MATCH($B9,offices!$A$2:$A$61,0))="","",INDEX(offices!$G$2:$G$61,MATCH($B9,offices!$A$2:$A$61,0))),""))</f>
        <v/>
      </c>
      <c r="Y9" s="25">
        <f>IF($B9="","",IFERROR(IF(INDEX(offices!$I$2:$I$61,MATCH($B9,offices!$A$2:$A$61,0))="","",INDEX(offices!$I$2:$I$61,MATCH($B9,offices!$A$2:$A$61,0))),""))</f>
        <v/>
      </c>
      <c r="Z9" s="25">
        <f>IF($A9="","",COUNTIFS(approvals!$H$2:$H$251,$A9,approvals!$B$2:$B$251,$B9,approvals!$P$2:$P$251,"Y"))</f>
        <v/>
      </c>
      <c r="AA9" s="25">
        <f>IF($A9="","",SUMIFS(approvals!$S$2:$S$251,approvals!$H$2:$H$251,$A9,approvals!$B$2:$B$251,$B9,approvals!$P$2:$P$251,"Y"))</f>
        <v/>
      </c>
      <c r="AB9" s="25">
        <f>IF(OR($A9="",$P9=""),"",IF(COUNTIFS(stops!$B$2:$B$151,$B9,stops!$P$2:$P$151,"&lt;"&amp;$P9,stops!$L$2:$L$151,"&lt;&gt;not_delivered")=0,"Y","N"))</f>
        <v/>
      </c>
      <c r="AC9" s="25">
        <f>IF(OR($I9="",$J9=""),"",ROUND(($J9-$I9)*1440,0))</f>
        <v/>
      </c>
      <c r="AD9" s="25">
        <f>IF($A9="","",IF(COUNTIFS(stops!$A$2:$A$151,$A9,stops!$B$2:$B$151,$B9)&gt;1,"DUPLICATE stop; ","")&amp;IF(AND(OR(IFERROR(IF(INDEX(offices!$Z$2:$Z$61,MATCH($B9,offices!$A$2:$A$61,0))="","",INDEX(offices!$Z$2:$Z$61,MATCH($B9,offices!$A$2:$A$61,0))),"")="yes",IFERROR(IF(INDEX(offices!$Z$2:$Z$61,MATCH($B9,offices!$A$2:$A$61,0))="","",INDEX(offices!$Z$2:$Z$61,MATCH($B9,offices!$A$2:$A$61,0))),"")="unsure"),$Y9&lt;&gt;"received",$Y9&lt;&gt;"not_needed"),"building certificate not received; ","")&amp;IF($W9="","owner phone missing; ","")&amp;IF(N($Z9)=0,"no approved brand for this stop; ","")&amp;IF(AND($P9&lt;&gt;"",IF(config!$B$37&lt;&gt;"",config!$B$37,TODAY())&gt;$P9,$L9=""),"log the outcome; ","")&amp;IF(AND(OR($L9="declined",$L9="building_refused",$L9="not_delivered"),N($Z9)&gt;0,COUNTIFS(approvals!$H$2:$H$251,$A9,approvals!$B$2:$B$251,$B9,approvals!$P$2:$P$251,"Y",approvals!$U$2:$U$251,"&gt;0")&gt;=N($Z9)),"outcome says "&amp;$L9&amp;" but every brand here is logged delivered: fix the outcome, or delete the wrong delivered rows (SOP section 4); ","")&amp;IF(AND(OR($L9="declined",$L9="building_refused",$L9="not_delivered"),COUNTIFS(approvals!$H$2:$H$251,$A9,approvals!$B$2:$B$251,$B9,approvals!$P$2:$P$251,"Y",approvals!$U$2:$U$251,"&gt;0")&gt;0,COUNTIFS(approvals!$H$2:$H$251,$A9,approvals!$B$2:$B$251,$B9,approvals!$P$2:$P$251,"Y",approvals!$U$2:$U$251,"&gt;0")&lt;N($Z9)),"info: "&amp;(N($Z9)-COUNTIFS(approvals!$H$2:$H$251,$A9,approvals!$B$2:$B$251,$B9,approvals!$P$2:$P$251,"Y",approvals!$U$2:$U$251,"&gt;0"))&amp;" brand(s) turned away at the door, the rest delivered; ","")&amp;IF(AND($AB9="Y",IFERROR(IF(INDEX(drops!$C$2:$C$21,MATCH($A9,drops!$A$2:$A$21,0))="","",INDEX(drops!$C$2:$C$21,MATCH($A9,drops!$A$2:$A$21,0))),"")="direct-ship"),"info: first drop: visit in person on T; ","")&amp;IF(AND($U9="front desk",$X9&lt;&gt;"Y"),"info: front desk not agreed: the owner must take it; ",""))</f>
        <v/>
      </c>
    </row>
    <row r="10">
      <c r="D10" s="33" t="n"/>
      <c r="E10" s="9" t="n"/>
      <c r="F10" s="9" t="n"/>
      <c r="G10" s="9" t="n"/>
      <c r="I10" s="33" t="n"/>
      <c r="J10" s="33" t="n"/>
      <c r="N10" s="9" t="n"/>
      <c r="P10" s="26">
        <f>IF($A10="","",IF(IFERROR(IF(INDEX(drops!$I$2:$I$21,MATCH($A10,drops!$A$2:$A$21,0))="","",INDEX(drops!$I$2:$I$21,MATCH($A10,drops!$A$2:$A$21,0))),"")="OK",IFERROR(IF(INDEX(drops!$B$2:$B$21,MATCH($A10,drops!$A$2:$A$21,0))="","",INDEX(drops!$B$2:$B$21,MATCH($A10,drops!$A$2:$A$21,0))),""),""))</f>
        <v/>
      </c>
      <c r="Q10" s="25">
        <f>IF($B10="","",IFERROR(IF(INDEX(offices!$N$2:$N$61,MATCH($B10,offices!$A$2:$A$61,0))="","",INDEX(offices!$N$2:$N$61,MATCH($B10,offices!$A$2:$A$61,0))),""))</f>
        <v/>
      </c>
      <c r="R10" s="25">
        <f>IF($B10="","",IFERROR(IF(INDEX(offices!$O$2:$O$61,MATCH($B10,offices!$A$2:$A$61,0))="","",INDEX(offices!$O$2:$O$61,MATCH($B10,offices!$A$2:$A$61,0))),""))</f>
        <v/>
      </c>
      <c r="S10" s="25">
        <f>IF($B10="","",IFERROR(IF(INDEX(offices!$P$2:$P$61,MATCH($B10,offices!$A$2:$A$61,0))="","",INDEX(offices!$P$2:$P$61,MATCH($B10,offices!$A$2:$A$61,0))),""))</f>
        <v/>
      </c>
      <c r="T10" s="25">
        <f>IF($B10="","",IFERROR(IF(INDEX(offices!$Y$2:$Y$61,MATCH($B10,offices!$A$2:$A$61,0))="","",INDEX(offices!$Y$2:$Y$61,MATCH($B10,offices!$A$2:$A$61,0))),""))</f>
        <v/>
      </c>
      <c r="U10" s="25">
        <f>IF($B10="","",IFERROR(IF(INDEX(offices!$X$2:$X$61,MATCH($B10,offices!$A$2:$A$61,0))="","",INDEX(offices!$X$2:$X$61,MATCH($B10,offices!$A$2:$A$61,0))),""))</f>
        <v/>
      </c>
      <c r="V10" s="25">
        <f>IF($B10="","",IFERROR(IF(INDEX(offices!$U$2:$U$61,MATCH($B10,offices!$A$2:$A$61,0))="","",INDEX(offices!$U$2:$U$61,MATCH($B10,offices!$A$2:$A$61,0))),""))</f>
        <v/>
      </c>
      <c r="W10" s="25">
        <f>IF($B10="","",IFERROR(IF(INDEX(offices!$AI$2:$AI$61,MATCH($B10,offices!$A$2:$A$61,0))="","",INDEX(offices!$AI$2:$AI$61,MATCH($B10,offices!$A$2:$A$61,0))),""))</f>
        <v/>
      </c>
      <c r="X10" s="25">
        <f>IF($B10="","",IFERROR(IF(INDEX(offices!$G$2:$G$61,MATCH($B10,offices!$A$2:$A$61,0))="","",INDEX(offices!$G$2:$G$61,MATCH($B10,offices!$A$2:$A$61,0))),""))</f>
        <v/>
      </c>
      <c r="Y10" s="25">
        <f>IF($B10="","",IFERROR(IF(INDEX(offices!$I$2:$I$61,MATCH($B10,offices!$A$2:$A$61,0))="","",INDEX(offices!$I$2:$I$61,MATCH($B10,offices!$A$2:$A$61,0))),""))</f>
        <v/>
      </c>
      <c r="Z10" s="25">
        <f>IF($A10="","",COUNTIFS(approvals!$H$2:$H$251,$A10,approvals!$B$2:$B$251,$B10,approvals!$P$2:$P$251,"Y"))</f>
        <v/>
      </c>
      <c r="AA10" s="25">
        <f>IF($A10="","",SUMIFS(approvals!$S$2:$S$251,approvals!$H$2:$H$251,$A10,approvals!$B$2:$B$251,$B10,approvals!$P$2:$P$251,"Y"))</f>
        <v/>
      </c>
      <c r="AB10" s="25">
        <f>IF(OR($A10="",$P10=""),"",IF(COUNTIFS(stops!$B$2:$B$151,$B10,stops!$P$2:$P$151,"&lt;"&amp;$P10,stops!$L$2:$L$151,"&lt;&gt;not_delivered")=0,"Y","N"))</f>
        <v/>
      </c>
      <c r="AC10" s="25">
        <f>IF(OR($I10="",$J10=""),"",ROUND(($J10-$I10)*1440,0))</f>
        <v/>
      </c>
      <c r="AD10" s="25">
        <f>IF($A10="","",IF(COUNTIFS(stops!$A$2:$A$151,$A10,stops!$B$2:$B$151,$B10)&gt;1,"DUPLICATE stop; ","")&amp;IF(AND(OR(IFERROR(IF(INDEX(offices!$Z$2:$Z$61,MATCH($B10,offices!$A$2:$A$61,0))="","",INDEX(offices!$Z$2:$Z$61,MATCH($B10,offices!$A$2:$A$61,0))),"")="yes",IFERROR(IF(INDEX(offices!$Z$2:$Z$61,MATCH($B10,offices!$A$2:$A$61,0))="","",INDEX(offices!$Z$2:$Z$61,MATCH($B10,offices!$A$2:$A$61,0))),"")="unsure"),$Y10&lt;&gt;"received",$Y10&lt;&gt;"not_needed"),"building certificate not received; ","")&amp;IF($W10="","owner phone missing; ","")&amp;IF(N($Z10)=0,"no approved brand for this stop; ","")&amp;IF(AND($P10&lt;&gt;"",IF(config!$B$37&lt;&gt;"",config!$B$37,TODAY())&gt;$P10,$L10=""),"log the outcome; ","")&amp;IF(AND(OR($L10="declined",$L10="building_refused",$L10="not_delivered"),N($Z10)&gt;0,COUNTIFS(approvals!$H$2:$H$251,$A10,approvals!$B$2:$B$251,$B10,approvals!$P$2:$P$251,"Y",approvals!$U$2:$U$251,"&gt;0")&gt;=N($Z10)),"outcome says "&amp;$L10&amp;" but every brand here is logged delivered: fix the outcome, or delete the wrong delivered rows (SOP section 4); ","")&amp;IF(AND(OR($L10="declined",$L10="building_refused",$L10="not_delivered"),COUNTIFS(approvals!$H$2:$H$251,$A10,approvals!$B$2:$B$251,$B10,approvals!$P$2:$P$251,"Y",approvals!$U$2:$U$251,"&gt;0")&gt;0,COUNTIFS(approvals!$H$2:$H$251,$A10,approvals!$B$2:$B$251,$B10,approvals!$P$2:$P$251,"Y",approvals!$U$2:$U$251,"&gt;0")&lt;N($Z10)),"info: "&amp;(N($Z10)-COUNTIFS(approvals!$H$2:$H$251,$A10,approvals!$B$2:$B$251,$B10,approvals!$P$2:$P$251,"Y",approvals!$U$2:$U$251,"&gt;0"))&amp;" brand(s) turned away at the door, the rest delivered; ","")&amp;IF(AND($AB10="Y",IFERROR(IF(INDEX(drops!$C$2:$C$21,MATCH($A10,drops!$A$2:$A$21,0))="","",INDEX(drops!$C$2:$C$21,MATCH($A10,drops!$A$2:$A$21,0))),"")="direct-ship"),"info: first drop: visit in person on T; ","")&amp;IF(AND($U10="front desk",$X10&lt;&gt;"Y"),"info: front desk not agreed: the owner must take it; ",""))</f>
        <v/>
      </c>
    </row>
    <row r="11">
      <c r="D11" s="33" t="n"/>
      <c r="E11" s="9" t="n"/>
      <c r="F11" s="9" t="n"/>
      <c r="G11" s="9" t="n"/>
      <c r="I11" s="33" t="n"/>
      <c r="J11" s="33" t="n"/>
      <c r="N11" s="9" t="n"/>
      <c r="P11" s="26">
        <f>IF($A11="","",IF(IFERROR(IF(INDEX(drops!$I$2:$I$21,MATCH($A11,drops!$A$2:$A$21,0))="","",INDEX(drops!$I$2:$I$21,MATCH($A11,drops!$A$2:$A$21,0))),"")="OK",IFERROR(IF(INDEX(drops!$B$2:$B$21,MATCH($A11,drops!$A$2:$A$21,0))="","",INDEX(drops!$B$2:$B$21,MATCH($A11,drops!$A$2:$A$21,0))),""),""))</f>
        <v/>
      </c>
      <c r="Q11" s="25">
        <f>IF($B11="","",IFERROR(IF(INDEX(offices!$N$2:$N$61,MATCH($B11,offices!$A$2:$A$61,0))="","",INDEX(offices!$N$2:$N$61,MATCH($B11,offices!$A$2:$A$61,0))),""))</f>
        <v/>
      </c>
      <c r="R11" s="25">
        <f>IF($B11="","",IFERROR(IF(INDEX(offices!$O$2:$O$61,MATCH($B11,offices!$A$2:$A$61,0))="","",INDEX(offices!$O$2:$O$61,MATCH($B11,offices!$A$2:$A$61,0))),""))</f>
        <v/>
      </c>
      <c r="S11" s="25">
        <f>IF($B11="","",IFERROR(IF(INDEX(offices!$P$2:$P$61,MATCH($B11,offices!$A$2:$A$61,0))="","",INDEX(offices!$P$2:$P$61,MATCH($B11,offices!$A$2:$A$61,0))),""))</f>
        <v/>
      </c>
      <c r="T11" s="25">
        <f>IF($B11="","",IFERROR(IF(INDEX(offices!$Y$2:$Y$61,MATCH($B11,offices!$A$2:$A$61,0))="","",INDEX(offices!$Y$2:$Y$61,MATCH($B11,offices!$A$2:$A$61,0))),""))</f>
        <v/>
      </c>
      <c r="U11" s="25">
        <f>IF($B11="","",IFERROR(IF(INDEX(offices!$X$2:$X$61,MATCH($B11,offices!$A$2:$A$61,0))="","",INDEX(offices!$X$2:$X$61,MATCH($B11,offices!$A$2:$A$61,0))),""))</f>
        <v/>
      </c>
      <c r="V11" s="25">
        <f>IF($B11="","",IFERROR(IF(INDEX(offices!$U$2:$U$61,MATCH($B11,offices!$A$2:$A$61,0))="","",INDEX(offices!$U$2:$U$61,MATCH($B11,offices!$A$2:$A$61,0))),""))</f>
        <v/>
      </c>
      <c r="W11" s="25">
        <f>IF($B11="","",IFERROR(IF(INDEX(offices!$AI$2:$AI$61,MATCH($B11,offices!$A$2:$A$61,0))="","",INDEX(offices!$AI$2:$AI$61,MATCH($B11,offices!$A$2:$A$61,0))),""))</f>
        <v/>
      </c>
      <c r="X11" s="25">
        <f>IF($B11="","",IFERROR(IF(INDEX(offices!$G$2:$G$61,MATCH($B11,offices!$A$2:$A$61,0))="","",INDEX(offices!$G$2:$G$61,MATCH($B11,offices!$A$2:$A$61,0))),""))</f>
        <v/>
      </c>
      <c r="Y11" s="25">
        <f>IF($B11="","",IFERROR(IF(INDEX(offices!$I$2:$I$61,MATCH($B11,offices!$A$2:$A$61,0))="","",INDEX(offices!$I$2:$I$61,MATCH($B11,offices!$A$2:$A$61,0))),""))</f>
        <v/>
      </c>
      <c r="Z11" s="25">
        <f>IF($A11="","",COUNTIFS(approvals!$H$2:$H$251,$A11,approvals!$B$2:$B$251,$B11,approvals!$P$2:$P$251,"Y"))</f>
        <v/>
      </c>
      <c r="AA11" s="25">
        <f>IF($A11="","",SUMIFS(approvals!$S$2:$S$251,approvals!$H$2:$H$251,$A11,approvals!$B$2:$B$251,$B11,approvals!$P$2:$P$251,"Y"))</f>
        <v/>
      </c>
      <c r="AB11" s="25">
        <f>IF(OR($A11="",$P11=""),"",IF(COUNTIFS(stops!$B$2:$B$151,$B11,stops!$P$2:$P$151,"&lt;"&amp;$P11,stops!$L$2:$L$151,"&lt;&gt;not_delivered")=0,"Y","N"))</f>
        <v/>
      </c>
      <c r="AC11" s="25">
        <f>IF(OR($I11="",$J11=""),"",ROUND(($J11-$I11)*1440,0))</f>
        <v/>
      </c>
      <c r="AD11" s="25">
        <f>IF($A11="","",IF(COUNTIFS(stops!$A$2:$A$151,$A11,stops!$B$2:$B$151,$B11)&gt;1,"DUPLICATE stop; ","")&amp;IF(AND(OR(IFERROR(IF(INDEX(offices!$Z$2:$Z$61,MATCH($B11,offices!$A$2:$A$61,0))="","",INDEX(offices!$Z$2:$Z$61,MATCH($B11,offices!$A$2:$A$61,0))),"")="yes",IFERROR(IF(INDEX(offices!$Z$2:$Z$61,MATCH($B11,offices!$A$2:$A$61,0))="","",INDEX(offices!$Z$2:$Z$61,MATCH($B11,offices!$A$2:$A$61,0))),"")="unsure"),$Y11&lt;&gt;"received",$Y11&lt;&gt;"not_needed"),"building certificate not received; ","")&amp;IF($W11="","owner phone missing; ","")&amp;IF(N($Z11)=0,"no approved brand for this stop; ","")&amp;IF(AND($P11&lt;&gt;"",IF(config!$B$37&lt;&gt;"",config!$B$37,TODAY())&gt;$P11,$L11=""),"log the outcome; ","")&amp;IF(AND(OR($L11="declined",$L11="building_refused",$L11="not_delivered"),N($Z11)&gt;0,COUNTIFS(approvals!$H$2:$H$251,$A11,approvals!$B$2:$B$251,$B11,approvals!$P$2:$P$251,"Y",approvals!$U$2:$U$251,"&gt;0")&gt;=N($Z11)),"outcome says "&amp;$L11&amp;" but every brand here is logged delivered: fix the outcome, or delete the wrong delivered rows (SOP section 4); ","")&amp;IF(AND(OR($L11="declined",$L11="building_refused",$L11="not_delivered"),COUNTIFS(approvals!$H$2:$H$251,$A11,approvals!$B$2:$B$251,$B11,approvals!$P$2:$P$251,"Y",approvals!$U$2:$U$251,"&gt;0")&gt;0,COUNTIFS(approvals!$H$2:$H$251,$A11,approvals!$B$2:$B$251,$B11,approvals!$P$2:$P$251,"Y",approvals!$U$2:$U$251,"&gt;0")&lt;N($Z11)),"info: "&amp;(N($Z11)-COUNTIFS(approvals!$H$2:$H$251,$A11,approvals!$B$2:$B$251,$B11,approvals!$P$2:$P$251,"Y",approvals!$U$2:$U$251,"&gt;0"))&amp;" brand(s) turned away at the door, the rest delivered; ","")&amp;IF(AND($AB11="Y",IFERROR(IF(INDEX(drops!$C$2:$C$21,MATCH($A11,drops!$A$2:$A$21,0))="","",INDEX(drops!$C$2:$C$21,MATCH($A11,drops!$A$2:$A$21,0))),"")="direct-ship"),"info: first drop: visit in person on T; ","")&amp;IF(AND($U11="front desk",$X11&lt;&gt;"Y"),"info: front desk not agreed: the owner must take it; ",""))</f>
        <v/>
      </c>
    </row>
    <row r="12">
      <c r="D12" s="33" t="n"/>
      <c r="E12" s="9" t="n"/>
      <c r="F12" s="9" t="n"/>
      <c r="G12" s="9" t="n"/>
      <c r="I12" s="33" t="n"/>
      <c r="J12" s="33" t="n"/>
      <c r="N12" s="9" t="n"/>
      <c r="P12" s="26">
        <f>IF($A12="","",IF(IFERROR(IF(INDEX(drops!$I$2:$I$21,MATCH($A12,drops!$A$2:$A$21,0))="","",INDEX(drops!$I$2:$I$21,MATCH($A12,drops!$A$2:$A$21,0))),"")="OK",IFERROR(IF(INDEX(drops!$B$2:$B$21,MATCH($A12,drops!$A$2:$A$21,0))="","",INDEX(drops!$B$2:$B$21,MATCH($A12,drops!$A$2:$A$21,0))),""),""))</f>
        <v/>
      </c>
      <c r="Q12" s="25">
        <f>IF($B12="","",IFERROR(IF(INDEX(offices!$N$2:$N$61,MATCH($B12,offices!$A$2:$A$61,0))="","",INDEX(offices!$N$2:$N$61,MATCH($B12,offices!$A$2:$A$61,0))),""))</f>
        <v/>
      </c>
      <c r="R12" s="25">
        <f>IF($B12="","",IFERROR(IF(INDEX(offices!$O$2:$O$61,MATCH($B12,offices!$A$2:$A$61,0))="","",INDEX(offices!$O$2:$O$61,MATCH($B12,offices!$A$2:$A$61,0))),""))</f>
        <v/>
      </c>
      <c r="S12" s="25">
        <f>IF($B12="","",IFERROR(IF(INDEX(offices!$P$2:$P$61,MATCH($B12,offices!$A$2:$A$61,0))="","",INDEX(offices!$P$2:$P$61,MATCH($B12,offices!$A$2:$A$61,0))),""))</f>
        <v/>
      </c>
      <c r="T12" s="25">
        <f>IF($B12="","",IFERROR(IF(INDEX(offices!$Y$2:$Y$61,MATCH($B12,offices!$A$2:$A$61,0))="","",INDEX(offices!$Y$2:$Y$61,MATCH($B12,offices!$A$2:$A$61,0))),""))</f>
        <v/>
      </c>
      <c r="U12" s="25">
        <f>IF($B12="","",IFERROR(IF(INDEX(offices!$X$2:$X$61,MATCH($B12,offices!$A$2:$A$61,0))="","",INDEX(offices!$X$2:$X$61,MATCH($B12,offices!$A$2:$A$61,0))),""))</f>
        <v/>
      </c>
      <c r="V12" s="25">
        <f>IF($B12="","",IFERROR(IF(INDEX(offices!$U$2:$U$61,MATCH($B12,offices!$A$2:$A$61,0))="","",INDEX(offices!$U$2:$U$61,MATCH($B12,offices!$A$2:$A$61,0))),""))</f>
        <v/>
      </c>
      <c r="W12" s="25">
        <f>IF($B12="","",IFERROR(IF(INDEX(offices!$AI$2:$AI$61,MATCH($B12,offices!$A$2:$A$61,0))="","",INDEX(offices!$AI$2:$AI$61,MATCH($B12,offices!$A$2:$A$61,0))),""))</f>
        <v/>
      </c>
      <c r="X12" s="25">
        <f>IF($B12="","",IFERROR(IF(INDEX(offices!$G$2:$G$61,MATCH($B12,offices!$A$2:$A$61,0))="","",INDEX(offices!$G$2:$G$61,MATCH($B12,offices!$A$2:$A$61,0))),""))</f>
        <v/>
      </c>
      <c r="Y12" s="25">
        <f>IF($B12="","",IFERROR(IF(INDEX(offices!$I$2:$I$61,MATCH($B12,offices!$A$2:$A$61,0))="","",INDEX(offices!$I$2:$I$61,MATCH($B12,offices!$A$2:$A$61,0))),""))</f>
        <v/>
      </c>
      <c r="Z12" s="25">
        <f>IF($A12="","",COUNTIFS(approvals!$H$2:$H$251,$A12,approvals!$B$2:$B$251,$B12,approvals!$P$2:$P$251,"Y"))</f>
        <v/>
      </c>
      <c r="AA12" s="25">
        <f>IF($A12="","",SUMIFS(approvals!$S$2:$S$251,approvals!$H$2:$H$251,$A12,approvals!$B$2:$B$251,$B12,approvals!$P$2:$P$251,"Y"))</f>
        <v/>
      </c>
      <c r="AB12" s="25">
        <f>IF(OR($A12="",$P12=""),"",IF(COUNTIFS(stops!$B$2:$B$151,$B12,stops!$P$2:$P$151,"&lt;"&amp;$P12,stops!$L$2:$L$151,"&lt;&gt;not_delivered")=0,"Y","N"))</f>
        <v/>
      </c>
      <c r="AC12" s="25">
        <f>IF(OR($I12="",$J12=""),"",ROUND(($J12-$I12)*1440,0))</f>
        <v/>
      </c>
      <c r="AD12" s="25">
        <f>IF($A12="","",IF(COUNTIFS(stops!$A$2:$A$151,$A12,stops!$B$2:$B$151,$B12)&gt;1,"DUPLICATE stop; ","")&amp;IF(AND(OR(IFERROR(IF(INDEX(offices!$Z$2:$Z$61,MATCH($B12,offices!$A$2:$A$61,0))="","",INDEX(offices!$Z$2:$Z$61,MATCH($B12,offices!$A$2:$A$61,0))),"")="yes",IFERROR(IF(INDEX(offices!$Z$2:$Z$61,MATCH($B12,offices!$A$2:$A$61,0))="","",INDEX(offices!$Z$2:$Z$61,MATCH($B12,offices!$A$2:$A$61,0))),"")="unsure"),$Y12&lt;&gt;"received",$Y12&lt;&gt;"not_needed"),"building certificate not received; ","")&amp;IF($W12="","owner phone missing; ","")&amp;IF(N($Z12)=0,"no approved brand for this stop; ","")&amp;IF(AND($P12&lt;&gt;"",IF(config!$B$37&lt;&gt;"",config!$B$37,TODAY())&gt;$P12,$L12=""),"log the outcome; ","")&amp;IF(AND(OR($L12="declined",$L12="building_refused",$L12="not_delivered"),N($Z12)&gt;0,COUNTIFS(approvals!$H$2:$H$251,$A12,approvals!$B$2:$B$251,$B12,approvals!$P$2:$P$251,"Y",approvals!$U$2:$U$251,"&gt;0")&gt;=N($Z12)),"outcome says "&amp;$L12&amp;" but every brand here is logged delivered: fix the outcome, or delete the wrong delivered rows (SOP section 4); ","")&amp;IF(AND(OR($L12="declined",$L12="building_refused",$L12="not_delivered"),COUNTIFS(approvals!$H$2:$H$251,$A12,approvals!$B$2:$B$251,$B12,approvals!$P$2:$P$251,"Y",approvals!$U$2:$U$251,"&gt;0")&gt;0,COUNTIFS(approvals!$H$2:$H$251,$A12,approvals!$B$2:$B$251,$B12,approvals!$P$2:$P$251,"Y",approvals!$U$2:$U$251,"&gt;0")&lt;N($Z12)),"info: "&amp;(N($Z12)-COUNTIFS(approvals!$H$2:$H$251,$A12,approvals!$B$2:$B$251,$B12,approvals!$P$2:$P$251,"Y",approvals!$U$2:$U$251,"&gt;0"))&amp;" brand(s) turned away at the door, the rest delivered; ","")&amp;IF(AND($AB12="Y",IFERROR(IF(INDEX(drops!$C$2:$C$21,MATCH($A12,drops!$A$2:$A$21,0))="","",INDEX(drops!$C$2:$C$21,MATCH($A12,drops!$A$2:$A$21,0))),"")="direct-ship"),"info: first drop: visit in person on T; ","")&amp;IF(AND($U12="front desk",$X12&lt;&gt;"Y"),"info: front desk not agreed: the owner must take it; ",""))</f>
        <v/>
      </c>
    </row>
    <row r="13">
      <c r="D13" s="33" t="n"/>
      <c r="E13" s="9" t="n"/>
      <c r="F13" s="9" t="n"/>
      <c r="G13" s="9" t="n"/>
      <c r="I13" s="33" t="n"/>
      <c r="J13" s="33" t="n"/>
      <c r="N13" s="9" t="n"/>
      <c r="P13" s="26">
        <f>IF($A13="","",IF(IFERROR(IF(INDEX(drops!$I$2:$I$21,MATCH($A13,drops!$A$2:$A$21,0))="","",INDEX(drops!$I$2:$I$21,MATCH($A13,drops!$A$2:$A$21,0))),"")="OK",IFERROR(IF(INDEX(drops!$B$2:$B$21,MATCH($A13,drops!$A$2:$A$21,0))="","",INDEX(drops!$B$2:$B$21,MATCH($A13,drops!$A$2:$A$21,0))),""),""))</f>
        <v/>
      </c>
      <c r="Q13" s="25">
        <f>IF($B13="","",IFERROR(IF(INDEX(offices!$N$2:$N$61,MATCH($B13,offices!$A$2:$A$61,0))="","",INDEX(offices!$N$2:$N$61,MATCH($B13,offices!$A$2:$A$61,0))),""))</f>
        <v/>
      </c>
      <c r="R13" s="25">
        <f>IF($B13="","",IFERROR(IF(INDEX(offices!$O$2:$O$61,MATCH($B13,offices!$A$2:$A$61,0))="","",INDEX(offices!$O$2:$O$61,MATCH($B13,offices!$A$2:$A$61,0))),""))</f>
        <v/>
      </c>
      <c r="S13" s="25">
        <f>IF($B13="","",IFERROR(IF(INDEX(offices!$P$2:$P$61,MATCH($B13,offices!$A$2:$A$61,0))="","",INDEX(offices!$P$2:$P$61,MATCH($B13,offices!$A$2:$A$61,0))),""))</f>
        <v/>
      </c>
      <c r="T13" s="25">
        <f>IF($B13="","",IFERROR(IF(INDEX(offices!$Y$2:$Y$61,MATCH($B13,offices!$A$2:$A$61,0))="","",INDEX(offices!$Y$2:$Y$61,MATCH($B13,offices!$A$2:$A$61,0))),""))</f>
        <v/>
      </c>
      <c r="U13" s="25">
        <f>IF($B13="","",IFERROR(IF(INDEX(offices!$X$2:$X$61,MATCH($B13,offices!$A$2:$A$61,0))="","",INDEX(offices!$X$2:$X$61,MATCH($B13,offices!$A$2:$A$61,0))),""))</f>
        <v/>
      </c>
      <c r="V13" s="25">
        <f>IF($B13="","",IFERROR(IF(INDEX(offices!$U$2:$U$61,MATCH($B13,offices!$A$2:$A$61,0))="","",INDEX(offices!$U$2:$U$61,MATCH($B13,offices!$A$2:$A$61,0))),""))</f>
        <v/>
      </c>
      <c r="W13" s="25">
        <f>IF($B13="","",IFERROR(IF(INDEX(offices!$AI$2:$AI$61,MATCH($B13,offices!$A$2:$A$61,0))="","",INDEX(offices!$AI$2:$AI$61,MATCH($B13,offices!$A$2:$A$61,0))),""))</f>
        <v/>
      </c>
      <c r="X13" s="25">
        <f>IF($B13="","",IFERROR(IF(INDEX(offices!$G$2:$G$61,MATCH($B13,offices!$A$2:$A$61,0))="","",INDEX(offices!$G$2:$G$61,MATCH($B13,offices!$A$2:$A$61,0))),""))</f>
        <v/>
      </c>
      <c r="Y13" s="25">
        <f>IF($B13="","",IFERROR(IF(INDEX(offices!$I$2:$I$61,MATCH($B13,offices!$A$2:$A$61,0))="","",INDEX(offices!$I$2:$I$61,MATCH($B13,offices!$A$2:$A$61,0))),""))</f>
        <v/>
      </c>
      <c r="Z13" s="25">
        <f>IF($A13="","",COUNTIFS(approvals!$H$2:$H$251,$A13,approvals!$B$2:$B$251,$B13,approvals!$P$2:$P$251,"Y"))</f>
        <v/>
      </c>
      <c r="AA13" s="25">
        <f>IF($A13="","",SUMIFS(approvals!$S$2:$S$251,approvals!$H$2:$H$251,$A13,approvals!$B$2:$B$251,$B13,approvals!$P$2:$P$251,"Y"))</f>
        <v/>
      </c>
      <c r="AB13" s="25">
        <f>IF(OR($A13="",$P13=""),"",IF(COUNTIFS(stops!$B$2:$B$151,$B13,stops!$P$2:$P$151,"&lt;"&amp;$P13,stops!$L$2:$L$151,"&lt;&gt;not_delivered")=0,"Y","N"))</f>
        <v/>
      </c>
      <c r="AC13" s="25">
        <f>IF(OR($I13="",$J13=""),"",ROUND(($J13-$I13)*1440,0))</f>
        <v/>
      </c>
      <c r="AD13" s="25">
        <f>IF($A13="","",IF(COUNTIFS(stops!$A$2:$A$151,$A13,stops!$B$2:$B$151,$B13)&gt;1,"DUPLICATE stop; ","")&amp;IF(AND(OR(IFERROR(IF(INDEX(offices!$Z$2:$Z$61,MATCH($B13,offices!$A$2:$A$61,0))="","",INDEX(offices!$Z$2:$Z$61,MATCH($B13,offices!$A$2:$A$61,0))),"")="yes",IFERROR(IF(INDEX(offices!$Z$2:$Z$61,MATCH($B13,offices!$A$2:$A$61,0))="","",INDEX(offices!$Z$2:$Z$61,MATCH($B13,offices!$A$2:$A$61,0))),"")="unsure"),$Y13&lt;&gt;"received",$Y13&lt;&gt;"not_needed"),"building certificate not received; ","")&amp;IF($W13="","owner phone missing; ","")&amp;IF(N($Z13)=0,"no approved brand for this stop; ","")&amp;IF(AND($P13&lt;&gt;"",IF(config!$B$37&lt;&gt;"",config!$B$37,TODAY())&gt;$P13,$L13=""),"log the outcome; ","")&amp;IF(AND(OR($L13="declined",$L13="building_refused",$L13="not_delivered"),N($Z13)&gt;0,COUNTIFS(approvals!$H$2:$H$251,$A13,approvals!$B$2:$B$251,$B13,approvals!$P$2:$P$251,"Y",approvals!$U$2:$U$251,"&gt;0")&gt;=N($Z13)),"outcome says "&amp;$L13&amp;" but every brand here is logged delivered: fix the outcome, or delete the wrong delivered rows (SOP section 4); ","")&amp;IF(AND(OR($L13="declined",$L13="building_refused",$L13="not_delivered"),COUNTIFS(approvals!$H$2:$H$251,$A13,approvals!$B$2:$B$251,$B13,approvals!$P$2:$P$251,"Y",approvals!$U$2:$U$251,"&gt;0")&gt;0,COUNTIFS(approvals!$H$2:$H$251,$A13,approvals!$B$2:$B$251,$B13,approvals!$P$2:$P$251,"Y",approvals!$U$2:$U$251,"&gt;0")&lt;N($Z13)),"info: "&amp;(N($Z13)-COUNTIFS(approvals!$H$2:$H$251,$A13,approvals!$B$2:$B$251,$B13,approvals!$P$2:$P$251,"Y",approvals!$U$2:$U$251,"&gt;0"))&amp;" brand(s) turned away at the door, the rest delivered; ","")&amp;IF(AND($AB13="Y",IFERROR(IF(INDEX(drops!$C$2:$C$21,MATCH($A13,drops!$A$2:$A$21,0))="","",INDEX(drops!$C$2:$C$21,MATCH($A13,drops!$A$2:$A$21,0))),"")="direct-ship"),"info: first drop: visit in person on T; ","")&amp;IF(AND($U13="front desk",$X13&lt;&gt;"Y"),"info: front desk not agreed: the owner must take it; ",""))</f>
        <v/>
      </c>
    </row>
    <row r="14">
      <c r="D14" s="33" t="n"/>
      <c r="E14" s="9" t="n"/>
      <c r="F14" s="9" t="n"/>
      <c r="G14" s="9" t="n"/>
      <c r="I14" s="33" t="n"/>
      <c r="J14" s="33" t="n"/>
      <c r="N14" s="9" t="n"/>
      <c r="P14" s="26">
        <f>IF($A14="","",IF(IFERROR(IF(INDEX(drops!$I$2:$I$21,MATCH($A14,drops!$A$2:$A$21,0))="","",INDEX(drops!$I$2:$I$21,MATCH($A14,drops!$A$2:$A$21,0))),"")="OK",IFERROR(IF(INDEX(drops!$B$2:$B$21,MATCH($A14,drops!$A$2:$A$21,0))="","",INDEX(drops!$B$2:$B$21,MATCH($A14,drops!$A$2:$A$21,0))),""),""))</f>
        <v/>
      </c>
      <c r="Q14" s="25">
        <f>IF($B14="","",IFERROR(IF(INDEX(offices!$N$2:$N$61,MATCH($B14,offices!$A$2:$A$61,0))="","",INDEX(offices!$N$2:$N$61,MATCH($B14,offices!$A$2:$A$61,0))),""))</f>
        <v/>
      </c>
      <c r="R14" s="25">
        <f>IF($B14="","",IFERROR(IF(INDEX(offices!$O$2:$O$61,MATCH($B14,offices!$A$2:$A$61,0))="","",INDEX(offices!$O$2:$O$61,MATCH($B14,offices!$A$2:$A$61,0))),""))</f>
        <v/>
      </c>
      <c r="S14" s="25">
        <f>IF($B14="","",IFERROR(IF(INDEX(offices!$P$2:$P$61,MATCH($B14,offices!$A$2:$A$61,0))="","",INDEX(offices!$P$2:$P$61,MATCH($B14,offices!$A$2:$A$61,0))),""))</f>
        <v/>
      </c>
      <c r="T14" s="25">
        <f>IF($B14="","",IFERROR(IF(INDEX(offices!$Y$2:$Y$61,MATCH($B14,offices!$A$2:$A$61,0))="","",INDEX(offices!$Y$2:$Y$61,MATCH($B14,offices!$A$2:$A$61,0))),""))</f>
        <v/>
      </c>
      <c r="U14" s="25">
        <f>IF($B14="","",IFERROR(IF(INDEX(offices!$X$2:$X$61,MATCH($B14,offices!$A$2:$A$61,0))="","",INDEX(offices!$X$2:$X$61,MATCH($B14,offices!$A$2:$A$61,0))),""))</f>
        <v/>
      </c>
      <c r="V14" s="25">
        <f>IF($B14="","",IFERROR(IF(INDEX(offices!$U$2:$U$61,MATCH($B14,offices!$A$2:$A$61,0))="","",INDEX(offices!$U$2:$U$61,MATCH($B14,offices!$A$2:$A$61,0))),""))</f>
        <v/>
      </c>
      <c r="W14" s="25">
        <f>IF($B14="","",IFERROR(IF(INDEX(offices!$AI$2:$AI$61,MATCH($B14,offices!$A$2:$A$61,0))="","",INDEX(offices!$AI$2:$AI$61,MATCH($B14,offices!$A$2:$A$61,0))),""))</f>
        <v/>
      </c>
      <c r="X14" s="25">
        <f>IF($B14="","",IFERROR(IF(INDEX(offices!$G$2:$G$61,MATCH($B14,offices!$A$2:$A$61,0))="","",INDEX(offices!$G$2:$G$61,MATCH($B14,offices!$A$2:$A$61,0))),""))</f>
        <v/>
      </c>
      <c r="Y14" s="25">
        <f>IF($B14="","",IFERROR(IF(INDEX(offices!$I$2:$I$61,MATCH($B14,offices!$A$2:$A$61,0))="","",INDEX(offices!$I$2:$I$61,MATCH($B14,offices!$A$2:$A$61,0))),""))</f>
        <v/>
      </c>
      <c r="Z14" s="25">
        <f>IF($A14="","",COUNTIFS(approvals!$H$2:$H$251,$A14,approvals!$B$2:$B$251,$B14,approvals!$P$2:$P$251,"Y"))</f>
        <v/>
      </c>
      <c r="AA14" s="25">
        <f>IF($A14="","",SUMIFS(approvals!$S$2:$S$251,approvals!$H$2:$H$251,$A14,approvals!$B$2:$B$251,$B14,approvals!$P$2:$P$251,"Y"))</f>
        <v/>
      </c>
      <c r="AB14" s="25">
        <f>IF(OR($A14="",$P14=""),"",IF(COUNTIFS(stops!$B$2:$B$151,$B14,stops!$P$2:$P$151,"&lt;"&amp;$P14,stops!$L$2:$L$151,"&lt;&gt;not_delivered")=0,"Y","N"))</f>
        <v/>
      </c>
      <c r="AC14" s="25">
        <f>IF(OR($I14="",$J14=""),"",ROUND(($J14-$I14)*1440,0))</f>
        <v/>
      </c>
      <c r="AD14" s="25">
        <f>IF($A14="","",IF(COUNTIFS(stops!$A$2:$A$151,$A14,stops!$B$2:$B$151,$B14)&gt;1,"DUPLICATE stop; ","")&amp;IF(AND(OR(IFERROR(IF(INDEX(offices!$Z$2:$Z$61,MATCH($B14,offices!$A$2:$A$61,0))="","",INDEX(offices!$Z$2:$Z$61,MATCH($B14,offices!$A$2:$A$61,0))),"")="yes",IFERROR(IF(INDEX(offices!$Z$2:$Z$61,MATCH($B14,offices!$A$2:$A$61,0))="","",INDEX(offices!$Z$2:$Z$61,MATCH($B14,offices!$A$2:$A$61,0))),"")="unsure"),$Y14&lt;&gt;"received",$Y14&lt;&gt;"not_needed"),"building certificate not received; ","")&amp;IF($W14="","owner phone missing; ","")&amp;IF(N($Z14)=0,"no approved brand for this stop; ","")&amp;IF(AND($P14&lt;&gt;"",IF(config!$B$37&lt;&gt;"",config!$B$37,TODAY())&gt;$P14,$L14=""),"log the outcome; ","")&amp;IF(AND(OR($L14="declined",$L14="building_refused",$L14="not_delivered"),N($Z14)&gt;0,COUNTIFS(approvals!$H$2:$H$251,$A14,approvals!$B$2:$B$251,$B14,approvals!$P$2:$P$251,"Y",approvals!$U$2:$U$251,"&gt;0")&gt;=N($Z14)),"outcome says "&amp;$L14&amp;" but every brand here is logged delivered: fix the outcome, or delete the wrong delivered rows (SOP section 4); ","")&amp;IF(AND(OR($L14="declined",$L14="building_refused",$L14="not_delivered"),COUNTIFS(approvals!$H$2:$H$251,$A14,approvals!$B$2:$B$251,$B14,approvals!$P$2:$P$251,"Y",approvals!$U$2:$U$251,"&gt;0")&gt;0,COUNTIFS(approvals!$H$2:$H$251,$A14,approvals!$B$2:$B$251,$B14,approvals!$P$2:$P$251,"Y",approvals!$U$2:$U$251,"&gt;0")&lt;N($Z14)),"info: "&amp;(N($Z14)-COUNTIFS(approvals!$H$2:$H$251,$A14,approvals!$B$2:$B$251,$B14,approvals!$P$2:$P$251,"Y",approvals!$U$2:$U$251,"&gt;0"))&amp;" brand(s) turned away at the door, the rest delivered; ","")&amp;IF(AND($AB14="Y",IFERROR(IF(INDEX(drops!$C$2:$C$21,MATCH($A14,drops!$A$2:$A$21,0))="","",INDEX(drops!$C$2:$C$21,MATCH($A14,drops!$A$2:$A$21,0))),"")="direct-ship"),"info: first drop: visit in person on T; ","")&amp;IF(AND($U14="front desk",$X14&lt;&gt;"Y"),"info: front desk not agreed: the owner must take it; ",""))</f>
        <v/>
      </c>
    </row>
    <row r="15">
      <c r="D15" s="33" t="n"/>
      <c r="E15" s="9" t="n"/>
      <c r="F15" s="9" t="n"/>
      <c r="G15" s="9" t="n"/>
      <c r="I15" s="33" t="n"/>
      <c r="J15" s="33" t="n"/>
      <c r="N15" s="9" t="n"/>
      <c r="P15" s="26">
        <f>IF($A15="","",IF(IFERROR(IF(INDEX(drops!$I$2:$I$21,MATCH($A15,drops!$A$2:$A$21,0))="","",INDEX(drops!$I$2:$I$21,MATCH($A15,drops!$A$2:$A$21,0))),"")="OK",IFERROR(IF(INDEX(drops!$B$2:$B$21,MATCH($A15,drops!$A$2:$A$21,0))="","",INDEX(drops!$B$2:$B$21,MATCH($A15,drops!$A$2:$A$21,0))),""),""))</f>
        <v/>
      </c>
      <c r="Q15" s="25">
        <f>IF($B15="","",IFERROR(IF(INDEX(offices!$N$2:$N$61,MATCH($B15,offices!$A$2:$A$61,0))="","",INDEX(offices!$N$2:$N$61,MATCH($B15,offices!$A$2:$A$61,0))),""))</f>
        <v/>
      </c>
      <c r="R15" s="25">
        <f>IF($B15="","",IFERROR(IF(INDEX(offices!$O$2:$O$61,MATCH($B15,offices!$A$2:$A$61,0))="","",INDEX(offices!$O$2:$O$61,MATCH($B15,offices!$A$2:$A$61,0))),""))</f>
        <v/>
      </c>
      <c r="S15" s="25">
        <f>IF($B15="","",IFERROR(IF(INDEX(offices!$P$2:$P$61,MATCH($B15,offices!$A$2:$A$61,0))="","",INDEX(offices!$P$2:$P$61,MATCH($B15,offices!$A$2:$A$61,0))),""))</f>
        <v/>
      </c>
      <c r="T15" s="25">
        <f>IF($B15="","",IFERROR(IF(INDEX(offices!$Y$2:$Y$61,MATCH($B15,offices!$A$2:$A$61,0))="","",INDEX(offices!$Y$2:$Y$61,MATCH($B15,offices!$A$2:$A$61,0))),""))</f>
        <v/>
      </c>
      <c r="U15" s="25">
        <f>IF($B15="","",IFERROR(IF(INDEX(offices!$X$2:$X$61,MATCH($B15,offices!$A$2:$A$61,0))="","",INDEX(offices!$X$2:$X$61,MATCH($B15,offices!$A$2:$A$61,0))),""))</f>
        <v/>
      </c>
      <c r="V15" s="25">
        <f>IF($B15="","",IFERROR(IF(INDEX(offices!$U$2:$U$61,MATCH($B15,offices!$A$2:$A$61,0))="","",INDEX(offices!$U$2:$U$61,MATCH($B15,offices!$A$2:$A$61,0))),""))</f>
        <v/>
      </c>
      <c r="W15" s="25">
        <f>IF($B15="","",IFERROR(IF(INDEX(offices!$AI$2:$AI$61,MATCH($B15,offices!$A$2:$A$61,0))="","",INDEX(offices!$AI$2:$AI$61,MATCH($B15,offices!$A$2:$A$61,0))),""))</f>
        <v/>
      </c>
      <c r="X15" s="25">
        <f>IF($B15="","",IFERROR(IF(INDEX(offices!$G$2:$G$61,MATCH($B15,offices!$A$2:$A$61,0))="","",INDEX(offices!$G$2:$G$61,MATCH($B15,offices!$A$2:$A$61,0))),""))</f>
        <v/>
      </c>
      <c r="Y15" s="25">
        <f>IF($B15="","",IFERROR(IF(INDEX(offices!$I$2:$I$61,MATCH($B15,offices!$A$2:$A$61,0))="","",INDEX(offices!$I$2:$I$61,MATCH($B15,offices!$A$2:$A$61,0))),""))</f>
        <v/>
      </c>
      <c r="Z15" s="25">
        <f>IF($A15="","",COUNTIFS(approvals!$H$2:$H$251,$A15,approvals!$B$2:$B$251,$B15,approvals!$P$2:$P$251,"Y"))</f>
        <v/>
      </c>
      <c r="AA15" s="25">
        <f>IF($A15="","",SUMIFS(approvals!$S$2:$S$251,approvals!$H$2:$H$251,$A15,approvals!$B$2:$B$251,$B15,approvals!$P$2:$P$251,"Y"))</f>
        <v/>
      </c>
      <c r="AB15" s="25">
        <f>IF(OR($A15="",$P15=""),"",IF(COUNTIFS(stops!$B$2:$B$151,$B15,stops!$P$2:$P$151,"&lt;"&amp;$P15,stops!$L$2:$L$151,"&lt;&gt;not_delivered")=0,"Y","N"))</f>
        <v/>
      </c>
      <c r="AC15" s="25">
        <f>IF(OR($I15="",$J15=""),"",ROUND(($J15-$I15)*1440,0))</f>
        <v/>
      </c>
      <c r="AD15" s="25">
        <f>IF($A15="","",IF(COUNTIFS(stops!$A$2:$A$151,$A15,stops!$B$2:$B$151,$B15)&gt;1,"DUPLICATE stop; ","")&amp;IF(AND(OR(IFERROR(IF(INDEX(offices!$Z$2:$Z$61,MATCH($B15,offices!$A$2:$A$61,0))="","",INDEX(offices!$Z$2:$Z$61,MATCH($B15,offices!$A$2:$A$61,0))),"")="yes",IFERROR(IF(INDEX(offices!$Z$2:$Z$61,MATCH($B15,offices!$A$2:$A$61,0))="","",INDEX(offices!$Z$2:$Z$61,MATCH($B15,offices!$A$2:$A$61,0))),"")="unsure"),$Y15&lt;&gt;"received",$Y15&lt;&gt;"not_needed"),"building certificate not received; ","")&amp;IF($W15="","owner phone missing; ","")&amp;IF(N($Z15)=0,"no approved brand for this stop; ","")&amp;IF(AND($P15&lt;&gt;"",IF(config!$B$37&lt;&gt;"",config!$B$37,TODAY())&gt;$P15,$L15=""),"log the outcome; ","")&amp;IF(AND(OR($L15="declined",$L15="building_refused",$L15="not_delivered"),N($Z15)&gt;0,COUNTIFS(approvals!$H$2:$H$251,$A15,approvals!$B$2:$B$251,$B15,approvals!$P$2:$P$251,"Y",approvals!$U$2:$U$251,"&gt;0")&gt;=N($Z15)),"outcome says "&amp;$L15&amp;" but every brand here is logged delivered: fix the outcome, or delete the wrong delivered rows (SOP section 4); ","")&amp;IF(AND(OR($L15="declined",$L15="building_refused",$L15="not_delivered"),COUNTIFS(approvals!$H$2:$H$251,$A15,approvals!$B$2:$B$251,$B15,approvals!$P$2:$P$251,"Y",approvals!$U$2:$U$251,"&gt;0")&gt;0,COUNTIFS(approvals!$H$2:$H$251,$A15,approvals!$B$2:$B$251,$B15,approvals!$P$2:$P$251,"Y",approvals!$U$2:$U$251,"&gt;0")&lt;N($Z15)),"info: "&amp;(N($Z15)-COUNTIFS(approvals!$H$2:$H$251,$A15,approvals!$B$2:$B$251,$B15,approvals!$P$2:$P$251,"Y",approvals!$U$2:$U$251,"&gt;0"))&amp;" brand(s) turned away at the door, the rest delivered; ","")&amp;IF(AND($AB15="Y",IFERROR(IF(INDEX(drops!$C$2:$C$21,MATCH($A15,drops!$A$2:$A$21,0))="","",INDEX(drops!$C$2:$C$21,MATCH($A15,drops!$A$2:$A$21,0))),"")="direct-ship"),"info: first drop: visit in person on T; ","")&amp;IF(AND($U15="front desk",$X15&lt;&gt;"Y"),"info: front desk not agreed: the owner must take it; ",""))</f>
        <v/>
      </c>
    </row>
    <row r="16">
      <c r="D16" s="33" t="n"/>
      <c r="E16" s="9" t="n"/>
      <c r="F16" s="9" t="n"/>
      <c r="G16" s="9" t="n"/>
      <c r="I16" s="33" t="n"/>
      <c r="J16" s="33" t="n"/>
      <c r="N16" s="9" t="n"/>
      <c r="P16" s="26">
        <f>IF($A16="","",IF(IFERROR(IF(INDEX(drops!$I$2:$I$21,MATCH($A16,drops!$A$2:$A$21,0))="","",INDEX(drops!$I$2:$I$21,MATCH($A16,drops!$A$2:$A$21,0))),"")="OK",IFERROR(IF(INDEX(drops!$B$2:$B$21,MATCH($A16,drops!$A$2:$A$21,0))="","",INDEX(drops!$B$2:$B$21,MATCH($A16,drops!$A$2:$A$21,0))),""),""))</f>
        <v/>
      </c>
      <c r="Q16" s="25">
        <f>IF($B16="","",IFERROR(IF(INDEX(offices!$N$2:$N$61,MATCH($B16,offices!$A$2:$A$61,0))="","",INDEX(offices!$N$2:$N$61,MATCH($B16,offices!$A$2:$A$61,0))),""))</f>
        <v/>
      </c>
      <c r="R16" s="25">
        <f>IF($B16="","",IFERROR(IF(INDEX(offices!$O$2:$O$61,MATCH($B16,offices!$A$2:$A$61,0))="","",INDEX(offices!$O$2:$O$61,MATCH($B16,offices!$A$2:$A$61,0))),""))</f>
        <v/>
      </c>
      <c r="S16" s="25">
        <f>IF($B16="","",IFERROR(IF(INDEX(offices!$P$2:$P$61,MATCH($B16,offices!$A$2:$A$61,0))="","",INDEX(offices!$P$2:$P$61,MATCH($B16,offices!$A$2:$A$61,0))),""))</f>
        <v/>
      </c>
      <c r="T16" s="25">
        <f>IF($B16="","",IFERROR(IF(INDEX(offices!$Y$2:$Y$61,MATCH($B16,offices!$A$2:$A$61,0))="","",INDEX(offices!$Y$2:$Y$61,MATCH($B16,offices!$A$2:$A$61,0))),""))</f>
        <v/>
      </c>
      <c r="U16" s="25">
        <f>IF($B16="","",IFERROR(IF(INDEX(offices!$X$2:$X$61,MATCH($B16,offices!$A$2:$A$61,0))="","",INDEX(offices!$X$2:$X$61,MATCH($B16,offices!$A$2:$A$61,0))),""))</f>
        <v/>
      </c>
      <c r="V16" s="25">
        <f>IF($B16="","",IFERROR(IF(INDEX(offices!$U$2:$U$61,MATCH($B16,offices!$A$2:$A$61,0))="","",INDEX(offices!$U$2:$U$61,MATCH($B16,offices!$A$2:$A$61,0))),""))</f>
        <v/>
      </c>
      <c r="W16" s="25">
        <f>IF($B16="","",IFERROR(IF(INDEX(offices!$AI$2:$AI$61,MATCH($B16,offices!$A$2:$A$61,0))="","",INDEX(offices!$AI$2:$AI$61,MATCH($B16,offices!$A$2:$A$61,0))),""))</f>
        <v/>
      </c>
      <c r="X16" s="25">
        <f>IF($B16="","",IFERROR(IF(INDEX(offices!$G$2:$G$61,MATCH($B16,offices!$A$2:$A$61,0))="","",INDEX(offices!$G$2:$G$61,MATCH($B16,offices!$A$2:$A$61,0))),""))</f>
        <v/>
      </c>
      <c r="Y16" s="25">
        <f>IF($B16="","",IFERROR(IF(INDEX(offices!$I$2:$I$61,MATCH($B16,offices!$A$2:$A$61,0))="","",INDEX(offices!$I$2:$I$61,MATCH($B16,offices!$A$2:$A$61,0))),""))</f>
        <v/>
      </c>
      <c r="Z16" s="25">
        <f>IF($A16="","",COUNTIFS(approvals!$H$2:$H$251,$A16,approvals!$B$2:$B$251,$B16,approvals!$P$2:$P$251,"Y"))</f>
        <v/>
      </c>
      <c r="AA16" s="25">
        <f>IF($A16="","",SUMIFS(approvals!$S$2:$S$251,approvals!$H$2:$H$251,$A16,approvals!$B$2:$B$251,$B16,approvals!$P$2:$P$251,"Y"))</f>
        <v/>
      </c>
      <c r="AB16" s="25">
        <f>IF(OR($A16="",$P16=""),"",IF(COUNTIFS(stops!$B$2:$B$151,$B16,stops!$P$2:$P$151,"&lt;"&amp;$P16,stops!$L$2:$L$151,"&lt;&gt;not_delivered")=0,"Y","N"))</f>
        <v/>
      </c>
      <c r="AC16" s="25">
        <f>IF(OR($I16="",$J16=""),"",ROUND(($J16-$I16)*1440,0))</f>
        <v/>
      </c>
      <c r="AD16" s="25">
        <f>IF($A16="","",IF(COUNTIFS(stops!$A$2:$A$151,$A16,stops!$B$2:$B$151,$B16)&gt;1,"DUPLICATE stop; ","")&amp;IF(AND(OR(IFERROR(IF(INDEX(offices!$Z$2:$Z$61,MATCH($B16,offices!$A$2:$A$61,0))="","",INDEX(offices!$Z$2:$Z$61,MATCH($B16,offices!$A$2:$A$61,0))),"")="yes",IFERROR(IF(INDEX(offices!$Z$2:$Z$61,MATCH($B16,offices!$A$2:$A$61,0))="","",INDEX(offices!$Z$2:$Z$61,MATCH($B16,offices!$A$2:$A$61,0))),"")="unsure"),$Y16&lt;&gt;"received",$Y16&lt;&gt;"not_needed"),"building certificate not received; ","")&amp;IF($W16="","owner phone missing; ","")&amp;IF(N($Z16)=0,"no approved brand for this stop; ","")&amp;IF(AND($P16&lt;&gt;"",IF(config!$B$37&lt;&gt;"",config!$B$37,TODAY())&gt;$P16,$L16=""),"log the outcome; ","")&amp;IF(AND(OR($L16="declined",$L16="building_refused",$L16="not_delivered"),N($Z16)&gt;0,COUNTIFS(approvals!$H$2:$H$251,$A16,approvals!$B$2:$B$251,$B16,approvals!$P$2:$P$251,"Y",approvals!$U$2:$U$251,"&gt;0")&gt;=N($Z16)),"outcome says "&amp;$L16&amp;" but every brand here is logged delivered: fix the outcome, or delete the wrong delivered rows (SOP section 4); ","")&amp;IF(AND(OR($L16="declined",$L16="building_refused",$L16="not_delivered"),COUNTIFS(approvals!$H$2:$H$251,$A16,approvals!$B$2:$B$251,$B16,approvals!$P$2:$P$251,"Y",approvals!$U$2:$U$251,"&gt;0")&gt;0,COUNTIFS(approvals!$H$2:$H$251,$A16,approvals!$B$2:$B$251,$B16,approvals!$P$2:$P$251,"Y",approvals!$U$2:$U$251,"&gt;0")&lt;N($Z16)),"info: "&amp;(N($Z16)-COUNTIFS(approvals!$H$2:$H$251,$A16,approvals!$B$2:$B$251,$B16,approvals!$P$2:$P$251,"Y",approvals!$U$2:$U$251,"&gt;0"))&amp;" brand(s) turned away at the door, the rest delivered; ","")&amp;IF(AND($AB16="Y",IFERROR(IF(INDEX(drops!$C$2:$C$21,MATCH($A16,drops!$A$2:$A$21,0))="","",INDEX(drops!$C$2:$C$21,MATCH($A16,drops!$A$2:$A$21,0))),"")="direct-ship"),"info: first drop: visit in person on T; ","")&amp;IF(AND($U16="front desk",$X16&lt;&gt;"Y"),"info: front desk not agreed: the owner must take it; ",""))</f>
        <v/>
      </c>
    </row>
    <row r="17">
      <c r="D17" s="33" t="n"/>
      <c r="E17" s="9" t="n"/>
      <c r="F17" s="9" t="n"/>
      <c r="G17" s="9" t="n"/>
      <c r="I17" s="33" t="n"/>
      <c r="J17" s="33" t="n"/>
      <c r="N17" s="9" t="n"/>
      <c r="P17" s="26">
        <f>IF($A17="","",IF(IFERROR(IF(INDEX(drops!$I$2:$I$21,MATCH($A17,drops!$A$2:$A$21,0))="","",INDEX(drops!$I$2:$I$21,MATCH($A17,drops!$A$2:$A$21,0))),"")="OK",IFERROR(IF(INDEX(drops!$B$2:$B$21,MATCH($A17,drops!$A$2:$A$21,0))="","",INDEX(drops!$B$2:$B$21,MATCH($A17,drops!$A$2:$A$21,0))),""),""))</f>
        <v/>
      </c>
      <c r="Q17" s="25">
        <f>IF($B17="","",IFERROR(IF(INDEX(offices!$N$2:$N$61,MATCH($B17,offices!$A$2:$A$61,0))="","",INDEX(offices!$N$2:$N$61,MATCH($B17,offices!$A$2:$A$61,0))),""))</f>
        <v/>
      </c>
      <c r="R17" s="25">
        <f>IF($B17="","",IFERROR(IF(INDEX(offices!$O$2:$O$61,MATCH($B17,offices!$A$2:$A$61,0))="","",INDEX(offices!$O$2:$O$61,MATCH($B17,offices!$A$2:$A$61,0))),""))</f>
        <v/>
      </c>
      <c r="S17" s="25">
        <f>IF($B17="","",IFERROR(IF(INDEX(offices!$P$2:$P$61,MATCH($B17,offices!$A$2:$A$61,0))="","",INDEX(offices!$P$2:$P$61,MATCH($B17,offices!$A$2:$A$61,0))),""))</f>
        <v/>
      </c>
      <c r="T17" s="25">
        <f>IF($B17="","",IFERROR(IF(INDEX(offices!$Y$2:$Y$61,MATCH($B17,offices!$A$2:$A$61,0))="","",INDEX(offices!$Y$2:$Y$61,MATCH($B17,offices!$A$2:$A$61,0))),""))</f>
        <v/>
      </c>
      <c r="U17" s="25">
        <f>IF($B17="","",IFERROR(IF(INDEX(offices!$X$2:$X$61,MATCH($B17,offices!$A$2:$A$61,0))="","",INDEX(offices!$X$2:$X$61,MATCH($B17,offices!$A$2:$A$61,0))),""))</f>
        <v/>
      </c>
      <c r="V17" s="25">
        <f>IF($B17="","",IFERROR(IF(INDEX(offices!$U$2:$U$61,MATCH($B17,offices!$A$2:$A$61,0))="","",INDEX(offices!$U$2:$U$61,MATCH($B17,offices!$A$2:$A$61,0))),""))</f>
        <v/>
      </c>
      <c r="W17" s="25">
        <f>IF($B17="","",IFERROR(IF(INDEX(offices!$AI$2:$AI$61,MATCH($B17,offices!$A$2:$A$61,0))="","",INDEX(offices!$AI$2:$AI$61,MATCH($B17,offices!$A$2:$A$61,0))),""))</f>
        <v/>
      </c>
      <c r="X17" s="25">
        <f>IF($B17="","",IFERROR(IF(INDEX(offices!$G$2:$G$61,MATCH($B17,offices!$A$2:$A$61,0))="","",INDEX(offices!$G$2:$G$61,MATCH($B17,offices!$A$2:$A$61,0))),""))</f>
        <v/>
      </c>
      <c r="Y17" s="25">
        <f>IF($B17="","",IFERROR(IF(INDEX(offices!$I$2:$I$61,MATCH($B17,offices!$A$2:$A$61,0))="","",INDEX(offices!$I$2:$I$61,MATCH($B17,offices!$A$2:$A$61,0))),""))</f>
        <v/>
      </c>
      <c r="Z17" s="25">
        <f>IF($A17="","",COUNTIFS(approvals!$H$2:$H$251,$A17,approvals!$B$2:$B$251,$B17,approvals!$P$2:$P$251,"Y"))</f>
        <v/>
      </c>
      <c r="AA17" s="25">
        <f>IF($A17="","",SUMIFS(approvals!$S$2:$S$251,approvals!$H$2:$H$251,$A17,approvals!$B$2:$B$251,$B17,approvals!$P$2:$P$251,"Y"))</f>
        <v/>
      </c>
      <c r="AB17" s="25">
        <f>IF(OR($A17="",$P17=""),"",IF(COUNTIFS(stops!$B$2:$B$151,$B17,stops!$P$2:$P$151,"&lt;"&amp;$P17,stops!$L$2:$L$151,"&lt;&gt;not_delivered")=0,"Y","N"))</f>
        <v/>
      </c>
      <c r="AC17" s="25">
        <f>IF(OR($I17="",$J17=""),"",ROUND(($J17-$I17)*1440,0))</f>
        <v/>
      </c>
      <c r="AD17" s="25">
        <f>IF($A17="","",IF(COUNTIFS(stops!$A$2:$A$151,$A17,stops!$B$2:$B$151,$B17)&gt;1,"DUPLICATE stop; ","")&amp;IF(AND(OR(IFERROR(IF(INDEX(offices!$Z$2:$Z$61,MATCH($B17,offices!$A$2:$A$61,0))="","",INDEX(offices!$Z$2:$Z$61,MATCH($B17,offices!$A$2:$A$61,0))),"")="yes",IFERROR(IF(INDEX(offices!$Z$2:$Z$61,MATCH($B17,offices!$A$2:$A$61,0))="","",INDEX(offices!$Z$2:$Z$61,MATCH($B17,offices!$A$2:$A$61,0))),"")="unsure"),$Y17&lt;&gt;"received",$Y17&lt;&gt;"not_needed"),"building certificate not received; ","")&amp;IF($W17="","owner phone missing; ","")&amp;IF(N($Z17)=0,"no approved brand for this stop; ","")&amp;IF(AND($P17&lt;&gt;"",IF(config!$B$37&lt;&gt;"",config!$B$37,TODAY())&gt;$P17,$L17=""),"log the outcome; ","")&amp;IF(AND(OR($L17="declined",$L17="building_refused",$L17="not_delivered"),N($Z17)&gt;0,COUNTIFS(approvals!$H$2:$H$251,$A17,approvals!$B$2:$B$251,$B17,approvals!$P$2:$P$251,"Y",approvals!$U$2:$U$251,"&gt;0")&gt;=N($Z17)),"outcome says "&amp;$L17&amp;" but every brand here is logged delivered: fix the outcome, or delete the wrong delivered rows (SOP section 4); ","")&amp;IF(AND(OR($L17="declined",$L17="building_refused",$L17="not_delivered"),COUNTIFS(approvals!$H$2:$H$251,$A17,approvals!$B$2:$B$251,$B17,approvals!$P$2:$P$251,"Y",approvals!$U$2:$U$251,"&gt;0")&gt;0,COUNTIFS(approvals!$H$2:$H$251,$A17,approvals!$B$2:$B$251,$B17,approvals!$P$2:$P$251,"Y",approvals!$U$2:$U$251,"&gt;0")&lt;N($Z17)),"info: "&amp;(N($Z17)-COUNTIFS(approvals!$H$2:$H$251,$A17,approvals!$B$2:$B$251,$B17,approvals!$P$2:$P$251,"Y",approvals!$U$2:$U$251,"&gt;0"))&amp;" brand(s) turned away at the door, the rest delivered; ","")&amp;IF(AND($AB17="Y",IFERROR(IF(INDEX(drops!$C$2:$C$21,MATCH($A17,drops!$A$2:$A$21,0))="","",INDEX(drops!$C$2:$C$21,MATCH($A17,drops!$A$2:$A$21,0))),"")="direct-ship"),"info: first drop: visit in person on T; ","")&amp;IF(AND($U17="front desk",$X17&lt;&gt;"Y"),"info: front desk not agreed: the owner must take it; ",""))</f>
        <v/>
      </c>
    </row>
    <row r="18">
      <c r="D18" s="33" t="n"/>
      <c r="E18" s="9" t="n"/>
      <c r="F18" s="9" t="n"/>
      <c r="G18" s="9" t="n"/>
      <c r="I18" s="33" t="n"/>
      <c r="J18" s="33" t="n"/>
      <c r="N18" s="9" t="n"/>
      <c r="P18" s="26">
        <f>IF($A18="","",IF(IFERROR(IF(INDEX(drops!$I$2:$I$21,MATCH($A18,drops!$A$2:$A$21,0))="","",INDEX(drops!$I$2:$I$21,MATCH($A18,drops!$A$2:$A$21,0))),"")="OK",IFERROR(IF(INDEX(drops!$B$2:$B$21,MATCH($A18,drops!$A$2:$A$21,0))="","",INDEX(drops!$B$2:$B$21,MATCH($A18,drops!$A$2:$A$21,0))),""),""))</f>
        <v/>
      </c>
      <c r="Q18" s="25">
        <f>IF($B18="","",IFERROR(IF(INDEX(offices!$N$2:$N$61,MATCH($B18,offices!$A$2:$A$61,0))="","",INDEX(offices!$N$2:$N$61,MATCH($B18,offices!$A$2:$A$61,0))),""))</f>
        <v/>
      </c>
      <c r="R18" s="25">
        <f>IF($B18="","",IFERROR(IF(INDEX(offices!$O$2:$O$61,MATCH($B18,offices!$A$2:$A$61,0))="","",INDEX(offices!$O$2:$O$61,MATCH($B18,offices!$A$2:$A$61,0))),""))</f>
        <v/>
      </c>
      <c r="S18" s="25">
        <f>IF($B18="","",IFERROR(IF(INDEX(offices!$P$2:$P$61,MATCH($B18,offices!$A$2:$A$61,0))="","",INDEX(offices!$P$2:$P$61,MATCH($B18,offices!$A$2:$A$61,0))),""))</f>
        <v/>
      </c>
      <c r="T18" s="25">
        <f>IF($B18="","",IFERROR(IF(INDEX(offices!$Y$2:$Y$61,MATCH($B18,offices!$A$2:$A$61,0))="","",INDEX(offices!$Y$2:$Y$61,MATCH($B18,offices!$A$2:$A$61,0))),""))</f>
        <v/>
      </c>
      <c r="U18" s="25">
        <f>IF($B18="","",IFERROR(IF(INDEX(offices!$X$2:$X$61,MATCH($B18,offices!$A$2:$A$61,0))="","",INDEX(offices!$X$2:$X$61,MATCH($B18,offices!$A$2:$A$61,0))),""))</f>
        <v/>
      </c>
      <c r="V18" s="25">
        <f>IF($B18="","",IFERROR(IF(INDEX(offices!$U$2:$U$61,MATCH($B18,offices!$A$2:$A$61,0))="","",INDEX(offices!$U$2:$U$61,MATCH($B18,offices!$A$2:$A$61,0))),""))</f>
        <v/>
      </c>
      <c r="W18" s="25">
        <f>IF($B18="","",IFERROR(IF(INDEX(offices!$AI$2:$AI$61,MATCH($B18,offices!$A$2:$A$61,0))="","",INDEX(offices!$AI$2:$AI$61,MATCH($B18,offices!$A$2:$A$61,0))),""))</f>
        <v/>
      </c>
      <c r="X18" s="25">
        <f>IF($B18="","",IFERROR(IF(INDEX(offices!$G$2:$G$61,MATCH($B18,offices!$A$2:$A$61,0))="","",INDEX(offices!$G$2:$G$61,MATCH($B18,offices!$A$2:$A$61,0))),""))</f>
        <v/>
      </c>
      <c r="Y18" s="25">
        <f>IF($B18="","",IFERROR(IF(INDEX(offices!$I$2:$I$61,MATCH($B18,offices!$A$2:$A$61,0))="","",INDEX(offices!$I$2:$I$61,MATCH($B18,offices!$A$2:$A$61,0))),""))</f>
        <v/>
      </c>
      <c r="Z18" s="25">
        <f>IF($A18="","",COUNTIFS(approvals!$H$2:$H$251,$A18,approvals!$B$2:$B$251,$B18,approvals!$P$2:$P$251,"Y"))</f>
        <v/>
      </c>
      <c r="AA18" s="25">
        <f>IF($A18="","",SUMIFS(approvals!$S$2:$S$251,approvals!$H$2:$H$251,$A18,approvals!$B$2:$B$251,$B18,approvals!$P$2:$P$251,"Y"))</f>
        <v/>
      </c>
      <c r="AB18" s="25">
        <f>IF(OR($A18="",$P18=""),"",IF(COUNTIFS(stops!$B$2:$B$151,$B18,stops!$P$2:$P$151,"&lt;"&amp;$P18,stops!$L$2:$L$151,"&lt;&gt;not_delivered")=0,"Y","N"))</f>
        <v/>
      </c>
      <c r="AC18" s="25">
        <f>IF(OR($I18="",$J18=""),"",ROUND(($J18-$I18)*1440,0))</f>
        <v/>
      </c>
      <c r="AD18" s="25">
        <f>IF($A18="","",IF(COUNTIFS(stops!$A$2:$A$151,$A18,stops!$B$2:$B$151,$B18)&gt;1,"DUPLICATE stop; ","")&amp;IF(AND(OR(IFERROR(IF(INDEX(offices!$Z$2:$Z$61,MATCH($B18,offices!$A$2:$A$61,0))="","",INDEX(offices!$Z$2:$Z$61,MATCH($B18,offices!$A$2:$A$61,0))),"")="yes",IFERROR(IF(INDEX(offices!$Z$2:$Z$61,MATCH($B18,offices!$A$2:$A$61,0))="","",INDEX(offices!$Z$2:$Z$61,MATCH($B18,offices!$A$2:$A$61,0))),"")="unsure"),$Y18&lt;&gt;"received",$Y18&lt;&gt;"not_needed"),"building certificate not received; ","")&amp;IF($W18="","owner phone missing; ","")&amp;IF(N($Z18)=0,"no approved brand for this stop; ","")&amp;IF(AND($P18&lt;&gt;"",IF(config!$B$37&lt;&gt;"",config!$B$37,TODAY())&gt;$P18,$L18=""),"log the outcome; ","")&amp;IF(AND(OR($L18="declined",$L18="building_refused",$L18="not_delivered"),N($Z18)&gt;0,COUNTIFS(approvals!$H$2:$H$251,$A18,approvals!$B$2:$B$251,$B18,approvals!$P$2:$P$251,"Y",approvals!$U$2:$U$251,"&gt;0")&gt;=N($Z18)),"outcome says "&amp;$L18&amp;" but every brand here is logged delivered: fix the outcome, or delete the wrong delivered rows (SOP section 4); ","")&amp;IF(AND(OR($L18="declined",$L18="building_refused",$L18="not_delivered"),COUNTIFS(approvals!$H$2:$H$251,$A18,approvals!$B$2:$B$251,$B18,approvals!$P$2:$P$251,"Y",approvals!$U$2:$U$251,"&gt;0")&gt;0,COUNTIFS(approvals!$H$2:$H$251,$A18,approvals!$B$2:$B$251,$B18,approvals!$P$2:$P$251,"Y",approvals!$U$2:$U$251,"&gt;0")&lt;N($Z18)),"info: "&amp;(N($Z18)-COUNTIFS(approvals!$H$2:$H$251,$A18,approvals!$B$2:$B$251,$B18,approvals!$P$2:$P$251,"Y",approvals!$U$2:$U$251,"&gt;0"))&amp;" brand(s) turned away at the door, the rest delivered; ","")&amp;IF(AND($AB18="Y",IFERROR(IF(INDEX(drops!$C$2:$C$21,MATCH($A18,drops!$A$2:$A$21,0))="","",INDEX(drops!$C$2:$C$21,MATCH($A18,drops!$A$2:$A$21,0))),"")="direct-ship"),"info: first drop: visit in person on T; ","")&amp;IF(AND($U18="front desk",$X18&lt;&gt;"Y"),"info: front desk not agreed: the owner must take it; ",""))</f>
        <v/>
      </c>
    </row>
    <row r="19">
      <c r="D19" s="33" t="n"/>
      <c r="E19" s="9" t="n"/>
      <c r="F19" s="9" t="n"/>
      <c r="G19" s="9" t="n"/>
      <c r="I19" s="33" t="n"/>
      <c r="J19" s="33" t="n"/>
      <c r="N19" s="9" t="n"/>
      <c r="P19" s="26">
        <f>IF($A19="","",IF(IFERROR(IF(INDEX(drops!$I$2:$I$21,MATCH($A19,drops!$A$2:$A$21,0))="","",INDEX(drops!$I$2:$I$21,MATCH($A19,drops!$A$2:$A$21,0))),"")="OK",IFERROR(IF(INDEX(drops!$B$2:$B$21,MATCH($A19,drops!$A$2:$A$21,0))="","",INDEX(drops!$B$2:$B$21,MATCH($A19,drops!$A$2:$A$21,0))),""),""))</f>
        <v/>
      </c>
      <c r="Q19" s="25">
        <f>IF($B19="","",IFERROR(IF(INDEX(offices!$N$2:$N$61,MATCH($B19,offices!$A$2:$A$61,0))="","",INDEX(offices!$N$2:$N$61,MATCH($B19,offices!$A$2:$A$61,0))),""))</f>
        <v/>
      </c>
      <c r="R19" s="25">
        <f>IF($B19="","",IFERROR(IF(INDEX(offices!$O$2:$O$61,MATCH($B19,offices!$A$2:$A$61,0))="","",INDEX(offices!$O$2:$O$61,MATCH($B19,offices!$A$2:$A$61,0))),""))</f>
        <v/>
      </c>
      <c r="S19" s="25">
        <f>IF($B19="","",IFERROR(IF(INDEX(offices!$P$2:$P$61,MATCH($B19,offices!$A$2:$A$61,0))="","",INDEX(offices!$P$2:$P$61,MATCH($B19,offices!$A$2:$A$61,0))),""))</f>
        <v/>
      </c>
      <c r="T19" s="25">
        <f>IF($B19="","",IFERROR(IF(INDEX(offices!$Y$2:$Y$61,MATCH($B19,offices!$A$2:$A$61,0))="","",INDEX(offices!$Y$2:$Y$61,MATCH($B19,offices!$A$2:$A$61,0))),""))</f>
        <v/>
      </c>
      <c r="U19" s="25">
        <f>IF($B19="","",IFERROR(IF(INDEX(offices!$X$2:$X$61,MATCH($B19,offices!$A$2:$A$61,0))="","",INDEX(offices!$X$2:$X$61,MATCH($B19,offices!$A$2:$A$61,0))),""))</f>
        <v/>
      </c>
      <c r="V19" s="25">
        <f>IF($B19="","",IFERROR(IF(INDEX(offices!$U$2:$U$61,MATCH($B19,offices!$A$2:$A$61,0))="","",INDEX(offices!$U$2:$U$61,MATCH($B19,offices!$A$2:$A$61,0))),""))</f>
        <v/>
      </c>
      <c r="W19" s="25">
        <f>IF($B19="","",IFERROR(IF(INDEX(offices!$AI$2:$AI$61,MATCH($B19,offices!$A$2:$A$61,0))="","",INDEX(offices!$AI$2:$AI$61,MATCH($B19,offices!$A$2:$A$61,0))),""))</f>
        <v/>
      </c>
      <c r="X19" s="25">
        <f>IF($B19="","",IFERROR(IF(INDEX(offices!$G$2:$G$61,MATCH($B19,offices!$A$2:$A$61,0))="","",INDEX(offices!$G$2:$G$61,MATCH($B19,offices!$A$2:$A$61,0))),""))</f>
        <v/>
      </c>
      <c r="Y19" s="25">
        <f>IF($B19="","",IFERROR(IF(INDEX(offices!$I$2:$I$61,MATCH($B19,offices!$A$2:$A$61,0))="","",INDEX(offices!$I$2:$I$61,MATCH($B19,offices!$A$2:$A$61,0))),""))</f>
        <v/>
      </c>
      <c r="Z19" s="25">
        <f>IF($A19="","",COUNTIFS(approvals!$H$2:$H$251,$A19,approvals!$B$2:$B$251,$B19,approvals!$P$2:$P$251,"Y"))</f>
        <v/>
      </c>
      <c r="AA19" s="25">
        <f>IF($A19="","",SUMIFS(approvals!$S$2:$S$251,approvals!$H$2:$H$251,$A19,approvals!$B$2:$B$251,$B19,approvals!$P$2:$P$251,"Y"))</f>
        <v/>
      </c>
      <c r="AB19" s="25">
        <f>IF(OR($A19="",$P19=""),"",IF(COUNTIFS(stops!$B$2:$B$151,$B19,stops!$P$2:$P$151,"&lt;"&amp;$P19,stops!$L$2:$L$151,"&lt;&gt;not_delivered")=0,"Y","N"))</f>
        <v/>
      </c>
      <c r="AC19" s="25">
        <f>IF(OR($I19="",$J19=""),"",ROUND(($J19-$I19)*1440,0))</f>
        <v/>
      </c>
      <c r="AD19" s="25">
        <f>IF($A19="","",IF(COUNTIFS(stops!$A$2:$A$151,$A19,stops!$B$2:$B$151,$B19)&gt;1,"DUPLICATE stop; ","")&amp;IF(AND(OR(IFERROR(IF(INDEX(offices!$Z$2:$Z$61,MATCH($B19,offices!$A$2:$A$61,0))="","",INDEX(offices!$Z$2:$Z$61,MATCH($B19,offices!$A$2:$A$61,0))),"")="yes",IFERROR(IF(INDEX(offices!$Z$2:$Z$61,MATCH($B19,offices!$A$2:$A$61,0))="","",INDEX(offices!$Z$2:$Z$61,MATCH($B19,offices!$A$2:$A$61,0))),"")="unsure"),$Y19&lt;&gt;"received",$Y19&lt;&gt;"not_needed"),"building certificate not received; ","")&amp;IF($W19="","owner phone missing; ","")&amp;IF(N($Z19)=0,"no approved brand for this stop; ","")&amp;IF(AND($P19&lt;&gt;"",IF(config!$B$37&lt;&gt;"",config!$B$37,TODAY())&gt;$P19,$L19=""),"log the outcome; ","")&amp;IF(AND(OR($L19="declined",$L19="building_refused",$L19="not_delivered"),N($Z19)&gt;0,COUNTIFS(approvals!$H$2:$H$251,$A19,approvals!$B$2:$B$251,$B19,approvals!$P$2:$P$251,"Y",approvals!$U$2:$U$251,"&gt;0")&gt;=N($Z19)),"outcome says "&amp;$L19&amp;" but every brand here is logged delivered: fix the outcome, or delete the wrong delivered rows (SOP section 4); ","")&amp;IF(AND(OR($L19="declined",$L19="building_refused",$L19="not_delivered"),COUNTIFS(approvals!$H$2:$H$251,$A19,approvals!$B$2:$B$251,$B19,approvals!$P$2:$P$251,"Y",approvals!$U$2:$U$251,"&gt;0")&gt;0,COUNTIFS(approvals!$H$2:$H$251,$A19,approvals!$B$2:$B$251,$B19,approvals!$P$2:$P$251,"Y",approvals!$U$2:$U$251,"&gt;0")&lt;N($Z19)),"info: "&amp;(N($Z19)-COUNTIFS(approvals!$H$2:$H$251,$A19,approvals!$B$2:$B$251,$B19,approvals!$P$2:$P$251,"Y",approvals!$U$2:$U$251,"&gt;0"))&amp;" brand(s) turned away at the door, the rest delivered; ","")&amp;IF(AND($AB19="Y",IFERROR(IF(INDEX(drops!$C$2:$C$21,MATCH($A19,drops!$A$2:$A$21,0))="","",INDEX(drops!$C$2:$C$21,MATCH($A19,drops!$A$2:$A$21,0))),"")="direct-ship"),"info: first drop: visit in person on T; ","")&amp;IF(AND($U19="front desk",$X19&lt;&gt;"Y"),"info: front desk not agreed: the owner must take it; ",""))</f>
        <v/>
      </c>
    </row>
    <row r="20">
      <c r="D20" s="33" t="n"/>
      <c r="E20" s="9" t="n"/>
      <c r="F20" s="9" t="n"/>
      <c r="G20" s="9" t="n"/>
      <c r="I20" s="33" t="n"/>
      <c r="J20" s="33" t="n"/>
      <c r="N20" s="9" t="n"/>
      <c r="P20" s="26">
        <f>IF($A20="","",IF(IFERROR(IF(INDEX(drops!$I$2:$I$21,MATCH($A20,drops!$A$2:$A$21,0))="","",INDEX(drops!$I$2:$I$21,MATCH($A20,drops!$A$2:$A$21,0))),"")="OK",IFERROR(IF(INDEX(drops!$B$2:$B$21,MATCH($A20,drops!$A$2:$A$21,0))="","",INDEX(drops!$B$2:$B$21,MATCH($A20,drops!$A$2:$A$21,0))),""),""))</f>
        <v/>
      </c>
      <c r="Q20" s="25">
        <f>IF($B20="","",IFERROR(IF(INDEX(offices!$N$2:$N$61,MATCH($B20,offices!$A$2:$A$61,0))="","",INDEX(offices!$N$2:$N$61,MATCH($B20,offices!$A$2:$A$61,0))),""))</f>
        <v/>
      </c>
      <c r="R20" s="25">
        <f>IF($B20="","",IFERROR(IF(INDEX(offices!$O$2:$O$61,MATCH($B20,offices!$A$2:$A$61,0))="","",INDEX(offices!$O$2:$O$61,MATCH($B20,offices!$A$2:$A$61,0))),""))</f>
        <v/>
      </c>
      <c r="S20" s="25">
        <f>IF($B20="","",IFERROR(IF(INDEX(offices!$P$2:$P$61,MATCH($B20,offices!$A$2:$A$61,0))="","",INDEX(offices!$P$2:$P$61,MATCH($B20,offices!$A$2:$A$61,0))),""))</f>
        <v/>
      </c>
      <c r="T20" s="25">
        <f>IF($B20="","",IFERROR(IF(INDEX(offices!$Y$2:$Y$61,MATCH($B20,offices!$A$2:$A$61,0))="","",INDEX(offices!$Y$2:$Y$61,MATCH($B20,offices!$A$2:$A$61,0))),""))</f>
        <v/>
      </c>
      <c r="U20" s="25">
        <f>IF($B20="","",IFERROR(IF(INDEX(offices!$X$2:$X$61,MATCH($B20,offices!$A$2:$A$61,0))="","",INDEX(offices!$X$2:$X$61,MATCH($B20,offices!$A$2:$A$61,0))),""))</f>
        <v/>
      </c>
      <c r="V20" s="25">
        <f>IF($B20="","",IFERROR(IF(INDEX(offices!$U$2:$U$61,MATCH($B20,offices!$A$2:$A$61,0))="","",INDEX(offices!$U$2:$U$61,MATCH($B20,offices!$A$2:$A$61,0))),""))</f>
        <v/>
      </c>
      <c r="W20" s="25">
        <f>IF($B20="","",IFERROR(IF(INDEX(offices!$AI$2:$AI$61,MATCH($B20,offices!$A$2:$A$61,0))="","",INDEX(offices!$AI$2:$AI$61,MATCH($B20,offices!$A$2:$A$61,0))),""))</f>
        <v/>
      </c>
      <c r="X20" s="25">
        <f>IF($B20="","",IFERROR(IF(INDEX(offices!$G$2:$G$61,MATCH($B20,offices!$A$2:$A$61,0))="","",INDEX(offices!$G$2:$G$61,MATCH($B20,offices!$A$2:$A$61,0))),""))</f>
        <v/>
      </c>
      <c r="Y20" s="25">
        <f>IF($B20="","",IFERROR(IF(INDEX(offices!$I$2:$I$61,MATCH($B20,offices!$A$2:$A$61,0))="","",INDEX(offices!$I$2:$I$61,MATCH($B20,offices!$A$2:$A$61,0))),""))</f>
        <v/>
      </c>
      <c r="Z20" s="25">
        <f>IF($A20="","",COUNTIFS(approvals!$H$2:$H$251,$A20,approvals!$B$2:$B$251,$B20,approvals!$P$2:$P$251,"Y"))</f>
        <v/>
      </c>
      <c r="AA20" s="25">
        <f>IF($A20="","",SUMIFS(approvals!$S$2:$S$251,approvals!$H$2:$H$251,$A20,approvals!$B$2:$B$251,$B20,approvals!$P$2:$P$251,"Y"))</f>
        <v/>
      </c>
      <c r="AB20" s="25">
        <f>IF(OR($A20="",$P20=""),"",IF(COUNTIFS(stops!$B$2:$B$151,$B20,stops!$P$2:$P$151,"&lt;"&amp;$P20,stops!$L$2:$L$151,"&lt;&gt;not_delivered")=0,"Y","N"))</f>
        <v/>
      </c>
      <c r="AC20" s="25">
        <f>IF(OR($I20="",$J20=""),"",ROUND(($J20-$I20)*1440,0))</f>
        <v/>
      </c>
      <c r="AD20" s="25">
        <f>IF($A20="","",IF(COUNTIFS(stops!$A$2:$A$151,$A20,stops!$B$2:$B$151,$B20)&gt;1,"DUPLICATE stop; ","")&amp;IF(AND(OR(IFERROR(IF(INDEX(offices!$Z$2:$Z$61,MATCH($B20,offices!$A$2:$A$61,0))="","",INDEX(offices!$Z$2:$Z$61,MATCH($B20,offices!$A$2:$A$61,0))),"")="yes",IFERROR(IF(INDEX(offices!$Z$2:$Z$61,MATCH($B20,offices!$A$2:$A$61,0))="","",INDEX(offices!$Z$2:$Z$61,MATCH($B20,offices!$A$2:$A$61,0))),"")="unsure"),$Y20&lt;&gt;"received",$Y20&lt;&gt;"not_needed"),"building certificate not received; ","")&amp;IF($W20="","owner phone missing; ","")&amp;IF(N($Z20)=0,"no approved brand for this stop; ","")&amp;IF(AND($P20&lt;&gt;"",IF(config!$B$37&lt;&gt;"",config!$B$37,TODAY())&gt;$P20,$L20=""),"log the outcome; ","")&amp;IF(AND(OR($L20="declined",$L20="building_refused",$L20="not_delivered"),N($Z20)&gt;0,COUNTIFS(approvals!$H$2:$H$251,$A20,approvals!$B$2:$B$251,$B20,approvals!$P$2:$P$251,"Y",approvals!$U$2:$U$251,"&gt;0")&gt;=N($Z20)),"outcome says "&amp;$L20&amp;" but every brand here is logged delivered: fix the outcome, or delete the wrong delivered rows (SOP section 4); ","")&amp;IF(AND(OR($L20="declined",$L20="building_refused",$L20="not_delivered"),COUNTIFS(approvals!$H$2:$H$251,$A20,approvals!$B$2:$B$251,$B20,approvals!$P$2:$P$251,"Y",approvals!$U$2:$U$251,"&gt;0")&gt;0,COUNTIFS(approvals!$H$2:$H$251,$A20,approvals!$B$2:$B$251,$B20,approvals!$P$2:$P$251,"Y",approvals!$U$2:$U$251,"&gt;0")&lt;N($Z20)),"info: "&amp;(N($Z20)-COUNTIFS(approvals!$H$2:$H$251,$A20,approvals!$B$2:$B$251,$B20,approvals!$P$2:$P$251,"Y",approvals!$U$2:$U$251,"&gt;0"))&amp;" brand(s) turned away at the door, the rest delivered; ","")&amp;IF(AND($AB20="Y",IFERROR(IF(INDEX(drops!$C$2:$C$21,MATCH($A20,drops!$A$2:$A$21,0))="","",INDEX(drops!$C$2:$C$21,MATCH($A20,drops!$A$2:$A$21,0))),"")="direct-ship"),"info: first drop: visit in person on T; ","")&amp;IF(AND($U20="front desk",$X20&lt;&gt;"Y"),"info: front desk not agreed: the owner must take it; ",""))</f>
        <v/>
      </c>
    </row>
    <row r="21">
      <c r="D21" s="33" t="n"/>
      <c r="E21" s="9" t="n"/>
      <c r="F21" s="9" t="n"/>
      <c r="G21" s="9" t="n"/>
      <c r="I21" s="33" t="n"/>
      <c r="J21" s="33" t="n"/>
      <c r="N21" s="9" t="n"/>
      <c r="P21" s="26">
        <f>IF($A21="","",IF(IFERROR(IF(INDEX(drops!$I$2:$I$21,MATCH($A21,drops!$A$2:$A$21,0))="","",INDEX(drops!$I$2:$I$21,MATCH($A21,drops!$A$2:$A$21,0))),"")="OK",IFERROR(IF(INDEX(drops!$B$2:$B$21,MATCH($A21,drops!$A$2:$A$21,0))="","",INDEX(drops!$B$2:$B$21,MATCH($A21,drops!$A$2:$A$21,0))),""),""))</f>
        <v/>
      </c>
      <c r="Q21" s="25">
        <f>IF($B21="","",IFERROR(IF(INDEX(offices!$N$2:$N$61,MATCH($B21,offices!$A$2:$A$61,0))="","",INDEX(offices!$N$2:$N$61,MATCH($B21,offices!$A$2:$A$61,0))),""))</f>
        <v/>
      </c>
      <c r="R21" s="25">
        <f>IF($B21="","",IFERROR(IF(INDEX(offices!$O$2:$O$61,MATCH($B21,offices!$A$2:$A$61,0))="","",INDEX(offices!$O$2:$O$61,MATCH($B21,offices!$A$2:$A$61,0))),""))</f>
        <v/>
      </c>
      <c r="S21" s="25">
        <f>IF($B21="","",IFERROR(IF(INDEX(offices!$P$2:$P$61,MATCH($B21,offices!$A$2:$A$61,0))="","",INDEX(offices!$P$2:$P$61,MATCH($B21,offices!$A$2:$A$61,0))),""))</f>
        <v/>
      </c>
      <c r="T21" s="25">
        <f>IF($B21="","",IFERROR(IF(INDEX(offices!$Y$2:$Y$61,MATCH($B21,offices!$A$2:$A$61,0))="","",INDEX(offices!$Y$2:$Y$61,MATCH($B21,offices!$A$2:$A$61,0))),""))</f>
        <v/>
      </c>
      <c r="U21" s="25">
        <f>IF($B21="","",IFERROR(IF(INDEX(offices!$X$2:$X$61,MATCH($B21,offices!$A$2:$A$61,0))="","",INDEX(offices!$X$2:$X$61,MATCH($B21,offices!$A$2:$A$61,0))),""))</f>
        <v/>
      </c>
      <c r="V21" s="25">
        <f>IF($B21="","",IFERROR(IF(INDEX(offices!$U$2:$U$61,MATCH($B21,offices!$A$2:$A$61,0))="","",INDEX(offices!$U$2:$U$61,MATCH($B21,offices!$A$2:$A$61,0))),""))</f>
        <v/>
      </c>
      <c r="W21" s="25">
        <f>IF($B21="","",IFERROR(IF(INDEX(offices!$AI$2:$AI$61,MATCH($B21,offices!$A$2:$A$61,0))="","",INDEX(offices!$AI$2:$AI$61,MATCH($B21,offices!$A$2:$A$61,0))),""))</f>
        <v/>
      </c>
      <c r="X21" s="25">
        <f>IF($B21="","",IFERROR(IF(INDEX(offices!$G$2:$G$61,MATCH($B21,offices!$A$2:$A$61,0))="","",INDEX(offices!$G$2:$G$61,MATCH($B21,offices!$A$2:$A$61,0))),""))</f>
        <v/>
      </c>
      <c r="Y21" s="25">
        <f>IF($B21="","",IFERROR(IF(INDEX(offices!$I$2:$I$61,MATCH($B21,offices!$A$2:$A$61,0))="","",INDEX(offices!$I$2:$I$61,MATCH($B21,offices!$A$2:$A$61,0))),""))</f>
        <v/>
      </c>
      <c r="Z21" s="25">
        <f>IF($A21="","",COUNTIFS(approvals!$H$2:$H$251,$A21,approvals!$B$2:$B$251,$B21,approvals!$P$2:$P$251,"Y"))</f>
        <v/>
      </c>
      <c r="AA21" s="25">
        <f>IF($A21="","",SUMIFS(approvals!$S$2:$S$251,approvals!$H$2:$H$251,$A21,approvals!$B$2:$B$251,$B21,approvals!$P$2:$P$251,"Y"))</f>
        <v/>
      </c>
      <c r="AB21" s="25">
        <f>IF(OR($A21="",$P21=""),"",IF(COUNTIFS(stops!$B$2:$B$151,$B21,stops!$P$2:$P$151,"&lt;"&amp;$P21,stops!$L$2:$L$151,"&lt;&gt;not_delivered")=0,"Y","N"))</f>
        <v/>
      </c>
      <c r="AC21" s="25">
        <f>IF(OR($I21="",$J21=""),"",ROUND(($J21-$I21)*1440,0))</f>
        <v/>
      </c>
      <c r="AD21" s="25">
        <f>IF($A21="","",IF(COUNTIFS(stops!$A$2:$A$151,$A21,stops!$B$2:$B$151,$B21)&gt;1,"DUPLICATE stop; ","")&amp;IF(AND(OR(IFERROR(IF(INDEX(offices!$Z$2:$Z$61,MATCH($B21,offices!$A$2:$A$61,0))="","",INDEX(offices!$Z$2:$Z$61,MATCH($B21,offices!$A$2:$A$61,0))),"")="yes",IFERROR(IF(INDEX(offices!$Z$2:$Z$61,MATCH($B21,offices!$A$2:$A$61,0))="","",INDEX(offices!$Z$2:$Z$61,MATCH($B21,offices!$A$2:$A$61,0))),"")="unsure"),$Y21&lt;&gt;"received",$Y21&lt;&gt;"not_needed"),"building certificate not received; ","")&amp;IF($W21="","owner phone missing; ","")&amp;IF(N($Z21)=0,"no approved brand for this stop; ","")&amp;IF(AND($P21&lt;&gt;"",IF(config!$B$37&lt;&gt;"",config!$B$37,TODAY())&gt;$P21,$L21=""),"log the outcome; ","")&amp;IF(AND(OR($L21="declined",$L21="building_refused",$L21="not_delivered"),N($Z21)&gt;0,COUNTIFS(approvals!$H$2:$H$251,$A21,approvals!$B$2:$B$251,$B21,approvals!$P$2:$P$251,"Y",approvals!$U$2:$U$251,"&gt;0")&gt;=N($Z21)),"outcome says "&amp;$L21&amp;" but every brand here is logged delivered: fix the outcome, or delete the wrong delivered rows (SOP section 4); ","")&amp;IF(AND(OR($L21="declined",$L21="building_refused",$L21="not_delivered"),COUNTIFS(approvals!$H$2:$H$251,$A21,approvals!$B$2:$B$251,$B21,approvals!$P$2:$P$251,"Y",approvals!$U$2:$U$251,"&gt;0")&gt;0,COUNTIFS(approvals!$H$2:$H$251,$A21,approvals!$B$2:$B$251,$B21,approvals!$P$2:$P$251,"Y",approvals!$U$2:$U$251,"&gt;0")&lt;N($Z21)),"info: "&amp;(N($Z21)-COUNTIFS(approvals!$H$2:$H$251,$A21,approvals!$B$2:$B$251,$B21,approvals!$P$2:$P$251,"Y",approvals!$U$2:$U$251,"&gt;0"))&amp;" brand(s) turned away at the door, the rest delivered; ","")&amp;IF(AND($AB21="Y",IFERROR(IF(INDEX(drops!$C$2:$C$21,MATCH($A21,drops!$A$2:$A$21,0))="","",INDEX(drops!$C$2:$C$21,MATCH($A21,drops!$A$2:$A$21,0))),"")="direct-ship"),"info: first drop: visit in person on T; ","")&amp;IF(AND($U21="front desk",$X21&lt;&gt;"Y"),"info: front desk not agreed: the owner must take it; ",""))</f>
        <v/>
      </c>
    </row>
    <row r="22">
      <c r="D22" s="33" t="n"/>
      <c r="E22" s="9" t="n"/>
      <c r="F22" s="9" t="n"/>
      <c r="G22" s="9" t="n"/>
      <c r="I22" s="33" t="n"/>
      <c r="J22" s="33" t="n"/>
      <c r="N22" s="9" t="n"/>
      <c r="P22" s="26">
        <f>IF($A22="","",IF(IFERROR(IF(INDEX(drops!$I$2:$I$21,MATCH($A22,drops!$A$2:$A$21,0))="","",INDEX(drops!$I$2:$I$21,MATCH($A22,drops!$A$2:$A$21,0))),"")="OK",IFERROR(IF(INDEX(drops!$B$2:$B$21,MATCH($A22,drops!$A$2:$A$21,0))="","",INDEX(drops!$B$2:$B$21,MATCH($A22,drops!$A$2:$A$21,0))),""),""))</f>
        <v/>
      </c>
      <c r="Q22" s="25">
        <f>IF($B22="","",IFERROR(IF(INDEX(offices!$N$2:$N$61,MATCH($B22,offices!$A$2:$A$61,0))="","",INDEX(offices!$N$2:$N$61,MATCH($B22,offices!$A$2:$A$61,0))),""))</f>
        <v/>
      </c>
      <c r="R22" s="25">
        <f>IF($B22="","",IFERROR(IF(INDEX(offices!$O$2:$O$61,MATCH($B22,offices!$A$2:$A$61,0))="","",INDEX(offices!$O$2:$O$61,MATCH($B22,offices!$A$2:$A$61,0))),""))</f>
        <v/>
      </c>
      <c r="S22" s="25">
        <f>IF($B22="","",IFERROR(IF(INDEX(offices!$P$2:$P$61,MATCH($B22,offices!$A$2:$A$61,0))="","",INDEX(offices!$P$2:$P$61,MATCH($B22,offices!$A$2:$A$61,0))),""))</f>
        <v/>
      </c>
      <c r="T22" s="25">
        <f>IF($B22="","",IFERROR(IF(INDEX(offices!$Y$2:$Y$61,MATCH($B22,offices!$A$2:$A$61,0))="","",INDEX(offices!$Y$2:$Y$61,MATCH($B22,offices!$A$2:$A$61,0))),""))</f>
        <v/>
      </c>
      <c r="U22" s="25">
        <f>IF($B22="","",IFERROR(IF(INDEX(offices!$X$2:$X$61,MATCH($B22,offices!$A$2:$A$61,0))="","",INDEX(offices!$X$2:$X$61,MATCH($B22,offices!$A$2:$A$61,0))),""))</f>
        <v/>
      </c>
      <c r="V22" s="25">
        <f>IF($B22="","",IFERROR(IF(INDEX(offices!$U$2:$U$61,MATCH($B22,offices!$A$2:$A$61,0))="","",INDEX(offices!$U$2:$U$61,MATCH($B22,offices!$A$2:$A$61,0))),""))</f>
        <v/>
      </c>
      <c r="W22" s="25">
        <f>IF($B22="","",IFERROR(IF(INDEX(offices!$AI$2:$AI$61,MATCH($B22,offices!$A$2:$A$61,0))="","",INDEX(offices!$AI$2:$AI$61,MATCH($B22,offices!$A$2:$A$61,0))),""))</f>
        <v/>
      </c>
      <c r="X22" s="25">
        <f>IF($B22="","",IFERROR(IF(INDEX(offices!$G$2:$G$61,MATCH($B22,offices!$A$2:$A$61,0))="","",INDEX(offices!$G$2:$G$61,MATCH($B22,offices!$A$2:$A$61,0))),""))</f>
        <v/>
      </c>
      <c r="Y22" s="25">
        <f>IF($B22="","",IFERROR(IF(INDEX(offices!$I$2:$I$61,MATCH($B22,offices!$A$2:$A$61,0))="","",INDEX(offices!$I$2:$I$61,MATCH($B22,offices!$A$2:$A$61,0))),""))</f>
        <v/>
      </c>
      <c r="Z22" s="25">
        <f>IF($A22="","",COUNTIFS(approvals!$H$2:$H$251,$A22,approvals!$B$2:$B$251,$B22,approvals!$P$2:$P$251,"Y"))</f>
        <v/>
      </c>
      <c r="AA22" s="25">
        <f>IF($A22="","",SUMIFS(approvals!$S$2:$S$251,approvals!$H$2:$H$251,$A22,approvals!$B$2:$B$251,$B22,approvals!$P$2:$P$251,"Y"))</f>
        <v/>
      </c>
      <c r="AB22" s="25">
        <f>IF(OR($A22="",$P22=""),"",IF(COUNTIFS(stops!$B$2:$B$151,$B22,stops!$P$2:$P$151,"&lt;"&amp;$P22,stops!$L$2:$L$151,"&lt;&gt;not_delivered")=0,"Y","N"))</f>
        <v/>
      </c>
      <c r="AC22" s="25">
        <f>IF(OR($I22="",$J22=""),"",ROUND(($J22-$I22)*1440,0))</f>
        <v/>
      </c>
      <c r="AD22" s="25">
        <f>IF($A22="","",IF(COUNTIFS(stops!$A$2:$A$151,$A22,stops!$B$2:$B$151,$B22)&gt;1,"DUPLICATE stop; ","")&amp;IF(AND(OR(IFERROR(IF(INDEX(offices!$Z$2:$Z$61,MATCH($B22,offices!$A$2:$A$61,0))="","",INDEX(offices!$Z$2:$Z$61,MATCH($B22,offices!$A$2:$A$61,0))),"")="yes",IFERROR(IF(INDEX(offices!$Z$2:$Z$61,MATCH($B22,offices!$A$2:$A$61,0))="","",INDEX(offices!$Z$2:$Z$61,MATCH($B22,offices!$A$2:$A$61,0))),"")="unsure"),$Y22&lt;&gt;"received",$Y22&lt;&gt;"not_needed"),"building certificate not received; ","")&amp;IF($W22="","owner phone missing; ","")&amp;IF(N($Z22)=0,"no approved brand for this stop; ","")&amp;IF(AND($P22&lt;&gt;"",IF(config!$B$37&lt;&gt;"",config!$B$37,TODAY())&gt;$P22,$L22=""),"log the outcome; ","")&amp;IF(AND(OR($L22="declined",$L22="building_refused",$L22="not_delivered"),N($Z22)&gt;0,COUNTIFS(approvals!$H$2:$H$251,$A22,approvals!$B$2:$B$251,$B22,approvals!$P$2:$P$251,"Y",approvals!$U$2:$U$251,"&gt;0")&gt;=N($Z22)),"outcome says "&amp;$L22&amp;" but every brand here is logged delivered: fix the outcome, or delete the wrong delivered rows (SOP section 4); ","")&amp;IF(AND(OR($L22="declined",$L22="building_refused",$L22="not_delivered"),COUNTIFS(approvals!$H$2:$H$251,$A22,approvals!$B$2:$B$251,$B22,approvals!$P$2:$P$251,"Y",approvals!$U$2:$U$251,"&gt;0")&gt;0,COUNTIFS(approvals!$H$2:$H$251,$A22,approvals!$B$2:$B$251,$B22,approvals!$P$2:$P$251,"Y",approvals!$U$2:$U$251,"&gt;0")&lt;N($Z22)),"info: "&amp;(N($Z22)-COUNTIFS(approvals!$H$2:$H$251,$A22,approvals!$B$2:$B$251,$B22,approvals!$P$2:$P$251,"Y",approvals!$U$2:$U$251,"&gt;0"))&amp;" brand(s) turned away at the door, the rest delivered; ","")&amp;IF(AND($AB22="Y",IFERROR(IF(INDEX(drops!$C$2:$C$21,MATCH($A22,drops!$A$2:$A$21,0))="","",INDEX(drops!$C$2:$C$21,MATCH($A22,drops!$A$2:$A$21,0))),"")="direct-ship"),"info: first drop: visit in person on T; ","")&amp;IF(AND($U22="front desk",$X22&lt;&gt;"Y"),"info: front desk not agreed: the owner must take it; ",""))</f>
        <v/>
      </c>
    </row>
    <row r="23">
      <c r="D23" s="33" t="n"/>
      <c r="E23" s="9" t="n"/>
      <c r="F23" s="9" t="n"/>
      <c r="G23" s="9" t="n"/>
      <c r="I23" s="33" t="n"/>
      <c r="J23" s="33" t="n"/>
      <c r="N23" s="9" t="n"/>
      <c r="P23" s="26">
        <f>IF($A23="","",IF(IFERROR(IF(INDEX(drops!$I$2:$I$21,MATCH($A23,drops!$A$2:$A$21,0))="","",INDEX(drops!$I$2:$I$21,MATCH($A23,drops!$A$2:$A$21,0))),"")="OK",IFERROR(IF(INDEX(drops!$B$2:$B$21,MATCH($A23,drops!$A$2:$A$21,0))="","",INDEX(drops!$B$2:$B$21,MATCH($A23,drops!$A$2:$A$21,0))),""),""))</f>
        <v/>
      </c>
      <c r="Q23" s="25">
        <f>IF($B23="","",IFERROR(IF(INDEX(offices!$N$2:$N$61,MATCH($B23,offices!$A$2:$A$61,0))="","",INDEX(offices!$N$2:$N$61,MATCH($B23,offices!$A$2:$A$61,0))),""))</f>
        <v/>
      </c>
      <c r="R23" s="25">
        <f>IF($B23="","",IFERROR(IF(INDEX(offices!$O$2:$O$61,MATCH($B23,offices!$A$2:$A$61,0))="","",INDEX(offices!$O$2:$O$61,MATCH($B23,offices!$A$2:$A$61,0))),""))</f>
        <v/>
      </c>
      <c r="S23" s="25">
        <f>IF($B23="","",IFERROR(IF(INDEX(offices!$P$2:$P$61,MATCH($B23,offices!$A$2:$A$61,0))="","",INDEX(offices!$P$2:$P$61,MATCH($B23,offices!$A$2:$A$61,0))),""))</f>
        <v/>
      </c>
      <c r="T23" s="25">
        <f>IF($B23="","",IFERROR(IF(INDEX(offices!$Y$2:$Y$61,MATCH($B23,offices!$A$2:$A$61,0))="","",INDEX(offices!$Y$2:$Y$61,MATCH($B23,offices!$A$2:$A$61,0))),""))</f>
        <v/>
      </c>
      <c r="U23" s="25">
        <f>IF($B23="","",IFERROR(IF(INDEX(offices!$X$2:$X$61,MATCH($B23,offices!$A$2:$A$61,0))="","",INDEX(offices!$X$2:$X$61,MATCH($B23,offices!$A$2:$A$61,0))),""))</f>
        <v/>
      </c>
      <c r="V23" s="25">
        <f>IF($B23="","",IFERROR(IF(INDEX(offices!$U$2:$U$61,MATCH($B23,offices!$A$2:$A$61,0))="","",INDEX(offices!$U$2:$U$61,MATCH($B23,offices!$A$2:$A$61,0))),""))</f>
        <v/>
      </c>
      <c r="W23" s="25">
        <f>IF($B23="","",IFERROR(IF(INDEX(offices!$AI$2:$AI$61,MATCH($B23,offices!$A$2:$A$61,0))="","",INDEX(offices!$AI$2:$AI$61,MATCH($B23,offices!$A$2:$A$61,0))),""))</f>
        <v/>
      </c>
      <c r="X23" s="25">
        <f>IF($B23="","",IFERROR(IF(INDEX(offices!$G$2:$G$61,MATCH($B23,offices!$A$2:$A$61,0))="","",INDEX(offices!$G$2:$G$61,MATCH($B23,offices!$A$2:$A$61,0))),""))</f>
        <v/>
      </c>
      <c r="Y23" s="25">
        <f>IF($B23="","",IFERROR(IF(INDEX(offices!$I$2:$I$61,MATCH($B23,offices!$A$2:$A$61,0))="","",INDEX(offices!$I$2:$I$61,MATCH($B23,offices!$A$2:$A$61,0))),""))</f>
        <v/>
      </c>
      <c r="Z23" s="25">
        <f>IF($A23="","",COUNTIFS(approvals!$H$2:$H$251,$A23,approvals!$B$2:$B$251,$B23,approvals!$P$2:$P$251,"Y"))</f>
        <v/>
      </c>
      <c r="AA23" s="25">
        <f>IF($A23="","",SUMIFS(approvals!$S$2:$S$251,approvals!$H$2:$H$251,$A23,approvals!$B$2:$B$251,$B23,approvals!$P$2:$P$251,"Y"))</f>
        <v/>
      </c>
      <c r="AB23" s="25">
        <f>IF(OR($A23="",$P23=""),"",IF(COUNTIFS(stops!$B$2:$B$151,$B23,stops!$P$2:$P$151,"&lt;"&amp;$P23,stops!$L$2:$L$151,"&lt;&gt;not_delivered")=0,"Y","N"))</f>
        <v/>
      </c>
      <c r="AC23" s="25">
        <f>IF(OR($I23="",$J23=""),"",ROUND(($J23-$I23)*1440,0))</f>
        <v/>
      </c>
      <c r="AD23" s="25">
        <f>IF($A23="","",IF(COUNTIFS(stops!$A$2:$A$151,$A23,stops!$B$2:$B$151,$B23)&gt;1,"DUPLICATE stop; ","")&amp;IF(AND(OR(IFERROR(IF(INDEX(offices!$Z$2:$Z$61,MATCH($B23,offices!$A$2:$A$61,0))="","",INDEX(offices!$Z$2:$Z$61,MATCH($B23,offices!$A$2:$A$61,0))),"")="yes",IFERROR(IF(INDEX(offices!$Z$2:$Z$61,MATCH($B23,offices!$A$2:$A$61,0))="","",INDEX(offices!$Z$2:$Z$61,MATCH($B23,offices!$A$2:$A$61,0))),"")="unsure"),$Y23&lt;&gt;"received",$Y23&lt;&gt;"not_needed"),"building certificate not received; ","")&amp;IF($W23="","owner phone missing; ","")&amp;IF(N($Z23)=0,"no approved brand for this stop; ","")&amp;IF(AND($P23&lt;&gt;"",IF(config!$B$37&lt;&gt;"",config!$B$37,TODAY())&gt;$P23,$L23=""),"log the outcome; ","")&amp;IF(AND(OR($L23="declined",$L23="building_refused",$L23="not_delivered"),N($Z23)&gt;0,COUNTIFS(approvals!$H$2:$H$251,$A23,approvals!$B$2:$B$251,$B23,approvals!$P$2:$P$251,"Y",approvals!$U$2:$U$251,"&gt;0")&gt;=N($Z23)),"outcome says "&amp;$L23&amp;" but every brand here is logged delivered: fix the outcome, or delete the wrong delivered rows (SOP section 4); ","")&amp;IF(AND(OR($L23="declined",$L23="building_refused",$L23="not_delivered"),COUNTIFS(approvals!$H$2:$H$251,$A23,approvals!$B$2:$B$251,$B23,approvals!$P$2:$P$251,"Y",approvals!$U$2:$U$251,"&gt;0")&gt;0,COUNTIFS(approvals!$H$2:$H$251,$A23,approvals!$B$2:$B$251,$B23,approvals!$P$2:$P$251,"Y",approvals!$U$2:$U$251,"&gt;0")&lt;N($Z23)),"info: "&amp;(N($Z23)-COUNTIFS(approvals!$H$2:$H$251,$A23,approvals!$B$2:$B$251,$B23,approvals!$P$2:$P$251,"Y",approvals!$U$2:$U$251,"&gt;0"))&amp;" brand(s) turned away at the door, the rest delivered; ","")&amp;IF(AND($AB23="Y",IFERROR(IF(INDEX(drops!$C$2:$C$21,MATCH($A23,drops!$A$2:$A$21,0))="","",INDEX(drops!$C$2:$C$21,MATCH($A23,drops!$A$2:$A$21,0))),"")="direct-ship"),"info: first drop: visit in person on T; ","")&amp;IF(AND($U23="front desk",$X23&lt;&gt;"Y"),"info: front desk not agreed: the owner must take it; ",""))</f>
        <v/>
      </c>
    </row>
    <row r="24">
      <c r="D24" s="33" t="n"/>
      <c r="E24" s="9" t="n"/>
      <c r="F24" s="9" t="n"/>
      <c r="G24" s="9" t="n"/>
      <c r="I24" s="33" t="n"/>
      <c r="J24" s="33" t="n"/>
      <c r="N24" s="9" t="n"/>
      <c r="P24" s="26">
        <f>IF($A24="","",IF(IFERROR(IF(INDEX(drops!$I$2:$I$21,MATCH($A24,drops!$A$2:$A$21,0))="","",INDEX(drops!$I$2:$I$21,MATCH($A24,drops!$A$2:$A$21,0))),"")="OK",IFERROR(IF(INDEX(drops!$B$2:$B$21,MATCH($A24,drops!$A$2:$A$21,0))="","",INDEX(drops!$B$2:$B$21,MATCH($A24,drops!$A$2:$A$21,0))),""),""))</f>
        <v/>
      </c>
      <c r="Q24" s="25">
        <f>IF($B24="","",IFERROR(IF(INDEX(offices!$N$2:$N$61,MATCH($B24,offices!$A$2:$A$61,0))="","",INDEX(offices!$N$2:$N$61,MATCH($B24,offices!$A$2:$A$61,0))),""))</f>
        <v/>
      </c>
      <c r="R24" s="25">
        <f>IF($B24="","",IFERROR(IF(INDEX(offices!$O$2:$O$61,MATCH($B24,offices!$A$2:$A$61,0))="","",INDEX(offices!$O$2:$O$61,MATCH($B24,offices!$A$2:$A$61,0))),""))</f>
        <v/>
      </c>
      <c r="S24" s="25">
        <f>IF($B24="","",IFERROR(IF(INDEX(offices!$P$2:$P$61,MATCH($B24,offices!$A$2:$A$61,0))="","",INDEX(offices!$P$2:$P$61,MATCH($B24,offices!$A$2:$A$61,0))),""))</f>
        <v/>
      </c>
      <c r="T24" s="25">
        <f>IF($B24="","",IFERROR(IF(INDEX(offices!$Y$2:$Y$61,MATCH($B24,offices!$A$2:$A$61,0))="","",INDEX(offices!$Y$2:$Y$61,MATCH($B24,offices!$A$2:$A$61,0))),""))</f>
        <v/>
      </c>
      <c r="U24" s="25">
        <f>IF($B24="","",IFERROR(IF(INDEX(offices!$X$2:$X$61,MATCH($B24,offices!$A$2:$A$61,0))="","",INDEX(offices!$X$2:$X$61,MATCH($B24,offices!$A$2:$A$61,0))),""))</f>
        <v/>
      </c>
      <c r="V24" s="25">
        <f>IF($B24="","",IFERROR(IF(INDEX(offices!$U$2:$U$61,MATCH($B24,offices!$A$2:$A$61,0))="","",INDEX(offices!$U$2:$U$61,MATCH($B24,offices!$A$2:$A$61,0))),""))</f>
        <v/>
      </c>
      <c r="W24" s="25">
        <f>IF($B24="","",IFERROR(IF(INDEX(offices!$AI$2:$AI$61,MATCH($B24,offices!$A$2:$A$61,0))="","",INDEX(offices!$AI$2:$AI$61,MATCH($B24,offices!$A$2:$A$61,0))),""))</f>
        <v/>
      </c>
      <c r="X24" s="25">
        <f>IF($B24="","",IFERROR(IF(INDEX(offices!$G$2:$G$61,MATCH($B24,offices!$A$2:$A$61,0))="","",INDEX(offices!$G$2:$G$61,MATCH($B24,offices!$A$2:$A$61,0))),""))</f>
        <v/>
      </c>
      <c r="Y24" s="25">
        <f>IF($B24="","",IFERROR(IF(INDEX(offices!$I$2:$I$61,MATCH($B24,offices!$A$2:$A$61,0))="","",INDEX(offices!$I$2:$I$61,MATCH($B24,offices!$A$2:$A$61,0))),""))</f>
        <v/>
      </c>
      <c r="Z24" s="25">
        <f>IF($A24="","",COUNTIFS(approvals!$H$2:$H$251,$A24,approvals!$B$2:$B$251,$B24,approvals!$P$2:$P$251,"Y"))</f>
        <v/>
      </c>
      <c r="AA24" s="25">
        <f>IF($A24="","",SUMIFS(approvals!$S$2:$S$251,approvals!$H$2:$H$251,$A24,approvals!$B$2:$B$251,$B24,approvals!$P$2:$P$251,"Y"))</f>
        <v/>
      </c>
      <c r="AB24" s="25">
        <f>IF(OR($A24="",$P24=""),"",IF(COUNTIFS(stops!$B$2:$B$151,$B24,stops!$P$2:$P$151,"&lt;"&amp;$P24,stops!$L$2:$L$151,"&lt;&gt;not_delivered")=0,"Y","N"))</f>
        <v/>
      </c>
      <c r="AC24" s="25">
        <f>IF(OR($I24="",$J24=""),"",ROUND(($J24-$I24)*1440,0))</f>
        <v/>
      </c>
      <c r="AD24" s="25">
        <f>IF($A24="","",IF(COUNTIFS(stops!$A$2:$A$151,$A24,stops!$B$2:$B$151,$B24)&gt;1,"DUPLICATE stop; ","")&amp;IF(AND(OR(IFERROR(IF(INDEX(offices!$Z$2:$Z$61,MATCH($B24,offices!$A$2:$A$61,0))="","",INDEX(offices!$Z$2:$Z$61,MATCH($B24,offices!$A$2:$A$61,0))),"")="yes",IFERROR(IF(INDEX(offices!$Z$2:$Z$61,MATCH($B24,offices!$A$2:$A$61,0))="","",INDEX(offices!$Z$2:$Z$61,MATCH($B24,offices!$A$2:$A$61,0))),"")="unsure"),$Y24&lt;&gt;"received",$Y24&lt;&gt;"not_needed"),"building certificate not received; ","")&amp;IF($W24="","owner phone missing; ","")&amp;IF(N($Z24)=0,"no approved brand for this stop; ","")&amp;IF(AND($P24&lt;&gt;"",IF(config!$B$37&lt;&gt;"",config!$B$37,TODAY())&gt;$P24,$L24=""),"log the outcome; ","")&amp;IF(AND(OR($L24="declined",$L24="building_refused",$L24="not_delivered"),N($Z24)&gt;0,COUNTIFS(approvals!$H$2:$H$251,$A24,approvals!$B$2:$B$251,$B24,approvals!$P$2:$P$251,"Y",approvals!$U$2:$U$251,"&gt;0")&gt;=N($Z24)),"outcome says "&amp;$L24&amp;" but every brand here is logged delivered: fix the outcome, or delete the wrong delivered rows (SOP section 4); ","")&amp;IF(AND(OR($L24="declined",$L24="building_refused",$L24="not_delivered"),COUNTIFS(approvals!$H$2:$H$251,$A24,approvals!$B$2:$B$251,$B24,approvals!$P$2:$P$251,"Y",approvals!$U$2:$U$251,"&gt;0")&gt;0,COUNTIFS(approvals!$H$2:$H$251,$A24,approvals!$B$2:$B$251,$B24,approvals!$P$2:$P$251,"Y",approvals!$U$2:$U$251,"&gt;0")&lt;N($Z24)),"info: "&amp;(N($Z24)-COUNTIFS(approvals!$H$2:$H$251,$A24,approvals!$B$2:$B$251,$B24,approvals!$P$2:$P$251,"Y",approvals!$U$2:$U$251,"&gt;0"))&amp;" brand(s) turned away at the door, the rest delivered; ","")&amp;IF(AND($AB24="Y",IFERROR(IF(INDEX(drops!$C$2:$C$21,MATCH($A24,drops!$A$2:$A$21,0))="","",INDEX(drops!$C$2:$C$21,MATCH($A24,drops!$A$2:$A$21,0))),"")="direct-ship"),"info: first drop: visit in person on T; ","")&amp;IF(AND($U24="front desk",$X24&lt;&gt;"Y"),"info: front desk not agreed: the owner must take it; ",""))</f>
        <v/>
      </c>
    </row>
    <row r="25">
      <c r="D25" s="33" t="n"/>
      <c r="E25" s="9" t="n"/>
      <c r="F25" s="9" t="n"/>
      <c r="G25" s="9" t="n"/>
      <c r="I25" s="33" t="n"/>
      <c r="J25" s="33" t="n"/>
      <c r="N25" s="9" t="n"/>
      <c r="P25" s="26">
        <f>IF($A25="","",IF(IFERROR(IF(INDEX(drops!$I$2:$I$21,MATCH($A25,drops!$A$2:$A$21,0))="","",INDEX(drops!$I$2:$I$21,MATCH($A25,drops!$A$2:$A$21,0))),"")="OK",IFERROR(IF(INDEX(drops!$B$2:$B$21,MATCH($A25,drops!$A$2:$A$21,0))="","",INDEX(drops!$B$2:$B$21,MATCH($A25,drops!$A$2:$A$21,0))),""),""))</f>
        <v/>
      </c>
      <c r="Q25" s="25">
        <f>IF($B25="","",IFERROR(IF(INDEX(offices!$N$2:$N$61,MATCH($B25,offices!$A$2:$A$61,0))="","",INDEX(offices!$N$2:$N$61,MATCH($B25,offices!$A$2:$A$61,0))),""))</f>
        <v/>
      </c>
      <c r="R25" s="25">
        <f>IF($B25="","",IFERROR(IF(INDEX(offices!$O$2:$O$61,MATCH($B25,offices!$A$2:$A$61,0))="","",INDEX(offices!$O$2:$O$61,MATCH($B25,offices!$A$2:$A$61,0))),""))</f>
        <v/>
      </c>
      <c r="S25" s="25">
        <f>IF($B25="","",IFERROR(IF(INDEX(offices!$P$2:$P$61,MATCH($B25,offices!$A$2:$A$61,0))="","",INDEX(offices!$P$2:$P$61,MATCH($B25,offices!$A$2:$A$61,0))),""))</f>
        <v/>
      </c>
      <c r="T25" s="25">
        <f>IF($B25="","",IFERROR(IF(INDEX(offices!$Y$2:$Y$61,MATCH($B25,offices!$A$2:$A$61,0))="","",INDEX(offices!$Y$2:$Y$61,MATCH($B25,offices!$A$2:$A$61,0))),""))</f>
        <v/>
      </c>
      <c r="U25" s="25">
        <f>IF($B25="","",IFERROR(IF(INDEX(offices!$X$2:$X$61,MATCH($B25,offices!$A$2:$A$61,0))="","",INDEX(offices!$X$2:$X$61,MATCH($B25,offices!$A$2:$A$61,0))),""))</f>
        <v/>
      </c>
      <c r="V25" s="25">
        <f>IF($B25="","",IFERROR(IF(INDEX(offices!$U$2:$U$61,MATCH($B25,offices!$A$2:$A$61,0))="","",INDEX(offices!$U$2:$U$61,MATCH($B25,offices!$A$2:$A$61,0))),""))</f>
        <v/>
      </c>
      <c r="W25" s="25">
        <f>IF($B25="","",IFERROR(IF(INDEX(offices!$AI$2:$AI$61,MATCH($B25,offices!$A$2:$A$61,0))="","",INDEX(offices!$AI$2:$AI$61,MATCH($B25,offices!$A$2:$A$61,0))),""))</f>
        <v/>
      </c>
      <c r="X25" s="25">
        <f>IF($B25="","",IFERROR(IF(INDEX(offices!$G$2:$G$61,MATCH($B25,offices!$A$2:$A$61,0))="","",INDEX(offices!$G$2:$G$61,MATCH($B25,offices!$A$2:$A$61,0))),""))</f>
        <v/>
      </c>
      <c r="Y25" s="25">
        <f>IF($B25="","",IFERROR(IF(INDEX(offices!$I$2:$I$61,MATCH($B25,offices!$A$2:$A$61,0))="","",INDEX(offices!$I$2:$I$61,MATCH($B25,offices!$A$2:$A$61,0))),""))</f>
        <v/>
      </c>
      <c r="Z25" s="25">
        <f>IF($A25="","",COUNTIFS(approvals!$H$2:$H$251,$A25,approvals!$B$2:$B$251,$B25,approvals!$P$2:$P$251,"Y"))</f>
        <v/>
      </c>
      <c r="AA25" s="25">
        <f>IF($A25="","",SUMIFS(approvals!$S$2:$S$251,approvals!$H$2:$H$251,$A25,approvals!$B$2:$B$251,$B25,approvals!$P$2:$P$251,"Y"))</f>
        <v/>
      </c>
      <c r="AB25" s="25">
        <f>IF(OR($A25="",$P25=""),"",IF(COUNTIFS(stops!$B$2:$B$151,$B25,stops!$P$2:$P$151,"&lt;"&amp;$P25,stops!$L$2:$L$151,"&lt;&gt;not_delivered")=0,"Y","N"))</f>
        <v/>
      </c>
      <c r="AC25" s="25">
        <f>IF(OR($I25="",$J25=""),"",ROUND(($J25-$I25)*1440,0))</f>
        <v/>
      </c>
      <c r="AD25" s="25">
        <f>IF($A25="","",IF(COUNTIFS(stops!$A$2:$A$151,$A25,stops!$B$2:$B$151,$B25)&gt;1,"DUPLICATE stop; ","")&amp;IF(AND(OR(IFERROR(IF(INDEX(offices!$Z$2:$Z$61,MATCH($B25,offices!$A$2:$A$61,0))="","",INDEX(offices!$Z$2:$Z$61,MATCH($B25,offices!$A$2:$A$61,0))),"")="yes",IFERROR(IF(INDEX(offices!$Z$2:$Z$61,MATCH($B25,offices!$A$2:$A$61,0))="","",INDEX(offices!$Z$2:$Z$61,MATCH($B25,offices!$A$2:$A$61,0))),"")="unsure"),$Y25&lt;&gt;"received",$Y25&lt;&gt;"not_needed"),"building certificate not received; ","")&amp;IF($W25="","owner phone missing; ","")&amp;IF(N($Z25)=0,"no approved brand for this stop; ","")&amp;IF(AND($P25&lt;&gt;"",IF(config!$B$37&lt;&gt;"",config!$B$37,TODAY())&gt;$P25,$L25=""),"log the outcome; ","")&amp;IF(AND(OR($L25="declined",$L25="building_refused",$L25="not_delivered"),N($Z25)&gt;0,COUNTIFS(approvals!$H$2:$H$251,$A25,approvals!$B$2:$B$251,$B25,approvals!$P$2:$P$251,"Y",approvals!$U$2:$U$251,"&gt;0")&gt;=N($Z25)),"outcome says "&amp;$L25&amp;" but every brand here is logged delivered: fix the outcome, or delete the wrong delivered rows (SOP section 4); ","")&amp;IF(AND(OR($L25="declined",$L25="building_refused",$L25="not_delivered"),COUNTIFS(approvals!$H$2:$H$251,$A25,approvals!$B$2:$B$251,$B25,approvals!$P$2:$P$251,"Y",approvals!$U$2:$U$251,"&gt;0")&gt;0,COUNTIFS(approvals!$H$2:$H$251,$A25,approvals!$B$2:$B$251,$B25,approvals!$P$2:$P$251,"Y",approvals!$U$2:$U$251,"&gt;0")&lt;N($Z25)),"info: "&amp;(N($Z25)-COUNTIFS(approvals!$H$2:$H$251,$A25,approvals!$B$2:$B$251,$B25,approvals!$P$2:$P$251,"Y",approvals!$U$2:$U$251,"&gt;0"))&amp;" brand(s) turned away at the door, the rest delivered; ","")&amp;IF(AND($AB25="Y",IFERROR(IF(INDEX(drops!$C$2:$C$21,MATCH($A25,drops!$A$2:$A$21,0))="","",INDEX(drops!$C$2:$C$21,MATCH($A25,drops!$A$2:$A$21,0))),"")="direct-ship"),"info: first drop: visit in person on T; ","")&amp;IF(AND($U25="front desk",$X25&lt;&gt;"Y"),"info: front desk not agreed: the owner must take it; ",""))</f>
        <v/>
      </c>
    </row>
    <row r="26">
      <c r="D26" s="33" t="n"/>
      <c r="E26" s="9" t="n"/>
      <c r="F26" s="9" t="n"/>
      <c r="G26" s="9" t="n"/>
      <c r="I26" s="33" t="n"/>
      <c r="J26" s="33" t="n"/>
      <c r="N26" s="9" t="n"/>
      <c r="P26" s="26">
        <f>IF($A26="","",IF(IFERROR(IF(INDEX(drops!$I$2:$I$21,MATCH($A26,drops!$A$2:$A$21,0))="","",INDEX(drops!$I$2:$I$21,MATCH($A26,drops!$A$2:$A$21,0))),"")="OK",IFERROR(IF(INDEX(drops!$B$2:$B$21,MATCH($A26,drops!$A$2:$A$21,0))="","",INDEX(drops!$B$2:$B$21,MATCH($A26,drops!$A$2:$A$21,0))),""),""))</f>
        <v/>
      </c>
      <c r="Q26" s="25">
        <f>IF($B26="","",IFERROR(IF(INDEX(offices!$N$2:$N$61,MATCH($B26,offices!$A$2:$A$61,0))="","",INDEX(offices!$N$2:$N$61,MATCH($B26,offices!$A$2:$A$61,0))),""))</f>
        <v/>
      </c>
      <c r="R26" s="25">
        <f>IF($B26="","",IFERROR(IF(INDEX(offices!$O$2:$O$61,MATCH($B26,offices!$A$2:$A$61,0))="","",INDEX(offices!$O$2:$O$61,MATCH($B26,offices!$A$2:$A$61,0))),""))</f>
        <v/>
      </c>
      <c r="S26" s="25">
        <f>IF($B26="","",IFERROR(IF(INDEX(offices!$P$2:$P$61,MATCH($B26,offices!$A$2:$A$61,0))="","",INDEX(offices!$P$2:$P$61,MATCH($B26,offices!$A$2:$A$61,0))),""))</f>
        <v/>
      </c>
      <c r="T26" s="25">
        <f>IF($B26="","",IFERROR(IF(INDEX(offices!$Y$2:$Y$61,MATCH($B26,offices!$A$2:$A$61,0))="","",INDEX(offices!$Y$2:$Y$61,MATCH($B26,offices!$A$2:$A$61,0))),""))</f>
        <v/>
      </c>
      <c r="U26" s="25">
        <f>IF($B26="","",IFERROR(IF(INDEX(offices!$X$2:$X$61,MATCH($B26,offices!$A$2:$A$61,0))="","",INDEX(offices!$X$2:$X$61,MATCH($B26,offices!$A$2:$A$61,0))),""))</f>
        <v/>
      </c>
      <c r="V26" s="25">
        <f>IF($B26="","",IFERROR(IF(INDEX(offices!$U$2:$U$61,MATCH($B26,offices!$A$2:$A$61,0))="","",INDEX(offices!$U$2:$U$61,MATCH($B26,offices!$A$2:$A$61,0))),""))</f>
        <v/>
      </c>
      <c r="W26" s="25">
        <f>IF($B26="","",IFERROR(IF(INDEX(offices!$AI$2:$AI$61,MATCH($B26,offices!$A$2:$A$61,0))="","",INDEX(offices!$AI$2:$AI$61,MATCH($B26,offices!$A$2:$A$61,0))),""))</f>
        <v/>
      </c>
      <c r="X26" s="25">
        <f>IF($B26="","",IFERROR(IF(INDEX(offices!$G$2:$G$61,MATCH($B26,offices!$A$2:$A$61,0))="","",INDEX(offices!$G$2:$G$61,MATCH($B26,offices!$A$2:$A$61,0))),""))</f>
        <v/>
      </c>
      <c r="Y26" s="25">
        <f>IF($B26="","",IFERROR(IF(INDEX(offices!$I$2:$I$61,MATCH($B26,offices!$A$2:$A$61,0))="","",INDEX(offices!$I$2:$I$61,MATCH($B26,offices!$A$2:$A$61,0))),""))</f>
        <v/>
      </c>
      <c r="Z26" s="25">
        <f>IF($A26="","",COUNTIFS(approvals!$H$2:$H$251,$A26,approvals!$B$2:$B$251,$B26,approvals!$P$2:$P$251,"Y"))</f>
        <v/>
      </c>
      <c r="AA26" s="25">
        <f>IF($A26="","",SUMIFS(approvals!$S$2:$S$251,approvals!$H$2:$H$251,$A26,approvals!$B$2:$B$251,$B26,approvals!$P$2:$P$251,"Y"))</f>
        <v/>
      </c>
      <c r="AB26" s="25">
        <f>IF(OR($A26="",$P26=""),"",IF(COUNTIFS(stops!$B$2:$B$151,$B26,stops!$P$2:$P$151,"&lt;"&amp;$P26,stops!$L$2:$L$151,"&lt;&gt;not_delivered")=0,"Y","N"))</f>
        <v/>
      </c>
      <c r="AC26" s="25">
        <f>IF(OR($I26="",$J26=""),"",ROUND(($J26-$I26)*1440,0))</f>
        <v/>
      </c>
      <c r="AD26" s="25">
        <f>IF($A26="","",IF(COUNTIFS(stops!$A$2:$A$151,$A26,stops!$B$2:$B$151,$B26)&gt;1,"DUPLICATE stop; ","")&amp;IF(AND(OR(IFERROR(IF(INDEX(offices!$Z$2:$Z$61,MATCH($B26,offices!$A$2:$A$61,0))="","",INDEX(offices!$Z$2:$Z$61,MATCH($B26,offices!$A$2:$A$61,0))),"")="yes",IFERROR(IF(INDEX(offices!$Z$2:$Z$61,MATCH($B26,offices!$A$2:$A$61,0))="","",INDEX(offices!$Z$2:$Z$61,MATCH($B26,offices!$A$2:$A$61,0))),"")="unsure"),$Y26&lt;&gt;"received",$Y26&lt;&gt;"not_needed"),"building certificate not received; ","")&amp;IF($W26="","owner phone missing; ","")&amp;IF(N($Z26)=0,"no approved brand for this stop; ","")&amp;IF(AND($P26&lt;&gt;"",IF(config!$B$37&lt;&gt;"",config!$B$37,TODAY())&gt;$P26,$L26=""),"log the outcome; ","")&amp;IF(AND(OR($L26="declined",$L26="building_refused",$L26="not_delivered"),N($Z26)&gt;0,COUNTIFS(approvals!$H$2:$H$251,$A26,approvals!$B$2:$B$251,$B26,approvals!$P$2:$P$251,"Y",approvals!$U$2:$U$251,"&gt;0")&gt;=N($Z26)),"outcome says "&amp;$L26&amp;" but every brand here is logged delivered: fix the outcome, or delete the wrong delivered rows (SOP section 4); ","")&amp;IF(AND(OR($L26="declined",$L26="building_refused",$L26="not_delivered"),COUNTIFS(approvals!$H$2:$H$251,$A26,approvals!$B$2:$B$251,$B26,approvals!$P$2:$P$251,"Y",approvals!$U$2:$U$251,"&gt;0")&gt;0,COUNTIFS(approvals!$H$2:$H$251,$A26,approvals!$B$2:$B$251,$B26,approvals!$P$2:$P$251,"Y",approvals!$U$2:$U$251,"&gt;0")&lt;N($Z26)),"info: "&amp;(N($Z26)-COUNTIFS(approvals!$H$2:$H$251,$A26,approvals!$B$2:$B$251,$B26,approvals!$P$2:$P$251,"Y",approvals!$U$2:$U$251,"&gt;0"))&amp;" brand(s) turned away at the door, the rest delivered; ","")&amp;IF(AND($AB26="Y",IFERROR(IF(INDEX(drops!$C$2:$C$21,MATCH($A26,drops!$A$2:$A$21,0))="","",INDEX(drops!$C$2:$C$21,MATCH($A26,drops!$A$2:$A$21,0))),"")="direct-ship"),"info: first drop: visit in person on T; ","")&amp;IF(AND($U26="front desk",$X26&lt;&gt;"Y"),"info: front desk not agreed: the owner must take it; ",""))</f>
        <v/>
      </c>
    </row>
    <row r="27">
      <c r="D27" s="33" t="n"/>
      <c r="E27" s="9" t="n"/>
      <c r="F27" s="9" t="n"/>
      <c r="G27" s="9" t="n"/>
      <c r="I27" s="33" t="n"/>
      <c r="J27" s="33" t="n"/>
      <c r="N27" s="9" t="n"/>
      <c r="P27" s="26">
        <f>IF($A27="","",IF(IFERROR(IF(INDEX(drops!$I$2:$I$21,MATCH($A27,drops!$A$2:$A$21,0))="","",INDEX(drops!$I$2:$I$21,MATCH($A27,drops!$A$2:$A$21,0))),"")="OK",IFERROR(IF(INDEX(drops!$B$2:$B$21,MATCH($A27,drops!$A$2:$A$21,0))="","",INDEX(drops!$B$2:$B$21,MATCH($A27,drops!$A$2:$A$21,0))),""),""))</f>
        <v/>
      </c>
      <c r="Q27" s="25">
        <f>IF($B27="","",IFERROR(IF(INDEX(offices!$N$2:$N$61,MATCH($B27,offices!$A$2:$A$61,0))="","",INDEX(offices!$N$2:$N$61,MATCH($B27,offices!$A$2:$A$61,0))),""))</f>
        <v/>
      </c>
      <c r="R27" s="25">
        <f>IF($B27="","",IFERROR(IF(INDEX(offices!$O$2:$O$61,MATCH($B27,offices!$A$2:$A$61,0))="","",INDEX(offices!$O$2:$O$61,MATCH($B27,offices!$A$2:$A$61,0))),""))</f>
        <v/>
      </c>
      <c r="S27" s="25">
        <f>IF($B27="","",IFERROR(IF(INDEX(offices!$P$2:$P$61,MATCH($B27,offices!$A$2:$A$61,0))="","",INDEX(offices!$P$2:$P$61,MATCH($B27,offices!$A$2:$A$61,0))),""))</f>
        <v/>
      </c>
      <c r="T27" s="25">
        <f>IF($B27="","",IFERROR(IF(INDEX(offices!$Y$2:$Y$61,MATCH($B27,offices!$A$2:$A$61,0))="","",INDEX(offices!$Y$2:$Y$61,MATCH($B27,offices!$A$2:$A$61,0))),""))</f>
        <v/>
      </c>
      <c r="U27" s="25">
        <f>IF($B27="","",IFERROR(IF(INDEX(offices!$X$2:$X$61,MATCH($B27,offices!$A$2:$A$61,0))="","",INDEX(offices!$X$2:$X$61,MATCH($B27,offices!$A$2:$A$61,0))),""))</f>
        <v/>
      </c>
      <c r="V27" s="25">
        <f>IF($B27="","",IFERROR(IF(INDEX(offices!$U$2:$U$61,MATCH($B27,offices!$A$2:$A$61,0))="","",INDEX(offices!$U$2:$U$61,MATCH($B27,offices!$A$2:$A$61,0))),""))</f>
        <v/>
      </c>
      <c r="W27" s="25">
        <f>IF($B27="","",IFERROR(IF(INDEX(offices!$AI$2:$AI$61,MATCH($B27,offices!$A$2:$A$61,0))="","",INDEX(offices!$AI$2:$AI$61,MATCH($B27,offices!$A$2:$A$61,0))),""))</f>
        <v/>
      </c>
      <c r="X27" s="25">
        <f>IF($B27="","",IFERROR(IF(INDEX(offices!$G$2:$G$61,MATCH($B27,offices!$A$2:$A$61,0))="","",INDEX(offices!$G$2:$G$61,MATCH($B27,offices!$A$2:$A$61,0))),""))</f>
        <v/>
      </c>
      <c r="Y27" s="25">
        <f>IF($B27="","",IFERROR(IF(INDEX(offices!$I$2:$I$61,MATCH($B27,offices!$A$2:$A$61,0))="","",INDEX(offices!$I$2:$I$61,MATCH($B27,offices!$A$2:$A$61,0))),""))</f>
        <v/>
      </c>
      <c r="Z27" s="25">
        <f>IF($A27="","",COUNTIFS(approvals!$H$2:$H$251,$A27,approvals!$B$2:$B$251,$B27,approvals!$P$2:$P$251,"Y"))</f>
        <v/>
      </c>
      <c r="AA27" s="25">
        <f>IF($A27="","",SUMIFS(approvals!$S$2:$S$251,approvals!$H$2:$H$251,$A27,approvals!$B$2:$B$251,$B27,approvals!$P$2:$P$251,"Y"))</f>
        <v/>
      </c>
      <c r="AB27" s="25">
        <f>IF(OR($A27="",$P27=""),"",IF(COUNTIFS(stops!$B$2:$B$151,$B27,stops!$P$2:$P$151,"&lt;"&amp;$P27,stops!$L$2:$L$151,"&lt;&gt;not_delivered")=0,"Y","N"))</f>
        <v/>
      </c>
      <c r="AC27" s="25">
        <f>IF(OR($I27="",$J27=""),"",ROUND(($J27-$I27)*1440,0))</f>
        <v/>
      </c>
      <c r="AD27" s="25">
        <f>IF($A27="","",IF(COUNTIFS(stops!$A$2:$A$151,$A27,stops!$B$2:$B$151,$B27)&gt;1,"DUPLICATE stop; ","")&amp;IF(AND(OR(IFERROR(IF(INDEX(offices!$Z$2:$Z$61,MATCH($B27,offices!$A$2:$A$61,0))="","",INDEX(offices!$Z$2:$Z$61,MATCH($B27,offices!$A$2:$A$61,0))),"")="yes",IFERROR(IF(INDEX(offices!$Z$2:$Z$61,MATCH($B27,offices!$A$2:$A$61,0))="","",INDEX(offices!$Z$2:$Z$61,MATCH($B27,offices!$A$2:$A$61,0))),"")="unsure"),$Y27&lt;&gt;"received",$Y27&lt;&gt;"not_needed"),"building certificate not received; ","")&amp;IF($W27="","owner phone missing; ","")&amp;IF(N($Z27)=0,"no approved brand for this stop; ","")&amp;IF(AND($P27&lt;&gt;"",IF(config!$B$37&lt;&gt;"",config!$B$37,TODAY())&gt;$P27,$L27=""),"log the outcome; ","")&amp;IF(AND(OR($L27="declined",$L27="building_refused",$L27="not_delivered"),N($Z27)&gt;0,COUNTIFS(approvals!$H$2:$H$251,$A27,approvals!$B$2:$B$251,$B27,approvals!$P$2:$P$251,"Y",approvals!$U$2:$U$251,"&gt;0")&gt;=N($Z27)),"outcome says "&amp;$L27&amp;" but every brand here is logged delivered: fix the outcome, or delete the wrong delivered rows (SOP section 4); ","")&amp;IF(AND(OR($L27="declined",$L27="building_refused",$L27="not_delivered"),COUNTIFS(approvals!$H$2:$H$251,$A27,approvals!$B$2:$B$251,$B27,approvals!$P$2:$P$251,"Y",approvals!$U$2:$U$251,"&gt;0")&gt;0,COUNTIFS(approvals!$H$2:$H$251,$A27,approvals!$B$2:$B$251,$B27,approvals!$P$2:$P$251,"Y",approvals!$U$2:$U$251,"&gt;0")&lt;N($Z27)),"info: "&amp;(N($Z27)-COUNTIFS(approvals!$H$2:$H$251,$A27,approvals!$B$2:$B$251,$B27,approvals!$P$2:$P$251,"Y",approvals!$U$2:$U$251,"&gt;0"))&amp;" brand(s) turned away at the door, the rest delivered; ","")&amp;IF(AND($AB27="Y",IFERROR(IF(INDEX(drops!$C$2:$C$21,MATCH($A27,drops!$A$2:$A$21,0))="","",INDEX(drops!$C$2:$C$21,MATCH($A27,drops!$A$2:$A$21,0))),"")="direct-ship"),"info: first drop: visit in person on T; ","")&amp;IF(AND($U27="front desk",$X27&lt;&gt;"Y"),"info: front desk not agreed: the owner must take it; ",""))</f>
        <v/>
      </c>
    </row>
    <row r="28">
      <c r="D28" s="33" t="n"/>
      <c r="E28" s="9" t="n"/>
      <c r="F28" s="9" t="n"/>
      <c r="G28" s="9" t="n"/>
      <c r="I28" s="33" t="n"/>
      <c r="J28" s="33" t="n"/>
      <c r="N28" s="9" t="n"/>
      <c r="P28" s="26">
        <f>IF($A28="","",IF(IFERROR(IF(INDEX(drops!$I$2:$I$21,MATCH($A28,drops!$A$2:$A$21,0))="","",INDEX(drops!$I$2:$I$21,MATCH($A28,drops!$A$2:$A$21,0))),"")="OK",IFERROR(IF(INDEX(drops!$B$2:$B$21,MATCH($A28,drops!$A$2:$A$21,0))="","",INDEX(drops!$B$2:$B$21,MATCH($A28,drops!$A$2:$A$21,0))),""),""))</f>
        <v/>
      </c>
      <c r="Q28" s="25">
        <f>IF($B28="","",IFERROR(IF(INDEX(offices!$N$2:$N$61,MATCH($B28,offices!$A$2:$A$61,0))="","",INDEX(offices!$N$2:$N$61,MATCH($B28,offices!$A$2:$A$61,0))),""))</f>
        <v/>
      </c>
      <c r="R28" s="25">
        <f>IF($B28="","",IFERROR(IF(INDEX(offices!$O$2:$O$61,MATCH($B28,offices!$A$2:$A$61,0))="","",INDEX(offices!$O$2:$O$61,MATCH($B28,offices!$A$2:$A$61,0))),""))</f>
        <v/>
      </c>
      <c r="S28" s="25">
        <f>IF($B28="","",IFERROR(IF(INDEX(offices!$P$2:$P$61,MATCH($B28,offices!$A$2:$A$61,0))="","",INDEX(offices!$P$2:$P$61,MATCH($B28,offices!$A$2:$A$61,0))),""))</f>
        <v/>
      </c>
      <c r="T28" s="25">
        <f>IF($B28="","",IFERROR(IF(INDEX(offices!$Y$2:$Y$61,MATCH($B28,offices!$A$2:$A$61,0))="","",INDEX(offices!$Y$2:$Y$61,MATCH($B28,offices!$A$2:$A$61,0))),""))</f>
        <v/>
      </c>
      <c r="U28" s="25">
        <f>IF($B28="","",IFERROR(IF(INDEX(offices!$X$2:$X$61,MATCH($B28,offices!$A$2:$A$61,0))="","",INDEX(offices!$X$2:$X$61,MATCH($B28,offices!$A$2:$A$61,0))),""))</f>
        <v/>
      </c>
      <c r="V28" s="25">
        <f>IF($B28="","",IFERROR(IF(INDEX(offices!$U$2:$U$61,MATCH($B28,offices!$A$2:$A$61,0))="","",INDEX(offices!$U$2:$U$61,MATCH($B28,offices!$A$2:$A$61,0))),""))</f>
        <v/>
      </c>
      <c r="W28" s="25">
        <f>IF($B28="","",IFERROR(IF(INDEX(offices!$AI$2:$AI$61,MATCH($B28,offices!$A$2:$A$61,0))="","",INDEX(offices!$AI$2:$AI$61,MATCH($B28,offices!$A$2:$A$61,0))),""))</f>
        <v/>
      </c>
      <c r="X28" s="25">
        <f>IF($B28="","",IFERROR(IF(INDEX(offices!$G$2:$G$61,MATCH($B28,offices!$A$2:$A$61,0))="","",INDEX(offices!$G$2:$G$61,MATCH($B28,offices!$A$2:$A$61,0))),""))</f>
        <v/>
      </c>
      <c r="Y28" s="25">
        <f>IF($B28="","",IFERROR(IF(INDEX(offices!$I$2:$I$61,MATCH($B28,offices!$A$2:$A$61,0))="","",INDEX(offices!$I$2:$I$61,MATCH($B28,offices!$A$2:$A$61,0))),""))</f>
        <v/>
      </c>
      <c r="Z28" s="25">
        <f>IF($A28="","",COUNTIFS(approvals!$H$2:$H$251,$A28,approvals!$B$2:$B$251,$B28,approvals!$P$2:$P$251,"Y"))</f>
        <v/>
      </c>
      <c r="AA28" s="25">
        <f>IF($A28="","",SUMIFS(approvals!$S$2:$S$251,approvals!$H$2:$H$251,$A28,approvals!$B$2:$B$251,$B28,approvals!$P$2:$P$251,"Y"))</f>
        <v/>
      </c>
      <c r="AB28" s="25">
        <f>IF(OR($A28="",$P28=""),"",IF(COUNTIFS(stops!$B$2:$B$151,$B28,stops!$P$2:$P$151,"&lt;"&amp;$P28,stops!$L$2:$L$151,"&lt;&gt;not_delivered")=0,"Y","N"))</f>
        <v/>
      </c>
      <c r="AC28" s="25">
        <f>IF(OR($I28="",$J28=""),"",ROUND(($J28-$I28)*1440,0))</f>
        <v/>
      </c>
      <c r="AD28" s="25">
        <f>IF($A28="","",IF(COUNTIFS(stops!$A$2:$A$151,$A28,stops!$B$2:$B$151,$B28)&gt;1,"DUPLICATE stop; ","")&amp;IF(AND(OR(IFERROR(IF(INDEX(offices!$Z$2:$Z$61,MATCH($B28,offices!$A$2:$A$61,0))="","",INDEX(offices!$Z$2:$Z$61,MATCH($B28,offices!$A$2:$A$61,0))),"")="yes",IFERROR(IF(INDEX(offices!$Z$2:$Z$61,MATCH($B28,offices!$A$2:$A$61,0))="","",INDEX(offices!$Z$2:$Z$61,MATCH($B28,offices!$A$2:$A$61,0))),"")="unsure"),$Y28&lt;&gt;"received",$Y28&lt;&gt;"not_needed"),"building certificate not received; ","")&amp;IF($W28="","owner phone missing; ","")&amp;IF(N($Z28)=0,"no approved brand for this stop; ","")&amp;IF(AND($P28&lt;&gt;"",IF(config!$B$37&lt;&gt;"",config!$B$37,TODAY())&gt;$P28,$L28=""),"log the outcome; ","")&amp;IF(AND(OR($L28="declined",$L28="building_refused",$L28="not_delivered"),N($Z28)&gt;0,COUNTIFS(approvals!$H$2:$H$251,$A28,approvals!$B$2:$B$251,$B28,approvals!$P$2:$P$251,"Y",approvals!$U$2:$U$251,"&gt;0")&gt;=N($Z28)),"outcome says "&amp;$L28&amp;" but every brand here is logged delivered: fix the outcome, or delete the wrong delivered rows (SOP section 4); ","")&amp;IF(AND(OR($L28="declined",$L28="building_refused",$L28="not_delivered"),COUNTIFS(approvals!$H$2:$H$251,$A28,approvals!$B$2:$B$251,$B28,approvals!$P$2:$P$251,"Y",approvals!$U$2:$U$251,"&gt;0")&gt;0,COUNTIFS(approvals!$H$2:$H$251,$A28,approvals!$B$2:$B$251,$B28,approvals!$P$2:$P$251,"Y",approvals!$U$2:$U$251,"&gt;0")&lt;N($Z28)),"info: "&amp;(N($Z28)-COUNTIFS(approvals!$H$2:$H$251,$A28,approvals!$B$2:$B$251,$B28,approvals!$P$2:$P$251,"Y",approvals!$U$2:$U$251,"&gt;0"))&amp;" brand(s) turned away at the door, the rest delivered; ","")&amp;IF(AND($AB28="Y",IFERROR(IF(INDEX(drops!$C$2:$C$21,MATCH($A28,drops!$A$2:$A$21,0))="","",INDEX(drops!$C$2:$C$21,MATCH($A28,drops!$A$2:$A$21,0))),"")="direct-ship"),"info: first drop: visit in person on T; ","")&amp;IF(AND($U28="front desk",$X28&lt;&gt;"Y"),"info: front desk not agreed: the owner must take it; ",""))</f>
        <v/>
      </c>
    </row>
    <row r="29">
      <c r="D29" s="33" t="n"/>
      <c r="E29" s="9" t="n"/>
      <c r="F29" s="9" t="n"/>
      <c r="G29" s="9" t="n"/>
      <c r="I29" s="33" t="n"/>
      <c r="J29" s="33" t="n"/>
      <c r="N29" s="9" t="n"/>
      <c r="P29" s="26">
        <f>IF($A29="","",IF(IFERROR(IF(INDEX(drops!$I$2:$I$21,MATCH($A29,drops!$A$2:$A$21,0))="","",INDEX(drops!$I$2:$I$21,MATCH($A29,drops!$A$2:$A$21,0))),"")="OK",IFERROR(IF(INDEX(drops!$B$2:$B$21,MATCH($A29,drops!$A$2:$A$21,0))="","",INDEX(drops!$B$2:$B$21,MATCH($A29,drops!$A$2:$A$21,0))),""),""))</f>
        <v/>
      </c>
      <c r="Q29" s="25">
        <f>IF($B29="","",IFERROR(IF(INDEX(offices!$N$2:$N$61,MATCH($B29,offices!$A$2:$A$61,0))="","",INDEX(offices!$N$2:$N$61,MATCH($B29,offices!$A$2:$A$61,0))),""))</f>
        <v/>
      </c>
      <c r="R29" s="25">
        <f>IF($B29="","",IFERROR(IF(INDEX(offices!$O$2:$O$61,MATCH($B29,offices!$A$2:$A$61,0))="","",INDEX(offices!$O$2:$O$61,MATCH($B29,offices!$A$2:$A$61,0))),""))</f>
        <v/>
      </c>
      <c r="S29" s="25">
        <f>IF($B29="","",IFERROR(IF(INDEX(offices!$P$2:$P$61,MATCH($B29,offices!$A$2:$A$61,0))="","",INDEX(offices!$P$2:$P$61,MATCH($B29,offices!$A$2:$A$61,0))),""))</f>
        <v/>
      </c>
      <c r="T29" s="25">
        <f>IF($B29="","",IFERROR(IF(INDEX(offices!$Y$2:$Y$61,MATCH($B29,offices!$A$2:$A$61,0))="","",INDEX(offices!$Y$2:$Y$61,MATCH($B29,offices!$A$2:$A$61,0))),""))</f>
        <v/>
      </c>
      <c r="U29" s="25">
        <f>IF($B29="","",IFERROR(IF(INDEX(offices!$X$2:$X$61,MATCH($B29,offices!$A$2:$A$61,0))="","",INDEX(offices!$X$2:$X$61,MATCH($B29,offices!$A$2:$A$61,0))),""))</f>
        <v/>
      </c>
      <c r="V29" s="25">
        <f>IF($B29="","",IFERROR(IF(INDEX(offices!$U$2:$U$61,MATCH($B29,offices!$A$2:$A$61,0))="","",INDEX(offices!$U$2:$U$61,MATCH($B29,offices!$A$2:$A$61,0))),""))</f>
        <v/>
      </c>
      <c r="W29" s="25">
        <f>IF($B29="","",IFERROR(IF(INDEX(offices!$AI$2:$AI$61,MATCH($B29,offices!$A$2:$A$61,0))="","",INDEX(offices!$AI$2:$AI$61,MATCH($B29,offices!$A$2:$A$61,0))),""))</f>
        <v/>
      </c>
      <c r="X29" s="25">
        <f>IF($B29="","",IFERROR(IF(INDEX(offices!$G$2:$G$61,MATCH($B29,offices!$A$2:$A$61,0))="","",INDEX(offices!$G$2:$G$61,MATCH($B29,offices!$A$2:$A$61,0))),""))</f>
        <v/>
      </c>
      <c r="Y29" s="25">
        <f>IF($B29="","",IFERROR(IF(INDEX(offices!$I$2:$I$61,MATCH($B29,offices!$A$2:$A$61,0))="","",INDEX(offices!$I$2:$I$61,MATCH($B29,offices!$A$2:$A$61,0))),""))</f>
        <v/>
      </c>
      <c r="Z29" s="25">
        <f>IF($A29="","",COUNTIFS(approvals!$H$2:$H$251,$A29,approvals!$B$2:$B$251,$B29,approvals!$P$2:$P$251,"Y"))</f>
        <v/>
      </c>
      <c r="AA29" s="25">
        <f>IF($A29="","",SUMIFS(approvals!$S$2:$S$251,approvals!$H$2:$H$251,$A29,approvals!$B$2:$B$251,$B29,approvals!$P$2:$P$251,"Y"))</f>
        <v/>
      </c>
      <c r="AB29" s="25">
        <f>IF(OR($A29="",$P29=""),"",IF(COUNTIFS(stops!$B$2:$B$151,$B29,stops!$P$2:$P$151,"&lt;"&amp;$P29,stops!$L$2:$L$151,"&lt;&gt;not_delivered")=0,"Y","N"))</f>
        <v/>
      </c>
      <c r="AC29" s="25">
        <f>IF(OR($I29="",$J29=""),"",ROUND(($J29-$I29)*1440,0))</f>
        <v/>
      </c>
      <c r="AD29" s="25">
        <f>IF($A29="","",IF(COUNTIFS(stops!$A$2:$A$151,$A29,stops!$B$2:$B$151,$B29)&gt;1,"DUPLICATE stop; ","")&amp;IF(AND(OR(IFERROR(IF(INDEX(offices!$Z$2:$Z$61,MATCH($B29,offices!$A$2:$A$61,0))="","",INDEX(offices!$Z$2:$Z$61,MATCH($B29,offices!$A$2:$A$61,0))),"")="yes",IFERROR(IF(INDEX(offices!$Z$2:$Z$61,MATCH($B29,offices!$A$2:$A$61,0))="","",INDEX(offices!$Z$2:$Z$61,MATCH($B29,offices!$A$2:$A$61,0))),"")="unsure"),$Y29&lt;&gt;"received",$Y29&lt;&gt;"not_needed"),"building certificate not received; ","")&amp;IF($W29="","owner phone missing; ","")&amp;IF(N($Z29)=0,"no approved brand for this stop; ","")&amp;IF(AND($P29&lt;&gt;"",IF(config!$B$37&lt;&gt;"",config!$B$37,TODAY())&gt;$P29,$L29=""),"log the outcome; ","")&amp;IF(AND(OR($L29="declined",$L29="building_refused",$L29="not_delivered"),N($Z29)&gt;0,COUNTIFS(approvals!$H$2:$H$251,$A29,approvals!$B$2:$B$251,$B29,approvals!$P$2:$P$251,"Y",approvals!$U$2:$U$251,"&gt;0")&gt;=N($Z29)),"outcome says "&amp;$L29&amp;" but every brand here is logged delivered: fix the outcome, or delete the wrong delivered rows (SOP section 4); ","")&amp;IF(AND(OR($L29="declined",$L29="building_refused",$L29="not_delivered"),COUNTIFS(approvals!$H$2:$H$251,$A29,approvals!$B$2:$B$251,$B29,approvals!$P$2:$P$251,"Y",approvals!$U$2:$U$251,"&gt;0")&gt;0,COUNTIFS(approvals!$H$2:$H$251,$A29,approvals!$B$2:$B$251,$B29,approvals!$P$2:$P$251,"Y",approvals!$U$2:$U$251,"&gt;0")&lt;N($Z29)),"info: "&amp;(N($Z29)-COUNTIFS(approvals!$H$2:$H$251,$A29,approvals!$B$2:$B$251,$B29,approvals!$P$2:$P$251,"Y",approvals!$U$2:$U$251,"&gt;0"))&amp;" brand(s) turned away at the door, the rest delivered; ","")&amp;IF(AND($AB29="Y",IFERROR(IF(INDEX(drops!$C$2:$C$21,MATCH($A29,drops!$A$2:$A$21,0))="","",INDEX(drops!$C$2:$C$21,MATCH($A29,drops!$A$2:$A$21,0))),"")="direct-ship"),"info: first drop: visit in person on T; ","")&amp;IF(AND($U29="front desk",$X29&lt;&gt;"Y"),"info: front desk not agreed: the owner must take it; ",""))</f>
        <v/>
      </c>
    </row>
    <row r="30">
      <c r="D30" s="33" t="n"/>
      <c r="E30" s="9" t="n"/>
      <c r="F30" s="9" t="n"/>
      <c r="G30" s="9" t="n"/>
      <c r="I30" s="33" t="n"/>
      <c r="J30" s="33" t="n"/>
      <c r="N30" s="9" t="n"/>
      <c r="P30" s="26">
        <f>IF($A30="","",IF(IFERROR(IF(INDEX(drops!$I$2:$I$21,MATCH($A30,drops!$A$2:$A$21,0))="","",INDEX(drops!$I$2:$I$21,MATCH($A30,drops!$A$2:$A$21,0))),"")="OK",IFERROR(IF(INDEX(drops!$B$2:$B$21,MATCH($A30,drops!$A$2:$A$21,0))="","",INDEX(drops!$B$2:$B$21,MATCH($A30,drops!$A$2:$A$21,0))),""),""))</f>
        <v/>
      </c>
      <c r="Q30" s="25">
        <f>IF($B30="","",IFERROR(IF(INDEX(offices!$N$2:$N$61,MATCH($B30,offices!$A$2:$A$61,0))="","",INDEX(offices!$N$2:$N$61,MATCH($B30,offices!$A$2:$A$61,0))),""))</f>
        <v/>
      </c>
      <c r="R30" s="25">
        <f>IF($B30="","",IFERROR(IF(INDEX(offices!$O$2:$O$61,MATCH($B30,offices!$A$2:$A$61,0))="","",INDEX(offices!$O$2:$O$61,MATCH($B30,offices!$A$2:$A$61,0))),""))</f>
        <v/>
      </c>
      <c r="S30" s="25">
        <f>IF($B30="","",IFERROR(IF(INDEX(offices!$P$2:$P$61,MATCH($B30,offices!$A$2:$A$61,0))="","",INDEX(offices!$P$2:$P$61,MATCH($B30,offices!$A$2:$A$61,0))),""))</f>
        <v/>
      </c>
      <c r="T30" s="25">
        <f>IF($B30="","",IFERROR(IF(INDEX(offices!$Y$2:$Y$61,MATCH($B30,offices!$A$2:$A$61,0))="","",INDEX(offices!$Y$2:$Y$61,MATCH($B30,offices!$A$2:$A$61,0))),""))</f>
        <v/>
      </c>
      <c r="U30" s="25">
        <f>IF($B30="","",IFERROR(IF(INDEX(offices!$X$2:$X$61,MATCH($B30,offices!$A$2:$A$61,0))="","",INDEX(offices!$X$2:$X$61,MATCH($B30,offices!$A$2:$A$61,0))),""))</f>
        <v/>
      </c>
      <c r="V30" s="25">
        <f>IF($B30="","",IFERROR(IF(INDEX(offices!$U$2:$U$61,MATCH($B30,offices!$A$2:$A$61,0))="","",INDEX(offices!$U$2:$U$61,MATCH($B30,offices!$A$2:$A$61,0))),""))</f>
        <v/>
      </c>
      <c r="W30" s="25">
        <f>IF($B30="","",IFERROR(IF(INDEX(offices!$AI$2:$AI$61,MATCH($B30,offices!$A$2:$A$61,0))="","",INDEX(offices!$AI$2:$AI$61,MATCH($B30,offices!$A$2:$A$61,0))),""))</f>
        <v/>
      </c>
      <c r="X30" s="25">
        <f>IF($B30="","",IFERROR(IF(INDEX(offices!$G$2:$G$61,MATCH($B30,offices!$A$2:$A$61,0))="","",INDEX(offices!$G$2:$G$61,MATCH($B30,offices!$A$2:$A$61,0))),""))</f>
        <v/>
      </c>
      <c r="Y30" s="25">
        <f>IF($B30="","",IFERROR(IF(INDEX(offices!$I$2:$I$61,MATCH($B30,offices!$A$2:$A$61,0))="","",INDEX(offices!$I$2:$I$61,MATCH($B30,offices!$A$2:$A$61,0))),""))</f>
        <v/>
      </c>
      <c r="Z30" s="25">
        <f>IF($A30="","",COUNTIFS(approvals!$H$2:$H$251,$A30,approvals!$B$2:$B$251,$B30,approvals!$P$2:$P$251,"Y"))</f>
        <v/>
      </c>
      <c r="AA30" s="25">
        <f>IF($A30="","",SUMIFS(approvals!$S$2:$S$251,approvals!$H$2:$H$251,$A30,approvals!$B$2:$B$251,$B30,approvals!$P$2:$P$251,"Y"))</f>
        <v/>
      </c>
      <c r="AB30" s="25">
        <f>IF(OR($A30="",$P30=""),"",IF(COUNTIFS(stops!$B$2:$B$151,$B30,stops!$P$2:$P$151,"&lt;"&amp;$P30,stops!$L$2:$L$151,"&lt;&gt;not_delivered")=0,"Y","N"))</f>
        <v/>
      </c>
      <c r="AC30" s="25">
        <f>IF(OR($I30="",$J30=""),"",ROUND(($J30-$I30)*1440,0))</f>
        <v/>
      </c>
      <c r="AD30" s="25">
        <f>IF($A30="","",IF(COUNTIFS(stops!$A$2:$A$151,$A30,stops!$B$2:$B$151,$B30)&gt;1,"DUPLICATE stop; ","")&amp;IF(AND(OR(IFERROR(IF(INDEX(offices!$Z$2:$Z$61,MATCH($B30,offices!$A$2:$A$61,0))="","",INDEX(offices!$Z$2:$Z$61,MATCH($B30,offices!$A$2:$A$61,0))),"")="yes",IFERROR(IF(INDEX(offices!$Z$2:$Z$61,MATCH($B30,offices!$A$2:$A$61,0))="","",INDEX(offices!$Z$2:$Z$61,MATCH($B30,offices!$A$2:$A$61,0))),"")="unsure"),$Y30&lt;&gt;"received",$Y30&lt;&gt;"not_needed"),"building certificate not received; ","")&amp;IF($W30="","owner phone missing; ","")&amp;IF(N($Z30)=0,"no approved brand for this stop; ","")&amp;IF(AND($P30&lt;&gt;"",IF(config!$B$37&lt;&gt;"",config!$B$37,TODAY())&gt;$P30,$L30=""),"log the outcome; ","")&amp;IF(AND(OR($L30="declined",$L30="building_refused",$L30="not_delivered"),N($Z30)&gt;0,COUNTIFS(approvals!$H$2:$H$251,$A30,approvals!$B$2:$B$251,$B30,approvals!$P$2:$P$251,"Y",approvals!$U$2:$U$251,"&gt;0")&gt;=N($Z30)),"outcome says "&amp;$L30&amp;" but every brand here is logged delivered: fix the outcome, or delete the wrong delivered rows (SOP section 4); ","")&amp;IF(AND(OR($L30="declined",$L30="building_refused",$L30="not_delivered"),COUNTIFS(approvals!$H$2:$H$251,$A30,approvals!$B$2:$B$251,$B30,approvals!$P$2:$P$251,"Y",approvals!$U$2:$U$251,"&gt;0")&gt;0,COUNTIFS(approvals!$H$2:$H$251,$A30,approvals!$B$2:$B$251,$B30,approvals!$P$2:$P$251,"Y",approvals!$U$2:$U$251,"&gt;0")&lt;N($Z30)),"info: "&amp;(N($Z30)-COUNTIFS(approvals!$H$2:$H$251,$A30,approvals!$B$2:$B$251,$B30,approvals!$P$2:$P$251,"Y",approvals!$U$2:$U$251,"&gt;0"))&amp;" brand(s) turned away at the door, the rest delivered; ","")&amp;IF(AND($AB30="Y",IFERROR(IF(INDEX(drops!$C$2:$C$21,MATCH($A30,drops!$A$2:$A$21,0))="","",INDEX(drops!$C$2:$C$21,MATCH($A30,drops!$A$2:$A$21,0))),"")="direct-ship"),"info: first drop: visit in person on T; ","")&amp;IF(AND($U30="front desk",$X30&lt;&gt;"Y"),"info: front desk not agreed: the owner must take it; ",""))</f>
        <v/>
      </c>
    </row>
    <row r="31">
      <c r="D31" s="33" t="n"/>
      <c r="E31" s="9" t="n"/>
      <c r="F31" s="9" t="n"/>
      <c r="G31" s="9" t="n"/>
      <c r="I31" s="33" t="n"/>
      <c r="J31" s="33" t="n"/>
      <c r="N31" s="9" t="n"/>
      <c r="P31" s="26">
        <f>IF($A31="","",IF(IFERROR(IF(INDEX(drops!$I$2:$I$21,MATCH($A31,drops!$A$2:$A$21,0))="","",INDEX(drops!$I$2:$I$21,MATCH($A31,drops!$A$2:$A$21,0))),"")="OK",IFERROR(IF(INDEX(drops!$B$2:$B$21,MATCH($A31,drops!$A$2:$A$21,0))="","",INDEX(drops!$B$2:$B$21,MATCH($A31,drops!$A$2:$A$21,0))),""),""))</f>
        <v/>
      </c>
      <c r="Q31" s="25">
        <f>IF($B31="","",IFERROR(IF(INDEX(offices!$N$2:$N$61,MATCH($B31,offices!$A$2:$A$61,0))="","",INDEX(offices!$N$2:$N$61,MATCH($B31,offices!$A$2:$A$61,0))),""))</f>
        <v/>
      </c>
      <c r="R31" s="25">
        <f>IF($B31="","",IFERROR(IF(INDEX(offices!$O$2:$O$61,MATCH($B31,offices!$A$2:$A$61,0))="","",INDEX(offices!$O$2:$O$61,MATCH($B31,offices!$A$2:$A$61,0))),""))</f>
        <v/>
      </c>
      <c r="S31" s="25">
        <f>IF($B31="","",IFERROR(IF(INDEX(offices!$P$2:$P$61,MATCH($B31,offices!$A$2:$A$61,0))="","",INDEX(offices!$P$2:$P$61,MATCH($B31,offices!$A$2:$A$61,0))),""))</f>
        <v/>
      </c>
      <c r="T31" s="25">
        <f>IF($B31="","",IFERROR(IF(INDEX(offices!$Y$2:$Y$61,MATCH($B31,offices!$A$2:$A$61,0))="","",INDEX(offices!$Y$2:$Y$61,MATCH($B31,offices!$A$2:$A$61,0))),""))</f>
        <v/>
      </c>
      <c r="U31" s="25">
        <f>IF($B31="","",IFERROR(IF(INDEX(offices!$X$2:$X$61,MATCH($B31,offices!$A$2:$A$61,0))="","",INDEX(offices!$X$2:$X$61,MATCH($B31,offices!$A$2:$A$61,0))),""))</f>
        <v/>
      </c>
      <c r="V31" s="25">
        <f>IF($B31="","",IFERROR(IF(INDEX(offices!$U$2:$U$61,MATCH($B31,offices!$A$2:$A$61,0))="","",INDEX(offices!$U$2:$U$61,MATCH($B31,offices!$A$2:$A$61,0))),""))</f>
        <v/>
      </c>
      <c r="W31" s="25">
        <f>IF($B31="","",IFERROR(IF(INDEX(offices!$AI$2:$AI$61,MATCH($B31,offices!$A$2:$A$61,0))="","",INDEX(offices!$AI$2:$AI$61,MATCH($B31,offices!$A$2:$A$61,0))),""))</f>
        <v/>
      </c>
      <c r="X31" s="25">
        <f>IF($B31="","",IFERROR(IF(INDEX(offices!$G$2:$G$61,MATCH($B31,offices!$A$2:$A$61,0))="","",INDEX(offices!$G$2:$G$61,MATCH($B31,offices!$A$2:$A$61,0))),""))</f>
        <v/>
      </c>
      <c r="Y31" s="25">
        <f>IF($B31="","",IFERROR(IF(INDEX(offices!$I$2:$I$61,MATCH($B31,offices!$A$2:$A$61,0))="","",INDEX(offices!$I$2:$I$61,MATCH($B31,offices!$A$2:$A$61,0))),""))</f>
        <v/>
      </c>
      <c r="Z31" s="25">
        <f>IF($A31="","",COUNTIFS(approvals!$H$2:$H$251,$A31,approvals!$B$2:$B$251,$B31,approvals!$P$2:$P$251,"Y"))</f>
        <v/>
      </c>
      <c r="AA31" s="25">
        <f>IF($A31="","",SUMIFS(approvals!$S$2:$S$251,approvals!$H$2:$H$251,$A31,approvals!$B$2:$B$251,$B31,approvals!$P$2:$P$251,"Y"))</f>
        <v/>
      </c>
      <c r="AB31" s="25">
        <f>IF(OR($A31="",$P31=""),"",IF(COUNTIFS(stops!$B$2:$B$151,$B31,stops!$P$2:$P$151,"&lt;"&amp;$P31,stops!$L$2:$L$151,"&lt;&gt;not_delivered")=0,"Y","N"))</f>
        <v/>
      </c>
      <c r="AC31" s="25">
        <f>IF(OR($I31="",$J31=""),"",ROUND(($J31-$I31)*1440,0))</f>
        <v/>
      </c>
      <c r="AD31" s="25">
        <f>IF($A31="","",IF(COUNTIFS(stops!$A$2:$A$151,$A31,stops!$B$2:$B$151,$B31)&gt;1,"DUPLICATE stop; ","")&amp;IF(AND(OR(IFERROR(IF(INDEX(offices!$Z$2:$Z$61,MATCH($B31,offices!$A$2:$A$61,0))="","",INDEX(offices!$Z$2:$Z$61,MATCH($B31,offices!$A$2:$A$61,0))),"")="yes",IFERROR(IF(INDEX(offices!$Z$2:$Z$61,MATCH($B31,offices!$A$2:$A$61,0))="","",INDEX(offices!$Z$2:$Z$61,MATCH($B31,offices!$A$2:$A$61,0))),"")="unsure"),$Y31&lt;&gt;"received",$Y31&lt;&gt;"not_needed"),"building certificate not received; ","")&amp;IF($W31="","owner phone missing; ","")&amp;IF(N($Z31)=0,"no approved brand for this stop; ","")&amp;IF(AND($P31&lt;&gt;"",IF(config!$B$37&lt;&gt;"",config!$B$37,TODAY())&gt;$P31,$L31=""),"log the outcome; ","")&amp;IF(AND(OR($L31="declined",$L31="building_refused",$L31="not_delivered"),N($Z31)&gt;0,COUNTIFS(approvals!$H$2:$H$251,$A31,approvals!$B$2:$B$251,$B31,approvals!$P$2:$P$251,"Y",approvals!$U$2:$U$251,"&gt;0")&gt;=N($Z31)),"outcome says "&amp;$L31&amp;" but every brand here is logged delivered: fix the outcome, or delete the wrong delivered rows (SOP section 4); ","")&amp;IF(AND(OR($L31="declined",$L31="building_refused",$L31="not_delivered"),COUNTIFS(approvals!$H$2:$H$251,$A31,approvals!$B$2:$B$251,$B31,approvals!$P$2:$P$251,"Y",approvals!$U$2:$U$251,"&gt;0")&gt;0,COUNTIFS(approvals!$H$2:$H$251,$A31,approvals!$B$2:$B$251,$B31,approvals!$P$2:$P$251,"Y",approvals!$U$2:$U$251,"&gt;0")&lt;N($Z31)),"info: "&amp;(N($Z31)-COUNTIFS(approvals!$H$2:$H$251,$A31,approvals!$B$2:$B$251,$B31,approvals!$P$2:$P$251,"Y",approvals!$U$2:$U$251,"&gt;0"))&amp;" brand(s) turned away at the door, the rest delivered; ","")&amp;IF(AND($AB31="Y",IFERROR(IF(INDEX(drops!$C$2:$C$21,MATCH($A31,drops!$A$2:$A$21,0))="","",INDEX(drops!$C$2:$C$21,MATCH($A31,drops!$A$2:$A$21,0))),"")="direct-ship"),"info: first drop: visit in person on T; ","")&amp;IF(AND($U31="front desk",$X31&lt;&gt;"Y"),"info: front desk not agreed: the owner must take it; ",""))</f>
        <v/>
      </c>
    </row>
    <row r="32">
      <c r="D32" s="33" t="n"/>
      <c r="E32" s="9" t="n"/>
      <c r="F32" s="9" t="n"/>
      <c r="G32" s="9" t="n"/>
      <c r="I32" s="33" t="n"/>
      <c r="J32" s="33" t="n"/>
      <c r="N32" s="9" t="n"/>
      <c r="P32" s="26">
        <f>IF($A32="","",IF(IFERROR(IF(INDEX(drops!$I$2:$I$21,MATCH($A32,drops!$A$2:$A$21,0))="","",INDEX(drops!$I$2:$I$21,MATCH($A32,drops!$A$2:$A$21,0))),"")="OK",IFERROR(IF(INDEX(drops!$B$2:$B$21,MATCH($A32,drops!$A$2:$A$21,0))="","",INDEX(drops!$B$2:$B$21,MATCH($A32,drops!$A$2:$A$21,0))),""),""))</f>
        <v/>
      </c>
      <c r="Q32" s="25">
        <f>IF($B32="","",IFERROR(IF(INDEX(offices!$N$2:$N$61,MATCH($B32,offices!$A$2:$A$61,0))="","",INDEX(offices!$N$2:$N$61,MATCH($B32,offices!$A$2:$A$61,0))),""))</f>
        <v/>
      </c>
      <c r="R32" s="25">
        <f>IF($B32="","",IFERROR(IF(INDEX(offices!$O$2:$O$61,MATCH($B32,offices!$A$2:$A$61,0))="","",INDEX(offices!$O$2:$O$61,MATCH($B32,offices!$A$2:$A$61,0))),""))</f>
        <v/>
      </c>
      <c r="S32" s="25">
        <f>IF($B32="","",IFERROR(IF(INDEX(offices!$P$2:$P$61,MATCH($B32,offices!$A$2:$A$61,0))="","",INDEX(offices!$P$2:$P$61,MATCH($B32,offices!$A$2:$A$61,0))),""))</f>
        <v/>
      </c>
      <c r="T32" s="25">
        <f>IF($B32="","",IFERROR(IF(INDEX(offices!$Y$2:$Y$61,MATCH($B32,offices!$A$2:$A$61,0))="","",INDEX(offices!$Y$2:$Y$61,MATCH($B32,offices!$A$2:$A$61,0))),""))</f>
        <v/>
      </c>
      <c r="U32" s="25">
        <f>IF($B32="","",IFERROR(IF(INDEX(offices!$X$2:$X$61,MATCH($B32,offices!$A$2:$A$61,0))="","",INDEX(offices!$X$2:$X$61,MATCH($B32,offices!$A$2:$A$61,0))),""))</f>
        <v/>
      </c>
      <c r="V32" s="25">
        <f>IF($B32="","",IFERROR(IF(INDEX(offices!$U$2:$U$61,MATCH($B32,offices!$A$2:$A$61,0))="","",INDEX(offices!$U$2:$U$61,MATCH($B32,offices!$A$2:$A$61,0))),""))</f>
        <v/>
      </c>
      <c r="W32" s="25">
        <f>IF($B32="","",IFERROR(IF(INDEX(offices!$AI$2:$AI$61,MATCH($B32,offices!$A$2:$A$61,0))="","",INDEX(offices!$AI$2:$AI$61,MATCH($B32,offices!$A$2:$A$61,0))),""))</f>
        <v/>
      </c>
      <c r="X32" s="25">
        <f>IF($B32="","",IFERROR(IF(INDEX(offices!$G$2:$G$61,MATCH($B32,offices!$A$2:$A$61,0))="","",INDEX(offices!$G$2:$G$61,MATCH($B32,offices!$A$2:$A$61,0))),""))</f>
        <v/>
      </c>
      <c r="Y32" s="25">
        <f>IF($B32="","",IFERROR(IF(INDEX(offices!$I$2:$I$61,MATCH($B32,offices!$A$2:$A$61,0))="","",INDEX(offices!$I$2:$I$61,MATCH($B32,offices!$A$2:$A$61,0))),""))</f>
        <v/>
      </c>
      <c r="Z32" s="25">
        <f>IF($A32="","",COUNTIFS(approvals!$H$2:$H$251,$A32,approvals!$B$2:$B$251,$B32,approvals!$P$2:$P$251,"Y"))</f>
        <v/>
      </c>
      <c r="AA32" s="25">
        <f>IF($A32="","",SUMIFS(approvals!$S$2:$S$251,approvals!$H$2:$H$251,$A32,approvals!$B$2:$B$251,$B32,approvals!$P$2:$P$251,"Y"))</f>
        <v/>
      </c>
      <c r="AB32" s="25">
        <f>IF(OR($A32="",$P32=""),"",IF(COUNTIFS(stops!$B$2:$B$151,$B32,stops!$P$2:$P$151,"&lt;"&amp;$P32,stops!$L$2:$L$151,"&lt;&gt;not_delivered")=0,"Y","N"))</f>
        <v/>
      </c>
      <c r="AC32" s="25">
        <f>IF(OR($I32="",$J32=""),"",ROUND(($J32-$I32)*1440,0))</f>
        <v/>
      </c>
      <c r="AD32" s="25">
        <f>IF($A32="","",IF(COUNTIFS(stops!$A$2:$A$151,$A32,stops!$B$2:$B$151,$B32)&gt;1,"DUPLICATE stop; ","")&amp;IF(AND(OR(IFERROR(IF(INDEX(offices!$Z$2:$Z$61,MATCH($B32,offices!$A$2:$A$61,0))="","",INDEX(offices!$Z$2:$Z$61,MATCH($B32,offices!$A$2:$A$61,0))),"")="yes",IFERROR(IF(INDEX(offices!$Z$2:$Z$61,MATCH($B32,offices!$A$2:$A$61,0))="","",INDEX(offices!$Z$2:$Z$61,MATCH($B32,offices!$A$2:$A$61,0))),"")="unsure"),$Y32&lt;&gt;"received",$Y32&lt;&gt;"not_needed"),"building certificate not received; ","")&amp;IF($W32="","owner phone missing; ","")&amp;IF(N($Z32)=0,"no approved brand for this stop; ","")&amp;IF(AND($P32&lt;&gt;"",IF(config!$B$37&lt;&gt;"",config!$B$37,TODAY())&gt;$P32,$L32=""),"log the outcome; ","")&amp;IF(AND(OR($L32="declined",$L32="building_refused",$L32="not_delivered"),N($Z32)&gt;0,COUNTIFS(approvals!$H$2:$H$251,$A32,approvals!$B$2:$B$251,$B32,approvals!$P$2:$P$251,"Y",approvals!$U$2:$U$251,"&gt;0")&gt;=N($Z32)),"outcome says "&amp;$L32&amp;" but every brand here is logged delivered: fix the outcome, or delete the wrong delivered rows (SOP section 4); ","")&amp;IF(AND(OR($L32="declined",$L32="building_refused",$L32="not_delivered"),COUNTIFS(approvals!$H$2:$H$251,$A32,approvals!$B$2:$B$251,$B32,approvals!$P$2:$P$251,"Y",approvals!$U$2:$U$251,"&gt;0")&gt;0,COUNTIFS(approvals!$H$2:$H$251,$A32,approvals!$B$2:$B$251,$B32,approvals!$P$2:$P$251,"Y",approvals!$U$2:$U$251,"&gt;0")&lt;N($Z32)),"info: "&amp;(N($Z32)-COUNTIFS(approvals!$H$2:$H$251,$A32,approvals!$B$2:$B$251,$B32,approvals!$P$2:$P$251,"Y",approvals!$U$2:$U$251,"&gt;0"))&amp;" brand(s) turned away at the door, the rest delivered; ","")&amp;IF(AND($AB32="Y",IFERROR(IF(INDEX(drops!$C$2:$C$21,MATCH($A32,drops!$A$2:$A$21,0))="","",INDEX(drops!$C$2:$C$21,MATCH($A32,drops!$A$2:$A$21,0))),"")="direct-ship"),"info: first drop: visit in person on T; ","")&amp;IF(AND($U32="front desk",$X32&lt;&gt;"Y"),"info: front desk not agreed: the owner must take it; ",""))</f>
        <v/>
      </c>
    </row>
    <row r="33">
      <c r="D33" s="33" t="n"/>
      <c r="E33" s="9" t="n"/>
      <c r="F33" s="9" t="n"/>
      <c r="G33" s="9" t="n"/>
      <c r="I33" s="33" t="n"/>
      <c r="J33" s="33" t="n"/>
      <c r="N33" s="9" t="n"/>
      <c r="P33" s="26">
        <f>IF($A33="","",IF(IFERROR(IF(INDEX(drops!$I$2:$I$21,MATCH($A33,drops!$A$2:$A$21,0))="","",INDEX(drops!$I$2:$I$21,MATCH($A33,drops!$A$2:$A$21,0))),"")="OK",IFERROR(IF(INDEX(drops!$B$2:$B$21,MATCH($A33,drops!$A$2:$A$21,0))="","",INDEX(drops!$B$2:$B$21,MATCH($A33,drops!$A$2:$A$21,0))),""),""))</f>
        <v/>
      </c>
      <c r="Q33" s="25">
        <f>IF($B33="","",IFERROR(IF(INDEX(offices!$N$2:$N$61,MATCH($B33,offices!$A$2:$A$61,0))="","",INDEX(offices!$N$2:$N$61,MATCH($B33,offices!$A$2:$A$61,0))),""))</f>
        <v/>
      </c>
      <c r="R33" s="25">
        <f>IF($B33="","",IFERROR(IF(INDEX(offices!$O$2:$O$61,MATCH($B33,offices!$A$2:$A$61,0))="","",INDEX(offices!$O$2:$O$61,MATCH($B33,offices!$A$2:$A$61,0))),""))</f>
        <v/>
      </c>
      <c r="S33" s="25">
        <f>IF($B33="","",IFERROR(IF(INDEX(offices!$P$2:$P$61,MATCH($B33,offices!$A$2:$A$61,0))="","",INDEX(offices!$P$2:$P$61,MATCH($B33,offices!$A$2:$A$61,0))),""))</f>
        <v/>
      </c>
      <c r="T33" s="25">
        <f>IF($B33="","",IFERROR(IF(INDEX(offices!$Y$2:$Y$61,MATCH($B33,offices!$A$2:$A$61,0))="","",INDEX(offices!$Y$2:$Y$61,MATCH($B33,offices!$A$2:$A$61,0))),""))</f>
        <v/>
      </c>
      <c r="U33" s="25">
        <f>IF($B33="","",IFERROR(IF(INDEX(offices!$X$2:$X$61,MATCH($B33,offices!$A$2:$A$61,0))="","",INDEX(offices!$X$2:$X$61,MATCH($B33,offices!$A$2:$A$61,0))),""))</f>
        <v/>
      </c>
      <c r="V33" s="25">
        <f>IF($B33="","",IFERROR(IF(INDEX(offices!$U$2:$U$61,MATCH($B33,offices!$A$2:$A$61,0))="","",INDEX(offices!$U$2:$U$61,MATCH($B33,offices!$A$2:$A$61,0))),""))</f>
        <v/>
      </c>
      <c r="W33" s="25">
        <f>IF($B33="","",IFERROR(IF(INDEX(offices!$AI$2:$AI$61,MATCH($B33,offices!$A$2:$A$61,0))="","",INDEX(offices!$AI$2:$AI$61,MATCH($B33,offices!$A$2:$A$61,0))),""))</f>
        <v/>
      </c>
      <c r="X33" s="25">
        <f>IF($B33="","",IFERROR(IF(INDEX(offices!$G$2:$G$61,MATCH($B33,offices!$A$2:$A$61,0))="","",INDEX(offices!$G$2:$G$61,MATCH($B33,offices!$A$2:$A$61,0))),""))</f>
        <v/>
      </c>
      <c r="Y33" s="25">
        <f>IF($B33="","",IFERROR(IF(INDEX(offices!$I$2:$I$61,MATCH($B33,offices!$A$2:$A$61,0))="","",INDEX(offices!$I$2:$I$61,MATCH($B33,offices!$A$2:$A$61,0))),""))</f>
        <v/>
      </c>
      <c r="Z33" s="25">
        <f>IF($A33="","",COUNTIFS(approvals!$H$2:$H$251,$A33,approvals!$B$2:$B$251,$B33,approvals!$P$2:$P$251,"Y"))</f>
        <v/>
      </c>
      <c r="AA33" s="25">
        <f>IF($A33="","",SUMIFS(approvals!$S$2:$S$251,approvals!$H$2:$H$251,$A33,approvals!$B$2:$B$251,$B33,approvals!$P$2:$P$251,"Y"))</f>
        <v/>
      </c>
      <c r="AB33" s="25">
        <f>IF(OR($A33="",$P33=""),"",IF(COUNTIFS(stops!$B$2:$B$151,$B33,stops!$P$2:$P$151,"&lt;"&amp;$P33,stops!$L$2:$L$151,"&lt;&gt;not_delivered")=0,"Y","N"))</f>
        <v/>
      </c>
      <c r="AC33" s="25">
        <f>IF(OR($I33="",$J33=""),"",ROUND(($J33-$I33)*1440,0))</f>
        <v/>
      </c>
      <c r="AD33" s="25">
        <f>IF($A33="","",IF(COUNTIFS(stops!$A$2:$A$151,$A33,stops!$B$2:$B$151,$B33)&gt;1,"DUPLICATE stop; ","")&amp;IF(AND(OR(IFERROR(IF(INDEX(offices!$Z$2:$Z$61,MATCH($B33,offices!$A$2:$A$61,0))="","",INDEX(offices!$Z$2:$Z$61,MATCH($B33,offices!$A$2:$A$61,0))),"")="yes",IFERROR(IF(INDEX(offices!$Z$2:$Z$61,MATCH($B33,offices!$A$2:$A$61,0))="","",INDEX(offices!$Z$2:$Z$61,MATCH($B33,offices!$A$2:$A$61,0))),"")="unsure"),$Y33&lt;&gt;"received",$Y33&lt;&gt;"not_needed"),"building certificate not received; ","")&amp;IF($W33="","owner phone missing; ","")&amp;IF(N($Z33)=0,"no approved brand for this stop; ","")&amp;IF(AND($P33&lt;&gt;"",IF(config!$B$37&lt;&gt;"",config!$B$37,TODAY())&gt;$P33,$L33=""),"log the outcome; ","")&amp;IF(AND(OR($L33="declined",$L33="building_refused",$L33="not_delivered"),N($Z33)&gt;0,COUNTIFS(approvals!$H$2:$H$251,$A33,approvals!$B$2:$B$251,$B33,approvals!$P$2:$P$251,"Y",approvals!$U$2:$U$251,"&gt;0")&gt;=N($Z33)),"outcome says "&amp;$L33&amp;" but every brand here is logged delivered: fix the outcome, or delete the wrong delivered rows (SOP section 4); ","")&amp;IF(AND(OR($L33="declined",$L33="building_refused",$L33="not_delivered"),COUNTIFS(approvals!$H$2:$H$251,$A33,approvals!$B$2:$B$251,$B33,approvals!$P$2:$P$251,"Y",approvals!$U$2:$U$251,"&gt;0")&gt;0,COUNTIFS(approvals!$H$2:$H$251,$A33,approvals!$B$2:$B$251,$B33,approvals!$P$2:$P$251,"Y",approvals!$U$2:$U$251,"&gt;0")&lt;N($Z33)),"info: "&amp;(N($Z33)-COUNTIFS(approvals!$H$2:$H$251,$A33,approvals!$B$2:$B$251,$B33,approvals!$P$2:$P$251,"Y",approvals!$U$2:$U$251,"&gt;0"))&amp;" brand(s) turned away at the door, the rest delivered; ","")&amp;IF(AND($AB33="Y",IFERROR(IF(INDEX(drops!$C$2:$C$21,MATCH($A33,drops!$A$2:$A$21,0))="","",INDEX(drops!$C$2:$C$21,MATCH($A33,drops!$A$2:$A$21,0))),"")="direct-ship"),"info: first drop: visit in person on T; ","")&amp;IF(AND($U33="front desk",$X33&lt;&gt;"Y"),"info: front desk not agreed: the owner must take it; ",""))</f>
        <v/>
      </c>
    </row>
    <row r="34">
      <c r="D34" s="33" t="n"/>
      <c r="E34" s="9" t="n"/>
      <c r="F34" s="9" t="n"/>
      <c r="G34" s="9" t="n"/>
      <c r="I34" s="33" t="n"/>
      <c r="J34" s="33" t="n"/>
      <c r="N34" s="9" t="n"/>
      <c r="P34" s="26">
        <f>IF($A34="","",IF(IFERROR(IF(INDEX(drops!$I$2:$I$21,MATCH($A34,drops!$A$2:$A$21,0))="","",INDEX(drops!$I$2:$I$21,MATCH($A34,drops!$A$2:$A$21,0))),"")="OK",IFERROR(IF(INDEX(drops!$B$2:$B$21,MATCH($A34,drops!$A$2:$A$21,0))="","",INDEX(drops!$B$2:$B$21,MATCH($A34,drops!$A$2:$A$21,0))),""),""))</f>
        <v/>
      </c>
      <c r="Q34" s="25">
        <f>IF($B34="","",IFERROR(IF(INDEX(offices!$N$2:$N$61,MATCH($B34,offices!$A$2:$A$61,0))="","",INDEX(offices!$N$2:$N$61,MATCH($B34,offices!$A$2:$A$61,0))),""))</f>
        <v/>
      </c>
      <c r="R34" s="25">
        <f>IF($B34="","",IFERROR(IF(INDEX(offices!$O$2:$O$61,MATCH($B34,offices!$A$2:$A$61,0))="","",INDEX(offices!$O$2:$O$61,MATCH($B34,offices!$A$2:$A$61,0))),""))</f>
        <v/>
      </c>
      <c r="S34" s="25">
        <f>IF($B34="","",IFERROR(IF(INDEX(offices!$P$2:$P$61,MATCH($B34,offices!$A$2:$A$61,0))="","",INDEX(offices!$P$2:$P$61,MATCH($B34,offices!$A$2:$A$61,0))),""))</f>
        <v/>
      </c>
      <c r="T34" s="25">
        <f>IF($B34="","",IFERROR(IF(INDEX(offices!$Y$2:$Y$61,MATCH($B34,offices!$A$2:$A$61,0))="","",INDEX(offices!$Y$2:$Y$61,MATCH($B34,offices!$A$2:$A$61,0))),""))</f>
        <v/>
      </c>
      <c r="U34" s="25">
        <f>IF($B34="","",IFERROR(IF(INDEX(offices!$X$2:$X$61,MATCH($B34,offices!$A$2:$A$61,0))="","",INDEX(offices!$X$2:$X$61,MATCH($B34,offices!$A$2:$A$61,0))),""))</f>
        <v/>
      </c>
      <c r="V34" s="25">
        <f>IF($B34="","",IFERROR(IF(INDEX(offices!$U$2:$U$61,MATCH($B34,offices!$A$2:$A$61,0))="","",INDEX(offices!$U$2:$U$61,MATCH($B34,offices!$A$2:$A$61,0))),""))</f>
        <v/>
      </c>
      <c r="W34" s="25">
        <f>IF($B34="","",IFERROR(IF(INDEX(offices!$AI$2:$AI$61,MATCH($B34,offices!$A$2:$A$61,0))="","",INDEX(offices!$AI$2:$AI$61,MATCH($B34,offices!$A$2:$A$61,0))),""))</f>
        <v/>
      </c>
      <c r="X34" s="25">
        <f>IF($B34="","",IFERROR(IF(INDEX(offices!$G$2:$G$61,MATCH($B34,offices!$A$2:$A$61,0))="","",INDEX(offices!$G$2:$G$61,MATCH($B34,offices!$A$2:$A$61,0))),""))</f>
        <v/>
      </c>
      <c r="Y34" s="25">
        <f>IF($B34="","",IFERROR(IF(INDEX(offices!$I$2:$I$61,MATCH($B34,offices!$A$2:$A$61,0))="","",INDEX(offices!$I$2:$I$61,MATCH($B34,offices!$A$2:$A$61,0))),""))</f>
        <v/>
      </c>
      <c r="Z34" s="25">
        <f>IF($A34="","",COUNTIFS(approvals!$H$2:$H$251,$A34,approvals!$B$2:$B$251,$B34,approvals!$P$2:$P$251,"Y"))</f>
        <v/>
      </c>
      <c r="AA34" s="25">
        <f>IF($A34="","",SUMIFS(approvals!$S$2:$S$251,approvals!$H$2:$H$251,$A34,approvals!$B$2:$B$251,$B34,approvals!$P$2:$P$251,"Y"))</f>
        <v/>
      </c>
      <c r="AB34" s="25">
        <f>IF(OR($A34="",$P34=""),"",IF(COUNTIFS(stops!$B$2:$B$151,$B34,stops!$P$2:$P$151,"&lt;"&amp;$P34,stops!$L$2:$L$151,"&lt;&gt;not_delivered")=0,"Y","N"))</f>
        <v/>
      </c>
      <c r="AC34" s="25">
        <f>IF(OR($I34="",$J34=""),"",ROUND(($J34-$I34)*1440,0))</f>
        <v/>
      </c>
      <c r="AD34" s="25">
        <f>IF($A34="","",IF(COUNTIFS(stops!$A$2:$A$151,$A34,stops!$B$2:$B$151,$B34)&gt;1,"DUPLICATE stop; ","")&amp;IF(AND(OR(IFERROR(IF(INDEX(offices!$Z$2:$Z$61,MATCH($B34,offices!$A$2:$A$61,0))="","",INDEX(offices!$Z$2:$Z$61,MATCH($B34,offices!$A$2:$A$61,0))),"")="yes",IFERROR(IF(INDEX(offices!$Z$2:$Z$61,MATCH($B34,offices!$A$2:$A$61,0))="","",INDEX(offices!$Z$2:$Z$61,MATCH($B34,offices!$A$2:$A$61,0))),"")="unsure"),$Y34&lt;&gt;"received",$Y34&lt;&gt;"not_needed"),"building certificate not received; ","")&amp;IF($W34="","owner phone missing; ","")&amp;IF(N($Z34)=0,"no approved brand for this stop; ","")&amp;IF(AND($P34&lt;&gt;"",IF(config!$B$37&lt;&gt;"",config!$B$37,TODAY())&gt;$P34,$L34=""),"log the outcome; ","")&amp;IF(AND(OR($L34="declined",$L34="building_refused",$L34="not_delivered"),N($Z34)&gt;0,COUNTIFS(approvals!$H$2:$H$251,$A34,approvals!$B$2:$B$251,$B34,approvals!$P$2:$P$251,"Y",approvals!$U$2:$U$251,"&gt;0")&gt;=N($Z34)),"outcome says "&amp;$L34&amp;" but every brand here is logged delivered: fix the outcome, or delete the wrong delivered rows (SOP section 4); ","")&amp;IF(AND(OR($L34="declined",$L34="building_refused",$L34="not_delivered"),COUNTIFS(approvals!$H$2:$H$251,$A34,approvals!$B$2:$B$251,$B34,approvals!$P$2:$P$251,"Y",approvals!$U$2:$U$251,"&gt;0")&gt;0,COUNTIFS(approvals!$H$2:$H$251,$A34,approvals!$B$2:$B$251,$B34,approvals!$P$2:$P$251,"Y",approvals!$U$2:$U$251,"&gt;0")&lt;N($Z34)),"info: "&amp;(N($Z34)-COUNTIFS(approvals!$H$2:$H$251,$A34,approvals!$B$2:$B$251,$B34,approvals!$P$2:$P$251,"Y",approvals!$U$2:$U$251,"&gt;0"))&amp;" brand(s) turned away at the door, the rest delivered; ","")&amp;IF(AND($AB34="Y",IFERROR(IF(INDEX(drops!$C$2:$C$21,MATCH($A34,drops!$A$2:$A$21,0))="","",INDEX(drops!$C$2:$C$21,MATCH($A34,drops!$A$2:$A$21,0))),"")="direct-ship"),"info: first drop: visit in person on T; ","")&amp;IF(AND($U34="front desk",$X34&lt;&gt;"Y"),"info: front desk not agreed: the owner must take it; ",""))</f>
        <v/>
      </c>
    </row>
    <row r="35">
      <c r="D35" s="33" t="n"/>
      <c r="E35" s="9" t="n"/>
      <c r="F35" s="9" t="n"/>
      <c r="G35" s="9" t="n"/>
      <c r="I35" s="33" t="n"/>
      <c r="J35" s="33" t="n"/>
      <c r="N35" s="9" t="n"/>
      <c r="P35" s="26">
        <f>IF($A35="","",IF(IFERROR(IF(INDEX(drops!$I$2:$I$21,MATCH($A35,drops!$A$2:$A$21,0))="","",INDEX(drops!$I$2:$I$21,MATCH($A35,drops!$A$2:$A$21,0))),"")="OK",IFERROR(IF(INDEX(drops!$B$2:$B$21,MATCH($A35,drops!$A$2:$A$21,0))="","",INDEX(drops!$B$2:$B$21,MATCH($A35,drops!$A$2:$A$21,0))),""),""))</f>
        <v/>
      </c>
      <c r="Q35" s="25">
        <f>IF($B35="","",IFERROR(IF(INDEX(offices!$N$2:$N$61,MATCH($B35,offices!$A$2:$A$61,0))="","",INDEX(offices!$N$2:$N$61,MATCH($B35,offices!$A$2:$A$61,0))),""))</f>
        <v/>
      </c>
      <c r="R35" s="25">
        <f>IF($B35="","",IFERROR(IF(INDEX(offices!$O$2:$O$61,MATCH($B35,offices!$A$2:$A$61,0))="","",INDEX(offices!$O$2:$O$61,MATCH($B35,offices!$A$2:$A$61,0))),""))</f>
        <v/>
      </c>
      <c r="S35" s="25">
        <f>IF($B35="","",IFERROR(IF(INDEX(offices!$P$2:$P$61,MATCH($B35,offices!$A$2:$A$61,0))="","",INDEX(offices!$P$2:$P$61,MATCH($B35,offices!$A$2:$A$61,0))),""))</f>
        <v/>
      </c>
      <c r="T35" s="25">
        <f>IF($B35="","",IFERROR(IF(INDEX(offices!$Y$2:$Y$61,MATCH($B35,offices!$A$2:$A$61,0))="","",INDEX(offices!$Y$2:$Y$61,MATCH($B35,offices!$A$2:$A$61,0))),""))</f>
        <v/>
      </c>
      <c r="U35" s="25">
        <f>IF($B35="","",IFERROR(IF(INDEX(offices!$X$2:$X$61,MATCH($B35,offices!$A$2:$A$61,0))="","",INDEX(offices!$X$2:$X$61,MATCH($B35,offices!$A$2:$A$61,0))),""))</f>
        <v/>
      </c>
      <c r="V35" s="25">
        <f>IF($B35="","",IFERROR(IF(INDEX(offices!$U$2:$U$61,MATCH($B35,offices!$A$2:$A$61,0))="","",INDEX(offices!$U$2:$U$61,MATCH($B35,offices!$A$2:$A$61,0))),""))</f>
        <v/>
      </c>
      <c r="W35" s="25">
        <f>IF($B35="","",IFERROR(IF(INDEX(offices!$AI$2:$AI$61,MATCH($B35,offices!$A$2:$A$61,0))="","",INDEX(offices!$AI$2:$AI$61,MATCH($B35,offices!$A$2:$A$61,0))),""))</f>
        <v/>
      </c>
      <c r="X35" s="25">
        <f>IF($B35="","",IFERROR(IF(INDEX(offices!$G$2:$G$61,MATCH($B35,offices!$A$2:$A$61,0))="","",INDEX(offices!$G$2:$G$61,MATCH($B35,offices!$A$2:$A$61,0))),""))</f>
        <v/>
      </c>
      <c r="Y35" s="25">
        <f>IF($B35="","",IFERROR(IF(INDEX(offices!$I$2:$I$61,MATCH($B35,offices!$A$2:$A$61,0))="","",INDEX(offices!$I$2:$I$61,MATCH($B35,offices!$A$2:$A$61,0))),""))</f>
        <v/>
      </c>
      <c r="Z35" s="25">
        <f>IF($A35="","",COUNTIFS(approvals!$H$2:$H$251,$A35,approvals!$B$2:$B$251,$B35,approvals!$P$2:$P$251,"Y"))</f>
        <v/>
      </c>
      <c r="AA35" s="25">
        <f>IF($A35="","",SUMIFS(approvals!$S$2:$S$251,approvals!$H$2:$H$251,$A35,approvals!$B$2:$B$251,$B35,approvals!$P$2:$P$251,"Y"))</f>
        <v/>
      </c>
      <c r="AB35" s="25">
        <f>IF(OR($A35="",$P35=""),"",IF(COUNTIFS(stops!$B$2:$B$151,$B35,stops!$P$2:$P$151,"&lt;"&amp;$P35,stops!$L$2:$L$151,"&lt;&gt;not_delivered")=0,"Y","N"))</f>
        <v/>
      </c>
      <c r="AC35" s="25">
        <f>IF(OR($I35="",$J35=""),"",ROUND(($J35-$I35)*1440,0))</f>
        <v/>
      </c>
      <c r="AD35" s="25">
        <f>IF($A35="","",IF(COUNTIFS(stops!$A$2:$A$151,$A35,stops!$B$2:$B$151,$B35)&gt;1,"DUPLICATE stop; ","")&amp;IF(AND(OR(IFERROR(IF(INDEX(offices!$Z$2:$Z$61,MATCH($B35,offices!$A$2:$A$61,0))="","",INDEX(offices!$Z$2:$Z$61,MATCH($B35,offices!$A$2:$A$61,0))),"")="yes",IFERROR(IF(INDEX(offices!$Z$2:$Z$61,MATCH($B35,offices!$A$2:$A$61,0))="","",INDEX(offices!$Z$2:$Z$61,MATCH($B35,offices!$A$2:$A$61,0))),"")="unsure"),$Y35&lt;&gt;"received",$Y35&lt;&gt;"not_needed"),"building certificate not received; ","")&amp;IF($W35="","owner phone missing; ","")&amp;IF(N($Z35)=0,"no approved brand for this stop; ","")&amp;IF(AND($P35&lt;&gt;"",IF(config!$B$37&lt;&gt;"",config!$B$37,TODAY())&gt;$P35,$L35=""),"log the outcome; ","")&amp;IF(AND(OR($L35="declined",$L35="building_refused",$L35="not_delivered"),N($Z35)&gt;0,COUNTIFS(approvals!$H$2:$H$251,$A35,approvals!$B$2:$B$251,$B35,approvals!$P$2:$P$251,"Y",approvals!$U$2:$U$251,"&gt;0")&gt;=N($Z35)),"outcome says "&amp;$L35&amp;" but every brand here is logged delivered: fix the outcome, or delete the wrong delivered rows (SOP section 4); ","")&amp;IF(AND(OR($L35="declined",$L35="building_refused",$L35="not_delivered"),COUNTIFS(approvals!$H$2:$H$251,$A35,approvals!$B$2:$B$251,$B35,approvals!$P$2:$P$251,"Y",approvals!$U$2:$U$251,"&gt;0")&gt;0,COUNTIFS(approvals!$H$2:$H$251,$A35,approvals!$B$2:$B$251,$B35,approvals!$P$2:$P$251,"Y",approvals!$U$2:$U$251,"&gt;0")&lt;N($Z35)),"info: "&amp;(N($Z35)-COUNTIFS(approvals!$H$2:$H$251,$A35,approvals!$B$2:$B$251,$B35,approvals!$P$2:$P$251,"Y",approvals!$U$2:$U$251,"&gt;0"))&amp;" brand(s) turned away at the door, the rest delivered; ","")&amp;IF(AND($AB35="Y",IFERROR(IF(INDEX(drops!$C$2:$C$21,MATCH($A35,drops!$A$2:$A$21,0))="","",INDEX(drops!$C$2:$C$21,MATCH($A35,drops!$A$2:$A$21,0))),"")="direct-ship"),"info: first drop: visit in person on T; ","")&amp;IF(AND($U35="front desk",$X35&lt;&gt;"Y"),"info: front desk not agreed: the owner must take it; ",""))</f>
        <v/>
      </c>
    </row>
    <row r="36">
      <c r="D36" s="33" t="n"/>
      <c r="E36" s="9" t="n"/>
      <c r="F36" s="9" t="n"/>
      <c r="G36" s="9" t="n"/>
      <c r="I36" s="33" t="n"/>
      <c r="J36" s="33" t="n"/>
      <c r="N36" s="9" t="n"/>
      <c r="P36" s="26">
        <f>IF($A36="","",IF(IFERROR(IF(INDEX(drops!$I$2:$I$21,MATCH($A36,drops!$A$2:$A$21,0))="","",INDEX(drops!$I$2:$I$21,MATCH($A36,drops!$A$2:$A$21,0))),"")="OK",IFERROR(IF(INDEX(drops!$B$2:$B$21,MATCH($A36,drops!$A$2:$A$21,0))="","",INDEX(drops!$B$2:$B$21,MATCH($A36,drops!$A$2:$A$21,0))),""),""))</f>
        <v/>
      </c>
      <c r="Q36" s="25">
        <f>IF($B36="","",IFERROR(IF(INDEX(offices!$N$2:$N$61,MATCH($B36,offices!$A$2:$A$61,0))="","",INDEX(offices!$N$2:$N$61,MATCH($B36,offices!$A$2:$A$61,0))),""))</f>
        <v/>
      </c>
      <c r="R36" s="25">
        <f>IF($B36="","",IFERROR(IF(INDEX(offices!$O$2:$O$61,MATCH($B36,offices!$A$2:$A$61,0))="","",INDEX(offices!$O$2:$O$61,MATCH($B36,offices!$A$2:$A$61,0))),""))</f>
        <v/>
      </c>
      <c r="S36" s="25">
        <f>IF($B36="","",IFERROR(IF(INDEX(offices!$P$2:$P$61,MATCH($B36,offices!$A$2:$A$61,0))="","",INDEX(offices!$P$2:$P$61,MATCH($B36,offices!$A$2:$A$61,0))),""))</f>
        <v/>
      </c>
      <c r="T36" s="25">
        <f>IF($B36="","",IFERROR(IF(INDEX(offices!$Y$2:$Y$61,MATCH($B36,offices!$A$2:$A$61,0))="","",INDEX(offices!$Y$2:$Y$61,MATCH($B36,offices!$A$2:$A$61,0))),""))</f>
        <v/>
      </c>
      <c r="U36" s="25">
        <f>IF($B36="","",IFERROR(IF(INDEX(offices!$X$2:$X$61,MATCH($B36,offices!$A$2:$A$61,0))="","",INDEX(offices!$X$2:$X$61,MATCH($B36,offices!$A$2:$A$61,0))),""))</f>
        <v/>
      </c>
      <c r="V36" s="25">
        <f>IF($B36="","",IFERROR(IF(INDEX(offices!$U$2:$U$61,MATCH($B36,offices!$A$2:$A$61,0))="","",INDEX(offices!$U$2:$U$61,MATCH($B36,offices!$A$2:$A$61,0))),""))</f>
        <v/>
      </c>
      <c r="W36" s="25">
        <f>IF($B36="","",IFERROR(IF(INDEX(offices!$AI$2:$AI$61,MATCH($B36,offices!$A$2:$A$61,0))="","",INDEX(offices!$AI$2:$AI$61,MATCH($B36,offices!$A$2:$A$61,0))),""))</f>
        <v/>
      </c>
      <c r="X36" s="25">
        <f>IF($B36="","",IFERROR(IF(INDEX(offices!$G$2:$G$61,MATCH($B36,offices!$A$2:$A$61,0))="","",INDEX(offices!$G$2:$G$61,MATCH($B36,offices!$A$2:$A$61,0))),""))</f>
        <v/>
      </c>
      <c r="Y36" s="25">
        <f>IF($B36="","",IFERROR(IF(INDEX(offices!$I$2:$I$61,MATCH($B36,offices!$A$2:$A$61,0))="","",INDEX(offices!$I$2:$I$61,MATCH($B36,offices!$A$2:$A$61,0))),""))</f>
        <v/>
      </c>
      <c r="Z36" s="25">
        <f>IF($A36="","",COUNTIFS(approvals!$H$2:$H$251,$A36,approvals!$B$2:$B$251,$B36,approvals!$P$2:$P$251,"Y"))</f>
        <v/>
      </c>
      <c r="AA36" s="25">
        <f>IF($A36="","",SUMIFS(approvals!$S$2:$S$251,approvals!$H$2:$H$251,$A36,approvals!$B$2:$B$251,$B36,approvals!$P$2:$P$251,"Y"))</f>
        <v/>
      </c>
      <c r="AB36" s="25">
        <f>IF(OR($A36="",$P36=""),"",IF(COUNTIFS(stops!$B$2:$B$151,$B36,stops!$P$2:$P$151,"&lt;"&amp;$P36,stops!$L$2:$L$151,"&lt;&gt;not_delivered")=0,"Y","N"))</f>
        <v/>
      </c>
      <c r="AC36" s="25">
        <f>IF(OR($I36="",$J36=""),"",ROUND(($J36-$I36)*1440,0))</f>
        <v/>
      </c>
      <c r="AD36" s="25">
        <f>IF($A36="","",IF(COUNTIFS(stops!$A$2:$A$151,$A36,stops!$B$2:$B$151,$B36)&gt;1,"DUPLICATE stop; ","")&amp;IF(AND(OR(IFERROR(IF(INDEX(offices!$Z$2:$Z$61,MATCH($B36,offices!$A$2:$A$61,0))="","",INDEX(offices!$Z$2:$Z$61,MATCH($B36,offices!$A$2:$A$61,0))),"")="yes",IFERROR(IF(INDEX(offices!$Z$2:$Z$61,MATCH($B36,offices!$A$2:$A$61,0))="","",INDEX(offices!$Z$2:$Z$61,MATCH($B36,offices!$A$2:$A$61,0))),"")="unsure"),$Y36&lt;&gt;"received",$Y36&lt;&gt;"not_needed"),"building certificate not received; ","")&amp;IF($W36="","owner phone missing; ","")&amp;IF(N($Z36)=0,"no approved brand for this stop; ","")&amp;IF(AND($P36&lt;&gt;"",IF(config!$B$37&lt;&gt;"",config!$B$37,TODAY())&gt;$P36,$L36=""),"log the outcome; ","")&amp;IF(AND(OR($L36="declined",$L36="building_refused",$L36="not_delivered"),N($Z36)&gt;0,COUNTIFS(approvals!$H$2:$H$251,$A36,approvals!$B$2:$B$251,$B36,approvals!$P$2:$P$251,"Y",approvals!$U$2:$U$251,"&gt;0")&gt;=N($Z36)),"outcome says "&amp;$L36&amp;" but every brand here is logged delivered: fix the outcome, or delete the wrong delivered rows (SOP section 4); ","")&amp;IF(AND(OR($L36="declined",$L36="building_refused",$L36="not_delivered"),COUNTIFS(approvals!$H$2:$H$251,$A36,approvals!$B$2:$B$251,$B36,approvals!$P$2:$P$251,"Y",approvals!$U$2:$U$251,"&gt;0")&gt;0,COUNTIFS(approvals!$H$2:$H$251,$A36,approvals!$B$2:$B$251,$B36,approvals!$P$2:$P$251,"Y",approvals!$U$2:$U$251,"&gt;0")&lt;N($Z36)),"info: "&amp;(N($Z36)-COUNTIFS(approvals!$H$2:$H$251,$A36,approvals!$B$2:$B$251,$B36,approvals!$P$2:$P$251,"Y",approvals!$U$2:$U$251,"&gt;0"))&amp;" brand(s) turned away at the door, the rest delivered; ","")&amp;IF(AND($AB36="Y",IFERROR(IF(INDEX(drops!$C$2:$C$21,MATCH($A36,drops!$A$2:$A$21,0))="","",INDEX(drops!$C$2:$C$21,MATCH($A36,drops!$A$2:$A$21,0))),"")="direct-ship"),"info: first drop: visit in person on T; ","")&amp;IF(AND($U36="front desk",$X36&lt;&gt;"Y"),"info: front desk not agreed: the owner must take it; ",""))</f>
        <v/>
      </c>
    </row>
    <row r="37">
      <c r="D37" s="33" t="n"/>
      <c r="E37" s="9" t="n"/>
      <c r="F37" s="9" t="n"/>
      <c r="G37" s="9" t="n"/>
      <c r="I37" s="33" t="n"/>
      <c r="J37" s="33" t="n"/>
      <c r="N37" s="9" t="n"/>
      <c r="P37" s="26">
        <f>IF($A37="","",IF(IFERROR(IF(INDEX(drops!$I$2:$I$21,MATCH($A37,drops!$A$2:$A$21,0))="","",INDEX(drops!$I$2:$I$21,MATCH($A37,drops!$A$2:$A$21,0))),"")="OK",IFERROR(IF(INDEX(drops!$B$2:$B$21,MATCH($A37,drops!$A$2:$A$21,0))="","",INDEX(drops!$B$2:$B$21,MATCH($A37,drops!$A$2:$A$21,0))),""),""))</f>
        <v/>
      </c>
      <c r="Q37" s="25">
        <f>IF($B37="","",IFERROR(IF(INDEX(offices!$N$2:$N$61,MATCH($B37,offices!$A$2:$A$61,0))="","",INDEX(offices!$N$2:$N$61,MATCH($B37,offices!$A$2:$A$61,0))),""))</f>
        <v/>
      </c>
      <c r="R37" s="25">
        <f>IF($B37="","",IFERROR(IF(INDEX(offices!$O$2:$O$61,MATCH($B37,offices!$A$2:$A$61,0))="","",INDEX(offices!$O$2:$O$61,MATCH($B37,offices!$A$2:$A$61,0))),""))</f>
        <v/>
      </c>
      <c r="S37" s="25">
        <f>IF($B37="","",IFERROR(IF(INDEX(offices!$P$2:$P$61,MATCH($B37,offices!$A$2:$A$61,0))="","",INDEX(offices!$P$2:$P$61,MATCH($B37,offices!$A$2:$A$61,0))),""))</f>
        <v/>
      </c>
      <c r="T37" s="25">
        <f>IF($B37="","",IFERROR(IF(INDEX(offices!$Y$2:$Y$61,MATCH($B37,offices!$A$2:$A$61,0))="","",INDEX(offices!$Y$2:$Y$61,MATCH($B37,offices!$A$2:$A$61,0))),""))</f>
        <v/>
      </c>
      <c r="U37" s="25">
        <f>IF($B37="","",IFERROR(IF(INDEX(offices!$X$2:$X$61,MATCH($B37,offices!$A$2:$A$61,0))="","",INDEX(offices!$X$2:$X$61,MATCH($B37,offices!$A$2:$A$61,0))),""))</f>
        <v/>
      </c>
      <c r="V37" s="25">
        <f>IF($B37="","",IFERROR(IF(INDEX(offices!$U$2:$U$61,MATCH($B37,offices!$A$2:$A$61,0))="","",INDEX(offices!$U$2:$U$61,MATCH($B37,offices!$A$2:$A$61,0))),""))</f>
        <v/>
      </c>
      <c r="W37" s="25">
        <f>IF($B37="","",IFERROR(IF(INDEX(offices!$AI$2:$AI$61,MATCH($B37,offices!$A$2:$A$61,0))="","",INDEX(offices!$AI$2:$AI$61,MATCH($B37,offices!$A$2:$A$61,0))),""))</f>
        <v/>
      </c>
      <c r="X37" s="25">
        <f>IF($B37="","",IFERROR(IF(INDEX(offices!$G$2:$G$61,MATCH($B37,offices!$A$2:$A$61,0))="","",INDEX(offices!$G$2:$G$61,MATCH($B37,offices!$A$2:$A$61,0))),""))</f>
        <v/>
      </c>
      <c r="Y37" s="25">
        <f>IF($B37="","",IFERROR(IF(INDEX(offices!$I$2:$I$61,MATCH($B37,offices!$A$2:$A$61,0))="","",INDEX(offices!$I$2:$I$61,MATCH($B37,offices!$A$2:$A$61,0))),""))</f>
        <v/>
      </c>
      <c r="Z37" s="25">
        <f>IF($A37="","",COUNTIFS(approvals!$H$2:$H$251,$A37,approvals!$B$2:$B$251,$B37,approvals!$P$2:$P$251,"Y"))</f>
        <v/>
      </c>
      <c r="AA37" s="25">
        <f>IF($A37="","",SUMIFS(approvals!$S$2:$S$251,approvals!$H$2:$H$251,$A37,approvals!$B$2:$B$251,$B37,approvals!$P$2:$P$251,"Y"))</f>
        <v/>
      </c>
      <c r="AB37" s="25">
        <f>IF(OR($A37="",$P37=""),"",IF(COUNTIFS(stops!$B$2:$B$151,$B37,stops!$P$2:$P$151,"&lt;"&amp;$P37,stops!$L$2:$L$151,"&lt;&gt;not_delivered")=0,"Y","N"))</f>
        <v/>
      </c>
      <c r="AC37" s="25">
        <f>IF(OR($I37="",$J37=""),"",ROUND(($J37-$I37)*1440,0))</f>
        <v/>
      </c>
      <c r="AD37" s="25">
        <f>IF($A37="","",IF(COUNTIFS(stops!$A$2:$A$151,$A37,stops!$B$2:$B$151,$B37)&gt;1,"DUPLICATE stop; ","")&amp;IF(AND(OR(IFERROR(IF(INDEX(offices!$Z$2:$Z$61,MATCH($B37,offices!$A$2:$A$61,0))="","",INDEX(offices!$Z$2:$Z$61,MATCH($B37,offices!$A$2:$A$61,0))),"")="yes",IFERROR(IF(INDEX(offices!$Z$2:$Z$61,MATCH($B37,offices!$A$2:$A$61,0))="","",INDEX(offices!$Z$2:$Z$61,MATCH($B37,offices!$A$2:$A$61,0))),"")="unsure"),$Y37&lt;&gt;"received",$Y37&lt;&gt;"not_needed"),"building certificate not received; ","")&amp;IF($W37="","owner phone missing; ","")&amp;IF(N($Z37)=0,"no approved brand for this stop; ","")&amp;IF(AND($P37&lt;&gt;"",IF(config!$B$37&lt;&gt;"",config!$B$37,TODAY())&gt;$P37,$L37=""),"log the outcome; ","")&amp;IF(AND(OR($L37="declined",$L37="building_refused",$L37="not_delivered"),N($Z37)&gt;0,COUNTIFS(approvals!$H$2:$H$251,$A37,approvals!$B$2:$B$251,$B37,approvals!$P$2:$P$251,"Y",approvals!$U$2:$U$251,"&gt;0")&gt;=N($Z37)),"outcome says "&amp;$L37&amp;" but every brand here is logged delivered: fix the outcome, or delete the wrong delivered rows (SOP section 4); ","")&amp;IF(AND(OR($L37="declined",$L37="building_refused",$L37="not_delivered"),COUNTIFS(approvals!$H$2:$H$251,$A37,approvals!$B$2:$B$251,$B37,approvals!$P$2:$P$251,"Y",approvals!$U$2:$U$251,"&gt;0")&gt;0,COUNTIFS(approvals!$H$2:$H$251,$A37,approvals!$B$2:$B$251,$B37,approvals!$P$2:$P$251,"Y",approvals!$U$2:$U$251,"&gt;0")&lt;N($Z37)),"info: "&amp;(N($Z37)-COUNTIFS(approvals!$H$2:$H$251,$A37,approvals!$B$2:$B$251,$B37,approvals!$P$2:$P$251,"Y",approvals!$U$2:$U$251,"&gt;0"))&amp;" brand(s) turned away at the door, the rest delivered; ","")&amp;IF(AND($AB37="Y",IFERROR(IF(INDEX(drops!$C$2:$C$21,MATCH($A37,drops!$A$2:$A$21,0))="","",INDEX(drops!$C$2:$C$21,MATCH($A37,drops!$A$2:$A$21,0))),"")="direct-ship"),"info: first drop: visit in person on T; ","")&amp;IF(AND($U37="front desk",$X37&lt;&gt;"Y"),"info: front desk not agreed: the owner must take it; ",""))</f>
        <v/>
      </c>
    </row>
    <row r="38">
      <c r="D38" s="33" t="n"/>
      <c r="E38" s="9" t="n"/>
      <c r="F38" s="9" t="n"/>
      <c r="G38" s="9" t="n"/>
      <c r="I38" s="33" t="n"/>
      <c r="J38" s="33" t="n"/>
      <c r="N38" s="9" t="n"/>
      <c r="P38" s="26">
        <f>IF($A38="","",IF(IFERROR(IF(INDEX(drops!$I$2:$I$21,MATCH($A38,drops!$A$2:$A$21,0))="","",INDEX(drops!$I$2:$I$21,MATCH($A38,drops!$A$2:$A$21,0))),"")="OK",IFERROR(IF(INDEX(drops!$B$2:$B$21,MATCH($A38,drops!$A$2:$A$21,0))="","",INDEX(drops!$B$2:$B$21,MATCH($A38,drops!$A$2:$A$21,0))),""),""))</f>
        <v/>
      </c>
      <c r="Q38" s="25">
        <f>IF($B38="","",IFERROR(IF(INDEX(offices!$N$2:$N$61,MATCH($B38,offices!$A$2:$A$61,0))="","",INDEX(offices!$N$2:$N$61,MATCH($B38,offices!$A$2:$A$61,0))),""))</f>
        <v/>
      </c>
      <c r="R38" s="25">
        <f>IF($B38="","",IFERROR(IF(INDEX(offices!$O$2:$O$61,MATCH($B38,offices!$A$2:$A$61,0))="","",INDEX(offices!$O$2:$O$61,MATCH($B38,offices!$A$2:$A$61,0))),""))</f>
        <v/>
      </c>
      <c r="S38" s="25">
        <f>IF($B38="","",IFERROR(IF(INDEX(offices!$P$2:$P$61,MATCH($B38,offices!$A$2:$A$61,0))="","",INDEX(offices!$P$2:$P$61,MATCH($B38,offices!$A$2:$A$61,0))),""))</f>
        <v/>
      </c>
      <c r="T38" s="25">
        <f>IF($B38="","",IFERROR(IF(INDEX(offices!$Y$2:$Y$61,MATCH($B38,offices!$A$2:$A$61,0))="","",INDEX(offices!$Y$2:$Y$61,MATCH($B38,offices!$A$2:$A$61,0))),""))</f>
        <v/>
      </c>
      <c r="U38" s="25">
        <f>IF($B38="","",IFERROR(IF(INDEX(offices!$X$2:$X$61,MATCH($B38,offices!$A$2:$A$61,0))="","",INDEX(offices!$X$2:$X$61,MATCH($B38,offices!$A$2:$A$61,0))),""))</f>
        <v/>
      </c>
      <c r="V38" s="25">
        <f>IF($B38="","",IFERROR(IF(INDEX(offices!$U$2:$U$61,MATCH($B38,offices!$A$2:$A$61,0))="","",INDEX(offices!$U$2:$U$61,MATCH($B38,offices!$A$2:$A$61,0))),""))</f>
        <v/>
      </c>
      <c r="W38" s="25">
        <f>IF($B38="","",IFERROR(IF(INDEX(offices!$AI$2:$AI$61,MATCH($B38,offices!$A$2:$A$61,0))="","",INDEX(offices!$AI$2:$AI$61,MATCH($B38,offices!$A$2:$A$61,0))),""))</f>
        <v/>
      </c>
      <c r="X38" s="25">
        <f>IF($B38="","",IFERROR(IF(INDEX(offices!$G$2:$G$61,MATCH($B38,offices!$A$2:$A$61,0))="","",INDEX(offices!$G$2:$G$61,MATCH($B38,offices!$A$2:$A$61,0))),""))</f>
        <v/>
      </c>
      <c r="Y38" s="25">
        <f>IF($B38="","",IFERROR(IF(INDEX(offices!$I$2:$I$61,MATCH($B38,offices!$A$2:$A$61,0))="","",INDEX(offices!$I$2:$I$61,MATCH($B38,offices!$A$2:$A$61,0))),""))</f>
        <v/>
      </c>
      <c r="Z38" s="25">
        <f>IF($A38="","",COUNTIFS(approvals!$H$2:$H$251,$A38,approvals!$B$2:$B$251,$B38,approvals!$P$2:$P$251,"Y"))</f>
        <v/>
      </c>
      <c r="AA38" s="25">
        <f>IF($A38="","",SUMIFS(approvals!$S$2:$S$251,approvals!$H$2:$H$251,$A38,approvals!$B$2:$B$251,$B38,approvals!$P$2:$P$251,"Y"))</f>
        <v/>
      </c>
      <c r="AB38" s="25">
        <f>IF(OR($A38="",$P38=""),"",IF(COUNTIFS(stops!$B$2:$B$151,$B38,stops!$P$2:$P$151,"&lt;"&amp;$P38,stops!$L$2:$L$151,"&lt;&gt;not_delivered")=0,"Y","N"))</f>
        <v/>
      </c>
      <c r="AC38" s="25">
        <f>IF(OR($I38="",$J38=""),"",ROUND(($J38-$I38)*1440,0))</f>
        <v/>
      </c>
      <c r="AD38" s="25">
        <f>IF($A38="","",IF(COUNTIFS(stops!$A$2:$A$151,$A38,stops!$B$2:$B$151,$B38)&gt;1,"DUPLICATE stop; ","")&amp;IF(AND(OR(IFERROR(IF(INDEX(offices!$Z$2:$Z$61,MATCH($B38,offices!$A$2:$A$61,0))="","",INDEX(offices!$Z$2:$Z$61,MATCH($B38,offices!$A$2:$A$61,0))),"")="yes",IFERROR(IF(INDEX(offices!$Z$2:$Z$61,MATCH($B38,offices!$A$2:$A$61,0))="","",INDEX(offices!$Z$2:$Z$61,MATCH($B38,offices!$A$2:$A$61,0))),"")="unsure"),$Y38&lt;&gt;"received",$Y38&lt;&gt;"not_needed"),"building certificate not received; ","")&amp;IF($W38="","owner phone missing; ","")&amp;IF(N($Z38)=0,"no approved brand for this stop; ","")&amp;IF(AND($P38&lt;&gt;"",IF(config!$B$37&lt;&gt;"",config!$B$37,TODAY())&gt;$P38,$L38=""),"log the outcome; ","")&amp;IF(AND(OR($L38="declined",$L38="building_refused",$L38="not_delivered"),N($Z38)&gt;0,COUNTIFS(approvals!$H$2:$H$251,$A38,approvals!$B$2:$B$251,$B38,approvals!$P$2:$P$251,"Y",approvals!$U$2:$U$251,"&gt;0")&gt;=N($Z38)),"outcome says "&amp;$L38&amp;" but every brand here is logged delivered: fix the outcome, or delete the wrong delivered rows (SOP section 4); ","")&amp;IF(AND(OR($L38="declined",$L38="building_refused",$L38="not_delivered"),COUNTIFS(approvals!$H$2:$H$251,$A38,approvals!$B$2:$B$251,$B38,approvals!$P$2:$P$251,"Y",approvals!$U$2:$U$251,"&gt;0")&gt;0,COUNTIFS(approvals!$H$2:$H$251,$A38,approvals!$B$2:$B$251,$B38,approvals!$P$2:$P$251,"Y",approvals!$U$2:$U$251,"&gt;0")&lt;N($Z38)),"info: "&amp;(N($Z38)-COUNTIFS(approvals!$H$2:$H$251,$A38,approvals!$B$2:$B$251,$B38,approvals!$P$2:$P$251,"Y",approvals!$U$2:$U$251,"&gt;0"))&amp;" brand(s) turned away at the door, the rest delivered; ","")&amp;IF(AND($AB38="Y",IFERROR(IF(INDEX(drops!$C$2:$C$21,MATCH($A38,drops!$A$2:$A$21,0))="","",INDEX(drops!$C$2:$C$21,MATCH($A38,drops!$A$2:$A$21,0))),"")="direct-ship"),"info: first drop: visit in person on T; ","")&amp;IF(AND($U38="front desk",$X38&lt;&gt;"Y"),"info: front desk not agreed: the owner must take it; ",""))</f>
        <v/>
      </c>
    </row>
    <row r="39">
      <c r="D39" s="33" t="n"/>
      <c r="E39" s="9" t="n"/>
      <c r="F39" s="9" t="n"/>
      <c r="G39" s="9" t="n"/>
      <c r="I39" s="33" t="n"/>
      <c r="J39" s="33" t="n"/>
      <c r="N39" s="9" t="n"/>
      <c r="P39" s="26">
        <f>IF($A39="","",IF(IFERROR(IF(INDEX(drops!$I$2:$I$21,MATCH($A39,drops!$A$2:$A$21,0))="","",INDEX(drops!$I$2:$I$21,MATCH($A39,drops!$A$2:$A$21,0))),"")="OK",IFERROR(IF(INDEX(drops!$B$2:$B$21,MATCH($A39,drops!$A$2:$A$21,0))="","",INDEX(drops!$B$2:$B$21,MATCH($A39,drops!$A$2:$A$21,0))),""),""))</f>
        <v/>
      </c>
      <c r="Q39" s="25">
        <f>IF($B39="","",IFERROR(IF(INDEX(offices!$N$2:$N$61,MATCH($B39,offices!$A$2:$A$61,0))="","",INDEX(offices!$N$2:$N$61,MATCH($B39,offices!$A$2:$A$61,0))),""))</f>
        <v/>
      </c>
      <c r="R39" s="25">
        <f>IF($B39="","",IFERROR(IF(INDEX(offices!$O$2:$O$61,MATCH($B39,offices!$A$2:$A$61,0))="","",INDEX(offices!$O$2:$O$61,MATCH($B39,offices!$A$2:$A$61,0))),""))</f>
        <v/>
      </c>
      <c r="S39" s="25">
        <f>IF($B39="","",IFERROR(IF(INDEX(offices!$P$2:$P$61,MATCH($B39,offices!$A$2:$A$61,0))="","",INDEX(offices!$P$2:$P$61,MATCH($B39,offices!$A$2:$A$61,0))),""))</f>
        <v/>
      </c>
      <c r="T39" s="25">
        <f>IF($B39="","",IFERROR(IF(INDEX(offices!$Y$2:$Y$61,MATCH($B39,offices!$A$2:$A$61,0))="","",INDEX(offices!$Y$2:$Y$61,MATCH($B39,offices!$A$2:$A$61,0))),""))</f>
        <v/>
      </c>
      <c r="U39" s="25">
        <f>IF($B39="","",IFERROR(IF(INDEX(offices!$X$2:$X$61,MATCH($B39,offices!$A$2:$A$61,0))="","",INDEX(offices!$X$2:$X$61,MATCH($B39,offices!$A$2:$A$61,0))),""))</f>
        <v/>
      </c>
      <c r="V39" s="25">
        <f>IF($B39="","",IFERROR(IF(INDEX(offices!$U$2:$U$61,MATCH($B39,offices!$A$2:$A$61,0))="","",INDEX(offices!$U$2:$U$61,MATCH($B39,offices!$A$2:$A$61,0))),""))</f>
        <v/>
      </c>
      <c r="W39" s="25">
        <f>IF($B39="","",IFERROR(IF(INDEX(offices!$AI$2:$AI$61,MATCH($B39,offices!$A$2:$A$61,0))="","",INDEX(offices!$AI$2:$AI$61,MATCH($B39,offices!$A$2:$A$61,0))),""))</f>
        <v/>
      </c>
      <c r="X39" s="25">
        <f>IF($B39="","",IFERROR(IF(INDEX(offices!$G$2:$G$61,MATCH($B39,offices!$A$2:$A$61,0))="","",INDEX(offices!$G$2:$G$61,MATCH($B39,offices!$A$2:$A$61,0))),""))</f>
        <v/>
      </c>
      <c r="Y39" s="25">
        <f>IF($B39="","",IFERROR(IF(INDEX(offices!$I$2:$I$61,MATCH($B39,offices!$A$2:$A$61,0))="","",INDEX(offices!$I$2:$I$61,MATCH($B39,offices!$A$2:$A$61,0))),""))</f>
        <v/>
      </c>
      <c r="Z39" s="25">
        <f>IF($A39="","",COUNTIFS(approvals!$H$2:$H$251,$A39,approvals!$B$2:$B$251,$B39,approvals!$P$2:$P$251,"Y"))</f>
        <v/>
      </c>
      <c r="AA39" s="25">
        <f>IF($A39="","",SUMIFS(approvals!$S$2:$S$251,approvals!$H$2:$H$251,$A39,approvals!$B$2:$B$251,$B39,approvals!$P$2:$P$251,"Y"))</f>
        <v/>
      </c>
      <c r="AB39" s="25">
        <f>IF(OR($A39="",$P39=""),"",IF(COUNTIFS(stops!$B$2:$B$151,$B39,stops!$P$2:$P$151,"&lt;"&amp;$P39,stops!$L$2:$L$151,"&lt;&gt;not_delivered")=0,"Y","N"))</f>
        <v/>
      </c>
      <c r="AC39" s="25">
        <f>IF(OR($I39="",$J39=""),"",ROUND(($J39-$I39)*1440,0))</f>
        <v/>
      </c>
      <c r="AD39" s="25">
        <f>IF($A39="","",IF(COUNTIFS(stops!$A$2:$A$151,$A39,stops!$B$2:$B$151,$B39)&gt;1,"DUPLICATE stop; ","")&amp;IF(AND(OR(IFERROR(IF(INDEX(offices!$Z$2:$Z$61,MATCH($B39,offices!$A$2:$A$61,0))="","",INDEX(offices!$Z$2:$Z$61,MATCH($B39,offices!$A$2:$A$61,0))),"")="yes",IFERROR(IF(INDEX(offices!$Z$2:$Z$61,MATCH($B39,offices!$A$2:$A$61,0))="","",INDEX(offices!$Z$2:$Z$61,MATCH($B39,offices!$A$2:$A$61,0))),"")="unsure"),$Y39&lt;&gt;"received",$Y39&lt;&gt;"not_needed"),"building certificate not received; ","")&amp;IF($W39="","owner phone missing; ","")&amp;IF(N($Z39)=0,"no approved brand for this stop; ","")&amp;IF(AND($P39&lt;&gt;"",IF(config!$B$37&lt;&gt;"",config!$B$37,TODAY())&gt;$P39,$L39=""),"log the outcome; ","")&amp;IF(AND(OR($L39="declined",$L39="building_refused",$L39="not_delivered"),N($Z39)&gt;0,COUNTIFS(approvals!$H$2:$H$251,$A39,approvals!$B$2:$B$251,$B39,approvals!$P$2:$P$251,"Y",approvals!$U$2:$U$251,"&gt;0")&gt;=N($Z39)),"outcome says "&amp;$L39&amp;" but every brand here is logged delivered: fix the outcome, or delete the wrong delivered rows (SOP section 4); ","")&amp;IF(AND(OR($L39="declined",$L39="building_refused",$L39="not_delivered"),COUNTIFS(approvals!$H$2:$H$251,$A39,approvals!$B$2:$B$251,$B39,approvals!$P$2:$P$251,"Y",approvals!$U$2:$U$251,"&gt;0")&gt;0,COUNTIFS(approvals!$H$2:$H$251,$A39,approvals!$B$2:$B$251,$B39,approvals!$P$2:$P$251,"Y",approvals!$U$2:$U$251,"&gt;0")&lt;N($Z39)),"info: "&amp;(N($Z39)-COUNTIFS(approvals!$H$2:$H$251,$A39,approvals!$B$2:$B$251,$B39,approvals!$P$2:$P$251,"Y",approvals!$U$2:$U$251,"&gt;0"))&amp;" brand(s) turned away at the door, the rest delivered; ","")&amp;IF(AND($AB39="Y",IFERROR(IF(INDEX(drops!$C$2:$C$21,MATCH($A39,drops!$A$2:$A$21,0))="","",INDEX(drops!$C$2:$C$21,MATCH($A39,drops!$A$2:$A$21,0))),"")="direct-ship"),"info: first drop: visit in person on T; ","")&amp;IF(AND($U39="front desk",$X39&lt;&gt;"Y"),"info: front desk not agreed: the owner must take it; ",""))</f>
        <v/>
      </c>
    </row>
    <row r="40">
      <c r="D40" s="33" t="n"/>
      <c r="E40" s="9" t="n"/>
      <c r="F40" s="9" t="n"/>
      <c r="G40" s="9" t="n"/>
      <c r="I40" s="33" t="n"/>
      <c r="J40" s="33" t="n"/>
      <c r="N40" s="9" t="n"/>
      <c r="P40" s="26">
        <f>IF($A40="","",IF(IFERROR(IF(INDEX(drops!$I$2:$I$21,MATCH($A40,drops!$A$2:$A$21,0))="","",INDEX(drops!$I$2:$I$21,MATCH($A40,drops!$A$2:$A$21,0))),"")="OK",IFERROR(IF(INDEX(drops!$B$2:$B$21,MATCH($A40,drops!$A$2:$A$21,0))="","",INDEX(drops!$B$2:$B$21,MATCH($A40,drops!$A$2:$A$21,0))),""),""))</f>
        <v/>
      </c>
      <c r="Q40" s="25">
        <f>IF($B40="","",IFERROR(IF(INDEX(offices!$N$2:$N$61,MATCH($B40,offices!$A$2:$A$61,0))="","",INDEX(offices!$N$2:$N$61,MATCH($B40,offices!$A$2:$A$61,0))),""))</f>
        <v/>
      </c>
      <c r="R40" s="25">
        <f>IF($B40="","",IFERROR(IF(INDEX(offices!$O$2:$O$61,MATCH($B40,offices!$A$2:$A$61,0))="","",INDEX(offices!$O$2:$O$61,MATCH($B40,offices!$A$2:$A$61,0))),""))</f>
        <v/>
      </c>
      <c r="S40" s="25">
        <f>IF($B40="","",IFERROR(IF(INDEX(offices!$P$2:$P$61,MATCH($B40,offices!$A$2:$A$61,0))="","",INDEX(offices!$P$2:$P$61,MATCH($B40,offices!$A$2:$A$61,0))),""))</f>
        <v/>
      </c>
      <c r="T40" s="25">
        <f>IF($B40="","",IFERROR(IF(INDEX(offices!$Y$2:$Y$61,MATCH($B40,offices!$A$2:$A$61,0))="","",INDEX(offices!$Y$2:$Y$61,MATCH($B40,offices!$A$2:$A$61,0))),""))</f>
        <v/>
      </c>
      <c r="U40" s="25">
        <f>IF($B40="","",IFERROR(IF(INDEX(offices!$X$2:$X$61,MATCH($B40,offices!$A$2:$A$61,0))="","",INDEX(offices!$X$2:$X$61,MATCH($B40,offices!$A$2:$A$61,0))),""))</f>
        <v/>
      </c>
      <c r="V40" s="25">
        <f>IF($B40="","",IFERROR(IF(INDEX(offices!$U$2:$U$61,MATCH($B40,offices!$A$2:$A$61,0))="","",INDEX(offices!$U$2:$U$61,MATCH($B40,offices!$A$2:$A$61,0))),""))</f>
        <v/>
      </c>
      <c r="W40" s="25">
        <f>IF($B40="","",IFERROR(IF(INDEX(offices!$AI$2:$AI$61,MATCH($B40,offices!$A$2:$A$61,0))="","",INDEX(offices!$AI$2:$AI$61,MATCH($B40,offices!$A$2:$A$61,0))),""))</f>
        <v/>
      </c>
      <c r="X40" s="25">
        <f>IF($B40="","",IFERROR(IF(INDEX(offices!$G$2:$G$61,MATCH($B40,offices!$A$2:$A$61,0))="","",INDEX(offices!$G$2:$G$61,MATCH($B40,offices!$A$2:$A$61,0))),""))</f>
        <v/>
      </c>
      <c r="Y40" s="25">
        <f>IF($B40="","",IFERROR(IF(INDEX(offices!$I$2:$I$61,MATCH($B40,offices!$A$2:$A$61,0))="","",INDEX(offices!$I$2:$I$61,MATCH($B40,offices!$A$2:$A$61,0))),""))</f>
        <v/>
      </c>
      <c r="Z40" s="25">
        <f>IF($A40="","",COUNTIFS(approvals!$H$2:$H$251,$A40,approvals!$B$2:$B$251,$B40,approvals!$P$2:$P$251,"Y"))</f>
        <v/>
      </c>
      <c r="AA40" s="25">
        <f>IF($A40="","",SUMIFS(approvals!$S$2:$S$251,approvals!$H$2:$H$251,$A40,approvals!$B$2:$B$251,$B40,approvals!$P$2:$P$251,"Y"))</f>
        <v/>
      </c>
      <c r="AB40" s="25">
        <f>IF(OR($A40="",$P40=""),"",IF(COUNTIFS(stops!$B$2:$B$151,$B40,stops!$P$2:$P$151,"&lt;"&amp;$P40,stops!$L$2:$L$151,"&lt;&gt;not_delivered")=0,"Y","N"))</f>
        <v/>
      </c>
      <c r="AC40" s="25">
        <f>IF(OR($I40="",$J40=""),"",ROUND(($J40-$I40)*1440,0))</f>
        <v/>
      </c>
      <c r="AD40" s="25">
        <f>IF($A40="","",IF(COUNTIFS(stops!$A$2:$A$151,$A40,stops!$B$2:$B$151,$B40)&gt;1,"DUPLICATE stop; ","")&amp;IF(AND(OR(IFERROR(IF(INDEX(offices!$Z$2:$Z$61,MATCH($B40,offices!$A$2:$A$61,0))="","",INDEX(offices!$Z$2:$Z$61,MATCH($B40,offices!$A$2:$A$61,0))),"")="yes",IFERROR(IF(INDEX(offices!$Z$2:$Z$61,MATCH($B40,offices!$A$2:$A$61,0))="","",INDEX(offices!$Z$2:$Z$61,MATCH($B40,offices!$A$2:$A$61,0))),"")="unsure"),$Y40&lt;&gt;"received",$Y40&lt;&gt;"not_needed"),"building certificate not received; ","")&amp;IF($W40="","owner phone missing; ","")&amp;IF(N($Z40)=0,"no approved brand for this stop; ","")&amp;IF(AND($P40&lt;&gt;"",IF(config!$B$37&lt;&gt;"",config!$B$37,TODAY())&gt;$P40,$L40=""),"log the outcome; ","")&amp;IF(AND(OR($L40="declined",$L40="building_refused",$L40="not_delivered"),N($Z40)&gt;0,COUNTIFS(approvals!$H$2:$H$251,$A40,approvals!$B$2:$B$251,$B40,approvals!$P$2:$P$251,"Y",approvals!$U$2:$U$251,"&gt;0")&gt;=N($Z40)),"outcome says "&amp;$L40&amp;" but every brand here is logged delivered: fix the outcome, or delete the wrong delivered rows (SOP section 4); ","")&amp;IF(AND(OR($L40="declined",$L40="building_refused",$L40="not_delivered"),COUNTIFS(approvals!$H$2:$H$251,$A40,approvals!$B$2:$B$251,$B40,approvals!$P$2:$P$251,"Y",approvals!$U$2:$U$251,"&gt;0")&gt;0,COUNTIFS(approvals!$H$2:$H$251,$A40,approvals!$B$2:$B$251,$B40,approvals!$P$2:$P$251,"Y",approvals!$U$2:$U$251,"&gt;0")&lt;N($Z40)),"info: "&amp;(N($Z40)-COUNTIFS(approvals!$H$2:$H$251,$A40,approvals!$B$2:$B$251,$B40,approvals!$P$2:$P$251,"Y",approvals!$U$2:$U$251,"&gt;0"))&amp;" brand(s) turned away at the door, the rest delivered; ","")&amp;IF(AND($AB40="Y",IFERROR(IF(INDEX(drops!$C$2:$C$21,MATCH($A40,drops!$A$2:$A$21,0))="","",INDEX(drops!$C$2:$C$21,MATCH($A40,drops!$A$2:$A$21,0))),"")="direct-ship"),"info: first drop: visit in person on T; ","")&amp;IF(AND($U40="front desk",$X40&lt;&gt;"Y"),"info: front desk not agreed: the owner must take it; ",""))</f>
        <v/>
      </c>
    </row>
    <row r="41">
      <c r="D41" s="33" t="n"/>
      <c r="E41" s="9" t="n"/>
      <c r="F41" s="9" t="n"/>
      <c r="G41" s="9" t="n"/>
      <c r="I41" s="33" t="n"/>
      <c r="J41" s="33" t="n"/>
      <c r="N41" s="9" t="n"/>
      <c r="P41" s="26">
        <f>IF($A41="","",IF(IFERROR(IF(INDEX(drops!$I$2:$I$21,MATCH($A41,drops!$A$2:$A$21,0))="","",INDEX(drops!$I$2:$I$21,MATCH($A41,drops!$A$2:$A$21,0))),"")="OK",IFERROR(IF(INDEX(drops!$B$2:$B$21,MATCH($A41,drops!$A$2:$A$21,0))="","",INDEX(drops!$B$2:$B$21,MATCH($A41,drops!$A$2:$A$21,0))),""),""))</f>
        <v/>
      </c>
      <c r="Q41" s="25">
        <f>IF($B41="","",IFERROR(IF(INDEX(offices!$N$2:$N$61,MATCH($B41,offices!$A$2:$A$61,0))="","",INDEX(offices!$N$2:$N$61,MATCH($B41,offices!$A$2:$A$61,0))),""))</f>
        <v/>
      </c>
      <c r="R41" s="25">
        <f>IF($B41="","",IFERROR(IF(INDEX(offices!$O$2:$O$61,MATCH($B41,offices!$A$2:$A$61,0))="","",INDEX(offices!$O$2:$O$61,MATCH($B41,offices!$A$2:$A$61,0))),""))</f>
        <v/>
      </c>
      <c r="S41" s="25">
        <f>IF($B41="","",IFERROR(IF(INDEX(offices!$P$2:$P$61,MATCH($B41,offices!$A$2:$A$61,0))="","",INDEX(offices!$P$2:$P$61,MATCH($B41,offices!$A$2:$A$61,0))),""))</f>
        <v/>
      </c>
      <c r="T41" s="25">
        <f>IF($B41="","",IFERROR(IF(INDEX(offices!$Y$2:$Y$61,MATCH($B41,offices!$A$2:$A$61,0))="","",INDEX(offices!$Y$2:$Y$61,MATCH($B41,offices!$A$2:$A$61,0))),""))</f>
        <v/>
      </c>
      <c r="U41" s="25">
        <f>IF($B41="","",IFERROR(IF(INDEX(offices!$X$2:$X$61,MATCH($B41,offices!$A$2:$A$61,0))="","",INDEX(offices!$X$2:$X$61,MATCH($B41,offices!$A$2:$A$61,0))),""))</f>
        <v/>
      </c>
      <c r="V41" s="25">
        <f>IF($B41="","",IFERROR(IF(INDEX(offices!$U$2:$U$61,MATCH($B41,offices!$A$2:$A$61,0))="","",INDEX(offices!$U$2:$U$61,MATCH($B41,offices!$A$2:$A$61,0))),""))</f>
        <v/>
      </c>
      <c r="W41" s="25">
        <f>IF($B41="","",IFERROR(IF(INDEX(offices!$AI$2:$AI$61,MATCH($B41,offices!$A$2:$A$61,0))="","",INDEX(offices!$AI$2:$AI$61,MATCH($B41,offices!$A$2:$A$61,0))),""))</f>
        <v/>
      </c>
      <c r="X41" s="25">
        <f>IF($B41="","",IFERROR(IF(INDEX(offices!$G$2:$G$61,MATCH($B41,offices!$A$2:$A$61,0))="","",INDEX(offices!$G$2:$G$61,MATCH($B41,offices!$A$2:$A$61,0))),""))</f>
        <v/>
      </c>
      <c r="Y41" s="25">
        <f>IF($B41="","",IFERROR(IF(INDEX(offices!$I$2:$I$61,MATCH($B41,offices!$A$2:$A$61,0))="","",INDEX(offices!$I$2:$I$61,MATCH($B41,offices!$A$2:$A$61,0))),""))</f>
        <v/>
      </c>
      <c r="Z41" s="25">
        <f>IF($A41="","",COUNTIFS(approvals!$H$2:$H$251,$A41,approvals!$B$2:$B$251,$B41,approvals!$P$2:$P$251,"Y"))</f>
        <v/>
      </c>
      <c r="AA41" s="25">
        <f>IF($A41="","",SUMIFS(approvals!$S$2:$S$251,approvals!$H$2:$H$251,$A41,approvals!$B$2:$B$251,$B41,approvals!$P$2:$P$251,"Y"))</f>
        <v/>
      </c>
      <c r="AB41" s="25">
        <f>IF(OR($A41="",$P41=""),"",IF(COUNTIFS(stops!$B$2:$B$151,$B41,stops!$P$2:$P$151,"&lt;"&amp;$P41,stops!$L$2:$L$151,"&lt;&gt;not_delivered")=0,"Y","N"))</f>
        <v/>
      </c>
      <c r="AC41" s="25">
        <f>IF(OR($I41="",$J41=""),"",ROUND(($J41-$I41)*1440,0))</f>
        <v/>
      </c>
      <c r="AD41" s="25">
        <f>IF($A41="","",IF(COUNTIFS(stops!$A$2:$A$151,$A41,stops!$B$2:$B$151,$B41)&gt;1,"DUPLICATE stop; ","")&amp;IF(AND(OR(IFERROR(IF(INDEX(offices!$Z$2:$Z$61,MATCH($B41,offices!$A$2:$A$61,0))="","",INDEX(offices!$Z$2:$Z$61,MATCH($B41,offices!$A$2:$A$61,0))),"")="yes",IFERROR(IF(INDEX(offices!$Z$2:$Z$61,MATCH($B41,offices!$A$2:$A$61,0))="","",INDEX(offices!$Z$2:$Z$61,MATCH($B41,offices!$A$2:$A$61,0))),"")="unsure"),$Y41&lt;&gt;"received",$Y41&lt;&gt;"not_needed"),"building certificate not received; ","")&amp;IF($W41="","owner phone missing; ","")&amp;IF(N($Z41)=0,"no approved brand for this stop; ","")&amp;IF(AND($P41&lt;&gt;"",IF(config!$B$37&lt;&gt;"",config!$B$37,TODAY())&gt;$P41,$L41=""),"log the outcome; ","")&amp;IF(AND(OR($L41="declined",$L41="building_refused",$L41="not_delivered"),N($Z41)&gt;0,COUNTIFS(approvals!$H$2:$H$251,$A41,approvals!$B$2:$B$251,$B41,approvals!$P$2:$P$251,"Y",approvals!$U$2:$U$251,"&gt;0")&gt;=N($Z41)),"outcome says "&amp;$L41&amp;" but every brand here is logged delivered: fix the outcome, or delete the wrong delivered rows (SOP section 4); ","")&amp;IF(AND(OR($L41="declined",$L41="building_refused",$L41="not_delivered"),COUNTIFS(approvals!$H$2:$H$251,$A41,approvals!$B$2:$B$251,$B41,approvals!$P$2:$P$251,"Y",approvals!$U$2:$U$251,"&gt;0")&gt;0,COUNTIFS(approvals!$H$2:$H$251,$A41,approvals!$B$2:$B$251,$B41,approvals!$P$2:$P$251,"Y",approvals!$U$2:$U$251,"&gt;0")&lt;N($Z41)),"info: "&amp;(N($Z41)-COUNTIFS(approvals!$H$2:$H$251,$A41,approvals!$B$2:$B$251,$B41,approvals!$P$2:$P$251,"Y",approvals!$U$2:$U$251,"&gt;0"))&amp;" brand(s) turned away at the door, the rest delivered; ","")&amp;IF(AND($AB41="Y",IFERROR(IF(INDEX(drops!$C$2:$C$21,MATCH($A41,drops!$A$2:$A$21,0))="","",INDEX(drops!$C$2:$C$21,MATCH($A41,drops!$A$2:$A$21,0))),"")="direct-ship"),"info: first drop: visit in person on T; ","")&amp;IF(AND($U41="front desk",$X41&lt;&gt;"Y"),"info: front desk not agreed: the owner must take it; ",""))</f>
        <v/>
      </c>
    </row>
    <row r="42">
      <c r="D42" s="33" t="n"/>
      <c r="E42" s="9" t="n"/>
      <c r="F42" s="9" t="n"/>
      <c r="G42" s="9" t="n"/>
      <c r="I42" s="33" t="n"/>
      <c r="J42" s="33" t="n"/>
      <c r="N42" s="9" t="n"/>
      <c r="P42" s="26">
        <f>IF($A42="","",IF(IFERROR(IF(INDEX(drops!$I$2:$I$21,MATCH($A42,drops!$A$2:$A$21,0))="","",INDEX(drops!$I$2:$I$21,MATCH($A42,drops!$A$2:$A$21,0))),"")="OK",IFERROR(IF(INDEX(drops!$B$2:$B$21,MATCH($A42,drops!$A$2:$A$21,0))="","",INDEX(drops!$B$2:$B$21,MATCH($A42,drops!$A$2:$A$21,0))),""),""))</f>
        <v/>
      </c>
      <c r="Q42" s="25">
        <f>IF($B42="","",IFERROR(IF(INDEX(offices!$N$2:$N$61,MATCH($B42,offices!$A$2:$A$61,0))="","",INDEX(offices!$N$2:$N$61,MATCH($B42,offices!$A$2:$A$61,0))),""))</f>
        <v/>
      </c>
      <c r="R42" s="25">
        <f>IF($B42="","",IFERROR(IF(INDEX(offices!$O$2:$O$61,MATCH($B42,offices!$A$2:$A$61,0))="","",INDEX(offices!$O$2:$O$61,MATCH($B42,offices!$A$2:$A$61,0))),""))</f>
        <v/>
      </c>
      <c r="S42" s="25">
        <f>IF($B42="","",IFERROR(IF(INDEX(offices!$P$2:$P$61,MATCH($B42,offices!$A$2:$A$61,0))="","",INDEX(offices!$P$2:$P$61,MATCH($B42,offices!$A$2:$A$61,0))),""))</f>
        <v/>
      </c>
      <c r="T42" s="25">
        <f>IF($B42="","",IFERROR(IF(INDEX(offices!$Y$2:$Y$61,MATCH($B42,offices!$A$2:$A$61,0))="","",INDEX(offices!$Y$2:$Y$61,MATCH($B42,offices!$A$2:$A$61,0))),""))</f>
        <v/>
      </c>
      <c r="U42" s="25">
        <f>IF($B42="","",IFERROR(IF(INDEX(offices!$X$2:$X$61,MATCH($B42,offices!$A$2:$A$61,0))="","",INDEX(offices!$X$2:$X$61,MATCH($B42,offices!$A$2:$A$61,0))),""))</f>
        <v/>
      </c>
      <c r="V42" s="25">
        <f>IF($B42="","",IFERROR(IF(INDEX(offices!$U$2:$U$61,MATCH($B42,offices!$A$2:$A$61,0))="","",INDEX(offices!$U$2:$U$61,MATCH($B42,offices!$A$2:$A$61,0))),""))</f>
        <v/>
      </c>
      <c r="W42" s="25">
        <f>IF($B42="","",IFERROR(IF(INDEX(offices!$AI$2:$AI$61,MATCH($B42,offices!$A$2:$A$61,0))="","",INDEX(offices!$AI$2:$AI$61,MATCH($B42,offices!$A$2:$A$61,0))),""))</f>
        <v/>
      </c>
      <c r="X42" s="25">
        <f>IF($B42="","",IFERROR(IF(INDEX(offices!$G$2:$G$61,MATCH($B42,offices!$A$2:$A$61,0))="","",INDEX(offices!$G$2:$G$61,MATCH($B42,offices!$A$2:$A$61,0))),""))</f>
        <v/>
      </c>
      <c r="Y42" s="25">
        <f>IF($B42="","",IFERROR(IF(INDEX(offices!$I$2:$I$61,MATCH($B42,offices!$A$2:$A$61,0))="","",INDEX(offices!$I$2:$I$61,MATCH($B42,offices!$A$2:$A$61,0))),""))</f>
        <v/>
      </c>
      <c r="Z42" s="25">
        <f>IF($A42="","",COUNTIFS(approvals!$H$2:$H$251,$A42,approvals!$B$2:$B$251,$B42,approvals!$P$2:$P$251,"Y"))</f>
        <v/>
      </c>
      <c r="AA42" s="25">
        <f>IF($A42="","",SUMIFS(approvals!$S$2:$S$251,approvals!$H$2:$H$251,$A42,approvals!$B$2:$B$251,$B42,approvals!$P$2:$P$251,"Y"))</f>
        <v/>
      </c>
      <c r="AB42" s="25">
        <f>IF(OR($A42="",$P42=""),"",IF(COUNTIFS(stops!$B$2:$B$151,$B42,stops!$P$2:$P$151,"&lt;"&amp;$P42,stops!$L$2:$L$151,"&lt;&gt;not_delivered")=0,"Y","N"))</f>
        <v/>
      </c>
      <c r="AC42" s="25">
        <f>IF(OR($I42="",$J42=""),"",ROUND(($J42-$I42)*1440,0))</f>
        <v/>
      </c>
      <c r="AD42" s="25">
        <f>IF($A42="","",IF(COUNTIFS(stops!$A$2:$A$151,$A42,stops!$B$2:$B$151,$B42)&gt;1,"DUPLICATE stop; ","")&amp;IF(AND(OR(IFERROR(IF(INDEX(offices!$Z$2:$Z$61,MATCH($B42,offices!$A$2:$A$61,0))="","",INDEX(offices!$Z$2:$Z$61,MATCH($B42,offices!$A$2:$A$61,0))),"")="yes",IFERROR(IF(INDEX(offices!$Z$2:$Z$61,MATCH($B42,offices!$A$2:$A$61,0))="","",INDEX(offices!$Z$2:$Z$61,MATCH($B42,offices!$A$2:$A$61,0))),"")="unsure"),$Y42&lt;&gt;"received",$Y42&lt;&gt;"not_needed"),"building certificate not received; ","")&amp;IF($W42="","owner phone missing; ","")&amp;IF(N($Z42)=0,"no approved brand for this stop; ","")&amp;IF(AND($P42&lt;&gt;"",IF(config!$B$37&lt;&gt;"",config!$B$37,TODAY())&gt;$P42,$L42=""),"log the outcome; ","")&amp;IF(AND(OR($L42="declined",$L42="building_refused",$L42="not_delivered"),N($Z42)&gt;0,COUNTIFS(approvals!$H$2:$H$251,$A42,approvals!$B$2:$B$251,$B42,approvals!$P$2:$P$251,"Y",approvals!$U$2:$U$251,"&gt;0")&gt;=N($Z42)),"outcome says "&amp;$L42&amp;" but every brand here is logged delivered: fix the outcome, or delete the wrong delivered rows (SOP section 4); ","")&amp;IF(AND(OR($L42="declined",$L42="building_refused",$L42="not_delivered"),COUNTIFS(approvals!$H$2:$H$251,$A42,approvals!$B$2:$B$251,$B42,approvals!$P$2:$P$251,"Y",approvals!$U$2:$U$251,"&gt;0")&gt;0,COUNTIFS(approvals!$H$2:$H$251,$A42,approvals!$B$2:$B$251,$B42,approvals!$P$2:$P$251,"Y",approvals!$U$2:$U$251,"&gt;0")&lt;N($Z42)),"info: "&amp;(N($Z42)-COUNTIFS(approvals!$H$2:$H$251,$A42,approvals!$B$2:$B$251,$B42,approvals!$P$2:$P$251,"Y",approvals!$U$2:$U$251,"&gt;0"))&amp;" brand(s) turned away at the door, the rest delivered; ","")&amp;IF(AND($AB42="Y",IFERROR(IF(INDEX(drops!$C$2:$C$21,MATCH($A42,drops!$A$2:$A$21,0))="","",INDEX(drops!$C$2:$C$21,MATCH($A42,drops!$A$2:$A$21,0))),"")="direct-ship"),"info: first drop: visit in person on T; ","")&amp;IF(AND($U42="front desk",$X42&lt;&gt;"Y"),"info: front desk not agreed: the owner must take it; ",""))</f>
        <v/>
      </c>
    </row>
    <row r="43">
      <c r="D43" s="33" t="n"/>
      <c r="E43" s="9" t="n"/>
      <c r="F43" s="9" t="n"/>
      <c r="G43" s="9" t="n"/>
      <c r="I43" s="33" t="n"/>
      <c r="J43" s="33" t="n"/>
      <c r="N43" s="9" t="n"/>
      <c r="P43" s="26">
        <f>IF($A43="","",IF(IFERROR(IF(INDEX(drops!$I$2:$I$21,MATCH($A43,drops!$A$2:$A$21,0))="","",INDEX(drops!$I$2:$I$21,MATCH($A43,drops!$A$2:$A$21,0))),"")="OK",IFERROR(IF(INDEX(drops!$B$2:$B$21,MATCH($A43,drops!$A$2:$A$21,0))="","",INDEX(drops!$B$2:$B$21,MATCH($A43,drops!$A$2:$A$21,0))),""),""))</f>
        <v/>
      </c>
      <c r="Q43" s="25">
        <f>IF($B43="","",IFERROR(IF(INDEX(offices!$N$2:$N$61,MATCH($B43,offices!$A$2:$A$61,0))="","",INDEX(offices!$N$2:$N$61,MATCH($B43,offices!$A$2:$A$61,0))),""))</f>
        <v/>
      </c>
      <c r="R43" s="25">
        <f>IF($B43="","",IFERROR(IF(INDEX(offices!$O$2:$O$61,MATCH($B43,offices!$A$2:$A$61,0))="","",INDEX(offices!$O$2:$O$61,MATCH($B43,offices!$A$2:$A$61,0))),""))</f>
        <v/>
      </c>
      <c r="S43" s="25">
        <f>IF($B43="","",IFERROR(IF(INDEX(offices!$P$2:$P$61,MATCH($B43,offices!$A$2:$A$61,0))="","",INDEX(offices!$P$2:$P$61,MATCH($B43,offices!$A$2:$A$61,0))),""))</f>
        <v/>
      </c>
      <c r="T43" s="25">
        <f>IF($B43="","",IFERROR(IF(INDEX(offices!$Y$2:$Y$61,MATCH($B43,offices!$A$2:$A$61,0))="","",INDEX(offices!$Y$2:$Y$61,MATCH($B43,offices!$A$2:$A$61,0))),""))</f>
        <v/>
      </c>
      <c r="U43" s="25">
        <f>IF($B43="","",IFERROR(IF(INDEX(offices!$X$2:$X$61,MATCH($B43,offices!$A$2:$A$61,0))="","",INDEX(offices!$X$2:$X$61,MATCH($B43,offices!$A$2:$A$61,0))),""))</f>
        <v/>
      </c>
      <c r="V43" s="25">
        <f>IF($B43="","",IFERROR(IF(INDEX(offices!$U$2:$U$61,MATCH($B43,offices!$A$2:$A$61,0))="","",INDEX(offices!$U$2:$U$61,MATCH($B43,offices!$A$2:$A$61,0))),""))</f>
        <v/>
      </c>
      <c r="W43" s="25">
        <f>IF($B43="","",IFERROR(IF(INDEX(offices!$AI$2:$AI$61,MATCH($B43,offices!$A$2:$A$61,0))="","",INDEX(offices!$AI$2:$AI$61,MATCH($B43,offices!$A$2:$A$61,0))),""))</f>
        <v/>
      </c>
      <c r="X43" s="25">
        <f>IF($B43="","",IFERROR(IF(INDEX(offices!$G$2:$G$61,MATCH($B43,offices!$A$2:$A$61,0))="","",INDEX(offices!$G$2:$G$61,MATCH($B43,offices!$A$2:$A$61,0))),""))</f>
        <v/>
      </c>
      <c r="Y43" s="25">
        <f>IF($B43="","",IFERROR(IF(INDEX(offices!$I$2:$I$61,MATCH($B43,offices!$A$2:$A$61,0))="","",INDEX(offices!$I$2:$I$61,MATCH($B43,offices!$A$2:$A$61,0))),""))</f>
        <v/>
      </c>
      <c r="Z43" s="25">
        <f>IF($A43="","",COUNTIFS(approvals!$H$2:$H$251,$A43,approvals!$B$2:$B$251,$B43,approvals!$P$2:$P$251,"Y"))</f>
        <v/>
      </c>
      <c r="AA43" s="25">
        <f>IF($A43="","",SUMIFS(approvals!$S$2:$S$251,approvals!$H$2:$H$251,$A43,approvals!$B$2:$B$251,$B43,approvals!$P$2:$P$251,"Y"))</f>
        <v/>
      </c>
      <c r="AB43" s="25">
        <f>IF(OR($A43="",$P43=""),"",IF(COUNTIFS(stops!$B$2:$B$151,$B43,stops!$P$2:$P$151,"&lt;"&amp;$P43,stops!$L$2:$L$151,"&lt;&gt;not_delivered")=0,"Y","N"))</f>
        <v/>
      </c>
      <c r="AC43" s="25">
        <f>IF(OR($I43="",$J43=""),"",ROUND(($J43-$I43)*1440,0))</f>
        <v/>
      </c>
      <c r="AD43" s="25">
        <f>IF($A43="","",IF(COUNTIFS(stops!$A$2:$A$151,$A43,stops!$B$2:$B$151,$B43)&gt;1,"DUPLICATE stop; ","")&amp;IF(AND(OR(IFERROR(IF(INDEX(offices!$Z$2:$Z$61,MATCH($B43,offices!$A$2:$A$61,0))="","",INDEX(offices!$Z$2:$Z$61,MATCH($B43,offices!$A$2:$A$61,0))),"")="yes",IFERROR(IF(INDEX(offices!$Z$2:$Z$61,MATCH($B43,offices!$A$2:$A$61,0))="","",INDEX(offices!$Z$2:$Z$61,MATCH($B43,offices!$A$2:$A$61,0))),"")="unsure"),$Y43&lt;&gt;"received",$Y43&lt;&gt;"not_needed"),"building certificate not received; ","")&amp;IF($W43="","owner phone missing; ","")&amp;IF(N($Z43)=0,"no approved brand for this stop; ","")&amp;IF(AND($P43&lt;&gt;"",IF(config!$B$37&lt;&gt;"",config!$B$37,TODAY())&gt;$P43,$L43=""),"log the outcome; ","")&amp;IF(AND(OR($L43="declined",$L43="building_refused",$L43="not_delivered"),N($Z43)&gt;0,COUNTIFS(approvals!$H$2:$H$251,$A43,approvals!$B$2:$B$251,$B43,approvals!$P$2:$P$251,"Y",approvals!$U$2:$U$251,"&gt;0")&gt;=N($Z43)),"outcome says "&amp;$L43&amp;" but every brand here is logged delivered: fix the outcome, or delete the wrong delivered rows (SOP section 4); ","")&amp;IF(AND(OR($L43="declined",$L43="building_refused",$L43="not_delivered"),COUNTIFS(approvals!$H$2:$H$251,$A43,approvals!$B$2:$B$251,$B43,approvals!$P$2:$P$251,"Y",approvals!$U$2:$U$251,"&gt;0")&gt;0,COUNTIFS(approvals!$H$2:$H$251,$A43,approvals!$B$2:$B$251,$B43,approvals!$P$2:$P$251,"Y",approvals!$U$2:$U$251,"&gt;0")&lt;N($Z43)),"info: "&amp;(N($Z43)-COUNTIFS(approvals!$H$2:$H$251,$A43,approvals!$B$2:$B$251,$B43,approvals!$P$2:$P$251,"Y",approvals!$U$2:$U$251,"&gt;0"))&amp;" brand(s) turned away at the door, the rest delivered; ","")&amp;IF(AND($AB43="Y",IFERROR(IF(INDEX(drops!$C$2:$C$21,MATCH($A43,drops!$A$2:$A$21,0))="","",INDEX(drops!$C$2:$C$21,MATCH($A43,drops!$A$2:$A$21,0))),"")="direct-ship"),"info: first drop: visit in person on T; ","")&amp;IF(AND($U43="front desk",$X43&lt;&gt;"Y"),"info: front desk not agreed: the owner must take it; ",""))</f>
        <v/>
      </c>
    </row>
    <row r="44">
      <c r="D44" s="33" t="n"/>
      <c r="E44" s="9" t="n"/>
      <c r="F44" s="9" t="n"/>
      <c r="G44" s="9" t="n"/>
      <c r="I44" s="33" t="n"/>
      <c r="J44" s="33" t="n"/>
      <c r="N44" s="9" t="n"/>
      <c r="P44" s="26">
        <f>IF($A44="","",IF(IFERROR(IF(INDEX(drops!$I$2:$I$21,MATCH($A44,drops!$A$2:$A$21,0))="","",INDEX(drops!$I$2:$I$21,MATCH($A44,drops!$A$2:$A$21,0))),"")="OK",IFERROR(IF(INDEX(drops!$B$2:$B$21,MATCH($A44,drops!$A$2:$A$21,0))="","",INDEX(drops!$B$2:$B$21,MATCH($A44,drops!$A$2:$A$21,0))),""),""))</f>
        <v/>
      </c>
      <c r="Q44" s="25">
        <f>IF($B44="","",IFERROR(IF(INDEX(offices!$N$2:$N$61,MATCH($B44,offices!$A$2:$A$61,0))="","",INDEX(offices!$N$2:$N$61,MATCH($B44,offices!$A$2:$A$61,0))),""))</f>
        <v/>
      </c>
      <c r="R44" s="25">
        <f>IF($B44="","",IFERROR(IF(INDEX(offices!$O$2:$O$61,MATCH($B44,offices!$A$2:$A$61,0))="","",INDEX(offices!$O$2:$O$61,MATCH($B44,offices!$A$2:$A$61,0))),""))</f>
        <v/>
      </c>
      <c r="S44" s="25">
        <f>IF($B44="","",IFERROR(IF(INDEX(offices!$P$2:$P$61,MATCH($B44,offices!$A$2:$A$61,0))="","",INDEX(offices!$P$2:$P$61,MATCH($B44,offices!$A$2:$A$61,0))),""))</f>
        <v/>
      </c>
      <c r="T44" s="25">
        <f>IF($B44="","",IFERROR(IF(INDEX(offices!$Y$2:$Y$61,MATCH($B44,offices!$A$2:$A$61,0))="","",INDEX(offices!$Y$2:$Y$61,MATCH($B44,offices!$A$2:$A$61,0))),""))</f>
        <v/>
      </c>
      <c r="U44" s="25">
        <f>IF($B44="","",IFERROR(IF(INDEX(offices!$X$2:$X$61,MATCH($B44,offices!$A$2:$A$61,0))="","",INDEX(offices!$X$2:$X$61,MATCH($B44,offices!$A$2:$A$61,0))),""))</f>
        <v/>
      </c>
      <c r="V44" s="25">
        <f>IF($B44="","",IFERROR(IF(INDEX(offices!$U$2:$U$61,MATCH($B44,offices!$A$2:$A$61,0))="","",INDEX(offices!$U$2:$U$61,MATCH($B44,offices!$A$2:$A$61,0))),""))</f>
        <v/>
      </c>
      <c r="W44" s="25">
        <f>IF($B44="","",IFERROR(IF(INDEX(offices!$AI$2:$AI$61,MATCH($B44,offices!$A$2:$A$61,0))="","",INDEX(offices!$AI$2:$AI$61,MATCH($B44,offices!$A$2:$A$61,0))),""))</f>
        <v/>
      </c>
      <c r="X44" s="25">
        <f>IF($B44="","",IFERROR(IF(INDEX(offices!$G$2:$G$61,MATCH($B44,offices!$A$2:$A$61,0))="","",INDEX(offices!$G$2:$G$61,MATCH($B44,offices!$A$2:$A$61,0))),""))</f>
        <v/>
      </c>
      <c r="Y44" s="25">
        <f>IF($B44="","",IFERROR(IF(INDEX(offices!$I$2:$I$61,MATCH($B44,offices!$A$2:$A$61,0))="","",INDEX(offices!$I$2:$I$61,MATCH($B44,offices!$A$2:$A$61,0))),""))</f>
        <v/>
      </c>
      <c r="Z44" s="25">
        <f>IF($A44="","",COUNTIFS(approvals!$H$2:$H$251,$A44,approvals!$B$2:$B$251,$B44,approvals!$P$2:$P$251,"Y"))</f>
        <v/>
      </c>
      <c r="AA44" s="25">
        <f>IF($A44="","",SUMIFS(approvals!$S$2:$S$251,approvals!$H$2:$H$251,$A44,approvals!$B$2:$B$251,$B44,approvals!$P$2:$P$251,"Y"))</f>
        <v/>
      </c>
      <c r="AB44" s="25">
        <f>IF(OR($A44="",$P44=""),"",IF(COUNTIFS(stops!$B$2:$B$151,$B44,stops!$P$2:$P$151,"&lt;"&amp;$P44,stops!$L$2:$L$151,"&lt;&gt;not_delivered")=0,"Y","N"))</f>
        <v/>
      </c>
      <c r="AC44" s="25">
        <f>IF(OR($I44="",$J44=""),"",ROUND(($J44-$I44)*1440,0))</f>
        <v/>
      </c>
      <c r="AD44" s="25">
        <f>IF($A44="","",IF(COUNTIFS(stops!$A$2:$A$151,$A44,stops!$B$2:$B$151,$B44)&gt;1,"DUPLICATE stop; ","")&amp;IF(AND(OR(IFERROR(IF(INDEX(offices!$Z$2:$Z$61,MATCH($B44,offices!$A$2:$A$61,0))="","",INDEX(offices!$Z$2:$Z$61,MATCH($B44,offices!$A$2:$A$61,0))),"")="yes",IFERROR(IF(INDEX(offices!$Z$2:$Z$61,MATCH($B44,offices!$A$2:$A$61,0))="","",INDEX(offices!$Z$2:$Z$61,MATCH($B44,offices!$A$2:$A$61,0))),"")="unsure"),$Y44&lt;&gt;"received",$Y44&lt;&gt;"not_needed"),"building certificate not received; ","")&amp;IF($W44="","owner phone missing; ","")&amp;IF(N($Z44)=0,"no approved brand for this stop; ","")&amp;IF(AND($P44&lt;&gt;"",IF(config!$B$37&lt;&gt;"",config!$B$37,TODAY())&gt;$P44,$L44=""),"log the outcome; ","")&amp;IF(AND(OR($L44="declined",$L44="building_refused",$L44="not_delivered"),N($Z44)&gt;0,COUNTIFS(approvals!$H$2:$H$251,$A44,approvals!$B$2:$B$251,$B44,approvals!$P$2:$P$251,"Y",approvals!$U$2:$U$251,"&gt;0")&gt;=N($Z44)),"outcome says "&amp;$L44&amp;" but every brand here is logged delivered: fix the outcome, or delete the wrong delivered rows (SOP section 4); ","")&amp;IF(AND(OR($L44="declined",$L44="building_refused",$L44="not_delivered"),COUNTIFS(approvals!$H$2:$H$251,$A44,approvals!$B$2:$B$251,$B44,approvals!$P$2:$P$251,"Y",approvals!$U$2:$U$251,"&gt;0")&gt;0,COUNTIFS(approvals!$H$2:$H$251,$A44,approvals!$B$2:$B$251,$B44,approvals!$P$2:$P$251,"Y",approvals!$U$2:$U$251,"&gt;0")&lt;N($Z44)),"info: "&amp;(N($Z44)-COUNTIFS(approvals!$H$2:$H$251,$A44,approvals!$B$2:$B$251,$B44,approvals!$P$2:$P$251,"Y",approvals!$U$2:$U$251,"&gt;0"))&amp;" brand(s) turned away at the door, the rest delivered; ","")&amp;IF(AND($AB44="Y",IFERROR(IF(INDEX(drops!$C$2:$C$21,MATCH($A44,drops!$A$2:$A$21,0))="","",INDEX(drops!$C$2:$C$21,MATCH($A44,drops!$A$2:$A$21,0))),"")="direct-ship"),"info: first drop: visit in person on T; ","")&amp;IF(AND($U44="front desk",$X44&lt;&gt;"Y"),"info: front desk not agreed: the owner must take it; ",""))</f>
        <v/>
      </c>
    </row>
    <row r="45">
      <c r="D45" s="33" t="n"/>
      <c r="E45" s="9" t="n"/>
      <c r="F45" s="9" t="n"/>
      <c r="G45" s="9" t="n"/>
      <c r="I45" s="33" t="n"/>
      <c r="J45" s="33" t="n"/>
      <c r="N45" s="9" t="n"/>
      <c r="P45" s="26">
        <f>IF($A45="","",IF(IFERROR(IF(INDEX(drops!$I$2:$I$21,MATCH($A45,drops!$A$2:$A$21,0))="","",INDEX(drops!$I$2:$I$21,MATCH($A45,drops!$A$2:$A$21,0))),"")="OK",IFERROR(IF(INDEX(drops!$B$2:$B$21,MATCH($A45,drops!$A$2:$A$21,0))="","",INDEX(drops!$B$2:$B$21,MATCH($A45,drops!$A$2:$A$21,0))),""),""))</f>
        <v/>
      </c>
      <c r="Q45" s="25">
        <f>IF($B45="","",IFERROR(IF(INDEX(offices!$N$2:$N$61,MATCH($B45,offices!$A$2:$A$61,0))="","",INDEX(offices!$N$2:$N$61,MATCH($B45,offices!$A$2:$A$61,0))),""))</f>
        <v/>
      </c>
      <c r="R45" s="25">
        <f>IF($B45="","",IFERROR(IF(INDEX(offices!$O$2:$O$61,MATCH($B45,offices!$A$2:$A$61,0))="","",INDEX(offices!$O$2:$O$61,MATCH($B45,offices!$A$2:$A$61,0))),""))</f>
        <v/>
      </c>
      <c r="S45" s="25">
        <f>IF($B45="","",IFERROR(IF(INDEX(offices!$P$2:$P$61,MATCH($B45,offices!$A$2:$A$61,0))="","",INDEX(offices!$P$2:$P$61,MATCH($B45,offices!$A$2:$A$61,0))),""))</f>
        <v/>
      </c>
      <c r="T45" s="25">
        <f>IF($B45="","",IFERROR(IF(INDEX(offices!$Y$2:$Y$61,MATCH($B45,offices!$A$2:$A$61,0))="","",INDEX(offices!$Y$2:$Y$61,MATCH($B45,offices!$A$2:$A$61,0))),""))</f>
        <v/>
      </c>
      <c r="U45" s="25">
        <f>IF($B45="","",IFERROR(IF(INDEX(offices!$X$2:$X$61,MATCH($B45,offices!$A$2:$A$61,0))="","",INDEX(offices!$X$2:$X$61,MATCH($B45,offices!$A$2:$A$61,0))),""))</f>
        <v/>
      </c>
      <c r="V45" s="25">
        <f>IF($B45="","",IFERROR(IF(INDEX(offices!$U$2:$U$61,MATCH($B45,offices!$A$2:$A$61,0))="","",INDEX(offices!$U$2:$U$61,MATCH($B45,offices!$A$2:$A$61,0))),""))</f>
        <v/>
      </c>
      <c r="W45" s="25">
        <f>IF($B45="","",IFERROR(IF(INDEX(offices!$AI$2:$AI$61,MATCH($B45,offices!$A$2:$A$61,0))="","",INDEX(offices!$AI$2:$AI$61,MATCH($B45,offices!$A$2:$A$61,0))),""))</f>
        <v/>
      </c>
      <c r="X45" s="25">
        <f>IF($B45="","",IFERROR(IF(INDEX(offices!$G$2:$G$61,MATCH($B45,offices!$A$2:$A$61,0))="","",INDEX(offices!$G$2:$G$61,MATCH($B45,offices!$A$2:$A$61,0))),""))</f>
        <v/>
      </c>
      <c r="Y45" s="25">
        <f>IF($B45="","",IFERROR(IF(INDEX(offices!$I$2:$I$61,MATCH($B45,offices!$A$2:$A$61,0))="","",INDEX(offices!$I$2:$I$61,MATCH($B45,offices!$A$2:$A$61,0))),""))</f>
        <v/>
      </c>
      <c r="Z45" s="25">
        <f>IF($A45="","",COUNTIFS(approvals!$H$2:$H$251,$A45,approvals!$B$2:$B$251,$B45,approvals!$P$2:$P$251,"Y"))</f>
        <v/>
      </c>
      <c r="AA45" s="25">
        <f>IF($A45="","",SUMIFS(approvals!$S$2:$S$251,approvals!$H$2:$H$251,$A45,approvals!$B$2:$B$251,$B45,approvals!$P$2:$P$251,"Y"))</f>
        <v/>
      </c>
      <c r="AB45" s="25">
        <f>IF(OR($A45="",$P45=""),"",IF(COUNTIFS(stops!$B$2:$B$151,$B45,stops!$P$2:$P$151,"&lt;"&amp;$P45,stops!$L$2:$L$151,"&lt;&gt;not_delivered")=0,"Y","N"))</f>
        <v/>
      </c>
      <c r="AC45" s="25">
        <f>IF(OR($I45="",$J45=""),"",ROUND(($J45-$I45)*1440,0))</f>
        <v/>
      </c>
      <c r="AD45" s="25">
        <f>IF($A45="","",IF(COUNTIFS(stops!$A$2:$A$151,$A45,stops!$B$2:$B$151,$B45)&gt;1,"DUPLICATE stop; ","")&amp;IF(AND(OR(IFERROR(IF(INDEX(offices!$Z$2:$Z$61,MATCH($B45,offices!$A$2:$A$61,0))="","",INDEX(offices!$Z$2:$Z$61,MATCH($B45,offices!$A$2:$A$61,0))),"")="yes",IFERROR(IF(INDEX(offices!$Z$2:$Z$61,MATCH($B45,offices!$A$2:$A$61,0))="","",INDEX(offices!$Z$2:$Z$61,MATCH($B45,offices!$A$2:$A$61,0))),"")="unsure"),$Y45&lt;&gt;"received",$Y45&lt;&gt;"not_needed"),"building certificate not received; ","")&amp;IF($W45="","owner phone missing; ","")&amp;IF(N($Z45)=0,"no approved brand for this stop; ","")&amp;IF(AND($P45&lt;&gt;"",IF(config!$B$37&lt;&gt;"",config!$B$37,TODAY())&gt;$P45,$L45=""),"log the outcome; ","")&amp;IF(AND(OR($L45="declined",$L45="building_refused",$L45="not_delivered"),N($Z45)&gt;0,COUNTIFS(approvals!$H$2:$H$251,$A45,approvals!$B$2:$B$251,$B45,approvals!$P$2:$P$251,"Y",approvals!$U$2:$U$251,"&gt;0")&gt;=N($Z45)),"outcome says "&amp;$L45&amp;" but every brand here is logged delivered: fix the outcome, or delete the wrong delivered rows (SOP section 4); ","")&amp;IF(AND(OR($L45="declined",$L45="building_refused",$L45="not_delivered"),COUNTIFS(approvals!$H$2:$H$251,$A45,approvals!$B$2:$B$251,$B45,approvals!$P$2:$P$251,"Y",approvals!$U$2:$U$251,"&gt;0")&gt;0,COUNTIFS(approvals!$H$2:$H$251,$A45,approvals!$B$2:$B$251,$B45,approvals!$P$2:$P$251,"Y",approvals!$U$2:$U$251,"&gt;0")&lt;N($Z45)),"info: "&amp;(N($Z45)-COUNTIFS(approvals!$H$2:$H$251,$A45,approvals!$B$2:$B$251,$B45,approvals!$P$2:$P$251,"Y",approvals!$U$2:$U$251,"&gt;0"))&amp;" brand(s) turned away at the door, the rest delivered; ","")&amp;IF(AND($AB45="Y",IFERROR(IF(INDEX(drops!$C$2:$C$21,MATCH($A45,drops!$A$2:$A$21,0))="","",INDEX(drops!$C$2:$C$21,MATCH($A45,drops!$A$2:$A$21,0))),"")="direct-ship"),"info: first drop: visit in person on T; ","")&amp;IF(AND($U45="front desk",$X45&lt;&gt;"Y"),"info: front desk not agreed: the owner must take it; ",""))</f>
        <v/>
      </c>
    </row>
    <row r="46">
      <c r="D46" s="33" t="n"/>
      <c r="E46" s="9" t="n"/>
      <c r="F46" s="9" t="n"/>
      <c r="G46" s="9" t="n"/>
      <c r="I46" s="33" t="n"/>
      <c r="J46" s="33" t="n"/>
      <c r="N46" s="9" t="n"/>
      <c r="P46" s="26">
        <f>IF($A46="","",IF(IFERROR(IF(INDEX(drops!$I$2:$I$21,MATCH($A46,drops!$A$2:$A$21,0))="","",INDEX(drops!$I$2:$I$21,MATCH($A46,drops!$A$2:$A$21,0))),"")="OK",IFERROR(IF(INDEX(drops!$B$2:$B$21,MATCH($A46,drops!$A$2:$A$21,0))="","",INDEX(drops!$B$2:$B$21,MATCH($A46,drops!$A$2:$A$21,0))),""),""))</f>
        <v/>
      </c>
      <c r="Q46" s="25">
        <f>IF($B46="","",IFERROR(IF(INDEX(offices!$N$2:$N$61,MATCH($B46,offices!$A$2:$A$61,0))="","",INDEX(offices!$N$2:$N$61,MATCH($B46,offices!$A$2:$A$61,0))),""))</f>
        <v/>
      </c>
      <c r="R46" s="25">
        <f>IF($B46="","",IFERROR(IF(INDEX(offices!$O$2:$O$61,MATCH($B46,offices!$A$2:$A$61,0))="","",INDEX(offices!$O$2:$O$61,MATCH($B46,offices!$A$2:$A$61,0))),""))</f>
        <v/>
      </c>
      <c r="S46" s="25">
        <f>IF($B46="","",IFERROR(IF(INDEX(offices!$P$2:$P$61,MATCH($B46,offices!$A$2:$A$61,0))="","",INDEX(offices!$P$2:$P$61,MATCH($B46,offices!$A$2:$A$61,0))),""))</f>
        <v/>
      </c>
      <c r="T46" s="25">
        <f>IF($B46="","",IFERROR(IF(INDEX(offices!$Y$2:$Y$61,MATCH($B46,offices!$A$2:$A$61,0))="","",INDEX(offices!$Y$2:$Y$61,MATCH($B46,offices!$A$2:$A$61,0))),""))</f>
        <v/>
      </c>
      <c r="U46" s="25">
        <f>IF($B46="","",IFERROR(IF(INDEX(offices!$X$2:$X$61,MATCH($B46,offices!$A$2:$A$61,0))="","",INDEX(offices!$X$2:$X$61,MATCH($B46,offices!$A$2:$A$61,0))),""))</f>
        <v/>
      </c>
      <c r="V46" s="25">
        <f>IF($B46="","",IFERROR(IF(INDEX(offices!$U$2:$U$61,MATCH($B46,offices!$A$2:$A$61,0))="","",INDEX(offices!$U$2:$U$61,MATCH($B46,offices!$A$2:$A$61,0))),""))</f>
        <v/>
      </c>
      <c r="W46" s="25">
        <f>IF($B46="","",IFERROR(IF(INDEX(offices!$AI$2:$AI$61,MATCH($B46,offices!$A$2:$A$61,0))="","",INDEX(offices!$AI$2:$AI$61,MATCH($B46,offices!$A$2:$A$61,0))),""))</f>
        <v/>
      </c>
      <c r="X46" s="25">
        <f>IF($B46="","",IFERROR(IF(INDEX(offices!$G$2:$G$61,MATCH($B46,offices!$A$2:$A$61,0))="","",INDEX(offices!$G$2:$G$61,MATCH($B46,offices!$A$2:$A$61,0))),""))</f>
        <v/>
      </c>
      <c r="Y46" s="25">
        <f>IF($B46="","",IFERROR(IF(INDEX(offices!$I$2:$I$61,MATCH($B46,offices!$A$2:$A$61,0))="","",INDEX(offices!$I$2:$I$61,MATCH($B46,offices!$A$2:$A$61,0))),""))</f>
        <v/>
      </c>
      <c r="Z46" s="25">
        <f>IF($A46="","",COUNTIFS(approvals!$H$2:$H$251,$A46,approvals!$B$2:$B$251,$B46,approvals!$P$2:$P$251,"Y"))</f>
        <v/>
      </c>
      <c r="AA46" s="25">
        <f>IF($A46="","",SUMIFS(approvals!$S$2:$S$251,approvals!$H$2:$H$251,$A46,approvals!$B$2:$B$251,$B46,approvals!$P$2:$P$251,"Y"))</f>
        <v/>
      </c>
      <c r="AB46" s="25">
        <f>IF(OR($A46="",$P46=""),"",IF(COUNTIFS(stops!$B$2:$B$151,$B46,stops!$P$2:$P$151,"&lt;"&amp;$P46,stops!$L$2:$L$151,"&lt;&gt;not_delivered")=0,"Y","N"))</f>
        <v/>
      </c>
      <c r="AC46" s="25">
        <f>IF(OR($I46="",$J46=""),"",ROUND(($J46-$I46)*1440,0))</f>
        <v/>
      </c>
      <c r="AD46" s="25">
        <f>IF($A46="","",IF(COUNTIFS(stops!$A$2:$A$151,$A46,stops!$B$2:$B$151,$B46)&gt;1,"DUPLICATE stop; ","")&amp;IF(AND(OR(IFERROR(IF(INDEX(offices!$Z$2:$Z$61,MATCH($B46,offices!$A$2:$A$61,0))="","",INDEX(offices!$Z$2:$Z$61,MATCH($B46,offices!$A$2:$A$61,0))),"")="yes",IFERROR(IF(INDEX(offices!$Z$2:$Z$61,MATCH($B46,offices!$A$2:$A$61,0))="","",INDEX(offices!$Z$2:$Z$61,MATCH($B46,offices!$A$2:$A$61,0))),"")="unsure"),$Y46&lt;&gt;"received",$Y46&lt;&gt;"not_needed"),"building certificate not received; ","")&amp;IF($W46="","owner phone missing; ","")&amp;IF(N($Z46)=0,"no approved brand for this stop; ","")&amp;IF(AND($P46&lt;&gt;"",IF(config!$B$37&lt;&gt;"",config!$B$37,TODAY())&gt;$P46,$L46=""),"log the outcome; ","")&amp;IF(AND(OR($L46="declined",$L46="building_refused",$L46="not_delivered"),N($Z46)&gt;0,COUNTIFS(approvals!$H$2:$H$251,$A46,approvals!$B$2:$B$251,$B46,approvals!$P$2:$P$251,"Y",approvals!$U$2:$U$251,"&gt;0")&gt;=N($Z46)),"outcome says "&amp;$L46&amp;" but every brand here is logged delivered: fix the outcome, or delete the wrong delivered rows (SOP section 4); ","")&amp;IF(AND(OR($L46="declined",$L46="building_refused",$L46="not_delivered"),COUNTIFS(approvals!$H$2:$H$251,$A46,approvals!$B$2:$B$251,$B46,approvals!$P$2:$P$251,"Y",approvals!$U$2:$U$251,"&gt;0")&gt;0,COUNTIFS(approvals!$H$2:$H$251,$A46,approvals!$B$2:$B$251,$B46,approvals!$P$2:$P$251,"Y",approvals!$U$2:$U$251,"&gt;0")&lt;N($Z46)),"info: "&amp;(N($Z46)-COUNTIFS(approvals!$H$2:$H$251,$A46,approvals!$B$2:$B$251,$B46,approvals!$P$2:$P$251,"Y",approvals!$U$2:$U$251,"&gt;0"))&amp;" brand(s) turned away at the door, the rest delivered; ","")&amp;IF(AND($AB46="Y",IFERROR(IF(INDEX(drops!$C$2:$C$21,MATCH($A46,drops!$A$2:$A$21,0))="","",INDEX(drops!$C$2:$C$21,MATCH($A46,drops!$A$2:$A$21,0))),"")="direct-ship"),"info: first drop: visit in person on T; ","")&amp;IF(AND($U46="front desk",$X46&lt;&gt;"Y"),"info: front desk not agreed: the owner must take it; ",""))</f>
        <v/>
      </c>
    </row>
    <row r="47">
      <c r="D47" s="33" t="n"/>
      <c r="E47" s="9" t="n"/>
      <c r="F47" s="9" t="n"/>
      <c r="G47" s="9" t="n"/>
      <c r="I47" s="33" t="n"/>
      <c r="J47" s="33" t="n"/>
      <c r="N47" s="9" t="n"/>
      <c r="P47" s="26">
        <f>IF($A47="","",IF(IFERROR(IF(INDEX(drops!$I$2:$I$21,MATCH($A47,drops!$A$2:$A$21,0))="","",INDEX(drops!$I$2:$I$21,MATCH($A47,drops!$A$2:$A$21,0))),"")="OK",IFERROR(IF(INDEX(drops!$B$2:$B$21,MATCH($A47,drops!$A$2:$A$21,0))="","",INDEX(drops!$B$2:$B$21,MATCH($A47,drops!$A$2:$A$21,0))),""),""))</f>
        <v/>
      </c>
      <c r="Q47" s="25">
        <f>IF($B47="","",IFERROR(IF(INDEX(offices!$N$2:$N$61,MATCH($B47,offices!$A$2:$A$61,0))="","",INDEX(offices!$N$2:$N$61,MATCH($B47,offices!$A$2:$A$61,0))),""))</f>
        <v/>
      </c>
      <c r="R47" s="25">
        <f>IF($B47="","",IFERROR(IF(INDEX(offices!$O$2:$O$61,MATCH($B47,offices!$A$2:$A$61,0))="","",INDEX(offices!$O$2:$O$61,MATCH($B47,offices!$A$2:$A$61,0))),""))</f>
        <v/>
      </c>
      <c r="S47" s="25">
        <f>IF($B47="","",IFERROR(IF(INDEX(offices!$P$2:$P$61,MATCH($B47,offices!$A$2:$A$61,0))="","",INDEX(offices!$P$2:$P$61,MATCH($B47,offices!$A$2:$A$61,0))),""))</f>
        <v/>
      </c>
      <c r="T47" s="25">
        <f>IF($B47="","",IFERROR(IF(INDEX(offices!$Y$2:$Y$61,MATCH($B47,offices!$A$2:$A$61,0))="","",INDEX(offices!$Y$2:$Y$61,MATCH($B47,offices!$A$2:$A$61,0))),""))</f>
        <v/>
      </c>
      <c r="U47" s="25">
        <f>IF($B47="","",IFERROR(IF(INDEX(offices!$X$2:$X$61,MATCH($B47,offices!$A$2:$A$61,0))="","",INDEX(offices!$X$2:$X$61,MATCH($B47,offices!$A$2:$A$61,0))),""))</f>
        <v/>
      </c>
      <c r="V47" s="25">
        <f>IF($B47="","",IFERROR(IF(INDEX(offices!$U$2:$U$61,MATCH($B47,offices!$A$2:$A$61,0))="","",INDEX(offices!$U$2:$U$61,MATCH($B47,offices!$A$2:$A$61,0))),""))</f>
        <v/>
      </c>
      <c r="W47" s="25">
        <f>IF($B47="","",IFERROR(IF(INDEX(offices!$AI$2:$AI$61,MATCH($B47,offices!$A$2:$A$61,0))="","",INDEX(offices!$AI$2:$AI$61,MATCH($B47,offices!$A$2:$A$61,0))),""))</f>
        <v/>
      </c>
      <c r="X47" s="25">
        <f>IF($B47="","",IFERROR(IF(INDEX(offices!$G$2:$G$61,MATCH($B47,offices!$A$2:$A$61,0))="","",INDEX(offices!$G$2:$G$61,MATCH($B47,offices!$A$2:$A$61,0))),""))</f>
        <v/>
      </c>
      <c r="Y47" s="25">
        <f>IF($B47="","",IFERROR(IF(INDEX(offices!$I$2:$I$61,MATCH($B47,offices!$A$2:$A$61,0))="","",INDEX(offices!$I$2:$I$61,MATCH($B47,offices!$A$2:$A$61,0))),""))</f>
        <v/>
      </c>
      <c r="Z47" s="25">
        <f>IF($A47="","",COUNTIFS(approvals!$H$2:$H$251,$A47,approvals!$B$2:$B$251,$B47,approvals!$P$2:$P$251,"Y"))</f>
        <v/>
      </c>
      <c r="AA47" s="25">
        <f>IF($A47="","",SUMIFS(approvals!$S$2:$S$251,approvals!$H$2:$H$251,$A47,approvals!$B$2:$B$251,$B47,approvals!$P$2:$P$251,"Y"))</f>
        <v/>
      </c>
      <c r="AB47" s="25">
        <f>IF(OR($A47="",$P47=""),"",IF(COUNTIFS(stops!$B$2:$B$151,$B47,stops!$P$2:$P$151,"&lt;"&amp;$P47,stops!$L$2:$L$151,"&lt;&gt;not_delivered")=0,"Y","N"))</f>
        <v/>
      </c>
      <c r="AC47" s="25">
        <f>IF(OR($I47="",$J47=""),"",ROUND(($J47-$I47)*1440,0))</f>
        <v/>
      </c>
      <c r="AD47" s="25">
        <f>IF($A47="","",IF(COUNTIFS(stops!$A$2:$A$151,$A47,stops!$B$2:$B$151,$B47)&gt;1,"DUPLICATE stop; ","")&amp;IF(AND(OR(IFERROR(IF(INDEX(offices!$Z$2:$Z$61,MATCH($B47,offices!$A$2:$A$61,0))="","",INDEX(offices!$Z$2:$Z$61,MATCH($B47,offices!$A$2:$A$61,0))),"")="yes",IFERROR(IF(INDEX(offices!$Z$2:$Z$61,MATCH($B47,offices!$A$2:$A$61,0))="","",INDEX(offices!$Z$2:$Z$61,MATCH($B47,offices!$A$2:$A$61,0))),"")="unsure"),$Y47&lt;&gt;"received",$Y47&lt;&gt;"not_needed"),"building certificate not received; ","")&amp;IF($W47="","owner phone missing; ","")&amp;IF(N($Z47)=0,"no approved brand for this stop; ","")&amp;IF(AND($P47&lt;&gt;"",IF(config!$B$37&lt;&gt;"",config!$B$37,TODAY())&gt;$P47,$L47=""),"log the outcome; ","")&amp;IF(AND(OR($L47="declined",$L47="building_refused",$L47="not_delivered"),N($Z47)&gt;0,COUNTIFS(approvals!$H$2:$H$251,$A47,approvals!$B$2:$B$251,$B47,approvals!$P$2:$P$251,"Y",approvals!$U$2:$U$251,"&gt;0")&gt;=N($Z47)),"outcome says "&amp;$L47&amp;" but every brand here is logged delivered: fix the outcome, or delete the wrong delivered rows (SOP section 4); ","")&amp;IF(AND(OR($L47="declined",$L47="building_refused",$L47="not_delivered"),COUNTIFS(approvals!$H$2:$H$251,$A47,approvals!$B$2:$B$251,$B47,approvals!$P$2:$P$251,"Y",approvals!$U$2:$U$251,"&gt;0")&gt;0,COUNTIFS(approvals!$H$2:$H$251,$A47,approvals!$B$2:$B$251,$B47,approvals!$P$2:$P$251,"Y",approvals!$U$2:$U$251,"&gt;0")&lt;N($Z47)),"info: "&amp;(N($Z47)-COUNTIFS(approvals!$H$2:$H$251,$A47,approvals!$B$2:$B$251,$B47,approvals!$P$2:$P$251,"Y",approvals!$U$2:$U$251,"&gt;0"))&amp;" brand(s) turned away at the door, the rest delivered; ","")&amp;IF(AND($AB47="Y",IFERROR(IF(INDEX(drops!$C$2:$C$21,MATCH($A47,drops!$A$2:$A$21,0))="","",INDEX(drops!$C$2:$C$21,MATCH($A47,drops!$A$2:$A$21,0))),"")="direct-ship"),"info: first drop: visit in person on T; ","")&amp;IF(AND($U47="front desk",$X47&lt;&gt;"Y"),"info: front desk not agreed: the owner must take it; ",""))</f>
        <v/>
      </c>
    </row>
    <row r="48">
      <c r="D48" s="33" t="n"/>
      <c r="E48" s="9" t="n"/>
      <c r="F48" s="9" t="n"/>
      <c r="G48" s="9" t="n"/>
      <c r="I48" s="33" t="n"/>
      <c r="J48" s="33" t="n"/>
      <c r="N48" s="9" t="n"/>
      <c r="P48" s="26">
        <f>IF($A48="","",IF(IFERROR(IF(INDEX(drops!$I$2:$I$21,MATCH($A48,drops!$A$2:$A$21,0))="","",INDEX(drops!$I$2:$I$21,MATCH($A48,drops!$A$2:$A$21,0))),"")="OK",IFERROR(IF(INDEX(drops!$B$2:$B$21,MATCH($A48,drops!$A$2:$A$21,0))="","",INDEX(drops!$B$2:$B$21,MATCH($A48,drops!$A$2:$A$21,0))),""),""))</f>
        <v/>
      </c>
      <c r="Q48" s="25">
        <f>IF($B48="","",IFERROR(IF(INDEX(offices!$N$2:$N$61,MATCH($B48,offices!$A$2:$A$61,0))="","",INDEX(offices!$N$2:$N$61,MATCH($B48,offices!$A$2:$A$61,0))),""))</f>
        <v/>
      </c>
      <c r="R48" s="25">
        <f>IF($B48="","",IFERROR(IF(INDEX(offices!$O$2:$O$61,MATCH($B48,offices!$A$2:$A$61,0))="","",INDEX(offices!$O$2:$O$61,MATCH($B48,offices!$A$2:$A$61,0))),""))</f>
        <v/>
      </c>
      <c r="S48" s="25">
        <f>IF($B48="","",IFERROR(IF(INDEX(offices!$P$2:$P$61,MATCH($B48,offices!$A$2:$A$61,0))="","",INDEX(offices!$P$2:$P$61,MATCH($B48,offices!$A$2:$A$61,0))),""))</f>
        <v/>
      </c>
      <c r="T48" s="25">
        <f>IF($B48="","",IFERROR(IF(INDEX(offices!$Y$2:$Y$61,MATCH($B48,offices!$A$2:$A$61,0))="","",INDEX(offices!$Y$2:$Y$61,MATCH($B48,offices!$A$2:$A$61,0))),""))</f>
        <v/>
      </c>
      <c r="U48" s="25">
        <f>IF($B48="","",IFERROR(IF(INDEX(offices!$X$2:$X$61,MATCH($B48,offices!$A$2:$A$61,0))="","",INDEX(offices!$X$2:$X$61,MATCH($B48,offices!$A$2:$A$61,0))),""))</f>
        <v/>
      </c>
      <c r="V48" s="25">
        <f>IF($B48="","",IFERROR(IF(INDEX(offices!$U$2:$U$61,MATCH($B48,offices!$A$2:$A$61,0))="","",INDEX(offices!$U$2:$U$61,MATCH($B48,offices!$A$2:$A$61,0))),""))</f>
        <v/>
      </c>
      <c r="W48" s="25">
        <f>IF($B48="","",IFERROR(IF(INDEX(offices!$AI$2:$AI$61,MATCH($B48,offices!$A$2:$A$61,0))="","",INDEX(offices!$AI$2:$AI$61,MATCH($B48,offices!$A$2:$A$61,0))),""))</f>
        <v/>
      </c>
      <c r="X48" s="25">
        <f>IF($B48="","",IFERROR(IF(INDEX(offices!$G$2:$G$61,MATCH($B48,offices!$A$2:$A$61,0))="","",INDEX(offices!$G$2:$G$61,MATCH($B48,offices!$A$2:$A$61,0))),""))</f>
        <v/>
      </c>
      <c r="Y48" s="25">
        <f>IF($B48="","",IFERROR(IF(INDEX(offices!$I$2:$I$61,MATCH($B48,offices!$A$2:$A$61,0))="","",INDEX(offices!$I$2:$I$61,MATCH($B48,offices!$A$2:$A$61,0))),""))</f>
        <v/>
      </c>
      <c r="Z48" s="25">
        <f>IF($A48="","",COUNTIFS(approvals!$H$2:$H$251,$A48,approvals!$B$2:$B$251,$B48,approvals!$P$2:$P$251,"Y"))</f>
        <v/>
      </c>
      <c r="AA48" s="25">
        <f>IF($A48="","",SUMIFS(approvals!$S$2:$S$251,approvals!$H$2:$H$251,$A48,approvals!$B$2:$B$251,$B48,approvals!$P$2:$P$251,"Y"))</f>
        <v/>
      </c>
      <c r="AB48" s="25">
        <f>IF(OR($A48="",$P48=""),"",IF(COUNTIFS(stops!$B$2:$B$151,$B48,stops!$P$2:$P$151,"&lt;"&amp;$P48,stops!$L$2:$L$151,"&lt;&gt;not_delivered")=0,"Y","N"))</f>
        <v/>
      </c>
      <c r="AC48" s="25">
        <f>IF(OR($I48="",$J48=""),"",ROUND(($J48-$I48)*1440,0))</f>
        <v/>
      </c>
      <c r="AD48" s="25">
        <f>IF($A48="","",IF(COUNTIFS(stops!$A$2:$A$151,$A48,stops!$B$2:$B$151,$B48)&gt;1,"DUPLICATE stop; ","")&amp;IF(AND(OR(IFERROR(IF(INDEX(offices!$Z$2:$Z$61,MATCH($B48,offices!$A$2:$A$61,0))="","",INDEX(offices!$Z$2:$Z$61,MATCH($B48,offices!$A$2:$A$61,0))),"")="yes",IFERROR(IF(INDEX(offices!$Z$2:$Z$61,MATCH($B48,offices!$A$2:$A$61,0))="","",INDEX(offices!$Z$2:$Z$61,MATCH($B48,offices!$A$2:$A$61,0))),"")="unsure"),$Y48&lt;&gt;"received",$Y48&lt;&gt;"not_needed"),"building certificate not received; ","")&amp;IF($W48="","owner phone missing; ","")&amp;IF(N($Z48)=0,"no approved brand for this stop; ","")&amp;IF(AND($P48&lt;&gt;"",IF(config!$B$37&lt;&gt;"",config!$B$37,TODAY())&gt;$P48,$L48=""),"log the outcome; ","")&amp;IF(AND(OR($L48="declined",$L48="building_refused",$L48="not_delivered"),N($Z48)&gt;0,COUNTIFS(approvals!$H$2:$H$251,$A48,approvals!$B$2:$B$251,$B48,approvals!$P$2:$P$251,"Y",approvals!$U$2:$U$251,"&gt;0")&gt;=N($Z48)),"outcome says "&amp;$L48&amp;" but every brand here is logged delivered: fix the outcome, or delete the wrong delivered rows (SOP section 4); ","")&amp;IF(AND(OR($L48="declined",$L48="building_refused",$L48="not_delivered"),COUNTIFS(approvals!$H$2:$H$251,$A48,approvals!$B$2:$B$251,$B48,approvals!$P$2:$P$251,"Y",approvals!$U$2:$U$251,"&gt;0")&gt;0,COUNTIFS(approvals!$H$2:$H$251,$A48,approvals!$B$2:$B$251,$B48,approvals!$P$2:$P$251,"Y",approvals!$U$2:$U$251,"&gt;0")&lt;N($Z48)),"info: "&amp;(N($Z48)-COUNTIFS(approvals!$H$2:$H$251,$A48,approvals!$B$2:$B$251,$B48,approvals!$P$2:$P$251,"Y",approvals!$U$2:$U$251,"&gt;0"))&amp;" brand(s) turned away at the door, the rest delivered; ","")&amp;IF(AND($AB48="Y",IFERROR(IF(INDEX(drops!$C$2:$C$21,MATCH($A48,drops!$A$2:$A$21,0))="","",INDEX(drops!$C$2:$C$21,MATCH($A48,drops!$A$2:$A$21,0))),"")="direct-ship"),"info: first drop: visit in person on T; ","")&amp;IF(AND($U48="front desk",$X48&lt;&gt;"Y"),"info: front desk not agreed: the owner must take it; ",""))</f>
        <v/>
      </c>
    </row>
    <row r="49">
      <c r="D49" s="33" t="n"/>
      <c r="E49" s="9" t="n"/>
      <c r="F49" s="9" t="n"/>
      <c r="G49" s="9" t="n"/>
      <c r="I49" s="33" t="n"/>
      <c r="J49" s="33" t="n"/>
      <c r="N49" s="9" t="n"/>
      <c r="P49" s="26">
        <f>IF($A49="","",IF(IFERROR(IF(INDEX(drops!$I$2:$I$21,MATCH($A49,drops!$A$2:$A$21,0))="","",INDEX(drops!$I$2:$I$21,MATCH($A49,drops!$A$2:$A$21,0))),"")="OK",IFERROR(IF(INDEX(drops!$B$2:$B$21,MATCH($A49,drops!$A$2:$A$21,0))="","",INDEX(drops!$B$2:$B$21,MATCH($A49,drops!$A$2:$A$21,0))),""),""))</f>
        <v/>
      </c>
      <c r="Q49" s="25">
        <f>IF($B49="","",IFERROR(IF(INDEX(offices!$N$2:$N$61,MATCH($B49,offices!$A$2:$A$61,0))="","",INDEX(offices!$N$2:$N$61,MATCH($B49,offices!$A$2:$A$61,0))),""))</f>
        <v/>
      </c>
      <c r="R49" s="25">
        <f>IF($B49="","",IFERROR(IF(INDEX(offices!$O$2:$O$61,MATCH($B49,offices!$A$2:$A$61,0))="","",INDEX(offices!$O$2:$O$61,MATCH($B49,offices!$A$2:$A$61,0))),""))</f>
        <v/>
      </c>
      <c r="S49" s="25">
        <f>IF($B49="","",IFERROR(IF(INDEX(offices!$P$2:$P$61,MATCH($B49,offices!$A$2:$A$61,0))="","",INDEX(offices!$P$2:$P$61,MATCH($B49,offices!$A$2:$A$61,0))),""))</f>
        <v/>
      </c>
      <c r="T49" s="25">
        <f>IF($B49="","",IFERROR(IF(INDEX(offices!$Y$2:$Y$61,MATCH($B49,offices!$A$2:$A$61,0))="","",INDEX(offices!$Y$2:$Y$61,MATCH($B49,offices!$A$2:$A$61,0))),""))</f>
        <v/>
      </c>
      <c r="U49" s="25">
        <f>IF($B49="","",IFERROR(IF(INDEX(offices!$X$2:$X$61,MATCH($B49,offices!$A$2:$A$61,0))="","",INDEX(offices!$X$2:$X$61,MATCH($B49,offices!$A$2:$A$61,0))),""))</f>
        <v/>
      </c>
      <c r="V49" s="25">
        <f>IF($B49="","",IFERROR(IF(INDEX(offices!$U$2:$U$61,MATCH($B49,offices!$A$2:$A$61,0))="","",INDEX(offices!$U$2:$U$61,MATCH($B49,offices!$A$2:$A$61,0))),""))</f>
        <v/>
      </c>
      <c r="W49" s="25">
        <f>IF($B49="","",IFERROR(IF(INDEX(offices!$AI$2:$AI$61,MATCH($B49,offices!$A$2:$A$61,0))="","",INDEX(offices!$AI$2:$AI$61,MATCH($B49,offices!$A$2:$A$61,0))),""))</f>
        <v/>
      </c>
      <c r="X49" s="25">
        <f>IF($B49="","",IFERROR(IF(INDEX(offices!$G$2:$G$61,MATCH($B49,offices!$A$2:$A$61,0))="","",INDEX(offices!$G$2:$G$61,MATCH($B49,offices!$A$2:$A$61,0))),""))</f>
        <v/>
      </c>
      <c r="Y49" s="25">
        <f>IF($B49="","",IFERROR(IF(INDEX(offices!$I$2:$I$61,MATCH($B49,offices!$A$2:$A$61,0))="","",INDEX(offices!$I$2:$I$61,MATCH($B49,offices!$A$2:$A$61,0))),""))</f>
        <v/>
      </c>
      <c r="Z49" s="25">
        <f>IF($A49="","",COUNTIFS(approvals!$H$2:$H$251,$A49,approvals!$B$2:$B$251,$B49,approvals!$P$2:$P$251,"Y"))</f>
        <v/>
      </c>
      <c r="AA49" s="25">
        <f>IF($A49="","",SUMIFS(approvals!$S$2:$S$251,approvals!$H$2:$H$251,$A49,approvals!$B$2:$B$251,$B49,approvals!$P$2:$P$251,"Y"))</f>
        <v/>
      </c>
      <c r="AB49" s="25">
        <f>IF(OR($A49="",$P49=""),"",IF(COUNTIFS(stops!$B$2:$B$151,$B49,stops!$P$2:$P$151,"&lt;"&amp;$P49,stops!$L$2:$L$151,"&lt;&gt;not_delivered")=0,"Y","N"))</f>
        <v/>
      </c>
      <c r="AC49" s="25">
        <f>IF(OR($I49="",$J49=""),"",ROUND(($J49-$I49)*1440,0))</f>
        <v/>
      </c>
      <c r="AD49" s="25">
        <f>IF($A49="","",IF(COUNTIFS(stops!$A$2:$A$151,$A49,stops!$B$2:$B$151,$B49)&gt;1,"DUPLICATE stop; ","")&amp;IF(AND(OR(IFERROR(IF(INDEX(offices!$Z$2:$Z$61,MATCH($B49,offices!$A$2:$A$61,0))="","",INDEX(offices!$Z$2:$Z$61,MATCH($B49,offices!$A$2:$A$61,0))),"")="yes",IFERROR(IF(INDEX(offices!$Z$2:$Z$61,MATCH($B49,offices!$A$2:$A$61,0))="","",INDEX(offices!$Z$2:$Z$61,MATCH($B49,offices!$A$2:$A$61,0))),"")="unsure"),$Y49&lt;&gt;"received",$Y49&lt;&gt;"not_needed"),"building certificate not received; ","")&amp;IF($W49="","owner phone missing; ","")&amp;IF(N($Z49)=0,"no approved brand for this stop; ","")&amp;IF(AND($P49&lt;&gt;"",IF(config!$B$37&lt;&gt;"",config!$B$37,TODAY())&gt;$P49,$L49=""),"log the outcome; ","")&amp;IF(AND(OR($L49="declined",$L49="building_refused",$L49="not_delivered"),N($Z49)&gt;0,COUNTIFS(approvals!$H$2:$H$251,$A49,approvals!$B$2:$B$251,$B49,approvals!$P$2:$P$251,"Y",approvals!$U$2:$U$251,"&gt;0")&gt;=N($Z49)),"outcome says "&amp;$L49&amp;" but every brand here is logged delivered: fix the outcome, or delete the wrong delivered rows (SOP section 4); ","")&amp;IF(AND(OR($L49="declined",$L49="building_refused",$L49="not_delivered"),COUNTIFS(approvals!$H$2:$H$251,$A49,approvals!$B$2:$B$251,$B49,approvals!$P$2:$P$251,"Y",approvals!$U$2:$U$251,"&gt;0")&gt;0,COUNTIFS(approvals!$H$2:$H$251,$A49,approvals!$B$2:$B$251,$B49,approvals!$P$2:$P$251,"Y",approvals!$U$2:$U$251,"&gt;0")&lt;N($Z49)),"info: "&amp;(N($Z49)-COUNTIFS(approvals!$H$2:$H$251,$A49,approvals!$B$2:$B$251,$B49,approvals!$P$2:$P$251,"Y",approvals!$U$2:$U$251,"&gt;0"))&amp;" brand(s) turned away at the door, the rest delivered; ","")&amp;IF(AND($AB49="Y",IFERROR(IF(INDEX(drops!$C$2:$C$21,MATCH($A49,drops!$A$2:$A$21,0))="","",INDEX(drops!$C$2:$C$21,MATCH($A49,drops!$A$2:$A$21,0))),"")="direct-ship"),"info: first drop: visit in person on T; ","")&amp;IF(AND($U49="front desk",$X49&lt;&gt;"Y"),"info: front desk not agreed: the owner must take it; ",""))</f>
        <v/>
      </c>
    </row>
    <row r="50">
      <c r="D50" s="33" t="n"/>
      <c r="E50" s="9" t="n"/>
      <c r="F50" s="9" t="n"/>
      <c r="G50" s="9" t="n"/>
      <c r="I50" s="33" t="n"/>
      <c r="J50" s="33" t="n"/>
      <c r="N50" s="9" t="n"/>
      <c r="P50" s="26">
        <f>IF($A50="","",IF(IFERROR(IF(INDEX(drops!$I$2:$I$21,MATCH($A50,drops!$A$2:$A$21,0))="","",INDEX(drops!$I$2:$I$21,MATCH($A50,drops!$A$2:$A$21,0))),"")="OK",IFERROR(IF(INDEX(drops!$B$2:$B$21,MATCH($A50,drops!$A$2:$A$21,0))="","",INDEX(drops!$B$2:$B$21,MATCH($A50,drops!$A$2:$A$21,0))),""),""))</f>
        <v/>
      </c>
      <c r="Q50" s="25">
        <f>IF($B50="","",IFERROR(IF(INDEX(offices!$N$2:$N$61,MATCH($B50,offices!$A$2:$A$61,0))="","",INDEX(offices!$N$2:$N$61,MATCH($B50,offices!$A$2:$A$61,0))),""))</f>
        <v/>
      </c>
      <c r="R50" s="25">
        <f>IF($B50="","",IFERROR(IF(INDEX(offices!$O$2:$O$61,MATCH($B50,offices!$A$2:$A$61,0))="","",INDEX(offices!$O$2:$O$61,MATCH($B50,offices!$A$2:$A$61,0))),""))</f>
        <v/>
      </c>
      <c r="S50" s="25">
        <f>IF($B50="","",IFERROR(IF(INDEX(offices!$P$2:$P$61,MATCH($B50,offices!$A$2:$A$61,0))="","",INDEX(offices!$P$2:$P$61,MATCH($B50,offices!$A$2:$A$61,0))),""))</f>
        <v/>
      </c>
      <c r="T50" s="25">
        <f>IF($B50="","",IFERROR(IF(INDEX(offices!$Y$2:$Y$61,MATCH($B50,offices!$A$2:$A$61,0))="","",INDEX(offices!$Y$2:$Y$61,MATCH($B50,offices!$A$2:$A$61,0))),""))</f>
        <v/>
      </c>
      <c r="U50" s="25">
        <f>IF($B50="","",IFERROR(IF(INDEX(offices!$X$2:$X$61,MATCH($B50,offices!$A$2:$A$61,0))="","",INDEX(offices!$X$2:$X$61,MATCH($B50,offices!$A$2:$A$61,0))),""))</f>
        <v/>
      </c>
      <c r="V50" s="25">
        <f>IF($B50="","",IFERROR(IF(INDEX(offices!$U$2:$U$61,MATCH($B50,offices!$A$2:$A$61,0))="","",INDEX(offices!$U$2:$U$61,MATCH($B50,offices!$A$2:$A$61,0))),""))</f>
        <v/>
      </c>
      <c r="W50" s="25">
        <f>IF($B50="","",IFERROR(IF(INDEX(offices!$AI$2:$AI$61,MATCH($B50,offices!$A$2:$A$61,0))="","",INDEX(offices!$AI$2:$AI$61,MATCH($B50,offices!$A$2:$A$61,0))),""))</f>
        <v/>
      </c>
      <c r="X50" s="25">
        <f>IF($B50="","",IFERROR(IF(INDEX(offices!$G$2:$G$61,MATCH($B50,offices!$A$2:$A$61,0))="","",INDEX(offices!$G$2:$G$61,MATCH($B50,offices!$A$2:$A$61,0))),""))</f>
        <v/>
      </c>
      <c r="Y50" s="25">
        <f>IF($B50="","",IFERROR(IF(INDEX(offices!$I$2:$I$61,MATCH($B50,offices!$A$2:$A$61,0))="","",INDEX(offices!$I$2:$I$61,MATCH($B50,offices!$A$2:$A$61,0))),""))</f>
        <v/>
      </c>
      <c r="Z50" s="25">
        <f>IF($A50="","",COUNTIFS(approvals!$H$2:$H$251,$A50,approvals!$B$2:$B$251,$B50,approvals!$P$2:$P$251,"Y"))</f>
        <v/>
      </c>
      <c r="AA50" s="25">
        <f>IF($A50="","",SUMIFS(approvals!$S$2:$S$251,approvals!$H$2:$H$251,$A50,approvals!$B$2:$B$251,$B50,approvals!$P$2:$P$251,"Y"))</f>
        <v/>
      </c>
      <c r="AB50" s="25">
        <f>IF(OR($A50="",$P50=""),"",IF(COUNTIFS(stops!$B$2:$B$151,$B50,stops!$P$2:$P$151,"&lt;"&amp;$P50,stops!$L$2:$L$151,"&lt;&gt;not_delivered")=0,"Y","N"))</f>
        <v/>
      </c>
      <c r="AC50" s="25">
        <f>IF(OR($I50="",$J50=""),"",ROUND(($J50-$I50)*1440,0))</f>
        <v/>
      </c>
      <c r="AD50" s="25">
        <f>IF($A50="","",IF(COUNTIFS(stops!$A$2:$A$151,$A50,stops!$B$2:$B$151,$B50)&gt;1,"DUPLICATE stop; ","")&amp;IF(AND(OR(IFERROR(IF(INDEX(offices!$Z$2:$Z$61,MATCH($B50,offices!$A$2:$A$61,0))="","",INDEX(offices!$Z$2:$Z$61,MATCH($B50,offices!$A$2:$A$61,0))),"")="yes",IFERROR(IF(INDEX(offices!$Z$2:$Z$61,MATCH($B50,offices!$A$2:$A$61,0))="","",INDEX(offices!$Z$2:$Z$61,MATCH($B50,offices!$A$2:$A$61,0))),"")="unsure"),$Y50&lt;&gt;"received",$Y50&lt;&gt;"not_needed"),"building certificate not received; ","")&amp;IF($W50="","owner phone missing; ","")&amp;IF(N($Z50)=0,"no approved brand for this stop; ","")&amp;IF(AND($P50&lt;&gt;"",IF(config!$B$37&lt;&gt;"",config!$B$37,TODAY())&gt;$P50,$L50=""),"log the outcome; ","")&amp;IF(AND(OR($L50="declined",$L50="building_refused",$L50="not_delivered"),N($Z50)&gt;0,COUNTIFS(approvals!$H$2:$H$251,$A50,approvals!$B$2:$B$251,$B50,approvals!$P$2:$P$251,"Y",approvals!$U$2:$U$251,"&gt;0")&gt;=N($Z50)),"outcome says "&amp;$L50&amp;" but every brand here is logged delivered: fix the outcome, or delete the wrong delivered rows (SOP section 4); ","")&amp;IF(AND(OR($L50="declined",$L50="building_refused",$L50="not_delivered"),COUNTIFS(approvals!$H$2:$H$251,$A50,approvals!$B$2:$B$251,$B50,approvals!$P$2:$P$251,"Y",approvals!$U$2:$U$251,"&gt;0")&gt;0,COUNTIFS(approvals!$H$2:$H$251,$A50,approvals!$B$2:$B$251,$B50,approvals!$P$2:$P$251,"Y",approvals!$U$2:$U$251,"&gt;0")&lt;N($Z50)),"info: "&amp;(N($Z50)-COUNTIFS(approvals!$H$2:$H$251,$A50,approvals!$B$2:$B$251,$B50,approvals!$P$2:$P$251,"Y",approvals!$U$2:$U$251,"&gt;0"))&amp;" brand(s) turned away at the door, the rest delivered; ","")&amp;IF(AND($AB50="Y",IFERROR(IF(INDEX(drops!$C$2:$C$21,MATCH($A50,drops!$A$2:$A$21,0))="","",INDEX(drops!$C$2:$C$21,MATCH($A50,drops!$A$2:$A$21,0))),"")="direct-ship"),"info: first drop: visit in person on T; ","")&amp;IF(AND($U50="front desk",$X50&lt;&gt;"Y"),"info: front desk not agreed: the owner must take it; ",""))</f>
        <v/>
      </c>
    </row>
    <row r="51">
      <c r="D51" s="33" t="n"/>
      <c r="E51" s="9" t="n"/>
      <c r="F51" s="9" t="n"/>
      <c r="G51" s="9" t="n"/>
      <c r="I51" s="33" t="n"/>
      <c r="J51" s="33" t="n"/>
      <c r="N51" s="9" t="n"/>
      <c r="P51" s="26">
        <f>IF($A51="","",IF(IFERROR(IF(INDEX(drops!$I$2:$I$21,MATCH($A51,drops!$A$2:$A$21,0))="","",INDEX(drops!$I$2:$I$21,MATCH($A51,drops!$A$2:$A$21,0))),"")="OK",IFERROR(IF(INDEX(drops!$B$2:$B$21,MATCH($A51,drops!$A$2:$A$21,0))="","",INDEX(drops!$B$2:$B$21,MATCH($A51,drops!$A$2:$A$21,0))),""),""))</f>
        <v/>
      </c>
      <c r="Q51" s="25">
        <f>IF($B51="","",IFERROR(IF(INDEX(offices!$N$2:$N$61,MATCH($B51,offices!$A$2:$A$61,0))="","",INDEX(offices!$N$2:$N$61,MATCH($B51,offices!$A$2:$A$61,0))),""))</f>
        <v/>
      </c>
      <c r="R51" s="25">
        <f>IF($B51="","",IFERROR(IF(INDEX(offices!$O$2:$O$61,MATCH($B51,offices!$A$2:$A$61,0))="","",INDEX(offices!$O$2:$O$61,MATCH($B51,offices!$A$2:$A$61,0))),""))</f>
        <v/>
      </c>
      <c r="S51" s="25">
        <f>IF($B51="","",IFERROR(IF(INDEX(offices!$P$2:$P$61,MATCH($B51,offices!$A$2:$A$61,0))="","",INDEX(offices!$P$2:$P$61,MATCH($B51,offices!$A$2:$A$61,0))),""))</f>
        <v/>
      </c>
      <c r="T51" s="25">
        <f>IF($B51="","",IFERROR(IF(INDEX(offices!$Y$2:$Y$61,MATCH($B51,offices!$A$2:$A$61,0))="","",INDEX(offices!$Y$2:$Y$61,MATCH($B51,offices!$A$2:$A$61,0))),""))</f>
        <v/>
      </c>
      <c r="U51" s="25">
        <f>IF($B51="","",IFERROR(IF(INDEX(offices!$X$2:$X$61,MATCH($B51,offices!$A$2:$A$61,0))="","",INDEX(offices!$X$2:$X$61,MATCH($B51,offices!$A$2:$A$61,0))),""))</f>
        <v/>
      </c>
      <c r="V51" s="25">
        <f>IF($B51="","",IFERROR(IF(INDEX(offices!$U$2:$U$61,MATCH($B51,offices!$A$2:$A$61,0))="","",INDEX(offices!$U$2:$U$61,MATCH($B51,offices!$A$2:$A$61,0))),""))</f>
        <v/>
      </c>
      <c r="W51" s="25">
        <f>IF($B51="","",IFERROR(IF(INDEX(offices!$AI$2:$AI$61,MATCH($B51,offices!$A$2:$A$61,0))="","",INDEX(offices!$AI$2:$AI$61,MATCH($B51,offices!$A$2:$A$61,0))),""))</f>
        <v/>
      </c>
      <c r="X51" s="25">
        <f>IF($B51="","",IFERROR(IF(INDEX(offices!$G$2:$G$61,MATCH($B51,offices!$A$2:$A$61,0))="","",INDEX(offices!$G$2:$G$61,MATCH($B51,offices!$A$2:$A$61,0))),""))</f>
        <v/>
      </c>
      <c r="Y51" s="25">
        <f>IF($B51="","",IFERROR(IF(INDEX(offices!$I$2:$I$61,MATCH($B51,offices!$A$2:$A$61,0))="","",INDEX(offices!$I$2:$I$61,MATCH($B51,offices!$A$2:$A$61,0))),""))</f>
        <v/>
      </c>
      <c r="Z51" s="25">
        <f>IF($A51="","",COUNTIFS(approvals!$H$2:$H$251,$A51,approvals!$B$2:$B$251,$B51,approvals!$P$2:$P$251,"Y"))</f>
        <v/>
      </c>
      <c r="AA51" s="25">
        <f>IF($A51="","",SUMIFS(approvals!$S$2:$S$251,approvals!$H$2:$H$251,$A51,approvals!$B$2:$B$251,$B51,approvals!$P$2:$P$251,"Y"))</f>
        <v/>
      </c>
      <c r="AB51" s="25">
        <f>IF(OR($A51="",$P51=""),"",IF(COUNTIFS(stops!$B$2:$B$151,$B51,stops!$P$2:$P$151,"&lt;"&amp;$P51,stops!$L$2:$L$151,"&lt;&gt;not_delivered")=0,"Y","N"))</f>
        <v/>
      </c>
      <c r="AC51" s="25">
        <f>IF(OR($I51="",$J51=""),"",ROUND(($J51-$I51)*1440,0))</f>
        <v/>
      </c>
      <c r="AD51" s="25">
        <f>IF($A51="","",IF(COUNTIFS(stops!$A$2:$A$151,$A51,stops!$B$2:$B$151,$B51)&gt;1,"DUPLICATE stop; ","")&amp;IF(AND(OR(IFERROR(IF(INDEX(offices!$Z$2:$Z$61,MATCH($B51,offices!$A$2:$A$61,0))="","",INDEX(offices!$Z$2:$Z$61,MATCH($B51,offices!$A$2:$A$61,0))),"")="yes",IFERROR(IF(INDEX(offices!$Z$2:$Z$61,MATCH($B51,offices!$A$2:$A$61,0))="","",INDEX(offices!$Z$2:$Z$61,MATCH($B51,offices!$A$2:$A$61,0))),"")="unsure"),$Y51&lt;&gt;"received",$Y51&lt;&gt;"not_needed"),"building certificate not received; ","")&amp;IF($W51="","owner phone missing; ","")&amp;IF(N($Z51)=0,"no approved brand for this stop; ","")&amp;IF(AND($P51&lt;&gt;"",IF(config!$B$37&lt;&gt;"",config!$B$37,TODAY())&gt;$P51,$L51=""),"log the outcome; ","")&amp;IF(AND(OR($L51="declined",$L51="building_refused",$L51="not_delivered"),N($Z51)&gt;0,COUNTIFS(approvals!$H$2:$H$251,$A51,approvals!$B$2:$B$251,$B51,approvals!$P$2:$P$251,"Y",approvals!$U$2:$U$251,"&gt;0")&gt;=N($Z51)),"outcome says "&amp;$L51&amp;" but every brand here is logged delivered: fix the outcome, or delete the wrong delivered rows (SOP section 4); ","")&amp;IF(AND(OR($L51="declined",$L51="building_refused",$L51="not_delivered"),COUNTIFS(approvals!$H$2:$H$251,$A51,approvals!$B$2:$B$251,$B51,approvals!$P$2:$P$251,"Y",approvals!$U$2:$U$251,"&gt;0")&gt;0,COUNTIFS(approvals!$H$2:$H$251,$A51,approvals!$B$2:$B$251,$B51,approvals!$P$2:$P$251,"Y",approvals!$U$2:$U$251,"&gt;0")&lt;N($Z51)),"info: "&amp;(N($Z51)-COUNTIFS(approvals!$H$2:$H$251,$A51,approvals!$B$2:$B$251,$B51,approvals!$P$2:$P$251,"Y",approvals!$U$2:$U$251,"&gt;0"))&amp;" brand(s) turned away at the door, the rest delivered; ","")&amp;IF(AND($AB51="Y",IFERROR(IF(INDEX(drops!$C$2:$C$21,MATCH($A51,drops!$A$2:$A$21,0))="","",INDEX(drops!$C$2:$C$21,MATCH($A51,drops!$A$2:$A$21,0))),"")="direct-ship"),"info: first drop: visit in person on T; ","")&amp;IF(AND($U51="front desk",$X51&lt;&gt;"Y"),"info: front desk not agreed: the owner must take it; ",""))</f>
        <v/>
      </c>
    </row>
    <row r="52">
      <c r="D52" s="33" t="n"/>
      <c r="E52" s="9" t="n"/>
      <c r="F52" s="9" t="n"/>
      <c r="G52" s="9" t="n"/>
      <c r="I52" s="33" t="n"/>
      <c r="J52" s="33" t="n"/>
      <c r="N52" s="9" t="n"/>
      <c r="P52" s="26">
        <f>IF($A52="","",IF(IFERROR(IF(INDEX(drops!$I$2:$I$21,MATCH($A52,drops!$A$2:$A$21,0))="","",INDEX(drops!$I$2:$I$21,MATCH($A52,drops!$A$2:$A$21,0))),"")="OK",IFERROR(IF(INDEX(drops!$B$2:$B$21,MATCH($A52,drops!$A$2:$A$21,0))="","",INDEX(drops!$B$2:$B$21,MATCH($A52,drops!$A$2:$A$21,0))),""),""))</f>
        <v/>
      </c>
      <c r="Q52" s="25">
        <f>IF($B52="","",IFERROR(IF(INDEX(offices!$N$2:$N$61,MATCH($B52,offices!$A$2:$A$61,0))="","",INDEX(offices!$N$2:$N$61,MATCH($B52,offices!$A$2:$A$61,0))),""))</f>
        <v/>
      </c>
      <c r="R52" s="25">
        <f>IF($B52="","",IFERROR(IF(INDEX(offices!$O$2:$O$61,MATCH($B52,offices!$A$2:$A$61,0))="","",INDEX(offices!$O$2:$O$61,MATCH($B52,offices!$A$2:$A$61,0))),""))</f>
        <v/>
      </c>
      <c r="S52" s="25">
        <f>IF($B52="","",IFERROR(IF(INDEX(offices!$P$2:$P$61,MATCH($B52,offices!$A$2:$A$61,0))="","",INDEX(offices!$P$2:$P$61,MATCH($B52,offices!$A$2:$A$61,0))),""))</f>
        <v/>
      </c>
      <c r="T52" s="25">
        <f>IF($B52="","",IFERROR(IF(INDEX(offices!$Y$2:$Y$61,MATCH($B52,offices!$A$2:$A$61,0))="","",INDEX(offices!$Y$2:$Y$61,MATCH($B52,offices!$A$2:$A$61,0))),""))</f>
        <v/>
      </c>
      <c r="U52" s="25">
        <f>IF($B52="","",IFERROR(IF(INDEX(offices!$X$2:$X$61,MATCH($B52,offices!$A$2:$A$61,0))="","",INDEX(offices!$X$2:$X$61,MATCH($B52,offices!$A$2:$A$61,0))),""))</f>
        <v/>
      </c>
      <c r="V52" s="25">
        <f>IF($B52="","",IFERROR(IF(INDEX(offices!$U$2:$U$61,MATCH($B52,offices!$A$2:$A$61,0))="","",INDEX(offices!$U$2:$U$61,MATCH($B52,offices!$A$2:$A$61,0))),""))</f>
        <v/>
      </c>
      <c r="W52" s="25">
        <f>IF($B52="","",IFERROR(IF(INDEX(offices!$AI$2:$AI$61,MATCH($B52,offices!$A$2:$A$61,0))="","",INDEX(offices!$AI$2:$AI$61,MATCH($B52,offices!$A$2:$A$61,0))),""))</f>
        <v/>
      </c>
      <c r="X52" s="25">
        <f>IF($B52="","",IFERROR(IF(INDEX(offices!$G$2:$G$61,MATCH($B52,offices!$A$2:$A$61,0))="","",INDEX(offices!$G$2:$G$61,MATCH($B52,offices!$A$2:$A$61,0))),""))</f>
        <v/>
      </c>
      <c r="Y52" s="25">
        <f>IF($B52="","",IFERROR(IF(INDEX(offices!$I$2:$I$61,MATCH($B52,offices!$A$2:$A$61,0))="","",INDEX(offices!$I$2:$I$61,MATCH($B52,offices!$A$2:$A$61,0))),""))</f>
        <v/>
      </c>
      <c r="Z52" s="25">
        <f>IF($A52="","",COUNTIFS(approvals!$H$2:$H$251,$A52,approvals!$B$2:$B$251,$B52,approvals!$P$2:$P$251,"Y"))</f>
        <v/>
      </c>
      <c r="AA52" s="25">
        <f>IF($A52="","",SUMIFS(approvals!$S$2:$S$251,approvals!$H$2:$H$251,$A52,approvals!$B$2:$B$251,$B52,approvals!$P$2:$P$251,"Y"))</f>
        <v/>
      </c>
      <c r="AB52" s="25">
        <f>IF(OR($A52="",$P52=""),"",IF(COUNTIFS(stops!$B$2:$B$151,$B52,stops!$P$2:$P$151,"&lt;"&amp;$P52,stops!$L$2:$L$151,"&lt;&gt;not_delivered")=0,"Y","N"))</f>
        <v/>
      </c>
      <c r="AC52" s="25">
        <f>IF(OR($I52="",$J52=""),"",ROUND(($J52-$I52)*1440,0))</f>
        <v/>
      </c>
      <c r="AD52" s="25">
        <f>IF($A52="","",IF(COUNTIFS(stops!$A$2:$A$151,$A52,stops!$B$2:$B$151,$B52)&gt;1,"DUPLICATE stop; ","")&amp;IF(AND(OR(IFERROR(IF(INDEX(offices!$Z$2:$Z$61,MATCH($B52,offices!$A$2:$A$61,0))="","",INDEX(offices!$Z$2:$Z$61,MATCH($B52,offices!$A$2:$A$61,0))),"")="yes",IFERROR(IF(INDEX(offices!$Z$2:$Z$61,MATCH($B52,offices!$A$2:$A$61,0))="","",INDEX(offices!$Z$2:$Z$61,MATCH($B52,offices!$A$2:$A$61,0))),"")="unsure"),$Y52&lt;&gt;"received",$Y52&lt;&gt;"not_needed"),"building certificate not received; ","")&amp;IF($W52="","owner phone missing; ","")&amp;IF(N($Z52)=0,"no approved brand for this stop; ","")&amp;IF(AND($P52&lt;&gt;"",IF(config!$B$37&lt;&gt;"",config!$B$37,TODAY())&gt;$P52,$L52=""),"log the outcome; ","")&amp;IF(AND(OR($L52="declined",$L52="building_refused",$L52="not_delivered"),N($Z52)&gt;0,COUNTIFS(approvals!$H$2:$H$251,$A52,approvals!$B$2:$B$251,$B52,approvals!$P$2:$P$251,"Y",approvals!$U$2:$U$251,"&gt;0")&gt;=N($Z52)),"outcome says "&amp;$L52&amp;" but every brand here is logged delivered: fix the outcome, or delete the wrong delivered rows (SOP section 4); ","")&amp;IF(AND(OR($L52="declined",$L52="building_refused",$L52="not_delivered"),COUNTIFS(approvals!$H$2:$H$251,$A52,approvals!$B$2:$B$251,$B52,approvals!$P$2:$P$251,"Y",approvals!$U$2:$U$251,"&gt;0")&gt;0,COUNTIFS(approvals!$H$2:$H$251,$A52,approvals!$B$2:$B$251,$B52,approvals!$P$2:$P$251,"Y",approvals!$U$2:$U$251,"&gt;0")&lt;N($Z52)),"info: "&amp;(N($Z52)-COUNTIFS(approvals!$H$2:$H$251,$A52,approvals!$B$2:$B$251,$B52,approvals!$P$2:$P$251,"Y",approvals!$U$2:$U$251,"&gt;0"))&amp;" brand(s) turned away at the door, the rest delivered; ","")&amp;IF(AND($AB52="Y",IFERROR(IF(INDEX(drops!$C$2:$C$21,MATCH($A52,drops!$A$2:$A$21,0))="","",INDEX(drops!$C$2:$C$21,MATCH($A52,drops!$A$2:$A$21,0))),"")="direct-ship"),"info: first drop: visit in person on T; ","")&amp;IF(AND($U52="front desk",$X52&lt;&gt;"Y"),"info: front desk not agreed: the owner must take it; ",""))</f>
        <v/>
      </c>
    </row>
    <row r="53">
      <c r="D53" s="33" t="n"/>
      <c r="E53" s="9" t="n"/>
      <c r="F53" s="9" t="n"/>
      <c r="G53" s="9" t="n"/>
      <c r="I53" s="33" t="n"/>
      <c r="J53" s="33" t="n"/>
      <c r="N53" s="9" t="n"/>
      <c r="P53" s="26">
        <f>IF($A53="","",IF(IFERROR(IF(INDEX(drops!$I$2:$I$21,MATCH($A53,drops!$A$2:$A$21,0))="","",INDEX(drops!$I$2:$I$21,MATCH($A53,drops!$A$2:$A$21,0))),"")="OK",IFERROR(IF(INDEX(drops!$B$2:$B$21,MATCH($A53,drops!$A$2:$A$21,0))="","",INDEX(drops!$B$2:$B$21,MATCH($A53,drops!$A$2:$A$21,0))),""),""))</f>
        <v/>
      </c>
      <c r="Q53" s="25">
        <f>IF($B53="","",IFERROR(IF(INDEX(offices!$N$2:$N$61,MATCH($B53,offices!$A$2:$A$61,0))="","",INDEX(offices!$N$2:$N$61,MATCH($B53,offices!$A$2:$A$61,0))),""))</f>
        <v/>
      </c>
      <c r="R53" s="25">
        <f>IF($B53="","",IFERROR(IF(INDEX(offices!$O$2:$O$61,MATCH($B53,offices!$A$2:$A$61,0))="","",INDEX(offices!$O$2:$O$61,MATCH($B53,offices!$A$2:$A$61,0))),""))</f>
        <v/>
      </c>
      <c r="S53" s="25">
        <f>IF($B53="","",IFERROR(IF(INDEX(offices!$P$2:$P$61,MATCH($B53,offices!$A$2:$A$61,0))="","",INDEX(offices!$P$2:$P$61,MATCH($B53,offices!$A$2:$A$61,0))),""))</f>
        <v/>
      </c>
      <c r="T53" s="25">
        <f>IF($B53="","",IFERROR(IF(INDEX(offices!$Y$2:$Y$61,MATCH($B53,offices!$A$2:$A$61,0))="","",INDEX(offices!$Y$2:$Y$61,MATCH($B53,offices!$A$2:$A$61,0))),""))</f>
        <v/>
      </c>
      <c r="U53" s="25">
        <f>IF($B53="","",IFERROR(IF(INDEX(offices!$X$2:$X$61,MATCH($B53,offices!$A$2:$A$61,0))="","",INDEX(offices!$X$2:$X$61,MATCH($B53,offices!$A$2:$A$61,0))),""))</f>
        <v/>
      </c>
      <c r="V53" s="25">
        <f>IF($B53="","",IFERROR(IF(INDEX(offices!$U$2:$U$61,MATCH($B53,offices!$A$2:$A$61,0))="","",INDEX(offices!$U$2:$U$61,MATCH($B53,offices!$A$2:$A$61,0))),""))</f>
        <v/>
      </c>
      <c r="W53" s="25">
        <f>IF($B53="","",IFERROR(IF(INDEX(offices!$AI$2:$AI$61,MATCH($B53,offices!$A$2:$A$61,0))="","",INDEX(offices!$AI$2:$AI$61,MATCH($B53,offices!$A$2:$A$61,0))),""))</f>
        <v/>
      </c>
      <c r="X53" s="25">
        <f>IF($B53="","",IFERROR(IF(INDEX(offices!$G$2:$G$61,MATCH($B53,offices!$A$2:$A$61,0))="","",INDEX(offices!$G$2:$G$61,MATCH($B53,offices!$A$2:$A$61,0))),""))</f>
        <v/>
      </c>
      <c r="Y53" s="25">
        <f>IF($B53="","",IFERROR(IF(INDEX(offices!$I$2:$I$61,MATCH($B53,offices!$A$2:$A$61,0))="","",INDEX(offices!$I$2:$I$61,MATCH($B53,offices!$A$2:$A$61,0))),""))</f>
        <v/>
      </c>
      <c r="Z53" s="25">
        <f>IF($A53="","",COUNTIFS(approvals!$H$2:$H$251,$A53,approvals!$B$2:$B$251,$B53,approvals!$P$2:$P$251,"Y"))</f>
        <v/>
      </c>
      <c r="AA53" s="25">
        <f>IF($A53="","",SUMIFS(approvals!$S$2:$S$251,approvals!$H$2:$H$251,$A53,approvals!$B$2:$B$251,$B53,approvals!$P$2:$P$251,"Y"))</f>
        <v/>
      </c>
      <c r="AB53" s="25">
        <f>IF(OR($A53="",$P53=""),"",IF(COUNTIFS(stops!$B$2:$B$151,$B53,stops!$P$2:$P$151,"&lt;"&amp;$P53,stops!$L$2:$L$151,"&lt;&gt;not_delivered")=0,"Y","N"))</f>
        <v/>
      </c>
      <c r="AC53" s="25">
        <f>IF(OR($I53="",$J53=""),"",ROUND(($J53-$I53)*1440,0))</f>
        <v/>
      </c>
      <c r="AD53" s="25">
        <f>IF($A53="","",IF(COUNTIFS(stops!$A$2:$A$151,$A53,stops!$B$2:$B$151,$B53)&gt;1,"DUPLICATE stop; ","")&amp;IF(AND(OR(IFERROR(IF(INDEX(offices!$Z$2:$Z$61,MATCH($B53,offices!$A$2:$A$61,0))="","",INDEX(offices!$Z$2:$Z$61,MATCH($B53,offices!$A$2:$A$61,0))),"")="yes",IFERROR(IF(INDEX(offices!$Z$2:$Z$61,MATCH($B53,offices!$A$2:$A$61,0))="","",INDEX(offices!$Z$2:$Z$61,MATCH($B53,offices!$A$2:$A$61,0))),"")="unsure"),$Y53&lt;&gt;"received",$Y53&lt;&gt;"not_needed"),"building certificate not received; ","")&amp;IF($W53="","owner phone missing; ","")&amp;IF(N($Z53)=0,"no approved brand for this stop; ","")&amp;IF(AND($P53&lt;&gt;"",IF(config!$B$37&lt;&gt;"",config!$B$37,TODAY())&gt;$P53,$L53=""),"log the outcome; ","")&amp;IF(AND(OR($L53="declined",$L53="building_refused",$L53="not_delivered"),N($Z53)&gt;0,COUNTIFS(approvals!$H$2:$H$251,$A53,approvals!$B$2:$B$251,$B53,approvals!$P$2:$P$251,"Y",approvals!$U$2:$U$251,"&gt;0")&gt;=N($Z53)),"outcome says "&amp;$L53&amp;" but every brand here is logged delivered: fix the outcome, or delete the wrong delivered rows (SOP section 4); ","")&amp;IF(AND(OR($L53="declined",$L53="building_refused",$L53="not_delivered"),COUNTIFS(approvals!$H$2:$H$251,$A53,approvals!$B$2:$B$251,$B53,approvals!$P$2:$P$251,"Y",approvals!$U$2:$U$251,"&gt;0")&gt;0,COUNTIFS(approvals!$H$2:$H$251,$A53,approvals!$B$2:$B$251,$B53,approvals!$P$2:$P$251,"Y",approvals!$U$2:$U$251,"&gt;0")&lt;N($Z53)),"info: "&amp;(N($Z53)-COUNTIFS(approvals!$H$2:$H$251,$A53,approvals!$B$2:$B$251,$B53,approvals!$P$2:$P$251,"Y",approvals!$U$2:$U$251,"&gt;0"))&amp;" brand(s) turned away at the door, the rest delivered; ","")&amp;IF(AND($AB53="Y",IFERROR(IF(INDEX(drops!$C$2:$C$21,MATCH($A53,drops!$A$2:$A$21,0))="","",INDEX(drops!$C$2:$C$21,MATCH($A53,drops!$A$2:$A$21,0))),"")="direct-ship"),"info: first drop: visit in person on T; ","")&amp;IF(AND($U53="front desk",$X53&lt;&gt;"Y"),"info: front desk not agreed: the owner must take it; ",""))</f>
        <v/>
      </c>
    </row>
    <row r="54">
      <c r="D54" s="33" t="n"/>
      <c r="E54" s="9" t="n"/>
      <c r="F54" s="9" t="n"/>
      <c r="G54" s="9" t="n"/>
      <c r="I54" s="33" t="n"/>
      <c r="J54" s="33" t="n"/>
      <c r="N54" s="9" t="n"/>
      <c r="P54" s="26">
        <f>IF($A54="","",IF(IFERROR(IF(INDEX(drops!$I$2:$I$21,MATCH($A54,drops!$A$2:$A$21,0))="","",INDEX(drops!$I$2:$I$21,MATCH($A54,drops!$A$2:$A$21,0))),"")="OK",IFERROR(IF(INDEX(drops!$B$2:$B$21,MATCH($A54,drops!$A$2:$A$21,0))="","",INDEX(drops!$B$2:$B$21,MATCH($A54,drops!$A$2:$A$21,0))),""),""))</f>
        <v/>
      </c>
      <c r="Q54" s="25">
        <f>IF($B54="","",IFERROR(IF(INDEX(offices!$N$2:$N$61,MATCH($B54,offices!$A$2:$A$61,0))="","",INDEX(offices!$N$2:$N$61,MATCH($B54,offices!$A$2:$A$61,0))),""))</f>
        <v/>
      </c>
      <c r="R54" s="25">
        <f>IF($B54="","",IFERROR(IF(INDEX(offices!$O$2:$O$61,MATCH($B54,offices!$A$2:$A$61,0))="","",INDEX(offices!$O$2:$O$61,MATCH($B54,offices!$A$2:$A$61,0))),""))</f>
        <v/>
      </c>
      <c r="S54" s="25">
        <f>IF($B54="","",IFERROR(IF(INDEX(offices!$P$2:$P$61,MATCH($B54,offices!$A$2:$A$61,0))="","",INDEX(offices!$P$2:$P$61,MATCH($B54,offices!$A$2:$A$61,0))),""))</f>
        <v/>
      </c>
      <c r="T54" s="25">
        <f>IF($B54="","",IFERROR(IF(INDEX(offices!$Y$2:$Y$61,MATCH($B54,offices!$A$2:$A$61,0))="","",INDEX(offices!$Y$2:$Y$61,MATCH($B54,offices!$A$2:$A$61,0))),""))</f>
        <v/>
      </c>
      <c r="U54" s="25">
        <f>IF($B54="","",IFERROR(IF(INDEX(offices!$X$2:$X$61,MATCH($B54,offices!$A$2:$A$61,0))="","",INDEX(offices!$X$2:$X$61,MATCH($B54,offices!$A$2:$A$61,0))),""))</f>
        <v/>
      </c>
      <c r="V54" s="25">
        <f>IF($B54="","",IFERROR(IF(INDEX(offices!$U$2:$U$61,MATCH($B54,offices!$A$2:$A$61,0))="","",INDEX(offices!$U$2:$U$61,MATCH($B54,offices!$A$2:$A$61,0))),""))</f>
        <v/>
      </c>
      <c r="W54" s="25">
        <f>IF($B54="","",IFERROR(IF(INDEX(offices!$AI$2:$AI$61,MATCH($B54,offices!$A$2:$A$61,0))="","",INDEX(offices!$AI$2:$AI$61,MATCH($B54,offices!$A$2:$A$61,0))),""))</f>
        <v/>
      </c>
      <c r="X54" s="25">
        <f>IF($B54="","",IFERROR(IF(INDEX(offices!$G$2:$G$61,MATCH($B54,offices!$A$2:$A$61,0))="","",INDEX(offices!$G$2:$G$61,MATCH($B54,offices!$A$2:$A$61,0))),""))</f>
        <v/>
      </c>
      <c r="Y54" s="25">
        <f>IF($B54="","",IFERROR(IF(INDEX(offices!$I$2:$I$61,MATCH($B54,offices!$A$2:$A$61,0))="","",INDEX(offices!$I$2:$I$61,MATCH($B54,offices!$A$2:$A$61,0))),""))</f>
        <v/>
      </c>
      <c r="Z54" s="25">
        <f>IF($A54="","",COUNTIFS(approvals!$H$2:$H$251,$A54,approvals!$B$2:$B$251,$B54,approvals!$P$2:$P$251,"Y"))</f>
        <v/>
      </c>
      <c r="AA54" s="25">
        <f>IF($A54="","",SUMIFS(approvals!$S$2:$S$251,approvals!$H$2:$H$251,$A54,approvals!$B$2:$B$251,$B54,approvals!$P$2:$P$251,"Y"))</f>
        <v/>
      </c>
      <c r="AB54" s="25">
        <f>IF(OR($A54="",$P54=""),"",IF(COUNTIFS(stops!$B$2:$B$151,$B54,stops!$P$2:$P$151,"&lt;"&amp;$P54,stops!$L$2:$L$151,"&lt;&gt;not_delivered")=0,"Y","N"))</f>
        <v/>
      </c>
      <c r="AC54" s="25">
        <f>IF(OR($I54="",$J54=""),"",ROUND(($J54-$I54)*1440,0))</f>
        <v/>
      </c>
      <c r="AD54" s="25">
        <f>IF($A54="","",IF(COUNTIFS(stops!$A$2:$A$151,$A54,stops!$B$2:$B$151,$B54)&gt;1,"DUPLICATE stop; ","")&amp;IF(AND(OR(IFERROR(IF(INDEX(offices!$Z$2:$Z$61,MATCH($B54,offices!$A$2:$A$61,0))="","",INDEX(offices!$Z$2:$Z$61,MATCH($B54,offices!$A$2:$A$61,0))),"")="yes",IFERROR(IF(INDEX(offices!$Z$2:$Z$61,MATCH($B54,offices!$A$2:$A$61,0))="","",INDEX(offices!$Z$2:$Z$61,MATCH($B54,offices!$A$2:$A$61,0))),"")="unsure"),$Y54&lt;&gt;"received",$Y54&lt;&gt;"not_needed"),"building certificate not received; ","")&amp;IF($W54="","owner phone missing; ","")&amp;IF(N($Z54)=0,"no approved brand for this stop; ","")&amp;IF(AND($P54&lt;&gt;"",IF(config!$B$37&lt;&gt;"",config!$B$37,TODAY())&gt;$P54,$L54=""),"log the outcome; ","")&amp;IF(AND(OR($L54="declined",$L54="building_refused",$L54="not_delivered"),N($Z54)&gt;0,COUNTIFS(approvals!$H$2:$H$251,$A54,approvals!$B$2:$B$251,$B54,approvals!$P$2:$P$251,"Y",approvals!$U$2:$U$251,"&gt;0")&gt;=N($Z54)),"outcome says "&amp;$L54&amp;" but every brand here is logged delivered: fix the outcome, or delete the wrong delivered rows (SOP section 4); ","")&amp;IF(AND(OR($L54="declined",$L54="building_refused",$L54="not_delivered"),COUNTIFS(approvals!$H$2:$H$251,$A54,approvals!$B$2:$B$251,$B54,approvals!$P$2:$P$251,"Y",approvals!$U$2:$U$251,"&gt;0")&gt;0,COUNTIFS(approvals!$H$2:$H$251,$A54,approvals!$B$2:$B$251,$B54,approvals!$P$2:$P$251,"Y",approvals!$U$2:$U$251,"&gt;0")&lt;N($Z54)),"info: "&amp;(N($Z54)-COUNTIFS(approvals!$H$2:$H$251,$A54,approvals!$B$2:$B$251,$B54,approvals!$P$2:$P$251,"Y",approvals!$U$2:$U$251,"&gt;0"))&amp;" brand(s) turned away at the door, the rest delivered; ","")&amp;IF(AND($AB54="Y",IFERROR(IF(INDEX(drops!$C$2:$C$21,MATCH($A54,drops!$A$2:$A$21,0))="","",INDEX(drops!$C$2:$C$21,MATCH($A54,drops!$A$2:$A$21,0))),"")="direct-ship"),"info: first drop: visit in person on T; ","")&amp;IF(AND($U54="front desk",$X54&lt;&gt;"Y"),"info: front desk not agreed: the owner must take it; ",""))</f>
        <v/>
      </c>
    </row>
    <row r="55">
      <c r="D55" s="33" t="n"/>
      <c r="E55" s="9" t="n"/>
      <c r="F55" s="9" t="n"/>
      <c r="G55" s="9" t="n"/>
      <c r="I55" s="33" t="n"/>
      <c r="J55" s="33" t="n"/>
      <c r="N55" s="9" t="n"/>
      <c r="P55" s="26">
        <f>IF($A55="","",IF(IFERROR(IF(INDEX(drops!$I$2:$I$21,MATCH($A55,drops!$A$2:$A$21,0))="","",INDEX(drops!$I$2:$I$21,MATCH($A55,drops!$A$2:$A$21,0))),"")="OK",IFERROR(IF(INDEX(drops!$B$2:$B$21,MATCH($A55,drops!$A$2:$A$21,0))="","",INDEX(drops!$B$2:$B$21,MATCH($A55,drops!$A$2:$A$21,0))),""),""))</f>
        <v/>
      </c>
      <c r="Q55" s="25">
        <f>IF($B55="","",IFERROR(IF(INDEX(offices!$N$2:$N$61,MATCH($B55,offices!$A$2:$A$61,0))="","",INDEX(offices!$N$2:$N$61,MATCH($B55,offices!$A$2:$A$61,0))),""))</f>
        <v/>
      </c>
      <c r="R55" s="25">
        <f>IF($B55="","",IFERROR(IF(INDEX(offices!$O$2:$O$61,MATCH($B55,offices!$A$2:$A$61,0))="","",INDEX(offices!$O$2:$O$61,MATCH($B55,offices!$A$2:$A$61,0))),""))</f>
        <v/>
      </c>
      <c r="S55" s="25">
        <f>IF($B55="","",IFERROR(IF(INDEX(offices!$P$2:$P$61,MATCH($B55,offices!$A$2:$A$61,0))="","",INDEX(offices!$P$2:$P$61,MATCH($B55,offices!$A$2:$A$61,0))),""))</f>
        <v/>
      </c>
      <c r="T55" s="25">
        <f>IF($B55="","",IFERROR(IF(INDEX(offices!$Y$2:$Y$61,MATCH($B55,offices!$A$2:$A$61,0))="","",INDEX(offices!$Y$2:$Y$61,MATCH($B55,offices!$A$2:$A$61,0))),""))</f>
        <v/>
      </c>
      <c r="U55" s="25">
        <f>IF($B55="","",IFERROR(IF(INDEX(offices!$X$2:$X$61,MATCH($B55,offices!$A$2:$A$61,0))="","",INDEX(offices!$X$2:$X$61,MATCH($B55,offices!$A$2:$A$61,0))),""))</f>
        <v/>
      </c>
      <c r="V55" s="25">
        <f>IF($B55="","",IFERROR(IF(INDEX(offices!$U$2:$U$61,MATCH($B55,offices!$A$2:$A$61,0))="","",INDEX(offices!$U$2:$U$61,MATCH($B55,offices!$A$2:$A$61,0))),""))</f>
        <v/>
      </c>
      <c r="W55" s="25">
        <f>IF($B55="","",IFERROR(IF(INDEX(offices!$AI$2:$AI$61,MATCH($B55,offices!$A$2:$A$61,0))="","",INDEX(offices!$AI$2:$AI$61,MATCH($B55,offices!$A$2:$A$61,0))),""))</f>
        <v/>
      </c>
      <c r="X55" s="25">
        <f>IF($B55="","",IFERROR(IF(INDEX(offices!$G$2:$G$61,MATCH($B55,offices!$A$2:$A$61,0))="","",INDEX(offices!$G$2:$G$61,MATCH($B55,offices!$A$2:$A$61,0))),""))</f>
        <v/>
      </c>
      <c r="Y55" s="25">
        <f>IF($B55="","",IFERROR(IF(INDEX(offices!$I$2:$I$61,MATCH($B55,offices!$A$2:$A$61,0))="","",INDEX(offices!$I$2:$I$61,MATCH($B55,offices!$A$2:$A$61,0))),""))</f>
        <v/>
      </c>
      <c r="Z55" s="25">
        <f>IF($A55="","",COUNTIFS(approvals!$H$2:$H$251,$A55,approvals!$B$2:$B$251,$B55,approvals!$P$2:$P$251,"Y"))</f>
        <v/>
      </c>
      <c r="AA55" s="25">
        <f>IF($A55="","",SUMIFS(approvals!$S$2:$S$251,approvals!$H$2:$H$251,$A55,approvals!$B$2:$B$251,$B55,approvals!$P$2:$P$251,"Y"))</f>
        <v/>
      </c>
      <c r="AB55" s="25">
        <f>IF(OR($A55="",$P55=""),"",IF(COUNTIFS(stops!$B$2:$B$151,$B55,stops!$P$2:$P$151,"&lt;"&amp;$P55,stops!$L$2:$L$151,"&lt;&gt;not_delivered")=0,"Y","N"))</f>
        <v/>
      </c>
      <c r="AC55" s="25">
        <f>IF(OR($I55="",$J55=""),"",ROUND(($J55-$I55)*1440,0))</f>
        <v/>
      </c>
      <c r="AD55" s="25">
        <f>IF($A55="","",IF(COUNTIFS(stops!$A$2:$A$151,$A55,stops!$B$2:$B$151,$B55)&gt;1,"DUPLICATE stop; ","")&amp;IF(AND(OR(IFERROR(IF(INDEX(offices!$Z$2:$Z$61,MATCH($B55,offices!$A$2:$A$61,0))="","",INDEX(offices!$Z$2:$Z$61,MATCH($B55,offices!$A$2:$A$61,0))),"")="yes",IFERROR(IF(INDEX(offices!$Z$2:$Z$61,MATCH($B55,offices!$A$2:$A$61,0))="","",INDEX(offices!$Z$2:$Z$61,MATCH($B55,offices!$A$2:$A$61,0))),"")="unsure"),$Y55&lt;&gt;"received",$Y55&lt;&gt;"not_needed"),"building certificate not received; ","")&amp;IF($W55="","owner phone missing; ","")&amp;IF(N($Z55)=0,"no approved brand for this stop; ","")&amp;IF(AND($P55&lt;&gt;"",IF(config!$B$37&lt;&gt;"",config!$B$37,TODAY())&gt;$P55,$L55=""),"log the outcome; ","")&amp;IF(AND(OR($L55="declined",$L55="building_refused",$L55="not_delivered"),N($Z55)&gt;0,COUNTIFS(approvals!$H$2:$H$251,$A55,approvals!$B$2:$B$251,$B55,approvals!$P$2:$P$251,"Y",approvals!$U$2:$U$251,"&gt;0")&gt;=N($Z55)),"outcome says "&amp;$L55&amp;" but every brand here is logged delivered: fix the outcome, or delete the wrong delivered rows (SOP section 4); ","")&amp;IF(AND(OR($L55="declined",$L55="building_refused",$L55="not_delivered"),COUNTIFS(approvals!$H$2:$H$251,$A55,approvals!$B$2:$B$251,$B55,approvals!$P$2:$P$251,"Y",approvals!$U$2:$U$251,"&gt;0")&gt;0,COUNTIFS(approvals!$H$2:$H$251,$A55,approvals!$B$2:$B$251,$B55,approvals!$P$2:$P$251,"Y",approvals!$U$2:$U$251,"&gt;0")&lt;N($Z55)),"info: "&amp;(N($Z55)-COUNTIFS(approvals!$H$2:$H$251,$A55,approvals!$B$2:$B$251,$B55,approvals!$P$2:$P$251,"Y",approvals!$U$2:$U$251,"&gt;0"))&amp;" brand(s) turned away at the door, the rest delivered; ","")&amp;IF(AND($AB55="Y",IFERROR(IF(INDEX(drops!$C$2:$C$21,MATCH($A55,drops!$A$2:$A$21,0))="","",INDEX(drops!$C$2:$C$21,MATCH($A55,drops!$A$2:$A$21,0))),"")="direct-ship"),"info: first drop: visit in person on T; ","")&amp;IF(AND($U55="front desk",$X55&lt;&gt;"Y"),"info: front desk not agreed: the owner must take it; ",""))</f>
        <v/>
      </c>
    </row>
    <row r="56">
      <c r="D56" s="33" t="n"/>
      <c r="E56" s="9" t="n"/>
      <c r="F56" s="9" t="n"/>
      <c r="G56" s="9" t="n"/>
      <c r="I56" s="33" t="n"/>
      <c r="J56" s="33" t="n"/>
      <c r="N56" s="9" t="n"/>
      <c r="P56" s="26">
        <f>IF($A56="","",IF(IFERROR(IF(INDEX(drops!$I$2:$I$21,MATCH($A56,drops!$A$2:$A$21,0))="","",INDEX(drops!$I$2:$I$21,MATCH($A56,drops!$A$2:$A$21,0))),"")="OK",IFERROR(IF(INDEX(drops!$B$2:$B$21,MATCH($A56,drops!$A$2:$A$21,0))="","",INDEX(drops!$B$2:$B$21,MATCH($A56,drops!$A$2:$A$21,0))),""),""))</f>
        <v/>
      </c>
      <c r="Q56" s="25">
        <f>IF($B56="","",IFERROR(IF(INDEX(offices!$N$2:$N$61,MATCH($B56,offices!$A$2:$A$61,0))="","",INDEX(offices!$N$2:$N$61,MATCH($B56,offices!$A$2:$A$61,0))),""))</f>
        <v/>
      </c>
      <c r="R56" s="25">
        <f>IF($B56="","",IFERROR(IF(INDEX(offices!$O$2:$O$61,MATCH($B56,offices!$A$2:$A$61,0))="","",INDEX(offices!$O$2:$O$61,MATCH($B56,offices!$A$2:$A$61,0))),""))</f>
        <v/>
      </c>
      <c r="S56" s="25">
        <f>IF($B56="","",IFERROR(IF(INDEX(offices!$P$2:$P$61,MATCH($B56,offices!$A$2:$A$61,0))="","",INDEX(offices!$P$2:$P$61,MATCH($B56,offices!$A$2:$A$61,0))),""))</f>
        <v/>
      </c>
      <c r="T56" s="25">
        <f>IF($B56="","",IFERROR(IF(INDEX(offices!$Y$2:$Y$61,MATCH($B56,offices!$A$2:$A$61,0))="","",INDEX(offices!$Y$2:$Y$61,MATCH($B56,offices!$A$2:$A$61,0))),""))</f>
        <v/>
      </c>
      <c r="U56" s="25">
        <f>IF($B56="","",IFERROR(IF(INDEX(offices!$X$2:$X$61,MATCH($B56,offices!$A$2:$A$61,0))="","",INDEX(offices!$X$2:$X$61,MATCH($B56,offices!$A$2:$A$61,0))),""))</f>
        <v/>
      </c>
      <c r="V56" s="25">
        <f>IF($B56="","",IFERROR(IF(INDEX(offices!$U$2:$U$61,MATCH($B56,offices!$A$2:$A$61,0))="","",INDEX(offices!$U$2:$U$61,MATCH($B56,offices!$A$2:$A$61,0))),""))</f>
        <v/>
      </c>
      <c r="W56" s="25">
        <f>IF($B56="","",IFERROR(IF(INDEX(offices!$AI$2:$AI$61,MATCH($B56,offices!$A$2:$A$61,0))="","",INDEX(offices!$AI$2:$AI$61,MATCH($B56,offices!$A$2:$A$61,0))),""))</f>
        <v/>
      </c>
      <c r="X56" s="25">
        <f>IF($B56="","",IFERROR(IF(INDEX(offices!$G$2:$G$61,MATCH($B56,offices!$A$2:$A$61,0))="","",INDEX(offices!$G$2:$G$61,MATCH($B56,offices!$A$2:$A$61,0))),""))</f>
        <v/>
      </c>
      <c r="Y56" s="25">
        <f>IF($B56="","",IFERROR(IF(INDEX(offices!$I$2:$I$61,MATCH($B56,offices!$A$2:$A$61,0))="","",INDEX(offices!$I$2:$I$61,MATCH($B56,offices!$A$2:$A$61,0))),""))</f>
        <v/>
      </c>
      <c r="Z56" s="25">
        <f>IF($A56="","",COUNTIFS(approvals!$H$2:$H$251,$A56,approvals!$B$2:$B$251,$B56,approvals!$P$2:$P$251,"Y"))</f>
        <v/>
      </c>
      <c r="AA56" s="25">
        <f>IF($A56="","",SUMIFS(approvals!$S$2:$S$251,approvals!$H$2:$H$251,$A56,approvals!$B$2:$B$251,$B56,approvals!$P$2:$P$251,"Y"))</f>
        <v/>
      </c>
      <c r="AB56" s="25">
        <f>IF(OR($A56="",$P56=""),"",IF(COUNTIFS(stops!$B$2:$B$151,$B56,stops!$P$2:$P$151,"&lt;"&amp;$P56,stops!$L$2:$L$151,"&lt;&gt;not_delivered")=0,"Y","N"))</f>
        <v/>
      </c>
      <c r="AC56" s="25">
        <f>IF(OR($I56="",$J56=""),"",ROUND(($J56-$I56)*1440,0))</f>
        <v/>
      </c>
      <c r="AD56" s="25">
        <f>IF($A56="","",IF(COUNTIFS(stops!$A$2:$A$151,$A56,stops!$B$2:$B$151,$B56)&gt;1,"DUPLICATE stop; ","")&amp;IF(AND(OR(IFERROR(IF(INDEX(offices!$Z$2:$Z$61,MATCH($B56,offices!$A$2:$A$61,0))="","",INDEX(offices!$Z$2:$Z$61,MATCH($B56,offices!$A$2:$A$61,0))),"")="yes",IFERROR(IF(INDEX(offices!$Z$2:$Z$61,MATCH($B56,offices!$A$2:$A$61,0))="","",INDEX(offices!$Z$2:$Z$61,MATCH($B56,offices!$A$2:$A$61,0))),"")="unsure"),$Y56&lt;&gt;"received",$Y56&lt;&gt;"not_needed"),"building certificate not received; ","")&amp;IF($W56="","owner phone missing; ","")&amp;IF(N($Z56)=0,"no approved brand for this stop; ","")&amp;IF(AND($P56&lt;&gt;"",IF(config!$B$37&lt;&gt;"",config!$B$37,TODAY())&gt;$P56,$L56=""),"log the outcome; ","")&amp;IF(AND(OR($L56="declined",$L56="building_refused",$L56="not_delivered"),N($Z56)&gt;0,COUNTIFS(approvals!$H$2:$H$251,$A56,approvals!$B$2:$B$251,$B56,approvals!$P$2:$P$251,"Y",approvals!$U$2:$U$251,"&gt;0")&gt;=N($Z56)),"outcome says "&amp;$L56&amp;" but every brand here is logged delivered: fix the outcome, or delete the wrong delivered rows (SOP section 4); ","")&amp;IF(AND(OR($L56="declined",$L56="building_refused",$L56="not_delivered"),COUNTIFS(approvals!$H$2:$H$251,$A56,approvals!$B$2:$B$251,$B56,approvals!$P$2:$P$251,"Y",approvals!$U$2:$U$251,"&gt;0")&gt;0,COUNTIFS(approvals!$H$2:$H$251,$A56,approvals!$B$2:$B$251,$B56,approvals!$P$2:$P$251,"Y",approvals!$U$2:$U$251,"&gt;0")&lt;N($Z56)),"info: "&amp;(N($Z56)-COUNTIFS(approvals!$H$2:$H$251,$A56,approvals!$B$2:$B$251,$B56,approvals!$P$2:$P$251,"Y",approvals!$U$2:$U$251,"&gt;0"))&amp;" brand(s) turned away at the door, the rest delivered; ","")&amp;IF(AND($AB56="Y",IFERROR(IF(INDEX(drops!$C$2:$C$21,MATCH($A56,drops!$A$2:$A$21,0))="","",INDEX(drops!$C$2:$C$21,MATCH($A56,drops!$A$2:$A$21,0))),"")="direct-ship"),"info: first drop: visit in person on T; ","")&amp;IF(AND($U56="front desk",$X56&lt;&gt;"Y"),"info: front desk not agreed: the owner must take it; ",""))</f>
        <v/>
      </c>
    </row>
    <row r="57">
      <c r="D57" s="33" t="n"/>
      <c r="E57" s="9" t="n"/>
      <c r="F57" s="9" t="n"/>
      <c r="G57" s="9" t="n"/>
      <c r="I57" s="33" t="n"/>
      <c r="J57" s="33" t="n"/>
      <c r="N57" s="9" t="n"/>
      <c r="P57" s="26">
        <f>IF($A57="","",IF(IFERROR(IF(INDEX(drops!$I$2:$I$21,MATCH($A57,drops!$A$2:$A$21,0))="","",INDEX(drops!$I$2:$I$21,MATCH($A57,drops!$A$2:$A$21,0))),"")="OK",IFERROR(IF(INDEX(drops!$B$2:$B$21,MATCH($A57,drops!$A$2:$A$21,0))="","",INDEX(drops!$B$2:$B$21,MATCH($A57,drops!$A$2:$A$21,0))),""),""))</f>
        <v/>
      </c>
      <c r="Q57" s="25">
        <f>IF($B57="","",IFERROR(IF(INDEX(offices!$N$2:$N$61,MATCH($B57,offices!$A$2:$A$61,0))="","",INDEX(offices!$N$2:$N$61,MATCH($B57,offices!$A$2:$A$61,0))),""))</f>
        <v/>
      </c>
      <c r="R57" s="25">
        <f>IF($B57="","",IFERROR(IF(INDEX(offices!$O$2:$O$61,MATCH($B57,offices!$A$2:$A$61,0))="","",INDEX(offices!$O$2:$O$61,MATCH($B57,offices!$A$2:$A$61,0))),""))</f>
        <v/>
      </c>
      <c r="S57" s="25">
        <f>IF($B57="","",IFERROR(IF(INDEX(offices!$P$2:$P$61,MATCH($B57,offices!$A$2:$A$61,0))="","",INDEX(offices!$P$2:$P$61,MATCH($B57,offices!$A$2:$A$61,0))),""))</f>
        <v/>
      </c>
      <c r="T57" s="25">
        <f>IF($B57="","",IFERROR(IF(INDEX(offices!$Y$2:$Y$61,MATCH($B57,offices!$A$2:$A$61,0))="","",INDEX(offices!$Y$2:$Y$61,MATCH($B57,offices!$A$2:$A$61,0))),""))</f>
        <v/>
      </c>
      <c r="U57" s="25">
        <f>IF($B57="","",IFERROR(IF(INDEX(offices!$X$2:$X$61,MATCH($B57,offices!$A$2:$A$61,0))="","",INDEX(offices!$X$2:$X$61,MATCH($B57,offices!$A$2:$A$61,0))),""))</f>
        <v/>
      </c>
      <c r="V57" s="25">
        <f>IF($B57="","",IFERROR(IF(INDEX(offices!$U$2:$U$61,MATCH($B57,offices!$A$2:$A$61,0))="","",INDEX(offices!$U$2:$U$61,MATCH($B57,offices!$A$2:$A$61,0))),""))</f>
        <v/>
      </c>
      <c r="W57" s="25">
        <f>IF($B57="","",IFERROR(IF(INDEX(offices!$AI$2:$AI$61,MATCH($B57,offices!$A$2:$A$61,0))="","",INDEX(offices!$AI$2:$AI$61,MATCH($B57,offices!$A$2:$A$61,0))),""))</f>
        <v/>
      </c>
      <c r="X57" s="25">
        <f>IF($B57="","",IFERROR(IF(INDEX(offices!$G$2:$G$61,MATCH($B57,offices!$A$2:$A$61,0))="","",INDEX(offices!$G$2:$G$61,MATCH($B57,offices!$A$2:$A$61,0))),""))</f>
        <v/>
      </c>
      <c r="Y57" s="25">
        <f>IF($B57="","",IFERROR(IF(INDEX(offices!$I$2:$I$61,MATCH($B57,offices!$A$2:$A$61,0))="","",INDEX(offices!$I$2:$I$61,MATCH($B57,offices!$A$2:$A$61,0))),""))</f>
        <v/>
      </c>
      <c r="Z57" s="25">
        <f>IF($A57="","",COUNTIFS(approvals!$H$2:$H$251,$A57,approvals!$B$2:$B$251,$B57,approvals!$P$2:$P$251,"Y"))</f>
        <v/>
      </c>
      <c r="AA57" s="25">
        <f>IF($A57="","",SUMIFS(approvals!$S$2:$S$251,approvals!$H$2:$H$251,$A57,approvals!$B$2:$B$251,$B57,approvals!$P$2:$P$251,"Y"))</f>
        <v/>
      </c>
      <c r="AB57" s="25">
        <f>IF(OR($A57="",$P57=""),"",IF(COUNTIFS(stops!$B$2:$B$151,$B57,stops!$P$2:$P$151,"&lt;"&amp;$P57,stops!$L$2:$L$151,"&lt;&gt;not_delivered")=0,"Y","N"))</f>
        <v/>
      </c>
      <c r="AC57" s="25">
        <f>IF(OR($I57="",$J57=""),"",ROUND(($J57-$I57)*1440,0))</f>
        <v/>
      </c>
      <c r="AD57" s="25">
        <f>IF($A57="","",IF(COUNTIFS(stops!$A$2:$A$151,$A57,stops!$B$2:$B$151,$B57)&gt;1,"DUPLICATE stop; ","")&amp;IF(AND(OR(IFERROR(IF(INDEX(offices!$Z$2:$Z$61,MATCH($B57,offices!$A$2:$A$61,0))="","",INDEX(offices!$Z$2:$Z$61,MATCH($B57,offices!$A$2:$A$61,0))),"")="yes",IFERROR(IF(INDEX(offices!$Z$2:$Z$61,MATCH($B57,offices!$A$2:$A$61,0))="","",INDEX(offices!$Z$2:$Z$61,MATCH($B57,offices!$A$2:$A$61,0))),"")="unsure"),$Y57&lt;&gt;"received",$Y57&lt;&gt;"not_needed"),"building certificate not received; ","")&amp;IF($W57="","owner phone missing; ","")&amp;IF(N($Z57)=0,"no approved brand for this stop; ","")&amp;IF(AND($P57&lt;&gt;"",IF(config!$B$37&lt;&gt;"",config!$B$37,TODAY())&gt;$P57,$L57=""),"log the outcome; ","")&amp;IF(AND(OR($L57="declined",$L57="building_refused",$L57="not_delivered"),N($Z57)&gt;0,COUNTIFS(approvals!$H$2:$H$251,$A57,approvals!$B$2:$B$251,$B57,approvals!$P$2:$P$251,"Y",approvals!$U$2:$U$251,"&gt;0")&gt;=N($Z57)),"outcome says "&amp;$L57&amp;" but every brand here is logged delivered: fix the outcome, or delete the wrong delivered rows (SOP section 4); ","")&amp;IF(AND(OR($L57="declined",$L57="building_refused",$L57="not_delivered"),COUNTIFS(approvals!$H$2:$H$251,$A57,approvals!$B$2:$B$251,$B57,approvals!$P$2:$P$251,"Y",approvals!$U$2:$U$251,"&gt;0")&gt;0,COUNTIFS(approvals!$H$2:$H$251,$A57,approvals!$B$2:$B$251,$B57,approvals!$P$2:$P$251,"Y",approvals!$U$2:$U$251,"&gt;0")&lt;N($Z57)),"info: "&amp;(N($Z57)-COUNTIFS(approvals!$H$2:$H$251,$A57,approvals!$B$2:$B$251,$B57,approvals!$P$2:$P$251,"Y",approvals!$U$2:$U$251,"&gt;0"))&amp;" brand(s) turned away at the door, the rest delivered; ","")&amp;IF(AND($AB57="Y",IFERROR(IF(INDEX(drops!$C$2:$C$21,MATCH($A57,drops!$A$2:$A$21,0))="","",INDEX(drops!$C$2:$C$21,MATCH($A57,drops!$A$2:$A$21,0))),"")="direct-ship"),"info: first drop: visit in person on T; ","")&amp;IF(AND($U57="front desk",$X57&lt;&gt;"Y"),"info: front desk not agreed: the owner must take it; ",""))</f>
        <v/>
      </c>
    </row>
    <row r="58">
      <c r="D58" s="33" t="n"/>
      <c r="E58" s="9" t="n"/>
      <c r="F58" s="9" t="n"/>
      <c r="G58" s="9" t="n"/>
      <c r="I58" s="33" t="n"/>
      <c r="J58" s="33" t="n"/>
      <c r="N58" s="9" t="n"/>
      <c r="P58" s="26">
        <f>IF($A58="","",IF(IFERROR(IF(INDEX(drops!$I$2:$I$21,MATCH($A58,drops!$A$2:$A$21,0))="","",INDEX(drops!$I$2:$I$21,MATCH($A58,drops!$A$2:$A$21,0))),"")="OK",IFERROR(IF(INDEX(drops!$B$2:$B$21,MATCH($A58,drops!$A$2:$A$21,0))="","",INDEX(drops!$B$2:$B$21,MATCH($A58,drops!$A$2:$A$21,0))),""),""))</f>
        <v/>
      </c>
      <c r="Q58" s="25">
        <f>IF($B58="","",IFERROR(IF(INDEX(offices!$N$2:$N$61,MATCH($B58,offices!$A$2:$A$61,0))="","",INDEX(offices!$N$2:$N$61,MATCH($B58,offices!$A$2:$A$61,0))),""))</f>
        <v/>
      </c>
      <c r="R58" s="25">
        <f>IF($B58="","",IFERROR(IF(INDEX(offices!$O$2:$O$61,MATCH($B58,offices!$A$2:$A$61,0))="","",INDEX(offices!$O$2:$O$61,MATCH($B58,offices!$A$2:$A$61,0))),""))</f>
        <v/>
      </c>
      <c r="S58" s="25">
        <f>IF($B58="","",IFERROR(IF(INDEX(offices!$P$2:$P$61,MATCH($B58,offices!$A$2:$A$61,0))="","",INDEX(offices!$P$2:$P$61,MATCH($B58,offices!$A$2:$A$61,0))),""))</f>
        <v/>
      </c>
      <c r="T58" s="25">
        <f>IF($B58="","",IFERROR(IF(INDEX(offices!$Y$2:$Y$61,MATCH($B58,offices!$A$2:$A$61,0))="","",INDEX(offices!$Y$2:$Y$61,MATCH($B58,offices!$A$2:$A$61,0))),""))</f>
        <v/>
      </c>
      <c r="U58" s="25">
        <f>IF($B58="","",IFERROR(IF(INDEX(offices!$X$2:$X$61,MATCH($B58,offices!$A$2:$A$61,0))="","",INDEX(offices!$X$2:$X$61,MATCH($B58,offices!$A$2:$A$61,0))),""))</f>
        <v/>
      </c>
      <c r="V58" s="25">
        <f>IF($B58="","",IFERROR(IF(INDEX(offices!$U$2:$U$61,MATCH($B58,offices!$A$2:$A$61,0))="","",INDEX(offices!$U$2:$U$61,MATCH($B58,offices!$A$2:$A$61,0))),""))</f>
        <v/>
      </c>
      <c r="W58" s="25">
        <f>IF($B58="","",IFERROR(IF(INDEX(offices!$AI$2:$AI$61,MATCH($B58,offices!$A$2:$A$61,0))="","",INDEX(offices!$AI$2:$AI$61,MATCH($B58,offices!$A$2:$A$61,0))),""))</f>
        <v/>
      </c>
      <c r="X58" s="25">
        <f>IF($B58="","",IFERROR(IF(INDEX(offices!$G$2:$G$61,MATCH($B58,offices!$A$2:$A$61,0))="","",INDEX(offices!$G$2:$G$61,MATCH($B58,offices!$A$2:$A$61,0))),""))</f>
        <v/>
      </c>
      <c r="Y58" s="25">
        <f>IF($B58="","",IFERROR(IF(INDEX(offices!$I$2:$I$61,MATCH($B58,offices!$A$2:$A$61,0))="","",INDEX(offices!$I$2:$I$61,MATCH($B58,offices!$A$2:$A$61,0))),""))</f>
        <v/>
      </c>
      <c r="Z58" s="25">
        <f>IF($A58="","",COUNTIFS(approvals!$H$2:$H$251,$A58,approvals!$B$2:$B$251,$B58,approvals!$P$2:$P$251,"Y"))</f>
        <v/>
      </c>
      <c r="AA58" s="25">
        <f>IF($A58="","",SUMIFS(approvals!$S$2:$S$251,approvals!$H$2:$H$251,$A58,approvals!$B$2:$B$251,$B58,approvals!$P$2:$P$251,"Y"))</f>
        <v/>
      </c>
      <c r="AB58" s="25">
        <f>IF(OR($A58="",$P58=""),"",IF(COUNTIFS(stops!$B$2:$B$151,$B58,stops!$P$2:$P$151,"&lt;"&amp;$P58,stops!$L$2:$L$151,"&lt;&gt;not_delivered")=0,"Y","N"))</f>
        <v/>
      </c>
      <c r="AC58" s="25">
        <f>IF(OR($I58="",$J58=""),"",ROUND(($J58-$I58)*1440,0))</f>
        <v/>
      </c>
      <c r="AD58" s="25">
        <f>IF($A58="","",IF(COUNTIFS(stops!$A$2:$A$151,$A58,stops!$B$2:$B$151,$B58)&gt;1,"DUPLICATE stop; ","")&amp;IF(AND(OR(IFERROR(IF(INDEX(offices!$Z$2:$Z$61,MATCH($B58,offices!$A$2:$A$61,0))="","",INDEX(offices!$Z$2:$Z$61,MATCH($B58,offices!$A$2:$A$61,0))),"")="yes",IFERROR(IF(INDEX(offices!$Z$2:$Z$61,MATCH($B58,offices!$A$2:$A$61,0))="","",INDEX(offices!$Z$2:$Z$61,MATCH($B58,offices!$A$2:$A$61,0))),"")="unsure"),$Y58&lt;&gt;"received",$Y58&lt;&gt;"not_needed"),"building certificate not received; ","")&amp;IF($W58="","owner phone missing; ","")&amp;IF(N($Z58)=0,"no approved brand for this stop; ","")&amp;IF(AND($P58&lt;&gt;"",IF(config!$B$37&lt;&gt;"",config!$B$37,TODAY())&gt;$P58,$L58=""),"log the outcome; ","")&amp;IF(AND(OR($L58="declined",$L58="building_refused",$L58="not_delivered"),N($Z58)&gt;0,COUNTIFS(approvals!$H$2:$H$251,$A58,approvals!$B$2:$B$251,$B58,approvals!$P$2:$P$251,"Y",approvals!$U$2:$U$251,"&gt;0")&gt;=N($Z58)),"outcome says "&amp;$L58&amp;" but every brand here is logged delivered: fix the outcome, or delete the wrong delivered rows (SOP section 4); ","")&amp;IF(AND(OR($L58="declined",$L58="building_refused",$L58="not_delivered"),COUNTIFS(approvals!$H$2:$H$251,$A58,approvals!$B$2:$B$251,$B58,approvals!$P$2:$P$251,"Y",approvals!$U$2:$U$251,"&gt;0")&gt;0,COUNTIFS(approvals!$H$2:$H$251,$A58,approvals!$B$2:$B$251,$B58,approvals!$P$2:$P$251,"Y",approvals!$U$2:$U$251,"&gt;0")&lt;N($Z58)),"info: "&amp;(N($Z58)-COUNTIFS(approvals!$H$2:$H$251,$A58,approvals!$B$2:$B$251,$B58,approvals!$P$2:$P$251,"Y",approvals!$U$2:$U$251,"&gt;0"))&amp;" brand(s) turned away at the door, the rest delivered; ","")&amp;IF(AND($AB58="Y",IFERROR(IF(INDEX(drops!$C$2:$C$21,MATCH($A58,drops!$A$2:$A$21,0))="","",INDEX(drops!$C$2:$C$21,MATCH($A58,drops!$A$2:$A$21,0))),"")="direct-ship"),"info: first drop: visit in person on T; ","")&amp;IF(AND($U58="front desk",$X58&lt;&gt;"Y"),"info: front desk not agreed: the owner must take it; ",""))</f>
        <v/>
      </c>
    </row>
    <row r="59">
      <c r="D59" s="33" t="n"/>
      <c r="E59" s="9" t="n"/>
      <c r="F59" s="9" t="n"/>
      <c r="G59" s="9" t="n"/>
      <c r="I59" s="33" t="n"/>
      <c r="J59" s="33" t="n"/>
      <c r="N59" s="9" t="n"/>
      <c r="P59" s="26">
        <f>IF($A59="","",IF(IFERROR(IF(INDEX(drops!$I$2:$I$21,MATCH($A59,drops!$A$2:$A$21,0))="","",INDEX(drops!$I$2:$I$21,MATCH($A59,drops!$A$2:$A$21,0))),"")="OK",IFERROR(IF(INDEX(drops!$B$2:$B$21,MATCH($A59,drops!$A$2:$A$21,0))="","",INDEX(drops!$B$2:$B$21,MATCH($A59,drops!$A$2:$A$21,0))),""),""))</f>
        <v/>
      </c>
      <c r="Q59" s="25">
        <f>IF($B59="","",IFERROR(IF(INDEX(offices!$N$2:$N$61,MATCH($B59,offices!$A$2:$A$61,0))="","",INDEX(offices!$N$2:$N$61,MATCH($B59,offices!$A$2:$A$61,0))),""))</f>
        <v/>
      </c>
      <c r="R59" s="25">
        <f>IF($B59="","",IFERROR(IF(INDEX(offices!$O$2:$O$61,MATCH($B59,offices!$A$2:$A$61,0))="","",INDEX(offices!$O$2:$O$61,MATCH($B59,offices!$A$2:$A$61,0))),""))</f>
        <v/>
      </c>
      <c r="S59" s="25">
        <f>IF($B59="","",IFERROR(IF(INDEX(offices!$P$2:$P$61,MATCH($B59,offices!$A$2:$A$61,0))="","",INDEX(offices!$P$2:$P$61,MATCH($B59,offices!$A$2:$A$61,0))),""))</f>
        <v/>
      </c>
      <c r="T59" s="25">
        <f>IF($B59="","",IFERROR(IF(INDEX(offices!$Y$2:$Y$61,MATCH($B59,offices!$A$2:$A$61,0))="","",INDEX(offices!$Y$2:$Y$61,MATCH($B59,offices!$A$2:$A$61,0))),""))</f>
        <v/>
      </c>
      <c r="U59" s="25">
        <f>IF($B59="","",IFERROR(IF(INDEX(offices!$X$2:$X$61,MATCH($B59,offices!$A$2:$A$61,0))="","",INDEX(offices!$X$2:$X$61,MATCH($B59,offices!$A$2:$A$61,0))),""))</f>
        <v/>
      </c>
      <c r="V59" s="25">
        <f>IF($B59="","",IFERROR(IF(INDEX(offices!$U$2:$U$61,MATCH($B59,offices!$A$2:$A$61,0))="","",INDEX(offices!$U$2:$U$61,MATCH($B59,offices!$A$2:$A$61,0))),""))</f>
        <v/>
      </c>
      <c r="W59" s="25">
        <f>IF($B59="","",IFERROR(IF(INDEX(offices!$AI$2:$AI$61,MATCH($B59,offices!$A$2:$A$61,0))="","",INDEX(offices!$AI$2:$AI$61,MATCH($B59,offices!$A$2:$A$61,0))),""))</f>
        <v/>
      </c>
      <c r="X59" s="25">
        <f>IF($B59="","",IFERROR(IF(INDEX(offices!$G$2:$G$61,MATCH($B59,offices!$A$2:$A$61,0))="","",INDEX(offices!$G$2:$G$61,MATCH($B59,offices!$A$2:$A$61,0))),""))</f>
        <v/>
      </c>
      <c r="Y59" s="25">
        <f>IF($B59="","",IFERROR(IF(INDEX(offices!$I$2:$I$61,MATCH($B59,offices!$A$2:$A$61,0))="","",INDEX(offices!$I$2:$I$61,MATCH($B59,offices!$A$2:$A$61,0))),""))</f>
        <v/>
      </c>
      <c r="Z59" s="25">
        <f>IF($A59="","",COUNTIFS(approvals!$H$2:$H$251,$A59,approvals!$B$2:$B$251,$B59,approvals!$P$2:$P$251,"Y"))</f>
        <v/>
      </c>
      <c r="AA59" s="25">
        <f>IF($A59="","",SUMIFS(approvals!$S$2:$S$251,approvals!$H$2:$H$251,$A59,approvals!$B$2:$B$251,$B59,approvals!$P$2:$P$251,"Y"))</f>
        <v/>
      </c>
      <c r="AB59" s="25">
        <f>IF(OR($A59="",$P59=""),"",IF(COUNTIFS(stops!$B$2:$B$151,$B59,stops!$P$2:$P$151,"&lt;"&amp;$P59,stops!$L$2:$L$151,"&lt;&gt;not_delivered")=0,"Y","N"))</f>
        <v/>
      </c>
      <c r="AC59" s="25">
        <f>IF(OR($I59="",$J59=""),"",ROUND(($J59-$I59)*1440,0))</f>
        <v/>
      </c>
      <c r="AD59" s="25">
        <f>IF($A59="","",IF(COUNTIFS(stops!$A$2:$A$151,$A59,stops!$B$2:$B$151,$B59)&gt;1,"DUPLICATE stop; ","")&amp;IF(AND(OR(IFERROR(IF(INDEX(offices!$Z$2:$Z$61,MATCH($B59,offices!$A$2:$A$61,0))="","",INDEX(offices!$Z$2:$Z$61,MATCH($B59,offices!$A$2:$A$61,0))),"")="yes",IFERROR(IF(INDEX(offices!$Z$2:$Z$61,MATCH($B59,offices!$A$2:$A$61,0))="","",INDEX(offices!$Z$2:$Z$61,MATCH($B59,offices!$A$2:$A$61,0))),"")="unsure"),$Y59&lt;&gt;"received",$Y59&lt;&gt;"not_needed"),"building certificate not received; ","")&amp;IF($W59="","owner phone missing; ","")&amp;IF(N($Z59)=0,"no approved brand for this stop; ","")&amp;IF(AND($P59&lt;&gt;"",IF(config!$B$37&lt;&gt;"",config!$B$37,TODAY())&gt;$P59,$L59=""),"log the outcome; ","")&amp;IF(AND(OR($L59="declined",$L59="building_refused",$L59="not_delivered"),N($Z59)&gt;0,COUNTIFS(approvals!$H$2:$H$251,$A59,approvals!$B$2:$B$251,$B59,approvals!$P$2:$P$251,"Y",approvals!$U$2:$U$251,"&gt;0")&gt;=N($Z59)),"outcome says "&amp;$L59&amp;" but every brand here is logged delivered: fix the outcome, or delete the wrong delivered rows (SOP section 4); ","")&amp;IF(AND(OR($L59="declined",$L59="building_refused",$L59="not_delivered"),COUNTIFS(approvals!$H$2:$H$251,$A59,approvals!$B$2:$B$251,$B59,approvals!$P$2:$P$251,"Y",approvals!$U$2:$U$251,"&gt;0")&gt;0,COUNTIFS(approvals!$H$2:$H$251,$A59,approvals!$B$2:$B$251,$B59,approvals!$P$2:$P$251,"Y",approvals!$U$2:$U$251,"&gt;0")&lt;N($Z59)),"info: "&amp;(N($Z59)-COUNTIFS(approvals!$H$2:$H$251,$A59,approvals!$B$2:$B$251,$B59,approvals!$P$2:$P$251,"Y",approvals!$U$2:$U$251,"&gt;0"))&amp;" brand(s) turned away at the door, the rest delivered; ","")&amp;IF(AND($AB59="Y",IFERROR(IF(INDEX(drops!$C$2:$C$21,MATCH($A59,drops!$A$2:$A$21,0))="","",INDEX(drops!$C$2:$C$21,MATCH($A59,drops!$A$2:$A$21,0))),"")="direct-ship"),"info: first drop: visit in person on T; ","")&amp;IF(AND($U59="front desk",$X59&lt;&gt;"Y"),"info: front desk not agreed: the owner must take it; ",""))</f>
        <v/>
      </c>
    </row>
    <row r="60">
      <c r="D60" s="33" t="n"/>
      <c r="E60" s="9" t="n"/>
      <c r="F60" s="9" t="n"/>
      <c r="G60" s="9" t="n"/>
      <c r="I60" s="33" t="n"/>
      <c r="J60" s="33" t="n"/>
      <c r="N60" s="9" t="n"/>
      <c r="P60" s="26">
        <f>IF($A60="","",IF(IFERROR(IF(INDEX(drops!$I$2:$I$21,MATCH($A60,drops!$A$2:$A$21,0))="","",INDEX(drops!$I$2:$I$21,MATCH($A60,drops!$A$2:$A$21,0))),"")="OK",IFERROR(IF(INDEX(drops!$B$2:$B$21,MATCH($A60,drops!$A$2:$A$21,0))="","",INDEX(drops!$B$2:$B$21,MATCH($A60,drops!$A$2:$A$21,0))),""),""))</f>
        <v/>
      </c>
      <c r="Q60" s="25">
        <f>IF($B60="","",IFERROR(IF(INDEX(offices!$N$2:$N$61,MATCH($B60,offices!$A$2:$A$61,0))="","",INDEX(offices!$N$2:$N$61,MATCH($B60,offices!$A$2:$A$61,0))),""))</f>
        <v/>
      </c>
      <c r="R60" s="25">
        <f>IF($B60="","",IFERROR(IF(INDEX(offices!$O$2:$O$61,MATCH($B60,offices!$A$2:$A$61,0))="","",INDEX(offices!$O$2:$O$61,MATCH($B60,offices!$A$2:$A$61,0))),""))</f>
        <v/>
      </c>
      <c r="S60" s="25">
        <f>IF($B60="","",IFERROR(IF(INDEX(offices!$P$2:$P$61,MATCH($B60,offices!$A$2:$A$61,0))="","",INDEX(offices!$P$2:$P$61,MATCH($B60,offices!$A$2:$A$61,0))),""))</f>
        <v/>
      </c>
      <c r="T60" s="25">
        <f>IF($B60="","",IFERROR(IF(INDEX(offices!$Y$2:$Y$61,MATCH($B60,offices!$A$2:$A$61,0))="","",INDEX(offices!$Y$2:$Y$61,MATCH($B60,offices!$A$2:$A$61,0))),""))</f>
        <v/>
      </c>
      <c r="U60" s="25">
        <f>IF($B60="","",IFERROR(IF(INDEX(offices!$X$2:$X$61,MATCH($B60,offices!$A$2:$A$61,0))="","",INDEX(offices!$X$2:$X$61,MATCH($B60,offices!$A$2:$A$61,0))),""))</f>
        <v/>
      </c>
      <c r="V60" s="25">
        <f>IF($B60="","",IFERROR(IF(INDEX(offices!$U$2:$U$61,MATCH($B60,offices!$A$2:$A$61,0))="","",INDEX(offices!$U$2:$U$61,MATCH($B60,offices!$A$2:$A$61,0))),""))</f>
        <v/>
      </c>
      <c r="W60" s="25">
        <f>IF($B60="","",IFERROR(IF(INDEX(offices!$AI$2:$AI$61,MATCH($B60,offices!$A$2:$A$61,0))="","",INDEX(offices!$AI$2:$AI$61,MATCH($B60,offices!$A$2:$A$61,0))),""))</f>
        <v/>
      </c>
      <c r="X60" s="25">
        <f>IF($B60="","",IFERROR(IF(INDEX(offices!$G$2:$G$61,MATCH($B60,offices!$A$2:$A$61,0))="","",INDEX(offices!$G$2:$G$61,MATCH($B60,offices!$A$2:$A$61,0))),""))</f>
        <v/>
      </c>
      <c r="Y60" s="25">
        <f>IF($B60="","",IFERROR(IF(INDEX(offices!$I$2:$I$61,MATCH($B60,offices!$A$2:$A$61,0))="","",INDEX(offices!$I$2:$I$61,MATCH($B60,offices!$A$2:$A$61,0))),""))</f>
        <v/>
      </c>
      <c r="Z60" s="25">
        <f>IF($A60="","",COUNTIFS(approvals!$H$2:$H$251,$A60,approvals!$B$2:$B$251,$B60,approvals!$P$2:$P$251,"Y"))</f>
        <v/>
      </c>
      <c r="AA60" s="25">
        <f>IF($A60="","",SUMIFS(approvals!$S$2:$S$251,approvals!$H$2:$H$251,$A60,approvals!$B$2:$B$251,$B60,approvals!$P$2:$P$251,"Y"))</f>
        <v/>
      </c>
      <c r="AB60" s="25">
        <f>IF(OR($A60="",$P60=""),"",IF(COUNTIFS(stops!$B$2:$B$151,$B60,stops!$P$2:$P$151,"&lt;"&amp;$P60,stops!$L$2:$L$151,"&lt;&gt;not_delivered")=0,"Y","N"))</f>
        <v/>
      </c>
      <c r="AC60" s="25">
        <f>IF(OR($I60="",$J60=""),"",ROUND(($J60-$I60)*1440,0))</f>
        <v/>
      </c>
      <c r="AD60" s="25">
        <f>IF($A60="","",IF(COUNTIFS(stops!$A$2:$A$151,$A60,stops!$B$2:$B$151,$B60)&gt;1,"DUPLICATE stop; ","")&amp;IF(AND(OR(IFERROR(IF(INDEX(offices!$Z$2:$Z$61,MATCH($B60,offices!$A$2:$A$61,0))="","",INDEX(offices!$Z$2:$Z$61,MATCH($B60,offices!$A$2:$A$61,0))),"")="yes",IFERROR(IF(INDEX(offices!$Z$2:$Z$61,MATCH($B60,offices!$A$2:$A$61,0))="","",INDEX(offices!$Z$2:$Z$61,MATCH($B60,offices!$A$2:$A$61,0))),"")="unsure"),$Y60&lt;&gt;"received",$Y60&lt;&gt;"not_needed"),"building certificate not received; ","")&amp;IF($W60="","owner phone missing; ","")&amp;IF(N($Z60)=0,"no approved brand for this stop; ","")&amp;IF(AND($P60&lt;&gt;"",IF(config!$B$37&lt;&gt;"",config!$B$37,TODAY())&gt;$P60,$L60=""),"log the outcome; ","")&amp;IF(AND(OR($L60="declined",$L60="building_refused",$L60="not_delivered"),N($Z60)&gt;0,COUNTIFS(approvals!$H$2:$H$251,$A60,approvals!$B$2:$B$251,$B60,approvals!$P$2:$P$251,"Y",approvals!$U$2:$U$251,"&gt;0")&gt;=N($Z60)),"outcome says "&amp;$L60&amp;" but every brand here is logged delivered: fix the outcome, or delete the wrong delivered rows (SOP section 4); ","")&amp;IF(AND(OR($L60="declined",$L60="building_refused",$L60="not_delivered"),COUNTIFS(approvals!$H$2:$H$251,$A60,approvals!$B$2:$B$251,$B60,approvals!$P$2:$P$251,"Y",approvals!$U$2:$U$251,"&gt;0")&gt;0,COUNTIFS(approvals!$H$2:$H$251,$A60,approvals!$B$2:$B$251,$B60,approvals!$P$2:$P$251,"Y",approvals!$U$2:$U$251,"&gt;0")&lt;N($Z60)),"info: "&amp;(N($Z60)-COUNTIFS(approvals!$H$2:$H$251,$A60,approvals!$B$2:$B$251,$B60,approvals!$P$2:$P$251,"Y",approvals!$U$2:$U$251,"&gt;0"))&amp;" brand(s) turned away at the door, the rest delivered; ","")&amp;IF(AND($AB60="Y",IFERROR(IF(INDEX(drops!$C$2:$C$21,MATCH($A60,drops!$A$2:$A$21,0))="","",INDEX(drops!$C$2:$C$21,MATCH($A60,drops!$A$2:$A$21,0))),"")="direct-ship"),"info: first drop: visit in person on T; ","")&amp;IF(AND($U60="front desk",$X60&lt;&gt;"Y"),"info: front desk not agreed: the owner must take it; ",""))</f>
        <v/>
      </c>
    </row>
    <row r="61">
      <c r="D61" s="33" t="n"/>
      <c r="E61" s="9" t="n"/>
      <c r="F61" s="9" t="n"/>
      <c r="G61" s="9" t="n"/>
      <c r="I61" s="33" t="n"/>
      <c r="J61" s="33" t="n"/>
      <c r="N61" s="9" t="n"/>
      <c r="P61" s="26">
        <f>IF($A61="","",IF(IFERROR(IF(INDEX(drops!$I$2:$I$21,MATCH($A61,drops!$A$2:$A$21,0))="","",INDEX(drops!$I$2:$I$21,MATCH($A61,drops!$A$2:$A$21,0))),"")="OK",IFERROR(IF(INDEX(drops!$B$2:$B$21,MATCH($A61,drops!$A$2:$A$21,0))="","",INDEX(drops!$B$2:$B$21,MATCH($A61,drops!$A$2:$A$21,0))),""),""))</f>
        <v/>
      </c>
      <c r="Q61" s="25">
        <f>IF($B61="","",IFERROR(IF(INDEX(offices!$N$2:$N$61,MATCH($B61,offices!$A$2:$A$61,0))="","",INDEX(offices!$N$2:$N$61,MATCH($B61,offices!$A$2:$A$61,0))),""))</f>
        <v/>
      </c>
      <c r="R61" s="25">
        <f>IF($B61="","",IFERROR(IF(INDEX(offices!$O$2:$O$61,MATCH($B61,offices!$A$2:$A$61,0))="","",INDEX(offices!$O$2:$O$61,MATCH($B61,offices!$A$2:$A$61,0))),""))</f>
        <v/>
      </c>
      <c r="S61" s="25">
        <f>IF($B61="","",IFERROR(IF(INDEX(offices!$P$2:$P$61,MATCH($B61,offices!$A$2:$A$61,0))="","",INDEX(offices!$P$2:$P$61,MATCH($B61,offices!$A$2:$A$61,0))),""))</f>
        <v/>
      </c>
      <c r="T61" s="25">
        <f>IF($B61="","",IFERROR(IF(INDEX(offices!$Y$2:$Y$61,MATCH($B61,offices!$A$2:$A$61,0))="","",INDEX(offices!$Y$2:$Y$61,MATCH($B61,offices!$A$2:$A$61,0))),""))</f>
        <v/>
      </c>
      <c r="U61" s="25">
        <f>IF($B61="","",IFERROR(IF(INDEX(offices!$X$2:$X$61,MATCH($B61,offices!$A$2:$A$61,0))="","",INDEX(offices!$X$2:$X$61,MATCH($B61,offices!$A$2:$A$61,0))),""))</f>
        <v/>
      </c>
      <c r="V61" s="25">
        <f>IF($B61="","",IFERROR(IF(INDEX(offices!$U$2:$U$61,MATCH($B61,offices!$A$2:$A$61,0))="","",INDEX(offices!$U$2:$U$61,MATCH($B61,offices!$A$2:$A$61,0))),""))</f>
        <v/>
      </c>
      <c r="W61" s="25">
        <f>IF($B61="","",IFERROR(IF(INDEX(offices!$AI$2:$AI$61,MATCH($B61,offices!$A$2:$A$61,0))="","",INDEX(offices!$AI$2:$AI$61,MATCH($B61,offices!$A$2:$A$61,0))),""))</f>
        <v/>
      </c>
      <c r="X61" s="25">
        <f>IF($B61="","",IFERROR(IF(INDEX(offices!$G$2:$G$61,MATCH($B61,offices!$A$2:$A$61,0))="","",INDEX(offices!$G$2:$G$61,MATCH($B61,offices!$A$2:$A$61,0))),""))</f>
        <v/>
      </c>
      <c r="Y61" s="25">
        <f>IF($B61="","",IFERROR(IF(INDEX(offices!$I$2:$I$61,MATCH($B61,offices!$A$2:$A$61,0))="","",INDEX(offices!$I$2:$I$61,MATCH($B61,offices!$A$2:$A$61,0))),""))</f>
        <v/>
      </c>
      <c r="Z61" s="25">
        <f>IF($A61="","",COUNTIFS(approvals!$H$2:$H$251,$A61,approvals!$B$2:$B$251,$B61,approvals!$P$2:$P$251,"Y"))</f>
        <v/>
      </c>
      <c r="AA61" s="25">
        <f>IF($A61="","",SUMIFS(approvals!$S$2:$S$251,approvals!$H$2:$H$251,$A61,approvals!$B$2:$B$251,$B61,approvals!$P$2:$P$251,"Y"))</f>
        <v/>
      </c>
      <c r="AB61" s="25">
        <f>IF(OR($A61="",$P61=""),"",IF(COUNTIFS(stops!$B$2:$B$151,$B61,stops!$P$2:$P$151,"&lt;"&amp;$P61,stops!$L$2:$L$151,"&lt;&gt;not_delivered")=0,"Y","N"))</f>
        <v/>
      </c>
      <c r="AC61" s="25">
        <f>IF(OR($I61="",$J61=""),"",ROUND(($J61-$I61)*1440,0))</f>
        <v/>
      </c>
      <c r="AD61" s="25">
        <f>IF($A61="","",IF(COUNTIFS(stops!$A$2:$A$151,$A61,stops!$B$2:$B$151,$B61)&gt;1,"DUPLICATE stop; ","")&amp;IF(AND(OR(IFERROR(IF(INDEX(offices!$Z$2:$Z$61,MATCH($B61,offices!$A$2:$A$61,0))="","",INDEX(offices!$Z$2:$Z$61,MATCH($B61,offices!$A$2:$A$61,0))),"")="yes",IFERROR(IF(INDEX(offices!$Z$2:$Z$61,MATCH($B61,offices!$A$2:$A$61,0))="","",INDEX(offices!$Z$2:$Z$61,MATCH($B61,offices!$A$2:$A$61,0))),"")="unsure"),$Y61&lt;&gt;"received",$Y61&lt;&gt;"not_needed"),"building certificate not received; ","")&amp;IF($W61="","owner phone missing; ","")&amp;IF(N($Z61)=0,"no approved brand for this stop; ","")&amp;IF(AND($P61&lt;&gt;"",IF(config!$B$37&lt;&gt;"",config!$B$37,TODAY())&gt;$P61,$L61=""),"log the outcome; ","")&amp;IF(AND(OR($L61="declined",$L61="building_refused",$L61="not_delivered"),N($Z61)&gt;0,COUNTIFS(approvals!$H$2:$H$251,$A61,approvals!$B$2:$B$251,$B61,approvals!$P$2:$P$251,"Y",approvals!$U$2:$U$251,"&gt;0")&gt;=N($Z61)),"outcome says "&amp;$L61&amp;" but every brand here is logged delivered: fix the outcome, or delete the wrong delivered rows (SOP section 4); ","")&amp;IF(AND(OR($L61="declined",$L61="building_refused",$L61="not_delivered"),COUNTIFS(approvals!$H$2:$H$251,$A61,approvals!$B$2:$B$251,$B61,approvals!$P$2:$P$251,"Y",approvals!$U$2:$U$251,"&gt;0")&gt;0,COUNTIFS(approvals!$H$2:$H$251,$A61,approvals!$B$2:$B$251,$B61,approvals!$P$2:$P$251,"Y",approvals!$U$2:$U$251,"&gt;0")&lt;N($Z61)),"info: "&amp;(N($Z61)-COUNTIFS(approvals!$H$2:$H$251,$A61,approvals!$B$2:$B$251,$B61,approvals!$P$2:$P$251,"Y",approvals!$U$2:$U$251,"&gt;0"))&amp;" brand(s) turned away at the door, the rest delivered; ","")&amp;IF(AND($AB61="Y",IFERROR(IF(INDEX(drops!$C$2:$C$21,MATCH($A61,drops!$A$2:$A$21,0))="","",INDEX(drops!$C$2:$C$21,MATCH($A61,drops!$A$2:$A$21,0))),"")="direct-ship"),"info: first drop: visit in person on T; ","")&amp;IF(AND($U61="front desk",$X61&lt;&gt;"Y"),"info: front desk not agreed: the owner must take it; ",""))</f>
        <v/>
      </c>
    </row>
    <row r="62">
      <c r="D62" s="33" t="n"/>
      <c r="E62" s="9" t="n"/>
      <c r="F62" s="9" t="n"/>
      <c r="G62" s="9" t="n"/>
      <c r="I62" s="33" t="n"/>
      <c r="J62" s="33" t="n"/>
      <c r="N62" s="9" t="n"/>
      <c r="P62" s="26">
        <f>IF($A62="","",IF(IFERROR(IF(INDEX(drops!$I$2:$I$21,MATCH($A62,drops!$A$2:$A$21,0))="","",INDEX(drops!$I$2:$I$21,MATCH($A62,drops!$A$2:$A$21,0))),"")="OK",IFERROR(IF(INDEX(drops!$B$2:$B$21,MATCH($A62,drops!$A$2:$A$21,0))="","",INDEX(drops!$B$2:$B$21,MATCH($A62,drops!$A$2:$A$21,0))),""),""))</f>
        <v/>
      </c>
      <c r="Q62" s="25">
        <f>IF($B62="","",IFERROR(IF(INDEX(offices!$N$2:$N$61,MATCH($B62,offices!$A$2:$A$61,0))="","",INDEX(offices!$N$2:$N$61,MATCH($B62,offices!$A$2:$A$61,0))),""))</f>
        <v/>
      </c>
      <c r="R62" s="25">
        <f>IF($B62="","",IFERROR(IF(INDEX(offices!$O$2:$O$61,MATCH($B62,offices!$A$2:$A$61,0))="","",INDEX(offices!$O$2:$O$61,MATCH($B62,offices!$A$2:$A$61,0))),""))</f>
        <v/>
      </c>
      <c r="S62" s="25">
        <f>IF($B62="","",IFERROR(IF(INDEX(offices!$P$2:$P$61,MATCH($B62,offices!$A$2:$A$61,0))="","",INDEX(offices!$P$2:$P$61,MATCH($B62,offices!$A$2:$A$61,0))),""))</f>
        <v/>
      </c>
      <c r="T62" s="25">
        <f>IF($B62="","",IFERROR(IF(INDEX(offices!$Y$2:$Y$61,MATCH($B62,offices!$A$2:$A$61,0))="","",INDEX(offices!$Y$2:$Y$61,MATCH($B62,offices!$A$2:$A$61,0))),""))</f>
        <v/>
      </c>
      <c r="U62" s="25">
        <f>IF($B62="","",IFERROR(IF(INDEX(offices!$X$2:$X$61,MATCH($B62,offices!$A$2:$A$61,0))="","",INDEX(offices!$X$2:$X$61,MATCH($B62,offices!$A$2:$A$61,0))),""))</f>
        <v/>
      </c>
      <c r="V62" s="25">
        <f>IF($B62="","",IFERROR(IF(INDEX(offices!$U$2:$U$61,MATCH($B62,offices!$A$2:$A$61,0))="","",INDEX(offices!$U$2:$U$61,MATCH($B62,offices!$A$2:$A$61,0))),""))</f>
        <v/>
      </c>
      <c r="W62" s="25">
        <f>IF($B62="","",IFERROR(IF(INDEX(offices!$AI$2:$AI$61,MATCH($B62,offices!$A$2:$A$61,0))="","",INDEX(offices!$AI$2:$AI$61,MATCH($B62,offices!$A$2:$A$61,0))),""))</f>
        <v/>
      </c>
      <c r="X62" s="25">
        <f>IF($B62="","",IFERROR(IF(INDEX(offices!$G$2:$G$61,MATCH($B62,offices!$A$2:$A$61,0))="","",INDEX(offices!$G$2:$G$61,MATCH($B62,offices!$A$2:$A$61,0))),""))</f>
        <v/>
      </c>
      <c r="Y62" s="25">
        <f>IF($B62="","",IFERROR(IF(INDEX(offices!$I$2:$I$61,MATCH($B62,offices!$A$2:$A$61,0))="","",INDEX(offices!$I$2:$I$61,MATCH($B62,offices!$A$2:$A$61,0))),""))</f>
        <v/>
      </c>
      <c r="Z62" s="25">
        <f>IF($A62="","",COUNTIFS(approvals!$H$2:$H$251,$A62,approvals!$B$2:$B$251,$B62,approvals!$P$2:$P$251,"Y"))</f>
        <v/>
      </c>
      <c r="AA62" s="25">
        <f>IF($A62="","",SUMIFS(approvals!$S$2:$S$251,approvals!$H$2:$H$251,$A62,approvals!$B$2:$B$251,$B62,approvals!$P$2:$P$251,"Y"))</f>
        <v/>
      </c>
      <c r="AB62" s="25">
        <f>IF(OR($A62="",$P62=""),"",IF(COUNTIFS(stops!$B$2:$B$151,$B62,stops!$P$2:$P$151,"&lt;"&amp;$P62,stops!$L$2:$L$151,"&lt;&gt;not_delivered")=0,"Y","N"))</f>
        <v/>
      </c>
      <c r="AC62" s="25">
        <f>IF(OR($I62="",$J62=""),"",ROUND(($J62-$I62)*1440,0))</f>
        <v/>
      </c>
      <c r="AD62" s="25">
        <f>IF($A62="","",IF(COUNTIFS(stops!$A$2:$A$151,$A62,stops!$B$2:$B$151,$B62)&gt;1,"DUPLICATE stop; ","")&amp;IF(AND(OR(IFERROR(IF(INDEX(offices!$Z$2:$Z$61,MATCH($B62,offices!$A$2:$A$61,0))="","",INDEX(offices!$Z$2:$Z$61,MATCH($B62,offices!$A$2:$A$61,0))),"")="yes",IFERROR(IF(INDEX(offices!$Z$2:$Z$61,MATCH($B62,offices!$A$2:$A$61,0))="","",INDEX(offices!$Z$2:$Z$61,MATCH($B62,offices!$A$2:$A$61,0))),"")="unsure"),$Y62&lt;&gt;"received",$Y62&lt;&gt;"not_needed"),"building certificate not received; ","")&amp;IF($W62="","owner phone missing; ","")&amp;IF(N($Z62)=0,"no approved brand for this stop; ","")&amp;IF(AND($P62&lt;&gt;"",IF(config!$B$37&lt;&gt;"",config!$B$37,TODAY())&gt;$P62,$L62=""),"log the outcome; ","")&amp;IF(AND(OR($L62="declined",$L62="building_refused",$L62="not_delivered"),N($Z62)&gt;0,COUNTIFS(approvals!$H$2:$H$251,$A62,approvals!$B$2:$B$251,$B62,approvals!$P$2:$P$251,"Y",approvals!$U$2:$U$251,"&gt;0")&gt;=N($Z62)),"outcome says "&amp;$L62&amp;" but every brand here is logged delivered: fix the outcome, or delete the wrong delivered rows (SOP section 4); ","")&amp;IF(AND(OR($L62="declined",$L62="building_refused",$L62="not_delivered"),COUNTIFS(approvals!$H$2:$H$251,$A62,approvals!$B$2:$B$251,$B62,approvals!$P$2:$P$251,"Y",approvals!$U$2:$U$251,"&gt;0")&gt;0,COUNTIFS(approvals!$H$2:$H$251,$A62,approvals!$B$2:$B$251,$B62,approvals!$P$2:$P$251,"Y",approvals!$U$2:$U$251,"&gt;0")&lt;N($Z62)),"info: "&amp;(N($Z62)-COUNTIFS(approvals!$H$2:$H$251,$A62,approvals!$B$2:$B$251,$B62,approvals!$P$2:$P$251,"Y",approvals!$U$2:$U$251,"&gt;0"))&amp;" brand(s) turned away at the door, the rest delivered; ","")&amp;IF(AND($AB62="Y",IFERROR(IF(INDEX(drops!$C$2:$C$21,MATCH($A62,drops!$A$2:$A$21,0))="","",INDEX(drops!$C$2:$C$21,MATCH($A62,drops!$A$2:$A$21,0))),"")="direct-ship"),"info: first drop: visit in person on T; ","")&amp;IF(AND($U62="front desk",$X62&lt;&gt;"Y"),"info: front desk not agreed: the owner must take it; ",""))</f>
        <v/>
      </c>
    </row>
    <row r="63">
      <c r="D63" s="33" t="n"/>
      <c r="E63" s="9" t="n"/>
      <c r="F63" s="9" t="n"/>
      <c r="G63" s="9" t="n"/>
      <c r="I63" s="33" t="n"/>
      <c r="J63" s="33" t="n"/>
      <c r="N63" s="9" t="n"/>
      <c r="P63" s="26">
        <f>IF($A63="","",IF(IFERROR(IF(INDEX(drops!$I$2:$I$21,MATCH($A63,drops!$A$2:$A$21,0))="","",INDEX(drops!$I$2:$I$21,MATCH($A63,drops!$A$2:$A$21,0))),"")="OK",IFERROR(IF(INDEX(drops!$B$2:$B$21,MATCH($A63,drops!$A$2:$A$21,0))="","",INDEX(drops!$B$2:$B$21,MATCH($A63,drops!$A$2:$A$21,0))),""),""))</f>
        <v/>
      </c>
      <c r="Q63" s="25">
        <f>IF($B63="","",IFERROR(IF(INDEX(offices!$N$2:$N$61,MATCH($B63,offices!$A$2:$A$61,0))="","",INDEX(offices!$N$2:$N$61,MATCH($B63,offices!$A$2:$A$61,0))),""))</f>
        <v/>
      </c>
      <c r="R63" s="25">
        <f>IF($B63="","",IFERROR(IF(INDEX(offices!$O$2:$O$61,MATCH($B63,offices!$A$2:$A$61,0))="","",INDEX(offices!$O$2:$O$61,MATCH($B63,offices!$A$2:$A$61,0))),""))</f>
        <v/>
      </c>
      <c r="S63" s="25">
        <f>IF($B63="","",IFERROR(IF(INDEX(offices!$P$2:$P$61,MATCH($B63,offices!$A$2:$A$61,0))="","",INDEX(offices!$P$2:$P$61,MATCH($B63,offices!$A$2:$A$61,0))),""))</f>
        <v/>
      </c>
      <c r="T63" s="25">
        <f>IF($B63="","",IFERROR(IF(INDEX(offices!$Y$2:$Y$61,MATCH($B63,offices!$A$2:$A$61,0))="","",INDEX(offices!$Y$2:$Y$61,MATCH($B63,offices!$A$2:$A$61,0))),""))</f>
        <v/>
      </c>
      <c r="U63" s="25">
        <f>IF($B63="","",IFERROR(IF(INDEX(offices!$X$2:$X$61,MATCH($B63,offices!$A$2:$A$61,0))="","",INDEX(offices!$X$2:$X$61,MATCH($B63,offices!$A$2:$A$61,0))),""))</f>
        <v/>
      </c>
      <c r="V63" s="25">
        <f>IF($B63="","",IFERROR(IF(INDEX(offices!$U$2:$U$61,MATCH($B63,offices!$A$2:$A$61,0))="","",INDEX(offices!$U$2:$U$61,MATCH($B63,offices!$A$2:$A$61,0))),""))</f>
        <v/>
      </c>
      <c r="W63" s="25">
        <f>IF($B63="","",IFERROR(IF(INDEX(offices!$AI$2:$AI$61,MATCH($B63,offices!$A$2:$A$61,0))="","",INDEX(offices!$AI$2:$AI$61,MATCH($B63,offices!$A$2:$A$61,0))),""))</f>
        <v/>
      </c>
      <c r="X63" s="25">
        <f>IF($B63="","",IFERROR(IF(INDEX(offices!$G$2:$G$61,MATCH($B63,offices!$A$2:$A$61,0))="","",INDEX(offices!$G$2:$G$61,MATCH($B63,offices!$A$2:$A$61,0))),""))</f>
        <v/>
      </c>
      <c r="Y63" s="25">
        <f>IF($B63="","",IFERROR(IF(INDEX(offices!$I$2:$I$61,MATCH($B63,offices!$A$2:$A$61,0))="","",INDEX(offices!$I$2:$I$61,MATCH($B63,offices!$A$2:$A$61,0))),""))</f>
        <v/>
      </c>
      <c r="Z63" s="25">
        <f>IF($A63="","",COUNTIFS(approvals!$H$2:$H$251,$A63,approvals!$B$2:$B$251,$B63,approvals!$P$2:$P$251,"Y"))</f>
        <v/>
      </c>
      <c r="AA63" s="25">
        <f>IF($A63="","",SUMIFS(approvals!$S$2:$S$251,approvals!$H$2:$H$251,$A63,approvals!$B$2:$B$251,$B63,approvals!$P$2:$P$251,"Y"))</f>
        <v/>
      </c>
      <c r="AB63" s="25">
        <f>IF(OR($A63="",$P63=""),"",IF(COUNTIFS(stops!$B$2:$B$151,$B63,stops!$P$2:$P$151,"&lt;"&amp;$P63,stops!$L$2:$L$151,"&lt;&gt;not_delivered")=0,"Y","N"))</f>
        <v/>
      </c>
      <c r="AC63" s="25">
        <f>IF(OR($I63="",$J63=""),"",ROUND(($J63-$I63)*1440,0))</f>
        <v/>
      </c>
      <c r="AD63" s="25">
        <f>IF($A63="","",IF(COUNTIFS(stops!$A$2:$A$151,$A63,stops!$B$2:$B$151,$B63)&gt;1,"DUPLICATE stop; ","")&amp;IF(AND(OR(IFERROR(IF(INDEX(offices!$Z$2:$Z$61,MATCH($B63,offices!$A$2:$A$61,0))="","",INDEX(offices!$Z$2:$Z$61,MATCH($B63,offices!$A$2:$A$61,0))),"")="yes",IFERROR(IF(INDEX(offices!$Z$2:$Z$61,MATCH($B63,offices!$A$2:$A$61,0))="","",INDEX(offices!$Z$2:$Z$61,MATCH($B63,offices!$A$2:$A$61,0))),"")="unsure"),$Y63&lt;&gt;"received",$Y63&lt;&gt;"not_needed"),"building certificate not received; ","")&amp;IF($W63="","owner phone missing; ","")&amp;IF(N($Z63)=0,"no approved brand for this stop; ","")&amp;IF(AND($P63&lt;&gt;"",IF(config!$B$37&lt;&gt;"",config!$B$37,TODAY())&gt;$P63,$L63=""),"log the outcome; ","")&amp;IF(AND(OR($L63="declined",$L63="building_refused",$L63="not_delivered"),N($Z63)&gt;0,COUNTIFS(approvals!$H$2:$H$251,$A63,approvals!$B$2:$B$251,$B63,approvals!$P$2:$P$251,"Y",approvals!$U$2:$U$251,"&gt;0")&gt;=N($Z63)),"outcome says "&amp;$L63&amp;" but every brand here is logged delivered: fix the outcome, or delete the wrong delivered rows (SOP section 4); ","")&amp;IF(AND(OR($L63="declined",$L63="building_refused",$L63="not_delivered"),COUNTIFS(approvals!$H$2:$H$251,$A63,approvals!$B$2:$B$251,$B63,approvals!$P$2:$P$251,"Y",approvals!$U$2:$U$251,"&gt;0")&gt;0,COUNTIFS(approvals!$H$2:$H$251,$A63,approvals!$B$2:$B$251,$B63,approvals!$P$2:$P$251,"Y",approvals!$U$2:$U$251,"&gt;0")&lt;N($Z63)),"info: "&amp;(N($Z63)-COUNTIFS(approvals!$H$2:$H$251,$A63,approvals!$B$2:$B$251,$B63,approvals!$P$2:$P$251,"Y",approvals!$U$2:$U$251,"&gt;0"))&amp;" brand(s) turned away at the door, the rest delivered; ","")&amp;IF(AND($AB63="Y",IFERROR(IF(INDEX(drops!$C$2:$C$21,MATCH($A63,drops!$A$2:$A$21,0))="","",INDEX(drops!$C$2:$C$21,MATCH($A63,drops!$A$2:$A$21,0))),"")="direct-ship"),"info: first drop: visit in person on T; ","")&amp;IF(AND($U63="front desk",$X63&lt;&gt;"Y"),"info: front desk not agreed: the owner must take it; ",""))</f>
        <v/>
      </c>
    </row>
    <row r="64">
      <c r="D64" s="33" t="n"/>
      <c r="E64" s="9" t="n"/>
      <c r="F64" s="9" t="n"/>
      <c r="G64" s="9" t="n"/>
      <c r="I64" s="33" t="n"/>
      <c r="J64" s="33" t="n"/>
      <c r="N64" s="9" t="n"/>
      <c r="P64" s="26">
        <f>IF($A64="","",IF(IFERROR(IF(INDEX(drops!$I$2:$I$21,MATCH($A64,drops!$A$2:$A$21,0))="","",INDEX(drops!$I$2:$I$21,MATCH($A64,drops!$A$2:$A$21,0))),"")="OK",IFERROR(IF(INDEX(drops!$B$2:$B$21,MATCH($A64,drops!$A$2:$A$21,0))="","",INDEX(drops!$B$2:$B$21,MATCH($A64,drops!$A$2:$A$21,0))),""),""))</f>
        <v/>
      </c>
      <c r="Q64" s="25">
        <f>IF($B64="","",IFERROR(IF(INDEX(offices!$N$2:$N$61,MATCH($B64,offices!$A$2:$A$61,0))="","",INDEX(offices!$N$2:$N$61,MATCH($B64,offices!$A$2:$A$61,0))),""))</f>
        <v/>
      </c>
      <c r="R64" s="25">
        <f>IF($B64="","",IFERROR(IF(INDEX(offices!$O$2:$O$61,MATCH($B64,offices!$A$2:$A$61,0))="","",INDEX(offices!$O$2:$O$61,MATCH($B64,offices!$A$2:$A$61,0))),""))</f>
        <v/>
      </c>
      <c r="S64" s="25">
        <f>IF($B64="","",IFERROR(IF(INDEX(offices!$P$2:$P$61,MATCH($B64,offices!$A$2:$A$61,0))="","",INDEX(offices!$P$2:$P$61,MATCH($B64,offices!$A$2:$A$61,0))),""))</f>
        <v/>
      </c>
      <c r="T64" s="25">
        <f>IF($B64="","",IFERROR(IF(INDEX(offices!$Y$2:$Y$61,MATCH($B64,offices!$A$2:$A$61,0))="","",INDEX(offices!$Y$2:$Y$61,MATCH($B64,offices!$A$2:$A$61,0))),""))</f>
        <v/>
      </c>
      <c r="U64" s="25">
        <f>IF($B64="","",IFERROR(IF(INDEX(offices!$X$2:$X$61,MATCH($B64,offices!$A$2:$A$61,0))="","",INDEX(offices!$X$2:$X$61,MATCH($B64,offices!$A$2:$A$61,0))),""))</f>
        <v/>
      </c>
      <c r="V64" s="25">
        <f>IF($B64="","",IFERROR(IF(INDEX(offices!$U$2:$U$61,MATCH($B64,offices!$A$2:$A$61,0))="","",INDEX(offices!$U$2:$U$61,MATCH($B64,offices!$A$2:$A$61,0))),""))</f>
        <v/>
      </c>
      <c r="W64" s="25">
        <f>IF($B64="","",IFERROR(IF(INDEX(offices!$AI$2:$AI$61,MATCH($B64,offices!$A$2:$A$61,0))="","",INDEX(offices!$AI$2:$AI$61,MATCH($B64,offices!$A$2:$A$61,0))),""))</f>
        <v/>
      </c>
      <c r="X64" s="25">
        <f>IF($B64="","",IFERROR(IF(INDEX(offices!$G$2:$G$61,MATCH($B64,offices!$A$2:$A$61,0))="","",INDEX(offices!$G$2:$G$61,MATCH($B64,offices!$A$2:$A$61,0))),""))</f>
        <v/>
      </c>
      <c r="Y64" s="25">
        <f>IF($B64="","",IFERROR(IF(INDEX(offices!$I$2:$I$61,MATCH($B64,offices!$A$2:$A$61,0))="","",INDEX(offices!$I$2:$I$61,MATCH($B64,offices!$A$2:$A$61,0))),""))</f>
        <v/>
      </c>
      <c r="Z64" s="25">
        <f>IF($A64="","",COUNTIFS(approvals!$H$2:$H$251,$A64,approvals!$B$2:$B$251,$B64,approvals!$P$2:$P$251,"Y"))</f>
        <v/>
      </c>
      <c r="AA64" s="25">
        <f>IF($A64="","",SUMIFS(approvals!$S$2:$S$251,approvals!$H$2:$H$251,$A64,approvals!$B$2:$B$251,$B64,approvals!$P$2:$P$251,"Y"))</f>
        <v/>
      </c>
      <c r="AB64" s="25">
        <f>IF(OR($A64="",$P64=""),"",IF(COUNTIFS(stops!$B$2:$B$151,$B64,stops!$P$2:$P$151,"&lt;"&amp;$P64,stops!$L$2:$L$151,"&lt;&gt;not_delivered")=0,"Y","N"))</f>
        <v/>
      </c>
      <c r="AC64" s="25">
        <f>IF(OR($I64="",$J64=""),"",ROUND(($J64-$I64)*1440,0))</f>
        <v/>
      </c>
      <c r="AD64" s="25">
        <f>IF($A64="","",IF(COUNTIFS(stops!$A$2:$A$151,$A64,stops!$B$2:$B$151,$B64)&gt;1,"DUPLICATE stop; ","")&amp;IF(AND(OR(IFERROR(IF(INDEX(offices!$Z$2:$Z$61,MATCH($B64,offices!$A$2:$A$61,0))="","",INDEX(offices!$Z$2:$Z$61,MATCH($B64,offices!$A$2:$A$61,0))),"")="yes",IFERROR(IF(INDEX(offices!$Z$2:$Z$61,MATCH($B64,offices!$A$2:$A$61,0))="","",INDEX(offices!$Z$2:$Z$61,MATCH($B64,offices!$A$2:$A$61,0))),"")="unsure"),$Y64&lt;&gt;"received",$Y64&lt;&gt;"not_needed"),"building certificate not received; ","")&amp;IF($W64="","owner phone missing; ","")&amp;IF(N($Z64)=0,"no approved brand for this stop; ","")&amp;IF(AND($P64&lt;&gt;"",IF(config!$B$37&lt;&gt;"",config!$B$37,TODAY())&gt;$P64,$L64=""),"log the outcome; ","")&amp;IF(AND(OR($L64="declined",$L64="building_refused",$L64="not_delivered"),N($Z64)&gt;0,COUNTIFS(approvals!$H$2:$H$251,$A64,approvals!$B$2:$B$251,$B64,approvals!$P$2:$P$251,"Y",approvals!$U$2:$U$251,"&gt;0")&gt;=N($Z64)),"outcome says "&amp;$L64&amp;" but every brand here is logged delivered: fix the outcome, or delete the wrong delivered rows (SOP section 4); ","")&amp;IF(AND(OR($L64="declined",$L64="building_refused",$L64="not_delivered"),COUNTIFS(approvals!$H$2:$H$251,$A64,approvals!$B$2:$B$251,$B64,approvals!$P$2:$P$251,"Y",approvals!$U$2:$U$251,"&gt;0")&gt;0,COUNTIFS(approvals!$H$2:$H$251,$A64,approvals!$B$2:$B$251,$B64,approvals!$P$2:$P$251,"Y",approvals!$U$2:$U$251,"&gt;0")&lt;N($Z64)),"info: "&amp;(N($Z64)-COUNTIFS(approvals!$H$2:$H$251,$A64,approvals!$B$2:$B$251,$B64,approvals!$P$2:$P$251,"Y",approvals!$U$2:$U$251,"&gt;0"))&amp;" brand(s) turned away at the door, the rest delivered; ","")&amp;IF(AND($AB64="Y",IFERROR(IF(INDEX(drops!$C$2:$C$21,MATCH($A64,drops!$A$2:$A$21,0))="","",INDEX(drops!$C$2:$C$21,MATCH($A64,drops!$A$2:$A$21,0))),"")="direct-ship"),"info: first drop: visit in person on T; ","")&amp;IF(AND($U64="front desk",$X64&lt;&gt;"Y"),"info: front desk not agreed: the owner must take it; ",""))</f>
        <v/>
      </c>
    </row>
    <row r="65">
      <c r="D65" s="33" t="n"/>
      <c r="E65" s="9" t="n"/>
      <c r="F65" s="9" t="n"/>
      <c r="G65" s="9" t="n"/>
      <c r="I65" s="33" t="n"/>
      <c r="J65" s="33" t="n"/>
      <c r="N65" s="9" t="n"/>
      <c r="P65" s="26">
        <f>IF($A65="","",IF(IFERROR(IF(INDEX(drops!$I$2:$I$21,MATCH($A65,drops!$A$2:$A$21,0))="","",INDEX(drops!$I$2:$I$21,MATCH($A65,drops!$A$2:$A$21,0))),"")="OK",IFERROR(IF(INDEX(drops!$B$2:$B$21,MATCH($A65,drops!$A$2:$A$21,0))="","",INDEX(drops!$B$2:$B$21,MATCH($A65,drops!$A$2:$A$21,0))),""),""))</f>
        <v/>
      </c>
      <c r="Q65" s="25">
        <f>IF($B65="","",IFERROR(IF(INDEX(offices!$N$2:$N$61,MATCH($B65,offices!$A$2:$A$61,0))="","",INDEX(offices!$N$2:$N$61,MATCH($B65,offices!$A$2:$A$61,0))),""))</f>
        <v/>
      </c>
      <c r="R65" s="25">
        <f>IF($B65="","",IFERROR(IF(INDEX(offices!$O$2:$O$61,MATCH($B65,offices!$A$2:$A$61,0))="","",INDEX(offices!$O$2:$O$61,MATCH($B65,offices!$A$2:$A$61,0))),""))</f>
        <v/>
      </c>
      <c r="S65" s="25">
        <f>IF($B65="","",IFERROR(IF(INDEX(offices!$P$2:$P$61,MATCH($B65,offices!$A$2:$A$61,0))="","",INDEX(offices!$P$2:$P$61,MATCH($B65,offices!$A$2:$A$61,0))),""))</f>
        <v/>
      </c>
      <c r="T65" s="25">
        <f>IF($B65="","",IFERROR(IF(INDEX(offices!$Y$2:$Y$61,MATCH($B65,offices!$A$2:$A$61,0))="","",INDEX(offices!$Y$2:$Y$61,MATCH($B65,offices!$A$2:$A$61,0))),""))</f>
        <v/>
      </c>
      <c r="U65" s="25">
        <f>IF($B65="","",IFERROR(IF(INDEX(offices!$X$2:$X$61,MATCH($B65,offices!$A$2:$A$61,0))="","",INDEX(offices!$X$2:$X$61,MATCH($B65,offices!$A$2:$A$61,0))),""))</f>
        <v/>
      </c>
      <c r="V65" s="25">
        <f>IF($B65="","",IFERROR(IF(INDEX(offices!$U$2:$U$61,MATCH($B65,offices!$A$2:$A$61,0))="","",INDEX(offices!$U$2:$U$61,MATCH($B65,offices!$A$2:$A$61,0))),""))</f>
        <v/>
      </c>
      <c r="W65" s="25">
        <f>IF($B65="","",IFERROR(IF(INDEX(offices!$AI$2:$AI$61,MATCH($B65,offices!$A$2:$A$61,0))="","",INDEX(offices!$AI$2:$AI$61,MATCH($B65,offices!$A$2:$A$61,0))),""))</f>
        <v/>
      </c>
      <c r="X65" s="25">
        <f>IF($B65="","",IFERROR(IF(INDEX(offices!$G$2:$G$61,MATCH($B65,offices!$A$2:$A$61,0))="","",INDEX(offices!$G$2:$G$61,MATCH($B65,offices!$A$2:$A$61,0))),""))</f>
        <v/>
      </c>
      <c r="Y65" s="25">
        <f>IF($B65="","",IFERROR(IF(INDEX(offices!$I$2:$I$61,MATCH($B65,offices!$A$2:$A$61,0))="","",INDEX(offices!$I$2:$I$61,MATCH($B65,offices!$A$2:$A$61,0))),""))</f>
        <v/>
      </c>
      <c r="Z65" s="25">
        <f>IF($A65="","",COUNTIFS(approvals!$H$2:$H$251,$A65,approvals!$B$2:$B$251,$B65,approvals!$P$2:$P$251,"Y"))</f>
        <v/>
      </c>
      <c r="AA65" s="25">
        <f>IF($A65="","",SUMIFS(approvals!$S$2:$S$251,approvals!$H$2:$H$251,$A65,approvals!$B$2:$B$251,$B65,approvals!$P$2:$P$251,"Y"))</f>
        <v/>
      </c>
      <c r="AB65" s="25">
        <f>IF(OR($A65="",$P65=""),"",IF(COUNTIFS(stops!$B$2:$B$151,$B65,stops!$P$2:$P$151,"&lt;"&amp;$P65,stops!$L$2:$L$151,"&lt;&gt;not_delivered")=0,"Y","N"))</f>
        <v/>
      </c>
      <c r="AC65" s="25">
        <f>IF(OR($I65="",$J65=""),"",ROUND(($J65-$I65)*1440,0))</f>
        <v/>
      </c>
      <c r="AD65" s="25">
        <f>IF($A65="","",IF(COUNTIFS(stops!$A$2:$A$151,$A65,stops!$B$2:$B$151,$B65)&gt;1,"DUPLICATE stop; ","")&amp;IF(AND(OR(IFERROR(IF(INDEX(offices!$Z$2:$Z$61,MATCH($B65,offices!$A$2:$A$61,0))="","",INDEX(offices!$Z$2:$Z$61,MATCH($B65,offices!$A$2:$A$61,0))),"")="yes",IFERROR(IF(INDEX(offices!$Z$2:$Z$61,MATCH($B65,offices!$A$2:$A$61,0))="","",INDEX(offices!$Z$2:$Z$61,MATCH($B65,offices!$A$2:$A$61,0))),"")="unsure"),$Y65&lt;&gt;"received",$Y65&lt;&gt;"not_needed"),"building certificate not received; ","")&amp;IF($W65="","owner phone missing; ","")&amp;IF(N($Z65)=0,"no approved brand for this stop; ","")&amp;IF(AND($P65&lt;&gt;"",IF(config!$B$37&lt;&gt;"",config!$B$37,TODAY())&gt;$P65,$L65=""),"log the outcome; ","")&amp;IF(AND(OR($L65="declined",$L65="building_refused",$L65="not_delivered"),N($Z65)&gt;0,COUNTIFS(approvals!$H$2:$H$251,$A65,approvals!$B$2:$B$251,$B65,approvals!$P$2:$P$251,"Y",approvals!$U$2:$U$251,"&gt;0")&gt;=N($Z65)),"outcome says "&amp;$L65&amp;" but every brand here is logged delivered: fix the outcome, or delete the wrong delivered rows (SOP section 4); ","")&amp;IF(AND(OR($L65="declined",$L65="building_refused",$L65="not_delivered"),COUNTIFS(approvals!$H$2:$H$251,$A65,approvals!$B$2:$B$251,$B65,approvals!$P$2:$P$251,"Y",approvals!$U$2:$U$251,"&gt;0")&gt;0,COUNTIFS(approvals!$H$2:$H$251,$A65,approvals!$B$2:$B$251,$B65,approvals!$P$2:$P$251,"Y",approvals!$U$2:$U$251,"&gt;0")&lt;N($Z65)),"info: "&amp;(N($Z65)-COUNTIFS(approvals!$H$2:$H$251,$A65,approvals!$B$2:$B$251,$B65,approvals!$P$2:$P$251,"Y",approvals!$U$2:$U$251,"&gt;0"))&amp;" brand(s) turned away at the door, the rest delivered; ","")&amp;IF(AND($AB65="Y",IFERROR(IF(INDEX(drops!$C$2:$C$21,MATCH($A65,drops!$A$2:$A$21,0))="","",INDEX(drops!$C$2:$C$21,MATCH($A65,drops!$A$2:$A$21,0))),"")="direct-ship"),"info: first drop: visit in person on T; ","")&amp;IF(AND($U65="front desk",$X65&lt;&gt;"Y"),"info: front desk not agreed: the owner must take it; ",""))</f>
        <v/>
      </c>
    </row>
    <row r="66">
      <c r="D66" s="33" t="n"/>
      <c r="E66" s="9" t="n"/>
      <c r="F66" s="9" t="n"/>
      <c r="G66" s="9" t="n"/>
      <c r="I66" s="33" t="n"/>
      <c r="J66" s="33" t="n"/>
      <c r="N66" s="9" t="n"/>
      <c r="P66" s="26">
        <f>IF($A66="","",IF(IFERROR(IF(INDEX(drops!$I$2:$I$21,MATCH($A66,drops!$A$2:$A$21,0))="","",INDEX(drops!$I$2:$I$21,MATCH($A66,drops!$A$2:$A$21,0))),"")="OK",IFERROR(IF(INDEX(drops!$B$2:$B$21,MATCH($A66,drops!$A$2:$A$21,0))="","",INDEX(drops!$B$2:$B$21,MATCH($A66,drops!$A$2:$A$21,0))),""),""))</f>
        <v/>
      </c>
      <c r="Q66" s="25">
        <f>IF($B66="","",IFERROR(IF(INDEX(offices!$N$2:$N$61,MATCH($B66,offices!$A$2:$A$61,0))="","",INDEX(offices!$N$2:$N$61,MATCH($B66,offices!$A$2:$A$61,0))),""))</f>
        <v/>
      </c>
      <c r="R66" s="25">
        <f>IF($B66="","",IFERROR(IF(INDEX(offices!$O$2:$O$61,MATCH($B66,offices!$A$2:$A$61,0))="","",INDEX(offices!$O$2:$O$61,MATCH($B66,offices!$A$2:$A$61,0))),""))</f>
        <v/>
      </c>
      <c r="S66" s="25">
        <f>IF($B66="","",IFERROR(IF(INDEX(offices!$P$2:$P$61,MATCH($B66,offices!$A$2:$A$61,0))="","",INDEX(offices!$P$2:$P$61,MATCH($B66,offices!$A$2:$A$61,0))),""))</f>
        <v/>
      </c>
      <c r="T66" s="25">
        <f>IF($B66="","",IFERROR(IF(INDEX(offices!$Y$2:$Y$61,MATCH($B66,offices!$A$2:$A$61,0))="","",INDEX(offices!$Y$2:$Y$61,MATCH($B66,offices!$A$2:$A$61,0))),""))</f>
        <v/>
      </c>
      <c r="U66" s="25">
        <f>IF($B66="","",IFERROR(IF(INDEX(offices!$X$2:$X$61,MATCH($B66,offices!$A$2:$A$61,0))="","",INDEX(offices!$X$2:$X$61,MATCH($B66,offices!$A$2:$A$61,0))),""))</f>
        <v/>
      </c>
      <c r="V66" s="25">
        <f>IF($B66="","",IFERROR(IF(INDEX(offices!$U$2:$U$61,MATCH($B66,offices!$A$2:$A$61,0))="","",INDEX(offices!$U$2:$U$61,MATCH($B66,offices!$A$2:$A$61,0))),""))</f>
        <v/>
      </c>
      <c r="W66" s="25">
        <f>IF($B66="","",IFERROR(IF(INDEX(offices!$AI$2:$AI$61,MATCH($B66,offices!$A$2:$A$61,0))="","",INDEX(offices!$AI$2:$AI$61,MATCH($B66,offices!$A$2:$A$61,0))),""))</f>
        <v/>
      </c>
      <c r="X66" s="25">
        <f>IF($B66="","",IFERROR(IF(INDEX(offices!$G$2:$G$61,MATCH($B66,offices!$A$2:$A$61,0))="","",INDEX(offices!$G$2:$G$61,MATCH($B66,offices!$A$2:$A$61,0))),""))</f>
        <v/>
      </c>
      <c r="Y66" s="25">
        <f>IF($B66="","",IFERROR(IF(INDEX(offices!$I$2:$I$61,MATCH($B66,offices!$A$2:$A$61,0))="","",INDEX(offices!$I$2:$I$61,MATCH($B66,offices!$A$2:$A$61,0))),""))</f>
        <v/>
      </c>
      <c r="Z66" s="25">
        <f>IF($A66="","",COUNTIFS(approvals!$H$2:$H$251,$A66,approvals!$B$2:$B$251,$B66,approvals!$P$2:$P$251,"Y"))</f>
        <v/>
      </c>
      <c r="AA66" s="25">
        <f>IF($A66="","",SUMIFS(approvals!$S$2:$S$251,approvals!$H$2:$H$251,$A66,approvals!$B$2:$B$251,$B66,approvals!$P$2:$P$251,"Y"))</f>
        <v/>
      </c>
      <c r="AB66" s="25">
        <f>IF(OR($A66="",$P66=""),"",IF(COUNTIFS(stops!$B$2:$B$151,$B66,stops!$P$2:$P$151,"&lt;"&amp;$P66,stops!$L$2:$L$151,"&lt;&gt;not_delivered")=0,"Y","N"))</f>
        <v/>
      </c>
      <c r="AC66" s="25">
        <f>IF(OR($I66="",$J66=""),"",ROUND(($J66-$I66)*1440,0))</f>
        <v/>
      </c>
      <c r="AD66" s="25">
        <f>IF($A66="","",IF(COUNTIFS(stops!$A$2:$A$151,$A66,stops!$B$2:$B$151,$B66)&gt;1,"DUPLICATE stop; ","")&amp;IF(AND(OR(IFERROR(IF(INDEX(offices!$Z$2:$Z$61,MATCH($B66,offices!$A$2:$A$61,0))="","",INDEX(offices!$Z$2:$Z$61,MATCH($B66,offices!$A$2:$A$61,0))),"")="yes",IFERROR(IF(INDEX(offices!$Z$2:$Z$61,MATCH($B66,offices!$A$2:$A$61,0))="","",INDEX(offices!$Z$2:$Z$61,MATCH($B66,offices!$A$2:$A$61,0))),"")="unsure"),$Y66&lt;&gt;"received",$Y66&lt;&gt;"not_needed"),"building certificate not received; ","")&amp;IF($W66="","owner phone missing; ","")&amp;IF(N($Z66)=0,"no approved brand for this stop; ","")&amp;IF(AND($P66&lt;&gt;"",IF(config!$B$37&lt;&gt;"",config!$B$37,TODAY())&gt;$P66,$L66=""),"log the outcome; ","")&amp;IF(AND(OR($L66="declined",$L66="building_refused",$L66="not_delivered"),N($Z66)&gt;0,COUNTIFS(approvals!$H$2:$H$251,$A66,approvals!$B$2:$B$251,$B66,approvals!$P$2:$P$251,"Y",approvals!$U$2:$U$251,"&gt;0")&gt;=N($Z66)),"outcome says "&amp;$L66&amp;" but every brand here is logged delivered: fix the outcome, or delete the wrong delivered rows (SOP section 4); ","")&amp;IF(AND(OR($L66="declined",$L66="building_refused",$L66="not_delivered"),COUNTIFS(approvals!$H$2:$H$251,$A66,approvals!$B$2:$B$251,$B66,approvals!$P$2:$P$251,"Y",approvals!$U$2:$U$251,"&gt;0")&gt;0,COUNTIFS(approvals!$H$2:$H$251,$A66,approvals!$B$2:$B$251,$B66,approvals!$P$2:$P$251,"Y",approvals!$U$2:$U$251,"&gt;0")&lt;N($Z66)),"info: "&amp;(N($Z66)-COUNTIFS(approvals!$H$2:$H$251,$A66,approvals!$B$2:$B$251,$B66,approvals!$P$2:$P$251,"Y",approvals!$U$2:$U$251,"&gt;0"))&amp;" brand(s) turned away at the door, the rest delivered; ","")&amp;IF(AND($AB66="Y",IFERROR(IF(INDEX(drops!$C$2:$C$21,MATCH($A66,drops!$A$2:$A$21,0))="","",INDEX(drops!$C$2:$C$21,MATCH($A66,drops!$A$2:$A$21,0))),"")="direct-ship"),"info: first drop: visit in person on T; ","")&amp;IF(AND($U66="front desk",$X66&lt;&gt;"Y"),"info: front desk not agreed: the owner must take it; ",""))</f>
        <v/>
      </c>
    </row>
    <row r="67">
      <c r="D67" s="33" t="n"/>
      <c r="E67" s="9" t="n"/>
      <c r="F67" s="9" t="n"/>
      <c r="G67" s="9" t="n"/>
      <c r="I67" s="33" t="n"/>
      <c r="J67" s="33" t="n"/>
      <c r="N67" s="9" t="n"/>
      <c r="P67" s="26">
        <f>IF($A67="","",IF(IFERROR(IF(INDEX(drops!$I$2:$I$21,MATCH($A67,drops!$A$2:$A$21,0))="","",INDEX(drops!$I$2:$I$21,MATCH($A67,drops!$A$2:$A$21,0))),"")="OK",IFERROR(IF(INDEX(drops!$B$2:$B$21,MATCH($A67,drops!$A$2:$A$21,0))="","",INDEX(drops!$B$2:$B$21,MATCH($A67,drops!$A$2:$A$21,0))),""),""))</f>
        <v/>
      </c>
      <c r="Q67" s="25">
        <f>IF($B67="","",IFERROR(IF(INDEX(offices!$N$2:$N$61,MATCH($B67,offices!$A$2:$A$61,0))="","",INDEX(offices!$N$2:$N$61,MATCH($B67,offices!$A$2:$A$61,0))),""))</f>
        <v/>
      </c>
      <c r="R67" s="25">
        <f>IF($B67="","",IFERROR(IF(INDEX(offices!$O$2:$O$61,MATCH($B67,offices!$A$2:$A$61,0))="","",INDEX(offices!$O$2:$O$61,MATCH($B67,offices!$A$2:$A$61,0))),""))</f>
        <v/>
      </c>
      <c r="S67" s="25">
        <f>IF($B67="","",IFERROR(IF(INDEX(offices!$P$2:$P$61,MATCH($B67,offices!$A$2:$A$61,0))="","",INDEX(offices!$P$2:$P$61,MATCH($B67,offices!$A$2:$A$61,0))),""))</f>
        <v/>
      </c>
      <c r="T67" s="25">
        <f>IF($B67="","",IFERROR(IF(INDEX(offices!$Y$2:$Y$61,MATCH($B67,offices!$A$2:$A$61,0))="","",INDEX(offices!$Y$2:$Y$61,MATCH($B67,offices!$A$2:$A$61,0))),""))</f>
        <v/>
      </c>
      <c r="U67" s="25">
        <f>IF($B67="","",IFERROR(IF(INDEX(offices!$X$2:$X$61,MATCH($B67,offices!$A$2:$A$61,0))="","",INDEX(offices!$X$2:$X$61,MATCH($B67,offices!$A$2:$A$61,0))),""))</f>
        <v/>
      </c>
      <c r="V67" s="25">
        <f>IF($B67="","",IFERROR(IF(INDEX(offices!$U$2:$U$61,MATCH($B67,offices!$A$2:$A$61,0))="","",INDEX(offices!$U$2:$U$61,MATCH($B67,offices!$A$2:$A$61,0))),""))</f>
        <v/>
      </c>
      <c r="W67" s="25">
        <f>IF($B67="","",IFERROR(IF(INDEX(offices!$AI$2:$AI$61,MATCH($B67,offices!$A$2:$A$61,0))="","",INDEX(offices!$AI$2:$AI$61,MATCH($B67,offices!$A$2:$A$61,0))),""))</f>
        <v/>
      </c>
      <c r="X67" s="25">
        <f>IF($B67="","",IFERROR(IF(INDEX(offices!$G$2:$G$61,MATCH($B67,offices!$A$2:$A$61,0))="","",INDEX(offices!$G$2:$G$61,MATCH($B67,offices!$A$2:$A$61,0))),""))</f>
        <v/>
      </c>
      <c r="Y67" s="25">
        <f>IF($B67="","",IFERROR(IF(INDEX(offices!$I$2:$I$61,MATCH($B67,offices!$A$2:$A$61,0))="","",INDEX(offices!$I$2:$I$61,MATCH($B67,offices!$A$2:$A$61,0))),""))</f>
        <v/>
      </c>
      <c r="Z67" s="25">
        <f>IF($A67="","",COUNTIFS(approvals!$H$2:$H$251,$A67,approvals!$B$2:$B$251,$B67,approvals!$P$2:$P$251,"Y"))</f>
        <v/>
      </c>
      <c r="AA67" s="25">
        <f>IF($A67="","",SUMIFS(approvals!$S$2:$S$251,approvals!$H$2:$H$251,$A67,approvals!$B$2:$B$251,$B67,approvals!$P$2:$P$251,"Y"))</f>
        <v/>
      </c>
      <c r="AB67" s="25">
        <f>IF(OR($A67="",$P67=""),"",IF(COUNTIFS(stops!$B$2:$B$151,$B67,stops!$P$2:$P$151,"&lt;"&amp;$P67,stops!$L$2:$L$151,"&lt;&gt;not_delivered")=0,"Y","N"))</f>
        <v/>
      </c>
      <c r="AC67" s="25">
        <f>IF(OR($I67="",$J67=""),"",ROUND(($J67-$I67)*1440,0))</f>
        <v/>
      </c>
      <c r="AD67" s="25">
        <f>IF($A67="","",IF(COUNTIFS(stops!$A$2:$A$151,$A67,stops!$B$2:$B$151,$B67)&gt;1,"DUPLICATE stop; ","")&amp;IF(AND(OR(IFERROR(IF(INDEX(offices!$Z$2:$Z$61,MATCH($B67,offices!$A$2:$A$61,0))="","",INDEX(offices!$Z$2:$Z$61,MATCH($B67,offices!$A$2:$A$61,0))),"")="yes",IFERROR(IF(INDEX(offices!$Z$2:$Z$61,MATCH($B67,offices!$A$2:$A$61,0))="","",INDEX(offices!$Z$2:$Z$61,MATCH($B67,offices!$A$2:$A$61,0))),"")="unsure"),$Y67&lt;&gt;"received",$Y67&lt;&gt;"not_needed"),"building certificate not received; ","")&amp;IF($W67="","owner phone missing; ","")&amp;IF(N($Z67)=0,"no approved brand for this stop; ","")&amp;IF(AND($P67&lt;&gt;"",IF(config!$B$37&lt;&gt;"",config!$B$37,TODAY())&gt;$P67,$L67=""),"log the outcome; ","")&amp;IF(AND(OR($L67="declined",$L67="building_refused",$L67="not_delivered"),N($Z67)&gt;0,COUNTIFS(approvals!$H$2:$H$251,$A67,approvals!$B$2:$B$251,$B67,approvals!$P$2:$P$251,"Y",approvals!$U$2:$U$251,"&gt;0")&gt;=N($Z67)),"outcome says "&amp;$L67&amp;" but every brand here is logged delivered: fix the outcome, or delete the wrong delivered rows (SOP section 4); ","")&amp;IF(AND(OR($L67="declined",$L67="building_refused",$L67="not_delivered"),COUNTIFS(approvals!$H$2:$H$251,$A67,approvals!$B$2:$B$251,$B67,approvals!$P$2:$P$251,"Y",approvals!$U$2:$U$251,"&gt;0")&gt;0,COUNTIFS(approvals!$H$2:$H$251,$A67,approvals!$B$2:$B$251,$B67,approvals!$P$2:$P$251,"Y",approvals!$U$2:$U$251,"&gt;0")&lt;N($Z67)),"info: "&amp;(N($Z67)-COUNTIFS(approvals!$H$2:$H$251,$A67,approvals!$B$2:$B$251,$B67,approvals!$P$2:$P$251,"Y",approvals!$U$2:$U$251,"&gt;0"))&amp;" brand(s) turned away at the door, the rest delivered; ","")&amp;IF(AND($AB67="Y",IFERROR(IF(INDEX(drops!$C$2:$C$21,MATCH($A67,drops!$A$2:$A$21,0))="","",INDEX(drops!$C$2:$C$21,MATCH($A67,drops!$A$2:$A$21,0))),"")="direct-ship"),"info: first drop: visit in person on T; ","")&amp;IF(AND($U67="front desk",$X67&lt;&gt;"Y"),"info: front desk not agreed: the owner must take it; ",""))</f>
        <v/>
      </c>
    </row>
    <row r="68">
      <c r="D68" s="33" t="n"/>
      <c r="E68" s="9" t="n"/>
      <c r="F68" s="9" t="n"/>
      <c r="G68" s="9" t="n"/>
      <c r="I68" s="33" t="n"/>
      <c r="J68" s="33" t="n"/>
      <c r="N68" s="9" t="n"/>
      <c r="P68" s="26">
        <f>IF($A68="","",IF(IFERROR(IF(INDEX(drops!$I$2:$I$21,MATCH($A68,drops!$A$2:$A$21,0))="","",INDEX(drops!$I$2:$I$21,MATCH($A68,drops!$A$2:$A$21,0))),"")="OK",IFERROR(IF(INDEX(drops!$B$2:$B$21,MATCH($A68,drops!$A$2:$A$21,0))="","",INDEX(drops!$B$2:$B$21,MATCH($A68,drops!$A$2:$A$21,0))),""),""))</f>
        <v/>
      </c>
      <c r="Q68" s="25">
        <f>IF($B68="","",IFERROR(IF(INDEX(offices!$N$2:$N$61,MATCH($B68,offices!$A$2:$A$61,0))="","",INDEX(offices!$N$2:$N$61,MATCH($B68,offices!$A$2:$A$61,0))),""))</f>
        <v/>
      </c>
      <c r="R68" s="25">
        <f>IF($B68="","",IFERROR(IF(INDEX(offices!$O$2:$O$61,MATCH($B68,offices!$A$2:$A$61,0))="","",INDEX(offices!$O$2:$O$61,MATCH($B68,offices!$A$2:$A$61,0))),""))</f>
        <v/>
      </c>
      <c r="S68" s="25">
        <f>IF($B68="","",IFERROR(IF(INDEX(offices!$P$2:$P$61,MATCH($B68,offices!$A$2:$A$61,0))="","",INDEX(offices!$P$2:$P$61,MATCH($B68,offices!$A$2:$A$61,0))),""))</f>
        <v/>
      </c>
      <c r="T68" s="25">
        <f>IF($B68="","",IFERROR(IF(INDEX(offices!$Y$2:$Y$61,MATCH($B68,offices!$A$2:$A$61,0))="","",INDEX(offices!$Y$2:$Y$61,MATCH($B68,offices!$A$2:$A$61,0))),""))</f>
        <v/>
      </c>
      <c r="U68" s="25">
        <f>IF($B68="","",IFERROR(IF(INDEX(offices!$X$2:$X$61,MATCH($B68,offices!$A$2:$A$61,0))="","",INDEX(offices!$X$2:$X$61,MATCH($B68,offices!$A$2:$A$61,0))),""))</f>
        <v/>
      </c>
      <c r="V68" s="25">
        <f>IF($B68="","",IFERROR(IF(INDEX(offices!$U$2:$U$61,MATCH($B68,offices!$A$2:$A$61,0))="","",INDEX(offices!$U$2:$U$61,MATCH($B68,offices!$A$2:$A$61,0))),""))</f>
        <v/>
      </c>
      <c r="W68" s="25">
        <f>IF($B68="","",IFERROR(IF(INDEX(offices!$AI$2:$AI$61,MATCH($B68,offices!$A$2:$A$61,0))="","",INDEX(offices!$AI$2:$AI$61,MATCH($B68,offices!$A$2:$A$61,0))),""))</f>
        <v/>
      </c>
      <c r="X68" s="25">
        <f>IF($B68="","",IFERROR(IF(INDEX(offices!$G$2:$G$61,MATCH($B68,offices!$A$2:$A$61,0))="","",INDEX(offices!$G$2:$G$61,MATCH($B68,offices!$A$2:$A$61,0))),""))</f>
        <v/>
      </c>
      <c r="Y68" s="25">
        <f>IF($B68="","",IFERROR(IF(INDEX(offices!$I$2:$I$61,MATCH($B68,offices!$A$2:$A$61,0))="","",INDEX(offices!$I$2:$I$61,MATCH($B68,offices!$A$2:$A$61,0))),""))</f>
        <v/>
      </c>
      <c r="Z68" s="25">
        <f>IF($A68="","",COUNTIFS(approvals!$H$2:$H$251,$A68,approvals!$B$2:$B$251,$B68,approvals!$P$2:$P$251,"Y"))</f>
        <v/>
      </c>
      <c r="AA68" s="25">
        <f>IF($A68="","",SUMIFS(approvals!$S$2:$S$251,approvals!$H$2:$H$251,$A68,approvals!$B$2:$B$251,$B68,approvals!$P$2:$P$251,"Y"))</f>
        <v/>
      </c>
      <c r="AB68" s="25">
        <f>IF(OR($A68="",$P68=""),"",IF(COUNTIFS(stops!$B$2:$B$151,$B68,stops!$P$2:$P$151,"&lt;"&amp;$P68,stops!$L$2:$L$151,"&lt;&gt;not_delivered")=0,"Y","N"))</f>
        <v/>
      </c>
      <c r="AC68" s="25">
        <f>IF(OR($I68="",$J68=""),"",ROUND(($J68-$I68)*1440,0))</f>
        <v/>
      </c>
      <c r="AD68" s="25">
        <f>IF($A68="","",IF(COUNTIFS(stops!$A$2:$A$151,$A68,stops!$B$2:$B$151,$B68)&gt;1,"DUPLICATE stop; ","")&amp;IF(AND(OR(IFERROR(IF(INDEX(offices!$Z$2:$Z$61,MATCH($B68,offices!$A$2:$A$61,0))="","",INDEX(offices!$Z$2:$Z$61,MATCH($B68,offices!$A$2:$A$61,0))),"")="yes",IFERROR(IF(INDEX(offices!$Z$2:$Z$61,MATCH($B68,offices!$A$2:$A$61,0))="","",INDEX(offices!$Z$2:$Z$61,MATCH($B68,offices!$A$2:$A$61,0))),"")="unsure"),$Y68&lt;&gt;"received",$Y68&lt;&gt;"not_needed"),"building certificate not received; ","")&amp;IF($W68="","owner phone missing; ","")&amp;IF(N($Z68)=0,"no approved brand for this stop; ","")&amp;IF(AND($P68&lt;&gt;"",IF(config!$B$37&lt;&gt;"",config!$B$37,TODAY())&gt;$P68,$L68=""),"log the outcome; ","")&amp;IF(AND(OR($L68="declined",$L68="building_refused",$L68="not_delivered"),N($Z68)&gt;0,COUNTIFS(approvals!$H$2:$H$251,$A68,approvals!$B$2:$B$251,$B68,approvals!$P$2:$P$251,"Y",approvals!$U$2:$U$251,"&gt;0")&gt;=N($Z68)),"outcome says "&amp;$L68&amp;" but every brand here is logged delivered: fix the outcome, or delete the wrong delivered rows (SOP section 4); ","")&amp;IF(AND(OR($L68="declined",$L68="building_refused",$L68="not_delivered"),COUNTIFS(approvals!$H$2:$H$251,$A68,approvals!$B$2:$B$251,$B68,approvals!$P$2:$P$251,"Y",approvals!$U$2:$U$251,"&gt;0")&gt;0,COUNTIFS(approvals!$H$2:$H$251,$A68,approvals!$B$2:$B$251,$B68,approvals!$P$2:$P$251,"Y",approvals!$U$2:$U$251,"&gt;0")&lt;N($Z68)),"info: "&amp;(N($Z68)-COUNTIFS(approvals!$H$2:$H$251,$A68,approvals!$B$2:$B$251,$B68,approvals!$P$2:$P$251,"Y",approvals!$U$2:$U$251,"&gt;0"))&amp;" brand(s) turned away at the door, the rest delivered; ","")&amp;IF(AND($AB68="Y",IFERROR(IF(INDEX(drops!$C$2:$C$21,MATCH($A68,drops!$A$2:$A$21,0))="","",INDEX(drops!$C$2:$C$21,MATCH($A68,drops!$A$2:$A$21,0))),"")="direct-ship"),"info: first drop: visit in person on T; ","")&amp;IF(AND($U68="front desk",$X68&lt;&gt;"Y"),"info: front desk not agreed: the owner must take it; ",""))</f>
        <v/>
      </c>
    </row>
    <row r="69">
      <c r="D69" s="33" t="n"/>
      <c r="E69" s="9" t="n"/>
      <c r="F69" s="9" t="n"/>
      <c r="G69" s="9" t="n"/>
      <c r="I69" s="33" t="n"/>
      <c r="J69" s="33" t="n"/>
      <c r="N69" s="9" t="n"/>
      <c r="P69" s="26">
        <f>IF($A69="","",IF(IFERROR(IF(INDEX(drops!$I$2:$I$21,MATCH($A69,drops!$A$2:$A$21,0))="","",INDEX(drops!$I$2:$I$21,MATCH($A69,drops!$A$2:$A$21,0))),"")="OK",IFERROR(IF(INDEX(drops!$B$2:$B$21,MATCH($A69,drops!$A$2:$A$21,0))="","",INDEX(drops!$B$2:$B$21,MATCH($A69,drops!$A$2:$A$21,0))),""),""))</f>
        <v/>
      </c>
      <c r="Q69" s="25">
        <f>IF($B69="","",IFERROR(IF(INDEX(offices!$N$2:$N$61,MATCH($B69,offices!$A$2:$A$61,0))="","",INDEX(offices!$N$2:$N$61,MATCH($B69,offices!$A$2:$A$61,0))),""))</f>
        <v/>
      </c>
      <c r="R69" s="25">
        <f>IF($B69="","",IFERROR(IF(INDEX(offices!$O$2:$O$61,MATCH($B69,offices!$A$2:$A$61,0))="","",INDEX(offices!$O$2:$O$61,MATCH($B69,offices!$A$2:$A$61,0))),""))</f>
        <v/>
      </c>
      <c r="S69" s="25">
        <f>IF($B69="","",IFERROR(IF(INDEX(offices!$P$2:$P$61,MATCH($B69,offices!$A$2:$A$61,0))="","",INDEX(offices!$P$2:$P$61,MATCH($B69,offices!$A$2:$A$61,0))),""))</f>
        <v/>
      </c>
      <c r="T69" s="25">
        <f>IF($B69="","",IFERROR(IF(INDEX(offices!$Y$2:$Y$61,MATCH($B69,offices!$A$2:$A$61,0))="","",INDEX(offices!$Y$2:$Y$61,MATCH($B69,offices!$A$2:$A$61,0))),""))</f>
        <v/>
      </c>
      <c r="U69" s="25">
        <f>IF($B69="","",IFERROR(IF(INDEX(offices!$X$2:$X$61,MATCH($B69,offices!$A$2:$A$61,0))="","",INDEX(offices!$X$2:$X$61,MATCH($B69,offices!$A$2:$A$61,0))),""))</f>
        <v/>
      </c>
      <c r="V69" s="25">
        <f>IF($B69="","",IFERROR(IF(INDEX(offices!$U$2:$U$61,MATCH($B69,offices!$A$2:$A$61,0))="","",INDEX(offices!$U$2:$U$61,MATCH($B69,offices!$A$2:$A$61,0))),""))</f>
        <v/>
      </c>
      <c r="W69" s="25">
        <f>IF($B69="","",IFERROR(IF(INDEX(offices!$AI$2:$AI$61,MATCH($B69,offices!$A$2:$A$61,0))="","",INDEX(offices!$AI$2:$AI$61,MATCH($B69,offices!$A$2:$A$61,0))),""))</f>
        <v/>
      </c>
      <c r="X69" s="25">
        <f>IF($B69="","",IFERROR(IF(INDEX(offices!$G$2:$G$61,MATCH($B69,offices!$A$2:$A$61,0))="","",INDEX(offices!$G$2:$G$61,MATCH($B69,offices!$A$2:$A$61,0))),""))</f>
        <v/>
      </c>
      <c r="Y69" s="25">
        <f>IF($B69="","",IFERROR(IF(INDEX(offices!$I$2:$I$61,MATCH($B69,offices!$A$2:$A$61,0))="","",INDEX(offices!$I$2:$I$61,MATCH($B69,offices!$A$2:$A$61,0))),""))</f>
        <v/>
      </c>
      <c r="Z69" s="25">
        <f>IF($A69="","",COUNTIFS(approvals!$H$2:$H$251,$A69,approvals!$B$2:$B$251,$B69,approvals!$P$2:$P$251,"Y"))</f>
        <v/>
      </c>
      <c r="AA69" s="25">
        <f>IF($A69="","",SUMIFS(approvals!$S$2:$S$251,approvals!$H$2:$H$251,$A69,approvals!$B$2:$B$251,$B69,approvals!$P$2:$P$251,"Y"))</f>
        <v/>
      </c>
      <c r="AB69" s="25">
        <f>IF(OR($A69="",$P69=""),"",IF(COUNTIFS(stops!$B$2:$B$151,$B69,stops!$P$2:$P$151,"&lt;"&amp;$P69,stops!$L$2:$L$151,"&lt;&gt;not_delivered")=0,"Y","N"))</f>
        <v/>
      </c>
      <c r="AC69" s="25">
        <f>IF(OR($I69="",$J69=""),"",ROUND(($J69-$I69)*1440,0))</f>
        <v/>
      </c>
      <c r="AD69" s="25">
        <f>IF($A69="","",IF(COUNTIFS(stops!$A$2:$A$151,$A69,stops!$B$2:$B$151,$B69)&gt;1,"DUPLICATE stop; ","")&amp;IF(AND(OR(IFERROR(IF(INDEX(offices!$Z$2:$Z$61,MATCH($B69,offices!$A$2:$A$61,0))="","",INDEX(offices!$Z$2:$Z$61,MATCH($B69,offices!$A$2:$A$61,0))),"")="yes",IFERROR(IF(INDEX(offices!$Z$2:$Z$61,MATCH($B69,offices!$A$2:$A$61,0))="","",INDEX(offices!$Z$2:$Z$61,MATCH($B69,offices!$A$2:$A$61,0))),"")="unsure"),$Y69&lt;&gt;"received",$Y69&lt;&gt;"not_needed"),"building certificate not received; ","")&amp;IF($W69="","owner phone missing; ","")&amp;IF(N($Z69)=0,"no approved brand for this stop; ","")&amp;IF(AND($P69&lt;&gt;"",IF(config!$B$37&lt;&gt;"",config!$B$37,TODAY())&gt;$P69,$L69=""),"log the outcome; ","")&amp;IF(AND(OR($L69="declined",$L69="building_refused",$L69="not_delivered"),N($Z69)&gt;0,COUNTIFS(approvals!$H$2:$H$251,$A69,approvals!$B$2:$B$251,$B69,approvals!$P$2:$P$251,"Y",approvals!$U$2:$U$251,"&gt;0")&gt;=N($Z69)),"outcome says "&amp;$L69&amp;" but every brand here is logged delivered: fix the outcome, or delete the wrong delivered rows (SOP section 4); ","")&amp;IF(AND(OR($L69="declined",$L69="building_refused",$L69="not_delivered"),COUNTIFS(approvals!$H$2:$H$251,$A69,approvals!$B$2:$B$251,$B69,approvals!$P$2:$P$251,"Y",approvals!$U$2:$U$251,"&gt;0")&gt;0,COUNTIFS(approvals!$H$2:$H$251,$A69,approvals!$B$2:$B$251,$B69,approvals!$P$2:$P$251,"Y",approvals!$U$2:$U$251,"&gt;0")&lt;N($Z69)),"info: "&amp;(N($Z69)-COUNTIFS(approvals!$H$2:$H$251,$A69,approvals!$B$2:$B$251,$B69,approvals!$P$2:$P$251,"Y",approvals!$U$2:$U$251,"&gt;0"))&amp;" brand(s) turned away at the door, the rest delivered; ","")&amp;IF(AND($AB69="Y",IFERROR(IF(INDEX(drops!$C$2:$C$21,MATCH($A69,drops!$A$2:$A$21,0))="","",INDEX(drops!$C$2:$C$21,MATCH($A69,drops!$A$2:$A$21,0))),"")="direct-ship"),"info: first drop: visit in person on T; ","")&amp;IF(AND($U69="front desk",$X69&lt;&gt;"Y"),"info: front desk not agreed: the owner must take it; ",""))</f>
        <v/>
      </c>
    </row>
    <row r="70">
      <c r="D70" s="33" t="n"/>
      <c r="E70" s="9" t="n"/>
      <c r="F70" s="9" t="n"/>
      <c r="G70" s="9" t="n"/>
      <c r="I70" s="33" t="n"/>
      <c r="J70" s="33" t="n"/>
      <c r="N70" s="9" t="n"/>
      <c r="P70" s="26">
        <f>IF($A70="","",IF(IFERROR(IF(INDEX(drops!$I$2:$I$21,MATCH($A70,drops!$A$2:$A$21,0))="","",INDEX(drops!$I$2:$I$21,MATCH($A70,drops!$A$2:$A$21,0))),"")="OK",IFERROR(IF(INDEX(drops!$B$2:$B$21,MATCH($A70,drops!$A$2:$A$21,0))="","",INDEX(drops!$B$2:$B$21,MATCH($A70,drops!$A$2:$A$21,0))),""),""))</f>
        <v/>
      </c>
      <c r="Q70" s="25">
        <f>IF($B70="","",IFERROR(IF(INDEX(offices!$N$2:$N$61,MATCH($B70,offices!$A$2:$A$61,0))="","",INDEX(offices!$N$2:$N$61,MATCH($B70,offices!$A$2:$A$61,0))),""))</f>
        <v/>
      </c>
      <c r="R70" s="25">
        <f>IF($B70="","",IFERROR(IF(INDEX(offices!$O$2:$O$61,MATCH($B70,offices!$A$2:$A$61,0))="","",INDEX(offices!$O$2:$O$61,MATCH($B70,offices!$A$2:$A$61,0))),""))</f>
        <v/>
      </c>
      <c r="S70" s="25">
        <f>IF($B70="","",IFERROR(IF(INDEX(offices!$P$2:$P$61,MATCH($B70,offices!$A$2:$A$61,0))="","",INDEX(offices!$P$2:$P$61,MATCH($B70,offices!$A$2:$A$61,0))),""))</f>
        <v/>
      </c>
      <c r="T70" s="25">
        <f>IF($B70="","",IFERROR(IF(INDEX(offices!$Y$2:$Y$61,MATCH($B70,offices!$A$2:$A$61,0))="","",INDEX(offices!$Y$2:$Y$61,MATCH($B70,offices!$A$2:$A$61,0))),""))</f>
        <v/>
      </c>
      <c r="U70" s="25">
        <f>IF($B70="","",IFERROR(IF(INDEX(offices!$X$2:$X$61,MATCH($B70,offices!$A$2:$A$61,0))="","",INDEX(offices!$X$2:$X$61,MATCH($B70,offices!$A$2:$A$61,0))),""))</f>
        <v/>
      </c>
      <c r="V70" s="25">
        <f>IF($B70="","",IFERROR(IF(INDEX(offices!$U$2:$U$61,MATCH($B70,offices!$A$2:$A$61,0))="","",INDEX(offices!$U$2:$U$61,MATCH($B70,offices!$A$2:$A$61,0))),""))</f>
        <v/>
      </c>
      <c r="W70" s="25">
        <f>IF($B70="","",IFERROR(IF(INDEX(offices!$AI$2:$AI$61,MATCH($B70,offices!$A$2:$A$61,0))="","",INDEX(offices!$AI$2:$AI$61,MATCH($B70,offices!$A$2:$A$61,0))),""))</f>
        <v/>
      </c>
      <c r="X70" s="25">
        <f>IF($B70="","",IFERROR(IF(INDEX(offices!$G$2:$G$61,MATCH($B70,offices!$A$2:$A$61,0))="","",INDEX(offices!$G$2:$G$61,MATCH($B70,offices!$A$2:$A$61,0))),""))</f>
        <v/>
      </c>
      <c r="Y70" s="25">
        <f>IF($B70="","",IFERROR(IF(INDEX(offices!$I$2:$I$61,MATCH($B70,offices!$A$2:$A$61,0))="","",INDEX(offices!$I$2:$I$61,MATCH($B70,offices!$A$2:$A$61,0))),""))</f>
        <v/>
      </c>
      <c r="Z70" s="25">
        <f>IF($A70="","",COUNTIFS(approvals!$H$2:$H$251,$A70,approvals!$B$2:$B$251,$B70,approvals!$P$2:$P$251,"Y"))</f>
        <v/>
      </c>
      <c r="AA70" s="25">
        <f>IF($A70="","",SUMIFS(approvals!$S$2:$S$251,approvals!$H$2:$H$251,$A70,approvals!$B$2:$B$251,$B70,approvals!$P$2:$P$251,"Y"))</f>
        <v/>
      </c>
      <c r="AB70" s="25">
        <f>IF(OR($A70="",$P70=""),"",IF(COUNTIFS(stops!$B$2:$B$151,$B70,stops!$P$2:$P$151,"&lt;"&amp;$P70,stops!$L$2:$L$151,"&lt;&gt;not_delivered")=0,"Y","N"))</f>
        <v/>
      </c>
      <c r="AC70" s="25">
        <f>IF(OR($I70="",$J70=""),"",ROUND(($J70-$I70)*1440,0))</f>
        <v/>
      </c>
      <c r="AD70" s="25">
        <f>IF($A70="","",IF(COUNTIFS(stops!$A$2:$A$151,$A70,stops!$B$2:$B$151,$B70)&gt;1,"DUPLICATE stop; ","")&amp;IF(AND(OR(IFERROR(IF(INDEX(offices!$Z$2:$Z$61,MATCH($B70,offices!$A$2:$A$61,0))="","",INDEX(offices!$Z$2:$Z$61,MATCH($B70,offices!$A$2:$A$61,0))),"")="yes",IFERROR(IF(INDEX(offices!$Z$2:$Z$61,MATCH($B70,offices!$A$2:$A$61,0))="","",INDEX(offices!$Z$2:$Z$61,MATCH($B70,offices!$A$2:$A$61,0))),"")="unsure"),$Y70&lt;&gt;"received",$Y70&lt;&gt;"not_needed"),"building certificate not received; ","")&amp;IF($W70="","owner phone missing; ","")&amp;IF(N($Z70)=0,"no approved brand for this stop; ","")&amp;IF(AND($P70&lt;&gt;"",IF(config!$B$37&lt;&gt;"",config!$B$37,TODAY())&gt;$P70,$L70=""),"log the outcome; ","")&amp;IF(AND(OR($L70="declined",$L70="building_refused",$L70="not_delivered"),N($Z70)&gt;0,COUNTIFS(approvals!$H$2:$H$251,$A70,approvals!$B$2:$B$251,$B70,approvals!$P$2:$P$251,"Y",approvals!$U$2:$U$251,"&gt;0")&gt;=N($Z70)),"outcome says "&amp;$L70&amp;" but every brand here is logged delivered: fix the outcome, or delete the wrong delivered rows (SOP section 4); ","")&amp;IF(AND(OR($L70="declined",$L70="building_refused",$L70="not_delivered"),COUNTIFS(approvals!$H$2:$H$251,$A70,approvals!$B$2:$B$251,$B70,approvals!$P$2:$P$251,"Y",approvals!$U$2:$U$251,"&gt;0")&gt;0,COUNTIFS(approvals!$H$2:$H$251,$A70,approvals!$B$2:$B$251,$B70,approvals!$P$2:$P$251,"Y",approvals!$U$2:$U$251,"&gt;0")&lt;N($Z70)),"info: "&amp;(N($Z70)-COUNTIFS(approvals!$H$2:$H$251,$A70,approvals!$B$2:$B$251,$B70,approvals!$P$2:$P$251,"Y",approvals!$U$2:$U$251,"&gt;0"))&amp;" brand(s) turned away at the door, the rest delivered; ","")&amp;IF(AND($AB70="Y",IFERROR(IF(INDEX(drops!$C$2:$C$21,MATCH($A70,drops!$A$2:$A$21,0))="","",INDEX(drops!$C$2:$C$21,MATCH($A70,drops!$A$2:$A$21,0))),"")="direct-ship"),"info: first drop: visit in person on T; ","")&amp;IF(AND($U70="front desk",$X70&lt;&gt;"Y"),"info: front desk not agreed: the owner must take it; ",""))</f>
        <v/>
      </c>
    </row>
    <row r="71">
      <c r="D71" s="33" t="n"/>
      <c r="E71" s="9" t="n"/>
      <c r="F71" s="9" t="n"/>
      <c r="G71" s="9" t="n"/>
      <c r="I71" s="33" t="n"/>
      <c r="J71" s="33" t="n"/>
      <c r="N71" s="9" t="n"/>
      <c r="P71" s="26">
        <f>IF($A71="","",IF(IFERROR(IF(INDEX(drops!$I$2:$I$21,MATCH($A71,drops!$A$2:$A$21,0))="","",INDEX(drops!$I$2:$I$21,MATCH($A71,drops!$A$2:$A$21,0))),"")="OK",IFERROR(IF(INDEX(drops!$B$2:$B$21,MATCH($A71,drops!$A$2:$A$21,0))="","",INDEX(drops!$B$2:$B$21,MATCH($A71,drops!$A$2:$A$21,0))),""),""))</f>
        <v/>
      </c>
      <c r="Q71" s="25">
        <f>IF($B71="","",IFERROR(IF(INDEX(offices!$N$2:$N$61,MATCH($B71,offices!$A$2:$A$61,0))="","",INDEX(offices!$N$2:$N$61,MATCH($B71,offices!$A$2:$A$61,0))),""))</f>
        <v/>
      </c>
      <c r="R71" s="25">
        <f>IF($B71="","",IFERROR(IF(INDEX(offices!$O$2:$O$61,MATCH($B71,offices!$A$2:$A$61,0))="","",INDEX(offices!$O$2:$O$61,MATCH($B71,offices!$A$2:$A$61,0))),""))</f>
        <v/>
      </c>
      <c r="S71" s="25">
        <f>IF($B71="","",IFERROR(IF(INDEX(offices!$P$2:$P$61,MATCH($B71,offices!$A$2:$A$61,0))="","",INDEX(offices!$P$2:$P$61,MATCH($B71,offices!$A$2:$A$61,0))),""))</f>
        <v/>
      </c>
      <c r="T71" s="25">
        <f>IF($B71="","",IFERROR(IF(INDEX(offices!$Y$2:$Y$61,MATCH($B71,offices!$A$2:$A$61,0))="","",INDEX(offices!$Y$2:$Y$61,MATCH($B71,offices!$A$2:$A$61,0))),""))</f>
        <v/>
      </c>
      <c r="U71" s="25">
        <f>IF($B71="","",IFERROR(IF(INDEX(offices!$X$2:$X$61,MATCH($B71,offices!$A$2:$A$61,0))="","",INDEX(offices!$X$2:$X$61,MATCH($B71,offices!$A$2:$A$61,0))),""))</f>
        <v/>
      </c>
      <c r="V71" s="25">
        <f>IF($B71="","",IFERROR(IF(INDEX(offices!$U$2:$U$61,MATCH($B71,offices!$A$2:$A$61,0))="","",INDEX(offices!$U$2:$U$61,MATCH($B71,offices!$A$2:$A$61,0))),""))</f>
        <v/>
      </c>
      <c r="W71" s="25">
        <f>IF($B71="","",IFERROR(IF(INDEX(offices!$AI$2:$AI$61,MATCH($B71,offices!$A$2:$A$61,0))="","",INDEX(offices!$AI$2:$AI$61,MATCH($B71,offices!$A$2:$A$61,0))),""))</f>
        <v/>
      </c>
      <c r="X71" s="25">
        <f>IF($B71="","",IFERROR(IF(INDEX(offices!$G$2:$G$61,MATCH($B71,offices!$A$2:$A$61,0))="","",INDEX(offices!$G$2:$G$61,MATCH($B71,offices!$A$2:$A$61,0))),""))</f>
        <v/>
      </c>
      <c r="Y71" s="25">
        <f>IF($B71="","",IFERROR(IF(INDEX(offices!$I$2:$I$61,MATCH($B71,offices!$A$2:$A$61,0))="","",INDEX(offices!$I$2:$I$61,MATCH($B71,offices!$A$2:$A$61,0))),""))</f>
        <v/>
      </c>
      <c r="Z71" s="25">
        <f>IF($A71="","",COUNTIFS(approvals!$H$2:$H$251,$A71,approvals!$B$2:$B$251,$B71,approvals!$P$2:$P$251,"Y"))</f>
        <v/>
      </c>
      <c r="AA71" s="25">
        <f>IF($A71="","",SUMIFS(approvals!$S$2:$S$251,approvals!$H$2:$H$251,$A71,approvals!$B$2:$B$251,$B71,approvals!$P$2:$P$251,"Y"))</f>
        <v/>
      </c>
      <c r="AB71" s="25">
        <f>IF(OR($A71="",$P71=""),"",IF(COUNTIFS(stops!$B$2:$B$151,$B71,stops!$P$2:$P$151,"&lt;"&amp;$P71,stops!$L$2:$L$151,"&lt;&gt;not_delivered")=0,"Y","N"))</f>
        <v/>
      </c>
      <c r="AC71" s="25">
        <f>IF(OR($I71="",$J71=""),"",ROUND(($J71-$I71)*1440,0))</f>
        <v/>
      </c>
      <c r="AD71" s="25">
        <f>IF($A71="","",IF(COUNTIFS(stops!$A$2:$A$151,$A71,stops!$B$2:$B$151,$B71)&gt;1,"DUPLICATE stop; ","")&amp;IF(AND(OR(IFERROR(IF(INDEX(offices!$Z$2:$Z$61,MATCH($B71,offices!$A$2:$A$61,0))="","",INDEX(offices!$Z$2:$Z$61,MATCH($B71,offices!$A$2:$A$61,0))),"")="yes",IFERROR(IF(INDEX(offices!$Z$2:$Z$61,MATCH($B71,offices!$A$2:$A$61,0))="","",INDEX(offices!$Z$2:$Z$61,MATCH($B71,offices!$A$2:$A$61,0))),"")="unsure"),$Y71&lt;&gt;"received",$Y71&lt;&gt;"not_needed"),"building certificate not received; ","")&amp;IF($W71="","owner phone missing; ","")&amp;IF(N($Z71)=0,"no approved brand for this stop; ","")&amp;IF(AND($P71&lt;&gt;"",IF(config!$B$37&lt;&gt;"",config!$B$37,TODAY())&gt;$P71,$L71=""),"log the outcome; ","")&amp;IF(AND(OR($L71="declined",$L71="building_refused",$L71="not_delivered"),N($Z71)&gt;0,COUNTIFS(approvals!$H$2:$H$251,$A71,approvals!$B$2:$B$251,$B71,approvals!$P$2:$P$251,"Y",approvals!$U$2:$U$251,"&gt;0")&gt;=N($Z71)),"outcome says "&amp;$L71&amp;" but every brand here is logged delivered: fix the outcome, or delete the wrong delivered rows (SOP section 4); ","")&amp;IF(AND(OR($L71="declined",$L71="building_refused",$L71="not_delivered"),COUNTIFS(approvals!$H$2:$H$251,$A71,approvals!$B$2:$B$251,$B71,approvals!$P$2:$P$251,"Y",approvals!$U$2:$U$251,"&gt;0")&gt;0,COUNTIFS(approvals!$H$2:$H$251,$A71,approvals!$B$2:$B$251,$B71,approvals!$P$2:$P$251,"Y",approvals!$U$2:$U$251,"&gt;0")&lt;N($Z71)),"info: "&amp;(N($Z71)-COUNTIFS(approvals!$H$2:$H$251,$A71,approvals!$B$2:$B$251,$B71,approvals!$P$2:$P$251,"Y",approvals!$U$2:$U$251,"&gt;0"))&amp;" brand(s) turned away at the door, the rest delivered; ","")&amp;IF(AND($AB71="Y",IFERROR(IF(INDEX(drops!$C$2:$C$21,MATCH($A71,drops!$A$2:$A$21,0))="","",INDEX(drops!$C$2:$C$21,MATCH($A71,drops!$A$2:$A$21,0))),"")="direct-ship"),"info: first drop: visit in person on T; ","")&amp;IF(AND($U71="front desk",$X71&lt;&gt;"Y"),"info: front desk not agreed: the owner must take it; ",""))</f>
        <v/>
      </c>
    </row>
    <row r="72">
      <c r="D72" s="33" t="n"/>
      <c r="E72" s="9" t="n"/>
      <c r="F72" s="9" t="n"/>
      <c r="G72" s="9" t="n"/>
      <c r="I72" s="33" t="n"/>
      <c r="J72" s="33" t="n"/>
      <c r="N72" s="9" t="n"/>
      <c r="P72" s="26">
        <f>IF($A72="","",IF(IFERROR(IF(INDEX(drops!$I$2:$I$21,MATCH($A72,drops!$A$2:$A$21,0))="","",INDEX(drops!$I$2:$I$21,MATCH($A72,drops!$A$2:$A$21,0))),"")="OK",IFERROR(IF(INDEX(drops!$B$2:$B$21,MATCH($A72,drops!$A$2:$A$21,0))="","",INDEX(drops!$B$2:$B$21,MATCH($A72,drops!$A$2:$A$21,0))),""),""))</f>
        <v/>
      </c>
      <c r="Q72" s="25">
        <f>IF($B72="","",IFERROR(IF(INDEX(offices!$N$2:$N$61,MATCH($B72,offices!$A$2:$A$61,0))="","",INDEX(offices!$N$2:$N$61,MATCH($B72,offices!$A$2:$A$61,0))),""))</f>
        <v/>
      </c>
      <c r="R72" s="25">
        <f>IF($B72="","",IFERROR(IF(INDEX(offices!$O$2:$O$61,MATCH($B72,offices!$A$2:$A$61,0))="","",INDEX(offices!$O$2:$O$61,MATCH($B72,offices!$A$2:$A$61,0))),""))</f>
        <v/>
      </c>
      <c r="S72" s="25">
        <f>IF($B72="","",IFERROR(IF(INDEX(offices!$P$2:$P$61,MATCH($B72,offices!$A$2:$A$61,0))="","",INDEX(offices!$P$2:$P$61,MATCH($B72,offices!$A$2:$A$61,0))),""))</f>
        <v/>
      </c>
      <c r="T72" s="25">
        <f>IF($B72="","",IFERROR(IF(INDEX(offices!$Y$2:$Y$61,MATCH($B72,offices!$A$2:$A$61,0))="","",INDEX(offices!$Y$2:$Y$61,MATCH($B72,offices!$A$2:$A$61,0))),""))</f>
        <v/>
      </c>
      <c r="U72" s="25">
        <f>IF($B72="","",IFERROR(IF(INDEX(offices!$X$2:$X$61,MATCH($B72,offices!$A$2:$A$61,0))="","",INDEX(offices!$X$2:$X$61,MATCH($B72,offices!$A$2:$A$61,0))),""))</f>
        <v/>
      </c>
      <c r="V72" s="25">
        <f>IF($B72="","",IFERROR(IF(INDEX(offices!$U$2:$U$61,MATCH($B72,offices!$A$2:$A$61,0))="","",INDEX(offices!$U$2:$U$61,MATCH($B72,offices!$A$2:$A$61,0))),""))</f>
        <v/>
      </c>
      <c r="W72" s="25">
        <f>IF($B72="","",IFERROR(IF(INDEX(offices!$AI$2:$AI$61,MATCH($B72,offices!$A$2:$A$61,0))="","",INDEX(offices!$AI$2:$AI$61,MATCH($B72,offices!$A$2:$A$61,0))),""))</f>
        <v/>
      </c>
      <c r="X72" s="25">
        <f>IF($B72="","",IFERROR(IF(INDEX(offices!$G$2:$G$61,MATCH($B72,offices!$A$2:$A$61,0))="","",INDEX(offices!$G$2:$G$61,MATCH($B72,offices!$A$2:$A$61,0))),""))</f>
        <v/>
      </c>
      <c r="Y72" s="25">
        <f>IF($B72="","",IFERROR(IF(INDEX(offices!$I$2:$I$61,MATCH($B72,offices!$A$2:$A$61,0))="","",INDEX(offices!$I$2:$I$61,MATCH($B72,offices!$A$2:$A$61,0))),""))</f>
        <v/>
      </c>
      <c r="Z72" s="25">
        <f>IF($A72="","",COUNTIFS(approvals!$H$2:$H$251,$A72,approvals!$B$2:$B$251,$B72,approvals!$P$2:$P$251,"Y"))</f>
        <v/>
      </c>
      <c r="AA72" s="25">
        <f>IF($A72="","",SUMIFS(approvals!$S$2:$S$251,approvals!$H$2:$H$251,$A72,approvals!$B$2:$B$251,$B72,approvals!$P$2:$P$251,"Y"))</f>
        <v/>
      </c>
      <c r="AB72" s="25">
        <f>IF(OR($A72="",$P72=""),"",IF(COUNTIFS(stops!$B$2:$B$151,$B72,stops!$P$2:$P$151,"&lt;"&amp;$P72,stops!$L$2:$L$151,"&lt;&gt;not_delivered")=0,"Y","N"))</f>
        <v/>
      </c>
      <c r="AC72" s="25">
        <f>IF(OR($I72="",$J72=""),"",ROUND(($J72-$I72)*1440,0))</f>
        <v/>
      </c>
      <c r="AD72" s="25">
        <f>IF($A72="","",IF(COUNTIFS(stops!$A$2:$A$151,$A72,stops!$B$2:$B$151,$B72)&gt;1,"DUPLICATE stop; ","")&amp;IF(AND(OR(IFERROR(IF(INDEX(offices!$Z$2:$Z$61,MATCH($B72,offices!$A$2:$A$61,0))="","",INDEX(offices!$Z$2:$Z$61,MATCH($B72,offices!$A$2:$A$61,0))),"")="yes",IFERROR(IF(INDEX(offices!$Z$2:$Z$61,MATCH($B72,offices!$A$2:$A$61,0))="","",INDEX(offices!$Z$2:$Z$61,MATCH($B72,offices!$A$2:$A$61,0))),"")="unsure"),$Y72&lt;&gt;"received",$Y72&lt;&gt;"not_needed"),"building certificate not received; ","")&amp;IF($W72="","owner phone missing; ","")&amp;IF(N($Z72)=0,"no approved brand for this stop; ","")&amp;IF(AND($P72&lt;&gt;"",IF(config!$B$37&lt;&gt;"",config!$B$37,TODAY())&gt;$P72,$L72=""),"log the outcome; ","")&amp;IF(AND(OR($L72="declined",$L72="building_refused",$L72="not_delivered"),N($Z72)&gt;0,COUNTIFS(approvals!$H$2:$H$251,$A72,approvals!$B$2:$B$251,$B72,approvals!$P$2:$P$251,"Y",approvals!$U$2:$U$251,"&gt;0")&gt;=N($Z72)),"outcome says "&amp;$L72&amp;" but every brand here is logged delivered: fix the outcome, or delete the wrong delivered rows (SOP section 4); ","")&amp;IF(AND(OR($L72="declined",$L72="building_refused",$L72="not_delivered"),COUNTIFS(approvals!$H$2:$H$251,$A72,approvals!$B$2:$B$251,$B72,approvals!$P$2:$P$251,"Y",approvals!$U$2:$U$251,"&gt;0")&gt;0,COUNTIFS(approvals!$H$2:$H$251,$A72,approvals!$B$2:$B$251,$B72,approvals!$P$2:$P$251,"Y",approvals!$U$2:$U$251,"&gt;0")&lt;N($Z72)),"info: "&amp;(N($Z72)-COUNTIFS(approvals!$H$2:$H$251,$A72,approvals!$B$2:$B$251,$B72,approvals!$P$2:$P$251,"Y",approvals!$U$2:$U$251,"&gt;0"))&amp;" brand(s) turned away at the door, the rest delivered; ","")&amp;IF(AND($AB72="Y",IFERROR(IF(INDEX(drops!$C$2:$C$21,MATCH($A72,drops!$A$2:$A$21,0))="","",INDEX(drops!$C$2:$C$21,MATCH($A72,drops!$A$2:$A$21,0))),"")="direct-ship"),"info: first drop: visit in person on T; ","")&amp;IF(AND($U72="front desk",$X72&lt;&gt;"Y"),"info: front desk not agreed: the owner must take it; ",""))</f>
        <v/>
      </c>
    </row>
    <row r="73">
      <c r="D73" s="33" t="n"/>
      <c r="E73" s="9" t="n"/>
      <c r="F73" s="9" t="n"/>
      <c r="G73" s="9" t="n"/>
      <c r="I73" s="33" t="n"/>
      <c r="J73" s="33" t="n"/>
      <c r="N73" s="9" t="n"/>
      <c r="P73" s="26">
        <f>IF($A73="","",IF(IFERROR(IF(INDEX(drops!$I$2:$I$21,MATCH($A73,drops!$A$2:$A$21,0))="","",INDEX(drops!$I$2:$I$21,MATCH($A73,drops!$A$2:$A$21,0))),"")="OK",IFERROR(IF(INDEX(drops!$B$2:$B$21,MATCH($A73,drops!$A$2:$A$21,0))="","",INDEX(drops!$B$2:$B$21,MATCH($A73,drops!$A$2:$A$21,0))),""),""))</f>
        <v/>
      </c>
      <c r="Q73" s="25">
        <f>IF($B73="","",IFERROR(IF(INDEX(offices!$N$2:$N$61,MATCH($B73,offices!$A$2:$A$61,0))="","",INDEX(offices!$N$2:$N$61,MATCH($B73,offices!$A$2:$A$61,0))),""))</f>
        <v/>
      </c>
      <c r="R73" s="25">
        <f>IF($B73="","",IFERROR(IF(INDEX(offices!$O$2:$O$61,MATCH($B73,offices!$A$2:$A$61,0))="","",INDEX(offices!$O$2:$O$61,MATCH($B73,offices!$A$2:$A$61,0))),""))</f>
        <v/>
      </c>
      <c r="S73" s="25">
        <f>IF($B73="","",IFERROR(IF(INDEX(offices!$P$2:$P$61,MATCH($B73,offices!$A$2:$A$61,0))="","",INDEX(offices!$P$2:$P$61,MATCH($B73,offices!$A$2:$A$61,0))),""))</f>
        <v/>
      </c>
      <c r="T73" s="25">
        <f>IF($B73="","",IFERROR(IF(INDEX(offices!$Y$2:$Y$61,MATCH($B73,offices!$A$2:$A$61,0))="","",INDEX(offices!$Y$2:$Y$61,MATCH($B73,offices!$A$2:$A$61,0))),""))</f>
        <v/>
      </c>
      <c r="U73" s="25">
        <f>IF($B73="","",IFERROR(IF(INDEX(offices!$X$2:$X$61,MATCH($B73,offices!$A$2:$A$61,0))="","",INDEX(offices!$X$2:$X$61,MATCH($B73,offices!$A$2:$A$61,0))),""))</f>
        <v/>
      </c>
      <c r="V73" s="25">
        <f>IF($B73="","",IFERROR(IF(INDEX(offices!$U$2:$U$61,MATCH($B73,offices!$A$2:$A$61,0))="","",INDEX(offices!$U$2:$U$61,MATCH($B73,offices!$A$2:$A$61,0))),""))</f>
        <v/>
      </c>
      <c r="W73" s="25">
        <f>IF($B73="","",IFERROR(IF(INDEX(offices!$AI$2:$AI$61,MATCH($B73,offices!$A$2:$A$61,0))="","",INDEX(offices!$AI$2:$AI$61,MATCH($B73,offices!$A$2:$A$61,0))),""))</f>
        <v/>
      </c>
      <c r="X73" s="25">
        <f>IF($B73="","",IFERROR(IF(INDEX(offices!$G$2:$G$61,MATCH($B73,offices!$A$2:$A$61,0))="","",INDEX(offices!$G$2:$G$61,MATCH($B73,offices!$A$2:$A$61,0))),""))</f>
        <v/>
      </c>
      <c r="Y73" s="25">
        <f>IF($B73="","",IFERROR(IF(INDEX(offices!$I$2:$I$61,MATCH($B73,offices!$A$2:$A$61,0))="","",INDEX(offices!$I$2:$I$61,MATCH($B73,offices!$A$2:$A$61,0))),""))</f>
        <v/>
      </c>
      <c r="Z73" s="25">
        <f>IF($A73="","",COUNTIFS(approvals!$H$2:$H$251,$A73,approvals!$B$2:$B$251,$B73,approvals!$P$2:$P$251,"Y"))</f>
        <v/>
      </c>
      <c r="AA73" s="25">
        <f>IF($A73="","",SUMIFS(approvals!$S$2:$S$251,approvals!$H$2:$H$251,$A73,approvals!$B$2:$B$251,$B73,approvals!$P$2:$P$251,"Y"))</f>
        <v/>
      </c>
      <c r="AB73" s="25">
        <f>IF(OR($A73="",$P73=""),"",IF(COUNTIFS(stops!$B$2:$B$151,$B73,stops!$P$2:$P$151,"&lt;"&amp;$P73,stops!$L$2:$L$151,"&lt;&gt;not_delivered")=0,"Y","N"))</f>
        <v/>
      </c>
      <c r="AC73" s="25">
        <f>IF(OR($I73="",$J73=""),"",ROUND(($J73-$I73)*1440,0))</f>
        <v/>
      </c>
      <c r="AD73" s="25">
        <f>IF($A73="","",IF(COUNTIFS(stops!$A$2:$A$151,$A73,stops!$B$2:$B$151,$B73)&gt;1,"DUPLICATE stop; ","")&amp;IF(AND(OR(IFERROR(IF(INDEX(offices!$Z$2:$Z$61,MATCH($B73,offices!$A$2:$A$61,0))="","",INDEX(offices!$Z$2:$Z$61,MATCH($B73,offices!$A$2:$A$61,0))),"")="yes",IFERROR(IF(INDEX(offices!$Z$2:$Z$61,MATCH($B73,offices!$A$2:$A$61,0))="","",INDEX(offices!$Z$2:$Z$61,MATCH($B73,offices!$A$2:$A$61,0))),"")="unsure"),$Y73&lt;&gt;"received",$Y73&lt;&gt;"not_needed"),"building certificate not received; ","")&amp;IF($W73="","owner phone missing; ","")&amp;IF(N($Z73)=0,"no approved brand for this stop; ","")&amp;IF(AND($P73&lt;&gt;"",IF(config!$B$37&lt;&gt;"",config!$B$37,TODAY())&gt;$P73,$L73=""),"log the outcome; ","")&amp;IF(AND(OR($L73="declined",$L73="building_refused",$L73="not_delivered"),N($Z73)&gt;0,COUNTIFS(approvals!$H$2:$H$251,$A73,approvals!$B$2:$B$251,$B73,approvals!$P$2:$P$251,"Y",approvals!$U$2:$U$251,"&gt;0")&gt;=N($Z73)),"outcome says "&amp;$L73&amp;" but every brand here is logged delivered: fix the outcome, or delete the wrong delivered rows (SOP section 4); ","")&amp;IF(AND(OR($L73="declined",$L73="building_refused",$L73="not_delivered"),COUNTIFS(approvals!$H$2:$H$251,$A73,approvals!$B$2:$B$251,$B73,approvals!$P$2:$P$251,"Y",approvals!$U$2:$U$251,"&gt;0")&gt;0,COUNTIFS(approvals!$H$2:$H$251,$A73,approvals!$B$2:$B$251,$B73,approvals!$P$2:$P$251,"Y",approvals!$U$2:$U$251,"&gt;0")&lt;N($Z73)),"info: "&amp;(N($Z73)-COUNTIFS(approvals!$H$2:$H$251,$A73,approvals!$B$2:$B$251,$B73,approvals!$P$2:$P$251,"Y",approvals!$U$2:$U$251,"&gt;0"))&amp;" brand(s) turned away at the door, the rest delivered; ","")&amp;IF(AND($AB73="Y",IFERROR(IF(INDEX(drops!$C$2:$C$21,MATCH($A73,drops!$A$2:$A$21,0))="","",INDEX(drops!$C$2:$C$21,MATCH($A73,drops!$A$2:$A$21,0))),"")="direct-ship"),"info: first drop: visit in person on T; ","")&amp;IF(AND($U73="front desk",$X73&lt;&gt;"Y"),"info: front desk not agreed: the owner must take it; ",""))</f>
        <v/>
      </c>
    </row>
    <row r="74">
      <c r="D74" s="33" t="n"/>
      <c r="E74" s="9" t="n"/>
      <c r="F74" s="9" t="n"/>
      <c r="G74" s="9" t="n"/>
      <c r="I74" s="33" t="n"/>
      <c r="J74" s="33" t="n"/>
      <c r="N74" s="9" t="n"/>
      <c r="P74" s="26">
        <f>IF($A74="","",IF(IFERROR(IF(INDEX(drops!$I$2:$I$21,MATCH($A74,drops!$A$2:$A$21,0))="","",INDEX(drops!$I$2:$I$21,MATCH($A74,drops!$A$2:$A$21,0))),"")="OK",IFERROR(IF(INDEX(drops!$B$2:$B$21,MATCH($A74,drops!$A$2:$A$21,0))="","",INDEX(drops!$B$2:$B$21,MATCH($A74,drops!$A$2:$A$21,0))),""),""))</f>
        <v/>
      </c>
      <c r="Q74" s="25">
        <f>IF($B74="","",IFERROR(IF(INDEX(offices!$N$2:$N$61,MATCH($B74,offices!$A$2:$A$61,0))="","",INDEX(offices!$N$2:$N$61,MATCH($B74,offices!$A$2:$A$61,0))),""))</f>
        <v/>
      </c>
      <c r="R74" s="25">
        <f>IF($B74="","",IFERROR(IF(INDEX(offices!$O$2:$O$61,MATCH($B74,offices!$A$2:$A$61,0))="","",INDEX(offices!$O$2:$O$61,MATCH($B74,offices!$A$2:$A$61,0))),""))</f>
        <v/>
      </c>
      <c r="S74" s="25">
        <f>IF($B74="","",IFERROR(IF(INDEX(offices!$P$2:$P$61,MATCH($B74,offices!$A$2:$A$61,0))="","",INDEX(offices!$P$2:$P$61,MATCH($B74,offices!$A$2:$A$61,0))),""))</f>
        <v/>
      </c>
      <c r="T74" s="25">
        <f>IF($B74="","",IFERROR(IF(INDEX(offices!$Y$2:$Y$61,MATCH($B74,offices!$A$2:$A$61,0))="","",INDEX(offices!$Y$2:$Y$61,MATCH($B74,offices!$A$2:$A$61,0))),""))</f>
        <v/>
      </c>
      <c r="U74" s="25">
        <f>IF($B74="","",IFERROR(IF(INDEX(offices!$X$2:$X$61,MATCH($B74,offices!$A$2:$A$61,0))="","",INDEX(offices!$X$2:$X$61,MATCH($B74,offices!$A$2:$A$61,0))),""))</f>
        <v/>
      </c>
      <c r="V74" s="25">
        <f>IF($B74="","",IFERROR(IF(INDEX(offices!$U$2:$U$61,MATCH($B74,offices!$A$2:$A$61,0))="","",INDEX(offices!$U$2:$U$61,MATCH($B74,offices!$A$2:$A$61,0))),""))</f>
        <v/>
      </c>
      <c r="W74" s="25">
        <f>IF($B74="","",IFERROR(IF(INDEX(offices!$AI$2:$AI$61,MATCH($B74,offices!$A$2:$A$61,0))="","",INDEX(offices!$AI$2:$AI$61,MATCH($B74,offices!$A$2:$A$61,0))),""))</f>
        <v/>
      </c>
      <c r="X74" s="25">
        <f>IF($B74="","",IFERROR(IF(INDEX(offices!$G$2:$G$61,MATCH($B74,offices!$A$2:$A$61,0))="","",INDEX(offices!$G$2:$G$61,MATCH($B74,offices!$A$2:$A$61,0))),""))</f>
        <v/>
      </c>
      <c r="Y74" s="25">
        <f>IF($B74="","",IFERROR(IF(INDEX(offices!$I$2:$I$61,MATCH($B74,offices!$A$2:$A$61,0))="","",INDEX(offices!$I$2:$I$61,MATCH($B74,offices!$A$2:$A$61,0))),""))</f>
        <v/>
      </c>
      <c r="Z74" s="25">
        <f>IF($A74="","",COUNTIFS(approvals!$H$2:$H$251,$A74,approvals!$B$2:$B$251,$B74,approvals!$P$2:$P$251,"Y"))</f>
        <v/>
      </c>
      <c r="AA74" s="25">
        <f>IF($A74="","",SUMIFS(approvals!$S$2:$S$251,approvals!$H$2:$H$251,$A74,approvals!$B$2:$B$251,$B74,approvals!$P$2:$P$251,"Y"))</f>
        <v/>
      </c>
      <c r="AB74" s="25">
        <f>IF(OR($A74="",$P74=""),"",IF(COUNTIFS(stops!$B$2:$B$151,$B74,stops!$P$2:$P$151,"&lt;"&amp;$P74,stops!$L$2:$L$151,"&lt;&gt;not_delivered")=0,"Y","N"))</f>
        <v/>
      </c>
      <c r="AC74" s="25">
        <f>IF(OR($I74="",$J74=""),"",ROUND(($J74-$I74)*1440,0))</f>
        <v/>
      </c>
      <c r="AD74" s="25">
        <f>IF($A74="","",IF(COUNTIFS(stops!$A$2:$A$151,$A74,stops!$B$2:$B$151,$B74)&gt;1,"DUPLICATE stop; ","")&amp;IF(AND(OR(IFERROR(IF(INDEX(offices!$Z$2:$Z$61,MATCH($B74,offices!$A$2:$A$61,0))="","",INDEX(offices!$Z$2:$Z$61,MATCH($B74,offices!$A$2:$A$61,0))),"")="yes",IFERROR(IF(INDEX(offices!$Z$2:$Z$61,MATCH($B74,offices!$A$2:$A$61,0))="","",INDEX(offices!$Z$2:$Z$61,MATCH($B74,offices!$A$2:$A$61,0))),"")="unsure"),$Y74&lt;&gt;"received",$Y74&lt;&gt;"not_needed"),"building certificate not received; ","")&amp;IF($W74="","owner phone missing; ","")&amp;IF(N($Z74)=0,"no approved brand for this stop; ","")&amp;IF(AND($P74&lt;&gt;"",IF(config!$B$37&lt;&gt;"",config!$B$37,TODAY())&gt;$P74,$L74=""),"log the outcome; ","")&amp;IF(AND(OR($L74="declined",$L74="building_refused",$L74="not_delivered"),N($Z74)&gt;0,COUNTIFS(approvals!$H$2:$H$251,$A74,approvals!$B$2:$B$251,$B74,approvals!$P$2:$P$251,"Y",approvals!$U$2:$U$251,"&gt;0")&gt;=N($Z74)),"outcome says "&amp;$L74&amp;" but every brand here is logged delivered: fix the outcome, or delete the wrong delivered rows (SOP section 4); ","")&amp;IF(AND(OR($L74="declined",$L74="building_refused",$L74="not_delivered"),COUNTIFS(approvals!$H$2:$H$251,$A74,approvals!$B$2:$B$251,$B74,approvals!$P$2:$P$251,"Y",approvals!$U$2:$U$251,"&gt;0")&gt;0,COUNTIFS(approvals!$H$2:$H$251,$A74,approvals!$B$2:$B$251,$B74,approvals!$P$2:$P$251,"Y",approvals!$U$2:$U$251,"&gt;0")&lt;N($Z74)),"info: "&amp;(N($Z74)-COUNTIFS(approvals!$H$2:$H$251,$A74,approvals!$B$2:$B$251,$B74,approvals!$P$2:$P$251,"Y",approvals!$U$2:$U$251,"&gt;0"))&amp;" brand(s) turned away at the door, the rest delivered; ","")&amp;IF(AND($AB74="Y",IFERROR(IF(INDEX(drops!$C$2:$C$21,MATCH($A74,drops!$A$2:$A$21,0))="","",INDEX(drops!$C$2:$C$21,MATCH($A74,drops!$A$2:$A$21,0))),"")="direct-ship"),"info: first drop: visit in person on T; ","")&amp;IF(AND($U74="front desk",$X74&lt;&gt;"Y"),"info: front desk not agreed: the owner must take it; ",""))</f>
        <v/>
      </c>
    </row>
    <row r="75">
      <c r="D75" s="33" t="n"/>
      <c r="E75" s="9" t="n"/>
      <c r="F75" s="9" t="n"/>
      <c r="G75" s="9" t="n"/>
      <c r="I75" s="33" t="n"/>
      <c r="J75" s="33" t="n"/>
      <c r="N75" s="9" t="n"/>
      <c r="P75" s="26">
        <f>IF($A75="","",IF(IFERROR(IF(INDEX(drops!$I$2:$I$21,MATCH($A75,drops!$A$2:$A$21,0))="","",INDEX(drops!$I$2:$I$21,MATCH($A75,drops!$A$2:$A$21,0))),"")="OK",IFERROR(IF(INDEX(drops!$B$2:$B$21,MATCH($A75,drops!$A$2:$A$21,0))="","",INDEX(drops!$B$2:$B$21,MATCH($A75,drops!$A$2:$A$21,0))),""),""))</f>
        <v/>
      </c>
      <c r="Q75" s="25">
        <f>IF($B75="","",IFERROR(IF(INDEX(offices!$N$2:$N$61,MATCH($B75,offices!$A$2:$A$61,0))="","",INDEX(offices!$N$2:$N$61,MATCH($B75,offices!$A$2:$A$61,0))),""))</f>
        <v/>
      </c>
      <c r="R75" s="25">
        <f>IF($B75="","",IFERROR(IF(INDEX(offices!$O$2:$O$61,MATCH($B75,offices!$A$2:$A$61,0))="","",INDEX(offices!$O$2:$O$61,MATCH($B75,offices!$A$2:$A$61,0))),""))</f>
        <v/>
      </c>
      <c r="S75" s="25">
        <f>IF($B75="","",IFERROR(IF(INDEX(offices!$P$2:$P$61,MATCH($B75,offices!$A$2:$A$61,0))="","",INDEX(offices!$P$2:$P$61,MATCH($B75,offices!$A$2:$A$61,0))),""))</f>
        <v/>
      </c>
      <c r="T75" s="25">
        <f>IF($B75="","",IFERROR(IF(INDEX(offices!$Y$2:$Y$61,MATCH($B75,offices!$A$2:$A$61,0))="","",INDEX(offices!$Y$2:$Y$61,MATCH($B75,offices!$A$2:$A$61,0))),""))</f>
        <v/>
      </c>
      <c r="U75" s="25">
        <f>IF($B75="","",IFERROR(IF(INDEX(offices!$X$2:$X$61,MATCH($B75,offices!$A$2:$A$61,0))="","",INDEX(offices!$X$2:$X$61,MATCH($B75,offices!$A$2:$A$61,0))),""))</f>
        <v/>
      </c>
      <c r="V75" s="25">
        <f>IF($B75="","",IFERROR(IF(INDEX(offices!$U$2:$U$61,MATCH($B75,offices!$A$2:$A$61,0))="","",INDEX(offices!$U$2:$U$61,MATCH($B75,offices!$A$2:$A$61,0))),""))</f>
        <v/>
      </c>
      <c r="W75" s="25">
        <f>IF($B75="","",IFERROR(IF(INDEX(offices!$AI$2:$AI$61,MATCH($B75,offices!$A$2:$A$61,0))="","",INDEX(offices!$AI$2:$AI$61,MATCH($B75,offices!$A$2:$A$61,0))),""))</f>
        <v/>
      </c>
      <c r="X75" s="25">
        <f>IF($B75="","",IFERROR(IF(INDEX(offices!$G$2:$G$61,MATCH($B75,offices!$A$2:$A$61,0))="","",INDEX(offices!$G$2:$G$61,MATCH($B75,offices!$A$2:$A$61,0))),""))</f>
        <v/>
      </c>
      <c r="Y75" s="25">
        <f>IF($B75="","",IFERROR(IF(INDEX(offices!$I$2:$I$61,MATCH($B75,offices!$A$2:$A$61,0))="","",INDEX(offices!$I$2:$I$61,MATCH($B75,offices!$A$2:$A$61,0))),""))</f>
        <v/>
      </c>
      <c r="Z75" s="25">
        <f>IF($A75="","",COUNTIFS(approvals!$H$2:$H$251,$A75,approvals!$B$2:$B$251,$B75,approvals!$P$2:$P$251,"Y"))</f>
        <v/>
      </c>
      <c r="AA75" s="25">
        <f>IF($A75="","",SUMIFS(approvals!$S$2:$S$251,approvals!$H$2:$H$251,$A75,approvals!$B$2:$B$251,$B75,approvals!$P$2:$P$251,"Y"))</f>
        <v/>
      </c>
      <c r="AB75" s="25">
        <f>IF(OR($A75="",$P75=""),"",IF(COUNTIFS(stops!$B$2:$B$151,$B75,stops!$P$2:$P$151,"&lt;"&amp;$P75,stops!$L$2:$L$151,"&lt;&gt;not_delivered")=0,"Y","N"))</f>
        <v/>
      </c>
      <c r="AC75" s="25">
        <f>IF(OR($I75="",$J75=""),"",ROUND(($J75-$I75)*1440,0))</f>
        <v/>
      </c>
      <c r="AD75" s="25">
        <f>IF($A75="","",IF(COUNTIFS(stops!$A$2:$A$151,$A75,stops!$B$2:$B$151,$B75)&gt;1,"DUPLICATE stop; ","")&amp;IF(AND(OR(IFERROR(IF(INDEX(offices!$Z$2:$Z$61,MATCH($B75,offices!$A$2:$A$61,0))="","",INDEX(offices!$Z$2:$Z$61,MATCH($B75,offices!$A$2:$A$61,0))),"")="yes",IFERROR(IF(INDEX(offices!$Z$2:$Z$61,MATCH($B75,offices!$A$2:$A$61,0))="","",INDEX(offices!$Z$2:$Z$61,MATCH($B75,offices!$A$2:$A$61,0))),"")="unsure"),$Y75&lt;&gt;"received",$Y75&lt;&gt;"not_needed"),"building certificate not received; ","")&amp;IF($W75="","owner phone missing; ","")&amp;IF(N($Z75)=0,"no approved brand for this stop; ","")&amp;IF(AND($P75&lt;&gt;"",IF(config!$B$37&lt;&gt;"",config!$B$37,TODAY())&gt;$P75,$L75=""),"log the outcome; ","")&amp;IF(AND(OR($L75="declined",$L75="building_refused",$L75="not_delivered"),N($Z75)&gt;0,COUNTIFS(approvals!$H$2:$H$251,$A75,approvals!$B$2:$B$251,$B75,approvals!$P$2:$P$251,"Y",approvals!$U$2:$U$251,"&gt;0")&gt;=N($Z75)),"outcome says "&amp;$L75&amp;" but every brand here is logged delivered: fix the outcome, or delete the wrong delivered rows (SOP section 4); ","")&amp;IF(AND(OR($L75="declined",$L75="building_refused",$L75="not_delivered"),COUNTIFS(approvals!$H$2:$H$251,$A75,approvals!$B$2:$B$251,$B75,approvals!$P$2:$P$251,"Y",approvals!$U$2:$U$251,"&gt;0")&gt;0,COUNTIFS(approvals!$H$2:$H$251,$A75,approvals!$B$2:$B$251,$B75,approvals!$P$2:$P$251,"Y",approvals!$U$2:$U$251,"&gt;0")&lt;N($Z75)),"info: "&amp;(N($Z75)-COUNTIFS(approvals!$H$2:$H$251,$A75,approvals!$B$2:$B$251,$B75,approvals!$P$2:$P$251,"Y",approvals!$U$2:$U$251,"&gt;0"))&amp;" brand(s) turned away at the door, the rest delivered; ","")&amp;IF(AND($AB75="Y",IFERROR(IF(INDEX(drops!$C$2:$C$21,MATCH($A75,drops!$A$2:$A$21,0))="","",INDEX(drops!$C$2:$C$21,MATCH($A75,drops!$A$2:$A$21,0))),"")="direct-ship"),"info: first drop: visit in person on T; ","")&amp;IF(AND($U75="front desk",$X75&lt;&gt;"Y"),"info: front desk not agreed: the owner must take it; ",""))</f>
        <v/>
      </c>
    </row>
    <row r="76">
      <c r="D76" s="33" t="n"/>
      <c r="E76" s="9" t="n"/>
      <c r="F76" s="9" t="n"/>
      <c r="G76" s="9" t="n"/>
      <c r="I76" s="33" t="n"/>
      <c r="J76" s="33" t="n"/>
      <c r="N76" s="9" t="n"/>
      <c r="P76" s="26">
        <f>IF($A76="","",IF(IFERROR(IF(INDEX(drops!$I$2:$I$21,MATCH($A76,drops!$A$2:$A$21,0))="","",INDEX(drops!$I$2:$I$21,MATCH($A76,drops!$A$2:$A$21,0))),"")="OK",IFERROR(IF(INDEX(drops!$B$2:$B$21,MATCH($A76,drops!$A$2:$A$21,0))="","",INDEX(drops!$B$2:$B$21,MATCH($A76,drops!$A$2:$A$21,0))),""),""))</f>
        <v/>
      </c>
      <c r="Q76" s="25">
        <f>IF($B76="","",IFERROR(IF(INDEX(offices!$N$2:$N$61,MATCH($B76,offices!$A$2:$A$61,0))="","",INDEX(offices!$N$2:$N$61,MATCH($B76,offices!$A$2:$A$61,0))),""))</f>
        <v/>
      </c>
      <c r="R76" s="25">
        <f>IF($B76="","",IFERROR(IF(INDEX(offices!$O$2:$O$61,MATCH($B76,offices!$A$2:$A$61,0))="","",INDEX(offices!$O$2:$O$61,MATCH($B76,offices!$A$2:$A$61,0))),""))</f>
        <v/>
      </c>
      <c r="S76" s="25">
        <f>IF($B76="","",IFERROR(IF(INDEX(offices!$P$2:$P$61,MATCH($B76,offices!$A$2:$A$61,0))="","",INDEX(offices!$P$2:$P$61,MATCH($B76,offices!$A$2:$A$61,0))),""))</f>
        <v/>
      </c>
      <c r="T76" s="25">
        <f>IF($B76="","",IFERROR(IF(INDEX(offices!$Y$2:$Y$61,MATCH($B76,offices!$A$2:$A$61,0))="","",INDEX(offices!$Y$2:$Y$61,MATCH($B76,offices!$A$2:$A$61,0))),""))</f>
        <v/>
      </c>
      <c r="U76" s="25">
        <f>IF($B76="","",IFERROR(IF(INDEX(offices!$X$2:$X$61,MATCH($B76,offices!$A$2:$A$61,0))="","",INDEX(offices!$X$2:$X$61,MATCH($B76,offices!$A$2:$A$61,0))),""))</f>
        <v/>
      </c>
      <c r="V76" s="25">
        <f>IF($B76="","",IFERROR(IF(INDEX(offices!$U$2:$U$61,MATCH($B76,offices!$A$2:$A$61,0))="","",INDEX(offices!$U$2:$U$61,MATCH($B76,offices!$A$2:$A$61,0))),""))</f>
        <v/>
      </c>
      <c r="W76" s="25">
        <f>IF($B76="","",IFERROR(IF(INDEX(offices!$AI$2:$AI$61,MATCH($B76,offices!$A$2:$A$61,0))="","",INDEX(offices!$AI$2:$AI$61,MATCH($B76,offices!$A$2:$A$61,0))),""))</f>
        <v/>
      </c>
      <c r="X76" s="25">
        <f>IF($B76="","",IFERROR(IF(INDEX(offices!$G$2:$G$61,MATCH($B76,offices!$A$2:$A$61,0))="","",INDEX(offices!$G$2:$G$61,MATCH($B76,offices!$A$2:$A$61,0))),""))</f>
        <v/>
      </c>
      <c r="Y76" s="25">
        <f>IF($B76="","",IFERROR(IF(INDEX(offices!$I$2:$I$61,MATCH($B76,offices!$A$2:$A$61,0))="","",INDEX(offices!$I$2:$I$61,MATCH($B76,offices!$A$2:$A$61,0))),""))</f>
        <v/>
      </c>
      <c r="Z76" s="25">
        <f>IF($A76="","",COUNTIFS(approvals!$H$2:$H$251,$A76,approvals!$B$2:$B$251,$B76,approvals!$P$2:$P$251,"Y"))</f>
        <v/>
      </c>
      <c r="AA76" s="25">
        <f>IF($A76="","",SUMIFS(approvals!$S$2:$S$251,approvals!$H$2:$H$251,$A76,approvals!$B$2:$B$251,$B76,approvals!$P$2:$P$251,"Y"))</f>
        <v/>
      </c>
      <c r="AB76" s="25">
        <f>IF(OR($A76="",$P76=""),"",IF(COUNTIFS(stops!$B$2:$B$151,$B76,stops!$P$2:$P$151,"&lt;"&amp;$P76,stops!$L$2:$L$151,"&lt;&gt;not_delivered")=0,"Y","N"))</f>
        <v/>
      </c>
      <c r="AC76" s="25">
        <f>IF(OR($I76="",$J76=""),"",ROUND(($J76-$I76)*1440,0))</f>
        <v/>
      </c>
      <c r="AD76" s="25">
        <f>IF($A76="","",IF(COUNTIFS(stops!$A$2:$A$151,$A76,stops!$B$2:$B$151,$B76)&gt;1,"DUPLICATE stop; ","")&amp;IF(AND(OR(IFERROR(IF(INDEX(offices!$Z$2:$Z$61,MATCH($B76,offices!$A$2:$A$61,0))="","",INDEX(offices!$Z$2:$Z$61,MATCH($B76,offices!$A$2:$A$61,0))),"")="yes",IFERROR(IF(INDEX(offices!$Z$2:$Z$61,MATCH($B76,offices!$A$2:$A$61,0))="","",INDEX(offices!$Z$2:$Z$61,MATCH($B76,offices!$A$2:$A$61,0))),"")="unsure"),$Y76&lt;&gt;"received",$Y76&lt;&gt;"not_needed"),"building certificate not received; ","")&amp;IF($W76="","owner phone missing; ","")&amp;IF(N($Z76)=0,"no approved brand for this stop; ","")&amp;IF(AND($P76&lt;&gt;"",IF(config!$B$37&lt;&gt;"",config!$B$37,TODAY())&gt;$P76,$L76=""),"log the outcome; ","")&amp;IF(AND(OR($L76="declined",$L76="building_refused",$L76="not_delivered"),N($Z76)&gt;0,COUNTIFS(approvals!$H$2:$H$251,$A76,approvals!$B$2:$B$251,$B76,approvals!$P$2:$P$251,"Y",approvals!$U$2:$U$251,"&gt;0")&gt;=N($Z76)),"outcome says "&amp;$L76&amp;" but every brand here is logged delivered: fix the outcome, or delete the wrong delivered rows (SOP section 4); ","")&amp;IF(AND(OR($L76="declined",$L76="building_refused",$L76="not_delivered"),COUNTIFS(approvals!$H$2:$H$251,$A76,approvals!$B$2:$B$251,$B76,approvals!$P$2:$P$251,"Y",approvals!$U$2:$U$251,"&gt;0")&gt;0,COUNTIFS(approvals!$H$2:$H$251,$A76,approvals!$B$2:$B$251,$B76,approvals!$P$2:$P$251,"Y",approvals!$U$2:$U$251,"&gt;0")&lt;N($Z76)),"info: "&amp;(N($Z76)-COUNTIFS(approvals!$H$2:$H$251,$A76,approvals!$B$2:$B$251,$B76,approvals!$P$2:$P$251,"Y",approvals!$U$2:$U$251,"&gt;0"))&amp;" brand(s) turned away at the door, the rest delivered; ","")&amp;IF(AND($AB76="Y",IFERROR(IF(INDEX(drops!$C$2:$C$21,MATCH($A76,drops!$A$2:$A$21,0))="","",INDEX(drops!$C$2:$C$21,MATCH($A76,drops!$A$2:$A$21,0))),"")="direct-ship"),"info: first drop: visit in person on T; ","")&amp;IF(AND($U76="front desk",$X76&lt;&gt;"Y"),"info: front desk not agreed: the owner must take it; ",""))</f>
        <v/>
      </c>
    </row>
    <row r="77">
      <c r="D77" s="33" t="n"/>
      <c r="E77" s="9" t="n"/>
      <c r="F77" s="9" t="n"/>
      <c r="G77" s="9" t="n"/>
      <c r="I77" s="33" t="n"/>
      <c r="J77" s="33" t="n"/>
      <c r="N77" s="9" t="n"/>
      <c r="P77" s="26">
        <f>IF($A77="","",IF(IFERROR(IF(INDEX(drops!$I$2:$I$21,MATCH($A77,drops!$A$2:$A$21,0))="","",INDEX(drops!$I$2:$I$21,MATCH($A77,drops!$A$2:$A$21,0))),"")="OK",IFERROR(IF(INDEX(drops!$B$2:$B$21,MATCH($A77,drops!$A$2:$A$21,0))="","",INDEX(drops!$B$2:$B$21,MATCH($A77,drops!$A$2:$A$21,0))),""),""))</f>
        <v/>
      </c>
      <c r="Q77" s="25">
        <f>IF($B77="","",IFERROR(IF(INDEX(offices!$N$2:$N$61,MATCH($B77,offices!$A$2:$A$61,0))="","",INDEX(offices!$N$2:$N$61,MATCH($B77,offices!$A$2:$A$61,0))),""))</f>
        <v/>
      </c>
      <c r="R77" s="25">
        <f>IF($B77="","",IFERROR(IF(INDEX(offices!$O$2:$O$61,MATCH($B77,offices!$A$2:$A$61,0))="","",INDEX(offices!$O$2:$O$61,MATCH($B77,offices!$A$2:$A$61,0))),""))</f>
        <v/>
      </c>
      <c r="S77" s="25">
        <f>IF($B77="","",IFERROR(IF(INDEX(offices!$P$2:$P$61,MATCH($B77,offices!$A$2:$A$61,0))="","",INDEX(offices!$P$2:$P$61,MATCH($B77,offices!$A$2:$A$61,0))),""))</f>
        <v/>
      </c>
      <c r="T77" s="25">
        <f>IF($B77="","",IFERROR(IF(INDEX(offices!$Y$2:$Y$61,MATCH($B77,offices!$A$2:$A$61,0))="","",INDEX(offices!$Y$2:$Y$61,MATCH($B77,offices!$A$2:$A$61,0))),""))</f>
        <v/>
      </c>
      <c r="U77" s="25">
        <f>IF($B77="","",IFERROR(IF(INDEX(offices!$X$2:$X$61,MATCH($B77,offices!$A$2:$A$61,0))="","",INDEX(offices!$X$2:$X$61,MATCH($B77,offices!$A$2:$A$61,0))),""))</f>
        <v/>
      </c>
      <c r="V77" s="25">
        <f>IF($B77="","",IFERROR(IF(INDEX(offices!$U$2:$U$61,MATCH($B77,offices!$A$2:$A$61,0))="","",INDEX(offices!$U$2:$U$61,MATCH($B77,offices!$A$2:$A$61,0))),""))</f>
        <v/>
      </c>
      <c r="W77" s="25">
        <f>IF($B77="","",IFERROR(IF(INDEX(offices!$AI$2:$AI$61,MATCH($B77,offices!$A$2:$A$61,0))="","",INDEX(offices!$AI$2:$AI$61,MATCH($B77,offices!$A$2:$A$61,0))),""))</f>
        <v/>
      </c>
      <c r="X77" s="25">
        <f>IF($B77="","",IFERROR(IF(INDEX(offices!$G$2:$G$61,MATCH($B77,offices!$A$2:$A$61,0))="","",INDEX(offices!$G$2:$G$61,MATCH($B77,offices!$A$2:$A$61,0))),""))</f>
        <v/>
      </c>
      <c r="Y77" s="25">
        <f>IF($B77="","",IFERROR(IF(INDEX(offices!$I$2:$I$61,MATCH($B77,offices!$A$2:$A$61,0))="","",INDEX(offices!$I$2:$I$61,MATCH($B77,offices!$A$2:$A$61,0))),""))</f>
        <v/>
      </c>
      <c r="Z77" s="25">
        <f>IF($A77="","",COUNTIFS(approvals!$H$2:$H$251,$A77,approvals!$B$2:$B$251,$B77,approvals!$P$2:$P$251,"Y"))</f>
        <v/>
      </c>
      <c r="AA77" s="25">
        <f>IF($A77="","",SUMIFS(approvals!$S$2:$S$251,approvals!$H$2:$H$251,$A77,approvals!$B$2:$B$251,$B77,approvals!$P$2:$P$251,"Y"))</f>
        <v/>
      </c>
      <c r="AB77" s="25">
        <f>IF(OR($A77="",$P77=""),"",IF(COUNTIFS(stops!$B$2:$B$151,$B77,stops!$P$2:$P$151,"&lt;"&amp;$P77,stops!$L$2:$L$151,"&lt;&gt;not_delivered")=0,"Y","N"))</f>
        <v/>
      </c>
      <c r="AC77" s="25">
        <f>IF(OR($I77="",$J77=""),"",ROUND(($J77-$I77)*1440,0))</f>
        <v/>
      </c>
      <c r="AD77" s="25">
        <f>IF($A77="","",IF(COUNTIFS(stops!$A$2:$A$151,$A77,stops!$B$2:$B$151,$B77)&gt;1,"DUPLICATE stop; ","")&amp;IF(AND(OR(IFERROR(IF(INDEX(offices!$Z$2:$Z$61,MATCH($B77,offices!$A$2:$A$61,0))="","",INDEX(offices!$Z$2:$Z$61,MATCH($B77,offices!$A$2:$A$61,0))),"")="yes",IFERROR(IF(INDEX(offices!$Z$2:$Z$61,MATCH($B77,offices!$A$2:$A$61,0))="","",INDEX(offices!$Z$2:$Z$61,MATCH($B77,offices!$A$2:$A$61,0))),"")="unsure"),$Y77&lt;&gt;"received",$Y77&lt;&gt;"not_needed"),"building certificate not received; ","")&amp;IF($W77="","owner phone missing; ","")&amp;IF(N($Z77)=0,"no approved brand for this stop; ","")&amp;IF(AND($P77&lt;&gt;"",IF(config!$B$37&lt;&gt;"",config!$B$37,TODAY())&gt;$P77,$L77=""),"log the outcome; ","")&amp;IF(AND(OR($L77="declined",$L77="building_refused",$L77="not_delivered"),N($Z77)&gt;0,COUNTIFS(approvals!$H$2:$H$251,$A77,approvals!$B$2:$B$251,$B77,approvals!$P$2:$P$251,"Y",approvals!$U$2:$U$251,"&gt;0")&gt;=N($Z77)),"outcome says "&amp;$L77&amp;" but every brand here is logged delivered: fix the outcome, or delete the wrong delivered rows (SOP section 4); ","")&amp;IF(AND(OR($L77="declined",$L77="building_refused",$L77="not_delivered"),COUNTIFS(approvals!$H$2:$H$251,$A77,approvals!$B$2:$B$251,$B77,approvals!$P$2:$P$251,"Y",approvals!$U$2:$U$251,"&gt;0")&gt;0,COUNTIFS(approvals!$H$2:$H$251,$A77,approvals!$B$2:$B$251,$B77,approvals!$P$2:$P$251,"Y",approvals!$U$2:$U$251,"&gt;0")&lt;N($Z77)),"info: "&amp;(N($Z77)-COUNTIFS(approvals!$H$2:$H$251,$A77,approvals!$B$2:$B$251,$B77,approvals!$P$2:$P$251,"Y",approvals!$U$2:$U$251,"&gt;0"))&amp;" brand(s) turned away at the door, the rest delivered; ","")&amp;IF(AND($AB77="Y",IFERROR(IF(INDEX(drops!$C$2:$C$21,MATCH($A77,drops!$A$2:$A$21,0))="","",INDEX(drops!$C$2:$C$21,MATCH($A77,drops!$A$2:$A$21,0))),"")="direct-ship"),"info: first drop: visit in person on T; ","")&amp;IF(AND($U77="front desk",$X77&lt;&gt;"Y"),"info: front desk not agreed: the owner must take it; ",""))</f>
        <v/>
      </c>
    </row>
    <row r="78">
      <c r="D78" s="33" t="n"/>
      <c r="E78" s="9" t="n"/>
      <c r="F78" s="9" t="n"/>
      <c r="G78" s="9" t="n"/>
      <c r="I78" s="33" t="n"/>
      <c r="J78" s="33" t="n"/>
      <c r="N78" s="9" t="n"/>
      <c r="P78" s="26">
        <f>IF($A78="","",IF(IFERROR(IF(INDEX(drops!$I$2:$I$21,MATCH($A78,drops!$A$2:$A$21,0))="","",INDEX(drops!$I$2:$I$21,MATCH($A78,drops!$A$2:$A$21,0))),"")="OK",IFERROR(IF(INDEX(drops!$B$2:$B$21,MATCH($A78,drops!$A$2:$A$21,0))="","",INDEX(drops!$B$2:$B$21,MATCH($A78,drops!$A$2:$A$21,0))),""),""))</f>
        <v/>
      </c>
      <c r="Q78" s="25">
        <f>IF($B78="","",IFERROR(IF(INDEX(offices!$N$2:$N$61,MATCH($B78,offices!$A$2:$A$61,0))="","",INDEX(offices!$N$2:$N$61,MATCH($B78,offices!$A$2:$A$61,0))),""))</f>
        <v/>
      </c>
      <c r="R78" s="25">
        <f>IF($B78="","",IFERROR(IF(INDEX(offices!$O$2:$O$61,MATCH($B78,offices!$A$2:$A$61,0))="","",INDEX(offices!$O$2:$O$61,MATCH($B78,offices!$A$2:$A$61,0))),""))</f>
        <v/>
      </c>
      <c r="S78" s="25">
        <f>IF($B78="","",IFERROR(IF(INDEX(offices!$P$2:$P$61,MATCH($B78,offices!$A$2:$A$61,0))="","",INDEX(offices!$P$2:$P$61,MATCH($B78,offices!$A$2:$A$61,0))),""))</f>
        <v/>
      </c>
      <c r="T78" s="25">
        <f>IF($B78="","",IFERROR(IF(INDEX(offices!$Y$2:$Y$61,MATCH($B78,offices!$A$2:$A$61,0))="","",INDEX(offices!$Y$2:$Y$61,MATCH($B78,offices!$A$2:$A$61,0))),""))</f>
        <v/>
      </c>
      <c r="U78" s="25">
        <f>IF($B78="","",IFERROR(IF(INDEX(offices!$X$2:$X$61,MATCH($B78,offices!$A$2:$A$61,0))="","",INDEX(offices!$X$2:$X$61,MATCH($B78,offices!$A$2:$A$61,0))),""))</f>
        <v/>
      </c>
      <c r="V78" s="25">
        <f>IF($B78="","",IFERROR(IF(INDEX(offices!$U$2:$U$61,MATCH($B78,offices!$A$2:$A$61,0))="","",INDEX(offices!$U$2:$U$61,MATCH($B78,offices!$A$2:$A$61,0))),""))</f>
        <v/>
      </c>
      <c r="W78" s="25">
        <f>IF($B78="","",IFERROR(IF(INDEX(offices!$AI$2:$AI$61,MATCH($B78,offices!$A$2:$A$61,0))="","",INDEX(offices!$AI$2:$AI$61,MATCH($B78,offices!$A$2:$A$61,0))),""))</f>
        <v/>
      </c>
      <c r="X78" s="25">
        <f>IF($B78="","",IFERROR(IF(INDEX(offices!$G$2:$G$61,MATCH($B78,offices!$A$2:$A$61,0))="","",INDEX(offices!$G$2:$G$61,MATCH($B78,offices!$A$2:$A$61,0))),""))</f>
        <v/>
      </c>
      <c r="Y78" s="25">
        <f>IF($B78="","",IFERROR(IF(INDEX(offices!$I$2:$I$61,MATCH($B78,offices!$A$2:$A$61,0))="","",INDEX(offices!$I$2:$I$61,MATCH($B78,offices!$A$2:$A$61,0))),""))</f>
        <v/>
      </c>
      <c r="Z78" s="25">
        <f>IF($A78="","",COUNTIFS(approvals!$H$2:$H$251,$A78,approvals!$B$2:$B$251,$B78,approvals!$P$2:$P$251,"Y"))</f>
        <v/>
      </c>
      <c r="AA78" s="25">
        <f>IF($A78="","",SUMIFS(approvals!$S$2:$S$251,approvals!$H$2:$H$251,$A78,approvals!$B$2:$B$251,$B78,approvals!$P$2:$P$251,"Y"))</f>
        <v/>
      </c>
      <c r="AB78" s="25">
        <f>IF(OR($A78="",$P78=""),"",IF(COUNTIFS(stops!$B$2:$B$151,$B78,stops!$P$2:$P$151,"&lt;"&amp;$P78,stops!$L$2:$L$151,"&lt;&gt;not_delivered")=0,"Y","N"))</f>
        <v/>
      </c>
      <c r="AC78" s="25">
        <f>IF(OR($I78="",$J78=""),"",ROUND(($J78-$I78)*1440,0))</f>
        <v/>
      </c>
      <c r="AD78" s="25">
        <f>IF($A78="","",IF(COUNTIFS(stops!$A$2:$A$151,$A78,stops!$B$2:$B$151,$B78)&gt;1,"DUPLICATE stop; ","")&amp;IF(AND(OR(IFERROR(IF(INDEX(offices!$Z$2:$Z$61,MATCH($B78,offices!$A$2:$A$61,0))="","",INDEX(offices!$Z$2:$Z$61,MATCH($B78,offices!$A$2:$A$61,0))),"")="yes",IFERROR(IF(INDEX(offices!$Z$2:$Z$61,MATCH($B78,offices!$A$2:$A$61,0))="","",INDEX(offices!$Z$2:$Z$61,MATCH($B78,offices!$A$2:$A$61,0))),"")="unsure"),$Y78&lt;&gt;"received",$Y78&lt;&gt;"not_needed"),"building certificate not received; ","")&amp;IF($W78="","owner phone missing; ","")&amp;IF(N($Z78)=0,"no approved brand for this stop; ","")&amp;IF(AND($P78&lt;&gt;"",IF(config!$B$37&lt;&gt;"",config!$B$37,TODAY())&gt;$P78,$L78=""),"log the outcome; ","")&amp;IF(AND(OR($L78="declined",$L78="building_refused",$L78="not_delivered"),N($Z78)&gt;0,COUNTIFS(approvals!$H$2:$H$251,$A78,approvals!$B$2:$B$251,$B78,approvals!$P$2:$P$251,"Y",approvals!$U$2:$U$251,"&gt;0")&gt;=N($Z78)),"outcome says "&amp;$L78&amp;" but every brand here is logged delivered: fix the outcome, or delete the wrong delivered rows (SOP section 4); ","")&amp;IF(AND(OR($L78="declined",$L78="building_refused",$L78="not_delivered"),COUNTIFS(approvals!$H$2:$H$251,$A78,approvals!$B$2:$B$251,$B78,approvals!$P$2:$P$251,"Y",approvals!$U$2:$U$251,"&gt;0")&gt;0,COUNTIFS(approvals!$H$2:$H$251,$A78,approvals!$B$2:$B$251,$B78,approvals!$P$2:$P$251,"Y",approvals!$U$2:$U$251,"&gt;0")&lt;N($Z78)),"info: "&amp;(N($Z78)-COUNTIFS(approvals!$H$2:$H$251,$A78,approvals!$B$2:$B$251,$B78,approvals!$P$2:$P$251,"Y",approvals!$U$2:$U$251,"&gt;0"))&amp;" brand(s) turned away at the door, the rest delivered; ","")&amp;IF(AND($AB78="Y",IFERROR(IF(INDEX(drops!$C$2:$C$21,MATCH($A78,drops!$A$2:$A$21,0))="","",INDEX(drops!$C$2:$C$21,MATCH($A78,drops!$A$2:$A$21,0))),"")="direct-ship"),"info: first drop: visit in person on T; ","")&amp;IF(AND($U78="front desk",$X78&lt;&gt;"Y"),"info: front desk not agreed: the owner must take it; ",""))</f>
        <v/>
      </c>
    </row>
    <row r="79">
      <c r="D79" s="33" t="n"/>
      <c r="E79" s="9" t="n"/>
      <c r="F79" s="9" t="n"/>
      <c r="G79" s="9" t="n"/>
      <c r="I79" s="33" t="n"/>
      <c r="J79" s="33" t="n"/>
      <c r="N79" s="9" t="n"/>
      <c r="P79" s="26">
        <f>IF($A79="","",IF(IFERROR(IF(INDEX(drops!$I$2:$I$21,MATCH($A79,drops!$A$2:$A$21,0))="","",INDEX(drops!$I$2:$I$21,MATCH($A79,drops!$A$2:$A$21,0))),"")="OK",IFERROR(IF(INDEX(drops!$B$2:$B$21,MATCH($A79,drops!$A$2:$A$21,0))="","",INDEX(drops!$B$2:$B$21,MATCH($A79,drops!$A$2:$A$21,0))),""),""))</f>
        <v/>
      </c>
      <c r="Q79" s="25">
        <f>IF($B79="","",IFERROR(IF(INDEX(offices!$N$2:$N$61,MATCH($B79,offices!$A$2:$A$61,0))="","",INDEX(offices!$N$2:$N$61,MATCH($B79,offices!$A$2:$A$61,0))),""))</f>
        <v/>
      </c>
      <c r="R79" s="25">
        <f>IF($B79="","",IFERROR(IF(INDEX(offices!$O$2:$O$61,MATCH($B79,offices!$A$2:$A$61,0))="","",INDEX(offices!$O$2:$O$61,MATCH($B79,offices!$A$2:$A$61,0))),""))</f>
        <v/>
      </c>
      <c r="S79" s="25">
        <f>IF($B79="","",IFERROR(IF(INDEX(offices!$P$2:$P$61,MATCH($B79,offices!$A$2:$A$61,0))="","",INDEX(offices!$P$2:$P$61,MATCH($B79,offices!$A$2:$A$61,0))),""))</f>
        <v/>
      </c>
      <c r="T79" s="25">
        <f>IF($B79="","",IFERROR(IF(INDEX(offices!$Y$2:$Y$61,MATCH($B79,offices!$A$2:$A$61,0))="","",INDEX(offices!$Y$2:$Y$61,MATCH($B79,offices!$A$2:$A$61,0))),""))</f>
        <v/>
      </c>
      <c r="U79" s="25">
        <f>IF($B79="","",IFERROR(IF(INDEX(offices!$X$2:$X$61,MATCH($B79,offices!$A$2:$A$61,0))="","",INDEX(offices!$X$2:$X$61,MATCH($B79,offices!$A$2:$A$61,0))),""))</f>
        <v/>
      </c>
      <c r="V79" s="25">
        <f>IF($B79="","",IFERROR(IF(INDEX(offices!$U$2:$U$61,MATCH($B79,offices!$A$2:$A$61,0))="","",INDEX(offices!$U$2:$U$61,MATCH($B79,offices!$A$2:$A$61,0))),""))</f>
        <v/>
      </c>
      <c r="W79" s="25">
        <f>IF($B79="","",IFERROR(IF(INDEX(offices!$AI$2:$AI$61,MATCH($B79,offices!$A$2:$A$61,0))="","",INDEX(offices!$AI$2:$AI$61,MATCH($B79,offices!$A$2:$A$61,0))),""))</f>
        <v/>
      </c>
      <c r="X79" s="25">
        <f>IF($B79="","",IFERROR(IF(INDEX(offices!$G$2:$G$61,MATCH($B79,offices!$A$2:$A$61,0))="","",INDEX(offices!$G$2:$G$61,MATCH($B79,offices!$A$2:$A$61,0))),""))</f>
        <v/>
      </c>
      <c r="Y79" s="25">
        <f>IF($B79="","",IFERROR(IF(INDEX(offices!$I$2:$I$61,MATCH($B79,offices!$A$2:$A$61,0))="","",INDEX(offices!$I$2:$I$61,MATCH($B79,offices!$A$2:$A$61,0))),""))</f>
        <v/>
      </c>
      <c r="Z79" s="25">
        <f>IF($A79="","",COUNTIFS(approvals!$H$2:$H$251,$A79,approvals!$B$2:$B$251,$B79,approvals!$P$2:$P$251,"Y"))</f>
        <v/>
      </c>
      <c r="AA79" s="25">
        <f>IF($A79="","",SUMIFS(approvals!$S$2:$S$251,approvals!$H$2:$H$251,$A79,approvals!$B$2:$B$251,$B79,approvals!$P$2:$P$251,"Y"))</f>
        <v/>
      </c>
      <c r="AB79" s="25">
        <f>IF(OR($A79="",$P79=""),"",IF(COUNTIFS(stops!$B$2:$B$151,$B79,stops!$P$2:$P$151,"&lt;"&amp;$P79,stops!$L$2:$L$151,"&lt;&gt;not_delivered")=0,"Y","N"))</f>
        <v/>
      </c>
      <c r="AC79" s="25">
        <f>IF(OR($I79="",$J79=""),"",ROUND(($J79-$I79)*1440,0))</f>
        <v/>
      </c>
      <c r="AD79" s="25">
        <f>IF($A79="","",IF(COUNTIFS(stops!$A$2:$A$151,$A79,stops!$B$2:$B$151,$B79)&gt;1,"DUPLICATE stop; ","")&amp;IF(AND(OR(IFERROR(IF(INDEX(offices!$Z$2:$Z$61,MATCH($B79,offices!$A$2:$A$61,0))="","",INDEX(offices!$Z$2:$Z$61,MATCH($B79,offices!$A$2:$A$61,0))),"")="yes",IFERROR(IF(INDEX(offices!$Z$2:$Z$61,MATCH($B79,offices!$A$2:$A$61,0))="","",INDEX(offices!$Z$2:$Z$61,MATCH($B79,offices!$A$2:$A$61,0))),"")="unsure"),$Y79&lt;&gt;"received",$Y79&lt;&gt;"not_needed"),"building certificate not received; ","")&amp;IF($W79="","owner phone missing; ","")&amp;IF(N($Z79)=0,"no approved brand for this stop; ","")&amp;IF(AND($P79&lt;&gt;"",IF(config!$B$37&lt;&gt;"",config!$B$37,TODAY())&gt;$P79,$L79=""),"log the outcome; ","")&amp;IF(AND(OR($L79="declined",$L79="building_refused",$L79="not_delivered"),N($Z79)&gt;0,COUNTIFS(approvals!$H$2:$H$251,$A79,approvals!$B$2:$B$251,$B79,approvals!$P$2:$P$251,"Y",approvals!$U$2:$U$251,"&gt;0")&gt;=N($Z79)),"outcome says "&amp;$L79&amp;" but every brand here is logged delivered: fix the outcome, or delete the wrong delivered rows (SOP section 4); ","")&amp;IF(AND(OR($L79="declined",$L79="building_refused",$L79="not_delivered"),COUNTIFS(approvals!$H$2:$H$251,$A79,approvals!$B$2:$B$251,$B79,approvals!$P$2:$P$251,"Y",approvals!$U$2:$U$251,"&gt;0")&gt;0,COUNTIFS(approvals!$H$2:$H$251,$A79,approvals!$B$2:$B$251,$B79,approvals!$P$2:$P$251,"Y",approvals!$U$2:$U$251,"&gt;0")&lt;N($Z79)),"info: "&amp;(N($Z79)-COUNTIFS(approvals!$H$2:$H$251,$A79,approvals!$B$2:$B$251,$B79,approvals!$P$2:$P$251,"Y",approvals!$U$2:$U$251,"&gt;0"))&amp;" brand(s) turned away at the door, the rest delivered; ","")&amp;IF(AND($AB79="Y",IFERROR(IF(INDEX(drops!$C$2:$C$21,MATCH($A79,drops!$A$2:$A$21,0))="","",INDEX(drops!$C$2:$C$21,MATCH($A79,drops!$A$2:$A$21,0))),"")="direct-ship"),"info: first drop: visit in person on T; ","")&amp;IF(AND($U79="front desk",$X79&lt;&gt;"Y"),"info: front desk not agreed: the owner must take it; ",""))</f>
        <v/>
      </c>
    </row>
    <row r="80">
      <c r="D80" s="33" t="n"/>
      <c r="E80" s="9" t="n"/>
      <c r="F80" s="9" t="n"/>
      <c r="G80" s="9" t="n"/>
      <c r="I80" s="33" t="n"/>
      <c r="J80" s="33" t="n"/>
      <c r="N80" s="9" t="n"/>
      <c r="P80" s="26">
        <f>IF($A80="","",IF(IFERROR(IF(INDEX(drops!$I$2:$I$21,MATCH($A80,drops!$A$2:$A$21,0))="","",INDEX(drops!$I$2:$I$21,MATCH($A80,drops!$A$2:$A$21,0))),"")="OK",IFERROR(IF(INDEX(drops!$B$2:$B$21,MATCH($A80,drops!$A$2:$A$21,0))="","",INDEX(drops!$B$2:$B$21,MATCH($A80,drops!$A$2:$A$21,0))),""),""))</f>
        <v/>
      </c>
      <c r="Q80" s="25">
        <f>IF($B80="","",IFERROR(IF(INDEX(offices!$N$2:$N$61,MATCH($B80,offices!$A$2:$A$61,0))="","",INDEX(offices!$N$2:$N$61,MATCH($B80,offices!$A$2:$A$61,0))),""))</f>
        <v/>
      </c>
      <c r="R80" s="25">
        <f>IF($B80="","",IFERROR(IF(INDEX(offices!$O$2:$O$61,MATCH($B80,offices!$A$2:$A$61,0))="","",INDEX(offices!$O$2:$O$61,MATCH($B80,offices!$A$2:$A$61,0))),""))</f>
        <v/>
      </c>
      <c r="S80" s="25">
        <f>IF($B80="","",IFERROR(IF(INDEX(offices!$P$2:$P$61,MATCH($B80,offices!$A$2:$A$61,0))="","",INDEX(offices!$P$2:$P$61,MATCH($B80,offices!$A$2:$A$61,0))),""))</f>
        <v/>
      </c>
      <c r="T80" s="25">
        <f>IF($B80="","",IFERROR(IF(INDEX(offices!$Y$2:$Y$61,MATCH($B80,offices!$A$2:$A$61,0))="","",INDEX(offices!$Y$2:$Y$61,MATCH($B80,offices!$A$2:$A$61,0))),""))</f>
        <v/>
      </c>
      <c r="U80" s="25">
        <f>IF($B80="","",IFERROR(IF(INDEX(offices!$X$2:$X$61,MATCH($B80,offices!$A$2:$A$61,0))="","",INDEX(offices!$X$2:$X$61,MATCH($B80,offices!$A$2:$A$61,0))),""))</f>
        <v/>
      </c>
      <c r="V80" s="25">
        <f>IF($B80="","",IFERROR(IF(INDEX(offices!$U$2:$U$61,MATCH($B80,offices!$A$2:$A$61,0))="","",INDEX(offices!$U$2:$U$61,MATCH($B80,offices!$A$2:$A$61,0))),""))</f>
        <v/>
      </c>
      <c r="W80" s="25">
        <f>IF($B80="","",IFERROR(IF(INDEX(offices!$AI$2:$AI$61,MATCH($B80,offices!$A$2:$A$61,0))="","",INDEX(offices!$AI$2:$AI$61,MATCH($B80,offices!$A$2:$A$61,0))),""))</f>
        <v/>
      </c>
      <c r="X80" s="25">
        <f>IF($B80="","",IFERROR(IF(INDEX(offices!$G$2:$G$61,MATCH($B80,offices!$A$2:$A$61,0))="","",INDEX(offices!$G$2:$G$61,MATCH($B80,offices!$A$2:$A$61,0))),""))</f>
        <v/>
      </c>
      <c r="Y80" s="25">
        <f>IF($B80="","",IFERROR(IF(INDEX(offices!$I$2:$I$61,MATCH($B80,offices!$A$2:$A$61,0))="","",INDEX(offices!$I$2:$I$61,MATCH($B80,offices!$A$2:$A$61,0))),""))</f>
        <v/>
      </c>
      <c r="Z80" s="25">
        <f>IF($A80="","",COUNTIFS(approvals!$H$2:$H$251,$A80,approvals!$B$2:$B$251,$B80,approvals!$P$2:$P$251,"Y"))</f>
        <v/>
      </c>
      <c r="AA80" s="25">
        <f>IF($A80="","",SUMIFS(approvals!$S$2:$S$251,approvals!$H$2:$H$251,$A80,approvals!$B$2:$B$251,$B80,approvals!$P$2:$P$251,"Y"))</f>
        <v/>
      </c>
      <c r="AB80" s="25">
        <f>IF(OR($A80="",$P80=""),"",IF(COUNTIFS(stops!$B$2:$B$151,$B80,stops!$P$2:$P$151,"&lt;"&amp;$P80,stops!$L$2:$L$151,"&lt;&gt;not_delivered")=0,"Y","N"))</f>
        <v/>
      </c>
      <c r="AC80" s="25">
        <f>IF(OR($I80="",$J80=""),"",ROUND(($J80-$I80)*1440,0))</f>
        <v/>
      </c>
      <c r="AD80" s="25">
        <f>IF($A80="","",IF(COUNTIFS(stops!$A$2:$A$151,$A80,stops!$B$2:$B$151,$B80)&gt;1,"DUPLICATE stop; ","")&amp;IF(AND(OR(IFERROR(IF(INDEX(offices!$Z$2:$Z$61,MATCH($B80,offices!$A$2:$A$61,0))="","",INDEX(offices!$Z$2:$Z$61,MATCH($B80,offices!$A$2:$A$61,0))),"")="yes",IFERROR(IF(INDEX(offices!$Z$2:$Z$61,MATCH($B80,offices!$A$2:$A$61,0))="","",INDEX(offices!$Z$2:$Z$61,MATCH($B80,offices!$A$2:$A$61,0))),"")="unsure"),$Y80&lt;&gt;"received",$Y80&lt;&gt;"not_needed"),"building certificate not received; ","")&amp;IF($W80="","owner phone missing; ","")&amp;IF(N($Z80)=0,"no approved brand for this stop; ","")&amp;IF(AND($P80&lt;&gt;"",IF(config!$B$37&lt;&gt;"",config!$B$37,TODAY())&gt;$P80,$L80=""),"log the outcome; ","")&amp;IF(AND(OR($L80="declined",$L80="building_refused",$L80="not_delivered"),N($Z80)&gt;0,COUNTIFS(approvals!$H$2:$H$251,$A80,approvals!$B$2:$B$251,$B80,approvals!$P$2:$P$251,"Y",approvals!$U$2:$U$251,"&gt;0")&gt;=N($Z80)),"outcome says "&amp;$L80&amp;" but every brand here is logged delivered: fix the outcome, or delete the wrong delivered rows (SOP section 4); ","")&amp;IF(AND(OR($L80="declined",$L80="building_refused",$L80="not_delivered"),COUNTIFS(approvals!$H$2:$H$251,$A80,approvals!$B$2:$B$251,$B80,approvals!$P$2:$P$251,"Y",approvals!$U$2:$U$251,"&gt;0")&gt;0,COUNTIFS(approvals!$H$2:$H$251,$A80,approvals!$B$2:$B$251,$B80,approvals!$P$2:$P$251,"Y",approvals!$U$2:$U$251,"&gt;0")&lt;N($Z80)),"info: "&amp;(N($Z80)-COUNTIFS(approvals!$H$2:$H$251,$A80,approvals!$B$2:$B$251,$B80,approvals!$P$2:$P$251,"Y",approvals!$U$2:$U$251,"&gt;0"))&amp;" brand(s) turned away at the door, the rest delivered; ","")&amp;IF(AND($AB80="Y",IFERROR(IF(INDEX(drops!$C$2:$C$21,MATCH($A80,drops!$A$2:$A$21,0))="","",INDEX(drops!$C$2:$C$21,MATCH($A80,drops!$A$2:$A$21,0))),"")="direct-ship"),"info: first drop: visit in person on T; ","")&amp;IF(AND($U80="front desk",$X80&lt;&gt;"Y"),"info: front desk not agreed: the owner must take it; ",""))</f>
        <v/>
      </c>
    </row>
    <row r="81">
      <c r="D81" s="33" t="n"/>
      <c r="E81" s="9" t="n"/>
      <c r="F81" s="9" t="n"/>
      <c r="G81" s="9" t="n"/>
      <c r="I81" s="33" t="n"/>
      <c r="J81" s="33" t="n"/>
      <c r="N81" s="9" t="n"/>
      <c r="P81" s="26">
        <f>IF($A81="","",IF(IFERROR(IF(INDEX(drops!$I$2:$I$21,MATCH($A81,drops!$A$2:$A$21,0))="","",INDEX(drops!$I$2:$I$21,MATCH($A81,drops!$A$2:$A$21,0))),"")="OK",IFERROR(IF(INDEX(drops!$B$2:$B$21,MATCH($A81,drops!$A$2:$A$21,0))="","",INDEX(drops!$B$2:$B$21,MATCH($A81,drops!$A$2:$A$21,0))),""),""))</f>
        <v/>
      </c>
      <c r="Q81" s="25">
        <f>IF($B81="","",IFERROR(IF(INDEX(offices!$N$2:$N$61,MATCH($B81,offices!$A$2:$A$61,0))="","",INDEX(offices!$N$2:$N$61,MATCH($B81,offices!$A$2:$A$61,0))),""))</f>
        <v/>
      </c>
      <c r="R81" s="25">
        <f>IF($B81="","",IFERROR(IF(INDEX(offices!$O$2:$O$61,MATCH($B81,offices!$A$2:$A$61,0))="","",INDEX(offices!$O$2:$O$61,MATCH($B81,offices!$A$2:$A$61,0))),""))</f>
        <v/>
      </c>
      <c r="S81" s="25">
        <f>IF($B81="","",IFERROR(IF(INDEX(offices!$P$2:$P$61,MATCH($B81,offices!$A$2:$A$61,0))="","",INDEX(offices!$P$2:$P$61,MATCH($B81,offices!$A$2:$A$61,0))),""))</f>
        <v/>
      </c>
      <c r="T81" s="25">
        <f>IF($B81="","",IFERROR(IF(INDEX(offices!$Y$2:$Y$61,MATCH($B81,offices!$A$2:$A$61,0))="","",INDEX(offices!$Y$2:$Y$61,MATCH($B81,offices!$A$2:$A$61,0))),""))</f>
        <v/>
      </c>
      <c r="U81" s="25">
        <f>IF($B81="","",IFERROR(IF(INDEX(offices!$X$2:$X$61,MATCH($B81,offices!$A$2:$A$61,0))="","",INDEX(offices!$X$2:$X$61,MATCH($B81,offices!$A$2:$A$61,0))),""))</f>
        <v/>
      </c>
      <c r="V81" s="25">
        <f>IF($B81="","",IFERROR(IF(INDEX(offices!$U$2:$U$61,MATCH($B81,offices!$A$2:$A$61,0))="","",INDEX(offices!$U$2:$U$61,MATCH($B81,offices!$A$2:$A$61,0))),""))</f>
        <v/>
      </c>
      <c r="W81" s="25">
        <f>IF($B81="","",IFERROR(IF(INDEX(offices!$AI$2:$AI$61,MATCH($B81,offices!$A$2:$A$61,0))="","",INDEX(offices!$AI$2:$AI$61,MATCH($B81,offices!$A$2:$A$61,0))),""))</f>
        <v/>
      </c>
      <c r="X81" s="25">
        <f>IF($B81="","",IFERROR(IF(INDEX(offices!$G$2:$G$61,MATCH($B81,offices!$A$2:$A$61,0))="","",INDEX(offices!$G$2:$G$61,MATCH($B81,offices!$A$2:$A$61,0))),""))</f>
        <v/>
      </c>
      <c r="Y81" s="25">
        <f>IF($B81="","",IFERROR(IF(INDEX(offices!$I$2:$I$61,MATCH($B81,offices!$A$2:$A$61,0))="","",INDEX(offices!$I$2:$I$61,MATCH($B81,offices!$A$2:$A$61,0))),""))</f>
        <v/>
      </c>
      <c r="Z81" s="25">
        <f>IF($A81="","",COUNTIFS(approvals!$H$2:$H$251,$A81,approvals!$B$2:$B$251,$B81,approvals!$P$2:$P$251,"Y"))</f>
        <v/>
      </c>
      <c r="AA81" s="25">
        <f>IF($A81="","",SUMIFS(approvals!$S$2:$S$251,approvals!$H$2:$H$251,$A81,approvals!$B$2:$B$251,$B81,approvals!$P$2:$P$251,"Y"))</f>
        <v/>
      </c>
      <c r="AB81" s="25">
        <f>IF(OR($A81="",$P81=""),"",IF(COUNTIFS(stops!$B$2:$B$151,$B81,stops!$P$2:$P$151,"&lt;"&amp;$P81,stops!$L$2:$L$151,"&lt;&gt;not_delivered")=0,"Y","N"))</f>
        <v/>
      </c>
      <c r="AC81" s="25">
        <f>IF(OR($I81="",$J81=""),"",ROUND(($J81-$I81)*1440,0))</f>
        <v/>
      </c>
      <c r="AD81" s="25">
        <f>IF($A81="","",IF(COUNTIFS(stops!$A$2:$A$151,$A81,stops!$B$2:$B$151,$B81)&gt;1,"DUPLICATE stop; ","")&amp;IF(AND(OR(IFERROR(IF(INDEX(offices!$Z$2:$Z$61,MATCH($B81,offices!$A$2:$A$61,0))="","",INDEX(offices!$Z$2:$Z$61,MATCH($B81,offices!$A$2:$A$61,0))),"")="yes",IFERROR(IF(INDEX(offices!$Z$2:$Z$61,MATCH($B81,offices!$A$2:$A$61,0))="","",INDEX(offices!$Z$2:$Z$61,MATCH($B81,offices!$A$2:$A$61,0))),"")="unsure"),$Y81&lt;&gt;"received",$Y81&lt;&gt;"not_needed"),"building certificate not received; ","")&amp;IF($W81="","owner phone missing; ","")&amp;IF(N($Z81)=0,"no approved brand for this stop; ","")&amp;IF(AND($P81&lt;&gt;"",IF(config!$B$37&lt;&gt;"",config!$B$37,TODAY())&gt;$P81,$L81=""),"log the outcome; ","")&amp;IF(AND(OR($L81="declined",$L81="building_refused",$L81="not_delivered"),N($Z81)&gt;0,COUNTIFS(approvals!$H$2:$H$251,$A81,approvals!$B$2:$B$251,$B81,approvals!$P$2:$P$251,"Y",approvals!$U$2:$U$251,"&gt;0")&gt;=N($Z81)),"outcome says "&amp;$L81&amp;" but every brand here is logged delivered: fix the outcome, or delete the wrong delivered rows (SOP section 4); ","")&amp;IF(AND(OR($L81="declined",$L81="building_refused",$L81="not_delivered"),COUNTIFS(approvals!$H$2:$H$251,$A81,approvals!$B$2:$B$251,$B81,approvals!$P$2:$P$251,"Y",approvals!$U$2:$U$251,"&gt;0")&gt;0,COUNTIFS(approvals!$H$2:$H$251,$A81,approvals!$B$2:$B$251,$B81,approvals!$P$2:$P$251,"Y",approvals!$U$2:$U$251,"&gt;0")&lt;N($Z81)),"info: "&amp;(N($Z81)-COUNTIFS(approvals!$H$2:$H$251,$A81,approvals!$B$2:$B$251,$B81,approvals!$P$2:$P$251,"Y",approvals!$U$2:$U$251,"&gt;0"))&amp;" brand(s) turned away at the door, the rest delivered; ","")&amp;IF(AND($AB81="Y",IFERROR(IF(INDEX(drops!$C$2:$C$21,MATCH($A81,drops!$A$2:$A$21,0))="","",INDEX(drops!$C$2:$C$21,MATCH($A81,drops!$A$2:$A$21,0))),"")="direct-ship"),"info: first drop: visit in person on T; ","")&amp;IF(AND($U81="front desk",$X81&lt;&gt;"Y"),"info: front desk not agreed: the owner must take it; ",""))</f>
        <v/>
      </c>
    </row>
    <row r="82">
      <c r="D82" s="33" t="n"/>
      <c r="E82" s="9" t="n"/>
      <c r="F82" s="9" t="n"/>
      <c r="G82" s="9" t="n"/>
      <c r="I82" s="33" t="n"/>
      <c r="J82" s="33" t="n"/>
      <c r="N82" s="9" t="n"/>
      <c r="P82" s="26">
        <f>IF($A82="","",IF(IFERROR(IF(INDEX(drops!$I$2:$I$21,MATCH($A82,drops!$A$2:$A$21,0))="","",INDEX(drops!$I$2:$I$21,MATCH($A82,drops!$A$2:$A$21,0))),"")="OK",IFERROR(IF(INDEX(drops!$B$2:$B$21,MATCH($A82,drops!$A$2:$A$21,0))="","",INDEX(drops!$B$2:$B$21,MATCH($A82,drops!$A$2:$A$21,0))),""),""))</f>
        <v/>
      </c>
      <c r="Q82" s="25">
        <f>IF($B82="","",IFERROR(IF(INDEX(offices!$N$2:$N$61,MATCH($B82,offices!$A$2:$A$61,0))="","",INDEX(offices!$N$2:$N$61,MATCH($B82,offices!$A$2:$A$61,0))),""))</f>
        <v/>
      </c>
      <c r="R82" s="25">
        <f>IF($B82="","",IFERROR(IF(INDEX(offices!$O$2:$O$61,MATCH($B82,offices!$A$2:$A$61,0))="","",INDEX(offices!$O$2:$O$61,MATCH($B82,offices!$A$2:$A$61,0))),""))</f>
        <v/>
      </c>
      <c r="S82" s="25">
        <f>IF($B82="","",IFERROR(IF(INDEX(offices!$P$2:$P$61,MATCH($B82,offices!$A$2:$A$61,0))="","",INDEX(offices!$P$2:$P$61,MATCH($B82,offices!$A$2:$A$61,0))),""))</f>
        <v/>
      </c>
      <c r="T82" s="25">
        <f>IF($B82="","",IFERROR(IF(INDEX(offices!$Y$2:$Y$61,MATCH($B82,offices!$A$2:$A$61,0))="","",INDEX(offices!$Y$2:$Y$61,MATCH($B82,offices!$A$2:$A$61,0))),""))</f>
        <v/>
      </c>
      <c r="U82" s="25">
        <f>IF($B82="","",IFERROR(IF(INDEX(offices!$X$2:$X$61,MATCH($B82,offices!$A$2:$A$61,0))="","",INDEX(offices!$X$2:$X$61,MATCH($B82,offices!$A$2:$A$61,0))),""))</f>
        <v/>
      </c>
      <c r="V82" s="25">
        <f>IF($B82="","",IFERROR(IF(INDEX(offices!$U$2:$U$61,MATCH($B82,offices!$A$2:$A$61,0))="","",INDEX(offices!$U$2:$U$61,MATCH($B82,offices!$A$2:$A$61,0))),""))</f>
        <v/>
      </c>
      <c r="W82" s="25">
        <f>IF($B82="","",IFERROR(IF(INDEX(offices!$AI$2:$AI$61,MATCH($B82,offices!$A$2:$A$61,0))="","",INDEX(offices!$AI$2:$AI$61,MATCH($B82,offices!$A$2:$A$61,0))),""))</f>
        <v/>
      </c>
      <c r="X82" s="25">
        <f>IF($B82="","",IFERROR(IF(INDEX(offices!$G$2:$G$61,MATCH($B82,offices!$A$2:$A$61,0))="","",INDEX(offices!$G$2:$G$61,MATCH($B82,offices!$A$2:$A$61,0))),""))</f>
        <v/>
      </c>
      <c r="Y82" s="25">
        <f>IF($B82="","",IFERROR(IF(INDEX(offices!$I$2:$I$61,MATCH($B82,offices!$A$2:$A$61,0))="","",INDEX(offices!$I$2:$I$61,MATCH($B82,offices!$A$2:$A$61,0))),""))</f>
        <v/>
      </c>
      <c r="Z82" s="25">
        <f>IF($A82="","",COUNTIFS(approvals!$H$2:$H$251,$A82,approvals!$B$2:$B$251,$B82,approvals!$P$2:$P$251,"Y"))</f>
        <v/>
      </c>
      <c r="AA82" s="25">
        <f>IF($A82="","",SUMIFS(approvals!$S$2:$S$251,approvals!$H$2:$H$251,$A82,approvals!$B$2:$B$251,$B82,approvals!$P$2:$P$251,"Y"))</f>
        <v/>
      </c>
      <c r="AB82" s="25">
        <f>IF(OR($A82="",$P82=""),"",IF(COUNTIFS(stops!$B$2:$B$151,$B82,stops!$P$2:$P$151,"&lt;"&amp;$P82,stops!$L$2:$L$151,"&lt;&gt;not_delivered")=0,"Y","N"))</f>
        <v/>
      </c>
      <c r="AC82" s="25">
        <f>IF(OR($I82="",$J82=""),"",ROUND(($J82-$I82)*1440,0))</f>
        <v/>
      </c>
      <c r="AD82" s="25">
        <f>IF($A82="","",IF(COUNTIFS(stops!$A$2:$A$151,$A82,stops!$B$2:$B$151,$B82)&gt;1,"DUPLICATE stop; ","")&amp;IF(AND(OR(IFERROR(IF(INDEX(offices!$Z$2:$Z$61,MATCH($B82,offices!$A$2:$A$61,0))="","",INDEX(offices!$Z$2:$Z$61,MATCH($B82,offices!$A$2:$A$61,0))),"")="yes",IFERROR(IF(INDEX(offices!$Z$2:$Z$61,MATCH($B82,offices!$A$2:$A$61,0))="","",INDEX(offices!$Z$2:$Z$61,MATCH($B82,offices!$A$2:$A$61,0))),"")="unsure"),$Y82&lt;&gt;"received",$Y82&lt;&gt;"not_needed"),"building certificate not received; ","")&amp;IF($W82="","owner phone missing; ","")&amp;IF(N($Z82)=0,"no approved brand for this stop; ","")&amp;IF(AND($P82&lt;&gt;"",IF(config!$B$37&lt;&gt;"",config!$B$37,TODAY())&gt;$P82,$L82=""),"log the outcome; ","")&amp;IF(AND(OR($L82="declined",$L82="building_refused",$L82="not_delivered"),N($Z82)&gt;0,COUNTIFS(approvals!$H$2:$H$251,$A82,approvals!$B$2:$B$251,$B82,approvals!$P$2:$P$251,"Y",approvals!$U$2:$U$251,"&gt;0")&gt;=N($Z82)),"outcome says "&amp;$L82&amp;" but every brand here is logged delivered: fix the outcome, or delete the wrong delivered rows (SOP section 4); ","")&amp;IF(AND(OR($L82="declined",$L82="building_refused",$L82="not_delivered"),COUNTIFS(approvals!$H$2:$H$251,$A82,approvals!$B$2:$B$251,$B82,approvals!$P$2:$P$251,"Y",approvals!$U$2:$U$251,"&gt;0")&gt;0,COUNTIFS(approvals!$H$2:$H$251,$A82,approvals!$B$2:$B$251,$B82,approvals!$P$2:$P$251,"Y",approvals!$U$2:$U$251,"&gt;0")&lt;N($Z82)),"info: "&amp;(N($Z82)-COUNTIFS(approvals!$H$2:$H$251,$A82,approvals!$B$2:$B$251,$B82,approvals!$P$2:$P$251,"Y",approvals!$U$2:$U$251,"&gt;0"))&amp;" brand(s) turned away at the door, the rest delivered; ","")&amp;IF(AND($AB82="Y",IFERROR(IF(INDEX(drops!$C$2:$C$21,MATCH($A82,drops!$A$2:$A$21,0))="","",INDEX(drops!$C$2:$C$21,MATCH($A82,drops!$A$2:$A$21,0))),"")="direct-ship"),"info: first drop: visit in person on T; ","")&amp;IF(AND($U82="front desk",$X82&lt;&gt;"Y"),"info: front desk not agreed: the owner must take it; ",""))</f>
        <v/>
      </c>
    </row>
    <row r="83">
      <c r="D83" s="33" t="n"/>
      <c r="E83" s="9" t="n"/>
      <c r="F83" s="9" t="n"/>
      <c r="G83" s="9" t="n"/>
      <c r="I83" s="33" t="n"/>
      <c r="J83" s="33" t="n"/>
      <c r="N83" s="9" t="n"/>
      <c r="P83" s="26">
        <f>IF($A83="","",IF(IFERROR(IF(INDEX(drops!$I$2:$I$21,MATCH($A83,drops!$A$2:$A$21,0))="","",INDEX(drops!$I$2:$I$21,MATCH($A83,drops!$A$2:$A$21,0))),"")="OK",IFERROR(IF(INDEX(drops!$B$2:$B$21,MATCH($A83,drops!$A$2:$A$21,0))="","",INDEX(drops!$B$2:$B$21,MATCH($A83,drops!$A$2:$A$21,0))),""),""))</f>
        <v/>
      </c>
      <c r="Q83" s="25">
        <f>IF($B83="","",IFERROR(IF(INDEX(offices!$N$2:$N$61,MATCH($B83,offices!$A$2:$A$61,0))="","",INDEX(offices!$N$2:$N$61,MATCH($B83,offices!$A$2:$A$61,0))),""))</f>
        <v/>
      </c>
      <c r="R83" s="25">
        <f>IF($B83="","",IFERROR(IF(INDEX(offices!$O$2:$O$61,MATCH($B83,offices!$A$2:$A$61,0))="","",INDEX(offices!$O$2:$O$61,MATCH($B83,offices!$A$2:$A$61,0))),""))</f>
        <v/>
      </c>
      <c r="S83" s="25">
        <f>IF($B83="","",IFERROR(IF(INDEX(offices!$P$2:$P$61,MATCH($B83,offices!$A$2:$A$61,0))="","",INDEX(offices!$P$2:$P$61,MATCH($B83,offices!$A$2:$A$61,0))),""))</f>
        <v/>
      </c>
      <c r="T83" s="25">
        <f>IF($B83="","",IFERROR(IF(INDEX(offices!$Y$2:$Y$61,MATCH($B83,offices!$A$2:$A$61,0))="","",INDEX(offices!$Y$2:$Y$61,MATCH($B83,offices!$A$2:$A$61,0))),""))</f>
        <v/>
      </c>
      <c r="U83" s="25">
        <f>IF($B83="","",IFERROR(IF(INDEX(offices!$X$2:$X$61,MATCH($B83,offices!$A$2:$A$61,0))="","",INDEX(offices!$X$2:$X$61,MATCH($B83,offices!$A$2:$A$61,0))),""))</f>
        <v/>
      </c>
      <c r="V83" s="25">
        <f>IF($B83="","",IFERROR(IF(INDEX(offices!$U$2:$U$61,MATCH($B83,offices!$A$2:$A$61,0))="","",INDEX(offices!$U$2:$U$61,MATCH($B83,offices!$A$2:$A$61,0))),""))</f>
        <v/>
      </c>
      <c r="W83" s="25">
        <f>IF($B83="","",IFERROR(IF(INDEX(offices!$AI$2:$AI$61,MATCH($B83,offices!$A$2:$A$61,0))="","",INDEX(offices!$AI$2:$AI$61,MATCH($B83,offices!$A$2:$A$61,0))),""))</f>
        <v/>
      </c>
      <c r="X83" s="25">
        <f>IF($B83="","",IFERROR(IF(INDEX(offices!$G$2:$G$61,MATCH($B83,offices!$A$2:$A$61,0))="","",INDEX(offices!$G$2:$G$61,MATCH($B83,offices!$A$2:$A$61,0))),""))</f>
        <v/>
      </c>
      <c r="Y83" s="25">
        <f>IF($B83="","",IFERROR(IF(INDEX(offices!$I$2:$I$61,MATCH($B83,offices!$A$2:$A$61,0))="","",INDEX(offices!$I$2:$I$61,MATCH($B83,offices!$A$2:$A$61,0))),""))</f>
        <v/>
      </c>
      <c r="Z83" s="25">
        <f>IF($A83="","",COUNTIFS(approvals!$H$2:$H$251,$A83,approvals!$B$2:$B$251,$B83,approvals!$P$2:$P$251,"Y"))</f>
        <v/>
      </c>
      <c r="AA83" s="25">
        <f>IF($A83="","",SUMIFS(approvals!$S$2:$S$251,approvals!$H$2:$H$251,$A83,approvals!$B$2:$B$251,$B83,approvals!$P$2:$P$251,"Y"))</f>
        <v/>
      </c>
      <c r="AB83" s="25">
        <f>IF(OR($A83="",$P83=""),"",IF(COUNTIFS(stops!$B$2:$B$151,$B83,stops!$P$2:$P$151,"&lt;"&amp;$P83,stops!$L$2:$L$151,"&lt;&gt;not_delivered")=0,"Y","N"))</f>
        <v/>
      </c>
      <c r="AC83" s="25">
        <f>IF(OR($I83="",$J83=""),"",ROUND(($J83-$I83)*1440,0))</f>
        <v/>
      </c>
      <c r="AD83" s="25">
        <f>IF($A83="","",IF(COUNTIFS(stops!$A$2:$A$151,$A83,stops!$B$2:$B$151,$B83)&gt;1,"DUPLICATE stop; ","")&amp;IF(AND(OR(IFERROR(IF(INDEX(offices!$Z$2:$Z$61,MATCH($B83,offices!$A$2:$A$61,0))="","",INDEX(offices!$Z$2:$Z$61,MATCH($B83,offices!$A$2:$A$61,0))),"")="yes",IFERROR(IF(INDEX(offices!$Z$2:$Z$61,MATCH($B83,offices!$A$2:$A$61,0))="","",INDEX(offices!$Z$2:$Z$61,MATCH($B83,offices!$A$2:$A$61,0))),"")="unsure"),$Y83&lt;&gt;"received",$Y83&lt;&gt;"not_needed"),"building certificate not received; ","")&amp;IF($W83="","owner phone missing; ","")&amp;IF(N($Z83)=0,"no approved brand for this stop; ","")&amp;IF(AND($P83&lt;&gt;"",IF(config!$B$37&lt;&gt;"",config!$B$37,TODAY())&gt;$P83,$L83=""),"log the outcome; ","")&amp;IF(AND(OR($L83="declined",$L83="building_refused",$L83="not_delivered"),N($Z83)&gt;0,COUNTIFS(approvals!$H$2:$H$251,$A83,approvals!$B$2:$B$251,$B83,approvals!$P$2:$P$251,"Y",approvals!$U$2:$U$251,"&gt;0")&gt;=N($Z83)),"outcome says "&amp;$L83&amp;" but every brand here is logged delivered: fix the outcome, or delete the wrong delivered rows (SOP section 4); ","")&amp;IF(AND(OR($L83="declined",$L83="building_refused",$L83="not_delivered"),COUNTIFS(approvals!$H$2:$H$251,$A83,approvals!$B$2:$B$251,$B83,approvals!$P$2:$P$251,"Y",approvals!$U$2:$U$251,"&gt;0")&gt;0,COUNTIFS(approvals!$H$2:$H$251,$A83,approvals!$B$2:$B$251,$B83,approvals!$P$2:$P$251,"Y",approvals!$U$2:$U$251,"&gt;0")&lt;N($Z83)),"info: "&amp;(N($Z83)-COUNTIFS(approvals!$H$2:$H$251,$A83,approvals!$B$2:$B$251,$B83,approvals!$P$2:$P$251,"Y",approvals!$U$2:$U$251,"&gt;0"))&amp;" brand(s) turned away at the door, the rest delivered; ","")&amp;IF(AND($AB83="Y",IFERROR(IF(INDEX(drops!$C$2:$C$21,MATCH($A83,drops!$A$2:$A$21,0))="","",INDEX(drops!$C$2:$C$21,MATCH($A83,drops!$A$2:$A$21,0))),"")="direct-ship"),"info: first drop: visit in person on T; ","")&amp;IF(AND($U83="front desk",$X83&lt;&gt;"Y"),"info: front desk not agreed: the owner must take it; ",""))</f>
        <v/>
      </c>
    </row>
    <row r="84">
      <c r="D84" s="33" t="n"/>
      <c r="E84" s="9" t="n"/>
      <c r="F84" s="9" t="n"/>
      <c r="G84" s="9" t="n"/>
      <c r="I84" s="33" t="n"/>
      <c r="J84" s="33" t="n"/>
      <c r="N84" s="9" t="n"/>
      <c r="P84" s="26">
        <f>IF($A84="","",IF(IFERROR(IF(INDEX(drops!$I$2:$I$21,MATCH($A84,drops!$A$2:$A$21,0))="","",INDEX(drops!$I$2:$I$21,MATCH($A84,drops!$A$2:$A$21,0))),"")="OK",IFERROR(IF(INDEX(drops!$B$2:$B$21,MATCH($A84,drops!$A$2:$A$21,0))="","",INDEX(drops!$B$2:$B$21,MATCH($A84,drops!$A$2:$A$21,0))),""),""))</f>
        <v/>
      </c>
      <c r="Q84" s="25">
        <f>IF($B84="","",IFERROR(IF(INDEX(offices!$N$2:$N$61,MATCH($B84,offices!$A$2:$A$61,0))="","",INDEX(offices!$N$2:$N$61,MATCH($B84,offices!$A$2:$A$61,0))),""))</f>
        <v/>
      </c>
      <c r="R84" s="25">
        <f>IF($B84="","",IFERROR(IF(INDEX(offices!$O$2:$O$61,MATCH($B84,offices!$A$2:$A$61,0))="","",INDEX(offices!$O$2:$O$61,MATCH($B84,offices!$A$2:$A$61,0))),""))</f>
        <v/>
      </c>
      <c r="S84" s="25">
        <f>IF($B84="","",IFERROR(IF(INDEX(offices!$P$2:$P$61,MATCH($B84,offices!$A$2:$A$61,0))="","",INDEX(offices!$P$2:$P$61,MATCH($B84,offices!$A$2:$A$61,0))),""))</f>
        <v/>
      </c>
      <c r="T84" s="25">
        <f>IF($B84="","",IFERROR(IF(INDEX(offices!$Y$2:$Y$61,MATCH($B84,offices!$A$2:$A$61,0))="","",INDEX(offices!$Y$2:$Y$61,MATCH($B84,offices!$A$2:$A$61,0))),""))</f>
        <v/>
      </c>
      <c r="U84" s="25">
        <f>IF($B84="","",IFERROR(IF(INDEX(offices!$X$2:$X$61,MATCH($B84,offices!$A$2:$A$61,0))="","",INDEX(offices!$X$2:$X$61,MATCH($B84,offices!$A$2:$A$61,0))),""))</f>
        <v/>
      </c>
      <c r="V84" s="25">
        <f>IF($B84="","",IFERROR(IF(INDEX(offices!$U$2:$U$61,MATCH($B84,offices!$A$2:$A$61,0))="","",INDEX(offices!$U$2:$U$61,MATCH($B84,offices!$A$2:$A$61,0))),""))</f>
        <v/>
      </c>
      <c r="W84" s="25">
        <f>IF($B84="","",IFERROR(IF(INDEX(offices!$AI$2:$AI$61,MATCH($B84,offices!$A$2:$A$61,0))="","",INDEX(offices!$AI$2:$AI$61,MATCH($B84,offices!$A$2:$A$61,0))),""))</f>
        <v/>
      </c>
      <c r="X84" s="25">
        <f>IF($B84="","",IFERROR(IF(INDEX(offices!$G$2:$G$61,MATCH($B84,offices!$A$2:$A$61,0))="","",INDEX(offices!$G$2:$G$61,MATCH($B84,offices!$A$2:$A$61,0))),""))</f>
        <v/>
      </c>
      <c r="Y84" s="25">
        <f>IF($B84="","",IFERROR(IF(INDEX(offices!$I$2:$I$61,MATCH($B84,offices!$A$2:$A$61,0))="","",INDEX(offices!$I$2:$I$61,MATCH($B84,offices!$A$2:$A$61,0))),""))</f>
        <v/>
      </c>
      <c r="Z84" s="25">
        <f>IF($A84="","",COUNTIFS(approvals!$H$2:$H$251,$A84,approvals!$B$2:$B$251,$B84,approvals!$P$2:$P$251,"Y"))</f>
        <v/>
      </c>
      <c r="AA84" s="25">
        <f>IF($A84="","",SUMIFS(approvals!$S$2:$S$251,approvals!$H$2:$H$251,$A84,approvals!$B$2:$B$251,$B84,approvals!$P$2:$P$251,"Y"))</f>
        <v/>
      </c>
      <c r="AB84" s="25">
        <f>IF(OR($A84="",$P84=""),"",IF(COUNTIFS(stops!$B$2:$B$151,$B84,stops!$P$2:$P$151,"&lt;"&amp;$P84,stops!$L$2:$L$151,"&lt;&gt;not_delivered")=0,"Y","N"))</f>
        <v/>
      </c>
      <c r="AC84" s="25">
        <f>IF(OR($I84="",$J84=""),"",ROUND(($J84-$I84)*1440,0))</f>
        <v/>
      </c>
      <c r="AD84" s="25">
        <f>IF($A84="","",IF(COUNTIFS(stops!$A$2:$A$151,$A84,stops!$B$2:$B$151,$B84)&gt;1,"DUPLICATE stop; ","")&amp;IF(AND(OR(IFERROR(IF(INDEX(offices!$Z$2:$Z$61,MATCH($B84,offices!$A$2:$A$61,0))="","",INDEX(offices!$Z$2:$Z$61,MATCH($B84,offices!$A$2:$A$61,0))),"")="yes",IFERROR(IF(INDEX(offices!$Z$2:$Z$61,MATCH($B84,offices!$A$2:$A$61,0))="","",INDEX(offices!$Z$2:$Z$61,MATCH($B84,offices!$A$2:$A$61,0))),"")="unsure"),$Y84&lt;&gt;"received",$Y84&lt;&gt;"not_needed"),"building certificate not received; ","")&amp;IF($W84="","owner phone missing; ","")&amp;IF(N($Z84)=0,"no approved brand for this stop; ","")&amp;IF(AND($P84&lt;&gt;"",IF(config!$B$37&lt;&gt;"",config!$B$37,TODAY())&gt;$P84,$L84=""),"log the outcome; ","")&amp;IF(AND(OR($L84="declined",$L84="building_refused",$L84="not_delivered"),N($Z84)&gt;0,COUNTIFS(approvals!$H$2:$H$251,$A84,approvals!$B$2:$B$251,$B84,approvals!$P$2:$P$251,"Y",approvals!$U$2:$U$251,"&gt;0")&gt;=N($Z84)),"outcome says "&amp;$L84&amp;" but every brand here is logged delivered: fix the outcome, or delete the wrong delivered rows (SOP section 4); ","")&amp;IF(AND(OR($L84="declined",$L84="building_refused",$L84="not_delivered"),COUNTIFS(approvals!$H$2:$H$251,$A84,approvals!$B$2:$B$251,$B84,approvals!$P$2:$P$251,"Y",approvals!$U$2:$U$251,"&gt;0")&gt;0,COUNTIFS(approvals!$H$2:$H$251,$A84,approvals!$B$2:$B$251,$B84,approvals!$P$2:$P$251,"Y",approvals!$U$2:$U$251,"&gt;0")&lt;N($Z84)),"info: "&amp;(N($Z84)-COUNTIFS(approvals!$H$2:$H$251,$A84,approvals!$B$2:$B$251,$B84,approvals!$P$2:$P$251,"Y",approvals!$U$2:$U$251,"&gt;0"))&amp;" brand(s) turned away at the door, the rest delivered; ","")&amp;IF(AND($AB84="Y",IFERROR(IF(INDEX(drops!$C$2:$C$21,MATCH($A84,drops!$A$2:$A$21,0))="","",INDEX(drops!$C$2:$C$21,MATCH($A84,drops!$A$2:$A$21,0))),"")="direct-ship"),"info: first drop: visit in person on T; ","")&amp;IF(AND($U84="front desk",$X84&lt;&gt;"Y"),"info: front desk not agreed: the owner must take it; ",""))</f>
        <v/>
      </c>
    </row>
    <row r="85">
      <c r="D85" s="33" t="n"/>
      <c r="E85" s="9" t="n"/>
      <c r="F85" s="9" t="n"/>
      <c r="G85" s="9" t="n"/>
      <c r="I85" s="33" t="n"/>
      <c r="J85" s="33" t="n"/>
      <c r="N85" s="9" t="n"/>
      <c r="P85" s="26">
        <f>IF($A85="","",IF(IFERROR(IF(INDEX(drops!$I$2:$I$21,MATCH($A85,drops!$A$2:$A$21,0))="","",INDEX(drops!$I$2:$I$21,MATCH($A85,drops!$A$2:$A$21,0))),"")="OK",IFERROR(IF(INDEX(drops!$B$2:$B$21,MATCH($A85,drops!$A$2:$A$21,0))="","",INDEX(drops!$B$2:$B$21,MATCH($A85,drops!$A$2:$A$21,0))),""),""))</f>
        <v/>
      </c>
      <c r="Q85" s="25">
        <f>IF($B85="","",IFERROR(IF(INDEX(offices!$N$2:$N$61,MATCH($B85,offices!$A$2:$A$61,0))="","",INDEX(offices!$N$2:$N$61,MATCH($B85,offices!$A$2:$A$61,0))),""))</f>
        <v/>
      </c>
      <c r="R85" s="25">
        <f>IF($B85="","",IFERROR(IF(INDEX(offices!$O$2:$O$61,MATCH($B85,offices!$A$2:$A$61,0))="","",INDEX(offices!$O$2:$O$61,MATCH($B85,offices!$A$2:$A$61,0))),""))</f>
        <v/>
      </c>
      <c r="S85" s="25">
        <f>IF($B85="","",IFERROR(IF(INDEX(offices!$P$2:$P$61,MATCH($B85,offices!$A$2:$A$61,0))="","",INDEX(offices!$P$2:$P$61,MATCH($B85,offices!$A$2:$A$61,0))),""))</f>
        <v/>
      </c>
      <c r="T85" s="25">
        <f>IF($B85="","",IFERROR(IF(INDEX(offices!$Y$2:$Y$61,MATCH($B85,offices!$A$2:$A$61,0))="","",INDEX(offices!$Y$2:$Y$61,MATCH($B85,offices!$A$2:$A$61,0))),""))</f>
        <v/>
      </c>
      <c r="U85" s="25">
        <f>IF($B85="","",IFERROR(IF(INDEX(offices!$X$2:$X$61,MATCH($B85,offices!$A$2:$A$61,0))="","",INDEX(offices!$X$2:$X$61,MATCH($B85,offices!$A$2:$A$61,0))),""))</f>
        <v/>
      </c>
      <c r="V85" s="25">
        <f>IF($B85="","",IFERROR(IF(INDEX(offices!$U$2:$U$61,MATCH($B85,offices!$A$2:$A$61,0))="","",INDEX(offices!$U$2:$U$61,MATCH($B85,offices!$A$2:$A$61,0))),""))</f>
        <v/>
      </c>
      <c r="W85" s="25">
        <f>IF($B85="","",IFERROR(IF(INDEX(offices!$AI$2:$AI$61,MATCH($B85,offices!$A$2:$A$61,0))="","",INDEX(offices!$AI$2:$AI$61,MATCH($B85,offices!$A$2:$A$61,0))),""))</f>
        <v/>
      </c>
      <c r="X85" s="25">
        <f>IF($B85="","",IFERROR(IF(INDEX(offices!$G$2:$G$61,MATCH($B85,offices!$A$2:$A$61,0))="","",INDEX(offices!$G$2:$G$61,MATCH($B85,offices!$A$2:$A$61,0))),""))</f>
        <v/>
      </c>
      <c r="Y85" s="25">
        <f>IF($B85="","",IFERROR(IF(INDEX(offices!$I$2:$I$61,MATCH($B85,offices!$A$2:$A$61,0))="","",INDEX(offices!$I$2:$I$61,MATCH($B85,offices!$A$2:$A$61,0))),""))</f>
        <v/>
      </c>
      <c r="Z85" s="25">
        <f>IF($A85="","",COUNTIFS(approvals!$H$2:$H$251,$A85,approvals!$B$2:$B$251,$B85,approvals!$P$2:$P$251,"Y"))</f>
        <v/>
      </c>
      <c r="AA85" s="25">
        <f>IF($A85="","",SUMIFS(approvals!$S$2:$S$251,approvals!$H$2:$H$251,$A85,approvals!$B$2:$B$251,$B85,approvals!$P$2:$P$251,"Y"))</f>
        <v/>
      </c>
      <c r="AB85" s="25">
        <f>IF(OR($A85="",$P85=""),"",IF(COUNTIFS(stops!$B$2:$B$151,$B85,stops!$P$2:$P$151,"&lt;"&amp;$P85,stops!$L$2:$L$151,"&lt;&gt;not_delivered")=0,"Y","N"))</f>
        <v/>
      </c>
      <c r="AC85" s="25">
        <f>IF(OR($I85="",$J85=""),"",ROUND(($J85-$I85)*1440,0))</f>
        <v/>
      </c>
      <c r="AD85" s="25">
        <f>IF($A85="","",IF(COUNTIFS(stops!$A$2:$A$151,$A85,stops!$B$2:$B$151,$B85)&gt;1,"DUPLICATE stop; ","")&amp;IF(AND(OR(IFERROR(IF(INDEX(offices!$Z$2:$Z$61,MATCH($B85,offices!$A$2:$A$61,0))="","",INDEX(offices!$Z$2:$Z$61,MATCH($B85,offices!$A$2:$A$61,0))),"")="yes",IFERROR(IF(INDEX(offices!$Z$2:$Z$61,MATCH($B85,offices!$A$2:$A$61,0))="","",INDEX(offices!$Z$2:$Z$61,MATCH($B85,offices!$A$2:$A$61,0))),"")="unsure"),$Y85&lt;&gt;"received",$Y85&lt;&gt;"not_needed"),"building certificate not received; ","")&amp;IF($W85="","owner phone missing; ","")&amp;IF(N($Z85)=0,"no approved brand for this stop; ","")&amp;IF(AND($P85&lt;&gt;"",IF(config!$B$37&lt;&gt;"",config!$B$37,TODAY())&gt;$P85,$L85=""),"log the outcome; ","")&amp;IF(AND(OR($L85="declined",$L85="building_refused",$L85="not_delivered"),N($Z85)&gt;0,COUNTIFS(approvals!$H$2:$H$251,$A85,approvals!$B$2:$B$251,$B85,approvals!$P$2:$P$251,"Y",approvals!$U$2:$U$251,"&gt;0")&gt;=N($Z85)),"outcome says "&amp;$L85&amp;" but every brand here is logged delivered: fix the outcome, or delete the wrong delivered rows (SOP section 4); ","")&amp;IF(AND(OR($L85="declined",$L85="building_refused",$L85="not_delivered"),COUNTIFS(approvals!$H$2:$H$251,$A85,approvals!$B$2:$B$251,$B85,approvals!$P$2:$P$251,"Y",approvals!$U$2:$U$251,"&gt;0")&gt;0,COUNTIFS(approvals!$H$2:$H$251,$A85,approvals!$B$2:$B$251,$B85,approvals!$P$2:$P$251,"Y",approvals!$U$2:$U$251,"&gt;0")&lt;N($Z85)),"info: "&amp;(N($Z85)-COUNTIFS(approvals!$H$2:$H$251,$A85,approvals!$B$2:$B$251,$B85,approvals!$P$2:$P$251,"Y",approvals!$U$2:$U$251,"&gt;0"))&amp;" brand(s) turned away at the door, the rest delivered; ","")&amp;IF(AND($AB85="Y",IFERROR(IF(INDEX(drops!$C$2:$C$21,MATCH($A85,drops!$A$2:$A$21,0))="","",INDEX(drops!$C$2:$C$21,MATCH($A85,drops!$A$2:$A$21,0))),"")="direct-ship"),"info: first drop: visit in person on T; ","")&amp;IF(AND($U85="front desk",$X85&lt;&gt;"Y"),"info: front desk not agreed: the owner must take it; ",""))</f>
        <v/>
      </c>
    </row>
    <row r="86">
      <c r="D86" s="33" t="n"/>
      <c r="E86" s="9" t="n"/>
      <c r="F86" s="9" t="n"/>
      <c r="G86" s="9" t="n"/>
      <c r="I86" s="33" t="n"/>
      <c r="J86" s="33" t="n"/>
      <c r="N86" s="9" t="n"/>
      <c r="P86" s="26">
        <f>IF($A86="","",IF(IFERROR(IF(INDEX(drops!$I$2:$I$21,MATCH($A86,drops!$A$2:$A$21,0))="","",INDEX(drops!$I$2:$I$21,MATCH($A86,drops!$A$2:$A$21,0))),"")="OK",IFERROR(IF(INDEX(drops!$B$2:$B$21,MATCH($A86,drops!$A$2:$A$21,0))="","",INDEX(drops!$B$2:$B$21,MATCH($A86,drops!$A$2:$A$21,0))),""),""))</f>
        <v/>
      </c>
      <c r="Q86" s="25">
        <f>IF($B86="","",IFERROR(IF(INDEX(offices!$N$2:$N$61,MATCH($B86,offices!$A$2:$A$61,0))="","",INDEX(offices!$N$2:$N$61,MATCH($B86,offices!$A$2:$A$61,0))),""))</f>
        <v/>
      </c>
      <c r="R86" s="25">
        <f>IF($B86="","",IFERROR(IF(INDEX(offices!$O$2:$O$61,MATCH($B86,offices!$A$2:$A$61,0))="","",INDEX(offices!$O$2:$O$61,MATCH($B86,offices!$A$2:$A$61,0))),""))</f>
        <v/>
      </c>
      <c r="S86" s="25">
        <f>IF($B86="","",IFERROR(IF(INDEX(offices!$P$2:$P$61,MATCH($B86,offices!$A$2:$A$61,0))="","",INDEX(offices!$P$2:$P$61,MATCH($B86,offices!$A$2:$A$61,0))),""))</f>
        <v/>
      </c>
      <c r="T86" s="25">
        <f>IF($B86="","",IFERROR(IF(INDEX(offices!$Y$2:$Y$61,MATCH($B86,offices!$A$2:$A$61,0))="","",INDEX(offices!$Y$2:$Y$61,MATCH($B86,offices!$A$2:$A$61,0))),""))</f>
        <v/>
      </c>
      <c r="U86" s="25">
        <f>IF($B86="","",IFERROR(IF(INDEX(offices!$X$2:$X$61,MATCH($B86,offices!$A$2:$A$61,0))="","",INDEX(offices!$X$2:$X$61,MATCH($B86,offices!$A$2:$A$61,0))),""))</f>
        <v/>
      </c>
      <c r="V86" s="25">
        <f>IF($B86="","",IFERROR(IF(INDEX(offices!$U$2:$U$61,MATCH($B86,offices!$A$2:$A$61,0))="","",INDEX(offices!$U$2:$U$61,MATCH($B86,offices!$A$2:$A$61,0))),""))</f>
        <v/>
      </c>
      <c r="W86" s="25">
        <f>IF($B86="","",IFERROR(IF(INDEX(offices!$AI$2:$AI$61,MATCH($B86,offices!$A$2:$A$61,0))="","",INDEX(offices!$AI$2:$AI$61,MATCH($B86,offices!$A$2:$A$61,0))),""))</f>
        <v/>
      </c>
      <c r="X86" s="25">
        <f>IF($B86="","",IFERROR(IF(INDEX(offices!$G$2:$G$61,MATCH($B86,offices!$A$2:$A$61,0))="","",INDEX(offices!$G$2:$G$61,MATCH($B86,offices!$A$2:$A$61,0))),""))</f>
        <v/>
      </c>
      <c r="Y86" s="25">
        <f>IF($B86="","",IFERROR(IF(INDEX(offices!$I$2:$I$61,MATCH($B86,offices!$A$2:$A$61,0))="","",INDEX(offices!$I$2:$I$61,MATCH($B86,offices!$A$2:$A$61,0))),""))</f>
        <v/>
      </c>
      <c r="Z86" s="25">
        <f>IF($A86="","",COUNTIFS(approvals!$H$2:$H$251,$A86,approvals!$B$2:$B$251,$B86,approvals!$P$2:$P$251,"Y"))</f>
        <v/>
      </c>
      <c r="AA86" s="25">
        <f>IF($A86="","",SUMIFS(approvals!$S$2:$S$251,approvals!$H$2:$H$251,$A86,approvals!$B$2:$B$251,$B86,approvals!$P$2:$P$251,"Y"))</f>
        <v/>
      </c>
      <c r="AB86" s="25">
        <f>IF(OR($A86="",$P86=""),"",IF(COUNTIFS(stops!$B$2:$B$151,$B86,stops!$P$2:$P$151,"&lt;"&amp;$P86,stops!$L$2:$L$151,"&lt;&gt;not_delivered")=0,"Y","N"))</f>
        <v/>
      </c>
      <c r="AC86" s="25">
        <f>IF(OR($I86="",$J86=""),"",ROUND(($J86-$I86)*1440,0))</f>
        <v/>
      </c>
      <c r="AD86" s="25">
        <f>IF($A86="","",IF(COUNTIFS(stops!$A$2:$A$151,$A86,stops!$B$2:$B$151,$B86)&gt;1,"DUPLICATE stop; ","")&amp;IF(AND(OR(IFERROR(IF(INDEX(offices!$Z$2:$Z$61,MATCH($B86,offices!$A$2:$A$61,0))="","",INDEX(offices!$Z$2:$Z$61,MATCH($B86,offices!$A$2:$A$61,0))),"")="yes",IFERROR(IF(INDEX(offices!$Z$2:$Z$61,MATCH($B86,offices!$A$2:$A$61,0))="","",INDEX(offices!$Z$2:$Z$61,MATCH($B86,offices!$A$2:$A$61,0))),"")="unsure"),$Y86&lt;&gt;"received",$Y86&lt;&gt;"not_needed"),"building certificate not received; ","")&amp;IF($W86="","owner phone missing; ","")&amp;IF(N($Z86)=0,"no approved brand for this stop; ","")&amp;IF(AND($P86&lt;&gt;"",IF(config!$B$37&lt;&gt;"",config!$B$37,TODAY())&gt;$P86,$L86=""),"log the outcome; ","")&amp;IF(AND(OR($L86="declined",$L86="building_refused",$L86="not_delivered"),N($Z86)&gt;0,COUNTIFS(approvals!$H$2:$H$251,$A86,approvals!$B$2:$B$251,$B86,approvals!$P$2:$P$251,"Y",approvals!$U$2:$U$251,"&gt;0")&gt;=N($Z86)),"outcome says "&amp;$L86&amp;" but every brand here is logged delivered: fix the outcome, or delete the wrong delivered rows (SOP section 4); ","")&amp;IF(AND(OR($L86="declined",$L86="building_refused",$L86="not_delivered"),COUNTIFS(approvals!$H$2:$H$251,$A86,approvals!$B$2:$B$251,$B86,approvals!$P$2:$P$251,"Y",approvals!$U$2:$U$251,"&gt;0")&gt;0,COUNTIFS(approvals!$H$2:$H$251,$A86,approvals!$B$2:$B$251,$B86,approvals!$P$2:$P$251,"Y",approvals!$U$2:$U$251,"&gt;0")&lt;N($Z86)),"info: "&amp;(N($Z86)-COUNTIFS(approvals!$H$2:$H$251,$A86,approvals!$B$2:$B$251,$B86,approvals!$P$2:$P$251,"Y",approvals!$U$2:$U$251,"&gt;0"))&amp;" brand(s) turned away at the door, the rest delivered; ","")&amp;IF(AND($AB86="Y",IFERROR(IF(INDEX(drops!$C$2:$C$21,MATCH($A86,drops!$A$2:$A$21,0))="","",INDEX(drops!$C$2:$C$21,MATCH($A86,drops!$A$2:$A$21,0))),"")="direct-ship"),"info: first drop: visit in person on T; ","")&amp;IF(AND($U86="front desk",$X86&lt;&gt;"Y"),"info: front desk not agreed: the owner must take it; ",""))</f>
        <v/>
      </c>
    </row>
    <row r="87">
      <c r="D87" s="33" t="n"/>
      <c r="E87" s="9" t="n"/>
      <c r="F87" s="9" t="n"/>
      <c r="G87" s="9" t="n"/>
      <c r="I87" s="33" t="n"/>
      <c r="J87" s="33" t="n"/>
      <c r="N87" s="9" t="n"/>
      <c r="P87" s="26">
        <f>IF($A87="","",IF(IFERROR(IF(INDEX(drops!$I$2:$I$21,MATCH($A87,drops!$A$2:$A$21,0))="","",INDEX(drops!$I$2:$I$21,MATCH($A87,drops!$A$2:$A$21,0))),"")="OK",IFERROR(IF(INDEX(drops!$B$2:$B$21,MATCH($A87,drops!$A$2:$A$21,0))="","",INDEX(drops!$B$2:$B$21,MATCH($A87,drops!$A$2:$A$21,0))),""),""))</f>
        <v/>
      </c>
      <c r="Q87" s="25">
        <f>IF($B87="","",IFERROR(IF(INDEX(offices!$N$2:$N$61,MATCH($B87,offices!$A$2:$A$61,0))="","",INDEX(offices!$N$2:$N$61,MATCH($B87,offices!$A$2:$A$61,0))),""))</f>
        <v/>
      </c>
      <c r="R87" s="25">
        <f>IF($B87="","",IFERROR(IF(INDEX(offices!$O$2:$O$61,MATCH($B87,offices!$A$2:$A$61,0))="","",INDEX(offices!$O$2:$O$61,MATCH($B87,offices!$A$2:$A$61,0))),""))</f>
        <v/>
      </c>
      <c r="S87" s="25">
        <f>IF($B87="","",IFERROR(IF(INDEX(offices!$P$2:$P$61,MATCH($B87,offices!$A$2:$A$61,0))="","",INDEX(offices!$P$2:$P$61,MATCH($B87,offices!$A$2:$A$61,0))),""))</f>
        <v/>
      </c>
      <c r="T87" s="25">
        <f>IF($B87="","",IFERROR(IF(INDEX(offices!$Y$2:$Y$61,MATCH($B87,offices!$A$2:$A$61,0))="","",INDEX(offices!$Y$2:$Y$61,MATCH($B87,offices!$A$2:$A$61,0))),""))</f>
        <v/>
      </c>
      <c r="U87" s="25">
        <f>IF($B87="","",IFERROR(IF(INDEX(offices!$X$2:$X$61,MATCH($B87,offices!$A$2:$A$61,0))="","",INDEX(offices!$X$2:$X$61,MATCH($B87,offices!$A$2:$A$61,0))),""))</f>
        <v/>
      </c>
      <c r="V87" s="25">
        <f>IF($B87="","",IFERROR(IF(INDEX(offices!$U$2:$U$61,MATCH($B87,offices!$A$2:$A$61,0))="","",INDEX(offices!$U$2:$U$61,MATCH($B87,offices!$A$2:$A$61,0))),""))</f>
        <v/>
      </c>
      <c r="W87" s="25">
        <f>IF($B87="","",IFERROR(IF(INDEX(offices!$AI$2:$AI$61,MATCH($B87,offices!$A$2:$A$61,0))="","",INDEX(offices!$AI$2:$AI$61,MATCH($B87,offices!$A$2:$A$61,0))),""))</f>
        <v/>
      </c>
      <c r="X87" s="25">
        <f>IF($B87="","",IFERROR(IF(INDEX(offices!$G$2:$G$61,MATCH($B87,offices!$A$2:$A$61,0))="","",INDEX(offices!$G$2:$G$61,MATCH($B87,offices!$A$2:$A$61,0))),""))</f>
        <v/>
      </c>
      <c r="Y87" s="25">
        <f>IF($B87="","",IFERROR(IF(INDEX(offices!$I$2:$I$61,MATCH($B87,offices!$A$2:$A$61,0))="","",INDEX(offices!$I$2:$I$61,MATCH($B87,offices!$A$2:$A$61,0))),""))</f>
        <v/>
      </c>
      <c r="Z87" s="25">
        <f>IF($A87="","",COUNTIFS(approvals!$H$2:$H$251,$A87,approvals!$B$2:$B$251,$B87,approvals!$P$2:$P$251,"Y"))</f>
        <v/>
      </c>
      <c r="AA87" s="25">
        <f>IF($A87="","",SUMIFS(approvals!$S$2:$S$251,approvals!$H$2:$H$251,$A87,approvals!$B$2:$B$251,$B87,approvals!$P$2:$P$251,"Y"))</f>
        <v/>
      </c>
      <c r="AB87" s="25">
        <f>IF(OR($A87="",$P87=""),"",IF(COUNTIFS(stops!$B$2:$B$151,$B87,stops!$P$2:$P$151,"&lt;"&amp;$P87,stops!$L$2:$L$151,"&lt;&gt;not_delivered")=0,"Y","N"))</f>
        <v/>
      </c>
      <c r="AC87" s="25">
        <f>IF(OR($I87="",$J87=""),"",ROUND(($J87-$I87)*1440,0))</f>
        <v/>
      </c>
      <c r="AD87" s="25">
        <f>IF($A87="","",IF(COUNTIFS(stops!$A$2:$A$151,$A87,stops!$B$2:$B$151,$B87)&gt;1,"DUPLICATE stop; ","")&amp;IF(AND(OR(IFERROR(IF(INDEX(offices!$Z$2:$Z$61,MATCH($B87,offices!$A$2:$A$61,0))="","",INDEX(offices!$Z$2:$Z$61,MATCH($B87,offices!$A$2:$A$61,0))),"")="yes",IFERROR(IF(INDEX(offices!$Z$2:$Z$61,MATCH($B87,offices!$A$2:$A$61,0))="","",INDEX(offices!$Z$2:$Z$61,MATCH($B87,offices!$A$2:$A$61,0))),"")="unsure"),$Y87&lt;&gt;"received",$Y87&lt;&gt;"not_needed"),"building certificate not received; ","")&amp;IF($W87="","owner phone missing; ","")&amp;IF(N($Z87)=0,"no approved brand for this stop; ","")&amp;IF(AND($P87&lt;&gt;"",IF(config!$B$37&lt;&gt;"",config!$B$37,TODAY())&gt;$P87,$L87=""),"log the outcome; ","")&amp;IF(AND(OR($L87="declined",$L87="building_refused",$L87="not_delivered"),N($Z87)&gt;0,COUNTIFS(approvals!$H$2:$H$251,$A87,approvals!$B$2:$B$251,$B87,approvals!$P$2:$P$251,"Y",approvals!$U$2:$U$251,"&gt;0")&gt;=N($Z87)),"outcome says "&amp;$L87&amp;" but every brand here is logged delivered: fix the outcome, or delete the wrong delivered rows (SOP section 4); ","")&amp;IF(AND(OR($L87="declined",$L87="building_refused",$L87="not_delivered"),COUNTIFS(approvals!$H$2:$H$251,$A87,approvals!$B$2:$B$251,$B87,approvals!$P$2:$P$251,"Y",approvals!$U$2:$U$251,"&gt;0")&gt;0,COUNTIFS(approvals!$H$2:$H$251,$A87,approvals!$B$2:$B$251,$B87,approvals!$P$2:$P$251,"Y",approvals!$U$2:$U$251,"&gt;0")&lt;N($Z87)),"info: "&amp;(N($Z87)-COUNTIFS(approvals!$H$2:$H$251,$A87,approvals!$B$2:$B$251,$B87,approvals!$P$2:$P$251,"Y",approvals!$U$2:$U$251,"&gt;0"))&amp;" brand(s) turned away at the door, the rest delivered; ","")&amp;IF(AND($AB87="Y",IFERROR(IF(INDEX(drops!$C$2:$C$21,MATCH($A87,drops!$A$2:$A$21,0))="","",INDEX(drops!$C$2:$C$21,MATCH($A87,drops!$A$2:$A$21,0))),"")="direct-ship"),"info: first drop: visit in person on T; ","")&amp;IF(AND($U87="front desk",$X87&lt;&gt;"Y"),"info: front desk not agreed: the owner must take it; ",""))</f>
        <v/>
      </c>
    </row>
    <row r="88">
      <c r="D88" s="33" t="n"/>
      <c r="E88" s="9" t="n"/>
      <c r="F88" s="9" t="n"/>
      <c r="G88" s="9" t="n"/>
      <c r="I88" s="33" t="n"/>
      <c r="J88" s="33" t="n"/>
      <c r="N88" s="9" t="n"/>
      <c r="P88" s="26">
        <f>IF($A88="","",IF(IFERROR(IF(INDEX(drops!$I$2:$I$21,MATCH($A88,drops!$A$2:$A$21,0))="","",INDEX(drops!$I$2:$I$21,MATCH($A88,drops!$A$2:$A$21,0))),"")="OK",IFERROR(IF(INDEX(drops!$B$2:$B$21,MATCH($A88,drops!$A$2:$A$21,0))="","",INDEX(drops!$B$2:$B$21,MATCH($A88,drops!$A$2:$A$21,0))),""),""))</f>
        <v/>
      </c>
      <c r="Q88" s="25">
        <f>IF($B88="","",IFERROR(IF(INDEX(offices!$N$2:$N$61,MATCH($B88,offices!$A$2:$A$61,0))="","",INDEX(offices!$N$2:$N$61,MATCH($B88,offices!$A$2:$A$61,0))),""))</f>
        <v/>
      </c>
      <c r="R88" s="25">
        <f>IF($B88="","",IFERROR(IF(INDEX(offices!$O$2:$O$61,MATCH($B88,offices!$A$2:$A$61,0))="","",INDEX(offices!$O$2:$O$61,MATCH($B88,offices!$A$2:$A$61,0))),""))</f>
        <v/>
      </c>
      <c r="S88" s="25">
        <f>IF($B88="","",IFERROR(IF(INDEX(offices!$P$2:$P$61,MATCH($B88,offices!$A$2:$A$61,0))="","",INDEX(offices!$P$2:$P$61,MATCH($B88,offices!$A$2:$A$61,0))),""))</f>
        <v/>
      </c>
      <c r="T88" s="25">
        <f>IF($B88="","",IFERROR(IF(INDEX(offices!$Y$2:$Y$61,MATCH($B88,offices!$A$2:$A$61,0))="","",INDEX(offices!$Y$2:$Y$61,MATCH($B88,offices!$A$2:$A$61,0))),""))</f>
        <v/>
      </c>
      <c r="U88" s="25">
        <f>IF($B88="","",IFERROR(IF(INDEX(offices!$X$2:$X$61,MATCH($B88,offices!$A$2:$A$61,0))="","",INDEX(offices!$X$2:$X$61,MATCH($B88,offices!$A$2:$A$61,0))),""))</f>
        <v/>
      </c>
      <c r="V88" s="25">
        <f>IF($B88="","",IFERROR(IF(INDEX(offices!$U$2:$U$61,MATCH($B88,offices!$A$2:$A$61,0))="","",INDEX(offices!$U$2:$U$61,MATCH($B88,offices!$A$2:$A$61,0))),""))</f>
        <v/>
      </c>
      <c r="W88" s="25">
        <f>IF($B88="","",IFERROR(IF(INDEX(offices!$AI$2:$AI$61,MATCH($B88,offices!$A$2:$A$61,0))="","",INDEX(offices!$AI$2:$AI$61,MATCH($B88,offices!$A$2:$A$61,0))),""))</f>
        <v/>
      </c>
      <c r="X88" s="25">
        <f>IF($B88="","",IFERROR(IF(INDEX(offices!$G$2:$G$61,MATCH($B88,offices!$A$2:$A$61,0))="","",INDEX(offices!$G$2:$G$61,MATCH($B88,offices!$A$2:$A$61,0))),""))</f>
        <v/>
      </c>
      <c r="Y88" s="25">
        <f>IF($B88="","",IFERROR(IF(INDEX(offices!$I$2:$I$61,MATCH($B88,offices!$A$2:$A$61,0))="","",INDEX(offices!$I$2:$I$61,MATCH($B88,offices!$A$2:$A$61,0))),""))</f>
        <v/>
      </c>
      <c r="Z88" s="25">
        <f>IF($A88="","",COUNTIFS(approvals!$H$2:$H$251,$A88,approvals!$B$2:$B$251,$B88,approvals!$P$2:$P$251,"Y"))</f>
        <v/>
      </c>
      <c r="AA88" s="25">
        <f>IF($A88="","",SUMIFS(approvals!$S$2:$S$251,approvals!$H$2:$H$251,$A88,approvals!$B$2:$B$251,$B88,approvals!$P$2:$P$251,"Y"))</f>
        <v/>
      </c>
      <c r="AB88" s="25">
        <f>IF(OR($A88="",$P88=""),"",IF(COUNTIFS(stops!$B$2:$B$151,$B88,stops!$P$2:$P$151,"&lt;"&amp;$P88,stops!$L$2:$L$151,"&lt;&gt;not_delivered")=0,"Y","N"))</f>
        <v/>
      </c>
      <c r="AC88" s="25">
        <f>IF(OR($I88="",$J88=""),"",ROUND(($J88-$I88)*1440,0))</f>
        <v/>
      </c>
      <c r="AD88" s="25">
        <f>IF($A88="","",IF(COUNTIFS(stops!$A$2:$A$151,$A88,stops!$B$2:$B$151,$B88)&gt;1,"DUPLICATE stop; ","")&amp;IF(AND(OR(IFERROR(IF(INDEX(offices!$Z$2:$Z$61,MATCH($B88,offices!$A$2:$A$61,0))="","",INDEX(offices!$Z$2:$Z$61,MATCH($B88,offices!$A$2:$A$61,0))),"")="yes",IFERROR(IF(INDEX(offices!$Z$2:$Z$61,MATCH($B88,offices!$A$2:$A$61,0))="","",INDEX(offices!$Z$2:$Z$61,MATCH($B88,offices!$A$2:$A$61,0))),"")="unsure"),$Y88&lt;&gt;"received",$Y88&lt;&gt;"not_needed"),"building certificate not received; ","")&amp;IF($W88="","owner phone missing; ","")&amp;IF(N($Z88)=0,"no approved brand for this stop; ","")&amp;IF(AND($P88&lt;&gt;"",IF(config!$B$37&lt;&gt;"",config!$B$37,TODAY())&gt;$P88,$L88=""),"log the outcome; ","")&amp;IF(AND(OR($L88="declined",$L88="building_refused",$L88="not_delivered"),N($Z88)&gt;0,COUNTIFS(approvals!$H$2:$H$251,$A88,approvals!$B$2:$B$251,$B88,approvals!$P$2:$P$251,"Y",approvals!$U$2:$U$251,"&gt;0")&gt;=N($Z88)),"outcome says "&amp;$L88&amp;" but every brand here is logged delivered: fix the outcome, or delete the wrong delivered rows (SOP section 4); ","")&amp;IF(AND(OR($L88="declined",$L88="building_refused",$L88="not_delivered"),COUNTIFS(approvals!$H$2:$H$251,$A88,approvals!$B$2:$B$251,$B88,approvals!$P$2:$P$251,"Y",approvals!$U$2:$U$251,"&gt;0")&gt;0,COUNTIFS(approvals!$H$2:$H$251,$A88,approvals!$B$2:$B$251,$B88,approvals!$P$2:$P$251,"Y",approvals!$U$2:$U$251,"&gt;0")&lt;N($Z88)),"info: "&amp;(N($Z88)-COUNTIFS(approvals!$H$2:$H$251,$A88,approvals!$B$2:$B$251,$B88,approvals!$P$2:$P$251,"Y",approvals!$U$2:$U$251,"&gt;0"))&amp;" brand(s) turned away at the door, the rest delivered; ","")&amp;IF(AND($AB88="Y",IFERROR(IF(INDEX(drops!$C$2:$C$21,MATCH($A88,drops!$A$2:$A$21,0))="","",INDEX(drops!$C$2:$C$21,MATCH($A88,drops!$A$2:$A$21,0))),"")="direct-ship"),"info: first drop: visit in person on T; ","")&amp;IF(AND($U88="front desk",$X88&lt;&gt;"Y"),"info: front desk not agreed: the owner must take it; ",""))</f>
        <v/>
      </c>
    </row>
    <row r="89">
      <c r="D89" s="33" t="n"/>
      <c r="E89" s="9" t="n"/>
      <c r="F89" s="9" t="n"/>
      <c r="G89" s="9" t="n"/>
      <c r="I89" s="33" t="n"/>
      <c r="J89" s="33" t="n"/>
      <c r="N89" s="9" t="n"/>
      <c r="P89" s="26">
        <f>IF($A89="","",IF(IFERROR(IF(INDEX(drops!$I$2:$I$21,MATCH($A89,drops!$A$2:$A$21,0))="","",INDEX(drops!$I$2:$I$21,MATCH($A89,drops!$A$2:$A$21,0))),"")="OK",IFERROR(IF(INDEX(drops!$B$2:$B$21,MATCH($A89,drops!$A$2:$A$21,0))="","",INDEX(drops!$B$2:$B$21,MATCH($A89,drops!$A$2:$A$21,0))),""),""))</f>
        <v/>
      </c>
      <c r="Q89" s="25">
        <f>IF($B89="","",IFERROR(IF(INDEX(offices!$N$2:$N$61,MATCH($B89,offices!$A$2:$A$61,0))="","",INDEX(offices!$N$2:$N$61,MATCH($B89,offices!$A$2:$A$61,0))),""))</f>
        <v/>
      </c>
      <c r="R89" s="25">
        <f>IF($B89="","",IFERROR(IF(INDEX(offices!$O$2:$O$61,MATCH($B89,offices!$A$2:$A$61,0))="","",INDEX(offices!$O$2:$O$61,MATCH($B89,offices!$A$2:$A$61,0))),""))</f>
        <v/>
      </c>
      <c r="S89" s="25">
        <f>IF($B89="","",IFERROR(IF(INDEX(offices!$P$2:$P$61,MATCH($B89,offices!$A$2:$A$61,0))="","",INDEX(offices!$P$2:$P$61,MATCH($B89,offices!$A$2:$A$61,0))),""))</f>
        <v/>
      </c>
      <c r="T89" s="25">
        <f>IF($B89="","",IFERROR(IF(INDEX(offices!$Y$2:$Y$61,MATCH($B89,offices!$A$2:$A$61,0))="","",INDEX(offices!$Y$2:$Y$61,MATCH($B89,offices!$A$2:$A$61,0))),""))</f>
        <v/>
      </c>
      <c r="U89" s="25">
        <f>IF($B89="","",IFERROR(IF(INDEX(offices!$X$2:$X$61,MATCH($B89,offices!$A$2:$A$61,0))="","",INDEX(offices!$X$2:$X$61,MATCH($B89,offices!$A$2:$A$61,0))),""))</f>
        <v/>
      </c>
      <c r="V89" s="25">
        <f>IF($B89="","",IFERROR(IF(INDEX(offices!$U$2:$U$61,MATCH($B89,offices!$A$2:$A$61,0))="","",INDEX(offices!$U$2:$U$61,MATCH($B89,offices!$A$2:$A$61,0))),""))</f>
        <v/>
      </c>
      <c r="W89" s="25">
        <f>IF($B89="","",IFERROR(IF(INDEX(offices!$AI$2:$AI$61,MATCH($B89,offices!$A$2:$A$61,0))="","",INDEX(offices!$AI$2:$AI$61,MATCH($B89,offices!$A$2:$A$61,0))),""))</f>
        <v/>
      </c>
      <c r="X89" s="25">
        <f>IF($B89="","",IFERROR(IF(INDEX(offices!$G$2:$G$61,MATCH($B89,offices!$A$2:$A$61,0))="","",INDEX(offices!$G$2:$G$61,MATCH($B89,offices!$A$2:$A$61,0))),""))</f>
        <v/>
      </c>
      <c r="Y89" s="25">
        <f>IF($B89="","",IFERROR(IF(INDEX(offices!$I$2:$I$61,MATCH($B89,offices!$A$2:$A$61,0))="","",INDEX(offices!$I$2:$I$61,MATCH($B89,offices!$A$2:$A$61,0))),""))</f>
        <v/>
      </c>
      <c r="Z89" s="25">
        <f>IF($A89="","",COUNTIFS(approvals!$H$2:$H$251,$A89,approvals!$B$2:$B$251,$B89,approvals!$P$2:$P$251,"Y"))</f>
        <v/>
      </c>
      <c r="AA89" s="25">
        <f>IF($A89="","",SUMIFS(approvals!$S$2:$S$251,approvals!$H$2:$H$251,$A89,approvals!$B$2:$B$251,$B89,approvals!$P$2:$P$251,"Y"))</f>
        <v/>
      </c>
      <c r="AB89" s="25">
        <f>IF(OR($A89="",$P89=""),"",IF(COUNTIFS(stops!$B$2:$B$151,$B89,stops!$P$2:$P$151,"&lt;"&amp;$P89,stops!$L$2:$L$151,"&lt;&gt;not_delivered")=0,"Y","N"))</f>
        <v/>
      </c>
      <c r="AC89" s="25">
        <f>IF(OR($I89="",$J89=""),"",ROUND(($J89-$I89)*1440,0))</f>
        <v/>
      </c>
      <c r="AD89" s="25">
        <f>IF($A89="","",IF(COUNTIFS(stops!$A$2:$A$151,$A89,stops!$B$2:$B$151,$B89)&gt;1,"DUPLICATE stop; ","")&amp;IF(AND(OR(IFERROR(IF(INDEX(offices!$Z$2:$Z$61,MATCH($B89,offices!$A$2:$A$61,0))="","",INDEX(offices!$Z$2:$Z$61,MATCH($B89,offices!$A$2:$A$61,0))),"")="yes",IFERROR(IF(INDEX(offices!$Z$2:$Z$61,MATCH($B89,offices!$A$2:$A$61,0))="","",INDEX(offices!$Z$2:$Z$61,MATCH($B89,offices!$A$2:$A$61,0))),"")="unsure"),$Y89&lt;&gt;"received",$Y89&lt;&gt;"not_needed"),"building certificate not received; ","")&amp;IF($W89="","owner phone missing; ","")&amp;IF(N($Z89)=0,"no approved brand for this stop; ","")&amp;IF(AND($P89&lt;&gt;"",IF(config!$B$37&lt;&gt;"",config!$B$37,TODAY())&gt;$P89,$L89=""),"log the outcome; ","")&amp;IF(AND(OR($L89="declined",$L89="building_refused",$L89="not_delivered"),N($Z89)&gt;0,COUNTIFS(approvals!$H$2:$H$251,$A89,approvals!$B$2:$B$251,$B89,approvals!$P$2:$P$251,"Y",approvals!$U$2:$U$251,"&gt;0")&gt;=N($Z89)),"outcome says "&amp;$L89&amp;" but every brand here is logged delivered: fix the outcome, or delete the wrong delivered rows (SOP section 4); ","")&amp;IF(AND(OR($L89="declined",$L89="building_refused",$L89="not_delivered"),COUNTIFS(approvals!$H$2:$H$251,$A89,approvals!$B$2:$B$251,$B89,approvals!$P$2:$P$251,"Y",approvals!$U$2:$U$251,"&gt;0")&gt;0,COUNTIFS(approvals!$H$2:$H$251,$A89,approvals!$B$2:$B$251,$B89,approvals!$P$2:$P$251,"Y",approvals!$U$2:$U$251,"&gt;0")&lt;N($Z89)),"info: "&amp;(N($Z89)-COUNTIFS(approvals!$H$2:$H$251,$A89,approvals!$B$2:$B$251,$B89,approvals!$P$2:$P$251,"Y",approvals!$U$2:$U$251,"&gt;0"))&amp;" brand(s) turned away at the door, the rest delivered; ","")&amp;IF(AND($AB89="Y",IFERROR(IF(INDEX(drops!$C$2:$C$21,MATCH($A89,drops!$A$2:$A$21,0))="","",INDEX(drops!$C$2:$C$21,MATCH($A89,drops!$A$2:$A$21,0))),"")="direct-ship"),"info: first drop: visit in person on T; ","")&amp;IF(AND($U89="front desk",$X89&lt;&gt;"Y"),"info: front desk not agreed: the owner must take it; ",""))</f>
        <v/>
      </c>
    </row>
    <row r="90">
      <c r="D90" s="33" t="n"/>
      <c r="E90" s="9" t="n"/>
      <c r="F90" s="9" t="n"/>
      <c r="G90" s="9" t="n"/>
      <c r="I90" s="33" t="n"/>
      <c r="J90" s="33" t="n"/>
      <c r="N90" s="9" t="n"/>
      <c r="P90" s="26">
        <f>IF($A90="","",IF(IFERROR(IF(INDEX(drops!$I$2:$I$21,MATCH($A90,drops!$A$2:$A$21,0))="","",INDEX(drops!$I$2:$I$21,MATCH($A90,drops!$A$2:$A$21,0))),"")="OK",IFERROR(IF(INDEX(drops!$B$2:$B$21,MATCH($A90,drops!$A$2:$A$21,0))="","",INDEX(drops!$B$2:$B$21,MATCH($A90,drops!$A$2:$A$21,0))),""),""))</f>
        <v/>
      </c>
      <c r="Q90" s="25">
        <f>IF($B90="","",IFERROR(IF(INDEX(offices!$N$2:$N$61,MATCH($B90,offices!$A$2:$A$61,0))="","",INDEX(offices!$N$2:$N$61,MATCH($B90,offices!$A$2:$A$61,0))),""))</f>
        <v/>
      </c>
      <c r="R90" s="25">
        <f>IF($B90="","",IFERROR(IF(INDEX(offices!$O$2:$O$61,MATCH($B90,offices!$A$2:$A$61,0))="","",INDEX(offices!$O$2:$O$61,MATCH($B90,offices!$A$2:$A$61,0))),""))</f>
        <v/>
      </c>
      <c r="S90" s="25">
        <f>IF($B90="","",IFERROR(IF(INDEX(offices!$P$2:$P$61,MATCH($B90,offices!$A$2:$A$61,0))="","",INDEX(offices!$P$2:$P$61,MATCH($B90,offices!$A$2:$A$61,0))),""))</f>
        <v/>
      </c>
      <c r="T90" s="25">
        <f>IF($B90="","",IFERROR(IF(INDEX(offices!$Y$2:$Y$61,MATCH($B90,offices!$A$2:$A$61,0))="","",INDEX(offices!$Y$2:$Y$61,MATCH($B90,offices!$A$2:$A$61,0))),""))</f>
        <v/>
      </c>
      <c r="U90" s="25">
        <f>IF($B90="","",IFERROR(IF(INDEX(offices!$X$2:$X$61,MATCH($B90,offices!$A$2:$A$61,0))="","",INDEX(offices!$X$2:$X$61,MATCH($B90,offices!$A$2:$A$61,0))),""))</f>
        <v/>
      </c>
      <c r="V90" s="25">
        <f>IF($B90="","",IFERROR(IF(INDEX(offices!$U$2:$U$61,MATCH($B90,offices!$A$2:$A$61,0))="","",INDEX(offices!$U$2:$U$61,MATCH($B90,offices!$A$2:$A$61,0))),""))</f>
        <v/>
      </c>
      <c r="W90" s="25">
        <f>IF($B90="","",IFERROR(IF(INDEX(offices!$AI$2:$AI$61,MATCH($B90,offices!$A$2:$A$61,0))="","",INDEX(offices!$AI$2:$AI$61,MATCH($B90,offices!$A$2:$A$61,0))),""))</f>
        <v/>
      </c>
      <c r="X90" s="25">
        <f>IF($B90="","",IFERROR(IF(INDEX(offices!$G$2:$G$61,MATCH($B90,offices!$A$2:$A$61,0))="","",INDEX(offices!$G$2:$G$61,MATCH($B90,offices!$A$2:$A$61,0))),""))</f>
        <v/>
      </c>
      <c r="Y90" s="25">
        <f>IF($B90="","",IFERROR(IF(INDEX(offices!$I$2:$I$61,MATCH($B90,offices!$A$2:$A$61,0))="","",INDEX(offices!$I$2:$I$61,MATCH($B90,offices!$A$2:$A$61,0))),""))</f>
        <v/>
      </c>
      <c r="Z90" s="25">
        <f>IF($A90="","",COUNTIFS(approvals!$H$2:$H$251,$A90,approvals!$B$2:$B$251,$B90,approvals!$P$2:$P$251,"Y"))</f>
        <v/>
      </c>
      <c r="AA90" s="25">
        <f>IF($A90="","",SUMIFS(approvals!$S$2:$S$251,approvals!$H$2:$H$251,$A90,approvals!$B$2:$B$251,$B90,approvals!$P$2:$P$251,"Y"))</f>
        <v/>
      </c>
      <c r="AB90" s="25">
        <f>IF(OR($A90="",$P90=""),"",IF(COUNTIFS(stops!$B$2:$B$151,$B90,stops!$P$2:$P$151,"&lt;"&amp;$P90,stops!$L$2:$L$151,"&lt;&gt;not_delivered")=0,"Y","N"))</f>
        <v/>
      </c>
      <c r="AC90" s="25">
        <f>IF(OR($I90="",$J90=""),"",ROUND(($J90-$I90)*1440,0))</f>
        <v/>
      </c>
      <c r="AD90" s="25">
        <f>IF($A90="","",IF(COUNTIFS(stops!$A$2:$A$151,$A90,stops!$B$2:$B$151,$B90)&gt;1,"DUPLICATE stop; ","")&amp;IF(AND(OR(IFERROR(IF(INDEX(offices!$Z$2:$Z$61,MATCH($B90,offices!$A$2:$A$61,0))="","",INDEX(offices!$Z$2:$Z$61,MATCH($B90,offices!$A$2:$A$61,0))),"")="yes",IFERROR(IF(INDEX(offices!$Z$2:$Z$61,MATCH($B90,offices!$A$2:$A$61,0))="","",INDEX(offices!$Z$2:$Z$61,MATCH($B90,offices!$A$2:$A$61,0))),"")="unsure"),$Y90&lt;&gt;"received",$Y90&lt;&gt;"not_needed"),"building certificate not received; ","")&amp;IF($W90="","owner phone missing; ","")&amp;IF(N($Z90)=0,"no approved brand for this stop; ","")&amp;IF(AND($P90&lt;&gt;"",IF(config!$B$37&lt;&gt;"",config!$B$37,TODAY())&gt;$P90,$L90=""),"log the outcome; ","")&amp;IF(AND(OR($L90="declined",$L90="building_refused",$L90="not_delivered"),N($Z90)&gt;0,COUNTIFS(approvals!$H$2:$H$251,$A90,approvals!$B$2:$B$251,$B90,approvals!$P$2:$P$251,"Y",approvals!$U$2:$U$251,"&gt;0")&gt;=N($Z90)),"outcome says "&amp;$L90&amp;" but every brand here is logged delivered: fix the outcome, or delete the wrong delivered rows (SOP section 4); ","")&amp;IF(AND(OR($L90="declined",$L90="building_refused",$L90="not_delivered"),COUNTIFS(approvals!$H$2:$H$251,$A90,approvals!$B$2:$B$251,$B90,approvals!$P$2:$P$251,"Y",approvals!$U$2:$U$251,"&gt;0")&gt;0,COUNTIFS(approvals!$H$2:$H$251,$A90,approvals!$B$2:$B$251,$B90,approvals!$P$2:$P$251,"Y",approvals!$U$2:$U$251,"&gt;0")&lt;N($Z90)),"info: "&amp;(N($Z90)-COUNTIFS(approvals!$H$2:$H$251,$A90,approvals!$B$2:$B$251,$B90,approvals!$P$2:$P$251,"Y",approvals!$U$2:$U$251,"&gt;0"))&amp;" brand(s) turned away at the door, the rest delivered; ","")&amp;IF(AND($AB90="Y",IFERROR(IF(INDEX(drops!$C$2:$C$21,MATCH($A90,drops!$A$2:$A$21,0))="","",INDEX(drops!$C$2:$C$21,MATCH($A90,drops!$A$2:$A$21,0))),"")="direct-ship"),"info: first drop: visit in person on T; ","")&amp;IF(AND($U90="front desk",$X90&lt;&gt;"Y"),"info: front desk not agreed: the owner must take it; ",""))</f>
        <v/>
      </c>
    </row>
    <row r="91">
      <c r="D91" s="33" t="n"/>
      <c r="E91" s="9" t="n"/>
      <c r="F91" s="9" t="n"/>
      <c r="G91" s="9" t="n"/>
      <c r="I91" s="33" t="n"/>
      <c r="J91" s="33" t="n"/>
      <c r="N91" s="9" t="n"/>
      <c r="P91" s="26">
        <f>IF($A91="","",IF(IFERROR(IF(INDEX(drops!$I$2:$I$21,MATCH($A91,drops!$A$2:$A$21,0))="","",INDEX(drops!$I$2:$I$21,MATCH($A91,drops!$A$2:$A$21,0))),"")="OK",IFERROR(IF(INDEX(drops!$B$2:$B$21,MATCH($A91,drops!$A$2:$A$21,0))="","",INDEX(drops!$B$2:$B$21,MATCH($A91,drops!$A$2:$A$21,0))),""),""))</f>
        <v/>
      </c>
      <c r="Q91" s="25">
        <f>IF($B91="","",IFERROR(IF(INDEX(offices!$N$2:$N$61,MATCH($B91,offices!$A$2:$A$61,0))="","",INDEX(offices!$N$2:$N$61,MATCH($B91,offices!$A$2:$A$61,0))),""))</f>
        <v/>
      </c>
      <c r="R91" s="25">
        <f>IF($B91="","",IFERROR(IF(INDEX(offices!$O$2:$O$61,MATCH($B91,offices!$A$2:$A$61,0))="","",INDEX(offices!$O$2:$O$61,MATCH($B91,offices!$A$2:$A$61,0))),""))</f>
        <v/>
      </c>
      <c r="S91" s="25">
        <f>IF($B91="","",IFERROR(IF(INDEX(offices!$P$2:$P$61,MATCH($B91,offices!$A$2:$A$61,0))="","",INDEX(offices!$P$2:$P$61,MATCH($B91,offices!$A$2:$A$61,0))),""))</f>
        <v/>
      </c>
      <c r="T91" s="25">
        <f>IF($B91="","",IFERROR(IF(INDEX(offices!$Y$2:$Y$61,MATCH($B91,offices!$A$2:$A$61,0))="","",INDEX(offices!$Y$2:$Y$61,MATCH($B91,offices!$A$2:$A$61,0))),""))</f>
        <v/>
      </c>
      <c r="U91" s="25">
        <f>IF($B91="","",IFERROR(IF(INDEX(offices!$X$2:$X$61,MATCH($B91,offices!$A$2:$A$61,0))="","",INDEX(offices!$X$2:$X$61,MATCH($B91,offices!$A$2:$A$61,0))),""))</f>
        <v/>
      </c>
      <c r="V91" s="25">
        <f>IF($B91="","",IFERROR(IF(INDEX(offices!$U$2:$U$61,MATCH($B91,offices!$A$2:$A$61,0))="","",INDEX(offices!$U$2:$U$61,MATCH($B91,offices!$A$2:$A$61,0))),""))</f>
        <v/>
      </c>
      <c r="W91" s="25">
        <f>IF($B91="","",IFERROR(IF(INDEX(offices!$AI$2:$AI$61,MATCH($B91,offices!$A$2:$A$61,0))="","",INDEX(offices!$AI$2:$AI$61,MATCH($B91,offices!$A$2:$A$61,0))),""))</f>
        <v/>
      </c>
      <c r="X91" s="25">
        <f>IF($B91="","",IFERROR(IF(INDEX(offices!$G$2:$G$61,MATCH($B91,offices!$A$2:$A$61,0))="","",INDEX(offices!$G$2:$G$61,MATCH($B91,offices!$A$2:$A$61,0))),""))</f>
        <v/>
      </c>
      <c r="Y91" s="25">
        <f>IF($B91="","",IFERROR(IF(INDEX(offices!$I$2:$I$61,MATCH($B91,offices!$A$2:$A$61,0))="","",INDEX(offices!$I$2:$I$61,MATCH($B91,offices!$A$2:$A$61,0))),""))</f>
        <v/>
      </c>
      <c r="Z91" s="25">
        <f>IF($A91="","",COUNTIFS(approvals!$H$2:$H$251,$A91,approvals!$B$2:$B$251,$B91,approvals!$P$2:$P$251,"Y"))</f>
        <v/>
      </c>
      <c r="AA91" s="25">
        <f>IF($A91="","",SUMIFS(approvals!$S$2:$S$251,approvals!$H$2:$H$251,$A91,approvals!$B$2:$B$251,$B91,approvals!$P$2:$P$251,"Y"))</f>
        <v/>
      </c>
      <c r="AB91" s="25">
        <f>IF(OR($A91="",$P91=""),"",IF(COUNTIFS(stops!$B$2:$B$151,$B91,stops!$P$2:$P$151,"&lt;"&amp;$P91,stops!$L$2:$L$151,"&lt;&gt;not_delivered")=0,"Y","N"))</f>
        <v/>
      </c>
      <c r="AC91" s="25">
        <f>IF(OR($I91="",$J91=""),"",ROUND(($J91-$I91)*1440,0))</f>
        <v/>
      </c>
      <c r="AD91" s="25">
        <f>IF($A91="","",IF(COUNTIFS(stops!$A$2:$A$151,$A91,stops!$B$2:$B$151,$B91)&gt;1,"DUPLICATE stop; ","")&amp;IF(AND(OR(IFERROR(IF(INDEX(offices!$Z$2:$Z$61,MATCH($B91,offices!$A$2:$A$61,0))="","",INDEX(offices!$Z$2:$Z$61,MATCH($B91,offices!$A$2:$A$61,0))),"")="yes",IFERROR(IF(INDEX(offices!$Z$2:$Z$61,MATCH($B91,offices!$A$2:$A$61,0))="","",INDEX(offices!$Z$2:$Z$61,MATCH($B91,offices!$A$2:$A$61,0))),"")="unsure"),$Y91&lt;&gt;"received",$Y91&lt;&gt;"not_needed"),"building certificate not received; ","")&amp;IF($W91="","owner phone missing; ","")&amp;IF(N($Z91)=0,"no approved brand for this stop; ","")&amp;IF(AND($P91&lt;&gt;"",IF(config!$B$37&lt;&gt;"",config!$B$37,TODAY())&gt;$P91,$L91=""),"log the outcome; ","")&amp;IF(AND(OR($L91="declined",$L91="building_refused",$L91="not_delivered"),N($Z91)&gt;0,COUNTIFS(approvals!$H$2:$H$251,$A91,approvals!$B$2:$B$251,$B91,approvals!$P$2:$P$251,"Y",approvals!$U$2:$U$251,"&gt;0")&gt;=N($Z91)),"outcome says "&amp;$L91&amp;" but every brand here is logged delivered: fix the outcome, or delete the wrong delivered rows (SOP section 4); ","")&amp;IF(AND(OR($L91="declined",$L91="building_refused",$L91="not_delivered"),COUNTIFS(approvals!$H$2:$H$251,$A91,approvals!$B$2:$B$251,$B91,approvals!$P$2:$P$251,"Y",approvals!$U$2:$U$251,"&gt;0")&gt;0,COUNTIFS(approvals!$H$2:$H$251,$A91,approvals!$B$2:$B$251,$B91,approvals!$P$2:$P$251,"Y",approvals!$U$2:$U$251,"&gt;0")&lt;N($Z91)),"info: "&amp;(N($Z91)-COUNTIFS(approvals!$H$2:$H$251,$A91,approvals!$B$2:$B$251,$B91,approvals!$P$2:$P$251,"Y",approvals!$U$2:$U$251,"&gt;0"))&amp;" brand(s) turned away at the door, the rest delivered; ","")&amp;IF(AND($AB91="Y",IFERROR(IF(INDEX(drops!$C$2:$C$21,MATCH($A91,drops!$A$2:$A$21,0))="","",INDEX(drops!$C$2:$C$21,MATCH($A91,drops!$A$2:$A$21,0))),"")="direct-ship"),"info: first drop: visit in person on T; ","")&amp;IF(AND($U91="front desk",$X91&lt;&gt;"Y"),"info: front desk not agreed: the owner must take it; ",""))</f>
        <v/>
      </c>
    </row>
    <row r="92">
      <c r="D92" s="33" t="n"/>
      <c r="E92" s="9" t="n"/>
      <c r="F92" s="9" t="n"/>
      <c r="G92" s="9" t="n"/>
      <c r="I92" s="33" t="n"/>
      <c r="J92" s="33" t="n"/>
      <c r="N92" s="9" t="n"/>
      <c r="P92" s="26">
        <f>IF($A92="","",IF(IFERROR(IF(INDEX(drops!$I$2:$I$21,MATCH($A92,drops!$A$2:$A$21,0))="","",INDEX(drops!$I$2:$I$21,MATCH($A92,drops!$A$2:$A$21,0))),"")="OK",IFERROR(IF(INDEX(drops!$B$2:$B$21,MATCH($A92,drops!$A$2:$A$21,0))="","",INDEX(drops!$B$2:$B$21,MATCH($A92,drops!$A$2:$A$21,0))),""),""))</f>
        <v/>
      </c>
      <c r="Q92" s="25">
        <f>IF($B92="","",IFERROR(IF(INDEX(offices!$N$2:$N$61,MATCH($B92,offices!$A$2:$A$61,0))="","",INDEX(offices!$N$2:$N$61,MATCH($B92,offices!$A$2:$A$61,0))),""))</f>
        <v/>
      </c>
      <c r="R92" s="25">
        <f>IF($B92="","",IFERROR(IF(INDEX(offices!$O$2:$O$61,MATCH($B92,offices!$A$2:$A$61,0))="","",INDEX(offices!$O$2:$O$61,MATCH($B92,offices!$A$2:$A$61,0))),""))</f>
        <v/>
      </c>
      <c r="S92" s="25">
        <f>IF($B92="","",IFERROR(IF(INDEX(offices!$P$2:$P$61,MATCH($B92,offices!$A$2:$A$61,0))="","",INDEX(offices!$P$2:$P$61,MATCH($B92,offices!$A$2:$A$61,0))),""))</f>
        <v/>
      </c>
      <c r="T92" s="25">
        <f>IF($B92="","",IFERROR(IF(INDEX(offices!$Y$2:$Y$61,MATCH($B92,offices!$A$2:$A$61,0))="","",INDEX(offices!$Y$2:$Y$61,MATCH($B92,offices!$A$2:$A$61,0))),""))</f>
        <v/>
      </c>
      <c r="U92" s="25">
        <f>IF($B92="","",IFERROR(IF(INDEX(offices!$X$2:$X$61,MATCH($B92,offices!$A$2:$A$61,0))="","",INDEX(offices!$X$2:$X$61,MATCH($B92,offices!$A$2:$A$61,0))),""))</f>
        <v/>
      </c>
      <c r="V92" s="25">
        <f>IF($B92="","",IFERROR(IF(INDEX(offices!$U$2:$U$61,MATCH($B92,offices!$A$2:$A$61,0))="","",INDEX(offices!$U$2:$U$61,MATCH($B92,offices!$A$2:$A$61,0))),""))</f>
        <v/>
      </c>
      <c r="W92" s="25">
        <f>IF($B92="","",IFERROR(IF(INDEX(offices!$AI$2:$AI$61,MATCH($B92,offices!$A$2:$A$61,0))="","",INDEX(offices!$AI$2:$AI$61,MATCH($B92,offices!$A$2:$A$61,0))),""))</f>
        <v/>
      </c>
      <c r="X92" s="25">
        <f>IF($B92="","",IFERROR(IF(INDEX(offices!$G$2:$G$61,MATCH($B92,offices!$A$2:$A$61,0))="","",INDEX(offices!$G$2:$G$61,MATCH($B92,offices!$A$2:$A$61,0))),""))</f>
        <v/>
      </c>
      <c r="Y92" s="25">
        <f>IF($B92="","",IFERROR(IF(INDEX(offices!$I$2:$I$61,MATCH($B92,offices!$A$2:$A$61,0))="","",INDEX(offices!$I$2:$I$61,MATCH($B92,offices!$A$2:$A$61,0))),""))</f>
        <v/>
      </c>
      <c r="Z92" s="25">
        <f>IF($A92="","",COUNTIFS(approvals!$H$2:$H$251,$A92,approvals!$B$2:$B$251,$B92,approvals!$P$2:$P$251,"Y"))</f>
        <v/>
      </c>
      <c r="AA92" s="25">
        <f>IF($A92="","",SUMIFS(approvals!$S$2:$S$251,approvals!$H$2:$H$251,$A92,approvals!$B$2:$B$251,$B92,approvals!$P$2:$P$251,"Y"))</f>
        <v/>
      </c>
      <c r="AB92" s="25">
        <f>IF(OR($A92="",$P92=""),"",IF(COUNTIFS(stops!$B$2:$B$151,$B92,stops!$P$2:$P$151,"&lt;"&amp;$P92,stops!$L$2:$L$151,"&lt;&gt;not_delivered")=0,"Y","N"))</f>
        <v/>
      </c>
      <c r="AC92" s="25">
        <f>IF(OR($I92="",$J92=""),"",ROUND(($J92-$I92)*1440,0))</f>
        <v/>
      </c>
      <c r="AD92" s="25">
        <f>IF($A92="","",IF(COUNTIFS(stops!$A$2:$A$151,$A92,stops!$B$2:$B$151,$B92)&gt;1,"DUPLICATE stop; ","")&amp;IF(AND(OR(IFERROR(IF(INDEX(offices!$Z$2:$Z$61,MATCH($B92,offices!$A$2:$A$61,0))="","",INDEX(offices!$Z$2:$Z$61,MATCH($B92,offices!$A$2:$A$61,0))),"")="yes",IFERROR(IF(INDEX(offices!$Z$2:$Z$61,MATCH($B92,offices!$A$2:$A$61,0))="","",INDEX(offices!$Z$2:$Z$61,MATCH($B92,offices!$A$2:$A$61,0))),"")="unsure"),$Y92&lt;&gt;"received",$Y92&lt;&gt;"not_needed"),"building certificate not received; ","")&amp;IF($W92="","owner phone missing; ","")&amp;IF(N($Z92)=0,"no approved brand for this stop; ","")&amp;IF(AND($P92&lt;&gt;"",IF(config!$B$37&lt;&gt;"",config!$B$37,TODAY())&gt;$P92,$L92=""),"log the outcome; ","")&amp;IF(AND(OR($L92="declined",$L92="building_refused",$L92="not_delivered"),N($Z92)&gt;0,COUNTIFS(approvals!$H$2:$H$251,$A92,approvals!$B$2:$B$251,$B92,approvals!$P$2:$P$251,"Y",approvals!$U$2:$U$251,"&gt;0")&gt;=N($Z92)),"outcome says "&amp;$L92&amp;" but every brand here is logged delivered: fix the outcome, or delete the wrong delivered rows (SOP section 4); ","")&amp;IF(AND(OR($L92="declined",$L92="building_refused",$L92="not_delivered"),COUNTIFS(approvals!$H$2:$H$251,$A92,approvals!$B$2:$B$251,$B92,approvals!$P$2:$P$251,"Y",approvals!$U$2:$U$251,"&gt;0")&gt;0,COUNTIFS(approvals!$H$2:$H$251,$A92,approvals!$B$2:$B$251,$B92,approvals!$P$2:$P$251,"Y",approvals!$U$2:$U$251,"&gt;0")&lt;N($Z92)),"info: "&amp;(N($Z92)-COUNTIFS(approvals!$H$2:$H$251,$A92,approvals!$B$2:$B$251,$B92,approvals!$P$2:$P$251,"Y",approvals!$U$2:$U$251,"&gt;0"))&amp;" brand(s) turned away at the door, the rest delivered; ","")&amp;IF(AND($AB92="Y",IFERROR(IF(INDEX(drops!$C$2:$C$21,MATCH($A92,drops!$A$2:$A$21,0))="","",INDEX(drops!$C$2:$C$21,MATCH($A92,drops!$A$2:$A$21,0))),"")="direct-ship"),"info: first drop: visit in person on T; ","")&amp;IF(AND($U92="front desk",$X92&lt;&gt;"Y"),"info: front desk not agreed: the owner must take it; ",""))</f>
        <v/>
      </c>
    </row>
    <row r="93">
      <c r="D93" s="33" t="n"/>
      <c r="E93" s="9" t="n"/>
      <c r="F93" s="9" t="n"/>
      <c r="G93" s="9" t="n"/>
      <c r="I93" s="33" t="n"/>
      <c r="J93" s="33" t="n"/>
      <c r="N93" s="9" t="n"/>
      <c r="P93" s="26">
        <f>IF($A93="","",IF(IFERROR(IF(INDEX(drops!$I$2:$I$21,MATCH($A93,drops!$A$2:$A$21,0))="","",INDEX(drops!$I$2:$I$21,MATCH($A93,drops!$A$2:$A$21,0))),"")="OK",IFERROR(IF(INDEX(drops!$B$2:$B$21,MATCH($A93,drops!$A$2:$A$21,0))="","",INDEX(drops!$B$2:$B$21,MATCH($A93,drops!$A$2:$A$21,0))),""),""))</f>
        <v/>
      </c>
      <c r="Q93" s="25">
        <f>IF($B93="","",IFERROR(IF(INDEX(offices!$N$2:$N$61,MATCH($B93,offices!$A$2:$A$61,0))="","",INDEX(offices!$N$2:$N$61,MATCH($B93,offices!$A$2:$A$61,0))),""))</f>
        <v/>
      </c>
      <c r="R93" s="25">
        <f>IF($B93="","",IFERROR(IF(INDEX(offices!$O$2:$O$61,MATCH($B93,offices!$A$2:$A$61,0))="","",INDEX(offices!$O$2:$O$61,MATCH($B93,offices!$A$2:$A$61,0))),""))</f>
        <v/>
      </c>
      <c r="S93" s="25">
        <f>IF($B93="","",IFERROR(IF(INDEX(offices!$P$2:$P$61,MATCH($B93,offices!$A$2:$A$61,0))="","",INDEX(offices!$P$2:$P$61,MATCH($B93,offices!$A$2:$A$61,0))),""))</f>
        <v/>
      </c>
      <c r="T93" s="25">
        <f>IF($B93="","",IFERROR(IF(INDEX(offices!$Y$2:$Y$61,MATCH($B93,offices!$A$2:$A$61,0))="","",INDEX(offices!$Y$2:$Y$61,MATCH($B93,offices!$A$2:$A$61,0))),""))</f>
        <v/>
      </c>
      <c r="U93" s="25">
        <f>IF($B93="","",IFERROR(IF(INDEX(offices!$X$2:$X$61,MATCH($B93,offices!$A$2:$A$61,0))="","",INDEX(offices!$X$2:$X$61,MATCH($B93,offices!$A$2:$A$61,0))),""))</f>
        <v/>
      </c>
      <c r="V93" s="25">
        <f>IF($B93="","",IFERROR(IF(INDEX(offices!$U$2:$U$61,MATCH($B93,offices!$A$2:$A$61,0))="","",INDEX(offices!$U$2:$U$61,MATCH($B93,offices!$A$2:$A$61,0))),""))</f>
        <v/>
      </c>
      <c r="W93" s="25">
        <f>IF($B93="","",IFERROR(IF(INDEX(offices!$AI$2:$AI$61,MATCH($B93,offices!$A$2:$A$61,0))="","",INDEX(offices!$AI$2:$AI$61,MATCH($B93,offices!$A$2:$A$61,0))),""))</f>
        <v/>
      </c>
      <c r="X93" s="25">
        <f>IF($B93="","",IFERROR(IF(INDEX(offices!$G$2:$G$61,MATCH($B93,offices!$A$2:$A$61,0))="","",INDEX(offices!$G$2:$G$61,MATCH($B93,offices!$A$2:$A$61,0))),""))</f>
        <v/>
      </c>
      <c r="Y93" s="25">
        <f>IF($B93="","",IFERROR(IF(INDEX(offices!$I$2:$I$61,MATCH($B93,offices!$A$2:$A$61,0))="","",INDEX(offices!$I$2:$I$61,MATCH($B93,offices!$A$2:$A$61,0))),""))</f>
        <v/>
      </c>
      <c r="Z93" s="25">
        <f>IF($A93="","",COUNTIFS(approvals!$H$2:$H$251,$A93,approvals!$B$2:$B$251,$B93,approvals!$P$2:$P$251,"Y"))</f>
        <v/>
      </c>
      <c r="AA93" s="25">
        <f>IF($A93="","",SUMIFS(approvals!$S$2:$S$251,approvals!$H$2:$H$251,$A93,approvals!$B$2:$B$251,$B93,approvals!$P$2:$P$251,"Y"))</f>
        <v/>
      </c>
      <c r="AB93" s="25">
        <f>IF(OR($A93="",$P93=""),"",IF(COUNTIFS(stops!$B$2:$B$151,$B93,stops!$P$2:$P$151,"&lt;"&amp;$P93,stops!$L$2:$L$151,"&lt;&gt;not_delivered")=0,"Y","N"))</f>
        <v/>
      </c>
      <c r="AC93" s="25">
        <f>IF(OR($I93="",$J93=""),"",ROUND(($J93-$I93)*1440,0))</f>
        <v/>
      </c>
      <c r="AD93" s="25">
        <f>IF($A93="","",IF(COUNTIFS(stops!$A$2:$A$151,$A93,stops!$B$2:$B$151,$B93)&gt;1,"DUPLICATE stop; ","")&amp;IF(AND(OR(IFERROR(IF(INDEX(offices!$Z$2:$Z$61,MATCH($B93,offices!$A$2:$A$61,0))="","",INDEX(offices!$Z$2:$Z$61,MATCH($B93,offices!$A$2:$A$61,0))),"")="yes",IFERROR(IF(INDEX(offices!$Z$2:$Z$61,MATCH($B93,offices!$A$2:$A$61,0))="","",INDEX(offices!$Z$2:$Z$61,MATCH($B93,offices!$A$2:$A$61,0))),"")="unsure"),$Y93&lt;&gt;"received",$Y93&lt;&gt;"not_needed"),"building certificate not received; ","")&amp;IF($W93="","owner phone missing; ","")&amp;IF(N($Z93)=0,"no approved brand for this stop; ","")&amp;IF(AND($P93&lt;&gt;"",IF(config!$B$37&lt;&gt;"",config!$B$37,TODAY())&gt;$P93,$L93=""),"log the outcome; ","")&amp;IF(AND(OR($L93="declined",$L93="building_refused",$L93="not_delivered"),N($Z93)&gt;0,COUNTIFS(approvals!$H$2:$H$251,$A93,approvals!$B$2:$B$251,$B93,approvals!$P$2:$P$251,"Y",approvals!$U$2:$U$251,"&gt;0")&gt;=N($Z93)),"outcome says "&amp;$L93&amp;" but every brand here is logged delivered: fix the outcome, or delete the wrong delivered rows (SOP section 4); ","")&amp;IF(AND(OR($L93="declined",$L93="building_refused",$L93="not_delivered"),COUNTIFS(approvals!$H$2:$H$251,$A93,approvals!$B$2:$B$251,$B93,approvals!$P$2:$P$251,"Y",approvals!$U$2:$U$251,"&gt;0")&gt;0,COUNTIFS(approvals!$H$2:$H$251,$A93,approvals!$B$2:$B$251,$B93,approvals!$P$2:$P$251,"Y",approvals!$U$2:$U$251,"&gt;0")&lt;N($Z93)),"info: "&amp;(N($Z93)-COUNTIFS(approvals!$H$2:$H$251,$A93,approvals!$B$2:$B$251,$B93,approvals!$P$2:$P$251,"Y",approvals!$U$2:$U$251,"&gt;0"))&amp;" brand(s) turned away at the door, the rest delivered; ","")&amp;IF(AND($AB93="Y",IFERROR(IF(INDEX(drops!$C$2:$C$21,MATCH($A93,drops!$A$2:$A$21,0))="","",INDEX(drops!$C$2:$C$21,MATCH($A93,drops!$A$2:$A$21,0))),"")="direct-ship"),"info: first drop: visit in person on T; ","")&amp;IF(AND($U93="front desk",$X93&lt;&gt;"Y"),"info: front desk not agreed: the owner must take it; ",""))</f>
        <v/>
      </c>
    </row>
    <row r="94">
      <c r="D94" s="33" t="n"/>
      <c r="E94" s="9" t="n"/>
      <c r="F94" s="9" t="n"/>
      <c r="G94" s="9" t="n"/>
      <c r="I94" s="33" t="n"/>
      <c r="J94" s="33" t="n"/>
      <c r="N94" s="9" t="n"/>
      <c r="P94" s="26">
        <f>IF($A94="","",IF(IFERROR(IF(INDEX(drops!$I$2:$I$21,MATCH($A94,drops!$A$2:$A$21,0))="","",INDEX(drops!$I$2:$I$21,MATCH($A94,drops!$A$2:$A$21,0))),"")="OK",IFERROR(IF(INDEX(drops!$B$2:$B$21,MATCH($A94,drops!$A$2:$A$21,0))="","",INDEX(drops!$B$2:$B$21,MATCH($A94,drops!$A$2:$A$21,0))),""),""))</f>
        <v/>
      </c>
      <c r="Q94" s="25">
        <f>IF($B94="","",IFERROR(IF(INDEX(offices!$N$2:$N$61,MATCH($B94,offices!$A$2:$A$61,0))="","",INDEX(offices!$N$2:$N$61,MATCH($B94,offices!$A$2:$A$61,0))),""))</f>
        <v/>
      </c>
      <c r="R94" s="25">
        <f>IF($B94="","",IFERROR(IF(INDEX(offices!$O$2:$O$61,MATCH($B94,offices!$A$2:$A$61,0))="","",INDEX(offices!$O$2:$O$61,MATCH($B94,offices!$A$2:$A$61,0))),""))</f>
        <v/>
      </c>
      <c r="S94" s="25">
        <f>IF($B94="","",IFERROR(IF(INDEX(offices!$P$2:$P$61,MATCH($B94,offices!$A$2:$A$61,0))="","",INDEX(offices!$P$2:$P$61,MATCH($B94,offices!$A$2:$A$61,0))),""))</f>
        <v/>
      </c>
      <c r="T94" s="25">
        <f>IF($B94="","",IFERROR(IF(INDEX(offices!$Y$2:$Y$61,MATCH($B94,offices!$A$2:$A$61,0))="","",INDEX(offices!$Y$2:$Y$61,MATCH($B94,offices!$A$2:$A$61,0))),""))</f>
        <v/>
      </c>
      <c r="U94" s="25">
        <f>IF($B94="","",IFERROR(IF(INDEX(offices!$X$2:$X$61,MATCH($B94,offices!$A$2:$A$61,0))="","",INDEX(offices!$X$2:$X$61,MATCH($B94,offices!$A$2:$A$61,0))),""))</f>
        <v/>
      </c>
      <c r="V94" s="25">
        <f>IF($B94="","",IFERROR(IF(INDEX(offices!$U$2:$U$61,MATCH($B94,offices!$A$2:$A$61,0))="","",INDEX(offices!$U$2:$U$61,MATCH($B94,offices!$A$2:$A$61,0))),""))</f>
        <v/>
      </c>
      <c r="W94" s="25">
        <f>IF($B94="","",IFERROR(IF(INDEX(offices!$AI$2:$AI$61,MATCH($B94,offices!$A$2:$A$61,0))="","",INDEX(offices!$AI$2:$AI$61,MATCH($B94,offices!$A$2:$A$61,0))),""))</f>
        <v/>
      </c>
      <c r="X94" s="25">
        <f>IF($B94="","",IFERROR(IF(INDEX(offices!$G$2:$G$61,MATCH($B94,offices!$A$2:$A$61,0))="","",INDEX(offices!$G$2:$G$61,MATCH($B94,offices!$A$2:$A$61,0))),""))</f>
        <v/>
      </c>
      <c r="Y94" s="25">
        <f>IF($B94="","",IFERROR(IF(INDEX(offices!$I$2:$I$61,MATCH($B94,offices!$A$2:$A$61,0))="","",INDEX(offices!$I$2:$I$61,MATCH($B94,offices!$A$2:$A$61,0))),""))</f>
        <v/>
      </c>
      <c r="Z94" s="25">
        <f>IF($A94="","",COUNTIFS(approvals!$H$2:$H$251,$A94,approvals!$B$2:$B$251,$B94,approvals!$P$2:$P$251,"Y"))</f>
        <v/>
      </c>
      <c r="AA94" s="25">
        <f>IF($A94="","",SUMIFS(approvals!$S$2:$S$251,approvals!$H$2:$H$251,$A94,approvals!$B$2:$B$251,$B94,approvals!$P$2:$P$251,"Y"))</f>
        <v/>
      </c>
      <c r="AB94" s="25">
        <f>IF(OR($A94="",$P94=""),"",IF(COUNTIFS(stops!$B$2:$B$151,$B94,stops!$P$2:$P$151,"&lt;"&amp;$P94,stops!$L$2:$L$151,"&lt;&gt;not_delivered")=0,"Y","N"))</f>
        <v/>
      </c>
      <c r="AC94" s="25">
        <f>IF(OR($I94="",$J94=""),"",ROUND(($J94-$I94)*1440,0))</f>
        <v/>
      </c>
      <c r="AD94" s="25">
        <f>IF($A94="","",IF(COUNTIFS(stops!$A$2:$A$151,$A94,stops!$B$2:$B$151,$B94)&gt;1,"DUPLICATE stop; ","")&amp;IF(AND(OR(IFERROR(IF(INDEX(offices!$Z$2:$Z$61,MATCH($B94,offices!$A$2:$A$61,0))="","",INDEX(offices!$Z$2:$Z$61,MATCH($B94,offices!$A$2:$A$61,0))),"")="yes",IFERROR(IF(INDEX(offices!$Z$2:$Z$61,MATCH($B94,offices!$A$2:$A$61,0))="","",INDEX(offices!$Z$2:$Z$61,MATCH($B94,offices!$A$2:$A$61,0))),"")="unsure"),$Y94&lt;&gt;"received",$Y94&lt;&gt;"not_needed"),"building certificate not received; ","")&amp;IF($W94="","owner phone missing; ","")&amp;IF(N($Z94)=0,"no approved brand for this stop; ","")&amp;IF(AND($P94&lt;&gt;"",IF(config!$B$37&lt;&gt;"",config!$B$37,TODAY())&gt;$P94,$L94=""),"log the outcome; ","")&amp;IF(AND(OR($L94="declined",$L94="building_refused",$L94="not_delivered"),N($Z94)&gt;0,COUNTIFS(approvals!$H$2:$H$251,$A94,approvals!$B$2:$B$251,$B94,approvals!$P$2:$P$251,"Y",approvals!$U$2:$U$251,"&gt;0")&gt;=N($Z94)),"outcome says "&amp;$L94&amp;" but every brand here is logged delivered: fix the outcome, or delete the wrong delivered rows (SOP section 4); ","")&amp;IF(AND(OR($L94="declined",$L94="building_refused",$L94="not_delivered"),COUNTIFS(approvals!$H$2:$H$251,$A94,approvals!$B$2:$B$251,$B94,approvals!$P$2:$P$251,"Y",approvals!$U$2:$U$251,"&gt;0")&gt;0,COUNTIFS(approvals!$H$2:$H$251,$A94,approvals!$B$2:$B$251,$B94,approvals!$P$2:$P$251,"Y",approvals!$U$2:$U$251,"&gt;0")&lt;N($Z94)),"info: "&amp;(N($Z94)-COUNTIFS(approvals!$H$2:$H$251,$A94,approvals!$B$2:$B$251,$B94,approvals!$P$2:$P$251,"Y",approvals!$U$2:$U$251,"&gt;0"))&amp;" brand(s) turned away at the door, the rest delivered; ","")&amp;IF(AND($AB94="Y",IFERROR(IF(INDEX(drops!$C$2:$C$21,MATCH($A94,drops!$A$2:$A$21,0))="","",INDEX(drops!$C$2:$C$21,MATCH($A94,drops!$A$2:$A$21,0))),"")="direct-ship"),"info: first drop: visit in person on T; ","")&amp;IF(AND($U94="front desk",$X94&lt;&gt;"Y"),"info: front desk not agreed: the owner must take it; ",""))</f>
        <v/>
      </c>
    </row>
    <row r="95">
      <c r="D95" s="33" t="n"/>
      <c r="E95" s="9" t="n"/>
      <c r="F95" s="9" t="n"/>
      <c r="G95" s="9" t="n"/>
      <c r="I95" s="33" t="n"/>
      <c r="J95" s="33" t="n"/>
      <c r="N95" s="9" t="n"/>
      <c r="P95" s="26">
        <f>IF($A95="","",IF(IFERROR(IF(INDEX(drops!$I$2:$I$21,MATCH($A95,drops!$A$2:$A$21,0))="","",INDEX(drops!$I$2:$I$21,MATCH($A95,drops!$A$2:$A$21,0))),"")="OK",IFERROR(IF(INDEX(drops!$B$2:$B$21,MATCH($A95,drops!$A$2:$A$21,0))="","",INDEX(drops!$B$2:$B$21,MATCH($A95,drops!$A$2:$A$21,0))),""),""))</f>
        <v/>
      </c>
      <c r="Q95" s="25">
        <f>IF($B95="","",IFERROR(IF(INDEX(offices!$N$2:$N$61,MATCH($B95,offices!$A$2:$A$61,0))="","",INDEX(offices!$N$2:$N$61,MATCH($B95,offices!$A$2:$A$61,0))),""))</f>
        <v/>
      </c>
      <c r="R95" s="25">
        <f>IF($B95="","",IFERROR(IF(INDEX(offices!$O$2:$O$61,MATCH($B95,offices!$A$2:$A$61,0))="","",INDEX(offices!$O$2:$O$61,MATCH($B95,offices!$A$2:$A$61,0))),""))</f>
        <v/>
      </c>
      <c r="S95" s="25">
        <f>IF($B95="","",IFERROR(IF(INDEX(offices!$P$2:$P$61,MATCH($B95,offices!$A$2:$A$61,0))="","",INDEX(offices!$P$2:$P$61,MATCH($B95,offices!$A$2:$A$61,0))),""))</f>
        <v/>
      </c>
      <c r="T95" s="25">
        <f>IF($B95="","",IFERROR(IF(INDEX(offices!$Y$2:$Y$61,MATCH($B95,offices!$A$2:$A$61,0))="","",INDEX(offices!$Y$2:$Y$61,MATCH($B95,offices!$A$2:$A$61,0))),""))</f>
        <v/>
      </c>
      <c r="U95" s="25">
        <f>IF($B95="","",IFERROR(IF(INDEX(offices!$X$2:$X$61,MATCH($B95,offices!$A$2:$A$61,0))="","",INDEX(offices!$X$2:$X$61,MATCH($B95,offices!$A$2:$A$61,0))),""))</f>
        <v/>
      </c>
      <c r="V95" s="25">
        <f>IF($B95="","",IFERROR(IF(INDEX(offices!$U$2:$U$61,MATCH($B95,offices!$A$2:$A$61,0))="","",INDEX(offices!$U$2:$U$61,MATCH($B95,offices!$A$2:$A$61,0))),""))</f>
        <v/>
      </c>
      <c r="W95" s="25">
        <f>IF($B95="","",IFERROR(IF(INDEX(offices!$AI$2:$AI$61,MATCH($B95,offices!$A$2:$A$61,0))="","",INDEX(offices!$AI$2:$AI$61,MATCH($B95,offices!$A$2:$A$61,0))),""))</f>
        <v/>
      </c>
      <c r="X95" s="25">
        <f>IF($B95="","",IFERROR(IF(INDEX(offices!$G$2:$G$61,MATCH($B95,offices!$A$2:$A$61,0))="","",INDEX(offices!$G$2:$G$61,MATCH($B95,offices!$A$2:$A$61,0))),""))</f>
        <v/>
      </c>
      <c r="Y95" s="25">
        <f>IF($B95="","",IFERROR(IF(INDEX(offices!$I$2:$I$61,MATCH($B95,offices!$A$2:$A$61,0))="","",INDEX(offices!$I$2:$I$61,MATCH($B95,offices!$A$2:$A$61,0))),""))</f>
        <v/>
      </c>
      <c r="Z95" s="25">
        <f>IF($A95="","",COUNTIFS(approvals!$H$2:$H$251,$A95,approvals!$B$2:$B$251,$B95,approvals!$P$2:$P$251,"Y"))</f>
        <v/>
      </c>
      <c r="AA95" s="25">
        <f>IF($A95="","",SUMIFS(approvals!$S$2:$S$251,approvals!$H$2:$H$251,$A95,approvals!$B$2:$B$251,$B95,approvals!$P$2:$P$251,"Y"))</f>
        <v/>
      </c>
      <c r="AB95" s="25">
        <f>IF(OR($A95="",$P95=""),"",IF(COUNTIFS(stops!$B$2:$B$151,$B95,stops!$P$2:$P$151,"&lt;"&amp;$P95,stops!$L$2:$L$151,"&lt;&gt;not_delivered")=0,"Y","N"))</f>
        <v/>
      </c>
      <c r="AC95" s="25">
        <f>IF(OR($I95="",$J95=""),"",ROUND(($J95-$I95)*1440,0))</f>
        <v/>
      </c>
      <c r="AD95" s="25">
        <f>IF($A95="","",IF(COUNTIFS(stops!$A$2:$A$151,$A95,stops!$B$2:$B$151,$B95)&gt;1,"DUPLICATE stop; ","")&amp;IF(AND(OR(IFERROR(IF(INDEX(offices!$Z$2:$Z$61,MATCH($B95,offices!$A$2:$A$61,0))="","",INDEX(offices!$Z$2:$Z$61,MATCH($B95,offices!$A$2:$A$61,0))),"")="yes",IFERROR(IF(INDEX(offices!$Z$2:$Z$61,MATCH($B95,offices!$A$2:$A$61,0))="","",INDEX(offices!$Z$2:$Z$61,MATCH($B95,offices!$A$2:$A$61,0))),"")="unsure"),$Y95&lt;&gt;"received",$Y95&lt;&gt;"not_needed"),"building certificate not received; ","")&amp;IF($W95="","owner phone missing; ","")&amp;IF(N($Z95)=0,"no approved brand for this stop; ","")&amp;IF(AND($P95&lt;&gt;"",IF(config!$B$37&lt;&gt;"",config!$B$37,TODAY())&gt;$P95,$L95=""),"log the outcome; ","")&amp;IF(AND(OR($L95="declined",$L95="building_refused",$L95="not_delivered"),N($Z95)&gt;0,COUNTIFS(approvals!$H$2:$H$251,$A95,approvals!$B$2:$B$251,$B95,approvals!$P$2:$P$251,"Y",approvals!$U$2:$U$251,"&gt;0")&gt;=N($Z95)),"outcome says "&amp;$L95&amp;" but every brand here is logged delivered: fix the outcome, or delete the wrong delivered rows (SOP section 4); ","")&amp;IF(AND(OR($L95="declined",$L95="building_refused",$L95="not_delivered"),COUNTIFS(approvals!$H$2:$H$251,$A95,approvals!$B$2:$B$251,$B95,approvals!$P$2:$P$251,"Y",approvals!$U$2:$U$251,"&gt;0")&gt;0,COUNTIFS(approvals!$H$2:$H$251,$A95,approvals!$B$2:$B$251,$B95,approvals!$P$2:$P$251,"Y",approvals!$U$2:$U$251,"&gt;0")&lt;N($Z95)),"info: "&amp;(N($Z95)-COUNTIFS(approvals!$H$2:$H$251,$A95,approvals!$B$2:$B$251,$B95,approvals!$P$2:$P$251,"Y",approvals!$U$2:$U$251,"&gt;0"))&amp;" brand(s) turned away at the door, the rest delivered; ","")&amp;IF(AND($AB95="Y",IFERROR(IF(INDEX(drops!$C$2:$C$21,MATCH($A95,drops!$A$2:$A$21,0))="","",INDEX(drops!$C$2:$C$21,MATCH($A95,drops!$A$2:$A$21,0))),"")="direct-ship"),"info: first drop: visit in person on T; ","")&amp;IF(AND($U95="front desk",$X95&lt;&gt;"Y"),"info: front desk not agreed: the owner must take it; ",""))</f>
        <v/>
      </c>
    </row>
    <row r="96">
      <c r="D96" s="33" t="n"/>
      <c r="E96" s="9" t="n"/>
      <c r="F96" s="9" t="n"/>
      <c r="G96" s="9" t="n"/>
      <c r="I96" s="33" t="n"/>
      <c r="J96" s="33" t="n"/>
      <c r="N96" s="9" t="n"/>
      <c r="P96" s="26">
        <f>IF($A96="","",IF(IFERROR(IF(INDEX(drops!$I$2:$I$21,MATCH($A96,drops!$A$2:$A$21,0))="","",INDEX(drops!$I$2:$I$21,MATCH($A96,drops!$A$2:$A$21,0))),"")="OK",IFERROR(IF(INDEX(drops!$B$2:$B$21,MATCH($A96,drops!$A$2:$A$21,0))="","",INDEX(drops!$B$2:$B$21,MATCH($A96,drops!$A$2:$A$21,0))),""),""))</f>
        <v/>
      </c>
      <c r="Q96" s="25">
        <f>IF($B96="","",IFERROR(IF(INDEX(offices!$N$2:$N$61,MATCH($B96,offices!$A$2:$A$61,0))="","",INDEX(offices!$N$2:$N$61,MATCH($B96,offices!$A$2:$A$61,0))),""))</f>
        <v/>
      </c>
      <c r="R96" s="25">
        <f>IF($B96="","",IFERROR(IF(INDEX(offices!$O$2:$O$61,MATCH($B96,offices!$A$2:$A$61,0))="","",INDEX(offices!$O$2:$O$61,MATCH($B96,offices!$A$2:$A$61,0))),""))</f>
        <v/>
      </c>
      <c r="S96" s="25">
        <f>IF($B96="","",IFERROR(IF(INDEX(offices!$P$2:$P$61,MATCH($B96,offices!$A$2:$A$61,0))="","",INDEX(offices!$P$2:$P$61,MATCH($B96,offices!$A$2:$A$61,0))),""))</f>
        <v/>
      </c>
      <c r="T96" s="25">
        <f>IF($B96="","",IFERROR(IF(INDEX(offices!$Y$2:$Y$61,MATCH($B96,offices!$A$2:$A$61,0))="","",INDEX(offices!$Y$2:$Y$61,MATCH($B96,offices!$A$2:$A$61,0))),""))</f>
        <v/>
      </c>
      <c r="U96" s="25">
        <f>IF($B96="","",IFERROR(IF(INDEX(offices!$X$2:$X$61,MATCH($B96,offices!$A$2:$A$61,0))="","",INDEX(offices!$X$2:$X$61,MATCH($B96,offices!$A$2:$A$61,0))),""))</f>
        <v/>
      </c>
      <c r="V96" s="25">
        <f>IF($B96="","",IFERROR(IF(INDEX(offices!$U$2:$U$61,MATCH($B96,offices!$A$2:$A$61,0))="","",INDEX(offices!$U$2:$U$61,MATCH($B96,offices!$A$2:$A$61,0))),""))</f>
        <v/>
      </c>
      <c r="W96" s="25">
        <f>IF($B96="","",IFERROR(IF(INDEX(offices!$AI$2:$AI$61,MATCH($B96,offices!$A$2:$A$61,0))="","",INDEX(offices!$AI$2:$AI$61,MATCH($B96,offices!$A$2:$A$61,0))),""))</f>
        <v/>
      </c>
      <c r="X96" s="25">
        <f>IF($B96="","",IFERROR(IF(INDEX(offices!$G$2:$G$61,MATCH($B96,offices!$A$2:$A$61,0))="","",INDEX(offices!$G$2:$G$61,MATCH($B96,offices!$A$2:$A$61,0))),""))</f>
        <v/>
      </c>
      <c r="Y96" s="25">
        <f>IF($B96="","",IFERROR(IF(INDEX(offices!$I$2:$I$61,MATCH($B96,offices!$A$2:$A$61,0))="","",INDEX(offices!$I$2:$I$61,MATCH($B96,offices!$A$2:$A$61,0))),""))</f>
        <v/>
      </c>
      <c r="Z96" s="25">
        <f>IF($A96="","",COUNTIFS(approvals!$H$2:$H$251,$A96,approvals!$B$2:$B$251,$B96,approvals!$P$2:$P$251,"Y"))</f>
        <v/>
      </c>
      <c r="AA96" s="25">
        <f>IF($A96="","",SUMIFS(approvals!$S$2:$S$251,approvals!$H$2:$H$251,$A96,approvals!$B$2:$B$251,$B96,approvals!$P$2:$P$251,"Y"))</f>
        <v/>
      </c>
      <c r="AB96" s="25">
        <f>IF(OR($A96="",$P96=""),"",IF(COUNTIFS(stops!$B$2:$B$151,$B96,stops!$P$2:$P$151,"&lt;"&amp;$P96,stops!$L$2:$L$151,"&lt;&gt;not_delivered")=0,"Y","N"))</f>
        <v/>
      </c>
      <c r="AC96" s="25">
        <f>IF(OR($I96="",$J96=""),"",ROUND(($J96-$I96)*1440,0))</f>
        <v/>
      </c>
      <c r="AD96" s="25">
        <f>IF($A96="","",IF(COUNTIFS(stops!$A$2:$A$151,$A96,stops!$B$2:$B$151,$B96)&gt;1,"DUPLICATE stop; ","")&amp;IF(AND(OR(IFERROR(IF(INDEX(offices!$Z$2:$Z$61,MATCH($B96,offices!$A$2:$A$61,0))="","",INDEX(offices!$Z$2:$Z$61,MATCH($B96,offices!$A$2:$A$61,0))),"")="yes",IFERROR(IF(INDEX(offices!$Z$2:$Z$61,MATCH($B96,offices!$A$2:$A$61,0))="","",INDEX(offices!$Z$2:$Z$61,MATCH($B96,offices!$A$2:$A$61,0))),"")="unsure"),$Y96&lt;&gt;"received",$Y96&lt;&gt;"not_needed"),"building certificate not received; ","")&amp;IF($W96="","owner phone missing; ","")&amp;IF(N($Z96)=0,"no approved brand for this stop; ","")&amp;IF(AND($P96&lt;&gt;"",IF(config!$B$37&lt;&gt;"",config!$B$37,TODAY())&gt;$P96,$L96=""),"log the outcome; ","")&amp;IF(AND(OR($L96="declined",$L96="building_refused",$L96="not_delivered"),N($Z96)&gt;0,COUNTIFS(approvals!$H$2:$H$251,$A96,approvals!$B$2:$B$251,$B96,approvals!$P$2:$P$251,"Y",approvals!$U$2:$U$251,"&gt;0")&gt;=N($Z96)),"outcome says "&amp;$L96&amp;" but every brand here is logged delivered: fix the outcome, or delete the wrong delivered rows (SOP section 4); ","")&amp;IF(AND(OR($L96="declined",$L96="building_refused",$L96="not_delivered"),COUNTIFS(approvals!$H$2:$H$251,$A96,approvals!$B$2:$B$251,$B96,approvals!$P$2:$P$251,"Y",approvals!$U$2:$U$251,"&gt;0")&gt;0,COUNTIFS(approvals!$H$2:$H$251,$A96,approvals!$B$2:$B$251,$B96,approvals!$P$2:$P$251,"Y",approvals!$U$2:$U$251,"&gt;0")&lt;N($Z96)),"info: "&amp;(N($Z96)-COUNTIFS(approvals!$H$2:$H$251,$A96,approvals!$B$2:$B$251,$B96,approvals!$P$2:$P$251,"Y",approvals!$U$2:$U$251,"&gt;0"))&amp;" brand(s) turned away at the door, the rest delivered; ","")&amp;IF(AND($AB96="Y",IFERROR(IF(INDEX(drops!$C$2:$C$21,MATCH($A96,drops!$A$2:$A$21,0))="","",INDEX(drops!$C$2:$C$21,MATCH($A96,drops!$A$2:$A$21,0))),"")="direct-ship"),"info: first drop: visit in person on T; ","")&amp;IF(AND($U96="front desk",$X96&lt;&gt;"Y"),"info: front desk not agreed: the owner must take it; ",""))</f>
        <v/>
      </c>
    </row>
    <row r="97">
      <c r="D97" s="33" t="n"/>
      <c r="E97" s="9" t="n"/>
      <c r="F97" s="9" t="n"/>
      <c r="G97" s="9" t="n"/>
      <c r="I97" s="33" t="n"/>
      <c r="J97" s="33" t="n"/>
      <c r="N97" s="9" t="n"/>
      <c r="P97" s="26">
        <f>IF($A97="","",IF(IFERROR(IF(INDEX(drops!$I$2:$I$21,MATCH($A97,drops!$A$2:$A$21,0))="","",INDEX(drops!$I$2:$I$21,MATCH($A97,drops!$A$2:$A$21,0))),"")="OK",IFERROR(IF(INDEX(drops!$B$2:$B$21,MATCH($A97,drops!$A$2:$A$21,0))="","",INDEX(drops!$B$2:$B$21,MATCH($A97,drops!$A$2:$A$21,0))),""),""))</f>
        <v/>
      </c>
      <c r="Q97" s="25">
        <f>IF($B97="","",IFERROR(IF(INDEX(offices!$N$2:$N$61,MATCH($B97,offices!$A$2:$A$61,0))="","",INDEX(offices!$N$2:$N$61,MATCH($B97,offices!$A$2:$A$61,0))),""))</f>
        <v/>
      </c>
      <c r="R97" s="25">
        <f>IF($B97="","",IFERROR(IF(INDEX(offices!$O$2:$O$61,MATCH($B97,offices!$A$2:$A$61,0))="","",INDEX(offices!$O$2:$O$61,MATCH($B97,offices!$A$2:$A$61,0))),""))</f>
        <v/>
      </c>
      <c r="S97" s="25">
        <f>IF($B97="","",IFERROR(IF(INDEX(offices!$P$2:$P$61,MATCH($B97,offices!$A$2:$A$61,0))="","",INDEX(offices!$P$2:$P$61,MATCH($B97,offices!$A$2:$A$61,0))),""))</f>
        <v/>
      </c>
      <c r="T97" s="25">
        <f>IF($B97="","",IFERROR(IF(INDEX(offices!$Y$2:$Y$61,MATCH($B97,offices!$A$2:$A$61,0))="","",INDEX(offices!$Y$2:$Y$61,MATCH($B97,offices!$A$2:$A$61,0))),""))</f>
        <v/>
      </c>
      <c r="U97" s="25">
        <f>IF($B97="","",IFERROR(IF(INDEX(offices!$X$2:$X$61,MATCH($B97,offices!$A$2:$A$61,0))="","",INDEX(offices!$X$2:$X$61,MATCH($B97,offices!$A$2:$A$61,0))),""))</f>
        <v/>
      </c>
      <c r="V97" s="25">
        <f>IF($B97="","",IFERROR(IF(INDEX(offices!$U$2:$U$61,MATCH($B97,offices!$A$2:$A$61,0))="","",INDEX(offices!$U$2:$U$61,MATCH($B97,offices!$A$2:$A$61,0))),""))</f>
        <v/>
      </c>
      <c r="W97" s="25">
        <f>IF($B97="","",IFERROR(IF(INDEX(offices!$AI$2:$AI$61,MATCH($B97,offices!$A$2:$A$61,0))="","",INDEX(offices!$AI$2:$AI$61,MATCH($B97,offices!$A$2:$A$61,0))),""))</f>
        <v/>
      </c>
      <c r="X97" s="25">
        <f>IF($B97="","",IFERROR(IF(INDEX(offices!$G$2:$G$61,MATCH($B97,offices!$A$2:$A$61,0))="","",INDEX(offices!$G$2:$G$61,MATCH($B97,offices!$A$2:$A$61,0))),""))</f>
        <v/>
      </c>
      <c r="Y97" s="25">
        <f>IF($B97="","",IFERROR(IF(INDEX(offices!$I$2:$I$61,MATCH($B97,offices!$A$2:$A$61,0))="","",INDEX(offices!$I$2:$I$61,MATCH($B97,offices!$A$2:$A$61,0))),""))</f>
        <v/>
      </c>
      <c r="Z97" s="25">
        <f>IF($A97="","",COUNTIFS(approvals!$H$2:$H$251,$A97,approvals!$B$2:$B$251,$B97,approvals!$P$2:$P$251,"Y"))</f>
        <v/>
      </c>
      <c r="AA97" s="25">
        <f>IF($A97="","",SUMIFS(approvals!$S$2:$S$251,approvals!$H$2:$H$251,$A97,approvals!$B$2:$B$251,$B97,approvals!$P$2:$P$251,"Y"))</f>
        <v/>
      </c>
      <c r="AB97" s="25">
        <f>IF(OR($A97="",$P97=""),"",IF(COUNTIFS(stops!$B$2:$B$151,$B97,stops!$P$2:$P$151,"&lt;"&amp;$P97,stops!$L$2:$L$151,"&lt;&gt;not_delivered")=0,"Y","N"))</f>
        <v/>
      </c>
      <c r="AC97" s="25">
        <f>IF(OR($I97="",$J97=""),"",ROUND(($J97-$I97)*1440,0))</f>
        <v/>
      </c>
      <c r="AD97" s="25">
        <f>IF($A97="","",IF(COUNTIFS(stops!$A$2:$A$151,$A97,stops!$B$2:$B$151,$B97)&gt;1,"DUPLICATE stop; ","")&amp;IF(AND(OR(IFERROR(IF(INDEX(offices!$Z$2:$Z$61,MATCH($B97,offices!$A$2:$A$61,0))="","",INDEX(offices!$Z$2:$Z$61,MATCH($B97,offices!$A$2:$A$61,0))),"")="yes",IFERROR(IF(INDEX(offices!$Z$2:$Z$61,MATCH($B97,offices!$A$2:$A$61,0))="","",INDEX(offices!$Z$2:$Z$61,MATCH($B97,offices!$A$2:$A$61,0))),"")="unsure"),$Y97&lt;&gt;"received",$Y97&lt;&gt;"not_needed"),"building certificate not received; ","")&amp;IF($W97="","owner phone missing; ","")&amp;IF(N($Z97)=0,"no approved brand for this stop; ","")&amp;IF(AND($P97&lt;&gt;"",IF(config!$B$37&lt;&gt;"",config!$B$37,TODAY())&gt;$P97,$L97=""),"log the outcome; ","")&amp;IF(AND(OR($L97="declined",$L97="building_refused",$L97="not_delivered"),N($Z97)&gt;0,COUNTIFS(approvals!$H$2:$H$251,$A97,approvals!$B$2:$B$251,$B97,approvals!$P$2:$P$251,"Y",approvals!$U$2:$U$251,"&gt;0")&gt;=N($Z97)),"outcome says "&amp;$L97&amp;" but every brand here is logged delivered: fix the outcome, or delete the wrong delivered rows (SOP section 4); ","")&amp;IF(AND(OR($L97="declined",$L97="building_refused",$L97="not_delivered"),COUNTIFS(approvals!$H$2:$H$251,$A97,approvals!$B$2:$B$251,$B97,approvals!$P$2:$P$251,"Y",approvals!$U$2:$U$251,"&gt;0")&gt;0,COUNTIFS(approvals!$H$2:$H$251,$A97,approvals!$B$2:$B$251,$B97,approvals!$P$2:$P$251,"Y",approvals!$U$2:$U$251,"&gt;0")&lt;N($Z97)),"info: "&amp;(N($Z97)-COUNTIFS(approvals!$H$2:$H$251,$A97,approvals!$B$2:$B$251,$B97,approvals!$P$2:$P$251,"Y",approvals!$U$2:$U$251,"&gt;0"))&amp;" brand(s) turned away at the door, the rest delivered; ","")&amp;IF(AND($AB97="Y",IFERROR(IF(INDEX(drops!$C$2:$C$21,MATCH($A97,drops!$A$2:$A$21,0))="","",INDEX(drops!$C$2:$C$21,MATCH($A97,drops!$A$2:$A$21,0))),"")="direct-ship"),"info: first drop: visit in person on T; ","")&amp;IF(AND($U97="front desk",$X97&lt;&gt;"Y"),"info: front desk not agreed: the owner must take it; ",""))</f>
        <v/>
      </c>
    </row>
    <row r="98">
      <c r="D98" s="33" t="n"/>
      <c r="E98" s="9" t="n"/>
      <c r="F98" s="9" t="n"/>
      <c r="G98" s="9" t="n"/>
      <c r="I98" s="33" t="n"/>
      <c r="J98" s="33" t="n"/>
      <c r="N98" s="9" t="n"/>
      <c r="P98" s="26">
        <f>IF($A98="","",IF(IFERROR(IF(INDEX(drops!$I$2:$I$21,MATCH($A98,drops!$A$2:$A$21,0))="","",INDEX(drops!$I$2:$I$21,MATCH($A98,drops!$A$2:$A$21,0))),"")="OK",IFERROR(IF(INDEX(drops!$B$2:$B$21,MATCH($A98,drops!$A$2:$A$21,0))="","",INDEX(drops!$B$2:$B$21,MATCH($A98,drops!$A$2:$A$21,0))),""),""))</f>
        <v/>
      </c>
      <c r="Q98" s="25">
        <f>IF($B98="","",IFERROR(IF(INDEX(offices!$N$2:$N$61,MATCH($B98,offices!$A$2:$A$61,0))="","",INDEX(offices!$N$2:$N$61,MATCH($B98,offices!$A$2:$A$61,0))),""))</f>
        <v/>
      </c>
      <c r="R98" s="25">
        <f>IF($B98="","",IFERROR(IF(INDEX(offices!$O$2:$O$61,MATCH($B98,offices!$A$2:$A$61,0))="","",INDEX(offices!$O$2:$O$61,MATCH($B98,offices!$A$2:$A$61,0))),""))</f>
        <v/>
      </c>
      <c r="S98" s="25">
        <f>IF($B98="","",IFERROR(IF(INDEX(offices!$P$2:$P$61,MATCH($B98,offices!$A$2:$A$61,0))="","",INDEX(offices!$P$2:$P$61,MATCH($B98,offices!$A$2:$A$61,0))),""))</f>
        <v/>
      </c>
      <c r="T98" s="25">
        <f>IF($B98="","",IFERROR(IF(INDEX(offices!$Y$2:$Y$61,MATCH($B98,offices!$A$2:$A$61,0))="","",INDEX(offices!$Y$2:$Y$61,MATCH($B98,offices!$A$2:$A$61,0))),""))</f>
        <v/>
      </c>
      <c r="U98" s="25">
        <f>IF($B98="","",IFERROR(IF(INDEX(offices!$X$2:$X$61,MATCH($B98,offices!$A$2:$A$61,0))="","",INDEX(offices!$X$2:$X$61,MATCH($B98,offices!$A$2:$A$61,0))),""))</f>
        <v/>
      </c>
      <c r="V98" s="25">
        <f>IF($B98="","",IFERROR(IF(INDEX(offices!$U$2:$U$61,MATCH($B98,offices!$A$2:$A$61,0))="","",INDEX(offices!$U$2:$U$61,MATCH($B98,offices!$A$2:$A$61,0))),""))</f>
        <v/>
      </c>
      <c r="W98" s="25">
        <f>IF($B98="","",IFERROR(IF(INDEX(offices!$AI$2:$AI$61,MATCH($B98,offices!$A$2:$A$61,0))="","",INDEX(offices!$AI$2:$AI$61,MATCH($B98,offices!$A$2:$A$61,0))),""))</f>
        <v/>
      </c>
      <c r="X98" s="25">
        <f>IF($B98="","",IFERROR(IF(INDEX(offices!$G$2:$G$61,MATCH($B98,offices!$A$2:$A$61,0))="","",INDEX(offices!$G$2:$G$61,MATCH($B98,offices!$A$2:$A$61,0))),""))</f>
        <v/>
      </c>
      <c r="Y98" s="25">
        <f>IF($B98="","",IFERROR(IF(INDEX(offices!$I$2:$I$61,MATCH($B98,offices!$A$2:$A$61,0))="","",INDEX(offices!$I$2:$I$61,MATCH($B98,offices!$A$2:$A$61,0))),""))</f>
        <v/>
      </c>
      <c r="Z98" s="25">
        <f>IF($A98="","",COUNTIFS(approvals!$H$2:$H$251,$A98,approvals!$B$2:$B$251,$B98,approvals!$P$2:$P$251,"Y"))</f>
        <v/>
      </c>
      <c r="AA98" s="25">
        <f>IF($A98="","",SUMIFS(approvals!$S$2:$S$251,approvals!$H$2:$H$251,$A98,approvals!$B$2:$B$251,$B98,approvals!$P$2:$P$251,"Y"))</f>
        <v/>
      </c>
      <c r="AB98" s="25">
        <f>IF(OR($A98="",$P98=""),"",IF(COUNTIFS(stops!$B$2:$B$151,$B98,stops!$P$2:$P$151,"&lt;"&amp;$P98,stops!$L$2:$L$151,"&lt;&gt;not_delivered")=0,"Y","N"))</f>
        <v/>
      </c>
      <c r="AC98" s="25">
        <f>IF(OR($I98="",$J98=""),"",ROUND(($J98-$I98)*1440,0))</f>
        <v/>
      </c>
      <c r="AD98" s="25">
        <f>IF($A98="","",IF(COUNTIFS(stops!$A$2:$A$151,$A98,stops!$B$2:$B$151,$B98)&gt;1,"DUPLICATE stop; ","")&amp;IF(AND(OR(IFERROR(IF(INDEX(offices!$Z$2:$Z$61,MATCH($B98,offices!$A$2:$A$61,0))="","",INDEX(offices!$Z$2:$Z$61,MATCH($B98,offices!$A$2:$A$61,0))),"")="yes",IFERROR(IF(INDEX(offices!$Z$2:$Z$61,MATCH($B98,offices!$A$2:$A$61,0))="","",INDEX(offices!$Z$2:$Z$61,MATCH($B98,offices!$A$2:$A$61,0))),"")="unsure"),$Y98&lt;&gt;"received",$Y98&lt;&gt;"not_needed"),"building certificate not received; ","")&amp;IF($W98="","owner phone missing; ","")&amp;IF(N($Z98)=0,"no approved brand for this stop; ","")&amp;IF(AND($P98&lt;&gt;"",IF(config!$B$37&lt;&gt;"",config!$B$37,TODAY())&gt;$P98,$L98=""),"log the outcome; ","")&amp;IF(AND(OR($L98="declined",$L98="building_refused",$L98="not_delivered"),N($Z98)&gt;0,COUNTIFS(approvals!$H$2:$H$251,$A98,approvals!$B$2:$B$251,$B98,approvals!$P$2:$P$251,"Y",approvals!$U$2:$U$251,"&gt;0")&gt;=N($Z98)),"outcome says "&amp;$L98&amp;" but every brand here is logged delivered: fix the outcome, or delete the wrong delivered rows (SOP section 4); ","")&amp;IF(AND(OR($L98="declined",$L98="building_refused",$L98="not_delivered"),COUNTIFS(approvals!$H$2:$H$251,$A98,approvals!$B$2:$B$251,$B98,approvals!$P$2:$P$251,"Y",approvals!$U$2:$U$251,"&gt;0")&gt;0,COUNTIFS(approvals!$H$2:$H$251,$A98,approvals!$B$2:$B$251,$B98,approvals!$P$2:$P$251,"Y",approvals!$U$2:$U$251,"&gt;0")&lt;N($Z98)),"info: "&amp;(N($Z98)-COUNTIFS(approvals!$H$2:$H$251,$A98,approvals!$B$2:$B$251,$B98,approvals!$P$2:$P$251,"Y",approvals!$U$2:$U$251,"&gt;0"))&amp;" brand(s) turned away at the door, the rest delivered; ","")&amp;IF(AND($AB98="Y",IFERROR(IF(INDEX(drops!$C$2:$C$21,MATCH($A98,drops!$A$2:$A$21,0))="","",INDEX(drops!$C$2:$C$21,MATCH($A98,drops!$A$2:$A$21,0))),"")="direct-ship"),"info: first drop: visit in person on T; ","")&amp;IF(AND($U98="front desk",$X98&lt;&gt;"Y"),"info: front desk not agreed: the owner must take it; ",""))</f>
        <v/>
      </c>
    </row>
    <row r="99">
      <c r="D99" s="33" t="n"/>
      <c r="E99" s="9" t="n"/>
      <c r="F99" s="9" t="n"/>
      <c r="G99" s="9" t="n"/>
      <c r="I99" s="33" t="n"/>
      <c r="J99" s="33" t="n"/>
      <c r="N99" s="9" t="n"/>
      <c r="P99" s="26">
        <f>IF($A99="","",IF(IFERROR(IF(INDEX(drops!$I$2:$I$21,MATCH($A99,drops!$A$2:$A$21,0))="","",INDEX(drops!$I$2:$I$21,MATCH($A99,drops!$A$2:$A$21,0))),"")="OK",IFERROR(IF(INDEX(drops!$B$2:$B$21,MATCH($A99,drops!$A$2:$A$21,0))="","",INDEX(drops!$B$2:$B$21,MATCH($A99,drops!$A$2:$A$21,0))),""),""))</f>
        <v/>
      </c>
      <c r="Q99" s="25">
        <f>IF($B99="","",IFERROR(IF(INDEX(offices!$N$2:$N$61,MATCH($B99,offices!$A$2:$A$61,0))="","",INDEX(offices!$N$2:$N$61,MATCH($B99,offices!$A$2:$A$61,0))),""))</f>
        <v/>
      </c>
      <c r="R99" s="25">
        <f>IF($B99="","",IFERROR(IF(INDEX(offices!$O$2:$O$61,MATCH($B99,offices!$A$2:$A$61,0))="","",INDEX(offices!$O$2:$O$61,MATCH($B99,offices!$A$2:$A$61,0))),""))</f>
        <v/>
      </c>
      <c r="S99" s="25">
        <f>IF($B99="","",IFERROR(IF(INDEX(offices!$P$2:$P$61,MATCH($B99,offices!$A$2:$A$61,0))="","",INDEX(offices!$P$2:$P$61,MATCH($B99,offices!$A$2:$A$61,0))),""))</f>
        <v/>
      </c>
      <c r="T99" s="25">
        <f>IF($B99="","",IFERROR(IF(INDEX(offices!$Y$2:$Y$61,MATCH($B99,offices!$A$2:$A$61,0))="","",INDEX(offices!$Y$2:$Y$61,MATCH($B99,offices!$A$2:$A$61,0))),""))</f>
        <v/>
      </c>
      <c r="U99" s="25">
        <f>IF($B99="","",IFERROR(IF(INDEX(offices!$X$2:$X$61,MATCH($B99,offices!$A$2:$A$61,0))="","",INDEX(offices!$X$2:$X$61,MATCH($B99,offices!$A$2:$A$61,0))),""))</f>
        <v/>
      </c>
      <c r="V99" s="25">
        <f>IF($B99="","",IFERROR(IF(INDEX(offices!$U$2:$U$61,MATCH($B99,offices!$A$2:$A$61,0))="","",INDEX(offices!$U$2:$U$61,MATCH($B99,offices!$A$2:$A$61,0))),""))</f>
        <v/>
      </c>
      <c r="W99" s="25">
        <f>IF($B99="","",IFERROR(IF(INDEX(offices!$AI$2:$AI$61,MATCH($B99,offices!$A$2:$A$61,0))="","",INDEX(offices!$AI$2:$AI$61,MATCH($B99,offices!$A$2:$A$61,0))),""))</f>
        <v/>
      </c>
      <c r="X99" s="25">
        <f>IF($B99="","",IFERROR(IF(INDEX(offices!$G$2:$G$61,MATCH($B99,offices!$A$2:$A$61,0))="","",INDEX(offices!$G$2:$G$61,MATCH($B99,offices!$A$2:$A$61,0))),""))</f>
        <v/>
      </c>
      <c r="Y99" s="25">
        <f>IF($B99="","",IFERROR(IF(INDEX(offices!$I$2:$I$61,MATCH($B99,offices!$A$2:$A$61,0))="","",INDEX(offices!$I$2:$I$61,MATCH($B99,offices!$A$2:$A$61,0))),""))</f>
        <v/>
      </c>
      <c r="Z99" s="25">
        <f>IF($A99="","",COUNTIFS(approvals!$H$2:$H$251,$A99,approvals!$B$2:$B$251,$B99,approvals!$P$2:$P$251,"Y"))</f>
        <v/>
      </c>
      <c r="AA99" s="25">
        <f>IF($A99="","",SUMIFS(approvals!$S$2:$S$251,approvals!$H$2:$H$251,$A99,approvals!$B$2:$B$251,$B99,approvals!$P$2:$P$251,"Y"))</f>
        <v/>
      </c>
      <c r="AB99" s="25">
        <f>IF(OR($A99="",$P99=""),"",IF(COUNTIFS(stops!$B$2:$B$151,$B99,stops!$P$2:$P$151,"&lt;"&amp;$P99,stops!$L$2:$L$151,"&lt;&gt;not_delivered")=0,"Y","N"))</f>
        <v/>
      </c>
      <c r="AC99" s="25">
        <f>IF(OR($I99="",$J99=""),"",ROUND(($J99-$I99)*1440,0))</f>
        <v/>
      </c>
      <c r="AD99" s="25">
        <f>IF($A99="","",IF(COUNTIFS(stops!$A$2:$A$151,$A99,stops!$B$2:$B$151,$B99)&gt;1,"DUPLICATE stop; ","")&amp;IF(AND(OR(IFERROR(IF(INDEX(offices!$Z$2:$Z$61,MATCH($B99,offices!$A$2:$A$61,0))="","",INDEX(offices!$Z$2:$Z$61,MATCH($B99,offices!$A$2:$A$61,0))),"")="yes",IFERROR(IF(INDEX(offices!$Z$2:$Z$61,MATCH($B99,offices!$A$2:$A$61,0))="","",INDEX(offices!$Z$2:$Z$61,MATCH($B99,offices!$A$2:$A$61,0))),"")="unsure"),$Y99&lt;&gt;"received",$Y99&lt;&gt;"not_needed"),"building certificate not received; ","")&amp;IF($W99="","owner phone missing; ","")&amp;IF(N($Z99)=0,"no approved brand for this stop; ","")&amp;IF(AND($P99&lt;&gt;"",IF(config!$B$37&lt;&gt;"",config!$B$37,TODAY())&gt;$P99,$L99=""),"log the outcome; ","")&amp;IF(AND(OR($L99="declined",$L99="building_refused",$L99="not_delivered"),N($Z99)&gt;0,COUNTIFS(approvals!$H$2:$H$251,$A99,approvals!$B$2:$B$251,$B99,approvals!$P$2:$P$251,"Y",approvals!$U$2:$U$251,"&gt;0")&gt;=N($Z99)),"outcome says "&amp;$L99&amp;" but every brand here is logged delivered: fix the outcome, or delete the wrong delivered rows (SOP section 4); ","")&amp;IF(AND(OR($L99="declined",$L99="building_refused",$L99="not_delivered"),COUNTIFS(approvals!$H$2:$H$251,$A99,approvals!$B$2:$B$251,$B99,approvals!$P$2:$P$251,"Y",approvals!$U$2:$U$251,"&gt;0")&gt;0,COUNTIFS(approvals!$H$2:$H$251,$A99,approvals!$B$2:$B$251,$B99,approvals!$P$2:$P$251,"Y",approvals!$U$2:$U$251,"&gt;0")&lt;N($Z99)),"info: "&amp;(N($Z99)-COUNTIFS(approvals!$H$2:$H$251,$A99,approvals!$B$2:$B$251,$B99,approvals!$P$2:$P$251,"Y",approvals!$U$2:$U$251,"&gt;0"))&amp;" brand(s) turned away at the door, the rest delivered; ","")&amp;IF(AND($AB99="Y",IFERROR(IF(INDEX(drops!$C$2:$C$21,MATCH($A99,drops!$A$2:$A$21,0))="","",INDEX(drops!$C$2:$C$21,MATCH($A99,drops!$A$2:$A$21,0))),"")="direct-ship"),"info: first drop: visit in person on T; ","")&amp;IF(AND($U99="front desk",$X99&lt;&gt;"Y"),"info: front desk not agreed: the owner must take it; ",""))</f>
        <v/>
      </c>
    </row>
    <row r="100">
      <c r="D100" s="33" t="n"/>
      <c r="E100" s="9" t="n"/>
      <c r="F100" s="9" t="n"/>
      <c r="G100" s="9" t="n"/>
      <c r="I100" s="33" t="n"/>
      <c r="J100" s="33" t="n"/>
      <c r="N100" s="9" t="n"/>
      <c r="P100" s="26">
        <f>IF($A100="","",IF(IFERROR(IF(INDEX(drops!$I$2:$I$21,MATCH($A100,drops!$A$2:$A$21,0))="","",INDEX(drops!$I$2:$I$21,MATCH($A100,drops!$A$2:$A$21,0))),"")="OK",IFERROR(IF(INDEX(drops!$B$2:$B$21,MATCH($A100,drops!$A$2:$A$21,0))="","",INDEX(drops!$B$2:$B$21,MATCH($A100,drops!$A$2:$A$21,0))),""),""))</f>
        <v/>
      </c>
      <c r="Q100" s="25">
        <f>IF($B100="","",IFERROR(IF(INDEX(offices!$N$2:$N$61,MATCH($B100,offices!$A$2:$A$61,0))="","",INDEX(offices!$N$2:$N$61,MATCH($B100,offices!$A$2:$A$61,0))),""))</f>
        <v/>
      </c>
      <c r="R100" s="25">
        <f>IF($B100="","",IFERROR(IF(INDEX(offices!$O$2:$O$61,MATCH($B100,offices!$A$2:$A$61,0))="","",INDEX(offices!$O$2:$O$61,MATCH($B100,offices!$A$2:$A$61,0))),""))</f>
        <v/>
      </c>
      <c r="S100" s="25">
        <f>IF($B100="","",IFERROR(IF(INDEX(offices!$P$2:$P$61,MATCH($B100,offices!$A$2:$A$61,0))="","",INDEX(offices!$P$2:$P$61,MATCH($B100,offices!$A$2:$A$61,0))),""))</f>
        <v/>
      </c>
      <c r="T100" s="25">
        <f>IF($B100="","",IFERROR(IF(INDEX(offices!$Y$2:$Y$61,MATCH($B100,offices!$A$2:$A$61,0))="","",INDEX(offices!$Y$2:$Y$61,MATCH($B100,offices!$A$2:$A$61,0))),""))</f>
        <v/>
      </c>
      <c r="U100" s="25">
        <f>IF($B100="","",IFERROR(IF(INDEX(offices!$X$2:$X$61,MATCH($B100,offices!$A$2:$A$61,0))="","",INDEX(offices!$X$2:$X$61,MATCH($B100,offices!$A$2:$A$61,0))),""))</f>
        <v/>
      </c>
      <c r="V100" s="25">
        <f>IF($B100="","",IFERROR(IF(INDEX(offices!$U$2:$U$61,MATCH($B100,offices!$A$2:$A$61,0))="","",INDEX(offices!$U$2:$U$61,MATCH($B100,offices!$A$2:$A$61,0))),""))</f>
        <v/>
      </c>
      <c r="W100" s="25">
        <f>IF($B100="","",IFERROR(IF(INDEX(offices!$AI$2:$AI$61,MATCH($B100,offices!$A$2:$A$61,0))="","",INDEX(offices!$AI$2:$AI$61,MATCH($B100,offices!$A$2:$A$61,0))),""))</f>
        <v/>
      </c>
      <c r="X100" s="25">
        <f>IF($B100="","",IFERROR(IF(INDEX(offices!$G$2:$G$61,MATCH($B100,offices!$A$2:$A$61,0))="","",INDEX(offices!$G$2:$G$61,MATCH($B100,offices!$A$2:$A$61,0))),""))</f>
        <v/>
      </c>
      <c r="Y100" s="25">
        <f>IF($B100="","",IFERROR(IF(INDEX(offices!$I$2:$I$61,MATCH($B100,offices!$A$2:$A$61,0))="","",INDEX(offices!$I$2:$I$61,MATCH($B100,offices!$A$2:$A$61,0))),""))</f>
        <v/>
      </c>
      <c r="Z100" s="25">
        <f>IF($A100="","",COUNTIFS(approvals!$H$2:$H$251,$A100,approvals!$B$2:$B$251,$B100,approvals!$P$2:$P$251,"Y"))</f>
        <v/>
      </c>
      <c r="AA100" s="25">
        <f>IF($A100="","",SUMIFS(approvals!$S$2:$S$251,approvals!$H$2:$H$251,$A100,approvals!$B$2:$B$251,$B100,approvals!$P$2:$P$251,"Y"))</f>
        <v/>
      </c>
      <c r="AB100" s="25">
        <f>IF(OR($A100="",$P100=""),"",IF(COUNTIFS(stops!$B$2:$B$151,$B100,stops!$P$2:$P$151,"&lt;"&amp;$P100,stops!$L$2:$L$151,"&lt;&gt;not_delivered")=0,"Y","N"))</f>
        <v/>
      </c>
      <c r="AC100" s="25">
        <f>IF(OR($I100="",$J100=""),"",ROUND(($J100-$I100)*1440,0))</f>
        <v/>
      </c>
      <c r="AD100" s="25">
        <f>IF($A100="","",IF(COUNTIFS(stops!$A$2:$A$151,$A100,stops!$B$2:$B$151,$B100)&gt;1,"DUPLICATE stop; ","")&amp;IF(AND(OR(IFERROR(IF(INDEX(offices!$Z$2:$Z$61,MATCH($B100,offices!$A$2:$A$61,0))="","",INDEX(offices!$Z$2:$Z$61,MATCH($B100,offices!$A$2:$A$61,0))),"")="yes",IFERROR(IF(INDEX(offices!$Z$2:$Z$61,MATCH($B100,offices!$A$2:$A$61,0))="","",INDEX(offices!$Z$2:$Z$61,MATCH($B100,offices!$A$2:$A$61,0))),"")="unsure"),$Y100&lt;&gt;"received",$Y100&lt;&gt;"not_needed"),"building certificate not received; ","")&amp;IF($W100="","owner phone missing; ","")&amp;IF(N($Z100)=0,"no approved brand for this stop; ","")&amp;IF(AND($P100&lt;&gt;"",IF(config!$B$37&lt;&gt;"",config!$B$37,TODAY())&gt;$P100,$L100=""),"log the outcome; ","")&amp;IF(AND(OR($L100="declined",$L100="building_refused",$L100="not_delivered"),N($Z100)&gt;0,COUNTIFS(approvals!$H$2:$H$251,$A100,approvals!$B$2:$B$251,$B100,approvals!$P$2:$P$251,"Y",approvals!$U$2:$U$251,"&gt;0")&gt;=N($Z100)),"outcome says "&amp;$L100&amp;" but every brand here is logged delivered: fix the outcome, or delete the wrong delivered rows (SOP section 4); ","")&amp;IF(AND(OR($L100="declined",$L100="building_refused",$L100="not_delivered"),COUNTIFS(approvals!$H$2:$H$251,$A100,approvals!$B$2:$B$251,$B100,approvals!$P$2:$P$251,"Y",approvals!$U$2:$U$251,"&gt;0")&gt;0,COUNTIFS(approvals!$H$2:$H$251,$A100,approvals!$B$2:$B$251,$B100,approvals!$P$2:$P$251,"Y",approvals!$U$2:$U$251,"&gt;0")&lt;N($Z100)),"info: "&amp;(N($Z100)-COUNTIFS(approvals!$H$2:$H$251,$A100,approvals!$B$2:$B$251,$B100,approvals!$P$2:$P$251,"Y",approvals!$U$2:$U$251,"&gt;0"))&amp;" brand(s) turned away at the door, the rest delivered; ","")&amp;IF(AND($AB100="Y",IFERROR(IF(INDEX(drops!$C$2:$C$21,MATCH($A100,drops!$A$2:$A$21,0))="","",INDEX(drops!$C$2:$C$21,MATCH($A100,drops!$A$2:$A$21,0))),"")="direct-ship"),"info: first drop: visit in person on T; ","")&amp;IF(AND($U100="front desk",$X100&lt;&gt;"Y"),"info: front desk not agreed: the owner must take it; ",""))</f>
        <v/>
      </c>
    </row>
    <row r="101">
      <c r="D101" s="33" t="n"/>
      <c r="E101" s="9" t="n"/>
      <c r="F101" s="9" t="n"/>
      <c r="G101" s="9" t="n"/>
      <c r="I101" s="33" t="n"/>
      <c r="J101" s="33" t="n"/>
      <c r="N101" s="9" t="n"/>
      <c r="P101" s="26">
        <f>IF($A101="","",IF(IFERROR(IF(INDEX(drops!$I$2:$I$21,MATCH($A101,drops!$A$2:$A$21,0))="","",INDEX(drops!$I$2:$I$21,MATCH($A101,drops!$A$2:$A$21,0))),"")="OK",IFERROR(IF(INDEX(drops!$B$2:$B$21,MATCH($A101,drops!$A$2:$A$21,0))="","",INDEX(drops!$B$2:$B$21,MATCH($A101,drops!$A$2:$A$21,0))),""),""))</f>
        <v/>
      </c>
      <c r="Q101" s="25">
        <f>IF($B101="","",IFERROR(IF(INDEX(offices!$N$2:$N$61,MATCH($B101,offices!$A$2:$A$61,0))="","",INDEX(offices!$N$2:$N$61,MATCH($B101,offices!$A$2:$A$61,0))),""))</f>
        <v/>
      </c>
      <c r="R101" s="25">
        <f>IF($B101="","",IFERROR(IF(INDEX(offices!$O$2:$O$61,MATCH($B101,offices!$A$2:$A$61,0))="","",INDEX(offices!$O$2:$O$61,MATCH($B101,offices!$A$2:$A$61,0))),""))</f>
        <v/>
      </c>
      <c r="S101" s="25">
        <f>IF($B101="","",IFERROR(IF(INDEX(offices!$P$2:$P$61,MATCH($B101,offices!$A$2:$A$61,0))="","",INDEX(offices!$P$2:$P$61,MATCH($B101,offices!$A$2:$A$61,0))),""))</f>
        <v/>
      </c>
      <c r="T101" s="25">
        <f>IF($B101="","",IFERROR(IF(INDEX(offices!$Y$2:$Y$61,MATCH($B101,offices!$A$2:$A$61,0))="","",INDEX(offices!$Y$2:$Y$61,MATCH($B101,offices!$A$2:$A$61,0))),""))</f>
        <v/>
      </c>
      <c r="U101" s="25">
        <f>IF($B101="","",IFERROR(IF(INDEX(offices!$X$2:$X$61,MATCH($B101,offices!$A$2:$A$61,0))="","",INDEX(offices!$X$2:$X$61,MATCH($B101,offices!$A$2:$A$61,0))),""))</f>
        <v/>
      </c>
      <c r="V101" s="25">
        <f>IF($B101="","",IFERROR(IF(INDEX(offices!$U$2:$U$61,MATCH($B101,offices!$A$2:$A$61,0))="","",INDEX(offices!$U$2:$U$61,MATCH($B101,offices!$A$2:$A$61,0))),""))</f>
        <v/>
      </c>
      <c r="W101" s="25">
        <f>IF($B101="","",IFERROR(IF(INDEX(offices!$AI$2:$AI$61,MATCH($B101,offices!$A$2:$A$61,0))="","",INDEX(offices!$AI$2:$AI$61,MATCH($B101,offices!$A$2:$A$61,0))),""))</f>
        <v/>
      </c>
      <c r="X101" s="25">
        <f>IF($B101="","",IFERROR(IF(INDEX(offices!$G$2:$G$61,MATCH($B101,offices!$A$2:$A$61,0))="","",INDEX(offices!$G$2:$G$61,MATCH($B101,offices!$A$2:$A$61,0))),""))</f>
        <v/>
      </c>
      <c r="Y101" s="25">
        <f>IF($B101="","",IFERROR(IF(INDEX(offices!$I$2:$I$61,MATCH($B101,offices!$A$2:$A$61,0))="","",INDEX(offices!$I$2:$I$61,MATCH($B101,offices!$A$2:$A$61,0))),""))</f>
        <v/>
      </c>
      <c r="Z101" s="25">
        <f>IF($A101="","",COUNTIFS(approvals!$H$2:$H$251,$A101,approvals!$B$2:$B$251,$B101,approvals!$P$2:$P$251,"Y"))</f>
        <v/>
      </c>
      <c r="AA101" s="25">
        <f>IF($A101="","",SUMIFS(approvals!$S$2:$S$251,approvals!$H$2:$H$251,$A101,approvals!$B$2:$B$251,$B101,approvals!$P$2:$P$251,"Y"))</f>
        <v/>
      </c>
      <c r="AB101" s="25">
        <f>IF(OR($A101="",$P101=""),"",IF(COUNTIFS(stops!$B$2:$B$151,$B101,stops!$P$2:$P$151,"&lt;"&amp;$P101,stops!$L$2:$L$151,"&lt;&gt;not_delivered")=0,"Y","N"))</f>
        <v/>
      </c>
      <c r="AC101" s="25">
        <f>IF(OR($I101="",$J101=""),"",ROUND(($J101-$I101)*1440,0))</f>
        <v/>
      </c>
      <c r="AD101" s="25">
        <f>IF($A101="","",IF(COUNTIFS(stops!$A$2:$A$151,$A101,stops!$B$2:$B$151,$B101)&gt;1,"DUPLICATE stop; ","")&amp;IF(AND(OR(IFERROR(IF(INDEX(offices!$Z$2:$Z$61,MATCH($B101,offices!$A$2:$A$61,0))="","",INDEX(offices!$Z$2:$Z$61,MATCH($B101,offices!$A$2:$A$61,0))),"")="yes",IFERROR(IF(INDEX(offices!$Z$2:$Z$61,MATCH($B101,offices!$A$2:$A$61,0))="","",INDEX(offices!$Z$2:$Z$61,MATCH($B101,offices!$A$2:$A$61,0))),"")="unsure"),$Y101&lt;&gt;"received",$Y101&lt;&gt;"not_needed"),"building certificate not received; ","")&amp;IF($W101="","owner phone missing; ","")&amp;IF(N($Z101)=0,"no approved brand for this stop; ","")&amp;IF(AND($P101&lt;&gt;"",IF(config!$B$37&lt;&gt;"",config!$B$37,TODAY())&gt;$P101,$L101=""),"log the outcome; ","")&amp;IF(AND(OR($L101="declined",$L101="building_refused",$L101="not_delivered"),N($Z101)&gt;0,COUNTIFS(approvals!$H$2:$H$251,$A101,approvals!$B$2:$B$251,$B101,approvals!$P$2:$P$251,"Y",approvals!$U$2:$U$251,"&gt;0")&gt;=N($Z101)),"outcome says "&amp;$L101&amp;" but every brand here is logged delivered: fix the outcome, or delete the wrong delivered rows (SOP section 4); ","")&amp;IF(AND(OR($L101="declined",$L101="building_refused",$L101="not_delivered"),COUNTIFS(approvals!$H$2:$H$251,$A101,approvals!$B$2:$B$251,$B101,approvals!$P$2:$P$251,"Y",approvals!$U$2:$U$251,"&gt;0")&gt;0,COUNTIFS(approvals!$H$2:$H$251,$A101,approvals!$B$2:$B$251,$B101,approvals!$P$2:$P$251,"Y",approvals!$U$2:$U$251,"&gt;0")&lt;N($Z101)),"info: "&amp;(N($Z101)-COUNTIFS(approvals!$H$2:$H$251,$A101,approvals!$B$2:$B$251,$B101,approvals!$P$2:$P$251,"Y",approvals!$U$2:$U$251,"&gt;0"))&amp;" brand(s) turned away at the door, the rest delivered; ","")&amp;IF(AND($AB101="Y",IFERROR(IF(INDEX(drops!$C$2:$C$21,MATCH($A101,drops!$A$2:$A$21,0))="","",INDEX(drops!$C$2:$C$21,MATCH($A101,drops!$A$2:$A$21,0))),"")="direct-ship"),"info: first drop: visit in person on T; ","")&amp;IF(AND($U101="front desk",$X101&lt;&gt;"Y"),"info: front desk not agreed: the owner must take it; ",""))</f>
        <v/>
      </c>
    </row>
    <row r="102">
      <c r="D102" s="33" t="n"/>
      <c r="E102" s="9" t="n"/>
      <c r="F102" s="9" t="n"/>
      <c r="G102" s="9" t="n"/>
      <c r="I102" s="33" t="n"/>
      <c r="J102" s="33" t="n"/>
      <c r="N102" s="9" t="n"/>
      <c r="P102" s="26">
        <f>IF($A102="","",IF(IFERROR(IF(INDEX(drops!$I$2:$I$21,MATCH($A102,drops!$A$2:$A$21,0))="","",INDEX(drops!$I$2:$I$21,MATCH($A102,drops!$A$2:$A$21,0))),"")="OK",IFERROR(IF(INDEX(drops!$B$2:$B$21,MATCH($A102,drops!$A$2:$A$21,0))="","",INDEX(drops!$B$2:$B$21,MATCH($A102,drops!$A$2:$A$21,0))),""),""))</f>
        <v/>
      </c>
      <c r="Q102" s="25">
        <f>IF($B102="","",IFERROR(IF(INDEX(offices!$N$2:$N$61,MATCH($B102,offices!$A$2:$A$61,0))="","",INDEX(offices!$N$2:$N$61,MATCH($B102,offices!$A$2:$A$61,0))),""))</f>
        <v/>
      </c>
      <c r="R102" s="25">
        <f>IF($B102="","",IFERROR(IF(INDEX(offices!$O$2:$O$61,MATCH($B102,offices!$A$2:$A$61,0))="","",INDEX(offices!$O$2:$O$61,MATCH($B102,offices!$A$2:$A$61,0))),""))</f>
        <v/>
      </c>
      <c r="S102" s="25">
        <f>IF($B102="","",IFERROR(IF(INDEX(offices!$P$2:$P$61,MATCH($B102,offices!$A$2:$A$61,0))="","",INDEX(offices!$P$2:$P$61,MATCH($B102,offices!$A$2:$A$61,0))),""))</f>
        <v/>
      </c>
      <c r="T102" s="25">
        <f>IF($B102="","",IFERROR(IF(INDEX(offices!$Y$2:$Y$61,MATCH($B102,offices!$A$2:$A$61,0))="","",INDEX(offices!$Y$2:$Y$61,MATCH($B102,offices!$A$2:$A$61,0))),""))</f>
        <v/>
      </c>
      <c r="U102" s="25">
        <f>IF($B102="","",IFERROR(IF(INDEX(offices!$X$2:$X$61,MATCH($B102,offices!$A$2:$A$61,0))="","",INDEX(offices!$X$2:$X$61,MATCH($B102,offices!$A$2:$A$61,0))),""))</f>
        <v/>
      </c>
      <c r="V102" s="25">
        <f>IF($B102="","",IFERROR(IF(INDEX(offices!$U$2:$U$61,MATCH($B102,offices!$A$2:$A$61,0))="","",INDEX(offices!$U$2:$U$61,MATCH($B102,offices!$A$2:$A$61,0))),""))</f>
        <v/>
      </c>
      <c r="W102" s="25">
        <f>IF($B102="","",IFERROR(IF(INDEX(offices!$AI$2:$AI$61,MATCH($B102,offices!$A$2:$A$61,0))="","",INDEX(offices!$AI$2:$AI$61,MATCH($B102,offices!$A$2:$A$61,0))),""))</f>
        <v/>
      </c>
      <c r="X102" s="25">
        <f>IF($B102="","",IFERROR(IF(INDEX(offices!$G$2:$G$61,MATCH($B102,offices!$A$2:$A$61,0))="","",INDEX(offices!$G$2:$G$61,MATCH($B102,offices!$A$2:$A$61,0))),""))</f>
        <v/>
      </c>
      <c r="Y102" s="25">
        <f>IF($B102="","",IFERROR(IF(INDEX(offices!$I$2:$I$61,MATCH($B102,offices!$A$2:$A$61,0))="","",INDEX(offices!$I$2:$I$61,MATCH($B102,offices!$A$2:$A$61,0))),""))</f>
        <v/>
      </c>
      <c r="Z102" s="25">
        <f>IF($A102="","",COUNTIFS(approvals!$H$2:$H$251,$A102,approvals!$B$2:$B$251,$B102,approvals!$P$2:$P$251,"Y"))</f>
        <v/>
      </c>
      <c r="AA102" s="25">
        <f>IF($A102="","",SUMIFS(approvals!$S$2:$S$251,approvals!$H$2:$H$251,$A102,approvals!$B$2:$B$251,$B102,approvals!$P$2:$P$251,"Y"))</f>
        <v/>
      </c>
      <c r="AB102" s="25">
        <f>IF(OR($A102="",$P102=""),"",IF(COUNTIFS(stops!$B$2:$B$151,$B102,stops!$P$2:$P$151,"&lt;"&amp;$P102,stops!$L$2:$L$151,"&lt;&gt;not_delivered")=0,"Y","N"))</f>
        <v/>
      </c>
      <c r="AC102" s="25">
        <f>IF(OR($I102="",$J102=""),"",ROUND(($J102-$I102)*1440,0))</f>
        <v/>
      </c>
      <c r="AD102" s="25">
        <f>IF($A102="","",IF(COUNTIFS(stops!$A$2:$A$151,$A102,stops!$B$2:$B$151,$B102)&gt;1,"DUPLICATE stop; ","")&amp;IF(AND(OR(IFERROR(IF(INDEX(offices!$Z$2:$Z$61,MATCH($B102,offices!$A$2:$A$61,0))="","",INDEX(offices!$Z$2:$Z$61,MATCH($B102,offices!$A$2:$A$61,0))),"")="yes",IFERROR(IF(INDEX(offices!$Z$2:$Z$61,MATCH($B102,offices!$A$2:$A$61,0))="","",INDEX(offices!$Z$2:$Z$61,MATCH($B102,offices!$A$2:$A$61,0))),"")="unsure"),$Y102&lt;&gt;"received",$Y102&lt;&gt;"not_needed"),"building certificate not received; ","")&amp;IF($W102="","owner phone missing; ","")&amp;IF(N($Z102)=0,"no approved brand for this stop; ","")&amp;IF(AND($P102&lt;&gt;"",IF(config!$B$37&lt;&gt;"",config!$B$37,TODAY())&gt;$P102,$L102=""),"log the outcome; ","")&amp;IF(AND(OR($L102="declined",$L102="building_refused",$L102="not_delivered"),N($Z102)&gt;0,COUNTIFS(approvals!$H$2:$H$251,$A102,approvals!$B$2:$B$251,$B102,approvals!$P$2:$P$251,"Y",approvals!$U$2:$U$251,"&gt;0")&gt;=N($Z102)),"outcome says "&amp;$L102&amp;" but every brand here is logged delivered: fix the outcome, or delete the wrong delivered rows (SOP section 4); ","")&amp;IF(AND(OR($L102="declined",$L102="building_refused",$L102="not_delivered"),COUNTIFS(approvals!$H$2:$H$251,$A102,approvals!$B$2:$B$251,$B102,approvals!$P$2:$P$251,"Y",approvals!$U$2:$U$251,"&gt;0")&gt;0,COUNTIFS(approvals!$H$2:$H$251,$A102,approvals!$B$2:$B$251,$B102,approvals!$P$2:$P$251,"Y",approvals!$U$2:$U$251,"&gt;0")&lt;N($Z102)),"info: "&amp;(N($Z102)-COUNTIFS(approvals!$H$2:$H$251,$A102,approvals!$B$2:$B$251,$B102,approvals!$P$2:$P$251,"Y",approvals!$U$2:$U$251,"&gt;0"))&amp;" brand(s) turned away at the door, the rest delivered; ","")&amp;IF(AND($AB102="Y",IFERROR(IF(INDEX(drops!$C$2:$C$21,MATCH($A102,drops!$A$2:$A$21,0))="","",INDEX(drops!$C$2:$C$21,MATCH($A102,drops!$A$2:$A$21,0))),"")="direct-ship"),"info: first drop: visit in person on T; ","")&amp;IF(AND($U102="front desk",$X102&lt;&gt;"Y"),"info: front desk not agreed: the owner must take it; ",""))</f>
        <v/>
      </c>
    </row>
    <row r="103">
      <c r="D103" s="33" t="n"/>
      <c r="E103" s="9" t="n"/>
      <c r="F103" s="9" t="n"/>
      <c r="G103" s="9" t="n"/>
      <c r="I103" s="33" t="n"/>
      <c r="J103" s="33" t="n"/>
      <c r="N103" s="9" t="n"/>
      <c r="P103" s="26">
        <f>IF($A103="","",IF(IFERROR(IF(INDEX(drops!$I$2:$I$21,MATCH($A103,drops!$A$2:$A$21,0))="","",INDEX(drops!$I$2:$I$21,MATCH($A103,drops!$A$2:$A$21,0))),"")="OK",IFERROR(IF(INDEX(drops!$B$2:$B$21,MATCH($A103,drops!$A$2:$A$21,0))="","",INDEX(drops!$B$2:$B$21,MATCH($A103,drops!$A$2:$A$21,0))),""),""))</f>
        <v/>
      </c>
      <c r="Q103" s="25">
        <f>IF($B103="","",IFERROR(IF(INDEX(offices!$N$2:$N$61,MATCH($B103,offices!$A$2:$A$61,0))="","",INDEX(offices!$N$2:$N$61,MATCH($B103,offices!$A$2:$A$61,0))),""))</f>
        <v/>
      </c>
      <c r="R103" s="25">
        <f>IF($B103="","",IFERROR(IF(INDEX(offices!$O$2:$O$61,MATCH($B103,offices!$A$2:$A$61,0))="","",INDEX(offices!$O$2:$O$61,MATCH($B103,offices!$A$2:$A$61,0))),""))</f>
        <v/>
      </c>
      <c r="S103" s="25">
        <f>IF($B103="","",IFERROR(IF(INDEX(offices!$P$2:$P$61,MATCH($B103,offices!$A$2:$A$61,0))="","",INDEX(offices!$P$2:$P$61,MATCH($B103,offices!$A$2:$A$61,0))),""))</f>
        <v/>
      </c>
      <c r="T103" s="25">
        <f>IF($B103="","",IFERROR(IF(INDEX(offices!$Y$2:$Y$61,MATCH($B103,offices!$A$2:$A$61,0))="","",INDEX(offices!$Y$2:$Y$61,MATCH($B103,offices!$A$2:$A$61,0))),""))</f>
        <v/>
      </c>
      <c r="U103" s="25">
        <f>IF($B103="","",IFERROR(IF(INDEX(offices!$X$2:$X$61,MATCH($B103,offices!$A$2:$A$61,0))="","",INDEX(offices!$X$2:$X$61,MATCH($B103,offices!$A$2:$A$61,0))),""))</f>
        <v/>
      </c>
      <c r="V103" s="25">
        <f>IF($B103="","",IFERROR(IF(INDEX(offices!$U$2:$U$61,MATCH($B103,offices!$A$2:$A$61,0))="","",INDEX(offices!$U$2:$U$61,MATCH($B103,offices!$A$2:$A$61,0))),""))</f>
        <v/>
      </c>
      <c r="W103" s="25">
        <f>IF($B103="","",IFERROR(IF(INDEX(offices!$AI$2:$AI$61,MATCH($B103,offices!$A$2:$A$61,0))="","",INDEX(offices!$AI$2:$AI$61,MATCH($B103,offices!$A$2:$A$61,0))),""))</f>
        <v/>
      </c>
      <c r="X103" s="25">
        <f>IF($B103="","",IFERROR(IF(INDEX(offices!$G$2:$G$61,MATCH($B103,offices!$A$2:$A$61,0))="","",INDEX(offices!$G$2:$G$61,MATCH($B103,offices!$A$2:$A$61,0))),""))</f>
        <v/>
      </c>
      <c r="Y103" s="25">
        <f>IF($B103="","",IFERROR(IF(INDEX(offices!$I$2:$I$61,MATCH($B103,offices!$A$2:$A$61,0))="","",INDEX(offices!$I$2:$I$61,MATCH($B103,offices!$A$2:$A$61,0))),""))</f>
        <v/>
      </c>
      <c r="Z103" s="25">
        <f>IF($A103="","",COUNTIFS(approvals!$H$2:$H$251,$A103,approvals!$B$2:$B$251,$B103,approvals!$P$2:$P$251,"Y"))</f>
        <v/>
      </c>
      <c r="AA103" s="25">
        <f>IF($A103="","",SUMIFS(approvals!$S$2:$S$251,approvals!$H$2:$H$251,$A103,approvals!$B$2:$B$251,$B103,approvals!$P$2:$P$251,"Y"))</f>
        <v/>
      </c>
      <c r="AB103" s="25">
        <f>IF(OR($A103="",$P103=""),"",IF(COUNTIFS(stops!$B$2:$B$151,$B103,stops!$P$2:$P$151,"&lt;"&amp;$P103,stops!$L$2:$L$151,"&lt;&gt;not_delivered")=0,"Y","N"))</f>
        <v/>
      </c>
      <c r="AC103" s="25">
        <f>IF(OR($I103="",$J103=""),"",ROUND(($J103-$I103)*1440,0))</f>
        <v/>
      </c>
      <c r="AD103" s="25">
        <f>IF($A103="","",IF(COUNTIFS(stops!$A$2:$A$151,$A103,stops!$B$2:$B$151,$B103)&gt;1,"DUPLICATE stop; ","")&amp;IF(AND(OR(IFERROR(IF(INDEX(offices!$Z$2:$Z$61,MATCH($B103,offices!$A$2:$A$61,0))="","",INDEX(offices!$Z$2:$Z$61,MATCH($B103,offices!$A$2:$A$61,0))),"")="yes",IFERROR(IF(INDEX(offices!$Z$2:$Z$61,MATCH($B103,offices!$A$2:$A$61,0))="","",INDEX(offices!$Z$2:$Z$61,MATCH($B103,offices!$A$2:$A$61,0))),"")="unsure"),$Y103&lt;&gt;"received",$Y103&lt;&gt;"not_needed"),"building certificate not received; ","")&amp;IF($W103="","owner phone missing; ","")&amp;IF(N($Z103)=0,"no approved brand for this stop; ","")&amp;IF(AND($P103&lt;&gt;"",IF(config!$B$37&lt;&gt;"",config!$B$37,TODAY())&gt;$P103,$L103=""),"log the outcome; ","")&amp;IF(AND(OR($L103="declined",$L103="building_refused",$L103="not_delivered"),N($Z103)&gt;0,COUNTIFS(approvals!$H$2:$H$251,$A103,approvals!$B$2:$B$251,$B103,approvals!$P$2:$P$251,"Y",approvals!$U$2:$U$251,"&gt;0")&gt;=N($Z103)),"outcome says "&amp;$L103&amp;" but every brand here is logged delivered: fix the outcome, or delete the wrong delivered rows (SOP section 4); ","")&amp;IF(AND(OR($L103="declined",$L103="building_refused",$L103="not_delivered"),COUNTIFS(approvals!$H$2:$H$251,$A103,approvals!$B$2:$B$251,$B103,approvals!$P$2:$P$251,"Y",approvals!$U$2:$U$251,"&gt;0")&gt;0,COUNTIFS(approvals!$H$2:$H$251,$A103,approvals!$B$2:$B$251,$B103,approvals!$P$2:$P$251,"Y",approvals!$U$2:$U$251,"&gt;0")&lt;N($Z103)),"info: "&amp;(N($Z103)-COUNTIFS(approvals!$H$2:$H$251,$A103,approvals!$B$2:$B$251,$B103,approvals!$P$2:$P$251,"Y",approvals!$U$2:$U$251,"&gt;0"))&amp;" brand(s) turned away at the door, the rest delivered; ","")&amp;IF(AND($AB103="Y",IFERROR(IF(INDEX(drops!$C$2:$C$21,MATCH($A103,drops!$A$2:$A$21,0))="","",INDEX(drops!$C$2:$C$21,MATCH($A103,drops!$A$2:$A$21,0))),"")="direct-ship"),"info: first drop: visit in person on T; ","")&amp;IF(AND($U103="front desk",$X103&lt;&gt;"Y"),"info: front desk not agreed: the owner must take it; ",""))</f>
        <v/>
      </c>
    </row>
    <row r="104">
      <c r="D104" s="33" t="n"/>
      <c r="E104" s="9" t="n"/>
      <c r="F104" s="9" t="n"/>
      <c r="G104" s="9" t="n"/>
      <c r="I104" s="33" t="n"/>
      <c r="J104" s="33" t="n"/>
      <c r="N104" s="9" t="n"/>
      <c r="P104" s="26">
        <f>IF($A104="","",IF(IFERROR(IF(INDEX(drops!$I$2:$I$21,MATCH($A104,drops!$A$2:$A$21,0))="","",INDEX(drops!$I$2:$I$21,MATCH($A104,drops!$A$2:$A$21,0))),"")="OK",IFERROR(IF(INDEX(drops!$B$2:$B$21,MATCH($A104,drops!$A$2:$A$21,0))="","",INDEX(drops!$B$2:$B$21,MATCH($A104,drops!$A$2:$A$21,0))),""),""))</f>
        <v/>
      </c>
      <c r="Q104" s="25">
        <f>IF($B104="","",IFERROR(IF(INDEX(offices!$N$2:$N$61,MATCH($B104,offices!$A$2:$A$61,0))="","",INDEX(offices!$N$2:$N$61,MATCH($B104,offices!$A$2:$A$61,0))),""))</f>
        <v/>
      </c>
      <c r="R104" s="25">
        <f>IF($B104="","",IFERROR(IF(INDEX(offices!$O$2:$O$61,MATCH($B104,offices!$A$2:$A$61,0))="","",INDEX(offices!$O$2:$O$61,MATCH($B104,offices!$A$2:$A$61,0))),""))</f>
        <v/>
      </c>
      <c r="S104" s="25">
        <f>IF($B104="","",IFERROR(IF(INDEX(offices!$P$2:$P$61,MATCH($B104,offices!$A$2:$A$61,0))="","",INDEX(offices!$P$2:$P$61,MATCH($B104,offices!$A$2:$A$61,0))),""))</f>
        <v/>
      </c>
      <c r="T104" s="25">
        <f>IF($B104="","",IFERROR(IF(INDEX(offices!$Y$2:$Y$61,MATCH($B104,offices!$A$2:$A$61,0))="","",INDEX(offices!$Y$2:$Y$61,MATCH($B104,offices!$A$2:$A$61,0))),""))</f>
        <v/>
      </c>
      <c r="U104" s="25">
        <f>IF($B104="","",IFERROR(IF(INDEX(offices!$X$2:$X$61,MATCH($B104,offices!$A$2:$A$61,0))="","",INDEX(offices!$X$2:$X$61,MATCH($B104,offices!$A$2:$A$61,0))),""))</f>
        <v/>
      </c>
      <c r="V104" s="25">
        <f>IF($B104="","",IFERROR(IF(INDEX(offices!$U$2:$U$61,MATCH($B104,offices!$A$2:$A$61,0))="","",INDEX(offices!$U$2:$U$61,MATCH($B104,offices!$A$2:$A$61,0))),""))</f>
        <v/>
      </c>
      <c r="W104" s="25">
        <f>IF($B104="","",IFERROR(IF(INDEX(offices!$AI$2:$AI$61,MATCH($B104,offices!$A$2:$A$61,0))="","",INDEX(offices!$AI$2:$AI$61,MATCH($B104,offices!$A$2:$A$61,0))),""))</f>
        <v/>
      </c>
      <c r="X104" s="25">
        <f>IF($B104="","",IFERROR(IF(INDEX(offices!$G$2:$G$61,MATCH($B104,offices!$A$2:$A$61,0))="","",INDEX(offices!$G$2:$G$61,MATCH($B104,offices!$A$2:$A$61,0))),""))</f>
        <v/>
      </c>
      <c r="Y104" s="25">
        <f>IF($B104="","",IFERROR(IF(INDEX(offices!$I$2:$I$61,MATCH($B104,offices!$A$2:$A$61,0))="","",INDEX(offices!$I$2:$I$61,MATCH($B104,offices!$A$2:$A$61,0))),""))</f>
        <v/>
      </c>
      <c r="Z104" s="25">
        <f>IF($A104="","",COUNTIFS(approvals!$H$2:$H$251,$A104,approvals!$B$2:$B$251,$B104,approvals!$P$2:$P$251,"Y"))</f>
        <v/>
      </c>
      <c r="AA104" s="25">
        <f>IF($A104="","",SUMIFS(approvals!$S$2:$S$251,approvals!$H$2:$H$251,$A104,approvals!$B$2:$B$251,$B104,approvals!$P$2:$P$251,"Y"))</f>
        <v/>
      </c>
      <c r="AB104" s="25">
        <f>IF(OR($A104="",$P104=""),"",IF(COUNTIFS(stops!$B$2:$B$151,$B104,stops!$P$2:$P$151,"&lt;"&amp;$P104,stops!$L$2:$L$151,"&lt;&gt;not_delivered")=0,"Y","N"))</f>
        <v/>
      </c>
      <c r="AC104" s="25">
        <f>IF(OR($I104="",$J104=""),"",ROUND(($J104-$I104)*1440,0))</f>
        <v/>
      </c>
      <c r="AD104" s="25">
        <f>IF($A104="","",IF(COUNTIFS(stops!$A$2:$A$151,$A104,stops!$B$2:$B$151,$B104)&gt;1,"DUPLICATE stop; ","")&amp;IF(AND(OR(IFERROR(IF(INDEX(offices!$Z$2:$Z$61,MATCH($B104,offices!$A$2:$A$61,0))="","",INDEX(offices!$Z$2:$Z$61,MATCH($B104,offices!$A$2:$A$61,0))),"")="yes",IFERROR(IF(INDEX(offices!$Z$2:$Z$61,MATCH($B104,offices!$A$2:$A$61,0))="","",INDEX(offices!$Z$2:$Z$61,MATCH($B104,offices!$A$2:$A$61,0))),"")="unsure"),$Y104&lt;&gt;"received",$Y104&lt;&gt;"not_needed"),"building certificate not received; ","")&amp;IF($W104="","owner phone missing; ","")&amp;IF(N($Z104)=0,"no approved brand for this stop; ","")&amp;IF(AND($P104&lt;&gt;"",IF(config!$B$37&lt;&gt;"",config!$B$37,TODAY())&gt;$P104,$L104=""),"log the outcome; ","")&amp;IF(AND(OR($L104="declined",$L104="building_refused",$L104="not_delivered"),N($Z104)&gt;0,COUNTIFS(approvals!$H$2:$H$251,$A104,approvals!$B$2:$B$251,$B104,approvals!$P$2:$P$251,"Y",approvals!$U$2:$U$251,"&gt;0")&gt;=N($Z104)),"outcome says "&amp;$L104&amp;" but every brand here is logged delivered: fix the outcome, or delete the wrong delivered rows (SOP section 4); ","")&amp;IF(AND(OR($L104="declined",$L104="building_refused",$L104="not_delivered"),COUNTIFS(approvals!$H$2:$H$251,$A104,approvals!$B$2:$B$251,$B104,approvals!$P$2:$P$251,"Y",approvals!$U$2:$U$251,"&gt;0")&gt;0,COUNTIFS(approvals!$H$2:$H$251,$A104,approvals!$B$2:$B$251,$B104,approvals!$P$2:$P$251,"Y",approvals!$U$2:$U$251,"&gt;0")&lt;N($Z104)),"info: "&amp;(N($Z104)-COUNTIFS(approvals!$H$2:$H$251,$A104,approvals!$B$2:$B$251,$B104,approvals!$P$2:$P$251,"Y",approvals!$U$2:$U$251,"&gt;0"))&amp;" brand(s) turned away at the door, the rest delivered; ","")&amp;IF(AND($AB104="Y",IFERROR(IF(INDEX(drops!$C$2:$C$21,MATCH($A104,drops!$A$2:$A$21,0))="","",INDEX(drops!$C$2:$C$21,MATCH($A104,drops!$A$2:$A$21,0))),"")="direct-ship"),"info: first drop: visit in person on T; ","")&amp;IF(AND($U104="front desk",$X104&lt;&gt;"Y"),"info: front desk not agreed: the owner must take it; ",""))</f>
        <v/>
      </c>
    </row>
    <row r="105">
      <c r="D105" s="33" t="n"/>
      <c r="E105" s="9" t="n"/>
      <c r="F105" s="9" t="n"/>
      <c r="G105" s="9" t="n"/>
      <c r="I105" s="33" t="n"/>
      <c r="J105" s="33" t="n"/>
      <c r="N105" s="9" t="n"/>
      <c r="P105" s="26">
        <f>IF($A105="","",IF(IFERROR(IF(INDEX(drops!$I$2:$I$21,MATCH($A105,drops!$A$2:$A$21,0))="","",INDEX(drops!$I$2:$I$21,MATCH($A105,drops!$A$2:$A$21,0))),"")="OK",IFERROR(IF(INDEX(drops!$B$2:$B$21,MATCH($A105,drops!$A$2:$A$21,0))="","",INDEX(drops!$B$2:$B$21,MATCH($A105,drops!$A$2:$A$21,0))),""),""))</f>
        <v/>
      </c>
      <c r="Q105" s="25">
        <f>IF($B105="","",IFERROR(IF(INDEX(offices!$N$2:$N$61,MATCH($B105,offices!$A$2:$A$61,0))="","",INDEX(offices!$N$2:$N$61,MATCH($B105,offices!$A$2:$A$61,0))),""))</f>
        <v/>
      </c>
      <c r="R105" s="25">
        <f>IF($B105="","",IFERROR(IF(INDEX(offices!$O$2:$O$61,MATCH($B105,offices!$A$2:$A$61,0))="","",INDEX(offices!$O$2:$O$61,MATCH($B105,offices!$A$2:$A$61,0))),""))</f>
        <v/>
      </c>
      <c r="S105" s="25">
        <f>IF($B105="","",IFERROR(IF(INDEX(offices!$P$2:$P$61,MATCH($B105,offices!$A$2:$A$61,0))="","",INDEX(offices!$P$2:$P$61,MATCH($B105,offices!$A$2:$A$61,0))),""))</f>
        <v/>
      </c>
      <c r="T105" s="25">
        <f>IF($B105="","",IFERROR(IF(INDEX(offices!$Y$2:$Y$61,MATCH($B105,offices!$A$2:$A$61,0))="","",INDEX(offices!$Y$2:$Y$61,MATCH($B105,offices!$A$2:$A$61,0))),""))</f>
        <v/>
      </c>
      <c r="U105" s="25">
        <f>IF($B105="","",IFERROR(IF(INDEX(offices!$X$2:$X$61,MATCH($B105,offices!$A$2:$A$61,0))="","",INDEX(offices!$X$2:$X$61,MATCH($B105,offices!$A$2:$A$61,0))),""))</f>
        <v/>
      </c>
      <c r="V105" s="25">
        <f>IF($B105="","",IFERROR(IF(INDEX(offices!$U$2:$U$61,MATCH($B105,offices!$A$2:$A$61,0))="","",INDEX(offices!$U$2:$U$61,MATCH($B105,offices!$A$2:$A$61,0))),""))</f>
        <v/>
      </c>
      <c r="W105" s="25">
        <f>IF($B105="","",IFERROR(IF(INDEX(offices!$AI$2:$AI$61,MATCH($B105,offices!$A$2:$A$61,0))="","",INDEX(offices!$AI$2:$AI$61,MATCH($B105,offices!$A$2:$A$61,0))),""))</f>
        <v/>
      </c>
      <c r="X105" s="25">
        <f>IF($B105="","",IFERROR(IF(INDEX(offices!$G$2:$G$61,MATCH($B105,offices!$A$2:$A$61,0))="","",INDEX(offices!$G$2:$G$61,MATCH($B105,offices!$A$2:$A$61,0))),""))</f>
        <v/>
      </c>
      <c r="Y105" s="25">
        <f>IF($B105="","",IFERROR(IF(INDEX(offices!$I$2:$I$61,MATCH($B105,offices!$A$2:$A$61,0))="","",INDEX(offices!$I$2:$I$61,MATCH($B105,offices!$A$2:$A$61,0))),""))</f>
        <v/>
      </c>
      <c r="Z105" s="25">
        <f>IF($A105="","",COUNTIFS(approvals!$H$2:$H$251,$A105,approvals!$B$2:$B$251,$B105,approvals!$P$2:$P$251,"Y"))</f>
        <v/>
      </c>
      <c r="AA105" s="25">
        <f>IF($A105="","",SUMIFS(approvals!$S$2:$S$251,approvals!$H$2:$H$251,$A105,approvals!$B$2:$B$251,$B105,approvals!$P$2:$P$251,"Y"))</f>
        <v/>
      </c>
      <c r="AB105" s="25">
        <f>IF(OR($A105="",$P105=""),"",IF(COUNTIFS(stops!$B$2:$B$151,$B105,stops!$P$2:$P$151,"&lt;"&amp;$P105,stops!$L$2:$L$151,"&lt;&gt;not_delivered")=0,"Y","N"))</f>
        <v/>
      </c>
      <c r="AC105" s="25">
        <f>IF(OR($I105="",$J105=""),"",ROUND(($J105-$I105)*1440,0))</f>
        <v/>
      </c>
      <c r="AD105" s="25">
        <f>IF($A105="","",IF(COUNTIFS(stops!$A$2:$A$151,$A105,stops!$B$2:$B$151,$B105)&gt;1,"DUPLICATE stop; ","")&amp;IF(AND(OR(IFERROR(IF(INDEX(offices!$Z$2:$Z$61,MATCH($B105,offices!$A$2:$A$61,0))="","",INDEX(offices!$Z$2:$Z$61,MATCH($B105,offices!$A$2:$A$61,0))),"")="yes",IFERROR(IF(INDEX(offices!$Z$2:$Z$61,MATCH($B105,offices!$A$2:$A$61,0))="","",INDEX(offices!$Z$2:$Z$61,MATCH($B105,offices!$A$2:$A$61,0))),"")="unsure"),$Y105&lt;&gt;"received",$Y105&lt;&gt;"not_needed"),"building certificate not received; ","")&amp;IF($W105="","owner phone missing; ","")&amp;IF(N($Z105)=0,"no approved brand for this stop; ","")&amp;IF(AND($P105&lt;&gt;"",IF(config!$B$37&lt;&gt;"",config!$B$37,TODAY())&gt;$P105,$L105=""),"log the outcome; ","")&amp;IF(AND(OR($L105="declined",$L105="building_refused",$L105="not_delivered"),N($Z105)&gt;0,COUNTIFS(approvals!$H$2:$H$251,$A105,approvals!$B$2:$B$251,$B105,approvals!$P$2:$P$251,"Y",approvals!$U$2:$U$251,"&gt;0")&gt;=N($Z105)),"outcome says "&amp;$L105&amp;" but every brand here is logged delivered: fix the outcome, or delete the wrong delivered rows (SOP section 4); ","")&amp;IF(AND(OR($L105="declined",$L105="building_refused",$L105="not_delivered"),COUNTIFS(approvals!$H$2:$H$251,$A105,approvals!$B$2:$B$251,$B105,approvals!$P$2:$P$251,"Y",approvals!$U$2:$U$251,"&gt;0")&gt;0,COUNTIFS(approvals!$H$2:$H$251,$A105,approvals!$B$2:$B$251,$B105,approvals!$P$2:$P$251,"Y",approvals!$U$2:$U$251,"&gt;0")&lt;N($Z105)),"info: "&amp;(N($Z105)-COUNTIFS(approvals!$H$2:$H$251,$A105,approvals!$B$2:$B$251,$B105,approvals!$P$2:$P$251,"Y",approvals!$U$2:$U$251,"&gt;0"))&amp;" brand(s) turned away at the door, the rest delivered; ","")&amp;IF(AND($AB105="Y",IFERROR(IF(INDEX(drops!$C$2:$C$21,MATCH($A105,drops!$A$2:$A$21,0))="","",INDEX(drops!$C$2:$C$21,MATCH($A105,drops!$A$2:$A$21,0))),"")="direct-ship"),"info: first drop: visit in person on T; ","")&amp;IF(AND($U105="front desk",$X105&lt;&gt;"Y"),"info: front desk not agreed: the owner must take it; ",""))</f>
        <v/>
      </c>
    </row>
    <row r="106">
      <c r="D106" s="33" t="n"/>
      <c r="E106" s="9" t="n"/>
      <c r="F106" s="9" t="n"/>
      <c r="G106" s="9" t="n"/>
      <c r="I106" s="33" t="n"/>
      <c r="J106" s="33" t="n"/>
      <c r="N106" s="9" t="n"/>
      <c r="P106" s="26">
        <f>IF($A106="","",IF(IFERROR(IF(INDEX(drops!$I$2:$I$21,MATCH($A106,drops!$A$2:$A$21,0))="","",INDEX(drops!$I$2:$I$21,MATCH($A106,drops!$A$2:$A$21,0))),"")="OK",IFERROR(IF(INDEX(drops!$B$2:$B$21,MATCH($A106,drops!$A$2:$A$21,0))="","",INDEX(drops!$B$2:$B$21,MATCH($A106,drops!$A$2:$A$21,0))),""),""))</f>
        <v/>
      </c>
      <c r="Q106" s="25">
        <f>IF($B106="","",IFERROR(IF(INDEX(offices!$N$2:$N$61,MATCH($B106,offices!$A$2:$A$61,0))="","",INDEX(offices!$N$2:$N$61,MATCH($B106,offices!$A$2:$A$61,0))),""))</f>
        <v/>
      </c>
      <c r="R106" s="25">
        <f>IF($B106="","",IFERROR(IF(INDEX(offices!$O$2:$O$61,MATCH($B106,offices!$A$2:$A$61,0))="","",INDEX(offices!$O$2:$O$61,MATCH($B106,offices!$A$2:$A$61,0))),""))</f>
        <v/>
      </c>
      <c r="S106" s="25">
        <f>IF($B106="","",IFERROR(IF(INDEX(offices!$P$2:$P$61,MATCH($B106,offices!$A$2:$A$61,0))="","",INDEX(offices!$P$2:$P$61,MATCH($B106,offices!$A$2:$A$61,0))),""))</f>
        <v/>
      </c>
      <c r="T106" s="25">
        <f>IF($B106="","",IFERROR(IF(INDEX(offices!$Y$2:$Y$61,MATCH($B106,offices!$A$2:$A$61,0))="","",INDEX(offices!$Y$2:$Y$61,MATCH($B106,offices!$A$2:$A$61,0))),""))</f>
        <v/>
      </c>
      <c r="U106" s="25">
        <f>IF($B106="","",IFERROR(IF(INDEX(offices!$X$2:$X$61,MATCH($B106,offices!$A$2:$A$61,0))="","",INDEX(offices!$X$2:$X$61,MATCH($B106,offices!$A$2:$A$61,0))),""))</f>
        <v/>
      </c>
      <c r="V106" s="25">
        <f>IF($B106="","",IFERROR(IF(INDEX(offices!$U$2:$U$61,MATCH($B106,offices!$A$2:$A$61,0))="","",INDEX(offices!$U$2:$U$61,MATCH($B106,offices!$A$2:$A$61,0))),""))</f>
        <v/>
      </c>
      <c r="W106" s="25">
        <f>IF($B106="","",IFERROR(IF(INDEX(offices!$AI$2:$AI$61,MATCH($B106,offices!$A$2:$A$61,0))="","",INDEX(offices!$AI$2:$AI$61,MATCH($B106,offices!$A$2:$A$61,0))),""))</f>
        <v/>
      </c>
      <c r="X106" s="25">
        <f>IF($B106="","",IFERROR(IF(INDEX(offices!$G$2:$G$61,MATCH($B106,offices!$A$2:$A$61,0))="","",INDEX(offices!$G$2:$G$61,MATCH($B106,offices!$A$2:$A$61,0))),""))</f>
        <v/>
      </c>
      <c r="Y106" s="25">
        <f>IF($B106="","",IFERROR(IF(INDEX(offices!$I$2:$I$61,MATCH($B106,offices!$A$2:$A$61,0))="","",INDEX(offices!$I$2:$I$61,MATCH($B106,offices!$A$2:$A$61,0))),""))</f>
        <v/>
      </c>
      <c r="Z106" s="25">
        <f>IF($A106="","",COUNTIFS(approvals!$H$2:$H$251,$A106,approvals!$B$2:$B$251,$B106,approvals!$P$2:$P$251,"Y"))</f>
        <v/>
      </c>
      <c r="AA106" s="25">
        <f>IF($A106="","",SUMIFS(approvals!$S$2:$S$251,approvals!$H$2:$H$251,$A106,approvals!$B$2:$B$251,$B106,approvals!$P$2:$P$251,"Y"))</f>
        <v/>
      </c>
      <c r="AB106" s="25">
        <f>IF(OR($A106="",$P106=""),"",IF(COUNTIFS(stops!$B$2:$B$151,$B106,stops!$P$2:$P$151,"&lt;"&amp;$P106,stops!$L$2:$L$151,"&lt;&gt;not_delivered")=0,"Y","N"))</f>
        <v/>
      </c>
      <c r="AC106" s="25">
        <f>IF(OR($I106="",$J106=""),"",ROUND(($J106-$I106)*1440,0))</f>
        <v/>
      </c>
      <c r="AD106" s="25">
        <f>IF($A106="","",IF(COUNTIFS(stops!$A$2:$A$151,$A106,stops!$B$2:$B$151,$B106)&gt;1,"DUPLICATE stop; ","")&amp;IF(AND(OR(IFERROR(IF(INDEX(offices!$Z$2:$Z$61,MATCH($B106,offices!$A$2:$A$61,0))="","",INDEX(offices!$Z$2:$Z$61,MATCH($B106,offices!$A$2:$A$61,0))),"")="yes",IFERROR(IF(INDEX(offices!$Z$2:$Z$61,MATCH($B106,offices!$A$2:$A$61,0))="","",INDEX(offices!$Z$2:$Z$61,MATCH($B106,offices!$A$2:$A$61,0))),"")="unsure"),$Y106&lt;&gt;"received",$Y106&lt;&gt;"not_needed"),"building certificate not received; ","")&amp;IF($W106="","owner phone missing; ","")&amp;IF(N($Z106)=0,"no approved brand for this stop; ","")&amp;IF(AND($P106&lt;&gt;"",IF(config!$B$37&lt;&gt;"",config!$B$37,TODAY())&gt;$P106,$L106=""),"log the outcome; ","")&amp;IF(AND(OR($L106="declined",$L106="building_refused",$L106="not_delivered"),N($Z106)&gt;0,COUNTIFS(approvals!$H$2:$H$251,$A106,approvals!$B$2:$B$251,$B106,approvals!$P$2:$P$251,"Y",approvals!$U$2:$U$251,"&gt;0")&gt;=N($Z106)),"outcome says "&amp;$L106&amp;" but every brand here is logged delivered: fix the outcome, or delete the wrong delivered rows (SOP section 4); ","")&amp;IF(AND(OR($L106="declined",$L106="building_refused",$L106="not_delivered"),COUNTIFS(approvals!$H$2:$H$251,$A106,approvals!$B$2:$B$251,$B106,approvals!$P$2:$P$251,"Y",approvals!$U$2:$U$251,"&gt;0")&gt;0,COUNTIFS(approvals!$H$2:$H$251,$A106,approvals!$B$2:$B$251,$B106,approvals!$P$2:$P$251,"Y",approvals!$U$2:$U$251,"&gt;0")&lt;N($Z106)),"info: "&amp;(N($Z106)-COUNTIFS(approvals!$H$2:$H$251,$A106,approvals!$B$2:$B$251,$B106,approvals!$P$2:$P$251,"Y",approvals!$U$2:$U$251,"&gt;0"))&amp;" brand(s) turned away at the door, the rest delivered; ","")&amp;IF(AND($AB106="Y",IFERROR(IF(INDEX(drops!$C$2:$C$21,MATCH($A106,drops!$A$2:$A$21,0))="","",INDEX(drops!$C$2:$C$21,MATCH($A106,drops!$A$2:$A$21,0))),"")="direct-ship"),"info: first drop: visit in person on T; ","")&amp;IF(AND($U106="front desk",$X106&lt;&gt;"Y"),"info: front desk not agreed: the owner must take it; ",""))</f>
        <v/>
      </c>
    </row>
    <row r="107">
      <c r="D107" s="33" t="n"/>
      <c r="E107" s="9" t="n"/>
      <c r="F107" s="9" t="n"/>
      <c r="G107" s="9" t="n"/>
      <c r="I107" s="33" t="n"/>
      <c r="J107" s="33" t="n"/>
      <c r="N107" s="9" t="n"/>
      <c r="P107" s="26">
        <f>IF($A107="","",IF(IFERROR(IF(INDEX(drops!$I$2:$I$21,MATCH($A107,drops!$A$2:$A$21,0))="","",INDEX(drops!$I$2:$I$21,MATCH($A107,drops!$A$2:$A$21,0))),"")="OK",IFERROR(IF(INDEX(drops!$B$2:$B$21,MATCH($A107,drops!$A$2:$A$21,0))="","",INDEX(drops!$B$2:$B$21,MATCH($A107,drops!$A$2:$A$21,0))),""),""))</f>
        <v/>
      </c>
      <c r="Q107" s="25">
        <f>IF($B107="","",IFERROR(IF(INDEX(offices!$N$2:$N$61,MATCH($B107,offices!$A$2:$A$61,0))="","",INDEX(offices!$N$2:$N$61,MATCH($B107,offices!$A$2:$A$61,0))),""))</f>
        <v/>
      </c>
      <c r="R107" s="25">
        <f>IF($B107="","",IFERROR(IF(INDEX(offices!$O$2:$O$61,MATCH($B107,offices!$A$2:$A$61,0))="","",INDEX(offices!$O$2:$O$61,MATCH($B107,offices!$A$2:$A$61,0))),""))</f>
        <v/>
      </c>
      <c r="S107" s="25">
        <f>IF($B107="","",IFERROR(IF(INDEX(offices!$P$2:$P$61,MATCH($B107,offices!$A$2:$A$61,0))="","",INDEX(offices!$P$2:$P$61,MATCH($B107,offices!$A$2:$A$61,0))),""))</f>
        <v/>
      </c>
      <c r="T107" s="25">
        <f>IF($B107="","",IFERROR(IF(INDEX(offices!$Y$2:$Y$61,MATCH($B107,offices!$A$2:$A$61,0))="","",INDEX(offices!$Y$2:$Y$61,MATCH($B107,offices!$A$2:$A$61,0))),""))</f>
        <v/>
      </c>
      <c r="U107" s="25">
        <f>IF($B107="","",IFERROR(IF(INDEX(offices!$X$2:$X$61,MATCH($B107,offices!$A$2:$A$61,0))="","",INDEX(offices!$X$2:$X$61,MATCH($B107,offices!$A$2:$A$61,0))),""))</f>
        <v/>
      </c>
      <c r="V107" s="25">
        <f>IF($B107="","",IFERROR(IF(INDEX(offices!$U$2:$U$61,MATCH($B107,offices!$A$2:$A$61,0))="","",INDEX(offices!$U$2:$U$61,MATCH($B107,offices!$A$2:$A$61,0))),""))</f>
        <v/>
      </c>
      <c r="W107" s="25">
        <f>IF($B107="","",IFERROR(IF(INDEX(offices!$AI$2:$AI$61,MATCH($B107,offices!$A$2:$A$61,0))="","",INDEX(offices!$AI$2:$AI$61,MATCH($B107,offices!$A$2:$A$61,0))),""))</f>
        <v/>
      </c>
      <c r="X107" s="25">
        <f>IF($B107="","",IFERROR(IF(INDEX(offices!$G$2:$G$61,MATCH($B107,offices!$A$2:$A$61,0))="","",INDEX(offices!$G$2:$G$61,MATCH($B107,offices!$A$2:$A$61,0))),""))</f>
        <v/>
      </c>
      <c r="Y107" s="25">
        <f>IF($B107="","",IFERROR(IF(INDEX(offices!$I$2:$I$61,MATCH($B107,offices!$A$2:$A$61,0))="","",INDEX(offices!$I$2:$I$61,MATCH($B107,offices!$A$2:$A$61,0))),""))</f>
        <v/>
      </c>
      <c r="Z107" s="25">
        <f>IF($A107="","",COUNTIFS(approvals!$H$2:$H$251,$A107,approvals!$B$2:$B$251,$B107,approvals!$P$2:$P$251,"Y"))</f>
        <v/>
      </c>
      <c r="AA107" s="25">
        <f>IF($A107="","",SUMIFS(approvals!$S$2:$S$251,approvals!$H$2:$H$251,$A107,approvals!$B$2:$B$251,$B107,approvals!$P$2:$P$251,"Y"))</f>
        <v/>
      </c>
      <c r="AB107" s="25">
        <f>IF(OR($A107="",$P107=""),"",IF(COUNTIFS(stops!$B$2:$B$151,$B107,stops!$P$2:$P$151,"&lt;"&amp;$P107,stops!$L$2:$L$151,"&lt;&gt;not_delivered")=0,"Y","N"))</f>
        <v/>
      </c>
      <c r="AC107" s="25">
        <f>IF(OR($I107="",$J107=""),"",ROUND(($J107-$I107)*1440,0))</f>
        <v/>
      </c>
      <c r="AD107" s="25">
        <f>IF($A107="","",IF(COUNTIFS(stops!$A$2:$A$151,$A107,stops!$B$2:$B$151,$B107)&gt;1,"DUPLICATE stop; ","")&amp;IF(AND(OR(IFERROR(IF(INDEX(offices!$Z$2:$Z$61,MATCH($B107,offices!$A$2:$A$61,0))="","",INDEX(offices!$Z$2:$Z$61,MATCH($B107,offices!$A$2:$A$61,0))),"")="yes",IFERROR(IF(INDEX(offices!$Z$2:$Z$61,MATCH($B107,offices!$A$2:$A$61,0))="","",INDEX(offices!$Z$2:$Z$61,MATCH($B107,offices!$A$2:$A$61,0))),"")="unsure"),$Y107&lt;&gt;"received",$Y107&lt;&gt;"not_needed"),"building certificate not received; ","")&amp;IF($W107="","owner phone missing; ","")&amp;IF(N($Z107)=0,"no approved brand for this stop; ","")&amp;IF(AND($P107&lt;&gt;"",IF(config!$B$37&lt;&gt;"",config!$B$37,TODAY())&gt;$P107,$L107=""),"log the outcome; ","")&amp;IF(AND(OR($L107="declined",$L107="building_refused",$L107="not_delivered"),N($Z107)&gt;0,COUNTIFS(approvals!$H$2:$H$251,$A107,approvals!$B$2:$B$251,$B107,approvals!$P$2:$P$251,"Y",approvals!$U$2:$U$251,"&gt;0")&gt;=N($Z107)),"outcome says "&amp;$L107&amp;" but every brand here is logged delivered: fix the outcome, or delete the wrong delivered rows (SOP section 4); ","")&amp;IF(AND(OR($L107="declined",$L107="building_refused",$L107="not_delivered"),COUNTIFS(approvals!$H$2:$H$251,$A107,approvals!$B$2:$B$251,$B107,approvals!$P$2:$P$251,"Y",approvals!$U$2:$U$251,"&gt;0")&gt;0,COUNTIFS(approvals!$H$2:$H$251,$A107,approvals!$B$2:$B$251,$B107,approvals!$P$2:$P$251,"Y",approvals!$U$2:$U$251,"&gt;0")&lt;N($Z107)),"info: "&amp;(N($Z107)-COUNTIFS(approvals!$H$2:$H$251,$A107,approvals!$B$2:$B$251,$B107,approvals!$P$2:$P$251,"Y",approvals!$U$2:$U$251,"&gt;0"))&amp;" brand(s) turned away at the door, the rest delivered; ","")&amp;IF(AND($AB107="Y",IFERROR(IF(INDEX(drops!$C$2:$C$21,MATCH($A107,drops!$A$2:$A$21,0))="","",INDEX(drops!$C$2:$C$21,MATCH($A107,drops!$A$2:$A$21,0))),"")="direct-ship"),"info: first drop: visit in person on T; ","")&amp;IF(AND($U107="front desk",$X107&lt;&gt;"Y"),"info: front desk not agreed: the owner must take it; ",""))</f>
        <v/>
      </c>
    </row>
    <row r="108">
      <c r="D108" s="33" t="n"/>
      <c r="E108" s="9" t="n"/>
      <c r="F108" s="9" t="n"/>
      <c r="G108" s="9" t="n"/>
      <c r="I108" s="33" t="n"/>
      <c r="J108" s="33" t="n"/>
      <c r="N108" s="9" t="n"/>
      <c r="P108" s="26">
        <f>IF($A108="","",IF(IFERROR(IF(INDEX(drops!$I$2:$I$21,MATCH($A108,drops!$A$2:$A$21,0))="","",INDEX(drops!$I$2:$I$21,MATCH($A108,drops!$A$2:$A$21,0))),"")="OK",IFERROR(IF(INDEX(drops!$B$2:$B$21,MATCH($A108,drops!$A$2:$A$21,0))="","",INDEX(drops!$B$2:$B$21,MATCH($A108,drops!$A$2:$A$21,0))),""),""))</f>
        <v/>
      </c>
      <c r="Q108" s="25">
        <f>IF($B108="","",IFERROR(IF(INDEX(offices!$N$2:$N$61,MATCH($B108,offices!$A$2:$A$61,0))="","",INDEX(offices!$N$2:$N$61,MATCH($B108,offices!$A$2:$A$61,0))),""))</f>
        <v/>
      </c>
      <c r="R108" s="25">
        <f>IF($B108="","",IFERROR(IF(INDEX(offices!$O$2:$O$61,MATCH($B108,offices!$A$2:$A$61,0))="","",INDEX(offices!$O$2:$O$61,MATCH($B108,offices!$A$2:$A$61,0))),""))</f>
        <v/>
      </c>
      <c r="S108" s="25">
        <f>IF($B108="","",IFERROR(IF(INDEX(offices!$P$2:$P$61,MATCH($B108,offices!$A$2:$A$61,0))="","",INDEX(offices!$P$2:$P$61,MATCH($B108,offices!$A$2:$A$61,0))),""))</f>
        <v/>
      </c>
      <c r="T108" s="25">
        <f>IF($B108="","",IFERROR(IF(INDEX(offices!$Y$2:$Y$61,MATCH($B108,offices!$A$2:$A$61,0))="","",INDEX(offices!$Y$2:$Y$61,MATCH($B108,offices!$A$2:$A$61,0))),""))</f>
        <v/>
      </c>
      <c r="U108" s="25">
        <f>IF($B108="","",IFERROR(IF(INDEX(offices!$X$2:$X$61,MATCH($B108,offices!$A$2:$A$61,0))="","",INDEX(offices!$X$2:$X$61,MATCH($B108,offices!$A$2:$A$61,0))),""))</f>
        <v/>
      </c>
      <c r="V108" s="25">
        <f>IF($B108="","",IFERROR(IF(INDEX(offices!$U$2:$U$61,MATCH($B108,offices!$A$2:$A$61,0))="","",INDEX(offices!$U$2:$U$61,MATCH($B108,offices!$A$2:$A$61,0))),""))</f>
        <v/>
      </c>
      <c r="W108" s="25">
        <f>IF($B108="","",IFERROR(IF(INDEX(offices!$AI$2:$AI$61,MATCH($B108,offices!$A$2:$A$61,0))="","",INDEX(offices!$AI$2:$AI$61,MATCH($B108,offices!$A$2:$A$61,0))),""))</f>
        <v/>
      </c>
      <c r="X108" s="25">
        <f>IF($B108="","",IFERROR(IF(INDEX(offices!$G$2:$G$61,MATCH($B108,offices!$A$2:$A$61,0))="","",INDEX(offices!$G$2:$G$61,MATCH($B108,offices!$A$2:$A$61,0))),""))</f>
        <v/>
      </c>
      <c r="Y108" s="25">
        <f>IF($B108="","",IFERROR(IF(INDEX(offices!$I$2:$I$61,MATCH($B108,offices!$A$2:$A$61,0))="","",INDEX(offices!$I$2:$I$61,MATCH($B108,offices!$A$2:$A$61,0))),""))</f>
        <v/>
      </c>
      <c r="Z108" s="25">
        <f>IF($A108="","",COUNTIFS(approvals!$H$2:$H$251,$A108,approvals!$B$2:$B$251,$B108,approvals!$P$2:$P$251,"Y"))</f>
        <v/>
      </c>
      <c r="AA108" s="25">
        <f>IF($A108="","",SUMIFS(approvals!$S$2:$S$251,approvals!$H$2:$H$251,$A108,approvals!$B$2:$B$251,$B108,approvals!$P$2:$P$251,"Y"))</f>
        <v/>
      </c>
      <c r="AB108" s="25">
        <f>IF(OR($A108="",$P108=""),"",IF(COUNTIFS(stops!$B$2:$B$151,$B108,stops!$P$2:$P$151,"&lt;"&amp;$P108,stops!$L$2:$L$151,"&lt;&gt;not_delivered")=0,"Y","N"))</f>
        <v/>
      </c>
      <c r="AC108" s="25">
        <f>IF(OR($I108="",$J108=""),"",ROUND(($J108-$I108)*1440,0))</f>
        <v/>
      </c>
      <c r="AD108" s="25">
        <f>IF($A108="","",IF(COUNTIFS(stops!$A$2:$A$151,$A108,stops!$B$2:$B$151,$B108)&gt;1,"DUPLICATE stop; ","")&amp;IF(AND(OR(IFERROR(IF(INDEX(offices!$Z$2:$Z$61,MATCH($B108,offices!$A$2:$A$61,0))="","",INDEX(offices!$Z$2:$Z$61,MATCH($B108,offices!$A$2:$A$61,0))),"")="yes",IFERROR(IF(INDEX(offices!$Z$2:$Z$61,MATCH($B108,offices!$A$2:$A$61,0))="","",INDEX(offices!$Z$2:$Z$61,MATCH($B108,offices!$A$2:$A$61,0))),"")="unsure"),$Y108&lt;&gt;"received",$Y108&lt;&gt;"not_needed"),"building certificate not received; ","")&amp;IF($W108="","owner phone missing; ","")&amp;IF(N($Z108)=0,"no approved brand for this stop; ","")&amp;IF(AND($P108&lt;&gt;"",IF(config!$B$37&lt;&gt;"",config!$B$37,TODAY())&gt;$P108,$L108=""),"log the outcome; ","")&amp;IF(AND(OR($L108="declined",$L108="building_refused",$L108="not_delivered"),N($Z108)&gt;0,COUNTIFS(approvals!$H$2:$H$251,$A108,approvals!$B$2:$B$251,$B108,approvals!$P$2:$P$251,"Y",approvals!$U$2:$U$251,"&gt;0")&gt;=N($Z108)),"outcome says "&amp;$L108&amp;" but every brand here is logged delivered: fix the outcome, or delete the wrong delivered rows (SOP section 4); ","")&amp;IF(AND(OR($L108="declined",$L108="building_refused",$L108="not_delivered"),COUNTIFS(approvals!$H$2:$H$251,$A108,approvals!$B$2:$B$251,$B108,approvals!$P$2:$P$251,"Y",approvals!$U$2:$U$251,"&gt;0")&gt;0,COUNTIFS(approvals!$H$2:$H$251,$A108,approvals!$B$2:$B$251,$B108,approvals!$P$2:$P$251,"Y",approvals!$U$2:$U$251,"&gt;0")&lt;N($Z108)),"info: "&amp;(N($Z108)-COUNTIFS(approvals!$H$2:$H$251,$A108,approvals!$B$2:$B$251,$B108,approvals!$P$2:$P$251,"Y",approvals!$U$2:$U$251,"&gt;0"))&amp;" brand(s) turned away at the door, the rest delivered; ","")&amp;IF(AND($AB108="Y",IFERROR(IF(INDEX(drops!$C$2:$C$21,MATCH($A108,drops!$A$2:$A$21,0))="","",INDEX(drops!$C$2:$C$21,MATCH($A108,drops!$A$2:$A$21,0))),"")="direct-ship"),"info: first drop: visit in person on T; ","")&amp;IF(AND($U108="front desk",$X108&lt;&gt;"Y"),"info: front desk not agreed: the owner must take it; ",""))</f>
        <v/>
      </c>
    </row>
    <row r="109">
      <c r="D109" s="33" t="n"/>
      <c r="E109" s="9" t="n"/>
      <c r="F109" s="9" t="n"/>
      <c r="G109" s="9" t="n"/>
      <c r="I109" s="33" t="n"/>
      <c r="J109" s="33" t="n"/>
      <c r="N109" s="9" t="n"/>
      <c r="P109" s="26">
        <f>IF($A109="","",IF(IFERROR(IF(INDEX(drops!$I$2:$I$21,MATCH($A109,drops!$A$2:$A$21,0))="","",INDEX(drops!$I$2:$I$21,MATCH($A109,drops!$A$2:$A$21,0))),"")="OK",IFERROR(IF(INDEX(drops!$B$2:$B$21,MATCH($A109,drops!$A$2:$A$21,0))="","",INDEX(drops!$B$2:$B$21,MATCH($A109,drops!$A$2:$A$21,0))),""),""))</f>
        <v/>
      </c>
      <c r="Q109" s="25">
        <f>IF($B109="","",IFERROR(IF(INDEX(offices!$N$2:$N$61,MATCH($B109,offices!$A$2:$A$61,0))="","",INDEX(offices!$N$2:$N$61,MATCH($B109,offices!$A$2:$A$61,0))),""))</f>
        <v/>
      </c>
      <c r="R109" s="25">
        <f>IF($B109="","",IFERROR(IF(INDEX(offices!$O$2:$O$61,MATCH($B109,offices!$A$2:$A$61,0))="","",INDEX(offices!$O$2:$O$61,MATCH($B109,offices!$A$2:$A$61,0))),""))</f>
        <v/>
      </c>
      <c r="S109" s="25">
        <f>IF($B109="","",IFERROR(IF(INDEX(offices!$P$2:$P$61,MATCH($B109,offices!$A$2:$A$61,0))="","",INDEX(offices!$P$2:$P$61,MATCH($B109,offices!$A$2:$A$61,0))),""))</f>
        <v/>
      </c>
      <c r="T109" s="25">
        <f>IF($B109="","",IFERROR(IF(INDEX(offices!$Y$2:$Y$61,MATCH($B109,offices!$A$2:$A$61,0))="","",INDEX(offices!$Y$2:$Y$61,MATCH($B109,offices!$A$2:$A$61,0))),""))</f>
        <v/>
      </c>
      <c r="U109" s="25">
        <f>IF($B109="","",IFERROR(IF(INDEX(offices!$X$2:$X$61,MATCH($B109,offices!$A$2:$A$61,0))="","",INDEX(offices!$X$2:$X$61,MATCH($B109,offices!$A$2:$A$61,0))),""))</f>
        <v/>
      </c>
      <c r="V109" s="25">
        <f>IF($B109="","",IFERROR(IF(INDEX(offices!$U$2:$U$61,MATCH($B109,offices!$A$2:$A$61,0))="","",INDEX(offices!$U$2:$U$61,MATCH($B109,offices!$A$2:$A$61,0))),""))</f>
        <v/>
      </c>
      <c r="W109" s="25">
        <f>IF($B109="","",IFERROR(IF(INDEX(offices!$AI$2:$AI$61,MATCH($B109,offices!$A$2:$A$61,0))="","",INDEX(offices!$AI$2:$AI$61,MATCH($B109,offices!$A$2:$A$61,0))),""))</f>
        <v/>
      </c>
      <c r="X109" s="25">
        <f>IF($B109="","",IFERROR(IF(INDEX(offices!$G$2:$G$61,MATCH($B109,offices!$A$2:$A$61,0))="","",INDEX(offices!$G$2:$G$61,MATCH($B109,offices!$A$2:$A$61,0))),""))</f>
        <v/>
      </c>
      <c r="Y109" s="25">
        <f>IF($B109="","",IFERROR(IF(INDEX(offices!$I$2:$I$61,MATCH($B109,offices!$A$2:$A$61,0))="","",INDEX(offices!$I$2:$I$61,MATCH($B109,offices!$A$2:$A$61,0))),""))</f>
        <v/>
      </c>
      <c r="Z109" s="25">
        <f>IF($A109="","",COUNTIFS(approvals!$H$2:$H$251,$A109,approvals!$B$2:$B$251,$B109,approvals!$P$2:$P$251,"Y"))</f>
        <v/>
      </c>
      <c r="AA109" s="25">
        <f>IF($A109="","",SUMIFS(approvals!$S$2:$S$251,approvals!$H$2:$H$251,$A109,approvals!$B$2:$B$251,$B109,approvals!$P$2:$P$251,"Y"))</f>
        <v/>
      </c>
      <c r="AB109" s="25">
        <f>IF(OR($A109="",$P109=""),"",IF(COUNTIFS(stops!$B$2:$B$151,$B109,stops!$P$2:$P$151,"&lt;"&amp;$P109,stops!$L$2:$L$151,"&lt;&gt;not_delivered")=0,"Y","N"))</f>
        <v/>
      </c>
      <c r="AC109" s="25">
        <f>IF(OR($I109="",$J109=""),"",ROUND(($J109-$I109)*1440,0))</f>
        <v/>
      </c>
      <c r="AD109" s="25">
        <f>IF($A109="","",IF(COUNTIFS(stops!$A$2:$A$151,$A109,stops!$B$2:$B$151,$B109)&gt;1,"DUPLICATE stop; ","")&amp;IF(AND(OR(IFERROR(IF(INDEX(offices!$Z$2:$Z$61,MATCH($B109,offices!$A$2:$A$61,0))="","",INDEX(offices!$Z$2:$Z$61,MATCH($B109,offices!$A$2:$A$61,0))),"")="yes",IFERROR(IF(INDEX(offices!$Z$2:$Z$61,MATCH($B109,offices!$A$2:$A$61,0))="","",INDEX(offices!$Z$2:$Z$61,MATCH($B109,offices!$A$2:$A$61,0))),"")="unsure"),$Y109&lt;&gt;"received",$Y109&lt;&gt;"not_needed"),"building certificate not received; ","")&amp;IF($W109="","owner phone missing; ","")&amp;IF(N($Z109)=0,"no approved brand for this stop; ","")&amp;IF(AND($P109&lt;&gt;"",IF(config!$B$37&lt;&gt;"",config!$B$37,TODAY())&gt;$P109,$L109=""),"log the outcome; ","")&amp;IF(AND(OR($L109="declined",$L109="building_refused",$L109="not_delivered"),N($Z109)&gt;0,COUNTIFS(approvals!$H$2:$H$251,$A109,approvals!$B$2:$B$251,$B109,approvals!$P$2:$P$251,"Y",approvals!$U$2:$U$251,"&gt;0")&gt;=N($Z109)),"outcome says "&amp;$L109&amp;" but every brand here is logged delivered: fix the outcome, or delete the wrong delivered rows (SOP section 4); ","")&amp;IF(AND(OR($L109="declined",$L109="building_refused",$L109="not_delivered"),COUNTIFS(approvals!$H$2:$H$251,$A109,approvals!$B$2:$B$251,$B109,approvals!$P$2:$P$251,"Y",approvals!$U$2:$U$251,"&gt;0")&gt;0,COUNTIFS(approvals!$H$2:$H$251,$A109,approvals!$B$2:$B$251,$B109,approvals!$P$2:$P$251,"Y",approvals!$U$2:$U$251,"&gt;0")&lt;N($Z109)),"info: "&amp;(N($Z109)-COUNTIFS(approvals!$H$2:$H$251,$A109,approvals!$B$2:$B$251,$B109,approvals!$P$2:$P$251,"Y",approvals!$U$2:$U$251,"&gt;0"))&amp;" brand(s) turned away at the door, the rest delivered; ","")&amp;IF(AND($AB109="Y",IFERROR(IF(INDEX(drops!$C$2:$C$21,MATCH($A109,drops!$A$2:$A$21,0))="","",INDEX(drops!$C$2:$C$21,MATCH($A109,drops!$A$2:$A$21,0))),"")="direct-ship"),"info: first drop: visit in person on T; ","")&amp;IF(AND($U109="front desk",$X109&lt;&gt;"Y"),"info: front desk not agreed: the owner must take it; ",""))</f>
        <v/>
      </c>
    </row>
    <row r="110">
      <c r="D110" s="33" t="n"/>
      <c r="E110" s="9" t="n"/>
      <c r="F110" s="9" t="n"/>
      <c r="G110" s="9" t="n"/>
      <c r="I110" s="33" t="n"/>
      <c r="J110" s="33" t="n"/>
      <c r="N110" s="9" t="n"/>
      <c r="P110" s="26">
        <f>IF($A110="","",IF(IFERROR(IF(INDEX(drops!$I$2:$I$21,MATCH($A110,drops!$A$2:$A$21,0))="","",INDEX(drops!$I$2:$I$21,MATCH($A110,drops!$A$2:$A$21,0))),"")="OK",IFERROR(IF(INDEX(drops!$B$2:$B$21,MATCH($A110,drops!$A$2:$A$21,0))="","",INDEX(drops!$B$2:$B$21,MATCH($A110,drops!$A$2:$A$21,0))),""),""))</f>
        <v/>
      </c>
      <c r="Q110" s="25">
        <f>IF($B110="","",IFERROR(IF(INDEX(offices!$N$2:$N$61,MATCH($B110,offices!$A$2:$A$61,0))="","",INDEX(offices!$N$2:$N$61,MATCH($B110,offices!$A$2:$A$61,0))),""))</f>
        <v/>
      </c>
      <c r="R110" s="25">
        <f>IF($B110="","",IFERROR(IF(INDEX(offices!$O$2:$O$61,MATCH($B110,offices!$A$2:$A$61,0))="","",INDEX(offices!$O$2:$O$61,MATCH($B110,offices!$A$2:$A$61,0))),""))</f>
        <v/>
      </c>
      <c r="S110" s="25">
        <f>IF($B110="","",IFERROR(IF(INDEX(offices!$P$2:$P$61,MATCH($B110,offices!$A$2:$A$61,0))="","",INDEX(offices!$P$2:$P$61,MATCH($B110,offices!$A$2:$A$61,0))),""))</f>
        <v/>
      </c>
      <c r="T110" s="25">
        <f>IF($B110="","",IFERROR(IF(INDEX(offices!$Y$2:$Y$61,MATCH($B110,offices!$A$2:$A$61,0))="","",INDEX(offices!$Y$2:$Y$61,MATCH($B110,offices!$A$2:$A$61,0))),""))</f>
        <v/>
      </c>
      <c r="U110" s="25">
        <f>IF($B110="","",IFERROR(IF(INDEX(offices!$X$2:$X$61,MATCH($B110,offices!$A$2:$A$61,0))="","",INDEX(offices!$X$2:$X$61,MATCH($B110,offices!$A$2:$A$61,0))),""))</f>
        <v/>
      </c>
      <c r="V110" s="25">
        <f>IF($B110="","",IFERROR(IF(INDEX(offices!$U$2:$U$61,MATCH($B110,offices!$A$2:$A$61,0))="","",INDEX(offices!$U$2:$U$61,MATCH($B110,offices!$A$2:$A$61,0))),""))</f>
        <v/>
      </c>
      <c r="W110" s="25">
        <f>IF($B110="","",IFERROR(IF(INDEX(offices!$AI$2:$AI$61,MATCH($B110,offices!$A$2:$A$61,0))="","",INDEX(offices!$AI$2:$AI$61,MATCH($B110,offices!$A$2:$A$61,0))),""))</f>
        <v/>
      </c>
      <c r="X110" s="25">
        <f>IF($B110="","",IFERROR(IF(INDEX(offices!$G$2:$G$61,MATCH($B110,offices!$A$2:$A$61,0))="","",INDEX(offices!$G$2:$G$61,MATCH($B110,offices!$A$2:$A$61,0))),""))</f>
        <v/>
      </c>
      <c r="Y110" s="25">
        <f>IF($B110="","",IFERROR(IF(INDEX(offices!$I$2:$I$61,MATCH($B110,offices!$A$2:$A$61,0))="","",INDEX(offices!$I$2:$I$61,MATCH($B110,offices!$A$2:$A$61,0))),""))</f>
        <v/>
      </c>
      <c r="Z110" s="25">
        <f>IF($A110="","",COUNTIFS(approvals!$H$2:$H$251,$A110,approvals!$B$2:$B$251,$B110,approvals!$P$2:$P$251,"Y"))</f>
        <v/>
      </c>
      <c r="AA110" s="25">
        <f>IF($A110="","",SUMIFS(approvals!$S$2:$S$251,approvals!$H$2:$H$251,$A110,approvals!$B$2:$B$251,$B110,approvals!$P$2:$P$251,"Y"))</f>
        <v/>
      </c>
      <c r="AB110" s="25">
        <f>IF(OR($A110="",$P110=""),"",IF(COUNTIFS(stops!$B$2:$B$151,$B110,stops!$P$2:$P$151,"&lt;"&amp;$P110,stops!$L$2:$L$151,"&lt;&gt;not_delivered")=0,"Y","N"))</f>
        <v/>
      </c>
      <c r="AC110" s="25">
        <f>IF(OR($I110="",$J110=""),"",ROUND(($J110-$I110)*1440,0))</f>
        <v/>
      </c>
      <c r="AD110" s="25">
        <f>IF($A110="","",IF(COUNTIFS(stops!$A$2:$A$151,$A110,stops!$B$2:$B$151,$B110)&gt;1,"DUPLICATE stop; ","")&amp;IF(AND(OR(IFERROR(IF(INDEX(offices!$Z$2:$Z$61,MATCH($B110,offices!$A$2:$A$61,0))="","",INDEX(offices!$Z$2:$Z$61,MATCH($B110,offices!$A$2:$A$61,0))),"")="yes",IFERROR(IF(INDEX(offices!$Z$2:$Z$61,MATCH($B110,offices!$A$2:$A$61,0))="","",INDEX(offices!$Z$2:$Z$61,MATCH($B110,offices!$A$2:$A$61,0))),"")="unsure"),$Y110&lt;&gt;"received",$Y110&lt;&gt;"not_needed"),"building certificate not received; ","")&amp;IF($W110="","owner phone missing; ","")&amp;IF(N($Z110)=0,"no approved brand for this stop; ","")&amp;IF(AND($P110&lt;&gt;"",IF(config!$B$37&lt;&gt;"",config!$B$37,TODAY())&gt;$P110,$L110=""),"log the outcome; ","")&amp;IF(AND(OR($L110="declined",$L110="building_refused",$L110="not_delivered"),N($Z110)&gt;0,COUNTIFS(approvals!$H$2:$H$251,$A110,approvals!$B$2:$B$251,$B110,approvals!$P$2:$P$251,"Y",approvals!$U$2:$U$251,"&gt;0")&gt;=N($Z110)),"outcome says "&amp;$L110&amp;" but every brand here is logged delivered: fix the outcome, or delete the wrong delivered rows (SOP section 4); ","")&amp;IF(AND(OR($L110="declined",$L110="building_refused",$L110="not_delivered"),COUNTIFS(approvals!$H$2:$H$251,$A110,approvals!$B$2:$B$251,$B110,approvals!$P$2:$P$251,"Y",approvals!$U$2:$U$251,"&gt;0")&gt;0,COUNTIFS(approvals!$H$2:$H$251,$A110,approvals!$B$2:$B$251,$B110,approvals!$P$2:$P$251,"Y",approvals!$U$2:$U$251,"&gt;0")&lt;N($Z110)),"info: "&amp;(N($Z110)-COUNTIFS(approvals!$H$2:$H$251,$A110,approvals!$B$2:$B$251,$B110,approvals!$P$2:$P$251,"Y",approvals!$U$2:$U$251,"&gt;0"))&amp;" brand(s) turned away at the door, the rest delivered; ","")&amp;IF(AND($AB110="Y",IFERROR(IF(INDEX(drops!$C$2:$C$21,MATCH($A110,drops!$A$2:$A$21,0))="","",INDEX(drops!$C$2:$C$21,MATCH($A110,drops!$A$2:$A$21,0))),"")="direct-ship"),"info: first drop: visit in person on T; ","")&amp;IF(AND($U110="front desk",$X110&lt;&gt;"Y"),"info: front desk not agreed: the owner must take it; ",""))</f>
        <v/>
      </c>
    </row>
    <row r="111">
      <c r="D111" s="33" t="n"/>
      <c r="E111" s="9" t="n"/>
      <c r="F111" s="9" t="n"/>
      <c r="G111" s="9" t="n"/>
      <c r="I111" s="33" t="n"/>
      <c r="J111" s="33" t="n"/>
      <c r="N111" s="9" t="n"/>
      <c r="P111" s="26">
        <f>IF($A111="","",IF(IFERROR(IF(INDEX(drops!$I$2:$I$21,MATCH($A111,drops!$A$2:$A$21,0))="","",INDEX(drops!$I$2:$I$21,MATCH($A111,drops!$A$2:$A$21,0))),"")="OK",IFERROR(IF(INDEX(drops!$B$2:$B$21,MATCH($A111,drops!$A$2:$A$21,0))="","",INDEX(drops!$B$2:$B$21,MATCH($A111,drops!$A$2:$A$21,0))),""),""))</f>
        <v/>
      </c>
      <c r="Q111" s="25">
        <f>IF($B111="","",IFERROR(IF(INDEX(offices!$N$2:$N$61,MATCH($B111,offices!$A$2:$A$61,0))="","",INDEX(offices!$N$2:$N$61,MATCH($B111,offices!$A$2:$A$61,0))),""))</f>
        <v/>
      </c>
      <c r="R111" s="25">
        <f>IF($B111="","",IFERROR(IF(INDEX(offices!$O$2:$O$61,MATCH($B111,offices!$A$2:$A$61,0))="","",INDEX(offices!$O$2:$O$61,MATCH($B111,offices!$A$2:$A$61,0))),""))</f>
        <v/>
      </c>
      <c r="S111" s="25">
        <f>IF($B111="","",IFERROR(IF(INDEX(offices!$P$2:$P$61,MATCH($B111,offices!$A$2:$A$61,0))="","",INDEX(offices!$P$2:$P$61,MATCH($B111,offices!$A$2:$A$61,0))),""))</f>
        <v/>
      </c>
      <c r="T111" s="25">
        <f>IF($B111="","",IFERROR(IF(INDEX(offices!$Y$2:$Y$61,MATCH($B111,offices!$A$2:$A$61,0))="","",INDEX(offices!$Y$2:$Y$61,MATCH($B111,offices!$A$2:$A$61,0))),""))</f>
        <v/>
      </c>
      <c r="U111" s="25">
        <f>IF($B111="","",IFERROR(IF(INDEX(offices!$X$2:$X$61,MATCH($B111,offices!$A$2:$A$61,0))="","",INDEX(offices!$X$2:$X$61,MATCH($B111,offices!$A$2:$A$61,0))),""))</f>
        <v/>
      </c>
      <c r="V111" s="25">
        <f>IF($B111="","",IFERROR(IF(INDEX(offices!$U$2:$U$61,MATCH($B111,offices!$A$2:$A$61,0))="","",INDEX(offices!$U$2:$U$61,MATCH($B111,offices!$A$2:$A$61,0))),""))</f>
        <v/>
      </c>
      <c r="W111" s="25">
        <f>IF($B111="","",IFERROR(IF(INDEX(offices!$AI$2:$AI$61,MATCH($B111,offices!$A$2:$A$61,0))="","",INDEX(offices!$AI$2:$AI$61,MATCH($B111,offices!$A$2:$A$61,0))),""))</f>
        <v/>
      </c>
      <c r="X111" s="25">
        <f>IF($B111="","",IFERROR(IF(INDEX(offices!$G$2:$G$61,MATCH($B111,offices!$A$2:$A$61,0))="","",INDEX(offices!$G$2:$G$61,MATCH($B111,offices!$A$2:$A$61,0))),""))</f>
        <v/>
      </c>
      <c r="Y111" s="25">
        <f>IF($B111="","",IFERROR(IF(INDEX(offices!$I$2:$I$61,MATCH($B111,offices!$A$2:$A$61,0))="","",INDEX(offices!$I$2:$I$61,MATCH($B111,offices!$A$2:$A$61,0))),""))</f>
        <v/>
      </c>
      <c r="Z111" s="25">
        <f>IF($A111="","",COUNTIFS(approvals!$H$2:$H$251,$A111,approvals!$B$2:$B$251,$B111,approvals!$P$2:$P$251,"Y"))</f>
        <v/>
      </c>
      <c r="AA111" s="25">
        <f>IF($A111="","",SUMIFS(approvals!$S$2:$S$251,approvals!$H$2:$H$251,$A111,approvals!$B$2:$B$251,$B111,approvals!$P$2:$P$251,"Y"))</f>
        <v/>
      </c>
      <c r="AB111" s="25">
        <f>IF(OR($A111="",$P111=""),"",IF(COUNTIFS(stops!$B$2:$B$151,$B111,stops!$P$2:$P$151,"&lt;"&amp;$P111,stops!$L$2:$L$151,"&lt;&gt;not_delivered")=0,"Y","N"))</f>
        <v/>
      </c>
      <c r="AC111" s="25">
        <f>IF(OR($I111="",$J111=""),"",ROUND(($J111-$I111)*1440,0))</f>
        <v/>
      </c>
      <c r="AD111" s="25">
        <f>IF($A111="","",IF(COUNTIFS(stops!$A$2:$A$151,$A111,stops!$B$2:$B$151,$B111)&gt;1,"DUPLICATE stop; ","")&amp;IF(AND(OR(IFERROR(IF(INDEX(offices!$Z$2:$Z$61,MATCH($B111,offices!$A$2:$A$61,0))="","",INDEX(offices!$Z$2:$Z$61,MATCH($B111,offices!$A$2:$A$61,0))),"")="yes",IFERROR(IF(INDEX(offices!$Z$2:$Z$61,MATCH($B111,offices!$A$2:$A$61,0))="","",INDEX(offices!$Z$2:$Z$61,MATCH($B111,offices!$A$2:$A$61,0))),"")="unsure"),$Y111&lt;&gt;"received",$Y111&lt;&gt;"not_needed"),"building certificate not received; ","")&amp;IF($W111="","owner phone missing; ","")&amp;IF(N($Z111)=0,"no approved brand for this stop; ","")&amp;IF(AND($P111&lt;&gt;"",IF(config!$B$37&lt;&gt;"",config!$B$37,TODAY())&gt;$P111,$L111=""),"log the outcome; ","")&amp;IF(AND(OR($L111="declined",$L111="building_refused",$L111="not_delivered"),N($Z111)&gt;0,COUNTIFS(approvals!$H$2:$H$251,$A111,approvals!$B$2:$B$251,$B111,approvals!$P$2:$P$251,"Y",approvals!$U$2:$U$251,"&gt;0")&gt;=N($Z111)),"outcome says "&amp;$L111&amp;" but every brand here is logged delivered: fix the outcome, or delete the wrong delivered rows (SOP section 4); ","")&amp;IF(AND(OR($L111="declined",$L111="building_refused",$L111="not_delivered"),COUNTIFS(approvals!$H$2:$H$251,$A111,approvals!$B$2:$B$251,$B111,approvals!$P$2:$P$251,"Y",approvals!$U$2:$U$251,"&gt;0")&gt;0,COUNTIFS(approvals!$H$2:$H$251,$A111,approvals!$B$2:$B$251,$B111,approvals!$P$2:$P$251,"Y",approvals!$U$2:$U$251,"&gt;0")&lt;N($Z111)),"info: "&amp;(N($Z111)-COUNTIFS(approvals!$H$2:$H$251,$A111,approvals!$B$2:$B$251,$B111,approvals!$P$2:$P$251,"Y",approvals!$U$2:$U$251,"&gt;0"))&amp;" brand(s) turned away at the door, the rest delivered; ","")&amp;IF(AND($AB111="Y",IFERROR(IF(INDEX(drops!$C$2:$C$21,MATCH($A111,drops!$A$2:$A$21,0))="","",INDEX(drops!$C$2:$C$21,MATCH($A111,drops!$A$2:$A$21,0))),"")="direct-ship"),"info: first drop: visit in person on T; ","")&amp;IF(AND($U111="front desk",$X111&lt;&gt;"Y"),"info: front desk not agreed: the owner must take it; ",""))</f>
        <v/>
      </c>
    </row>
    <row r="112">
      <c r="D112" s="33" t="n"/>
      <c r="E112" s="9" t="n"/>
      <c r="F112" s="9" t="n"/>
      <c r="G112" s="9" t="n"/>
      <c r="I112" s="33" t="n"/>
      <c r="J112" s="33" t="n"/>
      <c r="N112" s="9" t="n"/>
      <c r="P112" s="26">
        <f>IF($A112="","",IF(IFERROR(IF(INDEX(drops!$I$2:$I$21,MATCH($A112,drops!$A$2:$A$21,0))="","",INDEX(drops!$I$2:$I$21,MATCH($A112,drops!$A$2:$A$21,0))),"")="OK",IFERROR(IF(INDEX(drops!$B$2:$B$21,MATCH($A112,drops!$A$2:$A$21,0))="","",INDEX(drops!$B$2:$B$21,MATCH($A112,drops!$A$2:$A$21,0))),""),""))</f>
        <v/>
      </c>
      <c r="Q112" s="25">
        <f>IF($B112="","",IFERROR(IF(INDEX(offices!$N$2:$N$61,MATCH($B112,offices!$A$2:$A$61,0))="","",INDEX(offices!$N$2:$N$61,MATCH($B112,offices!$A$2:$A$61,0))),""))</f>
        <v/>
      </c>
      <c r="R112" s="25">
        <f>IF($B112="","",IFERROR(IF(INDEX(offices!$O$2:$O$61,MATCH($B112,offices!$A$2:$A$61,0))="","",INDEX(offices!$O$2:$O$61,MATCH($B112,offices!$A$2:$A$61,0))),""))</f>
        <v/>
      </c>
      <c r="S112" s="25">
        <f>IF($B112="","",IFERROR(IF(INDEX(offices!$P$2:$P$61,MATCH($B112,offices!$A$2:$A$61,0))="","",INDEX(offices!$P$2:$P$61,MATCH($B112,offices!$A$2:$A$61,0))),""))</f>
        <v/>
      </c>
      <c r="T112" s="25">
        <f>IF($B112="","",IFERROR(IF(INDEX(offices!$Y$2:$Y$61,MATCH($B112,offices!$A$2:$A$61,0))="","",INDEX(offices!$Y$2:$Y$61,MATCH($B112,offices!$A$2:$A$61,0))),""))</f>
        <v/>
      </c>
      <c r="U112" s="25">
        <f>IF($B112="","",IFERROR(IF(INDEX(offices!$X$2:$X$61,MATCH($B112,offices!$A$2:$A$61,0))="","",INDEX(offices!$X$2:$X$61,MATCH($B112,offices!$A$2:$A$61,0))),""))</f>
        <v/>
      </c>
      <c r="V112" s="25">
        <f>IF($B112="","",IFERROR(IF(INDEX(offices!$U$2:$U$61,MATCH($B112,offices!$A$2:$A$61,0))="","",INDEX(offices!$U$2:$U$61,MATCH($B112,offices!$A$2:$A$61,0))),""))</f>
        <v/>
      </c>
      <c r="W112" s="25">
        <f>IF($B112="","",IFERROR(IF(INDEX(offices!$AI$2:$AI$61,MATCH($B112,offices!$A$2:$A$61,0))="","",INDEX(offices!$AI$2:$AI$61,MATCH($B112,offices!$A$2:$A$61,0))),""))</f>
        <v/>
      </c>
      <c r="X112" s="25">
        <f>IF($B112="","",IFERROR(IF(INDEX(offices!$G$2:$G$61,MATCH($B112,offices!$A$2:$A$61,0))="","",INDEX(offices!$G$2:$G$61,MATCH($B112,offices!$A$2:$A$61,0))),""))</f>
        <v/>
      </c>
      <c r="Y112" s="25">
        <f>IF($B112="","",IFERROR(IF(INDEX(offices!$I$2:$I$61,MATCH($B112,offices!$A$2:$A$61,0))="","",INDEX(offices!$I$2:$I$61,MATCH($B112,offices!$A$2:$A$61,0))),""))</f>
        <v/>
      </c>
      <c r="Z112" s="25">
        <f>IF($A112="","",COUNTIFS(approvals!$H$2:$H$251,$A112,approvals!$B$2:$B$251,$B112,approvals!$P$2:$P$251,"Y"))</f>
        <v/>
      </c>
      <c r="AA112" s="25">
        <f>IF($A112="","",SUMIFS(approvals!$S$2:$S$251,approvals!$H$2:$H$251,$A112,approvals!$B$2:$B$251,$B112,approvals!$P$2:$P$251,"Y"))</f>
        <v/>
      </c>
      <c r="AB112" s="25">
        <f>IF(OR($A112="",$P112=""),"",IF(COUNTIFS(stops!$B$2:$B$151,$B112,stops!$P$2:$P$151,"&lt;"&amp;$P112,stops!$L$2:$L$151,"&lt;&gt;not_delivered")=0,"Y","N"))</f>
        <v/>
      </c>
      <c r="AC112" s="25">
        <f>IF(OR($I112="",$J112=""),"",ROUND(($J112-$I112)*1440,0))</f>
        <v/>
      </c>
      <c r="AD112" s="25">
        <f>IF($A112="","",IF(COUNTIFS(stops!$A$2:$A$151,$A112,stops!$B$2:$B$151,$B112)&gt;1,"DUPLICATE stop; ","")&amp;IF(AND(OR(IFERROR(IF(INDEX(offices!$Z$2:$Z$61,MATCH($B112,offices!$A$2:$A$61,0))="","",INDEX(offices!$Z$2:$Z$61,MATCH($B112,offices!$A$2:$A$61,0))),"")="yes",IFERROR(IF(INDEX(offices!$Z$2:$Z$61,MATCH($B112,offices!$A$2:$A$61,0))="","",INDEX(offices!$Z$2:$Z$61,MATCH($B112,offices!$A$2:$A$61,0))),"")="unsure"),$Y112&lt;&gt;"received",$Y112&lt;&gt;"not_needed"),"building certificate not received; ","")&amp;IF($W112="","owner phone missing; ","")&amp;IF(N($Z112)=0,"no approved brand for this stop; ","")&amp;IF(AND($P112&lt;&gt;"",IF(config!$B$37&lt;&gt;"",config!$B$37,TODAY())&gt;$P112,$L112=""),"log the outcome; ","")&amp;IF(AND(OR($L112="declined",$L112="building_refused",$L112="not_delivered"),N($Z112)&gt;0,COUNTIFS(approvals!$H$2:$H$251,$A112,approvals!$B$2:$B$251,$B112,approvals!$P$2:$P$251,"Y",approvals!$U$2:$U$251,"&gt;0")&gt;=N($Z112)),"outcome says "&amp;$L112&amp;" but every brand here is logged delivered: fix the outcome, or delete the wrong delivered rows (SOP section 4); ","")&amp;IF(AND(OR($L112="declined",$L112="building_refused",$L112="not_delivered"),COUNTIFS(approvals!$H$2:$H$251,$A112,approvals!$B$2:$B$251,$B112,approvals!$P$2:$P$251,"Y",approvals!$U$2:$U$251,"&gt;0")&gt;0,COUNTIFS(approvals!$H$2:$H$251,$A112,approvals!$B$2:$B$251,$B112,approvals!$P$2:$P$251,"Y",approvals!$U$2:$U$251,"&gt;0")&lt;N($Z112)),"info: "&amp;(N($Z112)-COUNTIFS(approvals!$H$2:$H$251,$A112,approvals!$B$2:$B$251,$B112,approvals!$P$2:$P$251,"Y",approvals!$U$2:$U$251,"&gt;0"))&amp;" brand(s) turned away at the door, the rest delivered; ","")&amp;IF(AND($AB112="Y",IFERROR(IF(INDEX(drops!$C$2:$C$21,MATCH($A112,drops!$A$2:$A$21,0))="","",INDEX(drops!$C$2:$C$21,MATCH($A112,drops!$A$2:$A$21,0))),"")="direct-ship"),"info: first drop: visit in person on T; ","")&amp;IF(AND($U112="front desk",$X112&lt;&gt;"Y"),"info: front desk not agreed: the owner must take it; ",""))</f>
        <v/>
      </c>
    </row>
    <row r="113">
      <c r="D113" s="33" t="n"/>
      <c r="E113" s="9" t="n"/>
      <c r="F113" s="9" t="n"/>
      <c r="G113" s="9" t="n"/>
      <c r="I113" s="33" t="n"/>
      <c r="J113" s="33" t="n"/>
      <c r="N113" s="9" t="n"/>
      <c r="P113" s="26">
        <f>IF($A113="","",IF(IFERROR(IF(INDEX(drops!$I$2:$I$21,MATCH($A113,drops!$A$2:$A$21,0))="","",INDEX(drops!$I$2:$I$21,MATCH($A113,drops!$A$2:$A$21,0))),"")="OK",IFERROR(IF(INDEX(drops!$B$2:$B$21,MATCH($A113,drops!$A$2:$A$21,0))="","",INDEX(drops!$B$2:$B$21,MATCH($A113,drops!$A$2:$A$21,0))),""),""))</f>
        <v/>
      </c>
      <c r="Q113" s="25">
        <f>IF($B113="","",IFERROR(IF(INDEX(offices!$N$2:$N$61,MATCH($B113,offices!$A$2:$A$61,0))="","",INDEX(offices!$N$2:$N$61,MATCH($B113,offices!$A$2:$A$61,0))),""))</f>
        <v/>
      </c>
      <c r="R113" s="25">
        <f>IF($B113="","",IFERROR(IF(INDEX(offices!$O$2:$O$61,MATCH($B113,offices!$A$2:$A$61,0))="","",INDEX(offices!$O$2:$O$61,MATCH($B113,offices!$A$2:$A$61,0))),""))</f>
        <v/>
      </c>
      <c r="S113" s="25">
        <f>IF($B113="","",IFERROR(IF(INDEX(offices!$P$2:$P$61,MATCH($B113,offices!$A$2:$A$61,0))="","",INDEX(offices!$P$2:$P$61,MATCH($B113,offices!$A$2:$A$61,0))),""))</f>
        <v/>
      </c>
      <c r="T113" s="25">
        <f>IF($B113="","",IFERROR(IF(INDEX(offices!$Y$2:$Y$61,MATCH($B113,offices!$A$2:$A$61,0))="","",INDEX(offices!$Y$2:$Y$61,MATCH($B113,offices!$A$2:$A$61,0))),""))</f>
        <v/>
      </c>
      <c r="U113" s="25">
        <f>IF($B113="","",IFERROR(IF(INDEX(offices!$X$2:$X$61,MATCH($B113,offices!$A$2:$A$61,0))="","",INDEX(offices!$X$2:$X$61,MATCH($B113,offices!$A$2:$A$61,0))),""))</f>
        <v/>
      </c>
      <c r="V113" s="25">
        <f>IF($B113="","",IFERROR(IF(INDEX(offices!$U$2:$U$61,MATCH($B113,offices!$A$2:$A$61,0))="","",INDEX(offices!$U$2:$U$61,MATCH($B113,offices!$A$2:$A$61,0))),""))</f>
        <v/>
      </c>
      <c r="W113" s="25">
        <f>IF($B113="","",IFERROR(IF(INDEX(offices!$AI$2:$AI$61,MATCH($B113,offices!$A$2:$A$61,0))="","",INDEX(offices!$AI$2:$AI$61,MATCH($B113,offices!$A$2:$A$61,0))),""))</f>
        <v/>
      </c>
      <c r="X113" s="25">
        <f>IF($B113="","",IFERROR(IF(INDEX(offices!$G$2:$G$61,MATCH($B113,offices!$A$2:$A$61,0))="","",INDEX(offices!$G$2:$G$61,MATCH($B113,offices!$A$2:$A$61,0))),""))</f>
        <v/>
      </c>
      <c r="Y113" s="25">
        <f>IF($B113="","",IFERROR(IF(INDEX(offices!$I$2:$I$61,MATCH($B113,offices!$A$2:$A$61,0))="","",INDEX(offices!$I$2:$I$61,MATCH($B113,offices!$A$2:$A$61,0))),""))</f>
        <v/>
      </c>
      <c r="Z113" s="25">
        <f>IF($A113="","",COUNTIFS(approvals!$H$2:$H$251,$A113,approvals!$B$2:$B$251,$B113,approvals!$P$2:$P$251,"Y"))</f>
        <v/>
      </c>
      <c r="AA113" s="25">
        <f>IF($A113="","",SUMIFS(approvals!$S$2:$S$251,approvals!$H$2:$H$251,$A113,approvals!$B$2:$B$251,$B113,approvals!$P$2:$P$251,"Y"))</f>
        <v/>
      </c>
      <c r="AB113" s="25">
        <f>IF(OR($A113="",$P113=""),"",IF(COUNTIFS(stops!$B$2:$B$151,$B113,stops!$P$2:$P$151,"&lt;"&amp;$P113,stops!$L$2:$L$151,"&lt;&gt;not_delivered")=0,"Y","N"))</f>
        <v/>
      </c>
      <c r="AC113" s="25">
        <f>IF(OR($I113="",$J113=""),"",ROUND(($J113-$I113)*1440,0))</f>
        <v/>
      </c>
      <c r="AD113" s="25">
        <f>IF($A113="","",IF(COUNTIFS(stops!$A$2:$A$151,$A113,stops!$B$2:$B$151,$B113)&gt;1,"DUPLICATE stop; ","")&amp;IF(AND(OR(IFERROR(IF(INDEX(offices!$Z$2:$Z$61,MATCH($B113,offices!$A$2:$A$61,0))="","",INDEX(offices!$Z$2:$Z$61,MATCH($B113,offices!$A$2:$A$61,0))),"")="yes",IFERROR(IF(INDEX(offices!$Z$2:$Z$61,MATCH($B113,offices!$A$2:$A$61,0))="","",INDEX(offices!$Z$2:$Z$61,MATCH($B113,offices!$A$2:$A$61,0))),"")="unsure"),$Y113&lt;&gt;"received",$Y113&lt;&gt;"not_needed"),"building certificate not received; ","")&amp;IF($W113="","owner phone missing; ","")&amp;IF(N($Z113)=0,"no approved brand for this stop; ","")&amp;IF(AND($P113&lt;&gt;"",IF(config!$B$37&lt;&gt;"",config!$B$37,TODAY())&gt;$P113,$L113=""),"log the outcome; ","")&amp;IF(AND(OR($L113="declined",$L113="building_refused",$L113="not_delivered"),N($Z113)&gt;0,COUNTIFS(approvals!$H$2:$H$251,$A113,approvals!$B$2:$B$251,$B113,approvals!$P$2:$P$251,"Y",approvals!$U$2:$U$251,"&gt;0")&gt;=N($Z113)),"outcome says "&amp;$L113&amp;" but every brand here is logged delivered: fix the outcome, or delete the wrong delivered rows (SOP section 4); ","")&amp;IF(AND(OR($L113="declined",$L113="building_refused",$L113="not_delivered"),COUNTIFS(approvals!$H$2:$H$251,$A113,approvals!$B$2:$B$251,$B113,approvals!$P$2:$P$251,"Y",approvals!$U$2:$U$251,"&gt;0")&gt;0,COUNTIFS(approvals!$H$2:$H$251,$A113,approvals!$B$2:$B$251,$B113,approvals!$P$2:$P$251,"Y",approvals!$U$2:$U$251,"&gt;0")&lt;N($Z113)),"info: "&amp;(N($Z113)-COUNTIFS(approvals!$H$2:$H$251,$A113,approvals!$B$2:$B$251,$B113,approvals!$P$2:$P$251,"Y",approvals!$U$2:$U$251,"&gt;0"))&amp;" brand(s) turned away at the door, the rest delivered; ","")&amp;IF(AND($AB113="Y",IFERROR(IF(INDEX(drops!$C$2:$C$21,MATCH($A113,drops!$A$2:$A$21,0))="","",INDEX(drops!$C$2:$C$21,MATCH($A113,drops!$A$2:$A$21,0))),"")="direct-ship"),"info: first drop: visit in person on T; ","")&amp;IF(AND($U113="front desk",$X113&lt;&gt;"Y"),"info: front desk not agreed: the owner must take it; ",""))</f>
        <v/>
      </c>
    </row>
    <row r="114">
      <c r="D114" s="33" t="n"/>
      <c r="E114" s="9" t="n"/>
      <c r="F114" s="9" t="n"/>
      <c r="G114" s="9" t="n"/>
      <c r="I114" s="33" t="n"/>
      <c r="J114" s="33" t="n"/>
      <c r="N114" s="9" t="n"/>
      <c r="P114" s="26">
        <f>IF($A114="","",IF(IFERROR(IF(INDEX(drops!$I$2:$I$21,MATCH($A114,drops!$A$2:$A$21,0))="","",INDEX(drops!$I$2:$I$21,MATCH($A114,drops!$A$2:$A$21,0))),"")="OK",IFERROR(IF(INDEX(drops!$B$2:$B$21,MATCH($A114,drops!$A$2:$A$21,0))="","",INDEX(drops!$B$2:$B$21,MATCH($A114,drops!$A$2:$A$21,0))),""),""))</f>
        <v/>
      </c>
      <c r="Q114" s="25">
        <f>IF($B114="","",IFERROR(IF(INDEX(offices!$N$2:$N$61,MATCH($B114,offices!$A$2:$A$61,0))="","",INDEX(offices!$N$2:$N$61,MATCH($B114,offices!$A$2:$A$61,0))),""))</f>
        <v/>
      </c>
      <c r="R114" s="25">
        <f>IF($B114="","",IFERROR(IF(INDEX(offices!$O$2:$O$61,MATCH($B114,offices!$A$2:$A$61,0))="","",INDEX(offices!$O$2:$O$61,MATCH($B114,offices!$A$2:$A$61,0))),""))</f>
        <v/>
      </c>
      <c r="S114" s="25">
        <f>IF($B114="","",IFERROR(IF(INDEX(offices!$P$2:$P$61,MATCH($B114,offices!$A$2:$A$61,0))="","",INDEX(offices!$P$2:$P$61,MATCH($B114,offices!$A$2:$A$61,0))),""))</f>
        <v/>
      </c>
      <c r="T114" s="25">
        <f>IF($B114="","",IFERROR(IF(INDEX(offices!$Y$2:$Y$61,MATCH($B114,offices!$A$2:$A$61,0))="","",INDEX(offices!$Y$2:$Y$61,MATCH($B114,offices!$A$2:$A$61,0))),""))</f>
        <v/>
      </c>
      <c r="U114" s="25">
        <f>IF($B114="","",IFERROR(IF(INDEX(offices!$X$2:$X$61,MATCH($B114,offices!$A$2:$A$61,0))="","",INDEX(offices!$X$2:$X$61,MATCH($B114,offices!$A$2:$A$61,0))),""))</f>
        <v/>
      </c>
      <c r="V114" s="25">
        <f>IF($B114="","",IFERROR(IF(INDEX(offices!$U$2:$U$61,MATCH($B114,offices!$A$2:$A$61,0))="","",INDEX(offices!$U$2:$U$61,MATCH($B114,offices!$A$2:$A$61,0))),""))</f>
        <v/>
      </c>
      <c r="W114" s="25">
        <f>IF($B114="","",IFERROR(IF(INDEX(offices!$AI$2:$AI$61,MATCH($B114,offices!$A$2:$A$61,0))="","",INDEX(offices!$AI$2:$AI$61,MATCH($B114,offices!$A$2:$A$61,0))),""))</f>
        <v/>
      </c>
      <c r="X114" s="25">
        <f>IF($B114="","",IFERROR(IF(INDEX(offices!$G$2:$G$61,MATCH($B114,offices!$A$2:$A$61,0))="","",INDEX(offices!$G$2:$G$61,MATCH($B114,offices!$A$2:$A$61,0))),""))</f>
        <v/>
      </c>
      <c r="Y114" s="25">
        <f>IF($B114="","",IFERROR(IF(INDEX(offices!$I$2:$I$61,MATCH($B114,offices!$A$2:$A$61,0))="","",INDEX(offices!$I$2:$I$61,MATCH($B114,offices!$A$2:$A$61,0))),""))</f>
        <v/>
      </c>
      <c r="Z114" s="25">
        <f>IF($A114="","",COUNTIFS(approvals!$H$2:$H$251,$A114,approvals!$B$2:$B$251,$B114,approvals!$P$2:$P$251,"Y"))</f>
        <v/>
      </c>
      <c r="AA114" s="25">
        <f>IF($A114="","",SUMIFS(approvals!$S$2:$S$251,approvals!$H$2:$H$251,$A114,approvals!$B$2:$B$251,$B114,approvals!$P$2:$P$251,"Y"))</f>
        <v/>
      </c>
      <c r="AB114" s="25">
        <f>IF(OR($A114="",$P114=""),"",IF(COUNTIFS(stops!$B$2:$B$151,$B114,stops!$P$2:$P$151,"&lt;"&amp;$P114,stops!$L$2:$L$151,"&lt;&gt;not_delivered")=0,"Y","N"))</f>
        <v/>
      </c>
      <c r="AC114" s="25">
        <f>IF(OR($I114="",$J114=""),"",ROUND(($J114-$I114)*1440,0))</f>
        <v/>
      </c>
      <c r="AD114" s="25">
        <f>IF($A114="","",IF(COUNTIFS(stops!$A$2:$A$151,$A114,stops!$B$2:$B$151,$B114)&gt;1,"DUPLICATE stop; ","")&amp;IF(AND(OR(IFERROR(IF(INDEX(offices!$Z$2:$Z$61,MATCH($B114,offices!$A$2:$A$61,0))="","",INDEX(offices!$Z$2:$Z$61,MATCH($B114,offices!$A$2:$A$61,0))),"")="yes",IFERROR(IF(INDEX(offices!$Z$2:$Z$61,MATCH($B114,offices!$A$2:$A$61,0))="","",INDEX(offices!$Z$2:$Z$61,MATCH($B114,offices!$A$2:$A$61,0))),"")="unsure"),$Y114&lt;&gt;"received",$Y114&lt;&gt;"not_needed"),"building certificate not received; ","")&amp;IF($W114="","owner phone missing; ","")&amp;IF(N($Z114)=0,"no approved brand for this stop; ","")&amp;IF(AND($P114&lt;&gt;"",IF(config!$B$37&lt;&gt;"",config!$B$37,TODAY())&gt;$P114,$L114=""),"log the outcome; ","")&amp;IF(AND(OR($L114="declined",$L114="building_refused",$L114="not_delivered"),N($Z114)&gt;0,COUNTIFS(approvals!$H$2:$H$251,$A114,approvals!$B$2:$B$251,$B114,approvals!$P$2:$P$251,"Y",approvals!$U$2:$U$251,"&gt;0")&gt;=N($Z114)),"outcome says "&amp;$L114&amp;" but every brand here is logged delivered: fix the outcome, or delete the wrong delivered rows (SOP section 4); ","")&amp;IF(AND(OR($L114="declined",$L114="building_refused",$L114="not_delivered"),COUNTIFS(approvals!$H$2:$H$251,$A114,approvals!$B$2:$B$251,$B114,approvals!$P$2:$P$251,"Y",approvals!$U$2:$U$251,"&gt;0")&gt;0,COUNTIFS(approvals!$H$2:$H$251,$A114,approvals!$B$2:$B$251,$B114,approvals!$P$2:$P$251,"Y",approvals!$U$2:$U$251,"&gt;0")&lt;N($Z114)),"info: "&amp;(N($Z114)-COUNTIFS(approvals!$H$2:$H$251,$A114,approvals!$B$2:$B$251,$B114,approvals!$P$2:$P$251,"Y",approvals!$U$2:$U$251,"&gt;0"))&amp;" brand(s) turned away at the door, the rest delivered; ","")&amp;IF(AND($AB114="Y",IFERROR(IF(INDEX(drops!$C$2:$C$21,MATCH($A114,drops!$A$2:$A$21,0))="","",INDEX(drops!$C$2:$C$21,MATCH($A114,drops!$A$2:$A$21,0))),"")="direct-ship"),"info: first drop: visit in person on T; ","")&amp;IF(AND($U114="front desk",$X114&lt;&gt;"Y"),"info: front desk not agreed: the owner must take it; ",""))</f>
        <v/>
      </c>
    </row>
    <row r="115">
      <c r="D115" s="33" t="n"/>
      <c r="E115" s="9" t="n"/>
      <c r="F115" s="9" t="n"/>
      <c r="G115" s="9" t="n"/>
      <c r="I115" s="33" t="n"/>
      <c r="J115" s="33" t="n"/>
      <c r="N115" s="9" t="n"/>
      <c r="P115" s="26">
        <f>IF($A115="","",IF(IFERROR(IF(INDEX(drops!$I$2:$I$21,MATCH($A115,drops!$A$2:$A$21,0))="","",INDEX(drops!$I$2:$I$21,MATCH($A115,drops!$A$2:$A$21,0))),"")="OK",IFERROR(IF(INDEX(drops!$B$2:$B$21,MATCH($A115,drops!$A$2:$A$21,0))="","",INDEX(drops!$B$2:$B$21,MATCH($A115,drops!$A$2:$A$21,0))),""),""))</f>
        <v/>
      </c>
      <c r="Q115" s="25">
        <f>IF($B115="","",IFERROR(IF(INDEX(offices!$N$2:$N$61,MATCH($B115,offices!$A$2:$A$61,0))="","",INDEX(offices!$N$2:$N$61,MATCH($B115,offices!$A$2:$A$61,0))),""))</f>
        <v/>
      </c>
      <c r="R115" s="25">
        <f>IF($B115="","",IFERROR(IF(INDEX(offices!$O$2:$O$61,MATCH($B115,offices!$A$2:$A$61,0))="","",INDEX(offices!$O$2:$O$61,MATCH($B115,offices!$A$2:$A$61,0))),""))</f>
        <v/>
      </c>
      <c r="S115" s="25">
        <f>IF($B115="","",IFERROR(IF(INDEX(offices!$P$2:$P$61,MATCH($B115,offices!$A$2:$A$61,0))="","",INDEX(offices!$P$2:$P$61,MATCH($B115,offices!$A$2:$A$61,0))),""))</f>
        <v/>
      </c>
      <c r="T115" s="25">
        <f>IF($B115="","",IFERROR(IF(INDEX(offices!$Y$2:$Y$61,MATCH($B115,offices!$A$2:$A$61,0))="","",INDEX(offices!$Y$2:$Y$61,MATCH($B115,offices!$A$2:$A$61,0))),""))</f>
        <v/>
      </c>
      <c r="U115" s="25">
        <f>IF($B115="","",IFERROR(IF(INDEX(offices!$X$2:$X$61,MATCH($B115,offices!$A$2:$A$61,0))="","",INDEX(offices!$X$2:$X$61,MATCH($B115,offices!$A$2:$A$61,0))),""))</f>
        <v/>
      </c>
      <c r="V115" s="25">
        <f>IF($B115="","",IFERROR(IF(INDEX(offices!$U$2:$U$61,MATCH($B115,offices!$A$2:$A$61,0))="","",INDEX(offices!$U$2:$U$61,MATCH($B115,offices!$A$2:$A$61,0))),""))</f>
        <v/>
      </c>
      <c r="W115" s="25">
        <f>IF($B115="","",IFERROR(IF(INDEX(offices!$AI$2:$AI$61,MATCH($B115,offices!$A$2:$A$61,0))="","",INDEX(offices!$AI$2:$AI$61,MATCH($B115,offices!$A$2:$A$61,0))),""))</f>
        <v/>
      </c>
      <c r="X115" s="25">
        <f>IF($B115="","",IFERROR(IF(INDEX(offices!$G$2:$G$61,MATCH($B115,offices!$A$2:$A$61,0))="","",INDEX(offices!$G$2:$G$61,MATCH($B115,offices!$A$2:$A$61,0))),""))</f>
        <v/>
      </c>
      <c r="Y115" s="25">
        <f>IF($B115="","",IFERROR(IF(INDEX(offices!$I$2:$I$61,MATCH($B115,offices!$A$2:$A$61,0))="","",INDEX(offices!$I$2:$I$61,MATCH($B115,offices!$A$2:$A$61,0))),""))</f>
        <v/>
      </c>
      <c r="Z115" s="25">
        <f>IF($A115="","",COUNTIFS(approvals!$H$2:$H$251,$A115,approvals!$B$2:$B$251,$B115,approvals!$P$2:$P$251,"Y"))</f>
        <v/>
      </c>
      <c r="AA115" s="25">
        <f>IF($A115="","",SUMIFS(approvals!$S$2:$S$251,approvals!$H$2:$H$251,$A115,approvals!$B$2:$B$251,$B115,approvals!$P$2:$P$251,"Y"))</f>
        <v/>
      </c>
      <c r="AB115" s="25">
        <f>IF(OR($A115="",$P115=""),"",IF(COUNTIFS(stops!$B$2:$B$151,$B115,stops!$P$2:$P$151,"&lt;"&amp;$P115,stops!$L$2:$L$151,"&lt;&gt;not_delivered")=0,"Y","N"))</f>
        <v/>
      </c>
      <c r="AC115" s="25">
        <f>IF(OR($I115="",$J115=""),"",ROUND(($J115-$I115)*1440,0))</f>
        <v/>
      </c>
      <c r="AD115" s="25">
        <f>IF($A115="","",IF(COUNTIFS(stops!$A$2:$A$151,$A115,stops!$B$2:$B$151,$B115)&gt;1,"DUPLICATE stop; ","")&amp;IF(AND(OR(IFERROR(IF(INDEX(offices!$Z$2:$Z$61,MATCH($B115,offices!$A$2:$A$61,0))="","",INDEX(offices!$Z$2:$Z$61,MATCH($B115,offices!$A$2:$A$61,0))),"")="yes",IFERROR(IF(INDEX(offices!$Z$2:$Z$61,MATCH($B115,offices!$A$2:$A$61,0))="","",INDEX(offices!$Z$2:$Z$61,MATCH($B115,offices!$A$2:$A$61,0))),"")="unsure"),$Y115&lt;&gt;"received",$Y115&lt;&gt;"not_needed"),"building certificate not received; ","")&amp;IF($W115="","owner phone missing; ","")&amp;IF(N($Z115)=0,"no approved brand for this stop; ","")&amp;IF(AND($P115&lt;&gt;"",IF(config!$B$37&lt;&gt;"",config!$B$37,TODAY())&gt;$P115,$L115=""),"log the outcome; ","")&amp;IF(AND(OR($L115="declined",$L115="building_refused",$L115="not_delivered"),N($Z115)&gt;0,COUNTIFS(approvals!$H$2:$H$251,$A115,approvals!$B$2:$B$251,$B115,approvals!$P$2:$P$251,"Y",approvals!$U$2:$U$251,"&gt;0")&gt;=N($Z115)),"outcome says "&amp;$L115&amp;" but every brand here is logged delivered: fix the outcome, or delete the wrong delivered rows (SOP section 4); ","")&amp;IF(AND(OR($L115="declined",$L115="building_refused",$L115="not_delivered"),COUNTIFS(approvals!$H$2:$H$251,$A115,approvals!$B$2:$B$251,$B115,approvals!$P$2:$P$251,"Y",approvals!$U$2:$U$251,"&gt;0")&gt;0,COUNTIFS(approvals!$H$2:$H$251,$A115,approvals!$B$2:$B$251,$B115,approvals!$P$2:$P$251,"Y",approvals!$U$2:$U$251,"&gt;0")&lt;N($Z115)),"info: "&amp;(N($Z115)-COUNTIFS(approvals!$H$2:$H$251,$A115,approvals!$B$2:$B$251,$B115,approvals!$P$2:$P$251,"Y",approvals!$U$2:$U$251,"&gt;0"))&amp;" brand(s) turned away at the door, the rest delivered; ","")&amp;IF(AND($AB115="Y",IFERROR(IF(INDEX(drops!$C$2:$C$21,MATCH($A115,drops!$A$2:$A$21,0))="","",INDEX(drops!$C$2:$C$21,MATCH($A115,drops!$A$2:$A$21,0))),"")="direct-ship"),"info: first drop: visit in person on T; ","")&amp;IF(AND($U115="front desk",$X115&lt;&gt;"Y"),"info: front desk not agreed: the owner must take it; ",""))</f>
        <v/>
      </c>
    </row>
    <row r="116">
      <c r="D116" s="33" t="n"/>
      <c r="E116" s="9" t="n"/>
      <c r="F116" s="9" t="n"/>
      <c r="G116" s="9" t="n"/>
      <c r="I116" s="33" t="n"/>
      <c r="J116" s="33" t="n"/>
      <c r="N116" s="9" t="n"/>
      <c r="P116" s="26">
        <f>IF($A116="","",IF(IFERROR(IF(INDEX(drops!$I$2:$I$21,MATCH($A116,drops!$A$2:$A$21,0))="","",INDEX(drops!$I$2:$I$21,MATCH($A116,drops!$A$2:$A$21,0))),"")="OK",IFERROR(IF(INDEX(drops!$B$2:$B$21,MATCH($A116,drops!$A$2:$A$21,0))="","",INDEX(drops!$B$2:$B$21,MATCH($A116,drops!$A$2:$A$21,0))),""),""))</f>
        <v/>
      </c>
      <c r="Q116" s="25">
        <f>IF($B116="","",IFERROR(IF(INDEX(offices!$N$2:$N$61,MATCH($B116,offices!$A$2:$A$61,0))="","",INDEX(offices!$N$2:$N$61,MATCH($B116,offices!$A$2:$A$61,0))),""))</f>
        <v/>
      </c>
      <c r="R116" s="25">
        <f>IF($B116="","",IFERROR(IF(INDEX(offices!$O$2:$O$61,MATCH($B116,offices!$A$2:$A$61,0))="","",INDEX(offices!$O$2:$O$61,MATCH($B116,offices!$A$2:$A$61,0))),""))</f>
        <v/>
      </c>
      <c r="S116" s="25">
        <f>IF($B116="","",IFERROR(IF(INDEX(offices!$P$2:$P$61,MATCH($B116,offices!$A$2:$A$61,0))="","",INDEX(offices!$P$2:$P$61,MATCH($B116,offices!$A$2:$A$61,0))),""))</f>
        <v/>
      </c>
      <c r="T116" s="25">
        <f>IF($B116="","",IFERROR(IF(INDEX(offices!$Y$2:$Y$61,MATCH($B116,offices!$A$2:$A$61,0))="","",INDEX(offices!$Y$2:$Y$61,MATCH($B116,offices!$A$2:$A$61,0))),""))</f>
        <v/>
      </c>
      <c r="U116" s="25">
        <f>IF($B116="","",IFERROR(IF(INDEX(offices!$X$2:$X$61,MATCH($B116,offices!$A$2:$A$61,0))="","",INDEX(offices!$X$2:$X$61,MATCH($B116,offices!$A$2:$A$61,0))),""))</f>
        <v/>
      </c>
      <c r="V116" s="25">
        <f>IF($B116="","",IFERROR(IF(INDEX(offices!$U$2:$U$61,MATCH($B116,offices!$A$2:$A$61,0))="","",INDEX(offices!$U$2:$U$61,MATCH($B116,offices!$A$2:$A$61,0))),""))</f>
        <v/>
      </c>
      <c r="W116" s="25">
        <f>IF($B116="","",IFERROR(IF(INDEX(offices!$AI$2:$AI$61,MATCH($B116,offices!$A$2:$A$61,0))="","",INDEX(offices!$AI$2:$AI$61,MATCH($B116,offices!$A$2:$A$61,0))),""))</f>
        <v/>
      </c>
      <c r="X116" s="25">
        <f>IF($B116="","",IFERROR(IF(INDEX(offices!$G$2:$G$61,MATCH($B116,offices!$A$2:$A$61,0))="","",INDEX(offices!$G$2:$G$61,MATCH($B116,offices!$A$2:$A$61,0))),""))</f>
        <v/>
      </c>
      <c r="Y116" s="25">
        <f>IF($B116="","",IFERROR(IF(INDEX(offices!$I$2:$I$61,MATCH($B116,offices!$A$2:$A$61,0))="","",INDEX(offices!$I$2:$I$61,MATCH($B116,offices!$A$2:$A$61,0))),""))</f>
        <v/>
      </c>
      <c r="Z116" s="25">
        <f>IF($A116="","",COUNTIFS(approvals!$H$2:$H$251,$A116,approvals!$B$2:$B$251,$B116,approvals!$P$2:$P$251,"Y"))</f>
        <v/>
      </c>
      <c r="AA116" s="25">
        <f>IF($A116="","",SUMIFS(approvals!$S$2:$S$251,approvals!$H$2:$H$251,$A116,approvals!$B$2:$B$251,$B116,approvals!$P$2:$P$251,"Y"))</f>
        <v/>
      </c>
      <c r="AB116" s="25">
        <f>IF(OR($A116="",$P116=""),"",IF(COUNTIFS(stops!$B$2:$B$151,$B116,stops!$P$2:$P$151,"&lt;"&amp;$P116,stops!$L$2:$L$151,"&lt;&gt;not_delivered")=0,"Y","N"))</f>
        <v/>
      </c>
      <c r="AC116" s="25">
        <f>IF(OR($I116="",$J116=""),"",ROUND(($J116-$I116)*1440,0))</f>
        <v/>
      </c>
      <c r="AD116" s="25">
        <f>IF($A116="","",IF(COUNTIFS(stops!$A$2:$A$151,$A116,stops!$B$2:$B$151,$B116)&gt;1,"DUPLICATE stop; ","")&amp;IF(AND(OR(IFERROR(IF(INDEX(offices!$Z$2:$Z$61,MATCH($B116,offices!$A$2:$A$61,0))="","",INDEX(offices!$Z$2:$Z$61,MATCH($B116,offices!$A$2:$A$61,0))),"")="yes",IFERROR(IF(INDEX(offices!$Z$2:$Z$61,MATCH($B116,offices!$A$2:$A$61,0))="","",INDEX(offices!$Z$2:$Z$61,MATCH($B116,offices!$A$2:$A$61,0))),"")="unsure"),$Y116&lt;&gt;"received",$Y116&lt;&gt;"not_needed"),"building certificate not received; ","")&amp;IF($W116="","owner phone missing; ","")&amp;IF(N($Z116)=0,"no approved brand for this stop; ","")&amp;IF(AND($P116&lt;&gt;"",IF(config!$B$37&lt;&gt;"",config!$B$37,TODAY())&gt;$P116,$L116=""),"log the outcome; ","")&amp;IF(AND(OR($L116="declined",$L116="building_refused",$L116="not_delivered"),N($Z116)&gt;0,COUNTIFS(approvals!$H$2:$H$251,$A116,approvals!$B$2:$B$251,$B116,approvals!$P$2:$P$251,"Y",approvals!$U$2:$U$251,"&gt;0")&gt;=N($Z116)),"outcome says "&amp;$L116&amp;" but every brand here is logged delivered: fix the outcome, or delete the wrong delivered rows (SOP section 4); ","")&amp;IF(AND(OR($L116="declined",$L116="building_refused",$L116="not_delivered"),COUNTIFS(approvals!$H$2:$H$251,$A116,approvals!$B$2:$B$251,$B116,approvals!$P$2:$P$251,"Y",approvals!$U$2:$U$251,"&gt;0")&gt;0,COUNTIFS(approvals!$H$2:$H$251,$A116,approvals!$B$2:$B$251,$B116,approvals!$P$2:$P$251,"Y",approvals!$U$2:$U$251,"&gt;0")&lt;N($Z116)),"info: "&amp;(N($Z116)-COUNTIFS(approvals!$H$2:$H$251,$A116,approvals!$B$2:$B$251,$B116,approvals!$P$2:$P$251,"Y",approvals!$U$2:$U$251,"&gt;0"))&amp;" brand(s) turned away at the door, the rest delivered; ","")&amp;IF(AND($AB116="Y",IFERROR(IF(INDEX(drops!$C$2:$C$21,MATCH($A116,drops!$A$2:$A$21,0))="","",INDEX(drops!$C$2:$C$21,MATCH($A116,drops!$A$2:$A$21,0))),"")="direct-ship"),"info: first drop: visit in person on T; ","")&amp;IF(AND($U116="front desk",$X116&lt;&gt;"Y"),"info: front desk not agreed: the owner must take it; ",""))</f>
        <v/>
      </c>
    </row>
    <row r="117">
      <c r="D117" s="33" t="n"/>
      <c r="E117" s="9" t="n"/>
      <c r="F117" s="9" t="n"/>
      <c r="G117" s="9" t="n"/>
      <c r="I117" s="33" t="n"/>
      <c r="J117" s="33" t="n"/>
      <c r="N117" s="9" t="n"/>
      <c r="P117" s="26">
        <f>IF($A117="","",IF(IFERROR(IF(INDEX(drops!$I$2:$I$21,MATCH($A117,drops!$A$2:$A$21,0))="","",INDEX(drops!$I$2:$I$21,MATCH($A117,drops!$A$2:$A$21,0))),"")="OK",IFERROR(IF(INDEX(drops!$B$2:$B$21,MATCH($A117,drops!$A$2:$A$21,0))="","",INDEX(drops!$B$2:$B$21,MATCH($A117,drops!$A$2:$A$21,0))),""),""))</f>
        <v/>
      </c>
      <c r="Q117" s="25">
        <f>IF($B117="","",IFERROR(IF(INDEX(offices!$N$2:$N$61,MATCH($B117,offices!$A$2:$A$61,0))="","",INDEX(offices!$N$2:$N$61,MATCH($B117,offices!$A$2:$A$61,0))),""))</f>
        <v/>
      </c>
      <c r="R117" s="25">
        <f>IF($B117="","",IFERROR(IF(INDEX(offices!$O$2:$O$61,MATCH($B117,offices!$A$2:$A$61,0))="","",INDEX(offices!$O$2:$O$61,MATCH($B117,offices!$A$2:$A$61,0))),""))</f>
        <v/>
      </c>
      <c r="S117" s="25">
        <f>IF($B117="","",IFERROR(IF(INDEX(offices!$P$2:$P$61,MATCH($B117,offices!$A$2:$A$61,0))="","",INDEX(offices!$P$2:$P$61,MATCH($B117,offices!$A$2:$A$61,0))),""))</f>
        <v/>
      </c>
      <c r="T117" s="25">
        <f>IF($B117="","",IFERROR(IF(INDEX(offices!$Y$2:$Y$61,MATCH($B117,offices!$A$2:$A$61,0))="","",INDEX(offices!$Y$2:$Y$61,MATCH($B117,offices!$A$2:$A$61,0))),""))</f>
        <v/>
      </c>
      <c r="U117" s="25">
        <f>IF($B117="","",IFERROR(IF(INDEX(offices!$X$2:$X$61,MATCH($B117,offices!$A$2:$A$61,0))="","",INDEX(offices!$X$2:$X$61,MATCH($B117,offices!$A$2:$A$61,0))),""))</f>
        <v/>
      </c>
      <c r="V117" s="25">
        <f>IF($B117="","",IFERROR(IF(INDEX(offices!$U$2:$U$61,MATCH($B117,offices!$A$2:$A$61,0))="","",INDEX(offices!$U$2:$U$61,MATCH($B117,offices!$A$2:$A$61,0))),""))</f>
        <v/>
      </c>
      <c r="W117" s="25">
        <f>IF($B117="","",IFERROR(IF(INDEX(offices!$AI$2:$AI$61,MATCH($B117,offices!$A$2:$A$61,0))="","",INDEX(offices!$AI$2:$AI$61,MATCH($B117,offices!$A$2:$A$61,0))),""))</f>
        <v/>
      </c>
      <c r="X117" s="25">
        <f>IF($B117="","",IFERROR(IF(INDEX(offices!$G$2:$G$61,MATCH($B117,offices!$A$2:$A$61,0))="","",INDEX(offices!$G$2:$G$61,MATCH($B117,offices!$A$2:$A$61,0))),""))</f>
        <v/>
      </c>
      <c r="Y117" s="25">
        <f>IF($B117="","",IFERROR(IF(INDEX(offices!$I$2:$I$61,MATCH($B117,offices!$A$2:$A$61,0))="","",INDEX(offices!$I$2:$I$61,MATCH($B117,offices!$A$2:$A$61,0))),""))</f>
        <v/>
      </c>
      <c r="Z117" s="25">
        <f>IF($A117="","",COUNTIFS(approvals!$H$2:$H$251,$A117,approvals!$B$2:$B$251,$B117,approvals!$P$2:$P$251,"Y"))</f>
        <v/>
      </c>
      <c r="AA117" s="25">
        <f>IF($A117="","",SUMIFS(approvals!$S$2:$S$251,approvals!$H$2:$H$251,$A117,approvals!$B$2:$B$251,$B117,approvals!$P$2:$P$251,"Y"))</f>
        <v/>
      </c>
      <c r="AB117" s="25">
        <f>IF(OR($A117="",$P117=""),"",IF(COUNTIFS(stops!$B$2:$B$151,$B117,stops!$P$2:$P$151,"&lt;"&amp;$P117,stops!$L$2:$L$151,"&lt;&gt;not_delivered")=0,"Y","N"))</f>
        <v/>
      </c>
      <c r="AC117" s="25">
        <f>IF(OR($I117="",$J117=""),"",ROUND(($J117-$I117)*1440,0))</f>
        <v/>
      </c>
      <c r="AD117" s="25">
        <f>IF($A117="","",IF(COUNTIFS(stops!$A$2:$A$151,$A117,stops!$B$2:$B$151,$B117)&gt;1,"DUPLICATE stop; ","")&amp;IF(AND(OR(IFERROR(IF(INDEX(offices!$Z$2:$Z$61,MATCH($B117,offices!$A$2:$A$61,0))="","",INDEX(offices!$Z$2:$Z$61,MATCH($B117,offices!$A$2:$A$61,0))),"")="yes",IFERROR(IF(INDEX(offices!$Z$2:$Z$61,MATCH($B117,offices!$A$2:$A$61,0))="","",INDEX(offices!$Z$2:$Z$61,MATCH($B117,offices!$A$2:$A$61,0))),"")="unsure"),$Y117&lt;&gt;"received",$Y117&lt;&gt;"not_needed"),"building certificate not received; ","")&amp;IF($W117="","owner phone missing; ","")&amp;IF(N($Z117)=0,"no approved brand for this stop; ","")&amp;IF(AND($P117&lt;&gt;"",IF(config!$B$37&lt;&gt;"",config!$B$37,TODAY())&gt;$P117,$L117=""),"log the outcome; ","")&amp;IF(AND(OR($L117="declined",$L117="building_refused",$L117="not_delivered"),N($Z117)&gt;0,COUNTIFS(approvals!$H$2:$H$251,$A117,approvals!$B$2:$B$251,$B117,approvals!$P$2:$P$251,"Y",approvals!$U$2:$U$251,"&gt;0")&gt;=N($Z117)),"outcome says "&amp;$L117&amp;" but every brand here is logged delivered: fix the outcome, or delete the wrong delivered rows (SOP section 4); ","")&amp;IF(AND(OR($L117="declined",$L117="building_refused",$L117="not_delivered"),COUNTIFS(approvals!$H$2:$H$251,$A117,approvals!$B$2:$B$251,$B117,approvals!$P$2:$P$251,"Y",approvals!$U$2:$U$251,"&gt;0")&gt;0,COUNTIFS(approvals!$H$2:$H$251,$A117,approvals!$B$2:$B$251,$B117,approvals!$P$2:$P$251,"Y",approvals!$U$2:$U$251,"&gt;0")&lt;N($Z117)),"info: "&amp;(N($Z117)-COUNTIFS(approvals!$H$2:$H$251,$A117,approvals!$B$2:$B$251,$B117,approvals!$P$2:$P$251,"Y",approvals!$U$2:$U$251,"&gt;0"))&amp;" brand(s) turned away at the door, the rest delivered; ","")&amp;IF(AND($AB117="Y",IFERROR(IF(INDEX(drops!$C$2:$C$21,MATCH($A117,drops!$A$2:$A$21,0))="","",INDEX(drops!$C$2:$C$21,MATCH($A117,drops!$A$2:$A$21,0))),"")="direct-ship"),"info: first drop: visit in person on T; ","")&amp;IF(AND($U117="front desk",$X117&lt;&gt;"Y"),"info: front desk not agreed: the owner must take it; ",""))</f>
        <v/>
      </c>
    </row>
    <row r="118">
      <c r="D118" s="33" t="n"/>
      <c r="E118" s="9" t="n"/>
      <c r="F118" s="9" t="n"/>
      <c r="G118" s="9" t="n"/>
      <c r="I118" s="33" t="n"/>
      <c r="J118" s="33" t="n"/>
      <c r="N118" s="9" t="n"/>
      <c r="P118" s="26">
        <f>IF($A118="","",IF(IFERROR(IF(INDEX(drops!$I$2:$I$21,MATCH($A118,drops!$A$2:$A$21,0))="","",INDEX(drops!$I$2:$I$21,MATCH($A118,drops!$A$2:$A$21,0))),"")="OK",IFERROR(IF(INDEX(drops!$B$2:$B$21,MATCH($A118,drops!$A$2:$A$21,0))="","",INDEX(drops!$B$2:$B$21,MATCH($A118,drops!$A$2:$A$21,0))),""),""))</f>
        <v/>
      </c>
      <c r="Q118" s="25">
        <f>IF($B118="","",IFERROR(IF(INDEX(offices!$N$2:$N$61,MATCH($B118,offices!$A$2:$A$61,0))="","",INDEX(offices!$N$2:$N$61,MATCH($B118,offices!$A$2:$A$61,0))),""))</f>
        <v/>
      </c>
      <c r="R118" s="25">
        <f>IF($B118="","",IFERROR(IF(INDEX(offices!$O$2:$O$61,MATCH($B118,offices!$A$2:$A$61,0))="","",INDEX(offices!$O$2:$O$61,MATCH($B118,offices!$A$2:$A$61,0))),""))</f>
        <v/>
      </c>
      <c r="S118" s="25">
        <f>IF($B118="","",IFERROR(IF(INDEX(offices!$P$2:$P$61,MATCH($B118,offices!$A$2:$A$61,0))="","",INDEX(offices!$P$2:$P$61,MATCH($B118,offices!$A$2:$A$61,0))),""))</f>
        <v/>
      </c>
      <c r="T118" s="25">
        <f>IF($B118="","",IFERROR(IF(INDEX(offices!$Y$2:$Y$61,MATCH($B118,offices!$A$2:$A$61,0))="","",INDEX(offices!$Y$2:$Y$61,MATCH($B118,offices!$A$2:$A$61,0))),""))</f>
        <v/>
      </c>
      <c r="U118" s="25">
        <f>IF($B118="","",IFERROR(IF(INDEX(offices!$X$2:$X$61,MATCH($B118,offices!$A$2:$A$61,0))="","",INDEX(offices!$X$2:$X$61,MATCH($B118,offices!$A$2:$A$61,0))),""))</f>
        <v/>
      </c>
      <c r="V118" s="25">
        <f>IF($B118="","",IFERROR(IF(INDEX(offices!$U$2:$U$61,MATCH($B118,offices!$A$2:$A$61,0))="","",INDEX(offices!$U$2:$U$61,MATCH($B118,offices!$A$2:$A$61,0))),""))</f>
        <v/>
      </c>
      <c r="W118" s="25">
        <f>IF($B118="","",IFERROR(IF(INDEX(offices!$AI$2:$AI$61,MATCH($B118,offices!$A$2:$A$61,0))="","",INDEX(offices!$AI$2:$AI$61,MATCH($B118,offices!$A$2:$A$61,0))),""))</f>
        <v/>
      </c>
      <c r="X118" s="25">
        <f>IF($B118="","",IFERROR(IF(INDEX(offices!$G$2:$G$61,MATCH($B118,offices!$A$2:$A$61,0))="","",INDEX(offices!$G$2:$G$61,MATCH($B118,offices!$A$2:$A$61,0))),""))</f>
        <v/>
      </c>
      <c r="Y118" s="25">
        <f>IF($B118="","",IFERROR(IF(INDEX(offices!$I$2:$I$61,MATCH($B118,offices!$A$2:$A$61,0))="","",INDEX(offices!$I$2:$I$61,MATCH($B118,offices!$A$2:$A$61,0))),""))</f>
        <v/>
      </c>
      <c r="Z118" s="25">
        <f>IF($A118="","",COUNTIFS(approvals!$H$2:$H$251,$A118,approvals!$B$2:$B$251,$B118,approvals!$P$2:$P$251,"Y"))</f>
        <v/>
      </c>
      <c r="AA118" s="25">
        <f>IF($A118="","",SUMIFS(approvals!$S$2:$S$251,approvals!$H$2:$H$251,$A118,approvals!$B$2:$B$251,$B118,approvals!$P$2:$P$251,"Y"))</f>
        <v/>
      </c>
      <c r="AB118" s="25">
        <f>IF(OR($A118="",$P118=""),"",IF(COUNTIFS(stops!$B$2:$B$151,$B118,stops!$P$2:$P$151,"&lt;"&amp;$P118,stops!$L$2:$L$151,"&lt;&gt;not_delivered")=0,"Y","N"))</f>
        <v/>
      </c>
      <c r="AC118" s="25">
        <f>IF(OR($I118="",$J118=""),"",ROUND(($J118-$I118)*1440,0))</f>
        <v/>
      </c>
      <c r="AD118" s="25">
        <f>IF($A118="","",IF(COUNTIFS(stops!$A$2:$A$151,$A118,stops!$B$2:$B$151,$B118)&gt;1,"DUPLICATE stop; ","")&amp;IF(AND(OR(IFERROR(IF(INDEX(offices!$Z$2:$Z$61,MATCH($B118,offices!$A$2:$A$61,0))="","",INDEX(offices!$Z$2:$Z$61,MATCH($B118,offices!$A$2:$A$61,0))),"")="yes",IFERROR(IF(INDEX(offices!$Z$2:$Z$61,MATCH($B118,offices!$A$2:$A$61,0))="","",INDEX(offices!$Z$2:$Z$61,MATCH($B118,offices!$A$2:$A$61,0))),"")="unsure"),$Y118&lt;&gt;"received",$Y118&lt;&gt;"not_needed"),"building certificate not received; ","")&amp;IF($W118="","owner phone missing; ","")&amp;IF(N($Z118)=0,"no approved brand for this stop; ","")&amp;IF(AND($P118&lt;&gt;"",IF(config!$B$37&lt;&gt;"",config!$B$37,TODAY())&gt;$P118,$L118=""),"log the outcome; ","")&amp;IF(AND(OR($L118="declined",$L118="building_refused",$L118="not_delivered"),N($Z118)&gt;0,COUNTIFS(approvals!$H$2:$H$251,$A118,approvals!$B$2:$B$251,$B118,approvals!$P$2:$P$251,"Y",approvals!$U$2:$U$251,"&gt;0")&gt;=N($Z118)),"outcome says "&amp;$L118&amp;" but every brand here is logged delivered: fix the outcome, or delete the wrong delivered rows (SOP section 4); ","")&amp;IF(AND(OR($L118="declined",$L118="building_refused",$L118="not_delivered"),COUNTIFS(approvals!$H$2:$H$251,$A118,approvals!$B$2:$B$251,$B118,approvals!$P$2:$P$251,"Y",approvals!$U$2:$U$251,"&gt;0")&gt;0,COUNTIFS(approvals!$H$2:$H$251,$A118,approvals!$B$2:$B$251,$B118,approvals!$P$2:$P$251,"Y",approvals!$U$2:$U$251,"&gt;0")&lt;N($Z118)),"info: "&amp;(N($Z118)-COUNTIFS(approvals!$H$2:$H$251,$A118,approvals!$B$2:$B$251,$B118,approvals!$P$2:$P$251,"Y",approvals!$U$2:$U$251,"&gt;0"))&amp;" brand(s) turned away at the door, the rest delivered; ","")&amp;IF(AND($AB118="Y",IFERROR(IF(INDEX(drops!$C$2:$C$21,MATCH($A118,drops!$A$2:$A$21,0))="","",INDEX(drops!$C$2:$C$21,MATCH($A118,drops!$A$2:$A$21,0))),"")="direct-ship"),"info: first drop: visit in person on T; ","")&amp;IF(AND($U118="front desk",$X118&lt;&gt;"Y"),"info: front desk not agreed: the owner must take it; ",""))</f>
        <v/>
      </c>
    </row>
    <row r="119">
      <c r="D119" s="33" t="n"/>
      <c r="E119" s="9" t="n"/>
      <c r="F119" s="9" t="n"/>
      <c r="G119" s="9" t="n"/>
      <c r="I119" s="33" t="n"/>
      <c r="J119" s="33" t="n"/>
      <c r="N119" s="9" t="n"/>
      <c r="P119" s="26">
        <f>IF($A119="","",IF(IFERROR(IF(INDEX(drops!$I$2:$I$21,MATCH($A119,drops!$A$2:$A$21,0))="","",INDEX(drops!$I$2:$I$21,MATCH($A119,drops!$A$2:$A$21,0))),"")="OK",IFERROR(IF(INDEX(drops!$B$2:$B$21,MATCH($A119,drops!$A$2:$A$21,0))="","",INDEX(drops!$B$2:$B$21,MATCH($A119,drops!$A$2:$A$21,0))),""),""))</f>
        <v/>
      </c>
      <c r="Q119" s="25">
        <f>IF($B119="","",IFERROR(IF(INDEX(offices!$N$2:$N$61,MATCH($B119,offices!$A$2:$A$61,0))="","",INDEX(offices!$N$2:$N$61,MATCH($B119,offices!$A$2:$A$61,0))),""))</f>
        <v/>
      </c>
      <c r="R119" s="25">
        <f>IF($B119="","",IFERROR(IF(INDEX(offices!$O$2:$O$61,MATCH($B119,offices!$A$2:$A$61,0))="","",INDEX(offices!$O$2:$O$61,MATCH($B119,offices!$A$2:$A$61,0))),""))</f>
        <v/>
      </c>
      <c r="S119" s="25">
        <f>IF($B119="","",IFERROR(IF(INDEX(offices!$P$2:$P$61,MATCH($B119,offices!$A$2:$A$61,0))="","",INDEX(offices!$P$2:$P$61,MATCH($B119,offices!$A$2:$A$61,0))),""))</f>
        <v/>
      </c>
      <c r="T119" s="25">
        <f>IF($B119="","",IFERROR(IF(INDEX(offices!$Y$2:$Y$61,MATCH($B119,offices!$A$2:$A$61,0))="","",INDEX(offices!$Y$2:$Y$61,MATCH($B119,offices!$A$2:$A$61,0))),""))</f>
        <v/>
      </c>
      <c r="U119" s="25">
        <f>IF($B119="","",IFERROR(IF(INDEX(offices!$X$2:$X$61,MATCH($B119,offices!$A$2:$A$61,0))="","",INDEX(offices!$X$2:$X$61,MATCH($B119,offices!$A$2:$A$61,0))),""))</f>
        <v/>
      </c>
      <c r="V119" s="25">
        <f>IF($B119="","",IFERROR(IF(INDEX(offices!$U$2:$U$61,MATCH($B119,offices!$A$2:$A$61,0))="","",INDEX(offices!$U$2:$U$61,MATCH($B119,offices!$A$2:$A$61,0))),""))</f>
        <v/>
      </c>
      <c r="W119" s="25">
        <f>IF($B119="","",IFERROR(IF(INDEX(offices!$AI$2:$AI$61,MATCH($B119,offices!$A$2:$A$61,0))="","",INDEX(offices!$AI$2:$AI$61,MATCH($B119,offices!$A$2:$A$61,0))),""))</f>
        <v/>
      </c>
      <c r="X119" s="25">
        <f>IF($B119="","",IFERROR(IF(INDEX(offices!$G$2:$G$61,MATCH($B119,offices!$A$2:$A$61,0))="","",INDEX(offices!$G$2:$G$61,MATCH($B119,offices!$A$2:$A$61,0))),""))</f>
        <v/>
      </c>
      <c r="Y119" s="25">
        <f>IF($B119="","",IFERROR(IF(INDEX(offices!$I$2:$I$61,MATCH($B119,offices!$A$2:$A$61,0))="","",INDEX(offices!$I$2:$I$61,MATCH($B119,offices!$A$2:$A$61,0))),""))</f>
        <v/>
      </c>
      <c r="Z119" s="25">
        <f>IF($A119="","",COUNTIFS(approvals!$H$2:$H$251,$A119,approvals!$B$2:$B$251,$B119,approvals!$P$2:$P$251,"Y"))</f>
        <v/>
      </c>
      <c r="AA119" s="25">
        <f>IF($A119="","",SUMIFS(approvals!$S$2:$S$251,approvals!$H$2:$H$251,$A119,approvals!$B$2:$B$251,$B119,approvals!$P$2:$P$251,"Y"))</f>
        <v/>
      </c>
      <c r="AB119" s="25">
        <f>IF(OR($A119="",$P119=""),"",IF(COUNTIFS(stops!$B$2:$B$151,$B119,stops!$P$2:$P$151,"&lt;"&amp;$P119,stops!$L$2:$L$151,"&lt;&gt;not_delivered")=0,"Y","N"))</f>
        <v/>
      </c>
      <c r="AC119" s="25">
        <f>IF(OR($I119="",$J119=""),"",ROUND(($J119-$I119)*1440,0))</f>
        <v/>
      </c>
      <c r="AD119" s="25">
        <f>IF($A119="","",IF(COUNTIFS(stops!$A$2:$A$151,$A119,stops!$B$2:$B$151,$B119)&gt;1,"DUPLICATE stop; ","")&amp;IF(AND(OR(IFERROR(IF(INDEX(offices!$Z$2:$Z$61,MATCH($B119,offices!$A$2:$A$61,0))="","",INDEX(offices!$Z$2:$Z$61,MATCH($B119,offices!$A$2:$A$61,0))),"")="yes",IFERROR(IF(INDEX(offices!$Z$2:$Z$61,MATCH($B119,offices!$A$2:$A$61,0))="","",INDEX(offices!$Z$2:$Z$61,MATCH($B119,offices!$A$2:$A$61,0))),"")="unsure"),$Y119&lt;&gt;"received",$Y119&lt;&gt;"not_needed"),"building certificate not received; ","")&amp;IF($W119="","owner phone missing; ","")&amp;IF(N($Z119)=0,"no approved brand for this stop; ","")&amp;IF(AND($P119&lt;&gt;"",IF(config!$B$37&lt;&gt;"",config!$B$37,TODAY())&gt;$P119,$L119=""),"log the outcome; ","")&amp;IF(AND(OR($L119="declined",$L119="building_refused",$L119="not_delivered"),N($Z119)&gt;0,COUNTIFS(approvals!$H$2:$H$251,$A119,approvals!$B$2:$B$251,$B119,approvals!$P$2:$P$251,"Y",approvals!$U$2:$U$251,"&gt;0")&gt;=N($Z119)),"outcome says "&amp;$L119&amp;" but every brand here is logged delivered: fix the outcome, or delete the wrong delivered rows (SOP section 4); ","")&amp;IF(AND(OR($L119="declined",$L119="building_refused",$L119="not_delivered"),COUNTIFS(approvals!$H$2:$H$251,$A119,approvals!$B$2:$B$251,$B119,approvals!$P$2:$P$251,"Y",approvals!$U$2:$U$251,"&gt;0")&gt;0,COUNTIFS(approvals!$H$2:$H$251,$A119,approvals!$B$2:$B$251,$B119,approvals!$P$2:$P$251,"Y",approvals!$U$2:$U$251,"&gt;0")&lt;N($Z119)),"info: "&amp;(N($Z119)-COUNTIFS(approvals!$H$2:$H$251,$A119,approvals!$B$2:$B$251,$B119,approvals!$P$2:$P$251,"Y",approvals!$U$2:$U$251,"&gt;0"))&amp;" brand(s) turned away at the door, the rest delivered; ","")&amp;IF(AND($AB119="Y",IFERROR(IF(INDEX(drops!$C$2:$C$21,MATCH($A119,drops!$A$2:$A$21,0))="","",INDEX(drops!$C$2:$C$21,MATCH($A119,drops!$A$2:$A$21,0))),"")="direct-ship"),"info: first drop: visit in person on T; ","")&amp;IF(AND($U119="front desk",$X119&lt;&gt;"Y"),"info: front desk not agreed: the owner must take it; ",""))</f>
        <v/>
      </c>
    </row>
    <row r="120">
      <c r="D120" s="33" t="n"/>
      <c r="E120" s="9" t="n"/>
      <c r="F120" s="9" t="n"/>
      <c r="G120" s="9" t="n"/>
      <c r="I120" s="33" t="n"/>
      <c r="J120" s="33" t="n"/>
      <c r="N120" s="9" t="n"/>
      <c r="P120" s="26">
        <f>IF($A120="","",IF(IFERROR(IF(INDEX(drops!$I$2:$I$21,MATCH($A120,drops!$A$2:$A$21,0))="","",INDEX(drops!$I$2:$I$21,MATCH($A120,drops!$A$2:$A$21,0))),"")="OK",IFERROR(IF(INDEX(drops!$B$2:$B$21,MATCH($A120,drops!$A$2:$A$21,0))="","",INDEX(drops!$B$2:$B$21,MATCH($A120,drops!$A$2:$A$21,0))),""),""))</f>
        <v/>
      </c>
      <c r="Q120" s="25">
        <f>IF($B120="","",IFERROR(IF(INDEX(offices!$N$2:$N$61,MATCH($B120,offices!$A$2:$A$61,0))="","",INDEX(offices!$N$2:$N$61,MATCH($B120,offices!$A$2:$A$61,0))),""))</f>
        <v/>
      </c>
      <c r="R120" s="25">
        <f>IF($B120="","",IFERROR(IF(INDEX(offices!$O$2:$O$61,MATCH($B120,offices!$A$2:$A$61,0))="","",INDEX(offices!$O$2:$O$61,MATCH($B120,offices!$A$2:$A$61,0))),""))</f>
        <v/>
      </c>
      <c r="S120" s="25">
        <f>IF($B120="","",IFERROR(IF(INDEX(offices!$P$2:$P$61,MATCH($B120,offices!$A$2:$A$61,0))="","",INDEX(offices!$P$2:$P$61,MATCH($B120,offices!$A$2:$A$61,0))),""))</f>
        <v/>
      </c>
      <c r="T120" s="25">
        <f>IF($B120="","",IFERROR(IF(INDEX(offices!$Y$2:$Y$61,MATCH($B120,offices!$A$2:$A$61,0))="","",INDEX(offices!$Y$2:$Y$61,MATCH($B120,offices!$A$2:$A$61,0))),""))</f>
        <v/>
      </c>
      <c r="U120" s="25">
        <f>IF($B120="","",IFERROR(IF(INDEX(offices!$X$2:$X$61,MATCH($B120,offices!$A$2:$A$61,0))="","",INDEX(offices!$X$2:$X$61,MATCH($B120,offices!$A$2:$A$61,0))),""))</f>
        <v/>
      </c>
      <c r="V120" s="25">
        <f>IF($B120="","",IFERROR(IF(INDEX(offices!$U$2:$U$61,MATCH($B120,offices!$A$2:$A$61,0))="","",INDEX(offices!$U$2:$U$61,MATCH($B120,offices!$A$2:$A$61,0))),""))</f>
        <v/>
      </c>
      <c r="W120" s="25">
        <f>IF($B120="","",IFERROR(IF(INDEX(offices!$AI$2:$AI$61,MATCH($B120,offices!$A$2:$A$61,0))="","",INDEX(offices!$AI$2:$AI$61,MATCH($B120,offices!$A$2:$A$61,0))),""))</f>
        <v/>
      </c>
      <c r="X120" s="25">
        <f>IF($B120="","",IFERROR(IF(INDEX(offices!$G$2:$G$61,MATCH($B120,offices!$A$2:$A$61,0))="","",INDEX(offices!$G$2:$G$61,MATCH($B120,offices!$A$2:$A$61,0))),""))</f>
        <v/>
      </c>
      <c r="Y120" s="25">
        <f>IF($B120="","",IFERROR(IF(INDEX(offices!$I$2:$I$61,MATCH($B120,offices!$A$2:$A$61,0))="","",INDEX(offices!$I$2:$I$61,MATCH($B120,offices!$A$2:$A$61,0))),""))</f>
        <v/>
      </c>
      <c r="Z120" s="25">
        <f>IF($A120="","",COUNTIFS(approvals!$H$2:$H$251,$A120,approvals!$B$2:$B$251,$B120,approvals!$P$2:$P$251,"Y"))</f>
        <v/>
      </c>
      <c r="AA120" s="25">
        <f>IF($A120="","",SUMIFS(approvals!$S$2:$S$251,approvals!$H$2:$H$251,$A120,approvals!$B$2:$B$251,$B120,approvals!$P$2:$P$251,"Y"))</f>
        <v/>
      </c>
      <c r="AB120" s="25">
        <f>IF(OR($A120="",$P120=""),"",IF(COUNTIFS(stops!$B$2:$B$151,$B120,stops!$P$2:$P$151,"&lt;"&amp;$P120,stops!$L$2:$L$151,"&lt;&gt;not_delivered")=0,"Y","N"))</f>
        <v/>
      </c>
      <c r="AC120" s="25">
        <f>IF(OR($I120="",$J120=""),"",ROUND(($J120-$I120)*1440,0))</f>
        <v/>
      </c>
      <c r="AD120" s="25">
        <f>IF($A120="","",IF(COUNTIFS(stops!$A$2:$A$151,$A120,stops!$B$2:$B$151,$B120)&gt;1,"DUPLICATE stop; ","")&amp;IF(AND(OR(IFERROR(IF(INDEX(offices!$Z$2:$Z$61,MATCH($B120,offices!$A$2:$A$61,0))="","",INDEX(offices!$Z$2:$Z$61,MATCH($B120,offices!$A$2:$A$61,0))),"")="yes",IFERROR(IF(INDEX(offices!$Z$2:$Z$61,MATCH($B120,offices!$A$2:$A$61,0))="","",INDEX(offices!$Z$2:$Z$61,MATCH($B120,offices!$A$2:$A$61,0))),"")="unsure"),$Y120&lt;&gt;"received",$Y120&lt;&gt;"not_needed"),"building certificate not received; ","")&amp;IF($W120="","owner phone missing; ","")&amp;IF(N($Z120)=0,"no approved brand for this stop; ","")&amp;IF(AND($P120&lt;&gt;"",IF(config!$B$37&lt;&gt;"",config!$B$37,TODAY())&gt;$P120,$L120=""),"log the outcome; ","")&amp;IF(AND(OR($L120="declined",$L120="building_refused",$L120="not_delivered"),N($Z120)&gt;0,COUNTIFS(approvals!$H$2:$H$251,$A120,approvals!$B$2:$B$251,$B120,approvals!$P$2:$P$251,"Y",approvals!$U$2:$U$251,"&gt;0")&gt;=N($Z120)),"outcome says "&amp;$L120&amp;" but every brand here is logged delivered: fix the outcome, or delete the wrong delivered rows (SOP section 4); ","")&amp;IF(AND(OR($L120="declined",$L120="building_refused",$L120="not_delivered"),COUNTIFS(approvals!$H$2:$H$251,$A120,approvals!$B$2:$B$251,$B120,approvals!$P$2:$P$251,"Y",approvals!$U$2:$U$251,"&gt;0")&gt;0,COUNTIFS(approvals!$H$2:$H$251,$A120,approvals!$B$2:$B$251,$B120,approvals!$P$2:$P$251,"Y",approvals!$U$2:$U$251,"&gt;0")&lt;N($Z120)),"info: "&amp;(N($Z120)-COUNTIFS(approvals!$H$2:$H$251,$A120,approvals!$B$2:$B$251,$B120,approvals!$P$2:$P$251,"Y",approvals!$U$2:$U$251,"&gt;0"))&amp;" brand(s) turned away at the door, the rest delivered; ","")&amp;IF(AND($AB120="Y",IFERROR(IF(INDEX(drops!$C$2:$C$21,MATCH($A120,drops!$A$2:$A$21,0))="","",INDEX(drops!$C$2:$C$21,MATCH($A120,drops!$A$2:$A$21,0))),"")="direct-ship"),"info: first drop: visit in person on T; ","")&amp;IF(AND($U120="front desk",$X120&lt;&gt;"Y"),"info: front desk not agreed: the owner must take it; ",""))</f>
        <v/>
      </c>
    </row>
    <row r="121">
      <c r="D121" s="33" t="n"/>
      <c r="E121" s="9" t="n"/>
      <c r="F121" s="9" t="n"/>
      <c r="G121" s="9" t="n"/>
      <c r="I121" s="33" t="n"/>
      <c r="J121" s="33" t="n"/>
      <c r="N121" s="9" t="n"/>
      <c r="P121" s="26">
        <f>IF($A121="","",IF(IFERROR(IF(INDEX(drops!$I$2:$I$21,MATCH($A121,drops!$A$2:$A$21,0))="","",INDEX(drops!$I$2:$I$21,MATCH($A121,drops!$A$2:$A$21,0))),"")="OK",IFERROR(IF(INDEX(drops!$B$2:$B$21,MATCH($A121,drops!$A$2:$A$21,0))="","",INDEX(drops!$B$2:$B$21,MATCH($A121,drops!$A$2:$A$21,0))),""),""))</f>
        <v/>
      </c>
      <c r="Q121" s="25">
        <f>IF($B121="","",IFERROR(IF(INDEX(offices!$N$2:$N$61,MATCH($B121,offices!$A$2:$A$61,0))="","",INDEX(offices!$N$2:$N$61,MATCH($B121,offices!$A$2:$A$61,0))),""))</f>
        <v/>
      </c>
      <c r="R121" s="25">
        <f>IF($B121="","",IFERROR(IF(INDEX(offices!$O$2:$O$61,MATCH($B121,offices!$A$2:$A$61,0))="","",INDEX(offices!$O$2:$O$61,MATCH($B121,offices!$A$2:$A$61,0))),""))</f>
        <v/>
      </c>
      <c r="S121" s="25">
        <f>IF($B121="","",IFERROR(IF(INDEX(offices!$P$2:$P$61,MATCH($B121,offices!$A$2:$A$61,0))="","",INDEX(offices!$P$2:$P$61,MATCH($B121,offices!$A$2:$A$61,0))),""))</f>
        <v/>
      </c>
      <c r="T121" s="25">
        <f>IF($B121="","",IFERROR(IF(INDEX(offices!$Y$2:$Y$61,MATCH($B121,offices!$A$2:$A$61,0))="","",INDEX(offices!$Y$2:$Y$61,MATCH($B121,offices!$A$2:$A$61,0))),""))</f>
        <v/>
      </c>
      <c r="U121" s="25">
        <f>IF($B121="","",IFERROR(IF(INDEX(offices!$X$2:$X$61,MATCH($B121,offices!$A$2:$A$61,0))="","",INDEX(offices!$X$2:$X$61,MATCH($B121,offices!$A$2:$A$61,0))),""))</f>
        <v/>
      </c>
      <c r="V121" s="25">
        <f>IF($B121="","",IFERROR(IF(INDEX(offices!$U$2:$U$61,MATCH($B121,offices!$A$2:$A$61,0))="","",INDEX(offices!$U$2:$U$61,MATCH($B121,offices!$A$2:$A$61,0))),""))</f>
        <v/>
      </c>
      <c r="W121" s="25">
        <f>IF($B121="","",IFERROR(IF(INDEX(offices!$AI$2:$AI$61,MATCH($B121,offices!$A$2:$A$61,0))="","",INDEX(offices!$AI$2:$AI$61,MATCH($B121,offices!$A$2:$A$61,0))),""))</f>
        <v/>
      </c>
      <c r="X121" s="25">
        <f>IF($B121="","",IFERROR(IF(INDEX(offices!$G$2:$G$61,MATCH($B121,offices!$A$2:$A$61,0))="","",INDEX(offices!$G$2:$G$61,MATCH($B121,offices!$A$2:$A$61,0))),""))</f>
        <v/>
      </c>
      <c r="Y121" s="25">
        <f>IF($B121="","",IFERROR(IF(INDEX(offices!$I$2:$I$61,MATCH($B121,offices!$A$2:$A$61,0))="","",INDEX(offices!$I$2:$I$61,MATCH($B121,offices!$A$2:$A$61,0))),""))</f>
        <v/>
      </c>
      <c r="Z121" s="25">
        <f>IF($A121="","",COUNTIFS(approvals!$H$2:$H$251,$A121,approvals!$B$2:$B$251,$B121,approvals!$P$2:$P$251,"Y"))</f>
        <v/>
      </c>
      <c r="AA121" s="25">
        <f>IF($A121="","",SUMIFS(approvals!$S$2:$S$251,approvals!$H$2:$H$251,$A121,approvals!$B$2:$B$251,$B121,approvals!$P$2:$P$251,"Y"))</f>
        <v/>
      </c>
      <c r="AB121" s="25">
        <f>IF(OR($A121="",$P121=""),"",IF(COUNTIFS(stops!$B$2:$B$151,$B121,stops!$P$2:$P$151,"&lt;"&amp;$P121,stops!$L$2:$L$151,"&lt;&gt;not_delivered")=0,"Y","N"))</f>
        <v/>
      </c>
      <c r="AC121" s="25">
        <f>IF(OR($I121="",$J121=""),"",ROUND(($J121-$I121)*1440,0))</f>
        <v/>
      </c>
      <c r="AD121" s="25">
        <f>IF($A121="","",IF(COUNTIFS(stops!$A$2:$A$151,$A121,stops!$B$2:$B$151,$B121)&gt;1,"DUPLICATE stop; ","")&amp;IF(AND(OR(IFERROR(IF(INDEX(offices!$Z$2:$Z$61,MATCH($B121,offices!$A$2:$A$61,0))="","",INDEX(offices!$Z$2:$Z$61,MATCH($B121,offices!$A$2:$A$61,0))),"")="yes",IFERROR(IF(INDEX(offices!$Z$2:$Z$61,MATCH($B121,offices!$A$2:$A$61,0))="","",INDEX(offices!$Z$2:$Z$61,MATCH($B121,offices!$A$2:$A$61,0))),"")="unsure"),$Y121&lt;&gt;"received",$Y121&lt;&gt;"not_needed"),"building certificate not received; ","")&amp;IF($W121="","owner phone missing; ","")&amp;IF(N($Z121)=0,"no approved brand for this stop; ","")&amp;IF(AND($P121&lt;&gt;"",IF(config!$B$37&lt;&gt;"",config!$B$37,TODAY())&gt;$P121,$L121=""),"log the outcome; ","")&amp;IF(AND(OR($L121="declined",$L121="building_refused",$L121="not_delivered"),N($Z121)&gt;0,COUNTIFS(approvals!$H$2:$H$251,$A121,approvals!$B$2:$B$251,$B121,approvals!$P$2:$P$251,"Y",approvals!$U$2:$U$251,"&gt;0")&gt;=N($Z121)),"outcome says "&amp;$L121&amp;" but every brand here is logged delivered: fix the outcome, or delete the wrong delivered rows (SOP section 4); ","")&amp;IF(AND(OR($L121="declined",$L121="building_refused",$L121="not_delivered"),COUNTIFS(approvals!$H$2:$H$251,$A121,approvals!$B$2:$B$251,$B121,approvals!$P$2:$P$251,"Y",approvals!$U$2:$U$251,"&gt;0")&gt;0,COUNTIFS(approvals!$H$2:$H$251,$A121,approvals!$B$2:$B$251,$B121,approvals!$P$2:$P$251,"Y",approvals!$U$2:$U$251,"&gt;0")&lt;N($Z121)),"info: "&amp;(N($Z121)-COUNTIFS(approvals!$H$2:$H$251,$A121,approvals!$B$2:$B$251,$B121,approvals!$P$2:$P$251,"Y",approvals!$U$2:$U$251,"&gt;0"))&amp;" brand(s) turned away at the door, the rest delivered; ","")&amp;IF(AND($AB121="Y",IFERROR(IF(INDEX(drops!$C$2:$C$21,MATCH($A121,drops!$A$2:$A$21,0))="","",INDEX(drops!$C$2:$C$21,MATCH($A121,drops!$A$2:$A$21,0))),"")="direct-ship"),"info: first drop: visit in person on T; ","")&amp;IF(AND($U121="front desk",$X121&lt;&gt;"Y"),"info: front desk not agreed: the owner must take it; ",""))</f>
        <v/>
      </c>
    </row>
    <row r="122">
      <c r="D122" s="33" t="n"/>
      <c r="E122" s="9" t="n"/>
      <c r="F122" s="9" t="n"/>
      <c r="G122" s="9" t="n"/>
      <c r="I122" s="33" t="n"/>
      <c r="J122" s="33" t="n"/>
      <c r="N122" s="9" t="n"/>
      <c r="P122" s="26">
        <f>IF($A122="","",IF(IFERROR(IF(INDEX(drops!$I$2:$I$21,MATCH($A122,drops!$A$2:$A$21,0))="","",INDEX(drops!$I$2:$I$21,MATCH($A122,drops!$A$2:$A$21,0))),"")="OK",IFERROR(IF(INDEX(drops!$B$2:$B$21,MATCH($A122,drops!$A$2:$A$21,0))="","",INDEX(drops!$B$2:$B$21,MATCH($A122,drops!$A$2:$A$21,0))),""),""))</f>
        <v/>
      </c>
      <c r="Q122" s="25">
        <f>IF($B122="","",IFERROR(IF(INDEX(offices!$N$2:$N$61,MATCH($B122,offices!$A$2:$A$61,0))="","",INDEX(offices!$N$2:$N$61,MATCH($B122,offices!$A$2:$A$61,0))),""))</f>
        <v/>
      </c>
      <c r="R122" s="25">
        <f>IF($B122="","",IFERROR(IF(INDEX(offices!$O$2:$O$61,MATCH($B122,offices!$A$2:$A$61,0))="","",INDEX(offices!$O$2:$O$61,MATCH($B122,offices!$A$2:$A$61,0))),""))</f>
        <v/>
      </c>
      <c r="S122" s="25">
        <f>IF($B122="","",IFERROR(IF(INDEX(offices!$P$2:$P$61,MATCH($B122,offices!$A$2:$A$61,0))="","",INDEX(offices!$P$2:$P$61,MATCH($B122,offices!$A$2:$A$61,0))),""))</f>
        <v/>
      </c>
      <c r="T122" s="25">
        <f>IF($B122="","",IFERROR(IF(INDEX(offices!$Y$2:$Y$61,MATCH($B122,offices!$A$2:$A$61,0))="","",INDEX(offices!$Y$2:$Y$61,MATCH($B122,offices!$A$2:$A$61,0))),""))</f>
        <v/>
      </c>
      <c r="U122" s="25">
        <f>IF($B122="","",IFERROR(IF(INDEX(offices!$X$2:$X$61,MATCH($B122,offices!$A$2:$A$61,0))="","",INDEX(offices!$X$2:$X$61,MATCH($B122,offices!$A$2:$A$61,0))),""))</f>
        <v/>
      </c>
      <c r="V122" s="25">
        <f>IF($B122="","",IFERROR(IF(INDEX(offices!$U$2:$U$61,MATCH($B122,offices!$A$2:$A$61,0))="","",INDEX(offices!$U$2:$U$61,MATCH($B122,offices!$A$2:$A$61,0))),""))</f>
        <v/>
      </c>
      <c r="W122" s="25">
        <f>IF($B122="","",IFERROR(IF(INDEX(offices!$AI$2:$AI$61,MATCH($B122,offices!$A$2:$A$61,0))="","",INDEX(offices!$AI$2:$AI$61,MATCH($B122,offices!$A$2:$A$61,0))),""))</f>
        <v/>
      </c>
      <c r="X122" s="25">
        <f>IF($B122="","",IFERROR(IF(INDEX(offices!$G$2:$G$61,MATCH($B122,offices!$A$2:$A$61,0))="","",INDEX(offices!$G$2:$G$61,MATCH($B122,offices!$A$2:$A$61,0))),""))</f>
        <v/>
      </c>
      <c r="Y122" s="25">
        <f>IF($B122="","",IFERROR(IF(INDEX(offices!$I$2:$I$61,MATCH($B122,offices!$A$2:$A$61,0))="","",INDEX(offices!$I$2:$I$61,MATCH($B122,offices!$A$2:$A$61,0))),""))</f>
        <v/>
      </c>
      <c r="Z122" s="25">
        <f>IF($A122="","",COUNTIFS(approvals!$H$2:$H$251,$A122,approvals!$B$2:$B$251,$B122,approvals!$P$2:$P$251,"Y"))</f>
        <v/>
      </c>
      <c r="AA122" s="25">
        <f>IF($A122="","",SUMIFS(approvals!$S$2:$S$251,approvals!$H$2:$H$251,$A122,approvals!$B$2:$B$251,$B122,approvals!$P$2:$P$251,"Y"))</f>
        <v/>
      </c>
      <c r="AB122" s="25">
        <f>IF(OR($A122="",$P122=""),"",IF(COUNTIFS(stops!$B$2:$B$151,$B122,stops!$P$2:$P$151,"&lt;"&amp;$P122,stops!$L$2:$L$151,"&lt;&gt;not_delivered")=0,"Y","N"))</f>
        <v/>
      </c>
      <c r="AC122" s="25">
        <f>IF(OR($I122="",$J122=""),"",ROUND(($J122-$I122)*1440,0))</f>
        <v/>
      </c>
      <c r="AD122" s="25">
        <f>IF($A122="","",IF(COUNTIFS(stops!$A$2:$A$151,$A122,stops!$B$2:$B$151,$B122)&gt;1,"DUPLICATE stop; ","")&amp;IF(AND(OR(IFERROR(IF(INDEX(offices!$Z$2:$Z$61,MATCH($B122,offices!$A$2:$A$61,0))="","",INDEX(offices!$Z$2:$Z$61,MATCH($B122,offices!$A$2:$A$61,0))),"")="yes",IFERROR(IF(INDEX(offices!$Z$2:$Z$61,MATCH($B122,offices!$A$2:$A$61,0))="","",INDEX(offices!$Z$2:$Z$61,MATCH($B122,offices!$A$2:$A$61,0))),"")="unsure"),$Y122&lt;&gt;"received",$Y122&lt;&gt;"not_needed"),"building certificate not received; ","")&amp;IF($W122="","owner phone missing; ","")&amp;IF(N($Z122)=0,"no approved brand for this stop; ","")&amp;IF(AND($P122&lt;&gt;"",IF(config!$B$37&lt;&gt;"",config!$B$37,TODAY())&gt;$P122,$L122=""),"log the outcome; ","")&amp;IF(AND(OR($L122="declined",$L122="building_refused",$L122="not_delivered"),N($Z122)&gt;0,COUNTIFS(approvals!$H$2:$H$251,$A122,approvals!$B$2:$B$251,$B122,approvals!$P$2:$P$251,"Y",approvals!$U$2:$U$251,"&gt;0")&gt;=N($Z122)),"outcome says "&amp;$L122&amp;" but every brand here is logged delivered: fix the outcome, or delete the wrong delivered rows (SOP section 4); ","")&amp;IF(AND(OR($L122="declined",$L122="building_refused",$L122="not_delivered"),COUNTIFS(approvals!$H$2:$H$251,$A122,approvals!$B$2:$B$251,$B122,approvals!$P$2:$P$251,"Y",approvals!$U$2:$U$251,"&gt;0")&gt;0,COUNTIFS(approvals!$H$2:$H$251,$A122,approvals!$B$2:$B$251,$B122,approvals!$P$2:$P$251,"Y",approvals!$U$2:$U$251,"&gt;0")&lt;N($Z122)),"info: "&amp;(N($Z122)-COUNTIFS(approvals!$H$2:$H$251,$A122,approvals!$B$2:$B$251,$B122,approvals!$P$2:$P$251,"Y",approvals!$U$2:$U$251,"&gt;0"))&amp;" brand(s) turned away at the door, the rest delivered; ","")&amp;IF(AND($AB122="Y",IFERROR(IF(INDEX(drops!$C$2:$C$21,MATCH($A122,drops!$A$2:$A$21,0))="","",INDEX(drops!$C$2:$C$21,MATCH($A122,drops!$A$2:$A$21,0))),"")="direct-ship"),"info: first drop: visit in person on T; ","")&amp;IF(AND($U122="front desk",$X122&lt;&gt;"Y"),"info: front desk not agreed: the owner must take it; ",""))</f>
        <v/>
      </c>
    </row>
    <row r="123">
      <c r="D123" s="33" t="n"/>
      <c r="E123" s="9" t="n"/>
      <c r="F123" s="9" t="n"/>
      <c r="G123" s="9" t="n"/>
      <c r="I123" s="33" t="n"/>
      <c r="J123" s="33" t="n"/>
      <c r="N123" s="9" t="n"/>
      <c r="P123" s="26">
        <f>IF($A123="","",IF(IFERROR(IF(INDEX(drops!$I$2:$I$21,MATCH($A123,drops!$A$2:$A$21,0))="","",INDEX(drops!$I$2:$I$21,MATCH($A123,drops!$A$2:$A$21,0))),"")="OK",IFERROR(IF(INDEX(drops!$B$2:$B$21,MATCH($A123,drops!$A$2:$A$21,0))="","",INDEX(drops!$B$2:$B$21,MATCH($A123,drops!$A$2:$A$21,0))),""),""))</f>
        <v/>
      </c>
      <c r="Q123" s="25">
        <f>IF($B123="","",IFERROR(IF(INDEX(offices!$N$2:$N$61,MATCH($B123,offices!$A$2:$A$61,0))="","",INDEX(offices!$N$2:$N$61,MATCH($B123,offices!$A$2:$A$61,0))),""))</f>
        <v/>
      </c>
      <c r="R123" s="25">
        <f>IF($B123="","",IFERROR(IF(INDEX(offices!$O$2:$O$61,MATCH($B123,offices!$A$2:$A$61,0))="","",INDEX(offices!$O$2:$O$61,MATCH($B123,offices!$A$2:$A$61,0))),""))</f>
        <v/>
      </c>
      <c r="S123" s="25">
        <f>IF($B123="","",IFERROR(IF(INDEX(offices!$P$2:$P$61,MATCH($B123,offices!$A$2:$A$61,0))="","",INDEX(offices!$P$2:$P$61,MATCH($B123,offices!$A$2:$A$61,0))),""))</f>
        <v/>
      </c>
      <c r="T123" s="25">
        <f>IF($B123="","",IFERROR(IF(INDEX(offices!$Y$2:$Y$61,MATCH($B123,offices!$A$2:$A$61,0))="","",INDEX(offices!$Y$2:$Y$61,MATCH($B123,offices!$A$2:$A$61,0))),""))</f>
        <v/>
      </c>
      <c r="U123" s="25">
        <f>IF($B123="","",IFERROR(IF(INDEX(offices!$X$2:$X$61,MATCH($B123,offices!$A$2:$A$61,0))="","",INDEX(offices!$X$2:$X$61,MATCH($B123,offices!$A$2:$A$61,0))),""))</f>
        <v/>
      </c>
      <c r="V123" s="25">
        <f>IF($B123="","",IFERROR(IF(INDEX(offices!$U$2:$U$61,MATCH($B123,offices!$A$2:$A$61,0))="","",INDEX(offices!$U$2:$U$61,MATCH($B123,offices!$A$2:$A$61,0))),""))</f>
        <v/>
      </c>
      <c r="W123" s="25">
        <f>IF($B123="","",IFERROR(IF(INDEX(offices!$AI$2:$AI$61,MATCH($B123,offices!$A$2:$A$61,0))="","",INDEX(offices!$AI$2:$AI$61,MATCH($B123,offices!$A$2:$A$61,0))),""))</f>
        <v/>
      </c>
      <c r="X123" s="25">
        <f>IF($B123="","",IFERROR(IF(INDEX(offices!$G$2:$G$61,MATCH($B123,offices!$A$2:$A$61,0))="","",INDEX(offices!$G$2:$G$61,MATCH($B123,offices!$A$2:$A$61,0))),""))</f>
        <v/>
      </c>
      <c r="Y123" s="25">
        <f>IF($B123="","",IFERROR(IF(INDEX(offices!$I$2:$I$61,MATCH($B123,offices!$A$2:$A$61,0))="","",INDEX(offices!$I$2:$I$61,MATCH($B123,offices!$A$2:$A$61,0))),""))</f>
        <v/>
      </c>
      <c r="Z123" s="25">
        <f>IF($A123="","",COUNTIFS(approvals!$H$2:$H$251,$A123,approvals!$B$2:$B$251,$B123,approvals!$P$2:$P$251,"Y"))</f>
        <v/>
      </c>
      <c r="AA123" s="25">
        <f>IF($A123="","",SUMIFS(approvals!$S$2:$S$251,approvals!$H$2:$H$251,$A123,approvals!$B$2:$B$251,$B123,approvals!$P$2:$P$251,"Y"))</f>
        <v/>
      </c>
      <c r="AB123" s="25">
        <f>IF(OR($A123="",$P123=""),"",IF(COUNTIFS(stops!$B$2:$B$151,$B123,stops!$P$2:$P$151,"&lt;"&amp;$P123,stops!$L$2:$L$151,"&lt;&gt;not_delivered")=0,"Y","N"))</f>
        <v/>
      </c>
      <c r="AC123" s="25">
        <f>IF(OR($I123="",$J123=""),"",ROUND(($J123-$I123)*1440,0))</f>
        <v/>
      </c>
      <c r="AD123" s="25">
        <f>IF($A123="","",IF(COUNTIFS(stops!$A$2:$A$151,$A123,stops!$B$2:$B$151,$B123)&gt;1,"DUPLICATE stop; ","")&amp;IF(AND(OR(IFERROR(IF(INDEX(offices!$Z$2:$Z$61,MATCH($B123,offices!$A$2:$A$61,0))="","",INDEX(offices!$Z$2:$Z$61,MATCH($B123,offices!$A$2:$A$61,0))),"")="yes",IFERROR(IF(INDEX(offices!$Z$2:$Z$61,MATCH($B123,offices!$A$2:$A$61,0))="","",INDEX(offices!$Z$2:$Z$61,MATCH($B123,offices!$A$2:$A$61,0))),"")="unsure"),$Y123&lt;&gt;"received",$Y123&lt;&gt;"not_needed"),"building certificate not received; ","")&amp;IF($W123="","owner phone missing; ","")&amp;IF(N($Z123)=0,"no approved brand for this stop; ","")&amp;IF(AND($P123&lt;&gt;"",IF(config!$B$37&lt;&gt;"",config!$B$37,TODAY())&gt;$P123,$L123=""),"log the outcome; ","")&amp;IF(AND(OR($L123="declined",$L123="building_refused",$L123="not_delivered"),N($Z123)&gt;0,COUNTIFS(approvals!$H$2:$H$251,$A123,approvals!$B$2:$B$251,$B123,approvals!$P$2:$P$251,"Y",approvals!$U$2:$U$251,"&gt;0")&gt;=N($Z123)),"outcome says "&amp;$L123&amp;" but every brand here is logged delivered: fix the outcome, or delete the wrong delivered rows (SOP section 4); ","")&amp;IF(AND(OR($L123="declined",$L123="building_refused",$L123="not_delivered"),COUNTIFS(approvals!$H$2:$H$251,$A123,approvals!$B$2:$B$251,$B123,approvals!$P$2:$P$251,"Y",approvals!$U$2:$U$251,"&gt;0")&gt;0,COUNTIFS(approvals!$H$2:$H$251,$A123,approvals!$B$2:$B$251,$B123,approvals!$P$2:$P$251,"Y",approvals!$U$2:$U$251,"&gt;0")&lt;N($Z123)),"info: "&amp;(N($Z123)-COUNTIFS(approvals!$H$2:$H$251,$A123,approvals!$B$2:$B$251,$B123,approvals!$P$2:$P$251,"Y",approvals!$U$2:$U$251,"&gt;0"))&amp;" brand(s) turned away at the door, the rest delivered; ","")&amp;IF(AND($AB123="Y",IFERROR(IF(INDEX(drops!$C$2:$C$21,MATCH($A123,drops!$A$2:$A$21,0))="","",INDEX(drops!$C$2:$C$21,MATCH($A123,drops!$A$2:$A$21,0))),"")="direct-ship"),"info: first drop: visit in person on T; ","")&amp;IF(AND($U123="front desk",$X123&lt;&gt;"Y"),"info: front desk not agreed: the owner must take it; ",""))</f>
        <v/>
      </c>
    </row>
    <row r="124">
      <c r="D124" s="33" t="n"/>
      <c r="E124" s="9" t="n"/>
      <c r="F124" s="9" t="n"/>
      <c r="G124" s="9" t="n"/>
      <c r="I124" s="33" t="n"/>
      <c r="J124" s="33" t="n"/>
      <c r="N124" s="9" t="n"/>
      <c r="P124" s="26">
        <f>IF($A124="","",IF(IFERROR(IF(INDEX(drops!$I$2:$I$21,MATCH($A124,drops!$A$2:$A$21,0))="","",INDEX(drops!$I$2:$I$21,MATCH($A124,drops!$A$2:$A$21,0))),"")="OK",IFERROR(IF(INDEX(drops!$B$2:$B$21,MATCH($A124,drops!$A$2:$A$21,0))="","",INDEX(drops!$B$2:$B$21,MATCH($A124,drops!$A$2:$A$21,0))),""),""))</f>
        <v/>
      </c>
      <c r="Q124" s="25">
        <f>IF($B124="","",IFERROR(IF(INDEX(offices!$N$2:$N$61,MATCH($B124,offices!$A$2:$A$61,0))="","",INDEX(offices!$N$2:$N$61,MATCH($B124,offices!$A$2:$A$61,0))),""))</f>
        <v/>
      </c>
      <c r="R124" s="25">
        <f>IF($B124="","",IFERROR(IF(INDEX(offices!$O$2:$O$61,MATCH($B124,offices!$A$2:$A$61,0))="","",INDEX(offices!$O$2:$O$61,MATCH($B124,offices!$A$2:$A$61,0))),""))</f>
        <v/>
      </c>
      <c r="S124" s="25">
        <f>IF($B124="","",IFERROR(IF(INDEX(offices!$P$2:$P$61,MATCH($B124,offices!$A$2:$A$61,0))="","",INDEX(offices!$P$2:$P$61,MATCH($B124,offices!$A$2:$A$61,0))),""))</f>
        <v/>
      </c>
      <c r="T124" s="25">
        <f>IF($B124="","",IFERROR(IF(INDEX(offices!$Y$2:$Y$61,MATCH($B124,offices!$A$2:$A$61,0))="","",INDEX(offices!$Y$2:$Y$61,MATCH($B124,offices!$A$2:$A$61,0))),""))</f>
        <v/>
      </c>
      <c r="U124" s="25">
        <f>IF($B124="","",IFERROR(IF(INDEX(offices!$X$2:$X$61,MATCH($B124,offices!$A$2:$A$61,0))="","",INDEX(offices!$X$2:$X$61,MATCH($B124,offices!$A$2:$A$61,0))),""))</f>
        <v/>
      </c>
      <c r="V124" s="25">
        <f>IF($B124="","",IFERROR(IF(INDEX(offices!$U$2:$U$61,MATCH($B124,offices!$A$2:$A$61,0))="","",INDEX(offices!$U$2:$U$61,MATCH($B124,offices!$A$2:$A$61,0))),""))</f>
        <v/>
      </c>
      <c r="W124" s="25">
        <f>IF($B124="","",IFERROR(IF(INDEX(offices!$AI$2:$AI$61,MATCH($B124,offices!$A$2:$A$61,0))="","",INDEX(offices!$AI$2:$AI$61,MATCH($B124,offices!$A$2:$A$61,0))),""))</f>
        <v/>
      </c>
      <c r="X124" s="25">
        <f>IF($B124="","",IFERROR(IF(INDEX(offices!$G$2:$G$61,MATCH($B124,offices!$A$2:$A$61,0))="","",INDEX(offices!$G$2:$G$61,MATCH($B124,offices!$A$2:$A$61,0))),""))</f>
        <v/>
      </c>
      <c r="Y124" s="25">
        <f>IF($B124="","",IFERROR(IF(INDEX(offices!$I$2:$I$61,MATCH($B124,offices!$A$2:$A$61,0))="","",INDEX(offices!$I$2:$I$61,MATCH($B124,offices!$A$2:$A$61,0))),""))</f>
        <v/>
      </c>
      <c r="Z124" s="25">
        <f>IF($A124="","",COUNTIFS(approvals!$H$2:$H$251,$A124,approvals!$B$2:$B$251,$B124,approvals!$P$2:$P$251,"Y"))</f>
        <v/>
      </c>
      <c r="AA124" s="25">
        <f>IF($A124="","",SUMIFS(approvals!$S$2:$S$251,approvals!$H$2:$H$251,$A124,approvals!$B$2:$B$251,$B124,approvals!$P$2:$P$251,"Y"))</f>
        <v/>
      </c>
      <c r="AB124" s="25">
        <f>IF(OR($A124="",$P124=""),"",IF(COUNTIFS(stops!$B$2:$B$151,$B124,stops!$P$2:$P$151,"&lt;"&amp;$P124,stops!$L$2:$L$151,"&lt;&gt;not_delivered")=0,"Y","N"))</f>
        <v/>
      </c>
      <c r="AC124" s="25">
        <f>IF(OR($I124="",$J124=""),"",ROUND(($J124-$I124)*1440,0))</f>
        <v/>
      </c>
      <c r="AD124" s="25">
        <f>IF($A124="","",IF(COUNTIFS(stops!$A$2:$A$151,$A124,stops!$B$2:$B$151,$B124)&gt;1,"DUPLICATE stop; ","")&amp;IF(AND(OR(IFERROR(IF(INDEX(offices!$Z$2:$Z$61,MATCH($B124,offices!$A$2:$A$61,0))="","",INDEX(offices!$Z$2:$Z$61,MATCH($B124,offices!$A$2:$A$61,0))),"")="yes",IFERROR(IF(INDEX(offices!$Z$2:$Z$61,MATCH($B124,offices!$A$2:$A$61,0))="","",INDEX(offices!$Z$2:$Z$61,MATCH($B124,offices!$A$2:$A$61,0))),"")="unsure"),$Y124&lt;&gt;"received",$Y124&lt;&gt;"not_needed"),"building certificate not received; ","")&amp;IF($W124="","owner phone missing; ","")&amp;IF(N($Z124)=0,"no approved brand for this stop; ","")&amp;IF(AND($P124&lt;&gt;"",IF(config!$B$37&lt;&gt;"",config!$B$37,TODAY())&gt;$P124,$L124=""),"log the outcome; ","")&amp;IF(AND(OR($L124="declined",$L124="building_refused",$L124="not_delivered"),N($Z124)&gt;0,COUNTIFS(approvals!$H$2:$H$251,$A124,approvals!$B$2:$B$251,$B124,approvals!$P$2:$P$251,"Y",approvals!$U$2:$U$251,"&gt;0")&gt;=N($Z124)),"outcome says "&amp;$L124&amp;" but every brand here is logged delivered: fix the outcome, or delete the wrong delivered rows (SOP section 4); ","")&amp;IF(AND(OR($L124="declined",$L124="building_refused",$L124="not_delivered"),COUNTIFS(approvals!$H$2:$H$251,$A124,approvals!$B$2:$B$251,$B124,approvals!$P$2:$P$251,"Y",approvals!$U$2:$U$251,"&gt;0")&gt;0,COUNTIFS(approvals!$H$2:$H$251,$A124,approvals!$B$2:$B$251,$B124,approvals!$P$2:$P$251,"Y",approvals!$U$2:$U$251,"&gt;0")&lt;N($Z124)),"info: "&amp;(N($Z124)-COUNTIFS(approvals!$H$2:$H$251,$A124,approvals!$B$2:$B$251,$B124,approvals!$P$2:$P$251,"Y",approvals!$U$2:$U$251,"&gt;0"))&amp;" brand(s) turned away at the door, the rest delivered; ","")&amp;IF(AND($AB124="Y",IFERROR(IF(INDEX(drops!$C$2:$C$21,MATCH($A124,drops!$A$2:$A$21,0))="","",INDEX(drops!$C$2:$C$21,MATCH($A124,drops!$A$2:$A$21,0))),"")="direct-ship"),"info: first drop: visit in person on T; ","")&amp;IF(AND($U124="front desk",$X124&lt;&gt;"Y"),"info: front desk not agreed: the owner must take it; ",""))</f>
        <v/>
      </c>
    </row>
    <row r="125">
      <c r="D125" s="33" t="n"/>
      <c r="E125" s="9" t="n"/>
      <c r="F125" s="9" t="n"/>
      <c r="G125" s="9" t="n"/>
      <c r="I125" s="33" t="n"/>
      <c r="J125" s="33" t="n"/>
      <c r="N125" s="9" t="n"/>
      <c r="P125" s="26">
        <f>IF($A125="","",IF(IFERROR(IF(INDEX(drops!$I$2:$I$21,MATCH($A125,drops!$A$2:$A$21,0))="","",INDEX(drops!$I$2:$I$21,MATCH($A125,drops!$A$2:$A$21,0))),"")="OK",IFERROR(IF(INDEX(drops!$B$2:$B$21,MATCH($A125,drops!$A$2:$A$21,0))="","",INDEX(drops!$B$2:$B$21,MATCH($A125,drops!$A$2:$A$21,0))),""),""))</f>
        <v/>
      </c>
      <c r="Q125" s="25">
        <f>IF($B125="","",IFERROR(IF(INDEX(offices!$N$2:$N$61,MATCH($B125,offices!$A$2:$A$61,0))="","",INDEX(offices!$N$2:$N$61,MATCH($B125,offices!$A$2:$A$61,0))),""))</f>
        <v/>
      </c>
      <c r="R125" s="25">
        <f>IF($B125="","",IFERROR(IF(INDEX(offices!$O$2:$O$61,MATCH($B125,offices!$A$2:$A$61,0))="","",INDEX(offices!$O$2:$O$61,MATCH($B125,offices!$A$2:$A$61,0))),""))</f>
        <v/>
      </c>
      <c r="S125" s="25">
        <f>IF($B125="","",IFERROR(IF(INDEX(offices!$P$2:$P$61,MATCH($B125,offices!$A$2:$A$61,0))="","",INDEX(offices!$P$2:$P$61,MATCH($B125,offices!$A$2:$A$61,0))),""))</f>
        <v/>
      </c>
      <c r="T125" s="25">
        <f>IF($B125="","",IFERROR(IF(INDEX(offices!$Y$2:$Y$61,MATCH($B125,offices!$A$2:$A$61,0))="","",INDEX(offices!$Y$2:$Y$61,MATCH($B125,offices!$A$2:$A$61,0))),""))</f>
        <v/>
      </c>
      <c r="U125" s="25">
        <f>IF($B125="","",IFERROR(IF(INDEX(offices!$X$2:$X$61,MATCH($B125,offices!$A$2:$A$61,0))="","",INDEX(offices!$X$2:$X$61,MATCH($B125,offices!$A$2:$A$61,0))),""))</f>
        <v/>
      </c>
      <c r="V125" s="25">
        <f>IF($B125="","",IFERROR(IF(INDEX(offices!$U$2:$U$61,MATCH($B125,offices!$A$2:$A$61,0))="","",INDEX(offices!$U$2:$U$61,MATCH($B125,offices!$A$2:$A$61,0))),""))</f>
        <v/>
      </c>
      <c r="W125" s="25">
        <f>IF($B125="","",IFERROR(IF(INDEX(offices!$AI$2:$AI$61,MATCH($B125,offices!$A$2:$A$61,0))="","",INDEX(offices!$AI$2:$AI$61,MATCH($B125,offices!$A$2:$A$61,0))),""))</f>
        <v/>
      </c>
      <c r="X125" s="25">
        <f>IF($B125="","",IFERROR(IF(INDEX(offices!$G$2:$G$61,MATCH($B125,offices!$A$2:$A$61,0))="","",INDEX(offices!$G$2:$G$61,MATCH($B125,offices!$A$2:$A$61,0))),""))</f>
        <v/>
      </c>
      <c r="Y125" s="25">
        <f>IF($B125="","",IFERROR(IF(INDEX(offices!$I$2:$I$61,MATCH($B125,offices!$A$2:$A$61,0))="","",INDEX(offices!$I$2:$I$61,MATCH($B125,offices!$A$2:$A$61,0))),""))</f>
        <v/>
      </c>
      <c r="Z125" s="25">
        <f>IF($A125="","",COUNTIFS(approvals!$H$2:$H$251,$A125,approvals!$B$2:$B$251,$B125,approvals!$P$2:$P$251,"Y"))</f>
        <v/>
      </c>
      <c r="AA125" s="25">
        <f>IF($A125="","",SUMIFS(approvals!$S$2:$S$251,approvals!$H$2:$H$251,$A125,approvals!$B$2:$B$251,$B125,approvals!$P$2:$P$251,"Y"))</f>
        <v/>
      </c>
      <c r="AB125" s="25">
        <f>IF(OR($A125="",$P125=""),"",IF(COUNTIFS(stops!$B$2:$B$151,$B125,stops!$P$2:$P$151,"&lt;"&amp;$P125,stops!$L$2:$L$151,"&lt;&gt;not_delivered")=0,"Y","N"))</f>
        <v/>
      </c>
      <c r="AC125" s="25">
        <f>IF(OR($I125="",$J125=""),"",ROUND(($J125-$I125)*1440,0))</f>
        <v/>
      </c>
      <c r="AD125" s="25">
        <f>IF($A125="","",IF(COUNTIFS(stops!$A$2:$A$151,$A125,stops!$B$2:$B$151,$B125)&gt;1,"DUPLICATE stop; ","")&amp;IF(AND(OR(IFERROR(IF(INDEX(offices!$Z$2:$Z$61,MATCH($B125,offices!$A$2:$A$61,0))="","",INDEX(offices!$Z$2:$Z$61,MATCH($B125,offices!$A$2:$A$61,0))),"")="yes",IFERROR(IF(INDEX(offices!$Z$2:$Z$61,MATCH($B125,offices!$A$2:$A$61,0))="","",INDEX(offices!$Z$2:$Z$61,MATCH($B125,offices!$A$2:$A$61,0))),"")="unsure"),$Y125&lt;&gt;"received",$Y125&lt;&gt;"not_needed"),"building certificate not received; ","")&amp;IF($W125="","owner phone missing; ","")&amp;IF(N($Z125)=0,"no approved brand for this stop; ","")&amp;IF(AND($P125&lt;&gt;"",IF(config!$B$37&lt;&gt;"",config!$B$37,TODAY())&gt;$P125,$L125=""),"log the outcome; ","")&amp;IF(AND(OR($L125="declined",$L125="building_refused",$L125="not_delivered"),N($Z125)&gt;0,COUNTIFS(approvals!$H$2:$H$251,$A125,approvals!$B$2:$B$251,$B125,approvals!$P$2:$P$251,"Y",approvals!$U$2:$U$251,"&gt;0")&gt;=N($Z125)),"outcome says "&amp;$L125&amp;" but every brand here is logged delivered: fix the outcome, or delete the wrong delivered rows (SOP section 4); ","")&amp;IF(AND(OR($L125="declined",$L125="building_refused",$L125="not_delivered"),COUNTIFS(approvals!$H$2:$H$251,$A125,approvals!$B$2:$B$251,$B125,approvals!$P$2:$P$251,"Y",approvals!$U$2:$U$251,"&gt;0")&gt;0,COUNTIFS(approvals!$H$2:$H$251,$A125,approvals!$B$2:$B$251,$B125,approvals!$P$2:$P$251,"Y",approvals!$U$2:$U$251,"&gt;0")&lt;N($Z125)),"info: "&amp;(N($Z125)-COUNTIFS(approvals!$H$2:$H$251,$A125,approvals!$B$2:$B$251,$B125,approvals!$P$2:$P$251,"Y",approvals!$U$2:$U$251,"&gt;0"))&amp;" brand(s) turned away at the door, the rest delivered; ","")&amp;IF(AND($AB125="Y",IFERROR(IF(INDEX(drops!$C$2:$C$21,MATCH($A125,drops!$A$2:$A$21,0))="","",INDEX(drops!$C$2:$C$21,MATCH($A125,drops!$A$2:$A$21,0))),"")="direct-ship"),"info: first drop: visit in person on T; ","")&amp;IF(AND($U125="front desk",$X125&lt;&gt;"Y"),"info: front desk not agreed: the owner must take it; ",""))</f>
        <v/>
      </c>
    </row>
    <row r="126">
      <c r="D126" s="33" t="n"/>
      <c r="E126" s="9" t="n"/>
      <c r="F126" s="9" t="n"/>
      <c r="G126" s="9" t="n"/>
      <c r="I126" s="33" t="n"/>
      <c r="J126" s="33" t="n"/>
      <c r="N126" s="9" t="n"/>
      <c r="P126" s="26">
        <f>IF($A126="","",IF(IFERROR(IF(INDEX(drops!$I$2:$I$21,MATCH($A126,drops!$A$2:$A$21,0))="","",INDEX(drops!$I$2:$I$21,MATCH($A126,drops!$A$2:$A$21,0))),"")="OK",IFERROR(IF(INDEX(drops!$B$2:$B$21,MATCH($A126,drops!$A$2:$A$21,0))="","",INDEX(drops!$B$2:$B$21,MATCH($A126,drops!$A$2:$A$21,0))),""),""))</f>
        <v/>
      </c>
      <c r="Q126" s="25">
        <f>IF($B126="","",IFERROR(IF(INDEX(offices!$N$2:$N$61,MATCH($B126,offices!$A$2:$A$61,0))="","",INDEX(offices!$N$2:$N$61,MATCH($B126,offices!$A$2:$A$61,0))),""))</f>
        <v/>
      </c>
      <c r="R126" s="25">
        <f>IF($B126="","",IFERROR(IF(INDEX(offices!$O$2:$O$61,MATCH($B126,offices!$A$2:$A$61,0))="","",INDEX(offices!$O$2:$O$61,MATCH($B126,offices!$A$2:$A$61,0))),""))</f>
        <v/>
      </c>
      <c r="S126" s="25">
        <f>IF($B126="","",IFERROR(IF(INDEX(offices!$P$2:$P$61,MATCH($B126,offices!$A$2:$A$61,0))="","",INDEX(offices!$P$2:$P$61,MATCH($B126,offices!$A$2:$A$61,0))),""))</f>
        <v/>
      </c>
      <c r="T126" s="25">
        <f>IF($B126="","",IFERROR(IF(INDEX(offices!$Y$2:$Y$61,MATCH($B126,offices!$A$2:$A$61,0))="","",INDEX(offices!$Y$2:$Y$61,MATCH($B126,offices!$A$2:$A$61,0))),""))</f>
        <v/>
      </c>
      <c r="U126" s="25">
        <f>IF($B126="","",IFERROR(IF(INDEX(offices!$X$2:$X$61,MATCH($B126,offices!$A$2:$A$61,0))="","",INDEX(offices!$X$2:$X$61,MATCH($B126,offices!$A$2:$A$61,0))),""))</f>
        <v/>
      </c>
      <c r="V126" s="25">
        <f>IF($B126="","",IFERROR(IF(INDEX(offices!$U$2:$U$61,MATCH($B126,offices!$A$2:$A$61,0))="","",INDEX(offices!$U$2:$U$61,MATCH($B126,offices!$A$2:$A$61,0))),""))</f>
        <v/>
      </c>
      <c r="W126" s="25">
        <f>IF($B126="","",IFERROR(IF(INDEX(offices!$AI$2:$AI$61,MATCH($B126,offices!$A$2:$A$61,0))="","",INDEX(offices!$AI$2:$AI$61,MATCH($B126,offices!$A$2:$A$61,0))),""))</f>
        <v/>
      </c>
      <c r="X126" s="25">
        <f>IF($B126="","",IFERROR(IF(INDEX(offices!$G$2:$G$61,MATCH($B126,offices!$A$2:$A$61,0))="","",INDEX(offices!$G$2:$G$61,MATCH($B126,offices!$A$2:$A$61,0))),""))</f>
        <v/>
      </c>
      <c r="Y126" s="25">
        <f>IF($B126="","",IFERROR(IF(INDEX(offices!$I$2:$I$61,MATCH($B126,offices!$A$2:$A$61,0))="","",INDEX(offices!$I$2:$I$61,MATCH($B126,offices!$A$2:$A$61,0))),""))</f>
        <v/>
      </c>
      <c r="Z126" s="25">
        <f>IF($A126="","",COUNTIFS(approvals!$H$2:$H$251,$A126,approvals!$B$2:$B$251,$B126,approvals!$P$2:$P$251,"Y"))</f>
        <v/>
      </c>
      <c r="AA126" s="25">
        <f>IF($A126="","",SUMIFS(approvals!$S$2:$S$251,approvals!$H$2:$H$251,$A126,approvals!$B$2:$B$251,$B126,approvals!$P$2:$P$251,"Y"))</f>
        <v/>
      </c>
      <c r="AB126" s="25">
        <f>IF(OR($A126="",$P126=""),"",IF(COUNTIFS(stops!$B$2:$B$151,$B126,stops!$P$2:$P$151,"&lt;"&amp;$P126,stops!$L$2:$L$151,"&lt;&gt;not_delivered")=0,"Y","N"))</f>
        <v/>
      </c>
      <c r="AC126" s="25">
        <f>IF(OR($I126="",$J126=""),"",ROUND(($J126-$I126)*1440,0))</f>
        <v/>
      </c>
      <c r="AD126" s="25">
        <f>IF($A126="","",IF(COUNTIFS(stops!$A$2:$A$151,$A126,stops!$B$2:$B$151,$B126)&gt;1,"DUPLICATE stop; ","")&amp;IF(AND(OR(IFERROR(IF(INDEX(offices!$Z$2:$Z$61,MATCH($B126,offices!$A$2:$A$61,0))="","",INDEX(offices!$Z$2:$Z$61,MATCH($B126,offices!$A$2:$A$61,0))),"")="yes",IFERROR(IF(INDEX(offices!$Z$2:$Z$61,MATCH($B126,offices!$A$2:$A$61,0))="","",INDEX(offices!$Z$2:$Z$61,MATCH($B126,offices!$A$2:$A$61,0))),"")="unsure"),$Y126&lt;&gt;"received",$Y126&lt;&gt;"not_needed"),"building certificate not received; ","")&amp;IF($W126="","owner phone missing; ","")&amp;IF(N($Z126)=0,"no approved brand for this stop; ","")&amp;IF(AND($P126&lt;&gt;"",IF(config!$B$37&lt;&gt;"",config!$B$37,TODAY())&gt;$P126,$L126=""),"log the outcome; ","")&amp;IF(AND(OR($L126="declined",$L126="building_refused",$L126="not_delivered"),N($Z126)&gt;0,COUNTIFS(approvals!$H$2:$H$251,$A126,approvals!$B$2:$B$251,$B126,approvals!$P$2:$P$251,"Y",approvals!$U$2:$U$251,"&gt;0")&gt;=N($Z126)),"outcome says "&amp;$L126&amp;" but every brand here is logged delivered: fix the outcome, or delete the wrong delivered rows (SOP section 4); ","")&amp;IF(AND(OR($L126="declined",$L126="building_refused",$L126="not_delivered"),COUNTIFS(approvals!$H$2:$H$251,$A126,approvals!$B$2:$B$251,$B126,approvals!$P$2:$P$251,"Y",approvals!$U$2:$U$251,"&gt;0")&gt;0,COUNTIFS(approvals!$H$2:$H$251,$A126,approvals!$B$2:$B$251,$B126,approvals!$P$2:$P$251,"Y",approvals!$U$2:$U$251,"&gt;0")&lt;N($Z126)),"info: "&amp;(N($Z126)-COUNTIFS(approvals!$H$2:$H$251,$A126,approvals!$B$2:$B$251,$B126,approvals!$P$2:$P$251,"Y",approvals!$U$2:$U$251,"&gt;0"))&amp;" brand(s) turned away at the door, the rest delivered; ","")&amp;IF(AND($AB126="Y",IFERROR(IF(INDEX(drops!$C$2:$C$21,MATCH($A126,drops!$A$2:$A$21,0))="","",INDEX(drops!$C$2:$C$21,MATCH($A126,drops!$A$2:$A$21,0))),"")="direct-ship"),"info: first drop: visit in person on T; ","")&amp;IF(AND($U126="front desk",$X126&lt;&gt;"Y"),"info: front desk not agreed: the owner must take it; ",""))</f>
        <v/>
      </c>
    </row>
    <row r="127">
      <c r="D127" s="33" t="n"/>
      <c r="E127" s="9" t="n"/>
      <c r="F127" s="9" t="n"/>
      <c r="G127" s="9" t="n"/>
      <c r="I127" s="33" t="n"/>
      <c r="J127" s="33" t="n"/>
      <c r="N127" s="9" t="n"/>
      <c r="P127" s="26">
        <f>IF($A127="","",IF(IFERROR(IF(INDEX(drops!$I$2:$I$21,MATCH($A127,drops!$A$2:$A$21,0))="","",INDEX(drops!$I$2:$I$21,MATCH($A127,drops!$A$2:$A$21,0))),"")="OK",IFERROR(IF(INDEX(drops!$B$2:$B$21,MATCH($A127,drops!$A$2:$A$21,0))="","",INDEX(drops!$B$2:$B$21,MATCH($A127,drops!$A$2:$A$21,0))),""),""))</f>
        <v/>
      </c>
      <c r="Q127" s="25">
        <f>IF($B127="","",IFERROR(IF(INDEX(offices!$N$2:$N$61,MATCH($B127,offices!$A$2:$A$61,0))="","",INDEX(offices!$N$2:$N$61,MATCH($B127,offices!$A$2:$A$61,0))),""))</f>
        <v/>
      </c>
      <c r="R127" s="25">
        <f>IF($B127="","",IFERROR(IF(INDEX(offices!$O$2:$O$61,MATCH($B127,offices!$A$2:$A$61,0))="","",INDEX(offices!$O$2:$O$61,MATCH($B127,offices!$A$2:$A$61,0))),""))</f>
        <v/>
      </c>
      <c r="S127" s="25">
        <f>IF($B127="","",IFERROR(IF(INDEX(offices!$P$2:$P$61,MATCH($B127,offices!$A$2:$A$61,0))="","",INDEX(offices!$P$2:$P$61,MATCH($B127,offices!$A$2:$A$61,0))),""))</f>
        <v/>
      </c>
      <c r="T127" s="25">
        <f>IF($B127="","",IFERROR(IF(INDEX(offices!$Y$2:$Y$61,MATCH($B127,offices!$A$2:$A$61,0))="","",INDEX(offices!$Y$2:$Y$61,MATCH($B127,offices!$A$2:$A$61,0))),""))</f>
        <v/>
      </c>
      <c r="U127" s="25">
        <f>IF($B127="","",IFERROR(IF(INDEX(offices!$X$2:$X$61,MATCH($B127,offices!$A$2:$A$61,0))="","",INDEX(offices!$X$2:$X$61,MATCH($B127,offices!$A$2:$A$61,0))),""))</f>
        <v/>
      </c>
      <c r="V127" s="25">
        <f>IF($B127="","",IFERROR(IF(INDEX(offices!$U$2:$U$61,MATCH($B127,offices!$A$2:$A$61,0))="","",INDEX(offices!$U$2:$U$61,MATCH($B127,offices!$A$2:$A$61,0))),""))</f>
        <v/>
      </c>
      <c r="W127" s="25">
        <f>IF($B127="","",IFERROR(IF(INDEX(offices!$AI$2:$AI$61,MATCH($B127,offices!$A$2:$A$61,0))="","",INDEX(offices!$AI$2:$AI$61,MATCH($B127,offices!$A$2:$A$61,0))),""))</f>
        <v/>
      </c>
      <c r="X127" s="25">
        <f>IF($B127="","",IFERROR(IF(INDEX(offices!$G$2:$G$61,MATCH($B127,offices!$A$2:$A$61,0))="","",INDEX(offices!$G$2:$G$61,MATCH($B127,offices!$A$2:$A$61,0))),""))</f>
        <v/>
      </c>
      <c r="Y127" s="25">
        <f>IF($B127="","",IFERROR(IF(INDEX(offices!$I$2:$I$61,MATCH($B127,offices!$A$2:$A$61,0))="","",INDEX(offices!$I$2:$I$61,MATCH($B127,offices!$A$2:$A$61,0))),""))</f>
        <v/>
      </c>
      <c r="Z127" s="25">
        <f>IF($A127="","",COUNTIFS(approvals!$H$2:$H$251,$A127,approvals!$B$2:$B$251,$B127,approvals!$P$2:$P$251,"Y"))</f>
        <v/>
      </c>
      <c r="AA127" s="25">
        <f>IF($A127="","",SUMIFS(approvals!$S$2:$S$251,approvals!$H$2:$H$251,$A127,approvals!$B$2:$B$251,$B127,approvals!$P$2:$P$251,"Y"))</f>
        <v/>
      </c>
      <c r="AB127" s="25">
        <f>IF(OR($A127="",$P127=""),"",IF(COUNTIFS(stops!$B$2:$B$151,$B127,stops!$P$2:$P$151,"&lt;"&amp;$P127,stops!$L$2:$L$151,"&lt;&gt;not_delivered")=0,"Y","N"))</f>
        <v/>
      </c>
      <c r="AC127" s="25">
        <f>IF(OR($I127="",$J127=""),"",ROUND(($J127-$I127)*1440,0))</f>
        <v/>
      </c>
      <c r="AD127" s="25">
        <f>IF($A127="","",IF(COUNTIFS(stops!$A$2:$A$151,$A127,stops!$B$2:$B$151,$B127)&gt;1,"DUPLICATE stop; ","")&amp;IF(AND(OR(IFERROR(IF(INDEX(offices!$Z$2:$Z$61,MATCH($B127,offices!$A$2:$A$61,0))="","",INDEX(offices!$Z$2:$Z$61,MATCH($B127,offices!$A$2:$A$61,0))),"")="yes",IFERROR(IF(INDEX(offices!$Z$2:$Z$61,MATCH($B127,offices!$A$2:$A$61,0))="","",INDEX(offices!$Z$2:$Z$61,MATCH($B127,offices!$A$2:$A$61,0))),"")="unsure"),$Y127&lt;&gt;"received",$Y127&lt;&gt;"not_needed"),"building certificate not received; ","")&amp;IF($W127="","owner phone missing; ","")&amp;IF(N($Z127)=0,"no approved brand for this stop; ","")&amp;IF(AND($P127&lt;&gt;"",IF(config!$B$37&lt;&gt;"",config!$B$37,TODAY())&gt;$P127,$L127=""),"log the outcome; ","")&amp;IF(AND(OR($L127="declined",$L127="building_refused",$L127="not_delivered"),N($Z127)&gt;0,COUNTIFS(approvals!$H$2:$H$251,$A127,approvals!$B$2:$B$251,$B127,approvals!$P$2:$P$251,"Y",approvals!$U$2:$U$251,"&gt;0")&gt;=N($Z127)),"outcome says "&amp;$L127&amp;" but every brand here is logged delivered: fix the outcome, or delete the wrong delivered rows (SOP section 4); ","")&amp;IF(AND(OR($L127="declined",$L127="building_refused",$L127="not_delivered"),COUNTIFS(approvals!$H$2:$H$251,$A127,approvals!$B$2:$B$251,$B127,approvals!$P$2:$P$251,"Y",approvals!$U$2:$U$251,"&gt;0")&gt;0,COUNTIFS(approvals!$H$2:$H$251,$A127,approvals!$B$2:$B$251,$B127,approvals!$P$2:$P$251,"Y",approvals!$U$2:$U$251,"&gt;0")&lt;N($Z127)),"info: "&amp;(N($Z127)-COUNTIFS(approvals!$H$2:$H$251,$A127,approvals!$B$2:$B$251,$B127,approvals!$P$2:$P$251,"Y",approvals!$U$2:$U$251,"&gt;0"))&amp;" brand(s) turned away at the door, the rest delivered; ","")&amp;IF(AND($AB127="Y",IFERROR(IF(INDEX(drops!$C$2:$C$21,MATCH($A127,drops!$A$2:$A$21,0))="","",INDEX(drops!$C$2:$C$21,MATCH($A127,drops!$A$2:$A$21,0))),"")="direct-ship"),"info: first drop: visit in person on T; ","")&amp;IF(AND($U127="front desk",$X127&lt;&gt;"Y"),"info: front desk not agreed: the owner must take it; ",""))</f>
        <v/>
      </c>
    </row>
    <row r="128">
      <c r="D128" s="33" t="n"/>
      <c r="E128" s="9" t="n"/>
      <c r="F128" s="9" t="n"/>
      <c r="G128" s="9" t="n"/>
      <c r="I128" s="33" t="n"/>
      <c r="J128" s="33" t="n"/>
      <c r="N128" s="9" t="n"/>
      <c r="P128" s="26">
        <f>IF($A128="","",IF(IFERROR(IF(INDEX(drops!$I$2:$I$21,MATCH($A128,drops!$A$2:$A$21,0))="","",INDEX(drops!$I$2:$I$21,MATCH($A128,drops!$A$2:$A$21,0))),"")="OK",IFERROR(IF(INDEX(drops!$B$2:$B$21,MATCH($A128,drops!$A$2:$A$21,0))="","",INDEX(drops!$B$2:$B$21,MATCH($A128,drops!$A$2:$A$21,0))),""),""))</f>
        <v/>
      </c>
      <c r="Q128" s="25">
        <f>IF($B128="","",IFERROR(IF(INDEX(offices!$N$2:$N$61,MATCH($B128,offices!$A$2:$A$61,0))="","",INDEX(offices!$N$2:$N$61,MATCH($B128,offices!$A$2:$A$61,0))),""))</f>
        <v/>
      </c>
      <c r="R128" s="25">
        <f>IF($B128="","",IFERROR(IF(INDEX(offices!$O$2:$O$61,MATCH($B128,offices!$A$2:$A$61,0))="","",INDEX(offices!$O$2:$O$61,MATCH($B128,offices!$A$2:$A$61,0))),""))</f>
        <v/>
      </c>
      <c r="S128" s="25">
        <f>IF($B128="","",IFERROR(IF(INDEX(offices!$P$2:$P$61,MATCH($B128,offices!$A$2:$A$61,0))="","",INDEX(offices!$P$2:$P$61,MATCH($B128,offices!$A$2:$A$61,0))),""))</f>
        <v/>
      </c>
      <c r="T128" s="25">
        <f>IF($B128="","",IFERROR(IF(INDEX(offices!$Y$2:$Y$61,MATCH($B128,offices!$A$2:$A$61,0))="","",INDEX(offices!$Y$2:$Y$61,MATCH($B128,offices!$A$2:$A$61,0))),""))</f>
        <v/>
      </c>
      <c r="U128" s="25">
        <f>IF($B128="","",IFERROR(IF(INDEX(offices!$X$2:$X$61,MATCH($B128,offices!$A$2:$A$61,0))="","",INDEX(offices!$X$2:$X$61,MATCH($B128,offices!$A$2:$A$61,0))),""))</f>
        <v/>
      </c>
      <c r="V128" s="25">
        <f>IF($B128="","",IFERROR(IF(INDEX(offices!$U$2:$U$61,MATCH($B128,offices!$A$2:$A$61,0))="","",INDEX(offices!$U$2:$U$61,MATCH($B128,offices!$A$2:$A$61,0))),""))</f>
        <v/>
      </c>
      <c r="W128" s="25">
        <f>IF($B128="","",IFERROR(IF(INDEX(offices!$AI$2:$AI$61,MATCH($B128,offices!$A$2:$A$61,0))="","",INDEX(offices!$AI$2:$AI$61,MATCH($B128,offices!$A$2:$A$61,0))),""))</f>
        <v/>
      </c>
      <c r="X128" s="25">
        <f>IF($B128="","",IFERROR(IF(INDEX(offices!$G$2:$G$61,MATCH($B128,offices!$A$2:$A$61,0))="","",INDEX(offices!$G$2:$G$61,MATCH($B128,offices!$A$2:$A$61,0))),""))</f>
        <v/>
      </c>
      <c r="Y128" s="25">
        <f>IF($B128="","",IFERROR(IF(INDEX(offices!$I$2:$I$61,MATCH($B128,offices!$A$2:$A$61,0))="","",INDEX(offices!$I$2:$I$61,MATCH($B128,offices!$A$2:$A$61,0))),""))</f>
        <v/>
      </c>
      <c r="Z128" s="25">
        <f>IF($A128="","",COUNTIFS(approvals!$H$2:$H$251,$A128,approvals!$B$2:$B$251,$B128,approvals!$P$2:$P$251,"Y"))</f>
        <v/>
      </c>
      <c r="AA128" s="25">
        <f>IF($A128="","",SUMIFS(approvals!$S$2:$S$251,approvals!$H$2:$H$251,$A128,approvals!$B$2:$B$251,$B128,approvals!$P$2:$P$251,"Y"))</f>
        <v/>
      </c>
      <c r="AB128" s="25">
        <f>IF(OR($A128="",$P128=""),"",IF(COUNTIFS(stops!$B$2:$B$151,$B128,stops!$P$2:$P$151,"&lt;"&amp;$P128,stops!$L$2:$L$151,"&lt;&gt;not_delivered")=0,"Y","N"))</f>
        <v/>
      </c>
      <c r="AC128" s="25">
        <f>IF(OR($I128="",$J128=""),"",ROUND(($J128-$I128)*1440,0))</f>
        <v/>
      </c>
      <c r="AD128" s="25">
        <f>IF($A128="","",IF(COUNTIFS(stops!$A$2:$A$151,$A128,stops!$B$2:$B$151,$B128)&gt;1,"DUPLICATE stop; ","")&amp;IF(AND(OR(IFERROR(IF(INDEX(offices!$Z$2:$Z$61,MATCH($B128,offices!$A$2:$A$61,0))="","",INDEX(offices!$Z$2:$Z$61,MATCH($B128,offices!$A$2:$A$61,0))),"")="yes",IFERROR(IF(INDEX(offices!$Z$2:$Z$61,MATCH($B128,offices!$A$2:$A$61,0))="","",INDEX(offices!$Z$2:$Z$61,MATCH($B128,offices!$A$2:$A$61,0))),"")="unsure"),$Y128&lt;&gt;"received",$Y128&lt;&gt;"not_needed"),"building certificate not received; ","")&amp;IF($W128="","owner phone missing; ","")&amp;IF(N($Z128)=0,"no approved brand for this stop; ","")&amp;IF(AND($P128&lt;&gt;"",IF(config!$B$37&lt;&gt;"",config!$B$37,TODAY())&gt;$P128,$L128=""),"log the outcome; ","")&amp;IF(AND(OR($L128="declined",$L128="building_refused",$L128="not_delivered"),N($Z128)&gt;0,COUNTIFS(approvals!$H$2:$H$251,$A128,approvals!$B$2:$B$251,$B128,approvals!$P$2:$P$251,"Y",approvals!$U$2:$U$251,"&gt;0")&gt;=N($Z128)),"outcome says "&amp;$L128&amp;" but every brand here is logged delivered: fix the outcome, or delete the wrong delivered rows (SOP section 4); ","")&amp;IF(AND(OR($L128="declined",$L128="building_refused",$L128="not_delivered"),COUNTIFS(approvals!$H$2:$H$251,$A128,approvals!$B$2:$B$251,$B128,approvals!$P$2:$P$251,"Y",approvals!$U$2:$U$251,"&gt;0")&gt;0,COUNTIFS(approvals!$H$2:$H$251,$A128,approvals!$B$2:$B$251,$B128,approvals!$P$2:$P$251,"Y",approvals!$U$2:$U$251,"&gt;0")&lt;N($Z128)),"info: "&amp;(N($Z128)-COUNTIFS(approvals!$H$2:$H$251,$A128,approvals!$B$2:$B$251,$B128,approvals!$P$2:$P$251,"Y",approvals!$U$2:$U$251,"&gt;0"))&amp;" brand(s) turned away at the door, the rest delivered; ","")&amp;IF(AND($AB128="Y",IFERROR(IF(INDEX(drops!$C$2:$C$21,MATCH($A128,drops!$A$2:$A$21,0))="","",INDEX(drops!$C$2:$C$21,MATCH($A128,drops!$A$2:$A$21,0))),"")="direct-ship"),"info: first drop: visit in person on T; ","")&amp;IF(AND($U128="front desk",$X128&lt;&gt;"Y"),"info: front desk not agreed: the owner must take it; ",""))</f>
        <v/>
      </c>
    </row>
    <row r="129">
      <c r="D129" s="33" t="n"/>
      <c r="E129" s="9" t="n"/>
      <c r="F129" s="9" t="n"/>
      <c r="G129" s="9" t="n"/>
      <c r="I129" s="33" t="n"/>
      <c r="J129" s="33" t="n"/>
      <c r="N129" s="9" t="n"/>
      <c r="P129" s="26">
        <f>IF($A129="","",IF(IFERROR(IF(INDEX(drops!$I$2:$I$21,MATCH($A129,drops!$A$2:$A$21,0))="","",INDEX(drops!$I$2:$I$21,MATCH($A129,drops!$A$2:$A$21,0))),"")="OK",IFERROR(IF(INDEX(drops!$B$2:$B$21,MATCH($A129,drops!$A$2:$A$21,0))="","",INDEX(drops!$B$2:$B$21,MATCH($A129,drops!$A$2:$A$21,0))),""),""))</f>
        <v/>
      </c>
      <c r="Q129" s="25">
        <f>IF($B129="","",IFERROR(IF(INDEX(offices!$N$2:$N$61,MATCH($B129,offices!$A$2:$A$61,0))="","",INDEX(offices!$N$2:$N$61,MATCH($B129,offices!$A$2:$A$61,0))),""))</f>
        <v/>
      </c>
      <c r="R129" s="25">
        <f>IF($B129="","",IFERROR(IF(INDEX(offices!$O$2:$O$61,MATCH($B129,offices!$A$2:$A$61,0))="","",INDEX(offices!$O$2:$O$61,MATCH($B129,offices!$A$2:$A$61,0))),""))</f>
        <v/>
      </c>
      <c r="S129" s="25">
        <f>IF($B129="","",IFERROR(IF(INDEX(offices!$P$2:$P$61,MATCH($B129,offices!$A$2:$A$61,0))="","",INDEX(offices!$P$2:$P$61,MATCH($B129,offices!$A$2:$A$61,0))),""))</f>
        <v/>
      </c>
      <c r="T129" s="25">
        <f>IF($B129="","",IFERROR(IF(INDEX(offices!$Y$2:$Y$61,MATCH($B129,offices!$A$2:$A$61,0))="","",INDEX(offices!$Y$2:$Y$61,MATCH($B129,offices!$A$2:$A$61,0))),""))</f>
        <v/>
      </c>
      <c r="U129" s="25">
        <f>IF($B129="","",IFERROR(IF(INDEX(offices!$X$2:$X$61,MATCH($B129,offices!$A$2:$A$61,0))="","",INDEX(offices!$X$2:$X$61,MATCH($B129,offices!$A$2:$A$61,0))),""))</f>
        <v/>
      </c>
      <c r="V129" s="25">
        <f>IF($B129="","",IFERROR(IF(INDEX(offices!$U$2:$U$61,MATCH($B129,offices!$A$2:$A$61,0))="","",INDEX(offices!$U$2:$U$61,MATCH($B129,offices!$A$2:$A$61,0))),""))</f>
        <v/>
      </c>
      <c r="W129" s="25">
        <f>IF($B129="","",IFERROR(IF(INDEX(offices!$AI$2:$AI$61,MATCH($B129,offices!$A$2:$A$61,0))="","",INDEX(offices!$AI$2:$AI$61,MATCH($B129,offices!$A$2:$A$61,0))),""))</f>
        <v/>
      </c>
      <c r="X129" s="25">
        <f>IF($B129="","",IFERROR(IF(INDEX(offices!$G$2:$G$61,MATCH($B129,offices!$A$2:$A$61,0))="","",INDEX(offices!$G$2:$G$61,MATCH($B129,offices!$A$2:$A$61,0))),""))</f>
        <v/>
      </c>
      <c r="Y129" s="25">
        <f>IF($B129="","",IFERROR(IF(INDEX(offices!$I$2:$I$61,MATCH($B129,offices!$A$2:$A$61,0))="","",INDEX(offices!$I$2:$I$61,MATCH($B129,offices!$A$2:$A$61,0))),""))</f>
        <v/>
      </c>
      <c r="Z129" s="25">
        <f>IF($A129="","",COUNTIFS(approvals!$H$2:$H$251,$A129,approvals!$B$2:$B$251,$B129,approvals!$P$2:$P$251,"Y"))</f>
        <v/>
      </c>
      <c r="AA129" s="25">
        <f>IF($A129="","",SUMIFS(approvals!$S$2:$S$251,approvals!$H$2:$H$251,$A129,approvals!$B$2:$B$251,$B129,approvals!$P$2:$P$251,"Y"))</f>
        <v/>
      </c>
      <c r="AB129" s="25">
        <f>IF(OR($A129="",$P129=""),"",IF(COUNTIFS(stops!$B$2:$B$151,$B129,stops!$P$2:$P$151,"&lt;"&amp;$P129,stops!$L$2:$L$151,"&lt;&gt;not_delivered")=0,"Y","N"))</f>
        <v/>
      </c>
      <c r="AC129" s="25">
        <f>IF(OR($I129="",$J129=""),"",ROUND(($J129-$I129)*1440,0))</f>
        <v/>
      </c>
      <c r="AD129" s="25">
        <f>IF($A129="","",IF(COUNTIFS(stops!$A$2:$A$151,$A129,stops!$B$2:$B$151,$B129)&gt;1,"DUPLICATE stop; ","")&amp;IF(AND(OR(IFERROR(IF(INDEX(offices!$Z$2:$Z$61,MATCH($B129,offices!$A$2:$A$61,0))="","",INDEX(offices!$Z$2:$Z$61,MATCH($B129,offices!$A$2:$A$61,0))),"")="yes",IFERROR(IF(INDEX(offices!$Z$2:$Z$61,MATCH($B129,offices!$A$2:$A$61,0))="","",INDEX(offices!$Z$2:$Z$61,MATCH($B129,offices!$A$2:$A$61,0))),"")="unsure"),$Y129&lt;&gt;"received",$Y129&lt;&gt;"not_needed"),"building certificate not received; ","")&amp;IF($W129="","owner phone missing; ","")&amp;IF(N($Z129)=0,"no approved brand for this stop; ","")&amp;IF(AND($P129&lt;&gt;"",IF(config!$B$37&lt;&gt;"",config!$B$37,TODAY())&gt;$P129,$L129=""),"log the outcome; ","")&amp;IF(AND(OR($L129="declined",$L129="building_refused",$L129="not_delivered"),N($Z129)&gt;0,COUNTIFS(approvals!$H$2:$H$251,$A129,approvals!$B$2:$B$251,$B129,approvals!$P$2:$P$251,"Y",approvals!$U$2:$U$251,"&gt;0")&gt;=N($Z129)),"outcome says "&amp;$L129&amp;" but every brand here is logged delivered: fix the outcome, or delete the wrong delivered rows (SOP section 4); ","")&amp;IF(AND(OR($L129="declined",$L129="building_refused",$L129="not_delivered"),COUNTIFS(approvals!$H$2:$H$251,$A129,approvals!$B$2:$B$251,$B129,approvals!$P$2:$P$251,"Y",approvals!$U$2:$U$251,"&gt;0")&gt;0,COUNTIFS(approvals!$H$2:$H$251,$A129,approvals!$B$2:$B$251,$B129,approvals!$P$2:$P$251,"Y",approvals!$U$2:$U$251,"&gt;0")&lt;N($Z129)),"info: "&amp;(N($Z129)-COUNTIFS(approvals!$H$2:$H$251,$A129,approvals!$B$2:$B$251,$B129,approvals!$P$2:$P$251,"Y",approvals!$U$2:$U$251,"&gt;0"))&amp;" brand(s) turned away at the door, the rest delivered; ","")&amp;IF(AND($AB129="Y",IFERROR(IF(INDEX(drops!$C$2:$C$21,MATCH($A129,drops!$A$2:$A$21,0))="","",INDEX(drops!$C$2:$C$21,MATCH($A129,drops!$A$2:$A$21,0))),"")="direct-ship"),"info: first drop: visit in person on T; ","")&amp;IF(AND($U129="front desk",$X129&lt;&gt;"Y"),"info: front desk not agreed: the owner must take it; ",""))</f>
        <v/>
      </c>
    </row>
    <row r="130">
      <c r="D130" s="33" t="n"/>
      <c r="E130" s="9" t="n"/>
      <c r="F130" s="9" t="n"/>
      <c r="G130" s="9" t="n"/>
      <c r="I130" s="33" t="n"/>
      <c r="J130" s="33" t="n"/>
      <c r="N130" s="9" t="n"/>
      <c r="P130" s="26">
        <f>IF($A130="","",IF(IFERROR(IF(INDEX(drops!$I$2:$I$21,MATCH($A130,drops!$A$2:$A$21,0))="","",INDEX(drops!$I$2:$I$21,MATCH($A130,drops!$A$2:$A$21,0))),"")="OK",IFERROR(IF(INDEX(drops!$B$2:$B$21,MATCH($A130,drops!$A$2:$A$21,0))="","",INDEX(drops!$B$2:$B$21,MATCH($A130,drops!$A$2:$A$21,0))),""),""))</f>
        <v/>
      </c>
      <c r="Q130" s="25">
        <f>IF($B130="","",IFERROR(IF(INDEX(offices!$N$2:$N$61,MATCH($B130,offices!$A$2:$A$61,0))="","",INDEX(offices!$N$2:$N$61,MATCH($B130,offices!$A$2:$A$61,0))),""))</f>
        <v/>
      </c>
      <c r="R130" s="25">
        <f>IF($B130="","",IFERROR(IF(INDEX(offices!$O$2:$O$61,MATCH($B130,offices!$A$2:$A$61,0))="","",INDEX(offices!$O$2:$O$61,MATCH($B130,offices!$A$2:$A$61,0))),""))</f>
        <v/>
      </c>
      <c r="S130" s="25">
        <f>IF($B130="","",IFERROR(IF(INDEX(offices!$P$2:$P$61,MATCH($B130,offices!$A$2:$A$61,0))="","",INDEX(offices!$P$2:$P$61,MATCH($B130,offices!$A$2:$A$61,0))),""))</f>
        <v/>
      </c>
      <c r="T130" s="25">
        <f>IF($B130="","",IFERROR(IF(INDEX(offices!$Y$2:$Y$61,MATCH($B130,offices!$A$2:$A$61,0))="","",INDEX(offices!$Y$2:$Y$61,MATCH($B130,offices!$A$2:$A$61,0))),""))</f>
        <v/>
      </c>
      <c r="U130" s="25">
        <f>IF($B130="","",IFERROR(IF(INDEX(offices!$X$2:$X$61,MATCH($B130,offices!$A$2:$A$61,0))="","",INDEX(offices!$X$2:$X$61,MATCH($B130,offices!$A$2:$A$61,0))),""))</f>
        <v/>
      </c>
      <c r="V130" s="25">
        <f>IF($B130="","",IFERROR(IF(INDEX(offices!$U$2:$U$61,MATCH($B130,offices!$A$2:$A$61,0))="","",INDEX(offices!$U$2:$U$61,MATCH($B130,offices!$A$2:$A$61,0))),""))</f>
        <v/>
      </c>
      <c r="W130" s="25">
        <f>IF($B130="","",IFERROR(IF(INDEX(offices!$AI$2:$AI$61,MATCH($B130,offices!$A$2:$A$61,0))="","",INDEX(offices!$AI$2:$AI$61,MATCH($B130,offices!$A$2:$A$61,0))),""))</f>
        <v/>
      </c>
      <c r="X130" s="25">
        <f>IF($B130="","",IFERROR(IF(INDEX(offices!$G$2:$G$61,MATCH($B130,offices!$A$2:$A$61,0))="","",INDEX(offices!$G$2:$G$61,MATCH($B130,offices!$A$2:$A$61,0))),""))</f>
        <v/>
      </c>
      <c r="Y130" s="25">
        <f>IF($B130="","",IFERROR(IF(INDEX(offices!$I$2:$I$61,MATCH($B130,offices!$A$2:$A$61,0))="","",INDEX(offices!$I$2:$I$61,MATCH($B130,offices!$A$2:$A$61,0))),""))</f>
        <v/>
      </c>
      <c r="Z130" s="25">
        <f>IF($A130="","",COUNTIFS(approvals!$H$2:$H$251,$A130,approvals!$B$2:$B$251,$B130,approvals!$P$2:$P$251,"Y"))</f>
        <v/>
      </c>
      <c r="AA130" s="25">
        <f>IF($A130="","",SUMIFS(approvals!$S$2:$S$251,approvals!$H$2:$H$251,$A130,approvals!$B$2:$B$251,$B130,approvals!$P$2:$P$251,"Y"))</f>
        <v/>
      </c>
      <c r="AB130" s="25">
        <f>IF(OR($A130="",$P130=""),"",IF(COUNTIFS(stops!$B$2:$B$151,$B130,stops!$P$2:$P$151,"&lt;"&amp;$P130,stops!$L$2:$L$151,"&lt;&gt;not_delivered")=0,"Y","N"))</f>
        <v/>
      </c>
      <c r="AC130" s="25">
        <f>IF(OR($I130="",$J130=""),"",ROUND(($J130-$I130)*1440,0))</f>
        <v/>
      </c>
      <c r="AD130" s="25">
        <f>IF($A130="","",IF(COUNTIFS(stops!$A$2:$A$151,$A130,stops!$B$2:$B$151,$B130)&gt;1,"DUPLICATE stop; ","")&amp;IF(AND(OR(IFERROR(IF(INDEX(offices!$Z$2:$Z$61,MATCH($B130,offices!$A$2:$A$61,0))="","",INDEX(offices!$Z$2:$Z$61,MATCH($B130,offices!$A$2:$A$61,0))),"")="yes",IFERROR(IF(INDEX(offices!$Z$2:$Z$61,MATCH($B130,offices!$A$2:$A$61,0))="","",INDEX(offices!$Z$2:$Z$61,MATCH($B130,offices!$A$2:$A$61,0))),"")="unsure"),$Y130&lt;&gt;"received",$Y130&lt;&gt;"not_needed"),"building certificate not received; ","")&amp;IF($W130="","owner phone missing; ","")&amp;IF(N($Z130)=0,"no approved brand for this stop; ","")&amp;IF(AND($P130&lt;&gt;"",IF(config!$B$37&lt;&gt;"",config!$B$37,TODAY())&gt;$P130,$L130=""),"log the outcome; ","")&amp;IF(AND(OR($L130="declined",$L130="building_refused",$L130="not_delivered"),N($Z130)&gt;0,COUNTIFS(approvals!$H$2:$H$251,$A130,approvals!$B$2:$B$251,$B130,approvals!$P$2:$P$251,"Y",approvals!$U$2:$U$251,"&gt;0")&gt;=N($Z130)),"outcome says "&amp;$L130&amp;" but every brand here is logged delivered: fix the outcome, or delete the wrong delivered rows (SOP section 4); ","")&amp;IF(AND(OR($L130="declined",$L130="building_refused",$L130="not_delivered"),COUNTIFS(approvals!$H$2:$H$251,$A130,approvals!$B$2:$B$251,$B130,approvals!$P$2:$P$251,"Y",approvals!$U$2:$U$251,"&gt;0")&gt;0,COUNTIFS(approvals!$H$2:$H$251,$A130,approvals!$B$2:$B$251,$B130,approvals!$P$2:$P$251,"Y",approvals!$U$2:$U$251,"&gt;0")&lt;N($Z130)),"info: "&amp;(N($Z130)-COUNTIFS(approvals!$H$2:$H$251,$A130,approvals!$B$2:$B$251,$B130,approvals!$P$2:$P$251,"Y",approvals!$U$2:$U$251,"&gt;0"))&amp;" brand(s) turned away at the door, the rest delivered; ","")&amp;IF(AND($AB130="Y",IFERROR(IF(INDEX(drops!$C$2:$C$21,MATCH($A130,drops!$A$2:$A$21,0))="","",INDEX(drops!$C$2:$C$21,MATCH($A130,drops!$A$2:$A$21,0))),"")="direct-ship"),"info: first drop: visit in person on T; ","")&amp;IF(AND($U130="front desk",$X130&lt;&gt;"Y"),"info: front desk not agreed: the owner must take it; ",""))</f>
        <v/>
      </c>
    </row>
    <row r="131">
      <c r="D131" s="33" t="n"/>
      <c r="E131" s="9" t="n"/>
      <c r="F131" s="9" t="n"/>
      <c r="G131" s="9" t="n"/>
      <c r="I131" s="33" t="n"/>
      <c r="J131" s="33" t="n"/>
      <c r="N131" s="9" t="n"/>
      <c r="P131" s="26">
        <f>IF($A131="","",IF(IFERROR(IF(INDEX(drops!$I$2:$I$21,MATCH($A131,drops!$A$2:$A$21,0))="","",INDEX(drops!$I$2:$I$21,MATCH($A131,drops!$A$2:$A$21,0))),"")="OK",IFERROR(IF(INDEX(drops!$B$2:$B$21,MATCH($A131,drops!$A$2:$A$21,0))="","",INDEX(drops!$B$2:$B$21,MATCH($A131,drops!$A$2:$A$21,0))),""),""))</f>
        <v/>
      </c>
      <c r="Q131" s="25">
        <f>IF($B131="","",IFERROR(IF(INDEX(offices!$N$2:$N$61,MATCH($B131,offices!$A$2:$A$61,0))="","",INDEX(offices!$N$2:$N$61,MATCH($B131,offices!$A$2:$A$61,0))),""))</f>
        <v/>
      </c>
      <c r="R131" s="25">
        <f>IF($B131="","",IFERROR(IF(INDEX(offices!$O$2:$O$61,MATCH($B131,offices!$A$2:$A$61,0))="","",INDEX(offices!$O$2:$O$61,MATCH($B131,offices!$A$2:$A$61,0))),""))</f>
        <v/>
      </c>
      <c r="S131" s="25">
        <f>IF($B131="","",IFERROR(IF(INDEX(offices!$P$2:$P$61,MATCH($B131,offices!$A$2:$A$61,0))="","",INDEX(offices!$P$2:$P$61,MATCH($B131,offices!$A$2:$A$61,0))),""))</f>
        <v/>
      </c>
      <c r="T131" s="25">
        <f>IF($B131="","",IFERROR(IF(INDEX(offices!$Y$2:$Y$61,MATCH($B131,offices!$A$2:$A$61,0))="","",INDEX(offices!$Y$2:$Y$61,MATCH($B131,offices!$A$2:$A$61,0))),""))</f>
        <v/>
      </c>
      <c r="U131" s="25">
        <f>IF($B131="","",IFERROR(IF(INDEX(offices!$X$2:$X$61,MATCH($B131,offices!$A$2:$A$61,0))="","",INDEX(offices!$X$2:$X$61,MATCH($B131,offices!$A$2:$A$61,0))),""))</f>
        <v/>
      </c>
      <c r="V131" s="25">
        <f>IF($B131="","",IFERROR(IF(INDEX(offices!$U$2:$U$61,MATCH($B131,offices!$A$2:$A$61,0))="","",INDEX(offices!$U$2:$U$61,MATCH($B131,offices!$A$2:$A$61,0))),""))</f>
        <v/>
      </c>
      <c r="W131" s="25">
        <f>IF($B131="","",IFERROR(IF(INDEX(offices!$AI$2:$AI$61,MATCH($B131,offices!$A$2:$A$61,0))="","",INDEX(offices!$AI$2:$AI$61,MATCH($B131,offices!$A$2:$A$61,0))),""))</f>
        <v/>
      </c>
      <c r="X131" s="25">
        <f>IF($B131="","",IFERROR(IF(INDEX(offices!$G$2:$G$61,MATCH($B131,offices!$A$2:$A$61,0))="","",INDEX(offices!$G$2:$G$61,MATCH($B131,offices!$A$2:$A$61,0))),""))</f>
        <v/>
      </c>
      <c r="Y131" s="25">
        <f>IF($B131="","",IFERROR(IF(INDEX(offices!$I$2:$I$61,MATCH($B131,offices!$A$2:$A$61,0))="","",INDEX(offices!$I$2:$I$61,MATCH($B131,offices!$A$2:$A$61,0))),""))</f>
        <v/>
      </c>
      <c r="Z131" s="25">
        <f>IF($A131="","",COUNTIFS(approvals!$H$2:$H$251,$A131,approvals!$B$2:$B$251,$B131,approvals!$P$2:$P$251,"Y"))</f>
        <v/>
      </c>
      <c r="AA131" s="25">
        <f>IF($A131="","",SUMIFS(approvals!$S$2:$S$251,approvals!$H$2:$H$251,$A131,approvals!$B$2:$B$251,$B131,approvals!$P$2:$P$251,"Y"))</f>
        <v/>
      </c>
      <c r="AB131" s="25">
        <f>IF(OR($A131="",$P131=""),"",IF(COUNTIFS(stops!$B$2:$B$151,$B131,stops!$P$2:$P$151,"&lt;"&amp;$P131,stops!$L$2:$L$151,"&lt;&gt;not_delivered")=0,"Y","N"))</f>
        <v/>
      </c>
      <c r="AC131" s="25">
        <f>IF(OR($I131="",$J131=""),"",ROUND(($J131-$I131)*1440,0))</f>
        <v/>
      </c>
      <c r="AD131" s="25">
        <f>IF($A131="","",IF(COUNTIFS(stops!$A$2:$A$151,$A131,stops!$B$2:$B$151,$B131)&gt;1,"DUPLICATE stop; ","")&amp;IF(AND(OR(IFERROR(IF(INDEX(offices!$Z$2:$Z$61,MATCH($B131,offices!$A$2:$A$61,0))="","",INDEX(offices!$Z$2:$Z$61,MATCH($B131,offices!$A$2:$A$61,0))),"")="yes",IFERROR(IF(INDEX(offices!$Z$2:$Z$61,MATCH($B131,offices!$A$2:$A$61,0))="","",INDEX(offices!$Z$2:$Z$61,MATCH($B131,offices!$A$2:$A$61,0))),"")="unsure"),$Y131&lt;&gt;"received",$Y131&lt;&gt;"not_needed"),"building certificate not received; ","")&amp;IF($W131="","owner phone missing; ","")&amp;IF(N($Z131)=0,"no approved brand for this stop; ","")&amp;IF(AND($P131&lt;&gt;"",IF(config!$B$37&lt;&gt;"",config!$B$37,TODAY())&gt;$P131,$L131=""),"log the outcome; ","")&amp;IF(AND(OR($L131="declined",$L131="building_refused",$L131="not_delivered"),N($Z131)&gt;0,COUNTIFS(approvals!$H$2:$H$251,$A131,approvals!$B$2:$B$251,$B131,approvals!$P$2:$P$251,"Y",approvals!$U$2:$U$251,"&gt;0")&gt;=N($Z131)),"outcome says "&amp;$L131&amp;" but every brand here is logged delivered: fix the outcome, or delete the wrong delivered rows (SOP section 4); ","")&amp;IF(AND(OR($L131="declined",$L131="building_refused",$L131="not_delivered"),COUNTIFS(approvals!$H$2:$H$251,$A131,approvals!$B$2:$B$251,$B131,approvals!$P$2:$P$251,"Y",approvals!$U$2:$U$251,"&gt;0")&gt;0,COUNTIFS(approvals!$H$2:$H$251,$A131,approvals!$B$2:$B$251,$B131,approvals!$P$2:$P$251,"Y",approvals!$U$2:$U$251,"&gt;0")&lt;N($Z131)),"info: "&amp;(N($Z131)-COUNTIFS(approvals!$H$2:$H$251,$A131,approvals!$B$2:$B$251,$B131,approvals!$P$2:$P$251,"Y",approvals!$U$2:$U$251,"&gt;0"))&amp;" brand(s) turned away at the door, the rest delivered; ","")&amp;IF(AND($AB131="Y",IFERROR(IF(INDEX(drops!$C$2:$C$21,MATCH($A131,drops!$A$2:$A$21,0))="","",INDEX(drops!$C$2:$C$21,MATCH($A131,drops!$A$2:$A$21,0))),"")="direct-ship"),"info: first drop: visit in person on T; ","")&amp;IF(AND($U131="front desk",$X131&lt;&gt;"Y"),"info: front desk not agreed: the owner must take it; ",""))</f>
        <v/>
      </c>
    </row>
    <row r="132">
      <c r="D132" s="33" t="n"/>
      <c r="E132" s="9" t="n"/>
      <c r="F132" s="9" t="n"/>
      <c r="G132" s="9" t="n"/>
      <c r="I132" s="33" t="n"/>
      <c r="J132" s="33" t="n"/>
      <c r="N132" s="9" t="n"/>
      <c r="P132" s="26">
        <f>IF($A132="","",IF(IFERROR(IF(INDEX(drops!$I$2:$I$21,MATCH($A132,drops!$A$2:$A$21,0))="","",INDEX(drops!$I$2:$I$21,MATCH($A132,drops!$A$2:$A$21,0))),"")="OK",IFERROR(IF(INDEX(drops!$B$2:$B$21,MATCH($A132,drops!$A$2:$A$21,0))="","",INDEX(drops!$B$2:$B$21,MATCH($A132,drops!$A$2:$A$21,0))),""),""))</f>
        <v/>
      </c>
      <c r="Q132" s="25">
        <f>IF($B132="","",IFERROR(IF(INDEX(offices!$N$2:$N$61,MATCH($B132,offices!$A$2:$A$61,0))="","",INDEX(offices!$N$2:$N$61,MATCH($B132,offices!$A$2:$A$61,0))),""))</f>
        <v/>
      </c>
      <c r="R132" s="25">
        <f>IF($B132="","",IFERROR(IF(INDEX(offices!$O$2:$O$61,MATCH($B132,offices!$A$2:$A$61,0))="","",INDEX(offices!$O$2:$O$61,MATCH($B132,offices!$A$2:$A$61,0))),""))</f>
        <v/>
      </c>
      <c r="S132" s="25">
        <f>IF($B132="","",IFERROR(IF(INDEX(offices!$P$2:$P$61,MATCH($B132,offices!$A$2:$A$61,0))="","",INDEX(offices!$P$2:$P$61,MATCH($B132,offices!$A$2:$A$61,0))),""))</f>
        <v/>
      </c>
      <c r="T132" s="25">
        <f>IF($B132="","",IFERROR(IF(INDEX(offices!$Y$2:$Y$61,MATCH($B132,offices!$A$2:$A$61,0))="","",INDEX(offices!$Y$2:$Y$61,MATCH($B132,offices!$A$2:$A$61,0))),""))</f>
        <v/>
      </c>
      <c r="U132" s="25">
        <f>IF($B132="","",IFERROR(IF(INDEX(offices!$X$2:$X$61,MATCH($B132,offices!$A$2:$A$61,0))="","",INDEX(offices!$X$2:$X$61,MATCH($B132,offices!$A$2:$A$61,0))),""))</f>
        <v/>
      </c>
      <c r="V132" s="25">
        <f>IF($B132="","",IFERROR(IF(INDEX(offices!$U$2:$U$61,MATCH($B132,offices!$A$2:$A$61,0))="","",INDEX(offices!$U$2:$U$61,MATCH($B132,offices!$A$2:$A$61,0))),""))</f>
        <v/>
      </c>
      <c r="W132" s="25">
        <f>IF($B132="","",IFERROR(IF(INDEX(offices!$AI$2:$AI$61,MATCH($B132,offices!$A$2:$A$61,0))="","",INDEX(offices!$AI$2:$AI$61,MATCH($B132,offices!$A$2:$A$61,0))),""))</f>
        <v/>
      </c>
      <c r="X132" s="25">
        <f>IF($B132="","",IFERROR(IF(INDEX(offices!$G$2:$G$61,MATCH($B132,offices!$A$2:$A$61,0))="","",INDEX(offices!$G$2:$G$61,MATCH($B132,offices!$A$2:$A$61,0))),""))</f>
        <v/>
      </c>
      <c r="Y132" s="25">
        <f>IF($B132="","",IFERROR(IF(INDEX(offices!$I$2:$I$61,MATCH($B132,offices!$A$2:$A$61,0))="","",INDEX(offices!$I$2:$I$61,MATCH($B132,offices!$A$2:$A$61,0))),""))</f>
        <v/>
      </c>
      <c r="Z132" s="25">
        <f>IF($A132="","",COUNTIFS(approvals!$H$2:$H$251,$A132,approvals!$B$2:$B$251,$B132,approvals!$P$2:$P$251,"Y"))</f>
        <v/>
      </c>
      <c r="AA132" s="25">
        <f>IF($A132="","",SUMIFS(approvals!$S$2:$S$251,approvals!$H$2:$H$251,$A132,approvals!$B$2:$B$251,$B132,approvals!$P$2:$P$251,"Y"))</f>
        <v/>
      </c>
      <c r="AB132" s="25">
        <f>IF(OR($A132="",$P132=""),"",IF(COUNTIFS(stops!$B$2:$B$151,$B132,stops!$P$2:$P$151,"&lt;"&amp;$P132,stops!$L$2:$L$151,"&lt;&gt;not_delivered")=0,"Y","N"))</f>
        <v/>
      </c>
      <c r="AC132" s="25">
        <f>IF(OR($I132="",$J132=""),"",ROUND(($J132-$I132)*1440,0))</f>
        <v/>
      </c>
      <c r="AD132" s="25">
        <f>IF($A132="","",IF(COUNTIFS(stops!$A$2:$A$151,$A132,stops!$B$2:$B$151,$B132)&gt;1,"DUPLICATE stop; ","")&amp;IF(AND(OR(IFERROR(IF(INDEX(offices!$Z$2:$Z$61,MATCH($B132,offices!$A$2:$A$61,0))="","",INDEX(offices!$Z$2:$Z$61,MATCH($B132,offices!$A$2:$A$61,0))),"")="yes",IFERROR(IF(INDEX(offices!$Z$2:$Z$61,MATCH($B132,offices!$A$2:$A$61,0))="","",INDEX(offices!$Z$2:$Z$61,MATCH($B132,offices!$A$2:$A$61,0))),"")="unsure"),$Y132&lt;&gt;"received",$Y132&lt;&gt;"not_needed"),"building certificate not received; ","")&amp;IF($W132="","owner phone missing; ","")&amp;IF(N($Z132)=0,"no approved brand for this stop; ","")&amp;IF(AND($P132&lt;&gt;"",IF(config!$B$37&lt;&gt;"",config!$B$37,TODAY())&gt;$P132,$L132=""),"log the outcome; ","")&amp;IF(AND(OR($L132="declined",$L132="building_refused",$L132="not_delivered"),N($Z132)&gt;0,COUNTIFS(approvals!$H$2:$H$251,$A132,approvals!$B$2:$B$251,$B132,approvals!$P$2:$P$251,"Y",approvals!$U$2:$U$251,"&gt;0")&gt;=N($Z132)),"outcome says "&amp;$L132&amp;" but every brand here is logged delivered: fix the outcome, or delete the wrong delivered rows (SOP section 4); ","")&amp;IF(AND(OR($L132="declined",$L132="building_refused",$L132="not_delivered"),COUNTIFS(approvals!$H$2:$H$251,$A132,approvals!$B$2:$B$251,$B132,approvals!$P$2:$P$251,"Y",approvals!$U$2:$U$251,"&gt;0")&gt;0,COUNTIFS(approvals!$H$2:$H$251,$A132,approvals!$B$2:$B$251,$B132,approvals!$P$2:$P$251,"Y",approvals!$U$2:$U$251,"&gt;0")&lt;N($Z132)),"info: "&amp;(N($Z132)-COUNTIFS(approvals!$H$2:$H$251,$A132,approvals!$B$2:$B$251,$B132,approvals!$P$2:$P$251,"Y",approvals!$U$2:$U$251,"&gt;0"))&amp;" brand(s) turned away at the door, the rest delivered; ","")&amp;IF(AND($AB132="Y",IFERROR(IF(INDEX(drops!$C$2:$C$21,MATCH($A132,drops!$A$2:$A$21,0))="","",INDEX(drops!$C$2:$C$21,MATCH($A132,drops!$A$2:$A$21,0))),"")="direct-ship"),"info: first drop: visit in person on T; ","")&amp;IF(AND($U132="front desk",$X132&lt;&gt;"Y"),"info: front desk not agreed: the owner must take it; ",""))</f>
        <v/>
      </c>
    </row>
    <row r="133">
      <c r="D133" s="33" t="n"/>
      <c r="E133" s="9" t="n"/>
      <c r="F133" s="9" t="n"/>
      <c r="G133" s="9" t="n"/>
      <c r="I133" s="33" t="n"/>
      <c r="J133" s="33" t="n"/>
      <c r="N133" s="9" t="n"/>
      <c r="P133" s="26">
        <f>IF($A133="","",IF(IFERROR(IF(INDEX(drops!$I$2:$I$21,MATCH($A133,drops!$A$2:$A$21,0))="","",INDEX(drops!$I$2:$I$21,MATCH($A133,drops!$A$2:$A$21,0))),"")="OK",IFERROR(IF(INDEX(drops!$B$2:$B$21,MATCH($A133,drops!$A$2:$A$21,0))="","",INDEX(drops!$B$2:$B$21,MATCH($A133,drops!$A$2:$A$21,0))),""),""))</f>
        <v/>
      </c>
      <c r="Q133" s="25">
        <f>IF($B133="","",IFERROR(IF(INDEX(offices!$N$2:$N$61,MATCH($B133,offices!$A$2:$A$61,0))="","",INDEX(offices!$N$2:$N$61,MATCH($B133,offices!$A$2:$A$61,0))),""))</f>
        <v/>
      </c>
      <c r="R133" s="25">
        <f>IF($B133="","",IFERROR(IF(INDEX(offices!$O$2:$O$61,MATCH($B133,offices!$A$2:$A$61,0))="","",INDEX(offices!$O$2:$O$61,MATCH($B133,offices!$A$2:$A$61,0))),""))</f>
        <v/>
      </c>
      <c r="S133" s="25">
        <f>IF($B133="","",IFERROR(IF(INDEX(offices!$P$2:$P$61,MATCH($B133,offices!$A$2:$A$61,0))="","",INDEX(offices!$P$2:$P$61,MATCH($B133,offices!$A$2:$A$61,0))),""))</f>
        <v/>
      </c>
      <c r="T133" s="25">
        <f>IF($B133="","",IFERROR(IF(INDEX(offices!$Y$2:$Y$61,MATCH($B133,offices!$A$2:$A$61,0))="","",INDEX(offices!$Y$2:$Y$61,MATCH($B133,offices!$A$2:$A$61,0))),""))</f>
        <v/>
      </c>
      <c r="U133" s="25">
        <f>IF($B133="","",IFERROR(IF(INDEX(offices!$X$2:$X$61,MATCH($B133,offices!$A$2:$A$61,0))="","",INDEX(offices!$X$2:$X$61,MATCH($B133,offices!$A$2:$A$61,0))),""))</f>
        <v/>
      </c>
      <c r="V133" s="25">
        <f>IF($B133="","",IFERROR(IF(INDEX(offices!$U$2:$U$61,MATCH($B133,offices!$A$2:$A$61,0))="","",INDEX(offices!$U$2:$U$61,MATCH($B133,offices!$A$2:$A$61,0))),""))</f>
        <v/>
      </c>
      <c r="W133" s="25">
        <f>IF($B133="","",IFERROR(IF(INDEX(offices!$AI$2:$AI$61,MATCH($B133,offices!$A$2:$A$61,0))="","",INDEX(offices!$AI$2:$AI$61,MATCH($B133,offices!$A$2:$A$61,0))),""))</f>
        <v/>
      </c>
      <c r="X133" s="25">
        <f>IF($B133="","",IFERROR(IF(INDEX(offices!$G$2:$G$61,MATCH($B133,offices!$A$2:$A$61,0))="","",INDEX(offices!$G$2:$G$61,MATCH($B133,offices!$A$2:$A$61,0))),""))</f>
        <v/>
      </c>
      <c r="Y133" s="25">
        <f>IF($B133="","",IFERROR(IF(INDEX(offices!$I$2:$I$61,MATCH($B133,offices!$A$2:$A$61,0))="","",INDEX(offices!$I$2:$I$61,MATCH($B133,offices!$A$2:$A$61,0))),""))</f>
        <v/>
      </c>
      <c r="Z133" s="25">
        <f>IF($A133="","",COUNTIFS(approvals!$H$2:$H$251,$A133,approvals!$B$2:$B$251,$B133,approvals!$P$2:$P$251,"Y"))</f>
        <v/>
      </c>
      <c r="AA133" s="25">
        <f>IF($A133="","",SUMIFS(approvals!$S$2:$S$251,approvals!$H$2:$H$251,$A133,approvals!$B$2:$B$251,$B133,approvals!$P$2:$P$251,"Y"))</f>
        <v/>
      </c>
      <c r="AB133" s="25">
        <f>IF(OR($A133="",$P133=""),"",IF(COUNTIFS(stops!$B$2:$B$151,$B133,stops!$P$2:$P$151,"&lt;"&amp;$P133,stops!$L$2:$L$151,"&lt;&gt;not_delivered")=0,"Y","N"))</f>
        <v/>
      </c>
      <c r="AC133" s="25">
        <f>IF(OR($I133="",$J133=""),"",ROUND(($J133-$I133)*1440,0))</f>
        <v/>
      </c>
      <c r="AD133" s="25">
        <f>IF($A133="","",IF(COUNTIFS(stops!$A$2:$A$151,$A133,stops!$B$2:$B$151,$B133)&gt;1,"DUPLICATE stop; ","")&amp;IF(AND(OR(IFERROR(IF(INDEX(offices!$Z$2:$Z$61,MATCH($B133,offices!$A$2:$A$61,0))="","",INDEX(offices!$Z$2:$Z$61,MATCH($B133,offices!$A$2:$A$61,0))),"")="yes",IFERROR(IF(INDEX(offices!$Z$2:$Z$61,MATCH($B133,offices!$A$2:$A$61,0))="","",INDEX(offices!$Z$2:$Z$61,MATCH($B133,offices!$A$2:$A$61,0))),"")="unsure"),$Y133&lt;&gt;"received",$Y133&lt;&gt;"not_needed"),"building certificate not received; ","")&amp;IF($W133="","owner phone missing; ","")&amp;IF(N($Z133)=0,"no approved brand for this stop; ","")&amp;IF(AND($P133&lt;&gt;"",IF(config!$B$37&lt;&gt;"",config!$B$37,TODAY())&gt;$P133,$L133=""),"log the outcome; ","")&amp;IF(AND(OR($L133="declined",$L133="building_refused",$L133="not_delivered"),N($Z133)&gt;0,COUNTIFS(approvals!$H$2:$H$251,$A133,approvals!$B$2:$B$251,$B133,approvals!$P$2:$P$251,"Y",approvals!$U$2:$U$251,"&gt;0")&gt;=N($Z133)),"outcome says "&amp;$L133&amp;" but every brand here is logged delivered: fix the outcome, or delete the wrong delivered rows (SOP section 4); ","")&amp;IF(AND(OR($L133="declined",$L133="building_refused",$L133="not_delivered"),COUNTIFS(approvals!$H$2:$H$251,$A133,approvals!$B$2:$B$251,$B133,approvals!$P$2:$P$251,"Y",approvals!$U$2:$U$251,"&gt;0")&gt;0,COUNTIFS(approvals!$H$2:$H$251,$A133,approvals!$B$2:$B$251,$B133,approvals!$P$2:$P$251,"Y",approvals!$U$2:$U$251,"&gt;0")&lt;N($Z133)),"info: "&amp;(N($Z133)-COUNTIFS(approvals!$H$2:$H$251,$A133,approvals!$B$2:$B$251,$B133,approvals!$P$2:$P$251,"Y",approvals!$U$2:$U$251,"&gt;0"))&amp;" brand(s) turned away at the door, the rest delivered; ","")&amp;IF(AND($AB133="Y",IFERROR(IF(INDEX(drops!$C$2:$C$21,MATCH($A133,drops!$A$2:$A$21,0))="","",INDEX(drops!$C$2:$C$21,MATCH($A133,drops!$A$2:$A$21,0))),"")="direct-ship"),"info: first drop: visit in person on T; ","")&amp;IF(AND($U133="front desk",$X133&lt;&gt;"Y"),"info: front desk not agreed: the owner must take it; ",""))</f>
        <v/>
      </c>
    </row>
    <row r="134">
      <c r="D134" s="33" t="n"/>
      <c r="E134" s="9" t="n"/>
      <c r="F134" s="9" t="n"/>
      <c r="G134" s="9" t="n"/>
      <c r="I134" s="33" t="n"/>
      <c r="J134" s="33" t="n"/>
      <c r="N134" s="9" t="n"/>
      <c r="P134" s="26">
        <f>IF($A134="","",IF(IFERROR(IF(INDEX(drops!$I$2:$I$21,MATCH($A134,drops!$A$2:$A$21,0))="","",INDEX(drops!$I$2:$I$21,MATCH($A134,drops!$A$2:$A$21,0))),"")="OK",IFERROR(IF(INDEX(drops!$B$2:$B$21,MATCH($A134,drops!$A$2:$A$21,0))="","",INDEX(drops!$B$2:$B$21,MATCH($A134,drops!$A$2:$A$21,0))),""),""))</f>
        <v/>
      </c>
      <c r="Q134" s="25">
        <f>IF($B134="","",IFERROR(IF(INDEX(offices!$N$2:$N$61,MATCH($B134,offices!$A$2:$A$61,0))="","",INDEX(offices!$N$2:$N$61,MATCH($B134,offices!$A$2:$A$61,0))),""))</f>
        <v/>
      </c>
      <c r="R134" s="25">
        <f>IF($B134="","",IFERROR(IF(INDEX(offices!$O$2:$O$61,MATCH($B134,offices!$A$2:$A$61,0))="","",INDEX(offices!$O$2:$O$61,MATCH($B134,offices!$A$2:$A$61,0))),""))</f>
        <v/>
      </c>
      <c r="S134" s="25">
        <f>IF($B134="","",IFERROR(IF(INDEX(offices!$P$2:$P$61,MATCH($B134,offices!$A$2:$A$61,0))="","",INDEX(offices!$P$2:$P$61,MATCH($B134,offices!$A$2:$A$61,0))),""))</f>
        <v/>
      </c>
      <c r="T134" s="25">
        <f>IF($B134="","",IFERROR(IF(INDEX(offices!$Y$2:$Y$61,MATCH($B134,offices!$A$2:$A$61,0))="","",INDEX(offices!$Y$2:$Y$61,MATCH($B134,offices!$A$2:$A$61,0))),""))</f>
        <v/>
      </c>
      <c r="U134" s="25">
        <f>IF($B134="","",IFERROR(IF(INDEX(offices!$X$2:$X$61,MATCH($B134,offices!$A$2:$A$61,0))="","",INDEX(offices!$X$2:$X$61,MATCH($B134,offices!$A$2:$A$61,0))),""))</f>
        <v/>
      </c>
      <c r="V134" s="25">
        <f>IF($B134="","",IFERROR(IF(INDEX(offices!$U$2:$U$61,MATCH($B134,offices!$A$2:$A$61,0))="","",INDEX(offices!$U$2:$U$61,MATCH($B134,offices!$A$2:$A$61,0))),""))</f>
        <v/>
      </c>
      <c r="W134" s="25">
        <f>IF($B134="","",IFERROR(IF(INDEX(offices!$AI$2:$AI$61,MATCH($B134,offices!$A$2:$A$61,0))="","",INDEX(offices!$AI$2:$AI$61,MATCH($B134,offices!$A$2:$A$61,0))),""))</f>
        <v/>
      </c>
      <c r="X134" s="25">
        <f>IF($B134="","",IFERROR(IF(INDEX(offices!$G$2:$G$61,MATCH($B134,offices!$A$2:$A$61,0))="","",INDEX(offices!$G$2:$G$61,MATCH($B134,offices!$A$2:$A$61,0))),""))</f>
        <v/>
      </c>
      <c r="Y134" s="25">
        <f>IF($B134="","",IFERROR(IF(INDEX(offices!$I$2:$I$61,MATCH($B134,offices!$A$2:$A$61,0))="","",INDEX(offices!$I$2:$I$61,MATCH($B134,offices!$A$2:$A$61,0))),""))</f>
        <v/>
      </c>
      <c r="Z134" s="25">
        <f>IF($A134="","",COUNTIFS(approvals!$H$2:$H$251,$A134,approvals!$B$2:$B$251,$B134,approvals!$P$2:$P$251,"Y"))</f>
        <v/>
      </c>
      <c r="AA134" s="25">
        <f>IF($A134="","",SUMIFS(approvals!$S$2:$S$251,approvals!$H$2:$H$251,$A134,approvals!$B$2:$B$251,$B134,approvals!$P$2:$P$251,"Y"))</f>
        <v/>
      </c>
      <c r="AB134" s="25">
        <f>IF(OR($A134="",$P134=""),"",IF(COUNTIFS(stops!$B$2:$B$151,$B134,stops!$P$2:$P$151,"&lt;"&amp;$P134,stops!$L$2:$L$151,"&lt;&gt;not_delivered")=0,"Y","N"))</f>
        <v/>
      </c>
      <c r="AC134" s="25">
        <f>IF(OR($I134="",$J134=""),"",ROUND(($J134-$I134)*1440,0))</f>
        <v/>
      </c>
      <c r="AD134" s="25">
        <f>IF($A134="","",IF(COUNTIFS(stops!$A$2:$A$151,$A134,stops!$B$2:$B$151,$B134)&gt;1,"DUPLICATE stop; ","")&amp;IF(AND(OR(IFERROR(IF(INDEX(offices!$Z$2:$Z$61,MATCH($B134,offices!$A$2:$A$61,0))="","",INDEX(offices!$Z$2:$Z$61,MATCH($B134,offices!$A$2:$A$61,0))),"")="yes",IFERROR(IF(INDEX(offices!$Z$2:$Z$61,MATCH($B134,offices!$A$2:$A$61,0))="","",INDEX(offices!$Z$2:$Z$61,MATCH($B134,offices!$A$2:$A$61,0))),"")="unsure"),$Y134&lt;&gt;"received",$Y134&lt;&gt;"not_needed"),"building certificate not received; ","")&amp;IF($W134="","owner phone missing; ","")&amp;IF(N($Z134)=0,"no approved brand for this stop; ","")&amp;IF(AND($P134&lt;&gt;"",IF(config!$B$37&lt;&gt;"",config!$B$37,TODAY())&gt;$P134,$L134=""),"log the outcome; ","")&amp;IF(AND(OR($L134="declined",$L134="building_refused",$L134="not_delivered"),N($Z134)&gt;0,COUNTIFS(approvals!$H$2:$H$251,$A134,approvals!$B$2:$B$251,$B134,approvals!$P$2:$P$251,"Y",approvals!$U$2:$U$251,"&gt;0")&gt;=N($Z134)),"outcome says "&amp;$L134&amp;" but every brand here is logged delivered: fix the outcome, or delete the wrong delivered rows (SOP section 4); ","")&amp;IF(AND(OR($L134="declined",$L134="building_refused",$L134="not_delivered"),COUNTIFS(approvals!$H$2:$H$251,$A134,approvals!$B$2:$B$251,$B134,approvals!$P$2:$P$251,"Y",approvals!$U$2:$U$251,"&gt;0")&gt;0,COUNTIFS(approvals!$H$2:$H$251,$A134,approvals!$B$2:$B$251,$B134,approvals!$P$2:$P$251,"Y",approvals!$U$2:$U$251,"&gt;0")&lt;N($Z134)),"info: "&amp;(N($Z134)-COUNTIFS(approvals!$H$2:$H$251,$A134,approvals!$B$2:$B$251,$B134,approvals!$P$2:$P$251,"Y",approvals!$U$2:$U$251,"&gt;0"))&amp;" brand(s) turned away at the door, the rest delivered; ","")&amp;IF(AND($AB134="Y",IFERROR(IF(INDEX(drops!$C$2:$C$21,MATCH($A134,drops!$A$2:$A$21,0))="","",INDEX(drops!$C$2:$C$21,MATCH($A134,drops!$A$2:$A$21,0))),"")="direct-ship"),"info: first drop: visit in person on T; ","")&amp;IF(AND($U134="front desk",$X134&lt;&gt;"Y"),"info: front desk not agreed: the owner must take it; ",""))</f>
        <v/>
      </c>
    </row>
    <row r="135">
      <c r="D135" s="33" t="n"/>
      <c r="E135" s="9" t="n"/>
      <c r="F135" s="9" t="n"/>
      <c r="G135" s="9" t="n"/>
      <c r="I135" s="33" t="n"/>
      <c r="J135" s="33" t="n"/>
      <c r="N135" s="9" t="n"/>
      <c r="P135" s="26">
        <f>IF($A135="","",IF(IFERROR(IF(INDEX(drops!$I$2:$I$21,MATCH($A135,drops!$A$2:$A$21,0))="","",INDEX(drops!$I$2:$I$21,MATCH($A135,drops!$A$2:$A$21,0))),"")="OK",IFERROR(IF(INDEX(drops!$B$2:$B$21,MATCH($A135,drops!$A$2:$A$21,0))="","",INDEX(drops!$B$2:$B$21,MATCH($A135,drops!$A$2:$A$21,0))),""),""))</f>
        <v/>
      </c>
      <c r="Q135" s="25">
        <f>IF($B135="","",IFERROR(IF(INDEX(offices!$N$2:$N$61,MATCH($B135,offices!$A$2:$A$61,0))="","",INDEX(offices!$N$2:$N$61,MATCH($B135,offices!$A$2:$A$61,0))),""))</f>
        <v/>
      </c>
      <c r="R135" s="25">
        <f>IF($B135="","",IFERROR(IF(INDEX(offices!$O$2:$O$61,MATCH($B135,offices!$A$2:$A$61,0))="","",INDEX(offices!$O$2:$O$61,MATCH($B135,offices!$A$2:$A$61,0))),""))</f>
        <v/>
      </c>
      <c r="S135" s="25">
        <f>IF($B135="","",IFERROR(IF(INDEX(offices!$P$2:$P$61,MATCH($B135,offices!$A$2:$A$61,0))="","",INDEX(offices!$P$2:$P$61,MATCH($B135,offices!$A$2:$A$61,0))),""))</f>
        <v/>
      </c>
      <c r="T135" s="25">
        <f>IF($B135="","",IFERROR(IF(INDEX(offices!$Y$2:$Y$61,MATCH($B135,offices!$A$2:$A$61,0))="","",INDEX(offices!$Y$2:$Y$61,MATCH($B135,offices!$A$2:$A$61,0))),""))</f>
        <v/>
      </c>
      <c r="U135" s="25">
        <f>IF($B135="","",IFERROR(IF(INDEX(offices!$X$2:$X$61,MATCH($B135,offices!$A$2:$A$61,0))="","",INDEX(offices!$X$2:$X$61,MATCH($B135,offices!$A$2:$A$61,0))),""))</f>
        <v/>
      </c>
      <c r="V135" s="25">
        <f>IF($B135="","",IFERROR(IF(INDEX(offices!$U$2:$U$61,MATCH($B135,offices!$A$2:$A$61,0))="","",INDEX(offices!$U$2:$U$61,MATCH($B135,offices!$A$2:$A$61,0))),""))</f>
        <v/>
      </c>
      <c r="W135" s="25">
        <f>IF($B135="","",IFERROR(IF(INDEX(offices!$AI$2:$AI$61,MATCH($B135,offices!$A$2:$A$61,0))="","",INDEX(offices!$AI$2:$AI$61,MATCH($B135,offices!$A$2:$A$61,0))),""))</f>
        <v/>
      </c>
      <c r="X135" s="25">
        <f>IF($B135="","",IFERROR(IF(INDEX(offices!$G$2:$G$61,MATCH($B135,offices!$A$2:$A$61,0))="","",INDEX(offices!$G$2:$G$61,MATCH($B135,offices!$A$2:$A$61,0))),""))</f>
        <v/>
      </c>
      <c r="Y135" s="25">
        <f>IF($B135="","",IFERROR(IF(INDEX(offices!$I$2:$I$61,MATCH($B135,offices!$A$2:$A$61,0))="","",INDEX(offices!$I$2:$I$61,MATCH($B135,offices!$A$2:$A$61,0))),""))</f>
        <v/>
      </c>
      <c r="Z135" s="25">
        <f>IF($A135="","",COUNTIFS(approvals!$H$2:$H$251,$A135,approvals!$B$2:$B$251,$B135,approvals!$P$2:$P$251,"Y"))</f>
        <v/>
      </c>
      <c r="AA135" s="25">
        <f>IF($A135="","",SUMIFS(approvals!$S$2:$S$251,approvals!$H$2:$H$251,$A135,approvals!$B$2:$B$251,$B135,approvals!$P$2:$P$251,"Y"))</f>
        <v/>
      </c>
      <c r="AB135" s="25">
        <f>IF(OR($A135="",$P135=""),"",IF(COUNTIFS(stops!$B$2:$B$151,$B135,stops!$P$2:$P$151,"&lt;"&amp;$P135,stops!$L$2:$L$151,"&lt;&gt;not_delivered")=0,"Y","N"))</f>
        <v/>
      </c>
      <c r="AC135" s="25">
        <f>IF(OR($I135="",$J135=""),"",ROUND(($J135-$I135)*1440,0))</f>
        <v/>
      </c>
      <c r="AD135" s="25">
        <f>IF($A135="","",IF(COUNTIFS(stops!$A$2:$A$151,$A135,stops!$B$2:$B$151,$B135)&gt;1,"DUPLICATE stop; ","")&amp;IF(AND(OR(IFERROR(IF(INDEX(offices!$Z$2:$Z$61,MATCH($B135,offices!$A$2:$A$61,0))="","",INDEX(offices!$Z$2:$Z$61,MATCH($B135,offices!$A$2:$A$61,0))),"")="yes",IFERROR(IF(INDEX(offices!$Z$2:$Z$61,MATCH($B135,offices!$A$2:$A$61,0))="","",INDEX(offices!$Z$2:$Z$61,MATCH($B135,offices!$A$2:$A$61,0))),"")="unsure"),$Y135&lt;&gt;"received",$Y135&lt;&gt;"not_needed"),"building certificate not received; ","")&amp;IF($W135="","owner phone missing; ","")&amp;IF(N($Z135)=0,"no approved brand for this stop; ","")&amp;IF(AND($P135&lt;&gt;"",IF(config!$B$37&lt;&gt;"",config!$B$37,TODAY())&gt;$P135,$L135=""),"log the outcome; ","")&amp;IF(AND(OR($L135="declined",$L135="building_refused",$L135="not_delivered"),N($Z135)&gt;0,COUNTIFS(approvals!$H$2:$H$251,$A135,approvals!$B$2:$B$251,$B135,approvals!$P$2:$P$251,"Y",approvals!$U$2:$U$251,"&gt;0")&gt;=N($Z135)),"outcome says "&amp;$L135&amp;" but every brand here is logged delivered: fix the outcome, or delete the wrong delivered rows (SOP section 4); ","")&amp;IF(AND(OR($L135="declined",$L135="building_refused",$L135="not_delivered"),COUNTIFS(approvals!$H$2:$H$251,$A135,approvals!$B$2:$B$251,$B135,approvals!$P$2:$P$251,"Y",approvals!$U$2:$U$251,"&gt;0")&gt;0,COUNTIFS(approvals!$H$2:$H$251,$A135,approvals!$B$2:$B$251,$B135,approvals!$P$2:$P$251,"Y",approvals!$U$2:$U$251,"&gt;0")&lt;N($Z135)),"info: "&amp;(N($Z135)-COUNTIFS(approvals!$H$2:$H$251,$A135,approvals!$B$2:$B$251,$B135,approvals!$P$2:$P$251,"Y",approvals!$U$2:$U$251,"&gt;0"))&amp;" brand(s) turned away at the door, the rest delivered; ","")&amp;IF(AND($AB135="Y",IFERROR(IF(INDEX(drops!$C$2:$C$21,MATCH($A135,drops!$A$2:$A$21,0))="","",INDEX(drops!$C$2:$C$21,MATCH($A135,drops!$A$2:$A$21,0))),"")="direct-ship"),"info: first drop: visit in person on T; ","")&amp;IF(AND($U135="front desk",$X135&lt;&gt;"Y"),"info: front desk not agreed: the owner must take it; ",""))</f>
        <v/>
      </c>
    </row>
    <row r="136">
      <c r="D136" s="33" t="n"/>
      <c r="E136" s="9" t="n"/>
      <c r="F136" s="9" t="n"/>
      <c r="G136" s="9" t="n"/>
      <c r="I136" s="33" t="n"/>
      <c r="J136" s="33" t="n"/>
      <c r="N136" s="9" t="n"/>
      <c r="P136" s="26">
        <f>IF($A136="","",IF(IFERROR(IF(INDEX(drops!$I$2:$I$21,MATCH($A136,drops!$A$2:$A$21,0))="","",INDEX(drops!$I$2:$I$21,MATCH($A136,drops!$A$2:$A$21,0))),"")="OK",IFERROR(IF(INDEX(drops!$B$2:$B$21,MATCH($A136,drops!$A$2:$A$21,0))="","",INDEX(drops!$B$2:$B$21,MATCH($A136,drops!$A$2:$A$21,0))),""),""))</f>
        <v/>
      </c>
      <c r="Q136" s="25">
        <f>IF($B136="","",IFERROR(IF(INDEX(offices!$N$2:$N$61,MATCH($B136,offices!$A$2:$A$61,0))="","",INDEX(offices!$N$2:$N$61,MATCH($B136,offices!$A$2:$A$61,0))),""))</f>
        <v/>
      </c>
      <c r="R136" s="25">
        <f>IF($B136="","",IFERROR(IF(INDEX(offices!$O$2:$O$61,MATCH($B136,offices!$A$2:$A$61,0))="","",INDEX(offices!$O$2:$O$61,MATCH($B136,offices!$A$2:$A$61,0))),""))</f>
        <v/>
      </c>
      <c r="S136" s="25">
        <f>IF($B136="","",IFERROR(IF(INDEX(offices!$P$2:$P$61,MATCH($B136,offices!$A$2:$A$61,0))="","",INDEX(offices!$P$2:$P$61,MATCH($B136,offices!$A$2:$A$61,0))),""))</f>
        <v/>
      </c>
      <c r="T136" s="25">
        <f>IF($B136="","",IFERROR(IF(INDEX(offices!$Y$2:$Y$61,MATCH($B136,offices!$A$2:$A$61,0))="","",INDEX(offices!$Y$2:$Y$61,MATCH($B136,offices!$A$2:$A$61,0))),""))</f>
        <v/>
      </c>
      <c r="U136" s="25">
        <f>IF($B136="","",IFERROR(IF(INDEX(offices!$X$2:$X$61,MATCH($B136,offices!$A$2:$A$61,0))="","",INDEX(offices!$X$2:$X$61,MATCH($B136,offices!$A$2:$A$61,0))),""))</f>
        <v/>
      </c>
      <c r="V136" s="25">
        <f>IF($B136="","",IFERROR(IF(INDEX(offices!$U$2:$U$61,MATCH($B136,offices!$A$2:$A$61,0))="","",INDEX(offices!$U$2:$U$61,MATCH($B136,offices!$A$2:$A$61,0))),""))</f>
        <v/>
      </c>
      <c r="W136" s="25">
        <f>IF($B136="","",IFERROR(IF(INDEX(offices!$AI$2:$AI$61,MATCH($B136,offices!$A$2:$A$61,0))="","",INDEX(offices!$AI$2:$AI$61,MATCH($B136,offices!$A$2:$A$61,0))),""))</f>
        <v/>
      </c>
      <c r="X136" s="25">
        <f>IF($B136="","",IFERROR(IF(INDEX(offices!$G$2:$G$61,MATCH($B136,offices!$A$2:$A$61,0))="","",INDEX(offices!$G$2:$G$61,MATCH($B136,offices!$A$2:$A$61,0))),""))</f>
        <v/>
      </c>
      <c r="Y136" s="25">
        <f>IF($B136="","",IFERROR(IF(INDEX(offices!$I$2:$I$61,MATCH($B136,offices!$A$2:$A$61,0))="","",INDEX(offices!$I$2:$I$61,MATCH($B136,offices!$A$2:$A$61,0))),""))</f>
        <v/>
      </c>
      <c r="Z136" s="25">
        <f>IF($A136="","",COUNTIFS(approvals!$H$2:$H$251,$A136,approvals!$B$2:$B$251,$B136,approvals!$P$2:$P$251,"Y"))</f>
        <v/>
      </c>
      <c r="AA136" s="25">
        <f>IF($A136="","",SUMIFS(approvals!$S$2:$S$251,approvals!$H$2:$H$251,$A136,approvals!$B$2:$B$251,$B136,approvals!$P$2:$P$251,"Y"))</f>
        <v/>
      </c>
      <c r="AB136" s="25">
        <f>IF(OR($A136="",$P136=""),"",IF(COUNTIFS(stops!$B$2:$B$151,$B136,stops!$P$2:$P$151,"&lt;"&amp;$P136,stops!$L$2:$L$151,"&lt;&gt;not_delivered")=0,"Y","N"))</f>
        <v/>
      </c>
      <c r="AC136" s="25">
        <f>IF(OR($I136="",$J136=""),"",ROUND(($J136-$I136)*1440,0))</f>
        <v/>
      </c>
      <c r="AD136" s="25">
        <f>IF($A136="","",IF(COUNTIFS(stops!$A$2:$A$151,$A136,stops!$B$2:$B$151,$B136)&gt;1,"DUPLICATE stop; ","")&amp;IF(AND(OR(IFERROR(IF(INDEX(offices!$Z$2:$Z$61,MATCH($B136,offices!$A$2:$A$61,0))="","",INDEX(offices!$Z$2:$Z$61,MATCH($B136,offices!$A$2:$A$61,0))),"")="yes",IFERROR(IF(INDEX(offices!$Z$2:$Z$61,MATCH($B136,offices!$A$2:$A$61,0))="","",INDEX(offices!$Z$2:$Z$61,MATCH($B136,offices!$A$2:$A$61,0))),"")="unsure"),$Y136&lt;&gt;"received",$Y136&lt;&gt;"not_needed"),"building certificate not received; ","")&amp;IF($W136="","owner phone missing; ","")&amp;IF(N($Z136)=0,"no approved brand for this stop; ","")&amp;IF(AND($P136&lt;&gt;"",IF(config!$B$37&lt;&gt;"",config!$B$37,TODAY())&gt;$P136,$L136=""),"log the outcome; ","")&amp;IF(AND(OR($L136="declined",$L136="building_refused",$L136="not_delivered"),N($Z136)&gt;0,COUNTIFS(approvals!$H$2:$H$251,$A136,approvals!$B$2:$B$251,$B136,approvals!$P$2:$P$251,"Y",approvals!$U$2:$U$251,"&gt;0")&gt;=N($Z136)),"outcome says "&amp;$L136&amp;" but every brand here is logged delivered: fix the outcome, or delete the wrong delivered rows (SOP section 4); ","")&amp;IF(AND(OR($L136="declined",$L136="building_refused",$L136="not_delivered"),COUNTIFS(approvals!$H$2:$H$251,$A136,approvals!$B$2:$B$251,$B136,approvals!$P$2:$P$251,"Y",approvals!$U$2:$U$251,"&gt;0")&gt;0,COUNTIFS(approvals!$H$2:$H$251,$A136,approvals!$B$2:$B$251,$B136,approvals!$P$2:$P$251,"Y",approvals!$U$2:$U$251,"&gt;0")&lt;N($Z136)),"info: "&amp;(N($Z136)-COUNTIFS(approvals!$H$2:$H$251,$A136,approvals!$B$2:$B$251,$B136,approvals!$P$2:$P$251,"Y",approvals!$U$2:$U$251,"&gt;0"))&amp;" brand(s) turned away at the door, the rest delivered; ","")&amp;IF(AND($AB136="Y",IFERROR(IF(INDEX(drops!$C$2:$C$21,MATCH($A136,drops!$A$2:$A$21,0))="","",INDEX(drops!$C$2:$C$21,MATCH($A136,drops!$A$2:$A$21,0))),"")="direct-ship"),"info: first drop: visit in person on T; ","")&amp;IF(AND($U136="front desk",$X136&lt;&gt;"Y"),"info: front desk not agreed: the owner must take it; ",""))</f>
        <v/>
      </c>
    </row>
    <row r="137">
      <c r="D137" s="33" t="n"/>
      <c r="E137" s="9" t="n"/>
      <c r="F137" s="9" t="n"/>
      <c r="G137" s="9" t="n"/>
      <c r="I137" s="33" t="n"/>
      <c r="J137" s="33" t="n"/>
      <c r="N137" s="9" t="n"/>
      <c r="P137" s="26">
        <f>IF($A137="","",IF(IFERROR(IF(INDEX(drops!$I$2:$I$21,MATCH($A137,drops!$A$2:$A$21,0))="","",INDEX(drops!$I$2:$I$21,MATCH($A137,drops!$A$2:$A$21,0))),"")="OK",IFERROR(IF(INDEX(drops!$B$2:$B$21,MATCH($A137,drops!$A$2:$A$21,0))="","",INDEX(drops!$B$2:$B$21,MATCH($A137,drops!$A$2:$A$21,0))),""),""))</f>
        <v/>
      </c>
      <c r="Q137" s="25">
        <f>IF($B137="","",IFERROR(IF(INDEX(offices!$N$2:$N$61,MATCH($B137,offices!$A$2:$A$61,0))="","",INDEX(offices!$N$2:$N$61,MATCH($B137,offices!$A$2:$A$61,0))),""))</f>
        <v/>
      </c>
      <c r="R137" s="25">
        <f>IF($B137="","",IFERROR(IF(INDEX(offices!$O$2:$O$61,MATCH($B137,offices!$A$2:$A$61,0))="","",INDEX(offices!$O$2:$O$61,MATCH($B137,offices!$A$2:$A$61,0))),""))</f>
        <v/>
      </c>
      <c r="S137" s="25">
        <f>IF($B137="","",IFERROR(IF(INDEX(offices!$P$2:$P$61,MATCH($B137,offices!$A$2:$A$61,0))="","",INDEX(offices!$P$2:$P$61,MATCH($B137,offices!$A$2:$A$61,0))),""))</f>
        <v/>
      </c>
      <c r="T137" s="25">
        <f>IF($B137="","",IFERROR(IF(INDEX(offices!$Y$2:$Y$61,MATCH($B137,offices!$A$2:$A$61,0))="","",INDEX(offices!$Y$2:$Y$61,MATCH($B137,offices!$A$2:$A$61,0))),""))</f>
        <v/>
      </c>
      <c r="U137" s="25">
        <f>IF($B137="","",IFERROR(IF(INDEX(offices!$X$2:$X$61,MATCH($B137,offices!$A$2:$A$61,0))="","",INDEX(offices!$X$2:$X$61,MATCH($B137,offices!$A$2:$A$61,0))),""))</f>
        <v/>
      </c>
      <c r="V137" s="25">
        <f>IF($B137="","",IFERROR(IF(INDEX(offices!$U$2:$U$61,MATCH($B137,offices!$A$2:$A$61,0))="","",INDEX(offices!$U$2:$U$61,MATCH($B137,offices!$A$2:$A$61,0))),""))</f>
        <v/>
      </c>
      <c r="W137" s="25">
        <f>IF($B137="","",IFERROR(IF(INDEX(offices!$AI$2:$AI$61,MATCH($B137,offices!$A$2:$A$61,0))="","",INDEX(offices!$AI$2:$AI$61,MATCH($B137,offices!$A$2:$A$61,0))),""))</f>
        <v/>
      </c>
      <c r="X137" s="25">
        <f>IF($B137="","",IFERROR(IF(INDEX(offices!$G$2:$G$61,MATCH($B137,offices!$A$2:$A$61,0))="","",INDEX(offices!$G$2:$G$61,MATCH($B137,offices!$A$2:$A$61,0))),""))</f>
        <v/>
      </c>
      <c r="Y137" s="25">
        <f>IF($B137="","",IFERROR(IF(INDEX(offices!$I$2:$I$61,MATCH($B137,offices!$A$2:$A$61,0))="","",INDEX(offices!$I$2:$I$61,MATCH($B137,offices!$A$2:$A$61,0))),""))</f>
        <v/>
      </c>
      <c r="Z137" s="25">
        <f>IF($A137="","",COUNTIFS(approvals!$H$2:$H$251,$A137,approvals!$B$2:$B$251,$B137,approvals!$P$2:$P$251,"Y"))</f>
        <v/>
      </c>
      <c r="AA137" s="25">
        <f>IF($A137="","",SUMIFS(approvals!$S$2:$S$251,approvals!$H$2:$H$251,$A137,approvals!$B$2:$B$251,$B137,approvals!$P$2:$P$251,"Y"))</f>
        <v/>
      </c>
      <c r="AB137" s="25">
        <f>IF(OR($A137="",$P137=""),"",IF(COUNTIFS(stops!$B$2:$B$151,$B137,stops!$P$2:$P$151,"&lt;"&amp;$P137,stops!$L$2:$L$151,"&lt;&gt;not_delivered")=0,"Y","N"))</f>
        <v/>
      </c>
      <c r="AC137" s="25">
        <f>IF(OR($I137="",$J137=""),"",ROUND(($J137-$I137)*1440,0))</f>
        <v/>
      </c>
      <c r="AD137" s="25">
        <f>IF($A137="","",IF(COUNTIFS(stops!$A$2:$A$151,$A137,stops!$B$2:$B$151,$B137)&gt;1,"DUPLICATE stop; ","")&amp;IF(AND(OR(IFERROR(IF(INDEX(offices!$Z$2:$Z$61,MATCH($B137,offices!$A$2:$A$61,0))="","",INDEX(offices!$Z$2:$Z$61,MATCH($B137,offices!$A$2:$A$61,0))),"")="yes",IFERROR(IF(INDEX(offices!$Z$2:$Z$61,MATCH($B137,offices!$A$2:$A$61,0))="","",INDEX(offices!$Z$2:$Z$61,MATCH($B137,offices!$A$2:$A$61,0))),"")="unsure"),$Y137&lt;&gt;"received",$Y137&lt;&gt;"not_needed"),"building certificate not received; ","")&amp;IF($W137="","owner phone missing; ","")&amp;IF(N($Z137)=0,"no approved brand for this stop; ","")&amp;IF(AND($P137&lt;&gt;"",IF(config!$B$37&lt;&gt;"",config!$B$37,TODAY())&gt;$P137,$L137=""),"log the outcome; ","")&amp;IF(AND(OR($L137="declined",$L137="building_refused",$L137="not_delivered"),N($Z137)&gt;0,COUNTIFS(approvals!$H$2:$H$251,$A137,approvals!$B$2:$B$251,$B137,approvals!$P$2:$P$251,"Y",approvals!$U$2:$U$251,"&gt;0")&gt;=N($Z137)),"outcome says "&amp;$L137&amp;" but every brand here is logged delivered: fix the outcome, or delete the wrong delivered rows (SOP section 4); ","")&amp;IF(AND(OR($L137="declined",$L137="building_refused",$L137="not_delivered"),COUNTIFS(approvals!$H$2:$H$251,$A137,approvals!$B$2:$B$251,$B137,approvals!$P$2:$P$251,"Y",approvals!$U$2:$U$251,"&gt;0")&gt;0,COUNTIFS(approvals!$H$2:$H$251,$A137,approvals!$B$2:$B$251,$B137,approvals!$P$2:$P$251,"Y",approvals!$U$2:$U$251,"&gt;0")&lt;N($Z137)),"info: "&amp;(N($Z137)-COUNTIFS(approvals!$H$2:$H$251,$A137,approvals!$B$2:$B$251,$B137,approvals!$P$2:$P$251,"Y",approvals!$U$2:$U$251,"&gt;0"))&amp;" brand(s) turned away at the door, the rest delivered; ","")&amp;IF(AND($AB137="Y",IFERROR(IF(INDEX(drops!$C$2:$C$21,MATCH($A137,drops!$A$2:$A$21,0))="","",INDEX(drops!$C$2:$C$21,MATCH($A137,drops!$A$2:$A$21,0))),"")="direct-ship"),"info: first drop: visit in person on T; ","")&amp;IF(AND($U137="front desk",$X137&lt;&gt;"Y"),"info: front desk not agreed: the owner must take it; ",""))</f>
        <v/>
      </c>
    </row>
    <row r="138">
      <c r="D138" s="33" t="n"/>
      <c r="E138" s="9" t="n"/>
      <c r="F138" s="9" t="n"/>
      <c r="G138" s="9" t="n"/>
      <c r="I138" s="33" t="n"/>
      <c r="J138" s="33" t="n"/>
      <c r="N138" s="9" t="n"/>
      <c r="P138" s="26">
        <f>IF($A138="","",IF(IFERROR(IF(INDEX(drops!$I$2:$I$21,MATCH($A138,drops!$A$2:$A$21,0))="","",INDEX(drops!$I$2:$I$21,MATCH($A138,drops!$A$2:$A$21,0))),"")="OK",IFERROR(IF(INDEX(drops!$B$2:$B$21,MATCH($A138,drops!$A$2:$A$21,0))="","",INDEX(drops!$B$2:$B$21,MATCH($A138,drops!$A$2:$A$21,0))),""),""))</f>
        <v/>
      </c>
      <c r="Q138" s="25">
        <f>IF($B138="","",IFERROR(IF(INDEX(offices!$N$2:$N$61,MATCH($B138,offices!$A$2:$A$61,0))="","",INDEX(offices!$N$2:$N$61,MATCH($B138,offices!$A$2:$A$61,0))),""))</f>
        <v/>
      </c>
      <c r="R138" s="25">
        <f>IF($B138="","",IFERROR(IF(INDEX(offices!$O$2:$O$61,MATCH($B138,offices!$A$2:$A$61,0))="","",INDEX(offices!$O$2:$O$61,MATCH($B138,offices!$A$2:$A$61,0))),""))</f>
        <v/>
      </c>
      <c r="S138" s="25">
        <f>IF($B138="","",IFERROR(IF(INDEX(offices!$P$2:$P$61,MATCH($B138,offices!$A$2:$A$61,0))="","",INDEX(offices!$P$2:$P$61,MATCH($B138,offices!$A$2:$A$61,0))),""))</f>
        <v/>
      </c>
      <c r="T138" s="25">
        <f>IF($B138="","",IFERROR(IF(INDEX(offices!$Y$2:$Y$61,MATCH($B138,offices!$A$2:$A$61,0))="","",INDEX(offices!$Y$2:$Y$61,MATCH($B138,offices!$A$2:$A$61,0))),""))</f>
        <v/>
      </c>
      <c r="U138" s="25">
        <f>IF($B138="","",IFERROR(IF(INDEX(offices!$X$2:$X$61,MATCH($B138,offices!$A$2:$A$61,0))="","",INDEX(offices!$X$2:$X$61,MATCH($B138,offices!$A$2:$A$61,0))),""))</f>
        <v/>
      </c>
      <c r="V138" s="25">
        <f>IF($B138="","",IFERROR(IF(INDEX(offices!$U$2:$U$61,MATCH($B138,offices!$A$2:$A$61,0))="","",INDEX(offices!$U$2:$U$61,MATCH($B138,offices!$A$2:$A$61,0))),""))</f>
        <v/>
      </c>
      <c r="W138" s="25">
        <f>IF($B138="","",IFERROR(IF(INDEX(offices!$AI$2:$AI$61,MATCH($B138,offices!$A$2:$A$61,0))="","",INDEX(offices!$AI$2:$AI$61,MATCH($B138,offices!$A$2:$A$61,0))),""))</f>
        <v/>
      </c>
      <c r="X138" s="25">
        <f>IF($B138="","",IFERROR(IF(INDEX(offices!$G$2:$G$61,MATCH($B138,offices!$A$2:$A$61,0))="","",INDEX(offices!$G$2:$G$61,MATCH($B138,offices!$A$2:$A$61,0))),""))</f>
        <v/>
      </c>
      <c r="Y138" s="25">
        <f>IF($B138="","",IFERROR(IF(INDEX(offices!$I$2:$I$61,MATCH($B138,offices!$A$2:$A$61,0))="","",INDEX(offices!$I$2:$I$61,MATCH($B138,offices!$A$2:$A$61,0))),""))</f>
        <v/>
      </c>
      <c r="Z138" s="25">
        <f>IF($A138="","",COUNTIFS(approvals!$H$2:$H$251,$A138,approvals!$B$2:$B$251,$B138,approvals!$P$2:$P$251,"Y"))</f>
        <v/>
      </c>
      <c r="AA138" s="25">
        <f>IF($A138="","",SUMIFS(approvals!$S$2:$S$251,approvals!$H$2:$H$251,$A138,approvals!$B$2:$B$251,$B138,approvals!$P$2:$P$251,"Y"))</f>
        <v/>
      </c>
      <c r="AB138" s="25">
        <f>IF(OR($A138="",$P138=""),"",IF(COUNTIFS(stops!$B$2:$B$151,$B138,stops!$P$2:$P$151,"&lt;"&amp;$P138,stops!$L$2:$L$151,"&lt;&gt;not_delivered")=0,"Y","N"))</f>
        <v/>
      </c>
      <c r="AC138" s="25">
        <f>IF(OR($I138="",$J138=""),"",ROUND(($J138-$I138)*1440,0))</f>
        <v/>
      </c>
      <c r="AD138" s="25">
        <f>IF($A138="","",IF(COUNTIFS(stops!$A$2:$A$151,$A138,stops!$B$2:$B$151,$B138)&gt;1,"DUPLICATE stop; ","")&amp;IF(AND(OR(IFERROR(IF(INDEX(offices!$Z$2:$Z$61,MATCH($B138,offices!$A$2:$A$61,0))="","",INDEX(offices!$Z$2:$Z$61,MATCH($B138,offices!$A$2:$A$61,0))),"")="yes",IFERROR(IF(INDEX(offices!$Z$2:$Z$61,MATCH($B138,offices!$A$2:$A$61,0))="","",INDEX(offices!$Z$2:$Z$61,MATCH($B138,offices!$A$2:$A$61,0))),"")="unsure"),$Y138&lt;&gt;"received",$Y138&lt;&gt;"not_needed"),"building certificate not received; ","")&amp;IF($W138="","owner phone missing; ","")&amp;IF(N($Z138)=0,"no approved brand for this stop; ","")&amp;IF(AND($P138&lt;&gt;"",IF(config!$B$37&lt;&gt;"",config!$B$37,TODAY())&gt;$P138,$L138=""),"log the outcome; ","")&amp;IF(AND(OR($L138="declined",$L138="building_refused",$L138="not_delivered"),N($Z138)&gt;0,COUNTIFS(approvals!$H$2:$H$251,$A138,approvals!$B$2:$B$251,$B138,approvals!$P$2:$P$251,"Y",approvals!$U$2:$U$251,"&gt;0")&gt;=N($Z138)),"outcome says "&amp;$L138&amp;" but every brand here is logged delivered: fix the outcome, or delete the wrong delivered rows (SOP section 4); ","")&amp;IF(AND(OR($L138="declined",$L138="building_refused",$L138="not_delivered"),COUNTIFS(approvals!$H$2:$H$251,$A138,approvals!$B$2:$B$251,$B138,approvals!$P$2:$P$251,"Y",approvals!$U$2:$U$251,"&gt;0")&gt;0,COUNTIFS(approvals!$H$2:$H$251,$A138,approvals!$B$2:$B$251,$B138,approvals!$P$2:$P$251,"Y",approvals!$U$2:$U$251,"&gt;0")&lt;N($Z138)),"info: "&amp;(N($Z138)-COUNTIFS(approvals!$H$2:$H$251,$A138,approvals!$B$2:$B$251,$B138,approvals!$P$2:$P$251,"Y",approvals!$U$2:$U$251,"&gt;0"))&amp;" brand(s) turned away at the door, the rest delivered; ","")&amp;IF(AND($AB138="Y",IFERROR(IF(INDEX(drops!$C$2:$C$21,MATCH($A138,drops!$A$2:$A$21,0))="","",INDEX(drops!$C$2:$C$21,MATCH($A138,drops!$A$2:$A$21,0))),"")="direct-ship"),"info: first drop: visit in person on T; ","")&amp;IF(AND($U138="front desk",$X138&lt;&gt;"Y"),"info: front desk not agreed: the owner must take it; ",""))</f>
        <v/>
      </c>
    </row>
    <row r="139">
      <c r="D139" s="33" t="n"/>
      <c r="E139" s="9" t="n"/>
      <c r="F139" s="9" t="n"/>
      <c r="G139" s="9" t="n"/>
      <c r="I139" s="33" t="n"/>
      <c r="J139" s="33" t="n"/>
      <c r="N139" s="9" t="n"/>
      <c r="P139" s="26">
        <f>IF($A139="","",IF(IFERROR(IF(INDEX(drops!$I$2:$I$21,MATCH($A139,drops!$A$2:$A$21,0))="","",INDEX(drops!$I$2:$I$21,MATCH($A139,drops!$A$2:$A$21,0))),"")="OK",IFERROR(IF(INDEX(drops!$B$2:$B$21,MATCH($A139,drops!$A$2:$A$21,0))="","",INDEX(drops!$B$2:$B$21,MATCH($A139,drops!$A$2:$A$21,0))),""),""))</f>
        <v/>
      </c>
      <c r="Q139" s="25">
        <f>IF($B139="","",IFERROR(IF(INDEX(offices!$N$2:$N$61,MATCH($B139,offices!$A$2:$A$61,0))="","",INDEX(offices!$N$2:$N$61,MATCH($B139,offices!$A$2:$A$61,0))),""))</f>
        <v/>
      </c>
      <c r="R139" s="25">
        <f>IF($B139="","",IFERROR(IF(INDEX(offices!$O$2:$O$61,MATCH($B139,offices!$A$2:$A$61,0))="","",INDEX(offices!$O$2:$O$61,MATCH($B139,offices!$A$2:$A$61,0))),""))</f>
        <v/>
      </c>
      <c r="S139" s="25">
        <f>IF($B139="","",IFERROR(IF(INDEX(offices!$P$2:$P$61,MATCH($B139,offices!$A$2:$A$61,0))="","",INDEX(offices!$P$2:$P$61,MATCH($B139,offices!$A$2:$A$61,0))),""))</f>
        <v/>
      </c>
      <c r="T139" s="25">
        <f>IF($B139="","",IFERROR(IF(INDEX(offices!$Y$2:$Y$61,MATCH($B139,offices!$A$2:$A$61,0))="","",INDEX(offices!$Y$2:$Y$61,MATCH($B139,offices!$A$2:$A$61,0))),""))</f>
        <v/>
      </c>
      <c r="U139" s="25">
        <f>IF($B139="","",IFERROR(IF(INDEX(offices!$X$2:$X$61,MATCH($B139,offices!$A$2:$A$61,0))="","",INDEX(offices!$X$2:$X$61,MATCH($B139,offices!$A$2:$A$61,0))),""))</f>
        <v/>
      </c>
      <c r="V139" s="25">
        <f>IF($B139="","",IFERROR(IF(INDEX(offices!$U$2:$U$61,MATCH($B139,offices!$A$2:$A$61,0))="","",INDEX(offices!$U$2:$U$61,MATCH($B139,offices!$A$2:$A$61,0))),""))</f>
        <v/>
      </c>
      <c r="W139" s="25">
        <f>IF($B139="","",IFERROR(IF(INDEX(offices!$AI$2:$AI$61,MATCH($B139,offices!$A$2:$A$61,0))="","",INDEX(offices!$AI$2:$AI$61,MATCH($B139,offices!$A$2:$A$61,0))),""))</f>
        <v/>
      </c>
      <c r="X139" s="25">
        <f>IF($B139="","",IFERROR(IF(INDEX(offices!$G$2:$G$61,MATCH($B139,offices!$A$2:$A$61,0))="","",INDEX(offices!$G$2:$G$61,MATCH($B139,offices!$A$2:$A$61,0))),""))</f>
        <v/>
      </c>
      <c r="Y139" s="25">
        <f>IF($B139="","",IFERROR(IF(INDEX(offices!$I$2:$I$61,MATCH($B139,offices!$A$2:$A$61,0))="","",INDEX(offices!$I$2:$I$61,MATCH($B139,offices!$A$2:$A$61,0))),""))</f>
        <v/>
      </c>
      <c r="Z139" s="25">
        <f>IF($A139="","",COUNTIFS(approvals!$H$2:$H$251,$A139,approvals!$B$2:$B$251,$B139,approvals!$P$2:$P$251,"Y"))</f>
        <v/>
      </c>
      <c r="AA139" s="25">
        <f>IF($A139="","",SUMIFS(approvals!$S$2:$S$251,approvals!$H$2:$H$251,$A139,approvals!$B$2:$B$251,$B139,approvals!$P$2:$P$251,"Y"))</f>
        <v/>
      </c>
      <c r="AB139" s="25">
        <f>IF(OR($A139="",$P139=""),"",IF(COUNTIFS(stops!$B$2:$B$151,$B139,stops!$P$2:$P$151,"&lt;"&amp;$P139,stops!$L$2:$L$151,"&lt;&gt;not_delivered")=0,"Y","N"))</f>
        <v/>
      </c>
      <c r="AC139" s="25">
        <f>IF(OR($I139="",$J139=""),"",ROUND(($J139-$I139)*1440,0))</f>
        <v/>
      </c>
      <c r="AD139" s="25">
        <f>IF($A139="","",IF(COUNTIFS(stops!$A$2:$A$151,$A139,stops!$B$2:$B$151,$B139)&gt;1,"DUPLICATE stop; ","")&amp;IF(AND(OR(IFERROR(IF(INDEX(offices!$Z$2:$Z$61,MATCH($B139,offices!$A$2:$A$61,0))="","",INDEX(offices!$Z$2:$Z$61,MATCH($B139,offices!$A$2:$A$61,0))),"")="yes",IFERROR(IF(INDEX(offices!$Z$2:$Z$61,MATCH($B139,offices!$A$2:$A$61,0))="","",INDEX(offices!$Z$2:$Z$61,MATCH($B139,offices!$A$2:$A$61,0))),"")="unsure"),$Y139&lt;&gt;"received",$Y139&lt;&gt;"not_needed"),"building certificate not received; ","")&amp;IF($W139="","owner phone missing; ","")&amp;IF(N($Z139)=0,"no approved brand for this stop; ","")&amp;IF(AND($P139&lt;&gt;"",IF(config!$B$37&lt;&gt;"",config!$B$37,TODAY())&gt;$P139,$L139=""),"log the outcome; ","")&amp;IF(AND(OR($L139="declined",$L139="building_refused",$L139="not_delivered"),N($Z139)&gt;0,COUNTIFS(approvals!$H$2:$H$251,$A139,approvals!$B$2:$B$251,$B139,approvals!$P$2:$P$251,"Y",approvals!$U$2:$U$251,"&gt;0")&gt;=N($Z139)),"outcome says "&amp;$L139&amp;" but every brand here is logged delivered: fix the outcome, or delete the wrong delivered rows (SOP section 4); ","")&amp;IF(AND(OR($L139="declined",$L139="building_refused",$L139="not_delivered"),COUNTIFS(approvals!$H$2:$H$251,$A139,approvals!$B$2:$B$251,$B139,approvals!$P$2:$P$251,"Y",approvals!$U$2:$U$251,"&gt;0")&gt;0,COUNTIFS(approvals!$H$2:$H$251,$A139,approvals!$B$2:$B$251,$B139,approvals!$P$2:$P$251,"Y",approvals!$U$2:$U$251,"&gt;0")&lt;N($Z139)),"info: "&amp;(N($Z139)-COUNTIFS(approvals!$H$2:$H$251,$A139,approvals!$B$2:$B$251,$B139,approvals!$P$2:$P$251,"Y",approvals!$U$2:$U$251,"&gt;0"))&amp;" brand(s) turned away at the door, the rest delivered; ","")&amp;IF(AND($AB139="Y",IFERROR(IF(INDEX(drops!$C$2:$C$21,MATCH($A139,drops!$A$2:$A$21,0))="","",INDEX(drops!$C$2:$C$21,MATCH($A139,drops!$A$2:$A$21,0))),"")="direct-ship"),"info: first drop: visit in person on T; ","")&amp;IF(AND($U139="front desk",$X139&lt;&gt;"Y"),"info: front desk not agreed: the owner must take it; ",""))</f>
        <v/>
      </c>
    </row>
    <row r="140">
      <c r="D140" s="33" t="n"/>
      <c r="E140" s="9" t="n"/>
      <c r="F140" s="9" t="n"/>
      <c r="G140" s="9" t="n"/>
      <c r="I140" s="33" t="n"/>
      <c r="J140" s="33" t="n"/>
      <c r="N140" s="9" t="n"/>
      <c r="P140" s="26">
        <f>IF($A140="","",IF(IFERROR(IF(INDEX(drops!$I$2:$I$21,MATCH($A140,drops!$A$2:$A$21,0))="","",INDEX(drops!$I$2:$I$21,MATCH($A140,drops!$A$2:$A$21,0))),"")="OK",IFERROR(IF(INDEX(drops!$B$2:$B$21,MATCH($A140,drops!$A$2:$A$21,0))="","",INDEX(drops!$B$2:$B$21,MATCH($A140,drops!$A$2:$A$21,0))),""),""))</f>
        <v/>
      </c>
      <c r="Q140" s="25">
        <f>IF($B140="","",IFERROR(IF(INDEX(offices!$N$2:$N$61,MATCH($B140,offices!$A$2:$A$61,0))="","",INDEX(offices!$N$2:$N$61,MATCH($B140,offices!$A$2:$A$61,0))),""))</f>
        <v/>
      </c>
      <c r="R140" s="25">
        <f>IF($B140="","",IFERROR(IF(INDEX(offices!$O$2:$O$61,MATCH($B140,offices!$A$2:$A$61,0))="","",INDEX(offices!$O$2:$O$61,MATCH($B140,offices!$A$2:$A$61,0))),""))</f>
        <v/>
      </c>
      <c r="S140" s="25">
        <f>IF($B140="","",IFERROR(IF(INDEX(offices!$P$2:$P$61,MATCH($B140,offices!$A$2:$A$61,0))="","",INDEX(offices!$P$2:$P$61,MATCH($B140,offices!$A$2:$A$61,0))),""))</f>
        <v/>
      </c>
      <c r="T140" s="25">
        <f>IF($B140="","",IFERROR(IF(INDEX(offices!$Y$2:$Y$61,MATCH($B140,offices!$A$2:$A$61,0))="","",INDEX(offices!$Y$2:$Y$61,MATCH($B140,offices!$A$2:$A$61,0))),""))</f>
        <v/>
      </c>
      <c r="U140" s="25">
        <f>IF($B140="","",IFERROR(IF(INDEX(offices!$X$2:$X$61,MATCH($B140,offices!$A$2:$A$61,0))="","",INDEX(offices!$X$2:$X$61,MATCH($B140,offices!$A$2:$A$61,0))),""))</f>
        <v/>
      </c>
      <c r="V140" s="25">
        <f>IF($B140="","",IFERROR(IF(INDEX(offices!$U$2:$U$61,MATCH($B140,offices!$A$2:$A$61,0))="","",INDEX(offices!$U$2:$U$61,MATCH($B140,offices!$A$2:$A$61,0))),""))</f>
        <v/>
      </c>
      <c r="W140" s="25">
        <f>IF($B140="","",IFERROR(IF(INDEX(offices!$AI$2:$AI$61,MATCH($B140,offices!$A$2:$A$61,0))="","",INDEX(offices!$AI$2:$AI$61,MATCH($B140,offices!$A$2:$A$61,0))),""))</f>
        <v/>
      </c>
      <c r="X140" s="25">
        <f>IF($B140="","",IFERROR(IF(INDEX(offices!$G$2:$G$61,MATCH($B140,offices!$A$2:$A$61,0))="","",INDEX(offices!$G$2:$G$61,MATCH($B140,offices!$A$2:$A$61,0))),""))</f>
        <v/>
      </c>
      <c r="Y140" s="25">
        <f>IF($B140="","",IFERROR(IF(INDEX(offices!$I$2:$I$61,MATCH($B140,offices!$A$2:$A$61,0))="","",INDEX(offices!$I$2:$I$61,MATCH($B140,offices!$A$2:$A$61,0))),""))</f>
        <v/>
      </c>
      <c r="Z140" s="25">
        <f>IF($A140="","",COUNTIFS(approvals!$H$2:$H$251,$A140,approvals!$B$2:$B$251,$B140,approvals!$P$2:$P$251,"Y"))</f>
        <v/>
      </c>
      <c r="AA140" s="25">
        <f>IF($A140="","",SUMIFS(approvals!$S$2:$S$251,approvals!$H$2:$H$251,$A140,approvals!$B$2:$B$251,$B140,approvals!$P$2:$P$251,"Y"))</f>
        <v/>
      </c>
      <c r="AB140" s="25">
        <f>IF(OR($A140="",$P140=""),"",IF(COUNTIFS(stops!$B$2:$B$151,$B140,stops!$P$2:$P$151,"&lt;"&amp;$P140,stops!$L$2:$L$151,"&lt;&gt;not_delivered")=0,"Y","N"))</f>
        <v/>
      </c>
      <c r="AC140" s="25">
        <f>IF(OR($I140="",$J140=""),"",ROUND(($J140-$I140)*1440,0))</f>
        <v/>
      </c>
      <c r="AD140" s="25">
        <f>IF($A140="","",IF(COUNTIFS(stops!$A$2:$A$151,$A140,stops!$B$2:$B$151,$B140)&gt;1,"DUPLICATE stop; ","")&amp;IF(AND(OR(IFERROR(IF(INDEX(offices!$Z$2:$Z$61,MATCH($B140,offices!$A$2:$A$61,0))="","",INDEX(offices!$Z$2:$Z$61,MATCH($B140,offices!$A$2:$A$61,0))),"")="yes",IFERROR(IF(INDEX(offices!$Z$2:$Z$61,MATCH($B140,offices!$A$2:$A$61,0))="","",INDEX(offices!$Z$2:$Z$61,MATCH($B140,offices!$A$2:$A$61,0))),"")="unsure"),$Y140&lt;&gt;"received",$Y140&lt;&gt;"not_needed"),"building certificate not received; ","")&amp;IF($W140="","owner phone missing; ","")&amp;IF(N($Z140)=0,"no approved brand for this stop; ","")&amp;IF(AND($P140&lt;&gt;"",IF(config!$B$37&lt;&gt;"",config!$B$37,TODAY())&gt;$P140,$L140=""),"log the outcome; ","")&amp;IF(AND(OR($L140="declined",$L140="building_refused",$L140="not_delivered"),N($Z140)&gt;0,COUNTIFS(approvals!$H$2:$H$251,$A140,approvals!$B$2:$B$251,$B140,approvals!$P$2:$P$251,"Y",approvals!$U$2:$U$251,"&gt;0")&gt;=N($Z140)),"outcome says "&amp;$L140&amp;" but every brand here is logged delivered: fix the outcome, or delete the wrong delivered rows (SOP section 4); ","")&amp;IF(AND(OR($L140="declined",$L140="building_refused",$L140="not_delivered"),COUNTIFS(approvals!$H$2:$H$251,$A140,approvals!$B$2:$B$251,$B140,approvals!$P$2:$P$251,"Y",approvals!$U$2:$U$251,"&gt;0")&gt;0,COUNTIFS(approvals!$H$2:$H$251,$A140,approvals!$B$2:$B$251,$B140,approvals!$P$2:$P$251,"Y",approvals!$U$2:$U$251,"&gt;0")&lt;N($Z140)),"info: "&amp;(N($Z140)-COUNTIFS(approvals!$H$2:$H$251,$A140,approvals!$B$2:$B$251,$B140,approvals!$P$2:$P$251,"Y",approvals!$U$2:$U$251,"&gt;0"))&amp;" brand(s) turned away at the door, the rest delivered; ","")&amp;IF(AND($AB140="Y",IFERROR(IF(INDEX(drops!$C$2:$C$21,MATCH($A140,drops!$A$2:$A$21,0))="","",INDEX(drops!$C$2:$C$21,MATCH($A140,drops!$A$2:$A$21,0))),"")="direct-ship"),"info: first drop: visit in person on T; ","")&amp;IF(AND($U140="front desk",$X140&lt;&gt;"Y"),"info: front desk not agreed: the owner must take it; ",""))</f>
        <v/>
      </c>
    </row>
    <row r="141">
      <c r="D141" s="33" t="n"/>
      <c r="E141" s="9" t="n"/>
      <c r="F141" s="9" t="n"/>
      <c r="G141" s="9" t="n"/>
      <c r="I141" s="33" t="n"/>
      <c r="J141" s="33" t="n"/>
      <c r="N141" s="9" t="n"/>
      <c r="P141" s="26">
        <f>IF($A141="","",IF(IFERROR(IF(INDEX(drops!$I$2:$I$21,MATCH($A141,drops!$A$2:$A$21,0))="","",INDEX(drops!$I$2:$I$21,MATCH($A141,drops!$A$2:$A$21,0))),"")="OK",IFERROR(IF(INDEX(drops!$B$2:$B$21,MATCH($A141,drops!$A$2:$A$21,0))="","",INDEX(drops!$B$2:$B$21,MATCH($A141,drops!$A$2:$A$21,0))),""),""))</f>
        <v/>
      </c>
      <c r="Q141" s="25">
        <f>IF($B141="","",IFERROR(IF(INDEX(offices!$N$2:$N$61,MATCH($B141,offices!$A$2:$A$61,0))="","",INDEX(offices!$N$2:$N$61,MATCH($B141,offices!$A$2:$A$61,0))),""))</f>
        <v/>
      </c>
      <c r="R141" s="25">
        <f>IF($B141="","",IFERROR(IF(INDEX(offices!$O$2:$O$61,MATCH($B141,offices!$A$2:$A$61,0))="","",INDEX(offices!$O$2:$O$61,MATCH($B141,offices!$A$2:$A$61,0))),""))</f>
        <v/>
      </c>
      <c r="S141" s="25">
        <f>IF($B141="","",IFERROR(IF(INDEX(offices!$P$2:$P$61,MATCH($B141,offices!$A$2:$A$61,0))="","",INDEX(offices!$P$2:$P$61,MATCH($B141,offices!$A$2:$A$61,0))),""))</f>
        <v/>
      </c>
      <c r="T141" s="25">
        <f>IF($B141="","",IFERROR(IF(INDEX(offices!$Y$2:$Y$61,MATCH($B141,offices!$A$2:$A$61,0))="","",INDEX(offices!$Y$2:$Y$61,MATCH($B141,offices!$A$2:$A$61,0))),""))</f>
        <v/>
      </c>
      <c r="U141" s="25">
        <f>IF($B141="","",IFERROR(IF(INDEX(offices!$X$2:$X$61,MATCH($B141,offices!$A$2:$A$61,0))="","",INDEX(offices!$X$2:$X$61,MATCH($B141,offices!$A$2:$A$61,0))),""))</f>
        <v/>
      </c>
      <c r="V141" s="25">
        <f>IF($B141="","",IFERROR(IF(INDEX(offices!$U$2:$U$61,MATCH($B141,offices!$A$2:$A$61,0))="","",INDEX(offices!$U$2:$U$61,MATCH($B141,offices!$A$2:$A$61,0))),""))</f>
        <v/>
      </c>
      <c r="W141" s="25">
        <f>IF($B141="","",IFERROR(IF(INDEX(offices!$AI$2:$AI$61,MATCH($B141,offices!$A$2:$A$61,0))="","",INDEX(offices!$AI$2:$AI$61,MATCH($B141,offices!$A$2:$A$61,0))),""))</f>
        <v/>
      </c>
      <c r="X141" s="25">
        <f>IF($B141="","",IFERROR(IF(INDEX(offices!$G$2:$G$61,MATCH($B141,offices!$A$2:$A$61,0))="","",INDEX(offices!$G$2:$G$61,MATCH($B141,offices!$A$2:$A$61,0))),""))</f>
        <v/>
      </c>
      <c r="Y141" s="25">
        <f>IF($B141="","",IFERROR(IF(INDEX(offices!$I$2:$I$61,MATCH($B141,offices!$A$2:$A$61,0))="","",INDEX(offices!$I$2:$I$61,MATCH($B141,offices!$A$2:$A$61,0))),""))</f>
        <v/>
      </c>
      <c r="Z141" s="25">
        <f>IF($A141="","",COUNTIFS(approvals!$H$2:$H$251,$A141,approvals!$B$2:$B$251,$B141,approvals!$P$2:$P$251,"Y"))</f>
        <v/>
      </c>
      <c r="AA141" s="25">
        <f>IF($A141="","",SUMIFS(approvals!$S$2:$S$251,approvals!$H$2:$H$251,$A141,approvals!$B$2:$B$251,$B141,approvals!$P$2:$P$251,"Y"))</f>
        <v/>
      </c>
      <c r="AB141" s="25">
        <f>IF(OR($A141="",$P141=""),"",IF(COUNTIFS(stops!$B$2:$B$151,$B141,stops!$P$2:$P$151,"&lt;"&amp;$P141,stops!$L$2:$L$151,"&lt;&gt;not_delivered")=0,"Y","N"))</f>
        <v/>
      </c>
      <c r="AC141" s="25">
        <f>IF(OR($I141="",$J141=""),"",ROUND(($J141-$I141)*1440,0))</f>
        <v/>
      </c>
      <c r="AD141" s="25">
        <f>IF($A141="","",IF(COUNTIFS(stops!$A$2:$A$151,$A141,stops!$B$2:$B$151,$B141)&gt;1,"DUPLICATE stop; ","")&amp;IF(AND(OR(IFERROR(IF(INDEX(offices!$Z$2:$Z$61,MATCH($B141,offices!$A$2:$A$61,0))="","",INDEX(offices!$Z$2:$Z$61,MATCH($B141,offices!$A$2:$A$61,0))),"")="yes",IFERROR(IF(INDEX(offices!$Z$2:$Z$61,MATCH($B141,offices!$A$2:$A$61,0))="","",INDEX(offices!$Z$2:$Z$61,MATCH($B141,offices!$A$2:$A$61,0))),"")="unsure"),$Y141&lt;&gt;"received",$Y141&lt;&gt;"not_needed"),"building certificate not received; ","")&amp;IF($W141="","owner phone missing; ","")&amp;IF(N($Z141)=0,"no approved brand for this stop; ","")&amp;IF(AND($P141&lt;&gt;"",IF(config!$B$37&lt;&gt;"",config!$B$37,TODAY())&gt;$P141,$L141=""),"log the outcome; ","")&amp;IF(AND(OR($L141="declined",$L141="building_refused",$L141="not_delivered"),N($Z141)&gt;0,COUNTIFS(approvals!$H$2:$H$251,$A141,approvals!$B$2:$B$251,$B141,approvals!$P$2:$P$251,"Y",approvals!$U$2:$U$251,"&gt;0")&gt;=N($Z141)),"outcome says "&amp;$L141&amp;" but every brand here is logged delivered: fix the outcome, or delete the wrong delivered rows (SOP section 4); ","")&amp;IF(AND(OR($L141="declined",$L141="building_refused",$L141="not_delivered"),COUNTIFS(approvals!$H$2:$H$251,$A141,approvals!$B$2:$B$251,$B141,approvals!$P$2:$P$251,"Y",approvals!$U$2:$U$251,"&gt;0")&gt;0,COUNTIFS(approvals!$H$2:$H$251,$A141,approvals!$B$2:$B$251,$B141,approvals!$P$2:$P$251,"Y",approvals!$U$2:$U$251,"&gt;0")&lt;N($Z141)),"info: "&amp;(N($Z141)-COUNTIFS(approvals!$H$2:$H$251,$A141,approvals!$B$2:$B$251,$B141,approvals!$P$2:$P$251,"Y",approvals!$U$2:$U$251,"&gt;0"))&amp;" brand(s) turned away at the door, the rest delivered; ","")&amp;IF(AND($AB141="Y",IFERROR(IF(INDEX(drops!$C$2:$C$21,MATCH($A141,drops!$A$2:$A$21,0))="","",INDEX(drops!$C$2:$C$21,MATCH($A141,drops!$A$2:$A$21,0))),"")="direct-ship"),"info: first drop: visit in person on T; ","")&amp;IF(AND($U141="front desk",$X141&lt;&gt;"Y"),"info: front desk not agreed: the owner must take it; ",""))</f>
        <v/>
      </c>
    </row>
    <row r="142">
      <c r="D142" s="33" t="n"/>
      <c r="E142" s="9" t="n"/>
      <c r="F142" s="9" t="n"/>
      <c r="G142" s="9" t="n"/>
      <c r="I142" s="33" t="n"/>
      <c r="J142" s="33" t="n"/>
      <c r="N142" s="9" t="n"/>
      <c r="P142" s="26">
        <f>IF($A142="","",IF(IFERROR(IF(INDEX(drops!$I$2:$I$21,MATCH($A142,drops!$A$2:$A$21,0))="","",INDEX(drops!$I$2:$I$21,MATCH($A142,drops!$A$2:$A$21,0))),"")="OK",IFERROR(IF(INDEX(drops!$B$2:$B$21,MATCH($A142,drops!$A$2:$A$21,0))="","",INDEX(drops!$B$2:$B$21,MATCH($A142,drops!$A$2:$A$21,0))),""),""))</f>
        <v/>
      </c>
      <c r="Q142" s="25">
        <f>IF($B142="","",IFERROR(IF(INDEX(offices!$N$2:$N$61,MATCH($B142,offices!$A$2:$A$61,0))="","",INDEX(offices!$N$2:$N$61,MATCH($B142,offices!$A$2:$A$61,0))),""))</f>
        <v/>
      </c>
      <c r="R142" s="25">
        <f>IF($B142="","",IFERROR(IF(INDEX(offices!$O$2:$O$61,MATCH($B142,offices!$A$2:$A$61,0))="","",INDEX(offices!$O$2:$O$61,MATCH($B142,offices!$A$2:$A$61,0))),""))</f>
        <v/>
      </c>
      <c r="S142" s="25">
        <f>IF($B142="","",IFERROR(IF(INDEX(offices!$P$2:$P$61,MATCH($B142,offices!$A$2:$A$61,0))="","",INDEX(offices!$P$2:$P$61,MATCH($B142,offices!$A$2:$A$61,0))),""))</f>
        <v/>
      </c>
      <c r="T142" s="25">
        <f>IF($B142="","",IFERROR(IF(INDEX(offices!$Y$2:$Y$61,MATCH($B142,offices!$A$2:$A$61,0))="","",INDEX(offices!$Y$2:$Y$61,MATCH($B142,offices!$A$2:$A$61,0))),""))</f>
        <v/>
      </c>
      <c r="U142" s="25">
        <f>IF($B142="","",IFERROR(IF(INDEX(offices!$X$2:$X$61,MATCH($B142,offices!$A$2:$A$61,0))="","",INDEX(offices!$X$2:$X$61,MATCH($B142,offices!$A$2:$A$61,0))),""))</f>
        <v/>
      </c>
      <c r="V142" s="25">
        <f>IF($B142="","",IFERROR(IF(INDEX(offices!$U$2:$U$61,MATCH($B142,offices!$A$2:$A$61,0))="","",INDEX(offices!$U$2:$U$61,MATCH($B142,offices!$A$2:$A$61,0))),""))</f>
        <v/>
      </c>
      <c r="W142" s="25">
        <f>IF($B142="","",IFERROR(IF(INDEX(offices!$AI$2:$AI$61,MATCH($B142,offices!$A$2:$A$61,0))="","",INDEX(offices!$AI$2:$AI$61,MATCH($B142,offices!$A$2:$A$61,0))),""))</f>
        <v/>
      </c>
      <c r="X142" s="25">
        <f>IF($B142="","",IFERROR(IF(INDEX(offices!$G$2:$G$61,MATCH($B142,offices!$A$2:$A$61,0))="","",INDEX(offices!$G$2:$G$61,MATCH($B142,offices!$A$2:$A$61,0))),""))</f>
        <v/>
      </c>
      <c r="Y142" s="25">
        <f>IF($B142="","",IFERROR(IF(INDEX(offices!$I$2:$I$61,MATCH($B142,offices!$A$2:$A$61,0))="","",INDEX(offices!$I$2:$I$61,MATCH($B142,offices!$A$2:$A$61,0))),""))</f>
        <v/>
      </c>
      <c r="Z142" s="25">
        <f>IF($A142="","",COUNTIFS(approvals!$H$2:$H$251,$A142,approvals!$B$2:$B$251,$B142,approvals!$P$2:$P$251,"Y"))</f>
        <v/>
      </c>
      <c r="AA142" s="25">
        <f>IF($A142="","",SUMIFS(approvals!$S$2:$S$251,approvals!$H$2:$H$251,$A142,approvals!$B$2:$B$251,$B142,approvals!$P$2:$P$251,"Y"))</f>
        <v/>
      </c>
      <c r="AB142" s="25">
        <f>IF(OR($A142="",$P142=""),"",IF(COUNTIFS(stops!$B$2:$B$151,$B142,stops!$P$2:$P$151,"&lt;"&amp;$P142,stops!$L$2:$L$151,"&lt;&gt;not_delivered")=0,"Y","N"))</f>
        <v/>
      </c>
      <c r="AC142" s="25">
        <f>IF(OR($I142="",$J142=""),"",ROUND(($J142-$I142)*1440,0))</f>
        <v/>
      </c>
      <c r="AD142" s="25">
        <f>IF($A142="","",IF(COUNTIFS(stops!$A$2:$A$151,$A142,stops!$B$2:$B$151,$B142)&gt;1,"DUPLICATE stop; ","")&amp;IF(AND(OR(IFERROR(IF(INDEX(offices!$Z$2:$Z$61,MATCH($B142,offices!$A$2:$A$61,0))="","",INDEX(offices!$Z$2:$Z$61,MATCH($B142,offices!$A$2:$A$61,0))),"")="yes",IFERROR(IF(INDEX(offices!$Z$2:$Z$61,MATCH($B142,offices!$A$2:$A$61,0))="","",INDEX(offices!$Z$2:$Z$61,MATCH($B142,offices!$A$2:$A$61,0))),"")="unsure"),$Y142&lt;&gt;"received",$Y142&lt;&gt;"not_needed"),"building certificate not received; ","")&amp;IF($W142="","owner phone missing; ","")&amp;IF(N($Z142)=0,"no approved brand for this stop; ","")&amp;IF(AND($P142&lt;&gt;"",IF(config!$B$37&lt;&gt;"",config!$B$37,TODAY())&gt;$P142,$L142=""),"log the outcome; ","")&amp;IF(AND(OR($L142="declined",$L142="building_refused",$L142="not_delivered"),N($Z142)&gt;0,COUNTIFS(approvals!$H$2:$H$251,$A142,approvals!$B$2:$B$251,$B142,approvals!$P$2:$P$251,"Y",approvals!$U$2:$U$251,"&gt;0")&gt;=N($Z142)),"outcome says "&amp;$L142&amp;" but every brand here is logged delivered: fix the outcome, or delete the wrong delivered rows (SOP section 4); ","")&amp;IF(AND(OR($L142="declined",$L142="building_refused",$L142="not_delivered"),COUNTIFS(approvals!$H$2:$H$251,$A142,approvals!$B$2:$B$251,$B142,approvals!$P$2:$P$251,"Y",approvals!$U$2:$U$251,"&gt;0")&gt;0,COUNTIFS(approvals!$H$2:$H$251,$A142,approvals!$B$2:$B$251,$B142,approvals!$P$2:$P$251,"Y",approvals!$U$2:$U$251,"&gt;0")&lt;N($Z142)),"info: "&amp;(N($Z142)-COUNTIFS(approvals!$H$2:$H$251,$A142,approvals!$B$2:$B$251,$B142,approvals!$P$2:$P$251,"Y",approvals!$U$2:$U$251,"&gt;0"))&amp;" brand(s) turned away at the door, the rest delivered; ","")&amp;IF(AND($AB142="Y",IFERROR(IF(INDEX(drops!$C$2:$C$21,MATCH($A142,drops!$A$2:$A$21,0))="","",INDEX(drops!$C$2:$C$21,MATCH($A142,drops!$A$2:$A$21,0))),"")="direct-ship"),"info: first drop: visit in person on T; ","")&amp;IF(AND($U142="front desk",$X142&lt;&gt;"Y"),"info: front desk not agreed: the owner must take it; ",""))</f>
        <v/>
      </c>
    </row>
    <row r="143">
      <c r="D143" s="33" t="n"/>
      <c r="E143" s="9" t="n"/>
      <c r="F143" s="9" t="n"/>
      <c r="G143" s="9" t="n"/>
      <c r="I143" s="33" t="n"/>
      <c r="J143" s="33" t="n"/>
      <c r="N143" s="9" t="n"/>
      <c r="P143" s="26">
        <f>IF($A143="","",IF(IFERROR(IF(INDEX(drops!$I$2:$I$21,MATCH($A143,drops!$A$2:$A$21,0))="","",INDEX(drops!$I$2:$I$21,MATCH($A143,drops!$A$2:$A$21,0))),"")="OK",IFERROR(IF(INDEX(drops!$B$2:$B$21,MATCH($A143,drops!$A$2:$A$21,0))="","",INDEX(drops!$B$2:$B$21,MATCH($A143,drops!$A$2:$A$21,0))),""),""))</f>
        <v/>
      </c>
      <c r="Q143" s="25">
        <f>IF($B143="","",IFERROR(IF(INDEX(offices!$N$2:$N$61,MATCH($B143,offices!$A$2:$A$61,0))="","",INDEX(offices!$N$2:$N$61,MATCH($B143,offices!$A$2:$A$61,0))),""))</f>
        <v/>
      </c>
      <c r="R143" s="25">
        <f>IF($B143="","",IFERROR(IF(INDEX(offices!$O$2:$O$61,MATCH($B143,offices!$A$2:$A$61,0))="","",INDEX(offices!$O$2:$O$61,MATCH($B143,offices!$A$2:$A$61,0))),""))</f>
        <v/>
      </c>
      <c r="S143" s="25">
        <f>IF($B143="","",IFERROR(IF(INDEX(offices!$P$2:$P$61,MATCH($B143,offices!$A$2:$A$61,0))="","",INDEX(offices!$P$2:$P$61,MATCH($B143,offices!$A$2:$A$61,0))),""))</f>
        <v/>
      </c>
      <c r="T143" s="25">
        <f>IF($B143="","",IFERROR(IF(INDEX(offices!$Y$2:$Y$61,MATCH($B143,offices!$A$2:$A$61,0))="","",INDEX(offices!$Y$2:$Y$61,MATCH($B143,offices!$A$2:$A$61,0))),""))</f>
        <v/>
      </c>
      <c r="U143" s="25">
        <f>IF($B143="","",IFERROR(IF(INDEX(offices!$X$2:$X$61,MATCH($B143,offices!$A$2:$A$61,0))="","",INDEX(offices!$X$2:$X$61,MATCH($B143,offices!$A$2:$A$61,0))),""))</f>
        <v/>
      </c>
      <c r="V143" s="25">
        <f>IF($B143="","",IFERROR(IF(INDEX(offices!$U$2:$U$61,MATCH($B143,offices!$A$2:$A$61,0))="","",INDEX(offices!$U$2:$U$61,MATCH($B143,offices!$A$2:$A$61,0))),""))</f>
        <v/>
      </c>
      <c r="W143" s="25">
        <f>IF($B143="","",IFERROR(IF(INDEX(offices!$AI$2:$AI$61,MATCH($B143,offices!$A$2:$A$61,0))="","",INDEX(offices!$AI$2:$AI$61,MATCH($B143,offices!$A$2:$A$61,0))),""))</f>
        <v/>
      </c>
      <c r="X143" s="25">
        <f>IF($B143="","",IFERROR(IF(INDEX(offices!$G$2:$G$61,MATCH($B143,offices!$A$2:$A$61,0))="","",INDEX(offices!$G$2:$G$61,MATCH($B143,offices!$A$2:$A$61,0))),""))</f>
        <v/>
      </c>
      <c r="Y143" s="25">
        <f>IF($B143="","",IFERROR(IF(INDEX(offices!$I$2:$I$61,MATCH($B143,offices!$A$2:$A$61,0))="","",INDEX(offices!$I$2:$I$61,MATCH($B143,offices!$A$2:$A$61,0))),""))</f>
        <v/>
      </c>
      <c r="Z143" s="25">
        <f>IF($A143="","",COUNTIFS(approvals!$H$2:$H$251,$A143,approvals!$B$2:$B$251,$B143,approvals!$P$2:$P$251,"Y"))</f>
        <v/>
      </c>
      <c r="AA143" s="25">
        <f>IF($A143="","",SUMIFS(approvals!$S$2:$S$251,approvals!$H$2:$H$251,$A143,approvals!$B$2:$B$251,$B143,approvals!$P$2:$P$251,"Y"))</f>
        <v/>
      </c>
      <c r="AB143" s="25">
        <f>IF(OR($A143="",$P143=""),"",IF(COUNTIFS(stops!$B$2:$B$151,$B143,stops!$P$2:$P$151,"&lt;"&amp;$P143,stops!$L$2:$L$151,"&lt;&gt;not_delivered")=0,"Y","N"))</f>
        <v/>
      </c>
      <c r="AC143" s="25">
        <f>IF(OR($I143="",$J143=""),"",ROUND(($J143-$I143)*1440,0))</f>
        <v/>
      </c>
      <c r="AD143" s="25">
        <f>IF($A143="","",IF(COUNTIFS(stops!$A$2:$A$151,$A143,stops!$B$2:$B$151,$B143)&gt;1,"DUPLICATE stop; ","")&amp;IF(AND(OR(IFERROR(IF(INDEX(offices!$Z$2:$Z$61,MATCH($B143,offices!$A$2:$A$61,0))="","",INDEX(offices!$Z$2:$Z$61,MATCH($B143,offices!$A$2:$A$61,0))),"")="yes",IFERROR(IF(INDEX(offices!$Z$2:$Z$61,MATCH($B143,offices!$A$2:$A$61,0))="","",INDEX(offices!$Z$2:$Z$61,MATCH($B143,offices!$A$2:$A$61,0))),"")="unsure"),$Y143&lt;&gt;"received",$Y143&lt;&gt;"not_needed"),"building certificate not received; ","")&amp;IF($W143="","owner phone missing; ","")&amp;IF(N($Z143)=0,"no approved brand for this stop; ","")&amp;IF(AND($P143&lt;&gt;"",IF(config!$B$37&lt;&gt;"",config!$B$37,TODAY())&gt;$P143,$L143=""),"log the outcome; ","")&amp;IF(AND(OR($L143="declined",$L143="building_refused",$L143="not_delivered"),N($Z143)&gt;0,COUNTIFS(approvals!$H$2:$H$251,$A143,approvals!$B$2:$B$251,$B143,approvals!$P$2:$P$251,"Y",approvals!$U$2:$U$251,"&gt;0")&gt;=N($Z143)),"outcome says "&amp;$L143&amp;" but every brand here is logged delivered: fix the outcome, or delete the wrong delivered rows (SOP section 4); ","")&amp;IF(AND(OR($L143="declined",$L143="building_refused",$L143="not_delivered"),COUNTIFS(approvals!$H$2:$H$251,$A143,approvals!$B$2:$B$251,$B143,approvals!$P$2:$P$251,"Y",approvals!$U$2:$U$251,"&gt;0")&gt;0,COUNTIFS(approvals!$H$2:$H$251,$A143,approvals!$B$2:$B$251,$B143,approvals!$P$2:$P$251,"Y",approvals!$U$2:$U$251,"&gt;0")&lt;N($Z143)),"info: "&amp;(N($Z143)-COUNTIFS(approvals!$H$2:$H$251,$A143,approvals!$B$2:$B$251,$B143,approvals!$P$2:$P$251,"Y",approvals!$U$2:$U$251,"&gt;0"))&amp;" brand(s) turned away at the door, the rest delivered; ","")&amp;IF(AND($AB143="Y",IFERROR(IF(INDEX(drops!$C$2:$C$21,MATCH($A143,drops!$A$2:$A$21,0))="","",INDEX(drops!$C$2:$C$21,MATCH($A143,drops!$A$2:$A$21,0))),"")="direct-ship"),"info: first drop: visit in person on T; ","")&amp;IF(AND($U143="front desk",$X143&lt;&gt;"Y"),"info: front desk not agreed: the owner must take it; ",""))</f>
        <v/>
      </c>
    </row>
    <row r="144">
      <c r="D144" s="33" t="n"/>
      <c r="E144" s="9" t="n"/>
      <c r="F144" s="9" t="n"/>
      <c r="G144" s="9" t="n"/>
      <c r="I144" s="33" t="n"/>
      <c r="J144" s="33" t="n"/>
      <c r="N144" s="9" t="n"/>
      <c r="P144" s="26">
        <f>IF($A144="","",IF(IFERROR(IF(INDEX(drops!$I$2:$I$21,MATCH($A144,drops!$A$2:$A$21,0))="","",INDEX(drops!$I$2:$I$21,MATCH($A144,drops!$A$2:$A$21,0))),"")="OK",IFERROR(IF(INDEX(drops!$B$2:$B$21,MATCH($A144,drops!$A$2:$A$21,0))="","",INDEX(drops!$B$2:$B$21,MATCH($A144,drops!$A$2:$A$21,0))),""),""))</f>
        <v/>
      </c>
      <c r="Q144" s="25">
        <f>IF($B144="","",IFERROR(IF(INDEX(offices!$N$2:$N$61,MATCH($B144,offices!$A$2:$A$61,0))="","",INDEX(offices!$N$2:$N$61,MATCH($B144,offices!$A$2:$A$61,0))),""))</f>
        <v/>
      </c>
      <c r="R144" s="25">
        <f>IF($B144="","",IFERROR(IF(INDEX(offices!$O$2:$O$61,MATCH($B144,offices!$A$2:$A$61,0))="","",INDEX(offices!$O$2:$O$61,MATCH($B144,offices!$A$2:$A$61,0))),""))</f>
        <v/>
      </c>
      <c r="S144" s="25">
        <f>IF($B144="","",IFERROR(IF(INDEX(offices!$P$2:$P$61,MATCH($B144,offices!$A$2:$A$61,0))="","",INDEX(offices!$P$2:$P$61,MATCH($B144,offices!$A$2:$A$61,0))),""))</f>
        <v/>
      </c>
      <c r="T144" s="25">
        <f>IF($B144="","",IFERROR(IF(INDEX(offices!$Y$2:$Y$61,MATCH($B144,offices!$A$2:$A$61,0))="","",INDEX(offices!$Y$2:$Y$61,MATCH($B144,offices!$A$2:$A$61,0))),""))</f>
        <v/>
      </c>
      <c r="U144" s="25">
        <f>IF($B144="","",IFERROR(IF(INDEX(offices!$X$2:$X$61,MATCH($B144,offices!$A$2:$A$61,0))="","",INDEX(offices!$X$2:$X$61,MATCH($B144,offices!$A$2:$A$61,0))),""))</f>
        <v/>
      </c>
      <c r="V144" s="25">
        <f>IF($B144="","",IFERROR(IF(INDEX(offices!$U$2:$U$61,MATCH($B144,offices!$A$2:$A$61,0))="","",INDEX(offices!$U$2:$U$61,MATCH($B144,offices!$A$2:$A$61,0))),""))</f>
        <v/>
      </c>
      <c r="W144" s="25">
        <f>IF($B144="","",IFERROR(IF(INDEX(offices!$AI$2:$AI$61,MATCH($B144,offices!$A$2:$A$61,0))="","",INDEX(offices!$AI$2:$AI$61,MATCH($B144,offices!$A$2:$A$61,0))),""))</f>
        <v/>
      </c>
      <c r="X144" s="25">
        <f>IF($B144="","",IFERROR(IF(INDEX(offices!$G$2:$G$61,MATCH($B144,offices!$A$2:$A$61,0))="","",INDEX(offices!$G$2:$G$61,MATCH($B144,offices!$A$2:$A$61,0))),""))</f>
        <v/>
      </c>
      <c r="Y144" s="25">
        <f>IF($B144="","",IFERROR(IF(INDEX(offices!$I$2:$I$61,MATCH($B144,offices!$A$2:$A$61,0))="","",INDEX(offices!$I$2:$I$61,MATCH($B144,offices!$A$2:$A$61,0))),""))</f>
        <v/>
      </c>
      <c r="Z144" s="25">
        <f>IF($A144="","",COUNTIFS(approvals!$H$2:$H$251,$A144,approvals!$B$2:$B$251,$B144,approvals!$P$2:$P$251,"Y"))</f>
        <v/>
      </c>
      <c r="AA144" s="25">
        <f>IF($A144="","",SUMIFS(approvals!$S$2:$S$251,approvals!$H$2:$H$251,$A144,approvals!$B$2:$B$251,$B144,approvals!$P$2:$P$251,"Y"))</f>
        <v/>
      </c>
      <c r="AB144" s="25">
        <f>IF(OR($A144="",$P144=""),"",IF(COUNTIFS(stops!$B$2:$B$151,$B144,stops!$P$2:$P$151,"&lt;"&amp;$P144,stops!$L$2:$L$151,"&lt;&gt;not_delivered")=0,"Y","N"))</f>
        <v/>
      </c>
      <c r="AC144" s="25">
        <f>IF(OR($I144="",$J144=""),"",ROUND(($J144-$I144)*1440,0))</f>
        <v/>
      </c>
      <c r="AD144" s="25">
        <f>IF($A144="","",IF(COUNTIFS(stops!$A$2:$A$151,$A144,stops!$B$2:$B$151,$B144)&gt;1,"DUPLICATE stop; ","")&amp;IF(AND(OR(IFERROR(IF(INDEX(offices!$Z$2:$Z$61,MATCH($B144,offices!$A$2:$A$61,0))="","",INDEX(offices!$Z$2:$Z$61,MATCH($B144,offices!$A$2:$A$61,0))),"")="yes",IFERROR(IF(INDEX(offices!$Z$2:$Z$61,MATCH($B144,offices!$A$2:$A$61,0))="","",INDEX(offices!$Z$2:$Z$61,MATCH($B144,offices!$A$2:$A$61,0))),"")="unsure"),$Y144&lt;&gt;"received",$Y144&lt;&gt;"not_needed"),"building certificate not received; ","")&amp;IF($W144="","owner phone missing; ","")&amp;IF(N($Z144)=0,"no approved brand for this stop; ","")&amp;IF(AND($P144&lt;&gt;"",IF(config!$B$37&lt;&gt;"",config!$B$37,TODAY())&gt;$P144,$L144=""),"log the outcome; ","")&amp;IF(AND(OR($L144="declined",$L144="building_refused",$L144="not_delivered"),N($Z144)&gt;0,COUNTIFS(approvals!$H$2:$H$251,$A144,approvals!$B$2:$B$251,$B144,approvals!$P$2:$P$251,"Y",approvals!$U$2:$U$251,"&gt;0")&gt;=N($Z144)),"outcome says "&amp;$L144&amp;" but every brand here is logged delivered: fix the outcome, or delete the wrong delivered rows (SOP section 4); ","")&amp;IF(AND(OR($L144="declined",$L144="building_refused",$L144="not_delivered"),COUNTIFS(approvals!$H$2:$H$251,$A144,approvals!$B$2:$B$251,$B144,approvals!$P$2:$P$251,"Y",approvals!$U$2:$U$251,"&gt;0")&gt;0,COUNTIFS(approvals!$H$2:$H$251,$A144,approvals!$B$2:$B$251,$B144,approvals!$P$2:$P$251,"Y",approvals!$U$2:$U$251,"&gt;0")&lt;N($Z144)),"info: "&amp;(N($Z144)-COUNTIFS(approvals!$H$2:$H$251,$A144,approvals!$B$2:$B$251,$B144,approvals!$P$2:$P$251,"Y",approvals!$U$2:$U$251,"&gt;0"))&amp;" brand(s) turned away at the door, the rest delivered; ","")&amp;IF(AND($AB144="Y",IFERROR(IF(INDEX(drops!$C$2:$C$21,MATCH($A144,drops!$A$2:$A$21,0))="","",INDEX(drops!$C$2:$C$21,MATCH($A144,drops!$A$2:$A$21,0))),"")="direct-ship"),"info: first drop: visit in person on T; ","")&amp;IF(AND($U144="front desk",$X144&lt;&gt;"Y"),"info: front desk not agreed: the owner must take it; ",""))</f>
        <v/>
      </c>
    </row>
    <row r="145">
      <c r="D145" s="33" t="n"/>
      <c r="E145" s="9" t="n"/>
      <c r="F145" s="9" t="n"/>
      <c r="G145" s="9" t="n"/>
      <c r="I145" s="33" t="n"/>
      <c r="J145" s="33" t="n"/>
      <c r="N145" s="9" t="n"/>
      <c r="P145" s="26">
        <f>IF($A145="","",IF(IFERROR(IF(INDEX(drops!$I$2:$I$21,MATCH($A145,drops!$A$2:$A$21,0))="","",INDEX(drops!$I$2:$I$21,MATCH($A145,drops!$A$2:$A$21,0))),"")="OK",IFERROR(IF(INDEX(drops!$B$2:$B$21,MATCH($A145,drops!$A$2:$A$21,0))="","",INDEX(drops!$B$2:$B$21,MATCH($A145,drops!$A$2:$A$21,0))),""),""))</f>
        <v/>
      </c>
      <c r="Q145" s="25">
        <f>IF($B145="","",IFERROR(IF(INDEX(offices!$N$2:$N$61,MATCH($B145,offices!$A$2:$A$61,0))="","",INDEX(offices!$N$2:$N$61,MATCH($B145,offices!$A$2:$A$61,0))),""))</f>
        <v/>
      </c>
      <c r="R145" s="25">
        <f>IF($B145="","",IFERROR(IF(INDEX(offices!$O$2:$O$61,MATCH($B145,offices!$A$2:$A$61,0))="","",INDEX(offices!$O$2:$O$61,MATCH($B145,offices!$A$2:$A$61,0))),""))</f>
        <v/>
      </c>
      <c r="S145" s="25">
        <f>IF($B145="","",IFERROR(IF(INDEX(offices!$P$2:$P$61,MATCH($B145,offices!$A$2:$A$61,0))="","",INDEX(offices!$P$2:$P$61,MATCH($B145,offices!$A$2:$A$61,0))),""))</f>
        <v/>
      </c>
      <c r="T145" s="25">
        <f>IF($B145="","",IFERROR(IF(INDEX(offices!$Y$2:$Y$61,MATCH($B145,offices!$A$2:$A$61,0))="","",INDEX(offices!$Y$2:$Y$61,MATCH($B145,offices!$A$2:$A$61,0))),""))</f>
        <v/>
      </c>
      <c r="U145" s="25">
        <f>IF($B145="","",IFERROR(IF(INDEX(offices!$X$2:$X$61,MATCH($B145,offices!$A$2:$A$61,0))="","",INDEX(offices!$X$2:$X$61,MATCH($B145,offices!$A$2:$A$61,0))),""))</f>
        <v/>
      </c>
      <c r="V145" s="25">
        <f>IF($B145="","",IFERROR(IF(INDEX(offices!$U$2:$U$61,MATCH($B145,offices!$A$2:$A$61,0))="","",INDEX(offices!$U$2:$U$61,MATCH($B145,offices!$A$2:$A$61,0))),""))</f>
        <v/>
      </c>
      <c r="W145" s="25">
        <f>IF($B145="","",IFERROR(IF(INDEX(offices!$AI$2:$AI$61,MATCH($B145,offices!$A$2:$A$61,0))="","",INDEX(offices!$AI$2:$AI$61,MATCH($B145,offices!$A$2:$A$61,0))),""))</f>
        <v/>
      </c>
      <c r="X145" s="25">
        <f>IF($B145="","",IFERROR(IF(INDEX(offices!$G$2:$G$61,MATCH($B145,offices!$A$2:$A$61,0))="","",INDEX(offices!$G$2:$G$61,MATCH($B145,offices!$A$2:$A$61,0))),""))</f>
        <v/>
      </c>
      <c r="Y145" s="25">
        <f>IF($B145="","",IFERROR(IF(INDEX(offices!$I$2:$I$61,MATCH($B145,offices!$A$2:$A$61,0))="","",INDEX(offices!$I$2:$I$61,MATCH($B145,offices!$A$2:$A$61,0))),""))</f>
        <v/>
      </c>
      <c r="Z145" s="25">
        <f>IF($A145="","",COUNTIFS(approvals!$H$2:$H$251,$A145,approvals!$B$2:$B$251,$B145,approvals!$P$2:$P$251,"Y"))</f>
        <v/>
      </c>
      <c r="AA145" s="25">
        <f>IF($A145="","",SUMIFS(approvals!$S$2:$S$251,approvals!$H$2:$H$251,$A145,approvals!$B$2:$B$251,$B145,approvals!$P$2:$P$251,"Y"))</f>
        <v/>
      </c>
      <c r="AB145" s="25">
        <f>IF(OR($A145="",$P145=""),"",IF(COUNTIFS(stops!$B$2:$B$151,$B145,stops!$P$2:$P$151,"&lt;"&amp;$P145,stops!$L$2:$L$151,"&lt;&gt;not_delivered")=0,"Y","N"))</f>
        <v/>
      </c>
      <c r="AC145" s="25">
        <f>IF(OR($I145="",$J145=""),"",ROUND(($J145-$I145)*1440,0))</f>
        <v/>
      </c>
      <c r="AD145" s="25">
        <f>IF($A145="","",IF(COUNTIFS(stops!$A$2:$A$151,$A145,stops!$B$2:$B$151,$B145)&gt;1,"DUPLICATE stop; ","")&amp;IF(AND(OR(IFERROR(IF(INDEX(offices!$Z$2:$Z$61,MATCH($B145,offices!$A$2:$A$61,0))="","",INDEX(offices!$Z$2:$Z$61,MATCH($B145,offices!$A$2:$A$61,0))),"")="yes",IFERROR(IF(INDEX(offices!$Z$2:$Z$61,MATCH($B145,offices!$A$2:$A$61,0))="","",INDEX(offices!$Z$2:$Z$61,MATCH($B145,offices!$A$2:$A$61,0))),"")="unsure"),$Y145&lt;&gt;"received",$Y145&lt;&gt;"not_needed"),"building certificate not received; ","")&amp;IF($W145="","owner phone missing; ","")&amp;IF(N($Z145)=0,"no approved brand for this stop; ","")&amp;IF(AND($P145&lt;&gt;"",IF(config!$B$37&lt;&gt;"",config!$B$37,TODAY())&gt;$P145,$L145=""),"log the outcome; ","")&amp;IF(AND(OR($L145="declined",$L145="building_refused",$L145="not_delivered"),N($Z145)&gt;0,COUNTIFS(approvals!$H$2:$H$251,$A145,approvals!$B$2:$B$251,$B145,approvals!$P$2:$P$251,"Y",approvals!$U$2:$U$251,"&gt;0")&gt;=N($Z145)),"outcome says "&amp;$L145&amp;" but every brand here is logged delivered: fix the outcome, or delete the wrong delivered rows (SOP section 4); ","")&amp;IF(AND(OR($L145="declined",$L145="building_refused",$L145="not_delivered"),COUNTIFS(approvals!$H$2:$H$251,$A145,approvals!$B$2:$B$251,$B145,approvals!$P$2:$P$251,"Y",approvals!$U$2:$U$251,"&gt;0")&gt;0,COUNTIFS(approvals!$H$2:$H$251,$A145,approvals!$B$2:$B$251,$B145,approvals!$P$2:$P$251,"Y",approvals!$U$2:$U$251,"&gt;0")&lt;N($Z145)),"info: "&amp;(N($Z145)-COUNTIFS(approvals!$H$2:$H$251,$A145,approvals!$B$2:$B$251,$B145,approvals!$P$2:$P$251,"Y",approvals!$U$2:$U$251,"&gt;0"))&amp;" brand(s) turned away at the door, the rest delivered; ","")&amp;IF(AND($AB145="Y",IFERROR(IF(INDEX(drops!$C$2:$C$21,MATCH($A145,drops!$A$2:$A$21,0))="","",INDEX(drops!$C$2:$C$21,MATCH($A145,drops!$A$2:$A$21,0))),"")="direct-ship"),"info: first drop: visit in person on T; ","")&amp;IF(AND($U145="front desk",$X145&lt;&gt;"Y"),"info: front desk not agreed: the owner must take it; ",""))</f>
        <v/>
      </c>
    </row>
    <row r="146">
      <c r="D146" s="33" t="n"/>
      <c r="E146" s="9" t="n"/>
      <c r="F146" s="9" t="n"/>
      <c r="G146" s="9" t="n"/>
      <c r="I146" s="33" t="n"/>
      <c r="J146" s="33" t="n"/>
      <c r="N146" s="9" t="n"/>
      <c r="P146" s="26">
        <f>IF($A146="","",IF(IFERROR(IF(INDEX(drops!$I$2:$I$21,MATCH($A146,drops!$A$2:$A$21,0))="","",INDEX(drops!$I$2:$I$21,MATCH($A146,drops!$A$2:$A$21,0))),"")="OK",IFERROR(IF(INDEX(drops!$B$2:$B$21,MATCH($A146,drops!$A$2:$A$21,0))="","",INDEX(drops!$B$2:$B$21,MATCH($A146,drops!$A$2:$A$21,0))),""),""))</f>
        <v/>
      </c>
      <c r="Q146" s="25">
        <f>IF($B146="","",IFERROR(IF(INDEX(offices!$N$2:$N$61,MATCH($B146,offices!$A$2:$A$61,0))="","",INDEX(offices!$N$2:$N$61,MATCH($B146,offices!$A$2:$A$61,0))),""))</f>
        <v/>
      </c>
      <c r="R146" s="25">
        <f>IF($B146="","",IFERROR(IF(INDEX(offices!$O$2:$O$61,MATCH($B146,offices!$A$2:$A$61,0))="","",INDEX(offices!$O$2:$O$61,MATCH($B146,offices!$A$2:$A$61,0))),""))</f>
        <v/>
      </c>
      <c r="S146" s="25">
        <f>IF($B146="","",IFERROR(IF(INDEX(offices!$P$2:$P$61,MATCH($B146,offices!$A$2:$A$61,0))="","",INDEX(offices!$P$2:$P$61,MATCH($B146,offices!$A$2:$A$61,0))),""))</f>
        <v/>
      </c>
      <c r="T146" s="25">
        <f>IF($B146="","",IFERROR(IF(INDEX(offices!$Y$2:$Y$61,MATCH($B146,offices!$A$2:$A$61,0))="","",INDEX(offices!$Y$2:$Y$61,MATCH($B146,offices!$A$2:$A$61,0))),""))</f>
        <v/>
      </c>
      <c r="U146" s="25">
        <f>IF($B146="","",IFERROR(IF(INDEX(offices!$X$2:$X$61,MATCH($B146,offices!$A$2:$A$61,0))="","",INDEX(offices!$X$2:$X$61,MATCH($B146,offices!$A$2:$A$61,0))),""))</f>
        <v/>
      </c>
      <c r="V146" s="25">
        <f>IF($B146="","",IFERROR(IF(INDEX(offices!$U$2:$U$61,MATCH($B146,offices!$A$2:$A$61,0))="","",INDEX(offices!$U$2:$U$61,MATCH($B146,offices!$A$2:$A$61,0))),""))</f>
        <v/>
      </c>
      <c r="W146" s="25">
        <f>IF($B146="","",IFERROR(IF(INDEX(offices!$AI$2:$AI$61,MATCH($B146,offices!$A$2:$A$61,0))="","",INDEX(offices!$AI$2:$AI$61,MATCH($B146,offices!$A$2:$A$61,0))),""))</f>
        <v/>
      </c>
      <c r="X146" s="25">
        <f>IF($B146="","",IFERROR(IF(INDEX(offices!$G$2:$G$61,MATCH($B146,offices!$A$2:$A$61,0))="","",INDEX(offices!$G$2:$G$61,MATCH($B146,offices!$A$2:$A$61,0))),""))</f>
        <v/>
      </c>
      <c r="Y146" s="25">
        <f>IF($B146="","",IFERROR(IF(INDEX(offices!$I$2:$I$61,MATCH($B146,offices!$A$2:$A$61,0))="","",INDEX(offices!$I$2:$I$61,MATCH($B146,offices!$A$2:$A$61,0))),""))</f>
        <v/>
      </c>
      <c r="Z146" s="25">
        <f>IF($A146="","",COUNTIFS(approvals!$H$2:$H$251,$A146,approvals!$B$2:$B$251,$B146,approvals!$P$2:$P$251,"Y"))</f>
        <v/>
      </c>
      <c r="AA146" s="25">
        <f>IF($A146="","",SUMIFS(approvals!$S$2:$S$251,approvals!$H$2:$H$251,$A146,approvals!$B$2:$B$251,$B146,approvals!$P$2:$P$251,"Y"))</f>
        <v/>
      </c>
      <c r="AB146" s="25">
        <f>IF(OR($A146="",$P146=""),"",IF(COUNTIFS(stops!$B$2:$B$151,$B146,stops!$P$2:$P$151,"&lt;"&amp;$P146,stops!$L$2:$L$151,"&lt;&gt;not_delivered")=0,"Y","N"))</f>
        <v/>
      </c>
      <c r="AC146" s="25">
        <f>IF(OR($I146="",$J146=""),"",ROUND(($J146-$I146)*1440,0))</f>
        <v/>
      </c>
      <c r="AD146" s="25">
        <f>IF($A146="","",IF(COUNTIFS(stops!$A$2:$A$151,$A146,stops!$B$2:$B$151,$B146)&gt;1,"DUPLICATE stop; ","")&amp;IF(AND(OR(IFERROR(IF(INDEX(offices!$Z$2:$Z$61,MATCH($B146,offices!$A$2:$A$61,0))="","",INDEX(offices!$Z$2:$Z$61,MATCH($B146,offices!$A$2:$A$61,0))),"")="yes",IFERROR(IF(INDEX(offices!$Z$2:$Z$61,MATCH($B146,offices!$A$2:$A$61,0))="","",INDEX(offices!$Z$2:$Z$61,MATCH($B146,offices!$A$2:$A$61,0))),"")="unsure"),$Y146&lt;&gt;"received",$Y146&lt;&gt;"not_needed"),"building certificate not received; ","")&amp;IF($W146="","owner phone missing; ","")&amp;IF(N($Z146)=0,"no approved brand for this stop; ","")&amp;IF(AND($P146&lt;&gt;"",IF(config!$B$37&lt;&gt;"",config!$B$37,TODAY())&gt;$P146,$L146=""),"log the outcome; ","")&amp;IF(AND(OR($L146="declined",$L146="building_refused",$L146="not_delivered"),N($Z146)&gt;0,COUNTIFS(approvals!$H$2:$H$251,$A146,approvals!$B$2:$B$251,$B146,approvals!$P$2:$P$251,"Y",approvals!$U$2:$U$251,"&gt;0")&gt;=N($Z146)),"outcome says "&amp;$L146&amp;" but every brand here is logged delivered: fix the outcome, or delete the wrong delivered rows (SOP section 4); ","")&amp;IF(AND(OR($L146="declined",$L146="building_refused",$L146="not_delivered"),COUNTIFS(approvals!$H$2:$H$251,$A146,approvals!$B$2:$B$251,$B146,approvals!$P$2:$P$251,"Y",approvals!$U$2:$U$251,"&gt;0")&gt;0,COUNTIFS(approvals!$H$2:$H$251,$A146,approvals!$B$2:$B$251,$B146,approvals!$P$2:$P$251,"Y",approvals!$U$2:$U$251,"&gt;0")&lt;N($Z146)),"info: "&amp;(N($Z146)-COUNTIFS(approvals!$H$2:$H$251,$A146,approvals!$B$2:$B$251,$B146,approvals!$P$2:$P$251,"Y",approvals!$U$2:$U$251,"&gt;0"))&amp;" brand(s) turned away at the door, the rest delivered; ","")&amp;IF(AND($AB146="Y",IFERROR(IF(INDEX(drops!$C$2:$C$21,MATCH($A146,drops!$A$2:$A$21,0))="","",INDEX(drops!$C$2:$C$21,MATCH($A146,drops!$A$2:$A$21,0))),"")="direct-ship"),"info: first drop: visit in person on T; ","")&amp;IF(AND($U146="front desk",$X146&lt;&gt;"Y"),"info: front desk not agreed: the owner must take it; ",""))</f>
        <v/>
      </c>
    </row>
    <row r="147">
      <c r="D147" s="33" t="n"/>
      <c r="E147" s="9" t="n"/>
      <c r="F147" s="9" t="n"/>
      <c r="G147" s="9" t="n"/>
      <c r="I147" s="33" t="n"/>
      <c r="J147" s="33" t="n"/>
      <c r="N147" s="9" t="n"/>
      <c r="P147" s="26">
        <f>IF($A147="","",IF(IFERROR(IF(INDEX(drops!$I$2:$I$21,MATCH($A147,drops!$A$2:$A$21,0))="","",INDEX(drops!$I$2:$I$21,MATCH($A147,drops!$A$2:$A$21,0))),"")="OK",IFERROR(IF(INDEX(drops!$B$2:$B$21,MATCH($A147,drops!$A$2:$A$21,0))="","",INDEX(drops!$B$2:$B$21,MATCH($A147,drops!$A$2:$A$21,0))),""),""))</f>
        <v/>
      </c>
      <c r="Q147" s="25">
        <f>IF($B147="","",IFERROR(IF(INDEX(offices!$N$2:$N$61,MATCH($B147,offices!$A$2:$A$61,0))="","",INDEX(offices!$N$2:$N$61,MATCH($B147,offices!$A$2:$A$61,0))),""))</f>
        <v/>
      </c>
      <c r="R147" s="25">
        <f>IF($B147="","",IFERROR(IF(INDEX(offices!$O$2:$O$61,MATCH($B147,offices!$A$2:$A$61,0))="","",INDEX(offices!$O$2:$O$61,MATCH($B147,offices!$A$2:$A$61,0))),""))</f>
        <v/>
      </c>
      <c r="S147" s="25">
        <f>IF($B147="","",IFERROR(IF(INDEX(offices!$P$2:$P$61,MATCH($B147,offices!$A$2:$A$61,0))="","",INDEX(offices!$P$2:$P$61,MATCH($B147,offices!$A$2:$A$61,0))),""))</f>
        <v/>
      </c>
      <c r="T147" s="25">
        <f>IF($B147="","",IFERROR(IF(INDEX(offices!$Y$2:$Y$61,MATCH($B147,offices!$A$2:$A$61,0))="","",INDEX(offices!$Y$2:$Y$61,MATCH($B147,offices!$A$2:$A$61,0))),""))</f>
        <v/>
      </c>
      <c r="U147" s="25">
        <f>IF($B147="","",IFERROR(IF(INDEX(offices!$X$2:$X$61,MATCH($B147,offices!$A$2:$A$61,0))="","",INDEX(offices!$X$2:$X$61,MATCH($B147,offices!$A$2:$A$61,0))),""))</f>
        <v/>
      </c>
      <c r="V147" s="25">
        <f>IF($B147="","",IFERROR(IF(INDEX(offices!$U$2:$U$61,MATCH($B147,offices!$A$2:$A$61,0))="","",INDEX(offices!$U$2:$U$61,MATCH($B147,offices!$A$2:$A$61,0))),""))</f>
        <v/>
      </c>
      <c r="W147" s="25">
        <f>IF($B147="","",IFERROR(IF(INDEX(offices!$AI$2:$AI$61,MATCH($B147,offices!$A$2:$A$61,0))="","",INDEX(offices!$AI$2:$AI$61,MATCH($B147,offices!$A$2:$A$61,0))),""))</f>
        <v/>
      </c>
      <c r="X147" s="25">
        <f>IF($B147="","",IFERROR(IF(INDEX(offices!$G$2:$G$61,MATCH($B147,offices!$A$2:$A$61,0))="","",INDEX(offices!$G$2:$G$61,MATCH($B147,offices!$A$2:$A$61,0))),""))</f>
        <v/>
      </c>
      <c r="Y147" s="25">
        <f>IF($B147="","",IFERROR(IF(INDEX(offices!$I$2:$I$61,MATCH($B147,offices!$A$2:$A$61,0))="","",INDEX(offices!$I$2:$I$61,MATCH($B147,offices!$A$2:$A$61,0))),""))</f>
        <v/>
      </c>
      <c r="Z147" s="25">
        <f>IF($A147="","",COUNTIFS(approvals!$H$2:$H$251,$A147,approvals!$B$2:$B$251,$B147,approvals!$P$2:$P$251,"Y"))</f>
        <v/>
      </c>
      <c r="AA147" s="25">
        <f>IF($A147="","",SUMIFS(approvals!$S$2:$S$251,approvals!$H$2:$H$251,$A147,approvals!$B$2:$B$251,$B147,approvals!$P$2:$P$251,"Y"))</f>
        <v/>
      </c>
      <c r="AB147" s="25">
        <f>IF(OR($A147="",$P147=""),"",IF(COUNTIFS(stops!$B$2:$B$151,$B147,stops!$P$2:$P$151,"&lt;"&amp;$P147,stops!$L$2:$L$151,"&lt;&gt;not_delivered")=0,"Y","N"))</f>
        <v/>
      </c>
      <c r="AC147" s="25">
        <f>IF(OR($I147="",$J147=""),"",ROUND(($J147-$I147)*1440,0))</f>
        <v/>
      </c>
      <c r="AD147" s="25">
        <f>IF($A147="","",IF(COUNTIFS(stops!$A$2:$A$151,$A147,stops!$B$2:$B$151,$B147)&gt;1,"DUPLICATE stop; ","")&amp;IF(AND(OR(IFERROR(IF(INDEX(offices!$Z$2:$Z$61,MATCH($B147,offices!$A$2:$A$61,0))="","",INDEX(offices!$Z$2:$Z$61,MATCH($B147,offices!$A$2:$A$61,0))),"")="yes",IFERROR(IF(INDEX(offices!$Z$2:$Z$61,MATCH($B147,offices!$A$2:$A$61,0))="","",INDEX(offices!$Z$2:$Z$61,MATCH($B147,offices!$A$2:$A$61,0))),"")="unsure"),$Y147&lt;&gt;"received",$Y147&lt;&gt;"not_needed"),"building certificate not received; ","")&amp;IF($W147="","owner phone missing; ","")&amp;IF(N($Z147)=0,"no approved brand for this stop; ","")&amp;IF(AND($P147&lt;&gt;"",IF(config!$B$37&lt;&gt;"",config!$B$37,TODAY())&gt;$P147,$L147=""),"log the outcome; ","")&amp;IF(AND(OR($L147="declined",$L147="building_refused",$L147="not_delivered"),N($Z147)&gt;0,COUNTIFS(approvals!$H$2:$H$251,$A147,approvals!$B$2:$B$251,$B147,approvals!$P$2:$P$251,"Y",approvals!$U$2:$U$251,"&gt;0")&gt;=N($Z147)),"outcome says "&amp;$L147&amp;" but every brand here is logged delivered: fix the outcome, or delete the wrong delivered rows (SOP section 4); ","")&amp;IF(AND(OR($L147="declined",$L147="building_refused",$L147="not_delivered"),COUNTIFS(approvals!$H$2:$H$251,$A147,approvals!$B$2:$B$251,$B147,approvals!$P$2:$P$251,"Y",approvals!$U$2:$U$251,"&gt;0")&gt;0,COUNTIFS(approvals!$H$2:$H$251,$A147,approvals!$B$2:$B$251,$B147,approvals!$P$2:$P$251,"Y",approvals!$U$2:$U$251,"&gt;0")&lt;N($Z147)),"info: "&amp;(N($Z147)-COUNTIFS(approvals!$H$2:$H$251,$A147,approvals!$B$2:$B$251,$B147,approvals!$P$2:$P$251,"Y",approvals!$U$2:$U$251,"&gt;0"))&amp;" brand(s) turned away at the door, the rest delivered; ","")&amp;IF(AND($AB147="Y",IFERROR(IF(INDEX(drops!$C$2:$C$21,MATCH($A147,drops!$A$2:$A$21,0))="","",INDEX(drops!$C$2:$C$21,MATCH($A147,drops!$A$2:$A$21,0))),"")="direct-ship"),"info: first drop: visit in person on T; ","")&amp;IF(AND($U147="front desk",$X147&lt;&gt;"Y"),"info: front desk not agreed: the owner must take it; ",""))</f>
        <v/>
      </c>
    </row>
    <row r="148">
      <c r="D148" s="33" t="n"/>
      <c r="E148" s="9" t="n"/>
      <c r="F148" s="9" t="n"/>
      <c r="G148" s="9" t="n"/>
      <c r="I148" s="33" t="n"/>
      <c r="J148" s="33" t="n"/>
      <c r="N148" s="9" t="n"/>
      <c r="P148" s="26">
        <f>IF($A148="","",IF(IFERROR(IF(INDEX(drops!$I$2:$I$21,MATCH($A148,drops!$A$2:$A$21,0))="","",INDEX(drops!$I$2:$I$21,MATCH($A148,drops!$A$2:$A$21,0))),"")="OK",IFERROR(IF(INDEX(drops!$B$2:$B$21,MATCH($A148,drops!$A$2:$A$21,0))="","",INDEX(drops!$B$2:$B$21,MATCH($A148,drops!$A$2:$A$21,0))),""),""))</f>
        <v/>
      </c>
      <c r="Q148" s="25">
        <f>IF($B148="","",IFERROR(IF(INDEX(offices!$N$2:$N$61,MATCH($B148,offices!$A$2:$A$61,0))="","",INDEX(offices!$N$2:$N$61,MATCH($B148,offices!$A$2:$A$61,0))),""))</f>
        <v/>
      </c>
      <c r="R148" s="25">
        <f>IF($B148="","",IFERROR(IF(INDEX(offices!$O$2:$O$61,MATCH($B148,offices!$A$2:$A$61,0))="","",INDEX(offices!$O$2:$O$61,MATCH($B148,offices!$A$2:$A$61,0))),""))</f>
        <v/>
      </c>
      <c r="S148" s="25">
        <f>IF($B148="","",IFERROR(IF(INDEX(offices!$P$2:$P$61,MATCH($B148,offices!$A$2:$A$61,0))="","",INDEX(offices!$P$2:$P$61,MATCH($B148,offices!$A$2:$A$61,0))),""))</f>
        <v/>
      </c>
      <c r="T148" s="25">
        <f>IF($B148="","",IFERROR(IF(INDEX(offices!$Y$2:$Y$61,MATCH($B148,offices!$A$2:$A$61,0))="","",INDEX(offices!$Y$2:$Y$61,MATCH($B148,offices!$A$2:$A$61,0))),""))</f>
        <v/>
      </c>
      <c r="U148" s="25">
        <f>IF($B148="","",IFERROR(IF(INDEX(offices!$X$2:$X$61,MATCH($B148,offices!$A$2:$A$61,0))="","",INDEX(offices!$X$2:$X$61,MATCH($B148,offices!$A$2:$A$61,0))),""))</f>
        <v/>
      </c>
      <c r="V148" s="25">
        <f>IF($B148="","",IFERROR(IF(INDEX(offices!$U$2:$U$61,MATCH($B148,offices!$A$2:$A$61,0))="","",INDEX(offices!$U$2:$U$61,MATCH($B148,offices!$A$2:$A$61,0))),""))</f>
        <v/>
      </c>
      <c r="W148" s="25">
        <f>IF($B148="","",IFERROR(IF(INDEX(offices!$AI$2:$AI$61,MATCH($B148,offices!$A$2:$A$61,0))="","",INDEX(offices!$AI$2:$AI$61,MATCH($B148,offices!$A$2:$A$61,0))),""))</f>
        <v/>
      </c>
      <c r="X148" s="25">
        <f>IF($B148="","",IFERROR(IF(INDEX(offices!$G$2:$G$61,MATCH($B148,offices!$A$2:$A$61,0))="","",INDEX(offices!$G$2:$G$61,MATCH($B148,offices!$A$2:$A$61,0))),""))</f>
        <v/>
      </c>
      <c r="Y148" s="25">
        <f>IF($B148="","",IFERROR(IF(INDEX(offices!$I$2:$I$61,MATCH($B148,offices!$A$2:$A$61,0))="","",INDEX(offices!$I$2:$I$61,MATCH($B148,offices!$A$2:$A$61,0))),""))</f>
        <v/>
      </c>
      <c r="Z148" s="25">
        <f>IF($A148="","",COUNTIFS(approvals!$H$2:$H$251,$A148,approvals!$B$2:$B$251,$B148,approvals!$P$2:$P$251,"Y"))</f>
        <v/>
      </c>
      <c r="AA148" s="25">
        <f>IF($A148="","",SUMIFS(approvals!$S$2:$S$251,approvals!$H$2:$H$251,$A148,approvals!$B$2:$B$251,$B148,approvals!$P$2:$P$251,"Y"))</f>
        <v/>
      </c>
      <c r="AB148" s="25">
        <f>IF(OR($A148="",$P148=""),"",IF(COUNTIFS(stops!$B$2:$B$151,$B148,stops!$P$2:$P$151,"&lt;"&amp;$P148,stops!$L$2:$L$151,"&lt;&gt;not_delivered")=0,"Y","N"))</f>
        <v/>
      </c>
      <c r="AC148" s="25">
        <f>IF(OR($I148="",$J148=""),"",ROUND(($J148-$I148)*1440,0))</f>
        <v/>
      </c>
      <c r="AD148" s="25">
        <f>IF($A148="","",IF(COUNTIFS(stops!$A$2:$A$151,$A148,stops!$B$2:$B$151,$B148)&gt;1,"DUPLICATE stop; ","")&amp;IF(AND(OR(IFERROR(IF(INDEX(offices!$Z$2:$Z$61,MATCH($B148,offices!$A$2:$A$61,0))="","",INDEX(offices!$Z$2:$Z$61,MATCH($B148,offices!$A$2:$A$61,0))),"")="yes",IFERROR(IF(INDEX(offices!$Z$2:$Z$61,MATCH($B148,offices!$A$2:$A$61,0))="","",INDEX(offices!$Z$2:$Z$61,MATCH($B148,offices!$A$2:$A$61,0))),"")="unsure"),$Y148&lt;&gt;"received",$Y148&lt;&gt;"not_needed"),"building certificate not received; ","")&amp;IF($W148="","owner phone missing; ","")&amp;IF(N($Z148)=0,"no approved brand for this stop; ","")&amp;IF(AND($P148&lt;&gt;"",IF(config!$B$37&lt;&gt;"",config!$B$37,TODAY())&gt;$P148,$L148=""),"log the outcome; ","")&amp;IF(AND(OR($L148="declined",$L148="building_refused",$L148="not_delivered"),N($Z148)&gt;0,COUNTIFS(approvals!$H$2:$H$251,$A148,approvals!$B$2:$B$251,$B148,approvals!$P$2:$P$251,"Y",approvals!$U$2:$U$251,"&gt;0")&gt;=N($Z148)),"outcome says "&amp;$L148&amp;" but every brand here is logged delivered: fix the outcome, or delete the wrong delivered rows (SOP section 4); ","")&amp;IF(AND(OR($L148="declined",$L148="building_refused",$L148="not_delivered"),COUNTIFS(approvals!$H$2:$H$251,$A148,approvals!$B$2:$B$251,$B148,approvals!$P$2:$P$251,"Y",approvals!$U$2:$U$251,"&gt;0")&gt;0,COUNTIFS(approvals!$H$2:$H$251,$A148,approvals!$B$2:$B$251,$B148,approvals!$P$2:$P$251,"Y",approvals!$U$2:$U$251,"&gt;0")&lt;N($Z148)),"info: "&amp;(N($Z148)-COUNTIFS(approvals!$H$2:$H$251,$A148,approvals!$B$2:$B$251,$B148,approvals!$P$2:$P$251,"Y",approvals!$U$2:$U$251,"&gt;0"))&amp;" brand(s) turned away at the door, the rest delivered; ","")&amp;IF(AND($AB148="Y",IFERROR(IF(INDEX(drops!$C$2:$C$21,MATCH($A148,drops!$A$2:$A$21,0))="","",INDEX(drops!$C$2:$C$21,MATCH($A148,drops!$A$2:$A$21,0))),"")="direct-ship"),"info: first drop: visit in person on T; ","")&amp;IF(AND($U148="front desk",$X148&lt;&gt;"Y"),"info: front desk not agreed: the owner must take it; ",""))</f>
        <v/>
      </c>
    </row>
    <row r="149">
      <c r="D149" s="33" t="n"/>
      <c r="E149" s="9" t="n"/>
      <c r="F149" s="9" t="n"/>
      <c r="G149" s="9" t="n"/>
      <c r="I149" s="33" t="n"/>
      <c r="J149" s="33" t="n"/>
      <c r="N149" s="9" t="n"/>
      <c r="P149" s="26">
        <f>IF($A149="","",IF(IFERROR(IF(INDEX(drops!$I$2:$I$21,MATCH($A149,drops!$A$2:$A$21,0))="","",INDEX(drops!$I$2:$I$21,MATCH($A149,drops!$A$2:$A$21,0))),"")="OK",IFERROR(IF(INDEX(drops!$B$2:$B$21,MATCH($A149,drops!$A$2:$A$21,0))="","",INDEX(drops!$B$2:$B$21,MATCH($A149,drops!$A$2:$A$21,0))),""),""))</f>
        <v/>
      </c>
      <c r="Q149" s="25">
        <f>IF($B149="","",IFERROR(IF(INDEX(offices!$N$2:$N$61,MATCH($B149,offices!$A$2:$A$61,0))="","",INDEX(offices!$N$2:$N$61,MATCH($B149,offices!$A$2:$A$61,0))),""))</f>
        <v/>
      </c>
      <c r="R149" s="25">
        <f>IF($B149="","",IFERROR(IF(INDEX(offices!$O$2:$O$61,MATCH($B149,offices!$A$2:$A$61,0))="","",INDEX(offices!$O$2:$O$61,MATCH($B149,offices!$A$2:$A$61,0))),""))</f>
        <v/>
      </c>
      <c r="S149" s="25">
        <f>IF($B149="","",IFERROR(IF(INDEX(offices!$P$2:$P$61,MATCH($B149,offices!$A$2:$A$61,0))="","",INDEX(offices!$P$2:$P$61,MATCH($B149,offices!$A$2:$A$61,0))),""))</f>
        <v/>
      </c>
      <c r="T149" s="25">
        <f>IF($B149="","",IFERROR(IF(INDEX(offices!$Y$2:$Y$61,MATCH($B149,offices!$A$2:$A$61,0))="","",INDEX(offices!$Y$2:$Y$61,MATCH($B149,offices!$A$2:$A$61,0))),""))</f>
        <v/>
      </c>
      <c r="U149" s="25">
        <f>IF($B149="","",IFERROR(IF(INDEX(offices!$X$2:$X$61,MATCH($B149,offices!$A$2:$A$61,0))="","",INDEX(offices!$X$2:$X$61,MATCH($B149,offices!$A$2:$A$61,0))),""))</f>
        <v/>
      </c>
      <c r="V149" s="25">
        <f>IF($B149="","",IFERROR(IF(INDEX(offices!$U$2:$U$61,MATCH($B149,offices!$A$2:$A$61,0))="","",INDEX(offices!$U$2:$U$61,MATCH($B149,offices!$A$2:$A$61,0))),""))</f>
        <v/>
      </c>
      <c r="W149" s="25">
        <f>IF($B149="","",IFERROR(IF(INDEX(offices!$AI$2:$AI$61,MATCH($B149,offices!$A$2:$A$61,0))="","",INDEX(offices!$AI$2:$AI$61,MATCH($B149,offices!$A$2:$A$61,0))),""))</f>
        <v/>
      </c>
      <c r="X149" s="25">
        <f>IF($B149="","",IFERROR(IF(INDEX(offices!$G$2:$G$61,MATCH($B149,offices!$A$2:$A$61,0))="","",INDEX(offices!$G$2:$G$61,MATCH($B149,offices!$A$2:$A$61,0))),""))</f>
        <v/>
      </c>
      <c r="Y149" s="25">
        <f>IF($B149="","",IFERROR(IF(INDEX(offices!$I$2:$I$61,MATCH($B149,offices!$A$2:$A$61,0))="","",INDEX(offices!$I$2:$I$61,MATCH($B149,offices!$A$2:$A$61,0))),""))</f>
        <v/>
      </c>
      <c r="Z149" s="25">
        <f>IF($A149="","",COUNTIFS(approvals!$H$2:$H$251,$A149,approvals!$B$2:$B$251,$B149,approvals!$P$2:$P$251,"Y"))</f>
        <v/>
      </c>
      <c r="AA149" s="25">
        <f>IF($A149="","",SUMIFS(approvals!$S$2:$S$251,approvals!$H$2:$H$251,$A149,approvals!$B$2:$B$251,$B149,approvals!$P$2:$P$251,"Y"))</f>
        <v/>
      </c>
      <c r="AB149" s="25">
        <f>IF(OR($A149="",$P149=""),"",IF(COUNTIFS(stops!$B$2:$B$151,$B149,stops!$P$2:$P$151,"&lt;"&amp;$P149,stops!$L$2:$L$151,"&lt;&gt;not_delivered")=0,"Y","N"))</f>
        <v/>
      </c>
      <c r="AC149" s="25">
        <f>IF(OR($I149="",$J149=""),"",ROUND(($J149-$I149)*1440,0))</f>
        <v/>
      </c>
      <c r="AD149" s="25">
        <f>IF($A149="","",IF(COUNTIFS(stops!$A$2:$A$151,$A149,stops!$B$2:$B$151,$B149)&gt;1,"DUPLICATE stop; ","")&amp;IF(AND(OR(IFERROR(IF(INDEX(offices!$Z$2:$Z$61,MATCH($B149,offices!$A$2:$A$61,0))="","",INDEX(offices!$Z$2:$Z$61,MATCH($B149,offices!$A$2:$A$61,0))),"")="yes",IFERROR(IF(INDEX(offices!$Z$2:$Z$61,MATCH($B149,offices!$A$2:$A$61,0))="","",INDEX(offices!$Z$2:$Z$61,MATCH($B149,offices!$A$2:$A$61,0))),"")="unsure"),$Y149&lt;&gt;"received",$Y149&lt;&gt;"not_needed"),"building certificate not received; ","")&amp;IF($W149="","owner phone missing; ","")&amp;IF(N($Z149)=0,"no approved brand for this stop; ","")&amp;IF(AND($P149&lt;&gt;"",IF(config!$B$37&lt;&gt;"",config!$B$37,TODAY())&gt;$P149,$L149=""),"log the outcome; ","")&amp;IF(AND(OR($L149="declined",$L149="building_refused",$L149="not_delivered"),N($Z149)&gt;0,COUNTIFS(approvals!$H$2:$H$251,$A149,approvals!$B$2:$B$251,$B149,approvals!$P$2:$P$251,"Y",approvals!$U$2:$U$251,"&gt;0")&gt;=N($Z149)),"outcome says "&amp;$L149&amp;" but every brand here is logged delivered: fix the outcome, or delete the wrong delivered rows (SOP section 4); ","")&amp;IF(AND(OR($L149="declined",$L149="building_refused",$L149="not_delivered"),COUNTIFS(approvals!$H$2:$H$251,$A149,approvals!$B$2:$B$251,$B149,approvals!$P$2:$P$251,"Y",approvals!$U$2:$U$251,"&gt;0")&gt;0,COUNTIFS(approvals!$H$2:$H$251,$A149,approvals!$B$2:$B$251,$B149,approvals!$P$2:$P$251,"Y",approvals!$U$2:$U$251,"&gt;0")&lt;N($Z149)),"info: "&amp;(N($Z149)-COUNTIFS(approvals!$H$2:$H$251,$A149,approvals!$B$2:$B$251,$B149,approvals!$P$2:$P$251,"Y",approvals!$U$2:$U$251,"&gt;0"))&amp;" brand(s) turned away at the door, the rest delivered; ","")&amp;IF(AND($AB149="Y",IFERROR(IF(INDEX(drops!$C$2:$C$21,MATCH($A149,drops!$A$2:$A$21,0))="","",INDEX(drops!$C$2:$C$21,MATCH($A149,drops!$A$2:$A$21,0))),"")="direct-ship"),"info: first drop: visit in person on T; ","")&amp;IF(AND($U149="front desk",$X149&lt;&gt;"Y"),"info: front desk not agreed: the owner must take it; ",""))</f>
        <v/>
      </c>
    </row>
    <row r="150">
      <c r="D150" s="33" t="n"/>
      <c r="E150" s="9" t="n"/>
      <c r="F150" s="9" t="n"/>
      <c r="G150" s="9" t="n"/>
      <c r="I150" s="33" t="n"/>
      <c r="J150" s="33" t="n"/>
      <c r="N150" s="9" t="n"/>
      <c r="P150" s="26">
        <f>IF($A150="","",IF(IFERROR(IF(INDEX(drops!$I$2:$I$21,MATCH($A150,drops!$A$2:$A$21,0))="","",INDEX(drops!$I$2:$I$21,MATCH($A150,drops!$A$2:$A$21,0))),"")="OK",IFERROR(IF(INDEX(drops!$B$2:$B$21,MATCH($A150,drops!$A$2:$A$21,0))="","",INDEX(drops!$B$2:$B$21,MATCH($A150,drops!$A$2:$A$21,0))),""),""))</f>
        <v/>
      </c>
      <c r="Q150" s="25">
        <f>IF($B150="","",IFERROR(IF(INDEX(offices!$N$2:$N$61,MATCH($B150,offices!$A$2:$A$61,0))="","",INDEX(offices!$N$2:$N$61,MATCH($B150,offices!$A$2:$A$61,0))),""))</f>
        <v/>
      </c>
      <c r="R150" s="25">
        <f>IF($B150="","",IFERROR(IF(INDEX(offices!$O$2:$O$61,MATCH($B150,offices!$A$2:$A$61,0))="","",INDEX(offices!$O$2:$O$61,MATCH($B150,offices!$A$2:$A$61,0))),""))</f>
        <v/>
      </c>
      <c r="S150" s="25">
        <f>IF($B150="","",IFERROR(IF(INDEX(offices!$P$2:$P$61,MATCH($B150,offices!$A$2:$A$61,0))="","",INDEX(offices!$P$2:$P$61,MATCH($B150,offices!$A$2:$A$61,0))),""))</f>
        <v/>
      </c>
      <c r="T150" s="25">
        <f>IF($B150="","",IFERROR(IF(INDEX(offices!$Y$2:$Y$61,MATCH($B150,offices!$A$2:$A$61,0))="","",INDEX(offices!$Y$2:$Y$61,MATCH($B150,offices!$A$2:$A$61,0))),""))</f>
        <v/>
      </c>
      <c r="U150" s="25">
        <f>IF($B150="","",IFERROR(IF(INDEX(offices!$X$2:$X$61,MATCH($B150,offices!$A$2:$A$61,0))="","",INDEX(offices!$X$2:$X$61,MATCH($B150,offices!$A$2:$A$61,0))),""))</f>
        <v/>
      </c>
      <c r="V150" s="25">
        <f>IF($B150="","",IFERROR(IF(INDEX(offices!$U$2:$U$61,MATCH($B150,offices!$A$2:$A$61,0))="","",INDEX(offices!$U$2:$U$61,MATCH($B150,offices!$A$2:$A$61,0))),""))</f>
        <v/>
      </c>
      <c r="W150" s="25">
        <f>IF($B150="","",IFERROR(IF(INDEX(offices!$AI$2:$AI$61,MATCH($B150,offices!$A$2:$A$61,0))="","",INDEX(offices!$AI$2:$AI$61,MATCH($B150,offices!$A$2:$A$61,0))),""))</f>
        <v/>
      </c>
      <c r="X150" s="25">
        <f>IF($B150="","",IFERROR(IF(INDEX(offices!$G$2:$G$61,MATCH($B150,offices!$A$2:$A$61,0))="","",INDEX(offices!$G$2:$G$61,MATCH($B150,offices!$A$2:$A$61,0))),""))</f>
        <v/>
      </c>
      <c r="Y150" s="25">
        <f>IF($B150="","",IFERROR(IF(INDEX(offices!$I$2:$I$61,MATCH($B150,offices!$A$2:$A$61,0))="","",INDEX(offices!$I$2:$I$61,MATCH($B150,offices!$A$2:$A$61,0))),""))</f>
        <v/>
      </c>
      <c r="Z150" s="25">
        <f>IF($A150="","",COUNTIFS(approvals!$H$2:$H$251,$A150,approvals!$B$2:$B$251,$B150,approvals!$P$2:$P$251,"Y"))</f>
        <v/>
      </c>
      <c r="AA150" s="25">
        <f>IF($A150="","",SUMIFS(approvals!$S$2:$S$251,approvals!$H$2:$H$251,$A150,approvals!$B$2:$B$251,$B150,approvals!$P$2:$P$251,"Y"))</f>
        <v/>
      </c>
      <c r="AB150" s="25">
        <f>IF(OR($A150="",$P150=""),"",IF(COUNTIFS(stops!$B$2:$B$151,$B150,stops!$P$2:$P$151,"&lt;"&amp;$P150,stops!$L$2:$L$151,"&lt;&gt;not_delivered")=0,"Y","N"))</f>
        <v/>
      </c>
      <c r="AC150" s="25">
        <f>IF(OR($I150="",$J150=""),"",ROUND(($J150-$I150)*1440,0))</f>
        <v/>
      </c>
      <c r="AD150" s="25">
        <f>IF($A150="","",IF(COUNTIFS(stops!$A$2:$A$151,$A150,stops!$B$2:$B$151,$B150)&gt;1,"DUPLICATE stop; ","")&amp;IF(AND(OR(IFERROR(IF(INDEX(offices!$Z$2:$Z$61,MATCH($B150,offices!$A$2:$A$61,0))="","",INDEX(offices!$Z$2:$Z$61,MATCH($B150,offices!$A$2:$A$61,0))),"")="yes",IFERROR(IF(INDEX(offices!$Z$2:$Z$61,MATCH($B150,offices!$A$2:$A$61,0))="","",INDEX(offices!$Z$2:$Z$61,MATCH($B150,offices!$A$2:$A$61,0))),"")="unsure"),$Y150&lt;&gt;"received",$Y150&lt;&gt;"not_needed"),"building certificate not received; ","")&amp;IF($W150="","owner phone missing; ","")&amp;IF(N($Z150)=0,"no approved brand for this stop; ","")&amp;IF(AND($P150&lt;&gt;"",IF(config!$B$37&lt;&gt;"",config!$B$37,TODAY())&gt;$P150,$L150=""),"log the outcome; ","")&amp;IF(AND(OR($L150="declined",$L150="building_refused",$L150="not_delivered"),N($Z150)&gt;0,COUNTIFS(approvals!$H$2:$H$251,$A150,approvals!$B$2:$B$251,$B150,approvals!$P$2:$P$251,"Y",approvals!$U$2:$U$251,"&gt;0")&gt;=N($Z150)),"outcome says "&amp;$L150&amp;" but every brand here is logged delivered: fix the outcome, or delete the wrong delivered rows (SOP section 4); ","")&amp;IF(AND(OR($L150="declined",$L150="building_refused",$L150="not_delivered"),COUNTIFS(approvals!$H$2:$H$251,$A150,approvals!$B$2:$B$251,$B150,approvals!$P$2:$P$251,"Y",approvals!$U$2:$U$251,"&gt;0")&gt;0,COUNTIFS(approvals!$H$2:$H$251,$A150,approvals!$B$2:$B$251,$B150,approvals!$P$2:$P$251,"Y",approvals!$U$2:$U$251,"&gt;0")&lt;N($Z150)),"info: "&amp;(N($Z150)-COUNTIFS(approvals!$H$2:$H$251,$A150,approvals!$B$2:$B$251,$B150,approvals!$P$2:$P$251,"Y",approvals!$U$2:$U$251,"&gt;0"))&amp;" brand(s) turned away at the door, the rest delivered; ","")&amp;IF(AND($AB150="Y",IFERROR(IF(INDEX(drops!$C$2:$C$21,MATCH($A150,drops!$A$2:$A$21,0))="","",INDEX(drops!$C$2:$C$21,MATCH($A150,drops!$A$2:$A$21,0))),"")="direct-ship"),"info: first drop: visit in person on T; ","")&amp;IF(AND($U150="front desk",$X150&lt;&gt;"Y"),"info: front desk not agreed: the owner must take it; ",""))</f>
        <v/>
      </c>
    </row>
    <row r="151">
      <c r="D151" s="33" t="n"/>
      <c r="E151" s="9" t="n"/>
      <c r="F151" s="9" t="n"/>
      <c r="G151" s="9" t="n"/>
      <c r="I151" s="33" t="n"/>
      <c r="J151" s="33" t="n"/>
      <c r="N151" s="9" t="n"/>
      <c r="P151" s="26">
        <f>IF($A151="","",IF(IFERROR(IF(INDEX(drops!$I$2:$I$21,MATCH($A151,drops!$A$2:$A$21,0))="","",INDEX(drops!$I$2:$I$21,MATCH($A151,drops!$A$2:$A$21,0))),"")="OK",IFERROR(IF(INDEX(drops!$B$2:$B$21,MATCH($A151,drops!$A$2:$A$21,0))="","",INDEX(drops!$B$2:$B$21,MATCH($A151,drops!$A$2:$A$21,0))),""),""))</f>
        <v/>
      </c>
      <c r="Q151" s="25">
        <f>IF($B151="","",IFERROR(IF(INDEX(offices!$N$2:$N$61,MATCH($B151,offices!$A$2:$A$61,0))="","",INDEX(offices!$N$2:$N$61,MATCH($B151,offices!$A$2:$A$61,0))),""))</f>
        <v/>
      </c>
      <c r="R151" s="25">
        <f>IF($B151="","",IFERROR(IF(INDEX(offices!$O$2:$O$61,MATCH($B151,offices!$A$2:$A$61,0))="","",INDEX(offices!$O$2:$O$61,MATCH($B151,offices!$A$2:$A$61,0))),""))</f>
        <v/>
      </c>
      <c r="S151" s="25">
        <f>IF($B151="","",IFERROR(IF(INDEX(offices!$P$2:$P$61,MATCH($B151,offices!$A$2:$A$61,0))="","",INDEX(offices!$P$2:$P$61,MATCH($B151,offices!$A$2:$A$61,0))),""))</f>
        <v/>
      </c>
      <c r="T151" s="25">
        <f>IF($B151="","",IFERROR(IF(INDEX(offices!$Y$2:$Y$61,MATCH($B151,offices!$A$2:$A$61,0))="","",INDEX(offices!$Y$2:$Y$61,MATCH($B151,offices!$A$2:$A$61,0))),""))</f>
        <v/>
      </c>
      <c r="U151" s="25">
        <f>IF($B151="","",IFERROR(IF(INDEX(offices!$X$2:$X$61,MATCH($B151,offices!$A$2:$A$61,0))="","",INDEX(offices!$X$2:$X$61,MATCH($B151,offices!$A$2:$A$61,0))),""))</f>
        <v/>
      </c>
      <c r="V151" s="25">
        <f>IF($B151="","",IFERROR(IF(INDEX(offices!$U$2:$U$61,MATCH($B151,offices!$A$2:$A$61,0))="","",INDEX(offices!$U$2:$U$61,MATCH($B151,offices!$A$2:$A$61,0))),""))</f>
        <v/>
      </c>
      <c r="W151" s="25">
        <f>IF($B151="","",IFERROR(IF(INDEX(offices!$AI$2:$AI$61,MATCH($B151,offices!$A$2:$A$61,0))="","",INDEX(offices!$AI$2:$AI$61,MATCH($B151,offices!$A$2:$A$61,0))),""))</f>
        <v/>
      </c>
      <c r="X151" s="25">
        <f>IF($B151="","",IFERROR(IF(INDEX(offices!$G$2:$G$61,MATCH($B151,offices!$A$2:$A$61,0))="","",INDEX(offices!$G$2:$G$61,MATCH($B151,offices!$A$2:$A$61,0))),""))</f>
        <v/>
      </c>
      <c r="Y151" s="25">
        <f>IF($B151="","",IFERROR(IF(INDEX(offices!$I$2:$I$61,MATCH($B151,offices!$A$2:$A$61,0))="","",INDEX(offices!$I$2:$I$61,MATCH($B151,offices!$A$2:$A$61,0))),""))</f>
        <v/>
      </c>
      <c r="Z151" s="25">
        <f>IF($A151="","",COUNTIFS(approvals!$H$2:$H$251,$A151,approvals!$B$2:$B$251,$B151,approvals!$P$2:$P$251,"Y"))</f>
        <v/>
      </c>
      <c r="AA151" s="25">
        <f>IF($A151="","",SUMIFS(approvals!$S$2:$S$251,approvals!$H$2:$H$251,$A151,approvals!$B$2:$B$251,$B151,approvals!$P$2:$P$251,"Y"))</f>
        <v/>
      </c>
      <c r="AB151" s="25">
        <f>IF(OR($A151="",$P151=""),"",IF(COUNTIFS(stops!$B$2:$B$151,$B151,stops!$P$2:$P$151,"&lt;"&amp;$P151,stops!$L$2:$L$151,"&lt;&gt;not_delivered")=0,"Y","N"))</f>
        <v/>
      </c>
      <c r="AC151" s="25">
        <f>IF(OR($I151="",$J151=""),"",ROUND(($J151-$I151)*1440,0))</f>
        <v/>
      </c>
      <c r="AD151" s="25">
        <f>IF($A151="","",IF(COUNTIFS(stops!$A$2:$A$151,$A151,stops!$B$2:$B$151,$B151)&gt;1,"DUPLICATE stop; ","")&amp;IF(AND(OR(IFERROR(IF(INDEX(offices!$Z$2:$Z$61,MATCH($B151,offices!$A$2:$A$61,0))="","",INDEX(offices!$Z$2:$Z$61,MATCH($B151,offices!$A$2:$A$61,0))),"")="yes",IFERROR(IF(INDEX(offices!$Z$2:$Z$61,MATCH($B151,offices!$A$2:$A$61,0))="","",INDEX(offices!$Z$2:$Z$61,MATCH($B151,offices!$A$2:$A$61,0))),"")="unsure"),$Y151&lt;&gt;"received",$Y151&lt;&gt;"not_needed"),"building certificate not received; ","")&amp;IF($W151="","owner phone missing; ","")&amp;IF(N($Z151)=0,"no approved brand for this stop; ","")&amp;IF(AND($P151&lt;&gt;"",IF(config!$B$37&lt;&gt;"",config!$B$37,TODAY())&gt;$P151,$L151=""),"log the outcome; ","")&amp;IF(AND(OR($L151="declined",$L151="building_refused",$L151="not_delivered"),N($Z151)&gt;0,COUNTIFS(approvals!$H$2:$H$251,$A151,approvals!$B$2:$B$251,$B151,approvals!$P$2:$P$251,"Y",approvals!$U$2:$U$251,"&gt;0")&gt;=N($Z151)),"outcome says "&amp;$L151&amp;" but every brand here is logged delivered: fix the outcome, or delete the wrong delivered rows (SOP section 4); ","")&amp;IF(AND(OR($L151="declined",$L151="building_refused",$L151="not_delivered"),COUNTIFS(approvals!$H$2:$H$251,$A151,approvals!$B$2:$B$251,$B151,approvals!$P$2:$P$251,"Y",approvals!$U$2:$U$251,"&gt;0")&gt;0,COUNTIFS(approvals!$H$2:$H$251,$A151,approvals!$B$2:$B$251,$B151,approvals!$P$2:$P$251,"Y",approvals!$U$2:$U$251,"&gt;0")&lt;N($Z151)),"info: "&amp;(N($Z151)-COUNTIFS(approvals!$H$2:$H$251,$A151,approvals!$B$2:$B$251,$B151,approvals!$P$2:$P$251,"Y",approvals!$U$2:$U$251,"&gt;0"))&amp;" brand(s) turned away at the door, the rest delivered; ","")&amp;IF(AND($AB151="Y",IFERROR(IF(INDEX(drops!$C$2:$C$21,MATCH($A151,drops!$A$2:$A$21,0))="","",INDEX(drops!$C$2:$C$21,MATCH($A151,drops!$A$2:$A$21,0))),"")="direct-ship"),"info: first drop: visit in person on T; ","")&amp;IF(AND($U151="front desk",$X151&lt;&gt;"Y"),"info: front desk not agreed: the owner must take it; ",""))</f>
        <v/>
      </c>
    </row>
  </sheetData>
  <conditionalFormatting sqref="AD2:AD151">
    <cfRule type="expression" priority="1" dxfId="1">
      <formula>LEN(AD2)&gt;0</formula>
    </cfRule>
  </conditionalFormatting>
  <dataValidations count="3">
    <dataValidation sqref="K2:K151" showDropDown="0" showInputMessage="0" showErrorMessage="1" allowBlank="1" errorTitle="Not on the list" error="Pick a value from the list." type="list">
      <formula1>"pantry owner,front desk,other staff,carrier"</formula1>
    </dataValidation>
    <dataValidation sqref="L2:L151" showDropDown="0" showInputMessage="0" showErrorMessage="1" allowBlank="1" errorTitle="Not on the list" error="Pick a value from the list." type="list">
      <formula1>"handed_to_owner,front_desk_agreed,placed_by_us,carrier_delivered,owner_absent_return,declined,building_refused,not_delivered"</formula1>
    </dataValidation>
    <dataValidation sqref="O2:O151" showDropDown="0" showInputMessage="0" showErrorMessage="1" allowBlank="1" errorTitle="Not on the list" error="Pick a value from the list." type="list">
      <formula1>"yes,maybe,no"</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E2EFDA"/>
    <outlinePr summaryBelow="1" summaryRight="1"/>
    <pageSetUpPr/>
  </sheetPr>
  <dimension ref="A1:R8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14" customWidth="1" min="3" max="3"/>
    <col width="14" customWidth="1" min="4" max="4"/>
    <col width="14" customWidth="1" min="5" max="5"/>
    <col width="14" customWidth="1" min="6" max="6"/>
    <col width="6" customWidth="1" min="7" max="7"/>
    <col width="14" customWidth="1" min="8" max="8"/>
    <col width="14" customWidth="1" min="9" max="9"/>
    <col width="14" customWidth="1" min="10" max="10"/>
    <col width="24" customWidth="1" min="11" max="11"/>
    <col width="14" customWidth="1" min="12" max="12"/>
    <col width="7" customWidth="1" min="13" max="13"/>
    <col width="7" customWidth="1" min="14" max="14"/>
    <col width="7" customWidth="1" min="15" max="15"/>
    <col width="7" customWidth="1" min="16" max="16"/>
    <col width="30" customWidth="1" min="17" max="17"/>
    <col width="20" customWidth="1" min="18" max="18"/>
  </cols>
  <sheetData>
    <row r="1">
      <c r="A1" s="23" t="inlineStr">
        <is>
          <t>date</t>
        </is>
      </c>
      <c r="B1" s="23" t="inlineStr">
        <is>
          <t>time</t>
        </is>
      </c>
      <c r="C1" s="23" t="inlineStr">
        <is>
          <t>campaign_id</t>
        </is>
      </c>
      <c r="D1" s="23" t="inlineStr">
        <is>
          <t>office_id</t>
        </is>
      </c>
      <c r="E1" s="23" t="inlineStr">
        <is>
          <t>movement</t>
        </is>
      </c>
      <c r="F1" s="23" t="inlineStr">
        <is>
          <t>bucket</t>
        </is>
      </c>
      <c r="G1" s="23" t="inlineStr">
        <is>
          <t>qty</t>
        </is>
      </c>
      <c r="H1" s="23" t="inlineStr">
        <is>
          <t>lot</t>
        </is>
      </c>
      <c r="I1" s="23" t="inlineStr">
        <is>
          <t>best_by</t>
        </is>
      </c>
      <c r="J1" s="23" t="inlineStr">
        <is>
          <t>count_source</t>
        </is>
      </c>
      <c r="K1" s="23" t="inlineStr">
        <is>
          <t>note</t>
        </is>
      </c>
      <c r="L1" s="24" t="inlineStr">
        <is>
          <t>drop_date</t>
        </is>
      </c>
      <c r="M1" s="24" t="inlineStr">
        <is>
          <t>reserve_delta</t>
        </is>
      </c>
      <c r="N1" s="24" t="inlineStr">
        <is>
          <t>rejected_delta</t>
        </is>
      </c>
      <c r="O1" s="24" t="inlineStr">
        <is>
          <t>leftover_delta</t>
        </is>
      </c>
      <c r="P1" s="24" t="inlineStr">
        <is>
          <t>best_by_ok</t>
        </is>
      </c>
      <c r="Q1" s="24" t="inlineStr">
        <is>
          <t>checks</t>
        </is>
      </c>
      <c r="R1" s="24" t="inlineStr">
        <is>
          <t>key</t>
        </is>
      </c>
    </row>
    <row r="2">
      <c r="A2" s="9" t="n">
        <v>46384</v>
      </c>
      <c r="B2" s="33" t="n">
        <v>0.6388888888888888</v>
      </c>
      <c r="C2" t="inlineStr">
        <is>
          <t>SAMPLE-CMP-001</t>
        </is>
      </c>
      <c r="E2" t="inlineStr">
        <is>
          <t>received</t>
        </is>
      </c>
      <c r="G2" t="n">
        <v>276</v>
      </c>
      <c r="H2" t="inlineStr">
        <is>
          <t>SAMPLE-L2401</t>
        </is>
      </c>
      <c r="I2" s="9" t="n">
        <v>46568</v>
      </c>
      <c r="J2" t="inlineStr">
        <is>
          <t>founder_count</t>
        </is>
      </c>
      <c r="K2" t="inlineStr">
        <is>
          <t>SAMPLE 6 cases, counted, photographed</t>
        </is>
      </c>
      <c r="L2" s="26">
        <f>IF($C2="","",IFERROR(IF(INDEX(campaigns!$BG$2:$BG$51,MATCH($C2,campaigns!$A$2:$A$51,0))="","",INDEX(campaigns!$BG$2:$BG$51,MATCH($C2,campaigns!$A$2:$A$51,0))),""))</f>
        <v/>
      </c>
      <c r="M2" s="25">
        <f>IF($C2="","",IF(OR($E2="received"),N($G2),IF(OR($E2="rejected",$E2="delivered",$E2="topped_up"),-N($G2),IF(AND(OR($E2="returned_to_brand",$E2="given_to_roster_office",$E2="released_to_office",$E2="disposed"),IF($F2="","reserve",$F2)="reserve"),-N($G2),IF(AND($E2="correction",IF($F2="","reserve",$F2)="reserve"),N($G2),0)))))</f>
        <v/>
      </c>
      <c r="N2" s="25">
        <f>IF($C2="","",IF($E2="rejected",N($G2),IF(AND(OR($E2="returned_to_brand",$E2="given_to_roster_office",$E2="released_to_office",$E2="disposed"),IF($F2="","reserve",$F2)="rejected"),-N($G2),IF(AND($E2="correction",IF($F2="","reserve",$F2)="rejected"),N($G2),0))))</f>
        <v/>
      </c>
      <c r="O2" s="25">
        <f>IF($C2="","",IF($E2="collected",N($G2),IF(AND(OR($E2="returned_to_brand",$E2="given_to_roster_office",$E2="released_to_office",$E2="disposed"),IF($F2="","reserve",$F2)="leftover"),-N($G2),IF(AND($E2="correction",IF($F2="","reserve",$F2)="leftover"),N($G2),0))))</f>
        <v/>
      </c>
      <c r="P2" s="25">
        <f>IF(OR($E2&lt;&gt;"received",$I2="",$L2=""),"",IF($I2&gt;=$L2+config!$B$19,"Y","N"))</f>
        <v/>
      </c>
      <c r="Q2" s="25">
        <f>IF($C2="","",IF(COUNTIF(campaigns!$A$2:$A$51,$C2)=0,"campaign_id not on campaigns; ",IF(AND($D2&lt;&gt;"",COUNTIFS(approvals!$A$2:$A$251,$C2,approvals!$B$2:$B$251,$D2)=0),"office not on this campaign (approvals tab); ",""))&amp;IF(AND(OR($E2="delivered",$E2="topped_up",$E2="collected"),$D2=""),"office needed; ","")&amp;IF(AND($E2&lt;&gt;"correction",N($G2)&lt;=0),"qty must be above 0; ","")&amp;IF(AND($E2="received",OR($I2="",$H2="")),"log lot and best-by; ","")&amp;IF(AND($P2="N",SUMIFS(inventory!$G$2:$G$801,inventory!$C$2:$C$801,$C2,inventory!$H$2:$H$801,$H2,inventory!$E$2:$E$801,"rejected")&lt;N($G2)),"UNDER "&amp;config!$B$19&amp;" DAYS LEFT ON THE DROP DAY: reject these units; ","")&amp;IF(AND($E2="delivered",COUNTIF(inventory!$R$2:$R$801,$R2)&gt;1),"two delivered rows for this office: use one; ","")&amp;IF(AND($E2="delivered",$J2=""),"who counted?; ",""))</f>
        <v/>
      </c>
      <c r="R2" s="25">
        <f>IF($C2="","",$C2&amp;"|"&amp;$D2&amp;"|"&amp;$E2)</f>
        <v/>
      </c>
    </row>
    <row r="3">
      <c r="A3" s="9" t="n">
        <v>46386</v>
      </c>
      <c r="B3" s="33" t="n">
        <v>0.4618055555555556</v>
      </c>
      <c r="C3" t="inlineStr">
        <is>
          <t>SAMPLE-CMP-002</t>
        </is>
      </c>
      <c r="E3" t="inlineStr">
        <is>
          <t>received</t>
        </is>
      </c>
      <c r="G3" t="n">
        <v>263</v>
      </c>
      <c r="H3" t="inlineStr">
        <is>
          <t>SAMPLE-NB-0921</t>
        </is>
      </c>
      <c r="I3" s="9" t="n">
        <v>46631</v>
      </c>
      <c r="J3" t="inlineStr">
        <is>
          <t>founder_count</t>
        </is>
      </c>
      <c r="L3" s="26">
        <f>IF($C3="","",IFERROR(IF(INDEX(campaigns!$BG$2:$BG$51,MATCH($C3,campaigns!$A$2:$A$51,0))="","",INDEX(campaigns!$BG$2:$BG$51,MATCH($C3,campaigns!$A$2:$A$51,0))),""))</f>
        <v/>
      </c>
      <c r="M3" s="25">
        <f>IF($C3="","",IF(OR($E3="received"),N($G3),IF(OR($E3="rejected",$E3="delivered",$E3="topped_up"),-N($G3),IF(AND(OR($E3="returned_to_brand",$E3="given_to_roster_office",$E3="released_to_office",$E3="disposed"),IF($F3="","reserve",$F3)="reserve"),-N($G3),IF(AND($E3="correction",IF($F3="","reserve",$F3)="reserve"),N($G3),0)))))</f>
        <v/>
      </c>
      <c r="N3" s="25">
        <f>IF($C3="","",IF($E3="rejected",N($G3),IF(AND(OR($E3="returned_to_brand",$E3="given_to_roster_office",$E3="released_to_office",$E3="disposed"),IF($F3="","reserve",$F3)="rejected"),-N($G3),IF(AND($E3="correction",IF($F3="","reserve",$F3)="rejected"),N($G3),0))))</f>
        <v/>
      </c>
      <c r="O3" s="25">
        <f>IF($C3="","",IF($E3="collected",N($G3),IF(AND(OR($E3="returned_to_brand",$E3="given_to_roster_office",$E3="released_to_office",$E3="disposed"),IF($F3="","reserve",$F3)="leftover"),-N($G3),IF(AND($E3="correction",IF($F3="","reserve",$F3)="leftover"),N($G3),0))))</f>
        <v/>
      </c>
      <c r="P3" s="25">
        <f>IF(OR($E3&lt;&gt;"received",$I3="",$L3=""),"",IF($I3&gt;=$L3+config!$B$19,"Y","N"))</f>
        <v/>
      </c>
      <c r="Q3" s="25">
        <f>IF($C3="","",IF(COUNTIF(campaigns!$A$2:$A$51,$C3)=0,"campaign_id not on campaigns; ",IF(AND($D3&lt;&gt;"",COUNTIFS(approvals!$A$2:$A$251,$C3,approvals!$B$2:$B$251,$D3)=0),"office not on this campaign (approvals tab); ",""))&amp;IF(AND(OR($E3="delivered",$E3="topped_up",$E3="collected"),$D3=""),"office needed; ","")&amp;IF(AND($E3&lt;&gt;"correction",N($G3)&lt;=0),"qty must be above 0; ","")&amp;IF(AND($E3="received",OR($I3="",$H3="")),"log lot and best-by; ","")&amp;IF(AND($P3="N",SUMIFS(inventory!$G$2:$G$801,inventory!$C$2:$C$801,$C3,inventory!$H$2:$H$801,$H3,inventory!$E$2:$E$801,"rejected")&lt;N($G3)),"UNDER "&amp;config!$B$19&amp;" DAYS LEFT ON THE DROP DAY: reject these units; ","")&amp;IF(AND($E3="delivered",COUNTIF(inventory!$R$2:$R$801,$R3)&gt;1),"two delivered rows for this office: use one; ","")&amp;IF(AND($E3="delivered",$J3=""),"who counted?; ",""))</f>
        <v/>
      </c>
      <c r="R3" s="25">
        <f>IF($C3="","",$C3&amp;"|"&amp;$D3&amp;"|"&amp;$E3)</f>
        <v/>
      </c>
    </row>
    <row r="4">
      <c r="A4" s="9" t="n">
        <v>46386</v>
      </c>
      <c r="B4" s="33" t="n">
        <v>0.4618055555555556</v>
      </c>
      <c r="C4" t="inlineStr">
        <is>
          <t>SAMPLE-CMP-002</t>
        </is>
      </c>
      <c r="E4" t="inlineStr">
        <is>
          <t>received</t>
        </is>
      </c>
      <c r="G4" t="n">
        <v>12</v>
      </c>
      <c r="H4" t="inlineStr">
        <is>
          <t>SAMPLE-NB-0811</t>
        </is>
      </c>
      <c r="I4" s="9" t="n">
        <v>46447</v>
      </c>
      <c r="J4" t="inlineStr">
        <is>
          <t>founder_count</t>
        </is>
      </c>
      <c r="K4" t="inlineStr">
        <is>
          <t>SAMPLE one case short-dated</t>
        </is>
      </c>
      <c r="L4" s="26">
        <f>IF($C4="","",IFERROR(IF(INDEX(campaigns!$BG$2:$BG$51,MATCH($C4,campaigns!$A$2:$A$51,0))="","",INDEX(campaigns!$BG$2:$BG$51,MATCH($C4,campaigns!$A$2:$A$51,0))),""))</f>
        <v/>
      </c>
      <c r="M4" s="25">
        <f>IF($C4="","",IF(OR($E4="received"),N($G4),IF(OR($E4="rejected",$E4="delivered",$E4="topped_up"),-N($G4),IF(AND(OR($E4="returned_to_brand",$E4="given_to_roster_office",$E4="released_to_office",$E4="disposed"),IF($F4="","reserve",$F4)="reserve"),-N($G4),IF(AND($E4="correction",IF($F4="","reserve",$F4)="reserve"),N($G4),0)))))</f>
        <v/>
      </c>
      <c r="N4" s="25">
        <f>IF($C4="","",IF($E4="rejected",N($G4),IF(AND(OR($E4="returned_to_brand",$E4="given_to_roster_office",$E4="released_to_office",$E4="disposed"),IF($F4="","reserve",$F4)="rejected"),-N($G4),IF(AND($E4="correction",IF($F4="","reserve",$F4)="rejected"),N($G4),0))))</f>
        <v/>
      </c>
      <c r="O4" s="25">
        <f>IF($C4="","",IF($E4="collected",N($G4),IF(AND(OR($E4="returned_to_brand",$E4="given_to_roster_office",$E4="released_to_office",$E4="disposed"),IF($F4="","reserve",$F4)="leftover"),-N($G4),IF(AND($E4="correction",IF($F4="","reserve",$F4)="leftover"),N($G4),0))))</f>
        <v/>
      </c>
      <c r="P4" s="25">
        <f>IF(OR($E4&lt;&gt;"received",$I4="",$L4=""),"",IF($I4&gt;=$L4+config!$B$19,"Y","N"))</f>
        <v/>
      </c>
      <c r="Q4" s="25">
        <f>IF($C4="","",IF(COUNTIF(campaigns!$A$2:$A$51,$C4)=0,"campaign_id not on campaigns; ",IF(AND($D4&lt;&gt;"",COUNTIFS(approvals!$A$2:$A$251,$C4,approvals!$B$2:$B$251,$D4)=0),"office not on this campaign (approvals tab); ",""))&amp;IF(AND(OR($E4="delivered",$E4="topped_up",$E4="collected"),$D4=""),"office needed; ","")&amp;IF(AND($E4&lt;&gt;"correction",N($G4)&lt;=0),"qty must be above 0; ","")&amp;IF(AND($E4="received",OR($I4="",$H4="")),"log lot and best-by; ","")&amp;IF(AND($P4="N",SUMIFS(inventory!$G$2:$G$801,inventory!$C$2:$C$801,$C4,inventory!$H$2:$H$801,$H4,inventory!$E$2:$E$801,"rejected")&lt;N($G4)),"UNDER "&amp;config!$B$19&amp;" DAYS LEFT ON THE DROP DAY: reject these units; ","")&amp;IF(AND($E4="delivered",COUNTIF(inventory!$R$2:$R$801,$R4)&gt;1),"two delivered rows for this office: use one; ","")&amp;IF(AND($E4="delivered",$J4=""),"who counted?; ",""))</f>
        <v/>
      </c>
      <c r="R4" s="25">
        <f>IF($C4="","",$C4&amp;"|"&amp;$D4&amp;"|"&amp;$E4)</f>
        <v/>
      </c>
    </row>
    <row r="5">
      <c r="A5" s="9" t="n">
        <v>46386</v>
      </c>
      <c r="B5" s="33" t="n">
        <v>0.4791666666666667</v>
      </c>
      <c r="C5" t="inlineStr">
        <is>
          <t>SAMPLE-CMP-002</t>
        </is>
      </c>
      <c r="E5" t="inlineStr">
        <is>
          <t>rejected</t>
        </is>
      </c>
      <c r="G5" t="n">
        <v>12</v>
      </c>
      <c r="H5" t="inlineStr">
        <is>
          <t>SAMPLE-NB-0811</t>
        </is>
      </c>
      <c r="I5" s="9" t="n"/>
      <c r="K5" t="inlineStr">
        <is>
          <t>SAMPLE under 60 days left on the drop day</t>
        </is>
      </c>
      <c r="L5" s="26">
        <f>IF($C5="","",IFERROR(IF(INDEX(campaigns!$BG$2:$BG$51,MATCH($C5,campaigns!$A$2:$A$51,0))="","",INDEX(campaigns!$BG$2:$BG$51,MATCH($C5,campaigns!$A$2:$A$51,0))),""))</f>
        <v/>
      </c>
      <c r="M5" s="25">
        <f>IF($C5="","",IF(OR($E5="received"),N($G5),IF(OR($E5="rejected",$E5="delivered",$E5="topped_up"),-N($G5),IF(AND(OR($E5="returned_to_brand",$E5="given_to_roster_office",$E5="released_to_office",$E5="disposed"),IF($F5="","reserve",$F5)="reserve"),-N($G5),IF(AND($E5="correction",IF($F5="","reserve",$F5)="reserve"),N($G5),0)))))</f>
        <v/>
      </c>
      <c r="N5" s="25">
        <f>IF($C5="","",IF($E5="rejected",N($G5),IF(AND(OR($E5="returned_to_brand",$E5="given_to_roster_office",$E5="released_to_office",$E5="disposed"),IF($F5="","reserve",$F5)="rejected"),-N($G5),IF(AND($E5="correction",IF($F5="","reserve",$F5)="rejected"),N($G5),0))))</f>
        <v/>
      </c>
      <c r="O5" s="25">
        <f>IF($C5="","",IF($E5="collected",N($G5),IF(AND(OR($E5="returned_to_brand",$E5="given_to_roster_office",$E5="released_to_office",$E5="disposed"),IF($F5="","reserve",$F5)="leftover"),-N($G5),IF(AND($E5="correction",IF($F5="","reserve",$F5)="leftover"),N($G5),0))))</f>
        <v/>
      </c>
      <c r="P5" s="25">
        <f>IF(OR($E5&lt;&gt;"received",$I5="",$L5=""),"",IF($I5&gt;=$L5+config!$B$19,"Y","N"))</f>
        <v/>
      </c>
      <c r="Q5" s="25">
        <f>IF($C5="","",IF(COUNTIF(campaigns!$A$2:$A$51,$C5)=0,"campaign_id not on campaigns; ",IF(AND($D5&lt;&gt;"",COUNTIFS(approvals!$A$2:$A$251,$C5,approvals!$B$2:$B$251,$D5)=0),"office not on this campaign (approvals tab); ",""))&amp;IF(AND(OR($E5="delivered",$E5="topped_up",$E5="collected"),$D5=""),"office needed; ","")&amp;IF(AND($E5&lt;&gt;"correction",N($G5)&lt;=0),"qty must be above 0; ","")&amp;IF(AND($E5="received",OR($I5="",$H5="")),"log lot and best-by; ","")&amp;IF(AND($P5="N",SUMIFS(inventory!$G$2:$G$801,inventory!$C$2:$C$801,$C5,inventory!$H$2:$H$801,$H5,inventory!$E$2:$E$801,"rejected")&lt;N($G5)),"UNDER "&amp;config!$B$19&amp;" DAYS LEFT ON THE DROP DAY: reject these units; ","")&amp;IF(AND($E5="delivered",COUNTIF(inventory!$R$2:$R$801,$R5)&gt;1),"two delivered rows for this office: use one; ","")&amp;IF(AND($E5="delivered",$J5=""),"who counted?; ",""))</f>
        <v/>
      </c>
      <c r="R5" s="25">
        <f>IF($C5="","",$C5&amp;"|"&amp;$D5&amp;"|"&amp;$E5)</f>
        <v/>
      </c>
    </row>
    <row r="6">
      <c r="A6" s="9" t="n">
        <v>46386</v>
      </c>
      <c r="B6" s="33" t="n">
        <v>0.4791666666666667</v>
      </c>
      <c r="C6" t="inlineStr">
        <is>
          <t>SAMPLE-CMP-002</t>
        </is>
      </c>
      <c r="E6" t="inlineStr">
        <is>
          <t>rejected</t>
        </is>
      </c>
      <c r="G6" t="n">
        <v>4</v>
      </c>
      <c r="H6" t="inlineStr">
        <is>
          <t>SAMPLE-NB-0921</t>
        </is>
      </c>
      <c r="I6" s="9" t="n"/>
      <c r="K6" t="inlineStr">
        <is>
          <t>SAMPLE dented cans, photographed</t>
        </is>
      </c>
      <c r="L6" s="26">
        <f>IF($C6="","",IFERROR(IF(INDEX(campaigns!$BG$2:$BG$51,MATCH($C6,campaigns!$A$2:$A$51,0))="","",INDEX(campaigns!$BG$2:$BG$51,MATCH($C6,campaigns!$A$2:$A$51,0))),""))</f>
        <v/>
      </c>
      <c r="M6" s="25">
        <f>IF($C6="","",IF(OR($E6="received"),N($G6),IF(OR($E6="rejected",$E6="delivered",$E6="topped_up"),-N($G6),IF(AND(OR($E6="returned_to_brand",$E6="given_to_roster_office",$E6="released_to_office",$E6="disposed"),IF($F6="","reserve",$F6)="reserve"),-N($G6),IF(AND($E6="correction",IF($F6="","reserve",$F6)="reserve"),N($G6),0)))))</f>
        <v/>
      </c>
      <c r="N6" s="25">
        <f>IF($C6="","",IF($E6="rejected",N($G6),IF(AND(OR($E6="returned_to_brand",$E6="given_to_roster_office",$E6="released_to_office",$E6="disposed"),IF($F6="","reserve",$F6)="rejected"),-N($G6),IF(AND($E6="correction",IF($F6="","reserve",$F6)="rejected"),N($G6),0))))</f>
        <v/>
      </c>
      <c r="O6" s="25">
        <f>IF($C6="","",IF($E6="collected",N($G6),IF(AND(OR($E6="returned_to_brand",$E6="given_to_roster_office",$E6="released_to_office",$E6="disposed"),IF($F6="","reserve",$F6)="leftover"),-N($G6),IF(AND($E6="correction",IF($F6="","reserve",$F6)="leftover"),N($G6),0))))</f>
        <v/>
      </c>
      <c r="P6" s="25">
        <f>IF(OR($E6&lt;&gt;"received",$I6="",$L6=""),"",IF($I6&gt;=$L6+config!$B$19,"Y","N"))</f>
        <v/>
      </c>
      <c r="Q6" s="25">
        <f>IF($C6="","",IF(COUNTIF(campaigns!$A$2:$A$51,$C6)=0,"campaign_id not on campaigns; ",IF(AND($D6&lt;&gt;"",COUNTIFS(approvals!$A$2:$A$251,$C6,approvals!$B$2:$B$251,$D6)=0),"office not on this campaign (approvals tab); ",""))&amp;IF(AND(OR($E6="delivered",$E6="topped_up",$E6="collected"),$D6=""),"office needed; ","")&amp;IF(AND($E6&lt;&gt;"correction",N($G6)&lt;=0),"qty must be above 0; ","")&amp;IF(AND($E6="received",OR($I6="",$H6="")),"log lot and best-by; ","")&amp;IF(AND($P6="N",SUMIFS(inventory!$G$2:$G$801,inventory!$C$2:$C$801,$C6,inventory!$H$2:$H$801,$H6,inventory!$E$2:$E$801,"rejected")&lt;N($G6)),"UNDER "&amp;config!$B$19&amp;" DAYS LEFT ON THE DROP DAY: reject these units; ","")&amp;IF(AND($E6="delivered",COUNTIF(inventory!$R$2:$R$801,$R6)&gt;1),"two delivered rows for this office: use one; ","")&amp;IF(AND($E6="delivered",$J6=""),"who counted?; ",""))</f>
        <v/>
      </c>
      <c r="R6" s="25">
        <f>IF($C6="","",$C6&amp;"|"&amp;$D6&amp;"|"&amp;$E6)</f>
        <v/>
      </c>
    </row>
    <row r="7">
      <c r="A7" s="9" t="n">
        <v>46399</v>
      </c>
      <c r="B7" s="33" t="n">
        <v>0.3472222222222222</v>
      </c>
      <c r="C7" t="inlineStr">
        <is>
          <t>SAMPLE-CMP-001</t>
        </is>
      </c>
      <c r="D7" t="inlineStr">
        <is>
          <t>SAMPLE-O-001</t>
        </is>
      </c>
      <c r="E7" t="inlineStr">
        <is>
          <t>delivered</t>
        </is>
      </c>
      <c r="G7" t="n">
        <v>40</v>
      </c>
      <c r="I7" s="9" t="n"/>
      <c r="J7" t="inlineStr">
        <is>
          <t>founder_count</t>
        </is>
      </c>
      <c r="L7" s="26">
        <f>IF($C7="","",IFERROR(IF(INDEX(campaigns!$BG$2:$BG$51,MATCH($C7,campaigns!$A$2:$A$51,0))="","",INDEX(campaigns!$BG$2:$BG$51,MATCH($C7,campaigns!$A$2:$A$51,0))),""))</f>
        <v/>
      </c>
      <c r="M7" s="25">
        <f>IF($C7="","",IF(OR($E7="received"),N($G7),IF(OR($E7="rejected",$E7="delivered",$E7="topped_up"),-N($G7),IF(AND(OR($E7="returned_to_brand",$E7="given_to_roster_office",$E7="released_to_office",$E7="disposed"),IF($F7="","reserve",$F7)="reserve"),-N($G7),IF(AND($E7="correction",IF($F7="","reserve",$F7)="reserve"),N($G7),0)))))</f>
        <v/>
      </c>
      <c r="N7" s="25">
        <f>IF($C7="","",IF($E7="rejected",N($G7),IF(AND(OR($E7="returned_to_brand",$E7="given_to_roster_office",$E7="released_to_office",$E7="disposed"),IF($F7="","reserve",$F7)="rejected"),-N($G7),IF(AND($E7="correction",IF($F7="","reserve",$F7)="rejected"),N($G7),0))))</f>
        <v/>
      </c>
      <c r="O7" s="25">
        <f>IF($C7="","",IF($E7="collected",N($G7),IF(AND(OR($E7="returned_to_brand",$E7="given_to_roster_office",$E7="released_to_office",$E7="disposed"),IF($F7="","reserve",$F7)="leftover"),-N($G7),IF(AND($E7="correction",IF($F7="","reserve",$F7)="leftover"),N($G7),0))))</f>
        <v/>
      </c>
      <c r="P7" s="25">
        <f>IF(OR($E7&lt;&gt;"received",$I7="",$L7=""),"",IF($I7&gt;=$L7+config!$B$19,"Y","N"))</f>
        <v/>
      </c>
      <c r="Q7" s="25">
        <f>IF($C7="","",IF(COUNTIF(campaigns!$A$2:$A$51,$C7)=0,"campaign_id not on campaigns; ",IF(AND($D7&lt;&gt;"",COUNTIFS(approvals!$A$2:$A$251,$C7,approvals!$B$2:$B$251,$D7)=0),"office not on this campaign (approvals tab); ",""))&amp;IF(AND(OR($E7="delivered",$E7="topped_up",$E7="collected"),$D7=""),"office needed; ","")&amp;IF(AND($E7&lt;&gt;"correction",N($G7)&lt;=0),"qty must be above 0; ","")&amp;IF(AND($E7="received",OR($I7="",$H7="")),"log lot and best-by; ","")&amp;IF(AND($P7="N",SUMIFS(inventory!$G$2:$G$801,inventory!$C$2:$C$801,$C7,inventory!$H$2:$H$801,$H7,inventory!$E$2:$E$801,"rejected")&lt;N($G7)),"UNDER "&amp;config!$B$19&amp;" DAYS LEFT ON THE DROP DAY: reject these units; ","")&amp;IF(AND($E7="delivered",COUNTIF(inventory!$R$2:$R$801,$R7)&gt;1),"two delivered rows for this office: use one; ","")&amp;IF(AND($E7="delivered",$J7=""),"who counted?; ",""))</f>
        <v/>
      </c>
      <c r="R7" s="25">
        <f>IF($C7="","",$C7&amp;"|"&amp;$D7&amp;"|"&amp;$E7)</f>
        <v/>
      </c>
    </row>
    <row r="8">
      <c r="A8" s="9" t="n">
        <v>46399</v>
      </c>
      <c r="B8" s="33" t="n">
        <v>0.3965277777777778</v>
      </c>
      <c r="C8" t="inlineStr">
        <is>
          <t>SAMPLE-CMP-001</t>
        </is>
      </c>
      <c r="D8" t="inlineStr">
        <is>
          <t>SAMPLE-O-002</t>
        </is>
      </c>
      <c r="E8" t="inlineStr">
        <is>
          <t>delivered</t>
        </is>
      </c>
      <c r="G8" t="n">
        <v>40</v>
      </c>
      <c r="I8" s="9" t="n"/>
      <c r="J8" t="inlineStr">
        <is>
          <t>founder_count</t>
        </is>
      </c>
      <c r="L8" s="26">
        <f>IF($C8="","",IFERROR(IF(INDEX(campaigns!$BG$2:$BG$51,MATCH($C8,campaigns!$A$2:$A$51,0))="","",INDEX(campaigns!$BG$2:$BG$51,MATCH($C8,campaigns!$A$2:$A$51,0))),""))</f>
        <v/>
      </c>
      <c r="M8" s="25">
        <f>IF($C8="","",IF(OR($E8="received"),N($G8),IF(OR($E8="rejected",$E8="delivered",$E8="topped_up"),-N($G8),IF(AND(OR($E8="returned_to_brand",$E8="given_to_roster_office",$E8="released_to_office",$E8="disposed"),IF($F8="","reserve",$F8)="reserve"),-N($G8),IF(AND($E8="correction",IF($F8="","reserve",$F8)="reserve"),N($G8),0)))))</f>
        <v/>
      </c>
      <c r="N8" s="25">
        <f>IF($C8="","",IF($E8="rejected",N($G8),IF(AND(OR($E8="returned_to_brand",$E8="given_to_roster_office",$E8="released_to_office",$E8="disposed"),IF($F8="","reserve",$F8)="rejected"),-N($G8),IF(AND($E8="correction",IF($F8="","reserve",$F8)="rejected"),N($G8),0))))</f>
        <v/>
      </c>
      <c r="O8" s="25">
        <f>IF($C8="","",IF($E8="collected",N($G8),IF(AND(OR($E8="returned_to_brand",$E8="given_to_roster_office",$E8="released_to_office",$E8="disposed"),IF($F8="","reserve",$F8)="leftover"),-N($G8),IF(AND($E8="correction",IF($F8="","reserve",$F8)="leftover"),N($G8),0))))</f>
        <v/>
      </c>
      <c r="P8" s="25">
        <f>IF(OR($E8&lt;&gt;"received",$I8="",$L8=""),"",IF($I8&gt;=$L8+config!$B$19,"Y","N"))</f>
        <v/>
      </c>
      <c r="Q8" s="25">
        <f>IF($C8="","",IF(COUNTIF(campaigns!$A$2:$A$51,$C8)=0,"campaign_id not on campaigns; ",IF(AND($D8&lt;&gt;"",COUNTIFS(approvals!$A$2:$A$251,$C8,approvals!$B$2:$B$251,$D8)=0),"office not on this campaign (approvals tab); ",""))&amp;IF(AND(OR($E8="delivered",$E8="topped_up",$E8="collected"),$D8=""),"office needed; ","")&amp;IF(AND($E8&lt;&gt;"correction",N($G8)&lt;=0),"qty must be above 0; ","")&amp;IF(AND($E8="received",OR($I8="",$H8="")),"log lot and best-by; ","")&amp;IF(AND($P8="N",SUMIFS(inventory!$G$2:$G$801,inventory!$C$2:$C$801,$C8,inventory!$H$2:$H$801,$H8,inventory!$E$2:$E$801,"rejected")&lt;N($G8)),"UNDER "&amp;config!$B$19&amp;" DAYS LEFT ON THE DROP DAY: reject these units; ","")&amp;IF(AND($E8="delivered",COUNTIF(inventory!$R$2:$R$801,$R8)&gt;1),"two delivered rows for this office: use one; ","")&amp;IF(AND($E8="delivered",$J8=""),"who counted?; ",""))</f>
        <v/>
      </c>
      <c r="R8" s="25">
        <f>IF($C8="","",$C8&amp;"|"&amp;$D8&amp;"|"&amp;$E8)</f>
        <v/>
      </c>
    </row>
    <row r="9">
      <c r="A9" s="9" t="n">
        <v>46399</v>
      </c>
      <c r="B9" s="33" t="n">
        <v>0.3729166666666667</v>
      </c>
      <c r="C9" t="inlineStr">
        <is>
          <t>SAMPLE-CMP-001</t>
        </is>
      </c>
      <c r="D9" t="inlineStr">
        <is>
          <t>SAMPLE-O-003</t>
        </is>
      </c>
      <c r="E9" t="inlineStr">
        <is>
          <t>delivered</t>
        </is>
      </c>
      <c r="G9" t="n">
        <v>50</v>
      </c>
      <c r="I9" s="9" t="n"/>
      <c r="J9" t="inlineStr">
        <is>
          <t>founder_count</t>
        </is>
      </c>
      <c r="L9" s="26">
        <f>IF($C9="","",IFERROR(IF(INDEX(campaigns!$BG$2:$BG$51,MATCH($C9,campaigns!$A$2:$A$51,0))="","",INDEX(campaigns!$BG$2:$BG$51,MATCH($C9,campaigns!$A$2:$A$51,0))),""))</f>
        <v/>
      </c>
      <c r="M9" s="25">
        <f>IF($C9="","",IF(OR($E9="received"),N($G9),IF(OR($E9="rejected",$E9="delivered",$E9="topped_up"),-N($G9),IF(AND(OR($E9="returned_to_brand",$E9="given_to_roster_office",$E9="released_to_office",$E9="disposed"),IF($F9="","reserve",$F9)="reserve"),-N($G9),IF(AND($E9="correction",IF($F9="","reserve",$F9)="reserve"),N($G9),0)))))</f>
        <v/>
      </c>
      <c r="N9" s="25">
        <f>IF($C9="","",IF($E9="rejected",N($G9),IF(AND(OR($E9="returned_to_brand",$E9="given_to_roster_office",$E9="released_to_office",$E9="disposed"),IF($F9="","reserve",$F9)="rejected"),-N($G9),IF(AND($E9="correction",IF($F9="","reserve",$F9)="rejected"),N($G9),0))))</f>
        <v/>
      </c>
      <c r="O9" s="25">
        <f>IF($C9="","",IF($E9="collected",N($G9),IF(AND(OR($E9="returned_to_brand",$E9="given_to_roster_office",$E9="released_to_office",$E9="disposed"),IF($F9="","reserve",$F9)="leftover"),-N($G9),IF(AND($E9="correction",IF($F9="","reserve",$F9)="leftover"),N($G9),0))))</f>
        <v/>
      </c>
      <c r="P9" s="25">
        <f>IF(OR($E9&lt;&gt;"received",$I9="",$L9=""),"",IF($I9&gt;=$L9+config!$B$19,"Y","N"))</f>
        <v/>
      </c>
      <c r="Q9" s="25">
        <f>IF($C9="","",IF(COUNTIF(campaigns!$A$2:$A$51,$C9)=0,"campaign_id not on campaigns; ",IF(AND($D9&lt;&gt;"",COUNTIFS(approvals!$A$2:$A$251,$C9,approvals!$B$2:$B$251,$D9)=0),"office not on this campaign (approvals tab); ",""))&amp;IF(AND(OR($E9="delivered",$E9="topped_up",$E9="collected"),$D9=""),"office needed; ","")&amp;IF(AND($E9&lt;&gt;"correction",N($G9)&lt;=0),"qty must be above 0; ","")&amp;IF(AND($E9="received",OR($I9="",$H9="")),"log lot and best-by; ","")&amp;IF(AND($P9="N",SUMIFS(inventory!$G$2:$G$801,inventory!$C$2:$C$801,$C9,inventory!$H$2:$H$801,$H9,inventory!$E$2:$E$801,"rejected")&lt;N($G9)),"UNDER "&amp;config!$B$19&amp;" DAYS LEFT ON THE DROP DAY: reject these units; ","")&amp;IF(AND($E9="delivered",COUNTIF(inventory!$R$2:$R$801,$R9)&gt;1),"two delivered rows for this office: use one; ","")&amp;IF(AND($E9="delivered",$J9=""),"who counted?; ",""))</f>
        <v/>
      </c>
      <c r="R9" s="25">
        <f>IF($C9="","",$C9&amp;"|"&amp;$D9&amp;"|"&amp;$E9)</f>
        <v/>
      </c>
    </row>
    <row r="10">
      <c r="A10" s="9" t="n">
        <v>46399</v>
      </c>
      <c r="B10" s="33" t="n">
        <v>0.4527777777777778</v>
      </c>
      <c r="C10" t="inlineStr">
        <is>
          <t>SAMPLE-CMP-001</t>
        </is>
      </c>
      <c r="D10" t="inlineStr">
        <is>
          <t>SAMPLE-O-004</t>
        </is>
      </c>
      <c r="E10" t="inlineStr">
        <is>
          <t>delivered</t>
        </is>
      </c>
      <c r="G10" t="n">
        <v>50</v>
      </c>
      <c r="I10" s="9" t="n"/>
      <c r="J10" t="inlineStr">
        <is>
          <t>founder_count</t>
        </is>
      </c>
      <c r="L10" s="26">
        <f>IF($C10="","",IFERROR(IF(INDEX(campaigns!$BG$2:$BG$51,MATCH($C10,campaigns!$A$2:$A$51,0))="","",INDEX(campaigns!$BG$2:$BG$51,MATCH($C10,campaigns!$A$2:$A$51,0))),""))</f>
        <v/>
      </c>
      <c r="M10" s="25">
        <f>IF($C10="","",IF(OR($E10="received"),N($G10),IF(OR($E10="rejected",$E10="delivered",$E10="topped_up"),-N($G10),IF(AND(OR($E10="returned_to_brand",$E10="given_to_roster_office",$E10="released_to_office",$E10="disposed"),IF($F10="","reserve",$F10)="reserve"),-N($G10),IF(AND($E10="correction",IF($F10="","reserve",$F10)="reserve"),N($G10),0)))))</f>
        <v/>
      </c>
      <c r="N10" s="25">
        <f>IF($C10="","",IF($E10="rejected",N($G10),IF(AND(OR($E10="returned_to_brand",$E10="given_to_roster_office",$E10="released_to_office",$E10="disposed"),IF($F10="","reserve",$F10)="rejected"),-N($G10),IF(AND($E10="correction",IF($F10="","reserve",$F10)="rejected"),N($G10),0))))</f>
        <v/>
      </c>
      <c r="O10" s="25">
        <f>IF($C10="","",IF($E10="collected",N($G10),IF(AND(OR($E10="returned_to_brand",$E10="given_to_roster_office",$E10="released_to_office",$E10="disposed"),IF($F10="","reserve",$F10)="leftover"),-N($G10),IF(AND($E10="correction",IF($F10="","reserve",$F10)="leftover"),N($G10),0))))</f>
        <v/>
      </c>
      <c r="P10" s="25">
        <f>IF(OR($E10&lt;&gt;"received",$I10="",$L10=""),"",IF($I10&gt;=$L10+config!$B$19,"Y","N"))</f>
        <v/>
      </c>
      <c r="Q10" s="25">
        <f>IF($C10="","",IF(COUNTIF(campaigns!$A$2:$A$51,$C10)=0,"campaign_id not on campaigns; ",IF(AND($D10&lt;&gt;"",COUNTIFS(approvals!$A$2:$A$251,$C10,approvals!$B$2:$B$251,$D10)=0),"office not on this campaign (approvals tab); ",""))&amp;IF(AND(OR($E10="delivered",$E10="topped_up",$E10="collected"),$D10=""),"office needed; ","")&amp;IF(AND($E10&lt;&gt;"correction",N($G10)&lt;=0),"qty must be above 0; ","")&amp;IF(AND($E10="received",OR($I10="",$H10="")),"log lot and best-by; ","")&amp;IF(AND($P10="N",SUMIFS(inventory!$G$2:$G$801,inventory!$C$2:$C$801,$C10,inventory!$H$2:$H$801,$H10,inventory!$E$2:$E$801,"rejected")&lt;N($G10)),"UNDER "&amp;config!$B$19&amp;" DAYS LEFT ON THE DROP DAY: reject these units; ","")&amp;IF(AND($E10="delivered",COUNTIF(inventory!$R$2:$R$801,$R10)&gt;1),"two delivered rows for this office: use one; ","")&amp;IF(AND($E10="delivered",$J10=""),"who counted?; ",""))</f>
        <v/>
      </c>
      <c r="R10" s="25">
        <f>IF($C10="","",$C10&amp;"|"&amp;$D10&amp;"|"&amp;$E10)</f>
        <v/>
      </c>
    </row>
    <row r="11">
      <c r="A11" s="9" t="n">
        <v>46399</v>
      </c>
      <c r="B11" s="33" t="n">
        <v>0.4263888888888889</v>
      </c>
      <c r="C11" t="inlineStr">
        <is>
          <t>SAMPLE-CMP-001</t>
        </is>
      </c>
      <c r="D11" t="inlineStr">
        <is>
          <t>SAMPLE-O-005</t>
        </is>
      </c>
      <c r="E11" t="inlineStr">
        <is>
          <t>delivered</t>
        </is>
      </c>
      <c r="G11" t="n">
        <v>70</v>
      </c>
      <c r="I11" s="9" t="n"/>
      <c r="J11" t="inlineStr">
        <is>
          <t>founder_count</t>
        </is>
      </c>
      <c r="L11" s="26">
        <f>IF($C11="","",IFERROR(IF(INDEX(campaigns!$BG$2:$BG$51,MATCH($C11,campaigns!$A$2:$A$51,0))="","",INDEX(campaigns!$BG$2:$BG$51,MATCH($C11,campaigns!$A$2:$A$51,0))),""))</f>
        <v/>
      </c>
      <c r="M11" s="25">
        <f>IF($C11="","",IF(OR($E11="received"),N($G11),IF(OR($E11="rejected",$E11="delivered",$E11="topped_up"),-N($G11),IF(AND(OR($E11="returned_to_brand",$E11="given_to_roster_office",$E11="released_to_office",$E11="disposed"),IF($F11="","reserve",$F11)="reserve"),-N($G11),IF(AND($E11="correction",IF($F11="","reserve",$F11)="reserve"),N($G11),0)))))</f>
        <v/>
      </c>
      <c r="N11" s="25">
        <f>IF($C11="","",IF($E11="rejected",N($G11),IF(AND(OR($E11="returned_to_brand",$E11="given_to_roster_office",$E11="released_to_office",$E11="disposed"),IF($F11="","reserve",$F11)="rejected"),-N($G11),IF(AND($E11="correction",IF($F11="","reserve",$F11)="rejected"),N($G11),0))))</f>
        <v/>
      </c>
      <c r="O11" s="25">
        <f>IF($C11="","",IF($E11="collected",N($G11),IF(AND(OR($E11="returned_to_brand",$E11="given_to_roster_office",$E11="released_to_office",$E11="disposed"),IF($F11="","reserve",$F11)="leftover"),-N($G11),IF(AND($E11="correction",IF($F11="","reserve",$F11)="leftover"),N($G11),0))))</f>
        <v/>
      </c>
      <c r="P11" s="25">
        <f>IF(OR($E11&lt;&gt;"received",$I11="",$L11=""),"",IF($I11&gt;=$L11+config!$B$19,"Y","N"))</f>
        <v/>
      </c>
      <c r="Q11" s="25">
        <f>IF($C11="","",IF(COUNTIF(campaigns!$A$2:$A$51,$C11)=0,"campaign_id not on campaigns; ",IF(AND($D11&lt;&gt;"",COUNTIFS(approvals!$A$2:$A$251,$C11,approvals!$B$2:$B$251,$D11)=0),"office not on this campaign (approvals tab); ",""))&amp;IF(AND(OR($E11="delivered",$E11="topped_up",$E11="collected"),$D11=""),"office needed; ","")&amp;IF(AND($E11&lt;&gt;"correction",N($G11)&lt;=0),"qty must be above 0; ","")&amp;IF(AND($E11="received",OR($I11="",$H11="")),"log lot and best-by; ","")&amp;IF(AND($P11="N",SUMIFS(inventory!$G$2:$G$801,inventory!$C$2:$C$801,$C11,inventory!$H$2:$H$801,$H11,inventory!$E$2:$E$801,"rejected")&lt;N($G11)),"UNDER "&amp;config!$B$19&amp;" DAYS LEFT ON THE DROP DAY: reject these units; ","")&amp;IF(AND($E11="delivered",COUNTIF(inventory!$R$2:$R$801,$R11)&gt;1),"two delivered rows for this office: use one; ","")&amp;IF(AND($E11="delivered",$J11=""),"who counted?; ",""))</f>
        <v/>
      </c>
      <c r="R11" s="25">
        <f>IF($C11="","",$C11&amp;"|"&amp;$D11&amp;"|"&amp;$E11)</f>
        <v/>
      </c>
    </row>
    <row r="12">
      <c r="A12" s="9" t="n">
        <v>46399</v>
      </c>
      <c r="B12" s="33" t="n">
        <v>0.3472222222222222</v>
      </c>
      <c r="C12" t="inlineStr">
        <is>
          <t>SAMPLE-CMP-002</t>
        </is>
      </c>
      <c r="D12" t="inlineStr">
        <is>
          <t>SAMPLE-O-001</t>
        </is>
      </c>
      <c r="E12" t="inlineStr">
        <is>
          <t>delivered</t>
        </is>
      </c>
      <c r="G12" t="n">
        <v>40</v>
      </c>
      <c r="I12" s="9" t="n"/>
      <c r="J12" t="inlineStr">
        <is>
          <t>founder_count</t>
        </is>
      </c>
      <c r="L12" s="26">
        <f>IF($C12="","",IFERROR(IF(INDEX(campaigns!$BG$2:$BG$51,MATCH($C12,campaigns!$A$2:$A$51,0))="","",INDEX(campaigns!$BG$2:$BG$51,MATCH($C12,campaigns!$A$2:$A$51,0))),""))</f>
        <v/>
      </c>
      <c r="M12" s="25">
        <f>IF($C12="","",IF(OR($E12="received"),N($G12),IF(OR($E12="rejected",$E12="delivered",$E12="topped_up"),-N($G12),IF(AND(OR($E12="returned_to_brand",$E12="given_to_roster_office",$E12="released_to_office",$E12="disposed"),IF($F12="","reserve",$F12)="reserve"),-N($G12),IF(AND($E12="correction",IF($F12="","reserve",$F12)="reserve"),N($G12),0)))))</f>
        <v/>
      </c>
      <c r="N12" s="25">
        <f>IF($C12="","",IF($E12="rejected",N($G12),IF(AND(OR($E12="returned_to_brand",$E12="given_to_roster_office",$E12="released_to_office",$E12="disposed"),IF($F12="","reserve",$F12)="rejected"),-N($G12),IF(AND($E12="correction",IF($F12="","reserve",$F12)="rejected"),N($G12),0))))</f>
        <v/>
      </c>
      <c r="O12" s="25">
        <f>IF($C12="","",IF($E12="collected",N($G12),IF(AND(OR($E12="returned_to_brand",$E12="given_to_roster_office",$E12="released_to_office",$E12="disposed"),IF($F12="","reserve",$F12)="leftover"),-N($G12),IF(AND($E12="correction",IF($F12="","reserve",$F12)="leftover"),N($G12),0))))</f>
        <v/>
      </c>
      <c r="P12" s="25">
        <f>IF(OR($E12&lt;&gt;"received",$I12="",$L12=""),"",IF($I12&gt;=$L12+config!$B$19,"Y","N"))</f>
        <v/>
      </c>
      <c r="Q12" s="25">
        <f>IF($C12="","",IF(COUNTIF(campaigns!$A$2:$A$51,$C12)=0,"campaign_id not on campaigns; ",IF(AND($D12&lt;&gt;"",COUNTIFS(approvals!$A$2:$A$251,$C12,approvals!$B$2:$B$251,$D12)=0),"office not on this campaign (approvals tab); ",""))&amp;IF(AND(OR($E12="delivered",$E12="topped_up",$E12="collected"),$D12=""),"office needed; ","")&amp;IF(AND($E12&lt;&gt;"correction",N($G12)&lt;=0),"qty must be above 0; ","")&amp;IF(AND($E12="received",OR($I12="",$H12="")),"log lot and best-by; ","")&amp;IF(AND($P12="N",SUMIFS(inventory!$G$2:$G$801,inventory!$C$2:$C$801,$C12,inventory!$H$2:$H$801,$H12,inventory!$E$2:$E$801,"rejected")&lt;N($G12)),"UNDER "&amp;config!$B$19&amp;" DAYS LEFT ON THE DROP DAY: reject these units; ","")&amp;IF(AND($E12="delivered",COUNTIF(inventory!$R$2:$R$801,$R12)&gt;1),"two delivered rows for this office: use one; ","")&amp;IF(AND($E12="delivered",$J12=""),"who counted?; ",""))</f>
        <v/>
      </c>
      <c r="R12" s="25">
        <f>IF($C12="","",$C12&amp;"|"&amp;$D12&amp;"|"&amp;$E12)</f>
        <v/>
      </c>
    </row>
    <row r="13">
      <c r="A13" s="9" t="n">
        <v>46399</v>
      </c>
      <c r="B13" s="33" t="n">
        <v>0.3965277777777778</v>
      </c>
      <c r="C13" t="inlineStr">
        <is>
          <t>SAMPLE-CMP-002</t>
        </is>
      </c>
      <c r="D13" t="inlineStr">
        <is>
          <t>SAMPLE-O-002</t>
        </is>
      </c>
      <c r="E13" t="inlineStr">
        <is>
          <t>delivered</t>
        </is>
      </c>
      <c r="G13" t="n">
        <v>40</v>
      </c>
      <c r="I13" s="9" t="n"/>
      <c r="J13" t="inlineStr">
        <is>
          <t>founder_count</t>
        </is>
      </c>
      <c r="L13" s="26">
        <f>IF($C13="","",IFERROR(IF(INDEX(campaigns!$BG$2:$BG$51,MATCH($C13,campaigns!$A$2:$A$51,0))="","",INDEX(campaigns!$BG$2:$BG$51,MATCH($C13,campaigns!$A$2:$A$51,0))),""))</f>
        <v/>
      </c>
      <c r="M13" s="25">
        <f>IF($C13="","",IF(OR($E13="received"),N($G13),IF(OR($E13="rejected",$E13="delivered",$E13="topped_up"),-N($G13),IF(AND(OR($E13="returned_to_brand",$E13="given_to_roster_office",$E13="released_to_office",$E13="disposed"),IF($F13="","reserve",$F13)="reserve"),-N($G13),IF(AND($E13="correction",IF($F13="","reserve",$F13)="reserve"),N($G13),0)))))</f>
        <v/>
      </c>
      <c r="N13" s="25">
        <f>IF($C13="","",IF($E13="rejected",N($G13),IF(AND(OR($E13="returned_to_brand",$E13="given_to_roster_office",$E13="released_to_office",$E13="disposed"),IF($F13="","reserve",$F13)="rejected"),-N($G13),IF(AND($E13="correction",IF($F13="","reserve",$F13)="rejected"),N($G13),0))))</f>
        <v/>
      </c>
      <c r="O13" s="25">
        <f>IF($C13="","",IF($E13="collected",N($G13),IF(AND(OR($E13="returned_to_brand",$E13="given_to_roster_office",$E13="released_to_office",$E13="disposed"),IF($F13="","reserve",$F13)="leftover"),-N($G13),IF(AND($E13="correction",IF($F13="","reserve",$F13)="leftover"),N($G13),0))))</f>
        <v/>
      </c>
      <c r="P13" s="25">
        <f>IF(OR($E13&lt;&gt;"received",$I13="",$L13=""),"",IF($I13&gt;=$L13+config!$B$19,"Y","N"))</f>
        <v/>
      </c>
      <c r="Q13" s="25">
        <f>IF($C13="","",IF(COUNTIF(campaigns!$A$2:$A$51,$C13)=0,"campaign_id not on campaigns; ",IF(AND($D13&lt;&gt;"",COUNTIFS(approvals!$A$2:$A$251,$C13,approvals!$B$2:$B$251,$D13)=0),"office not on this campaign (approvals tab); ",""))&amp;IF(AND(OR($E13="delivered",$E13="topped_up",$E13="collected"),$D13=""),"office needed; ","")&amp;IF(AND($E13&lt;&gt;"correction",N($G13)&lt;=0),"qty must be above 0; ","")&amp;IF(AND($E13="received",OR($I13="",$H13="")),"log lot and best-by; ","")&amp;IF(AND($P13="N",SUMIFS(inventory!$G$2:$G$801,inventory!$C$2:$C$801,$C13,inventory!$H$2:$H$801,$H13,inventory!$E$2:$E$801,"rejected")&lt;N($G13)),"UNDER "&amp;config!$B$19&amp;" DAYS LEFT ON THE DROP DAY: reject these units; ","")&amp;IF(AND($E13="delivered",COUNTIF(inventory!$R$2:$R$801,$R13)&gt;1),"two delivered rows for this office: use one; ","")&amp;IF(AND($E13="delivered",$J13=""),"who counted?; ",""))</f>
        <v/>
      </c>
      <c r="R13" s="25">
        <f>IF($C13="","",$C13&amp;"|"&amp;$D13&amp;"|"&amp;$E13)</f>
        <v/>
      </c>
    </row>
    <row r="14">
      <c r="A14" s="9" t="n">
        <v>46399</v>
      </c>
      <c r="B14" s="33" t="n">
        <v>0.3729166666666667</v>
      </c>
      <c r="C14" t="inlineStr">
        <is>
          <t>SAMPLE-CMP-002</t>
        </is>
      </c>
      <c r="D14" t="inlineStr">
        <is>
          <t>SAMPLE-O-003</t>
        </is>
      </c>
      <c r="E14" t="inlineStr">
        <is>
          <t>delivered</t>
        </is>
      </c>
      <c r="G14" t="n">
        <v>50</v>
      </c>
      <c r="I14" s="9" t="n"/>
      <c r="J14" t="inlineStr">
        <is>
          <t>founder_count</t>
        </is>
      </c>
      <c r="L14" s="26">
        <f>IF($C14="","",IFERROR(IF(INDEX(campaigns!$BG$2:$BG$51,MATCH($C14,campaigns!$A$2:$A$51,0))="","",INDEX(campaigns!$BG$2:$BG$51,MATCH($C14,campaigns!$A$2:$A$51,0))),""))</f>
        <v/>
      </c>
      <c r="M14" s="25">
        <f>IF($C14="","",IF(OR($E14="received"),N($G14),IF(OR($E14="rejected",$E14="delivered",$E14="topped_up"),-N($G14),IF(AND(OR($E14="returned_to_brand",$E14="given_to_roster_office",$E14="released_to_office",$E14="disposed"),IF($F14="","reserve",$F14)="reserve"),-N($G14),IF(AND($E14="correction",IF($F14="","reserve",$F14)="reserve"),N($G14),0)))))</f>
        <v/>
      </c>
      <c r="N14" s="25">
        <f>IF($C14="","",IF($E14="rejected",N($G14),IF(AND(OR($E14="returned_to_brand",$E14="given_to_roster_office",$E14="released_to_office",$E14="disposed"),IF($F14="","reserve",$F14)="rejected"),-N($G14),IF(AND($E14="correction",IF($F14="","reserve",$F14)="rejected"),N($G14),0))))</f>
        <v/>
      </c>
      <c r="O14" s="25">
        <f>IF($C14="","",IF($E14="collected",N($G14),IF(AND(OR($E14="returned_to_brand",$E14="given_to_roster_office",$E14="released_to_office",$E14="disposed"),IF($F14="","reserve",$F14)="leftover"),-N($G14),IF(AND($E14="correction",IF($F14="","reserve",$F14)="leftover"),N($G14),0))))</f>
        <v/>
      </c>
      <c r="P14" s="25">
        <f>IF(OR($E14&lt;&gt;"received",$I14="",$L14=""),"",IF($I14&gt;=$L14+config!$B$19,"Y","N"))</f>
        <v/>
      </c>
      <c r="Q14" s="25">
        <f>IF($C14="","",IF(COUNTIF(campaigns!$A$2:$A$51,$C14)=0,"campaign_id not on campaigns; ",IF(AND($D14&lt;&gt;"",COUNTIFS(approvals!$A$2:$A$251,$C14,approvals!$B$2:$B$251,$D14)=0),"office not on this campaign (approvals tab); ",""))&amp;IF(AND(OR($E14="delivered",$E14="topped_up",$E14="collected"),$D14=""),"office needed; ","")&amp;IF(AND($E14&lt;&gt;"correction",N($G14)&lt;=0),"qty must be above 0; ","")&amp;IF(AND($E14="received",OR($I14="",$H14="")),"log lot and best-by; ","")&amp;IF(AND($P14="N",SUMIFS(inventory!$G$2:$G$801,inventory!$C$2:$C$801,$C14,inventory!$H$2:$H$801,$H14,inventory!$E$2:$E$801,"rejected")&lt;N($G14)),"UNDER "&amp;config!$B$19&amp;" DAYS LEFT ON THE DROP DAY: reject these units; ","")&amp;IF(AND($E14="delivered",COUNTIF(inventory!$R$2:$R$801,$R14)&gt;1),"two delivered rows for this office: use one; ","")&amp;IF(AND($E14="delivered",$J14=""),"who counted?; ",""))</f>
        <v/>
      </c>
      <c r="R14" s="25">
        <f>IF($C14="","",$C14&amp;"|"&amp;$D14&amp;"|"&amp;$E14)</f>
        <v/>
      </c>
    </row>
    <row r="15">
      <c r="A15" s="9" t="n">
        <v>46399</v>
      </c>
      <c r="B15" s="33" t="n">
        <v>0.4527777777777778</v>
      </c>
      <c r="C15" t="inlineStr">
        <is>
          <t>SAMPLE-CMP-002</t>
        </is>
      </c>
      <c r="D15" t="inlineStr">
        <is>
          <t>SAMPLE-O-004</t>
        </is>
      </c>
      <c r="E15" t="inlineStr">
        <is>
          <t>delivered</t>
        </is>
      </c>
      <c r="G15" t="n">
        <v>50</v>
      </c>
      <c r="I15" s="9" t="n"/>
      <c r="J15" t="inlineStr">
        <is>
          <t>founder_count</t>
        </is>
      </c>
      <c r="L15" s="26">
        <f>IF($C15="","",IFERROR(IF(INDEX(campaigns!$BG$2:$BG$51,MATCH($C15,campaigns!$A$2:$A$51,0))="","",INDEX(campaigns!$BG$2:$BG$51,MATCH($C15,campaigns!$A$2:$A$51,0))),""))</f>
        <v/>
      </c>
      <c r="M15" s="25">
        <f>IF($C15="","",IF(OR($E15="received"),N($G15),IF(OR($E15="rejected",$E15="delivered",$E15="topped_up"),-N($G15),IF(AND(OR($E15="returned_to_brand",$E15="given_to_roster_office",$E15="released_to_office",$E15="disposed"),IF($F15="","reserve",$F15)="reserve"),-N($G15),IF(AND($E15="correction",IF($F15="","reserve",$F15)="reserve"),N($G15),0)))))</f>
        <v/>
      </c>
      <c r="N15" s="25">
        <f>IF($C15="","",IF($E15="rejected",N($G15),IF(AND(OR($E15="returned_to_brand",$E15="given_to_roster_office",$E15="released_to_office",$E15="disposed"),IF($F15="","reserve",$F15)="rejected"),-N($G15),IF(AND($E15="correction",IF($F15="","reserve",$F15)="rejected"),N($G15),0))))</f>
        <v/>
      </c>
      <c r="O15" s="25">
        <f>IF($C15="","",IF($E15="collected",N($G15),IF(AND(OR($E15="returned_to_brand",$E15="given_to_roster_office",$E15="released_to_office",$E15="disposed"),IF($F15="","reserve",$F15)="leftover"),-N($G15),IF(AND($E15="correction",IF($F15="","reserve",$F15)="leftover"),N($G15),0))))</f>
        <v/>
      </c>
      <c r="P15" s="25">
        <f>IF(OR($E15&lt;&gt;"received",$I15="",$L15=""),"",IF($I15&gt;=$L15+config!$B$19,"Y","N"))</f>
        <v/>
      </c>
      <c r="Q15" s="25">
        <f>IF($C15="","",IF(COUNTIF(campaigns!$A$2:$A$51,$C15)=0,"campaign_id not on campaigns; ",IF(AND($D15&lt;&gt;"",COUNTIFS(approvals!$A$2:$A$251,$C15,approvals!$B$2:$B$251,$D15)=0),"office not on this campaign (approvals tab); ",""))&amp;IF(AND(OR($E15="delivered",$E15="topped_up",$E15="collected"),$D15=""),"office needed; ","")&amp;IF(AND($E15&lt;&gt;"correction",N($G15)&lt;=0),"qty must be above 0; ","")&amp;IF(AND($E15="received",OR($I15="",$H15="")),"log lot and best-by; ","")&amp;IF(AND($P15="N",SUMIFS(inventory!$G$2:$G$801,inventory!$C$2:$C$801,$C15,inventory!$H$2:$H$801,$H15,inventory!$E$2:$E$801,"rejected")&lt;N($G15)),"UNDER "&amp;config!$B$19&amp;" DAYS LEFT ON THE DROP DAY: reject these units; ","")&amp;IF(AND($E15="delivered",COUNTIF(inventory!$R$2:$R$801,$R15)&gt;1),"two delivered rows for this office: use one; ","")&amp;IF(AND($E15="delivered",$J15=""),"who counted?; ",""))</f>
        <v/>
      </c>
      <c r="R15" s="25">
        <f>IF($C15="","",$C15&amp;"|"&amp;$D15&amp;"|"&amp;$E15)</f>
        <v/>
      </c>
    </row>
    <row r="16">
      <c r="A16" s="9" t="n">
        <v>46399</v>
      </c>
      <c r="B16" s="33" t="n">
        <v>0.4263888888888889</v>
      </c>
      <c r="C16" t="inlineStr">
        <is>
          <t>SAMPLE-CMP-002</t>
        </is>
      </c>
      <c r="D16" t="inlineStr">
        <is>
          <t>SAMPLE-O-005</t>
        </is>
      </c>
      <c r="E16" t="inlineStr">
        <is>
          <t>delivered</t>
        </is>
      </c>
      <c r="G16" t="n">
        <v>70</v>
      </c>
      <c r="I16" s="9" t="n"/>
      <c r="J16" t="inlineStr">
        <is>
          <t>founder_count</t>
        </is>
      </c>
      <c r="L16" s="26">
        <f>IF($C16="","",IFERROR(IF(INDEX(campaigns!$BG$2:$BG$51,MATCH($C16,campaigns!$A$2:$A$51,0))="","",INDEX(campaigns!$BG$2:$BG$51,MATCH($C16,campaigns!$A$2:$A$51,0))),""))</f>
        <v/>
      </c>
      <c r="M16" s="25">
        <f>IF($C16="","",IF(OR($E16="received"),N($G16),IF(OR($E16="rejected",$E16="delivered",$E16="topped_up"),-N($G16),IF(AND(OR($E16="returned_to_brand",$E16="given_to_roster_office",$E16="released_to_office",$E16="disposed"),IF($F16="","reserve",$F16)="reserve"),-N($G16),IF(AND($E16="correction",IF($F16="","reserve",$F16)="reserve"),N($G16),0)))))</f>
        <v/>
      </c>
      <c r="N16" s="25">
        <f>IF($C16="","",IF($E16="rejected",N($G16),IF(AND(OR($E16="returned_to_brand",$E16="given_to_roster_office",$E16="released_to_office",$E16="disposed"),IF($F16="","reserve",$F16)="rejected"),-N($G16),IF(AND($E16="correction",IF($F16="","reserve",$F16)="rejected"),N($G16),0))))</f>
        <v/>
      </c>
      <c r="O16" s="25">
        <f>IF($C16="","",IF($E16="collected",N($G16),IF(AND(OR($E16="returned_to_brand",$E16="given_to_roster_office",$E16="released_to_office",$E16="disposed"),IF($F16="","reserve",$F16)="leftover"),-N($G16),IF(AND($E16="correction",IF($F16="","reserve",$F16)="leftover"),N($G16),0))))</f>
        <v/>
      </c>
      <c r="P16" s="25">
        <f>IF(OR($E16&lt;&gt;"received",$I16="",$L16=""),"",IF($I16&gt;=$L16+config!$B$19,"Y","N"))</f>
        <v/>
      </c>
      <c r="Q16" s="25">
        <f>IF($C16="","",IF(COUNTIF(campaigns!$A$2:$A$51,$C16)=0,"campaign_id not on campaigns; ",IF(AND($D16&lt;&gt;"",COUNTIFS(approvals!$A$2:$A$251,$C16,approvals!$B$2:$B$251,$D16)=0),"office not on this campaign (approvals tab); ",""))&amp;IF(AND(OR($E16="delivered",$E16="topped_up",$E16="collected"),$D16=""),"office needed; ","")&amp;IF(AND($E16&lt;&gt;"correction",N($G16)&lt;=0),"qty must be above 0; ","")&amp;IF(AND($E16="received",OR($I16="",$H16="")),"log lot and best-by; ","")&amp;IF(AND($P16="N",SUMIFS(inventory!$G$2:$G$801,inventory!$C$2:$C$801,$C16,inventory!$H$2:$H$801,$H16,inventory!$E$2:$E$801,"rejected")&lt;N($G16)),"UNDER "&amp;config!$B$19&amp;" DAYS LEFT ON THE DROP DAY: reject these units; ","")&amp;IF(AND($E16="delivered",COUNTIF(inventory!$R$2:$R$801,$R16)&gt;1),"two delivered rows for this office: use one; ","")&amp;IF(AND($E16="delivered",$J16=""),"who counted?; ",""))</f>
        <v/>
      </c>
      <c r="R16" s="25">
        <f>IF($C16="","",$C16&amp;"|"&amp;$D16&amp;"|"&amp;$E16)</f>
        <v/>
      </c>
    </row>
    <row r="17">
      <c r="A17" s="9" t="n">
        <v>46401</v>
      </c>
      <c r="B17" s="33" t="n">
        <v>0.5208333333333334</v>
      </c>
      <c r="C17" t="inlineStr">
        <is>
          <t>SAMPLE-CMP-001</t>
        </is>
      </c>
      <c r="D17" t="inlineStr">
        <is>
          <t>SAMPLE-O-001</t>
        </is>
      </c>
      <c r="E17" t="inlineStr">
        <is>
          <t>topped_up</t>
        </is>
      </c>
      <c r="G17" t="n">
        <v>5</v>
      </c>
      <c r="I17" s="9" t="n"/>
      <c r="J17" t="inlineStr">
        <is>
          <t>founder_count</t>
        </is>
      </c>
      <c r="L17" s="26">
        <f>IF($C17="","",IFERROR(IF(INDEX(campaigns!$BG$2:$BG$51,MATCH($C17,campaigns!$A$2:$A$51,0))="","",INDEX(campaigns!$BG$2:$BG$51,MATCH($C17,campaigns!$A$2:$A$51,0))),""))</f>
        <v/>
      </c>
      <c r="M17" s="25">
        <f>IF($C17="","",IF(OR($E17="received"),N($G17),IF(OR($E17="rejected",$E17="delivered",$E17="topped_up"),-N($G17),IF(AND(OR($E17="returned_to_brand",$E17="given_to_roster_office",$E17="released_to_office",$E17="disposed"),IF($F17="","reserve",$F17)="reserve"),-N($G17),IF(AND($E17="correction",IF($F17="","reserve",$F17)="reserve"),N($G17),0)))))</f>
        <v/>
      </c>
      <c r="N17" s="25">
        <f>IF($C17="","",IF($E17="rejected",N($G17),IF(AND(OR($E17="returned_to_brand",$E17="given_to_roster_office",$E17="released_to_office",$E17="disposed"),IF($F17="","reserve",$F17)="rejected"),-N($G17),IF(AND($E17="correction",IF($F17="","reserve",$F17)="rejected"),N($G17),0))))</f>
        <v/>
      </c>
      <c r="O17" s="25">
        <f>IF($C17="","",IF($E17="collected",N($G17),IF(AND(OR($E17="returned_to_brand",$E17="given_to_roster_office",$E17="released_to_office",$E17="disposed"),IF($F17="","reserve",$F17)="leftover"),-N($G17),IF(AND($E17="correction",IF($F17="","reserve",$F17)="leftover"),N($G17),0))))</f>
        <v/>
      </c>
      <c r="P17" s="25">
        <f>IF(OR($E17&lt;&gt;"received",$I17="",$L17=""),"",IF($I17&gt;=$L17+config!$B$19,"Y","N"))</f>
        <v/>
      </c>
      <c r="Q17" s="25">
        <f>IF($C17="","",IF(COUNTIF(campaigns!$A$2:$A$51,$C17)=0,"campaign_id not on campaigns; ",IF(AND($D17&lt;&gt;"",COUNTIFS(approvals!$A$2:$A$251,$C17,approvals!$B$2:$B$251,$D17)=0),"office not on this campaign (approvals tab); ",""))&amp;IF(AND(OR($E17="delivered",$E17="topped_up",$E17="collected"),$D17=""),"office needed; ","")&amp;IF(AND($E17&lt;&gt;"correction",N($G17)&lt;=0),"qty must be above 0; ","")&amp;IF(AND($E17="received",OR($I17="",$H17="")),"log lot and best-by; ","")&amp;IF(AND($P17="N",SUMIFS(inventory!$G$2:$G$801,inventory!$C$2:$C$801,$C17,inventory!$H$2:$H$801,$H17,inventory!$E$2:$E$801,"rejected")&lt;N($G17)),"UNDER "&amp;config!$B$19&amp;" DAYS LEFT ON THE DROP DAY: reject these units; ","")&amp;IF(AND($E17="delivered",COUNTIF(inventory!$R$2:$R$801,$R17)&gt;1),"two delivered rows for this office: use one; ","")&amp;IF(AND($E17="delivered",$J17=""),"who counted?; ",""))</f>
        <v/>
      </c>
      <c r="R17" s="25">
        <f>IF($C17="","",$C17&amp;"|"&amp;$D17&amp;"|"&amp;$E17)</f>
        <v/>
      </c>
    </row>
    <row r="18">
      <c r="A18" s="9" t="n">
        <v>46401</v>
      </c>
      <c r="B18" s="33" t="n">
        <v>0.5347222222222222</v>
      </c>
      <c r="C18" t="inlineStr">
        <is>
          <t>SAMPLE-CMP-002</t>
        </is>
      </c>
      <c r="D18" t="inlineStr">
        <is>
          <t>SAMPLE-O-003</t>
        </is>
      </c>
      <c r="E18" t="inlineStr">
        <is>
          <t>topped_up</t>
        </is>
      </c>
      <c r="G18" t="n">
        <v>6</v>
      </c>
      <c r="I18" s="9" t="n"/>
      <c r="J18" t="inlineStr">
        <is>
          <t>founder_count</t>
        </is>
      </c>
      <c r="L18" s="26">
        <f>IF($C18="","",IFERROR(IF(INDEX(campaigns!$BG$2:$BG$51,MATCH($C18,campaigns!$A$2:$A$51,0))="","",INDEX(campaigns!$BG$2:$BG$51,MATCH($C18,campaigns!$A$2:$A$51,0))),""))</f>
        <v/>
      </c>
      <c r="M18" s="25">
        <f>IF($C18="","",IF(OR($E18="received"),N($G18),IF(OR($E18="rejected",$E18="delivered",$E18="topped_up"),-N($G18),IF(AND(OR($E18="returned_to_brand",$E18="given_to_roster_office",$E18="released_to_office",$E18="disposed"),IF($F18="","reserve",$F18)="reserve"),-N($G18),IF(AND($E18="correction",IF($F18="","reserve",$F18)="reserve"),N($G18),0)))))</f>
        <v/>
      </c>
      <c r="N18" s="25">
        <f>IF($C18="","",IF($E18="rejected",N($G18),IF(AND(OR($E18="returned_to_brand",$E18="given_to_roster_office",$E18="released_to_office",$E18="disposed"),IF($F18="","reserve",$F18)="rejected"),-N($G18),IF(AND($E18="correction",IF($F18="","reserve",$F18)="rejected"),N($G18),0))))</f>
        <v/>
      </c>
      <c r="O18" s="25">
        <f>IF($C18="","",IF($E18="collected",N($G18),IF(AND(OR($E18="returned_to_brand",$E18="given_to_roster_office",$E18="released_to_office",$E18="disposed"),IF($F18="","reserve",$F18)="leftover"),-N($G18),IF(AND($E18="correction",IF($F18="","reserve",$F18)="leftover"),N($G18),0))))</f>
        <v/>
      </c>
      <c r="P18" s="25">
        <f>IF(OR($E18&lt;&gt;"received",$I18="",$L18=""),"",IF($I18&gt;=$L18+config!$B$19,"Y","N"))</f>
        <v/>
      </c>
      <c r="Q18" s="25">
        <f>IF($C18="","",IF(COUNTIF(campaigns!$A$2:$A$51,$C18)=0,"campaign_id not on campaigns; ",IF(AND($D18&lt;&gt;"",COUNTIFS(approvals!$A$2:$A$251,$C18,approvals!$B$2:$B$251,$D18)=0),"office not on this campaign (approvals tab); ",""))&amp;IF(AND(OR($E18="delivered",$E18="topped_up",$E18="collected"),$D18=""),"office needed; ","")&amp;IF(AND($E18&lt;&gt;"correction",N($G18)&lt;=0),"qty must be above 0; ","")&amp;IF(AND($E18="received",OR($I18="",$H18="")),"log lot and best-by; ","")&amp;IF(AND($P18="N",SUMIFS(inventory!$G$2:$G$801,inventory!$C$2:$C$801,$C18,inventory!$H$2:$H$801,$H18,inventory!$E$2:$E$801,"rejected")&lt;N($G18)),"UNDER "&amp;config!$B$19&amp;" DAYS LEFT ON THE DROP DAY: reject these units; ","")&amp;IF(AND($E18="delivered",COUNTIF(inventory!$R$2:$R$801,$R18)&gt;1),"two delivered rows for this office: use one; ","")&amp;IF(AND($E18="delivered",$J18=""),"who counted?; ",""))</f>
        <v/>
      </c>
      <c r="R18" s="25">
        <f>IF($C18="","",$C18&amp;"|"&amp;$D18&amp;"|"&amp;$E18)</f>
        <v/>
      </c>
    </row>
    <row r="19">
      <c r="A19" s="9" t="n"/>
      <c r="B19" s="33" t="n"/>
      <c r="I19" s="9" t="n"/>
      <c r="L19" s="26">
        <f>IF($C19="","",IFERROR(IF(INDEX(campaigns!$BG$2:$BG$51,MATCH($C19,campaigns!$A$2:$A$51,0))="","",INDEX(campaigns!$BG$2:$BG$51,MATCH($C19,campaigns!$A$2:$A$51,0))),""))</f>
        <v/>
      </c>
      <c r="M19" s="25">
        <f>IF($C19="","",IF(OR($E19="received"),N($G19),IF(OR($E19="rejected",$E19="delivered",$E19="topped_up"),-N($G19),IF(AND(OR($E19="returned_to_brand",$E19="given_to_roster_office",$E19="released_to_office",$E19="disposed"),IF($F19="","reserve",$F19)="reserve"),-N($G19),IF(AND($E19="correction",IF($F19="","reserve",$F19)="reserve"),N($G19),0)))))</f>
        <v/>
      </c>
      <c r="N19" s="25">
        <f>IF($C19="","",IF($E19="rejected",N($G19),IF(AND(OR($E19="returned_to_brand",$E19="given_to_roster_office",$E19="released_to_office",$E19="disposed"),IF($F19="","reserve",$F19)="rejected"),-N($G19),IF(AND($E19="correction",IF($F19="","reserve",$F19)="rejected"),N($G19),0))))</f>
        <v/>
      </c>
      <c r="O19" s="25">
        <f>IF($C19="","",IF($E19="collected",N($G19),IF(AND(OR($E19="returned_to_brand",$E19="given_to_roster_office",$E19="released_to_office",$E19="disposed"),IF($F19="","reserve",$F19)="leftover"),-N($G19),IF(AND($E19="correction",IF($F19="","reserve",$F19)="leftover"),N($G19),0))))</f>
        <v/>
      </c>
      <c r="P19" s="25">
        <f>IF(OR($E19&lt;&gt;"received",$I19="",$L19=""),"",IF($I19&gt;=$L19+config!$B$19,"Y","N"))</f>
        <v/>
      </c>
      <c r="Q19" s="25">
        <f>IF($C19="","",IF(COUNTIF(campaigns!$A$2:$A$51,$C19)=0,"campaign_id not on campaigns; ",IF(AND($D19&lt;&gt;"",COUNTIFS(approvals!$A$2:$A$251,$C19,approvals!$B$2:$B$251,$D19)=0),"office not on this campaign (approvals tab); ",""))&amp;IF(AND(OR($E19="delivered",$E19="topped_up",$E19="collected"),$D19=""),"office needed; ","")&amp;IF(AND($E19&lt;&gt;"correction",N($G19)&lt;=0),"qty must be above 0; ","")&amp;IF(AND($E19="received",OR($I19="",$H19="")),"log lot and best-by; ","")&amp;IF(AND($P19="N",SUMIFS(inventory!$G$2:$G$801,inventory!$C$2:$C$801,$C19,inventory!$H$2:$H$801,$H19,inventory!$E$2:$E$801,"rejected")&lt;N($G19)),"UNDER "&amp;config!$B$19&amp;" DAYS LEFT ON THE DROP DAY: reject these units; ","")&amp;IF(AND($E19="delivered",COUNTIF(inventory!$R$2:$R$801,$R19)&gt;1),"two delivered rows for this office: use one; ","")&amp;IF(AND($E19="delivered",$J19=""),"who counted?; ",""))</f>
        <v/>
      </c>
      <c r="R19" s="25">
        <f>IF($C19="","",$C19&amp;"|"&amp;$D19&amp;"|"&amp;$E19)</f>
        <v/>
      </c>
    </row>
    <row r="20">
      <c r="A20" s="9" t="n"/>
      <c r="B20" s="33" t="n"/>
      <c r="I20" s="9" t="n"/>
      <c r="L20" s="26">
        <f>IF($C20="","",IFERROR(IF(INDEX(campaigns!$BG$2:$BG$51,MATCH($C20,campaigns!$A$2:$A$51,0))="","",INDEX(campaigns!$BG$2:$BG$51,MATCH($C20,campaigns!$A$2:$A$51,0))),""))</f>
        <v/>
      </c>
      <c r="M20" s="25">
        <f>IF($C20="","",IF(OR($E20="received"),N($G20),IF(OR($E20="rejected",$E20="delivered",$E20="topped_up"),-N($G20),IF(AND(OR($E20="returned_to_brand",$E20="given_to_roster_office",$E20="released_to_office",$E20="disposed"),IF($F20="","reserve",$F20)="reserve"),-N($G20),IF(AND($E20="correction",IF($F20="","reserve",$F20)="reserve"),N($G20),0)))))</f>
        <v/>
      </c>
      <c r="N20" s="25">
        <f>IF($C20="","",IF($E20="rejected",N($G20),IF(AND(OR($E20="returned_to_brand",$E20="given_to_roster_office",$E20="released_to_office",$E20="disposed"),IF($F20="","reserve",$F20)="rejected"),-N($G20),IF(AND($E20="correction",IF($F20="","reserve",$F20)="rejected"),N($G20),0))))</f>
        <v/>
      </c>
      <c r="O20" s="25">
        <f>IF($C20="","",IF($E20="collected",N($G20),IF(AND(OR($E20="returned_to_brand",$E20="given_to_roster_office",$E20="released_to_office",$E20="disposed"),IF($F20="","reserve",$F20)="leftover"),-N($G20),IF(AND($E20="correction",IF($F20="","reserve",$F20)="leftover"),N($G20),0))))</f>
        <v/>
      </c>
      <c r="P20" s="25">
        <f>IF(OR($E20&lt;&gt;"received",$I20="",$L20=""),"",IF($I20&gt;=$L20+config!$B$19,"Y","N"))</f>
        <v/>
      </c>
      <c r="Q20" s="25">
        <f>IF($C20="","",IF(COUNTIF(campaigns!$A$2:$A$51,$C20)=0,"campaign_id not on campaigns; ",IF(AND($D20&lt;&gt;"",COUNTIFS(approvals!$A$2:$A$251,$C20,approvals!$B$2:$B$251,$D20)=0),"office not on this campaign (approvals tab); ",""))&amp;IF(AND(OR($E20="delivered",$E20="topped_up",$E20="collected"),$D20=""),"office needed; ","")&amp;IF(AND($E20&lt;&gt;"correction",N($G20)&lt;=0),"qty must be above 0; ","")&amp;IF(AND($E20="received",OR($I20="",$H20="")),"log lot and best-by; ","")&amp;IF(AND($P20="N",SUMIFS(inventory!$G$2:$G$801,inventory!$C$2:$C$801,$C20,inventory!$H$2:$H$801,$H20,inventory!$E$2:$E$801,"rejected")&lt;N($G20)),"UNDER "&amp;config!$B$19&amp;" DAYS LEFT ON THE DROP DAY: reject these units; ","")&amp;IF(AND($E20="delivered",COUNTIF(inventory!$R$2:$R$801,$R20)&gt;1),"two delivered rows for this office: use one; ","")&amp;IF(AND($E20="delivered",$J20=""),"who counted?; ",""))</f>
        <v/>
      </c>
      <c r="R20" s="25">
        <f>IF($C20="","",$C20&amp;"|"&amp;$D20&amp;"|"&amp;$E20)</f>
        <v/>
      </c>
    </row>
    <row r="21">
      <c r="A21" s="9" t="n"/>
      <c r="B21" s="33" t="n"/>
      <c r="I21" s="9" t="n"/>
      <c r="L21" s="26">
        <f>IF($C21="","",IFERROR(IF(INDEX(campaigns!$BG$2:$BG$51,MATCH($C21,campaigns!$A$2:$A$51,0))="","",INDEX(campaigns!$BG$2:$BG$51,MATCH($C21,campaigns!$A$2:$A$51,0))),""))</f>
        <v/>
      </c>
      <c r="M21" s="25">
        <f>IF($C21="","",IF(OR($E21="received"),N($G21),IF(OR($E21="rejected",$E21="delivered",$E21="topped_up"),-N($G21),IF(AND(OR($E21="returned_to_brand",$E21="given_to_roster_office",$E21="released_to_office",$E21="disposed"),IF($F21="","reserve",$F21)="reserve"),-N($G21),IF(AND($E21="correction",IF($F21="","reserve",$F21)="reserve"),N($G21),0)))))</f>
        <v/>
      </c>
      <c r="N21" s="25">
        <f>IF($C21="","",IF($E21="rejected",N($G21),IF(AND(OR($E21="returned_to_brand",$E21="given_to_roster_office",$E21="released_to_office",$E21="disposed"),IF($F21="","reserve",$F21)="rejected"),-N($G21),IF(AND($E21="correction",IF($F21="","reserve",$F21)="rejected"),N($G21),0))))</f>
        <v/>
      </c>
      <c r="O21" s="25">
        <f>IF($C21="","",IF($E21="collected",N($G21),IF(AND(OR($E21="returned_to_brand",$E21="given_to_roster_office",$E21="released_to_office",$E21="disposed"),IF($F21="","reserve",$F21)="leftover"),-N($G21),IF(AND($E21="correction",IF($F21="","reserve",$F21)="leftover"),N($G21),0))))</f>
        <v/>
      </c>
      <c r="P21" s="25">
        <f>IF(OR($E21&lt;&gt;"received",$I21="",$L21=""),"",IF($I21&gt;=$L21+config!$B$19,"Y","N"))</f>
        <v/>
      </c>
      <c r="Q21" s="25">
        <f>IF($C21="","",IF(COUNTIF(campaigns!$A$2:$A$51,$C21)=0,"campaign_id not on campaigns; ",IF(AND($D21&lt;&gt;"",COUNTIFS(approvals!$A$2:$A$251,$C21,approvals!$B$2:$B$251,$D21)=0),"office not on this campaign (approvals tab); ",""))&amp;IF(AND(OR($E21="delivered",$E21="topped_up",$E21="collected"),$D21=""),"office needed; ","")&amp;IF(AND($E21&lt;&gt;"correction",N($G21)&lt;=0),"qty must be above 0; ","")&amp;IF(AND($E21="received",OR($I21="",$H21="")),"log lot and best-by; ","")&amp;IF(AND($P21="N",SUMIFS(inventory!$G$2:$G$801,inventory!$C$2:$C$801,$C21,inventory!$H$2:$H$801,$H21,inventory!$E$2:$E$801,"rejected")&lt;N($G21)),"UNDER "&amp;config!$B$19&amp;" DAYS LEFT ON THE DROP DAY: reject these units; ","")&amp;IF(AND($E21="delivered",COUNTIF(inventory!$R$2:$R$801,$R21)&gt;1),"two delivered rows for this office: use one; ","")&amp;IF(AND($E21="delivered",$J21=""),"who counted?; ",""))</f>
        <v/>
      </c>
      <c r="R21" s="25">
        <f>IF($C21="","",$C21&amp;"|"&amp;$D21&amp;"|"&amp;$E21)</f>
        <v/>
      </c>
    </row>
    <row r="22">
      <c r="A22" s="9" t="n"/>
      <c r="B22" s="33" t="n"/>
      <c r="I22" s="9" t="n"/>
      <c r="L22" s="26">
        <f>IF($C22="","",IFERROR(IF(INDEX(campaigns!$BG$2:$BG$51,MATCH($C22,campaigns!$A$2:$A$51,0))="","",INDEX(campaigns!$BG$2:$BG$51,MATCH($C22,campaigns!$A$2:$A$51,0))),""))</f>
        <v/>
      </c>
      <c r="M22" s="25">
        <f>IF($C22="","",IF(OR($E22="received"),N($G22),IF(OR($E22="rejected",$E22="delivered",$E22="topped_up"),-N($G22),IF(AND(OR($E22="returned_to_brand",$E22="given_to_roster_office",$E22="released_to_office",$E22="disposed"),IF($F22="","reserve",$F22)="reserve"),-N($G22),IF(AND($E22="correction",IF($F22="","reserve",$F22)="reserve"),N($G22),0)))))</f>
        <v/>
      </c>
      <c r="N22" s="25">
        <f>IF($C22="","",IF($E22="rejected",N($G22),IF(AND(OR($E22="returned_to_brand",$E22="given_to_roster_office",$E22="released_to_office",$E22="disposed"),IF($F22="","reserve",$F22)="rejected"),-N($G22),IF(AND($E22="correction",IF($F22="","reserve",$F22)="rejected"),N($G22),0))))</f>
        <v/>
      </c>
      <c r="O22" s="25">
        <f>IF($C22="","",IF($E22="collected",N($G22),IF(AND(OR($E22="returned_to_brand",$E22="given_to_roster_office",$E22="released_to_office",$E22="disposed"),IF($F22="","reserve",$F22)="leftover"),-N($G22),IF(AND($E22="correction",IF($F22="","reserve",$F22)="leftover"),N($G22),0))))</f>
        <v/>
      </c>
      <c r="P22" s="25">
        <f>IF(OR($E22&lt;&gt;"received",$I22="",$L22=""),"",IF($I22&gt;=$L22+config!$B$19,"Y","N"))</f>
        <v/>
      </c>
      <c r="Q22" s="25">
        <f>IF($C22="","",IF(COUNTIF(campaigns!$A$2:$A$51,$C22)=0,"campaign_id not on campaigns; ",IF(AND($D22&lt;&gt;"",COUNTIFS(approvals!$A$2:$A$251,$C22,approvals!$B$2:$B$251,$D22)=0),"office not on this campaign (approvals tab); ",""))&amp;IF(AND(OR($E22="delivered",$E22="topped_up",$E22="collected"),$D22=""),"office needed; ","")&amp;IF(AND($E22&lt;&gt;"correction",N($G22)&lt;=0),"qty must be above 0; ","")&amp;IF(AND($E22="received",OR($I22="",$H22="")),"log lot and best-by; ","")&amp;IF(AND($P22="N",SUMIFS(inventory!$G$2:$G$801,inventory!$C$2:$C$801,$C22,inventory!$H$2:$H$801,$H22,inventory!$E$2:$E$801,"rejected")&lt;N($G22)),"UNDER "&amp;config!$B$19&amp;" DAYS LEFT ON THE DROP DAY: reject these units; ","")&amp;IF(AND($E22="delivered",COUNTIF(inventory!$R$2:$R$801,$R22)&gt;1),"two delivered rows for this office: use one; ","")&amp;IF(AND($E22="delivered",$J22=""),"who counted?; ",""))</f>
        <v/>
      </c>
      <c r="R22" s="25">
        <f>IF($C22="","",$C22&amp;"|"&amp;$D22&amp;"|"&amp;$E22)</f>
        <v/>
      </c>
    </row>
    <row r="23">
      <c r="A23" s="9" t="n"/>
      <c r="B23" s="33" t="n"/>
      <c r="I23" s="9" t="n"/>
      <c r="L23" s="26">
        <f>IF($C23="","",IFERROR(IF(INDEX(campaigns!$BG$2:$BG$51,MATCH($C23,campaigns!$A$2:$A$51,0))="","",INDEX(campaigns!$BG$2:$BG$51,MATCH($C23,campaigns!$A$2:$A$51,0))),""))</f>
        <v/>
      </c>
      <c r="M23" s="25">
        <f>IF($C23="","",IF(OR($E23="received"),N($G23),IF(OR($E23="rejected",$E23="delivered",$E23="topped_up"),-N($G23),IF(AND(OR($E23="returned_to_brand",$E23="given_to_roster_office",$E23="released_to_office",$E23="disposed"),IF($F23="","reserve",$F23)="reserve"),-N($G23),IF(AND($E23="correction",IF($F23="","reserve",$F23)="reserve"),N($G23),0)))))</f>
        <v/>
      </c>
      <c r="N23" s="25">
        <f>IF($C23="","",IF($E23="rejected",N($G23),IF(AND(OR($E23="returned_to_brand",$E23="given_to_roster_office",$E23="released_to_office",$E23="disposed"),IF($F23="","reserve",$F23)="rejected"),-N($G23),IF(AND($E23="correction",IF($F23="","reserve",$F23)="rejected"),N($G23),0))))</f>
        <v/>
      </c>
      <c r="O23" s="25">
        <f>IF($C23="","",IF($E23="collected",N($G23),IF(AND(OR($E23="returned_to_brand",$E23="given_to_roster_office",$E23="released_to_office",$E23="disposed"),IF($F23="","reserve",$F23)="leftover"),-N($G23),IF(AND($E23="correction",IF($F23="","reserve",$F23)="leftover"),N($G23),0))))</f>
        <v/>
      </c>
      <c r="P23" s="25">
        <f>IF(OR($E23&lt;&gt;"received",$I23="",$L23=""),"",IF($I23&gt;=$L23+config!$B$19,"Y","N"))</f>
        <v/>
      </c>
      <c r="Q23" s="25">
        <f>IF($C23="","",IF(COUNTIF(campaigns!$A$2:$A$51,$C23)=0,"campaign_id not on campaigns; ",IF(AND($D23&lt;&gt;"",COUNTIFS(approvals!$A$2:$A$251,$C23,approvals!$B$2:$B$251,$D23)=0),"office not on this campaign (approvals tab); ",""))&amp;IF(AND(OR($E23="delivered",$E23="topped_up",$E23="collected"),$D23=""),"office needed; ","")&amp;IF(AND($E23&lt;&gt;"correction",N($G23)&lt;=0),"qty must be above 0; ","")&amp;IF(AND($E23="received",OR($I23="",$H23="")),"log lot and best-by; ","")&amp;IF(AND($P23="N",SUMIFS(inventory!$G$2:$G$801,inventory!$C$2:$C$801,$C23,inventory!$H$2:$H$801,$H23,inventory!$E$2:$E$801,"rejected")&lt;N($G23)),"UNDER "&amp;config!$B$19&amp;" DAYS LEFT ON THE DROP DAY: reject these units; ","")&amp;IF(AND($E23="delivered",COUNTIF(inventory!$R$2:$R$801,$R23)&gt;1),"two delivered rows for this office: use one; ","")&amp;IF(AND($E23="delivered",$J23=""),"who counted?; ",""))</f>
        <v/>
      </c>
      <c r="R23" s="25">
        <f>IF($C23="","",$C23&amp;"|"&amp;$D23&amp;"|"&amp;$E23)</f>
        <v/>
      </c>
    </row>
    <row r="24">
      <c r="A24" s="9" t="n"/>
      <c r="B24" s="33" t="n"/>
      <c r="I24" s="9" t="n"/>
      <c r="L24" s="26">
        <f>IF($C24="","",IFERROR(IF(INDEX(campaigns!$BG$2:$BG$51,MATCH($C24,campaigns!$A$2:$A$51,0))="","",INDEX(campaigns!$BG$2:$BG$51,MATCH($C24,campaigns!$A$2:$A$51,0))),""))</f>
        <v/>
      </c>
      <c r="M24" s="25">
        <f>IF($C24="","",IF(OR($E24="received"),N($G24),IF(OR($E24="rejected",$E24="delivered",$E24="topped_up"),-N($G24),IF(AND(OR($E24="returned_to_brand",$E24="given_to_roster_office",$E24="released_to_office",$E24="disposed"),IF($F24="","reserve",$F24)="reserve"),-N($G24),IF(AND($E24="correction",IF($F24="","reserve",$F24)="reserve"),N($G24),0)))))</f>
        <v/>
      </c>
      <c r="N24" s="25">
        <f>IF($C24="","",IF($E24="rejected",N($G24),IF(AND(OR($E24="returned_to_brand",$E24="given_to_roster_office",$E24="released_to_office",$E24="disposed"),IF($F24="","reserve",$F24)="rejected"),-N($G24),IF(AND($E24="correction",IF($F24="","reserve",$F24)="rejected"),N($G24),0))))</f>
        <v/>
      </c>
      <c r="O24" s="25">
        <f>IF($C24="","",IF($E24="collected",N($G24),IF(AND(OR($E24="returned_to_brand",$E24="given_to_roster_office",$E24="released_to_office",$E24="disposed"),IF($F24="","reserve",$F24)="leftover"),-N($G24),IF(AND($E24="correction",IF($F24="","reserve",$F24)="leftover"),N($G24),0))))</f>
        <v/>
      </c>
      <c r="P24" s="25">
        <f>IF(OR($E24&lt;&gt;"received",$I24="",$L24=""),"",IF($I24&gt;=$L24+config!$B$19,"Y","N"))</f>
        <v/>
      </c>
      <c r="Q24" s="25">
        <f>IF($C24="","",IF(COUNTIF(campaigns!$A$2:$A$51,$C24)=0,"campaign_id not on campaigns; ",IF(AND($D24&lt;&gt;"",COUNTIFS(approvals!$A$2:$A$251,$C24,approvals!$B$2:$B$251,$D24)=0),"office not on this campaign (approvals tab); ",""))&amp;IF(AND(OR($E24="delivered",$E24="topped_up",$E24="collected"),$D24=""),"office needed; ","")&amp;IF(AND($E24&lt;&gt;"correction",N($G24)&lt;=0),"qty must be above 0; ","")&amp;IF(AND($E24="received",OR($I24="",$H24="")),"log lot and best-by; ","")&amp;IF(AND($P24="N",SUMIFS(inventory!$G$2:$G$801,inventory!$C$2:$C$801,$C24,inventory!$H$2:$H$801,$H24,inventory!$E$2:$E$801,"rejected")&lt;N($G24)),"UNDER "&amp;config!$B$19&amp;" DAYS LEFT ON THE DROP DAY: reject these units; ","")&amp;IF(AND($E24="delivered",COUNTIF(inventory!$R$2:$R$801,$R24)&gt;1),"two delivered rows for this office: use one; ","")&amp;IF(AND($E24="delivered",$J24=""),"who counted?; ",""))</f>
        <v/>
      </c>
      <c r="R24" s="25">
        <f>IF($C24="","",$C24&amp;"|"&amp;$D24&amp;"|"&amp;$E24)</f>
        <v/>
      </c>
    </row>
    <row r="25">
      <c r="A25" s="9" t="n"/>
      <c r="B25" s="33" t="n"/>
      <c r="I25" s="9" t="n"/>
      <c r="L25" s="26">
        <f>IF($C25="","",IFERROR(IF(INDEX(campaigns!$BG$2:$BG$51,MATCH($C25,campaigns!$A$2:$A$51,0))="","",INDEX(campaigns!$BG$2:$BG$51,MATCH($C25,campaigns!$A$2:$A$51,0))),""))</f>
        <v/>
      </c>
      <c r="M25" s="25">
        <f>IF($C25="","",IF(OR($E25="received"),N($G25),IF(OR($E25="rejected",$E25="delivered",$E25="topped_up"),-N($G25),IF(AND(OR($E25="returned_to_brand",$E25="given_to_roster_office",$E25="released_to_office",$E25="disposed"),IF($F25="","reserve",$F25)="reserve"),-N($G25),IF(AND($E25="correction",IF($F25="","reserve",$F25)="reserve"),N($G25),0)))))</f>
        <v/>
      </c>
      <c r="N25" s="25">
        <f>IF($C25="","",IF($E25="rejected",N($G25),IF(AND(OR($E25="returned_to_brand",$E25="given_to_roster_office",$E25="released_to_office",$E25="disposed"),IF($F25="","reserve",$F25)="rejected"),-N($G25),IF(AND($E25="correction",IF($F25="","reserve",$F25)="rejected"),N($G25),0))))</f>
        <v/>
      </c>
      <c r="O25" s="25">
        <f>IF($C25="","",IF($E25="collected",N($G25),IF(AND(OR($E25="returned_to_brand",$E25="given_to_roster_office",$E25="released_to_office",$E25="disposed"),IF($F25="","reserve",$F25)="leftover"),-N($G25),IF(AND($E25="correction",IF($F25="","reserve",$F25)="leftover"),N($G25),0))))</f>
        <v/>
      </c>
      <c r="P25" s="25">
        <f>IF(OR($E25&lt;&gt;"received",$I25="",$L25=""),"",IF($I25&gt;=$L25+config!$B$19,"Y","N"))</f>
        <v/>
      </c>
      <c r="Q25" s="25">
        <f>IF($C25="","",IF(COUNTIF(campaigns!$A$2:$A$51,$C25)=0,"campaign_id not on campaigns; ",IF(AND($D25&lt;&gt;"",COUNTIFS(approvals!$A$2:$A$251,$C25,approvals!$B$2:$B$251,$D25)=0),"office not on this campaign (approvals tab); ",""))&amp;IF(AND(OR($E25="delivered",$E25="topped_up",$E25="collected"),$D25=""),"office needed; ","")&amp;IF(AND($E25&lt;&gt;"correction",N($G25)&lt;=0),"qty must be above 0; ","")&amp;IF(AND($E25="received",OR($I25="",$H25="")),"log lot and best-by; ","")&amp;IF(AND($P25="N",SUMIFS(inventory!$G$2:$G$801,inventory!$C$2:$C$801,$C25,inventory!$H$2:$H$801,$H25,inventory!$E$2:$E$801,"rejected")&lt;N($G25)),"UNDER "&amp;config!$B$19&amp;" DAYS LEFT ON THE DROP DAY: reject these units; ","")&amp;IF(AND($E25="delivered",COUNTIF(inventory!$R$2:$R$801,$R25)&gt;1),"two delivered rows for this office: use one; ","")&amp;IF(AND($E25="delivered",$J25=""),"who counted?; ",""))</f>
        <v/>
      </c>
      <c r="R25" s="25">
        <f>IF($C25="","",$C25&amp;"|"&amp;$D25&amp;"|"&amp;$E25)</f>
        <v/>
      </c>
    </row>
    <row r="26">
      <c r="A26" s="9" t="n"/>
      <c r="B26" s="33" t="n"/>
      <c r="I26" s="9" t="n"/>
      <c r="L26" s="26">
        <f>IF($C26="","",IFERROR(IF(INDEX(campaigns!$BG$2:$BG$51,MATCH($C26,campaigns!$A$2:$A$51,0))="","",INDEX(campaigns!$BG$2:$BG$51,MATCH($C26,campaigns!$A$2:$A$51,0))),""))</f>
        <v/>
      </c>
      <c r="M26" s="25">
        <f>IF($C26="","",IF(OR($E26="received"),N($G26),IF(OR($E26="rejected",$E26="delivered",$E26="topped_up"),-N($G26),IF(AND(OR($E26="returned_to_brand",$E26="given_to_roster_office",$E26="released_to_office",$E26="disposed"),IF($F26="","reserve",$F26)="reserve"),-N($G26),IF(AND($E26="correction",IF($F26="","reserve",$F26)="reserve"),N($G26),0)))))</f>
        <v/>
      </c>
      <c r="N26" s="25">
        <f>IF($C26="","",IF($E26="rejected",N($G26),IF(AND(OR($E26="returned_to_brand",$E26="given_to_roster_office",$E26="released_to_office",$E26="disposed"),IF($F26="","reserve",$F26)="rejected"),-N($G26),IF(AND($E26="correction",IF($F26="","reserve",$F26)="rejected"),N($G26),0))))</f>
        <v/>
      </c>
      <c r="O26" s="25">
        <f>IF($C26="","",IF($E26="collected",N($G26),IF(AND(OR($E26="returned_to_brand",$E26="given_to_roster_office",$E26="released_to_office",$E26="disposed"),IF($F26="","reserve",$F26)="leftover"),-N($G26),IF(AND($E26="correction",IF($F26="","reserve",$F26)="leftover"),N($G26),0))))</f>
        <v/>
      </c>
      <c r="P26" s="25">
        <f>IF(OR($E26&lt;&gt;"received",$I26="",$L26=""),"",IF($I26&gt;=$L26+config!$B$19,"Y","N"))</f>
        <v/>
      </c>
      <c r="Q26" s="25">
        <f>IF($C26="","",IF(COUNTIF(campaigns!$A$2:$A$51,$C26)=0,"campaign_id not on campaigns; ",IF(AND($D26&lt;&gt;"",COUNTIFS(approvals!$A$2:$A$251,$C26,approvals!$B$2:$B$251,$D26)=0),"office not on this campaign (approvals tab); ",""))&amp;IF(AND(OR($E26="delivered",$E26="topped_up",$E26="collected"),$D26=""),"office needed; ","")&amp;IF(AND($E26&lt;&gt;"correction",N($G26)&lt;=0),"qty must be above 0; ","")&amp;IF(AND($E26="received",OR($I26="",$H26="")),"log lot and best-by; ","")&amp;IF(AND($P26="N",SUMIFS(inventory!$G$2:$G$801,inventory!$C$2:$C$801,$C26,inventory!$H$2:$H$801,$H26,inventory!$E$2:$E$801,"rejected")&lt;N($G26)),"UNDER "&amp;config!$B$19&amp;" DAYS LEFT ON THE DROP DAY: reject these units; ","")&amp;IF(AND($E26="delivered",COUNTIF(inventory!$R$2:$R$801,$R26)&gt;1),"two delivered rows for this office: use one; ","")&amp;IF(AND($E26="delivered",$J26=""),"who counted?; ",""))</f>
        <v/>
      </c>
      <c r="R26" s="25">
        <f>IF($C26="","",$C26&amp;"|"&amp;$D26&amp;"|"&amp;$E26)</f>
        <v/>
      </c>
    </row>
    <row r="27">
      <c r="A27" s="9" t="n"/>
      <c r="B27" s="33" t="n"/>
      <c r="I27" s="9" t="n"/>
      <c r="L27" s="26">
        <f>IF($C27="","",IFERROR(IF(INDEX(campaigns!$BG$2:$BG$51,MATCH($C27,campaigns!$A$2:$A$51,0))="","",INDEX(campaigns!$BG$2:$BG$51,MATCH($C27,campaigns!$A$2:$A$51,0))),""))</f>
        <v/>
      </c>
      <c r="M27" s="25">
        <f>IF($C27="","",IF(OR($E27="received"),N($G27),IF(OR($E27="rejected",$E27="delivered",$E27="topped_up"),-N($G27),IF(AND(OR($E27="returned_to_brand",$E27="given_to_roster_office",$E27="released_to_office",$E27="disposed"),IF($F27="","reserve",$F27)="reserve"),-N($G27),IF(AND($E27="correction",IF($F27="","reserve",$F27)="reserve"),N($G27),0)))))</f>
        <v/>
      </c>
      <c r="N27" s="25">
        <f>IF($C27="","",IF($E27="rejected",N($G27),IF(AND(OR($E27="returned_to_brand",$E27="given_to_roster_office",$E27="released_to_office",$E27="disposed"),IF($F27="","reserve",$F27)="rejected"),-N($G27),IF(AND($E27="correction",IF($F27="","reserve",$F27)="rejected"),N($G27),0))))</f>
        <v/>
      </c>
      <c r="O27" s="25">
        <f>IF($C27="","",IF($E27="collected",N($G27),IF(AND(OR($E27="returned_to_brand",$E27="given_to_roster_office",$E27="released_to_office",$E27="disposed"),IF($F27="","reserve",$F27)="leftover"),-N($G27),IF(AND($E27="correction",IF($F27="","reserve",$F27)="leftover"),N($G27),0))))</f>
        <v/>
      </c>
      <c r="P27" s="25">
        <f>IF(OR($E27&lt;&gt;"received",$I27="",$L27=""),"",IF($I27&gt;=$L27+config!$B$19,"Y","N"))</f>
        <v/>
      </c>
      <c r="Q27" s="25">
        <f>IF($C27="","",IF(COUNTIF(campaigns!$A$2:$A$51,$C27)=0,"campaign_id not on campaigns; ",IF(AND($D27&lt;&gt;"",COUNTIFS(approvals!$A$2:$A$251,$C27,approvals!$B$2:$B$251,$D27)=0),"office not on this campaign (approvals tab); ",""))&amp;IF(AND(OR($E27="delivered",$E27="topped_up",$E27="collected"),$D27=""),"office needed; ","")&amp;IF(AND($E27&lt;&gt;"correction",N($G27)&lt;=0),"qty must be above 0; ","")&amp;IF(AND($E27="received",OR($I27="",$H27="")),"log lot and best-by; ","")&amp;IF(AND($P27="N",SUMIFS(inventory!$G$2:$G$801,inventory!$C$2:$C$801,$C27,inventory!$H$2:$H$801,$H27,inventory!$E$2:$E$801,"rejected")&lt;N($G27)),"UNDER "&amp;config!$B$19&amp;" DAYS LEFT ON THE DROP DAY: reject these units; ","")&amp;IF(AND($E27="delivered",COUNTIF(inventory!$R$2:$R$801,$R27)&gt;1),"two delivered rows for this office: use one; ","")&amp;IF(AND($E27="delivered",$J27=""),"who counted?; ",""))</f>
        <v/>
      </c>
      <c r="R27" s="25">
        <f>IF($C27="","",$C27&amp;"|"&amp;$D27&amp;"|"&amp;$E27)</f>
        <v/>
      </c>
    </row>
    <row r="28">
      <c r="A28" s="9" t="n"/>
      <c r="B28" s="33" t="n"/>
      <c r="I28" s="9" t="n"/>
      <c r="L28" s="26">
        <f>IF($C28="","",IFERROR(IF(INDEX(campaigns!$BG$2:$BG$51,MATCH($C28,campaigns!$A$2:$A$51,0))="","",INDEX(campaigns!$BG$2:$BG$51,MATCH($C28,campaigns!$A$2:$A$51,0))),""))</f>
        <v/>
      </c>
      <c r="M28" s="25">
        <f>IF($C28="","",IF(OR($E28="received"),N($G28),IF(OR($E28="rejected",$E28="delivered",$E28="topped_up"),-N($G28),IF(AND(OR($E28="returned_to_brand",$E28="given_to_roster_office",$E28="released_to_office",$E28="disposed"),IF($F28="","reserve",$F28)="reserve"),-N($G28),IF(AND($E28="correction",IF($F28="","reserve",$F28)="reserve"),N($G28),0)))))</f>
        <v/>
      </c>
      <c r="N28" s="25">
        <f>IF($C28="","",IF($E28="rejected",N($G28),IF(AND(OR($E28="returned_to_brand",$E28="given_to_roster_office",$E28="released_to_office",$E28="disposed"),IF($F28="","reserve",$F28)="rejected"),-N($G28),IF(AND($E28="correction",IF($F28="","reserve",$F28)="rejected"),N($G28),0))))</f>
        <v/>
      </c>
      <c r="O28" s="25">
        <f>IF($C28="","",IF($E28="collected",N($G28),IF(AND(OR($E28="returned_to_brand",$E28="given_to_roster_office",$E28="released_to_office",$E28="disposed"),IF($F28="","reserve",$F28)="leftover"),-N($G28),IF(AND($E28="correction",IF($F28="","reserve",$F28)="leftover"),N($G28),0))))</f>
        <v/>
      </c>
      <c r="P28" s="25">
        <f>IF(OR($E28&lt;&gt;"received",$I28="",$L28=""),"",IF($I28&gt;=$L28+config!$B$19,"Y","N"))</f>
        <v/>
      </c>
      <c r="Q28" s="25">
        <f>IF($C28="","",IF(COUNTIF(campaigns!$A$2:$A$51,$C28)=0,"campaign_id not on campaigns; ",IF(AND($D28&lt;&gt;"",COUNTIFS(approvals!$A$2:$A$251,$C28,approvals!$B$2:$B$251,$D28)=0),"office not on this campaign (approvals tab); ",""))&amp;IF(AND(OR($E28="delivered",$E28="topped_up",$E28="collected"),$D28=""),"office needed; ","")&amp;IF(AND($E28&lt;&gt;"correction",N($G28)&lt;=0),"qty must be above 0; ","")&amp;IF(AND($E28="received",OR($I28="",$H28="")),"log lot and best-by; ","")&amp;IF(AND($P28="N",SUMIFS(inventory!$G$2:$G$801,inventory!$C$2:$C$801,$C28,inventory!$H$2:$H$801,$H28,inventory!$E$2:$E$801,"rejected")&lt;N($G28)),"UNDER "&amp;config!$B$19&amp;" DAYS LEFT ON THE DROP DAY: reject these units; ","")&amp;IF(AND($E28="delivered",COUNTIF(inventory!$R$2:$R$801,$R28)&gt;1),"two delivered rows for this office: use one; ","")&amp;IF(AND($E28="delivered",$J28=""),"who counted?; ",""))</f>
        <v/>
      </c>
      <c r="R28" s="25">
        <f>IF($C28="","",$C28&amp;"|"&amp;$D28&amp;"|"&amp;$E28)</f>
        <v/>
      </c>
    </row>
    <row r="29">
      <c r="A29" s="9" t="n"/>
      <c r="B29" s="33" t="n"/>
      <c r="I29" s="9" t="n"/>
      <c r="L29" s="26">
        <f>IF($C29="","",IFERROR(IF(INDEX(campaigns!$BG$2:$BG$51,MATCH($C29,campaigns!$A$2:$A$51,0))="","",INDEX(campaigns!$BG$2:$BG$51,MATCH($C29,campaigns!$A$2:$A$51,0))),""))</f>
        <v/>
      </c>
      <c r="M29" s="25">
        <f>IF($C29="","",IF(OR($E29="received"),N($G29),IF(OR($E29="rejected",$E29="delivered",$E29="topped_up"),-N($G29),IF(AND(OR($E29="returned_to_brand",$E29="given_to_roster_office",$E29="released_to_office",$E29="disposed"),IF($F29="","reserve",$F29)="reserve"),-N($G29),IF(AND($E29="correction",IF($F29="","reserve",$F29)="reserve"),N($G29),0)))))</f>
        <v/>
      </c>
      <c r="N29" s="25">
        <f>IF($C29="","",IF($E29="rejected",N($G29),IF(AND(OR($E29="returned_to_brand",$E29="given_to_roster_office",$E29="released_to_office",$E29="disposed"),IF($F29="","reserve",$F29)="rejected"),-N($G29),IF(AND($E29="correction",IF($F29="","reserve",$F29)="rejected"),N($G29),0))))</f>
        <v/>
      </c>
      <c r="O29" s="25">
        <f>IF($C29="","",IF($E29="collected",N($G29),IF(AND(OR($E29="returned_to_brand",$E29="given_to_roster_office",$E29="released_to_office",$E29="disposed"),IF($F29="","reserve",$F29)="leftover"),-N($G29),IF(AND($E29="correction",IF($F29="","reserve",$F29)="leftover"),N($G29),0))))</f>
        <v/>
      </c>
      <c r="P29" s="25">
        <f>IF(OR($E29&lt;&gt;"received",$I29="",$L29=""),"",IF($I29&gt;=$L29+config!$B$19,"Y","N"))</f>
        <v/>
      </c>
      <c r="Q29" s="25">
        <f>IF($C29="","",IF(COUNTIF(campaigns!$A$2:$A$51,$C29)=0,"campaign_id not on campaigns; ",IF(AND($D29&lt;&gt;"",COUNTIFS(approvals!$A$2:$A$251,$C29,approvals!$B$2:$B$251,$D29)=0),"office not on this campaign (approvals tab); ",""))&amp;IF(AND(OR($E29="delivered",$E29="topped_up",$E29="collected"),$D29=""),"office needed; ","")&amp;IF(AND($E29&lt;&gt;"correction",N($G29)&lt;=0),"qty must be above 0; ","")&amp;IF(AND($E29="received",OR($I29="",$H29="")),"log lot and best-by; ","")&amp;IF(AND($P29="N",SUMIFS(inventory!$G$2:$G$801,inventory!$C$2:$C$801,$C29,inventory!$H$2:$H$801,$H29,inventory!$E$2:$E$801,"rejected")&lt;N($G29)),"UNDER "&amp;config!$B$19&amp;" DAYS LEFT ON THE DROP DAY: reject these units; ","")&amp;IF(AND($E29="delivered",COUNTIF(inventory!$R$2:$R$801,$R29)&gt;1),"two delivered rows for this office: use one; ","")&amp;IF(AND($E29="delivered",$J29=""),"who counted?; ",""))</f>
        <v/>
      </c>
      <c r="R29" s="25">
        <f>IF($C29="","",$C29&amp;"|"&amp;$D29&amp;"|"&amp;$E29)</f>
        <v/>
      </c>
    </row>
    <row r="30">
      <c r="A30" s="9" t="n"/>
      <c r="B30" s="33" t="n"/>
      <c r="I30" s="9" t="n"/>
      <c r="L30" s="26">
        <f>IF($C30="","",IFERROR(IF(INDEX(campaigns!$BG$2:$BG$51,MATCH($C30,campaigns!$A$2:$A$51,0))="","",INDEX(campaigns!$BG$2:$BG$51,MATCH($C30,campaigns!$A$2:$A$51,0))),""))</f>
        <v/>
      </c>
      <c r="M30" s="25">
        <f>IF($C30="","",IF(OR($E30="received"),N($G30),IF(OR($E30="rejected",$E30="delivered",$E30="topped_up"),-N($G30),IF(AND(OR($E30="returned_to_brand",$E30="given_to_roster_office",$E30="released_to_office",$E30="disposed"),IF($F30="","reserve",$F30)="reserve"),-N($G30),IF(AND($E30="correction",IF($F30="","reserve",$F30)="reserve"),N($G30),0)))))</f>
        <v/>
      </c>
      <c r="N30" s="25">
        <f>IF($C30="","",IF($E30="rejected",N($G30),IF(AND(OR($E30="returned_to_brand",$E30="given_to_roster_office",$E30="released_to_office",$E30="disposed"),IF($F30="","reserve",$F30)="rejected"),-N($G30),IF(AND($E30="correction",IF($F30="","reserve",$F30)="rejected"),N($G30),0))))</f>
        <v/>
      </c>
      <c r="O30" s="25">
        <f>IF($C30="","",IF($E30="collected",N($G30),IF(AND(OR($E30="returned_to_brand",$E30="given_to_roster_office",$E30="released_to_office",$E30="disposed"),IF($F30="","reserve",$F30)="leftover"),-N($G30),IF(AND($E30="correction",IF($F30="","reserve",$F30)="leftover"),N($G30),0))))</f>
        <v/>
      </c>
      <c r="P30" s="25">
        <f>IF(OR($E30&lt;&gt;"received",$I30="",$L30=""),"",IF($I30&gt;=$L30+config!$B$19,"Y","N"))</f>
        <v/>
      </c>
      <c r="Q30" s="25">
        <f>IF($C30="","",IF(COUNTIF(campaigns!$A$2:$A$51,$C30)=0,"campaign_id not on campaigns; ",IF(AND($D30&lt;&gt;"",COUNTIFS(approvals!$A$2:$A$251,$C30,approvals!$B$2:$B$251,$D30)=0),"office not on this campaign (approvals tab); ",""))&amp;IF(AND(OR($E30="delivered",$E30="topped_up",$E30="collected"),$D30=""),"office needed; ","")&amp;IF(AND($E30&lt;&gt;"correction",N($G30)&lt;=0),"qty must be above 0; ","")&amp;IF(AND($E30="received",OR($I30="",$H30="")),"log lot and best-by; ","")&amp;IF(AND($P30="N",SUMIFS(inventory!$G$2:$G$801,inventory!$C$2:$C$801,$C30,inventory!$H$2:$H$801,$H30,inventory!$E$2:$E$801,"rejected")&lt;N($G30)),"UNDER "&amp;config!$B$19&amp;" DAYS LEFT ON THE DROP DAY: reject these units; ","")&amp;IF(AND($E30="delivered",COUNTIF(inventory!$R$2:$R$801,$R30)&gt;1),"two delivered rows for this office: use one; ","")&amp;IF(AND($E30="delivered",$J30=""),"who counted?; ",""))</f>
        <v/>
      </c>
      <c r="R30" s="25">
        <f>IF($C30="","",$C30&amp;"|"&amp;$D30&amp;"|"&amp;$E30)</f>
        <v/>
      </c>
    </row>
    <row r="31">
      <c r="A31" s="9" t="n"/>
      <c r="B31" s="33" t="n"/>
      <c r="I31" s="9" t="n"/>
      <c r="L31" s="26">
        <f>IF($C31="","",IFERROR(IF(INDEX(campaigns!$BG$2:$BG$51,MATCH($C31,campaigns!$A$2:$A$51,0))="","",INDEX(campaigns!$BG$2:$BG$51,MATCH($C31,campaigns!$A$2:$A$51,0))),""))</f>
        <v/>
      </c>
      <c r="M31" s="25">
        <f>IF($C31="","",IF(OR($E31="received"),N($G31),IF(OR($E31="rejected",$E31="delivered",$E31="topped_up"),-N($G31),IF(AND(OR($E31="returned_to_brand",$E31="given_to_roster_office",$E31="released_to_office",$E31="disposed"),IF($F31="","reserve",$F31)="reserve"),-N($G31),IF(AND($E31="correction",IF($F31="","reserve",$F31)="reserve"),N($G31),0)))))</f>
        <v/>
      </c>
      <c r="N31" s="25">
        <f>IF($C31="","",IF($E31="rejected",N($G31),IF(AND(OR($E31="returned_to_brand",$E31="given_to_roster_office",$E31="released_to_office",$E31="disposed"),IF($F31="","reserve",$F31)="rejected"),-N($G31),IF(AND($E31="correction",IF($F31="","reserve",$F31)="rejected"),N($G31),0))))</f>
        <v/>
      </c>
      <c r="O31" s="25">
        <f>IF($C31="","",IF($E31="collected",N($G31),IF(AND(OR($E31="returned_to_brand",$E31="given_to_roster_office",$E31="released_to_office",$E31="disposed"),IF($F31="","reserve",$F31)="leftover"),-N($G31),IF(AND($E31="correction",IF($F31="","reserve",$F31)="leftover"),N($G31),0))))</f>
        <v/>
      </c>
      <c r="P31" s="25">
        <f>IF(OR($E31&lt;&gt;"received",$I31="",$L31=""),"",IF($I31&gt;=$L31+config!$B$19,"Y","N"))</f>
        <v/>
      </c>
      <c r="Q31" s="25">
        <f>IF($C31="","",IF(COUNTIF(campaigns!$A$2:$A$51,$C31)=0,"campaign_id not on campaigns; ",IF(AND($D31&lt;&gt;"",COUNTIFS(approvals!$A$2:$A$251,$C31,approvals!$B$2:$B$251,$D31)=0),"office not on this campaign (approvals tab); ",""))&amp;IF(AND(OR($E31="delivered",$E31="topped_up",$E31="collected"),$D31=""),"office needed; ","")&amp;IF(AND($E31&lt;&gt;"correction",N($G31)&lt;=0),"qty must be above 0; ","")&amp;IF(AND($E31="received",OR($I31="",$H31="")),"log lot and best-by; ","")&amp;IF(AND($P31="N",SUMIFS(inventory!$G$2:$G$801,inventory!$C$2:$C$801,$C31,inventory!$H$2:$H$801,$H31,inventory!$E$2:$E$801,"rejected")&lt;N($G31)),"UNDER "&amp;config!$B$19&amp;" DAYS LEFT ON THE DROP DAY: reject these units; ","")&amp;IF(AND($E31="delivered",COUNTIF(inventory!$R$2:$R$801,$R31)&gt;1),"two delivered rows for this office: use one; ","")&amp;IF(AND($E31="delivered",$J31=""),"who counted?; ",""))</f>
        <v/>
      </c>
      <c r="R31" s="25">
        <f>IF($C31="","",$C31&amp;"|"&amp;$D31&amp;"|"&amp;$E31)</f>
        <v/>
      </c>
    </row>
    <row r="32">
      <c r="A32" s="9" t="n"/>
      <c r="B32" s="33" t="n"/>
      <c r="I32" s="9" t="n"/>
      <c r="L32" s="26">
        <f>IF($C32="","",IFERROR(IF(INDEX(campaigns!$BG$2:$BG$51,MATCH($C32,campaigns!$A$2:$A$51,0))="","",INDEX(campaigns!$BG$2:$BG$51,MATCH($C32,campaigns!$A$2:$A$51,0))),""))</f>
        <v/>
      </c>
      <c r="M32" s="25">
        <f>IF($C32="","",IF(OR($E32="received"),N($G32),IF(OR($E32="rejected",$E32="delivered",$E32="topped_up"),-N($G32),IF(AND(OR($E32="returned_to_brand",$E32="given_to_roster_office",$E32="released_to_office",$E32="disposed"),IF($F32="","reserve",$F32)="reserve"),-N($G32),IF(AND($E32="correction",IF($F32="","reserve",$F32)="reserve"),N($G32),0)))))</f>
        <v/>
      </c>
      <c r="N32" s="25">
        <f>IF($C32="","",IF($E32="rejected",N($G32),IF(AND(OR($E32="returned_to_brand",$E32="given_to_roster_office",$E32="released_to_office",$E32="disposed"),IF($F32="","reserve",$F32)="rejected"),-N($G32),IF(AND($E32="correction",IF($F32="","reserve",$F32)="rejected"),N($G32),0))))</f>
        <v/>
      </c>
      <c r="O32" s="25">
        <f>IF($C32="","",IF($E32="collected",N($G32),IF(AND(OR($E32="returned_to_brand",$E32="given_to_roster_office",$E32="released_to_office",$E32="disposed"),IF($F32="","reserve",$F32)="leftover"),-N($G32),IF(AND($E32="correction",IF($F32="","reserve",$F32)="leftover"),N($G32),0))))</f>
        <v/>
      </c>
      <c r="P32" s="25">
        <f>IF(OR($E32&lt;&gt;"received",$I32="",$L32=""),"",IF($I32&gt;=$L32+config!$B$19,"Y","N"))</f>
        <v/>
      </c>
      <c r="Q32" s="25">
        <f>IF($C32="","",IF(COUNTIF(campaigns!$A$2:$A$51,$C32)=0,"campaign_id not on campaigns; ",IF(AND($D32&lt;&gt;"",COUNTIFS(approvals!$A$2:$A$251,$C32,approvals!$B$2:$B$251,$D32)=0),"office not on this campaign (approvals tab); ",""))&amp;IF(AND(OR($E32="delivered",$E32="topped_up",$E32="collected"),$D32=""),"office needed; ","")&amp;IF(AND($E32&lt;&gt;"correction",N($G32)&lt;=0),"qty must be above 0; ","")&amp;IF(AND($E32="received",OR($I32="",$H32="")),"log lot and best-by; ","")&amp;IF(AND($P32="N",SUMIFS(inventory!$G$2:$G$801,inventory!$C$2:$C$801,$C32,inventory!$H$2:$H$801,$H32,inventory!$E$2:$E$801,"rejected")&lt;N($G32)),"UNDER "&amp;config!$B$19&amp;" DAYS LEFT ON THE DROP DAY: reject these units; ","")&amp;IF(AND($E32="delivered",COUNTIF(inventory!$R$2:$R$801,$R32)&gt;1),"two delivered rows for this office: use one; ","")&amp;IF(AND($E32="delivered",$J32=""),"who counted?; ",""))</f>
        <v/>
      </c>
      <c r="R32" s="25">
        <f>IF($C32="","",$C32&amp;"|"&amp;$D32&amp;"|"&amp;$E32)</f>
        <v/>
      </c>
    </row>
    <row r="33">
      <c r="A33" s="9" t="n"/>
      <c r="B33" s="33" t="n"/>
      <c r="I33" s="9" t="n"/>
      <c r="L33" s="26">
        <f>IF($C33="","",IFERROR(IF(INDEX(campaigns!$BG$2:$BG$51,MATCH($C33,campaigns!$A$2:$A$51,0))="","",INDEX(campaigns!$BG$2:$BG$51,MATCH($C33,campaigns!$A$2:$A$51,0))),""))</f>
        <v/>
      </c>
      <c r="M33" s="25">
        <f>IF($C33="","",IF(OR($E33="received"),N($G33),IF(OR($E33="rejected",$E33="delivered",$E33="topped_up"),-N($G33),IF(AND(OR($E33="returned_to_brand",$E33="given_to_roster_office",$E33="released_to_office",$E33="disposed"),IF($F33="","reserve",$F33)="reserve"),-N($G33),IF(AND($E33="correction",IF($F33="","reserve",$F33)="reserve"),N($G33),0)))))</f>
        <v/>
      </c>
      <c r="N33" s="25">
        <f>IF($C33="","",IF($E33="rejected",N($G33),IF(AND(OR($E33="returned_to_brand",$E33="given_to_roster_office",$E33="released_to_office",$E33="disposed"),IF($F33="","reserve",$F33)="rejected"),-N($G33),IF(AND($E33="correction",IF($F33="","reserve",$F33)="rejected"),N($G33),0))))</f>
        <v/>
      </c>
      <c r="O33" s="25">
        <f>IF($C33="","",IF($E33="collected",N($G33),IF(AND(OR($E33="returned_to_brand",$E33="given_to_roster_office",$E33="released_to_office",$E33="disposed"),IF($F33="","reserve",$F33)="leftover"),-N($G33),IF(AND($E33="correction",IF($F33="","reserve",$F33)="leftover"),N($G33),0))))</f>
        <v/>
      </c>
      <c r="P33" s="25">
        <f>IF(OR($E33&lt;&gt;"received",$I33="",$L33=""),"",IF($I33&gt;=$L33+config!$B$19,"Y","N"))</f>
        <v/>
      </c>
      <c r="Q33" s="25">
        <f>IF($C33="","",IF(COUNTIF(campaigns!$A$2:$A$51,$C33)=0,"campaign_id not on campaigns; ",IF(AND($D33&lt;&gt;"",COUNTIFS(approvals!$A$2:$A$251,$C33,approvals!$B$2:$B$251,$D33)=0),"office not on this campaign (approvals tab); ",""))&amp;IF(AND(OR($E33="delivered",$E33="topped_up",$E33="collected"),$D33=""),"office needed; ","")&amp;IF(AND($E33&lt;&gt;"correction",N($G33)&lt;=0),"qty must be above 0; ","")&amp;IF(AND($E33="received",OR($I33="",$H33="")),"log lot and best-by; ","")&amp;IF(AND($P33="N",SUMIFS(inventory!$G$2:$G$801,inventory!$C$2:$C$801,$C33,inventory!$H$2:$H$801,$H33,inventory!$E$2:$E$801,"rejected")&lt;N($G33)),"UNDER "&amp;config!$B$19&amp;" DAYS LEFT ON THE DROP DAY: reject these units; ","")&amp;IF(AND($E33="delivered",COUNTIF(inventory!$R$2:$R$801,$R33)&gt;1),"two delivered rows for this office: use one; ","")&amp;IF(AND($E33="delivered",$J33=""),"who counted?; ",""))</f>
        <v/>
      </c>
      <c r="R33" s="25">
        <f>IF($C33="","",$C33&amp;"|"&amp;$D33&amp;"|"&amp;$E33)</f>
        <v/>
      </c>
    </row>
    <row r="34">
      <c r="A34" s="9" t="n"/>
      <c r="B34" s="33" t="n"/>
      <c r="I34" s="9" t="n"/>
      <c r="L34" s="26">
        <f>IF($C34="","",IFERROR(IF(INDEX(campaigns!$BG$2:$BG$51,MATCH($C34,campaigns!$A$2:$A$51,0))="","",INDEX(campaigns!$BG$2:$BG$51,MATCH($C34,campaigns!$A$2:$A$51,0))),""))</f>
        <v/>
      </c>
      <c r="M34" s="25">
        <f>IF($C34="","",IF(OR($E34="received"),N($G34),IF(OR($E34="rejected",$E34="delivered",$E34="topped_up"),-N($G34),IF(AND(OR($E34="returned_to_brand",$E34="given_to_roster_office",$E34="released_to_office",$E34="disposed"),IF($F34="","reserve",$F34)="reserve"),-N($G34),IF(AND($E34="correction",IF($F34="","reserve",$F34)="reserve"),N($G34),0)))))</f>
        <v/>
      </c>
      <c r="N34" s="25">
        <f>IF($C34="","",IF($E34="rejected",N($G34),IF(AND(OR($E34="returned_to_brand",$E34="given_to_roster_office",$E34="released_to_office",$E34="disposed"),IF($F34="","reserve",$F34)="rejected"),-N($G34),IF(AND($E34="correction",IF($F34="","reserve",$F34)="rejected"),N($G34),0))))</f>
        <v/>
      </c>
      <c r="O34" s="25">
        <f>IF($C34="","",IF($E34="collected",N($G34),IF(AND(OR($E34="returned_to_brand",$E34="given_to_roster_office",$E34="released_to_office",$E34="disposed"),IF($F34="","reserve",$F34)="leftover"),-N($G34),IF(AND($E34="correction",IF($F34="","reserve",$F34)="leftover"),N($G34),0))))</f>
        <v/>
      </c>
      <c r="P34" s="25">
        <f>IF(OR($E34&lt;&gt;"received",$I34="",$L34=""),"",IF($I34&gt;=$L34+config!$B$19,"Y","N"))</f>
        <v/>
      </c>
      <c r="Q34" s="25">
        <f>IF($C34="","",IF(COUNTIF(campaigns!$A$2:$A$51,$C34)=0,"campaign_id not on campaigns; ",IF(AND($D34&lt;&gt;"",COUNTIFS(approvals!$A$2:$A$251,$C34,approvals!$B$2:$B$251,$D34)=0),"office not on this campaign (approvals tab); ",""))&amp;IF(AND(OR($E34="delivered",$E34="topped_up",$E34="collected"),$D34=""),"office needed; ","")&amp;IF(AND($E34&lt;&gt;"correction",N($G34)&lt;=0),"qty must be above 0; ","")&amp;IF(AND($E34="received",OR($I34="",$H34="")),"log lot and best-by; ","")&amp;IF(AND($P34="N",SUMIFS(inventory!$G$2:$G$801,inventory!$C$2:$C$801,$C34,inventory!$H$2:$H$801,$H34,inventory!$E$2:$E$801,"rejected")&lt;N($G34)),"UNDER "&amp;config!$B$19&amp;" DAYS LEFT ON THE DROP DAY: reject these units; ","")&amp;IF(AND($E34="delivered",COUNTIF(inventory!$R$2:$R$801,$R34)&gt;1),"two delivered rows for this office: use one; ","")&amp;IF(AND($E34="delivered",$J34=""),"who counted?; ",""))</f>
        <v/>
      </c>
      <c r="R34" s="25">
        <f>IF($C34="","",$C34&amp;"|"&amp;$D34&amp;"|"&amp;$E34)</f>
        <v/>
      </c>
    </row>
    <row r="35">
      <c r="A35" s="9" t="n"/>
      <c r="B35" s="33" t="n"/>
      <c r="I35" s="9" t="n"/>
      <c r="L35" s="26">
        <f>IF($C35="","",IFERROR(IF(INDEX(campaigns!$BG$2:$BG$51,MATCH($C35,campaigns!$A$2:$A$51,0))="","",INDEX(campaigns!$BG$2:$BG$51,MATCH($C35,campaigns!$A$2:$A$51,0))),""))</f>
        <v/>
      </c>
      <c r="M35" s="25">
        <f>IF($C35="","",IF(OR($E35="received"),N($G35),IF(OR($E35="rejected",$E35="delivered",$E35="topped_up"),-N($G35),IF(AND(OR($E35="returned_to_brand",$E35="given_to_roster_office",$E35="released_to_office",$E35="disposed"),IF($F35="","reserve",$F35)="reserve"),-N($G35),IF(AND($E35="correction",IF($F35="","reserve",$F35)="reserve"),N($G35),0)))))</f>
        <v/>
      </c>
      <c r="N35" s="25">
        <f>IF($C35="","",IF($E35="rejected",N($G35),IF(AND(OR($E35="returned_to_brand",$E35="given_to_roster_office",$E35="released_to_office",$E35="disposed"),IF($F35="","reserve",$F35)="rejected"),-N($G35),IF(AND($E35="correction",IF($F35="","reserve",$F35)="rejected"),N($G35),0))))</f>
        <v/>
      </c>
      <c r="O35" s="25">
        <f>IF($C35="","",IF($E35="collected",N($G35),IF(AND(OR($E35="returned_to_brand",$E35="given_to_roster_office",$E35="released_to_office",$E35="disposed"),IF($F35="","reserve",$F35)="leftover"),-N($G35),IF(AND($E35="correction",IF($F35="","reserve",$F35)="leftover"),N($G35),0))))</f>
        <v/>
      </c>
      <c r="P35" s="25">
        <f>IF(OR($E35&lt;&gt;"received",$I35="",$L35=""),"",IF($I35&gt;=$L35+config!$B$19,"Y","N"))</f>
        <v/>
      </c>
      <c r="Q35" s="25">
        <f>IF($C35="","",IF(COUNTIF(campaigns!$A$2:$A$51,$C35)=0,"campaign_id not on campaigns; ",IF(AND($D35&lt;&gt;"",COUNTIFS(approvals!$A$2:$A$251,$C35,approvals!$B$2:$B$251,$D35)=0),"office not on this campaign (approvals tab); ",""))&amp;IF(AND(OR($E35="delivered",$E35="topped_up",$E35="collected"),$D35=""),"office needed; ","")&amp;IF(AND($E35&lt;&gt;"correction",N($G35)&lt;=0),"qty must be above 0; ","")&amp;IF(AND($E35="received",OR($I35="",$H35="")),"log lot and best-by; ","")&amp;IF(AND($P35="N",SUMIFS(inventory!$G$2:$G$801,inventory!$C$2:$C$801,$C35,inventory!$H$2:$H$801,$H35,inventory!$E$2:$E$801,"rejected")&lt;N($G35)),"UNDER "&amp;config!$B$19&amp;" DAYS LEFT ON THE DROP DAY: reject these units; ","")&amp;IF(AND($E35="delivered",COUNTIF(inventory!$R$2:$R$801,$R35)&gt;1),"two delivered rows for this office: use one; ","")&amp;IF(AND($E35="delivered",$J35=""),"who counted?; ",""))</f>
        <v/>
      </c>
      <c r="R35" s="25">
        <f>IF($C35="","",$C35&amp;"|"&amp;$D35&amp;"|"&amp;$E35)</f>
        <v/>
      </c>
    </row>
    <row r="36">
      <c r="A36" s="9" t="n"/>
      <c r="B36" s="33" t="n"/>
      <c r="I36" s="9" t="n"/>
      <c r="L36" s="26">
        <f>IF($C36="","",IFERROR(IF(INDEX(campaigns!$BG$2:$BG$51,MATCH($C36,campaigns!$A$2:$A$51,0))="","",INDEX(campaigns!$BG$2:$BG$51,MATCH($C36,campaigns!$A$2:$A$51,0))),""))</f>
        <v/>
      </c>
      <c r="M36" s="25">
        <f>IF($C36="","",IF(OR($E36="received"),N($G36),IF(OR($E36="rejected",$E36="delivered",$E36="topped_up"),-N($G36),IF(AND(OR($E36="returned_to_brand",$E36="given_to_roster_office",$E36="released_to_office",$E36="disposed"),IF($F36="","reserve",$F36)="reserve"),-N($G36),IF(AND($E36="correction",IF($F36="","reserve",$F36)="reserve"),N($G36),0)))))</f>
        <v/>
      </c>
      <c r="N36" s="25">
        <f>IF($C36="","",IF($E36="rejected",N($G36),IF(AND(OR($E36="returned_to_brand",$E36="given_to_roster_office",$E36="released_to_office",$E36="disposed"),IF($F36="","reserve",$F36)="rejected"),-N($G36),IF(AND($E36="correction",IF($F36="","reserve",$F36)="rejected"),N($G36),0))))</f>
        <v/>
      </c>
      <c r="O36" s="25">
        <f>IF($C36="","",IF($E36="collected",N($G36),IF(AND(OR($E36="returned_to_brand",$E36="given_to_roster_office",$E36="released_to_office",$E36="disposed"),IF($F36="","reserve",$F36)="leftover"),-N($G36),IF(AND($E36="correction",IF($F36="","reserve",$F36)="leftover"),N($G36),0))))</f>
        <v/>
      </c>
      <c r="P36" s="25">
        <f>IF(OR($E36&lt;&gt;"received",$I36="",$L36=""),"",IF($I36&gt;=$L36+config!$B$19,"Y","N"))</f>
        <v/>
      </c>
      <c r="Q36" s="25">
        <f>IF($C36="","",IF(COUNTIF(campaigns!$A$2:$A$51,$C36)=0,"campaign_id not on campaigns; ",IF(AND($D36&lt;&gt;"",COUNTIFS(approvals!$A$2:$A$251,$C36,approvals!$B$2:$B$251,$D36)=0),"office not on this campaign (approvals tab); ",""))&amp;IF(AND(OR($E36="delivered",$E36="topped_up",$E36="collected"),$D36=""),"office needed; ","")&amp;IF(AND($E36&lt;&gt;"correction",N($G36)&lt;=0),"qty must be above 0; ","")&amp;IF(AND($E36="received",OR($I36="",$H36="")),"log lot and best-by; ","")&amp;IF(AND($P36="N",SUMIFS(inventory!$G$2:$G$801,inventory!$C$2:$C$801,$C36,inventory!$H$2:$H$801,$H36,inventory!$E$2:$E$801,"rejected")&lt;N($G36)),"UNDER "&amp;config!$B$19&amp;" DAYS LEFT ON THE DROP DAY: reject these units; ","")&amp;IF(AND($E36="delivered",COUNTIF(inventory!$R$2:$R$801,$R36)&gt;1),"two delivered rows for this office: use one; ","")&amp;IF(AND($E36="delivered",$J36=""),"who counted?; ",""))</f>
        <v/>
      </c>
      <c r="R36" s="25">
        <f>IF($C36="","",$C36&amp;"|"&amp;$D36&amp;"|"&amp;$E36)</f>
        <v/>
      </c>
    </row>
    <row r="37">
      <c r="A37" s="9" t="n"/>
      <c r="B37" s="33" t="n"/>
      <c r="I37" s="9" t="n"/>
      <c r="L37" s="26">
        <f>IF($C37="","",IFERROR(IF(INDEX(campaigns!$BG$2:$BG$51,MATCH($C37,campaigns!$A$2:$A$51,0))="","",INDEX(campaigns!$BG$2:$BG$51,MATCH($C37,campaigns!$A$2:$A$51,0))),""))</f>
        <v/>
      </c>
      <c r="M37" s="25">
        <f>IF($C37="","",IF(OR($E37="received"),N($G37),IF(OR($E37="rejected",$E37="delivered",$E37="topped_up"),-N($G37),IF(AND(OR($E37="returned_to_brand",$E37="given_to_roster_office",$E37="released_to_office",$E37="disposed"),IF($F37="","reserve",$F37)="reserve"),-N($G37),IF(AND($E37="correction",IF($F37="","reserve",$F37)="reserve"),N($G37),0)))))</f>
        <v/>
      </c>
      <c r="N37" s="25">
        <f>IF($C37="","",IF($E37="rejected",N($G37),IF(AND(OR($E37="returned_to_brand",$E37="given_to_roster_office",$E37="released_to_office",$E37="disposed"),IF($F37="","reserve",$F37)="rejected"),-N($G37),IF(AND($E37="correction",IF($F37="","reserve",$F37)="rejected"),N($G37),0))))</f>
        <v/>
      </c>
      <c r="O37" s="25">
        <f>IF($C37="","",IF($E37="collected",N($G37),IF(AND(OR($E37="returned_to_brand",$E37="given_to_roster_office",$E37="released_to_office",$E37="disposed"),IF($F37="","reserve",$F37)="leftover"),-N($G37),IF(AND($E37="correction",IF($F37="","reserve",$F37)="leftover"),N($G37),0))))</f>
        <v/>
      </c>
      <c r="P37" s="25">
        <f>IF(OR($E37&lt;&gt;"received",$I37="",$L37=""),"",IF($I37&gt;=$L37+config!$B$19,"Y","N"))</f>
        <v/>
      </c>
      <c r="Q37" s="25">
        <f>IF($C37="","",IF(COUNTIF(campaigns!$A$2:$A$51,$C37)=0,"campaign_id not on campaigns; ",IF(AND($D37&lt;&gt;"",COUNTIFS(approvals!$A$2:$A$251,$C37,approvals!$B$2:$B$251,$D37)=0),"office not on this campaign (approvals tab); ",""))&amp;IF(AND(OR($E37="delivered",$E37="topped_up",$E37="collected"),$D37=""),"office needed; ","")&amp;IF(AND($E37&lt;&gt;"correction",N($G37)&lt;=0),"qty must be above 0; ","")&amp;IF(AND($E37="received",OR($I37="",$H37="")),"log lot and best-by; ","")&amp;IF(AND($P37="N",SUMIFS(inventory!$G$2:$G$801,inventory!$C$2:$C$801,$C37,inventory!$H$2:$H$801,$H37,inventory!$E$2:$E$801,"rejected")&lt;N($G37)),"UNDER "&amp;config!$B$19&amp;" DAYS LEFT ON THE DROP DAY: reject these units; ","")&amp;IF(AND($E37="delivered",COUNTIF(inventory!$R$2:$R$801,$R37)&gt;1),"two delivered rows for this office: use one; ","")&amp;IF(AND($E37="delivered",$J37=""),"who counted?; ",""))</f>
        <v/>
      </c>
      <c r="R37" s="25">
        <f>IF($C37="","",$C37&amp;"|"&amp;$D37&amp;"|"&amp;$E37)</f>
        <v/>
      </c>
    </row>
    <row r="38">
      <c r="A38" s="9" t="n"/>
      <c r="B38" s="33" t="n"/>
      <c r="I38" s="9" t="n"/>
      <c r="L38" s="26">
        <f>IF($C38="","",IFERROR(IF(INDEX(campaigns!$BG$2:$BG$51,MATCH($C38,campaigns!$A$2:$A$51,0))="","",INDEX(campaigns!$BG$2:$BG$51,MATCH($C38,campaigns!$A$2:$A$51,0))),""))</f>
        <v/>
      </c>
      <c r="M38" s="25">
        <f>IF($C38="","",IF(OR($E38="received"),N($G38),IF(OR($E38="rejected",$E38="delivered",$E38="topped_up"),-N($G38),IF(AND(OR($E38="returned_to_brand",$E38="given_to_roster_office",$E38="released_to_office",$E38="disposed"),IF($F38="","reserve",$F38)="reserve"),-N($G38),IF(AND($E38="correction",IF($F38="","reserve",$F38)="reserve"),N($G38),0)))))</f>
        <v/>
      </c>
      <c r="N38" s="25">
        <f>IF($C38="","",IF($E38="rejected",N($G38),IF(AND(OR($E38="returned_to_brand",$E38="given_to_roster_office",$E38="released_to_office",$E38="disposed"),IF($F38="","reserve",$F38)="rejected"),-N($G38),IF(AND($E38="correction",IF($F38="","reserve",$F38)="rejected"),N($G38),0))))</f>
        <v/>
      </c>
      <c r="O38" s="25">
        <f>IF($C38="","",IF($E38="collected",N($G38),IF(AND(OR($E38="returned_to_brand",$E38="given_to_roster_office",$E38="released_to_office",$E38="disposed"),IF($F38="","reserve",$F38)="leftover"),-N($G38),IF(AND($E38="correction",IF($F38="","reserve",$F38)="leftover"),N($G38),0))))</f>
        <v/>
      </c>
      <c r="P38" s="25">
        <f>IF(OR($E38&lt;&gt;"received",$I38="",$L38=""),"",IF($I38&gt;=$L38+config!$B$19,"Y","N"))</f>
        <v/>
      </c>
      <c r="Q38" s="25">
        <f>IF($C38="","",IF(COUNTIF(campaigns!$A$2:$A$51,$C38)=0,"campaign_id not on campaigns; ",IF(AND($D38&lt;&gt;"",COUNTIFS(approvals!$A$2:$A$251,$C38,approvals!$B$2:$B$251,$D38)=0),"office not on this campaign (approvals tab); ",""))&amp;IF(AND(OR($E38="delivered",$E38="topped_up",$E38="collected"),$D38=""),"office needed; ","")&amp;IF(AND($E38&lt;&gt;"correction",N($G38)&lt;=0),"qty must be above 0; ","")&amp;IF(AND($E38="received",OR($I38="",$H38="")),"log lot and best-by; ","")&amp;IF(AND($P38="N",SUMIFS(inventory!$G$2:$G$801,inventory!$C$2:$C$801,$C38,inventory!$H$2:$H$801,$H38,inventory!$E$2:$E$801,"rejected")&lt;N($G38)),"UNDER "&amp;config!$B$19&amp;" DAYS LEFT ON THE DROP DAY: reject these units; ","")&amp;IF(AND($E38="delivered",COUNTIF(inventory!$R$2:$R$801,$R38)&gt;1),"two delivered rows for this office: use one; ","")&amp;IF(AND($E38="delivered",$J38=""),"who counted?; ",""))</f>
        <v/>
      </c>
      <c r="R38" s="25">
        <f>IF($C38="","",$C38&amp;"|"&amp;$D38&amp;"|"&amp;$E38)</f>
        <v/>
      </c>
    </row>
    <row r="39">
      <c r="A39" s="9" t="n"/>
      <c r="B39" s="33" t="n"/>
      <c r="I39" s="9" t="n"/>
      <c r="L39" s="26">
        <f>IF($C39="","",IFERROR(IF(INDEX(campaigns!$BG$2:$BG$51,MATCH($C39,campaigns!$A$2:$A$51,0))="","",INDEX(campaigns!$BG$2:$BG$51,MATCH($C39,campaigns!$A$2:$A$51,0))),""))</f>
        <v/>
      </c>
      <c r="M39" s="25">
        <f>IF($C39="","",IF(OR($E39="received"),N($G39),IF(OR($E39="rejected",$E39="delivered",$E39="topped_up"),-N($G39),IF(AND(OR($E39="returned_to_brand",$E39="given_to_roster_office",$E39="released_to_office",$E39="disposed"),IF($F39="","reserve",$F39)="reserve"),-N($G39),IF(AND($E39="correction",IF($F39="","reserve",$F39)="reserve"),N($G39),0)))))</f>
        <v/>
      </c>
      <c r="N39" s="25">
        <f>IF($C39="","",IF($E39="rejected",N($G39),IF(AND(OR($E39="returned_to_brand",$E39="given_to_roster_office",$E39="released_to_office",$E39="disposed"),IF($F39="","reserve",$F39)="rejected"),-N($G39),IF(AND($E39="correction",IF($F39="","reserve",$F39)="rejected"),N($G39),0))))</f>
        <v/>
      </c>
      <c r="O39" s="25">
        <f>IF($C39="","",IF($E39="collected",N($G39),IF(AND(OR($E39="returned_to_brand",$E39="given_to_roster_office",$E39="released_to_office",$E39="disposed"),IF($F39="","reserve",$F39)="leftover"),-N($G39),IF(AND($E39="correction",IF($F39="","reserve",$F39)="leftover"),N($G39),0))))</f>
        <v/>
      </c>
      <c r="P39" s="25">
        <f>IF(OR($E39&lt;&gt;"received",$I39="",$L39=""),"",IF($I39&gt;=$L39+config!$B$19,"Y","N"))</f>
        <v/>
      </c>
      <c r="Q39" s="25">
        <f>IF($C39="","",IF(COUNTIF(campaigns!$A$2:$A$51,$C39)=0,"campaign_id not on campaigns; ",IF(AND($D39&lt;&gt;"",COUNTIFS(approvals!$A$2:$A$251,$C39,approvals!$B$2:$B$251,$D39)=0),"office not on this campaign (approvals tab); ",""))&amp;IF(AND(OR($E39="delivered",$E39="topped_up",$E39="collected"),$D39=""),"office needed; ","")&amp;IF(AND($E39&lt;&gt;"correction",N($G39)&lt;=0),"qty must be above 0; ","")&amp;IF(AND($E39="received",OR($I39="",$H39="")),"log lot and best-by; ","")&amp;IF(AND($P39="N",SUMIFS(inventory!$G$2:$G$801,inventory!$C$2:$C$801,$C39,inventory!$H$2:$H$801,$H39,inventory!$E$2:$E$801,"rejected")&lt;N($G39)),"UNDER "&amp;config!$B$19&amp;" DAYS LEFT ON THE DROP DAY: reject these units; ","")&amp;IF(AND($E39="delivered",COUNTIF(inventory!$R$2:$R$801,$R39)&gt;1),"two delivered rows for this office: use one; ","")&amp;IF(AND($E39="delivered",$J39=""),"who counted?; ",""))</f>
        <v/>
      </c>
      <c r="R39" s="25">
        <f>IF($C39="","",$C39&amp;"|"&amp;$D39&amp;"|"&amp;$E39)</f>
        <v/>
      </c>
    </row>
    <row r="40">
      <c r="A40" s="9" t="n"/>
      <c r="B40" s="33" t="n"/>
      <c r="I40" s="9" t="n"/>
      <c r="L40" s="26">
        <f>IF($C40="","",IFERROR(IF(INDEX(campaigns!$BG$2:$BG$51,MATCH($C40,campaigns!$A$2:$A$51,0))="","",INDEX(campaigns!$BG$2:$BG$51,MATCH($C40,campaigns!$A$2:$A$51,0))),""))</f>
        <v/>
      </c>
      <c r="M40" s="25">
        <f>IF($C40="","",IF(OR($E40="received"),N($G40),IF(OR($E40="rejected",$E40="delivered",$E40="topped_up"),-N($G40),IF(AND(OR($E40="returned_to_brand",$E40="given_to_roster_office",$E40="released_to_office",$E40="disposed"),IF($F40="","reserve",$F40)="reserve"),-N($G40),IF(AND($E40="correction",IF($F40="","reserve",$F40)="reserve"),N($G40),0)))))</f>
        <v/>
      </c>
      <c r="N40" s="25">
        <f>IF($C40="","",IF($E40="rejected",N($G40),IF(AND(OR($E40="returned_to_brand",$E40="given_to_roster_office",$E40="released_to_office",$E40="disposed"),IF($F40="","reserve",$F40)="rejected"),-N($G40),IF(AND($E40="correction",IF($F40="","reserve",$F40)="rejected"),N($G40),0))))</f>
        <v/>
      </c>
      <c r="O40" s="25">
        <f>IF($C40="","",IF($E40="collected",N($G40),IF(AND(OR($E40="returned_to_brand",$E40="given_to_roster_office",$E40="released_to_office",$E40="disposed"),IF($F40="","reserve",$F40)="leftover"),-N($G40),IF(AND($E40="correction",IF($F40="","reserve",$F40)="leftover"),N($G40),0))))</f>
        <v/>
      </c>
      <c r="P40" s="25">
        <f>IF(OR($E40&lt;&gt;"received",$I40="",$L40=""),"",IF($I40&gt;=$L40+config!$B$19,"Y","N"))</f>
        <v/>
      </c>
      <c r="Q40" s="25">
        <f>IF($C40="","",IF(COUNTIF(campaigns!$A$2:$A$51,$C40)=0,"campaign_id not on campaigns; ",IF(AND($D40&lt;&gt;"",COUNTIFS(approvals!$A$2:$A$251,$C40,approvals!$B$2:$B$251,$D40)=0),"office not on this campaign (approvals tab); ",""))&amp;IF(AND(OR($E40="delivered",$E40="topped_up",$E40="collected"),$D40=""),"office needed; ","")&amp;IF(AND($E40&lt;&gt;"correction",N($G40)&lt;=0),"qty must be above 0; ","")&amp;IF(AND($E40="received",OR($I40="",$H40="")),"log lot and best-by; ","")&amp;IF(AND($P40="N",SUMIFS(inventory!$G$2:$G$801,inventory!$C$2:$C$801,$C40,inventory!$H$2:$H$801,$H40,inventory!$E$2:$E$801,"rejected")&lt;N($G40)),"UNDER "&amp;config!$B$19&amp;" DAYS LEFT ON THE DROP DAY: reject these units; ","")&amp;IF(AND($E40="delivered",COUNTIF(inventory!$R$2:$R$801,$R40)&gt;1),"two delivered rows for this office: use one; ","")&amp;IF(AND($E40="delivered",$J40=""),"who counted?; ",""))</f>
        <v/>
      </c>
      <c r="R40" s="25">
        <f>IF($C40="","",$C40&amp;"|"&amp;$D40&amp;"|"&amp;$E40)</f>
        <v/>
      </c>
    </row>
    <row r="41">
      <c r="A41" s="9" t="n"/>
      <c r="B41" s="33" t="n"/>
      <c r="I41" s="9" t="n"/>
      <c r="L41" s="26">
        <f>IF($C41="","",IFERROR(IF(INDEX(campaigns!$BG$2:$BG$51,MATCH($C41,campaigns!$A$2:$A$51,0))="","",INDEX(campaigns!$BG$2:$BG$51,MATCH($C41,campaigns!$A$2:$A$51,0))),""))</f>
        <v/>
      </c>
      <c r="M41" s="25">
        <f>IF($C41="","",IF(OR($E41="received"),N($G41),IF(OR($E41="rejected",$E41="delivered",$E41="topped_up"),-N($G41),IF(AND(OR($E41="returned_to_brand",$E41="given_to_roster_office",$E41="released_to_office",$E41="disposed"),IF($F41="","reserve",$F41)="reserve"),-N($G41),IF(AND($E41="correction",IF($F41="","reserve",$F41)="reserve"),N($G41),0)))))</f>
        <v/>
      </c>
      <c r="N41" s="25">
        <f>IF($C41="","",IF($E41="rejected",N($G41),IF(AND(OR($E41="returned_to_brand",$E41="given_to_roster_office",$E41="released_to_office",$E41="disposed"),IF($F41="","reserve",$F41)="rejected"),-N($G41),IF(AND($E41="correction",IF($F41="","reserve",$F41)="rejected"),N($G41),0))))</f>
        <v/>
      </c>
      <c r="O41" s="25">
        <f>IF($C41="","",IF($E41="collected",N($G41),IF(AND(OR($E41="returned_to_brand",$E41="given_to_roster_office",$E41="released_to_office",$E41="disposed"),IF($F41="","reserve",$F41)="leftover"),-N($G41),IF(AND($E41="correction",IF($F41="","reserve",$F41)="leftover"),N($G41),0))))</f>
        <v/>
      </c>
      <c r="P41" s="25">
        <f>IF(OR($E41&lt;&gt;"received",$I41="",$L41=""),"",IF($I41&gt;=$L41+config!$B$19,"Y","N"))</f>
        <v/>
      </c>
      <c r="Q41" s="25">
        <f>IF($C41="","",IF(COUNTIF(campaigns!$A$2:$A$51,$C41)=0,"campaign_id not on campaigns; ",IF(AND($D41&lt;&gt;"",COUNTIFS(approvals!$A$2:$A$251,$C41,approvals!$B$2:$B$251,$D41)=0),"office not on this campaign (approvals tab); ",""))&amp;IF(AND(OR($E41="delivered",$E41="topped_up",$E41="collected"),$D41=""),"office needed; ","")&amp;IF(AND($E41&lt;&gt;"correction",N($G41)&lt;=0),"qty must be above 0; ","")&amp;IF(AND($E41="received",OR($I41="",$H41="")),"log lot and best-by; ","")&amp;IF(AND($P41="N",SUMIFS(inventory!$G$2:$G$801,inventory!$C$2:$C$801,$C41,inventory!$H$2:$H$801,$H41,inventory!$E$2:$E$801,"rejected")&lt;N($G41)),"UNDER "&amp;config!$B$19&amp;" DAYS LEFT ON THE DROP DAY: reject these units; ","")&amp;IF(AND($E41="delivered",COUNTIF(inventory!$R$2:$R$801,$R41)&gt;1),"two delivered rows for this office: use one; ","")&amp;IF(AND($E41="delivered",$J41=""),"who counted?; ",""))</f>
        <v/>
      </c>
      <c r="R41" s="25">
        <f>IF($C41="","",$C41&amp;"|"&amp;$D41&amp;"|"&amp;$E41)</f>
        <v/>
      </c>
    </row>
    <row r="42">
      <c r="A42" s="9" t="n"/>
      <c r="B42" s="33" t="n"/>
      <c r="I42" s="9" t="n"/>
      <c r="L42" s="26">
        <f>IF($C42="","",IFERROR(IF(INDEX(campaigns!$BG$2:$BG$51,MATCH($C42,campaigns!$A$2:$A$51,0))="","",INDEX(campaigns!$BG$2:$BG$51,MATCH($C42,campaigns!$A$2:$A$51,0))),""))</f>
        <v/>
      </c>
      <c r="M42" s="25">
        <f>IF($C42="","",IF(OR($E42="received"),N($G42),IF(OR($E42="rejected",$E42="delivered",$E42="topped_up"),-N($G42),IF(AND(OR($E42="returned_to_brand",$E42="given_to_roster_office",$E42="released_to_office",$E42="disposed"),IF($F42="","reserve",$F42)="reserve"),-N($G42),IF(AND($E42="correction",IF($F42="","reserve",$F42)="reserve"),N($G42),0)))))</f>
        <v/>
      </c>
      <c r="N42" s="25">
        <f>IF($C42="","",IF($E42="rejected",N($G42),IF(AND(OR($E42="returned_to_brand",$E42="given_to_roster_office",$E42="released_to_office",$E42="disposed"),IF($F42="","reserve",$F42)="rejected"),-N($G42),IF(AND($E42="correction",IF($F42="","reserve",$F42)="rejected"),N($G42),0))))</f>
        <v/>
      </c>
      <c r="O42" s="25">
        <f>IF($C42="","",IF($E42="collected",N($G42),IF(AND(OR($E42="returned_to_brand",$E42="given_to_roster_office",$E42="released_to_office",$E42="disposed"),IF($F42="","reserve",$F42)="leftover"),-N($G42),IF(AND($E42="correction",IF($F42="","reserve",$F42)="leftover"),N($G42),0))))</f>
        <v/>
      </c>
      <c r="P42" s="25">
        <f>IF(OR($E42&lt;&gt;"received",$I42="",$L42=""),"",IF($I42&gt;=$L42+config!$B$19,"Y","N"))</f>
        <v/>
      </c>
      <c r="Q42" s="25">
        <f>IF($C42="","",IF(COUNTIF(campaigns!$A$2:$A$51,$C42)=0,"campaign_id not on campaigns; ",IF(AND($D42&lt;&gt;"",COUNTIFS(approvals!$A$2:$A$251,$C42,approvals!$B$2:$B$251,$D42)=0),"office not on this campaign (approvals tab); ",""))&amp;IF(AND(OR($E42="delivered",$E42="topped_up",$E42="collected"),$D42=""),"office needed; ","")&amp;IF(AND($E42&lt;&gt;"correction",N($G42)&lt;=0),"qty must be above 0; ","")&amp;IF(AND($E42="received",OR($I42="",$H42="")),"log lot and best-by; ","")&amp;IF(AND($P42="N",SUMIFS(inventory!$G$2:$G$801,inventory!$C$2:$C$801,$C42,inventory!$H$2:$H$801,$H42,inventory!$E$2:$E$801,"rejected")&lt;N($G42)),"UNDER "&amp;config!$B$19&amp;" DAYS LEFT ON THE DROP DAY: reject these units; ","")&amp;IF(AND($E42="delivered",COUNTIF(inventory!$R$2:$R$801,$R42)&gt;1),"two delivered rows for this office: use one; ","")&amp;IF(AND($E42="delivered",$J42=""),"who counted?; ",""))</f>
        <v/>
      </c>
      <c r="R42" s="25">
        <f>IF($C42="","",$C42&amp;"|"&amp;$D42&amp;"|"&amp;$E42)</f>
        <v/>
      </c>
    </row>
    <row r="43">
      <c r="A43" s="9" t="n"/>
      <c r="B43" s="33" t="n"/>
      <c r="I43" s="9" t="n"/>
      <c r="L43" s="26">
        <f>IF($C43="","",IFERROR(IF(INDEX(campaigns!$BG$2:$BG$51,MATCH($C43,campaigns!$A$2:$A$51,0))="","",INDEX(campaigns!$BG$2:$BG$51,MATCH($C43,campaigns!$A$2:$A$51,0))),""))</f>
        <v/>
      </c>
      <c r="M43" s="25">
        <f>IF($C43="","",IF(OR($E43="received"),N($G43),IF(OR($E43="rejected",$E43="delivered",$E43="topped_up"),-N($G43),IF(AND(OR($E43="returned_to_brand",$E43="given_to_roster_office",$E43="released_to_office",$E43="disposed"),IF($F43="","reserve",$F43)="reserve"),-N($G43),IF(AND($E43="correction",IF($F43="","reserve",$F43)="reserve"),N($G43),0)))))</f>
        <v/>
      </c>
      <c r="N43" s="25">
        <f>IF($C43="","",IF($E43="rejected",N($G43),IF(AND(OR($E43="returned_to_brand",$E43="given_to_roster_office",$E43="released_to_office",$E43="disposed"),IF($F43="","reserve",$F43)="rejected"),-N($G43),IF(AND($E43="correction",IF($F43="","reserve",$F43)="rejected"),N($G43),0))))</f>
        <v/>
      </c>
      <c r="O43" s="25">
        <f>IF($C43="","",IF($E43="collected",N($G43),IF(AND(OR($E43="returned_to_brand",$E43="given_to_roster_office",$E43="released_to_office",$E43="disposed"),IF($F43="","reserve",$F43)="leftover"),-N($G43),IF(AND($E43="correction",IF($F43="","reserve",$F43)="leftover"),N($G43),0))))</f>
        <v/>
      </c>
      <c r="P43" s="25">
        <f>IF(OR($E43&lt;&gt;"received",$I43="",$L43=""),"",IF($I43&gt;=$L43+config!$B$19,"Y","N"))</f>
        <v/>
      </c>
      <c r="Q43" s="25">
        <f>IF($C43="","",IF(COUNTIF(campaigns!$A$2:$A$51,$C43)=0,"campaign_id not on campaigns; ",IF(AND($D43&lt;&gt;"",COUNTIFS(approvals!$A$2:$A$251,$C43,approvals!$B$2:$B$251,$D43)=0),"office not on this campaign (approvals tab); ",""))&amp;IF(AND(OR($E43="delivered",$E43="topped_up",$E43="collected"),$D43=""),"office needed; ","")&amp;IF(AND($E43&lt;&gt;"correction",N($G43)&lt;=0),"qty must be above 0; ","")&amp;IF(AND($E43="received",OR($I43="",$H43="")),"log lot and best-by; ","")&amp;IF(AND($P43="N",SUMIFS(inventory!$G$2:$G$801,inventory!$C$2:$C$801,$C43,inventory!$H$2:$H$801,$H43,inventory!$E$2:$E$801,"rejected")&lt;N($G43)),"UNDER "&amp;config!$B$19&amp;" DAYS LEFT ON THE DROP DAY: reject these units; ","")&amp;IF(AND($E43="delivered",COUNTIF(inventory!$R$2:$R$801,$R43)&gt;1),"two delivered rows for this office: use one; ","")&amp;IF(AND($E43="delivered",$J43=""),"who counted?; ",""))</f>
        <v/>
      </c>
      <c r="R43" s="25">
        <f>IF($C43="","",$C43&amp;"|"&amp;$D43&amp;"|"&amp;$E43)</f>
        <v/>
      </c>
    </row>
    <row r="44">
      <c r="A44" s="9" t="n"/>
      <c r="B44" s="33" t="n"/>
      <c r="I44" s="9" t="n"/>
      <c r="L44" s="26">
        <f>IF($C44="","",IFERROR(IF(INDEX(campaigns!$BG$2:$BG$51,MATCH($C44,campaigns!$A$2:$A$51,0))="","",INDEX(campaigns!$BG$2:$BG$51,MATCH($C44,campaigns!$A$2:$A$51,0))),""))</f>
        <v/>
      </c>
      <c r="M44" s="25">
        <f>IF($C44="","",IF(OR($E44="received"),N($G44),IF(OR($E44="rejected",$E44="delivered",$E44="topped_up"),-N($G44),IF(AND(OR($E44="returned_to_brand",$E44="given_to_roster_office",$E44="released_to_office",$E44="disposed"),IF($F44="","reserve",$F44)="reserve"),-N($G44),IF(AND($E44="correction",IF($F44="","reserve",$F44)="reserve"),N($G44),0)))))</f>
        <v/>
      </c>
      <c r="N44" s="25">
        <f>IF($C44="","",IF($E44="rejected",N($G44),IF(AND(OR($E44="returned_to_brand",$E44="given_to_roster_office",$E44="released_to_office",$E44="disposed"),IF($F44="","reserve",$F44)="rejected"),-N($G44),IF(AND($E44="correction",IF($F44="","reserve",$F44)="rejected"),N($G44),0))))</f>
        <v/>
      </c>
      <c r="O44" s="25">
        <f>IF($C44="","",IF($E44="collected",N($G44),IF(AND(OR($E44="returned_to_brand",$E44="given_to_roster_office",$E44="released_to_office",$E44="disposed"),IF($F44="","reserve",$F44)="leftover"),-N($G44),IF(AND($E44="correction",IF($F44="","reserve",$F44)="leftover"),N($G44),0))))</f>
        <v/>
      </c>
      <c r="P44" s="25">
        <f>IF(OR($E44&lt;&gt;"received",$I44="",$L44=""),"",IF($I44&gt;=$L44+config!$B$19,"Y","N"))</f>
        <v/>
      </c>
      <c r="Q44" s="25">
        <f>IF($C44="","",IF(COUNTIF(campaigns!$A$2:$A$51,$C44)=0,"campaign_id not on campaigns; ",IF(AND($D44&lt;&gt;"",COUNTIFS(approvals!$A$2:$A$251,$C44,approvals!$B$2:$B$251,$D44)=0),"office not on this campaign (approvals tab); ",""))&amp;IF(AND(OR($E44="delivered",$E44="topped_up",$E44="collected"),$D44=""),"office needed; ","")&amp;IF(AND($E44&lt;&gt;"correction",N($G44)&lt;=0),"qty must be above 0; ","")&amp;IF(AND($E44="received",OR($I44="",$H44="")),"log lot and best-by; ","")&amp;IF(AND($P44="N",SUMIFS(inventory!$G$2:$G$801,inventory!$C$2:$C$801,$C44,inventory!$H$2:$H$801,$H44,inventory!$E$2:$E$801,"rejected")&lt;N($G44)),"UNDER "&amp;config!$B$19&amp;" DAYS LEFT ON THE DROP DAY: reject these units; ","")&amp;IF(AND($E44="delivered",COUNTIF(inventory!$R$2:$R$801,$R44)&gt;1),"two delivered rows for this office: use one; ","")&amp;IF(AND($E44="delivered",$J44=""),"who counted?; ",""))</f>
        <v/>
      </c>
      <c r="R44" s="25">
        <f>IF($C44="","",$C44&amp;"|"&amp;$D44&amp;"|"&amp;$E44)</f>
        <v/>
      </c>
    </row>
    <row r="45">
      <c r="A45" s="9" t="n"/>
      <c r="B45" s="33" t="n"/>
      <c r="I45" s="9" t="n"/>
      <c r="L45" s="26">
        <f>IF($C45="","",IFERROR(IF(INDEX(campaigns!$BG$2:$BG$51,MATCH($C45,campaigns!$A$2:$A$51,0))="","",INDEX(campaigns!$BG$2:$BG$51,MATCH($C45,campaigns!$A$2:$A$51,0))),""))</f>
        <v/>
      </c>
      <c r="M45" s="25">
        <f>IF($C45="","",IF(OR($E45="received"),N($G45),IF(OR($E45="rejected",$E45="delivered",$E45="topped_up"),-N($G45),IF(AND(OR($E45="returned_to_brand",$E45="given_to_roster_office",$E45="released_to_office",$E45="disposed"),IF($F45="","reserve",$F45)="reserve"),-N($G45),IF(AND($E45="correction",IF($F45="","reserve",$F45)="reserve"),N($G45),0)))))</f>
        <v/>
      </c>
      <c r="N45" s="25">
        <f>IF($C45="","",IF($E45="rejected",N($G45),IF(AND(OR($E45="returned_to_brand",$E45="given_to_roster_office",$E45="released_to_office",$E45="disposed"),IF($F45="","reserve",$F45)="rejected"),-N($G45),IF(AND($E45="correction",IF($F45="","reserve",$F45)="rejected"),N($G45),0))))</f>
        <v/>
      </c>
      <c r="O45" s="25">
        <f>IF($C45="","",IF($E45="collected",N($G45),IF(AND(OR($E45="returned_to_brand",$E45="given_to_roster_office",$E45="released_to_office",$E45="disposed"),IF($F45="","reserve",$F45)="leftover"),-N($G45),IF(AND($E45="correction",IF($F45="","reserve",$F45)="leftover"),N($G45),0))))</f>
        <v/>
      </c>
      <c r="P45" s="25">
        <f>IF(OR($E45&lt;&gt;"received",$I45="",$L45=""),"",IF($I45&gt;=$L45+config!$B$19,"Y","N"))</f>
        <v/>
      </c>
      <c r="Q45" s="25">
        <f>IF($C45="","",IF(COUNTIF(campaigns!$A$2:$A$51,$C45)=0,"campaign_id not on campaigns; ",IF(AND($D45&lt;&gt;"",COUNTIFS(approvals!$A$2:$A$251,$C45,approvals!$B$2:$B$251,$D45)=0),"office not on this campaign (approvals tab); ",""))&amp;IF(AND(OR($E45="delivered",$E45="topped_up",$E45="collected"),$D45=""),"office needed; ","")&amp;IF(AND($E45&lt;&gt;"correction",N($G45)&lt;=0),"qty must be above 0; ","")&amp;IF(AND($E45="received",OR($I45="",$H45="")),"log lot and best-by; ","")&amp;IF(AND($P45="N",SUMIFS(inventory!$G$2:$G$801,inventory!$C$2:$C$801,$C45,inventory!$H$2:$H$801,$H45,inventory!$E$2:$E$801,"rejected")&lt;N($G45)),"UNDER "&amp;config!$B$19&amp;" DAYS LEFT ON THE DROP DAY: reject these units; ","")&amp;IF(AND($E45="delivered",COUNTIF(inventory!$R$2:$R$801,$R45)&gt;1),"two delivered rows for this office: use one; ","")&amp;IF(AND($E45="delivered",$J45=""),"who counted?; ",""))</f>
        <v/>
      </c>
      <c r="R45" s="25">
        <f>IF($C45="","",$C45&amp;"|"&amp;$D45&amp;"|"&amp;$E45)</f>
        <v/>
      </c>
    </row>
    <row r="46">
      <c r="A46" s="9" t="n"/>
      <c r="B46" s="33" t="n"/>
      <c r="I46" s="9" t="n"/>
      <c r="L46" s="26">
        <f>IF($C46="","",IFERROR(IF(INDEX(campaigns!$BG$2:$BG$51,MATCH($C46,campaigns!$A$2:$A$51,0))="","",INDEX(campaigns!$BG$2:$BG$51,MATCH($C46,campaigns!$A$2:$A$51,0))),""))</f>
        <v/>
      </c>
      <c r="M46" s="25">
        <f>IF($C46="","",IF(OR($E46="received"),N($G46),IF(OR($E46="rejected",$E46="delivered",$E46="topped_up"),-N($G46),IF(AND(OR($E46="returned_to_brand",$E46="given_to_roster_office",$E46="released_to_office",$E46="disposed"),IF($F46="","reserve",$F46)="reserve"),-N($G46),IF(AND($E46="correction",IF($F46="","reserve",$F46)="reserve"),N($G46),0)))))</f>
        <v/>
      </c>
      <c r="N46" s="25">
        <f>IF($C46="","",IF($E46="rejected",N($G46),IF(AND(OR($E46="returned_to_brand",$E46="given_to_roster_office",$E46="released_to_office",$E46="disposed"),IF($F46="","reserve",$F46)="rejected"),-N($G46),IF(AND($E46="correction",IF($F46="","reserve",$F46)="rejected"),N($G46),0))))</f>
        <v/>
      </c>
      <c r="O46" s="25">
        <f>IF($C46="","",IF($E46="collected",N($G46),IF(AND(OR($E46="returned_to_brand",$E46="given_to_roster_office",$E46="released_to_office",$E46="disposed"),IF($F46="","reserve",$F46)="leftover"),-N($G46),IF(AND($E46="correction",IF($F46="","reserve",$F46)="leftover"),N($G46),0))))</f>
        <v/>
      </c>
      <c r="P46" s="25">
        <f>IF(OR($E46&lt;&gt;"received",$I46="",$L46=""),"",IF($I46&gt;=$L46+config!$B$19,"Y","N"))</f>
        <v/>
      </c>
      <c r="Q46" s="25">
        <f>IF($C46="","",IF(COUNTIF(campaigns!$A$2:$A$51,$C46)=0,"campaign_id not on campaigns; ",IF(AND($D46&lt;&gt;"",COUNTIFS(approvals!$A$2:$A$251,$C46,approvals!$B$2:$B$251,$D46)=0),"office not on this campaign (approvals tab); ",""))&amp;IF(AND(OR($E46="delivered",$E46="topped_up",$E46="collected"),$D46=""),"office needed; ","")&amp;IF(AND($E46&lt;&gt;"correction",N($G46)&lt;=0),"qty must be above 0; ","")&amp;IF(AND($E46="received",OR($I46="",$H46="")),"log lot and best-by; ","")&amp;IF(AND($P46="N",SUMIFS(inventory!$G$2:$G$801,inventory!$C$2:$C$801,$C46,inventory!$H$2:$H$801,$H46,inventory!$E$2:$E$801,"rejected")&lt;N($G46)),"UNDER "&amp;config!$B$19&amp;" DAYS LEFT ON THE DROP DAY: reject these units; ","")&amp;IF(AND($E46="delivered",COUNTIF(inventory!$R$2:$R$801,$R46)&gt;1),"two delivered rows for this office: use one; ","")&amp;IF(AND($E46="delivered",$J46=""),"who counted?; ",""))</f>
        <v/>
      </c>
      <c r="R46" s="25">
        <f>IF($C46="","",$C46&amp;"|"&amp;$D46&amp;"|"&amp;$E46)</f>
        <v/>
      </c>
    </row>
    <row r="47">
      <c r="A47" s="9" t="n"/>
      <c r="B47" s="33" t="n"/>
      <c r="I47" s="9" t="n"/>
      <c r="L47" s="26">
        <f>IF($C47="","",IFERROR(IF(INDEX(campaigns!$BG$2:$BG$51,MATCH($C47,campaigns!$A$2:$A$51,0))="","",INDEX(campaigns!$BG$2:$BG$51,MATCH($C47,campaigns!$A$2:$A$51,0))),""))</f>
        <v/>
      </c>
      <c r="M47" s="25">
        <f>IF($C47="","",IF(OR($E47="received"),N($G47),IF(OR($E47="rejected",$E47="delivered",$E47="topped_up"),-N($G47),IF(AND(OR($E47="returned_to_brand",$E47="given_to_roster_office",$E47="released_to_office",$E47="disposed"),IF($F47="","reserve",$F47)="reserve"),-N($G47),IF(AND($E47="correction",IF($F47="","reserve",$F47)="reserve"),N($G47),0)))))</f>
        <v/>
      </c>
      <c r="N47" s="25">
        <f>IF($C47="","",IF($E47="rejected",N($G47),IF(AND(OR($E47="returned_to_brand",$E47="given_to_roster_office",$E47="released_to_office",$E47="disposed"),IF($F47="","reserve",$F47)="rejected"),-N($G47),IF(AND($E47="correction",IF($F47="","reserve",$F47)="rejected"),N($G47),0))))</f>
        <v/>
      </c>
      <c r="O47" s="25">
        <f>IF($C47="","",IF($E47="collected",N($G47),IF(AND(OR($E47="returned_to_brand",$E47="given_to_roster_office",$E47="released_to_office",$E47="disposed"),IF($F47="","reserve",$F47)="leftover"),-N($G47),IF(AND($E47="correction",IF($F47="","reserve",$F47)="leftover"),N($G47),0))))</f>
        <v/>
      </c>
      <c r="P47" s="25">
        <f>IF(OR($E47&lt;&gt;"received",$I47="",$L47=""),"",IF($I47&gt;=$L47+config!$B$19,"Y","N"))</f>
        <v/>
      </c>
      <c r="Q47" s="25">
        <f>IF($C47="","",IF(COUNTIF(campaigns!$A$2:$A$51,$C47)=0,"campaign_id not on campaigns; ",IF(AND($D47&lt;&gt;"",COUNTIFS(approvals!$A$2:$A$251,$C47,approvals!$B$2:$B$251,$D47)=0),"office not on this campaign (approvals tab); ",""))&amp;IF(AND(OR($E47="delivered",$E47="topped_up",$E47="collected"),$D47=""),"office needed; ","")&amp;IF(AND($E47&lt;&gt;"correction",N($G47)&lt;=0),"qty must be above 0; ","")&amp;IF(AND($E47="received",OR($I47="",$H47="")),"log lot and best-by; ","")&amp;IF(AND($P47="N",SUMIFS(inventory!$G$2:$G$801,inventory!$C$2:$C$801,$C47,inventory!$H$2:$H$801,$H47,inventory!$E$2:$E$801,"rejected")&lt;N($G47)),"UNDER "&amp;config!$B$19&amp;" DAYS LEFT ON THE DROP DAY: reject these units; ","")&amp;IF(AND($E47="delivered",COUNTIF(inventory!$R$2:$R$801,$R47)&gt;1),"two delivered rows for this office: use one; ","")&amp;IF(AND($E47="delivered",$J47=""),"who counted?; ",""))</f>
        <v/>
      </c>
      <c r="R47" s="25">
        <f>IF($C47="","",$C47&amp;"|"&amp;$D47&amp;"|"&amp;$E47)</f>
        <v/>
      </c>
    </row>
    <row r="48">
      <c r="A48" s="9" t="n"/>
      <c r="B48" s="33" t="n"/>
      <c r="I48" s="9" t="n"/>
      <c r="L48" s="26">
        <f>IF($C48="","",IFERROR(IF(INDEX(campaigns!$BG$2:$BG$51,MATCH($C48,campaigns!$A$2:$A$51,0))="","",INDEX(campaigns!$BG$2:$BG$51,MATCH($C48,campaigns!$A$2:$A$51,0))),""))</f>
        <v/>
      </c>
      <c r="M48" s="25">
        <f>IF($C48="","",IF(OR($E48="received"),N($G48),IF(OR($E48="rejected",$E48="delivered",$E48="topped_up"),-N($G48),IF(AND(OR($E48="returned_to_brand",$E48="given_to_roster_office",$E48="released_to_office",$E48="disposed"),IF($F48="","reserve",$F48)="reserve"),-N($G48),IF(AND($E48="correction",IF($F48="","reserve",$F48)="reserve"),N($G48),0)))))</f>
        <v/>
      </c>
      <c r="N48" s="25">
        <f>IF($C48="","",IF($E48="rejected",N($G48),IF(AND(OR($E48="returned_to_brand",$E48="given_to_roster_office",$E48="released_to_office",$E48="disposed"),IF($F48="","reserve",$F48)="rejected"),-N($G48),IF(AND($E48="correction",IF($F48="","reserve",$F48)="rejected"),N($G48),0))))</f>
        <v/>
      </c>
      <c r="O48" s="25">
        <f>IF($C48="","",IF($E48="collected",N($G48),IF(AND(OR($E48="returned_to_brand",$E48="given_to_roster_office",$E48="released_to_office",$E48="disposed"),IF($F48="","reserve",$F48)="leftover"),-N($G48),IF(AND($E48="correction",IF($F48="","reserve",$F48)="leftover"),N($G48),0))))</f>
        <v/>
      </c>
      <c r="P48" s="25">
        <f>IF(OR($E48&lt;&gt;"received",$I48="",$L48=""),"",IF($I48&gt;=$L48+config!$B$19,"Y","N"))</f>
        <v/>
      </c>
      <c r="Q48" s="25">
        <f>IF($C48="","",IF(COUNTIF(campaigns!$A$2:$A$51,$C48)=0,"campaign_id not on campaigns; ",IF(AND($D48&lt;&gt;"",COUNTIFS(approvals!$A$2:$A$251,$C48,approvals!$B$2:$B$251,$D48)=0),"office not on this campaign (approvals tab); ",""))&amp;IF(AND(OR($E48="delivered",$E48="topped_up",$E48="collected"),$D48=""),"office needed; ","")&amp;IF(AND($E48&lt;&gt;"correction",N($G48)&lt;=0),"qty must be above 0; ","")&amp;IF(AND($E48="received",OR($I48="",$H48="")),"log lot and best-by; ","")&amp;IF(AND($P48="N",SUMIFS(inventory!$G$2:$G$801,inventory!$C$2:$C$801,$C48,inventory!$H$2:$H$801,$H48,inventory!$E$2:$E$801,"rejected")&lt;N($G48)),"UNDER "&amp;config!$B$19&amp;" DAYS LEFT ON THE DROP DAY: reject these units; ","")&amp;IF(AND($E48="delivered",COUNTIF(inventory!$R$2:$R$801,$R48)&gt;1),"two delivered rows for this office: use one; ","")&amp;IF(AND($E48="delivered",$J48=""),"who counted?; ",""))</f>
        <v/>
      </c>
      <c r="R48" s="25">
        <f>IF($C48="","",$C48&amp;"|"&amp;$D48&amp;"|"&amp;$E48)</f>
        <v/>
      </c>
    </row>
    <row r="49">
      <c r="A49" s="9" t="n"/>
      <c r="B49" s="33" t="n"/>
      <c r="I49" s="9" t="n"/>
      <c r="L49" s="26">
        <f>IF($C49="","",IFERROR(IF(INDEX(campaigns!$BG$2:$BG$51,MATCH($C49,campaigns!$A$2:$A$51,0))="","",INDEX(campaigns!$BG$2:$BG$51,MATCH($C49,campaigns!$A$2:$A$51,0))),""))</f>
        <v/>
      </c>
      <c r="M49" s="25">
        <f>IF($C49="","",IF(OR($E49="received"),N($G49),IF(OR($E49="rejected",$E49="delivered",$E49="topped_up"),-N($G49),IF(AND(OR($E49="returned_to_brand",$E49="given_to_roster_office",$E49="released_to_office",$E49="disposed"),IF($F49="","reserve",$F49)="reserve"),-N($G49),IF(AND($E49="correction",IF($F49="","reserve",$F49)="reserve"),N($G49),0)))))</f>
        <v/>
      </c>
      <c r="N49" s="25">
        <f>IF($C49="","",IF($E49="rejected",N($G49),IF(AND(OR($E49="returned_to_brand",$E49="given_to_roster_office",$E49="released_to_office",$E49="disposed"),IF($F49="","reserve",$F49)="rejected"),-N($G49),IF(AND($E49="correction",IF($F49="","reserve",$F49)="rejected"),N($G49),0))))</f>
        <v/>
      </c>
      <c r="O49" s="25">
        <f>IF($C49="","",IF($E49="collected",N($G49),IF(AND(OR($E49="returned_to_brand",$E49="given_to_roster_office",$E49="released_to_office",$E49="disposed"),IF($F49="","reserve",$F49)="leftover"),-N($G49),IF(AND($E49="correction",IF($F49="","reserve",$F49)="leftover"),N($G49),0))))</f>
        <v/>
      </c>
      <c r="P49" s="25">
        <f>IF(OR($E49&lt;&gt;"received",$I49="",$L49=""),"",IF($I49&gt;=$L49+config!$B$19,"Y","N"))</f>
        <v/>
      </c>
      <c r="Q49" s="25">
        <f>IF($C49="","",IF(COUNTIF(campaigns!$A$2:$A$51,$C49)=0,"campaign_id not on campaigns; ",IF(AND($D49&lt;&gt;"",COUNTIFS(approvals!$A$2:$A$251,$C49,approvals!$B$2:$B$251,$D49)=0),"office not on this campaign (approvals tab); ",""))&amp;IF(AND(OR($E49="delivered",$E49="topped_up",$E49="collected"),$D49=""),"office needed; ","")&amp;IF(AND($E49&lt;&gt;"correction",N($G49)&lt;=0),"qty must be above 0; ","")&amp;IF(AND($E49="received",OR($I49="",$H49="")),"log lot and best-by; ","")&amp;IF(AND($P49="N",SUMIFS(inventory!$G$2:$G$801,inventory!$C$2:$C$801,$C49,inventory!$H$2:$H$801,$H49,inventory!$E$2:$E$801,"rejected")&lt;N($G49)),"UNDER "&amp;config!$B$19&amp;" DAYS LEFT ON THE DROP DAY: reject these units; ","")&amp;IF(AND($E49="delivered",COUNTIF(inventory!$R$2:$R$801,$R49)&gt;1),"two delivered rows for this office: use one; ","")&amp;IF(AND($E49="delivered",$J49=""),"who counted?; ",""))</f>
        <v/>
      </c>
      <c r="R49" s="25">
        <f>IF($C49="","",$C49&amp;"|"&amp;$D49&amp;"|"&amp;$E49)</f>
        <v/>
      </c>
    </row>
    <row r="50">
      <c r="A50" s="9" t="n"/>
      <c r="B50" s="33" t="n"/>
      <c r="I50" s="9" t="n"/>
      <c r="L50" s="26">
        <f>IF($C50="","",IFERROR(IF(INDEX(campaigns!$BG$2:$BG$51,MATCH($C50,campaigns!$A$2:$A$51,0))="","",INDEX(campaigns!$BG$2:$BG$51,MATCH($C50,campaigns!$A$2:$A$51,0))),""))</f>
        <v/>
      </c>
      <c r="M50" s="25">
        <f>IF($C50="","",IF(OR($E50="received"),N($G50),IF(OR($E50="rejected",$E50="delivered",$E50="topped_up"),-N($G50),IF(AND(OR($E50="returned_to_brand",$E50="given_to_roster_office",$E50="released_to_office",$E50="disposed"),IF($F50="","reserve",$F50)="reserve"),-N($G50),IF(AND($E50="correction",IF($F50="","reserve",$F50)="reserve"),N($G50),0)))))</f>
        <v/>
      </c>
      <c r="N50" s="25">
        <f>IF($C50="","",IF($E50="rejected",N($G50),IF(AND(OR($E50="returned_to_brand",$E50="given_to_roster_office",$E50="released_to_office",$E50="disposed"),IF($F50="","reserve",$F50)="rejected"),-N($G50),IF(AND($E50="correction",IF($F50="","reserve",$F50)="rejected"),N($G50),0))))</f>
        <v/>
      </c>
      <c r="O50" s="25">
        <f>IF($C50="","",IF($E50="collected",N($G50),IF(AND(OR($E50="returned_to_brand",$E50="given_to_roster_office",$E50="released_to_office",$E50="disposed"),IF($F50="","reserve",$F50)="leftover"),-N($G50),IF(AND($E50="correction",IF($F50="","reserve",$F50)="leftover"),N($G50),0))))</f>
        <v/>
      </c>
      <c r="P50" s="25">
        <f>IF(OR($E50&lt;&gt;"received",$I50="",$L50=""),"",IF($I50&gt;=$L50+config!$B$19,"Y","N"))</f>
        <v/>
      </c>
      <c r="Q50" s="25">
        <f>IF($C50="","",IF(COUNTIF(campaigns!$A$2:$A$51,$C50)=0,"campaign_id not on campaigns; ",IF(AND($D50&lt;&gt;"",COUNTIFS(approvals!$A$2:$A$251,$C50,approvals!$B$2:$B$251,$D50)=0),"office not on this campaign (approvals tab); ",""))&amp;IF(AND(OR($E50="delivered",$E50="topped_up",$E50="collected"),$D50=""),"office needed; ","")&amp;IF(AND($E50&lt;&gt;"correction",N($G50)&lt;=0),"qty must be above 0; ","")&amp;IF(AND($E50="received",OR($I50="",$H50="")),"log lot and best-by; ","")&amp;IF(AND($P50="N",SUMIFS(inventory!$G$2:$G$801,inventory!$C$2:$C$801,$C50,inventory!$H$2:$H$801,$H50,inventory!$E$2:$E$801,"rejected")&lt;N($G50)),"UNDER "&amp;config!$B$19&amp;" DAYS LEFT ON THE DROP DAY: reject these units; ","")&amp;IF(AND($E50="delivered",COUNTIF(inventory!$R$2:$R$801,$R50)&gt;1),"two delivered rows for this office: use one; ","")&amp;IF(AND($E50="delivered",$J50=""),"who counted?; ",""))</f>
        <v/>
      </c>
      <c r="R50" s="25">
        <f>IF($C50="","",$C50&amp;"|"&amp;$D50&amp;"|"&amp;$E50)</f>
        <v/>
      </c>
    </row>
    <row r="51">
      <c r="A51" s="9" t="n"/>
      <c r="B51" s="33" t="n"/>
      <c r="I51" s="9" t="n"/>
      <c r="L51" s="26">
        <f>IF($C51="","",IFERROR(IF(INDEX(campaigns!$BG$2:$BG$51,MATCH($C51,campaigns!$A$2:$A$51,0))="","",INDEX(campaigns!$BG$2:$BG$51,MATCH($C51,campaigns!$A$2:$A$51,0))),""))</f>
        <v/>
      </c>
      <c r="M51" s="25">
        <f>IF($C51="","",IF(OR($E51="received"),N($G51),IF(OR($E51="rejected",$E51="delivered",$E51="topped_up"),-N($G51),IF(AND(OR($E51="returned_to_brand",$E51="given_to_roster_office",$E51="released_to_office",$E51="disposed"),IF($F51="","reserve",$F51)="reserve"),-N($G51),IF(AND($E51="correction",IF($F51="","reserve",$F51)="reserve"),N($G51),0)))))</f>
        <v/>
      </c>
      <c r="N51" s="25">
        <f>IF($C51="","",IF($E51="rejected",N($G51),IF(AND(OR($E51="returned_to_brand",$E51="given_to_roster_office",$E51="released_to_office",$E51="disposed"),IF($F51="","reserve",$F51)="rejected"),-N($G51),IF(AND($E51="correction",IF($F51="","reserve",$F51)="rejected"),N($G51),0))))</f>
        <v/>
      </c>
      <c r="O51" s="25">
        <f>IF($C51="","",IF($E51="collected",N($G51),IF(AND(OR($E51="returned_to_brand",$E51="given_to_roster_office",$E51="released_to_office",$E51="disposed"),IF($F51="","reserve",$F51)="leftover"),-N($G51),IF(AND($E51="correction",IF($F51="","reserve",$F51)="leftover"),N($G51),0))))</f>
        <v/>
      </c>
      <c r="P51" s="25">
        <f>IF(OR($E51&lt;&gt;"received",$I51="",$L51=""),"",IF($I51&gt;=$L51+config!$B$19,"Y","N"))</f>
        <v/>
      </c>
      <c r="Q51" s="25">
        <f>IF($C51="","",IF(COUNTIF(campaigns!$A$2:$A$51,$C51)=0,"campaign_id not on campaigns; ",IF(AND($D51&lt;&gt;"",COUNTIFS(approvals!$A$2:$A$251,$C51,approvals!$B$2:$B$251,$D51)=0),"office not on this campaign (approvals tab); ",""))&amp;IF(AND(OR($E51="delivered",$E51="topped_up",$E51="collected"),$D51=""),"office needed; ","")&amp;IF(AND($E51&lt;&gt;"correction",N($G51)&lt;=0),"qty must be above 0; ","")&amp;IF(AND($E51="received",OR($I51="",$H51="")),"log lot and best-by; ","")&amp;IF(AND($P51="N",SUMIFS(inventory!$G$2:$G$801,inventory!$C$2:$C$801,$C51,inventory!$H$2:$H$801,$H51,inventory!$E$2:$E$801,"rejected")&lt;N($G51)),"UNDER "&amp;config!$B$19&amp;" DAYS LEFT ON THE DROP DAY: reject these units; ","")&amp;IF(AND($E51="delivered",COUNTIF(inventory!$R$2:$R$801,$R51)&gt;1),"two delivered rows for this office: use one; ","")&amp;IF(AND($E51="delivered",$J51=""),"who counted?; ",""))</f>
        <v/>
      </c>
      <c r="R51" s="25">
        <f>IF($C51="","",$C51&amp;"|"&amp;$D51&amp;"|"&amp;$E51)</f>
        <v/>
      </c>
    </row>
    <row r="52">
      <c r="A52" s="9" t="n"/>
      <c r="B52" s="33" t="n"/>
      <c r="I52" s="9" t="n"/>
      <c r="L52" s="26">
        <f>IF($C52="","",IFERROR(IF(INDEX(campaigns!$BG$2:$BG$51,MATCH($C52,campaigns!$A$2:$A$51,0))="","",INDEX(campaigns!$BG$2:$BG$51,MATCH($C52,campaigns!$A$2:$A$51,0))),""))</f>
        <v/>
      </c>
      <c r="M52" s="25">
        <f>IF($C52="","",IF(OR($E52="received"),N($G52),IF(OR($E52="rejected",$E52="delivered",$E52="topped_up"),-N($G52),IF(AND(OR($E52="returned_to_brand",$E52="given_to_roster_office",$E52="released_to_office",$E52="disposed"),IF($F52="","reserve",$F52)="reserve"),-N($G52),IF(AND($E52="correction",IF($F52="","reserve",$F52)="reserve"),N($G52),0)))))</f>
        <v/>
      </c>
      <c r="N52" s="25">
        <f>IF($C52="","",IF($E52="rejected",N($G52),IF(AND(OR($E52="returned_to_brand",$E52="given_to_roster_office",$E52="released_to_office",$E52="disposed"),IF($F52="","reserve",$F52)="rejected"),-N($G52),IF(AND($E52="correction",IF($F52="","reserve",$F52)="rejected"),N($G52),0))))</f>
        <v/>
      </c>
      <c r="O52" s="25">
        <f>IF($C52="","",IF($E52="collected",N($G52),IF(AND(OR($E52="returned_to_brand",$E52="given_to_roster_office",$E52="released_to_office",$E52="disposed"),IF($F52="","reserve",$F52)="leftover"),-N($G52),IF(AND($E52="correction",IF($F52="","reserve",$F52)="leftover"),N($G52),0))))</f>
        <v/>
      </c>
      <c r="P52" s="25">
        <f>IF(OR($E52&lt;&gt;"received",$I52="",$L52=""),"",IF($I52&gt;=$L52+config!$B$19,"Y","N"))</f>
        <v/>
      </c>
      <c r="Q52" s="25">
        <f>IF($C52="","",IF(COUNTIF(campaigns!$A$2:$A$51,$C52)=0,"campaign_id not on campaigns; ",IF(AND($D52&lt;&gt;"",COUNTIFS(approvals!$A$2:$A$251,$C52,approvals!$B$2:$B$251,$D52)=0),"office not on this campaign (approvals tab); ",""))&amp;IF(AND(OR($E52="delivered",$E52="topped_up",$E52="collected"),$D52=""),"office needed; ","")&amp;IF(AND($E52&lt;&gt;"correction",N($G52)&lt;=0),"qty must be above 0; ","")&amp;IF(AND($E52="received",OR($I52="",$H52="")),"log lot and best-by; ","")&amp;IF(AND($P52="N",SUMIFS(inventory!$G$2:$G$801,inventory!$C$2:$C$801,$C52,inventory!$H$2:$H$801,$H52,inventory!$E$2:$E$801,"rejected")&lt;N($G52)),"UNDER "&amp;config!$B$19&amp;" DAYS LEFT ON THE DROP DAY: reject these units; ","")&amp;IF(AND($E52="delivered",COUNTIF(inventory!$R$2:$R$801,$R52)&gt;1),"two delivered rows for this office: use one; ","")&amp;IF(AND($E52="delivered",$J52=""),"who counted?; ",""))</f>
        <v/>
      </c>
      <c r="R52" s="25">
        <f>IF($C52="","",$C52&amp;"|"&amp;$D52&amp;"|"&amp;$E52)</f>
        <v/>
      </c>
    </row>
    <row r="53">
      <c r="A53" s="9" t="n"/>
      <c r="B53" s="33" t="n"/>
      <c r="I53" s="9" t="n"/>
      <c r="L53" s="26">
        <f>IF($C53="","",IFERROR(IF(INDEX(campaigns!$BG$2:$BG$51,MATCH($C53,campaigns!$A$2:$A$51,0))="","",INDEX(campaigns!$BG$2:$BG$51,MATCH($C53,campaigns!$A$2:$A$51,0))),""))</f>
        <v/>
      </c>
      <c r="M53" s="25">
        <f>IF($C53="","",IF(OR($E53="received"),N($G53),IF(OR($E53="rejected",$E53="delivered",$E53="topped_up"),-N($G53),IF(AND(OR($E53="returned_to_brand",$E53="given_to_roster_office",$E53="released_to_office",$E53="disposed"),IF($F53="","reserve",$F53)="reserve"),-N($G53),IF(AND($E53="correction",IF($F53="","reserve",$F53)="reserve"),N($G53),0)))))</f>
        <v/>
      </c>
      <c r="N53" s="25">
        <f>IF($C53="","",IF($E53="rejected",N($G53),IF(AND(OR($E53="returned_to_brand",$E53="given_to_roster_office",$E53="released_to_office",$E53="disposed"),IF($F53="","reserve",$F53)="rejected"),-N($G53),IF(AND($E53="correction",IF($F53="","reserve",$F53)="rejected"),N($G53),0))))</f>
        <v/>
      </c>
      <c r="O53" s="25">
        <f>IF($C53="","",IF($E53="collected",N($G53),IF(AND(OR($E53="returned_to_brand",$E53="given_to_roster_office",$E53="released_to_office",$E53="disposed"),IF($F53="","reserve",$F53)="leftover"),-N($G53),IF(AND($E53="correction",IF($F53="","reserve",$F53)="leftover"),N($G53),0))))</f>
        <v/>
      </c>
      <c r="P53" s="25">
        <f>IF(OR($E53&lt;&gt;"received",$I53="",$L53=""),"",IF($I53&gt;=$L53+config!$B$19,"Y","N"))</f>
        <v/>
      </c>
      <c r="Q53" s="25">
        <f>IF($C53="","",IF(COUNTIF(campaigns!$A$2:$A$51,$C53)=0,"campaign_id not on campaigns; ",IF(AND($D53&lt;&gt;"",COUNTIFS(approvals!$A$2:$A$251,$C53,approvals!$B$2:$B$251,$D53)=0),"office not on this campaign (approvals tab); ",""))&amp;IF(AND(OR($E53="delivered",$E53="topped_up",$E53="collected"),$D53=""),"office needed; ","")&amp;IF(AND($E53&lt;&gt;"correction",N($G53)&lt;=0),"qty must be above 0; ","")&amp;IF(AND($E53="received",OR($I53="",$H53="")),"log lot and best-by; ","")&amp;IF(AND($P53="N",SUMIFS(inventory!$G$2:$G$801,inventory!$C$2:$C$801,$C53,inventory!$H$2:$H$801,$H53,inventory!$E$2:$E$801,"rejected")&lt;N($G53)),"UNDER "&amp;config!$B$19&amp;" DAYS LEFT ON THE DROP DAY: reject these units; ","")&amp;IF(AND($E53="delivered",COUNTIF(inventory!$R$2:$R$801,$R53)&gt;1),"two delivered rows for this office: use one; ","")&amp;IF(AND($E53="delivered",$J53=""),"who counted?; ",""))</f>
        <v/>
      </c>
      <c r="R53" s="25">
        <f>IF($C53="","",$C53&amp;"|"&amp;$D53&amp;"|"&amp;$E53)</f>
        <v/>
      </c>
    </row>
    <row r="54">
      <c r="A54" s="9" t="n"/>
      <c r="B54" s="33" t="n"/>
      <c r="I54" s="9" t="n"/>
      <c r="L54" s="26">
        <f>IF($C54="","",IFERROR(IF(INDEX(campaigns!$BG$2:$BG$51,MATCH($C54,campaigns!$A$2:$A$51,0))="","",INDEX(campaigns!$BG$2:$BG$51,MATCH($C54,campaigns!$A$2:$A$51,0))),""))</f>
        <v/>
      </c>
      <c r="M54" s="25">
        <f>IF($C54="","",IF(OR($E54="received"),N($G54),IF(OR($E54="rejected",$E54="delivered",$E54="topped_up"),-N($G54),IF(AND(OR($E54="returned_to_brand",$E54="given_to_roster_office",$E54="released_to_office",$E54="disposed"),IF($F54="","reserve",$F54)="reserve"),-N($G54),IF(AND($E54="correction",IF($F54="","reserve",$F54)="reserve"),N($G54),0)))))</f>
        <v/>
      </c>
      <c r="N54" s="25">
        <f>IF($C54="","",IF($E54="rejected",N($G54),IF(AND(OR($E54="returned_to_brand",$E54="given_to_roster_office",$E54="released_to_office",$E54="disposed"),IF($F54="","reserve",$F54)="rejected"),-N($G54),IF(AND($E54="correction",IF($F54="","reserve",$F54)="rejected"),N($G54),0))))</f>
        <v/>
      </c>
      <c r="O54" s="25">
        <f>IF($C54="","",IF($E54="collected",N($G54),IF(AND(OR($E54="returned_to_brand",$E54="given_to_roster_office",$E54="released_to_office",$E54="disposed"),IF($F54="","reserve",$F54)="leftover"),-N($G54),IF(AND($E54="correction",IF($F54="","reserve",$F54)="leftover"),N($G54),0))))</f>
        <v/>
      </c>
      <c r="P54" s="25">
        <f>IF(OR($E54&lt;&gt;"received",$I54="",$L54=""),"",IF($I54&gt;=$L54+config!$B$19,"Y","N"))</f>
        <v/>
      </c>
      <c r="Q54" s="25">
        <f>IF($C54="","",IF(COUNTIF(campaigns!$A$2:$A$51,$C54)=0,"campaign_id not on campaigns; ",IF(AND($D54&lt;&gt;"",COUNTIFS(approvals!$A$2:$A$251,$C54,approvals!$B$2:$B$251,$D54)=0),"office not on this campaign (approvals tab); ",""))&amp;IF(AND(OR($E54="delivered",$E54="topped_up",$E54="collected"),$D54=""),"office needed; ","")&amp;IF(AND($E54&lt;&gt;"correction",N($G54)&lt;=0),"qty must be above 0; ","")&amp;IF(AND($E54="received",OR($I54="",$H54="")),"log lot and best-by; ","")&amp;IF(AND($P54="N",SUMIFS(inventory!$G$2:$G$801,inventory!$C$2:$C$801,$C54,inventory!$H$2:$H$801,$H54,inventory!$E$2:$E$801,"rejected")&lt;N($G54)),"UNDER "&amp;config!$B$19&amp;" DAYS LEFT ON THE DROP DAY: reject these units; ","")&amp;IF(AND($E54="delivered",COUNTIF(inventory!$R$2:$R$801,$R54)&gt;1),"two delivered rows for this office: use one; ","")&amp;IF(AND($E54="delivered",$J54=""),"who counted?; ",""))</f>
        <v/>
      </c>
      <c r="R54" s="25">
        <f>IF($C54="","",$C54&amp;"|"&amp;$D54&amp;"|"&amp;$E54)</f>
        <v/>
      </c>
    </row>
    <row r="55">
      <c r="A55" s="9" t="n"/>
      <c r="B55" s="33" t="n"/>
      <c r="I55" s="9" t="n"/>
      <c r="L55" s="26">
        <f>IF($C55="","",IFERROR(IF(INDEX(campaigns!$BG$2:$BG$51,MATCH($C55,campaigns!$A$2:$A$51,0))="","",INDEX(campaigns!$BG$2:$BG$51,MATCH($C55,campaigns!$A$2:$A$51,0))),""))</f>
        <v/>
      </c>
      <c r="M55" s="25">
        <f>IF($C55="","",IF(OR($E55="received"),N($G55),IF(OR($E55="rejected",$E55="delivered",$E55="topped_up"),-N($G55),IF(AND(OR($E55="returned_to_brand",$E55="given_to_roster_office",$E55="released_to_office",$E55="disposed"),IF($F55="","reserve",$F55)="reserve"),-N($G55),IF(AND($E55="correction",IF($F55="","reserve",$F55)="reserve"),N($G55),0)))))</f>
        <v/>
      </c>
      <c r="N55" s="25">
        <f>IF($C55="","",IF($E55="rejected",N($G55),IF(AND(OR($E55="returned_to_brand",$E55="given_to_roster_office",$E55="released_to_office",$E55="disposed"),IF($F55="","reserve",$F55)="rejected"),-N($G55),IF(AND($E55="correction",IF($F55="","reserve",$F55)="rejected"),N($G55),0))))</f>
        <v/>
      </c>
      <c r="O55" s="25">
        <f>IF($C55="","",IF($E55="collected",N($G55),IF(AND(OR($E55="returned_to_brand",$E55="given_to_roster_office",$E55="released_to_office",$E55="disposed"),IF($F55="","reserve",$F55)="leftover"),-N($G55),IF(AND($E55="correction",IF($F55="","reserve",$F55)="leftover"),N($G55),0))))</f>
        <v/>
      </c>
      <c r="P55" s="25">
        <f>IF(OR($E55&lt;&gt;"received",$I55="",$L55=""),"",IF($I55&gt;=$L55+config!$B$19,"Y","N"))</f>
        <v/>
      </c>
      <c r="Q55" s="25">
        <f>IF($C55="","",IF(COUNTIF(campaigns!$A$2:$A$51,$C55)=0,"campaign_id not on campaigns; ",IF(AND($D55&lt;&gt;"",COUNTIFS(approvals!$A$2:$A$251,$C55,approvals!$B$2:$B$251,$D55)=0),"office not on this campaign (approvals tab); ",""))&amp;IF(AND(OR($E55="delivered",$E55="topped_up",$E55="collected"),$D55=""),"office needed; ","")&amp;IF(AND($E55&lt;&gt;"correction",N($G55)&lt;=0),"qty must be above 0; ","")&amp;IF(AND($E55="received",OR($I55="",$H55="")),"log lot and best-by; ","")&amp;IF(AND($P55="N",SUMIFS(inventory!$G$2:$G$801,inventory!$C$2:$C$801,$C55,inventory!$H$2:$H$801,$H55,inventory!$E$2:$E$801,"rejected")&lt;N($G55)),"UNDER "&amp;config!$B$19&amp;" DAYS LEFT ON THE DROP DAY: reject these units; ","")&amp;IF(AND($E55="delivered",COUNTIF(inventory!$R$2:$R$801,$R55)&gt;1),"two delivered rows for this office: use one; ","")&amp;IF(AND($E55="delivered",$J55=""),"who counted?; ",""))</f>
        <v/>
      </c>
      <c r="R55" s="25">
        <f>IF($C55="","",$C55&amp;"|"&amp;$D55&amp;"|"&amp;$E55)</f>
        <v/>
      </c>
    </row>
    <row r="56">
      <c r="A56" s="9" t="n"/>
      <c r="B56" s="33" t="n"/>
      <c r="I56" s="9" t="n"/>
      <c r="L56" s="26">
        <f>IF($C56="","",IFERROR(IF(INDEX(campaigns!$BG$2:$BG$51,MATCH($C56,campaigns!$A$2:$A$51,0))="","",INDEX(campaigns!$BG$2:$BG$51,MATCH($C56,campaigns!$A$2:$A$51,0))),""))</f>
        <v/>
      </c>
      <c r="M56" s="25">
        <f>IF($C56="","",IF(OR($E56="received"),N($G56),IF(OR($E56="rejected",$E56="delivered",$E56="topped_up"),-N($G56),IF(AND(OR($E56="returned_to_brand",$E56="given_to_roster_office",$E56="released_to_office",$E56="disposed"),IF($F56="","reserve",$F56)="reserve"),-N($G56),IF(AND($E56="correction",IF($F56="","reserve",$F56)="reserve"),N($G56),0)))))</f>
        <v/>
      </c>
      <c r="N56" s="25">
        <f>IF($C56="","",IF($E56="rejected",N($G56),IF(AND(OR($E56="returned_to_brand",$E56="given_to_roster_office",$E56="released_to_office",$E56="disposed"),IF($F56="","reserve",$F56)="rejected"),-N($G56),IF(AND($E56="correction",IF($F56="","reserve",$F56)="rejected"),N($G56),0))))</f>
        <v/>
      </c>
      <c r="O56" s="25">
        <f>IF($C56="","",IF($E56="collected",N($G56),IF(AND(OR($E56="returned_to_brand",$E56="given_to_roster_office",$E56="released_to_office",$E56="disposed"),IF($F56="","reserve",$F56)="leftover"),-N($G56),IF(AND($E56="correction",IF($F56="","reserve",$F56)="leftover"),N($G56),0))))</f>
        <v/>
      </c>
      <c r="P56" s="25">
        <f>IF(OR($E56&lt;&gt;"received",$I56="",$L56=""),"",IF($I56&gt;=$L56+config!$B$19,"Y","N"))</f>
        <v/>
      </c>
      <c r="Q56" s="25">
        <f>IF($C56="","",IF(COUNTIF(campaigns!$A$2:$A$51,$C56)=0,"campaign_id not on campaigns; ",IF(AND($D56&lt;&gt;"",COUNTIFS(approvals!$A$2:$A$251,$C56,approvals!$B$2:$B$251,$D56)=0),"office not on this campaign (approvals tab); ",""))&amp;IF(AND(OR($E56="delivered",$E56="topped_up",$E56="collected"),$D56=""),"office needed; ","")&amp;IF(AND($E56&lt;&gt;"correction",N($G56)&lt;=0),"qty must be above 0; ","")&amp;IF(AND($E56="received",OR($I56="",$H56="")),"log lot and best-by; ","")&amp;IF(AND($P56="N",SUMIFS(inventory!$G$2:$G$801,inventory!$C$2:$C$801,$C56,inventory!$H$2:$H$801,$H56,inventory!$E$2:$E$801,"rejected")&lt;N($G56)),"UNDER "&amp;config!$B$19&amp;" DAYS LEFT ON THE DROP DAY: reject these units; ","")&amp;IF(AND($E56="delivered",COUNTIF(inventory!$R$2:$R$801,$R56)&gt;1),"two delivered rows for this office: use one; ","")&amp;IF(AND($E56="delivered",$J56=""),"who counted?; ",""))</f>
        <v/>
      </c>
      <c r="R56" s="25">
        <f>IF($C56="","",$C56&amp;"|"&amp;$D56&amp;"|"&amp;$E56)</f>
        <v/>
      </c>
    </row>
    <row r="57">
      <c r="A57" s="9" t="n"/>
      <c r="B57" s="33" t="n"/>
      <c r="I57" s="9" t="n"/>
      <c r="L57" s="26">
        <f>IF($C57="","",IFERROR(IF(INDEX(campaigns!$BG$2:$BG$51,MATCH($C57,campaigns!$A$2:$A$51,0))="","",INDEX(campaigns!$BG$2:$BG$51,MATCH($C57,campaigns!$A$2:$A$51,0))),""))</f>
        <v/>
      </c>
      <c r="M57" s="25">
        <f>IF($C57="","",IF(OR($E57="received"),N($G57),IF(OR($E57="rejected",$E57="delivered",$E57="topped_up"),-N($G57),IF(AND(OR($E57="returned_to_brand",$E57="given_to_roster_office",$E57="released_to_office",$E57="disposed"),IF($F57="","reserve",$F57)="reserve"),-N($G57),IF(AND($E57="correction",IF($F57="","reserve",$F57)="reserve"),N($G57),0)))))</f>
        <v/>
      </c>
      <c r="N57" s="25">
        <f>IF($C57="","",IF($E57="rejected",N($G57),IF(AND(OR($E57="returned_to_brand",$E57="given_to_roster_office",$E57="released_to_office",$E57="disposed"),IF($F57="","reserve",$F57)="rejected"),-N($G57),IF(AND($E57="correction",IF($F57="","reserve",$F57)="rejected"),N($G57),0))))</f>
        <v/>
      </c>
      <c r="O57" s="25">
        <f>IF($C57="","",IF($E57="collected",N($G57),IF(AND(OR($E57="returned_to_brand",$E57="given_to_roster_office",$E57="released_to_office",$E57="disposed"),IF($F57="","reserve",$F57)="leftover"),-N($G57),IF(AND($E57="correction",IF($F57="","reserve",$F57)="leftover"),N($G57),0))))</f>
        <v/>
      </c>
      <c r="P57" s="25">
        <f>IF(OR($E57&lt;&gt;"received",$I57="",$L57=""),"",IF($I57&gt;=$L57+config!$B$19,"Y","N"))</f>
        <v/>
      </c>
      <c r="Q57" s="25">
        <f>IF($C57="","",IF(COUNTIF(campaigns!$A$2:$A$51,$C57)=0,"campaign_id not on campaigns; ",IF(AND($D57&lt;&gt;"",COUNTIFS(approvals!$A$2:$A$251,$C57,approvals!$B$2:$B$251,$D57)=0),"office not on this campaign (approvals tab); ",""))&amp;IF(AND(OR($E57="delivered",$E57="topped_up",$E57="collected"),$D57=""),"office needed; ","")&amp;IF(AND($E57&lt;&gt;"correction",N($G57)&lt;=0),"qty must be above 0; ","")&amp;IF(AND($E57="received",OR($I57="",$H57="")),"log lot and best-by; ","")&amp;IF(AND($P57="N",SUMIFS(inventory!$G$2:$G$801,inventory!$C$2:$C$801,$C57,inventory!$H$2:$H$801,$H57,inventory!$E$2:$E$801,"rejected")&lt;N($G57)),"UNDER "&amp;config!$B$19&amp;" DAYS LEFT ON THE DROP DAY: reject these units; ","")&amp;IF(AND($E57="delivered",COUNTIF(inventory!$R$2:$R$801,$R57)&gt;1),"two delivered rows for this office: use one; ","")&amp;IF(AND($E57="delivered",$J57=""),"who counted?; ",""))</f>
        <v/>
      </c>
      <c r="R57" s="25">
        <f>IF($C57="","",$C57&amp;"|"&amp;$D57&amp;"|"&amp;$E57)</f>
        <v/>
      </c>
    </row>
    <row r="58">
      <c r="A58" s="9" t="n"/>
      <c r="B58" s="33" t="n"/>
      <c r="I58" s="9" t="n"/>
      <c r="L58" s="26">
        <f>IF($C58="","",IFERROR(IF(INDEX(campaigns!$BG$2:$BG$51,MATCH($C58,campaigns!$A$2:$A$51,0))="","",INDEX(campaigns!$BG$2:$BG$51,MATCH($C58,campaigns!$A$2:$A$51,0))),""))</f>
        <v/>
      </c>
      <c r="M58" s="25">
        <f>IF($C58="","",IF(OR($E58="received"),N($G58),IF(OR($E58="rejected",$E58="delivered",$E58="topped_up"),-N($G58),IF(AND(OR($E58="returned_to_brand",$E58="given_to_roster_office",$E58="released_to_office",$E58="disposed"),IF($F58="","reserve",$F58)="reserve"),-N($G58),IF(AND($E58="correction",IF($F58="","reserve",$F58)="reserve"),N($G58),0)))))</f>
        <v/>
      </c>
      <c r="N58" s="25">
        <f>IF($C58="","",IF($E58="rejected",N($G58),IF(AND(OR($E58="returned_to_brand",$E58="given_to_roster_office",$E58="released_to_office",$E58="disposed"),IF($F58="","reserve",$F58)="rejected"),-N($G58),IF(AND($E58="correction",IF($F58="","reserve",$F58)="rejected"),N($G58),0))))</f>
        <v/>
      </c>
      <c r="O58" s="25">
        <f>IF($C58="","",IF($E58="collected",N($G58),IF(AND(OR($E58="returned_to_brand",$E58="given_to_roster_office",$E58="released_to_office",$E58="disposed"),IF($F58="","reserve",$F58)="leftover"),-N($G58),IF(AND($E58="correction",IF($F58="","reserve",$F58)="leftover"),N($G58),0))))</f>
        <v/>
      </c>
      <c r="P58" s="25">
        <f>IF(OR($E58&lt;&gt;"received",$I58="",$L58=""),"",IF($I58&gt;=$L58+config!$B$19,"Y","N"))</f>
        <v/>
      </c>
      <c r="Q58" s="25">
        <f>IF($C58="","",IF(COUNTIF(campaigns!$A$2:$A$51,$C58)=0,"campaign_id not on campaigns; ",IF(AND($D58&lt;&gt;"",COUNTIFS(approvals!$A$2:$A$251,$C58,approvals!$B$2:$B$251,$D58)=0),"office not on this campaign (approvals tab); ",""))&amp;IF(AND(OR($E58="delivered",$E58="topped_up",$E58="collected"),$D58=""),"office needed; ","")&amp;IF(AND($E58&lt;&gt;"correction",N($G58)&lt;=0),"qty must be above 0; ","")&amp;IF(AND($E58="received",OR($I58="",$H58="")),"log lot and best-by; ","")&amp;IF(AND($P58="N",SUMIFS(inventory!$G$2:$G$801,inventory!$C$2:$C$801,$C58,inventory!$H$2:$H$801,$H58,inventory!$E$2:$E$801,"rejected")&lt;N($G58)),"UNDER "&amp;config!$B$19&amp;" DAYS LEFT ON THE DROP DAY: reject these units; ","")&amp;IF(AND($E58="delivered",COUNTIF(inventory!$R$2:$R$801,$R58)&gt;1),"two delivered rows for this office: use one; ","")&amp;IF(AND($E58="delivered",$J58=""),"who counted?; ",""))</f>
        <v/>
      </c>
      <c r="R58" s="25">
        <f>IF($C58="","",$C58&amp;"|"&amp;$D58&amp;"|"&amp;$E58)</f>
        <v/>
      </c>
    </row>
    <row r="59">
      <c r="A59" s="9" t="n"/>
      <c r="B59" s="33" t="n"/>
      <c r="I59" s="9" t="n"/>
      <c r="L59" s="26">
        <f>IF($C59="","",IFERROR(IF(INDEX(campaigns!$BG$2:$BG$51,MATCH($C59,campaigns!$A$2:$A$51,0))="","",INDEX(campaigns!$BG$2:$BG$51,MATCH($C59,campaigns!$A$2:$A$51,0))),""))</f>
        <v/>
      </c>
      <c r="M59" s="25">
        <f>IF($C59="","",IF(OR($E59="received"),N($G59),IF(OR($E59="rejected",$E59="delivered",$E59="topped_up"),-N($G59),IF(AND(OR($E59="returned_to_brand",$E59="given_to_roster_office",$E59="released_to_office",$E59="disposed"),IF($F59="","reserve",$F59)="reserve"),-N($G59),IF(AND($E59="correction",IF($F59="","reserve",$F59)="reserve"),N($G59),0)))))</f>
        <v/>
      </c>
      <c r="N59" s="25">
        <f>IF($C59="","",IF($E59="rejected",N($G59),IF(AND(OR($E59="returned_to_brand",$E59="given_to_roster_office",$E59="released_to_office",$E59="disposed"),IF($F59="","reserve",$F59)="rejected"),-N($G59),IF(AND($E59="correction",IF($F59="","reserve",$F59)="rejected"),N($G59),0))))</f>
        <v/>
      </c>
      <c r="O59" s="25">
        <f>IF($C59="","",IF($E59="collected",N($G59),IF(AND(OR($E59="returned_to_brand",$E59="given_to_roster_office",$E59="released_to_office",$E59="disposed"),IF($F59="","reserve",$F59)="leftover"),-N($G59),IF(AND($E59="correction",IF($F59="","reserve",$F59)="leftover"),N($G59),0))))</f>
        <v/>
      </c>
      <c r="P59" s="25">
        <f>IF(OR($E59&lt;&gt;"received",$I59="",$L59=""),"",IF($I59&gt;=$L59+config!$B$19,"Y","N"))</f>
        <v/>
      </c>
      <c r="Q59" s="25">
        <f>IF($C59="","",IF(COUNTIF(campaigns!$A$2:$A$51,$C59)=0,"campaign_id not on campaigns; ",IF(AND($D59&lt;&gt;"",COUNTIFS(approvals!$A$2:$A$251,$C59,approvals!$B$2:$B$251,$D59)=0),"office not on this campaign (approvals tab); ",""))&amp;IF(AND(OR($E59="delivered",$E59="topped_up",$E59="collected"),$D59=""),"office needed; ","")&amp;IF(AND($E59&lt;&gt;"correction",N($G59)&lt;=0),"qty must be above 0; ","")&amp;IF(AND($E59="received",OR($I59="",$H59="")),"log lot and best-by; ","")&amp;IF(AND($P59="N",SUMIFS(inventory!$G$2:$G$801,inventory!$C$2:$C$801,$C59,inventory!$H$2:$H$801,$H59,inventory!$E$2:$E$801,"rejected")&lt;N($G59)),"UNDER "&amp;config!$B$19&amp;" DAYS LEFT ON THE DROP DAY: reject these units; ","")&amp;IF(AND($E59="delivered",COUNTIF(inventory!$R$2:$R$801,$R59)&gt;1),"two delivered rows for this office: use one; ","")&amp;IF(AND($E59="delivered",$J59=""),"who counted?; ",""))</f>
        <v/>
      </c>
      <c r="R59" s="25">
        <f>IF($C59="","",$C59&amp;"|"&amp;$D59&amp;"|"&amp;$E59)</f>
        <v/>
      </c>
    </row>
    <row r="60">
      <c r="A60" s="9" t="n"/>
      <c r="B60" s="33" t="n"/>
      <c r="I60" s="9" t="n"/>
      <c r="L60" s="26">
        <f>IF($C60="","",IFERROR(IF(INDEX(campaigns!$BG$2:$BG$51,MATCH($C60,campaigns!$A$2:$A$51,0))="","",INDEX(campaigns!$BG$2:$BG$51,MATCH($C60,campaigns!$A$2:$A$51,0))),""))</f>
        <v/>
      </c>
      <c r="M60" s="25">
        <f>IF($C60="","",IF(OR($E60="received"),N($G60),IF(OR($E60="rejected",$E60="delivered",$E60="topped_up"),-N($G60),IF(AND(OR($E60="returned_to_brand",$E60="given_to_roster_office",$E60="released_to_office",$E60="disposed"),IF($F60="","reserve",$F60)="reserve"),-N($G60),IF(AND($E60="correction",IF($F60="","reserve",$F60)="reserve"),N($G60),0)))))</f>
        <v/>
      </c>
      <c r="N60" s="25">
        <f>IF($C60="","",IF($E60="rejected",N($G60),IF(AND(OR($E60="returned_to_brand",$E60="given_to_roster_office",$E60="released_to_office",$E60="disposed"),IF($F60="","reserve",$F60)="rejected"),-N($G60),IF(AND($E60="correction",IF($F60="","reserve",$F60)="rejected"),N($G60),0))))</f>
        <v/>
      </c>
      <c r="O60" s="25">
        <f>IF($C60="","",IF($E60="collected",N($G60),IF(AND(OR($E60="returned_to_brand",$E60="given_to_roster_office",$E60="released_to_office",$E60="disposed"),IF($F60="","reserve",$F60)="leftover"),-N($G60),IF(AND($E60="correction",IF($F60="","reserve",$F60)="leftover"),N($G60),0))))</f>
        <v/>
      </c>
      <c r="P60" s="25">
        <f>IF(OR($E60&lt;&gt;"received",$I60="",$L60=""),"",IF($I60&gt;=$L60+config!$B$19,"Y","N"))</f>
        <v/>
      </c>
      <c r="Q60" s="25">
        <f>IF($C60="","",IF(COUNTIF(campaigns!$A$2:$A$51,$C60)=0,"campaign_id not on campaigns; ",IF(AND($D60&lt;&gt;"",COUNTIFS(approvals!$A$2:$A$251,$C60,approvals!$B$2:$B$251,$D60)=0),"office not on this campaign (approvals tab); ",""))&amp;IF(AND(OR($E60="delivered",$E60="topped_up",$E60="collected"),$D60=""),"office needed; ","")&amp;IF(AND($E60&lt;&gt;"correction",N($G60)&lt;=0),"qty must be above 0; ","")&amp;IF(AND($E60="received",OR($I60="",$H60="")),"log lot and best-by; ","")&amp;IF(AND($P60="N",SUMIFS(inventory!$G$2:$G$801,inventory!$C$2:$C$801,$C60,inventory!$H$2:$H$801,$H60,inventory!$E$2:$E$801,"rejected")&lt;N($G60)),"UNDER "&amp;config!$B$19&amp;" DAYS LEFT ON THE DROP DAY: reject these units; ","")&amp;IF(AND($E60="delivered",COUNTIF(inventory!$R$2:$R$801,$R60)&gt;1),"two delivered rows for this office: use one; ","")&amp;IF(AND($E60="delivered",$J60=""),"who counted?; ",""))</f>
        <v/>
      </c>
      <c r="R60" s="25">
        <f>IF($C60="","",$C60&amp;"|"&amp;$D60&amp;"|"&amp;$E60)</f>
        <v/>
      </c>
    </row>
    <row r="61">
      <c r="A61" s="9" t="n"/>
      <c r="B61" s="33" t="n"/>
      <c r="I61" s="9" t="n"/>
      <c r="L61" s="26">
        <f>IF($C61="","",IFERROR(IF(INDEX(campaigns!$BG$2:$BG$51,MATCH($C61,campaigns!$A$2:$A$51,0))="","",INDEX(campaigns!$BG$2:$BG$51,MATCH($C61,campaigns!$A$2:$A$51,0))),""))</f>
        <v/>
      </c>
      <c r="M61" s="25">
        <f>IF($C61="","",IF(OR($E61="received"),N($G61),IF(OR($E61="rejected",$E61="delivered",$E61="topped_up"),-N($G61),IF(AND(OR($E61="returned_to_brand",$E61="given_to_roster_office",$E61="released_to_office",$E61="disposed"),IF($F61="","reserve",$F61)="reserve"),-N($G61),IF(AND($E61="correction",IF($F61="","reserve",$F61)="reserve"),N($G61),0)))))</f>
        <v/>
      </c>
      <c r="N61" s="25">
        <f>IF($C61="","",IF($E61="rejected",N($G61),IF(AND(OR($E61="returned_to_brand",$E61="given_to_roster_office",$E61="released_to_office",$E61="disposed"),IF($F61="","reserve",$F61)="rejected"),-N($G61),IF(AND($E61="correction",IF($F61="","reserve",$F61)="rejected"),N($G61),0))))</f>
        <v/>
      </c>
      <c r="O61" s="25">
        <f>IF($C61="","",IF($E61="collected",N($G61),IF(AND(OR($E61="returned_to_brand",$E61="given_to_roster_office",$E61="released_to_office",$E61="disposed"),IF($F61="","reserve",$F61)="leftover"),-N($G61),IF(AND($E61="correction",IF($F61="","reserve",$F61)="leftover"),N($G61),0))))</f>
        <v/>
      </c>
      <c r="P61" s="25">
        <f>IF(OR($E61&lt;&gt;"received",$I61="",$L61=""),"",IF($I61&gt;=$L61+config!$B$19,"Y","N"))</f>
        <v/>
      </c>
      <c r="Q61" s="25">
        <f>IF($C61="","",IF(COUNTIF(campaigns!$A$2:$A$51,$C61)=0,"campaign_id not on campaigns; ",IF(AND($D61&lt;&gt;"",COUNTIFS(approvals!$A$2:$A$251,$C61,approvals!$B$2:$B$251,$D61)=0),"office not on this campaign (approvals tab); ",""))&amp;IF(AND(OR($E61="delivered",$E61="topped_up",$E61="collected"),$D61=""),"office needed; ","")&amp;IF(AND($E61&lt;&gt;"correction",N($G61)&lt;=0),"qty must be above 0; ","")&amp;IF(AND($E61="received",OR($I61="",$H61="")),"log lot and best-by; ","")&amp;IF(AND($P61="N",SUMIFS(inventory!$G$2:$G$801,inventory!$C$2:$C$801,$C61,inventory!$H$2:$H$801,$H61,inventory!$E$2:$E$801,"rejected")&lt;N($G61)),"UNDER "&amp;config!$B$19&amp;" DAYS LEFT ON THE DROP DAY: reject these units; ","")&amp;IF(AND($E61="delivered",COUNTIF(inventory!$R$2:$R$801,$R61)&gt;1),"two delivered rows for this office: use one; ","")&amp;IF(AND($E61="delivered",$J61=""),"who counted?; ",""))</f>
        <v/>
      </c>
      <c r="R61" s="25">
        <f>IF($C61="","",$C61&amp;"|"&amp;$D61&amp;"|"&amp;$E61)</f>
        <v/>
      </c>
    </row>
    <row r="62">
      <c r="A62" s="9" t="n"/>
      <c r="B62" s="33" t="n"/>
      <c r="I62" s="9" t="n"/>
      <c r="L62" s="26">
        <f>IF($C62="","",IFERROR(IF(INDEX(campaigns!$BG$2:$BG$51,MATCH($C62,campaigns!$A$2:$A$51,0))="","",INDEX(campaigns!$BG$2:$BG$51,MATCH($C62,campaigns!$A$2:$A$51,0))),""))</f>
        <v/>
      </c>
      <c r="M62" s="25">
        <f>IF($C62="","",IF(OR($E62="received"),N($G62),IF(OR($E62="rejected",$E62="delivered",$E62="topped_up"),-N($G62),IF(AND(OR($E62="returned_to_brand",$E62="given_to_roster_office",$E62="released_to_office",$E62="disposed"),IF($F62="","reserve",$F62)="reserve"),-N($G62),IF(AND($E62="correction",IF($F62="","reserve",$F62)="reserve"),N($G62),0)))))</f>
        <v/>
      </c>
      <c r="N62" s="25">
        <f>IF($C62="","",IF($E62="rejected",N($G62),IF(AND(OR($E62="returned_to_brand",$E62="given_to_roster_office",$E62="released_to_office",$E62="disposed"),IF($F62="","reserve",$F62)="rejected"),-N($G62),IF(AND($E62="correction",IF($F62="","reserve",$F62)="rejected"),N($G62),0))))</f>
        <v/>
      </c>
      <c r="O62" s="25">
        <f>IF($C62="","",IF($E62="collected",N($G62),IF(AND(OR($E62="returned_to_brand",$E62="given_to_roster_office",$E62="released_to_office",$E62="disposed"),IF($F62="","reserve",$F62)="leftover"),-N($G62),IF(AND($E62="correction",IF($F62="","reserve",$F62)="leftover"),N($G62),0))))</f>
        <v/>
      </c>
      <c r="P62" s="25">
        <f>IF(OR($E62&lt;&gt;"received",$I62="",$L62=""),"",IF($I62&gt;=$L62+config!$B$19,"Y","N"))</f>
        <v/>
      </c>
      <c r="Q62" s="25">
        <f>IF($C62="","",IF(COUNTIF(campaigns!$A$2:$A$51,$C62)=0,"campaign_id not on campaigns; ",IF(AND($D62&lt;&gt;"",COUNTIFS(approvals!$A$2:$A$251,$C62,approvals!$B$2:$B$251,$D62)=0),"office not on this campaign (approvals tab); ",""))&amp;IF(AND(OR($E62="delivered",$E62="topped_up",$E62="collected"),$D62=""),"office needed; ","")&amp;IF(AND($E62&lt;&gt;"correction",N($G62)&lt;=0),"qty must be above 0; ","")&amp;IF(AND($E62="received",OR($I62="",$H62="")),"log lot and best-by; ","")&amp;IF(AND($P62="N",SUMIFS(inventory!$G$2:$G$801,inventory!$C$2:$C$801,$C62,inventory!$H$2:$H$801,$H62,inventory!$E$2:$E$801,"rejected")&lt;N($G62)),"UNDER "&amp;config!$B$19&amp;" DAYS LEFT ON THE DROP DAY: reject these units; ","")&amp;IF(AND($E62="delivered",COUNTIF(inventory!$R$2:$R$801,$R62)&gt;1),"two delivered rows for this office: use one; ","")&amp;IF(AND($E62="delivered",$J62=""),"who counted?; ",""))</f>
        <v/>
      </c>
      <c r="R62" s="25">
        <f>IF($C62="","",$C62&amp;"|"&amp;$D62&amp;"|"&amp;$E62)</f>
        <v/>
      </c>
    </row>
    <row r="63">
      <c r="A63" s="9" t="n"/>
      <c r="B63" s="33" t="n"/>
      <c r="I63" s="9" t="n"/>
      <c r="L63" s="26">
        <f>IF($C63="","",IFERROR(IF(INDEX(campaigns!$BG$2:$BG$51,MATCH($C63,campaigns!$A$2:$A$51,0))="","",INDEX(campaigns!$BG$2:$BG$51,MATCH($C63,campaigns!$A$2:$A$51,0))),""))</f>
        <v/>
      </c>
      <c r="M63" s="25">
        <f>IF($C63="","",IF(OR($E63="received"),N($G63),IF(OR($E63="rejected",$E63="delivered",$E63="topped_up"),-N($G63),IF(AND(OR($E63="returned_to_brand",$E63="given_to_roster_office",$E63="released_to_office",$E63="disposed"),IF($F63="","reserve",$F63)="reserve"),-N($G63),IF(AND($E63="correction",IF($F63="","reserve",$F63)="reserve"),N($G63),0)))))</f>
        <v/>
      </c>
      <c r="N63" s="25">
        <f>IF($C63="","",IF($E63="rejected",N($G63),IF(AND(OR($E63="returned_to_brand",$E63="given_to_roster_office",$E63="released_to_office",$E63="disposed"),IF($F63="","reserve",$F63)="rejected"),-N($G63),IF(AND($E63="correction",IF($F63="","reserve",$F63)="rejected"),N($G63),0))))</f>
        <v/>
      </c>
      <c r="O63" s="25">
        <f>IF($C63="","",IF($E63="collected",N($G63),IF(AND(OR($E63="returned_to_brand",$E63="given_to_roster_office",$E63="released_to_office",$E63="disposed"),IF($F63="","reserve",$F63)="leftover"),-N($G63),IF(AND($E63="correction",IF($F63="","reserve",$F63)="leftover"),N($G63),0))))</f>
        <v/>
      </c>
      <c r="P63" s="25">
        <f>IF(OR($E63&lt;&gt;"received",$I63="",$L63=""),"",IF($I63&gt;=$L63+config!$B$19,"Y","N"))</f>
        <v/>
      </c>
      <c r="Q63" s="25">
        <f>IF($C63="","",IF(COUNTIF(campaigns!$A$2:$A$51,$C63)=0,"campaign_id not on campaigns; ",IF(AND($D63&lt;&gt;"",COUNTIFS(approvals!$A$2:$A$251,$C63,approvals!$B$2:$B$251,$D63)=0),"office not on this campaign (approvals tab); ",""))&amp;IF(AND(OR($E63="delivered",$E63="topped_up",$E63="collected"),$D63=""),"office needed; ","")&amp;IF(AND($E63&lt;&gt;"correction",N($G63)&lt;=0),"qty must be above 0; ","")&amp;IF(AND($E63="received",OR($I63="",$H63="")),"log lot and best-by; ","")&amp;IF(AND($P63="N",SUMIFS(inventory!$G$2:$G$801,inventory!$C$2:$C$801,$C63,inventory!$H$2:$H$801,$H63,inventory!$E$2:$E$801,"rejected")&lt;N($G63)),"UNDER "&amp;config!$B$19&amp;" DAYS LEFT ON THE DROP DAY: reject these units; ","")&amp;IF(AND($E63="delivered",COUNTIF(inventory!$R$2:$R$801,$R63)&gt;1),"two delivered rows for this office: use one; ","")&amp;IF(AND($E63="delivered",$J63=""),"who counted?; ",""))</f>
        <v/>
      </c>
      <c r="R63" s="25">
        <f>IF($C63="","",$C63&amp;"|"&amp;$D63&amp;"|"&amp;$E63)</f>
        <v/>
      </c>
    </row>
    <row r="64">
      <c r="A64" s="9" t="n"/>
      <c r="B64" s="33" t="n"/>
      <c r="I64" s="9" t="n"/>
      <c r="L64" s="26">
        <f>IF($C64="","",IFERROR(IF(INDEX(campaigns!$BG$2:$BG$51,MATCH($C64,campaigns!$A$2:$A$51,0))="","",INDEX(campaigns!$BG$2:$BG$51,MATCH($C64,campaigns!$A$2:$A$51,0))),""))</f>
        <v/>
      </c>
      <c r="M64" s="25">
        <f>IF($C64="","",IF(OR($E64="received"),N($G64),IF(OR($E64="rejected",$E64="delivered",$E64="topped_up"),-N($G64),IF(AND(OR($E64="returned_to_brand",$E64="given_to_roster_office",$E64="released_to_office",$E64="disposed"),IF($F64="","reserve",$F64)="reserve"),-N($G64),IF(AND($E64="correction",IF($F64="","reserve",$F64)="reserve"),N($G64),0)))))</f>
        <v/>
      </c>
      <c r="N64" s="25">
        <f>IF($C64="","",IF($E64="rejected",N($G64),IF(AND(OR($E64="returned_to_brand",$E64="given_to_roster_office",$E64="released_to_office",$E64="disposed"),IF($F64="","reserve",$F64)="rejected"),-N($G64),IF(AND($E64="correction",IF($F64="","reserve",$F64)="rejected"),N($G64),0))))</f>
        <v/>
      </c>
      <c r="O64" s="25">
        <f>IF($C64="","",IF($E64="collected",N($G64),IF(AND(OR($E64="returned_to_brand",$E64="given_to_roster_office",$E64="released_to_office",$E64="disposed"),IF($F64="","reserve",$F64)="leftover"),-N($G64),IF(AND($E64="correction",IF($F64="","reserve",$F64)="leftover"),N($G64),0))))</f>
        <v/>
      </c>
      <c r="P64" s="25">
        <f>IF(OR($E64&lt;&gt;"received",$I64="",$L64=""),"",IF($I64&gt;=$L64+config!$B$19,"Y","N"))</f>
        <v/>
      </c>
      <c r="Q64" s="25">
        <f>IF($C64="","",IF(COUNTIF(campaigns!$A$2:$A$51,$C64)=0,"campaign_id not on campaigns; ",IF(AND($D64&lt;&gt;"",COUNTIFS(approvals!$A$2:$A$251,$C64,approvals!$B$2:$B$251,$D64)=0),"office not on this campaign (approvals tab); ",""))&amp;IF(AND(OR($E64="delivered",$E64="topped_up",$E64="collected"),$D64=""),"office needed; ","")&amp;IF(AND($E64&lt;&gt;"correction",N($G64)&lt;=0),"qty must be above 0; ","")&amp;IF(AND($E64="received",OR($I64="",$H64="")),"log lot and best-by; ","")&amp;IF(AND($P64="N",SUMIFS(inventory!$G$2:$G$801,inventory!$C$2:$C$801,$C64,inventory!$H$2:$H$801,$H64,inventory!$E$2:$E$801,"rejected")&lt;N($G64)),"UNDER "&amp;config!$B$19&amp;" DAYS LEFT ON THE DROP DAY: reject these units; ","")&amp;IF(AND($E64="delivered",COUNTIF(inventory!$R$2:$R$801,$R64)&gt;1),"two delivered rows for this office: use one; ","")&amp;IF(AND($E64="delivered",$J64=""),"who counted?; ",""))</f>
        <v/>
      </c>
      <c r="R64" s="25">
        <f>IF($C64="","",$C64&amp;"|"&amp;$D64&amp;"|"&amp;$E64)</f>
        <v/>
      </c>
    </row>
    <row r="65">
      <c r="A65" s="9" t="n"/>
      <c r="B65" s="33" t="n"/>
      <c r="I65" s="9" t="n"/>
      <c r="L65" s="26">
        <f>IF($C65="","",IFERROR(IF(INDEX(campaigns!$BG$2:$BG$51,MATCH($C65,campaigns!$A$2:$A$51,0))="","",INDEX(campaigns!$BG$2:$BG$51,MATCH($C65,campaigns!$A$2:$A$51,0))),""))</f>
        <v/>
      </c>
      <c r="M65" s="25">
        <f>IF($C65="","",IF(OR($E65="received"),N($G65),IF(OR($E65="rejected",$E65="delivered",$E65="topped_up"),-N($G65),IF(AND(OR($E65="returned_to_brand",$E65="given_to_roster_office",$E65="released_to_office",$E65="disposed"),IF($F65="","reserve",$F65)="reserve"),-N($G65),IF(AND($E65="correction",IF($F65="","reserve",$F65)="reserve"),N($G65),0)))))</f>
        <v/>
      </c>
      <c r="N65" s="25">
        <f>IF($C65="","",IF($E65="rejected",N($G65),IF(AND(OR($E65="returned_to_brand",$E65="given_to_roster_office",$E65="released_to_office",$E65="disposed"),IF($F65="","reserve",$F65)="rejected"),-N($G65),IF(AND($E65="correction",IF($F65="","reserve",$F65)="rejected"),N($G65),0))))</f>
        <v/>
      </c>
      <c r="O65" s="25">
        <f>IF($C65="","",IF($E65="collected",N($G65),IF(AND(OR($E65="returned_to_brand",$E65="given_to_roster_office",$E65="released_to_office",$E65="disposed"),IF($F65="","reserve",$F65)="leftover"),-N($G65),IF(AND($E65="correction",IF($F65="","reserve",$F65)="leftover"),N($G65),0))))</f>
        <v/>
      </c>
      <c r="P65" s="25">
        <f>IF(OR($E65&lt;&gt;"received",$I65="",$L65=""),"",IF($I65&gt;=$L65+config!$B$19,"Y","N"))</f>
        <v/>
      </c>
      <c r="Q65" s="25">
        <f>IF($C65="","",IF(COUNTIF(campaigns!$A$2:$A$51,$C65)=0,"campaign_id not on campaigns; ",IF(AND($D65&lt;&gt;"",COUNTIFS(approvals!$A$2:$A$251,$C65,approvals!$B$2:$B$251,$D65)=0),"office not on this campaign (approvals tab); ",""))&amp;IF(AND(OR($E65="delivered",$E65="topped_up",$E65="collected"),$D65=""),"office needed; ","")&amp;IF(AND($E65&lt;&gt;"correction",N($G65)&lt;=0),"qty must be above 0; ","")&amp;IF(AND($E65="received",OR($I65="",$H65="")),"log lot and best-by; ","")&amp;IF(AND($P65="N",SUMIFS(inventory!$G$2:$G$801,inventory!$C$2:$C$801,$C65,inventory!$H$2:$H$801,$H65,inventory!$E$2:$E$801,"rejected")&lt;N($G65)),"UNDER "&amp;config!$B$19&amp;" DAYS LEFT ON THE DROP DAY: reject these units; ","")&amp;IF(AND($E65="delivered",COUNTIF(inventory!$R$2:$R$801,$R65)&gt;1),"two delivered rows for this office: use one; ","")&amp;IF(AND($E65="delivered",$J65=""),"who counted?; ",""))</f>
        <v/>
      </c>
      <c r="R65" s="25">
        <f>IF($C65="","",$C65&amp;"|"&amp;$D65&amp;"|"&amp;$E65)</f>
        <v/>
      </c>
    </row>
    <row r="66">
      <c r="A66" s="9" t="n"/>
      <c r="B66" s="33" t="n"/>
      <c r="I66" s="9" t="n"/>
      <c r="L66" s="26">
        <f>IF($C66="","",IFERROR(IF(INDEX(campaigns!$BG$2:$BG$51,MATCH($C66,campaigns!$A$2:$A$51,0))="","",INDEX(campaigns!$BG$2:$BG$51,MATCH($C66,campaigns!$A$2:$A$51,0))),""))</f>
        <v/>
      </c>
      <c r="M66" s="25">
        <f>IF($C66="","",IF(OR($E66="received"),N($G66),IF(OR($E66="rejected",$E66="delivered",$E66="topped_up"),-N($G66),IF(AND(OR($E66="returned_to_brand",$E66="given_to_roster_office",$E66="released_to_office",$E66="disposed"),IF($F66="","reserve",$F66)="reserve"),-N($G66),IF(AND($E66="correction",IF($F66="","reserve",$F66)="reserve"),N($G66),0)))))</f>
        <v/>
      </c>
      <c r="N66" s="25">
        <f>IF($C66="","",IF($E66="rejected",N($G66),IF(AND(OR($E66="returned_to_brand",$E66="given_to_roster_office",$E66="released_to_office",$E66="disposed"),IF($F66="","reserve",$F66)="rejected"),-N($G66),IF(AND($E66="correction",IF($F66="","reserve",$F66)="rejected"),N($G66),0))))</f>
        <v/>
      </c>
      <c r="O66" s="25">
        <f>IF($C66="","",IF($E66="collected",N($G66),IF(AND(OR($E66="returned_to_brand",$E66="given_to_roster_office",$E66="released_to_office",$E66="disposed"),IF($F66="","reserve",$F66)="leftover"),-N($G66),IF(AND($E66="correction",IF($F66="","reserve",$F66)="leftover"),N($G66),0))))</f>
        <v/>
      </c>
      <c r="P66" s="25">
        <f>IF(OR($E66&lt;&gt;"received",$I66="",$L66=""),"",IF($I66&gt;=$L66+config!$B$19,"Y","N"))</f>
        <v/>
      </c>
      <c r="Q66" s="25">
        <f>IF($C66="","",IF(COUNTIF(campaigns!$A$2:$A$51,$C66)=0,"campaign_id not on campaigns; ",IF(AND($D66&lt;&gt;"",COUNTIFS(approvals!$A$2:$A$251,$C66,approvals!$B$2:$B$251,$D66)=0),"office not on this campaign (approvals tab); ",""))&amp;IF(AND(OR($E66="delivered",$E66="topped_up",$E66="collected"),$D66=""),"office needed; ","")&amp;IF(AND($E66&lt;&gt;"correction",N($G66)&lt;=0),"qty must be above 0; ","")&amp;IF(AND($E66="received",OR($I66="",$H66="")),"log lot and best-by; ","")&amp;IF(AND($P66="N",SUMIFS(inventory!$G$2:$G$801,inventory!$C$2:$C$801,$C66,inventory!$H$2:$H$801,$H66,inventory!$E$2:$E$801,"rejected")&lt;N($G66)),"UNDER "&amp;config!$B$19&amp;" DAYS LEFT ON THE DROP DAY: reject these units; ","")&amp;IF(AND($E66="delivered",COUNTIF(inventory!$R$2:$R$801,$R66)&gt;1),"two delivered rows for this office: use one; ","")&amp;IF(AND($E66="delivered",$J66=""),"who counted?; ",""))</f>
        <v/>
      </c>
      <c r="R66" s="25">
        <f>IF($C66="","",$C66&amp;"|"&amp;$D66&amp;"|"&amp;$E66)</f>
        <v/>
      </c>
    </row>
    <row r="67">
      <c r="A67" s="9" t="n"/>
      <c r="B67" s="33" t="n"/>
      <c r="I67" s="9" t="n"/>
      <c r="L67" s="26">
        <f>IF($C67="","",IFERROR(IF(INDEX(campaigns!$BG$2:$BG$51,MATCH($C67,campaigns!$A$2:$A$51,0))="","",INDEX(campaigns!$BG$2:$BG$51,MATCH($C67,campaigns!$A$2:$A$51,0))),""))</f>
        <v/>
      </c>
      <c r="M67" s="25">
        <f>IF($C67="","",IF(OR($E67="received"),N($G67),IF(OR($E67="rejected",$E67="delivered",$E67="topped_up"),-N($G67),IF(AND(OR($E67="returned_to_brand",$E67="given_to_roster_office",$E67="released_to_office",$E67="disposed"),IF($F67="","reserve",$F67)="reserve"),-N($G67),IF(AND($E67="correction",IF($F67="","reserve",$F67)="reserve"),N($G67),0)))))</f>
        <v/>
      </c>
      <c r="N67" s="25">
        <f>IF($C67="","",IF($E67="rejected",N($G67),IF(AND(OR($E67="returned_to_brand",$E67="given_to_roster_office",$E67="released_to_office",$E67="disposed"),IF($F67="","reserve",$F67)="rejected"),-N($G67),IF(AND($E67="correction",IF($F67="","reserve",$F67)="rejected"),N($G67),0))))</f>
        <v/>
      </c>
      <c r="O67" s="25">
        <f>IF($C67="","",IF($E67="collected",N($G67),IF(AND(OR($E67="returned_to_brand",$E67="given_to_roster_office",$E67="released_to_office",$E67="disposed"),IF($F67="","reserve",$F67)="leftover"),-N($G67),IF(AND($E67="correction",IF($F67="","reserve",$F67)="leftover"),N($G67),0))))</f>
        <v/>
      </c>
      <c r="P67" s="25">
        <f>IF(OR($E67&lt;&gt;"received",$I67="",$L67=""),"",IF($I67&gt;=$L67+config!$B$19,"Y","N"))</f>
        <v/>
      </c>
      <c r="Q67" s="25">
        <f>IF($C67="","",IF(COUNTIF(campaigns!$A$2:$A$51,$C67)=0,"campaign_id not on campaigns; ",IF(AND($D67&lt;&gt;"",COUNTIFS(approvals!$A$2:$A$251,$C67,approvals!$B$2:$B$251,$D67)=0),"office not on this campaign (approvals tab); ",""))&amp;IF(AND(OR($E67="delivered",$E67="topped_up",$E67="collected"),$D67=""),"office needed; ","")&amp;IF(AND($E67&lt;&gt;"correction",N($G67)&lt;=0),"qty must be above 0; ","")&amp;IF(AND($E67="received",OR($I67="",$H67="")),"log lot and best-by; ","")&amp;IF(AND($P67="N",SUMIFS(inventory!$G$2:$G$801,inventory!$C$2:$C$801,$C67,inventory!$H$2:$H$801,$H67,inventory!$E$2:$E$801,"rejected")&lt;N($G67)),"UNDER "&amp;config!$B$19&amp;" DAYS LEFT ON THE DROP DAY: reject these units; ","")&amp;IF(AND($E67="delivered",COUNTIF(inventory!$R$2:$R$801,$R67)&gt;1),"two delivered rows for this office: use one; ","")&amp;IF(AND($E67="delivered",$J67=""),"who counted?; ",""))</f>
        <v/>
      </c>
      <c r="R67" s="25">
        <f>IF($C67="","",$C67&amp;"|"&amp;$D67&amp;"|"&amp;$E67)</f>
        <v/>
      </c>
    </row>
    <row r="68">
      <c r="A68" s="9" t="n"/>
      <c r="B68" s="33" t="n"/>
      <c r="I68" s="9" t="n"/>
      <c r="L68" s="26">
        <f>IF($C68="","",IFERROR(IF(INDEX(campaigns!$BG$2:$BG$51,MATCH($C68,campaigns!$A$2:$A$51,0))="","",INDEX(campaigns!$BG$2:$BG$51,MATCH($C68,campaigns!$A$2:$A$51,0))),""))</f>
        <v/>
      </c>
      <c r="M68" s="25">
        <f>IF($C68="","",IF(OR($E68="received"),N($G68),IF(OR($E68="rejected",$E68="delivered",$E68="topped_up"),-N($G68),IF(AND(OR($E68="returned_to_brand",$E68="given_to_roster_office",$E68="released_to_office",$E68="disposed"),IF($F68="","reserve",$F68)="reserve"),-N($G68),IF(AND($E68="correction",IF($F68="","reserve",$F68)="reserve"),N($G68),0)))))</f>
        <v/>
      </c>
      <c r="N68" s="25">
        <f>IF($C68="","",IF($E68="rejected",N($G68),IF(AND(OR($E68="returned_to_brand",$E68="given_to_roster_office",$E68="released_to_office",$E68="disposed"),IF($F68="","reserve",$F68)="rejected"),-N($G68),IF(AND($E68="correction",IF($F68="","reserve",$F68)="rejected"),N($G68),0))))</f>
        <v/>
      </c>
      <c r="O68" s="25">
        <f>IF($C68="","",IF($E68="collected",N($G68),IF(AND(OR($E68="returned_to_brand",$E68="given_to_roster_office",$E68="released_to_office",$E68="disposed"),IF($F68="","reserve",$F68)="leftover"),-N($G68),IF(AND($E68="correction",IF($F68="","reserve",$F68)="leftover"),N($G68),0))))</f>
        <v/>
      </c>
      <c r="P68" s="25">
        <f>IF(OR($E68&lt;&gt;"received",$I68="",$L68=""),"",IF($I68&gt;=$L68+config!$B$19,"Y","N"))</f>
        <v/>
      </c>
      <c r="Q68" s="25">
        <f>IF($C68="","",IF(COUNTIF(campaigns!$A$2:$A$51,$C68)=0,"campaign_id not on campaigns; ",IF(AND($D68&lt;&gt;"",COUNTIFS(approvals!$A$2:$A$251,$C68,approvals!$B$2:$B$251,$D68)=0),"office not on this campaign (approvals tab); ",""))&amp;IF(AND(OR($E68="delivered",$E68="topped_up",$E68="collected"),$D68=""),"office needed; ","")&amp;IF(AND($E68&lt;&gt;"correction",N($G68)&lt;=0),"qty must be above 0; ","")&amp;IF(AND($E68="received",OR($I68="",$H68="")),"log lot and best-by; ","")&amp;IF(AND($P68="N",SUMIFS(inventory!$G$2:$G$801,inventory!$C$2:$C$801,$C68,inventory!$H$2:$H$801,$H68,inventory!$E$2:$E$801,"rejected")&lt;N($G68)),"UNDER "&amp;config!$B$19&amp;" DAYS LEFT ON THE DROP DAY: reject these units; ","")&amp;IF(AND($E68="delivered",COUNTIF(inventory!$R$2:$R$801,$R68)&gt;1),"two delivered rows for this office: use one; ","")&amp;IF(AND($E68="delivered",$J68=""),"who counted?; ",""))</f>
        <v/>
      </c>
      <c r="R68" s="25">
        <f>IF($C68="","",$C68&amp;"|"&amp;$D68&amp;"|"&amp;$E68)</f>
        <v/>
      </c>
    </row>
    <row r="69">
      <c r="A69" s="9" t="n"/>
      <c r="B69" s="33" t="n"/>
      <c r="I69" s="9" t="n"/>
      <c r="L69" s="26">
        <f>IF($C69="","",IFERROR(IF(INDEX(campaigns!$BG$2:$BG$51,MATCH($C69,campaigns!$A$2:$A$51,0))="","",INDEX(campaigns!$BG$2:$BG$51,MATCH($C69,campaigns!$A$2:$A$51,0))),""))</f>
        <v/>
      </c>
      <c r="M69" s="25">
        <f>IF($C69="","",IF(OR($E69="received"),N($G69),IF(OR($E69="rejected",$E69="delivered",$E69="topped_up"),-N($G69),IF(AND(OR($E69="returned_to_brand",$E69="given_to_roster_office",$E69="released_to_office",$E69="disposed"),IF($F69="","reserve",$F69)="reserve"),-N($G69),IF(AND($E69="correction",IF($F69="","reserve",$F69)="reserve"),N($G69),0)))))</f>
        <v/>
      </c>
      <c r="N69" s="25">
        <f>IF($C69="","",IF($E69="rejected",N($G69),IF(AND(OR($E69="returned_to_brand",$E69="given_to_roster_office",$E69="released_to_office",$E69="disposed"),IF($F69="","reserve",$F69)="rejected"),-N($G69),IF(AND($E69="correction",IF($F69="","reserve",$F69)="rejected"),N($G69),0))))</f>
        <v/>
      </c>
      <c r="O69" s="25">
        <f>IF($C69="","",IF($E69="collected",N($G69),IF(AND(OR($E69="returned_to_brand",$E69="given_to_roster_office",$E69="released_to_office",$E69="disposed"),IF($F69="","reserve",$F69)="leftover"),-N($G69),IF(AND($E69="correction",IF($F69="","reserve",$F69)="leftover"),N($G69),0))))</f>
        <v/>
      </c>
      <c r="P69" s="25">
        <f>IF(OR($E69&lt;&gt;"received",$I69="",$L69=""),"",IF($I69&gt;=$L69+config!$B$19,"Y","N"))</f>
        <v/>
      </c>
      <c r="Q69" s="25">
        <f>IF($C69="","",IF(COUNTIF(campaigns!$A$2:$A$51,$C69)=0,"campaign_id not on campaigns; ",IF(AND($D69&lt;&gt;"",COUNTIFS(approvals!$A$2:$A$251,$C69,approvals!$B$2:$B$251,$D69)=0),"office not on this campaign (approvals tab); ",""))&amp;IF(AND(OR($E69="delivered",$E69="topped_up",$E69="collected"),$D69=""),"office needed; ","")&amp;IF(AND($E69&lt;&gt;"correction",N($G69)&lt;=0),"qty must be above 0; ","")&amp;IF(AND($E69="received",OR($I69="",$H69="")),"log lot and best-by; ","")&amp;IF(AND($P69="N",SUMIFS(inventory!$G$2:$G$801,inventory!$C$2:$C$801,$C69,inventory!$H$2:$H$801,$H69,inventory!$E$2:$E$801,"rejected")&lt;N($G69)),"UNDER "&amp;config!$B$19&amp;" DAYS LEFT ON THE DROP DAY: reject these units; ","")&amp;IF(AND($E69="delivered",COUNTIF(inventory!$R$2:$R$801,$R69)&gt;1),"two delivered rows for this office: use one; ","")&amp;IF(AND($E69="delivered",$J69=""),"who counted?; ",""))</f>
        <v/>
      </c>
      <c r="R69" s="25">
        <f>IF($C69="","",$C69&amp;"|"&amp;$D69&amp;"|"&amp;$E69)</f>
        <v/>
      </c>
    </row>
    <row r="70">
      <c r="A70" s="9" t="n"/>
      <c r="B70" s="33" t="n"/>
      <c r="I70" s="9" t="n"/>
      <c r="L70" s="26">
        <f>IF($C70="","",IFERROR(IF(INDEX(campaigns!$BG$2:$BG$51,MATCH($C70,campaigns!$A$2:$A$51,0))="","",INDEX(campaigns!$BG$2:$BG$51,MATCH($C70,campaigns!$A$2:$A$51,0))),""))</f>
        <v/>
      </c>
      <c r="M70" s="25">
        <f>IF($C70="","",IF(OR($E70="received"),N($G70),IF(OR($E70="rejected",$E70="delivered",$E70="topped_up"),-N($G70),IF(AND(OR($E70="returned_to_brand",$E70="given_to_roster_office",$E70="released_to_office",$E70="disposed"),IF($F70="","reserve",$F70)="reserve"),-N($G70),IF(AND($E70="correction",IF($F70="","reserve",$F70)="reserve"),N($G70),0)))))</f>
        <v/>
      </c>
      <c r="N70" s="25">
        <f>IF($C70="","",IF($E70="rejected",N($G70),IF(AND(OR($E70="returned_to_brand",$E70="given_to_roster_office",$E70="released_to_office",$E70="disposed"),IF($F70="","reserve",$F70)="rejected"),-N($G70),IF(AND($E70="correction",IF($F70="","reserve",$F70)="rejected"),N($G70),0))))</f>
        <v/>
      </c>
      <c r="O70" s="25">
        <f>IF($C70="","",IF($E70="collected",N($G70),IF(AND(OR($E70="returned_to_brand",$E70="given_to_roster_office",$E70="released_to_office",$E70="disposed"),IF($F70="","reserve",$F70)="leftover"),-N($G70),IF(AND($E70="correction",IF($F70="","reserve",$F70)="leftover"),N($G70),0))))</f>
        <v/>
      </c>
      <c r="P70" s="25">
        <f>IF(OR($E70&lt;&gt;"received",$I70="",$L70=""),"",IF($I70&gt;=$L70+config!$B$19,"Y","N"))</f>
        <v/>
      </c>
      <c r="Q70" s="25">
        <f>IF($C70="","",IF(COUNTIF(campaigns!$A$2:$A$51,$C70)=0,"campaign_id not on campaigns; ",IF(AND($D70&lt;&gt;"",COUNTIFS(approvals!$A$2:$A$251,$C70,approvals!$B$2:$B$251,$D70)=0),"office not on this campaign (approvals tab); ",""))&amp;IF(AND(OR($E70="delivered",$E70="topped_up",$E70="collected"),$D70=""),"office needed; ","")&amp;IF(AND($E70&lt;&gt;"correction",N($G70)&lt;=0),"qty must be above 0; ","")&amp;IF(AND($E70="received",OR($I70="",$H70="")),"log lot and best-by; ","")&amp;IF(AND($P70="N",SUMIFS(inventory!$G$2:$G$801,inventory!$C$2:$C$801,$C70,inventory!$H$2:$H$801,$H70,inventory!$E$2:$E$801,"rejected")&lt;N($G70)),"UNDER "&amp;config!$B$19&amp;" DAYS LEFT ON THE DROP DAY: reject these units; ","")&amp;IF(AND($E70="delivered",COUNTIF(inventory!$R$2:$R$801,$R70)&gt;1),"two delivered rows for this office: use one; ","")&amp;IF(AND($E70="delivered",$J70=""),"who counted?; ",""))</f>
        <v/>
      </c>
      <c r="R70" s="25">
        <f>IF($C70="","",$C70&amp;"|"&amp;$D70&amp;"|"&amp;$E70)</f>
        <v/>
      </c>
    </row>
    <row r="71">
      <c r="A71" s="9" t="n"/>
      <c r="B71" s="33" t="n"/>
      <c r="I71" s="9" t="n"/>
      <c r="L71" s="26">
        <f>IF($C71="","",IFERROR(IF(INDEX(campaigns!$BG$2:$BG$51,MATCH($C71,campaigns!$A$2:$A$51,0))="","",INDEX(campaigns!$BG$2:$BG$51,MATCH($C71,campaigns!$A$2:$A$51,0))),""))</f>
        <v/>
      </c>
      <c r="M71" s="25">
        <f>IF($C71="","",IF(OR($E71="received"),N($G71),IF(OR($E71="rejected",$E71="delivered",$E71="topped_up"),-N($G71),IF(AND(OR($E71="returned_to_brand",$E71="given_to_roster_office",$E71="released_to_office",$E71="disposed"),IF($F71="","reserve",$F71)="reserve"),-N($G71),IF(AND($E71="correction",IF($F71="","reserve",$F71)="reserve"),N($G71),0)))))</f>
        <v/>
      </c>
      <c r="N71" s="25">
        <f>IF($C71="","",IF($E71="rejected",N($G71),IF(AND(OR($E71="returned_to_brand",$E71="given_to_roster_office",$E71="released_to_office",$E71="disposed"),IF($F71="","reserve",$F71)="rejected"),-N($G71),IF(AND($E71="correction",IF($F71="","reserve",$F71)="rejected"),N($G71),0))))</f>
        <v/>
      </c>
      <c r="O71" s="25">
        <f>IF($C71="","",IF($E71="collected",N($G71),IF(AND(OR($E71="returned_to_brand",$E71="given_to_roster_office",$E71="released_to_office",$E71="disposed"),IF($F71="","reserve",$F71)="leftover"),-N($G71),IF(AND($E71="correction",IF($F71="","reserve",$F71)="leftover"),N($G71),0))))</f>
        <v/>
      </c>
      <c r="P71" s="25">
        <f>IF(OR($E71&lt;&gt;"received",$I71="",$L71=""),"",IF($I71&gt;=$L71+config!$B$19,"Y","N"))</f>
        <v/>
      </c>
      <c r="Q71" s="25">
        <f>IF($C71="","",IF(COUNTIF(campaigns!$A$2:$A$51,$C71)=0,"campaign_id not on campaigns; ",IF(AND($D71&lt;&gt;"",COUNTIFS(approvals!$A$2:$A$251,$C71,approvals!$B$2:$B$251,$D71)=0),"office not on this campaign (approvals tab); ",""))&amp;IF(AND(OR($E71="delivered",$E71="topped_up",$E71="collected"),$D71=""),"office needed; ","")&amp;IF(AND($E71&lt;&gt;"correction",N($G71)&lt;=0),"qty must be above 0; ","")&amp;IF(AND($E71="received",OR($I71="",$H71="")),"log lot and best-by; ","")&amp;IF(AND($P71="N",SUMIFS(inventory!$G$2:$G$801,inventory!$C$2:$C$801,$C71,inventory!$H$2:$H$801,$H71,inventory!$E$2:$E$801,"rejected")&lt;N($G71)),"UNDER "&amp;config!$B$19&amp;" DAYS LEFT ON THE DROP DAY: reject these units; ","")&amp;IF(AND($E71="delivered",COUNTIF(inventory!$R$2:$R$801,$R71)&gt;1),"two delivered rows for this office: use one; ","")&amp;IF(AND($E71="delivered",$J71=""),"who counted?; ",""))</f>
        <v/>
      </c>
      <c r="R71" s="25">
        <f>IF($C71="","",$C71&amp;"|"&amp;$D71&amp;"|"&amp;$E71)</f>
        <v/>
      </c>
    </row>
    <row r="72">
      <c r="A72" s="9" t="n"/>
      <c r="B72" s="33" t="n"/>
      <c r="I72" s="9" t="n"/>
      <c r="L72" s="26">
        <f>IF($C72="","",IFERROR(IF(INDEX(campaigns!$BG$2:$BG$51,MATCH($C72,campaigns!$A$2:$A$51,0))="","",INDEX(campaigns!$BG$2:$BG$51,MATCH($C72,campaigns!$A$2:$A$51,0))),""))</f>
        <v/>
      </c>
      <c r="M72" s="25">
        <f>IF($C72="","",IF(OR($E72="received"),N($G72),IF(OR($E72="rejected",$E72="delivered",$E72="topped_up"),-N($G72),IF(AND(OR($E72="returned_to_brand",$E72="given_to_roster_office",$E72="released_to_office",$E72="disposed"),IF($F72="","reserve",$F72)="reserve"),-N($G72),IF(AND($E72="correction",IF($F72="","reserve",$F72)="reserve"),N($G72),0)))))</f>
        <v/>
      </c>
      <c r="N72" s="25">
        <f>IF($C72="","",IF($E72="rejected",N($G72),IF(AND(OR($E72="returned_to_brand",$E72="given_to_roster_office",$E72="released_to_office",$E72="disposed"),IF($F72="","reserve",$F72)="rejected"),-N($G72),IF(AND($E72="correction",IF($F72="","reserve",$F72)="rejected"),N($G72),0))))</f>
        <v/>
      </c>
      <c r="O72" s="25">
        <f>IF($C72="","",IF($E72="collected",N($G72),IF(AND(OR($E72="returned_to_brand",$E72="given_to_roster_office",$E72="released_to_office",$E72="disposed"),IF($F72="","reserve",$F72)="leftover"),-N($G72),IF(AND($E72="correction",IF($F72="","reserve",$F72)="leftover"),N($G72),0))))</f>
        <v/>
      </c>
      <c r="P72" s="25">
        <f>IF(OR($E72&lt;&gt;"received",$I72="",$L72=""),"",IF($I72&gt;=$L72+config!$B$19,"Y","N"))</f>
        <v/>
      </c>
      <c r="Q72" s="25">
        <f>IF($C72="","",IF(COUNTIF(campaigns!$A$2:$A$51,$C72)=0,"campaign_id not on campaigns; ",IF(AND($D72&lt;&gt;"",COUNTIFS(approvals!$A$2:$A$251,$C72,approvals!$B$2:$B$251,$D72)=0),"office not on this campaign (approvals tab); ",""))&amp;IF(AND(OR($E72="delivered",$E72="topped_up",$E72="collected"),$D72=""),"office needed; ","")&amp;IF(AND($E72&lt;&gt;"correction",N($G72)&lt;=0),"qty must be above 0; ","")&amp;IF(AND($E72="received",OR($I72="",$H72="")),"log lot and best-by; ","")&amp;IF(AND($P72="N",SUMIFS(inventory!$G$2:$G$801,inventory!$C$2:$C$801,$C72,inventory!$H$2:$H$801,$H72,inventory!$E$2:$E$801,"rejected")&lt;N($G72)),"UNDER "&amp;config!$B$19&amp;" DAYS LEFT ON THE DROP DAY: reject these units; ","")&amp;IF(AND($E72="delivered",COUNTIF(inventory!$R$2:$R$801,$R72)&gt;1),"two delivered rows for this office: use one; ","")&amp;IF(AND($E72="delivered",$J72=""),"who counted?; ",""))</f>
        <v/>
      </c>
      <c r="R72" s="25">
        <f>IF($C72="","",$C72&amp;"|"&amp;$D72&amp;"|"&amp;$E72)</f>
        <v/>
      </c>
    </row>
    <row r="73">
      <c r="A73" s="9" t="n"/>
      <c r="B73" s="33" t="n"/>
      <c r="I73" s="9" t="n"/>
      <c r="L73" s="26">
        <f>IF($C73="","",IFERROR(IF(INDEX(campaigns!$BG$2:$BG$51,MATCH($C73,campaigns!$A$2:$A$51,0))="","",INDEX(campaigns!$BG$2:$BG$51,MATCH($C73,campaigns!$A$2:$A$51,0))),""))</f>
        <v/>
      </c>
      <c r="M73" s="25">
        <f>IF($C73="","",IF(OR($E73="received"),N($G73),IF(OR($E73="rejected",$E73="delivered",$E73="topped_up"),-N($G73),IF(AND(OR($E73="returned_to_brand",$E73="given_to_roster_office",$E73="released_to_office",$E73="disposed"),IF($F73="","reserve",$F73)="reserve"),-N($G73),IF(AND($E73="correction",IF($F73="","reserve",$F73)="reserve"),N($G73),0)))))</f>
        <v/>
      </c>
      <c r="N73" s="25">
        <f>IF($C73="","",IF($E73="rejected",N($G73),IF(AND(OR($E73="returned_to_brand",$E73="given_to_roster_office",$E73="released_to_office",$E73="disposed"),IF($F73="","reserve",$F73)="rejected"),-N($G73),IF(AND($E73="correction",IF($F73="","reserve",$F73)="rejected"),N($G73),0))))</f>
        <v/>
      </c>
      <c r="O73" s="25">
        <f>IF($C73="","",IF($E73="collected",N($G73),IF(AND(OR($E73="returned_to_brand",$E73="given_to_roster_office",$E73="released_to_office",$E73="disposed"),IF($F73="","reserve",$F73)="leftover"),-N($G73),IF(AND($E73="correction",IF($F73="","reserve",$F73)="leftover"),N($G73),0))))</f>
        <v/>
      </c>
      <c r="P73" s="25">
        <f>IF(OR($E73&lt;&gt;"received",$I73="",$L73=""),"",IF($I73&gt;=$L73+config!$B$19,"Y","N"))</f>
        <v/>
      </c>
      <c r="Q73" s="25">
        <f>IF($C73="","",IF(COUNTIF(campaigns!$A$2:$A$51,$C73)=0,"campaign_id not on campaigns; ",IF(AND($D73&lt;&gt;"",COUNTIFS(approvals!$A$2:$A$251,$C73,approvals!$B$2:$B$251,$D73)=0),"office not on this campaign (approvals tab); ",""))&amp;IF(AND(OR($E73="delivered",$E73="topped_up",$E73="collected"),$D73=""),"office needed; ","")&amp;IF(AND($E73&lt;&gt;"correction",N($G73)&lt;=0),"qty must be above 0; ","")&amp;IF(AND($E73="received",OR($I73="",$H73="")),"log lot and best-by; ","")&amp;IF(AND($P73="N",SUMIFS(inventory!$G$2:$G$801,inventory!$C$2:$C$801,$C73,inventory!$H$2:$H$801,$H73,inventory!$E$2:$E$801,"rejected")&lt;N($G73)),"UNDER "&amp;config!$B$19&amp;" DAYS LEFT ON THE DROP DAY: reject these units; ","")&amp;IF(AND($E73="delivered",COUNTIF(inventory!$R$2:$R$801,$R73)&gt;1),"two delivered rows for this office: use one; ","")&amp;IF(AND($E73="delivered",$J73=""),"who counted?; ",""))</f>
        <v/>
      </c>
      <c r="R73" s="25">
        <f>IF($C73="","",$C73&amp;"|"&amp;$D73&amp;"|"&amp;$E73)</f>
        <v/>
      </c>
    </row>
    <row r="74">
      <c r="A74" s="9" t="n"/>
      <c r="B74" s="33" t="n"/>
      <c r="I74" s="9" t="n"/>
      <c r="L74" s="26">
        <f>IF($C74="","",IFERROR(IF(INDEX(campaigns!$BG$2:$BG$51,MATCH($C74,campaigns!$A$2:$A$51,0))="","",INDEX(campaigns!$BG$2:$BG$51,MATCH($C74,campaigns!$A$2:$A$51,0))),""))</f>
        <v/>
      </c>
      <c r="M74" s="25">
        <f>IF($C74="","",IF(OR($E74="received"),N($G74),IF(OR($E74="rejected",$E74="delivered",$E74="topped_up"),-N($G74),IF(AND(OR($E74="returned_to_brand",$E74="given_to_roster_office",$E74="released_to_office",$E74="disposed"),IF($F74="","reserve",$F74)="reserve"),-N($G74),IF(AND($E74="correction",IF($F74="","reserve",$F74)="reserve"),N($G74),0)))))</f>
        <v/>
      </c>
      <c r="N74" s="25">
        <f>IF($C74="","",IF($E74="rejected",N($G74),IF(AND(OR($E74="returned_to_brand",$E74="given_to_roster_office",$E74="released_to_office",$E74="disposed"),IF($F74="","reserve",$F74)="rejected"),-N($G74),IF(AND($E74="correction",IF($F74="","reserve",$F74)="rejected"),N($G74),0))))</f>
        <v/>
      </c>
      <c r="O74" s="25">
        <f>IF($C74="","",IF($E74="collected",N($G74),IF(AND(OR($E74="returned_to_brand",$E74="given_to_roster_office",$E74="released_to_office",$E74="disposed"),IF($F74="","reserve",$F74)="leftover"),-N($G74),IF(AND($E74="correction",IF($F74="","reserve",$F74)="leftover"),N($G74),0))))</f>
        <v/>
      </c>
      <c r="P74" s="25">
        <f>IF(OR($E74&lt;&gt;"received",$I74="",$L74=""),"",IF($I74&gt;=$L74+config!$B$19,"Y","N"))</f>
        <v/>
      </c>
      <c r="Q74" s="25">
        <f>IF($C74="","",IF(COUNTIF(campaigns!$A$2:$A$51,$C74)=0,"campaign_id not on campaigns; ",IF(AND($D74&lt;&gt;"",COUNTIFS(approvals!$A$2:$A$251,$C74,approvals!$B$2:$B$251,$D74)=0),"office not on this campaign (approvals tab); ",""))&amp;IF(AND(OR($E74="delivered",$E74="topped_up",$E74="collected"),$D74=""),"office needed; ","")&amp;IF(AND($E74&lt;&gt;"correction",N($G74)&lt;=0),"qty must be above 0; ","")&amp;IF(AND($E74="received",OR($I74="",$H74="")),"log lot and best-by; ","")&amp;IF(AND($P74="N",SUMIFS(inventory!$G$2:$G$801,inventory!$C$2:$C$801,$C74,inventory!$H$2:$H$801,$H74,inventory!$E$2:$E$801,"rejected")&lt;N($G74)),"UNDER "&amp;config!$B$19&amp;" DAYS LEFT ON THE DROP DAY: reject these units; ","")&amp;IF(AND($E74="delivered",COUNTIF(inventory!$R$2:$R$801,$R74)&gt;1),"two delivered rows for this office: use one; ","")&amp;IF(AND($E74="delivered",$J74=""),"who counted?; ",""))</f>
        <v/>
      </c>
      <c r="R74" s="25">
        <f>IF($C74="","",$C74&amp;"|"&amp;$D74&amp;"|"&amp;$E74)</f>
        <v/>
      </c>
    </row>
    <row r="75">
      <c r="A75" s="9" t="n"/>
      <c r="B75" s="33" t="n"/>
      <c r="I75" s="9" t="n"/>
      <c r="L75" s="26">
        <f>IF($C75="","",IFERROR(IF(INDEX(campaigns!$BG$2:$BG$51,MATCH($C75,campaigns!$A$2:$A$51,0))="","",INDEX(campaigns!$BG$2:$BG$51,MATCH($C75,campaigns!$A$2:$A$51,0))),""))</f>
        <v/>
      </c>
      <c r="M75" s="25">
        <f>IF($C75="","",IF(OR($E75="received"),N($G75),IF(OR($E75="rejected",$E75="delivered",$E75="topped_up"),-N($G75),IF(AND(OR($E75="returned_to_brand",$E75="given_to_roster_office",$E75="released_to_office",$E75="disposed"),IF($F75="","reserve",$F75)="reserve"),-N($G75),IF(AND($E75="correction",IF($F75="","reserve",$F75)="reserve"),N($G75),0)))))</f>
        <v/>
      </c>
      <c r="N75" s="25">
        <f>IF($C75="","",IF($E75="rejected",N($G75),IF(AND(OR($E75="returned_to_brand",$E75="given_to_roster_office",$E75="released_to_office",$E75="disposed"),IF($F75="","reserve",$F75)="rejected"),-N($G75),IF(AND($E75="correction",IF($F75="","reserve",$F75)="rejected"),N($G75),0))))</f>
        <v/>
      </c>
      <c r="O75" s="25">
        <f>IF($C75="","",IF($E75="collected",N($G75),IF(AND(OR($E75="returned_to_brand",$E75="given_to_roster_office",$E75="released_to_office",$E75="disposed"),IF($F75="","reserve",$F75)="leftover"),-N($G75),IF(AND($E75="correction",IF($F75="","reserve",$F75)="leftover"),N($G75),0))))</f>
        <v/>
      </c>
      <c r="P75" s="25">
        <f>IF(OR($E75&lt;&gt;"received",$I75="",$L75=""),"",IF($I75&gt;=$L75+config!$B$19,"Y","N"))</f>
        <v/>
      </c>
      <c r="Q75" s="25">
        <f>IF($C75="","",IF(COUNTIF(campaigns!$A$2:$A$51,$C75)=0,"campaign_id not on campaigns; ",IF(AND($D75&lt;&gt;"",COUNTIFS(approvals!$A$2:$A$251,$C75,approvals!$B$2:$B$251,$D75)=0),"office not on this campaign (approvals tab); ",""))&amp;IF(AND(OR($E75="delivered",$E75="topped_up",$E75="collected"),$D75=""),"office needed; ","")&amp;IF(AND($E75&lt;&gt;"correction",N($G75)&lt;=0),"qty must be above 0; ","")&amp;IF(AND($E75="received",OR($I75="",$H75="")),"log lot and best-by; ","")&amp;IF(AND($P75="N",SUMIFS(inventory!$G$2:$G$801,inventory!$C$2:$C$801,$C75,inventory!$H$2:$H$801,$H75,inventory!$E$2:$E$801,"rejected")&lt;N($G75)),"UNDER "&amp;config!$B$19&amp;" DAYS LEFT ON THE DROP DAY: reject these units; ","")&amp;IF(AND($E75="delivered",COUNTIF(inventory!$R$2:$R$801,$R75)&gt;1),"two delivered rows for this office: use one; ","")&amp;IF(AND($E75="delivered",$J75=""),"who counted?; ",""))</f>
        <v/>
      </c>
      <c r="R75" s="25">
        <f>IF($C75="","",$C75&amp;"|"&amp;$D75&amp;"|"&amp;$E75)</f>
        <v/>
      </c>
    </row>
    <row r="76">
      <c r="A76" s="9" t="n"/>
      <c r="B76" s="33" t="n"/>
      <c r="I76" s="9" t="n"/>
      <c r="L76" s="26">
        <f>IF($C76="","",IFERROR(IF(INDEX(campaigns!$BG$2:$BG$51,MATCH($C76,campaigns!$A$2:$A$51,0))="","",INDEX(campaigns!$BG$2:$BG$51,MATCH($C76,campaigns!$A$2:$A$51,0))),""))</f>
        <v/>
      </c>
      <c r="M76" s="25">
        <f>IF($C76="","",IF(OR($E76="received"),N($G76),IF(OR($E76="rejected",$E76="delivered",$E76="topped_up"),-N($G76),IF(AND(OR($E76="returned_to_brand",$E76="given_to_roster_office",$E76="released_to_office",$E76="disposed"),IF($F76="","reserve",$F76)="reserve"),-N($G76),IF(AND($E76="correction",IF($F76="","reserve",$F76)="reserve"),N($G76),0)))))</f>
        <v/>
      </c>
      <c r="N76" s="25">
        <f>IF($C76="","",IF($E76="rejected",N($G76),IF(AND(OR($E76="returned_to_brand",$E76="given_to_roster_office",$E76="released_to_office",$E76="disposed"),IF($F76="","reserve",$F76)="rejected"),-N($G76),IF(AND($E76="correction",IF($F76="","reserve",$F76)="rejected"),N($G76),0))))</f>
        <v/>
      </c>
      <c r="O76" s="25">
        <f>IF($C76="","",IF($E76="collected",N($G76),IF(AND(OR($E76="returned_to_brand",$E76="given_to_roster_office",$E76="released_to_office",$E76="disposed"),IF($F76="","reserve",$F76)="leftover"),-N($G76),IF(AND($E76="correction",IF($F76="","reserve",$F76)="leftover"),N($G76),0))))</f>
        <v/>
      </c>
      <c r="P76" s="25">
        <f>IF(OR($E76&lt;&gt;"received",$I76="",$L76=""),"",IF($I76&gt;=$L76+config!$B$19,"Y","N"))</f>
        <v/>
      </c>
      <c r="Q76" s="25">
        <f>IF($C76="","",IF(COUNTIF(campaigns!$A$2:$A$51,$C76)=0,"campaign_id not on campaigns; ",IF(AND($D76&lt;&gt;"",COUNTIFS(approvals!$A$2:$A$251,$C76,approvals!$B$2:$B$251,$D76)=0),"office not on this campaign (approvals tab); ",""))&amp;IF(AND(OR($E76="delivered",$E76="topped_up",$E76="collected"),$D76=""),"office needed; ","")&amp;IF(AND($E76&lt;&gt;"correction",N($G76)&lt;=0),"qty must be above 0; ","")&amp;IF(AND($E76="received",OR($I76="",$H76="")),"log lot and best-by; ","")&amp;IF(AND($P76="N",SUMIFS(inventory!$G$2:$G$801,inventory!$C$2:$C$801,$C76,inventory!$H$2:$H$801,$H76,inventory!$E$2:$E$801,"rejected")&lt;N($G76)),"UNDER "&amp;config!$B$19&amp;" DAYS LEFT ON THE DROP DAY: reject these units; ","")&amp;IF(AND($E76="delivered",COUNTIF(inventory!$R$2:$R$801,$R76)&gt;1),"two delivered rows for this office: use one; ","")&amp;IF(AND($E76="delivered",$J76=""),"who counted?; ",""))</f>
        <v/>
      </c>
      <c r="R76" s="25">
        <f>IF($C76="","",$C76&amp;"|"&amp;$D76&amp;"|"&amp;$E76)</f>
        <v/>
      </c>
    </row>
    <row r="77">
      <c r="A77" s="9" t="n"/>
      <c r="B77" s="33" t="n"/>
      <c r="I77" s="9" t="n"/>
      <c r="L77" s="26">
        <f>IF($C77="","",IFERROR(IF(INDEX(campaigns!$BG$2:$BG$51,MATCH($C77,campaigns!$A$2:$A$51,0))="","",INDEX(campaigns!$BG$2:$BG$51,MATCH($C77,campaigns!$A$2:$A$51,0))),""))</f>
        <v/>
      </c>
      <c r="M77" s="25">
        <f>IF($C77="","",IF(OR($E77="received"),N($G77),IF(OR($E77="rejected",$E77="delivered",$E77="topped_up"),-N($G77),IF(AND(OR($E77="returned_to_brand",$E77="given_to_roster_office",$E77="released_to_office",$E77="disposed"),IF($F77="","reserve",$F77)="reserve"),-N($G77),IF(AND($E77="correction",IF($F77="","reserve",$F77)="reserve"),N($G77),0)))))</f>
        <v/>
      </c>
      <c r="N77" s="25">
        <f>IF($C77="","",IF($E77="rejected",N($G77),IF(AND(OR($E77="returned_to_brand",$E77="given_to_roster_office",$E77="released_to_office",$E77="disposed"),IF($F77="","reserve",$F77)="rejected"),-N($G77),IF(AND($E77="correction",IF($F77="","reserve",$F77)="rejected"),N($G77),0))))</f>
        <v/>
      </c>
      <c r="O77" s="25">
        <f>IF($C77="","",IF($E77="collected",N($G77),IF(AND(OR($E77="returned_to_brand",$E77="given_to_roster_office",$E77="released_to_office",$E77="disposed"),IF($F77="","reserve",$F77)="leftover"),-N($G77),IF(AND($E77="correction",IF($F77="","reserve",$F77)="leftover"),N($G77),0))))</f>
        <v/>
      </c>
      <c r="P77" s="25">
        <f>IF(OR($E77&lt;&gt;"received",$I77="",$L77=""),"",IF($I77&gt;=$L77+config!$B$19,"Y","N"))</f>
        <v/>
      </c>
      <c r="Q77" s="25">
        <f>IF($C77="","",IF(COUNTIF(campaigns!$A$2:$A$51,$C77)=0,"campaign_id not on campaigns; ",IF(AND($D77&lt;&gt;"",COUNTIFS(approvals!$A$2:$A$251,$C77,approvals!$B$2:$B$251,$D77)=0),"office not on this campaign (approvals tab); ",""))&amp;IF(AND(OR($E77="delivered",$E77="topped_up",$E77="collected"),$D77=""),"office needed; ","")&amp;IF(AND($E77&lt;&gt;"correction",N($G77)&lt;=0),"qty must be above 0; ","")&amp;IF(AND($E77="received",OR($I77="",$H77="")),"log lot and best-by; ","")&amp;IF(AND($P77="N",SUMIFS(inventory!$G$2:$G$801,inventory!$C$2:$C$801,$C77,inventory!$H$2:$H$801,$H77,inventory!$E$2:$E$801,"rejected")&lt;N($G77)),"UNDER "&amp;config!$B$19&amp;" DAYS LEFT ON THE DROP DAY: reject these units; ","")&amp;IF(AND($E77="delivered",COUNTIF(inventory!$R$2:$R$801,$R77)&gt;1),"two delivered rows for this office: use one; ","")&amp;IF(AND($E77="delivered",$J77=""),"who counted?; ",""))</f>
        <v/>
      </c>
      <c r="R77" s="25">
        <f>IF($C77="","",$C77&amp;"|"&amp;$D77&amp;"|"&amp;$E77)</f>
        <v/>
      </c>
    </row>
    <row r="78">
      <c r="A78" s="9" t="n"/>
      <c r="B78" s="33" t="n"/>
      <c r="I78" s="9" t="n"/>
      <c r="L78" s="26">
        <f>IF($C78="","",IFERROR(IF(INDEX(campaigns!$BG$2:$BG$51,MATCH($C78,campaigns!$A$2:$A$51,0))="","",INDEX(campaigns!$BG$2:$BG$51,MATCH($C78,campaigns!$A$2:$A$51,0))),""))</f>
        <v/>
      </c>
      <c r="M78" s="25">
        <f>IF($C78="","",IF(OR($E78="received"),N($G78),IF(OR($E78="rejected",$E78="delivered",$E78="topped_up"),-N($G78),IF(AND(OR($E78="returned_to_brand",$E78="given_to_roster_office",$E78="released_to_office",$E78="disposed"),IF($F78="","reserve",$F78)="reserve"),-N($G78),IF(AND($E78="correction",IF($F78="","reserve",$F78)="reserve"),N($G78),0)))))</f>
        <v/>
      </c>
      <c r="N78" s="25">
        <f>IF($C78="","",IF($E78="rejected",N($G78),IF(AND(OR($E78="returned_to_brand",$E78="given_to_roster_office",$E78="released_to_office",$E78="disposed"),IF($F78="","reserve",$F78)="rejected"),-N($G78),IF(AND($E78="correction",IF($F78="","reserve",$F78)="rejected"),N($G78),0))))</f>
        <v/>
      </c>
      <c r="O78" s="25">
        <f>IF($C78="","",IF($E78="collected",N($G78),IF(AND(OR($E78="returned_to_brand",$E78="given_to_roster_office",$E78="released_to_office",$E78="disposed"),IF($F78="","reserve",$F78)="leftover"),-N($G78),IF(AND($E78="correction",IF($F78="","reserve",$F78)="leftover"),N($G78),0))))</f>
        <v/>
      </c>
      <c r="P78" s="25">
        <f>IF(OR($E78&lt;&gt;"received",$I78="",$L78=""),"",IF($I78&gt;=$L78+config!$B$19,"Y","N"))</f>
        <v/>
      </c>
      <c r="Q78" s="25">
        <f>IF($C78="","",IF(COUNTIF(campaigns!$A$2:$A$51,$C78)=0,"campaign_id not on campaigns; ",IF(AND($D78&lt;&gt;"",COUNTIFS(approvals!$A$2:$A$251,$C78,approvals!$B$2:$B$251,$D78)=0),"office not on this campaign (approvals tab); ",""))&amp;IF(AND(OR($E78="delivered",$E78="topped_up",$E78="collected"),$D78=""),"office needed; ","")&amp;IF(AND($E78&lt;&gt;"correction",N($G78)&lt;=0),"qty must be above 0; ","")&amp;IF(AND($E78="received",OR($I78="",$H78="")),"log lot and best-by; ","")&amp;IF(AND($P78="N",SUMIFS(inventory!$G$2:$G$801,inventory!$C$2:$C$801,$C78,inventory!$H$2:$H$801,$H78,inventory!$E$2:$E$801,"rejected")&lt;N($G78)),"UNDER "&amp;config!$B$19&amp;" DAYS LEFT ON THE DROP DAY: reject these units; ","")&amp;IF(AND($E78="delivered",COUNTIF(inventory!$R$2:$R$801,$R78)&gt;1),"two delivered rows for this office: use one; ","")&amp;IF(AND($E78="delivered",$J78=""),"who counted?; ",""))</f>
        <v/>
      </c>
      <c r="R78" s="25">
        <f>IF($C78="","",$C78&amp;"|"&amp;$D78&amp;"|"&amp;$E78)</f>
        <v/>
      </c>
    </row>
    <row r="79">
      <c r="A79" s="9" t="n"/>
      <c r="B79" s="33" t="n"/>
      <c r="I79" s="9" t="n"/>
      <c r="L79" s="26">
        <f>IF($C79="","",IFERROR(IF(INDEX(campaigns!$BG$2:$BG$51,MATCH($C79,campaigns!$A$2:$A$51,0))="","",INDEX(campaigns!$BG$2:$BG$51,MATCH($C79,campaigns!$A$2:$A$51,0))),""))</f>
        <v/>
      </c>
      <c r="M79" s="25">
        <f>IF($C79="","",IF(OR($E79="received"),N($G79),IF(OR($E79="rejected",$E79="delivered",$E79="topped_up"),-N($G79),IF(AND(OR($E79="returned_to_brand",$E79="given_to_roster_office",$E79="released_to_office",$E79="disposed"),IF($F79="","reserve",$F79)="reserve"),-N($G79),IF(AND($E79="correction",IF($F79="","reserve",$F79)="reserve"),N($G79),0)))))</f>
        <v/>
      </c>
      <c r="N79" s="25">
        <f>IF($C79="","",IF($E79="rejected",N($G79),IF(AND(OR($E79="returned_to_brand",$E79="given_to_roster_office",$E79="released_to_office",$E79="disposed"),IF($F79="","reserve",$F79)="rejected"),-N($G79),IF(AND($E79="correction",IF($F79="","reserve",$F79)="rejected"),N($G79),0))))</f>
        <v/>
      </c>
      <c r="O79" s="25">
        <f>IF($C79="","",IF($E79="collected",N($G79),IF(AND(OR($E79="returned_to_brand",$E79="given_to_roster_office",$E79="released_to_office",$E79="disposed"),IF($F79="","reserve",$F79)="leftover"),-N($G79),IF(AND($E79="correction",IF($F79="","reserve",$F79)="leftover"),N($G79),0))))</f>
        <v/>
      </c>
      <c r="P79" s="25">
        <f>IF(OR($E79&lt;&gt;"received",$I79="",$L79=""),"",IF($I79&gt;=$L79+config!$B$19,"Y","N"))</f>
        <v/>
      </c>
      <c r="Q79" s="25">
        <f>IF($C79="","",IF(COUNTIF(campaigns!$A$2:$A$51,$C79)=0,"campaign_id not on campaigns; ",IF(AND($D79&lt;&gt;"",COUNTIFS(approvals!$A$2:$A$251,$C79,approvals!$B$2:$B$251,$D79)=0),"office not on this campaign (approvals tab); ",""))&amp;IF(AND(OR($E79="delivered",$E79="topped_up",$E79="collected"),$D79=""),"office needed; ","")&amp;IF(AND($E79&lt;&gt;"correction",N($G79)&lt;=0),"qty must be above 0; ","")&amp;IF(AND($E79="received",OR($I79="",$H79="")),"log lot and best-by; ","")&amp;IF(AND($P79="N",SUMIFS(inventory!$G$2:$G$801,inventory!$C$2:$C$801,$C79,inventory!$H$2:$H$801,$H79,inventory!$E$2:$E$801,"rejected")&lt;N($G79)),"UNDER "&amp;config!$B$19&amp;" DAYS LEFT ON THE DROP DAY: reject these units; ","")&amp;IF(AND($E79="delivered",COUNTIF(inventory!$R$2:$R$801,$R79)&gt;1),"two delivered rows for this office: use one; ","")&amp;IF(AND($E79="delivered",$J79=""),"who counted?; ",""))</f>
        <v/>
      </c>
      <c r="R79" s="25">
        <f>IF($C79="","",$C79&amp;"|"&amp;$D79&amp;"|"&amp;$E79)</f>
        <v/>
      </c>
    </row>
    <row r="80">
      <c r="A80" s="9" t="n"/>
      <c r="B80" s="33" t="n"/>
      <c r="I80" s="9" t="n"/>
      <c r="L80" s="26">
        <f>IF($C80="","",IFERROR(IF(INDEX(campaigns!$BG$2:$BG$51,MATCH($C80,campaigns!$A$2:$A$51,0))="","",INDEX(campaigns!$BG$2:$BG$51,MATCH($C80,campaigns!$A$2:$A$51,0))),""))</f>
        <v/>
      </c>
      <c r="M80" s="25">
        <f>IF($C80="","",IF(OR($E80="received"),N($G80),IF(OR($E80="rejected",$E80="delivered",$E80="topped_up"),-N($G80),IF(AND(OR($E80="returned_to_brand",$E80="given_to_roster_office",$E80="released_to_office",$E80="disposed"),IF($F80="","reserve",$F80)="reserve"),-N($G80),IF(AND($E80="correction",IF($F80="","reserve",$F80)="reserve"),N($G80),0)))))</f>
        <v/>
      </c>
      <c r="N80" s="25">
        <f>IF($C80="","",IF($E80="rejected",N($G80),IF(AND(OR($E80="returned_to_brand",$E80="given_to_roster_office",$E80="released_to_office",$E80="disposed"),IF($F80="","reserve",$F80)="rejected"),-N($G80),IF(AND($E80="correction",IF($F80="","reserve",$F80)="rejected"),N($G80),0))))</f>
        <v/>
      </c>
      <c r="O80" s="25">
        <f>IF($C80="","",IF($E80="collected",N($G80),IF(AND(OR($E80="returned_to_brand",$E80="given_to_roster_office",$E80="released_to_office",$E80="disposed"),IF($F80="","reserve",$F80)="leftover"),-N($G80),IF(AND($E80="correction",IF($F80="","reserve",$F80)="leftover"),N($G80),0))))</f>
        <v/>
      </c>
      <c r="P80" s="25">
        <f>IF(OR($E80&lt;&gt;"received",$I80="",$L80=""),"",IF($I80&gt;=$L80+config!$B$19,"Y","N"))</f>
        <v/>
      </c>
      <c r="Q80" s="25">
        <f>IF($C80="","",IF(COUNTIF(campaigns!$A$2:$A$51,$C80)=0,"campaign_id not on campaigns; ",IF(AND($D80&lt;&gt;"",COUNTIFS(approvals!$A$2:$A$251,$C80,approvals!$B$2:$B$251,$D80)=0),"office not on this campaign (approvals tab); ",""))&amp;IF(AND(OR($E80="delivered",$E80="topped_up",$E80="collected"),$D80=""),"office needed; ","")&amp;IF(AND($E80&lt;&gt;"correction",N($G80)&lt;=0),"qty must be above 0; ","")&amp;IF(AND($E80="received",OR($I80="",$H80="")),"log lot and best-by; ","")&amp;IF(AND($P80="N",SUMIFS(inventory!$G$2:$G$801,inventory!$C$2:$C$801,$C80,inventory!$H$2:$H$801,$H80,inventory!$E$2:$E$801,"rejected")&lt;N($G80)),"UNDER "&amp;config!$B$19&amp;" DAYS LEFT ON THE DROP DAY: reject these units; ","")&amp;IF(AND($E80="delivered",COUNTIF(inventory!$R$2:$R$801,$R80)&gt;1),"two delivered rows for this office: use one; ","")&amp;IF(AND($E80="delivered",$J80=""),"who counted?; ",""))</f>
        <v/>
      </c>
      <c r="R80" s="25">
        <f>IF($C80="","",$C80&amp;"|"&amp;$D80&amp;"|"&amp;$E80)</f>
        <v/>
      </c>
    </row>
    <row r="81">
      <c r="A81" s="9" t="n"/>
      <c r="B81" s="33" t="n"/>
      <c r="I81" s="9" t="n"/>
      <c r="L81" s="26">
        <f>IF($C81="","",IFERROR(IF(INDEX(campaigns!$BG$2:$BG$51,MATCH($C81,campaigns!$A$2:$A$51,0))="","",INDEX(campaigns!$BG$2:$BG$51,MATCH($C81,campaigns!$A$2:$A$51,0))),""))</f>
        <v/>
      </c>
      <c r="M81" s="25">
        <f>IF($C81="","",IF(OR($E81="received"),N($G81),IF(OR($E81="rejected",$E81="delivered",$E81="topped_up"),-N($G81),IF(AND(OR($E81="returned_to_brand",$E81="given_to_roster_office",$E81="released_to_office",$E81="disposed"),IF($F81="","reserve",$F81)="reserve"),-N($G81),IF(AND($E81="correction",IF($F81="","reserve",$F81)="reserve"),N($G81),0)))))</f>
        <v/>
      </c>
      <c r="N81" s="25">
        <f>IF($C81="","",IF($E81="rejected",N($G81),IF(AND(OR($E81="returned_to_brand",$E81="given_to_roster_office",$E81="released_to_office",$E81="disposed"),IF($F81="","reserve",$F81)="rejected"),-N($G81),IF(AND($E81="correction",IF($F81="","reserve",$F81)="rejected"),N($G81),0))))</f>
        <v/>
      </c>
      <c r="O81" s="25">
        <f>IF($C81="","",IF($E81="collected",N($G81),IF(AND(OR($E81="returned_to_brand",$E81="given_to_roster_office",$E81="released_to_office",$E81="disposed"),IF($F81="","reserve",$F81)="leftover"),-N($G81),IF(AND($E81="correction",IF($F81="","reserve",$F81)="leftover"),N($G81),0))))</f>
        <v/>
      </c>
      <c r="P81" s="25">
        <f>IF(OR($E81&lt;&gt;"received",$I81="",$L81=""),"",IF($I81&gt;=$L81+config!$B$19,"Y","N"))</f>
        <v/>
      </c>
      <c r="Q81" s="25">
        <f>IF($C81="","",IF(COUNTIF(campaigns!$A$2:$A$51,$C81)=0,"campaign_id not on campaigns; ",IF(AND($D81&lt;&gt;"",COUNTIFS(approvals!$A$2:$A$251,$C81,approvals!$B$2:$B$251,$D81)=0),"office not on this campaign (approvals tab); ",""))&amp;IF(AND(OR($E81="delivered",$E81="topped_up",$E81="collected"),$D81=""),"office needed; ","")&amp;IF(AND($E81&lt;&gt;"correction",N($G81)&lt;=0),"qty must be above 0; ","")&amp;IF(AND($E81="received",OR($I81="",$H81="")),"log lot and best-by; ","")&amp;IF(AND($P81="N",SUMIFS(inventory!$G$2:$G$801,inventory!$C$2:$C$801,$C81,inventory!$H$2:$H$801,$H81,inventory!$E$2:$E$801,"rejected")&lt;N($G81)),"UNDER "&amp;config!$B$19&amp;" DAYS LEFT ON THE DROP DAY: reject these units; ","")&amp;IF(AND($E81="delivered",COUNTIF(inventory!$R$2:$R$801,$R81)&gt;1),"two delivered rows for this office: use one; ","")&amp;IF(AND($E81="delivered",$J81=""),"who counted?; ",""))</f>
        <v/>
      </c>
      <c r="R81" s="25">
        <f>IF($C81="","",$C81&amp;"|"&amp;$D81&amp;"|"&amp;$E81)</f>
        <v/>
      </c>
    </row>
    <row r="82">
      <c r="A82" s="9" t="n"/>
      <c r="B82" s="33" t="n"/>
      <c r="I82" s="9" t="n"/>
      <c r="L82" s="26">
        <f>IF($C82="","",IFERROR(IF(INDEX(campaigns!$BG$2:$BG$51,MATCH($C82,campaigns!$A$2:$A$51,0))="","",INDEX(campaigns!$BG$2:$BG$51,MATCH($C82,campaigns!$A$2:$A$51,0))),""))</f>
        <v/>
      </c>
      <c r="M82" s="25">
        <f>IF($C82="","",IF(OR($E82="received"),N($G82),IF(OR($E82="rejected",$E82="delivered",$E82="topped_up"),-N($G82),IF(AND(OR($E82="returned_to_brand",$E82="given_to_roster_office",$E82="released_to_office",$E82="disposed"),IF($F82="","reserve",$F82)="reserve"),-N($G82),IF(AND($E82="correction",IF($F82="","reserve",$F82)="reserve"),N($G82),0)))))</f>
        <v/>
      </c>
      <c r="N82" s="25">
        <f>IF($C82="","",IF($E82="rejected",N($G82),IF(AND(OR($E82="returned_to_brand",$E82="given_to_roster_office",$E82="released_to_office",$E82="disposed"),IF($F82="","reserve",$F82)="rejected"),-N($G82),IF(AND($E82="correction",IF($F82="","reserve",$F82)="rejected"),N($G82),0))))</f>
        <v/>
      </c>
      <c r="O82" s="25">
        <f>IF($C82="","",IF($E82="collected",N($G82),IF(AND(OR($E82="returned_to_brand",$E82="given_to_roster_office",$E82="released_to_office",$E82="disposed"),IF($F82="","reserve",$F82)="leftover"),-N($G82),IF(AND($E82="correction",IF($F82="","reserve",$F82)="leftover"),N($G82),0))))</f>
        <v/>
      </c>
      <c r="P82" s="25">
        <f>IF(OR($E82&lt;&gt;"received",$I82="",$L82=""),"",IF($I82&gt;=$L82+config!$B$19,"Y","N"))</f>
        <v/>
      </c>
      <c r="Q82" s="25">
        <f>IF($C82="","",IF(COUNTIF(campaigns!$A$2:$A$51,$C82)=0,"campaign_id not on campaigns; ",IF(AND($D82&lt;&gt;"",COUNTIFS(approvals!$A$2:$A$251,$C82,approvals!$B$2:$B$251,$D82)=0),"office not on this campaign (approvals tab); ",""))&amp;IF(AND(OR($E82="delivered",$E82="topped_up",$E82="collected"),$D82=""),"office needed; ","")&amp;IF(AND($E82&lt;&gt;"correction",N($G82)&lt;=0),"qty must be above 0; ","")&amp;IF(AND($E82="received",OR($I82="",$H82="")),"log lot and best-by; ","")&amp;IF(AND($P82="N",SUMIFS(inventory!$G$2:$G$801,inventory!$C$2:$C$801,$C82,inventory!$H$2:$H$801,$H82,inventory!$E$2:$E$801,"rejected")&lt;N($G82)),"UNDER "&amp;config!$B$19&amp;" DAYS LEFT ON THE DROP DAY: reject these units; ","")&amp;IF(AND($E82="delivered",COUNTIF(inventory!$R$2:$R$801,$R82)&gt;1),"two delivered rows for this office: use one; ","")&amp;IF(AND($E82="delivered",$J82=""),"who counted?; ",""))</f>
        <v/>
      </c>
      <c r="R82" s="25">
        <f>IF($C82="","",$C82&amp;"|"&amp;$D82&amp;"|"&amp;$E82)</f>
        <v/>
      </c>
    </row>
    <row r="83">
      <c r="A83" s="9" t="n"/>
      <c r="B83" s="33" t="n"/>
      <c r="I83" s="9" t="n"/>
      <c r="L83" s="26">
        <f>IF($C83="","",IFERROR(IF(INDEX(campaigns!$BG$2:$BG$51,MATCH($C83,campaigns!$A$2:$A$51,0))="","",INDEX(campaigns!$BG$2:$BG$51,MATCH($C83,campaigns!$A$2:$A$51,0))),""))</f>
        <v/>
      </c>
      <c r="M83" s="25">
        <f>IF($C83="","",IF(OR($E83="received"),N($G83),IF(OR($E83="rejected",$E83="delivered",$E83="topped_up"),-N($G83),IF(AND(OR($E83="returned_to_brand",$E83="given_to_roster_office",$E83="released_to_office",$E83="disposed"),IF($F83="","reserve",$F83)="reserve"),-N($G83),IF(AND($E83="correction",IF($F83="","reserve",$F83)="reserve"),N($G83),0)))))</f>
        <v/>
      </c>
      <c r="N83" s="25">
        <f>IF($C83="","",IF($E83="rejected",N($G83),IF(AND(OR($E83="returned_to_brand",$E83="given_to_roster_office",$E83="released_to_office",$E83="disposed"),IF($F83="","reserve",$F83)="rejected"),-N($G83),IF(AND($E83="correction",IF($F83="","reserve",$F83)="rejected"),N($G83),0))))</f>
        <v/>
      </c>
      <c r="O83" s="25">
        <f>IF($C83="","",IF($E83="collected",N($G83),IF(AND(OR($E83="returned_to_brand",$E83="given_to_roster_office",$E83="released_to_office",$E83="disposed"),IF($F83="","reserve",$F83)="leftover"),-N($G83),IF(AND($E83="correction",IF($F83="","reserve",$F83)="leftover"),N($G83),0))))</f>
        <v/>
      </c>
      <c r="P83" s="25">
        <f>IF(OR($E83&lt;&gt;"received",$I83="",$L83=""),"",IF($I83&gt;=$L83+config!$B$19,"Y","N"))</f>
        <v/>
      </c>
      <c r="Q83" s="25">
        <f>IF($C83="","",IF(COUNTIF(campaigns!$A$2:$A$51,$C83)=0,"campaign_id not on campaigns; ",IF(AND($D83&lt;&gt;"",COUNTIFS(approvals!$A$2:$A$251,$C83,approvals!$B$2:$B$251,$D83)=0),"office not on this campaign (approvals tab); ",""))&amp;IF(AND(OR($E83="delivered",$E83="topped_up",$E83="collected"),$D83=""),"office needed; ","")&amp;IF(AND($E83&lt;&gt;"correction",N($G83)&lt;=0),"qty must be above 0; ","")&amp;IF(AND($E83="received",OR($I83="",$H83="")),"log lot and best-by; ","")&amp;IF(AND($P83="N",SUMIFS(inventory!$G$2:$G$801,inventory!$C$2:$C$801,$C83,inventory!$H$2:$H$801,$H83,inventory!$E$2:$E$801,"rejected")&lt;N($G83)),"UNDER "&amp;config!$B$19&amp;" DAYS LEFT ON THE DROP DAY: reject these units; ","")&amp;IF(AND($E83="delivered",COUNTIF(inventory!$R$2:$R$801,$R83)&gt;1),"two delivered rows for this office: use one; ","")&amp;IF(AND($E83="delivered",$J83=""),"who counted?; ",""))</f>
        <v/>
      </c>
      <c r="R83" s="25">
        <f>IF($C83="","",$C83&amp;"|"&amp;$D83&amp;"|"&amp;$E83)</f>
        <v/>
      </c>
    </row>
    <row r="84">
      <c r="A84" s="9" t="n"/>
      <c r="B84" s="33" t="n"/>
      <c r="I84" s="9" t="n"/>
      <c r="L84" s="26">
        <f>IF($C84="","",IFERROR(IF(INDEX(campaigns!$BG$2:$BG$51,MATCH($C84,campaigns!$A$2:$A$51,0))="","",INDEX(campaigns!$BG$2:$BG$51,MATCH($C84,campaigns!$A$2:$A$51,0))),""))</f>
        <v/>
      </c>
      <c r="M84" s="25">
        <f>IF($C84="","",IF(OR($E84="received"),N($G84),IF(OR($E84="rejected",$E84="delivered",$E84="topped_up"),-N($G84),IF(AND(OR($E84="returned_to_brand",$E84="given_to_roster_office",$E84="released_to_office",$E84="disposed"),IF($F84="","reserve",$F84)="reserve"),-N($G84),IF(AND($E84="correction",IF($F84="","reserve",$F84)="reserve"),N($G84),0)))))</f>
        <v/>
      </c>
      <c r="N84" s="25">
        <f>IF($C84="","",IF($E84="rejected",N($G84),IF(AND(OR($E84="returned_to_brand",$E84="given_to_roster_office",$E84="released_to_office",$E84="disposed"),IF($F84="","reserve",$F84)="rejected"),-N($G84),IF(AND($E84="correction",IF($F84="","reserve",$F84)="rejected"),N($G84),0))))</f>
        <v/>
      </c>
      <c r="O84" s="25">
        <f>IF($C84="","",IF($E84="collected",N($G84),IF(AND(OR($E84="returned_to_brand",$E84="given_to_roster_office",$E84="released_to_office",$E84="disposed"),IF($F84="","reserve",$F84)="leftover"),-N($G84),IF(AND($E84="correction",IF($F84="","reserve",$F84)="leftover"),N($G84),0))))</f>
        <v/>
      </c>
      <c r="P84" s="25">
        <f>IF(OR($E84&lt;&gt;"received",$I84="",$L84=""),"",IF($I84&gt;=$L84+config!$B$19,"Y","N"))</f>
        <v/>
      </c>
      <c r="Q84" s="25">
        <f>IF($C84="","",IF(COUNTIF(campaigns!$A$2:$A$51,$C84)=0,"campaign_id not on campaigns; ",IF(AND($D84&lt;&gt;"",COUNTIFS(approvals!$A$2:$A$251,$C84,approvals!$B$2:$B$251,$D84)=0),"office not on this campaign (approvals tab); ",""))&amp;IF(AND(OR($E84="delivered",$E84="topped_up",$E84="collected"),$D84=""),"office needed; ","")&amp;IF(AND($E84&lt;&gt;"correction",N($G84)&lt;=0),"qty must be above 0; ","")&amp;IF(AND($E84="received",OR($I84="",$H84="")),"log lot and best-by; ","")&amp;IF(AND($P84="N",SUMIFS(inventory!$G$2:$G$801,inventory!$C$2:$C$801,$C84,inventory!$H$2:$H$801,$H84,inventory!$E$2:$E$801,"rejected")&lt;N($G84)),"UNDER "&amp;config!$B$19&amp;" DAYS LEFT ON THE DROP DAY: reject these units; ","")&amp;IF(AND($E84="delivered",COUNTIF(inventory!$R$2:$R$801,$R84)&gt;1),"two delivered rows for this office: use one; ","")&amp;IF(AND($E84="delivered",$J84=""),"who counted?; ",""))</f>
        <v/>
      </c>
      <c r="R84" s="25">
        <f>IF($C84="","",$C84&amp;"|"&amp;$D84&amp;"|"&amp;$E84)</f>
        <v/>
      </c>
    </row>
    <row r="85">
      <c r="A85" s="9" t="n"/>
      <c r="B85" s="33" t="n"/>
      <c r="I85" s="9" t="n"/>
      <c r="L85" s="26">
        <f>IF($C85="","",IFERROR(IF(INDEX(campaigns!$BG$2:$BG$51,MATCH($C85,campaigns!$A$2:$A$51,0))="","",INDEX(campaigns!$BG$2:$BG$51,MATCH($C85,campaigns!$A$2:$A$51,0))),""))</f>
        <v/>
      </c>
      <c r="M85" s="25">
        <f>IF($C85="","",IF(OR($E85="received"),N($G85),IF(OR($E85="rejected",$E85="delivered",$E85="topped_up"),-N($G85),IF(AND(OR($E85="returned_to_brand",$E85="given_to_roster_office",$E85="released_to_office",$E85="disposed"),IF($F85="","reserve",$F85)="reserve"),-N($G85),IF(AND($E85="correction",IF($F85="","reserve",$F85)="reserve"),N($G85),0)))))</f>
        <v/>
      </c>
      <c r="N85" s="25">
        <f>IF($C85="","",IF($E85="rejected",N($G85),IF(AND(OR($E85="returned_to_brand",$E85="given_to_roster_office",$E85="released_to_office",$E85="disposed"),IF($F85="","reserve",$F85)="rejected"),-N($G85),IF(AND($E85="correction",IF($F85="","reserve",$F85)="rejected"),N($G85),0))))</f>
        <v/>
      </c>
      <c r="O85" s="25">
        <f>IF($C85="","",IF($E85="collected",N($G85),IF(AND(OR($E85="returned_to_brand",$E85="given_to_roster_office",$E85="released_to_office",$E85="disposed"),IF($F85="","reserve",$F85)="leftover"),-N($G85),IF(AND($E85="correction",IF($F85="","reserve",$F85)="leftover"),N($G85),0))))</f>
        <v/>
      </c>
      <c r="P85" s="25">
        <f>IF(OR($E85&lt;&gt;"received",$I85="",$L85=""),"",IF($I85&gt;=$L85+config!$B$19,"Y","N"))</f>
        <v/>
      </c>
      <c r="Q85" s="25">
        <f>IF($C85="","",IF(COUNTIF(campaigns!$A$2:$A$51,$C85)=0,"campaign_id not on campaigns; ",IF(AND($D85&lt;&gt;"",COUNTIFS(approvals!$A$2:$A$251,$C85,approvals!$B$2:$B$251,$D85)=0),"office not on this campaign (approvals tab); ",""))&amp;IF(AND(OR($E85="delivered",$E85="topped_up",$E85="collected"),$D85=""),"office needed; ","")&amp;IF(AND($E85&lt;&gt;"correction",N($G85)&lt;=0),"qty must be above 0; ","")&amp;IF(AND($E85="received",OR($I85="",$H85="")),"log lot and best-by; ","")&amp;IF(AND($P85="N",SUMIFS(inventory!$G$2:$G$801,inventory!$C$2:$C$801,$C85,inventory!$H$2:$H$801,$H85,inventory!$E$2:$E$801,"rejected")&lt;N($G85)),"UNDER "&amp;config!$B$19&amp;" DAYS LEFT ON THE DROP DAY: reject these units; ","")&amp;IF(AND($E85="delivered",COUNTIF(inventory!$R$2:$R$801,$R85)&gt;1),"two delivered rows for this office: use one; ","")&amp;IF(AND($E85="delivered",$J85=""),"who counted?; ",""))</f>
        <v/>
      </c>
      <c r="R85" s="25">
        <f>IF($C85="","",$C85&amp;"|"&amp;$D85&amp;"|"&amp;$E85)</f>
        <v/>
      </c>
    </row>
    <row r="86">
      <c r="A86" s="9" t="n"/>
      <c r="B86" s="33" t="n"/>
      <c r="I86" s="9" t="n"/>
      <c r="L86" s="26">
        <f>IF($C86="","",IFERROR(IF(INDEX(campaigns!$BG$2:$BG$51,MATCH($C86,campaigns!$A$2:$A$51,0))="","",INDEX(campaigns!$BG$2:$BG$51,MATCH($C86,campaigns!$A$2:$A$51,0))),""))</f>
        <v/>
      </c>
      <c r="M86" s="25">
        <f>IF($C86="","",IF(OR($E86="received"),N($G86),IF(OR($E86="rejected",$E86="delivered",$E86="topped_up"),-N($G86),IF(AND(OR($E86="returned_to_brand",$E86="given_to_roster_office",$E86="released_to_office",$E86="disposed"),IF($F86="","reserve",$F86)="reserve"),-N($G86),IF(AND($E86="correction",IF($F86="","reserve",$F86)="reserve"),N($G86),0)))))</f>
        <v/>
      </c>
      <c r="N86" s="25">
        <f>IF($C86="","",IF($E86="rejected",N($G86),IF(AND(OR($E86="returned_to_brand",$E86="given_to_roster_office",$E86="released_to_office",$E86="disposed"),IF($F86="","reserve",$F86)="rejected"),-N($G86),IF(AND($E86="correction",IF($F86="","reserve",$F86)="rejected"),N($G86),0))))</f>
        <v/>
      </c>
      <c r="O86" s="25">
        <f>IF($C86="","",IF($E86="collected",N($G86),IF(AND(OR($E86="returned_to_brand",$E86="given_to_roster_office",$E86="released_to_office",$E86="disposed"),IF($F86="","reserve",$F86)="leftover"),-N($G86),IF(AND($E86="correction",IF($F86="","reserve",$F86)="leftover"),N($G86),0))))</f>
        <v/>
      </c>
      <c r="P86" s="25">
        <f>IF(OR($E86&lt;&gt;"received",$I86="",$L86=""),"",IF($I86&gt;=$L86+config!$B$19,"Y","N"))</f>
        <v/>
      </c>
      <c r="Q86" s="25">
        <f>IF($C86="","",IF(COUNTIF(campaigns!$A$2:$A$51,$C86)=0,"campaign_id not on campaigns; ",IF(AND($D86&lt;&gt;"",COUNTIFS(approvals!$A$2:$A$251,$C86,approvals!$B$2:$B$251,$D86)=0),"office not on this campaign (approvals tab); ",""))&amp;IF(AND(OR($E86="delivered",$E86="topped_up",$E86="collected"),$D86=""),"office needed; ","")&amp;IF(AND($E86&lt;&gt;"correction",N($G86)&lt;=0),"qty must be above 0; ","")&amp;IF(AND($E86="received",OR($I86="",$H86="")),"log lot and best-by; ","")&amp;IF(AND($P86="N",SUMIFS(inventory!$G$2:$G$801,inventory!$C$2:$C$801,$C86,inventory!$H$2:$H$801,$H86,inventory!$E$2:$E$801,"rejected")&lt;N($G86)),"UNDER "&amp;config!$B$19&amp;" DAYS LEFT ON THE DROP DAY: reject these units; ","")&amp;IF(AND($E86="delivered",COUNTIF(inventory!$R$2:$R$801,$R86)&gt;1),"two delivered rows for this office: use one; ","")&amp;IF(AND($E86="delivered",$J86=""),"who counted?; ",""))</f>
        <v/>
      </c>
      <c r="R86" s="25">
        <f>IF($C86="","",$C86&amp;"|"&amp;$D86&amp;"|"&amp;$E86)</f>
        <v/>
      </c>
    </row>
    <row r="87">
      <c r="A87" s="9" t="n"/>
      <c r="B87" s="33" t="n"/>
      <c r="I87" s="9" t="n"/>
      <c r="L87" s="26">
        <f>IF($C87="","",IFERROR(IF(INDEX(campaigns!$BG$2:$BG$51,MATCH($C87,campaigns!$A$2:$A$51,0))="","",INDEX(campaigns!$BG$2:$BG$51,MATCH($C87,campaigns!$A$2:$A$51,0))),""))</f>
        <v/>
      </c>
      <c r="M87" s="25">
        <f>IF($C87="","",IF(OR($E87="received"),N($G87),IF(OR($E87="rejected",$E87="delivered",$E87="topped_up"),-N($G87),IF(AND(OR($E87="returned_to_brand",$E87="given_to_roster_office",$E87="released_to_office",$E87="disposed"),IF($F87="","reserve",$F87)="reserve"),-N($G87),IF(AND($E87="correction",IF($F87="","reserve",$F87)="reserve"),N($G87),0)))))</f>
        <v/>
      </c>
      <c r="N87" s="25">
        <f>IF($C87="","",IF($E87="rejected",N($G87),IF(AND(OR($E87="returned_to_brand",$E87="given_to_roster_office",$E87="released_to_office",$E87="disposed"),IF($F87="","reserve",$F87)="rejected"),-N($G87),IF(AND($E87="correction",IF($F87="","reserve",$F87)="rejected"),N($G87),0))))</f>
        <v/>
      </c>
      <c r="O87" s="25">
        <f>IF($C87="","",IF($E87="collected",N($G87),IF(AND(OR($E87="returned_to_brand",$E87="given_to_roster_office",$E87="released_to_office",$E87="disposed"),IF($F87="","reserve",$F87)="leftover"),-N($G87),IF(AND($E87="correction",IF($F87="","reserve",$F87)="leftover"),N($G87),0))))</f>
        <v/>
      </c>
      <c r="P87" s="25">
        <f>IF(OR($E87&lt;&gt;"received",$I87="",$L87=""),"",IF($I87&gt;=$L87+config!$B$19,"Y","N"))</f>
        <v/>
      </c>
      <c r="Q87" s="25">
        <f>IF($C87="","",IF(COUNTIF(campaigns!$A$2:$A$51,$C87)=0,"campaign_id not on campaigns; ",IF(AND($D87&lt;&gt;"",COUNTIFS(approvals!$A$2:$A$251,$C87,approvals!$B$2:$B$251,$D87)=0),"office not on this campaign (approvals tab); ",""))&amp;IF(AND(OR($E87="delivered",$E87="topped_up",$E87="collected"),$D87=""),"office needed; ","")&amp;IF(AND($E87&lt;&gt;"correction",N($G87)&lt;=0),"qty must be above 0; ","")&amp;IF(AND($E87="received",OR($I87="",$H87="")),"log lot and best-by; ","")&amp;IF(AND($P87="N",SUMIFS(inventory!$G$2:$G$801,inventory!$C$2:$C$801,$C87,inventory!$H$2:$H$801,$H87,inventory!$E$2:$E$801,"rejected")&lt;N($G87)),"UNDER "&amp;config!$B$19&amp;" DAYS LEFT ON THE DROP DAY: reject these units; ","")&amp;IF(AND($E87="delivered",COUNTIF(inventory!$R$2:$R$801,$R87)&gt;1),"two delivered rows for this office: use one; ","")&amp;IF(AND($E87="delivered",$J87=""),"who counted?; ",""))</f>
        <v/>
      </c>
      <c r="R87" s="25">
        <f>IF($C87="","",$C87&amp;"|"&amp;$D87&amp;"|"&amp;$E87)</f>
        <v/>
      </c>
    </row>
    <row r="88">
      <c r="A88" s="9" t="n"/>
      <c r="B88" s="33" t="n"/>
      <c r="I88" s="9" t="n"/>
      <c r="L88" s="26">
        <f>IF($C88="","",IFERROR(IF(INDEX(campaigns!$BG$2:$BG$51,MATCH($C88,campaigns!$A$2:$A$51,0))="","",INDEX(campaigns!$BG$2:$BG$51,MATCH($C88,campaigns!$A$2:$A$51,0))),""))</f>
        <v/>
      </c>
      <c r="M88" s="25">
        <f>IF($C88="","",IF(OR($E88="received"),N($G88),IF(OR($E88="rejected",$E88="delivered",$E88="topped_up"),-N($G88),IF(AND(OR($E88="returned_to_brand",$E88="given_to_roster_office",$E88="released_to_office",$E88="disposed"),IF($F88="","reserve",$F88)="reserve"),-N($G88),IF(AND($E88="correction",IF($F88="","reserve",$F88)="reserve"),N($G88),0)))))</f>
        <v/>
      </c>
      <c r="N88" s="25">
        <f>IF($C88="","",IF($E88="rejected",N($G88),IF(AND(OR($E88="returned_to_brand",$E88="given_to_roster_office",$E88="released_to_office",$E88="disposed"),IF($F88="","reserve",$F88)="rejected"),-N($G88),IF(AND($E88="correction",IF($F88="","reserve",$F88)="rejected"),N($G88),0))))</f>
        <v/>
      </c>
      <c r="O88" s="25">
        <f>IF($C88="","",IF($E88="collected",N($G88),IF(AND(OR($E88="returned_to_brand",$E88="given_to_roster_office",$E88="released_to_office",$E88="disposed"),IF($F88="","reserve",$F88)="leftover"),-N($G88),IF(AND($E88="correction",IF($F88="","reserve",$F88)="leftover"),N($G88),0))))</f>
        <v/>
      </c>
      <c r="P88" s="25">
        <f>IF(OR($E88&lt;&gt;"received",$I88="",$L88=""),"",IF($I88&gt;=$L88+config!$B$19,"Y","N"))</f>
        <v/>
      </c>
      <c r="Q88" s="25">
        <f>IF($C88="","",IF(COUNTIF(campaigns!$A$2:$A$51,$C88)=0,"campaign_id not on campaigns; ",IF(AND($D88&lt;&gt;"",COUNTIFS(approvals!$A$2:$A$251,$C88,approvals!$B$2:$B$251,$D88)=0),"office not on this campaign (approvals tab); ",""))&amp;IF(AND(OR($E88="delivered",$E88="topped_up",$E88="collected"),$D88=""),"office needed; ","")&amp;IF(AND($E88&lt;&gt;"correction",N($G88)&lt;=0),"qty must be above 0; ","")&amp;IF(AND($E88="received",OR($I88="",$H88="")),"log lot and best-by; ","")&amp;IF(AND($P88="N",SUMIFS(inventory!$G$2:$G$801,inventory!$C$2:$C$801,$C88,inventory!$H$2:$H$801,$H88,inventory!$E$2:$E$801,"rejected")&lt;N($G88)),"UNDER "&amp;config!$B$19&amp;" DAYS LEFT ON THE DROP DAY: reject these units; ","")&amp;IF(AND($E88="delivered",COUNTIF(inventory!$R$2:$R$801,$R88)&gt;1),"two delivered rows for this office: use one; ","")&amp;IF(AND($E88="delivered",$J88=""),"who counted?; ",""))</f>
        <v/>
      </c>
      <c r="R88" s="25">
        <f>IF($C88="","",$C88&amp;"|"&amp;$D88&amp;"|"&amp;$E88)</f>
        <v/>
      </c>
    </row>
    <row r="89">
      <c r="A89" s="9" t="n"/>
      <c r="B89" s="33" t="n"/>
      <c r="I89" s="9" t="n"/>
      <c r="L89" s="26">
        <f>IF($C89="","",IFERROR(IF(INDEX(campaigns!$BG$2:$BG$51,MATCH($C89,campaigns!$A$2:$A$51,0))="","",INDEX(campaigns!$BG$2:$BG$51,MATCH($C89,campaigns!$A$2:$A$51,0))),""))</f>
        <v/>
      </c>
      <c r="M89" s="25">
        <f>IF($C89="","",IF(OR($E89="received"),N($G89),IF(OR($E89="rejected",$E89="delivered",$E89="topped_up"),-N($G89),IF(AND(OR($E89="returned_to_brand",$E89="given_to_roster_office",$E89="released_to_office",$E89="disposed"),IF($F89="","reserve",$F89)="reserve"),-N($G89),IF(AND($E89="correction",IF($F89="","reserve",$F89)="reserve"),N($G89),0)))))</f>
        <v/>
      </c>
      <c r="N89" s="25">
        <f>IF($C89="","",IF($E89="rejected",N($G89),IF(AND(OR($E89="returned_to_brand",$E89="given_to_roster_office",$E89="released_to_office",$E89="disposed"),IF($F89="","reserve",$F89)="rejected"),-N($G89),IF(AND($E89="correction",IF($F89="","reserve",$F89)="rejected"),N($G89),0))))</f>
        <v/>
      </c>
      <c r="O89" s="25">
        <f>IF($C89="","",IF($E89="collected",N($G89),IF(AND(OR($E89="returned_to_brand",$E89="given_to_roster_office",$E89="released_to_office",$E89="disposed"),IF($F89="","reserve",$F89)="leftover"),-N($G89),IF(AND($E89="correction",IF($F89="","reserve",$F89)="leftover"),N($G89),0))))</f>
        <v/>
      </c>
      <c r="P89" s="25">
        <f>IF(OR($E89&lt;&gt;"received",$I89="",$L89=""),"",IF($I89&gt;=$L89+config!$B$19,"Y","N"))</f>
        <v/>
      </c>
      <c r="Q89" s="25">
        <f>IF($C89="","",IF(COUNTIF(campaigns!$A$2:$A$51,$C89)=0,"campaign_id not on campaigns; ",IF(AND($D89&lt;&gt;"",COUNTIFS(approvals!$A$2:$A$251,$C89,approvals!$B$2:$B$251,$D89)=0),"office not on this campaign (approvals tab); ",""))&amp;IF(AND(OR($E89="delivered",$E89="topped_up",$E89="collected"),$D89=""),"office needed; ","")&amp;IF(AND($E89&lt;&gt;"correction",N($G89)&lt;=0),"qty must be above 0; ","")&amp;IF(AND($E89="received",OR($I89="",$H89="")),"log lot and best-by; ","")&amp;IF(AND($P89="N",SUMIFS(inventory!$G$2:$G$801,inventory!$C$2:$C$801,$C89,inventory!$H$2:$H$801,$H89,inventory!$E$2:$E$801,"rejected")&lt;N($G89)),"UNDER "&amp;config!$B$19&amp;" DAYS LEFT ON THE DROP DAY: reject these units; ","")&amp;IF(AND($E89="delivered",COUNTIF(inventory!$R$2:$R$801,$R89)&gt;1),"two delivered rows for this office: use one; ","")&amp;IF(AND($E89="delivered",$J89=""),"who counted?; ",""))</f>
        <v/>
      </c>
      <c r="R89" s="25">
        <f>IF($C89="","",$C89&amp;"|"&amp;$D89&amp;"|"&amp;$E89)</f>
        <v/>
      </c>
    </row>
    <row r="90">
      <c r="A90" s="9" t="n"/>
      <c r="B90" s="33" t="n"/>
      <c r="I90" s="9" t="n"/>
      <c r="L90" s="26">
        <f>IF($C90="","",IFERROR(IF(INDEX(campaigns!$BG$2:$BG$51,MATCH($C90,campaigns!$A$2:$A$51,0))="","",INDEX(campaigns!$BG$2:$BG$51,MATCH($C90,campaigns!$A$2:$A$51,0))),""))</f>
        <v/>
      </c>
      <c r="M90" s="25">
        <f>IF($C90="","",IF(OR($E90="received"),N($G90),IF(OR($E90="rejected",$E90="delivered",$E90="topped_up"),-N($G90),IF(AND(OR($E90="returned_to_brand",$E90="given_to_roster_office",$E90="released_to_office",$E90="disposed"),IF($F90="","reserve",$F90)="reserve"),-N($G90),IF(AND($E90="correction",IF($F90="","reserve",$F90)="reserve"),N($G90),0)))))</f>
        <v/>
      </c>
      <c r="N90" s="25">
        <f>IF($C90="","",IF($E90="rejected",N($G90),IF(AND(OR($E90="returned_to_brand",$E90="given_to_roster_office",$E90="released_to_office",$E90="disposed"),IF($F90="","reserve",$F90)="rejected"),-N($G90),IF(AND($E90="correction",IF($F90="","reserve",$F90)="rejected"),N($G90),0))))</f>
        <v/>
      </c>
      <c r="O90" s="25">
        <f>IF($C90="","",IF($E90="collected",N($G90),IF(AND(OR($E90="returned_to_brand",$E90="given_to_roster_office",$E90="released_to_office",$E90="disposed"),IF($F90="","reserve",$F90)="leftover"),-N($G90),IF(AND($E90="correction",IF($F90="","reserve",$F90)="leftover"),N($G90),0))))</f>
        <v/>
      </c>
      <c r="P90" s="25">
        <f>IF(OR($E90&lt;&gt;"received",$I90="",$L90=""),"",IF($I90&gt;=$L90+config!$B$19,"Y","N"))</f>
        <v/>
      </c>
      <c r="Q90" s="25">
        <f>IF($C90="","",IF(COUNTIF(campaigns!$A$2:$A$51,$C90)=0,"campaign_id not on campaigns; ",IF(AND($D90&lt;&gt;"",COUNTIFS(approvals!$A$2:$A$251,$C90,approvals!$B$2:$B$251,$D90)=0),"office not on this campaign (approvals tab); ",""))&amp;IF(AND(OR($E90="delivered",$E90="topped_up",$E90="collected"),$D90=""),"office needed; ","")&amp;IF(AND($E90&lt;&gt;"correction",N($G90)&lt;=0),"qty must be above 0; ","")&amp;IF(AND($E90="received",OR($I90="",$H90="")),"log lot and best-by; ","")&amp;IF(AND($P90="N",SUMIFS(inventory!$G$2:$G$801,inventory!$C$2:$C$801,$C90,inventory!$H$2:$H$801,$H90,inventory!$E$2:$E$801,"rejected")&lt;N($G90)),"UNDER "&amp;config!$B$19&amp;" DAYS LEFT ON THE DROP DAY: reject these units; ","")&amp;IF(AND($E90="delivered",COUNTIF(inventory!$R$2:$R$801,$R90)&gt;1),"two delivered rows for this office: use one; ","")&amp;IF(AND($E90="delivered",$J90=""),"who counted?; ",""))</f>
        <v/>
      </c>
      <c r="R90" s="25">
        <f>IF($C90="","",$C90&amp;"|"&amp;$D90&amp;"|"&amp;$E90)</f>
        <v/>
      </c>
    </row>
    <row r="91">
      <c r="A91" s="9" t="n"/>
      <c r="B91" s="33" t="n"/>
      <c r="I91" s="9" t="n"/>
      <c r="L91" s="26">
        <f>IF($C91="","",IFERROR(IF(INDEX(campaigns!$BG$2:$BG$51,MATCH($C91,campaigns!$A$2:$A$51,0))="","",INDEX(campaigns!$BG$2:$BG$51,MATCH($C91,campaigns!$A$2:$A$51,0))),""))</f>
        <v/>
      </c>
      <c r="M91" s="25">
        <f>IF($C91="","",IF(OR($E91="received"),N($G91),IF(OR($E91="rejected",$E91="delivered",$E91="topped_up"),-N($G91),IF(AND(OR($E91="returned_to_brand",$E91="given_to_roster_office",$E91="released_to_office",$E91="disposed"),IF($F91="","reserve",$F91)="reserve"),-N($G91),IF(AND($E91="correction",IF($F91="","reserve",$F91)="reserve"),N($G91),0)))))</f>
        <v/>
      </c>
      <c r="N91" s="25">
        <f>IF($C91="","",IF($E91="rejected",N($G91),IF(AND(OR($E91="returned_to_brand",$E91="given_to_roster_office",$E91="released_to_office",$E91="disposed"),IF($F91="","reserve",$F91)="rejected"),-N($G91),IF(AND($E91="correction",IF($F91="","reserve",$F91)="rejected"),N($G91),0))))</f>
        <v/>
      </c>
      <c r="O91" s="25">
        <f>IF($C91="","",IF($E91="collected",N($G91),IF(AND(OR($E91="returned_to_brand",$E91="given_to_roster_office",$E91="released_to_office",$E91="disposed"),IF($F91="","reserve",$F91)="leftover"),-N($G91),IF(AND($E91="correction",IF($F91="","reserve",$F91)="leftover"),N($G91),0))))</f>
        <v/>
      </c>
      <c r="P91" s="25">
        <f>IF(OR($E91&lt;&gt;"received",$I91="",$L91=""),"",IF($I91&gt;=$L91+config!$B$19,"Y","N"))</f>
        <v/>
      </c>
      <c r="Q91" s="25">
        <f>IF($C91="","",IF(COUNTIF(campaigns!$A$2:$A$51,$C91)=0,"campaign_id not on campaigns; ",IF(AND($D91&lt;&gt;"",COUNTIFS(approvals!$A$2:$A$251,$C91,approvals!$B$2:$B$251,$D91)=0),"office not on this campaign (approvals tab); ",""))&amp;IF(AND(OR($E91="delivered",$E91="topped_up",$E91="collected"),$D91=""),"office needed; ","")&amp;IF(AND($E91&lt;&gt;"correction",N($G91)&lt;=0),"qty must be above 0; ","")&amp;IF(AND($E91="received",OR($I91="",$H91="")),"log lot and best-by; ","")&amp;IF(AND($P91="N",SUMIFS(inventory!$G$2:$G$801,inventory!$C$2:$C$801,$C91,inventory!$H$2:$H$801,$H91,inventory!$E$2:$E$801,"rejected")&lt;N($G91)),"UNDER "&amp;config!$B$19&amp;" DAYS LEFT ON THE DROP DAY: reject these units; ","")&amp;IF(AND($E91="delivered",COUNTIF(inventory!$R$2:$R$801,$R91)&gt;1),"two delivered rows for this office: use one; ","")&amp;IF(AND($E91="delivered",$J91=""),"who counted?; ",""))</f>
        <v/>
      </c>
      <c r="R91" s="25">
        <f>IF($C91="","",$C91&amp;"|"&amp;$D91&amp;"|"&amp;$E91)</f>
        <v/>
      </c>
    </row>
    <row r="92">
      <c r="A92" s="9" t="n"/>
      <c r="B92" s="33" t="n"/>
      <c r="I92" s="9" t="n"/>
      <c r="L92" s="26">
        <f>IF($C92="","",IFERROR(IF(INDEX(campaigns!$BG$2:$BG$51,MATCH($C92,campaigns!$A$2:$A$51,0))="","",INDEX(campaigns!$BG$2:$BG$51,MATCH($C92,campaigns!$A$2:$A$51,0))),""))</f>
        <v/>
      </c>
      <c r="M92" s="25">
        <f>IF($C92="","",IF(OR($E92="received"),N($G92),IF(OR($E92="rejected",$E92="delivered",$E92="topped_up"),-N($G92),IF(AND(OR($E92="returned_to_brand",$E92="given_to_roster_office",$E92="released_to_office",$E92="disposed"),IF($F92="","reserve",$F92)="reserve"),-N($G92),IF(AND($E92="correction",IF($F92="","reserve",$F92)="reserve"),N($G92),0)))))</f>
        <v/>
      </c>
      <c r="N92" s="25">
        <f>IF($C92="","",IF($E92="rejected",N($G92),IF(AND(OR($E92="returned_to_brand",$E92="given_to_roster_office",$E92="released_to_office",$E92="disposed"),IF($F92="","reserve",$F92)="rejected"),-N($G92),IF(AND($E92="correction",IF($F92="","reserve",$F92)="rejected"),N($G92),0))))</f>
        <v/>
      </c>
      <c r="O92" s="25">
        <f>IF($C92="","",IF($E92="collected",N($G92),IF(AND(OR($E92="returned_to_brand",$E92="given_to_roster_office",$E92="released_to_office",$E92="disposed"),IF($F92="","reserve",$F92)="leftover"),-N($G92),IF(AND($E92="correction",IF($F92="","reserve",$F92)="leftover"),N($G92),0))))</f>
        <v/>
      </c>
      <c r="P92" s="25">
        <f>IF(OR($E92&lt;&gt;"received",$I92="",$L92=""),"",IF($I92&gt;=$L92+config!$B$19,"Y","N"))</f>
        <v/>
      </c>
      <c r="Q92" s="25">
        <f>IF($C92="","",IF(COUNTIF(campaigns!$A$2:$A$51,$C92)=0,"campaign_id not on campaigns; ",IF(AND($D92&lt;&gt;"",COUNTIFS(approvals!$A$2:$A$251,$C92,approvals!$B$2:$B$251,$D92)=0),"office not on this campaign (approvals tab); ",""))&amp;IF(AND(OR($E92="delivered",$E92="topped_up",$E92="collected"),$D92=""),"office needed; ","")&amp;IF(AND($E92&lt;&gt;"correction",N($G92)&lt;=0),"qty must be above 0; ","")&amp;IF(AND($E92="received",OR($I92="",$H92="")),"log lot and best-by; ","")&amp;IF(AND($P92="N",SUMIFS(inventory!$G$2:$G$801,inventory!$C$2:$C$801,$C92,inventory!$H$2:$H$801,$H92,inventory!$E$2:$E$801,"rejected")&lt;N($G92)),"UNDER "&amp;config!$B$19&amp;" DAYS LEFT ON THE DROP DAY: reject these units; ","")&amp;IF(AND($E92="delivered",COUNTIF(inventory!$R$2:$R$801,$R92)&gt;1),"two delivered rows for this office: use one; ","")&amp;IF(AND($E92="delivered",$J92=""),"who counted?; ",""))</f>
        <v/>
      </c>
      <c r="R92" s="25">
        <f>IF($C92="","",$C92&amp;"|"&amp;$D92&amp;"|"&amp;$E92)</f>
        <v/>
      </c>
    </row>
    <row r="93">
      <c r="A93" s="9" t="n"/>
      <c r="B93" s="33" t="n"/>
      <c r="I93" s="9" t="n"/>
      <c r="L93" s="26">
        <f>IF($C93="","",IFERROR(IF(INDEX(campaigns!$BG$2:$BG$51,MATCH($C93,campaigns!$A$2:$A$51,0))="","",INDEX(campaigns!$BG$2:$BG$51,MATCH($C93,campaigns!$A$2:$A$51,0))),""))</f>
        <v/>
      </c>
      <c r="M93" s="25">
        <f>IF($C93="","",IF(OR($E93="received"),N($G93),IF(OR($E93="rejected",$E93="delivered",$E93="topped_up"),-N($G93),IF(AND(OR($E93="returned_to_brand",$E93="given_to_roster_office",$E93="released_to_office",$E93="disposed"),IF($F93="","reserve",$F93)="reserve"),-N($G93),IF(AND($E93="correction",IF($F93="","reserve",$F93)="reserve"),N($G93),0)))))</f>
        <v/>
      </c>
      <c r="N93" s="25">
        <f>IF($C93="","",IF($E93="rejected",N($G93),IF(AND(OR($E93="returned_to_brand",$E93="given_to_roster_office",$E93="released_to_office",$E93="disposed"),IF($F93="","reserve",$F93)="rejected"),-N($G93),IF(AND($E93="correction",IF($F93="","reserve",$F93)="rejected"),N($G93),0))))</f>
        <v/>
      </c>
      <c r="O93" s="25">
        <f>IF($C93="","",IF($E93="collected",N($G93),IF(AND(OR($E93="returned_to_brand",$E93="given_to_roster_office",$E93="released_to_office",$E93="disposed"),IF($F93="","reserve",$F93)="leftover"),-N($G93),IF(AND($E93="correction",IF($F93="","reserve",$F93)="leftover"),N($G93),0))))</f>
        <v/>
      </c>
      <c r="P93" s="25">
        <f>IF(OR($E93&lt;&gt;"received",$I93="",$L93=""),"",IF($I93&gt;=$L93+config!$B$19,"Y","N"))</f>
        <v/>
      </c>
      <c r="Q93" s="25">
        <f>IF($C93="","",IF(COUNTIF(campaigns!$A$2:$A$51,$C93)=0,"campaign_id not on campaigns; ",IF(AND($D93&lt;&gt;"",COUNTIFS(approvals!$A$2:$A$251,$C93,approvals!$B$2:$B$251,$D93)=0),"office not on this campaign (approvals tab); ",""))&amp;IF(AND(OR($E93="delivered",$E93="topped_up",$E93="collected"),$D93=""),"office needed; ","")&amp;IF(AND($E93&lt;&gt;"correction",N($G93)&lt;=0),"qty must be above 0; ","")&amp;IF(AND($E93="received",OR($I93="",$H93="")),"log lot and best-by; ","")&amp;IF(AND($P93="N",SUMIFS(inventory!$G$2:$G$801,inventory!$C$2:$C$801,$C93,inventory!$H$2:$H$801,$H93,inventory!$E$2:$E$801,"rejected")&lt;N($G93)),"UNDER "&amp;config!$B$19&amp;" DAYS LEFT ON THE DROP DAY: reject these units; ","")&amp;IF(AND($E93="delivered",COUNTIF(inventory!$R$2:$R$801,$R93)&gt;1),"two delivered rows for this office: use one; ","")&amp;IF(AND($E93="delivered",$J93=""),"who counted?; ",""))</f>
        <v/>
      </c>
      <c r="R93" s="25">
        <f>IF($C93="","",$C93&amp;"|"&amp;$D93&amp;"|"&amp;$E93)</f>
        <v/>
      </c>
    </row>
    <row r="94">
      <c r="A94" s="9" t="n"/>
      <c r="B94" s="33" t="n"/>
      <c r="I94" s="9" t="n"/>
      <c r="L94" s="26">
        <f>IF($C94="","",IFERROR(IF(INDEX(campaigns!$BG$2:$BG$51,MATCH($C94,campaigns!$A$2:$A$51,0))="","",INDEX(campaigns!$BG$2:$BG$51,MATCH($C94,campaigns!$A$2:$A$51,0))),""))</f>
        <v/>
      </c>
      <c r="M94" s="25">
        <f>IF($C94="","",IF(OR($E94="received"),N($G94),IF(OR($E94="rejected",$E94="delivered",$E94="topped_up"),-N($G94),IF(AND(OR($E94="returned_to_brand",$E94="given_to_roster_office",$E94="released_to_office",$E94="disposed"),IF($F94="","reserve",$F94)="reserve"),-N($G94),IF(AND($E94="correction",IF($F94="","reserve",$F94)="reserve"),N($G94),0)))))</f>
        <v/>
      </c>
      <c r="N94" s="25">
        <f>IF($C94="","",IF($E94="rejected",N($G94),IF(AND(OR($E94="returned_to_brand",$E94="given_to_roster_office",$E94="released_to_office",$E94="disposed"),IF($F94="","reserve",$F94)="rejected"),-N($G94),IF(AND($E94="correction",IF($F94="","reserve",$F94)="rejected"),N($G94),0))))</f>
        <v/>
      </c>
      <c r="O94" s="25">
        <f>IF($C94="","",IF($E94="collected",N($G94),IF(AND(OR($E94="returned_to_brand",$E94="given_to_roster_office",$E94="released_to_office",$E94="disposed"),IF($F94="","reserve",$F94)="leftover"),-N($G94),IF(AND($E94="correction",IF($F94="","reserve",$F94)="leftover"),N($G94),0))))</f>
        <v/>
      </c>
      <c r="P94" s="25">
        <f>IF(OR($E94&lt;&gt;"received",$I94="",$L94=""),"",IF($I94&gt;=$L94+config!$B$19,"Y","N"))</f>
        <v/>
      </c>
      <c r="Q94" s="25">
        <f>IF($C94="","",IF(COUNTIF(campaigns!$A$2:$A$51,$C94)=0,"campaign_id not on campaigns; ",IF(AND($D94&lt;&gt;"",COUNTIFS(approvals!$A$2:$A$251,$C94,approvals!$B$2:$B$251,$D94)=0),"office not on this campaign (approvals tab); ",""))&amp;IF(AND(OR($E94="delivered",$E94="topped_up",$E94="collected"),$D94=""),"office needed; ","")&amp;IF(AND($E94&lt;&gt;"correction",N($G94)&lt;=0),"qty must be above 0; ","")&amp;IF(AND($E94="received",OR($I94="",$H94="")),"log lot and best-by; ","")&amp;IF(AND($P94="N",SUMIFS(inventory!$G$2:$G$801,inventory!$C$2:$C$801,$C94,inventory!$H$2:$H$801,$H94,inventory!$E$2:$E$801,"rejected")&lt;N($G94)),"UNDER "&amp;config!$B$19&amp;" DAYS LEFT ON THE DROP DAY: reject these units; ","")&amp;IF(AND($E94="delivered",COUNTIF(inventory!$R$2:$R$801,$R94)&gt;1),"two delivered rows for this office: use one; ","")&amp;IF(AND($E94="delivered",$J94=""),"who counted?; ",""))</f>
        <v/>
      </c>
      <c r="R94" s="25">
        <f>IF($C94="","",$C94&amp;"|"&amp;$D94&amp;"|"&amp;$E94)</f>
        <v/>
      </c>
    </row>
    <row r="95">
      <c r="A95" s="9" t="n"/>
      <c r="B95" s="33" t="n"/>
      <c r="I95" s="9" t="n"/>
      <c r="L95" s="26">
        <f>IF($C95="","",IFERROR(IF(INDEX(campaigns!$BG$2:$BG$51,MATCH($C95,campaigns!$A$2:$A$51,0))="","",INDEX(campaigns!$BG$2:$BG$51,MATCH($C95,campaigns!$A$2:$A$51,0))),""))</f>
        <v/>
      </c>
      <c r="M95" s="25">
        <f>IF($C95="","",IF(OR($E95="received"),N($G95),IF(OR($E95="rejected",$E95="delivered",$E95="topped_up"),-N($G95),IF(AND(OR($E95="returned_to_brand",$E95="given_to_roster_office",$E95="released_to_office",$E95="disposed"),IF($F95="","reserve",$F95)="reserve"),-N($G95),IF(AND($E95="correction",IF($F95="","reserve",$F95)="reserve"),N($G95),0)))))</f>
        <v/>
      </c>
      <c r="N95" s="25">
        <f>IF($C95="","",IF($E95="rejected",N($G95),IF(AND(OR($E95="returned_to_brand",$E95="given_to_roster_office",$E95="released_to_office",$E95="disposed"),IF($F95="","reserve",$F95)="rejected"),-N($G95),IF(AND($E95="correction",IF($F95="","reserve",$F95)="rejected"),N($G95),0))))</f>
        <v/>
      </c>
      <c r="O95" s="25">
        <f>IF($C95="","",IF($E95="collected",N($G95),IF(AND(OR($E95="returned_to_brand",$E95="given_to_roster_office",$E95="released_to_office",$E95="disposed"),IF($F95="","reserve",$F95)="leftover"),-N($G95),IF(AND($E95="correction",IF($F95="","reserve",$F95)="leftover"),N($G95),0))))</f>
        <v/>
      </c>
      <c r="P95" s="25">
        <f>IF(OR($E95&lt;&gt;"received",$I95="",$L95=""),"",IF($I95&gt;=$L95+config!$B$19,"Y","N"))</f>
        <v/>
      </c>
      <c r="Q95" s="25">
        <f>IF($C95="","",IF(COUNTIF(campaigns!$A$2:$A$51,$C95)=0,"campaign_id not on campaigns; ",IF(AND($D95&lt;&gt;"",COUNTIFS(approvals!$A$2:$A$251,$C95,approvals!$B$2:$B$251,$D95)=0),"office not on this campaign (approvals tab); ",""))&amp;IF(AND(OR($E95="delivered",$E95="topped_up",$E95="collected"),$D95=""),"office needed; ","")&amp;IF(AND($E95&lt;&gt;"correction",N($G95)&lt;=0),"qty must be above 0; ","")&amp;IF(AND($E95="received",OR($I95="",$H95="")),"log lot and best-by; ","")&amp;IF(AND($P95="N",SUMIFS(inventory!$G$2:$G$801,inventory!$C$2:$C$801,$C95,inventory!$H$2:$H$801,$H95,inventory!$E$2:$E$801,"rejected")&lt;N($G95)),"UNDER "&amp;config!$B$19&amp;" DAYS LEFT ON THE DROP DAY: reject these units; ","")&amp;IF(AND($E95="delivered",COUNTIF(inventory!$R$2:$R$801,$R95)&gt;1),"two delivered rows for this office: use one; ","")&amp;IF(AND($E95="delivered",$J95=""),"who counted?; ",""))</f>
        <v/>
      </c>
      <c r="R95" s="25">
        <f>IF($C95="","",$C95&amp;"|"&amp;$D95&amp;"|"&amp;$E95)</f>
        <v/>
      </c>
    </row>
    <row r="96">
      <c r="A96" s="9" t="n"/>
      <c r="B96" s="33" t="n"/>
      <c r="I96" s="9" t="n"/>
      <c r="L96" s="26">
        <f>IF($C96="","",IFERROR(IF(INDEX(campaigns!$BG$2:$BG$51,MATCH($C96,campaigns!$A$2:$A$51,0))="","",INDEX(campaigns!$BG$2:$BG$51,MATCH($C96,campaigns!$A$2:$A$51,0))),""))</f>
        <v/>
      </c>
      <c r="M96" s="25">
        <f>IF($C96="","",IF(OR($E96="received"),N($G96),IF(OR($E96="rejected",$E96="delivered",$E96="topped_up"),-N($G96),IF(AND(OR($E96="returned_to_brand",$E96="given_to_roster_office",$E96="released_to_office",$E96="disposed"),IF($F96="","reserve",$F96)="reserve"),-N($G96),IF(AND($E96="correction",IF($F96="","reserve",$F96)="reserve"),N($G96),0)))))</f>
        <v/>
      </c>
      <c r="N96" s="25">
        <f>IF($C96="","",IF($E96="rejected",N($G96),IF(AND(OR($E96="returned_to_brand",$E96="given_to_roster_office",$E96="released_to_office",$E96="disposed"),IF($F96="","reserve",$F96)="rejected"),-N($G96),IF(AND($E96="correction",IF($F96="","reserve",$F96)="rejected"),N($G96),0))))</f>
        <v/>
      </c>
      <c r="O96" s="25">
        <f>IF($C96="","",IF($E96="collected",N($G96),IF(AND(OR($E96="returned_to_brand",$E96="given_to_roster_office",$E96="released_to_office",$E96="disposed"),IF($F96="","reserve",$F96)="leftover"),-N($G96),IF(AND($E96="correction",IF($F96="","reserve",$F96)="leftover"),N($G96),0))))</f>
        <v/>
      </c>
      <c r="P96" s="25">
        <f>IF(OR($E96&lt;&gt;"received",$I96="",$L96=""),"",IF($I96&gt;=$L96+config!$B$19,"Y","N"))</f>
        <v/>
      </c>
      <c r="Q96" s="25">
        <f>IF($C96="","",IF(COUNTIF(campaigns!$A$2:$A$51,$C96)=0,"campaign_id not on campaigns; ",IF(AND($D96&lt;&gt;"",COUNTIFS(approvals!$A$2:$A$251,$C96,approvals!$B$2:$B$251,$D96)=0),"office not on this campaign (approvals tab); ",""))&amp;IF(AND(OR($E96="delivered",$E96="topped_up",$E96="collected"),$D96=""),"office needed; ","")&amp;IF(AND($E96&lt;&gt;"correction",N($G96)&lt;=0),"qty must be above 0; ","")&amp;IF(AND($E96="received",OR($I96="",$H96="")),"log lot and best-by; ","")&amp;IF(AND($P96="N",SUMIFS(inventory!$G$2:$G$801,inventory!$C$2:$C$801,$C96,inventory!$H$2:$H$801,$H96,inventory!$E$2:$E$801,"rejected")&lt;N($G96)),"UNDER "&amp;config!$B$19&amp;" DAYS LEFT ON THE DROP DAY: reject these units; ","")&amp;IF(AND($E96="delivered",COUNTIF(inventory!$R$2:$R$801,$R96)&gt;1),"two delivered rows for this office: use one; ","")&amp;IF(AND($E96="delivered",$J96=""),"who counted?; ",""))</f>
        <v/>
      </c>
      <c r="R96" s="25">
        <f>IF($C96="","",$C96&amp;"|"&amp;$D96&amp;"|"&amp;$E96)</f>
        <v/>
      </c>
    </row>
    <row r="97">
      <c r="A97" s="9" t="n"/>
      <c r="B97" s="33" t="n"/>
      <c r="I97" s="9" t="n"/>
      <c r="L97" s="26">
        <f>IF($C97="","",IFERROR(IF(INDEX(campaigns!$BG$2:$BG$51,MATCH($C97,campaigns!$A$2:$A$51,0))="","",INDEX(campaigns!$BG$2:$BG$51,MATCH($C97,campaigns!$A$2:$A$51,0))),""))</f>
        <v/>
      </c>
      <c r="M97" s="25">
        <f>IF($C97="","",IF(OR($E97="received"),N($G97),IF(OR($E97="rejected",$E97="delivered",$E97="topped_up"),-N($G97),IF(AND(OR($E97="returned_to_brand",$E97="given_to_roster_office",$E97="released_to_office",$E97="disposed"),IF($F97="","reserve",$F97)="reserve"),-N($G97),IF(AND($E97="correction",IF($F97="","reserve",$F97)="reserve"),N($G97),0)))))</f>
        <v/>
      </c>
      <c r="N97" s="25">
        <f>IF($C97="","",IF($E97="rejected",N($G97),IF(AND(OR($E97="returned_to_brand",$E97="given_to_roster_office",$E97="released_to_office",$E97="disposed"),IF($F97="","reserve",$F97)="rejected"),-N($G97),IF(AND($E97="correction",IF($F97="","reserve",$F97)="rejected"),N($G97),0))))</f>
        <v/>
      </c>
      <c r="O97" s="25">
        <f>IF($C97="","",IF($E97="collected",N($G97),IF(AND(OR($E97="returned_to_brand",$E97="given_to_roster_office",$E97="released_to_office",$E97="disposed"),IF($F97="","reserve",$F97)="leftover"),-N($G97),IF(AND($E97="correction",IF($F97="","reserve",$F97)="leftover"),N($G97),0))))</f>
        <v/>
      </c>
      <c r="P97" s="25">
        <f>IF(OR($E97&lt;&gt;"received",$I97="",$L97=""),"",IF($I97&gt;=$L97+config!$B$19,"Y","N"))</f>
        <v/>
      </c>
      <c r="Q97" s="25">
        <f>IF($C97="","",IF(COUNTIF(campaigns!$A$2:$A$51,$C97)=0,"campaign_id not on campaigns; ",IF(AND($D97&lt;&gt;"",COUNTIFS(approvals!$A$2:$A$251,$C97,approvals!$B$2:$B$251,$D97)=0),"office not on this campaign (approvals tab); ",""))&amp;IF(AND(OR($E97="delivered",$E97="topped_up",$E97="collected"),$D97=""),"office needed; ","")&amp;IF(AND($E97&lt;&gt;"correction",N($G97)&lt;=0),"qty must be above 0; ","")&amp;IF(AND($E97="received",OR($I97="",$H97="")),"log lot and best-by; ","")&amp;IF(AND($P97="N",SUMIFS(inventory!$G$2:$G$801,inventory!$C$2:$C$801,$C97,inventory!$H$2:$H$801,$H97,inventory!$E$2:$E$801,"rejected")&lt;N($G97)),"UNDER "&amp;config!$B$19&amp;" DAYS LEFT ON THE DROP DAY: reject these units; ","")&amp;IF(AND($E97="delivered",COUNTIF(inventory!$R$2:$R$801,$R97)&gt;1),"two delivered rows for this office: use one; ","")&amp;IF(AND($E97="delivered",$J97=""),"who counted?; ",""))</f>
        <v/>
      </c>
      <c r="R97" s="25">
        <f>IF($C97="","",$C97&amp;"|"&amp;$D97&amp;"|"&amp;$E97)</f>
        <v/>
      </c>
    </row>
    <row r="98">
      <c r="A98" s="9" t="n"/>
      <c r="B98" s="33" t="n"/>
      <c r="I98" s="9" t="n"/>
      <c r="L98" s="26">
        <f>IF($C98="","",IFERROR(IF(INDEX(campaigns!$BG$2:$BG$51,MATCH($C98,campaigns!$A$2:$A$51,0))="","",INDEX(campaigns!$BG$2:$BG$51,MATCH($C98,campaigns!$A$2:$A$51,0))),""))</f>
        <v/>
      </c>
      <c r="M98" s="25">
        <f>IF($C98="","",IF(OR($E98="received"),N($G98),IF(OR($E98="rejected",$E98="delivered",$E98="topped_up"),-N($G98),IF(AND(OR($E98="returned_to_brand",$E98="given_to_roster_office",$E98="released_to_office",$E98="disposed"),IF($F98="","reserve",$F98)="reserve"),-N($G98),IF(AND($E98="correction",IF($F98="","reserve",$F98)="reserve"),N($G98),0)))))</f>
        <v/>
      </c>
      <c r="N98" s="25">
        <f>IF($C98="","",IF($E98="rejected",N($G98),IF(AND(OR($E98="returned_to_brand",$E98="given_to_roster_office",$E98="released_to_office",$E98="disposed"),IF($F98="","reserve",$F98)="rejected"),-N($G98),IF(AND($E98="correction",IF($F98="","reserve",$F98)="rejected"),N($G98),0))))</f>
        <v/>
      </c>
      <c r="O98" s="25">
        <f>IF($C98="","",IF($E98="collected",N($G98),IF(AND(OR($E98="returned_to_brand",$E98="given_to_roster_office",$E98="released_to_office",$E98="disposed"),IF($F98="","reserve",$F98)="leftover"),-N($G98),IF(AND($E98="correction",IF($F98="","reserve",$F98)="leftover"),N($G98),0))))</f>
        <v/>
      </c>
      <c r="P98" s="25">
        <f>IF(OR($E98&lt;&gt;"received",$I98="",$L98=""),"",IF($I98&gt;=$L98+config!$B$19,"Y","N"))</f>
        <v/>
      </c>
      <c r="Q98" s="25">
        <f>IF($C98="","",IF(COUNTIF(campaigns!$A$2:$A$51,$C98)=0,"campaign_id not on campaigns; ",IF(AND($D98&lt;&gt;"",COUNTIFS(approvals!$A$2:$A$251,$C98,approvals!$B$2:$B$251,$D98)=0),"office not on this campaign (approvals tab); ",""))&amp;IF(AND(OR($E98="delivered",$E98="topped_up",$E98="collected"),$D98=""),"office needed; ","")&amp;IF(AND($E98&lt;&gt;"correction",N($G98)&lt;=0),"qty must be above 0; ","")&amp;IF(AND($E98="received",OR($I98="",$H98="")),"log lot and best-by; ","")&amp;IF(AND($P98="N",SUMIFS(inventory!$G$2:$G$801,inventory!$C$2:$C$801,$C98,inventory!$H$2:$H$801,$H98,inventory!$E$2:$E$801,"rejected")&lt;N($G98)),"UNDER "&amp;config!$B$19&amp;" DAYS LEFT ON THE DROP DAY: reject these units; ","")&amp;IF(AND($E98="delivered",COUNTIF(inventory!$R$2:$R$801,$R98)&gt;1),"two delivered rows for this office: use one; ","")&amp;IF(AND($E98="delivered",$J98=""),"who counted?; ",""))</f>
        <v/>
      </c>
      <c r="R98" s="25">
        <f>IF($C98="","",$C98&amp;"|"&amp;$D98&amp;"|"&amp;$E98)</f>
        <v/>
      </c>
    </row>
    <row r="99">
      <c r="A99" s="9" t="n"/>
      <c r="B99" s="33" t="n"/>
      <c r="I99" s="9" t="n"/>
      <c r="L99" s="26">
        <f>IF($C99="","",IFERROR(IF(INDEX(campaigns!$BG$2:$BG$51,MATCH($C99,campaigns!$A$2:$A$51,0))="","",INDEX(campaigns!$BG$2:$BG$51,MATCH($C99,campaigns!$A$2:$A$51,0))),""))</f>
        <v/>
      </c>
      <c r="M99" s="25">
        <f>IF($C99="","",IF(OR($E99="received"),N($G99),IF(OR($E99="rejected",$E99="delivered",$E99="topped_up"),-N($G99),IF(AND(OR($E99="returned_to_brand",$E99="given_to_roster_office",$E99="released_to_office",$E99="disposed"),IF($F99="","reserve",$F99)="reserve"),-N($G99),IF(AND($E99="correction",IF($F99="","reserve",$F99)="reserve"),N($G99),0)))))</f>
        <v/>
      </c>
      <c r="N99" s="25">
        <f>IF($C99="","",IF($E99="rejected",N($G99),IF(AND(OR($E99="returned_to_brand",$E99="given_to_roster_office",$E99="released_to_office",$E99="disposed"),IF($F99="","reserve",$F99)="rejected"),-N($G99),IF(AND($E99="correction",IF($F99="","reserve",$F99)="rejected"),N($G99),0))))</f>
        <v/>
      </c>
      <c r="O99" s="25">
        <f>IF($C99="","",IF($E99="collected",N($G99),IF(AND(OR($E99="returned_to_brand",$E99="given_to_roster_office",$E99="released_to_office",$E99="disposed"),IF($F99="","reserve",$F99)="leftover"),-N($G99),IF(AND($E99="correction",IF($F99="","reserve",$F99)="leftover"),N($G99),0))))</f>
        <v/>
      </c>
      <c r="P99" s="25">
        <f>IF(OR($E99&lt;&gt;"received",$I99="",$L99=""),"",IF($I99&gt;=$L99+config!$B$19,"Y","N"))</f>
        <v/>
      </c>
      <c r="Q99" s="25">
        <f>IF($C99="","",IF(COUNTIF(campaigns!$A$2:$A$51,$C99)=0,"campaign_id not on campaigns; ",IF(AND($D99&lt;&gt;"",COUNTIFS(approvals!$A$2:$A$251,$C99,approvals!$B$2:$B$251,$D99)=0),"office not on this campaign (approvals tab); ",""))&amp;IF(AND(OR($E99="delivered",$E99="topped_up",$E99="collected"),$D99=""),"office needed; ","")&amp;IF(AND($E99&lt;&gt;"correction",N($G99)&lt;=0),"qty must be above 0; ","")&amp;IF(AND($E99="received",OR($I99="",$H99="")),"log lot and best-by; ","")&amp;IF(AND($P99="N",SUMIFS(inventory!$G$2:$G$801,inventory!$C$2:$C$801,$C99,inventory!$H$2:$H$801,$H99,inventory!$E$2:$E$801,"rejected")&lt;N($G99)),"UNDER "&amp;config!$B$19&amp;" DAYS LEFT ON THE DROP DAY: reject these units; ","")&amp;IF(AND($E99="delivered",COUNTIF(inventory!$R$2:$R$801,$R99)&gt;1),"two delivered rows for this office: use one; ","")&amp;IF(AND($E99="delivered",$J99=""),"who counted?; ",""))</f>
        <v/>
      </c>
      <c r="R99" s="25">
        <f>IF($C99="","",$C99&amp;"|"&amp;$D99&amp;"|"&amp;$E99)</f>
        <v/>
      </c>
    </row>
    <row r="100">
      <c r="A100" s="9" t="n"/>
      <c r="B100" s="33" t="n"/>
      <c r="I100" s="9" t="n"/>
      <c r="L100" s="26">
        <f>IF($C100="","",IFERROR(IF(INDEX(campaigns!$BG$2:$BG$51,MATCH($C100,campaigns!$A$2:$A$51,0))="","",INDEX(campaigns!$BG$2:$BG$51,MATCH($C100,campaigns!$A$2:$A$51,0))),""))</f>
        <v/>
      </c>
      <c r="M100" s="25">
        <f>IF($C100="","",IF(OR($E100="received"),N($G100),IF(OR($E100="rejected",$E100="delivered",$E100="topped_up"),-N($G100),IF(AND(OR($E100="returned_to_brand",$E100="given_to_roster_office",$E100="released_to_office",$E100="disposed"),IF($F100="","reserve",$F100)="reserve"),-N($G100),IF(AND($E100="correction",IF($F100="","reserve",$F100)="reserve"),N($G100),0)))))</f>
        <v/>
      </c>
      <c r="N100" s="25">
        <f>IF($C100="","",IF($E100="rejected",N($G100),IF(AND(OR($E100="returned_to_brand",$E100="given_to_roster_office",$E100="released_to_office",$E100="disposed"),IF($F100="","reserve",$F100)="rejected"),-N($G100),IF(AND($E100="correction",IF($F100="","reserve",$F100)="rejected"),N($G100),0))))</f>
        <v/>
      </c>
      <c r="O100" s="25">
        <f>IF($C100="","",IF($E100="collected",N($G100),IF(AND(OR($E100="returned_to_brand",$E100="given_to_roster_office",$E100="released_to_office",$E100="disposed"),IF($F100="","reserve",$F100)="leftover"),-N($G100),IF(AND($E100="correction",IF($F100="","reserve",$F100)="leftover"),N($G100),0))))</f>
        <v/>
      </c>
      <c r="P100" s="25">
        <f>IF(OR($E100&lt;&gt;"received",$I100="",$L100=""),"",IF($I100&gt;=$L100+config!$B$19,"Y","N"))</f>
        <v/>
      </c>
      <c r="Q100" s="25">
        <f>IF($C100="","",IF(COUNTIF(campaigns!$A$2:$A$51,$C100)=0,"campaign_id not on campaigns; ",IF(AND($D100&lt;&gt;"",COUNTIFS(approvals!$A$2:$A$251,$C100,approvals!$B$2:$B$251,$D100)=0),"office not on this campaign (approvals tab); ",""))&amp;IF(AND(OR($E100="delivered",$E100="topped_up",$E100="collected"),$D100=""),"office needed; ","")&amp;IF(AND($E100&lt;&gt;"correction",N($G100)&lt;=0),"qty must be above 0; ","")&amp;IF(AND($E100="received",OR($I100="",$H100="")),"log lot and best-by; ","")&amp;IF(AND($P100="N",SUMIFS(inventory!$G$2:$G$801,inventory!$C$2:$C$801,$C100,inventory!$H$2:$H$801,$H100,inventory!$E$2:$E$801,"rejected")&lt;N($G100)),"UNDER "&amp;config!$B$19&amp;" DAYS LEFT ON THE DROP DAY: reject these units; ","")&amp;IF(AND($E100="delivered",COUNTIF(inventory!$R$2:$R$801,$R100)&gt;1),"two delivered rows for this office: use one; ","")&amp;IF(AND($E100="delivered",$J100=""),"who counted?; ",""))</f>
        <v/>
      </c>
      <c r="R100" s="25">
        <f>IF($C100="","",$C100&amp;"|"&amp;$D100&amp;"|"&amp;$E100)</f>
        <v/>
      </c>
    </row>
    <row r="101">
      <c r="A101" s="9" t="n"/>
      <c r="B101" s="33" t="n"/>
      <c r="I101" s="9" t="n"/>
      <c r="L101" s="26">
        <f>IF($C101="","",IFERROR(IF(INDEX(campaigns!$BG$2:$BG$51,MATCH($C101,campaigns!$A$2:$A$51,0))="","",INDEX(campaigns!$BG$2:$BG$51,MATCH($C101,campaigns!$A$2:$A$51,0))),""))</f>
        <v/>
      </c>
      <c r="M101" s="25">
        <f>IF($C101="","",IF(OR($E101="received"),N($G101),IF(OR($E101="rejected",$E101="delivered",$E101="topped_up"),-N($G101),IF(AND(OR($E101="returned_to_brand",$E101="given_to_roster_office",$E101="released_to_office",$E101="disposed"),IF($F101="","reserve",$F101)="reserve"),-N($G101),IF(AND($E101="correction",IF($F101="","reserve",$F101)="reserve"),N($G101),0)))))</f>
        <v/>
      </c>
      <c r="N101" s="25">
        <f>IF($C101="","",IF($E101="rejected",N($G101),IF(AND(OR($E101="returned_to_brand",$E101="given_to_roster_office",$E101="released_to_office",$E101="disposed"),IF($F101="","reserve",$F101)="rejected"),-N($G101),IF(AND($E101="correction",IF($F101="","reserve",$F101)="rejected"),N($G101),0))))</f>
        <v/>
      </c>
      <c r="O101" s="25">
        <f>IF($C101="","",IF($E101="collected",N($G101),IF(AND(OR($E101="returned_to_brand",$E101="given_to_roster_office",$E101="released_to_office",$E101="disposed"),IF($F101="","reserve",$F101)="leftover"),-N($G101),IF(AND($E101="correction",IF($F101="","reserve",$F101)="leftover"),N($G101),0))))</f>
        <v/>
      </c>
      <c r="P101" s="25">
        <f>IF(OR($E101&lt;&gt;"received",$I101="",$L101=""),"",IF($I101&gt;=$L101+config!$B$19,"Y","N"))</f>
        <v/>
      </c>
      <c r="Q101" s="25">
        <f>IF($C101="","",IF(COUNTIF(campaigns!$A$2:$A$51,$C101)=0,"campaign_id not on campaigns; ",IF(AND($D101&lt;&gt;"",COUNTIFS(approvals!$A$2:$A$251,$C101,approvals!$B$2:$B$251,$D101)=0),"office not on this campaign (approvals tab); ",""))&amp;IF(AND(OR($E101="delivered",$E101="topped_up",$E101="collected"),$D101=""),"office needed; ","")&amp;IF(AND($E101&lt;&gt;"correction",N($G101)&lt;=0),"qty must be above 0; ","")&amp;IF(AND($E101="received",OR($I101="",$H101="")),"log lot and best-by; ","")&amp;IF(AND($P101="N",SUMIFS(inventory!$G$2:$G$801,inventory!$C$2:$C$801,$C101,inventory!$H$2:$H$801,$H101,inventory!$E$2:$E$801,"rejected")&lt;N($G101)),"UNDER "&amp;config!$B$19&amp;" DAYS LEFT ON THE DROP DAY: reject these units; ","")&amp;IF(AND($E101="delivered",COUNTIF(inventory!$R$2:$R$801,$R101)&gt;1),"two delivered rows for this office: use one; ","")&amp;IF(AND($E101="delivered",$J101=""),"who counted?; ",""))</f>
        <v/>
      </c>
      <c r="R101" s="25">
        <f>IF($C101="","",$C101&amp;"|"&amp;$D101&amp;"|"&amp;$E101)</f>
        <v/>
      </c>
    </row>
    <row r="102">
      <c r="A102" s="9" t="n"/>
      <c r="B102" s="33" t="n"/>
      <c r="I102" s="9" t="n"/>
      <c r="L102" s="26">
        <f>IF($C102="","",IFERROR(IF(INDEX(campaigns!$BG$2:$BG$51,MATCH($C102,campaigns!$A$2:$A$51,0))="","",INDEX(campaigns!$BG$2:$BG$51,MATCH($C102,campaigns!$A$2:$A$51,0))),""))</f>
        <v/>
      </c>
      <c r="M102" s="25">
        <f>IF($C102="","",IF(OR($E102="received"),N($G102),IF(OR($E102="rejected",$E102="delivered",$E102="topped_up"),-N($G102),IF(AND(OR($E102="returned_to_brand",$E102="given_to_roster_office",$E102="released_to_office",$E102="disposed"),IF($F102="","reserve",$F102)="reserve"),-N($G102),IF(AND($E102="correction",IF($F102="","reserve",$F102)="reserve"),N($G102),0)))))</f>
        <v/>
      </c>
      <c r="N102" s="25">
        <f>IF($C102="","",IF($E102="rejected",N($G102),IF(AND(OR($E102="returned_to_brand",$E102="given_to_roster_office",$E102="released_to_office",$E102="disposed"),IF($F102="","reserve",$F102)="rejected"),-N($G102),IF(AND($E102="correction",IF($F102="","reserve",$F102)="rejected"),N($G102),0))))</f>
        <v/>
      </c>
      <c r="O102" s="25">
        <f>IF($C102="","",IF($E102="collected",N($G102),IF(AND(OR($E102="returned_to_brand",$E102="given_to_roster_office",$E102="released_to_office",$E102="disposed"),IF($F102="","reserve",$F102)="leftover"),-N($G102),IF(AND($E102="correction",IF($F102="","reserve",$F102)="leftover"),N($G102),0))))</f>
        <v/>
      </c>
      <c r="P102" s="25">
        <f>IF(OR($E102&lt;&gt;"received",$I102="",$L102=""),"",IF($I102&gt;=$L102+config!$B$19,"Y","N"))</f>
        <v/>
      </c>
      <c r="Q102" s="25">
        <f>IF($C102="","",IF(COUNTIF(campaigns!$A$2:$A$51,$C102)=0,"campaign_id not on campaigns; ",IF(AND($D102&lt;&gt;"",COUNTIFS(approvals!$A$2:$A$251,$C102,approvals!$B$2:$B$251,$D102)=0),"office not on this campaign (approvals tab); ",""))&amp;IF(AND(OR($E102="delivered",$E102="topped_up",$E102="collected"),$D102=""),"office needed; ","")&amp;IF(AND($E102&lt;&gt;"correction",N($G102)&lt;=0),"qty must be above 0; ","")&amp;IF(AND($E102="received",OR($I102="",$H102="")),"log lot and best-by; ","")&amp;IF(AND($P102="N",SUMIFS(inventory!$G$2:$G$801,inventory!$C$2:$C$801,$C102,inventory!$H$2:$H$801,$H102,inventory!$E$2:$E$801,"rejected")&lt;N($G102)),"UNDER "&amp;config!$B$19&amp;" DAYS LEFT ON THE DROP DAY: reject these units; ","")&amp;IF(AND($E102="delivered",COUNTIF(inventory!$R$2:$R$801,$R102)&gt;1),"two delivered rows for this office: use one; ","")&amp;IF(AND($E102="delivered",$J102=""),"who counted?; ",""))</f>
        <v/>
      </c>
      <c r="R102" s="25">
        <f>IF($C102="","",$C102&amp;"|"&amp;$D102&amp;"|"&amp;$E102)</f>
        <v/>
      </c>
    </row>
    <row r="103">
      <c r="A103" s="9" t="n"/>
      <c r="B103" s="33" t="n"/>
      <c r="I103" s="9" t="n"/>
      <c r="L103" s="26">
        <f>IF($C103="","",IFERROR(IF(INDEX(campaigns!$BG$2:$BG$51,MATCH($C103,campaigns!$A$2:$A$51,0))="","",INDEX(campaigns!$BG$2:$BG$51,MATCH($C103,campaigns!$A$2:$A$51,0))),""))</f>
        <v/>
      </c>
      <c r="M103" s="25">
        <f>IF($C103="","",IF(OR($E103="received"),N($G103),IF(OR($E103="rejected",$E103="delivered",$E103="topped_up"),-N($G103),IF(AND(OR($E103="returned_to_brand",$E103="given_to_roster_office",$E103="released_to_office",$E103="disposed"),IF($F103="","reserve",$F103)="reserve"),-N($G103),IF(AND($E103="correction",IF($F103="","reserve",$F103)="reserve"),N($G103),0)))))</f>
        <v/>
      </c>
      <c r="N103" s="25">
        <f>IF($C103="","",IF($E103="rejected",N($G103),IF(AND(OR($E103="returned_to_brand",$E103="given_to_roster_office",$E103="released_to_office",$E103="disposed"),IF($F103="","reserve",$F103)="rejected"),-N($G103),IF(AND($E103="correction",IF($F103="","reserve",$F103)="rejected"),N($G103),0))))</f>
        <v/>
      </c>
      <c r="O103" s="25">
        <f>IF($C103="","",IF($E103="collected",N($G103),IF(AND(OR($E103="returned_to_brand",$E103="given_to_roster_office",$E103="released_to_office",$E103="disposed"),IF($F103="","reserve",$F103)="leftover"),-N($G103),IF(AND($E103="correction",IF($F103="","reserve",$F103)="leftover"),N($G103),0))))</f>
        <v/>
      </c>
      <c r="P103" s="25">
        <f>IF(OR($E103&lt;&gt;"received",$I103="",$L103=""),"",IF($I103&gt;=$L103+config!$B$19,"Y","N"))</f>
        <v/>
      </c>
      <c r="Q103" s="25">
        <f>IF($C103="","",IF(COUNTIF(campaigns!$A$2:$A$51,$C103)=0,"campaign_id not on campaigns; ",IF(AND($D103&lt;&gt;"",COUNTIFS(approvals!$A$2:$A$251,$C103,approvals!$B$2:$B$251,$D103)=0),"office not on this campaign (approvals tab); ",""))&amp;IF(AND(OR($E103="delivered",$E103="topped_up",$E103="collected"),$D103=""),"office needed; ","")&amp;IF(AND($E103&lt;&gt;"correction",N($G103)&lt;=0),"qty must be above 0; ","")&amp;IF(AND($E103="received",OR($I103="",$H103="")),"log lot and best-by; ","")&amp;IF(AND($P103="N",SUMIFS(inventory!$G$2:$G$801,inventory!$C$2:$C$801,$C103,inventory!$H$2:$H$801,$H103,inventory!$E$2:$E$801,"rejected")&lt;N($G103)),"UNDER "&amp;config!$B$19&amp;" DAYS LEFT ON THE DROP DAY: reject these units; ","")&amp;IF(AND($E103="delivered",COUNTIF(inventory!$R$2:$R$801,$R103)&gt;1),"two delivered rows for this office: use one; ","")&amp;IF(AND($E103="delivered",$J103=""),"who counted?; ",""))</f>
        <v/>
      </c>
      <c r="R103" s="25">
        <f>IF($C103="","",$C103&amp;"|"&amp;$D103&amp;"|"&amp;$E103)</f>
        <v/>
      </c>
    </row>
    <row r="104">
      <c r="A104" s="9" t="n"/>
      <c r="B104" s="33" t="n"/>
      <c r="I104" s="9" t="n"/>
      <c r="L104" s="26">
        <f>IF($C104="","",IFERROR(IF(INDEX(campaigns!$BG$2:$BG$51,MATCH($C104,campaigns!$A$2:$A$51,0))="","",INDEX(campaigns!$BG$2:$BG$51,MATCH($C104,campaigns!$A$2:$A$51,0))),""))</f>
        <v/>
      </c>
      <c r="M104" s="25">
        <f>IF($C104="","",IF(OR($E104="received"),N($G104),IF(OR($E104="rejected",$E104="delivered",$E104="topped_up"),-N($G104),IF(AND(OR($E104="returned_to_brand",$E104="given_to_roster_office",$E104="released_to_office",$E104="disposed"),IF($F104="","reserve",$F104)="reserve"),-N($G104),IF(AND($E104="correction",IF($F104="","reserve",$F104)="reserve"),N($G104),0)))))</f>
        <v/>
      </c>
      <c r="N104" s="25">
        <f>IF($C104="","",IF($E104="rejected",N($G104),IF(AND(OR($E104="returned_to_brand",$E104="given_to_roster_office",$E104="released_to_office",$E104="disposed"),IF($F104="","reserve",$F104)="rejected"),-N($G104),IF(AND($E104="correction",IF($F104="","reserve",$F104)="rejected"),N($G104),0))))</f>
        <v/>
      </c>
      <c r="O104" s="25">
        <f>IF($C104="","",IF($E104="collected",N($G104),IF(AND(OR($E104="returned_to_brand",$E104="given_to_roster_office",$E104="released_to_office",$E104="disposed"),IF($F104="","reserve",$F104)="leftover"),-N($G104),IF(AND($E104="correction",IF($F104="","reserve",$F104)="leftover"),N($G104),0))))</f>
        <v/>
      </c>
      <c r="P104" s="25">
        <f>IF(OR($E104&lt;&gt;"received",$I104="",$L104=""),"",IF($I104&gt;=$L104+config!$B$19,"Y","N"))</f>
        <v/>
      </c>
      <c r="Q104" s="25">
        <f>IF($C104="","",IF(COUNTIF(campaigns!$A$2:$A$51,$C104)=0,"campaign_id not on campaigns; ",IF(AND($D104&lt;&gt;"",COUNTIFS(approvals!$A$2:$A$251,$C104,approvals!$B$2:$B$251,$D104)=0),"office not on this campaign (approvals tab); ",""))&amp;IF(AND(OR($E104="delivered",$E104="topped_up",$E104="collected"),$D104=""),"office needed; ","")&amp;IF(AND($E104&lt;&gt;"correction",N($G104)&lt;=0),"qty must be above 0; ","")&amp;IF(AND($E104="received",OR($I104="",$H104="")),"log lot and best-by; ","")&amp;IF(AND($P104="N",SUMIFS(inventory!$G$2:$G$801,inventory!$C$2:$C$801,$C104,inventory!$H$2:$H$801,$H104,inventory!$E$2:$E$801,"rejected")&lt;N($G104)),"UNDER "&amp;config!$B$19&amp;" DAYS LEFT ON THE DROP DAY: reject these units; ","")&amp;IF(AND($E104="delivered",COUNTIF(inventory!$R$2:$R$801,$R104)&gt;1),"two delivered rows for this office: use one; ","")&amp;IF(AND($E104="delivered",$J104=""),"who counted?; ",""))</f>
        <v/>
      </c>
      <c r="R104" s="25">
        <f>IF($C104="","",$C104&amp;"|"&amp;$D104&amp;"|"&amp;$E104)</f>
        <v/>
      </c>
    </row>
    <row r="105">
      <c r="A105" s="9" t="n"/>
      <c r="B105" s="33" t="n"/>
      <c r="I105" s="9" t="n"/>
      <c r="L105" s="26">
        <f>IF($C105="","",IFERROR(IF(INDEX(campaigns!$BG$2:$BG$51,MATCH($C105,campaigns!$A$2:$A$51,0))="","",INDEX(campaigns!$BG$2:$BG$51,MATCH($C105,campaigns!$A$2:$A$51,0))),""))</f>
        <v/>
      </c>
      <c r="M105" s="25">
        <f>IF($C105="","",IF(OR($E105="received"),N($G105),IF(OR($E105="rejected",$E105="delivered",$E105="topped_up"),-N($G105),IF(AND(OR($E105="returned_to_brand",$E105="given_to_roster_office",$E105="released_to_office",$E105="disposed"),IF($F105="","reserve",$F105)="reserve"),-N($G105),IF(AND($E105="correction",IF($F105="","reserve",$F105)="reserve"),N($G105),0)))))</f>
        <v/>
      </c>
      <c r="N105" s="25">
        <f>IF($C105="","",IF($E105="rejected",N($G105),IF(AND(OR($E105="returned_to_brand",$E105="given_to_roster_office",$E105="released_to_office",$E105="disposed"),IF($F105="","reserve",$F105)="rejected"),-N($G105),IF(AND($E105="correction",IF($F105="","reserve",$F105)="rejected"),N($G105),0))))</f>
        <v/>
      </c>
      <c r="O105" s="25">
        <f>IF($C105="","",IF($E105="collected",N($G105),IF(AND(OR($E105="returned_to_brand",$E105="given_to_roster_office",$E105="released_to_office",$E105="disposed"),IF($F105="","reserve",$F105)="leftover"),-N($G105),IF(AND($E105="correction",IF($F105="","reserve",$F105)="leftover"),N($G105),0))))</f>
        <v/>
      </c>
      <c r="P105" s="25">
        <f>IF(OR($E105&lt;&gt;"received",$I105="",$L105=""),"",IF($I105&gt;=$L105+config!$B$19,"Y","N"))</f>
        <v/>
      </c>
      <c r="Q105" s="25">
        <f>IF($C105="","",IF(COUNTIF(campaigns!$A$2:$A$51,$C105)=0,"campaign_id not on campaigns; ",IF(AND($D105&lt;&gt;"",COUNTIFS(approvals!$A$2:$A$251,$C105,approvals!$B$2:$B$251,$D105)=0),"office not on this campaign (approvals tab); ",""))&amp;IF(AND(OR($E105="delivered",$E105="topped_up",$E105="collected"),$D105=""),"office needed; ","")&amp;IF(AND($E105&lt;&gt;"correction",N($G105)&lt;=0),"qty must be above 0; ","")&amp;IF(AND($E105="received",OR($I105="",$H105="")),"log lot and best-by; ","")&amp;IF(AND($P105="N",SUMIFS(inventory!$G$2:$G$801,inventory!$C$2:$C$801,$C105,inventory!$H$2:$H$801,$H105,inventory!$E$2:$E$801,"rejected")&lt;N($G105)),"UNDER "&amp;config!$B$19&amp;" DAYS LEFT ON THE DROP DAY: reject these units; ","")&amp;IF(AND($E105="delivered",COUNTIF(inventory!$R$2:$R$801,$R105)&gt;1),"two delivered rows for this office: use one; ","")&amp;IF(AND($E105="delivered",$J105=""),"who counted?; ",""))</f>
        <v/>
      </c>
      <c r="R105" s="25">
        <f>IF($C105="","",$C105&amp;"|"&amp;$D105&amp;"|"&amp;$E105)</f>
        <v/>
      </c>
    </row>
    <row r="106">
      <c r="A106" s="9" t="n"/>
      <c r="B106" s="33" t="n"/>
      <c r="I106" s="9" t="n"/>
      <c r="L106" s="26">
        <f>IF($C106="","",IFERROR(IF(INDEX(campaigns!$BG$2:$BG$51,MATCH($C106,campaigns!$A$2:$A$51,0))="","",INDEX(campaigns!$BG$2:$BG$51,MATCH($C106,campaigns!$A$2:$A$51,0))),""))</f>
        <v/>
      </c>
      <c r="M106" s="25">
        <f>IF($C106="","",IF(OR($E106="received"),N($G106),IF(OR($E106="rejected",$E106="delivered",$E106="topped_up"),-N($G106),IF(AND(OR($E106="returned_to_brand",$E106="given_to_roster_office",$E106="released_to_office",$E106="disposed"),IF($F106="","reserve",$F106)="reserve"),-N($G106),IF(AND($E106="correction",IF($F106="","reserve",$F106)="reserve"),N($G106),0)))))</f>
        <v/>
      </c>
      <c r="N106" s="25">
        <f>IF($C106="","",IF($E106="rejected",N($G106),IF(AND(OR($E106="returned_to_brand",$E106="given_to_roster_office",$E106="released_to_office",$E106="disposed"),IF($F106="","reserve",$F106)="rejected"),-N($G106),IF(AND($E106="correction",IF($F106="","reserve",$F106)="rejected"),N($G106),0))))</f>
        <v/>
      </c>
      <c r="O106" s="25">
        <f>IF($C106="","",IF($E106="collected",N($G106),IF(AND(OR($E106="returned_to_brand",$E106="given_to_roster_office",$E106="released_to_office",$E106="disposed"),IF($F106="","reserve",$F106)="leftover"),-N($G106),IF(AND($E106="correction",IF($F106="","reserve",$F106)="leftover"),N($G106),0))))</f>
        <v/>
      </c>
      <c r="P106" s="25">
        <f>IF(OR($E106&lt;&gt;"received",$I106="",$L106=""),"",IF($I106&gt;=$L106+config!$B$19,"Y","N"))</f>
        <v/>
      </c>
      <c r="Q106" s="25">
        <f>IF($C106="","",IF(COUNTIF(campaigns!$A$2:$A$51,$C106)=0,"campaign_id not on campaigns; ",IF(AND($D106&lt;&gt;"",COUNTIFS(approvals!$A$2:$A$251,$C106,approvals!$B$2:$B$251,$D106)=0),"office not on this campaign (approvals tab); ",""))&amp;IF(AND(OR($E106="delivered",$E106="topped_up",$E106="collected"),$D106=""),"office needed; ","")&amp;IF(AND($E106&lt;&gt;"correction",N($G106)&lt;=0),"qty must be above 0; ","")&amp;IF(AND($E106="received",OR($I106="",$H106="")),"log lot and best-by; ","")&amp;IF(AND($P106="N",SUMIFS(inventory!$G$2:$G$801,inventory!$C$2:$C$801,$C106,inventory!$H$2:$H$801,$H106,inventory!$E$2:$E$801,"rejected")&lt;N($G106)),"UNDER "&amp;config!$B$19&amp;" DAYS LEFT ON THE DROP DAY: reject these units; ","")&amp;IF(AND($E106="delivered",COUNTIF(inventory!$R$2:$R$801,$R106)&gt;1),"two delivered rows for this office: use one; ","")&amp;IF(AND($E106="delivered",$J106=""),"who counted?; ",""))</f>
        <v/>
      </c>
      <c r="R106" s="25">
        <f>IF($C106="","",$C106&amp;"|"&amp;$D106&amp;"|"&amp;$E106)</f>
        <v/>
      </c>
    </row>
    <row r="107">
      <c r="A107" s="9" t="n"/>
      <c r="B107" s="33" t="n"/>
      <c r="I107" s="9" t="n"/>
      <c r="L107" s="26">
        <f>IF($C107="","",IFERROR(IF(INDEX(campaigns!$BG$2:$BG$51,MATCH($C107,campaigns!$A$2:$A$51,0))="","",INDEX(campaigns!$BG$2:$BG$51,MATCH($C107,campaigns!$A$2:$A$51,0))),""))</f>
        <v/>
      </c>
      <c r="M107" s="25">
        <f>IF($C107="","",IF(OR($E107="received"),N($G107),IF(OR($E107="rejected",$E107="delivered",$E107="topped_up"),-N($G107),IF(AND(OR($E107="returned_to_brand",$E107="given_to_roster_office",$E107="released_to_office",$E107="disposed"),IF($F107="","reserve",$F107)="reserve"),-N($G107),IF(AND($E107="correction",IF($F107="","reserve",$F107)="reserve"),N($G107),0)))))</f>
        <v/>
      </c>
      <c r="N107" s="25">
        <f>IF($C107="","",IF($E107="rejected",N($G107),IF(AND(OR($E107="returned_to_brand",$E107="given_to_roster_office",$E107="released_to_office",$E107="disposed"),IF($F107="","reserve",$F107)="rejected"),-N($G107),IF(AND($E107="correction",IF($F107="","reserve",$F107)="rejected"),N($G107),0))))</f>
        <v/>
      </c>
      <c r="O107" s="25">
        <f>IF($C107="","",IF($E107="collected",N($G107),IF(AND(OR($E107="returned_to_brand",$E107="given_to_roster_office",$E107="released_to_office",$E107="disposed"),IF($F107="","reserve",$F107)="leftover"),-N($G107),IF(AND($E107="correction",IF($F107="","reserve",$F107)="leftover"),N($G107),0))))</f>
        <v/>
      </c>
      <c r="P107" s="25">
        <f>IF(OR($E107&lt;&gt;"received",$I107="",$L107=""),"",IF($I107&gt;=$L107+config!$B$19,"Y","N"))</f>
        <v/>
      </c>
      <c r="Q107" s="25">
        <f>IF($C107="","",IF(COUNTIF(campaigns!$A$2:$A$51,$C107)=0,"campaign_id not on campaigns; ",IF(AND($D107&lt;&gt;"",COUNTIFS(approvals!$A$2:$A$251,$C107,approvals!$B$2:$B$251,$D107)=0),"office not on this campaign (approvals tab); ",""))&amp;IF(AND(OR($E107="delivered",$E107="topped_up",$E107="collected"),$D107=""),"office needed; ","")&amp;IF(AND($E107&lt;&gt;"correction",N($G107)&lt;=0),"qty must be above 0; ","")&amp;IF(AND($E107="received",OR($I107="",$H107="")),"log lot and best-by; ","")&amp;IF(AND($P107="N",SUMIFS(inventory!$G$2:$G$801,inventory!$C$2:$C$801,$C107,inventory!$H$2:$H$801,$H107,inventory!$E$2:$E$801,"rejected")&lt;N($G107)),"UNDER "&amp;config!$B$19&amp;" DAYS LEFT ON THE DROP DAY: reject these units; ","")&amp;IF(AND($E107="delivered",COUNTIF(inventory!$R$2:$R$801,$R107)&gt;1),"two delivered rows for this office: use one; ","")&amp;IF(AND($E107="delivered",$J107=""),"who counted?; ",""))</f>
        <v/>
      </c>
      <c r="R107" s="25">
        <f>IF($C107="","",$C107&amp;"|"&amp;$D107&amp;"|"&amp;$E107)</f>
        <v/>
      </c>
    </row>
    <row r="108">
      <c r="A108" s="9" t="n"/>
      <c r="B108" s="33" t="n"/>
      <c r="I108" s="9" t="n"/>
      <c r="L108" s="26">
        <f>IF($C108="","",IFERROR(IF(INDEX(campaigns!$BG$2:$BG$51,MATCH($C108,campaigns!$A$2:$A$51,0))="","",INDEX(campaigns!$BG$2:$BG$51,MATCH($C108,campaigns!$A$2:$A$51,0))),""))</f>
        <v/>
      </c>
      <c r="M108" s="25">
        <f>IF($C108="","",IF(OR($E108="received"),N($G108),IF(OR($E108="rejected",$E108="delivered",$E108="topped_up"),-N($G108),IF(AND(OR($E108="returned_to_brand",$E108="given_to_roster_office",$E108="released_to_office",$E108="disposed"),IF($F108="","reserve",$F108)="reserve"),-N($G108),IF(AND($E108="correction",IF($F108="","reserve",$F108)="reserve"),N($G108),0)))))</f>
        <v/>
      </c>
      <c r="N108" s="25">
        <f>IF($C108="","",IF($E108="rejected",N($G108),IF(AND(OR($E108="returned_to_brand",$E108="given_to_roster_office",$E108="released_to_office",$E108="disposed"),IF($F108="","reserve",$F108)="rejected"),-N($G108),IF(AND($E108="correction",IF($F108="","reserve",$F108)="rejected"),N($G108),0))))</f>
        <v/>
      </c>
      <c r="O108" s="25">
        <f>IF($C108="","",IF($E108="collected",N($G108),IF(AND(OR($E108="returned_to_brand",$E108="given_to_roster_office",$E108="released_to_office",$E108="disposed"),IF($F108="","reserve",$F108)="leftover"),-N($G108),IF(AND($E108="correction",IF($F108="","reserve",$F108)="leftover"),N($G108),0))))</f>
        <v/>
      </c>
      <c r="P108" s="25">
        <f>IF(OR($E108&lt;&gt;"received",$I108="",$L108=""),"",IF($I108&gt;=$L108+config!$B$19,"Y","N"))</f>
        <v/>
      </c>
      <c r="Q108" s="25">
        <f>IF($C108="","",IF(COUNTIF(campaigns!$A$2:$A$51,$C108)=0,"campaign_id not on campaigns; ",IF(AND($D108&lt;&gt;"",COUNTIFS(approvals!$A$2:$A$251,$C108,approvals!$B$2:$B$251,$D108)=0),"office not on this campaign (approvals tab); ",""))&amp;IF(AND(OR($E108="delivered",$E108="topped_up",$E108="collected"),$D108=""),"office needed; ","")&amp;IF(AND($E108&lt;&gt;"correction",N($G108)&lt;=0),"qty must be above 0; ","")&amp;IF(AND($E108="received",OR($I108="",$H108="")),"log lot and best-by; ","")&amp;IF(AND($P108="N",SUMIFS(inventory!$G$2:$G$801,inventory!$C$2:$C$801,$C108,inventory!$H$2:$H$801,$H108,inventory!$E$2:$E$801,"rejected")&lt;N($G108)),"UNDER "&amp;config!$B$19&amp;" DAYS LEFT ON THE DROP DAY: reject these units; ","")&amp;IF(AND($E108="delivered",COUNTIF(inventory!$R$2:$R$801,$R108)&gt;1),"two delivered rows for this office: use one; ","")&amp;IF(AND($E108="delivered",$J108=""),"who counted?; ",""))</f>
        <v/>
      </c>
      <c r="R108" s="25">
        <f>IF($C108="","",$C108&amp;"|"&amp;$D108&amp;"|"&amp;$E108)</f>
        <v/>
      </c>
    </row>
    <row r="109">
      <c r="A109" s="9" t="n"/>
      <c r="B109" s="33" t="n"/>
      <c r="I109" s="9" t="n"/>
      <c r="L109" s="26">
        <f>IF($C109="","",IFERROR(IF(INDEX(campaigns!$BG$2:$BG$51,MATCH($C109,campaigns!$A$2:$A$51,0))="","",INDEX(campaigns!$BG$2:$BG$51,MATCH($C109,campaigns!$A$2:$A$51,0))),""))</f>
        <v/>
      </c>
      <c r="M109" s="25">
        <f>IF($C109="","",IF(OR($E109="received"),N($G109),IF(OR($E109="rejected",$E109="delivered",$E109="topped_up"),-N($G109),IF(AND(OR($E109="returned_to_brand",$E109="given_to_roster_office",$E109="released_to_office",$E109="disposed"),IF($F109="","reserve",$F109)="reserve"),-N($G109),IF(AND($E109="correction",IF($F109="","reserve",$F109)="reserve"),N($G109),0)))))</f>
        <v/>
      </c>
      <c r="N109" s="25">
        <f>IF($C109="","",IF($E109="rejected",N($G109),IF(AND(OR($E109="returned_to_brand",$E109="given_to_roster_office",$E109="released_to_office",$E109="disposed"),IF($F109="","reserve",$F109)="rejected"),-N($G109),IF(AND($E109="correction",IF($F109="","reserve",$F109)="rejected"),N($G109),0))))</f>
        <v/>
      </c>
      <c r="O109" s="25">
        <f>IF($C109="","",IF($E109="collected",N($G109),IF(AND(OR($E109="returned_to_brand",$E109="given_to_roster_office",$E109="released_to_office",$E109="disposed"),IF($F109="","reserve",$F109)="leftover"),-N($G109),IF(AND($E109="correction",IF($F109="","reserve",$F109)="leftover"),N($G109),0))))</f>
        <v/>
      </c>
      <c r="P109" s="25">
        <f>IF(OR($E109&lt;&gt;"received",$I109="",$L109=""),"",IF($I109&gt;=$L109+config!$B$19,"Y","N"))</f>
        <v/>
      </c>
      <c r="Q109" s="25">
        <f>IF($C109="","",IF(COUNTIF(campaigns!$A$2:$A$51,$C109)=0,"campaign_id not on campaigns; ",IF(AND($D109&lt;&gt;"",COUNTIFS(approvals!$A$2:$A$251,$C109,approvals!$B$2:$B$251,$D109)=0),"office not on this campaign (approvals tab); ",""))&amp;IF(AND(OR($E109="delivered",$E109="topped_up",$E109="collected"),$D109=""),"office needed; ","")&amp;IF(AND($E109&lt;&gt;"correction",N($G109)&lt;=0),"qty must be above 0; ","")&amp;IF(AND($E109="received",OR($I109="",$H109="")),"log lot and best-by; ","")&amp;IF(AND($P109="N",SUMIFS(inventory!$G$2:$G$801,inventory!$C$2:$C$801,$C109,inventory!$H$2:$H$801,$H109,inventory!$E$2:$E$801,"rejected")&lt;N($G109)),"UNDER "&amp;config!$B$19&amp;" DAYS LEFT ON THE DROP DAY: reject these units; ","")&amp;IF(AND($E109="delivered",COUNTIF(inventory!$R$2:$R$801,$R109)&gt;1),"two delivered rows for this office: use one; ","")&amp;IF(AND($E109="delivered",$J109=""),"who counted?; ",""))</f>
        <v/>
      </c>
      <c r="R109" s="25">
        <f>IF($C109="","",$C109&amp;"|"&amp;$D109&amp;"|"&amp;$E109)</f>
        <v/>
      </c>
    </row>
    <row r="110">
      <c r="A110" s="9" t="n"/>
      <c r="B110" s="33" t="n"/>
      <c r="I110" s="9" t="n"/>
      <c r="L110" s="26">
        <f>IF($C110="","",IFERROR(IF(INDEX(campaigns!$BG$2:$BG$51,MATCH($C110,campaigns!$A$2:$A$51,0))="","",INDEX(campaigns!$BG$2:$BG$51,MATCH($C110,campaigns!$A$2:$A$51,0))),""))</f>
        <v/>
      </c>
      <c r="M110" s="25">
        <f>IF($C110="","",IF(OR($E110="received"),N($G110),IF(OR($E110="rejected",$E110="delivered",$E110="topped_up"),-N($G110),IF(AND(OR($E110="returned_to_brand",$E110="given_to_roster_office",$E110="released_to_office",$E110="disposed"),IF($F110="","reserve",$F110)="reserve"),-N($G110),IF(AND($E110="correction",IF($F110="","reserve",$F110)="reserve"),N($G110),0)))))</f>
        <v/>
      </c>
      <c r="N110" s="25">
        <f>IF($C110="","",IF($E110="rejected",N($G110),IF(AND(OR($E110="returned_to_brand",$E110="given_to_roster_office",$E110="released_to_office",$E110="disposed"),IF($F110="","reserve",$F110)="rejected"),-N($G110),IF(AND($E110="correction",IF($F110="","reserve",$F110)="rejected"),N($G110),0))))</f>
        <v/>
      </c>
      <c r="O110" s="25">
        <f>IF($C110="","",IF($E110="collected",N($G110),IF(AND(OR($E110="returned_to_brand",$E110="given_to_roster_office",$E110="released_to_office",$E110="disposed"),IF($F110="","reserve",$F110)="leftover"),-N($G110),IF(AND($E110="correction",IF($F110="","reserve",$F110)="leftover"),N($G110),0))))</f>
        <v/>
      </c>
      <c r="P110" s="25">
        <f>IF(OR($E110&lt;&gt;"received",$I110="",$L110=""),"",IF($I110&gt;=$L110+config!$B$19,"Y","N"))</f>
        <v/>
      </c>
      <c r="Q110" s="25">
        <f>IF($C110="","",IF(COUNTIF(campaigns!$A$2:$A$51,$C110)=0,"campaign_id not on campaigns; ",IF(AND($D110&lt;&gt;"",COUNTIFS(approvals!$A$2:$A$251,$C110,approvals!$B$2:$B$251,$D110)=0),"office not on this campaign (approvals tab); ",""))&amp;IF(AND(OR($E110="delivered",$E110="topped_up",$E110="collected"),$D110=""),"office needed; ","")&amp;IF(AND($E110&lt;&gt;"correction",N($G110)&lt;=0),"qty must be above 0; ","")&amp;IF(AND($E110="received",OR($I110="",$H110="")),"log lot and best-by; ","")&amp;IF(AND($P110="N",SUMIFS(inventory!$G$2:$G$801,inventory!$C$2:$C$801,$C110,inventory!$H$2:$H$801,$H110,inventory!$E$2:$E$801,"rejected")&lt;N($G110)),"UNDER "&amp;config!$B$19&amp;" DAYS LEFT ON THE DROP DAY: reject these units; ","")&amp;IF(AND($E110="delivered",COUNTIF(inventory!$R$2:$R$801,$R110)&gt;1),"two delivered rows for this office: use one; ","")&amp;IF(AND($E110="delivered",$J110=""),"who counted?; ",""))</f>
        <v/>
      </c>
      <c r="R110" s="25">
        <f>IF($C110="","",$C110&amp;"|"&amp;$D110&amp;"|"&amp;$E110)</f>
        <v/>
      </c>
    </row>
    <row r="111">
      <c r="A111" s="9" t="n"/>
      <c r="B111" s="33" t="n"/>
      <c r="I111" s="9" t="n"/>
      <c r="L111" s="26">
        <f>IF($C111="","",IFERROR(IF(INDEX(campaigns!$BG$2:$BG$51,MATCH($C111,campaigns!$A$2:$A$51,0))="","",INDEX(campaigns!$BG$2:$BG$51,MATCH($C111,campaigns!$A$2:$A$51,0))),""))</f>
        <v/>
      </c>
      <c r="M111" s="25">
        <f>IF($C111="","",IF(OR($E111="received"),N($G111),IF(OR($E111="rejected",$E111="delivered",$E111="topped_up"),-N($G111),IF(AND(OR($E111="returned_to_brand",$E111="given_to_roster_office",$E111="released_to_office",$E111="disposed"),IF($F111="","reserve",$F111)="reserve"),-N($G111),IF(AND($E111="correction",IF($F111="","reserve",$F111)="reserve"),N($G111),0)))))</f>
        <v/>
      </c>
      <c r="N111" s="25">
        <f>IF($C111="","",IF($E111="rejected",N($G111),IF(AND(OR($E111="returned_to_brand",$E111="given_to_roster_office",$E111="released_to_office",$E111="disposed"),IF($F111="","reserve",$F111)="rejected"),-N($G111),IF(AND($E111="correction",IF($F111="","reserve",$F111)="rejected"),N($G111),0))))</f>
        <v/>
      </c>
      <c r="O111" s="25">
        <f>IF($C111="","",IF($E111="collected",N($G111),IF(AND(OR($E111="returned_to_brand",$E111="given_to_roster_office",$E111="released_to_office",$E111="disposed"),IF($F111="","reserve",$F111)="leftover"),-N($G111),IF(AND($E111="correction",IF($F111="","reserve",$F111)="leftover"),N($G111),0))))</f>
        <v/>
      </c>
      <c r="P111" s="25">
        <f>IF(OR($E111&lt;&gt;"received",$I111="",$L111=""),"",IF($I111&gt;=$L111+config!$B$19,"Y","N"))</f>
        <v/>
      </c>
      <c r="Q111" s="25">
        <f>IF($C111="","",IF(COUNTIF(campaigns!$A$2:$A$51,$C111)=0,"campaign_id not on campaigns; ",IF(AND($D111&lt;&gt;"",COUNTIFS(approvals!$A$2:$A$251,$C111,approvals!$B$2:$B$251,$D111)=0),"office not on this campaign (approvals tab); ",""))&amp;IF(AND(OR($E111="delivered",$E111="topped_up",$E111="collected"),$D111=""),"office needed; ","")&amp;IF(AND($E111&lt;&gt;"correction",N($G111)&lt;=0),"qty must be above 0; ","")&amp;IF(AND($E111="received",OR($I111="",$H111="")),"log lot and best-by; ","")&amp;IF(AND($P111="N",SUMIFS(inventory!$G$2:$G$801,inventory!$C$2:$C$801,$C111,inventory!$H$2:$H$801,$H111,inventory!$E$2:$E$801,"rejected")&lt;N($G111)),"UNDER "&amp;config!$B$19&amp;" DAYS LEFT ON THE DROP DAY: reject these units; ","")&amp;IF(AND($E111="delivered",COUNTIF(inventory!$R$2:$R$801,$R111)&gt;1),"two delivered rows for this office: use one; ","")&amp;IF(AND($E111="delivered",$J111=""),"who counted?; ",""))</f>
        <v/>
      </c>
      <c r="R111" s="25">
        <f>IF($C111="","",$C111&amp;"|"&amp;$D111&amp;"|"&amp;$E111)</f>
        <v/>
      </c>
    </row>
    <row r="112">
      <c r="A112" s="9" t="n"/>
      <c r="B112" s="33" t="n"/>
      <c r="I112" s="9" t="n"/>
      <c r="L112" s="26">
        <f>IF($C112="","",IFERROR(IF(INDEX(campaigns!$BG$2:$BG$51,MATCH($C112,campaigns!$A$2:$A$51,0))="","",INDEX(campaigns!$BG$2:$BG$51,MATCH($C112,campaigns!$A$2:$A$51,0))),""))</f>
        <v/>
      </c>
      <c r="M112" s="25">
        <f>IF($C112="","",IF(OR($E112="received"),N($G112),IF(OR($E112="rejected",$E112="delivered",$E112="topped_up"),-N($G112),IF(AND(OR($E112="returned_to_brand",$E112="given_to_roster_office",$E112="released_to_office",$E112="disposed"),IF($F112="","reserve",$F112)="reserve"),-N($G112),IF(AND($E112="correction",IF($F112="","reserve",$F112)="reserve"),N($G112),0)))))</f>
        <v/>
      </c>
      <c r="N112" s="25">
        <f>IF($C112="","",IF($E112="rejected",N($G112),IF(AND(OR($E112="returned_to_brand",$E112="given_to_roster_office",$E112="released_to_office",$E112="disposed"),IF($F112="","reserve",$F112)="rejected"),-N($G112),IF(AND($E112="correction",IF($F112="","reserve",$F112)="rejected"),N($G112),0))))</f>
        <v/>
      </c>
      <c r="O112" s="25">
        <f>IF($C112="","",IF($E112="collected",N($G112),IF(AND(OR($E112="returned_to_brand",$E112="given_to_roster_office",$E112="released_to_office",$E112="disposed"),IF($F112="","reserve",$F112)="leftover"),-N($G112),IF(AND($E112="correction",IF($F112="","reserve",$F112)="leftover"),N($G112),0))))</f>
        <v/>
      </c>
      <c r="P112" s="25">
        <f>IF(OR($E112&lt;&gt;"received",$I112="",$L112=""),"",IF($I112&gt;=$L112+config!$B$19,"Y","N"))</f>
        <v/>
      </c>
      <c r="Q112" s="25">
        <f>IF($C112="","",IF(COUNTIF(campaigns!$A$2:$A$51,$C112)=0,"campaign_id not on campaigns; ",IF(AND($D112&lt;&gt;"",COUNTIFS(approvals!$A$2:$A$251,$C112,approvals!$B$2:$B$251,$D112)=0),"office not on this campaign (approvals tab); ",""))&amp;IF(AND(OR($E112="delivered",$E112="topped_up",$E112="collected"),$D112=""),"office needed; ","")&amp;IF(AND($E112&lt;&gt;"correction",N($G112)&lt;=0),"qty must be above 0; ","")&amp;IF(AND($E112="received",OR($I112="",$H112="")),"log lot and best-by; ","")&amp;IF(AND($P112="N",SUMIFS(inventory!$G$2:$G$801,inventory!$C$2:$C$801,$C112,inventory!$H$2:$H$801,$H112,inventory!$E$2:$E$801,"rejected")&lt;N($G112)),"UNDER "&amp;config!$B$19&amp;" DAYS LEFT ON THE DROP DAY: reject these units; ","")&amp;IF(AND($E112="delivered",COUNTIF(inventory!$R$2:$R$801,$R112)&gt;1),"two delivered rows for this office: use one; ","")&amp;IF(AND($E112="delivered",$J112=""),"who counted?; ",""))</f>
        <v/>
      </c>
      <c r="R112" s="25">
        <f>IF($C112="","",$C112&amp;"|"&amp;$D112&amp;"|"&amp;$E112)</f>
        <v/>
      </c>
    </row>
    <row r="113">
      <c r="A113" s="9" t="n"/>
      <c r="B113" s="33" t="n"/>
      <c r="I113" s="9" t="n"/>
      <c r="L113" s="26">
        <f>IF($C113="","",IFERROR(IF(INDEX(campaigns!$BG$2:$BG$51,MATCH($C113,campaigns!$A$2:$A$51,0))="","",INDEX(campaigns!$BG$2:$BG$51,MATCH($C113,campaigns!$A$2:$A$51,0))),""))</f>
        <v/>
      </c>
      <c r="M113" s="25">
        <f>IF($C113="","",IF(OR($E113="received"),N($G113),IF(OR($E113="rejected",$E113="delivered",$E113="topped_up"),-N($G113),IF(AND(OR($E113="returned_to_brand",$E113="given_to_roster_office",$E113="released_to_office",$E113="disposed"),IF($F113="","reserve",$F113)="reserve"),-N($G113),IF(AND($E113="correction",IF($F113="","reserve",$F113)="reserve"),N($G113),0)))))</f>
        <v/>
      </c>
      <c r="N113" s="25">
        <f>IF($C113="","",IF($E113="rejected",N($G113),IF(AND(OR($E113="returned_to_brand",$E113="given_to_roster_office",$E113="released_to_office",$E113="disposed"),IF($F113="","reserve",$F113)="rejected"),-N($G113),IF(AND($E113="correction",IF($F113="","reserve",$F113)="rejected"),N($G113),0))))</f>
        <v/>
      </c>
      <c r="O113" s="25">
        <f>IF($C113="","",IF($E113="collected",N($G113),IF(AND(OR($E113="returned_to_brand",$E113="given_to_roster_office",$E113="released_to_office",$E113="disposed"),IF($F113="","reserve",$F113)="leftover"),-N($G113),IF(AND($E113="correction",IF($F113="","reserve",$F113)="leftover"),N($G113),0))))</f>
        <v/>
      </c>
      <c r="P113" s="25">
        <f>IF(OR($E113&lt;&gt;"received",$I113="",$L113=""),"",IF($I113&gt;=$L113+config!$B$19,"Y","N"))</f>
        <v/>
      </c>
      <c r="Q113" s="25">
        <f>IF($C113="","",IF(COUNTIF(campaigns!$A$2:$A$51,$C113)=0,"campaign_id not on campaigns; ",IF(AND($D113&lt;&gt;"",COUNTIFS(approvals!$A$2:$A$251,$C113,approvals!$B$2:$B$251,$D113)=0),"office not on this campaign (approvals tab); ",""))&amp;IF(AND(OR($E113="delivered",$E113="topped_up",$E113="collected"),$D113=""),"office needed; ","")&amp;IF(AND($E113&lt;&gt;"correction",N($G113)&lt;=0),"qty must be above 0; ","")&amp;IF(AND($E113="received",OR($I113="",$H113="")),"log lot and best-by; ","")&amp;IF(AND($P113="N",SUMIFS(inventory!$G$2:$G$801,inventory!$C$2:$C$801,$C113,inventory!$H$2:$H$801,$H113,inventory!$E$2:$E$801,"rejected")&lt;N($G113)),"UNDER "&amp;config!$B$19&amp;" DAYS LEFT ON THE DROP DAY: reject these units; ","")&amp;IF(AND($E113="delivered",COUNTIF(inventory!$R$2:$R$801,$R113)&gt;1),"two delivered rows for this office: use one; ","")&amp;IF(AND($E113="delivered",$J113=""),"who counted?; ",""))</f>
        <v/>
      </c>
      <c r="R113" s="25">
        <f>IF($C113="","",$C113&amp;"|"&amp;$D113&amp;"|"&amp;$E113)</f>
        <v/>
      </c>
    </row>
    <row r="114">
      <c r="A114" s="9" t="n"/>
      <c r="B114" s="33" t="n"/>
      <c r="I114" s="9" t="n"/>
      <c r="L114" s="26">
        <f>IF($C114="","",IFERROR(IF(INDEX(campaigns!$BG$2:$BG$51,MATCH($C114,campaigns!$A$2:$A$51,0))="","",INDEX(campaigns!$BG$2:$BG$51,MATCH($C114,campaigns!$A$2:$A$51,0))),""))</f>
        <v/>
      </c>
      <c r="M114" s="25">
        <f>IF($C114="","",IF(OR($E114="received"),N($G114),IF(OR($E114="rejected",$E114="delivered",$E114="topped_up"),-N($G114),IF(AND(OR($E114="returned_to_brand",$E114="given_to_roster_office",$E114="released_to_office",$E114="disposed"),IF($F114="","reserve",$F114)="reserve"),-N($G114),IF(AND($E114="correction",IF($F114="","reserve",$F114)="reserve"),N($G114),0)))))</f>
        <v/>
      </c>
      <c r="N114" s="25">
        <f>IF($C114="","",IF($E114="rejected",N($G114),IF(AND(OR($E114="returned_to_brand",$E114="given_to_roster_office",$E114="released_to_office",$E114="disposed"),IF($F114="","reserve",$F114)="rejected"),-N($G114),IF(AND($E114="correction",IF($F114="","reserve",$F114)="rejected"),N($G114),0))))</f>
        <v/>
      </c>
      <c r="O114" s="25">
        <f>IF($C114="","",IF($E114="collected",N($G114),IF(AND(OR($E114="returned_to_brand",$E114="given_to_roster_office",$E114="released_to_office",$E114="disposed"),IF($F114="","reserve",$F114)="leftover"),-N($G114),IF(AND($E114="correction",IF($F114="","reserve",$F114)="leftover"),N($G114),0))))</f>
        <v/>
      </c>
      <c r="P114" s="25">
        <f>IF(OR($E114&lt;&gt;"received",$I114="",$L114=""),"",IF($I114&gt;=$L114+config!$B$19,"Y","N"))</f>
        <v/>
      </c>
      <c r="Q114" s="25">
        <f>IF($C114="","",IF(COUNTIF(campaigns!$A$2:$A$51,$C114)=0,"campaign_id not on campaigns; ",IF(AND($D114&lt;&gt;"",COUNTIFS(approvals!$A$2:$A$251,$C114,approvals!$B$2:$B$251,$D114)=0),"office not on this campaign (approvals tab); ",""))&amp;IF(AND(OR($E114="delivered",$E114="topped_up",$E114="collected"),$D114=""),"office needed; ","")&amp;IF(AND($E114&lt;&gt;"correction",N($G114)&lt;=0),"qty must be above 0; ","")&amp;IF(AND($E114="received",OR($I114="",$H114="")),"log lot and best-by; ","")&amp;IF(AND($P114="N",SUMIFS(inventory!$G$2:$G$801,inventory!$C$2:$C$801,$C114,inventory!$H$2:$H$801,$H114,inventory!$E$2:$E$801,"rejected")&lt;N($G114)),"UNDER "&amp;config!$B$19&amp;" DAYS LEFT ON THE DROP DAY: reject these units; ","")&amp;IF(AND($E114="delivered",COUNTIF(inventory!$R$2:$R$801,$R114)&gt;1),"two delivered rows for this office: use one; ","")&amp;IF(AND($E114="delivered",$J114=""),"who counted?; ",""))</f>
        <v/>
      </c>
      <c r="R114" s="25">
        <f>IF($C114="","",$C114&amp;"|"&amp;$D114&amp;"|"&amp;$E114)</f>
        <v/>
      </c>
    </row>
    <row r="115">
      <c r="A115" s="9" t="n"/>
      <c r="B115" s="33" t="n"/>
      <c r="I115" s="9" t="n"/>
      <c r="L115" s="26">
        <f>IF($C115="","",IFERROR(IF(INDEX(campaigns!$BG$2:$BG$51,MATCH($C115,campaigns!$A$2:$A$51,0))="","",INDEX(campaigns!$BG$2:$BG$51,MATCH($C115,campaigns!$A$2:$A$51,0))),""))</f>
        <v/>
      </c>
      <c r="M115" s="25">
        <f>IF($C115="","",IF(OR($E115="received"),N($G115),IF(OR($E115="rejected",$E115="delivered",$E115="topped_up"),-N($G115),IF(AND(OR($E115="returned_to_brand",$E115="given_to_roster_office",$E115="released_to_office",$E115="disposed"),IF($F115="","reserve",$F115)="reserve"),-N($G115),IF(AND($E115="correction",IF($F115="","reserve",$F115)="reserve"),N($G115),0)))))</f>
        <v/>
      </c>
      <c r="N115" s="25">
        <f>IF($C115="","",IF($E115="rejected",N($G115),IF(AND(OR($E115="returned_to_brand",$E115="given_to_roster_office",$E115="released_to_office",$E115="disposed"),IF($F115="","reserve",$F115)="rejected"),-N($G115),IF(AND($E115="correction",IF($F115="","reserve",$F115)="rejected"),N($G115),0))))</f>
        <v/>
      </c>
      <c r="O115" s="25">
        <f>IF($C115="","",IF($E115="collected",N($G115),IF(AND(OR($E115="returned_to_brand",$E115="given_to_roster_office",$E115="released_to_office",$E115="disposed"),IF($F115="","reserve",$F115)="leftover"),-N($G115),IF(AND($E115="correction",IF($F115="","reserve",$F115)="leftover"),N($G115),0))))</f>
        <v/>
      </c>
      <c r="P115" s="25">
        <f>IF(OR($E115&lt;&gt;"received",$I115="",$L115=""),"",IF($I115&gt;=$L115+config!$B$19,"Y","N"))</f>
        <v/>
      </c>
      <c r="Q115" s="25">
        <f>IF($C115="","",IF(COUNTIF(campaigns!$A$2:$A$51,$C115)=0,"campaign_id not on campaigns; ",IF(AND($D115&lt;&gt;"",COUNTIFS(approvals!$A$2:$A$251,$C115,approvals!$B$2:$B$251,$D115)=0),"office not on this campaign (approvals tab); ",""))&amp;IF(AND(OR($E115="delivered",$E115="topped_up",$E115="collected"),$D115=""),"office needed; ","")&amp;IF(AND($E115&lt;&gt;"correction",N($G115)&lt;=0),"qty must be above 0; ","")&amp;IF(AND($E115="received",OR($I115="",$H115="")),"log lot and best-by; ","")&amp;IF(AND($P115="N",SUMIFS(inventory!$G$2:$G$801,inventory!$C$2:$C$801,$C115,inventory!$H$2:$H$801,$H115,inventory!$E$2:$E$801,"rejected")&lt;N($G115)),"UNDER "&amp;config!$B$19&amp;" DAYS LEFT ON THE DROP DAY: reject these units; ","")&amp;IF(AND($E115="delivered",COUNTIF(inventory!$R$2:$R$801,$R115)&gt;1),"two delivered rows for this office: use one; ","")&amp;IF(AND($E115="delivered",$J115=""),"who counted?; ",""))</f>
        <v/>
      </c>
      <c r="R115" s="25">
        <f>IF($C115="","",$C115&amp;"|"&amp;$D115&amp;"|"&amp;$E115)</f>
        <v/>
      </c>
    </row>
    <row r="116">
      <c r="A116" s="9" t="n"/>
      <c r="B116" s="33" t="n"/>
      <c r="I116" s="9" t="n"/>
      <c r="L116" s="26">
        <f>IF($C116="","",IFERROR(IF(INDEX(campaigns!$BG$2:$BG$51,MATCH($C116,campaigns!$A$2:$A$51,0))="","",INDEX(campaigns!$BG$2:$BG$51,MATCH($C116,campaigns!$A$2:$A$51,0))),""))</f>
        <v/>
      </c>
      <c r="M116" s="25">
        <f>IF($C116="","",IF(OR($E116="received"),N($G116),IF(OR($E116="rejected",$E116="delivered",$E116="topped_up"),-N($G116),IF(AND(OR($E116="returned_to_brand",$E116="given_to_roster_office",$E116="released_to_office",$E116="disposed"),IF($F116="","reserve",$F116)="reserve"),-N($G116),IF(AND($E116="correction",IF($F116="","reserve",$F116)="reserve"),N($G116),0)))))</f>
        <v/>
      </c>
      <c r="N116" s="25">
        <f>IF($C116="","",IF($E116="rejected",N($G116),IF(AND(OR($E116="returned_to_brand",$E116="given_to_roster_office",$E116="released_to_office",$E116="disposed"),IF($F116="","reserve",$F116)="rejected"),-N($G116),IF(AND($E116="correction",IF($F116="","reserve",$F116)="rejected"),N($G116),0))))</f>
        <v/>
      </c>
      <c r="O116" s="25">
        <f>IF($C116="","",IF($E116="collected",N($G116),IF(AND(OR($E116="returned_to_brand",$E116="given_to_roster_office",$E116="released_to_office",$E116="disposed"),IF($F116="","reserve",$F116)="leftover"),-N($G116),IF(AND($E116="correction",IF($F116="","reserve",$F116)="leftover"),N($G116),0))))</f>
        <v/>
      </c>
      <c r="P116" s="25">
        <f>IF(OR($E116&lt;&gt;"received",$I116="",$L116=""),"",IF($I116&gt;=$L116+config!$B$19,"Y","N"))</f>
        <v/>
      </c>
      <c r="Q116" s="25">
        <f>IF($C116="","",IF(COUNTIF(campaigns!$A$2:$A$51,$C116)=0,"campaign_id not on campaigns; ",IF(AND($D116&lt;&gt;"",COUNTIFS(approvals!$A$2:$A$251,$C116,approvals!$B$2:$B$251,$D116)=0),"office not on this campaign (approvals tab); ",""))&amp;IF(AND(OR($E116="delivered",$E116="topped_up",$E116="collected"),$D116=""),"office needed; ","")&amp;IF(AND($E116&lt;&gt;"correction",N($G116)&lt;=0),"qty must be above 0; ","")&amp;IF(AND($E116="received",OR($I116="",$H116="")),"log lot and best-by; ","")&amp;IF(AND($P116="N",SUMIFS(inventory!$G$2:$G$801,inventory!$C$2:$C$801,$C116,inventory!$H$2:$H$801,$H116,inventory!$E$2:$E$801,"rejected")&lt;N($G116)),"UNDER "&amp;config!$B$19&amp;" DAYS LEFT ON THE DROP DAY: reject these units; ","")&amp;IF(AND($E116="delivered",COUNTIF(inventory!$R$2:$R$801,$R116)&gt;1),"two delivered rows for this office: use one; ","")&amp;IF(AND($E116="delivered",$J116=""),"who counted?; ",""))</f>
        <v/>
      </c>
      <c r="R116" s="25">
        <f>IF($C116="","",$C116&amp;"|"&amp;$D116&amp;"|"&amp;$E116)</f>
        <v/>
      </c>
    </row>
    <row r="117">
      <c r="A117" s="9" t="n"/>
      <c r="B117" s="33" t="n"/>
      <c r="I117" s="9" t="n"/>
      <c r="L117" s="26">
        <f>IF($C117="","",IFERROR(IF(INDEX(campaigns!$BG$2:$BG$51,MATCH($C117,campaigns!$A$2:$A$51,0))="","",INDEX(campaigns!$BG$2:$BG$51,MATCH($C117,campaigns!$A$2:$A$51,0))),""))</f>
        <v/>
      </c>
      <c r="M117" s="25">
        <f>IF($C117="","",IF(OR($E117="received"),N($G117),IF(OR($E117="rejected",$E117="delivered",$E117="topped_up"),-N($G117),IF(AND(OR($E117="returned_to_brand",$E117="given_to_roster_office",$E117="released_to_office",$E117="disposed"),IF($F117="","reserve",$F117)="reserve"),-N($G117),IF(AND($E117="correction",IF($F117="","reserve",$F117)="reserve"),N($G117),0)))))</f>
        <v/>
      </c>
      <c r="N117" s="25">
        <f>IF($C117="","",IF($E117="rejected",N($G117),IF(AND(OR($E117="returned_to_brand",$E117="given_to_roster_office",$E117="released_to_office",$E117="disposed"),IF($F117="","reserve",$F117)="rejected"),-N($G117),IF(AND($E117="correction",IF($F117="","reserve",$F117)="rejected"),N($G117),0))))</f>
        <v/>
      </c>
      <c r="O117" s="25">
        <f>IF($C117="","",IF($E117="collected",N($G117),IF(AND(OR($E117="returned_to_brand",$E117="given_to_roster_office",$E117="released_to_office",$E117="disposed"),IF($F117="","reserve",$F117)="leftover"),-N($G117),IF(AND($E117="correction",IF($F117="","reserve",$F117)="leftover"),N($G117),0))))</f>
        <v/>
      </c>
      <c r="P117" s="25">
        <f>IF(OR($E117&lt;&gt;"received",$I117="",$L117=""),"",IF($I117&gt;=$L117+config!$B$19,"Y","N"))</f>
        <v/>
      </c>
      <c r="Q117" s="25">
        <f>IF($C117="","",IF(COUNTIF(campaigns!$A$2:$A$51,$C117)=0,"campaign_id not on campaigns; ",IF(AND($D117&lt;&gt;"",COUNTIFS(approvals!$A$2:$A$251,$C117,approvals!$B$2:$B$251,$D117)=0),"office not on this campaign (approvals tab); ",""))&amp;IF(AND(OR($E117="delivered",$E117="topped_up",$E117="collected"),$D117=""),"office needed; ","")&amp;IF(AND($E117&lt;&gt;"correction",N($G117)&lt;=0),"qty must be above 0; ","")&amp;IF(AND($E117="received",OR($I117="",$H117="")),"log lot and best-by; ","")&amp;IF(AND($P117="N",SUMIFS(inventory!$G$2:$G$801,inventory!$C$2:$C$801,$C117,inventory!$H$2:$H$801,$H117,inventory!$E$2:$E$801,"rejected")&lt;N($G117)),"UNDER "&amp;config!$B$19&amp;" DAYS LEFT ON THE DROP DAY: reject these units; ","")&amp;IF(AND($E117="delivered",COUNTIF(inventory!$R$2:$R$801,$R117)&gt;1),"two delivered rows for this office: use one; ","")&amp;IF(AND($E117="delivered",$J117=""),"who counted?; ",""))</f>
        <v/>
      </c>
      <c r="R117" s="25">
        <f>IF($C117="","",$C117&amp;"|"&amp;$D117&amp;"|"&amp;$E117)</f>
        <v/>
      </c>
    </row>
    <row r="118">
      <c r="A118" s="9" t="n"/>
      <c r="B118" s="33" t="n"/>
      <c r="I118" s="9" t="n"/>
      <c r="L118" s="26">
        <f>IF($C118="","",IFERROR(IF(INDEX(campaigns!$BG$2:$BG$51,MATCH($C118,campaigns!$A$2:$A$51,0))="","",INDEX(campaigns!$BG$2:$BG$51,MATCH($C118,campaigns!$A$2:$A$51,0))),""))</f>
        <v/>
      </c>
      <c r="M118" s="25">
        <f>IF($C118="","",IF(OR($E118="received"),N($G118),IF(OR($E118="rejected",$E118="delivered",$E118="topped_up"),-N($G118),IF(AND(OR($E118="returned_to_brand",$E118="given_to_roster_office",$E118="released_to_office",$E118="disposed"),IF($F118="","reserve",$F118)="reserve"),-N($G118),IF(AND($E118="correction",IF($F118="","reserve",$F118)="reserve"),N($G118),0)))))</f>
        <v/>
      </c>
      <c r="N118" s="25">
        <f>IF($C118="","",IF($E118="rejected",N($G118),IF(AND(OR($E118="returned_to_brand",$E118="given_to_roster_office",$E118="released_to_office",$E118="disposed"),IF($F118="","reserve",$F118)="rejected"),-N($G118),IF(AND($E118="correction",IF($F118="","reserve",$F118)="rejected"),N($G118),0))))</f>
        <v/>
      </c>
      <c r="O118" s="25">
        <f>IF($C118="","",IF($E118="collected",N($G118),IF(AND(OR($E118="returned_to_brand",$E118="given_to_roster_office",$E118="released_to_office",$E118="disposed"),IF($F118="","reserve",$F118)="leftover"),-N($G118),IF(AND($E118="correction",IF($F118="","reserve",$F118)="leftover"),N($G118),0))))</f>
        <v/>
      </c>
      <c r="P118" s="25">
        <f>IF(OR($E118&lt;&gt;"received",$I118="",$L118=""),"",IF($I118&gt;=$L118+config!$B$19,"Y","N"))</f>
        <v/>
      </c>
      <c r="Q118" s="25">
        <f>IF($C118="","",IF(COUNTIF(campaigns!$A$2:$A$51,$C118)=0,"campaign_id not on campaigns; ",IF(AND($D118&lt;&gt;"",COUNTIFS(approvals!$A$2:$A$251,$C118,approvals!$B$2:$B$251,$D118)=0),"office not on this campaign (approvals tab); ",""))&amp;IF(AND(OR($E118="delivered",$E118="topped_up",$E118="collected"),$D118=""),"office needed; ","")&amp;IF(AND($E118&lt;&gt;"correction",N($G118)&lt;=0),"qty must be above 0; ","")&amp;IF(AND($E118="received",OR($I118="",$H118="")),"log lot and best-by; ","")&amp;IF(AND($P118="N",SUMIFS(inventory!$G$2:$G$801,inventory!$C$2:$C$801,$C118,inventory!$H$2:$H$801,$H118,inventory!$E$2:$E$801,"rejected")&lt;N($G118)),"UNDER "&amp;config!$B$19&amp;" DAYS LEFT ON THE DROP DAY: reject these units; ","")&amp;IF(AND($E118="delivered",COUNTIF(inventory!$R$2:$R$801,$R118)&gt;1),"two delivered rows for this office: use one; ","")&amp;IF(AND($E118="delivered",$J118=""),"who counted?; ",""))</f>
        <v/>
      </c>
      <c r="R118" s="25">
        <f>IF($C118="","",$C118&amp;"|"&amp;$D118&amp;"|"&amp;$E118)</f>
        <v/>
      </c>
    </row>
    <row r="119">
      <c r="A119" s="9" t="n"/>
      <c r="B119" s="33" t="n"/>
      <c r="I119" s="9" t="n"/>
      <c r="L119" s="26">
        <f>IF($C119="","",IFERROR(IF(INDEX(campaigns!$BG$2:$BG$51,MATCH($C119,campaigns!$A$2:$A$51,0))="","",INDEX(campaigns!$BG$2:$BG$51,MATCH($C119,campaigns!$A$2:$A$51,0))),""))</f>
        <v/>
      </c>
      <c r="M119" s="25">
        <f>IF($C119="","",IF(OR($E119="received"),N($G119),IF(OR($E119="rejected",$E119="delivered",$E119="topped_up"),-N($G119),IF(AND(OR($E119="returned_to_brand",$E119="given_to_roster_office",$E119="released_to_office",$E119="disposed"),IF($F119="","reserve",$F119)="reserve"),-N($G119),IF(AND($E119="correction",IF($F119="","reserve",$F119)="reserve"),N($G119),0)))))</f>
        <v/>
      </c>
      <c r="N119" s="25">
        <f>IF($C119="","",IF($E119="rejected",N($G119),IF(AND(OR($E119="returned_to_brand",$E119="given_to_roster_office",$E119="released_to_office",$E119="disposed"),IF($F119="","reserve",$F119)="rejected"),-N($G119),IF(AND($E119="correction",IF($F119="","reserve",$F119)="rejected"),N($G119),0))))</f>
        <v/>
      </c>
      <c r="O119" s="25">
        <f>IF($C119="","",IF($E119="collected",N($G119),IF(AND(OR($E119="returned_to_brand",$E119="given_to_roster_office",$E119="released_to_office",$E119="disposed"),IF($F119="","reserve",$F119)="leftover"),-N($G119),IF(AND($E119="correction",IF($F119="","reserve",$F119)="leftover"),N($G119),0))))</f>
        <v/>
      </c>
      <c r="P119" s="25">
        <f>IF(OR($E119&lt;&gt;"received",$I119="",$L119=""),"",IF($I119&gt;=$L119+config!$B$19,"Y","N"))</f>
        <v/>
      </c>
      <c r="Q119" s="25">
        <f>IF($C119="","",IF(COUNTIF(campaigns!$A$2:$A$51,$C119)=0,"campaign_id not on campaigns; ",IF(AND($D119&lt;&gt;"",COUNTIFS(approvals!$A$2:$A$251,$C119,approvals!$B$2:$B$251,$D119)=0),"office not on this campaign (approvals tab); ",""))&amp;IF(AND(OR($E119="delivered",$E119="topped_up",$E119="collected"),$D119=""),"office needed; ","")&amp;IF(AND($E119&lt;&gt;"correction",N($G119)&lt;=0),"qty must be above 0; ","")&amp;IF(AND($E119="received",OR($I119="",$H119="")),"log lot and best-by; ","")&amp;IF(AND($P119="N",SUMIFS(inventory!$G$2:$G$801,inventory!$C$2:$C$801,$C119,inventory!$H$2:$H$801,$H119,inventory!$E$2:$E$801,"rejected")&lt;N($G119)),"UNDER "&amp;config!$B$19&amp;" DAYS LEFT ON THE DROP DAY: reject these units; ","")&amp;IF(AND($E119="delivered",COUNTIF(inventory!$R$2:$R$801,$R119)&gt;1),"two delivered rows for this office: use one; ","")&amp;IF(AND($E119="delivered",$J119=""),"who counted?; ",""))</f>
        <v/>
      </c>
      <c r="R119" s="25">
        <f>IF($C119="","",$C119&amp;"|"&amp;$D119&amp;"|"&amp;$E119)</f>
        <v/>
      </c>
    </row>
    <row r="120">
      <c r="A120" s="9" t="n"/>
      <c r="B120" s="33" t="n"/>
      <c r="I120" s="9" t="n"/>
      <c r="L120" s="26">
        <f>IF($C120="","",IFERROR(IF(INDEX(campaigns!$BG$2:$BG$51,MATCH($C120,campaigns!$A$2:$A$51,0))="","",INDEX(campaigns!$BG$2:$BG$51,MATCH($C120,campaigns!$A$2:$A$51,0))),""))</f>
        <v/>
      </c>
      <c r="M120" s="25">
        <f>IF($C120="","",IF(OR($E120="received"),N($G120),IF(OR($E120="rejected",$E120="delivered",$E120="topped_up"),-N($G120),IF(AND(OR($E120="returned_to_brand",$E120="given_to_roster_office",$E120="released_to_office",$E120="disposed"),IF($F120="","reserve",$F120)="reserve"),-N($G120),IF(AND($E120="correction",IF($F120="","reserve",$F120)="reserve"),N($G120),0)))))</f>
        <v/>
      </c>
      <c r="N120" s="25">
        <f>IF($C120="","",IF($E120="rejected",N($G120),IF(AND(OR($E120="returned_to_brand",$E120="given_to_roster_office",$E120="released_to_office",$E120="disposed"),IF($F120="","reserve",$F120)="rejected"),-N($G120),IF(AND($E120="correction",IF($F120="","reserve",$F120)="rejected"),N($G120),0))))</f>
        <v/>
      </c>
      <c r="O120" s="25">
        <f>IF($C120="","",IF($E120="collected",N($G120),IF(AND(OR($E120="returned_to_brand",$E120="given_to_roster_office",$E120="released_to_office",$E120="disposed"),IF($F120="","reserve",$F120)="leftover"),-N($G120),IF(AND($E120="correction",IF($F120="","reserve",$F120)="leftover"),N($G120),0))))</f>
        <v/>
      </c>
      <c r="P120" s="25">
        <f>IF(OR($E120&lt;&gt;"received",$I120="",$L120=""),"",IF($I120&gt;=$L120+config!$B$19,"Y","N"))</f>
        <v/>
      </c>
      <c r="Q120" s="25">
        <f>IF($C120="","",IF(COUNTIF(campaigns!$A$2:$A$51,$C120)=0,"campaign_id not on campaigns; ",IF(AND($D120&lt;&gt;"",COUNTIFS(approvals!$A$2:$A$251,$C120,approvals!$B$2:$B$251,$D120)=0),"office not on this campaign (approvals tab); ",""))&amp;IF(AND(OR($E120="delivered",$E120="topped_up",$E120="collected"),$D120=""),"office needed; ","")&amp;IF(AND($E120&lt;&gt;"correction",N($G120)&lt;=0),"qty must be above 0; ","")&amp;IF(AND($E120="received",OR($I120="",$H120="")),"log lot and best-by; ","")&amp;IF(AND($P120="N",SUMIFS(inventory!$G$2:$G$801,inventory!$C$2:$C$801,$C120,inventory!$H$2:$H$801,$H120,inventory!$E$2:$E$801,"rejected")&lt;N($G120)),"UNDER "&amp;config!$B$19&amp;" DAYS LEFT ON THE DROP DAY: reject these units; ","")&amp;IF(AND($E120="delivered",COUNTIF(inventory!$R$2:$R$801,$R120)&gt;1),"two delivered rows for this office: use one; ","")&amp;IF(AND($E120="delivered",$J120=""),"who counted?; ",""))</f>
        <v/>
      </c>
      <c r="R120" s="25">
        <f>IF($C120="","",$C120&amp;"|"&amp;$D120&amp;"|"&amp;$E120)</f>
        <v/>
      </c>
    </row>
    <row r="121">
      <c r="A121" s="9" t="n"/>
      <c r="B121" s="33" t="n"/>
      <c r="I121" s="9" t="n"/>
      <c r="L121" s="26">
        <f>IF($C121="","",IFERROR(IF(INDEX(campaigns!$BG$2:$BG$51,MATCH($C121,campaigns!$A$2:$A$51,0))="","",INDEX(campaigns!$BG$2:$BG$51,MATCH($C121,campaigns!$A$2:$A$51,0))),""))</f>
        <v/>
      </c>
      <c r="M121" s="25">
        <f>IF($C121="","",IF(OR($E121="received"),N($G121),IF(OR($E121="rejected",$E121="delivered",$E121="topped_up"),-N($G121),IF(AND(OR($E121="returned_to_brand",$E121="given_to_roster_office",$E121="released_to_office",$E121="disposed"),IF($F121="","reserve",$F121)="reserve"),-N($G121),IF(AND($E121="correction",IF($F121="","reserve",$F121)="reserve"),N($G121),0)))))</f>
        <v/>
      </c>
      <c r="N121" s="25">
        <f>IF($C121="","",IF($E121="rejected",N($G121),IF(AND(OR($E121="returned_to_brand",$E121="given_to_roster_office",$E121="released_to_office",$E121="disposed"),IF($F121="","reserve",$F121)="rejected"),-N($G121),IF(AND($E121="correction",IF($F121="","reserve",$F121)="rejected"),N($G121),0))))</f>
        <v/>
      </c>
      <c r="O121" s="25">
        <f>IF($C121="","",IF($E121="collected",N($G121),IF(AND(OR($E121="returned_to_brand",$E121="given_to_roster_office",$E121="released_to_office",$E121="disposed"),IF($F121="","reserve",$F121)="leftover"),-N($G121),IF(AND($E121="correction",IF($F121="","reserve",$F121)="leftover"),N($G121),0))))</f>
        <v/>
      </c>
      <c r="P121" s="25">
        <f>IF(OR($E121&lt;&gt;"received",$I121="",$L121=""),"",IF($I121&gt;=$L121+config!$B$19,"Y","N"))</f>
        <v/>
      </c>
      <c r="Q121" s="25">
        <f>IF($C121="","",IF(COUNTIF(campaigns!$A$2:$A$51,$C121)=0,"campaign_id not on campaigns; ",IF(AND($D121&lt;&gt;"",COUNTIFS(approvals!$A$2:$A$251,$C121,approvals!$B$2:$B$251,$D121)=0),"office not on this campaign (approvals tab); ",""))&amp;IF(AND(OR($E121="delivered",$E121="topped_up",$E121="collected"),$D121=""),"office needed; ","")&amp;IF(AND($E121&lt;&gt;"correction",N($G121)&lt;=0),"qty must be above 0; ","")&amp;IF(AND($E121="received",OR($I121="",$H121="")),"log lot and best-by; ","")&amp;IF(AND($P121="N",SUMIFS(inventory!$G$2:$G$801,inventory!$C$2:$C$801,$C121,inventory!$H$2:$H$801,$H121,inventory!$E$2:$E$801,"rejected")&lt;N($G121)),"UNDER "&amp;config!$B$19&amp;" DAYS LEFT ON THE DROP DAY: reject these units; ","")&amp;IF(AND($E121="delivered",COUNTIF(inventory!$R$2:$R$801,$R121)&gt;1),"two delivered rows for this office: use one; ","")&amp;IF(AND($E121="delivered",$J121=""),"who counted?; ",""))</f>
        <v/>
      </c>
      <c r="R121" s="25">
        <f>IF($C121="","",$C121&amp;"|"&amp;$D121&amp;"|"&amp;$E121)</f>
        <v/>
      </c>
    </row>
    <row r="122">
      <c r="A122" s="9" t="n"/>
      <c r="B122" s="33" t="n"/>
      <c r="I122" s="9" t="n"/>
      <c r="L122" s="26">
        <f>IF($C122="","",IFERROR(IF(INDEX(campaigns!$BG$2:$BG$51,MATCH($C122,campaigns!$A$2:$A$51,0))="","",INDEX(campaigns!$BG$2:$BG$51,MATCH($C122,campaigns!$A$2:$A$51,0))),""))</f>
        <v/>
      </c>
      <c r="M122" s="25">
        <f>IF($C122="","",IF(OR($E122="received"),N($G122),IF(OR($E122="rejected",$E122="delivered",$E122="topped_up"),-N($G122),IF(AND(OR($E122="returned_to_brand",$E122="given_to_roster_office",$E122="released_to_office",$E122="disposed"),IF($F122="","reserve",$F122)="reserve"),-N($G122),IF(AND($E122="correction",IF($F122="","reserve",$F122)="reserve"),N($G122),0)))))</f>
        <v/>
      </c>
      <c r="N122" s="25">
        <f>IF($C122="","",IF($E122="rejected",N($G122),IF(AND(OR($E122="returned_to_brand",$E122="given_to_roster_office",$E122="released_to_office",$E122="disposed"),IF($F122="","reserve",$F122)="rejected"),-N($G122),IF(AND($E122="correction",IF($F122="","reserve",$F122)="rejected"),N($G122),0))))</f>
        <v/>
      </c>
      <c r="O122" s="25">
        <f>IF($C122="","",IF($E122="collected",N($G122),IF(AND(OR($E122="returned_to_brand",$E122="given_to_roster_office",$E122="released_to_office",$E122="disposed"),IF($F122="","reserve",$F122)="leftover"),-N($G122),IF(AND($E122="correction",IF($F122="","reserve",$F122)="leftover"),N($G122),0))))</f>
        <v/>
      </c>
      <c r="P122" s="25">
        <f>IF(OR($E122&lt;&gt;"received",$I122="",$L122=""),"",IF($I122&gt;=$L122+config!$B$19,"Y","N"))</f>
        <v/>
      </c>
      <c r="Q122" s="25">
        <f>IF($C122="","",IF(COUNTIF(campaigns!$A$2:$A$51,$C122)=0,"campaign_id not on campaigns; ",IF(AND($D122&lt;&gt;"",COUNTIFS(approvals!$A$2:$A$251,$C122,approvals!$B$2:$B$251,$D122)=0),"office not on this campaign (approvals tab); ",""))&amp;IF(AND(OR($E122="delivered",$E122="topped_up",$E122="collected"),$D122=""),"office needed; ","")&amp;IF(AND($E122&lt;&gt;"correction",N($G122)&lt;=0),"qty must be above 0; ","")&amp;IF(AND($E122="received",OR($I122="",$H122="")),"log lot and best-by; ","")&amp;IF(AND($P122="N",SUMIFS(inventory!$G$2:$G$801,inventory!$C$2:$C$801,$C122,inventory!$H$2:$H$801,$H122,inventory!$E$2:$E$801,"rejected")&lt;N($G122)),"UNDER "&amp;config!$B$19&amp;" DAYS LEFT ON THE DROP DAY: reject these units; ","")&amp;IF(AND($E122="delivered",COUNTIF(inventory!$R$2:$R$801,$R122)&gt;1),"two delivered rows for this office: use one; ","")&amp;IF(AND($E122="delivered",$J122=""),"who counted?; ",""))</f>
        <v/>
      </c>
      <c r="R122" s="25">
        <f>IF($C122="","",$C122&amp;"|"&amp;$D122&amp;"|"&amp;$E122)</f>
        <v/>
      </c>
    </row>
    <row r="123">
      <c r="A123" s="9" t="n"/>
      <c r="B123" s="33" t="n"/>
      <c r="I123" s="9" t="n"/>
      <c r="L123" s="26">
        <f>IF($C123="","",IFERROR(IF(INDEX(campaigns!$BG$2:$BG$51,MATCH($C123,campaigns!$A$2:$A$51,0))="","",INDEX(campaigns!$BG$2:$BG$51,MATCH($C123,campaigns!$A$2:$A$51,0))),""))</f>
        <v/>
      </c>
      <c r="M123" s="25">
        <f>IF($C123="","",IF(OR($E123="received"),N($G123),IF(OR($E123="rejected",$E123="delivered",$E123="topped_up"),-N($G123),IF(AND(OR($E123="returned_to_brand",$E123="given_to_roster_office",$E123="released_to_office",$E123="disposed"),IF($F123="","reserve",$F123)="reserve"),-N($G123),IF(AND($E123="correction",IF($F123="","reserve",$F123)="reserve"),N($G123),0)))))</f>
        <v/>
      </c>
      <c r="N123" s="25">
        <f>IF($C123="","",IF($E123="rejected",N($G123),IF(AND(OR($E123="returned_to_brand",$E123="given_to_roster_office",$E123="released_to_office",$E123="disposed"),IF($F123="","reserve",$F123)="rejected"),-N($G123),IF(AND($E123="correction",IF($F123="","reserve",$F123)="rejected"),N($G123),0))))</f>
        <v/>
      </c>
      <c r="O123" s="25">
        <f>IF($C123="","",IF($E123="collected",N($G123),IF(AND(OR($E123="returned_to_brand",$E123="given_to_roster_office",$E123="released_to_office",$E123="disposed"),IF($F123="","reserve",$F123)="leftover"),-N($G123),IF(AND($E123="correction",IF($F123="","reserve",$F123)="leftover"),N($G123),0))))</f>
        <v/>
      </c>
      <c r="P123" s="25">
        <f>IF(OR($E123&lt;&gt;"received",$I123="",$L123=""),"",IF($I123&gt;=$L123+config!$B$19,"Y","N"))</f>
        <v/>
      </c>
      <c r="Q123" s="25">
        <f>IF($C123="","",IF(COUNTIF(campaigns!$A$2:$A$51,$C123)=0,"campaign_id not on campaigns; ",IF(AND($D123&lt;&gt;"",COUNTIFS(approvals!$A$2:$A$251,$C123,approvals!$B$2:$B$251,$D123)=0),"office not on this campaign (approvals tab); ",""))&amp;IF(AND(OR($E123="delivered",$E123="topped_up",$E123="collected"),$D123=""),"office needed; ","")&amp;IF(AND($E123&lt;&gt;"correction",N($G123)&lt;=0),"qty must be above 0; ","")&amp;IF(AND($E123="received",OR($I123="",$H123="")),"log lot and best-by; ","")&amp;IF(AND($P123="N",SUMIFS(inventory!$G$2:$G$801,inventory!$C$2:$C$801,$C123,inventory!$H$2:$H$801,$H123,inventory!$E$2:$E$801,"rejected")&lt;N($G123)),"UNDER "&amp;config!$B$19&amp;" DAYS LEFT ON THE DROP DAY: reject these units; ","")&amp;IF(AND($E123="delivered",COUNTIF(inventory!$R$2:$R$801,$R123)&gt;1),"two delivered rows for this office: use one; ","")&amp;IF(AND($E123="delivered",$J123=""),"who counted?; ",""))</f>
        <v/>
      </c>
      <c r="R123" s="25">
        <f>IF($C123="","",$C123&amp;"|"&amp;$D123&amp;"|"&amp;$E123)</f>
        <v/>
      </c>
    </row>
    <row r="124">
      <c r="A124" s="9" t="n"/>
      <c r="B124" s="33" t="n"/>
      <c r="I124" s="9" t="n"/>
      <c r="L124" s="26">
        <f>IF($C124="","",IFERROR(IF(INDEX(campaigns!$BG$2:$BG$51,MATCH($C124,campaigns!$A$2:$A$51,0))="","",INDEX(campaigns!$BG$2:$BG$51,MATCH($C124,campaigns!$A$2:$A$51,0))),""))</f>
        <v/>
      </c>
      <c r="M124" s="25">
        <f>IF($C124="","",IF(OR($E124="received"),N($G124),IF(OR($E124="rejected",$E124="delivered",$E124="topped_up"),-N($G124),IF(AND(OR($E124="returned_to_brand",$E124="given_to_roster_office",$E124="released_to_office",$E124="disposed"),IF($F124="","reserve",$F124)="reserve"),-N($G124),IF(AND($E124="correction",IF($F124="","reserve",$F124)="reserve"),N($G124),0)))))</f>
        <v/>
      </c>
      <c r="N124" s="25">
        <f>IF($C124="","",IF($E124="rejected",N($G124),IF(AND(OR($E124="returned_to_brand",$E124="given_to_roster_office",$E124="released_to_office",$E124="disposed"),IF($F124="","reserve",$F124)="rejected"),-N($G124),IF(AND($E124="correction",IF($F124="","reserve",$F124)="rejected"),N($G124),0))))</f>
        <v/>
      </c>
      <c r="O124" s="25">
        <f>IF($C124="","",IF($E124="collected",N($G124),IF(AND(OR($E124="returned_to_brand",$E124="given_to_roster_office",$E124="released_to_office",$E124="disposed"),IF($F124="","reserve",$F124)="leftover"),-N($G124),IF(AND($E124="correction",IF($F124="","reserve",$F124)="leftover"),N($G124),0))))</f>
        <v/>
      </c>
      <c r="P124" s="25">
        <f>IF(OR($E124&lt;&gt;"received",$I124="",$L124=""),"",IF($I124&gt;=$L124+config!$B$19,"Y","N"))</f>
        <v/>
      </c>
      <c r="Q124" s="25">
        <f>IF($C124="","",IF(COUNTIF(campaigns!$A$2:$A$51,$C124)=0,"campaign_id not on campaigns; ",IF(AND($D124&lt;&gt;"",COUNTIFS(approvals!$A$2:$A$251,$C124,approvals!$B$2:$B$251,$D124)=0),"office not on this campaign (approvals tab); ",""))&amp;IF(AND(OR($E124="delivered",$E124="topped_up",$E124="collected"),$D124=""),"office needed; ","")&amp;IF(AND($E124&lt;&gt;"correction",N($G124)&lt;=0),"qty must be above 0; ","")&amp;IF(AND($E124="received",OR($I124="",$H124="")),"log lot and best-by; ","")&amp;IF(AND($P124="N",SUMIFS(inventory!$G$2:$G$801,inventory!$C$2:$C$801,$C124,inventory!$H$2:$H$801,$H124,inventory!$E$2:$E$801,"rejected")&lt;N($G124)),"UNDER "&amp;config!$B$19&amp;" DAYS LEFT ON THE DROP DAY: reject these units; ","")&amp;IF(AND($E124="delivered",COUNTIF(inventory!$R$2:$R$801,$R124)&gt;1),"two delivered rows for this office: use one; ","")&amp;IF(AND($E124="delivered",$J124=""),"who counted?; ",""))</f>
        <v/>
      </c>
      <c r="R124" s="25">
        <f>IF($C124="","",$C124&amp;"|"&amp;$D124&amp;"|"&amp;$E124)</f>
        <v/>
      </c>
    </row>
    <row r="125">
      <c r="A125" s="9" t="n"/>
      <c r="B125" s="33" t="n"/>
      <c r="I125" s="9" t="n"/>
      <c r="L125" s="26">
        <f>IF($C125="","",IFERROR(IF(INDEX(campaigns!$BG$2:$BG$51,MATCH($C125,campaigns!$A$2:$A$51,0))="","",INDEX(campaigns!$BG$2:$BG$51,MATCH($C125,campaigns!$A$2:$A$51,0))),""))</f>
        <v/>
      </c>
      <c r="M125" s="25">
        <f>IF($C125="","",IF(OR($E125="received"),N($G125),IF(OR($E125="rejected",$E125="delivered",$E125="topped_up"),-N($G125),IF(AND(OR($E125="returned_to_brand",$E125="given_to_roster_office",$E125="released_to_office",$E125="disposed"),IF($F125="","reserve",$F125)="reserve"),-N($G125),IF(AND($E125="correction",IF($F125="","reserve",$F125)="reserve"),N($G125),0)))))</f>
        <v/>
      </c>
      <c r="N125" s="25">
        <f>IF($C125="","",IF($E125="rejected",N($G125),IF(AND(OR($E125="returned_to_brand",$E125="given_to_roster_office",$E125="released_to_office",$E125="disposed"),IF($F125="","reserve",$F125)="rejected"),-N($G125),IF(AND($E125="correction",IF($F125="","reserve",$F125)="rejected"),N($G125),0))))</f>
        <v/>
      </c>
      <c r="O125" s="25">
        <f>IF($C125="","",IF($E125="collected",N($G125),IF(AND(OR($E125="returned_to_brand",$E125="given_to_roster_office",$E125="released_to_office",$E125="disposed"),IF($F125="","reserve",$F125)="leftover"),-N($G125),IF(AND($E125="correction",IF($F125="","reserve",$F125)="leftover"),N($G125),0))))</f>
        <v/>
      </c>
      <c r="P125" s="25">
        <f>IF(OR($E125&lt;&gt;"received",$I125="",$L125=""),"",IF($I125&gt;=$L125+config!$B$19,"Y","N"))</f>
        <v/>
      </c>
      <c r="Q125" s="25">
        <f>IF($C125="","",IF(COUNTIF(campaigns!$A$2:$A$51,$C125)=0,"campaign_id not on campaigns; ",IF(AND($D125&lt;&gt;"",COUNTIFS(approvals!$A$2:$A$251,$C125,approvals!$B$2:$B$251,$D125)=0),"office not on this campaign (approvals tab); ",""))&amp;IF(AND(OR($E125="delivered",$E125="topped_up",$E125="collected"),$D125=""),"office needed; ","")&amp;IF(AND($E125&lt;&gt;"correction",N($G125)&lt;=0),"qty must be above 0; ","")&amp;IF(AND($E125="received",OR($I125="",$H125="")),"log lot and best-by; ","")&amp;IF(AND($P125="N",SUMIFS(inventory!$G$2:$G$801,inventory!$C$2:$C$801,$C125,inventory!$H$2:$H$801,$H125,inventory!$E$2:$E$801,"rejected")&lt;N($G125)),"UNDER "&amp;config!$B$19&amp;" DAYS LEFT ON THE DROP DAY: reject these units; ","")&amp;IF(AND($E125="delivered",COUNTIF(inventory!$R$2:$R$801,$R125)&gt;1),"two delivered rows for this office: use one; ","")&amp;IF(AND($E125="delivered",$J125=""),"who counted?; ",""))</f>
        <v/>
      </c>
      <c r="R125" s="25">
        <f>IF($C125="","",$C125&amp;"|"&amp;$D125&amp;"|"&amp;$E125)</f>
        <v/>
      </c>
    </row>
    <row r="126">
      <c r="A126" s="9" t="n"/>
      <c r="B126" s="33" t="n"/>
      <c r="I126" s="9" t="n"/>
      <c r="L126" s="26">
        <f>IF($C126="","",IFERROR(IF(INDEX(campaigns!$BG$2:$BG$51,MATCH($C126,campaigns!$A$2:$A$51,0))="","",INDEX(campaigns!$BG$2:$BG$51,MATCH($C126,campaigns!$A$2:$A$51,0))),""))</f>
        <v/>
      </c>
      <c r="M126" s="25">
        <f>IF($C126="","",IF(OR($E126="received"),N($G126),IF(OR($E126="rejected",$E126="delivered",$E126="topped_up"),-N($G126),IF(AND(OR($E126="returned_to_brand",$E126="given_to_roster_office",$E126="released_to_office",$E126="disposed"),IF($F126="","reserve",$F126)="reserve"),-N($G126),IF(AND($E126="correction",IF($F126="","reserve",$F126)="reserve"),N($G126),0)))))</f>
        <v/>
      </c>
      <c r="N126" s="25">
        <f>IF($C126="","",IF($E126="rejected",N($G126),IF(AND(OR($E126="returned_to_brand",$E126="given_to_roster_office",$E126="released_to_office",$E126="disposed"),IF($F126="","reserve",$F126)="rejected"),-N($G126),IF(AND($E126="correction",IF($F126="","reserve",$F126)="rejected"),N($G126),0))))</f>
        <v/>
      </c>
      <c r="O126" s="25">
        <f>IF($C126="","",IF($E126="collected",N($G126),IF(AND(OR($E126="returned_to_brand",$E126="given_to_roster_office",$E126="released_to_office",$E126="disposed"),IF($F126="","reserve",$F126)="leftover"),-N($G126),IF(AND($E126="correction",IF($F126="","reserve",$F126)="leftover"),N($G126),0))))</f>
        <v/>
      </c>
      <c r="P126" s="25">
        <f>IF(OR($E126&lt;&gt;"received",$I126="",$L126=""),"",IF($I126&gt;=$L126+config!$B$19,"Y","N"))</f>
        <v/>
      </c>
      <c r="Q126" s="25">
        <f>IF($C126="","",IF(COUNTIF(campaigns!$A$2:$A$51,$C126)=0,"campaign_id not on campaigns; ",IF(AND($D126&lt;&gt;"",COUNTIFS(approvals!$A$2:$A$251,$C126,approvals!$B$2:$B$251,$D126)=0),"office not on this campaign (approvals tab); ",""))&amp;IF(AND(OR($E126="delivered",$E126="topped_up",$E126="collected"),$D126=""),"office needed; ","")&amp;IF(AND($E126&lt;&gt;"correction",N($G126)&lt;=0),"qty must be above 0; ","")&amp;IF(AND($E126="received",OR($I126="",$H126="")),"log lot and best-by; ","")&amp;IF(AND($P126="N",SUMIFS(inventory!$G$2:$G$801,inventory!$C$2:$C$801,$C126,inventory!$H$2:$H$801,$H126,inventory!$E$2:$E$801,"rejected")&lt;N($G126)),"UNDER "&amp;config!$B$19&amp;" DAYS LEFT ON THE DROP DAY: reject these units; ","")&amp;IF(AND($E126="delivered",COUNTIF(inventory!$R$2:$R$801,$R126)&gt;1),"two delivered rows for this office: use one; ","")&amp;IF(AND($E126="delivered",$J126=""),"who counted?; ",""))</f>
        <v/>
      </c>
      <c r="R126" s="25">
        <f>IF($C126="","",$C126&amp;"|"&amp;$D126&amp;"|"&amp;$E126)</f>
        <v/>
      </c>
    </row>
    <row r="127">
      <c r="A127" s="9" t="n"/>
      <c r="B127" s="33" t="n"/>
      <c r="I127" s="9" t="n"/>
      <c r="L127" s="26">
        <f>IF($C127="","",IFERROR(IF(INDEX(campaigns!$BG$2:$BG$51,MATCH($C127,campaigns!$A$2:$A$51,0))="","",INDEX(campaigns!$BG$2:$BG$51,MATCH($C127,campaigns!$A$2:$A$51,0))),""))</f>
        <v/>
      </c>
      <c r="M127" s="25">
        <f>IF($C127="","",IF(OR($E127="received"),N($G127),IF(OR($E127="rejected",$E127="delivered",$E127="topped_up"),-N($G127),IF(AND(OR($E127="returned_to_brand",$E127="given_to_roster_office",$E127="released_to_office",$E127="disposed"),IF($F127="","reserve",$F127)="reserve"),-N($G127),IF(AND($E127="correction",IF($F127="","reserve",$F127)="reserve"),N($G127),0)))))</f>
        <v/>
      </c>
      <c r="N127" s="25">
        <f>IF($C127="","",IF($E127="rejected",N($G127),IF(AND(OR($E127="returned_to_brand",$E127="given_to_roster_office",$E127="released_to_office",$E127="disposed"),IF($F127="","reserve",$F127)="rejected"),-N($G127),IF(AND($E127="correction",IF($F127="","reserve",$F127)="rejected"),N($G127),0))))</f>
        <v/>
      </c>
      <c r="O127" s="25">
        <f>IF($C127="","",IF($E127="collected",N($G127),IF(AND(OR($E127="returned_to_brand",$E127="given_to_roster_office",$E127="released_to_office",$E127="disposed"),IF($F127="","reserve",$F127)="leftover"),-N($G127),IF(AND($E127="correction",IF($F127="","reserve",$F127)="leftover"),N($G127),0))))</f>
        <v/>
      </c>
      <c r="P127" s="25">
        <f>IF(OR($E127&lt;&gt;"received",$I127="",$L127=""),"",IF($I127&gt;=$L127+config!$B$19,"Y","N"))</f>
        <v/>
      </c>
      <c r="Q127" s="25">
        <f>IF($C127="","",IF(COUNTIF(campaigns!$A$2:$A$51,$C127)=0,"campaign_id not on campaigns; ",IF(AND($D127&lt;&gt;"",COUNTIFS(approvals!$A$2:$A$251,$C127,approvals!$B$2:$B$251,$D127)=0),"office not on this campaign (approvals tab); ",""))&amp;IF(AND(OR($E127="delivered",$E127="topped_up",$E127="collected"),$D127=""),"office needed; ","")&amp;IF(AND($E127&lt;&gt;"correction",N($G127)&lt;=0),"qty must be above 0; ","")&amp;IF(AND($E127="received",OR($I127="",$H127="")),"log lot and best-by; ","")&amp;IF(AND($P127="N",SUMIFS(inventory!$G$2:$G$801,inventory!$C$2:$C$801,$C127,inventory!$H$2:$H$801,$H127,inventory!$E$2:$E$801,"rejected")&lt;N($G127)),"UNDER "&amp;config!$B$19&amp;" DAYS LEFT ON THE DROP DAY: reject these units; ","")&amp;IF(AND($E127="delivered",COUNTIF(inventory!$R$2:$R$801,$R127)&gt;1),"two delivered rows for this office: use one; ","")&amp;IF(AND($E127="delivered",$J127=""),"who counted?; ",""))</f>
        <v/>
      </c>
      <c r="R127" s="25">
        <f>IF($C127="","",$C127&amp;"|"&amp;$D127&amp;"|"&amp;$E127)</f>
        <v/>
      </c>
    </row>
    <row r="128">
      <c r="A128" s="9" t="n"/>
      <c r="B128" s="33" t="n"/>
      <c r="I128" s="9" t="n"/>
      <c r="L128" s="26">
        <f>IF($C128="","",IFERROR(IF(INDEX(campaigns!$BG$2:$BG$51,MATCH($C128,campaigns!$A$2:$A$51,0))="","",INDEX(campaigns!$BG$2:$BG$51,MATCH($C128,campaigns!$A$2:$A$51,0))),""))</f>
        <v/>
      </c>
      <c r="M128" s="25">
        <f>IF($C128="","",IF(OR($E128="received"),N($G128),IF(OR($E128="rejected",$E128="delivered",$E128="topped_up"),-N($G128),IF(AND(OR($E128="returned_to_brand",$E128="given_to_roster_office",$E128="released_to_office",$E128="disposed"),IF($F128="","reserve",$F128)="reserve"),-N($G128),IF(AND($E128="correction",IF($F128="","reserve",$F128)="reserve"),N($G128),0)))))</f>
        <v/>
      </c>
      <c r="N128" s="25">
        <f>IF($C128="","",IF($E128="rejected",N($G128),IF(AND(OR($E128="returned_to_brand",$E128="given_to_roster_office",$E128="released_to_office",$E128="disposed"),IF($F128="","reserve",$F128)="rejected"),-N($G128),IF(AND($E128="correction",IF($F128="","reserve",$F128)="rejected"),N($G128),0))))</f>
        <v/>
      </c>
      <c r="O128" s="25">
        <f>IF($C128="","",IF($E128="collected",N($G128),IF(AND(OR($E128="returned_to_brand",$E128="given_to_roster_office",$E128="released_to_office",$E128="disposed"),IF($F128="","reserve",$F128)="leftover"),-N($G128),IF(AND($E128="correction",IF($F128="","reserve",$F128)="leftover"),N($G128),0))))</f>
        <v/>
      </c>
      <c r="P128" s="25">
        <f>IF(OR($E128&lt;&gt;"received",$I128="",$L128=""),"",IF($I128&gt;=$L128+config!$B$19,"Y","N"))</f>
        <v/>
      </c>
      <c r="Q128" s="25">
        <f>IF($C128="","",IF(COUNTIF(campaigns!$A$2:$A$51,$C128)=0,"campaign_id not on campaigns; ",IF(AND($D128&lt;&gt;"",COUNTIFS(approvals!$A$2:$A$251,$C128,approvals!$B$2:$B$251,$D128)=0),"office not on this campaign (approvals tab); ",""))&amp;IF(AND(OR($E128="delivered",$E128="topped_up",$E128="collected"),$D128=""),"office needed; ","")&amp;IF(AND($E128&lt;&gt;"correction",N($G128)&lt;=0),"qty must be above 0; ","")&amp;IF(AND($E128="received",OR($I128="",$H128="")),"log lot and best-by; ","")&amp;IF(AND($P128="N",SUMIFS(inventory!$G$2:$G$801,inventory!$C$2:$C$801,$C128,inventory!$H$2:$H$801,$H128,inventory!$E$2:$E$801,"rejected")&lt;N($G128)),"UNDER "&amp;config!$B$19&amp;" DAYS LEFT ON THE DROP DAY: reject these units; ","")&amp;IF(AND($E128="delivered",COUNTIF(inventory!$R$2:$R$801,$R128)&gt;1),"two delivered rows for this office: use one; ","")&amp;IF(AND($E128="delivered",$J128=""),"who counted?; ",""))</f>
        <v/>
      </c>
      <c r="R128" s="25">
        <f>IF($C128="","",$C128&amp;"|"&amp;$D128&amp;"|"&amp;$E128)</f>
        <v/>
      </c>
    </row>
    <row r="129">
      <c r="A129" s="9" t="n"/>
      <c r="B129" s="33" t="n"/>
      <c r="I129" s="9" t="n"/>
      <c r="L129" s="26">
        <f>IF($C129="","",IFERROR(IF(INDEX(campaigns!$BG$2:$BG$51,MATCH($C129,campaigns!$A$2:$A$51,0))="","",INDEX(campaigns!$BG$2:$BG$51,MATCH($C129,campaigns!$A$2:$A$51,0))),""))</f>
        <v/>
      </c>
      <c r="M129" s="25">
        <f>IF($C129="","",IF(OR($E129="received"),N($G129),IF(OR($E129="rejected",$E129="delivered",$E129="topped_up"),-N($G129),IF(AND(OR($E129="returned_to_brand",$E129="given_to_roster_office",$E129="released_to_office",$E129="disposed"),IF($F129="","reserve",$F129)="reserve"),-N($G129),IF(AND($E129="correction",IF($F129="","reserve",$F129)="reserve"),N($G129),0)))))</f>
        <v/>
      </c>
      <c r="N129" s="25">
        <f>IF($C129="","",IF($E129="rejected",N($G129),IF(AND(OR($E129="returned_to_brand",$E129="given_to_roster_office",$E129="released_to_office",$E129="disposed"),IF($F129="","reserve",$F129)="rejected"),-N($G129),IF(AND($E129="correction",IF($F129="","reserve",$F129)="rejected"),N($G129),0))))</f>
        <v/>
      </c>
      <c r="O129" s="25">
        <f>IF($C129="","",IF($E129="collected",N($G129),IF(AND(OR($E129="returned_to_brand",$E129="given_to_roster_office",$E129="released_to_office",$E129="disposed"),IF($F129="","reserve",$F129)="leftover"),-N($G129),IF(AND($E129="correction",IF($F129="","reserve",$F129)="leftover"),N($G129),0))))</f>
        <v/>
      </c>
      <c r="P129" s="25">
        <f>IF(OR($E129&lt;&gt;"received",$I129="",$L129=""),"",IF($I129&gt;=$L129+config!$B$19,"Y","N"))</f>
        <v/>
      </c>
      <c r="Q129" s="25">
        <f>IF($C129="","",IF(COUNTIF(campaigns!$A$2:$A$51,$C129)=0,"campaign_id not on campaigns; ",IF(AND($D129&lt;&gt;"",COUNTIFS(approvals!$A$2:$A$251,$C129,approvals!$B$2:$B$251,$D129)=0),"office not on this campaign (approvals tab); ",""))&amp;IF(AND(OR($E129="delivered",$E129="topped_up",$E129="collected"),$D129=""),"office needed; ","")&amp;IF(AND($E129&lt;&gt;"correction",N($G129)&lt;=0),"qty must be above 0; ","")&amp;IF(AND($E129="received",OR($I129="",$H129="")),"log lot and best-by; ","")&amp;IF(AND($P129="N",SUMIFS(inventory!$G$2:$G$801,inventory!$C$2:$C$801,$C129,inventory!$H$2:$H$801,$H129,inventory!$E$2:$E$801,"rejected")&lt;N($G129)),"UNDER "&amp;config!$B$19&amp;" DAYS LEFT ON THE DROP DAY: reject these units; ","")&amp;IF(AND($E129="delivered",COUNTIF(inventory!$R$2:$R$801,$R129)&gt;1),"two delivered rows for this office: use one; ","")&amp;IF(AND($E129="delivered",$J129=""),"who counted?; ",""))</f>
        <v/>
      </c>
      <c r="R129" s="25">
        <f>IF($C129="","",$C129&amp;"|"&amp;$D129&amp;"|"&amp;$E129)</f>
        <v/>
      </c>
    </row>
    <row r="130">
      <c r="A130" s="9" t="n"/>
      <c r="B130" s="33" t="n"/>
      <c r="I130" s="9" t="n"/>
      <c r="L130" s="26">
        <f>IF($C130="","",IFERROR(IF(INDEX(campaigns!$BG$2:$BG$51,MATCH($C130,campaigns!$A$2:$A$51,0))="","",INDEX(campaigns!$BG$2:$BG$51,MATCH($C130,campaigns!$A$2:$A$51,0))),""))</f>
        <v/>
      </c>
      <c r="M130" s="25">
        <f>IF($C130="","",IF(OR($E130="received"),N($G130),IF(OR($E130="rejected",$E130="delivered",$E130="topped_up"),-N($G130),IF(AND(OR($E130="returned_to_brand",$E130="given_to_roster_office",$E130="released_to_office",$E130="disposed"),IF($F130="","reserve",$F130)="reserve"),-N($G130),IF(AND($E130="correction",IF($F130="","reserve",$F130)="reserve"),N($G130),0)))))</f>
        <v/>
      </c>
      <c r="N130" s="25">
        <f>IF($C130="","",IF($E130="rejected",N($G130),IF(AND(OR($E130="returned_to_brand",$E130="given_to_roster_office",$E130="released_to_office",$E130="disposed"),IF($F130="","reserve",$F130)="rejected"),-N($G130),IF(AND($E130="correction",IF($F130="","reserve",$F130)="rejected"),N($G130),0))))</f>
        <v/>
      </c>
      <c r="O130" s="25">
        <f>IF($C130="","",IF($E130="collected",N($G130),IF(AND(OR($E130="returned_to_brand",$E130="given_to_roster_office",$E130="released_to_office",$E130="disposed"),IF($F130="","reserve",$F130)="leftover"),-N($G130),IF(AND($E130="correction",IF($F130="","reserve",$F130)="leftover"),N($G130),0))))</f>
        <v/>
      </c>
      <c r="P130" s="25">
        <f>IF(OR($E130&lt;&gt;"received",$I130="",$L130=""),"",IF($I130&gt;=$L130+config!$B$19,"Y","N"))</f>
        <v/>
      </c>
      <c r="Q130" s="25">
        <f>IF($C130="","",IF(COUNTIF(campaigns!$A$2:$A$51,$C130)=0,"campaign_id not on campaigns; ",IF(AND($D130&lt;&gt;"",COUNTIFS(approvals!$A$2:$A$251,$C130,approvals!$B$2:$B$251,$D130)=0),"office not on this campaign (approvals tab); ",""))&amp;IF(AND(OR($E130="delivered",$E130="topped_up",$E130="collected"),$D130=""),"office needed; ","")&amp;IF(AND($E130&lt;&gt;"correction",N($G130)&lt;=0),"qty must be above 0; ","")&amp;IF(AND($E130="received",OR($I130="",$H130="")),"log lot and best-by; ","")&amp;IF(AND($P130="N",SUMIFS(inventory!$G$2:$G$801,inventory!$C$2:$C$801,$C130,inventory!$H$2:$H$801,$H130,inventory!$E$2:$E$801,"rejected")&lt;N($G130)),"UNDER "&amp;config!$B$19&amp;" DAYS LEFT ON THE DROP DAY: reject these units; ","")&amp;IF(AND($E130="delivered",COUNTIF(inventory!$R$2:$R$801,$R130)&gt;1),"two delivered rows for this office: use one; ","")&amp;IF(AND($E130="delivered",$J130=""),"who counted?; ",""))</f>
        <v/>
      </c>
      <c r="R130" s="25">
        <f>IF($C130="","",$C130&amp;"|"&amp;$D130&amp;"|"&amp;$E130)</f>
        <v/>
      </c>
    </row>
    <row r="131">
      <c r="A131" s="9" t="n"/>
      <c r="B131" s="33" t="n"/>
      <c r="I131" s="9" t="n"/>
      <c r="L131" s="26">
        <f>IF($C131="","",IFERROR(IF(INDEX(campaigns!$BG$2:$BG$51,MATCH($C131,campaigns!$A$2:$A$51,0))="","",INDEX(campaigns!$BG$2:$BG$51,MATCH($C131,campaigns!$A$2:$A$51,0))),""))</f>
        <v/>
      </c>
      <c r="M131" s="25">
        <f>IF($C131="","",IF(OR($E131="received"),N($G131),IF(OR($E131="rejected",$E131="delivered",$E131="topped_up"),-N($G131),IF(AND(OR($E131="returned_to_brand",$E131="given_to_roster_office",$E131="released_to_office",$E131="disposed"),IF($F131="","reserve",$F131)="reserve"),-N($G131),IF(AND($E131="correction",IF($F131="","reserve",$F131)="reserve"),N($G131),0)))))</f>
        <v/>
      </c>
      <c r="N131" s="25">
        <f>IF($C131="","",IF($E131="rejected",N($G131),IF(AND(OR($E131="returned_to_brand",$E131="given_to_roster_office",$E131="released_to_office",$E131="disposed"),IF($F131="","reserve",$F131)="rejected"),-N($G131),IF(AND($E131="correction",IF($F131="","reserve",$F131)="rejected"),N($G131),0))))</f>
        <v/>
      </c>
      <c r="O131" s="25">
        <f>IF($C131="","",IF($E131="collected",N($G131),IF(AND(OR($E131="returned_to_brand",$E131="given_to_roster_office",$E131="released_to_office",$E131="disposed"),IF($F131="","reserve",$F131)="leftover"),-N($G131),IF(AND($E131="correction",IF($F131="","reserve",$F131)="leftover"),N($G131),0))))</f>
        <v/>
      </c>
      <c r="P131" s="25">
        <f>IF(OR($E131&lt;&gt;"received",$I131="",$L131=""),"",IF($I131&gt;=$L131+config!$B$19,"Y","N"))</f>
        <v/>
      </c>
      <c r="Q131" s="25">
        <f>IF($C131="","",IF(COUNTIF(campaigns!$A$2:$A$51,$C131)=0,"campaign_id not on campaigns; ",IF(AND($D131&lt;&gt;"",COUNTIFS(approvals!$A$2:$A$251,$C131,approvals!$B$2:$B$251,$D131)=0),"office not on this campaign (approvals tab); ",""))&amp;IF(AND(OR($E131="delivered",$E131="topped_up",$E131="collected"),$D131=""),"office needed; ","")&amp;IF(AND($E131&lt;&gt;"correction",N($G131)&lt;=0),"qty must be above 0; ","")&amp;IF(AND($E131="received",OR($I131="",$H131="")),"log lot and best-by; ","")&amp;IF(AND($P131="N",SUMIFS(inventory!$G$2:$G$801,inventory!$C$2:$C$801,$C131,inventory!$H$2:$H$801,$H131,inventory!$E$2:$E$801,"rejected")&lt;N($G131)),"UNDER "&amp;config!$B$19&amp;" DAYS LEFT ON THE DROP DAY: reject these units; ","")&amp;IF(AND($E131="delivered",COUNTIF(inventory!$R$2:$R$801,$R131)&gt;1),"two delivered rows for this office: use one; ","")&amp;IF(AND($E131="delivered",$J131=""),"who counted?; ",""))</f>
        <v/>
      </c>
      <c r="R131" s="25">
        <f>IF($C131="","",$C131&amp;"|"&amp;$D131&amp;"|"&amp;$E131)</f>
        <v/>
      </c>
    </row>
    <row r="132">
      <c r="A132" s="9" t="n"/>
      <c r="B132" s="33" t="n"/>
      <c r="I132" s="9" t="n"/>
      <c r="L132" s="26">
        <f>IF($C132="","",IFERROR(IF(INDEX(campaigns!$BG$2:$BG$51,MATCH($C132,campaigns!$A$2:$A$51,0))="","",INDEX(campaigns!$BG$2:$BG$51,MATCH($C132,campaigns!$A$2:$A$51,0))),""))</f>
        <v/>
      </c>
      <c r="M132" s="25">
        <f>IF($C132="","",IF(OR($E132="received"),N($G132),IF(OR($E132="rejected",$E132="delivered",$E132="topped_up"),-N($G132),IF(AND(OR($E132="returned_to_brand",$E132="given_to_roster_office",$E132="released_to_office",$E132="disposed"),IF($F132="","reserve",$F132)="reserve"),-N($G132),IF(AND($E132="correction",IF($F132="","reserve",$F132)="reserve"),N($G132),0)))))</f>
        <v/>
      </c>
      <c r="N132" s="25">
        <f>IF($C132="","",IF($E132="rejected",N($G132),IF(AND(OR($E132="returned_to_brand",$E132="given_to_roster_office",$E132="released_to_office",$E132="disposed"),IF($F132="","reserve",$F132)="rejected"),-N($G132),IF(AND($E132="correction",IF($F132="","reserve",$F132)="rejected"),N($G132),0))))</f>
        <v/>
      </c>
      <c r="O132" s="25">
        <f>IF($C132="","",IF($E132="collected",N($G132),IF(AND(OR($E132="returned_to_brand",$E132="given_to_roster_office",$E132="released_to_office",$E132="disposed"),IF($F132="","reserve",$F132)="leftover"),-N($G132),IF(AND($E132="correction",IF($F132="","reserve",$F132)="leftover"),N($G132),0))))</f>
        <v/>
      </c>
      <c r="P132" s="25">
        <f>IF(OR($E132&lt;&gt;"received",$I132="",$L132=""),"",IF($I132&gt;=$L132+config!$B$19,"Y","N"))</f>
        <v/>
      </c>
      <c r="Q132" s="25">
        <f>IF($C132="","",IF(COUNTIF(campaigns!$A$2:$A$51,$C132)=0,"campaign_id not on campaigns; ",IF(AND($D132&lt;&gt;"",COUNTIFS(approvals!$A$2:$A$251,$C132,approvals!$B$2:$B$251,$D132)=0),"office not on this campaign (approvals tab); ",""))&amp;IF(AND(OR($E132="delivered",$E132="topped_up",$E132="collected"),$D132=""),"office needed; ","")&amp;IF(AND($E132&lt;&gt;"correction",N($G132)&lt;=0),"qty must be above 0; ","")&amp;IF(AND($E132="received",OR($I132="",$H132="")),"log lot and best-by; ","")&amp;IF(AND($P132="N",SUMIFS(inventory!$G$2:$G$801,inventory!$C$2:$C$801,$C132,inventory!$H$2:$H$801,$H132,inventory!$E$2:$E$801,"rejected")&lt;N($G132)),"UNDER "&amp;config!$B$19&amp;" DAYS LEFT ON THE DROP DAY: reject these units; ","")&amp;IF(AND($E132="delivered",COUNTIF(inventory!$R$2:$R$801,$R132)&gt;1),"two delivered rows for this office: use one; ","")&amp;IF(AND($E132="delivered",$J132=""),"who counted?; ",""))</f>
        <v/>
      </c>
      <c r="R132" s="25">
        <f>IF($C132="","",$C132&amp;"|"&amp;$D132&amp;"|"&amp;$E132)</f>
        <v/>
      </c>
    </row>
    <row r="133">
      <c r="A133" s="9" t="n"/>
      <c r="B133" s="33" t="n"/>
      <c r="I133" s="9" t="n"/>
      <c r="L133" s="26">
        <f>IF($C133="","",IFERROR(IF(INDEX(campaigns!$BG$2:$BG$51,MATCH($C133,campaigns!$A$2:$A$51,0))="","",INDEX(campaigns!$BG$2:$BG$51,MATCH($C133,campaigns!$A$2:$A$51,0))),""))</f>
        <v/>
      </c>
      <c r="M133" s="25">
        <f>IF($C133="","",IF(OR($E133="received"),N($G133),IF(OR($E133="rejected",$E133="delivered",$E133="topped_up"),-N($G133),IF(AND(OR($E133="returned_to_brand",$E133="given_to_roster_office",$E133="released_to_office",$E133="disposed"),IF($F133="","reserve",$F133)="reserve"),-N($G133),IF(AND($E133="correction",IF($F133="","reserve",$F133)="reserve"),N($G133),0)))))</f>
        <v/>
      </c>
      <c r="N133" s="25">
        <f>IF($C133="","",IF($E133="rejected",N($G133),IF(AND(OR($E133="returned_to_brand",$E133="given_to_roster_office",$E133="released_to_office",$E133="disposed"),IF($F133="","reserve",$F133)="rejected"),-N($G133),IF(AND($E133="correction",IF($F133="","reserve",$F133)="rejected"),N($G133),0))))</f>
        <v/>
      </c>
      <c r="O133" s="25">
        <f>IF($C133="","",IF($E133="collected",N($G133),IF(AND(OR($E133="returned_to_brand",$E133="given_to_roster_office",$E133="released_to_office",$E133="disposed"),IF($F133="","reserve",$F133)="leftover"),-N($G133),IF(AND($E133="correction",IF($F133="","reserve",$F133)="leftover"),N($G133),0))))</f>
        <v/>
      </c>
      <c r="P133" s="25">
        <f>IF(OR($E133&lt;&gt;"received",$I133="",$L133=""),"",IF($I133&gt;=$L133+config!$B$19,"Y","N"))</f>
        <v/>
      </c>
      <c r="Q133" s="25">
        <f>IF($C133="","",IF(COUNTIF(campaigns!$A$2:$A$51,$C133)=0,"campaign_id not on campaigns; ",IF(AND($D133&lt;&gt;"",COUNTIFS(approvals!$A$2:$A$251,$C133,approvals!$B$2:$B$251,$D133)=0),"office not on this campaign (approvals tab); ",""))&amp;IF(AND(OR($E133="delivered",$E133="topped_up",$E133="collected"),$D133=""),"office needed; ","")&amp;IF(AND($E133&lt;&gt;"correction",N($G133)&lt;=0),"qty must be above 0; ","")&amp;IF(AND($E133="received",OR($I133="",$H133="")),"log lot and best-by; ","")&amp;IF(AND($P133="N",SUMIFS(inventory!$G$2:$G$801,inventory!$C$2:$C$801,$C133,inventory!$H$2:$H$801,$H133,inventory!$E$2:$E$801,"rejected")&lt;N($G133)),"UNDER "&amp;config!$B$19&amp;" DAYS LEFT ON THE DROP DAY: reject these units; ","")&amp;IF(AND($E133="delivered",COUNTIF(inventory!$R$2:$R$801,$R133)&gt;1),"two delivered rows for this office: use one; ","")&amp;IF(AND($E133="delivered",$J133=""),"who counted?; ",""))</f>
        <v/>
      </c>
      <c r="R133" s="25">
        <f>IF($C133="","",$C133&amp;"|"&amp;$D133&amp;"|"&amp;$E133)</f>
        <v/>
      </c>
    </row>
    <row r="134">
      <c r="A134" s="9" t="n"/>
      <c r="B134" s="33" t="n"/>
      <c r="I134" s="9" t="n"/>
      <c r="L134" s="26">
        <f>IF($C134="","",IFERROR(IF(INDEX(campaigns!$BG$2:$BG$51,MATCH($C134,campaigns!$A$2:$A$51,0))="","",INDEX(campaigns!$BG$2:$BG$51,MATCH($C134,campaigns!$A$2:$A$51,0))),""))</f>
        <v/>
      </c>
      <c r="M134" s="25">
        <f>IF($C134="","",IF(OR($E134="received"),N($G134),IF(OR($E134="rejected",$E134="delivered",$E134="topped_up"),-N($G134),IF(AND(OR($E134="returned_to_brand",$E134="given_to_roster_office",$E134="released_to_office",$E134="disposed"),IF($F134="","reserve",$F134)="reserve"),-N($G134),IF(AND($E134="correction",IF($F134="","reserve",$F134)="reserve"),N($G134),0)))))</f>
        <v/>
      </c>
      <c r="N134" s="25">
        <f>IF($C134="","",IF($E134="rejected",N($G134),IF(AND(OR($E134="returned_to_brand",$E134="given_to_roster_office",$E134="released_to_office",$E134="disposed"),IF($F134="","reserve",$F134)="rejected"),-N($G134),IF(AND($E134="correction",IF($F134="","reserve",$F134)="rejected"),N($G134),0))))</f>
        <v/>
      </c>
      <c r="O134" s="25">
        <f>IF($C134="","",IF($E134="collected",N($G134),IF(AND(OR($E134="returned_to_brand",$E134="given_to_roster_office",$E134="released_to_office",$E134="disposed"),IF($F134="","reserve",$F134)="leftover"),-N($G134),IF(AND($E134="correction",IF($F134="","reserve",$F134)="leftover"),N($G134),0))))</f>
        <v/>
      </c>
      <c r="P134" s="25">
        <f>IF(OR($E134&lt;&gt;"received",$I134="",$L134=""),"",IF($I134&gt;=$L134+config!$B$19,"Y","N"))</f>
        <v/>
      </c>
      <c r="Q134" s="25">
        <f>IF($C134="","",IF(COUNTIF(campaigns!$A$2:$A$51,$C134)=0,"campaign_id not on campaigns; ",IF(AND($D134&lt;&gt;"",COUNTIFS(approvals!$A$2:$A$251,$C134,approvals!$B$2:$B$251,$D134)=0),"office not on this campaign (approvals tab); ",""))&amp;IF(AND(OR($E134="delivered",$E134="topped_up",$E134="collected"),$D134=""),"office needed; ","")&amp;IF(AND($E134&lt;&gt;"correction",N($G134)&lt;=0),"qty must be above 0; ","")&amp;IF(AND($E134="received",OR($I134="",$H134="")),"log lot and best-by; ","")&amp;IF(AND($P134="N",SUMIFS(inventory!$G$2:$G$801,inventory!$C$2:$C$801,$C134,inventory!$H$2:$H$801,$H134,inventory!$E$2:$E$801,"rejected")&lt;N($G134)),"UNDER "&amp;config!$B$19&amp;" DAYS LEFT ON THE DROP DAY: reject these units; ","")&amp;IF(AND($E134="delivered",COUNTIF(inventory!$R$2:$R$801,$R134)&gt;1),"two delivered rows for this office: use one; ","")&amp;IF(AND($E134="delivered",$J134=""),"who counted?; ",""))</f>
        <v/>
      </c>
      <c r="R134" s="25">
        <f>IF($C134="","",$C134&amp;"|"&amp;$D134&amp;"|"&amp;$E134)</f>
        <v/>
      </c>
    </row>
    <row r="135">
      <c r="A135" s="9" t="n"/>
      <c r="B135" s="33" t="n"/>
      <c r="I135" s="9" t="n"/>
      <c r="L135" s="26">
        <f>IF($C135="","",IFERROR(IF(INDEX(campaigns!$BG$2:$BG$51,MATCH($C135,campaigns!$A$2:$A$51,0))="","",INDEX(campaigns!$BG$2:$BG$51,MATCH($C135,campaigns!$A$2:$A$51,0))),""))</f>
        <v/>
      </c>
      <c r="M135" s="25">
        <f>IF($C135="","",IF(OR($E135="received"),N($G135),IF(OR($E135="rejected",$E135="delivered",$E135="topped_up"),-N($G135),IF(AND(OR($E135="returned_to_brand",$E135="given_to_roster_office",$E135="released_to_office",$E135="disposed"),IF($F135="","reserve",$F135)="reserve"),-N($G135),IF(AND($E135="correction",IF($F135="","reserve",$F135)="reserve"),N($G135),0)))))</f>
        <v/>
      </c>
      <c r="N135" s="25">
        <f>IF($C135="","",IF($E135="rejected",N($G135),IF(AND(OR($E135="returned_to_brand",$E135="given_to_roster_office",$E135="released_to_office",$E135="disposed"),IF($F135="","reserve",$F135)="rejected"),-N($G135),IF(AND($E135="correction",IF($F135="","reserve",$F135)="rejected"),N($G135),0))))</f>
        <v/>
      </c>
      <c r="O135" s="25">
        <f>IF($C135="","",IF($E135="collected",N($G135),IF(AND(OR($E135="returned_to_brand",$E135="given_to_roster_office",$E135="released_to_office",$E135="disposed"),IF($F135="","reserve",$F135)="leftover"),-N($G135),IF(AND($E135="correction",IF($F135="","reserve",$F135)="leftover"),N($G135),0))))</f>
        <v/>
      </c>
      <c r="P135" s="25">
        <f>IF(OR($E135&lt;&gt;"received",$I135="",$L135=""),"",IF($I135&gt;=$L135+config!$B$19,"Y","N"))</f>
        <v/>
      </c>
      <c r="Q135" s="25">
        <f>IF($C135="","",IF(COUNTIF(campaigns!$A$2:$A$51,$C135)=0,"campaign_id not on campaigns; ",IF(AND($D135&lt;&gt;"",COUNTIFS(approvals!$A$2:$A$251,$C135,approvals!$B$2:$B$251,$D135)=0),"office not on this campaign (approvals tab); ",""))&amp;IF(AND(OR($E135="delivered",$E135="topped_up",$E135="collected"),$D135=""),"office needed; ","")&amp;IF(AND($E135&lt;&gt;"correction",N($G135)&lt;=0),"qty must be above 0; ","")&amp;IF(AND($E135="received",OR($I135="",$H135="")),"log lot and best-by; ","")&amp;IF(AND($P135="N",SUMIFS(inventory!$G$2:$G$801,inventory!$C$2:$C$801,$C135,inventory!$H$2:$H$801,$H135,inventory!$E$2:$E$801,"rejected")&lt;N($G135)),"UNDER "&amp;config!$B$19&amp;" DAYS LEFT ON THE DROP DAY: reject these units; ","")&amp;IF(AND($E135="delivered",COUNTIF(inventory!$R$2:$R$801,$R135)&gt;1),"two delivered rows for this office: use one; ","")&amp;IF(AND($E135="delivered",$J135=""),"who counted?; ",""))</f>
        <v/>
      </c>
      <c r="R135" s="25">
        <f>IF($C135="","",$C135&amp;"|"&amp;$D135&amp;"|"&amp;$E135)</f>
        <v/>
      </c>
    </row>
    <row r="136">
      <c r="A136" s="9" t="n"/>
      <c r="B136" s="33" t="n"/>
      <c r="I136" s="9" t="n"/>
      <c r="L136" s="26">
        <f>IF($C136="","",IFERROR(IF(INDEX(campaigns!$BG$2:$BG$51,MATCH($C136,campaigns!$A$2:$A$51,0))="","",INDEX(campaigns!$BG$2:$BG$51,MATCH($C136,campaigns!$A$2:$A$51,0))),""))</f>
        <v/>
      </c>
      <c r="M136" s="25">
        <f>IF($C136="","",IF(OR($E136="received"),N($G136),IF(OR($E136="rejected",$E136="delivered",$E136="topped_up"),-N($G136),IF(AND(OR($E136="returned_to_brand",$E136="given_to_roster_office",$E136="released_to_office",$E136="disposed"),IF($F136="","reserve",$F136)="reserve"),-N($G136),IF(AND($E136="correction",IF($F136="","reserve",$F136)="reserve"),N($G136),0)))))</f>
        <v/>
      </c>
      <c r="N136" s="25">
        <f>IF($C136="","",IF($E136="rejected",N($G136),IF(AND(OR($E136="returned_to_brand",$E136="given_to_roster_office",$E136="released_to_office",$E136="disposed"),IF($F136="","reserve",$F136)="rejected"),-N($G136),IF(AND($E136="correction",IF($F136="","reserve",$F136)="rejected"),N($G136),0))))</f>
        <v/>
      </c>
      <c r="O136" s="25">
        <f>IF($C136="","",IF($E136="collected",N($G136),IF(AND(OR($E136="returned_to_brand",$E136="given_to_roster_office",$E136="released_to_office",$E136="disposed"),IF($F136="","reserve",$F136)="leftover"),-N($G136),IF(AND($E136="correction",IF($F136="","reserve",$F136)="leftover"),N($G136),0))))</f>
        <v/>
      </c>
      <c r="P136" s="25">
        <f>IF(OR($E136&lt;&gt;"received",$I136="",$L136=""),"",IF($I136&gt;=$L136+config!$B$19,"Y","N"))</f>
        <v/>
      </c>
      <c r="Q136" s="25">
        <f>IF($C136="","",IF(COUNTIF(campaigns!$A$2:$A$51,$C136)=0,"campaign_id not on campaigns; ",IF(AND($D136&lt;&gt;"",COUNTIFS(approvals!$A$2:$A$251,$C136,approvals!$B$2:$B$251,$D136)=0),"office not on this campaign (approvals tab); ",""))&amp;IF(AND(OR($E136="delivered",$E136="topped_up",$E136="collected"),$D136=""),"office needed; ","")&amp;IF(AND($E136&lt;&gt;"correction",N($G136)&lt;=0),"qty must be above 0; ","")&amp;IF(AND($E136="received",OR($I136="",$H136="")),"log lot and best-by; ","")&amp;IF(AND($P136="N",SUMIFS(inventory!$G$2:$G$801,inventory!$C$2:$C$801,$C136,inventory!$H$2:$H$801,$H136,inventory!$E$2:$E$801,"rejected")&lt;N($G136)),"UNDER "&amp;config!$B$19&amp;" DAYS LEFT ON THE DROP DAY: reject these units; ","")&amp;IF(AND($E136="delivered",COUNTIF(inventory!$R$2:$R$801,$R136)&gt;1),"two delivered rows for this office: use one; ","")&amp;IF(AND($E136="delivered",$J136=""),"who counted?; ",""))</f>
        <v/>
      </c>
      <c r="R136" s="25">
        <f>IF($C136="","",$C136&amp;"|"&amp;$D136&amp;"|"&amp;$E136)</f>
        <v/>
      </c>
    </row>
    <row r="137">
      <c r="A137" s="9" t="n"/>
      <c r="B137" s="33" t="n"/>
      <c r="I137" s="9" t="n"/>
      <c r="L137" s="26">
        <f>IF($C137="","",IFERROR(IF(INDEX(campaigns!$BG$2:$BG$51,MATCH($C137,campaigns!$A$2:$A$51,0))="","",INDEX(campaigns!$BG$2:$BG$51,MATCH($C137,campaigns!$A$2:$A$51,0))),""))</f>
        <v/>
      </c>
      <c r="M137" s="25">
        <f>IF($C137="","",IF(OR($E137="received"),N($G137),IF(OR($E137="rejected",$E137="delivered",$E137="topped_up"),-N($G137),IF(AND(OR($E137="returned_to_brand",$E137="given_to_roster_office",$E137="released_to_office",$E137="disposed"),IF($F137="","reserve",$F137)="reserve"),-N($G137),IF(AND($E137="correction",IF($F137="","reserve",$F137)="reserve"),N($G137),0)))))</f>
        <v/>
      </c>
      <c r="N137" s="25">
        <f>IF($C137="","",IF($E137="rejected",N($G137),IF(AND(OR($E137="returned_to_brand",$E137="given_to_roster_office",$E137="released_to_office",$E137="disposed"),IF($F137="","reserve",$F137)="rejected"),-N($G137),IF(AND($E137="correction",IF($F137="","reserve",$F137)="rejected"),N($G137),0))))</f>
        <v/>
      </c>
      <c r="O137" s="25">
        <f>IF($C137="","",IF($E137="collected",N($G137),IF(AND(OR($E137="returned_to_brand",$E137="given_to_roster_office",$E137="released_to_office",$E137="disposed"),IF($F137="","reserve",$F137)="leftover"),-N($G137),IF(AND($E137="correction",IF($F137="","reserve",$F137)="leftover"),N($G137),0))))</f>
        <v/>
      </c>
      <c r="P137" s="25">
        <f>IF(OR($E137&lt;&gt;"received",$I137="",$L137=""),"",IF($I137&gt;=$L137+config!$B$19,"Y","N"))</f>
        <v/>
      </c>
      <c r="Q137" s="25">
        <f>IF($C137="","",IF(COUNTIF(campaigns!$A$2:$A$51,$C137)=0,"campaign_id not on campaigns; ",IF(AND($D137&lt;&gt;"",COUNTIFS(approvals!$A$2:$A$251,$C137,approvals!$B$2:$B$251,$D137)=0),"office not on this campaign (approvals tab); ",""))&amp;IF(AND(OR($E137="delivered",$E137="topped_up",$E137="collected"),$D137=""),"office needed; ","")&amp;IF(AND($E137&lt;&gt;"correction",N($G137)&lt;=0),"qty must be above 0; ","")&amp;IF(AND($E137="received",OR($I137="",$H137="")),"log lot and best-by; ","")&amp;IF(AND($P137="N",SUMIFS(inventory!$G$2:$G$801,inventory!$C$2:$C$801,$C137,inventory!$H$2:$H$801,$H137,inventory!$E$2:$E$801,"rejected")&lt;N($G137)),"UNDER "&amp;config!$B$19&amp;" DAYS LEFT ON THE DROP DAY: reject these units; ","")&amp;IF(AND($E137="delivered",COUNTIF(inventory!$R$2:$R$801,$R137)&gt;1),"two delivered rows for this office: use one; ","")&amp;IF(AND($E137="delivered",$J137=""),"who counted?; ",""))</f>
        <v/>
      </c>
      <c r="R137" s="25">
        <f>IF($C137="","",$C137&amp;"|"&amp;$D137&amp;"|"&amp;$E137)</f>
        <v/>
      </c>
    </row>
    <row r="138">
      <c r="A138" s="9" t="n"/>
      <c r="B138" s="33" t="n"/>
      <c r="I138" s="9" t="n"/>
      <c r="L138" s="26">
        <f>IF($C138="","",IFERROR(IF(INDEX(campaigns!$BG$2:$BG$51,MATCH($C138,campaigns!$A$2:$A$51,0))="","",INDEX(campaigns!$BG$2:$BG$51,MATCH($C138,campaigns!$A$2:$A$51,0))),""))</f>
        <v/>
      </c>
      <c r="M138" s="25">
        <f>IF($C138="","",IF(OR($E138="received"),N($G138),IF(OR($E138="rejected",$E138="delivered",$E138="topped_up"),-N($G138),IF(AND(OR($E138="returned_to_brand",$E138="given_to_roster_office",$E138="released_to_office",$E138="disposed"),IF($F138="","reserve",$F138)="reserve"),-N($G138),IF(AND($E138="correction",IF($F138="","reserve",$F138)="reserve"),N($G138),0)))))</f>
        <v/>
      </c>
      <c r="N138" s="25">
        <f>IF($C138="","",IF($E138="rejected",N($G138),IF(AND(OR($E138="returned_to_brand",$E138="given_to_roster_office",$E138="released_to_office",$E138="disposed"),IF($F138="","reserve",$F138)="rejected"),-N($G138),IF(AND($E138="correction",IF($F138="","reserve",$F138)="rejected"),N($G138),0))))</f>
        <v/>
      </c>
      <c r="O138" s="25">
        <f>IF($C138="","",IF($E138="collected",N($G138),IF(AND(OR($E138="returned_to_brand",$E138="given_to_roster_office",$E138="released_to_office",$E138="disposed"),IF($F138="","reserve",$F138)="leftover"),-N($G138),IF(AND($E138="correction",IF($F138="","reserve",$F138)="leftover"),N($G138),0))))</f>
        <v/>
      </c>
      <c r="P138" s="25">
        <f>IF(OR($E138&lt;&gt;"received",$I138="",$L138=""),"",IF($I138&gt;=$L138+config!$B$19,"Y","N"))</f>
        <v/>
      </c>
      <c r="Q138" s="25">
        <f>IF($C138="","",IF(COUNTIF(campaigns!$A$2:$A$51,$C138)=0,"campaign_id not on campaigns; ",IF(AND($D138&lt;&gt;"",COUNTIFS(approvals!$A$2:$A$251,$C138,approvals!$B$2:$B$251,$D138)=0),"office not on this campaign (approvals tab); ",""))&amp;IF(AND(OR($E138="delivered",$E138="topped_up",$E138="collected"),$D138=""),"office needed; ","")&amp;IF(AND($E138&lt;&gt;"correction",N($G138)&lt;=0),"qty must be above 0; ","")&amp;IF(AND($E138="received",OR($I138="",$H138="")),"log lot and best-by; ","")&amp;IF(AND($P138="N",SUMIFS(inventory!$G$2:$G$801,inventory!$C$2:$C$801,$C138,inventory!$H$2:$H$801,$H138,inventory!$E$2:$E$801,"rejected")&lt;N($G138)),"UNDER "&amp;config!$B$19&amp;" DAYS LEFT ON THE DROP DAY: reject these units; ","")&amp;IF(AND($E138="delivered",COUNTIF(inventory!$R$2:$R$801,$R138)&gt;1),"two delivered rows for this office: use one; ","")&amp;IF(AND($E138="delivered",$J138=""),"who counted?; ",""))</f>
        <v/>
      </c>
      <c r="R138" s="25">
        <f>IF($C138="","",$C138&amp;"|"&amp;$D138&amp;"|"&amp;$E138)</f>
        <v/>
      </c>
    </row>
    <row r="139">
      <c r="A139" s="9" t="n"/>
      <c r="B139" s="33" t="n"/>
      <c r="I139" s="9" t="n"/>
      <c r="L139" s="26">
        <f>IF($C139="","",IFERROR(IF(INDEX(campaigns!$BG$2:$BG$51,MATCH($C139,campaigns!$A$2:$A$51,0))="","",INDEX(campaigns!$BG$2:$BG$51,MATCH($C139,campaigns!$A$2:$A$51,0))),""))</f>
        <v/>
      </c>
      <c r="M139" s="25">
        <f>IF($C139="","",IF(OR($E139="received"),N($G139),IF(OR($E139="rejected",$E139="delivered",$E139="topped_up"),-N($G139),IF(AND(OR($E139="returned_to_brand",$E139="given_to_roster_office",$E139="released_to_office",$E139="disposed"),IF($F139="","reserve",$F139)="reserve"),-N($G139),IF(AND($E139="correction",IF($F139="","reserve",$F139)="reserve"),N($G139),0)))))</f>
        <v/>
      </c>
      <c r="N139" s="25">
        <f>IF($C139="","",IF($E139="rejected",N($G139),IF(AND(OR($E139="returned_to_brand",$E139="given_to_roster_office",$E139="released_to_office",$E139="disposed"),IF($F139="","reserve",$F139)="rejected"),-N($G139),IF(AND($E139="correction",IF($F139="","reserve",$F139)="rejected"),N($G139),0))))</f>
        <v/>
      </c>
      <c r="O139" s="25">
        <f>IF($C139="","",IF($E139="collected",N($G139),IF(AND(OR($E139="returned_to_brand",$E139="given_to_roster_office",$E139="released_to_office",$E139="disposed"),IF($F139="","reserve",$F139)="leftover"),-N($G139),IF(AND($E139="correction",IF($F139="","reserve",$F139)="leftover"),N($G139),0))))</f>
        <v/>
      </c>
      <c r="P139" s="25">
        <f>IF(OR($E139&lt;&gt;"received",$I139="",$L139=""),"",IF($I139&gt;=$L139+config!$B$19,"Y","N"))</f>
        <v/>
      </c>
      <c r="Q139" s="25">
        <f>IF($C139="","",IF(COUNTIF(campaigns!$A$2:$A$51,$C139)=0,"campaign_id not on campaigns; ",IF(AND($D139&lt;&gt;"",COUNTIFS(approvals!$A$2:$A$251,$C139,approvals!$B$2:$B$251,$D139)=0),"office not on this campaign (approvals tab); ",""))&amp;IF(AND(OR($E139="delivered",$E139="topped_up",$E139="collected"),$D139=""),"office needed; ","")&amp;IF(AND($E139&lt;&gt;"correction",N($G139)&lt;=0),"qty must be above 0; ","")&amp;IF(AND($E139="received",OR($I139="",$H139="")),"log lot and best-by; ","")&amp;IF(AND($P139="N",SUMIFS(inventory!$G$2:$G$801,inventory!$C$2:$C$801,$C139,inventory!$H$2:$H$801,$H139,inventory!$E$2:$E$801,"rejected")&lt;N($G139)),"UNDER "&amp;config!$B$19&amp;" DAYS LEFT ON THE DROP DAY: reject these units; ","")&amp;IF(AND($E139="delivered",COUNTIF(inventory!$R$2:$R$801,$R139)&gt;1),"two delivered rows for this office: use one; ","")&amp;IF(AND($E139="delivered",$J139=""),"who counted?; ",""))</f>
        <v/>
      </c>
      <c r="R139" s="25">
        <f>IF($C139="","",$C139&amp;"|"&amp;$D139&amp;"|"&amp;$E139)</f>
        <v/>
      </c>
    </row>
    <row r="140">
      <c r="A140" s="9" t="n"/>
      <c r="B140" s="33" t="n"/>
      <c r="I140" s="9" t="n"/>
      <c r="L140" s="26">
        <f>IF($C140="","",IFERROR(IF(INDEX(campaigns!$BG$2:$BG$51,MATCH($C140,campaigns!$A$2:$A$51,0))="","",INDEX(campaigns!$BG$2:$BG$51,MATCH($C140,campaigns!$A$2:$A$51,0))),""))</f>
        <v/>
      </c>
      <c r="M140" s="25">
        <f>IF($C140="","",IF(OR($E140="received"),N($G140),IF(OR($E140="rejected",$E140="delivered",$E140="topped_up"),-N($G140),IF(AND(OR($E140="returned_to_brand",$E140="given_to_roster_office",$E140="released_to_office",$E140="disposed"),IF($F140="","reserve",$F140)="reserve"),-N($G140),IF(AND($E140="correction",IF($F140="","reserve",$F140)="reserve"),N($G140),0)))))</f>
        <v/>
      </c>
      <c r="N140" s="25">
        <f>IF($C140="","",IF($E140="rejected",N($G140),IF(AND(OR($E140="returned_to_brand",$E140="given_to_roster_office",$E140="released_to_office",$E140="disposed"),IF($F140="","reserve",$F140)="rejected"),-N($G140),IF(AND($E140="correction",IF($F140="","reserve",$F140)="rejected"),N($G140),0))))</f>
        <v/>
      </c>
      <c r="O140" s="25">
        <f>IF($C140="","",IF($E140="collected",N($G140),IF(AND(OR($E140="returned_to_brand",$E140="given_to_roster_office",$E140="released_to_office",$E140="disposed"),IF($F140="","reserve",$F140)="leftover"),-N($G140),IF(AND($E140="correction",IF($F140="","reserve",$F140)="leftover"),N($G140),0))))</f>
        <v/>
      </c>
      <c r="P140" s="25">
        <f>IF(OR($E140&lt;&gt;"received",$I140="",$L140=""),"",IF($I140&gt;=$L140+config!$B$19,"Y","N"))</f>
        <v/>
      </c>
      <c r="Q140" s="25">
        <f>IF($C140="","",IF(COUNTIF(campaigns!$A$2:$A$51,$C140)=0,"campaign_id not on campaigns; ",IF(AND($D140&lt;&gt;"",COUNTIFS(approvals!$A$2:$A$251,$C140,approvals!$B$2:$B$251,$D140)=0),"office not on this campaign (approvals tab); ",""))&amp;IF(AND(OR($E140="delivered",$E140="topped_up",$E140="collected"),$D140=""),"office needed; ","")&amp;IF(AND($E140&lt;&gt;"correction",N($G140)&lt;=0),"qty must be above 0; ","")&amp;IF(AND($E140="received",OR($I140="",$H140="")),"log lot and best-by; ","")&amp;IF(AND($P140="N",SUMIFS(inventory!$G$2:$G$801,inventory!$C$2:$C$801,$C140,inventory!$H$2:$H$801,$H140,inventory!$E$2:$E$801,"rejected")&lt;N($G140)),"UNDER "&amp;config!$B$19&amp;" DAYS LEFT ON THE DROP DAY: reject these units; ","")&amp;IF(AND($E140="delivered",COUNTIF(inventory!$R$2:$R$801,$R140)&gt;1),"two delivered rows for this office: use one; ","")&amp;IF(AND($E140="delivered",$J140=""),"who counted?; ",""))</f>
        <v/>
      </c>
      <c r="R140" s="25">
        <f>IF($C140="","",$C140&amp;"|"&amp;$D140&amp;"|"&amp;$E140)</f>
        <v/>
      </c>
    </row>
    <row r="141">
      <c r="A141" s="9" t="n"/>
      <c r="B141" s="33" t="n"/>
      <c r="I141" s="9" t="n"/>
      <c r="L141" s="26">
        <f>IF($C141="","",IFERROR(IF(INDEX(campaigns!$BG$2:$BG$51,MATCH($C141,campaigns!$A$2:$A$51,0))="","",INDEX(campaigns!$BG$2:$BG$51,MATCH($C141,campaigns!$A$2:$A$51,0))),""))</f>
        <v/>
      </c>
      <c r="M141" s="25">
        <f>IF($C141="","",IF(OR($E141="received"),N($G141),IF(OR($E141="rejected",$E141="delivered",$E141="topped_up"),-N($G141),IF(AND(OR($E141="returned_to_brand",$E141="given_to_roster_office",$E141="released_to_office",$E141="disposed"),IF($F141="","reserve",$F141)="reserve"),-N($G141),IF(AND($E141="correction",IF($F141="","reserve",$F141)="reserve"),N($G141),0)))))</f>
        <v/>
      </c>
      <c r="N141" s="25">
        <f>IF($C141="","",IF($E141="rejected",N($G141),IF(AND(OR($E141="returned_to_brand",$E141="given_to_roster_office",$E141="released_to_office",$E141="disposed"),IF($F141="","reserve",$F141)="rejected"),-N($G141),IF(AND($E141="correction",IF($F141="","reserve",$F141)="rejected"),N($G141),0))))</f>
        <v/>
      </c>
      <c r="O141" s="25">
        <f>IF($C141="","",IF($E141="collected",N($G141),IF(AND(OR($E141="returned_to_brand",$E141="given_to_roster_office",$E141="released_to_office",$E141="disposed"),IF($F141="","reserve",$F141)="leftover"),-N($G141),IF(AND($E141="correction",IF($F141="","reserve",$F141)="leftover"),N($G141),0))))</f>
        <v/>
      </c>
      <c r="P141" s="25">
        <f>IF(OR($E141&lt;&gt;"received",$I141="",$L141=""),"",IF($I141&gt;=$L141+config!$B$19,"Y","N"))</f>
        <v/>
      </c>
      <c r="Q141" s="25">
        <f>IF($C141="","",IF(COUNTIF(campaigns!$A$2:$A$51,$C141)=0,"campaign_id not on campaigns; ",IF(AND($D141&lt;&gt;"",COUNTIFS(approvals!$A$2:$A$251,$C141,approvals!$B$2:$B$251,$D141)=0),"office not on this campaign (approvals tab); ",""))&amp;IF(AND(OR($E141="delivered",$E141="topped_up",$E141="collected"),$D141=""),"office needed; ","")&amp;IF(AND($E141&lt;&gt;"correction",N($G141)&lt;=0),"qty must be above 0; ","")&amp;IF(AND($E141="received",OR($I141="",$H141="")),"log lot and best-by; ","")&amp;IF(AND($P141="N",SUMIFS(inventory!$G$2:$G$801,inventory!$C$2:$C$801,$C141,inventory!$H$2:$H$801,$H141,inventory!$E$2:$E$801,"rejected")&lt;N($G141)),"UNDER "&amp;config!$B$19&amp;" DAYS LEFT ON THE DROP DAY: reject these units; ","")&amp;IF(AND($E141="delivered",COUNTIF(inventory!$R$2:$R$801,$R141)&gt;1),"two delivered rows for this office: use one; ","")&amp;IF(AND($E141="delivered",$J141=""),"who counted?; ",""))</f>
        <v/>
      </c>
      <c r="R141" s="25">
        <f>IF($C141="","",$C141&amp;"|"&amp;$D141&amp;"|"&amp;$E141)</f>
        <v/>
      </c>
    </row>
    <row r="142">
      <c r="A142" s="9" t="n"/>
      <c r="B142" s="33" t="n"/>
      <c r="I142" s="9" t="n"/>
      <c r="L142" s="26">
        <f>IF($C142="","",IFERROR(IF(INDEX(campaigns!$BG$2:$BG$51,MATCH($C142,campaigns!$A$2:$A$51,0))="","",INDEX(campaigns!$BG$2:$BG$51,MATCH($C142,campaigns!$A$2:$A$51,0))),""))</f>
        <v/>
      </c>
      <c r="M142" s="25">
        <f>IF($C142="","",IF(OR($E142="received"),N($G142),IF(OR($E142="rejected",$E142="delivered",$E142="topped_up"),-N($G142),IF(AND(OR($E142="returned_to_brand",$E142="given_to_roster_office",$E142="released_to_office",$E142="disposed"),IF($F142="","reserve",$F142)="reserve"),-N($G142),IF(AND($E142="correction",IF($F142="","reserve",$F142)="reserve"),N($G142),0)))))</f>
        <v/>
      </c>
      <c r="N142" s="25">
        <f>IF($C142="","",IF($E142="rejected",N($G142),IF(AND(OR($E142="returned_to_brand",$E142="given_to_roster_office",$E142="released_to_office",$E142="disposed"),IF($F142="","reserve",$F142)="rejected"),-N($G142),IF(AND($E142="correction",IF($F142="","reserve",$F142)="rejected"),N($G142),0))))</f>
        <v/>
      </c>
      <c r="O142" s="25">
        <f>IF($C142="","",IF($E142="collected",N($G142),IF(AND(OR($E142="returned_to_brand",$E142="given_to_roster_office",$E142="released_to_office",$E142="disposed"),IF($F142="","reserve",$F142)="leftover"),-N($G142),IF(AND($E142="correction",IF($F142="","reserve",$F142)="leftover"),N($G142),0))))</f>
        <v/>
      </c>
      <c r="P142" s="25">
        <f>IF(OR($E142&lt;&gt;"received",$I142="",$L142=""),"",IF($I142&gt;=$L142+config!$B$19,"Y","N"))</f>
        <v/>
      </c>
      <c r="Q142" s="25">
        <f>IF($C142="","",IF(COUNTIF(campaigns!$A$2:$A$51,$C142)=0,"campaign_id not on campaigns; ",IF(AND($D142&lt;&gt;"",COUNTIFS(approvals!$A$2:$A$251,$C142,approvals!$B$2:$B$251,$D142)=0),"office not on this campaign (approvals tab); ",""))&amp;IF(AND(OR($E142="delivered",$E142="topped_up",$E142="collected"),$D142=""),"office needed; ","")&amp;IF(AND($E142&lt;&gt;"correction",N($G142)&lt;=0),"qty must be above 0; ","")&amp;IF(AND($E142="received",OR($I142="",$H142="")),"log lot and best-by; ","")&amp;IF(AND($P142="N",SUMIFS(inventory!$G$2:$G$801,inventory!$C$2:$C$801,$C142,inventory!$H$2:$H$801,$H142,inventory!$E$2:$E$801,"rejected")&lt;N($G142)),"UNDER "&amp;config!$B$19&amp;" DAYS LEFT ON THE DROP DAY: reject these units; ","")&amp;IF(AND($E142="delivered",COUNTIF(inventory!$R$2:$R$801,$R142)&gt;1),"two delivered rows for this office: use one; ","")&amp;IF(AND($E142="delivered",$J142=""),"who counted?; ",""))</f>
        <v/>
      </c>
      <c r="R142" s="25">
        <f>IF($C142="","",$C142&amp;"|"&amp;$D142&amp;"|"&amp;$E142)</f>
        <v/>
      </c>
    </row>
    <row r="143">
      <c r="A143" s="9" t="n"/>
      <c r="B143" s="33" t="n"/>
      <c r="I143" s="9" t="n"/>
      <c r="L143" s="26">
        <f>IF($C143="","",IFERROR(IF(INDEX(campaigns!$BG$2:$BG$51,MATCH($C143,campaigns!$A$2:$A$51,0))="","",INDEX(campaigns!$BG$2:$BG$51,MATCH($C143,campaigns!$A$2:$A$51,0))),""))</f>
        <v/>
      </c>
      <c r="M143" s="25">
        <f>IF($C143="","",IF(OR($E143="received"),N($G143),IF(OR($E143="rejected",$E143="delivered",$E143="topped_up"),-N($G143),IF(AND(OR($E143="returned_to_brand",$E143="given_to_roster_office",$E143="released_to_office",$E143="disposed"),IF($F143="","reserve",$F143)="reserve"),-N($G143),IF(AND($E143="correction",IF($F143="","reserve",$F143)="reserve"),N($G143),0)))))</f>
        <v/>
      </c>
      <c r="N143" s="25">
        <f>IF($C143="","",IF($E143="rejected",N($G143),IF(AND(OR($E143="returned_to_brand",$E143="given_to_roster_office",$E143="released_to_office",$E143="disposed"),IF($F143="","reserve",$F143)="rejected"),-N($G143),IF(AND($E143="correction",IF($F143="","reserve",$F143)="rejected"),N($G143),0))))</f>
        <v/>
      </c>
      <c r="O143" s="25">
        <f>IF($C143="","",IF($E143="collected",N($G143),IF(AND(OR($E143="returned_to_brand",$E143="given_to_roster_office",$E143="released_to_office",$E143="disposed"),IF($F143="","reserve",$F143)="leftover"),-N($G143),IF(AND($E143="correction",IF($F143="","reserve",$F143)="leftover"),N($G143),0))))</f>
        <v/>
      </c>
      <c r="P143" s="25">
        <f>IF(OR($E143&lt;&gt;"received",$I143="",$L143=""),"",IF($I143&gt;=$L143+config!$B$19,"Y","N"))</f>
        <v/>
      </c>
      <c r="Q143" s="25">
        <f>IF($C143="","",IF(COUNTIF(campaigns!$A$2:$A$51,$C143)=0,"campaign_id not on campaigns; ",IF(AND($D143&lt;&gt;"",COUNTIFS(approvals!$A$2:$A$251,$C143,approvals!$B$2:$B$251,$D143)=0),"office not on this campaign (approvals tab); ",""))&amp;IF(AND(OR($E143="delivered",$E143="topped_up",$E143="collected"),$D143=""),"office needed; ","")&amp;IF(AND($E143&lt;&gt;"correction",N($G143)&lt;=0),"qty must be above 0; ","")&amp;IF(AND($E143="received",OR($I143="",$H143="")),"log lot and best-by; ","")&amp;IF(AND($P143="N",SUMIFS(inventory!$G$2:$G$801,inventory!$C$2:$C$801,$C143,inventory!$H$2:$H$801,$H143,inventory!$E$2:$E$801,"rejected")&lt;N($G143)),"UNDER "&amp;config!$B$19&amp;" DAYS LEFT ON THE DROP DAY: reject these units; ","")&amp;IF(AND($E143="delivered",COUNTIF(inventory!$R$2:$R$801,$R143)&gt;1),"two delivered rows for this office: use one; ","")&amp;IF(AND($E143="delivered",$J143=""),"who counted?; ",""))</f>
        <v/>
      </c>
      <c r="R143" s="25">
        <f>IF($C143="","",$C143&amp;"|"&amp;$D143&amp;"|"&amp;$E143)</f>
        <v/>
      </c>
    </row>
    <row r="144">
      <c r="A144" s="9" t="n"/>
      <c r="B144" s="33" t="n"/>
      <c r="I144" s="9" t="n"/>
      <c r="L144" s="26">
        <f>IF($C144="","",IFERROR(IF(INDEX(campaigns!$BG$2:$BG$51,MATCH($C144,campaigns!$A$2:$A$51,0))="","",INDEX(campaigns!$BG$2:$BG$51,MATCH($C144,campaigns!$A$2:$A$51,0))),""))</f>
        <v/>
      </c>
      <c r="M144" s="25">
        <f>IF($C144="","",IF(OR($E144="received"),N($G144),IF(OR($E144="rejected",$E144="delivered",$E144="topped_up"),-N($G144),IF(AND(OR($E144="returned_to_brand",$E144="given_to_roster_office",$E144="released_to_office",$E144="disposed"),IF($F144="","reserve",$F144)="reserve"),-N($G144),IF(AND($E144="correction",IF($F144="","reserve",$F144)="reserve"),N($G144),0)))))</f>
        <v/>
      </c>
      <c r="N144" s="25">
        <f>IF($C144="","",IF($E144="rejected",N($G144),IF(AND(OR($E144="returned_to_brand",$E144="given_to_roster_office",$E144="released_to_office",$E144="disposed"),IF($F144="","reserve",$F144)="rejected"),-N($G144),IF(AND($E144="correction",IF($F144="","reserve",$F144)="rejected"),N($G144),0))))</f>
        <v/>
      </c>
      <c r="O144" s="25">
        <f>IF($C144="","",IF($E144="collected",N($G144),IF(AND(OR($E144="returned_to_brand",$E144="given_to_roster_office",$E144="released_to_office",$E144="disposed"),IF($F144="","reserve",$F144)="leftover"),-N($G144),IF(AND($E144="correction",IF($F144="","reserve",$F144)="leftover"),N($G144),0))))</f>
        <v/>
      </c>
      <c r="P144" s="25">
        <f>IF(OR($E144&lt;&gt;"received",$I144="",$L144=""),"",IF($I144&gt;=$L144+config!$B$19,"Y","N"))</f>
        <v/>
      </c>
      <c r="Q144" s="25">
        <f>IF($C144="","",IF(COUNTIF(campaigns!$A$2:$A$51,$C144)=0,"campaign_id not on campaigns; ",IF(AND($D144&lt;&gt;"",COUNTIFS(approvals!$A$2:$A$251,$C144,approvals!$B$2:$B$251,$D144)=0),"office not on this campaign (approvals tab); ",""))&amp;IF(AND(OR($E144="delivered",$E144="topped_up",$E144="collected"),$D144=""),"office needed; ","")&amp;IF(AND($E144&lt;&gt;"correction",N($G144)&lt;=0),"qty must be above 0; ","")&amp;IF(AND($E144="received",OR($I144="",$H144="")),"log lot and best-by; ","")&amp;IF(AND($P144="N",SUMIFS(inventory!$G$2:$G$801,inventory!$C$2:$C$801,$C144,inventory!$H$2:$H$801,$H144,inventory!$E$2:$E$801,"rejected")&lt;N($G144)),"UNDER "&amp;config!$B$19&amp;" DAYS LEFT ON THE DROP DAY: reject these units; ","")&amp;IF(AND($E144="delivered",COUNTIF(inventory!$R$2:$R$801,$R144)&gt;1),"two delivered rows for this office: use one; ","")&amp;IF(AND($E144="delivered",$J144=""),"who counted?; ",""))</f>
        <v/>
      </c>
      <c r="R144" s="25">
        <f>IF($C144="","",$C144&amp;"|"&amp;$D144&amp;"|"&amp;$E144)</f>
        <v/>
      </c>
    </row>
    <row r="145">
      <c r="A145" s="9" t="n"/>
      <c r="B145" s="33" t="n"/>
      <c r="I145" s="9" t="n"/>
      <c r="L145" s="26">
        <f>IF($C145="","",IFERROR(IF(INDEX(campaigns!$BG$2:$BG$51,MATCH($C145,campaigns!$A$2:$A$51,0))="","",INDEX(campaigns!$BG$2:$BG$51,MATCH($C145,campaigns!$A$2:$A$51,0))),""))</f>
        <v/>
      </c>
      <c r="M145" s="25">
        <f>IF($C145="","",IF(OR($E145="received"),N($G145),IF(OR($E145="rejected",$E145="delivered",$E145="topped_up"),-N($G145),IF(AND(OR($E145="returned_to_brand",$E145="given_to_roster_office",$E145="released_to_office",$E145="disposed"),IF($F145="","reserve",$F145)="reserve"),-N($G145),IF(AND($E145="correction",IF($F145="","reserve",$F145)="reserve"),N($G145),0)))))</f>
        <v/>
      </c>
      <c r="N145" s="25">
        <f>IF($C145="","",IF($E145="rejected",N($G145),IF(AND(OR($E145="returned_to_brand",$E145="given_to_roster_office",$E145="released_to_office",$E145="disposed"),IF($F145="","reserve",$F145)="rejected"),-N($G145),IF(AND($E145="correction",IF($F145="","reserve",$F145)="rejected"),N($G145),0))))</f>
        <v/>
      </c>
      <c r="O145" s="25">
        <f>IF($C145="","",IF($E145="collected",N($G145),IF(AND(OR($E145="returned_to_brand",$E145="given_to_roster_office",$E145="released_to_office",$E145="disposed"),IF($F145="","reserve",$F145)="leftover"),-N($G145),IF(AND($E145="correction",IF($F145="","reserve",$F145)="leftover"),N($G145),0))))</f>
        <v/>
      </c>
      <c r="P145" s="25">
        <f>IF(OR($E145&lt;&gt;"received",$I145="",$L145=""),"",IF($I145&gt;=$L145+config!$B$19,"Y","N"))</f>
        <v/>
      </c>
      <c r="Q145" s="25">
        <f>IF($C145="","",IF(COUNTIF(campaigns!$A$2:$A$51,$C145)=0,"campaign_id not on campaigns; ",IF(AND($D145&lt;&gt;"",COUNTIFS(approvals!$A$2:$A$251,$C145,approvals!$B$2:$B$251,$D145)=0),"office not on this campaign (approvals tab); ",""))&amp;IF(AND(OR($E145="delivered",$E145="topped_up",$E145="collected"),$D145=""),"office needed; ","")&amp;IF(AND($E145&lt;&gt;"correction",N($G145)&lt;=0),"qty must be above 0; ","")&amp;IF(AND($E145="received",OR($I145="",$H145="")),"log lot and best-by; ","")&amp;IF(AND($P145="N",SUMIFS(inventory!$G$2:$G$801,inventory!$C$2:$C$801,$C145,inventory!$H$2:$H$801,$H145,inventory!$E$2:$E$801,"rejected")&lt;N($G145)),"UNDER "&amp;config!$B$19&amp;" DAYS LEFT ON THE DROP DAY: reject these units; ","")&amp;IF(AND($E145="delivered",COUNTIF(inventory!$R$2:$R$801,$R145)&gt;1),"two delivered rows for this office: use one; ","")&amp;IF(AND($E145="delivered",$J145=""),"who counted?; ",""))</f>
        <v/>
      </c>
      <c r="R145" s="25">
        <f>IF($C145="","",$C145&amp;"|"&amp;$D145&amp;"|"&amp;$E145)</f>
        <v/>
      </c>
    </row>
    <row r="146">
      <c r="A146" s="9" t="n"/>
      <c r="B146" s="33" t="n"/>
      <c r="I146" s="9" t="n"/>
      <c r="L146" s="26">
        <f>IF($C146="","",IFERROR(IF(INDEX(campaigns!$BG$2:$BG$51,MATCH($C146,campaigns!$A$2:$A$51,0))="","",INDEX(campaigns!$BG$2:$BG$51,MATCH($C146,campaigns!$A$2:$A$51,0))),""))</f>
        <v/>
      </c>
      <c r="M146" s="25">
        <f>IF($C146="","",IF(OR($E146="received"),N($G146),IF(OR($E146="rejected",$E146="delivered",$E146="topped_up"),-N($G146),IF(AND(OR($E146="returned_to_brand",$E146="given_to_roster_office",$E146="released_to_office",$E146="disposed"),IF($F146="","reserve",$F146)="reserve"),-N($G146),IF(AND($E146="correction",IF($F146="","reserve",$F146)="reserve"),N($G146),0)))))</f>
        <v/>
      </c>
      <c r="N146" s="25">
        <f>IF($C146="","",IF($E146="rejected",N($G146),IF(AND(OR($E146="returned_to_brand",$E146="given_to_roster_office",$E146="released_to_office",$E146="disposed"),IF($F146="","reserve",$F146)="rejected"),-N($G146),IF(AND($E146="correction",IF($F146="","reserve",$F146)="rejected"),N($G146),0))))</f>
        <v/>
      </c>
      <c r="O146" s="25">
        <f>IF($C146="","",IF($E146="collected",N($G146),IF(AND(OR($E146="returned_to_brand",$E146="given_to_roster_office",$E146="released_to_office",$E146="disposed"),IF($F146="","reserve",$F146)="leftover"),-N($G146),IF(AND($E146="correction",IF($F146="","reserve",$F146)="leftover"),N($G146),0))))</f>
        <v/>
      </c>
      <c r="P146" s="25">
        <f>IF(OR($E146&lt;&gt;"received",$I146="",$L146=""),"",IF($I146&gt;=$L146+config!$B$19,"Y","N"))</f>
        <v/>
      </c>
      <c r="Q146" s="25">
        <f>IF($C146="","",IF(COUNTIF(campaigns!$A$2:$A$51,$C146)=0,"campaign_id not on campaigns; ",IF(AND($D146&lt;&gt;"",COUNTIFS(approvals!$A$2:$A$251,$C146,approvals!$B$2:$B$251,$D146)=0),"office not on this campaign (approvals tab); ",""))&amp;IF(AND(OR($E146="delivered",$E146="topped_up",$E146="collected"),$D146=""),"office needed; ","")&amp;IF(AND($E146&lt;&gt;"correction",N($G146)&lt;=0),"qty must be above 0; ","")&amp;IF(AND($E146="received",OR($I146="",$H146="")),"log lot and best-by; ","")&amp;IF(AND($P146="N",SUMIFS(inventory!$G$2:$G$801,inventory!$C$2:$C$801,$C146,inventory!$H$2:$H$801,$H146,inventory!$E$2:$E$801,"rejected")&lt;N($G146)),"UNDER "&amp;config!$B$19&amp;" DAYS LEFT ON THE DROP DAY: reject these units; ","")&amp;IF(AND($E146="delivered",COUNTIF(inventory!$R$2:$R$801,$R146)&gt;1),"two delivered rows for this office: use one; ","")&amp;IF(AND($E146="delivered",$J146=""),"who counted?; ",""))</f>
        <v/>
      </c>
      <c r="R146" s="25">
        <f>IF($C146="","",$C146&amp;"|"&amp;$D146&amp;"|"&amp;$E146)</f>
        <v/>
      </c>
    </row>
    <row r="147">
      <c r="A147" s="9" t="n"/>
      <c r="B147" s="33" t="n"/>
      <c r="I147" s="9" t="n"/>
      <c r="L147" s="26">
        <f>IF($C147="","",IFERROR(IF(INDEX(campaigns!$BG$2:$BG$51,MATCH($C147,campaigns!$A$2:$A$51,0))="","",INDEX(campaigns!$BG$2:$BG$51,MATCH($C147,campaigns!$A$2:$A$51,0))),""))</f>
        <v/>
      </c>
      <c r="M147" s="25">
        <f>IF($C147="","",IF(OR($E147="received"),N($G147),IF(OR($E147="rejected",$E147="delivered",$E147="topped_up"),-N($G147),IF(AND(OR($E147="returned_to_brand",$E147="given_to_roster_office",$E147="released_to_office",$E147="disposed"),IF($F147="","reserve",$F147)="reserve"),-N($G147),IF(AND($E147="correction",IF($F147="","reserve",$F147)="reserve"),N($G147),0)))))</f>
        <v/>
      </c>
      <c r="N147" s="25">
        <f>IF($C147="","",IF($E147="rejected",N($G147),IF(AND(OR($E147="returned_to_brand",$E147="given_to_roster_office",$E147="released_to_office",$E147="disposed"),IF($F147="","reserve",$F147)="rejected"),-N($G147),IF(AND($E147="correction",IF($F147="","reserve",$F147)="rejected"),N($G147),0))))</f>
        <v/>
      </c>
      <c r="O147" s="25">
        <f>IF($C147="","",IF($E147="collected",N($G147),IF(AND(OR($E147="returned_to_brand",$E147="given_to_roster_office",$E147="released_to_office",$E147="disposed"),IF($F147="","reserve",$F147)="leftover"),-N($G147),IF(AND($E147="correction",IF($F147="","reserve",$F147)="leftover"),N($G147),0))))</f>
        <v/>
      </c>
      <c r="P147" s="25">
        <f>IF(OR($E147&lt;&gt;"received",$I147="",$L147=""),"",IF($I147&gt;=$L147+config!$B$19,"Y","N"))</f>
        <v/>
      </c>
      <c r="Q147" s="25">
        <f>IF($C147="","",IF(COUNTIF(campaigns!$A$2:$A$51,$C147)=0,"campaign_id not on campaigns; ",IF(AND($D147&lt;&gt;"",COUNTIFS(approvals!$A$2:$A$251,$C147,approvals!$B$2:$B$251,$D147)=0),"office not on this campaign (approvals tab); ",""))&amp;IF(AND(OR($E147="delivered",$E147="topped_up",$E147="collected"),$D147=""),"office needed; ","")&amp;IF(AND($E147&lt;&gt;"correction",N($G147)&lt;=0),"qty must be above 0; ","")&amp;IF(AND($E147="received",OR($I147="",$H147="")),"log lot and best-by; ","")&amp;IF(AND($P147="N",SUMIFS(inventory!$G$2:$G$801,inventory!$C$2:$C$801,$C147,inventory!$H$2:$H$801,$H147,inventory!$E$2:$E$801,"rejected")&lt;N($G147)),"UNDER "&amp;config!$B$19&amp;" DAYS LEFT ON THE DROP DAY: reject these units; ","")&amp;IF(AND($E147="delivered",COUNTIF(inventory!$R$2:$R$801,$R147)&gt;1),"two delivered rows for this office: use one; ","")&amp;IF(AND($E147="delivered",$J147=""),"who counted?; ",""))</f>
        <v/>
      </c>
      <c r="R147" s="25">
        <f>IF($C147="","",$C147&amp;"|"&amp;$D147&amp;"|"&amp;$E147)</f>
        <v/>
      </c>
    </row>
    <row r="148">
      <c r="A148" s="9" t="n"/>
      <c r="B148" s="33" t="n"/>
      <c r="I148" s="9" t="n"/>
      <c r="L148" s="26">
        <f>IF($C148="","",IFERROR(IF(INDEX(campaigns!$BG$2:$BG$51,MATCH($C148,campaigns!$A$2:$A$51,0))="","",INDEX(campaigns!$BG$2:$BG$51,MATCH($C148,campaigns!$A$2:$A$51,0))),""))</f>
        <v/>
      </c>
      <c r="M148" s="25">
        <f>IF($C148="","",IF(OR($E148="received"),N($G148),IF(OR($E148="rejected",$E148="delivered",$E148="topped_up"),-N($G148),IF(AND(OR($E148="returned_to_brand",$E148="given_to_roster_office",$E148="released_to_office",$E148="disposed"),IF($F148="","reserve",$F148)="reserve"),-N($G148),IF(AND($E148="correction",IF($F148="","reserve",$F148)="reserve"),N($G148),0)))))</f>
        <v/>
      </c>
      <c r="N148" s="25">
        <f>IF($C148="","",IF($E148="rejected",N($G148),IF(AND(OR($E148="returned_to_brand",$E148="given_to_roster_office",$E148="released_to_office",$E148="disposed"),IF($F148="","reserve",$F148)="rejected"),-N($G148),IF(AND($E148="correction",IF($F148="","reserve",$F148)="rejected"),N($G148),0))))</f>
        <v/>
      </c>
      <c r="O148" s="25">
        <f>IF($C148="","",IF($E148="collected",N($G148),IF(AND(OR($E148="returned_to_brand",$E148="given_to_roster_office",$E148="released_to_office",$E148="disposed"),IF($F148="","reserve",$F148)="leftover"),-N($G148),IF(AND($E148="correction",IF($F148="","reserve",$F148)="leftover"),N($G148),0))))</f>
        <v/>
      </c>
      <c r="P148" s="25">
        <f>IF(OR($E148&lt;&gt;"received",$I148="",$L148=""),"",IF($I148&gt;=$L148+config!$B$19,"Y","N"))</f>
        <v/>
      </c>
      <c r="Q148" s="25">
        <f>IF($C148="","",IF(COUNTIF(campaigns!$A$2:$A$51,$C148)=0,"campaign_id not on campaigns; ",IF(AND($D148&lt;&gt;"",COUNTIFS(approvals!$A$2:$A$251,$C148,approvals!$B$2:$B$251,$D148)=0),"office not on this campaign (approvals tab); ",""))&amp;IF(AND(OR($E148="delivered",$E148="topped_up",$E148="collected"),$D148=""),"office needed; ","")&amp;IF(AND($E148&lt;&gt;"correction",N($G148)&lt;=0),"qty must be above 0; ","")&amp;IF(AND($E148="received",OR($I148="",$H148="")),"log lot and best-by; ","")&amp;IF(AND($P148="N",SUMIFS(inventory!$G$2:$G$801,inventory!$C$2:$C$801,$C148,inventory!$H$2:$H$801,$H148,inventory!$E$2:$E$801,"rejected")&lt;N($G148)),"UNDER "&amp;config!$B$19&amp;" DAYS LEFT ON THE DROP DAY: reject these units; ","")&amp;IF(AND($E148="delivered",COUNTIF(inventory!$R$2:$R$801,$R148)&gt;1),"two delivered rows for this office: use one; ","")&amp;IF(AND($E148="delivered",$J148=""),"who counted?; ",""))</f>
        <v/>
      </c>
      <c r="R148" s="25">
        <f>IF($C148="","",$C148&amp;"|"&amp;$D148&amp;"|"&amp;$E148)</f>
        <v/>
      </c>
    </row>
    <row r="149">
      <c r="A149" s="9" t="n"/>
      <c r="B149" s="33" t="n"/>
      <c r="I149" s="9" t="n"/>
      <c r="L149" s="26">
        <f>IF($C149="","",IFERROR(IF(INDEX(campaigns!$BG$2:$BG$51,MATCH($C149,campaigns!$A$2:$A$51,0))="","",INDEX(campaigns!$BG$2:$BG$51,MATCH($C149,campaigns!$A$2:$A$51,0))),""))</f>
        <v/>
      </c>
      <c r="M149" s="25">
        <f>IF($C149="","",IF(OR($E149="received"),N($G149),IF(OR($E149="rejected",$E149="delivered",$E149="topped_up"),-N($G149),IF(AND(OR($E149="returned_to_brand",$E149="given_to_roster_office",$E149="released_to_office",$E149="disposed"),IF($F149="","reserve",$F149)="reserve"),-N($G149),IF(AND($E149="correction",IF($F149="","reserve",$F149)="reserve"),N($G149),0)))))</f>
        <v/>
      </c>
      <c r="N149" s="25">
        <f>IF($C149="","",IF($E149="rejected",N($G149),IF(AND(OR($E149="returned_to_brand",$E149="given_to_roster_office",$E149="released_to_office",$E149="disposed"),IF($F149="","reserve",$F149)="rejected"),-N($G149),IF(AND($E149="correction",IF($F149="","reserve",$F149)="rejected"),N($G149),0))))</f>
        <v/>
      </c>
      <c r="O149" s="25">
        <f>IF($C149="","",IF($E149="collected",N($G149),IF(AND(OR($E149="returned_to_brand",$E149="given_to_roster_office",$E149="released_to_office",$E149="disposed"),IF($F149="","reserve",$F149)="leftover"),-N($G149),IF(AND($E149="correction",IF($F149="","reserve",$F149)="leftover"),N($G149),0))))</f>
        <v/>
      </c>
      <c r="P149" s="25">
        <f>IF(OR($E149&lt;&gt;"received",$I149="",$L149=""),"",IF($I149&gt;=$L149+config!$B$19,"Y","N"))</f>
        <v/>
      </c>
      <c r="Q149" s="25">
        <f>IF($C149="","",IF(COUNTIF(campaigns!$A$2:$A$51,$C149)=0,"campaign_id not on campaigns; ",IF(AND($D149&lt;&gt;"",COUNTIFS(approvals!$A$2:$A$251,$C149,approvals!$B$2:$B$251,$D149)=0),"office not on this campaign (approvals tab); ",""))&amp;IF(AND(OR($E149="delivered",$E149="topped_up",$E149="collected"),$D149=""),"office needed; ","")&amp;IF(AND($E149&lt;&gt;"correction",N($G149)&lt;=0),"qty must be above 0; ","")&amp;IF(AND($E149="received",OR($I149="",$H149="")),"log lot and best-by; ","")&amp;IF(AND($P149="N",SUMIFS(inventory!$G$2:$G$801,inventory!$C$2:$C$801,$C149,inventory!$H$2:$H$801,$H149,inventory!$E$2:$E$801,"rejected")&lt;N($G149)),"UNDER "&amp;config!$B$19&amp;" DAYS LEFT ON THE DROP DAY: reject these units; ","")&amp;IF(AND($E149="delivered",COUNTIF(inventory!$R$2:$R$801,$R149)&gt;1),"two delivered rows for this office: use one; ","")&amp;IF(AND($E149="delivered",$J149=""),"who counted?; ",""))</f>
        <v/>
      </c>
      <c r="R149" s="25">
        <f>IF($C149="","",$C149&amp;"|"&amp;$D149&amp;"|"&amp;$E149)</f>
        <v/>
      </c>
    </row>
    <row r="150">
      <c r="A150" s="9" t="n"/>
      <c r="B150" s="33" t="n"/>
      <c r="I150" s="9" t="n"/>
      <c r="L150" s="26">
        <f>IF($C150="","",IFERROR(IF(INDEX(campaigns!$BG$2:$BG$51,MATCH($C150,campaigns!$A$2:$A$51,0))="","",INDEX(campaigns!$BG$2:$BG$51,MATCH($C150,campaigns!$A$2:$A$51,0))),""))</f>
        <v/>
      </c>
      <c r="M150" s="25">
        <f>IF($C150="","",IF(OR($E150="received"),N($G150),IF(OR($E150="rejected",$E150="delivered",$E150="topped_up"),-N($G150),IF(AND(OR($E150="returned_to_brand",$E150="given_to_roster_office",$E150="released_to_office",$E150="disposed"),IF($F150="","reserve",$F150)="reserve"),-N($G150),IF(AND($E150="correction",IF($F150="","reserve",$F150)="reserve"),N($G150),0)))))</f>
        <v/>
      </c>
      <c r="N150" s="25">
        <f>IF($C150="","",IF($E150="rejected",N($G150),IF(AND(OR($E150="returned_to_brand",$E150="given_to_roster_office",$E150="released_to_office",$E150="disposed"),IF($F150="","reserve",$F150)="rejected"),-N($G150),IF(AND($E150="correction",IF($F150="","reserve",$F150)="rejected"),N($G150),0))))</f>
        <v/>
      </c>
      <c r="O150" s="25">
        <f>IF($C150="","",IF($E150="collected",N($G150),IF(AND(OR($E150="returned_to_brand",$E150="given_to_roster_office",$E150="released_to_office",$E150="disposed"),IF($F150="","reserve",$F150)="leftover"),-N($G150),IF(AND($E150="correction",IF($F150="","reserve",$F150)="leftover"),N($G150),0))))</f>
        <v/>
      </c>
      <c r="P150" s="25">
        <f>IF(OR($E150&lt;&gt;"received",$I150="",$L150=""),"",IF($I150&gt;=$L150+config!$B$19,"Y","N"))</f>
        <v/>
      </c>
      <c r="Q150" s="25">
        <f>IF($C150="","",IF(COUNTIF(campaigns!$A$2:$A$51,$C150)=0,"campaign_id not on campaigns; ",IF(AND($D150&lt;&gt;"",COUNTIFS(approvals!$A$2:$A$251,$C150,approvals!$B$2:$B$251,$D150)=0),"office not on this campaign (approvals tab); ",""))&amp;IF(AND(OR($E150="delivered",$E150="topped_up",$E150="collected"),$D150=""),"office needed; ","")&amp;IF(AND($E150&lt;&gt;"correction",N($G150)&lt;=0),"qty must be above 0; ","")&amp;IF(AND($E150="received",OR($I150="",$H150="")),"log lot and best-by; ","")&amp;IF(AND($P150="N",SUMIFS(inventory!$G$2:$G$801,inventory!$C$2:$C$801,$C150,inventory!$H$2:$H$801,$H150,inventory!$E$2:$E$801,"rejected")&lt;N($G150)),"UNDER "&amp;config!$B$19&amp;" DAYS LEFT ON THE DROP DAY: reject these units; ","")&amp;IF(AND($E150="delivered",COUNTIF(inventory!$R$2:$R$801,$R150)&gt;1),"two delivered rows for this office: use one; ","")&amp;IF(AND($E150="delivered",$J150=""),"who counted?; ",""))</f>
        <v/>
      </c>
      <c r="R150" s="25">
        <f>IF($C150="","",$C150&amp;"|"&amp;$D150&amp;"|"&amp;$E150)</f>
        <v/>
      </c>
    </row>
    <row r="151">
      <c r="A151" s="9" t="n"/>
      <c r="B151" s="33" t="n"/>
      <c r="I151" s="9" t="n"/>
      <c r="L151" s="26">
        <f>IF($C151="","",IFERROR(IF(INDEX(campaigns!$BG$2:$BG$51,MATCH($C151,campaigns!$A$2:$A$51,0))="","",INDEX(campaigns!$BG$2:$BG$51,MATCH($C151,campaigns!$A$2:$A$51,0))),""))</f>
        <v/>
      </c>
      <c r="M151" s="25">
        <f>IF($C151="","",IF(OR($E151="received"),N($G151),IF(OR($E151="rejected",$E151="delivered",$E151="topped_up"),-N($G151),IF(AND(OR($E151="returned_to_brand",$E151="given_to_roster_office",$E151="released_to_office",$E151="disposed"),IF($F151="","reserve",$F151)="reserve"),-N($G151),IF(AND($E151="correction",IF($F151="","reserve",$F151)="reserve"),N($G151),0)))))</f>
        <v/>
      </c>
      <c r="N151" s="25">
        <f>IF($C151="","",IF($E151="rejected",N($G151),IF(AND(OR($E151="returned_to_brand",$E151="given_to_roster_office",$E151="released_to_office",$E151="disposed"),IF($F151="","reserve",$F151)="rejected"),-N($G151),IF(AND($E151="correction",IF($F151="","reserve",$F151)="rejected"),N($G151),0))))</f>
        <v/>
      </c>
      <c r="O151" s="25">
        <f>IF($C151="","",IF($E151="collected",N($G151),IF(AND(OR($E151="returned_to_brand",$E151="given_to_roster_office",$E151="released_to_office",$E151="disposed"),IF($F151="","reserve",$F151)="leftover"),-N($G151),IF(AND($E151="correction",IF($F151="","reserve",$F151)="leftover"),N($G151),0))))</f>
        <v/>
      </c>
      <c r="P151" s="25">
        <f>IF(OR($E151&lt;&gt;"received",$I151="",$L151=""),"",IF($I151&gt;=$L151+config!$B$19,"Y","N"))</f>
        <v/>
      </c>
      <c r="Q151" s="25">
        <f>IF($C151="","",IF(COUNTIF(campaigns!$A$2:$A$51,$C151)=0,"campaign_id not on campaigns; ",IF(AND($D151&lt;&gt;"",COUNTIFS(approvals!$A$2:$A$251,$C151,approvals!$B$2:$B$251,$D151)=0),"office not on this campaign (approvals tab); ",""))&amp;IF(AND(OR($E151="delivered",$E151="topped_up",$E151="collected"),$D151=""),"office needed; ","")&amp;IF(AND($E151&lt;&gt;"correction",N($G151)&lt;=0),"qty must be above 0; ","")&amp;IF(AND($E151="received",OR($I151="",$H151="")),"log lot and best-by; ","")&amp;IF(AND($P151="N",SUMIFS(inventory!$G$2:$G$801,inventory!$C$2:$C$801,$C151,inventory!$H$2:$H$801,$H151,inventory!$E$2:$E$801,"rejected")&lt;N($G151)),"UNDER "&amp;config!$B$19&amp;" DAYS LEFT ON THE DROP DAY: reject these units; ","")&amp;IF(AND($E151="delivered",COUNTIF(inventory!$R$2:$R$801,$R151)&gt;1),"two delivered rows for this office: use one; ","")&amp;IF(AND($E151="delivered",$J151=""),"who counted?; ",""))</f>
        <v/>
      </c>
      <c r="R151" s="25">
        <f>IF($C151="","",$C151&amp;"|"&amp;$D151&amp;"|"&amp;$E151)</f>
        <v/>
      </c>
    </row>
    <row r="152">
      <c r="A152" s="9" t="n"/>
      <c r="B152" s="33" t="n"/>
      <c r="I152" s="9" t="n"/>
      <c r="L152" s="26">
        <f>IF($C152="","",IFERROR(IF(INDEX(campaigns!$BG$2:$BG$51,MATCH($C152,campaigns!$A$2:$A$51,0))="","",INDEX(campaigns!$BG$2:$BG$51,MATCH($C152,campaigns!$A$2:$A$51,0))),""))</f>
        <v/>
      </c>
      <c r="M152" s="25">
        <f>IF($C152="","",IF(OR($E152="received"),N($G152),IF(OR($E152="rejected",$E152="delivered",$E152="topped_up"),-N($G152),IF(AND(OR($E152="returned_to_brand",$E152="given_to_roster_office",$E152="released_to_office",$E152="disposed"),IF($F152="","reserve",$F152)="reserve"),-N($G152),IF(AND($E152="correction",IF($F152="","reserve",$F152)="reserve"),N($G152),0)))))</f>
        <v/>
      </c>
      <c r="N152" s="25">
        <f>IF($C152="","",IF($E152="rejected",N($G152),IF(AND(OR($E152="returned_to_brand",$E152="given_to_roster_office",$E152="released_to_office",$E152="disposed"),IF($F152="","reserve",$F152)="rejected"),-N($G152),IF(AND($E152="correction",IF($F152="","reserve",$F152)="rejected"),N($G152),0))))</f>
        <v/>
      </c>
      <c r="O152" s="25">
        <f>IF($C152="","",IF($E152="collected",N($G152),IF(AND(OR($E152="returned_to_brand",$E152="given_to_roster_office",$E152="released_to_office",$E152="disposed"),IF($F152="","reserve",$F152)="leftover"),-N($G152),IF(AND($E152="correction",IF($F152="","reserve",$F152)="leftover"),N($G152),0))))</f>
        <v/>
      </c>
      <c r="P152" s="25">
        <f>IF(OR($E152&lt;&gt;"received",$I152="",$L152=""),"",IF($I152&gt;=$L152+config!$B$19,"Y","N"))</f>
        <v/>
      </c>
      <c r="Q152" s="25">
        <f>IF($C152="","",IF(COUNTIF(campaigns!$A$2:$A$51,$C152)=0,"campaign_id not on campaigns; ",IF(AND($D152&lt;&gt;"",COUNTIFS(approvals!$A$2:$A$251,$C152,approvals!$B$2:$B$251,$D152)=0),"office not on this campaign (approvals tab); ",""))&amp;IF(AND(OR($E152="delivered",$E152="topped_up",$E152="collected"),$D152=""),"office needed; ","")&amp;IF(AND($E152&lt;&gt;"correction",N($G152)&lt;=0),"qty must be above 0; ","")&amp;IF(AND($E152="received",OR($I152="",$H152="")),"log lot and best-by; ","")&amp;IF(AND($P152="N",SUMIFS(inventory!$G$2:$G$801,inventory!$C$2:$C$801,$C152,inventory!$H$2:$H$801,$H152,inventory!$E$2:$E$801,"rejected")&lt;N($G152)),"UNDER "&amp;config!$B$19&amp;" DAYS LEFT ON THE DROP DAY: reject these units; ","")&amp;IF(AND($E152="delivered",COUNTIF(inventory!$R$2:$R$801,$R152)&gt;1),"two delivered rows for this office: use one; ","")&amp;IF(AND($E152="delivered",$J152=""),"who counted?; ",""))</f>
        <v/>
      </c>
      <c r="R152" s="25">
        <f>IF($C152="","",$C152&amp;"|"&amp;$D152&amp;"|"&amp;$E152)</f>
        <v/>
      </c>
    </row>
    <row r="153">
      <c r="A153" s="9" t="n"/>
      <c r="B153" s="33" t="n"/>
      <c r="I153" s="9" t="n"/>
      <c r="L153" s="26">
        <f>IF($C153="","",IFERROR(IF(INDEX(campaigns!$BG$2:$BG$51,MATCH($C153,campaigns!$A$2:$A$51,0))="","",INDEX(campaigns!$BG$2:$BG$51,MATCH($C153,campaigns!$A$2:$A$51,0))),""))</f>
        <v/>
      </c>
      <c r="M153" s="25">
        <f>IF($C153="","",IF(OR($E153="received"),N($G153),IF(OR($E153="rejected",$E153="delivered",$E153="topped_up"),-N($G153),IF(AND(OR($E153="returned_to_brand",$E153="given_to_roster_office",$E153="released_to_office",$E153="disposed"),IF($F153="","reserve",$F153)="reserve"),-N($G153),IF(AND($E153="correction",IF($F153="","reserve",$F153)="reserve"),N($G153),0)))))</f>
        <v/>
      </c>
      <c r="N153" s="25">
        <f>IF($C153="","",IF($E153="rejected",N($G153),IF(AND(OR($E153="returned_to_brand",$E153="given_to_roster_office",$E153="released_to_office",$E153="disposed"),IF($F153="","reserve",$F153)="rejected"),-N($G153),IF(AND($E153="correction",IF($F153="","reserve",$F153)="rejected"),N($G153),0))))</f>
        <v/>
      </c>
      <c r="O153" s="25">
        <f>IF($C153="","",IF($E153="collected",N($G153),IF(AND(OR($E153="returned_to_brand",$E153="given_to_roster_office",$E153="released_to_office",$E153="disposed"),IF($F153="","reserve",$F153)="leftover"),-N($G153),IF(AND($E153="correction",IF($F153="","reserve",$F153)="leftover"),N($G153),0))))</f>
        <v/>
      </c>
      <c r="P153" s="25">
        <f>IF(OR($E153&lt;&gt;"received",$I153="",$L153=""),"",IF($I153&gt;=$L153+config!$B$19,"Y","N"))</f>
        <v/>
      </c>
      <c r="Q153" s="25">
        <f>IF($C153="","",IF(COUNTIF(campaigns!$A$2:$A$51,$C153)=0,"campaign_id not on campaigns; ",IF(AND($D153&lt;&gt;"",COUNTIFS(approvals!$A$2:$A$251,$C153,approvals!$B$2:$B$251,$D153)=0),"office not on this campaign (approvals tab); ",""))&amp;IF(AND(OR($E153="delivered",$E153="topped_up",$E153="collected"),$D153=""),"office needed; ","")&amp;IF(AND($E153&lt;&gt;"correction",N($G153)&lt;=0),"qty must be above 0; ","")&amp;IF(AND($E153="received",OR($I153="",$H153="")),"log lot and best-by; ","")&amp;IF(AND($P153="N",SUMIFS(inventory!$G$2:$G$801,inventory!$C$2:$C$801,$C153,inventory!$H$2:$H$801,$H153,inventory!$E$2:$E$801,"rejected")&lt;N($G153)),"UNDER "&amp;config!$B$19&amp;" DAYS LEFT ON THE DROP DAY: reject these units; ","")&amp;IF(AND($E153="delivered",COUNTIF(inventory!$R$2:$R$801,$R153)&gt;1),"two delivered rows for this office: use one; ","")&amp;IF(AND($E153="delivered",$J153=""),"who counted?; ",""))</f>
        <v/>
      </c>
      <c r="R153" s="25">
        <f>IF($C153="","",$C153&amp;"|"&amp;$D153&amp;"|"&amp;$E153)</f>
        <v/>
      </c>
    </row>
    <row r="154">
      <c r="A154" s="9" t="n"/>
      <c r="B154" s="33" t="n"/>
      <c r="I154" s="9" t="n"/>
      <c r="L154" s="26">
        <f>IF($C154="","",IFERROR(IF(INDEX(campaigns!$BG$2:$BG$51,MATCH($C154,campaigns!$A$2:$A$51,0))="","",INDEX(campaigns!$BG$2:$BG$51,MATCH($C154,campaigns!$A$2:$A$51,0))),""))</f>
        <v/>
      </c>
      <c r="M154" s="25">
        <f>IF($C154="","",IF(OR($E154="received"),N($G154),IF(OR($E154="rejected",$E154="delivered",$E154="topped_up"),-N($G154),IF(AND(OR($E154="returned_to_brand",$E154="given_to_roster_office",$E154="released_to_office",$E154="disposed"),IF($F154="","reserve",$F154)="reserve"),-N($G154),IF(AND($E154="correction",IF($F154="","reserve",$F154)="reserve"),N($G154),0)))))</f>
        <v/>
      </c>
      <c r="N154" s="25">
        <f>IF($C154="","",IF($E154="rejected",N($G154),IF(AND(OR($E154="returned_to_brand",$E154="given_to_roster_office",$E154="released_to_office",$E154="disposed"),IF($F154="","reserve",$F154)="rejected"),-N($G154),IF(AND($E154="correction",IF($F154="","reserve",$F154)="rejected"),N($G154),0))))</f>
        <v/>
      </c>
      <c r="O154" s="25">
        <f>IF($C154="","",IF($E154="collected",N($G154),IF(AND(OR($E154="returned_to_brand",$E154="given_to_roster_office",$E154="released_to_office",$E154="disposed"),IF($F154="","reserve",$F154)="leftover"),-N($G154),IF(AND($E154="correction",IF($F154="","reserve",$F154)="leftover"),N($G154),0))))</f>
        <v/>
      </c>
      <c r="P154" s="25">
        <f>IF(OR($E154&lt;&gt;"received",$I154="",$L154=""),"",IF($I154&gt;=$L154+config!$B$19,"Y","N"))</f>
        <v/>
      </c>
      <c r="Q154" s="25">
        <f>IF($C154="","",IF(COUNTIF(campaigns!$A$2:$A$51,$C154)=0,"campaign_id not on campaigns; ",IF(AND($D154&lt;&gt;"",COUNTIFS(approvals!$A$2:$A$251,$C154,approvals!$B$2:$B$251,$D154)=0),"office not on this campaign (approvals tab); ",""))&amp;IF(AND(OR($E154="delivered",$E154="topped_up",$E154="collected"),$D154=""),"office needed; ","")&amp;IF(AND($E154&lt;&gt;"correction",N($G154)&lt;=0),"qty must be above 0; ","")&amp;IF(AND($E154="received",OR($I154="",$H154="")),"log lot and best-by; ","")&amp;IF(AND($P154="N",SUMIFS(inventory!$G$2:$G$801,inventory!$C$2:$C$801,$C154,inventory!$H$2:$H$801,$H154,inventory!$E$2:$E$801,"rejected")&lt;N($G154)),"UNDER "&amp;config!$B$19&amp;" DAYS LEFT ON THE DROP DAY: reject these units; ","")&amp;IF(AND($E154="delivered",COUNTIF(inventory!$R$2:$R$801,$R154)&gt;1),"two delivered rows for this office: use one; ","")&amp;IF(AND($E154="delivered",$J154=""),"who counted?; ",""))</f>
        <v/>
      </c>
      <c r="R154" s="25">
        <f>IF($C154="","",$C154&amp;"|"&amp;$D154&amp;"|"&amp;$E154)</f>
        <v/>
      </c>
    </row>
    <row r="155">
      <c r="A155" s="9" t="n"/>
      <c r="B155" s="33" t="n"/>
      <c r="I155" s="9" t="n"/>
      <c r="L155" s="26">
        <f>IF($C155="","",IFERROR(IF(INDEX(campaigns!$BG$2:$BG$51,MATCH($C155,campaigns!$A$2:$A$51,0))="","",INDEX(campaigns!$BG$2:$BG$51,MATCH($C155,campaigns!$A$2:$A$51,0))),""))</f>
        <v/>
      </c>
      <c r="M155" s="25">
        <f>IF($C155="","",IF(OR($E155="received"),N($G155),IF(OR($E155="rejected",$E155="delivered",$E155="topped_up"),-N($G155),IF(AND(OR($E155="returned_to_brand",$E155="given_to_roster_office",$E155="released_to_office",$E155="disposed"),IF($F155="","reserve",$F155)="reserve"),-N($G155),IF(AND($E155="correction",IF($F155="","reserve",$F155)="reserve"),N($G155),0)))))</f>
        <v/>
      </c>
      <c r="N155" s="25">
        <f>IF($C155="","",IF($E155="rejected",N($G155),IF(AND(OR($E155="returned_to_brand",$E155="given_to_roster_office",$E155="released_to_office",$E155="disposed"),IF($F155="","reserve",$F155)="rejected"),-N($G155),IF(AND($E155="correction",IF($F155="","reserve",$F155)="rejected"),N($G155),0))))</f>
        <v/>
      </c>
      <c r="O155" s="25">
        <f>IF($C155="","",IF($E155="collected",N($G155),IF(AND(OR($E155="returned_to_brand",$E155="given_to_roster_office",$E155="released_to_office",$E155="disposed"),IF($F155="","reserve",$F155)="leftover"),-N($G155),IF(AND($E155="correction",IF($F155="","reserve",$F155)="leftover"),N($G155),0))))</f>
        <v/>
      </c>
      <c r="P155" s="25">
        <f>IF(OR($E155&lt;&gt;"received",$I155="",$L155=""),"",IF($I155&gt;=$L155+config!$B$19,"Y","N"))</f>
        <v/>
      </c>
      <c r="Q155" s="25">
        <f>IF($C155="","",IF(COUNTIF(campaigns!$A$2:$A$51,$C155)=0,"campaign_id not on campaigns; ",IF(AND($D155&lt;&gt;"",COUNTIFS(approvals!$A$2:$A$251,$C155,approvals!$B$2:$B$251,$D155)=0),"office not on this campaign (approvals tab); ",""))&amp;IF(AND(OR($E155="delivered",$E155="topped_up",$E155="collected"),$D155=""),"office needed; ","")&amp;IF(AND($E155&lt;&gt;"correction",N($G155)&lt;=0),"qty must be above 0; ","")&amp;IF(AND($E155="received",OR($I155="",$H155="")),"log lot and best-by; ","")&amp;IF(AND($P155="N",SUMIFS(inventory!$G$2:$G$801,inventory!$C$2:$C$801,$C155,inventory!$H$2:$H$801,$H155,inventory!$E$2:$E$801,"rejected")&lt;N($G155)),"UNDER "&amp;config!$B$19&amp;" DAYS LEFT ON THE DROP DAY: reject these units; ","")&amp;IF(AND($E155="delivered",COUNTIF(inventory!$R$2:$R$801,$R155)&gt;1),"two delivered rows for this office: use one; ","")&amp;IF(AND($E155="delivered",$J155=""),"who counted?; ",""))</f>
        <v/>
      </c>
      <c r="R155" s="25">
        <f>IF($C155="","",$C155&amp;"|"&amp;$D155&amp;"|"&amp;$E155)</f>
        <v/>
      </c>
    </row>
    <row r="156">
      <c r="A156" s="9" t="n"/>
      <c r="B156" s="33" t="n"/>
      <c r="I156" s="9" t="n"/>
      <c r="L156" s="26">
        <f>IF($C156="","",IFERROR(IF(INDEX(campaigns!$BG$2:$BG$51,MATCH($C156,campaigns!$A$2:$A$51,0))="","",INDEX(campaigns!$BG$2:$BG$51,MATCH($C156,campaigns!$A$2:$A$51,0))),""))</f>
        <v/>
      </c>
      <c r="M156" s="25">
        <f>IF($C156="","",IF(OR($E156="received"),N($G156),IF(OR($E156="rejected",$E156="delivered",$E156="topped_up"),-N($G156),IF(AND(OR($E156="returned_to_brand",$E156="given_to_roster_office",$E156="released_to_office",$E156="disposed"),IF($F156="","reserve",$F156)="reserve"),-N($G156),IF(AND($E156="correction",IF($F156="","reserve",$F156)="reserve"),N($G156),0)))))</f>
        <v/>
      </c>
      <c r="N156" s="25">
        <f>IF($C156="","",IF($E156="rejected",N($G156),IF(AND(OR($E156="returned_to_brand",$E156="given_to_roster_office",$E156="released_to_office",$E156="disposed"),IF($F156="","reserve",$F156)="rejected"),-N($G156),IF(AND($E156="correction",IF($F156="","reserve",$F156)="rejected"),N($G156),0))))</f>
        <v/>
      </c>
      <c r="O156" s="25">
        <f>IF($C156="","",IF($E156="collected",N($G156),IF(AND(OR($E156="returned_to_brand",$E156="given_to_roster_office",$E156="released_to_office",$E156="disposed"),IF($F156="","reserve",$F156)="leftover"),-N($G156),IF(AND($E156="correction",IF($F156="","reserve",$F156)="leftover"),N($G156),0))))</f>
        <v/>
      </c>
      <c r="P156" s="25">
        <f>IF(OR($E156&lt;&gt;"received",$I156="",$L156=""),"",IF($I156&gt;=$L156+config!$B$19,"Y","N"))</f>
        <v/>
      </c>
      <c r="Q156" s="25">
        <f>IF($C156="","",IF(COUNTIF(campaigns!$A$2:$A$51,$C156)=0,"campaign_id not on campaigns; ",IF(AND($D156&lt;&gt;"",COUNTIFS(approvals!$A$2:$A$251,$C156,approvals!$B$2:$B$251,$D156)=0),"office not on this campaign (approvals tab); ",""))&amp;IF(AND(OR($E156="delivered",$E156="topped_up",$E156="collected"),$D156=""),"office needed; ","")&amp;IF(AND($E156&lt;&gt;"correction",N($G156)&lt;=0),"qty must be above 0; ","")&amp;IF(AND($E156="received",OR($I156="",$H156="")),"log lot and best-by; ","")&amp;IF(AND($P156="N",SUMIFS(inventory!$G$2:$G$801,inventory!$C$2:$C$801,$C156,inventory!$H$2:$H$801,$H156,inventory!$E$2:$E$801,"rejected")&lt;N($G156)),"UNDER "&amp;config!$B$19&amp;" DAYS LEFT ON THE DROP DAY: reject these units; ","")&amp;IF(AND($E156="delivered",COUNTIF(inventory!$R$2:$R$801,$R156)&gt;1),"two delivered rows for this office: use one; ","")&amp;IF(AND($E156="delivered",$J156=""),"who counted?; ",""))</f>
        <v/>
      </c>
      <c r="R156" s="25">
        <f>IF($C156="","",$C156&amp;"|"&amp;$D156&amp;"|"&amp;$E156)</f>
        <v/>
      </c>
    </row>
    <row r="157">
      <c r="A157" s="9" t="n"/>
      <c r="B157" s="33" t="n"/>
      <c r="I157" s="9" t="n"/>
      <c r="L157" s="26">
        <f>IF($C157="","",IFERROR(IF(INDEX(campaigns!$BG$2:$BG$51,MATCH($C157,campaigns!$A$2:$A$51,0))="","",INDEX(campaigns!$BG$2:$BG$51,MATCH($C157,campaigns!$A$2:$A$51,0))),""))</f>
        <v/>
      </c>
      <c r="M157" s="25">
        <f>IF($C157="","",IF(OR($E157="received"),N($G157),IF(OR($E157="rejected",$E157="delivered",$E157="topped_up"),-N($G157),IF(AND(OR($E157="returned_to_brand",$E157="given_to_roster_office",$E157="released_to_office",$E157="disposed"),IF($F157="","reserve",$F157)="reserve"),-N($G157),IF(AND($E157="correction",IF($F157="","reserve",$F157)="reserve"),N($G157),0)))))</f>
        <v/>
      </c>
      <c r="N157" s="25">
        <f>IF($C157="","",IF($E157="rejected",N($G157),IF(AND(OR($E157="returned_to_brand",$E157="given_to_roster_office",$E157="released_to_office",$E157="disposed"),IF($F157="","reserve",$F157)="rejected"),-N($G157),IF(AND($E157="correction",IF($F157="","reserve",$F157)="rejected"),N($G157),0))))</f>
        <v/>
      </c>
      <c r="O157" s="25">
        <f>IF($C157="","",IF($E157="collected",N($G157),IF(AND(OR($E157="returned_to_brand",$E157="given_to_roster_office",$E157="released_to_office",$E157="disposed"),IF($F157="","reserve",$F157)="leftover"),-N($G157),IF(AND($E157="correction",IF($F157="","reserve",$F157)="leftover"),N($G157),0))))</f>
        <v/>
      </c>
      <c r="P157" s="25">
        <f>IF(OR($E157&lt;&gt;"received",$I157="",$L157=""),"",IF($I157&gt;=$L157+config!$B$19,"Y","N"))</f>
        <v/>
      </c>
      <c r="Q157" s="25">
        <f>IF($C157="","",IF(COUNTIF(campaigns!$A$2:$A$51,$C157)=0,"campaign_id not on campaigns; ",IF(AND($D157&lt;&gt;"",COUNTIFS(approvals!$A$2:$A$251,$C157,approvals!$B$2:$B$251,$D157)=0),"office not on this campaign (approvals tab); ",""))&amp;IF(AND(OR($E157="delivered",$E157="topped_up",$E157="collected"),$D157=""),"office needed; ","")&amp;IF(AND($E157&lt;&gt;"correction",N($G157)&lt;=0),"qty must be above 0; ","")&amp;IF(AND($E157="received",OR($I157="",$H157="")),"log lot and best-by; ","")&amp;IF(AND($P157="N",SUMIFS(inventory!$G$2:$G$801,inventory!$C$2:$C$801,$C157,inventory!$H$2:$H$801,$H157,inventory!$E$2:$E$801,"rejected")&lt;N($G157)),"UNDER "&amp;config!$B$19&amp;" DAYS LEFT ON THE DROP DAY: reject these units; ","")&amp;IF(AND($E157="delivered",COUNTIF(inventory!$R$2:$R$801,$R157)&gt;1),"two delivered rows for this office: use one; ","")&amp;IF(AND($E157="delivered",$J157=""),"who counted?; ",""))</f>
        <v/>
      </c>
      <c r="R157" s="25">
        <f>IF($C157="","",$C157&amp;"|"&amp;$D157&amp;"|"&amp;$E157)</f>
        <v/>
      </c>
    </row>
    <row r="158">
      <c r="A158" s="9" t="n"/>
      <c r="B158" s="33" t="n"/>
      <c r="I158" s="9" t="n"/>
      <c r="L158" s="26">
        <f>IF($C158="","",IFERROR(IF(INDEX(campaigns!$BG$2:$BG$51,MATCH($C158,campaigns!$A$2:$A$51,0))="","",INDEX(campaigns!$BG$2:$BG$51,MATCH($C158,campaigns!$A$2:$A$51,0))),""))</f>
        <v/>
      </c>
      <c r="M158" s="25">
        <f>IF($C158="","",IF(OR($E158="received"),N($G158),IF(OR($E158="rejected",$E158="delivered",$E158="topped_up"),-N($G158),IF(AND(OR($E158="returned_to_brand",$E158="given_to_roster_office",$E158="released_to_office",$E158="disposed"),IF($F158="","reserve",$F158)="reserve"),-N($G158),IF(AND($E158="correction",IF($F158="","reserve",$F158)="reserve"),N($G158),0)))))</f>
        <v/>
      </c>
      <c r="N158" s="25">
        <f>IF($C158="","",IF($E158="rejected",N($G158),IF(AND(OR($E158="returned_to_brand",$E158="given_to_roster_office",$E158="released_to_office",$E158="disposed"),IF($F158="","reserve",$F158)="rejected"),-N($G158),IF(AND($E158="correction",IF($F158="","reserve",$F158)="rejected"),N($G158),0))))</f>
        <v/>
      </c>
      <c r="O158" s="25">
        <f>IF($C158="","",IF($E158="collected",N($G158),IF(AND(OR($E158="returned_to_brand",$E158="given_to_roster_office",$E158="released_to_office",$E158="disposed"),IF($F158="","reserve",$F158)="leftover"),-N($G158),IF(AND($E158="correction",IF($F158="","reserve",$F158)="leftover"),N($G158),0))))</f>
        <v/>
      </c>
      <c r="P158" s="25">
        <f>IF(OR($E158&lt;&gt;"received",$I158="",$L158=""),"",IF($I158&gt;=$L158+config!$B$19,"Y","N"))</f>
        <v/>
      </c>
      <c r="Q158" s="25">
        <f>IF($C158="","",IF(COUNTIF(campaigns!$A$2:$A$51,$C158)=0,"campaign_id not on campaigns; ",IF(AND($D158&lt;&gt;"",COUNTIFS(approvals!$A$2:$A$251,$C158,approvals!$B$2:$B$251,$D158)=0),"office not on this campaign (approvals tab); ",""))&amp;IF(AND(OR($E158="delivered",$E158="topped_up",$E158="collected"),$D158=""),"office needed; ","")&amp;IF(AND($E158&lt;&gt;"correction",N($G158)&lt;=0),"qty must be above 0; ","")&amp;IF(AND($E158="received",OR($I158="",$H158="")),"log lot and best-by; ","")&amp;IF(AND($P158="N",SUMIFS(inventory!$G$2:$G$801,inventory!$C$2:$C$801,$C158,inventory!$H$2:$H$801,$H158,inventory!$E$2:$E$801,"rejected")&lt;N($G158)),"UNDER "&amp;config!$B$19&amp;" DAYS LEFT ON THE DROP DAY: reject these units; ","")&amp;IF(AND($E158="delivered",COUNTIF(inventory!$R$2:$R$801,$R158)&gt;1),"two delivered rows for this office: use one; ","")&amp;IF(AND($E158="delivered",$J158=""),"who counted?; ",""))</f>
        <v/>
      </c>
      <c r="R158" s="25">
        <f>IF($C158="","",$C158&amp;"|"&amp;$D158&amp;"|"&amp;$E158)</f>
        <v/>
      </c>
    </row>
    <row r="159">
      <c r="A159" s="9" t="n"/>
      <c r="B159" s="33" t="n"/>
      <c r="I159" s="9" t="n"/>
      <c r="L159" s="26">
        <f>IF($C159="","",IFERROR(IF(INDEX(campaigns!$BG$2:$BG$51,MATCH($C159,campaigns!$A$2:$A$51,0))="","",INDEX(campaigns!$BG$2:$BG$51,MATCH($C159,campaigns!$A$2:$A$51,0))),""))</f>
        <v/>
      </c>
      <c r="M159" s="25">
        <f>IF($C159="","",IF(OR($E159="received"),N($G159),IF(OR($E159="rejected",$E159="delivered",$E159="topped_up"),-N($G159),IF(AND(OR($E159="returned_to_brand",$E159="given_to_roster_office",$E159="released_to_office",$E159="disposed"),IF($F159="","reserve",$F159)="reserve"),-N($G159),IF(AND($E159="correction",IF($F159="","reserve",$F159)="reserve"),N($G159),0)))))</f>
        <v/>
      </c>
      <c r="N159" s="25">
        <f>IF($C159="","",IF($E159="rejected",N($G159),IF(AND(OR($E159="returned_to_brand",$E159="given_to_roster_office",$E159="released_to_office",$E159="disposed"),IF($F159="","reserve",$F159)="rejected"),-N($G159),IF(AND($E159="correction",IF($F159="","reserve",$F159)="rejected"),N($G159),0))))</f>
        <v/>
      </c>
      <c r="O159" s="25">
        <f>IF($C159="","",IF($E159="collected",N($G159),IF(AND(OR($E159="returned_to_brand",$E159="given_to_roster_office",$E159="released_to_office",$E159="disposed"),IF($F159="","reserve",$F159)="leftover"),-N($G159),IF(AND($E159="correction",IF($F159="","reserve",$F159)="leftover"),N($G159),0))))</f>
        <v/>
      </c>
      <c r="P159" s="25">
        <f>IF(OR($E159&lt;&gt;"received",$I159="",$L159=""),"",IF($I159&gt;=$L159+config!$B$19,"Y","N"))</f>
        <v/>
      </c>
      <c r="Q159" s="25">
        <f>IF($C159="","",IF(COUNTIF(campaigns!$A$2:$A$51,$C159)=0,"campaign_id not on campaigns; ",IF(AND($D159&lt;&gt;"",COUNTIFS(approvals!$A$2:$A$251,$C159,approvals!$B$2:$B$251,$D159)=0),"office not on this campaign (approvals tab); ",""))&amp;IF(AND(OR($E159="delivered",$E159="topped_up",$E159="collected"),$D159=""),"office needed; ","")&amp;IF(AND($E159&lt;&gt;"correction",N($G159)&lt;=0),"qty must be above 0; ","")&amp;IF(AND($E159="received",OR($I159="",$H159="")),"log lot and best-by; ","")&amp;IF(AND($P159="N",SUMIFS(inventory!$G$2:$G$801,inventory!$C$2:$C$801,$C159,inventory!$H$2:$H$801,$H159,inventory!$E$2:$E$801,"rejected")&lt;N($G159)),"UNDER "&amp;config!$B$19&amp;" DAYS LEFT ON THE DROP DAY: reject these units; ","")&amp;IF(AND($E159="delivered",COUNTIF(inventory!$R$2:$R$801,$R159)&gt;1),"two delivered rows for this office: use one; ","")&amp;IF(AND($E159="delivered",$J159=""),"who counted?; ",""))</f>
        <v/>
      </c>
      <c r="R159" s="25">
        <f>IF($C159="","",$C159&amp;"|"&amp;$D159&amp;"|"&amp;$E159)</f>
        <v/>
      </c>
    </row>
    <row r="160">
      <c r="A160" s="9" t="n"/>
      <c r="B160" s="33" t="n"/>
      <c r="I160" s="9" t="n"/>
      <c r="L160" s="26">
        <f>IF($C160="","",IFERROR(IF(INDEX(campaigns!$BG$2:$BG$51,MATCH($C160,campaigns!$A$2:$A$51,0))="","",INDEX(campaigns!$BG$2:$BG$51,MATCH($C160,campaigns!$A$2:$A$51,0))),""))</f>
        <v/>
      </c>
      <c r="M160" s="25">
        <f>IF($C160="","",IF(OR($E160="received"),N($G160),IF(OR($E160="rejected",$E160="delivered",$E160="topped_up"),-N($G160),IF(AND(OR($E160="returned_to_brand",$E160="given_to_roster_office",$E160="released_to_office",$E160="disposed"),IF($F160="","reserve",$F160)="reserve"),-N($G160),IF(AND($E160="correction",IF($F160="","reserve",$F160)="reserve"),N($G160),0)))))</f>
        <v/>
      </c>
      <c r="N160" s="25">
        <f>IF($C160="","",IF($E160="rejected",N($G160),IF(AND(OR($E160="returned_to_brand",$E160="given_to_roster_office",$E160="released_to_office",$E160="disposed"),IF($F160="","reserve",$F160)="rejected"),-N($G160),IF(AND($E160="correction",IF($F160="","reserve",$F160)="rejected"),N($G160),0))))</f>
        <v/>
      </c>
      <c r="O160" s="25">
        <f>IF($C160="","",IF($E160="collected",N($G160),IF(AND(OR($E160="returned_to_brand",$E160="given_to_roster_office",$E160="released_to_office",$E160="disposed"),IF($F160="","reserve",$F160)="leftover"),-N($G160),IF(AND($E160="correction",IF($F160="","reserve",$F160)="leftover"),N($G160),0))))</f>
        <v/>
      </c>
      <c r="P160" s="25">
        <f>IF(OR($E160&lt;&gt;"received",$I160="",$L160=""),"",IF($I160&gt;=$L160+config!$B$19,"Y","N"))</f>
        <v/>
      </c>
      <c r="Q160" s="25">
        <f>IF($C160="","",IF(COUNTIF(campaigns!$A$2:$A$51,$C160)=0,"campaign_id not on campaigns; ",IF(AND($D160&lt;&gt;"",COUNTIFS(approvals!$A$2:$A$251,$C160,approvals!$B$2:$B$251,$D160)=0),"office not on this campaign (approvals tab); ",""))&amp;IF(AND(OR($E160="delivered",$E160="topped_up",$E160="collected"),$D160=""),"office needed; ","")&amp;IF(AND($E160&lt;&gt;"correction",N($G160)&lt;=0),"qty must be above 0; ","")&amp;IF(AND($E160="received",OR($I160="",$H160="")),"log lot and best-by; ","")&amp;IF(AND($P160="N",SUMIFS(inventory!$G$2:$G$801,inventory!$C$2:$C$801,$C160,inventory!$H$2:$H$801,$H160,inventory!$E$2:$E$801,"rejected")&lt;N($G160)),"UNDER "&amp;config!$B$19&amp;" DAYS LEFT ON THE DROP DAY: reject these units; ","")&amp;IF(AND($E160="delivered",COUNTIF(inventory!$R$2:$R$801,$R160)&gt;1),"two delivered rows for this office: use one; ","")&amp;IF(AND($E160="delivered",$J160=""),"who counted?; ",""))</f>
        <v/>
      </c>
      <c r="R160" s="25">
        <f>IF($C160="","",$C160&amp;"|"&amp;$D160&amp;"|"&amp;$E160)</f>
        <v/>
      </c>
    </row>
    <row r="161">
      <c r="A161" s="9" t="n"/>
      <c r="B161" s="33" t="n"/>
      <c r="I161" s="9" t="n"/>
      <c r="L161" s="26">
        <f>IF($C161="","",IFERROR(IF(INDEX(campaigns!$BG$2:$BG$51,MATCH($C161,campaigns!$A$2:$A$51,0))="","",INDEX(campaigns!$BG$2:$BG$51,MATCH($C161,campaigns!$A$2:$A$51,0))),""))</f>
        <v/>
      </c>
      <c r="M161" s="25">
        <f>IF($C161="","",IF(OR($E161="received"),N($G161),IF(OR($E161="rejected",$E161="delivered",$E161="topped_up"),-N($G161),IF(AND(OR($E161="returned_to_brand",$E161="given_to_roster_office",$E161="released_to_office",$E161="disposed"),IF($F161="","reserve",$F161)="reserve"),-N($G161),IF(AND($E161="correction",IF($F161="","reserve",$F161)="reserve"),N($G161),0)))))</f>
        <v/>
      </c>
      <c r="N161" s="25">
        <f>IF($C161="","",IF($E161="rejected",N($G161),IF(AND(OR($E161="returned_to_brand",$E161="given_to_roster_office",$E161="released_to_office",$E161="disposed"),IF($F161="","reserve",$F161)="rejected"),-N($G161),IF(AND($E161="correction",IF($F161="","reserve",$F161)="rejected"),N($G161),0))))</f>
        <v/>
      </c>
      <c r="O161" s="25">
        <f>IF($C161="","",IF($E161="collected",N($G161),IF(AND(OR($E161="returned_to_brand",$E161="given_to_roster_office",$E161="released_to_office",$E161="disposed"),IF($F161="","reserve",$F161)="leftover"),-N($G161),IF(AND($E161="correction",IF($F161="","reserve",$F161)="leftover"),N($G161),0))))</f>
        <v/>
      </c>
      <c r="P161" s="25">
        <f>IF(OR($E161&lt;&gt;"received",$I161="",$L161=""),"",IF($I161&gt;=$L161+config!$B$19,"Y","N"))</f>
        <v/>
      </c>
      <c r="Q161" s="25">
        <f>IF($C161="","",IF(COUNTIF(campaigns!$A$2:$A$51,$C161)=0,"campaign_id not on campaigns; ",IF(AND($D161&lt;&gt;"",COUNTIFS(approvals!$A$2:$A$251,$C161,approvals!$B$2:$B$251,$D161)=0),"office not on this campaign (approvals tab); ",""))&amp;IF(AND(OR($E161="delivered",$E161="topped_up",$E161="collected"),$D161=""),"office needed; ","")&amp;IF(AND($E161&lt;&gt;"correction",N($G161)&lt;=0),"qty must be above 0; ","")&amp;IF(AND($E161="received",OR($I161="",$H161="")),"log lot and best-by; ","")&amp;IF(AND($P161="N",SUMIFS(inventory!$G$2:$G$801,inventory!$C$2:$C$801,$C161,inventory!$H$2:$H$801,$H161,inventory!$E$2:$E$801,"rejected")&lt;N($G161)),"UNDER "&amp;config!$B$19&amp;" DAYS LEFT ON THE DROP DAY: reject these units; ","")&amp;IF(AND($E161="delivered",COUNTIF(inventory!$R$2:$R$801,$R161)&gt;1),"two delivered rows for this office: use one; ","")&amp;IF(AND($E161="delivered",$J161=""),"who counted?; ",""))</f>
        <v/>
      </c>
      <c r="R161" s="25">
        <f>IF($C161="","",$C161&amp;"|"&amp;$D161&amp;"|"&amp;$E161)</f>
        <v/>
      </c>
    </row>
    <row r="162">
      <c r="A162" s="9" t="n"/>
      <c r="B162" s="33" t="n"/>
      <c r="I162" s="9" t="n"/>
      <c r="L162" s="26">
        <f>IF($C162="","",IFERROR(IF(INDEX(campaigns!$BG$2:$BG$51,MATCH($C162,campaigns!$A$2:$A$51,0))="","",INDEX(campaigns!$BG$2:$BG$51,MATCH($C162,campaigns!$A$2:$A$51,0))),""))</f>
        <v/>
      </c>
      <c r="M162" s="25">
        <f>IF($C162="","",IF(OR($E162="received"),N($G162),IF(OR($E162="rejected",$E162="delivered",$E162="topped_up"),-N($G162),IF(AND(OR($E162="returned_to_brand",$E162="given_to_roster_office",$E162="released_to_office",$E162="disposed"),IF($F162="","reserve",$F162)="reserve"),-N($G162),IF(AND($E162="correction",IF($F162="","reserve",$F162)="reserve"),N($G162),0)))))</f>
        <v/>
      </c>
      <c r="N162" s="25">
        <f>IF($C162="","",IF($E162="rejected",N($G162),IF(AND(OR($E162="returned_to_brand",$E162="given_to_roster_office",$E162="released_to_office",$E162="disposed"),IF($F162="","reserve",$F162)="rejected"),-N($G162),IF(AND($E162="correction",IF($F162="","reserve",$F162)="rejected"),N($G162),0))))</f>
        <v/>
      </c>
      <c r="O162" s="25">
        <f>IF($C162="","",IF($E162="collected",N($G162),IF(AND(OR($E162="returned_to_brand",$E162="given_to_roster_office",$E162="released_to_office",$E162="disposed"),IF($F162="","reserve",$F162)="leftover"),-N($G162),IF(AND($E162="correction",IF($F162="","reserve",$F162)="leftover"),N($G162),0))))</f>
        <v/>
      </c>
      <c r="P162" s="25">
        <f>IF(OR($E162&lt;&gt;"received",$I162="",$L162=""),"",IF($I162&gt;=$L162+config!$B$19,"Y","N"))</f>
        <v/>
      </c>
      <c r="Q162" s="25">
        <f>IF($C162="","",IF(COUNTIF(campaigns!$A$2:$A$51,$C162)=0,"campaign_id not on campaigns; ",IF(AND($D162&lt;&gt;"",COUNTIFS(approvals!$A$2:$A$251,$C162,approvals!$B$2:$B$251,$D162)=0),"office not on this campaign (approvals tab); ",""))&amp;IF(AND(OR($E162="delivered",$E162="topped_up",$E162="collected"),$D162=""),"office needed; ","")&amp;IF(AND($E162&lt;&gt;"correction",N($G162)&lt;=0),"qty must be above 0; ","")&amp;IF(AND($E162="received",OR($I162="",$H162="")),"log lot and best-by; ","")&amp;IF(AND($P162="N",SUMIFS(inventory!$G$2:$G$801,inventory!$C$2:$C$801,$C162,inventory!$H$2:$H$801,$H162,inventory!$E$2:$E$801,"rejected")&lt;N($G162)),"UNDER "&amp;config!$B$19&amp;" DAYS LEFT ON THE DROP DAY: reject these units; ","")&amp;IF(AND($E162="delivered",COUNTIF(inventory!$R$2:$R$801,$R162)&gt;1),"two delivered rows for this office: use one; ","")&amp;IF(AND($E162="delivered",$J162=""),"who counted?; ",""))</f>
        <v/>
      </c>
      <c r="R162" s="25">
        <f>IF($C162="","",$C162&amp;"|"&amp;$D162&amp;"|"&amp;$E162)</f>
        <v/>
      </c>
    </row>
    <row r="163">
      <c r="A163" s="9" t="n"/>
      <c r="B163" s="33" t="n"/>
      <c r="I163" s="9" t="n"/>
      <c r="L163" s="26">
        <f>IF($C163="","",IFERROR(IF(INDEX(campaigns!$BG$2:$BG$51,MATCH($C163,campaigns!$A$2:$A$51,0))="","",INDEX(campaigns!$BG$2:$BG$51,MATCH($C163,campaigns!$A$2:$A$51,0))),""))</f>
        <v/>
      </c>
      <c r="M163" s="25">
        <f>IF($C163="","",IF(OR($E163="received"),N($G163),IF(OR($E163="rejected",$E163="delivered",$E163="topped_up"),-N($G163),IF(AND(OR($E163="returned_to_brand",$E163="given_to_roster_office",$E163="released_to_office",$E163="disposed"),IF($F163="","reserve",$F163)="reserve"),-N($G163),IF(AND($E163="correction",IF($F163="","reserve",$F163)="reserve"),N($G163),0)))))</f>
        <v/>
      </c>
      <c r="N163" s="25">
        <f>IF($C163="","",IF($E163="rejected",N($G163),IF(AND(OR($E163="returned_to_brand",$E163="given_to_roster_office",$E163="released_to_office",$E163="disposed"),IF($F163="","reserve",$F163)="rejected"),-N($G163),IF(AND($E163="correction",IF($F163="","reserve",$F163)="rejected"),N($G163),0))))</f>
        <v/>
      </c>
      <c r="O163" s="25">
        <f>IF($C163="","",IF($E163="collected",N($G163),IF(AND(OR($E163="returned_to_brand",$E163="given_to_roster_office",$E163="released_to_office",$E163="disposed"),IF($F163="","reserve",$F163)="leftover"),-N($G163),IF(AND($E163="correction",IF($F163="","reserve",$F163)="leftover"),N($G163),0))))</f>
        <v/>
      </c>
      <c r="P163" s="25">
        <f>IF(OR($E163&lt;&gt;"received",$I163="",$L163=""),"",IF($I163&gt;=$L163+config!$B$19,"Y","N"))</f>
        <v/>
      </c>
      <c r="Q163" s="25">
        <f>IF($C163="","",IF(COUNTIF(campaigns!$A$2:$A$51,$C163)=0,"campaign_id not on campaigns; ",IF(AND($D163&lt;&gt;"",COUNTIFS(approvals!$A$2:$A$251,$C163,approvals!$B$2:$B$251,$D163)=0),"office not on this campaign (approvals tab); ",""))&amp;IF(AND(OR($E163="delivered",$E163="topped_up",$E163="collected"),$D163=""),"office needed; ","")&amp;IF(AND($E163&lt;&gt;"correction",N($G163)&lt;=0),"qty must be above 0; ","")&amp;IF(AND($E163="received",OR($I163="",$H163="")),"log lot and best-by; ","")&amp;IF(AND($P163="N",SUMIFS(inventory!$G$2:$G$801,inventory!$C$2:$C$801,$C163,inventory!$H$2:$H$801,$H163,inventory!$E$2:$E$801,"rejected")&lt;N($G163)),"UNDER "&amp;config!$B$19&amp;" DAYS LEFT ON THE DROP DAY: reject these units; ","")&amp;IF(AND($E163="delivered",COUNTIF(inventory!$R$2:$R$801,$R163)&gt;1),"two delivered rows for this office: use one; ","")&amp;IF(AND($E163="delivered",$J163=""),"who counted?; ",""))</f>
        <v/>
      </c>
      <c r="R163" s="25">
        <f>IF($C163="","",$C163&amp;"|"&amp;$D163&amp;"|"&amp;$E163)</f>
        <v/>
      </c>
    </row>
    <row r="164">
      <c r="A164" s="9" t="n"/>
      <c r="B164" s="33" t="n"/>
      <c r="I164" s="9" t="n"/>
      <c r="L164" s="26">
        <f>IF($C164="","",IFERROR(IF(INDEX(campaigns!$BG$2:$BG$51,MATCH($C164,campaigns!$A$2:$A$51,0))="","",INDEX(campaigns!$BG$2:$BG$51,MATCH($C164,campaigns!$A$2:$A$51,0))),""))</f>
        <v/>
      </c>
      <c r="M164" s="25">
        <f>IF($C164="","",IF(OR($E164="received"),N($G164),IF(OR($E164="rejected",$E164="delivered",$E164="topped_up"),-N($G164),IF(AND(OR($E164="returned_to_brand",$E164="given_to_roster_office",$E164="released_to_office",$E164="disposed"),IF($F164="","reserve",$F164)="reserve"),-N($G164),IF(AND($E164="correction",IF($F164="","reserve",$F164)="reserve"),N($G164),0)))))</f>
        <v/>
      </c>
      <c r="N164" s="25">
        <f>IF($C164="","",IF($E164="rejected",N($G164),IF(AND(OR($E164="returned_to_brand",$E164="given_to_roster_office",$E164="released_to_office",$E164="disposed"),IF($F164="","reserve",$F164)="rejected"),-N($G164),IF(AND($E164="correction",IF($F164="","reserve",$F164)="rejected"),N($G164),0))))</f>
        <v/>
      </c>
      <c r="O164" s="25">
        <f>IF($C164="","",IF($E164="collected",N($G164),IF(AND(OR($E164="returned_to_brand",$E164="given_to_roster_office",$E164="released_to_office",$E164="disposed"),IF($F164="","reserve",$F164)="leftover"),-N($G164),IF(AND($E164="correction",IF($F164="","reserve",$F164)="leftover"),N($G164),0))))</f>
        <v/>
      </c>
      <c r="P164" s="25">
        <f>IF(OR($E164&lt;&gt;"received",$I164="",$L164=""),"",IF($I164&gt;=$L164+config!$B$19,"Y","N"))</f>
        <v/>
      </c>
      <c r="Q164" s="25">
        <f>IF($C164="","",IF(COUNTIF(campaigns!$A$2:$A$51,$C164)=0,"campaign_id not on campaigns; ",IF(AND($D164&lt;&gt;"",COUNTIFS(approvals!$A$2:$A$251,$C164,approvals!$B$2:$B$251,$D164)=0),"office not on this campaign (approvals tab); ",""))&amp;IF(AND(OR($E164="delivered",$E164="topped_up",$E164="collected"),$D164=""),"office needed; ","")&amp;IF(AND($E164&lt;&gt;"correction",N($G164)&lt;=0),"qty must be above 0; ","")&amp;IF(AND($E164="received",OR($I164="",$H164="")),"log lot and best-by; ","")&amp;IF(AND($P164="N",SUMIFS(inventory!$G$2:$G$801,inventory!$C$2:$C$801,$C164,inventory!$H$2:$H$801,$H164,inventory!$E$2:$E$801,"rejected")&lt;N($G164)),"UNDER "&amp;config!$B$19&amp;" DAYS LEFT ON THE DROP DAY: reject these units; ","")&amp;IF(AND($E164="delivered",COUNTIF(inventory!$R$2:$R$801,$R164)&gt;1),"two delivered rows for this office: use one; ","")&amp;IF(AND($E164="delivered",$J164=""),"who counted?; ",""))</f>
        <v/>
      </c>
      <c r="R164" s="25">
        <f>IF($C164="","",$C164&amp;"|"&amp;$D164&amp;"|"&amp;$E164)</f>
        <v/>
      </c>
    </row>
    <row r="165">
      <c r="A165" s="9" t="n"/>
      <c r="B165" s="33" t="n"/>
      <c r="I165" s="9" t="n"/>
      <c r="L165" s="26">
        <f>IF($C165="","",IFERROR(IF(INDEX(campaigns!$BG$2:$BG$51,MATCH($C165,campaigns!$A$2:$A$51,0))="","",INDEX(campaigns!$BG$2:$BG$51,MATCH($C165,campaigns!$A$2:$A$51,0))),""))</f>
        <v/>
      </c>
      <c r="M165" s="25">
        <f>IF($C165="","",IF(OR($E165="received"),N($G165),IF(OR($E165="rejected",$E165="delivered",$E165="topped_up"),-N($G165),IF(AND(OR($E165="returned_to_brand",$E165="given_to_roster_office",$E165="released_to_office",$E165="disposed"),IF($F165="","reserve",$F165)="reserve"),-N($G165),IF(AND($E165="correction",IF($F165="","reserve",$F165)="reserve"),N($G165),0)))))</f>
        <v/>
      </c>
      <c r="N165" s="25">
        <f>IF($C165="","",IF($E165="rejected",N($G165),IF(AND(OR($E165="returned_to_brand",$E165="given_to_roster_office",$E165="released_to_office",$E165="disposed"),IF($F165="","reserve",$F165)="rejected"),-N($G165),IF(AND($E165="correction",IF($F165="","reserve",$F165)="rejected"),N($G165),0))))</f>
        <v/>
      </c>
      <c r="O165" s="25">
        <f>IF($C165="","",IF($E165="collected",N($G165),IF(AND(OR($E165="returned_to_brand",$E165="given_to_roster_office",$E165="released_to_office",$E165="disposed"),IF($F165="","reserve",$F165)="leftover"),-N($G165),IF(AND($E165="correction",IF($F165="","reserve",$F165)="leftover"),N($G165),0))))</f>
        <v/>
      </c>
      <c r="P165" s="25">
        <f>IF(OR($E165&lt;&gt;"received",$I165="",$L165=""),"",IF($I165&gt;=$L165+config!$B$19,"Y","N"))</f>
        <v/>
      </c>
      <c r="Q165" s="25">
        <f>IF($C165="","",IF(COUNTIF(campaigns!$A$2:$A$51,$C165)=0,"campaign_id not on campaigns; ",IF(AND($D165&lt;&gt;"",COUNTIFS(approvals!$A$2:$A$251,$C165,approvals!$B$2:$B$251,$D165)=0),"office not on this campaign (approvals tab); ",""))&amp;IF(AND(OR($E165="delivered",$E165="topped_up",$E165="collected"),$D165=""),"office needed; ","")&amp;IF(AND($E165&lt;&gt;"correction",N($G165)&lt;=0),"qty must be above 0; ","")&amp;IF(AND($E165="received",OR($I165="",$H165="")),"log lot and best-by; ","")&amp;IF(AND($P165="N",SUMIFS(inventory!$G$2:$G$801,inventory!$C$2:$C$801,$C165,inventory!$H$2:$H$801,$H165,inventory!$E$2:$E$801,"rejected")&lt;N($G165)),"UNDER "&amp;config!$B$19&amp;" DAYS LEFT ON THE DROP DAY: reject these units; ","")&amp;IF(AND($E165="delivered",COUNTIF(inventory!$R$2:$R$801,$R165)&gt;1),"two delivered rows for this office: use one; ","")&amp;IF(AND($E165="delivered",$J165=""),"who counted?; ",""))</f>
        <v/>
      </c>
      <c r="R165" s="25">
        <f>IF($C165="","",$C165&amp;"|"&amp;$D165&amp;"|"&amp;$E165)</f>
        <v/>
      </c>
    </row>
    <row r="166">
      <c r="A166" s="9" t="n"/>
      <c r="B166" s="33" t="n"/>
      <c r="I166" s="9" t="n"/>
      <c r="L166" s="26">
        <f>IF($C166="","",IFERROR(IF(INDEX(campaigns!$BG$2:$BG$51,MATCH($C166,campaigns!$A$2:$A$51,0))="","",INDEX(campaigns!$BG$2:$BG$51,MATCH($C166,campaigns!$A$2:$A$51,0))),""))</f>
        <v/>
      </c>
      <c r="M166" s="25">
        <f>IF($C166="","",IF(OR($E166="received"),N($G166),IF(OR($E166="rejected",$E166="delivered",$E166="topped_up"),-N($G166),IF(AND(OR($E166="returned_to_brand",$E166="given_to_roster_office",$E166="released_to_office",$E166="disposed"),IF($F166="","reserve",$F166)="reserve"),-N($G166),IF(AND($E166="correction",IF($F166="","reserve",$F166)="reserve"),N($G166),0)))))</f>
        <v/>
      </c>
      <c r="N166" s="25">
        <f>IF($C166="","",IF($E166="rejected",N($G166),IF(AND(OR($E166="returned_to_brand",$E166="given_to_roster_office",$E166="released_to_office",$E166="disposed"),IF($F166="","reserve",$F166)="rejected"),-N($G166),IF(AND($E166="correction",IF($F166="","reserve",$F166)="rejected"),N($G166),0))))</f>
        <v/>
      </c>
      <c r="O166" s="25">
        <f>IF($C166="","",IF($E166="collected",N($G166),IF(AND(OR($E166="returned_to_brand",$E166="given_to_roster_office",$E166="released_to_office",$E166="disposed"),IF($F166="","reserve",$F166)="leftover"),-N($G166),IF(AND($E166="correction",IF($F166="","reserve",$F166)="leftover"),N($G166),0))))</f>
        <v/>
      </c>
      <c r="P166" s="25">
        <f>IF(OR($E166&lt;&gt;"received",$I166="",$L166=""),"",IF($I166&gt;=$L166+config!$B$19,"Y","N"))</f>
        <v/>
      </c>
      <c r="Q166" s="25">
        <f>IF($C166="","",IF(COUNTIF(campaigns!$A$2:$A$51,$C166)=0,"campaign_id not on campaigns; ",IF(AND($D166&lt;&gt;"",COUNTIFS(approvals!$A$2:$A$251,$C166,approvals!$B$2:$B$251,$D166)=0),"office not on this campaign (approvals tab); ",""))&amp;IF(AND(OR($E166="delivered",$E166="topped_up",$E166="collected"),$D166=""),"office needed; ","")&amp;IF(AND($E166&lt;&gt;"correction",N($G166)&lt;=0),"qty must be above 0; ","")&amp;IF(AND($E166="received",OR($I166="",$H166="")),"log lot and best-by; ","")&amp;IF(AND($P166="N",SUMIFS(inventory!$G$2:$G$801,inventory!$C$2:$C$801,$C166,inventory!$H$2:$H$801,$H166,inventory!$E$2:$E$801,"rejected")&lt;N($G166)),"UNDER "&amp;config!$B$19&amp;" DAYS LEFT ON THE DROP DAY: reject these units; ","")&amp;IF(AND($E166="delivered",COUNTIF(inventory!$R$2:$R$801,$R166)&gt;1),"two delivered rows for this office: use one; ","")&amp;IF(AND($E166="delivered",$J166=""),"who counted?; ",""))</f>
        <v/>
      </c>
      <c r="R166" s="25">
        <f>IF($C166="","",$C166&amp;"|"&amp;$D166&amp;"|"&amp;$E166)</f>
        <v/>
      </c>
    </row>
    <row r="167">
      <c r="A167" s="9" t="n"/>
      <c r="B167" s="33" t="n"/>
      <c r="I167" s="9" t="n"/>
      <c r="L167" s="26">
        <f>IF($C167="","",IFERROR(IF(INDEX(campaigns!$BG$2:$BG$51,MATCH($C167,campaigns!$A$2:$A$51,0))="","",INDEX(campaigns!$BG$2:$BG$51,MATCH($C167,campaigns!$A$2:$A$51,0))),""))</f>
        <v/>
      </c>
      <c r="M167" s="25">
        <f>IF($C167="","",IF(OR($E167="received"),N($G167),IF(OR($E167="rejected",$E167="delivered",$E167="topped_up"),-N($G167),IF(AND(OR($E167="returned_to_brand",$E167="given_to_roster_office",$E167="released_to_office",$E167="disposed"),IF($F167="","reserve",$F167)="reserve"),-N($G167),IF(AND($E167="correction",IF($F167="","reserve",$F167)="reserve"),N($G167),0)))))</f>
        <v/>
      </c>
      <c r="N167" s="25">
        <f>IF($C167="","",IF($E167="rejected",N($G167),IF(AND(OR($E167="returned_to_brand",$E167="given_to_roster_office",$E167="released_to_office",$E167="disposed"),IF($F167="","reserve",$F167)="rejected"),-N($G167),IF(AND($E167="correction",IF($F167="","reserve",$F167)="rejected"),N($G167),0))))</f>
        <v/>
      </c>
      <c r="O167" s="25">
        <f>IF($C167="","",IF($E167="collected",N($G167),IF(AND(OR($E167="returned_to_brand",$E167="given_to_roster_office",$E167="released_to_office",$E167="disposed"),IF($F167="","reserve",$F167)="leftover"),-N($G167),IF(AND($E167="correction",IF($F167="","reserve",$F167)="leftover"),N($G167),0))))</f>
        <v/>
      </c>
      <c r="P167" s="25">
        <f>IF(OR($E167&lt;&gt;"received",$I167="",$L167=""),"",IF($I167&gt;=$L167+config!$B$19,"Y","N"))</f>
        <v/>
      </c>
      <c r="Q167" s="25">
        <f>IF($C167="","",IF(COUNTIF(campaigns!$A$2:$A$51,$C167)=0,"campaign_id not on campaigns; ",IF(AND($D167&lt;&gt;"",COUNTIFS(approvals!$A$2:$A$251,$C167,approvals!$B$2:$B$251,$D167)=0),"office not on this campaign (approvals tab); ",""))&amp;IF(AND(OR($E167="delivered",$E167="topped_up",$E167="collected"),$D167=""),"office needed; ","")&amp;IF(AND($E167&lt;&gt;"correction",N($G167)&lt;=0),"qty must be above 0; ","")&amp;IF(AND($E167="received",OR($I167="",$H167="")),"log lot and best-by; ","")&amp;IF(AND($P167="N",SUMIFS(inventory!$G$2:$G$801,inventory!$C$2:$C$801,$C167,inventory!$H$2:$H$801,$H167,inventory!$E$2:$E$801,"rejected")&lt;N($G167)),"UNDER "&amp;config!$B$19&amp;" DAYS LEFT ON THE DROP DAY: reject these units; ","")&amp;IF(AND($E167="delivered",COUNTIF(inventory!$R$2:$R$801,$R167)&gt;1),"two delivered rows for this office: use one; ","")&amp;IF(AND($E167="delivered",$J167=""),"who counted?; ",""))</f>
        <v/>
      </c>
      <c r="R167" s="25">
        <f>IF($C167="","",$C167&amp;"|"&amp;$D167&amp;"|"&amp;$E167)</f>
        <v/>
      </c>
    </row>
    <row r="168">
      <c r="A168" s="9" t="n"/>
      <c r="B168" s="33" t="n"/>
      <c r="I168" s="9" t="n"/>
      <c r="L168" s="26">
        <f>IF($C168="","",IFERROR(IF(INDEX(campaigns!$BG$2:$BG$51,MATCH($C168,campaigns!$A$2:$A$51,0))="","",INDEX(campaigns!$BG$2:$BG$51,MATCH($C168,campaigns!$A$2:$A$51,0))),""))</f>
        <v/>
      </c>
      <c r="M168" s="25">
        <f>IF($C168="","",IF(OR($E168="received"),N($G168),IF(OR($E168="rejected",$E168="delivered",$E168="topped_up"),-N($G168),IF(AND(OR($E168="returned_to_brand",$E168="given_to_roster_office",$E168="released_to_office",$E168="disposed"),IF($F168="","reserve",$F168)="reserve"),-N($G168),IF(AND($E168="correction",IF($F168="","reserve",$F168)="reserve"),N($G168),0)))))</f>
        <v/>
      </c>
      <c r="N168" s="25">
        <f>IF($C168="","",IF($E168="rejected",N($G168),IF(AND(OR($E168="returned_to_brand",$E168="given_to_roster_office",$E168="released_to_office",$E168="disposed"),IF($F168="","reserve",$F168)="rejected"),-N($G168),IF(AND($E168="correction",IF($F168="","reserve",$F168)="rejected"),N($G168),0))))</f>
        <v/>
      </c>
      <c r="O168" s="25">
        <f>IF($C168="","",IF($E168="collected",N($G168),IF(AND(OR($E168="returned_to_brand",$E168="given_to_roster_office",$E168="released_to_office",$E168="disposed"),IF($F168="","reserve",$F168)="leftover"),-N($G168),IF(AND($E168="correction",IF($F168="","reserve",$F168)="leftover"),N($G168),0))))</f>
        <v/>
      </c>
      <c r="P168" s="25">
        <f>IF(OR($E168&lt;&gt;"received",$I168="",$L168=""),"",IF($I168&gt;=$L168+config!$B$19,"Y","N"))</f>
        <v/>
      </c>
      <c r="Q168" s="25">
        <f>IF($C168="","",IF(COUNTIF(campaigns!$A$2:$A$51,$C168)=0,"campaign_id not on campaigns; ",IF(AND($D168&lt;&gt;"",COUNTIFS(approvals!$A$2:$A$251,$C168,approvals!$B$2:$B$251,$D168)=0),"office not on this campaign (approvals tab); ",""))&amp;IF(AND(OR($E168="delivered",$E168="topped_up",$E168="collected"),$D168=""),"office needed; ","")&amp;IF(AND($E168&lt;&gt;"correction",N($G168)&lt;=0),"qty must be above 0; ","")&amp;IF(AND($E168="received",OR($I168="",$H168="")),"log lot and best-by; ","")&amp;IF(AND($P168="N",SUMIFS(inventory!$G$2:$G$801,inventory!$C$2:$C$801,$C168,inventory!$H$2:$H$801,$H168,inventory!$E$2:$E$801,"rejected")&lt;N($G168)),"UNDER "&amp;config!$B$19&amp;" DAYS LEFT ON THE DROP DAY: reject these units; ","")&amp;IF(AND($E168="delivered",COUNTIF(inventory!$R$2:$R$801,$R168)&gt;1),"two delivered rows for this office: use one; ","")&amp;IF(AND($E168="delivered",$J168=""),"who counted?; ",""))</f>
        <v/>
      </c>
      <c r="R168" s="25">
        <f>IF($C168="","",$C168&amp;"|"&amp;$D168&amp;"|"&amp;$E168)</f>
        <v/>
      </c>
    </row>
    <row r="169">
      <c r="A169" s="9" t="n"/>
      <c r="B169" s="33" t="n"/>
      <c r="I169" s="9" t="n"/>
      <c r="L169" s="26">
        <f>IF($C169="","",IFERROR(IF(INDEX(campaigns!$BG$2:$BG$51,MATCH($C169,campaigns!$A$2:$A$51,0))="","",INDEX(campaigns!$BG$2:$BG$51,MATCH($C169,campaigns!$A$2:$A$51,0))),""))</f>
        <v/>
      </c>
      <c r="M169" s="25">
        <f>IF($C169="","",IF(OR($E169="received"),N($G169),IF(OR($E169="rejected",$E169="delivered",$E169="topped_up"),-N($G169),IF(AND(OR($E169="returned_to_brand",$E169="given_to_roster_office",$E169="released_to_office",$E169="disposed"),IF($F169="","reserve",$F169)="reserve"),-N($G169),IF(AND($E169="correction",IF($F169="","reserve",$F169)="reserve"),N($G169),0)))))</f>
        <v/>
      </c>
      <c r="N169" s="25">
        <f>IF($C169="","",IF($E169="rejected",N($G169),IF(AND(OR($E169="returned_to_brand",$E169="given_to_roster_office",$E169="released_to_office",$E169="disposed"),IF($F169="","reserve",$F169)="rejected"),-N($G169),IF(AND($E169="correction",IF($F169="","reserve",$F169)="rejected"),N($G169),0))))</f>
        <v/>
      </c>
      <c r="O169" s="25">
        <f>IF($C169="","",IF($E169="collected",N($G169),IF(AND(OR($E169="returned_to_brand",$E169="given_to_roster_office",$E169="released_to_office",$E169="disposed"),IF($F169="","reserve",$F169)="leftover"),-N($G169),IF(AND($E169="correction",IF($F169="","reserve",$F169)="leftover"),N($G169),0))))</f>
        <v/>
      </c>
      <c r="P169" s="25">
        <f>IF(OR($E169&lt;&gt;"received",$I169="",$L169=""),"",IF($I169&gt;=$L169+config!$B$19,"Y","N"))</f>
        <v/>
      </c>
      <c r="Q169" s="25">
        <f>IF($C169="","",IF(COUNTIF(campaigns!$A$2:$A$51,$C169)=0,"campaign_id not on campaigns; ",IF(AND($D169&lt;&gt;"",COUNTIFS(approvals!$A$2:$A$251,$C169,approvals!$B$2:$B$251,$D169)=0),"office not on this campaign (approvals tab); ",""))&amp;IF(AND(OR($E169="delivered",$E169="topped_up",$E169="collected"),$D169=""),"office needed; ","")&amp;IF(AND($E169&lt;&gt;"correction",N($G169)&lt;=0),"qty must be above 0; ","")&amp;IF(AND($E169="received",OR($I169="",$H169="")),"log lot and best-by; ","")&amp;IF(AND($P169="N",SUMIFS(inventory!$G$2:$G$801,inventory!$C$2:$C$801,$C169,inventory!$H$2:$H$801,$H169,inventory!$E$2:$E$801,"rejected")&lt;N($G169)),"UNDER "&amp;config!$B$19&amp;" DAYS LEFT ON THE DROP DAY: reject these units; ","")&amp;IF(AND($E169="delivered",COUNTIF(inventory!$R$2:$R$801,$R169)&gt;1),"two delivered rows for this office: use one; ","")&amp;IF(AND($E169="delivered",$J169=""),"who counted?; ",""))</f>
        <v/>
      </c>
      <c r="R169" s="25">
        <f>IF($C169="","",$C169&amp;"|"&amp;$D169&amp;"|"&amp;$E169)</f>
        <v/>
      </c>
    </row>
    <row r="170">
      <c r="A170" s="9" t="n"/>
      <c r="B170" s="33" t="n"/>
      <c r="I170" s="9" t="n"/>
      <c r="L170" s="26">
        <f>IF($C170="","",IFERROR(IF(INDEX(campaigns!$BG$2:$BG$51,MATCH($C170,campaigns!$A$2:$A$51,0))="","",INDEX(campaigns!$BG$2:$BG$51,MATCH($C170,campaigns!$A$2:$A$51,0))),""))</f>
        <v/>
      </c>
      <c r="M170" s="25">
        <f>IF($C170="","",IF(OR($E170="received"),N($G170),IF(OR($E170="rejected",$E170="delivered",$E170="topped_up"),-N($G170),IF(AND(OR($E170="returned_to_brand",$E170="given_to_roster_office",$E170="released_to_office",$E170="disposed"),IF($F170="","reserve",$F170)="reserve"),-N($G170),IF(AND($E170="correction",IF($F170="","reserve",$F170)="reserve"),N($G170),0)))))</f>
        <v/>
      </c>
      <c r="N170" s="25">
        <f>IF($C170="","",IF($E170="rejected",N($G170),IF(AND(OR($E170="returned_to_brand",$E170="given_to_roster_office",$E170="released_to_office",$E170="disposed"),IF($F170="","reserve",$F170)="rejected"),-N($G170),IF(AND($E170="correction",IF($F170="","reserve",$F170)="rejected"),N($G170),0))))</f>
        <v/>
      </c>
      <c r="O170" s="25">
        <f>IF($C170="","",IF($E170="collected",N($G170),IF(AND(OR($E170="returned_to_brand",$E170="given_to_roster_office",$E170="released_to_office",$E170="disposed"),IF($F170="","reserve",$F170)="leftover"),-N($G170),IF(AND($E170="correction",IF($F170="","reserve",$F170)="leftover"),N($G170),0))))</f>
        <v/>
      </c>
      <c r="P170" s="25">
        <f>IF(OR($E170&lt;&gt;"received",$I170="",$L170=""),"",IF($I170&gt;=$L170+config!$B$19,"Y","N"))</f>
        <v/>
      </c>
      <c r="Q170" s="25">
        <f>IF($C170="","",IF(COUNTIF(campaigns!$A$2:$A$51,$C170)=0,"campaign_id not on campaigns; ",IF(AND($D170&lt;&gt;"",COUNTIFS(approvals!$A$2:$A$251,$C170,approvals!$B$2:$B$251,$D170)=0),"office not on this campaign (approvals tab); ",""))&amp;IF(AND(OR($E170="delivered",$E170="topped_up",$E170="collected"),$D170=""),"office needed; ","")&amp;IF(AND($E170&lt;&gt;"correction",N($G170)&lt;=0),"qty must be above 0; ","")&amp;IF(AND($E170="received",OR($I170="",$H170="")),"log lot and best-by; ","")&amp;IF(AND($P170="N",SUMIFS(inventory!$G$2:$G$801,inventory!$C$2:$C$801,$C170,inventory!$H$2:$H$801,$H170,inventory!$E$2:$E$801,"rejected")&lt;N($G170)),"UNDER "&amp;config!$B$19&amp;" DAYS LEFT ON THE DROP DAY: reject these units; ","")&amp;IF(AND($E170="delivered",COUNTIF(inventory!$R$2:$R$801,$R170)&gt;1),"two delivered rows for this office: use one; ","")&amp;IF(AND($E170="delivered",$J170=""),"who counted?; ",""))</f>
        <v/>
      </c>
      <c r="R170" s="25">
        <f>IF($C170="","",$C170&amp;"|"&amp;$D170&amp;"|"&amp;$E170)</f>
        <v/>
      </c>
    </row>
    <row r="171">
      <c r="A171" s="9" t="n"/>
      <c r="B171" s="33" t="n"/>
      <c r="I171" s="9" t="n"/>
      <c r="L171" s="26">
        <f>IF($C171="","",IFERROR(IF(INDEX(campaigns!$BG$2:$BG$51,MATCH($C171,campaigns!$A$2:$A$51,0))="","",INDEX(campaigns!$BG$2:$BG$51,MATCH($C171,campaigns!$A$2:$A$51,0))),""))</f>
        <v/>
      </c>
      <c r="M171" s="25">
        <f>IF($C171="","",IF(OR($E171="received"),N($G171),IF(OR($E171="rejected",$E171="delivered",$E171="topped_up"),-N($G171),IF(AND(OR($E171="returned_to_brand",$E171="given_to_roster_office",$E171="released_to_office",$E171="disposed"),IF($F171="","reserve",$F171)="reserve"),-N($G171),IF(AND($E171="correction",IF($F171="","reserve",$F171)="reserve"),N($G171),0)))))</f>
        <v/>
      </c>
      <c r="N171" s="25">
        <f>IF($C171="","",IF($E171="rejected",N($G171),IF(AND(OR($E171="returned_to_brand",$E171="given_to_roster_office",$E171="released_to_office",$E171="disposed"),IF($F171="","reserve",$F171)="rejected"),-N($G171),IF(AND($E171="correction",IF($F171="","reserve",$F171)="rejected"),N($G171),0))))</f>
        <v/>
      </c>
      <c r="O171" s="25">
        <f>IF($C171="","",IF($E171="collected",N($G171),IF(AND(OR($E171="returned_to_brand",$E171="given_to_roster_office",$E171="released_to_office",$E171="disposed"),IF($F171="","reserve",$F171)="leftover"),-N($G171),IF(AND($E171="correction",IF($F171="","reserve",$F171)="leftover"),N($G171),0))))</f>
        <v/>
      </c>
      <c r="P171" s="25">
        <f>IF(OR($E171&lt;&gt;"received",$I171="",$L171=""),"",IF($I171&gt;=$L171+config!$B$19,"Y","N"))</f>
        <v/>
      </c>
      <c r="Q171" s="25">
        <f>IF($C171="","",IF(COUNTIF(campaigns!$A$2:$A$51,$C171)=0,"campaign_id not on campaigns; ",IF(AND($D171&lt;&gt;"",COUNTIFS(approvals!$A$2:$A$251,$C171,approvals!$B$2:$B$251,$D171)=0),"office not on this campaign (approvals tab); ",""))&amp;IF(AND(OR($E171="delivered",$E171="topped_up",$E171="collected"),$D171=""),"office needed; ","")&amp;IF(AND($E171&lt;&gt;"correction",N($G171)&lt;=0),"qty must be above 0; ","")&amp;IF(AND($E171="received",OR($I171="",$H171="")),"log lot and best-by; ","")&amp;IF(AND($P171="N",SUMIFS(inventory!$G$2:$G$801,inventory!$C$2:$C$801,$C171,inventory!$H$2:$H$801,$H171,inventory!$E$2:$E$801,"rejected")&lt;N($G171)),"UNDER "&amp;config!$B$19&amp;" DAYS LEFT ON THE DROP DAY: reject these units; ","")&amp;IF(AND($E171="delivered",COUNTIF(inventory!$R$2:$R$801,$R171)&gt;1),"two delivered rows for this office: use one; ","")&amp;IF(AND($E171="delivered",$J171=""),"who counted?; ",""))</f>
        <v/>
      </c>
      <c r="R171" s="25">
        <f>IF($C171="","",$C171&amp;"|"&amp;$D171&amp;"|"&amp;$E171)</f>
        <v/>
      </c>
    </row>
    <row r="172">
      <c r="A172" s="9" t="n"/>
      <c r="B172" s="33" t="n"/>
      <c r="I172" s="9" t="n"/>
      <c r="L172" s="26">
        <f>IF($C172="","",IFERROR(IF(INDEX(campaigns!$BG$2:$BG$51,MATCH($C172,campaigns!$A$2:$A$51,0))="","",INDEX(campaigns!$BG$2:$BG$51,MATCH($C172,campaigns!$A$2:$A$51,0))),""))</f>
        <v/>
      </c>
      <c r="M172" s="25">
        <f>IF($C172="","",IF(OR($E172="received"),N($G172),IF(OR($E172="rejected",$E172="delivered",$E172="topped_up"),-N($G172),IF(AND(OR($E172="returned_to_brand",$E172="given_to_roster_office",$E172="released_to_office",$E172="disposed"),IF($F172="","reserve",$F172)="reserve"),-N($G172),IF(AND($E172="correction",IF($F172="","reserve",$F172)="reserve"),N($G172),0)))))</f>
        <v/>
      </c>
      <c r="N172" s="25">
        <f>IF($C172="","",IF($E172="rejected",N($G172),IF(AND(OR($E172="returned_to_brand",$E172="given_to_roster_office",$E172="released_to_office",$E172="disposed"),IF($F172="","reserve",$F172)="rejected"),-N($G172),IF(AND($E172="correction",IF($F172="","reserve",$F172)="rejected"),N($G172),0))))</f>
        <v/>
      </c>
      <c r="O172" s="25">
        <f>IF($C172="","",IF($E172="collected",N($G172),IF(AND(OR($E172="returned_to_brand",$E172="given_to_roster_office",$E172="released_to_office",$E172="disposed"),IF($F172="","reserve",$F172)="leftover"),-N($G172),IF(AND($E172="correction",IF($F172="","reserve",$F172)="leftover"),N($G172),0))))</f>
        <v/>
      </c>
      <c r="P172" s="25">
        <f>IF(OR($E172&lt;&gt;"received",$I172="",$L172=""),"",IF($I172&gt;=$L172+config!$B$19,"Y","N"))</f>
        <v/>
      </c>
      <c r="Q172" s="25">
        <f>IF($C172="","",IF(COUNTIF(campaigns!$A$2:$A$51,$C172)=0,"campaign_id not on campaigns; ",IF(AND($D172&lt;&gt;"",COUNTIFS(approvals!$A$2:$A$251,$C172,approvals!$B$2:$B$251,$D172)=0),"office not on this campaign (approvals tab); ",""))&amp;IF(AND(OR($E172="delivered",$E172="topped_up",$E172="collected"),$D172=""),"office needed; ","")&amp;IF(AND($E172&lt;&gt;"correction",N($G172)&lt;=0),"qty must be above 0; ","")&amp;IF(AND($E172="received",OR($I172="",$H172="")),"log lot and best-by; ","")&amp;IF(AND($P172="N",SUMIFS(inventory!$G$2:$G$801,inventory!$C$2:$C$801,$C172,inventory!$H$2:$H$801,$H172,inventory!$E$2:$E$801,"rejected")&lt;N($G172)),"UNDER "&amp;config!$B$19&amp;" DAYS LEFT ON THE DROP DAY: reject these units; ","")&amp;IF(AND($E172="delivered",COUNTIF(inventory!$R$2:$R$801,$R172)&gt;1),"two delivered rows for this office: use one; ","")&amp;IF(AND($E172="delivered",$J172=""),"who counted?; ",""))</f>
        <v/>
      </c>
      <c r="R172" s="25">
        <f>IF($C172="","",$C172&amp;"|"&amp;$D172&amp;"|"&amp;$E172)</f>
        <v/>
      </c>
    </row>
    <row r="173">
      <c r="A173" s="9" t="n"/>
      <c r="B173" s="33" t="n"/>
      <c r="I173" s="9" t="n"/>
      <c r="L173" s="26">
        <f>IF($C173="","",IFERROR(IF(INDEX(campaigns!$BG$2:$BG$51,MATCH($C173,campaigns!$A$2:$A$51,0))="","",INDEX(campaigns!$BG$2:$BG$51,MATCH($C173,campaigns!$A$2:$A$51,0))),""))</f>
        <v/>
      </c>
      <c r="M173" s="25">
        <f>IF($C173="","",IF(OR($E173="received"),N($G173),IF(OR($E173="rejected",$E173="delivered",$E173="topped_up"),-N($G173),IF(AND(OR($E173="returned_to_brand",$E173="given_to_roster_office",$E173="released_to_office",$E173="disposed"),IF($F173="","reserve",$F173)="reserve"),-N($G173),IF(AND($E173="correction",IF($F173="","reserve",$F173)="reserve"),N($G173),0)))))</f>
        <v/>
      </c>
      <c r="N173" s="25">
        <f>IF($C173="","",IF($E173="rejected",N($G173),IF(AND(OR($E173="returned_to_brand",$E173="given_to_roster_office",$E173="released_to_office",$E173="disposed"),IF($F173="","reserve",$F173)="rejected"),-N($G173),IF(AND($E173="correction",IF($F173="","reserve",$F173)="rejected"),N($G173),0))))</f>
        <v/>
      </c>
      <c r="O173" s="25">
        <f>IF($C173="","",IF($E173="collected",N($G173),IF(AND(OR($E173="returned_to_brand",$E173="given_to_roster_office",$E173="released_to_office",$E173="disposed"),IF($F173="","reserve",$F173)="leftover"),-N($G173),IF(AND($E173="correction",IF($F173="","reserve",$F173)="leftover"),N($G173),0))))</f>
        <v/>
      </c>
      <c r="P173" s="25">
        <f>IF(OR($E173&lt;&gt;"received",$I173="",$L173=""),"",IF($I173&gt;=$L173+config!$B$19,"Y","N"))</f>
        <v/>
      </c>
      <c r="Q173" s="25">
        <f>IF($C173="","",IF(COUNTIF(campaigns!$A$2:$A$51,$C173)=0,"campaign_id not on campaigns; ",IF(AND($D173&lt;&gt;"",COUNTIFS(approvals!$A$2:$A$251,$C173,approvals!$B$2:$B$251,$D173)=0),"office not on this campaign (approvals tab); ",""))&amp;IF(AND(OR($E173="delivered",$E173="topped_up",$E173="collected"),$D173=""),"office needed; ","")&amp;IF(AND($E173&lt;&gt;"correction",N($G173)&lt;=0),"qty must be above 0; ","")&amp;IF(AND($E173="received",OR($I173="",$H173="")),"log lot and best-by; ","")&amp;IF(AND($P173="N",SUMIFS(inventory!$G$2:$G$801,inventory!$C$2:$C$801,$C173,inventory!$H$2:$H$801,$H173,inventory!$E$2:$E$801,"rejected")&lt;N($G173)),"UNDER "&amp;config!$B$19&amp;" DAYS LEFT ON THE DROP DAY: reject these units; ","")&amp;IF(AND($E173="delivered",COUNTIF(inventory!$R$2:$R$801,$R173)&gt;1),"two delivered rows for this office: use one; ","")&amp;IF(AND($E173="delivered",$J173=""),"who counted?; ",""))</f>
        <v/>
      </c>
      <c r="R173" s="25">
        <f>IF($C173="","",$C173&amp;"|"&amp;$D173&amp;"|"&amp;$E173)</f>
        <v/>
      </c>
    </row>
    <row r="174">
      <c r="A174" s="9" t="n"/>
      <c r="B174" s="33" t="n"/>
      <c r="I174" s="9" t="n"/>
      <c r="L174" s="26">
        <f>IF($C174="","",IFERROR(IF(INDEX(campaigns!$BG$2:$BG$51,MATCH($C174,campaigns!$A$2:$A$51,0))="","",INDEX(campaigns!$BG$2:$BG$51,MATCH($C174,campaigns!$A$2:$A$51,0))),""))</f>
        <v/>
      </c>
      <c r="M174" s="25">
        <f>IF($C174="","",IF(OR($E174="received"),N($G174),IF(OR($E174="rejected",$E174="delivered",$E174="topped_up"),-N($G174),IF(AND(OR($E174="returned_to_brand",$E174="given_to_roster_office",$E174="released_to_office",$E174="disposed"),IF($F174="","reserve",$F174)="reserve"),-N($G174),IF(AND($E174="correction",IF($F174="","reserve",$F174)="reserve"),N($G174),0)))))</f>
        <v/>
      </c>
      <c r="N174" s="25">
        <f>IF($C174="","",IF($E174="rejected",N($G174),IF(AND(OR($E174="returned_to_brand",$E174="given_to_roster_office",$E174="released_to_office",$E174="disposed"),IF($F174="","reserve",$F174)="rejected"),-N($G174),IF(AND($E174="correction",IF($F174="","reserve",$F174)="rejected"),N($G174),0))))</f>
        <v/>
      </c>
      <c r="O174" s="25">
        <f>IF($C174="","",IF($E174="collected",N($G174),IF(AND(OR($E174="returned_to_brand",$E174="given_to_roster_office",$E174="released_to_office",$E174="disposed"),IF($F174="","reserve",$F174)="leftover"),-N($G174),IF(AND($E174="correction",IF($F174="","reserve",$F174)="leftover"),N($G174),0))))</f>
        <v/>
      </c>
      <c r="P174" s="25">
        <f>IF(OR($E174&lt;&gt;"received",$I174="",$L174=""),"",IF($I174&gt;=$L174+config!$B$19,"Y","N"))</f>
        <v/>
      </c>
      <c r="Q174" s="25">
        <f>IF($C174="","",IF(COUNTIF(campaigns!$A$2:$A$51,$C174)=0,"campaign_id not on campaigns; ",IF(AND($D174&lt;&gt;"",COUNTIFS(approvals!$A$2:$A$251,$C174,approvals!$B$2:$B$251,$D174)=0),"office not on this campaign (approvals tab); ",""))&amp;IF(AND(OR($E174="delivered",$E174="topped_up",$E174="collected"),$D174=""),"office needed; ","")&amp;IF(AND($E174&lt;&gt;"correction",N($G174)&lt;=0),"qty must be above 0; ","")&amp;IF(AND($E174="received",OR($I174="",$H174="")),"log lot and best-by; ","")&amp;IF(AND($P174="N",SUMIFS(inventory!$G$2:$G$801,inventory!$C$2:$C$801,$C174,inventory!$H$2:$H$801,$H174,inventory!$E$2:$E$801,"rejected")&lt;N($G174)),"UNDER "&amp;config!$B$19&amp;" DAYS LEFT ON THE DROP DAY: reject these units; ","")&amp;IF(AND($E174="delivered",COUNTIF(inventory!$R$2:$R$801,$R174)&gt;1),"two delivered rows for this office: use one; ","")&amp;IF(AND($E174="delivered",$J174=""),"who counted?; ",""))</f>
        <v/>
      </c>
      <c r="R174" s="25">
        <f>IF($C174="","",$C174&amp;"|"&amp;$D174&amp;"|"&amp;$E174)</f>
        <v/>
      </c>
    </row>
    <row r="175">
      <c r="A175" s="9" t="n"/>
      <c r="B175" s="33" t="n"/>
      <c r="I175" s="9" t="n"/>
      <c r="L175" s="26">
        <f>IF($C175="","",IFERROR(IF(INDEX(campaigns!$BG$2:$BG$51,MATCH($C175,campaigns!$A$2:$A$51,0))="","",INDEX(campaigns!$BG$2:$BG$51,MATCH($C175,campaigns!$A$2:$A$51,0))),""))</f>
        <v/>
      </c>
      <c r="M175" s="25">
        <f>IF($C175="","",IF(OR($E175="received"),N($G175),IF(OR($E175="rejected",$E175="delivered",$E175="topped_up"),-N($G175),IF(AND(OR($E175="returned_to_brand",$E175="given_to_roster_office",$E175="released_to_office",$E175="disposed"),IF($F175="","reserve",$F175)="reserve"),-N($G175),IF(AND($E175="correction",IF($F175="","reserve",$F175)="reserve"),N($G175),0)))))</f>
        <v/>
      </c>
      <c r="N175" s="25">
        <f>IF($C175="","",IF($E175="rejected",N($G175),IF(AND(OR($E175="returned_to_brand",$E175="given_to_roster_office",$E175="released_to_office",$E175="disposed"),IF($F175="","reserve",$F175)="rejected"),-N($G175),IF(AND($E175="correction",IF($F175="","reserve",$F175)="rejected"),N($G175),0))))</f>
        <v/>
      </c>
      <c r="O175" s="25">
        <f>IF($C175="","",IF($E175="collected",N($G175),IF(AND(OR($E175="returned_to_brand",$E175="given_to_roster_office",$E175="released_to_office",$E175="disposed"),IF($F175="","reserve",$F175)="leftover"),-N($G175),IF(AND($E175="correction",IF($F175="","reserve",$F175)="leftover"),N($G175),0))))</f>
        <v/>
      </c>
      <c r="P175" s="25">
        <f>IF(OR($E175&lt;&gt;"received",$I175="",$L175=""),"",IF($I175&gt;=$L175+config!$B$19,"Y","N"))</f>
        <v/>
      </c>
      <c r="Q175" s="25">
        <f>IF($C175="","",IF(COUNTIF(campaigns!$A$2:$A$51,$C175)=0,"campaign_id not on campaigns; ",IF(AND($D175&lt;&gt;"",COUNTIFS(approvals!$A$2:$A$251,$C175,approvals!$B$2:$B$251,$D175)=0),"office not on this campaign (approvals tab); ",""))&amp;IF(AND(OR($E175="delivered",$E175="topped_up",$E175="collected"),$D175=""),"office needed; ","")&amp;IF(AND($E175&lt;&gt;"correction",N($G175)&lt;=0),"qty must be above 0; ","")&amp;IF(AND($E175="received",OR($I175="",$H175="")),"log lot and best-by; ","")&amp;IF(AND($P175="N",SUMIFS(inventory!$G$2:$G$801,inventory!$C$2:$C$801,$C175,inventory!$H$2:$H$801,$H175,inventory!$E$2:$E$801,"rejected")&lt;N($G175)),"UNDER "&amp;config!$B$19&amp;" DAYS LEFT ON THE DROP DAY: reject these units; ","")&amp;IF(AND($E175="delivered",COUNTIF(inventory!$R$2:$R$801,$R175)&gt;1),"two delivered rows for this office: use one; ","")&amp;IF(AND($E175="delivered",$J175=""),"who counted?; ",""))</f>
        <v/>
      </c>
      <c r="R175" s="25">
        <f>IF($C175="","",$C175&amp;"|"&amp;$D175&amp;"|"&amp;$E175)</f>
        <v/>
      </c>
    </row>
    <row r="176">
      <c r="A176" s="9" t="n"/>
      <c r="B176" s="33" t="n"/>
      <c r="I176" s="9" t="n"/>
      <c r="L176" s="26">
        <f>IF($C176="","",IFERROR(IF(INDEX(campaigns!$BG$2:$BG$51,MATCH($C176,campaigns!$A$2:$A$51,0))="","",INDEX(campaigns!$BG$2:$BG$51,MATCH($C176,campaigns!$A$2:$A$51,0))),""))</f>
        <v/>
      </c>
      <c r="M176" s="25">
        <f>IF($C176="","",IF(OR($E176="received"),N($G176),IF(OR($E176="rejected",$E176="delivered",$E176="topped_up"),-N($G176),IF(AND(OR($E176="returned_to_brand",$E176="given_to_roster_office",$E176="released_to_office",$E176="disposed"),IF($F176="","reserve",$F176)="reserve"),-N($G176),IF(AND($E176="correction",IF($F176="","reserve",$F176)="reserve"),N($G176),0)))))</f>
        <v/>
      </c>
      <c r="N176" s="25">
        <f>IF($C176="","",IF($E176="rejected",N($G176),IF(AND(OR($E176="returned_to_brand",$E176="given_to_roster_office",$E176="released_to_office",$E176="disposed"),IF($F176="","reserve",$F176)="rejected"),-N($G176),IF(AND($E176="correction",IF($F176="","reserve",$F176)="rejected"),N($G176),0))))</f>
        <v/>
      </c>
      <c r="O176" s="25">
        <f>IF($C176="","",IF($E176="collected",N($G176),IF(AND(OR($E176="returned_to_brand",$E176="given_to_roster_office",$E176="released_to_office",$E176="disposed"),IF($F176="","reserve",$F176)="leftover"),-N($G176),IF(AND($E176="correction",IF($F176="","reserve",$F176)="leftover"),N($G176),0))))</f>
        <v/>
      </c>
      <c r="P176" s="25">
        <f>IF(OR($E176&lt;&gt;"received",$I176="",$L176=""),"",IF($I176&gt;=$L176+config!$B$19,"Y","N"))</f>
        <v/>
      </c>
      <c r="Q176" s="25">
        <f>IF($C176="","",IF(COUNTIF(campaigns!$A$2:$A$51,$C176)=0,"campaign_id not on campaigns; ",IF(AND($D176&lt;&gt;"",COUNTIFS(approvals!$A$2:$A$251,$C176,approvals!$B$2:$B$251,$D176)=0),"office not on this campaign (approvals tab); ",""))&amp;IF(AND(OR($E176="delivered",$E176="topped_up",$E176="collected"),$D176=""),"office needed; ","")&amp;IF(AND($E176&lt;&gt;"correction",N($G176)&lt;=0),"qty must be above 0; ","")&amp;IF(AND($E176="received",OR($I176="",$H176="")),"log lot and best-by; ","")&amp;IF(AND($P176="N",SUMIFS(inventory!$G$2:$G$801,inventory!$C$2:$C$801,$C176,inventory!$H$2:$H$801,$H176,inventory!$E$2:$E$801,"rejected")&lt;N($G176)),"UNDER "&amp;config!$B$19&amp;" DAYS LEFT ON THE DROP DAY: reject these units; ","")&amp;IF(AND($E176="delivered",COUNTIF(inventory!$R$2:$R$801,$R176)&gt;1),"two delivered rows for this office: use one; ","")&amp;IF(AND($E176="delivered",$J176=""),"who counted?; ",""))</f>
        <v/>
      </c>
      <c r="R176" s="25">
        <f>IF($C176="","",$C176&amp;"|"&amp;$D176&amp;"|"&amp;$E176)</f>
        <v/>
      </c>
    </row>
    <row r="177">
      <c r="A177" s="9" t="n"/>
      <c r="B177" s="33" t="n"/>
      <c r="I177" s="9" t="n"/>
      <c r="L177" s="26">
        <f>IF($C177="","",IFERROR(IF(INDEX(campaigns!$BG$2:$BG$51,MATCH($C177,campaigns!$A$2:$A$51,0))="","",INDEX(campaigns!$BG$2:$BG$51,MATCH($C177,campaigns!$A$2:$A$51,0))),""))</f>
        <v/>
      </c>
      <c r="M177" s="25">
        <f>IF($C177="","",IF(OR($E177="received"),N($G177),IF(OR($E177="rejected",$E177="delivered",$E177="topped_up"),-N($G177),IF(AND(OR($E177="returned_to_brand",$E177="given_to_roster_office",$E177="released_to_office",$E177="disposed"),IF($F177="","reserve",$F177)="reserve"),-N($G177),IF(AND($E177="correction",IF($F177="","reserve",$F177)="reserve"),N($G177),0)))))</f>
        <v/>
      </c>
      <c r="N177" s="25">
        <f>IF($C177="","",IF($E177="rejected",N($G177),IF(AND(OR($E177="returned_to_brand",$E177="given_to_roster_office",$E177="released_to_office",$E177="disposed"),IF($F177="","reserve",$F177)="rejected"),-N($G177),IF(AND($E177="correction",IF($F177="","reserve",$F177)="rejected"),N($G177),0))))</f>
        <v/>
      </c>
      <c r="O177" s="25">
        <f>IF($C177="","",IF($E177="collected",N($G177),IF(AND(OR($E177="returned_to_brand",$E177="given_to_roster_office",$E177="released_to_office",$E177="disposed"),IF($F177="","reserve",$F177)="leftover"),-N($G177),IF(AND($E177="correction",IF($F177="","reserve",$F177)="leftover"),N($G177),0))))</f>
        <v/>
      </c>
      <c r="P177" s="25">
        <f>IF(OR($E177&lt;&gt;"received",$I177="",$L177=""),"",IF($I177&gt;=$L177+config!$B$19,"Y","N"))</f>
        <v/>
      </c>
      <c r="Q177" s="25">
        <f>IF($C177="","",IF(COUNTIF(campaigns!$A$2:$A$51,$C177)=0,"campaign_id not on campaigns; ",IF(AND($D177&lt;&gt;"",COUNTIFS(approvals!$A$2:$A$251,$C177,approvals!$B$2:$B$251,$D177)=0),"office not on this campaign (approvals tab); ",""))&amp;IF(AND(OR($E177="delivered",$E177="topped_up",$E177="collected"),$D177=""),"office needed; ","")&amp;IF(AND($E177&lt;&gt;"correction",N($G177)&lt;=0),"qty must be above 0; ","")&amp;IF(AND($E177="received",OR($I177="",$H177="")),"log lot and best-by; ","")&amp;IF(AND($P177="N",SUMIFS(inventory!$G$2:$G$801,inventory!$C$2:$C$801,$C177,inventory!$H$2:$H$801,$H177,inventory!$E$2:$E$801,"rejected")&lt;N($G177)),"UNDER "&amp;config!$B$19&amp;" DAYS LEFT ON THE DROP DAY: reject these units; ","")&amp;IF(AND($E177="delivered",COUNTIF(inventory!$R$2:$R$801,$R177)&gt;1),"two delivered rows for this office: use one; ","")&amp;IF(AND($E177="delivered",$J177=""),"who counted?; ",""))</f>
        <v/>
      </c>
      <c r="R177" s="25">
        <f>IF($C177="","",$C177&amp;"|"&amp;$D177&amp;"|"&amp;$E177)</f>
        <v/>
      </c>
    </row>
    <row r="178">
      <c r="A178" s="9" t="n"/>
      <c r="B178" s="33" t="n"/>
      <c r="I178" s="9" t="n"/>
      <c r="L178" s="26">
        <f>IF($C178="","",IFERROR(IF(INDEX(campaigns!$BG$2:$BG$51,MATCH($C178,campaigns!$A$2:$A$51,0))="","",INDEX(campaigns!$BG$2:$BG$51,MATCH($C178,campaigns!$A$2:$A$51,0))),""))</f>
        <v/>
      </c>
      <c r="M178" s="25">
        <f>IF($C178="","",IF(OR($E178="received"),N($G178),IF(OR($E178="rejected",$E178="delivered",$E178="topped_up"),-N($G178),IF(AND(OR($E178="returned_to_brand",$E178="given_to_roster_office",$E178="released_to_office",$E178="disposed"),IF($F178="","reserve",$F178)="reserve"),-N($G178),IF(AND($E178="correction",IF($F178="","reserve",$F178)="reserve"),N($G178),0)))))</f>
        <v/>
      </c>
      <c r="N178" s="25">
        <f>IF($C178="","",IF($E178="rejected",N($G178),IF(AND(OR($E178="returned_to_brand",$E178="given_to_roster_office",$E178="released_to_office",$E178="disposed"),IF($F178="","reserve",$F178)="rejected"),-N($G178),IF(AND($E178="correction",IF($F178="","reserve",$F178)="rejected"),N($G178),0))))</f>
        <v/>
      </c>
      <c r="O178" s="25">
        <f>IF($C178="","",IF($E178="collected",N($G178),IF(AND(OR($E178="returned_to_brand",$E178="given_to_roster_office",$E178="released_to_office",$E178="disposed"),IF($F178="","reserve",$F178)="leftover"),-N($G178),IF(AND($E178="correction",IF($F178="","reserve",$F178)="leftover"),N($G178),0))))</f>
        <v/>
      </c>
      <c r="P178" s="25">
        <f>IF(OR($E178&lt;&gt;"received",$I178="",$L178=""),"",IF($I178&gt;=$L178+config!$B$19,"Y","N"))</f>
        <v/>
      </c>
      <c r="Q178" s="25">
        <f>IF($C178="","",IF(COUNTIF(campaigns!$A$2:$A$51,$C178)=0,"campaign_id not on campaigns; ",IF(AND($D178&lt;&gt;"",COUNTIFS(approvals!$A$2:$A$251,$C178,approvals!$B$2:$B$251,$D178)=0),"office not on this campaign (approvals tab); ",""))&amp;IF(AND(OR($E178="delivered",$E178="topped_up",$E178="collected"),$D178=""),"office needed; ","")&amp;IF(AND($E178&lt;&gt;"correction",N($G178)&lt;=0),"qty must be above 0; ","")&amp;IF(AND($E178="received",OR($I178="",$H178="")),"log lot and best-by; ","")&amp;IF(AND($P178="N",SUMIFS(inventory!$G$2:$G$801,inventory!$C$2:$C$801,$C178,inventory!$H$2:$H$801,$H178,inventory!$E$2:$E$801,"rejected")&lt;N($G178)),"UNDER "&amp;config!$B$19&amp;" DAYS LEFT ON THE DROP DAY: reject these units; ","")&amp;IF(AND($E178="delivered",COUNTIF(inventory!$R$2:$R$801,$R178)&gt;1),"two delivered rows for this office: use one; ","")&amp;IF(AND($E178="delivered",$J178=""),"who counted?; ",""))</f>
        <v/>
      </c>
      <c r="R178" s="25">
        <f>IF($C178="","",$C178&amp;"|"&amp;$D178&amp;"|"&amp;$E178)</f>
        <v/>
      </c>
    </row>
    <row r="179">
      <c r="A179" s="9" t="n"/>
      <c r="B179" s="33" t="n"/>
      <c r="I179" s="9" t="n"/>
      <c r="L179" s="26">
        <f>IF($C179="","",IFERROR(IF(INDEX(campaigns!$BG$2:$BG$51,MATCH($C179,campaigns!$A$2:$A$51,0))="","",INDEX(campaigns!$BG$2:$BG$51,MATCH($C179,campaigns!$A$2:$A$51,0))),""))</f>
        <v/>
      </c>
      <c r="M179" s="25">
        <f>IF($C179="","",IF(OR($E179="received"),N($G179),IF(OR($E179="rejected",$E179="delivered",$E179="topped_up"),-N($G179),IF(AND(OR($E179="returned_to_brand",$E179="given_to_roster_office",$E179="released_to_office",$E179="disposed"),IF($F179="","reserve",$F179)="reserve"),-N($G179),IF(AND($E179="correction",IF($F179="","reserve",$F179)="reserve"),N($G179),0)))))</f>
        <v/>
      </c>
      <c r="N179" s="25">
        <f>IF($C179="","",IF($E179="rejected",N($G179),IF(AND(OR($E179="returned_to_brand",$E179="given_to_roster_office",$E179="released_to_office",$E179="disposed"),IF($F179="","reserve",$F179)="rejected"),-N($G179),IF(AND($E179="correction",IF($F179="","reserve",$F179)="rejected"),N($G179),0))))</f>
        <v/>
      </c>
      <c r="O179" s="25">
        <f>IF($C179="","",IF($E179="collected",N($G179),IF(AND(OR($E179="returned_to_brand",$E179="given_to_roster_office",$E179="released_to_office",$E179="disposed"),IF($F179="","reserve",$F179)="leftover"),-N($G179),IF(AND($E179="correction",IF($F179="","reserve",$F179)="leftover"),N($G179),0))))</f>
        <v/>
      </c>
      <c r="P179" s="25">
        <f>IF(OR($E179&lt;&gt;"received",$I179="",$L179=""),"",IF($I179&gt;=$L179+config!$B$19,"Y","N"))</f>
        <v/>
      </c>
      <c r="Q179" s="25">
        <f>IF($C179="","",IF(COUNTIF(campaigns!$A$2:$A$51,$C179)=0,"campaign_id not on campaigns; ",IF(AND($D179&lt;&gt;"",COUNTIFS(approvals!$A$2:$A$251,$C179,approvals!$B$2:$B$251,$D179)=0),"office not on this campaign (approvals tab); ",""))&amp;IF(AND(OR($E179="delivered",$E179="topped_up",$E179="collected"),$D179=""),"office needed; ","")&amp;IF(AND($E179&lt;&gt;"correction",N($G179)&lt;=0),"qty must be above 0; ","")&amp;IF(AND($E179="received",OR($I179="",$H179="")),"log lot and best-by; ","")&amp;IF(AND($P179="N",SUMIFS(inventory!$G$2:$G$801,inventory!$C$2:$C$801,$C179,inventory!$H$2:$H$801,$H179,inventory!$E$2:$E$801,"rejected")&lt;N($G179)),"UNDER "&amp;config!$B$19&amp;" DAYS LEFT ON THE DROP DAY: reject these units; ","")&amp;IF(AND($E179="delivered",COUNTIF(inventory!$R$2:$R$801,$R179)&gt;1),"two delivered rows for this office: use one; ","")&amp;IF(AND($E179="delivered",$J179=""),"who counted?; ",""))</f>
        <v/>
      </c>
      <c r="R179" s="25">
        <f>IF($C179="","",$C179&amp;"|"&amp;$D179&amp;"|"&amp;$E179)</f>
        <v/>
      </c>
    </row>
    <row r="180">
      <c r="A180" s="9" t="n"/>
      <c r="B180" s="33" t="n"/>
      <c r="I180" s="9" t="n"/>
      <c r="L180" s="26">
        <f>IF($C180="","",IFERROR(IF(INDEX(campaigns!$BG$2:$BG$51,MATCH($C180,campaigns!$A$2:$A$51,0))="","",INDEX(campaigns!$BG$2:$BG$51,MATCH($C180,campaigns!$A$2:$A$51,0))),""))</f>
        <v/>
      </c>
      <c r="M180" s="25">
        <f>IF($C180="","",IF(OR($E180="received"),N($G180),IF(OR($E180="rejected",$E180="delivered",$E180="topped_up"),-N($G180),IF(AND(OR($E180="returned_to_brand",$E180="given_to_roster_office",$E180="released_to_office",$E180="disposed"),IF($F180="","reserve",$F180)="reserve"),-N($G180),IF(AND($E180="correction",IF($F180="","reserve",$F180)="reserve"),N($G180),0)))))</f>
        <v/>
      </c>
      <c r="N180" s="25">
        <f>IF($C180="","",IF($E180="rejected",N($G180),IF(AND(OR($E180="returned_to_brand",$E180="given_to_roster_office",$E180="released_to_office",$E180="disposed"),IF($F180="","reserve",$F180)="rejected"),-N($G180),IF(AND($E180="correction",IF($F180="","reserve",$F180)="rejected"),N($G180),0))))</f>
        <v/>
      </c>
      <c r="O180" s="25">
        <f>IF($C180="","",IF($E180="collected",N($G180),IF(AND(OR($E180="returned_to_brand",$E180="given_to_roster_office",$E180="released_to_office",$E180="disposed"),IF($F180="","reserve",$F180)="leftover"),-N($G180),IF(AND($E180="correction",IF($F180="","reserve",$F180)="leftover"),N($G180),0))))</f>
        <v/>
      </c>
      <c r="P180" s="25">
        <f>IF(OR($E180&lt;&gt;"received",$I180="",$L180=""),"",IF($I180&gt;=$L180+config!$B$19,"Y","N"))</f>
        <v/>
      </c>
      <c r="Q180" s="25">
        <f>IF($C180="","",IF(COUNTIF(campaigns!$A$2:$A$51,$C180)=0,"campaign_id not on campaigns; ",IF(AND($D180&lt;&gt;"",COUNTIFS(approvals!$A$2:$A$251,$C180,approvals!$B$2:$B$251,$D180)=0),"office not on this campaign (approvals tab); ",""))&amp;IF(AND(OR($E180="delivered",$E180="topped_up",$E180="collected"),$D180=""),"office needed; ","")&amp;IF(AND($E180&lt;&gt;"correction",N($G180)&lt;=0),"qty must be above 0; ","")&amp;IF(AND($E180="received",OR($I180="",$H180="")),"log lot and best-by; ","")&amp;IF(AND($P180="N",SUMIFS(inventory!$G$2:$G$801,inventory!$C$2:$C$801,$C180,inventory!$H$2:$H$801,$H180,inventory!$E$2:$E$801,"rejected")&lt;N($G180)),"UNDER "&amp;config!$B$19&amp;" DAYS LEFT ON THE DROP DAY: reject these units; ","")&amp;IF(AND($E180="delivered",COUNTIF(inventory!$R$2:$R$801,$R180)&gt;1),"two delivered rows for this office: use one; ","")&amp;IF(AND($E180="delivered",$J180=""),"who counted?; ",""))</f>
        <v/>
      </c>
      <c r="R180" s="25">
        <f>IF($C180="","",$C180&amp;"|"&amp;$D180&amp;"|"&amp;$E180)</f>
        <v/>
      </c>
    </row>
    <row r="181">
      <c r="A181" s="9" t="n"/>
      <c r="B181" s="33" t="n"/>
      <c r="I181" s="9" t="n"/>
      <c r="L181" s="26">
        <f>IF($C181="","",IFERROR(IF(INDEX(campaigns!$BG$2:$BG$51,MATCH($C181,campaigns!$A$2:$A$51,0))="","",INDEX(campaigns!$BG$2:$BG$51,MATCH($C181,campaigns!$A$2:$A$51,0))),""))</f>
        <v/>
      </c>
      <c r="M181" s="25">
        <f>IF($C181="","",IF(OR($E181="received"),N($G181),IF(OR($E181="rejected",$E181="delivered",$E181="topped_up"),-N($G181),IF(AND(OR($E181="returned_to_brand",$E181="given_to_roster_office",$E181="released_to_office",$E181="disposed"),IF($F181="","reserve",$F181)="reserve"),-N($G181),IF(AND($E181="correction",IF($F181="","reserve",$F181)="reserve"),N($G181),0)))))</f>
        <v/>
      </c>
      <c r="N181" s="25">
        <f>IF($C181="","",IF($E181="rejected",N($G181),IF(AND(OR($E181="returned_to_brand",$E181="given_to_roster_office",$E181="released_to_office",$E181="disposed"),IF($F181="","reserve",$F181)="rejected"),-N($G181),IF(AND($E181="correction",IF($F181="","reserve",$F181)="rejected"),N($G181),0))))</f>
        <v/>
      </c>
      <c r="O181" s="25">
        <f>IF($C181="","",IF($E181="collected",N($G181),IF(AND(OR($E181="returned_to_brand",$E181="given_to_roster_office",$E181="released_to_office",$E181="disposed"),IF($F181="","reserve",$F181)="leftover"),-N($G181),IF(AND($E181="correction",IF($F181="","reserve",$F181)="leftover"),N($G181),0))))</f>
        <v/>
      </c>
      <c r="P181" s="25">
        <f>IF(OR($E181&lt;&gt;"received",$I181="",$L181=""),"",IF($I181&gt;=$L181+config!$B$19,"Y","N"))</f>
        <v/>
      </c>
      <c r="Q181" s="25">
        <f>IF($C181="","",IF(COUNTIF(campaigns!$A$2:$A$51,$C181)=0,"campaign_id not on campaigns; ",IF(AND($D181&lt;&gt;"",COUNTIFS(approvals!$A$2:$A$251,$C181,approvals!$B$2:$B$251,$D181)=0),"office not on this campaign (approvals tab); ",""))&amp;IF(AND(OR($E181="delivered",$E181="topped_up",$E181="collected"),$D181=""),"office needed; ","")&amp;IF(AND($E181&lt;&gt;"correction",N($G181)&lt;=0),"qty must be above 0; ","")&amp;IF(AND($E181="received",OR($I181="",$H181="")),"log lot and best-by; ","")&amp;IF(AND($P181="N",SUMIFS(inventory!$G$2:$G$801,inventory!$C$2:$C$801,$C181,inventory!$H$2:$H$801,$H181,inventory!$E$2:$E$801,"rejected")&lt;N($G181)),"UNDER "&amp;config!$B$19&amp;" DAYS LEFT ON THE DROP DAY: reject these units; ","")&amp;IF(AND($E181="delivered",COUNTIF(inventory!$R$2:$R$801,$R181)&gt;1),"two delivered rows for this office: use one; ","")&amp;IF(AND($E181="delivered",$J181=""),"who counted?; ",""))</f>
        <v/>
      </c>
      <c r="R181" s="25">
        <f>IF($C181="","",$C181&amp;"|"&amp;$D181&amp;"|"&amp;$E181)</f>
        <v/>
      </c>
    </row>
    <row r="182">
      <c r="A182" s="9" t="n"/>
      <c r="B182" s="33" t="n"/>
      <c r="I182" s="9" t="n"/>
      <c r="L182" s="26">
        <f>IF($C182="","",IFERROR(IF(INDEX(campaigns!$BG$2:$BG$51,MATCH($C182,campaigns!$A$2:$A$51,0))="","",INDEX(campaigns!$BG$2:$BG$51,MATCH($C182,campaigns!$A$2:$A$51,0))),""))</f>
        <v/>
      </c>
      <c r="M182" s="25">
        <f>IF($C182="","",IF(OR($E182="received"),N($G182),IF(OR($E182="rejected",$E182="delivered",$E182="topped_up"),-N($G182),IF(AND(OR($E182="returned_to_brand",$E182="given_to_roster_office",$E182="released_to_office",$E182="disposed"),IF($F182="","reserve",$F182)="reserve"),-N($G182),IF(AND($E182="correction",IF($F182="","reserve",$F182)="reserve"),N($G182),0)))))</f>
        <v/>
      </c>
      <c r="N182" s="25">
        <f>IF($C182="","",IF($E182="rejected",N($G182),IF(AND(OR($E182="returned_to_brand",$E182="given_to_roster_office",$E182="released_to_office",$E182="disposed"),IF($F182="","reserve",$F182)="rejected"),-N($G182),IF(AND($E182="correction",IF($F182="","reserve",$F182)="rejected"),N($G182),0))))</f>
        <v/>
      </c>
      <c r="O182" s="25">
        <f>IF($C182="","",IF($E182="collected",N($G182),IF(AND(OR($E182="returned_to_brand",$E182="given_to_roster_office",$E182="released_to_office",$E182="disposed"),IF($F182="","reserve",$F182)="leftover"),-N($G182),IF(AND($E182="correction",IF($F182="","reserve",$F182)="leftover"),N($G182),0))))</f>
        <v/>
      </c>
      <c r="P182" s="25">
        <f>IF(OR($E182&lt;&gt;"received",$I182="",$L182=""),"",IF($I182&gt;=$L182+config!$B$19,"Y","N"))</f>
        <v/>
      </c>
      <c r="Q182" s="25">
        <f>IF($C182="","",IF(COUNTIF(campaigns!$A$2:$A$51,$C182)=0,"campaign_id not on campaigns; ",IF(AND($D182&lt;&gt;"",COUNTIFS(approvals!$A$2:$A$251,$C182,approvals!$B$2:$B$251,$D182)=0),"office not on this campaign (approvals tab); ",""))&amp;IF(AND(OR($E182="delivered",$E182="topped_up",$E182="collected"),$D182=""),"office needed; ","")&amp;IF(AND($E182&lt;&gt;"correction",N($G182)&lt;=0),"qty must be above 0; ","")&amp;IF(AND($E182="received",OR($I182="",$H182="")),"log lot and best-by; ","")&amp;IF(AND($P182="N",SUMIFS(inventory!$G$2:$G$801,inventory!$C$2:$C$801,$C182,inventory!$H$2:$H$801,$H182,inventory!$E$2:$E$801,"rejected")&lt;N($G182)),"UNDER "&amp;config!$B$19&amp;" DAYS LEFT ON THE DROP DAY: reject these units; ","")&amp;IF(AND($E182="delivered",COUNTIF(inventory!$R$2:$R$801,$R182)&gt;1),"two delivered rows for this office: use one; ","")&amp;IF(AND($E182="delivered",$J182=""),"who counted?; ",""))</f>
        <v/>
      </c>
      <c r="R182" s="25">
        <f>IF($C182="","",$C182&amp;"|"&amp;$D182&amp;"|"&amp;$E182)</f>
        <v/>
      </c>
    </row>
    <row r="183">
      <c r="A183" s="9" t="n"/>
      <c r="B183" s="33" t="n"/>
      <c r="I183" s="9" t="n"/>
      <c r="L183" s="26">
        <f>IF($C183="","",IFERROR(IF(INDEX(campaigns!$BG$2:$BG$51,MATCH($C183,campaigns!$A$2:$A$51,0))="","",INDEX(campaigns!$BG$2:$BG$51,MATCH($C183,campaigns!$A$2:$A$51,0))),""))</f>
        <v/>
      </c>
      <c r="M183" s="25">
        <f>IF($C183="","",IF(OR($E183="received"),N($G183),IF(OR($E183="rejected",$E183="delivered",$E183="topped_up"),-N($G183),IF(AND(OR($E183="returned_to_brand",$E183="given_to_roster_office",$E183="released_to_office",$E183="disposed"),IF($F183="","reserve",$F183)="reserve"),-N($G183),IF(AND($E183="correction",IF($F183="","reserve",$F183)="reserve"),N($G183),0)))))</f>
        <v/>
      </c>
      <c r="N183" s="25">
        <f>IF($C183="","",IF($E183="rejected",N($G183),IF(AND(OR($E183="returned_to_brand",$E183="given_to_roster_office",$E183="released_to_office",$E183="disposed"),IF($F183="","reserve",$F183)="rejected"),-N($G183),IF(AND($E183="correction",IF($F183="","reserve",$F183)="rejected"),N($G183),0))))</f>
        <v/>
      </c>
      <c r="O183" s="25">
        <f>IF($C183="","",IF($E183="collected",N($G183),IF(AND(OR($E183="returned_to_brand",$E183="given_to_roster_office",$E183="released_to_office",$E183="disposed"),IF($F183="","reserve",$F183)="leftover"),-N($G183),IF(AND($E183="correction",IF($F183="","reserve",$F183)="leftover"),N($G183),0))))</f>
        <v/>
      </c>
      <c r="P183" s="25">
        <f>IF(OR($E183&lt;&gt;"received",$I183="",$L183=""),"",IF($I183&gt;=$L183+config!$B$19,"Y","N"))</f>
        <v/>
      </c>
      <c r="Q183" s="25">
        <f>IF($C183="","",IF(COUNTIF(campaigns!$A$2:$A$51,$C183)=0,"campaign_id not on campaigns; ",IF(AND($D183&lt;&gt;"",COUNTIFS(approvals!$A$2:$A$251,$C183,approvals!$B$2:$B$251,$D183)=0),"office not on this campaign (approvals tab); ",""))&amp;IF(AND(OR($E183="delivered",$E183="topped_up",$E183="collected"),$D183=""),"office needed; ","")&amp;IF(AND($E183&lt;&gt;"correction",N($G183)&lt;=0),"qty must be above 0; ","")&amp;IF(AND($E183="received",OR($I183="",$H183="")),"log lot and best-by; ","")&amp;IF(AND($P183="N",SUMIFS(inventory!$G$2:$G$801,inventory!$C$2:$C$801,$C183,inventory!$H$2:$H$801,$H183,inventory!$E$2:$E$801,"rejected")&lt;N($G183)),"UNDER "&amp;config!$B$19&amp;" DAYS LEFT ON THE DROP DAY: reject these units; ","")&amp;IF(AND($E183="delivered",COUNTIF(inventory!$R$2:$R$801,$R183)&gt;1),"two delivered rows for this office: use one; ","")&amp;IF(AND($E183="delivered",$J183=""),"who counted?; ",""))</f>
        <v/>
      </c>
      <c r="R183" s="25">
        <f>IF($C183="","",$C183&amp;"|"&amp;$D183&amp;"|"&amp;$E183)</f>
        <v/>
      </c>
    </row>
    <row r="184">
      <c r="A184" s="9" t="n"/>
      <c r="B184" s="33" t="n"/>
      <c r="I184" s="9" t="n"/>
      <c r="L184" s="26">
        <f>IF($C184="","",IFERROR(IF(INDEX(campaigns!$BG$2:$BG$51,MATCH($C184,campaigns!$A$2:$A$51,0))="","",INDEX(campaigns!$BG$2:$BG$51,MATCH($C184,campaigns!$A$2:$A$51,0))),""))</f>
        <v/>
      </c>
      <c r="M184" s="25">
        <f>IF($C184="","",IF(OR($E184="received"),N($G184),IF(OR($E184="rejected",$E184="delivered",$E184="topped_up"),-N($G184),IF(AND(OR($E184="returned_to_brand",$E184="given_to_roster_office",$E184="released_to_office",$E184="disposed"),IF($F184="","reserve",$F184)="reserve"),-N($G184),IF(AND($E184="correction",IF($F184="","reserve",$F184)="reserve"),N($G184),0)))))</f>
        <v/>
      </c>
      <c r="N184" s="25">
        <f>IF($C184="","",IF($E184="rejected",N($G184),IF(AND(OR($E184="returned_to_brand",$E184="given_to_roster_office",$E184="released_to_office",$E184="disposed"),IF($F184="","reserve",$F184)="rejected"),-N($G184),IF(AND($E184="correction",IF($F184="","reserve",$F184)="rejected"),N($G184),0))))</f>
        <v/>
      </c>
      <c r="O184" s="25">
        <f>IF($C184="","",IF($E184="collected",N($G184),IF(AND(OR($E184="returned_to_brand",$E184="given_to_roster_office",$E184="released_to_office",$E184="disposed"),IF($F184="","reserve",$F184)="leftover"),-N($G184),IF(AND($E184="correction",IF($F184="","reserve",$F184)="leftover"),N($G184),0))))</f>
        <v/>
      </c>
      <c r="P184" s="25">
        <f>IF(OR($E184&lt;&gt;"received",$I184="",$L184=""),"",IF($I184&gt;=$L184+config!$B$19,"Y","N"))</f>
        <v/>
      </c>
      <c r="Q184" s="25">
        <f>IF($C184="","",IF(COUNTIF(campaigns!$A$2:$A$51,$C184)=0,"campaign_id not on campaigns; ",IF(AND($D184&lt;&gt;"",COUNTIFS(approvals!$A$2:$A$251,$C184,approvals!$B$2:$B$251,$D184)=0),"office not on this campaign (approvals tab); ",""))&amp;IF(AND(OR($E184="delivered",$E184="topped_up",$E184="collected"),$D184=""),"office needed; ","")&amp;IF(AND($E184&lt;&gt;"correction",N($G184)&lt;=0),"qty must be above 0; ","")&amp;IF(AND($E184="received",OR($I184="",$H184="")),"log lot and best-by; ","")&amp;IF(AND($P184="N",SUMIFS(inventory!$G$2:$G$801,inventory!$C$2:$C$801,$C184,inventory!$H$2:$H$801,$H184,inventory!$E$2:$E$801,"rejected")&lt;N($G184)),"UNDER "&amp;config!$B$19&amp;" DAYS LEFT ON THE DROP DAY: reject these units; ","")&amp;IF(AND($E184="delivered",COUNTIF(inventory!$R$2:$R$801,$R184)&gt;1),"two delivered rows for this office: use one; ","")&amp;IF(AND($E184="delivered",$J184=""),"who counted?; ",""))</f>
        <v/>
      </c>
      <c r="R184" s="25">
        <f>IF($C184="","",$C184&amp;"|"&amp;$D184&amp;"|"&amp;$E184)</f>
        <v/>
      </c>
    </row>
    <row r="185">
      <c r="A185" s="9" t="n"/>
      <c r="B185" s="33" t="n"/>
      <c r="I185" s="9" t="n"/>
      <c r="L185" s="26">
        <f>IF($C185="","",IFERROR(IF(INDEX(campaigns!$BG$2:$BG$51,MATCH($C185,campaigns!$A$2:$A$51,0))="","",INDEX(campaigns!$BG$2:$BG$51,MATCH($C185,campaigns!$A$2:$A$51,0))),""))</f>
        <v/>
      </c>
      <c r="M185" s="25">
        <f>IF($C185="","",IF(OR($E185="received"),N($G185),IF(OR($E185="rejected",$E185="delivered",$E185="topped_up"),-N($G185),IF(AND(OR($E185="returned_to_brand",$E185="given_to_roster_office",$E185="released_to_office",$E185="disposed"),IF($F185="","reserve",$F185)="reserve"),-N($G185),IF(AND($E185="correction",IF($F185="","reserve",$F185)="reserve"),N($G185),0)))))</f>
        <v/>
      </c>
      <c r="N185" s="25">
        <f>IF($C185="","",IF($E185="rejected",N($G185),IF(AND(OR($E185="returned_to_brand",$E185="given_to_roster_office",$E185="released_to_office",$E185="disposed"),IF($F185="","reserve",$F185)="rejected"),-N($G185),IF(AND($E185="correction",IF($F185="","reserve",$F185)="rejected"),N($G185),0))))</f>
        <v/>
      </c>
      <c r="O185" s="25">
        <f>IF($C185="","",IF($E185="collected",N($G185),IF(AND(OR($E185="returned_to_brand",$E185="given_to_roster_office",$E185="released_to_office",$E185="disposed"),IF($F185="","reserve",$F185)="leftover"),-N($G185),IF(AND($E185="correction",IF($F185="","reserve",$F185)="leftover"),N($G185),0))))</f>
        <v/>
      </c>
      <c r="P185" s="25">
        <f>IF(OR($E185&lt;&gt;"received",$I185="",$L185=""),"",IF($I185&gt;=$L185+config!$B$19,"Y","N"))</f>
        <v/>
      </c>
      <c r="Q185" s="25">
        <f>IF($C185="","",IF(COUNTIF(campaigns!$A$2:$A$51,$C185)=0,"campaign_id not on campaigns; ",IF(AND($D185&lt;&gt;"",COUNTIFS(approvals!$A$2:$A$251,$C185,approvals!$B$2:$B$251,$D185)=0),"office not on this campaign (approvals tab); ",""))&amp;IF(AND(OR($E185="delivered",$E185="topped_up",$E185="collected"),$D185=""),"office needed; ","")&amp;IF(AND($E185&lt;&gt;"correction",N($G185)&lt;=0),"qty must be above 0; ","")&amp;IF(AND($E185="received",OR($I185="",$H185="")),"log lot and best-by; ","")&amp;IF(AND($P185="N",SUMIFS(inventory!$G$2:$G$801,inventory!$C$2:$C$801,$C185,inventory!$H$2:$H$801,$H185,inventory!$E$2:$E$801,"rejected")&lt;N($G185)),"UNDER "&amp;config!$B$19&amp;" DAYS LEFT ON THE DROP DAY: reject these units; ","")&amp;IF(AND($E185="delivered",COUNTIF(inventory!$R$2:$R$801,$R185)&gt;1),"two delivered rows for this office: use one; ","")&amp;IF(AND($E185="delivered",$J185=""),"who counted?; ",""))</f>
        <v/>
      </c>
      <c r="R185" s="25">
        <f>IF($C185="","",$C185&amp;"|"&amp;$D185&amp;"|"&amp;$E185)</f>
        <v/>
      </c>
    </row>
    <row r="186">
      <c r="A186" s="9" t="n"/>
      <c r="B186" s="33" t="n"/>
      <c r="I186" s="9" t="n"/>
      <c r="L186" s="26">
        <f>IF($C186="","",IFERROR(IF(INDEX(campaigns!$BG$2:$BG$51,MATCH($C186,campaigns!$A$2:$A$51,0))="","",INDEX(campaigns!$BG$2:$BG$51,MATCH($C186,campaigns!$A$2:$A$51,0))),""))</f>
        <v/>
      </c>
      <c r="M186" s="25">
        <f>IF($C186="","",IF(OR($E186="received"),N($G186),IF(OR($E186="rejected",$E186="delivered",$E186="topped_up"),-N($G186),IF(AND(OR($E186="returned_to_brand",$E186="given_to_roster_office",$E186="released_to_office",$E186="disposed"),IF($F186="","reserve",$F186)="reserve"),-N($G186),IF(AND($E186="correction",IF($F186="","reserve",$F186)="reserve"),N($G186),0)))))</f>
        <v/>
      </c>
      <c r="N186" s="25">
        <f>IF($C186="","",IF($E186="rejected",N($G186),IF(AND(OR($E186="returned_to_brand",$E186="given_to_roster_office",$E186="released_to_office",$E186="disposed"),IF($F186="","reserve",$F186)="rejected"),-N($G186),IF(AND($E186="correction",IF($F186="","reserve",$F186)="rejected"),N($G186),0))))</f>
        <v/>
      </c>
      <c r="O186" s="25">
        <f>IF($C186="","",IF($E186="collected",N($G186),IF(AND(OR($E186="returned_to_brand",$E186="given_to_roster_office",$E186="released_to_office",$E186="disposed"),IF($F186="","reserve",$F186)="leftover"),-N($G186),IF(AND($E186="correction",IF($F186="","reserve",$F186)="leftover"),N($G186),0))))</f>
        <v/>
      </c>
      <c r="P186" s="25">
        <f>IF(OR($E186&lt;&gt;"received",$I186="",$L186=""),"",IF($I186&gt;=$L186+config!$B$19,"Y","N"))</f>
        <v/>
      </c>
      <c r="Q186" s="25">
        <f>IF($C186="","",IF(COUNTIF(campaigns!$A$2:$A$51,$C186)=0,"campaign_id not on campaigns; ",IF(AND($D186&lt;&gt;"",COUNTIFS(approvals!$A$2:$A$251,$C186,approvals!$B$2:$B$251,$D186)=0),"office not on this campaign (approvals tab); ",""))&amp;IF(AND(OR($E186="delivered",$E186="topped_up",$E186="collected"),$D186=""),"office needed; ","")&amp;IF(AND($E186&lt;&gt;"correction",N($G186)&lt;=0),"qty must be above 0; ","")&amp;IF(AND($E186="received",OR($I186="",$H186="")),"log lot and best-by; ","")&amp;IF(AND($P186="N",SUMIFS(inventory!$G$2:$G$801,inventory!$C$2:$C$801,$C186,inventory!$H$2:$H$801,$H186,inventory!$E$2:$E$801,"rejected")&lt;N($G186)),"UNDER "&amp;config!$B$19&amp;" DAYS LEFT ON THE DROP DAY: reject these units; ","")&amp;IF(AND($E186="delivered",COUNTIF(inventory!$R$2:$R$801,$R186)&gt;1),"two delivered rows for this office: use one; ","")&amp;IF(AND($E186="delivered",$J186=""),"who counted?; ",""))</f>
        <v/>
      </c>
      <c r="R186" s="25">
        <f>IF($C186="","",$C186&amp;"|"&amp;$D186&amp;"|"&amp;$E186)</f>
        <v/>
      </c>
    </row>
    <row r="187">
      <c r="A187" s="9" t="n"/>
      <c r="B187" s="33" t="n"/>
      <c r="I187" s="9" t="n"/>
      <c r="L187" s="26">
        <f>IF($C187="","",IFERROR(IF(INDEX(campaigns!$BG$2:$BG$51,MATCH($C187,campaigns!$A$2:$A$51,0))="","",INDEX(campaigns!$BG$2:$BG$51,MATCH($C187,campaigns!$A$2:$A$51,0))),""))</f>
        <v/>
      </c>
      <c r="M187" s="25">
        <f>IF($C187="","",IF(OR($E187="received"),N($G187),IF(OR($E187="rejected",$E187="delivered",$E187="topped_up"),-N($G187),IF(AND(OR($E187="returned_to_brand",$E187="given_to_roster_office",$E187="released_to_office",$E187="disposed"),IF($F187="","reserve",$F187)="reserve"),-N($G187),IF(AND($E187="correction",IF($F187="","reserve",$F187)="reserve"),N($G187),0)))))</f>
        <v/>
      </c>
      <c r="N187" s="25">
        <f>IF($C187="","",IF($E187="rejected",N($G187),IF(AND(OR($E187="returned_to_brand",$E187="given_to_roster_office",$E187="released_to_office",$E187="disposed"),IF($F187="","reserve",$F187)="rejected"),-N($G187),IF(AND($E187="correction",IF($F187="","reserve",$F187)="rejected"),N($G187),0))))</f>
        <v/>
      </c>
      <c r="O187" s="25">
        <f>IF($C187="","",IF($E187="collected",N($G187),IF(AND(OR($E187="returned_to_brand",$E187="given_to_roster_office",$E187="released_to_office",$E187="disposed"),IF($F187="","reserve",$F187)="leftover"),-N($G187),IF(AND($E187="correction",IF($F187="","reserve",$F187)="leftover"),N($G187),0))))</f>
        <v/>
      </c>
      <c r="P187" s="25">
        <f>IF(OR($E187&lt;&gt;"received",$I187="",$L187=""),"",IF($I187&gt;=$L187+config!$B$19,"Y","N"))</f>
        <v/>
      </c>
      <c r="Q187" s="25">
        <f>IF($C187="","",IF(COUNTIF(campaigns!$A$2:$A$51,$C187)=0,"campaign_id not on campaigns; ",IF(AND($D187&lt;&gt;"",COUNTIFS(approvals!$A$2:$A$251,$C187,approvals!$B$2:$B$251,$D187)=0),"office not on this campaign (approvals tab); ",""))&amp;IF(AND(OR($E187="delivered",$E187="topped_up",$E187="collected"),$D187=""),"office needed; ","")&amp;IF(AND($E187&lt;&gt;"correction",N($G187)&lt;=0),"qty must be above 0; ","")&amp;IF(AND($E187="received",OR($I187="",$H187="")),"log lot and best-by; ","")&amp;IF(AND($P187="N",SUMIFS(inventory!$G$2:$G$801,inventory!$C$2:$C$801,$C187,inventory!$H$2:$H$801,$H187,inventory!$E$2:$E$801,"rejected")&lt;N($G187)),"UNDER "&amp;config!$B$19&amp;" DAYS LEFT ON THE DROP DAY: reject these units; ","")&amp;IF(AND($E187="delivered",COUNTIF(inventory!$R$2:$R$801,$R187)&gt;1),"two delivered rows for this office: use one; ","")&amp;IF(AND($E187="delivered",$J187=""),"who counted?; ",""))</f>
        <v/>
      </c>
      <c r="R187" s="25">
        <f>IF($C187="","",$C187&amp;"|"&amp;$D187&amp;"|"&amp;$E187)</f>
        <v/>
      </c>
    </row>
    <row r="188">
      <c r="A188" s="9" t="n"/>
      <c r="B188" s="33" t="n"/>
      <c r="I188" s="9" t="n"/>
      <c r="L188" s="26">
        <f>IF($C188="","",IFERROR(IF(INDEX(campaigns!$BG$2:$BG$51,MATCH($C188,campaigns!$A$2:$A$51,0))="","",INDEX(campaigns!$BG$2:$BG$51,MATCH($C188,campaigns!$A$2:$A$51,0))),""))</f>
        <v/>
      </c>
      <c r="M188" s="25">
        <f>IF($C188="","",IF(OR($E188="received"),N($G188),IF(OR($E188="rejected",$E188="delivered",$E188="topped_up"),-N($G188),IF(AND(OR($E188="returned_to_brand",$E188="given_to_roster_office",$E188="released_to_office",$E188="disposed"),IF($F188="","reserve",$F188)="reserve"),-N($G188),IF(AND($E188="correction",IF($F188="","reserve",$F188)="reserve"),N($G188),0)))))</f>
        <v/>
      </c>
      <c r="N188" s="25">
        <f>IF($C188="","",IF($E188="rejected",N($G188),IF(AND(OR($E188="returned_to_brand",$E188="given_to_roster_office",$E188="released_to_office",$E188="disposed"),IF($F188="","reserve",$F188)="rejected"),-N($G188),IF(AND($E188="correction",IF($F188="","reserve",$F188)="rejected"),N($G188),0))))</f>
        <v/>
      </c>
      <c r="O188" s="25">
        <f>IF($C188="","",IF($E188="collected",N($G188),IF(AND(OR($E188="returned_to_brand",$E188="given_to_roster_office",$E188="released_to_office",$E188="disposed"),IF($F188="","reserve",$F188)="leftover"),-N($G188),IF(AND($E188="correction",IF($F188="","reserve",$F188)="leftover"),N($G188),0))))</f>
        <v/>
      </c>
      <c r="P188" s="25">
        <f>IF(OR($E188&lt;&gt;"received",$I188="",$L188=""),"",IF($I188&gt;=$L188+config!$B$19,"Y","N"))</f>
        <v/>
      </c>
      <c r="Q188" s="25">
        <f>IF($C188="","",IF(COUNTIF(campaigns!$A$2:$A$51,$C188)=0,"campaign_id not on campaigns; ",IF(AND($D188&lt;&gt;"",COUNTIFS(approvals!$A$2:$A$251,$C188,approvals!$B$2:$B$251,$D188)=0),"office not on this campaign (approvals tab); ",""))&amp;IF(AND(OR($E188="delivered",$E188="topped_up",$E188="collected"),$D188=""),"office needed; ","")&amp;IF(AND($E188&lt;&gt;"correction",N($G188)&lt;=0),"qty must be above 0; ","")&amp;IF(AND($E188="received",OR($I188="",$H188="")),"log lot and best-by; ","")&amp;IF(AND($P188="N",SUMIFS(inventory!$G$2:$G$801,inventory!$C$2:$C$801,$C188,inventory!$H$2:$H$801,$H188,inventory!$E$2:$E$801,"rejected")&lt;N($G188)),"UNDER "&amp;config!$B$19&amp;" DAYS LEFT ON THE DROP DAY: reject these units; ","")&amp;IF(AND($E188="delivered",COUNTIF(inventory!$R$2:$R$801,$R188)&gt;1),"two delivered rows for this office: use one; ","")&amp;IF(AND($E188="delivered",$J188=""),"who counted?; ",""))</f>
        <v/>
      </c>
      <c r="R188" s="25">
        <f>IF($C188="","",$C188&amp;"|"&amp;$D188&amp;"|"&amp;$E188)</f>
        <v/>
      </c>
    </row>
    <row r="189">
      <c r="A189" s="9" t="n"/>
      <c r="B189" s="33" t="n"/>
      <c r="I189" s="9" t="n"/>
      <c r="L189" s="26">
        <f>IF($C189="","",IFERROR(IF(INDEX(campaigns!$BG$2:$BG$51,MATCH($C189,campaigns!$A$2:$A$51,0))="","",INDEX(campaigns!$BG$2:$BG$51,MATCH($C189,campaigns!$A$2:$A$51,0))),""))</f>
        <v/>
      </c>
      <c r="M189" s="25">
        <f>IF($C189="","",IF(OR($E189="received"),N($G189),IF(OR($E189="rejected",$E189="delivered",$E189="topped_up"),-N($G189),IF(AND(OR($E189="returned_to_brand",$E189="given_to_roster_office",$E189="released_to_office",$E189="disposed"),IF($F189="","reserve",$F189)="reserve"),-N($G189),IF(AND($E189="correction",IF($F189="","reserve",$F189)="reserve"),N($G189),0)))))</f>
        <v/>
      </c>
      <c r="N189" s="25">
        <f>IF($C189="","",IF($E189="rejected",N($G189),IF(AND(OR($E189="returned_to_brand",$E189="given_to_roster_office",$E189="released_to_office",$E189="disposed"),IF($F189="","reserve",$F189)="rejected"),-N($G189),IF(AND($E189="correction",IF($F189="","reserve",$F189)="rejected"),N($G189),0))))</f>
        <v/>
      </c>
      <c r="O189" s="25">
        <f>IF($C189="","",IF($E189="collected",N($G189),IF(AND(OR($E189="returned_to_brand",$E189="given_to_roster_office",$E189="released_to_office",$E189="disposed"),IF($F189="","reserve",$F189)="leftover"),-N($G189),IF(AND($E189="correction",IF($F189="","reserve",$F189)="leftover"),N($G189),0))))</f>
        <v/>
      </c>
      <c r="P189" s="25">
        <f>IF(OR($E189&lt;&gt;"received",$I189="",$L189=""),"",IF($I189&gt;=$L189+config!$B$19,"Y","N"))</f>
        <v/>
      </c>
      <c r="Q189" s="25">
        <f>IF($C189="","",IF(COUNTIF(campaigns!$A$2:$A$51,$C189)=0,"campaign_id not on campaigns; ",IF(AND($D189&lt;&gt;"",COUNTIFS(approvals!$A$2:$A$251,$C189,approvals!$B$2:$B$251,$D189)=0),"office not on this campaign (approvals tab); ",""))&amp;IF(AND(OR($E189="delivered",$E189="topped_up",$E189="collected"),$D189=""),"office needed; ","")&amp;IF(AND($E189&lt;&gt;"correction",N($G189)&lt;=0),"qty must be above 0; ","")&amp;IF(AND($E189="received",OR($I189="",$H189="")),"log lot and best-by; ","")&amp;IF(AND($P189="N",SUMIFS(inventory!$G$2:$G$801,inventory!$C$2:$C$801,$C189,inventory!$H$2:$H$801,$H189,inventory!$E$2:$E$801,"rejected")&lt;N($G189)),"UNDER "&amp;config!$B$19&amp;" DAYS LEFT ON THE DROP DAY: reject these units; ","")&amp;IF(AND($E189="delivered",COUNTIF(inventory!$R$2:$R$801,$R189)&gt;1),"two delivered rows for this office: use one; ","")&amp;IF(AND($E189="delivered",$J189=""),"who counted?; ",""))</f>
        <v/>
      </c>
      <c r="R189" s="25">
        <f>IF($C189="","",$C189&amp;"|"&amp;$D189&amp;"|"&amp;$E189)</f>
        <v/>
      </c>
    </row>
    <row r="190">
      <c r="A190" s="9" t="n"/>
      <c r="B190" s="33" t="n"/>
      <c r="I190" s="9" t="n"/>
      <c r="L190" s="26">
        <f>IF($C190="","",IFERROR(IF(INDEX(campaigns!$BG$2:$BG$51,MATCH($C190,campaigns!$A$2:$A$51,0))="","",INDEX(campaigns!$BG$2:$BG$51,MATCH($C190,campaigns!$A$2:$A$51,0))),""))</f>
        <v/>
      </c>
      <c r="M190" s="25">
        <f>IF($C190="","",IF(OR($E190="received"),N($G190),IF(OR($E190="rejected",$E190="delivered",$E190="topped_up"),-N($G190),IF(AND(OR($E190="returned_to_brand",$E190="given_to_roster_office",$E190="released_to_office",$E190="disposed"),IF($F190="","reserve",$F190)="reserve"),-N($G190),IF(AND($E190="correction",IF($F190="","reserve",$F190)="reserve"),N($G190),0)))))</f>
        <v/>
      </c>
      <c r="N190" s="25">
        <f>IF($C190="","",IF($E190="rejected",N($G190),IF(AND(OR($E190="returned_to_brand",$E190="given_to_roster_office",$E190="released_to_office",$E190="disposed"),IF($F190="","reserve",$F190)="rejected"),-N($G190),IF(AND($E190="correction",IF($F190="","reserve",$F190)="rejected"),N($G190),0))))</f>
        <v/>
      </c>
      <c r="O190" s="25">
        <f>IF($C190="","",IF($E190="collected",N($G190),IF(AND(OR($E190="returned_to_brand",$E190="given_to_roster_office",$E190="released_to_office",$E190="disposed"),IF($F190="","reserve",$F190)="leftover"),-N($G190),IF(AND($E190="correction",IF($F190="","reserve",$F190)="leftover"),N($G190),0))))</f>
        <v/>
      </c>
      <c r="P190" s="25">
        <f>IF(OR($E190&lt;&gt;"received",$I190="",$L190=""),"",IF($I190&gt;=$L190+config!$B$19,"Y","N"))</f>
        <v/>
      </c>
      <c r="Q190" s="25">
        <f>IF($C190="","",IF(COUNTIF(campaigns!$A$2:$A$51,$C190)=0,"campaign_id not on campaigns; ",IF(AND($D190&lt;&gt;"",COUNTIFS(approvals!$A$2:$A$251,$C190,approvals!$B$2:$B$251,$D190)=0),"office not on this campaign (approvals tab); ",""))&amp;IF(AND(OR($E190="delivered",$E190="topped_up",$E190="collected"),$D190=""),"office needed; ","")&amp;IF(AND($E190&lt;&gt;"correction",N($G190)&lt;=0),"qty must be above 0; ","")&amp;IF(AND($E190="received",OR($I190="",$H190="")),"log lot and best-by; ","")&amp;IF(AND($P190="N",SUMIFS(inventory!$G$2:$G$801,inventory!$C$2:$C$801,$C190,inventory!$H$2:$H$801,$H190,inventory!$E$2:$E$801,"rejected")&lt;N($G190)),"UNDER "&amp;config!$B$19&amp;" DAYS LEFT ON THE DROP DAY: reject these units; ","")&amp;IF(AND($E190="delivered",COUNTIF(inventory!$R$2:$R$801,$R190)&gt;1),"two delivered rows for this office: use one; ","")&amp;IF(AND($E190="delivered",$J190=""),"who counted?; ",""))</f>
        <v/>
      </c>
      <c r="R190" s="25">
        <f>IF($C190="","",$C190&amp;"|"&amp;$D190&amp;"|"&amp;$E190)</f>
        <v/>
      </c>
    </row>
    <row r="191">
      <c r="A191" s="9" t="n"/>
      <c r="B191" s="33" t="n"/>
      <c r="I191" s="9" t="n"/>
      <c r="L191" s="26">
        <f>IF($C191="","",IFERROR(IF(INDEX(campaigns!$BG$2:$BG$51,MATCH($C191,campaigns!$A$2:$A$51,0))="","",INDEX(campaigns!$BG$2:$BG$51,MATCH($C191,campaigns!$A$2:$A$51,0))),""))</f>
        <v/>
      </c>
      <c r="M191" s="25">
        <f>IF($C191="","",IF(OR($E191="received"),N($G191),IF(OR($E191="rejected",$E191="delivered",$E191="topped_up"),-N($G191),IF(AND(OR($E191="returned_to_brand",$E191="given_to_roster_office",$E191="released_to_office",$E191="disposed"),IF($F191="","reserve",$F191)="reserve"),-N($G191),IF(AND($E191="correction",IF($F191="","reserve",$F191)="reserve"),N($G191),0)))))</f>
        <v/>
      </c>
      <c r="N191" s="25">
        <f>IF($C191="","",IF($E191="rejected",N($G191),IF(AND(OR($E191="returned_to_brand",$E191="given_to_roster_office",$E191="released_to_office",$E191="disposed"),IF($F191="","reserve",$F191)="rejected"),-N($G191),IF(AND($E191="correction",IF($F191="","reserve",$F191)="rejected"),N($G191),0))))</f>
        <v/>
      </c>
      <c r="O191" s="25">
        <f>IF($C191="","",IF($E191="collected",N($G191),IF(AND(OR($E191="returned_to_brand",$E191="given_to_roster_office",$E191="released_to_office",$E191="disposed"),IF($F191="","reserve",$F191)="leftover"),-N($G191),IF(AND($E191="correction",IF($F191="","reserve",$F191)="leftover"),N($G191),0))))</f>
        <v/>
      </c>
      <c r="P191" s="25">
        <f>IF(OR($E191&lt;&gt;"received",$I191="",$L191=""),"",IF($I191&gt;=$L191+config!$B$19,"Y","N"))</f>
        <v/>
      </c>
      <c r="Q191" s="25">
        <f>IF($C191="","",IF(COUNTIF(campaigns!$A$2:$A$51,$C191)=0,"campaign_id not on campaigns; ",IF(AND($D191&lt;&gt;"",COUNTIFS(approvals!$A$2:$A$251,$C191,approvals!$B$2:$B$251,$D191)=0),"office not on this campaign (approvals tab); ",""))&amp;IF(AND(OR($E191="delivered",$E191="topped_up",$E191="collected"),$D191=""),"office needed; ","")&amp;IF(AND($E191&lt;&gt;"correction",N($G191)&lt;=0),"qty must be above 0; ","")&amp;IF(AND($E191="received",OR($I191="",$H191="")),"log lot and best-by; ","")&amp;IF(AND($P191="N",SUMIFS(inventory!$G$2:$G$801,inventory!$C$2:$C$801,$C191,inventory!$H$2:$H$801,$H191,inventory!$E$2:$E$801,"rejected")&lt;N($G191)),"UNDER "&amp;config!$B$19&amp;" DAYS LEFT ON THE DROP DAY: reject these units; ","")&amp;IF(AND($E191="delivered",COUNTIF(inventory!$R$2:$R$801,$R191)&gt;1),"two delivered rows for this office: use one; ","")&amp;IF(AND($E191="delivered",$J191=""),"who counted?; ",""))</f>
        <v/>
      </c>
      <c r="R191" s="25">
        <f>IF($C191="","",$C191&amp;"|"&amp;$D191&amp;"|"&amp;$E191)</f>
        <v/>
      </c>
    </row>
    <row r="192">
      <c r="A192" s="9" t="n"/>
      <c r="B192" s="33" t="n"/>
      <c r="I192" s="9" t="n"/>
      <c r="L192" s="26">
        <f>IF($C192="","",IFERROR(IF(INDEX(campaigns!$BG$2:$BG$51,MATCH($C192,campaigns!$A$2:$A$51,0))="","",INDEX(campaigns!$BG$2:$BG$51,MATCH($C192,campaigns!$A$2:$A$51,0))),""))</f>
        <v/>
      </c>
      <c r="M192" s="25">
        <f>IF($C192="","",IF(OR($E192="received"),N($G192),IF(OR($E192="rejected",$E192="delivered",$E192="topped_up"),-N($G192),IF(AND(OR($E192="returned_to_brand",$E192="given_to_roster_office",$E192="released_to_office",$E192="disposed"),IF($F192="","reserve",$F192)="reserve"),-N($G192),IF(AND($E192="correction",IF($F192="","reserve",$F192)="reserve"),N($G192),0)))))</f>
        <v/>
      </c>
      <c r="N192" s="25">
        <f>IF($C192="","",IF($E192="rejected",N($G192),IF(AND(OR($E192="returned_to_brand",$E192="given_to_roster_office",$E192="released_to_office",$E192="disposed"),IF($F192="","reserve",$F192)="rejected"),-N($G192),IF(AND($E192="correction",IF($F192="","reserve",$F192)="rejected"),N($G192),0))))</f>
        <v/>
      </c>
      <c r="O192" s="25">
        <f>IF($C192="","",IF($E192="collected",N($G192),IF(AND(OR($E192="returned_to_brand",$E192="given_to_roster_office",$E192="released_to_office",$E192="disposed"),IF($F192="","reserve",$F192)="leftover"),-N($G192),IF(AND($E192="correction",IF($F192="","reserve",$F192)="leftover"),N($G192),0))))</f>
        <v/>
      </c>
      <c r="P192" s="25">
        <f>IF(OR($E192&lt;&gt;"received",$I192="",$L192=""),"",IF($I192&gt;=$L192+config!$B$19,"Y","N"))</f>
        <v/>
      </c>
      <c r="Q192" s="25">
        <f>IF($C192="","",IF(COUNTIF(campaigns!$A$2:$A$51,$C192)=0,"campaign_id not on campaigns; ",IF(AND($D192&lt;&gt;"",COUNTIFS(approvals!$A$2:$A$251,$C192,approvals!$B$2:$B$251,$D192)=0),"office not on this campaign (approvals tab); ",""))&amp;IF(AND(OR($E192="delivered",$E192="topped_up",$E192="collected"),$D192=""),"office needed; ","")&amp;IF(AND($E192&lt;&gt;"correction",N($G192)&lt;=0),"qty must be above 0; ","")&amp;IF(AND($E192="received",OR($I192="",$H192="")),"log lot and best-by; ","")&amp;IF(AND($P192="N",SUMIFS(inventory!$G$2:$G$801,inventory!$C$2:$C$801,$C192,inventory!$H$2:$H$801,$H192,inventory!$E$2:$E$801,"rejected")&lt;N($G192)),"UNDER "&amp;config!$B$19&amp;" DAYS LEFT ON THE DROP DAY: reject these units; ","")&amp;IF(AND($E192="delivered",COUNTIF(inventory!$R$2:$R$801,$R192)&gt;1),"two delivered rows for this office: use one; ","")&amp;IF(AND($E192="delivered",$J192=""),"who counted?; ",""))</f>
        <v/>
      </c>
      <c r="R192" s="25">
        <f>IF($C192="","",$C192&amp;"|"&amp;$D192&amp;"|"&amp;$E192)</f>
        <v/>
      </c>
    </row>
    <row r="193">
      <c r="A193" s="9" t="n"/>
      <c r="B193" s="33" t="n"/>
      <c r="I193" s="9" t="n"/>
      <c r="L193" s="26">
        <f>IF($C193="","",IFERROR(IF(INDEX(campaigns!$BG$2:$BG$51,MATCH($C193,campaigns!$A$2:$A$51,0))="","",INDEX(campaigns!$BG$2:$BG$51,MATCH($C193,campaigns!$A$2:$A$51,0))),""))</f>
        <v/>
      </c>
      <c r="M193" s="25">
        <f>IF($C193="","",IF(OR($E193="received"),N($G193),IF(OR($E193="rejected",$E193="delivered",$E193="topped_up"),-N($G193),IF(AND(OR($E193="returned_to_brand",$E193="given_to_roster_office",$E193="released_to_office",$E193="disposed"),IF($F193="","reserve",$F193)="reserve"),-N($G193),IF(AND($E193="correction",IF($F193="","reserve",$F193)="reserve"),N($G193),0)))))</f>
        <v/>
      </c>
      <c r="N193" s="25">
        <f>IF($C193="","",IF($E193="rejected",N($G193),IF(AND(OR($E193="returned_to_brand",$E193="given_to_roster_office",$E193="released_to_office",$E193="disposed"),IF($F193="","reserve",$F193)="rejected"),-N($G193),IF(AND($E193="correction",IF($F193="","reserve",$F193)="rejected"),N($G193),0))))</f>
        <v/>
      </c>
      <c r="O193" s="25">
        <f>IF($C193="","",IF($E193="collected",N($G193),IF(AND(OR($E193="returned_to_brand",$E193="given_to_roster_office",$E193="released_to_office",$E193="disposed"),IF($F193="","reserve",$F193)="leftover"),-N($G193),IF(AND($E193="correction",IF($F193="","reserve",$F193)="leftover"),N($G193),0))))</f>
        <v/>
      </c>
      <c r="P193" s="25">
        <f>IF(OR($E193&lt;&gt;"received",$I193="",$L193=""),"",IF($I193&gt;=$L193+config!$B$19,"Y","N"))</f>
        <v/>
      </c>
      <c r="Q193" s="25">
        <f>IF($C193="","",IF(COUNTIF(campaigns!$A$2:$A$51,$C193)=0,"campaign_id not on campaigns; ",IF(AND($D193&lt;&gt;"",COUNTIFS(approvals!$A$2:$A$251,$C193,approvals!$B$2:$B$251,$D193)=0),"office not on this campaign (approvals tab); ",""))&amp;IF(AND(OR($E193="delivered",$E193="topped_up",$E193="collected"),$D193=""),"office needed; ","")&amp;IF(AND($E193&lt;&gt;"correction",N($G193)&lt;=0),"qty must be above 0; ","")&amp;IF(AND($E193="received",OR($I193="",$H193="")),"log lot and best-by; ","")&amp;IF(AND($P193="N",SUMIFS(inventory!$G$2:$G$801,inventory!$C$2:$C$801,$C193,inventory!$H$2:$H$801,$H193,inventory!$E$2:$E$801,"rejected")&lt;N($G193)),"UNDER "&amp;config!$B$19&amp;" DAYS LEFT ON THE DROP DAY: reject these units; ","")&amp;IF(AND($E193="delivered",COUNTIF(inventory!$R$2:$R$801,$R193)&gt;1),"two delivered rows for this office: use one; ","")&amp;IF(AND($E193="delivered",$J193=""),"who counted?; ",""))</f>
        <v/>
      </c>
      <c r="R193" s="25">
        <f>IF($C193="","",$C193&amp;"|"&amp;$D193&amp;"|"&amp;$E193)</f>
        <v/>
      </c>
    </row>
    <row r="194">
      <c r="A194" s="9" t="n"/>
      <c r="B194" s="33" t="n"/>
      <c r="I194" s="9" t="n"/>
      <c r="L194" s="26">
        <f>IF($C194="","",IFERROR(IF(INDEX(campaigns!$BG$2:$BG$51,MATCH($C194,campaigns!$A$2:$A$51,0))="","",INDEX(campaigns!$BG$2:$BG$51,MATCH($C194,campaigns!$A$2:$A$51,0))),""))</f>
        <v/>
      </c>
      <c r="M194" s="25">
        <f>IF($C194="","",IF(OR($E194="received"),N($G194),IF(OR($E194="rejected",$E194="delivered",$E194="topped_up"),-N($G194),IF(AND(OR($E194="returned_to_brand",$E194="given_to_roster_office",$E194="released_to_office",$E194="disposed"),IF($F194="","reserve",$F194)="reserve"),-N($G194),IF(AND($E194="correction",IF($F194="","reserve",$F194)="reserve"),N($G194),0)))))</f>
        <v/>
      </c>
      <c r="N194" s="25">
        <f>IF($C194="","",IF($E194="rejected",N($G194),IF(AND(OR($E194="returned_to_brand",$E194="given_to_roster_office",$E194="released_to_office",$E194="disposed"),IF($F194="","reserve",$F194)="rejected"),-N($G194),IF(AND($E194="correction",IF($F194="","reserve",$F194)="rejected"),N($G194),0))))</f>
        <v/>
      </c>
      <c r="O194" s="25">
        <f>IF($C194="","",IF($E194="collected",N($G194),IF(AND(OR($E194="returned_to_brand",$E194="given_to_roster_office",$E194="released_to_office",$E194="disposed"),IF($F194="","reserve",$F194)="leftover"),-N($G194),IF(AND($E194="correction",IF($F194="","reserve",$F194)="leftover"),N($G194),0))))</f>
        <v/>
      </c>
      <c r="P194" s="25">
        <f>IF(OR($E194&lt;&gt;"received",$I194="",$L194=""),"",IF($I194&gt;=$L194+config!$B$19,"Y","N"))</f>
        <v/>
      </c>
      <c r="Q194" s="25">
        <f>IF($C194="","",IF(COUNTIF(campaigns!$A$2:$A$51,$C194)=0,"campaign_id not on campaigns; ",IF(AND($D194&lt;&gt;"",COUNTIFS(approvals!$A$2:$A$251,$C194,approvals!$B$2:$B$251,$D194)=0),"office not on this campaign (approvals tab); ",""))&amp;IF(AND(OR($E194="delivered",$E194="topped_up",$E194="collected"),$D194=""),"office needed; ","")&amp;IF(AND($E194&lt;&gt;"correction",N($G194)&lt;=0),"qty must be above 0; ","")&amp;IF(AND($E194="received",OR($I194="",$H194="")),"log lot and best-by; ","")&amp;IF(AND($P194="N",SUMIFS(inventory!$G$2:$G$801,inventory!$C$2:$C$801,$C194,inventory!$H$2:$H$801,$H194,inventory!$E$2:$E$801,"rejected")&lt;N($G194)),"UNDER "&amp;config!$B$19&amp;" DAYS LEFT ON THE DROP DAY: reject these units; ","")&amp;IF(AND($E194="delivered",COUNTIF(inventory!$R$2:$R$801,$R194)&gt;1),"two delivered rows for this office: use one; ","")&amp;IF(AND($E194="delivered",$J194=""),"who counted?; ",""))</f>
        <v/>
      </c>
      <c r="R194" s="25">
        <f>IF($C194="","",$C194&amp;"|"&amp;$D194&amp;"|"&amp;$E194)</f>
        <v/>
      </c>
    </row>
    <row r="195">
      <c r="A195" s="9" t="n"/>
      <c r="B195" s="33" t="n"/>
      <c r="I195" s="9" t="n"/>
      <c r="L195" s="26">
        <f>IF($C195="","",IFERROR(IF(INDEX(campaigns!$BG$2:$BG$51,MATCH($C195,campaigns!$A$2:$A$51,0))="","",INDEX(campaigns!$BG$2:$BG$51,MATCH($C195,campaigns!$A$2:$A$51,0))),""))</f>
        <v/>
      </c>
      <c r="M195" s="25">
        <f>IF($C195="","",IF(OR($E195="received"),N($G195),IF(OR($E195="rejected",$E195="delivered",$E195="topped_up"),-N($G195),IF(AND(OR($E195="returned_to_brand",$E195="given_to_roster_office",$E195="released_to_office",$E195="disposed"),IF($F195="","reserve",$F195)="reserve"),-N($G195),IF(AND($E195="correction",IF($F195="","reserve",$F195)="reserve"),N($G195),0)))))</f>
        <v/>
      </c>
      <c r="N195" s="25">
        <f>IF($C195="","",IF($E195="rejected",N($G195),IF(AND(OR($E195="returned_to_brand",$E195="given_to_roster_office",$E195="released_to_office",$E195="disposed"),IF($F195="","reserve",$F195)="rejected"),-N($G195),IF(AND($E195="correction",IF($F195="","reserve",$F195)="rejected"),N($G195),0))))</f>
        <v/>
      </c>
      <c r="O195" s="25">
        <f>IF($C195="","",IF($E195="collected",N($G195),IF(AND(OR($E195="returned_to_brand",$E195="given_to_roster_office",$E195="released_to_office",$E195="disposed"),IF($F195="","reserve",$F195)="leftover"),-N($G195),IF(AND($E195="correction",IF($F195="","reserve",$F195)="leftover"),N($G195),0))))</f>
        <v/>
      </c>
      <c r="P195" s="25">
        <f>IF(OR($E195&lt;&gt;"received",$I195="",$L195=""),"",IF($I195&gt;=$L195+config!$B$19,"Y","N"))</f>
        <v/>
      </c>
      <c r="Q195" s="25">
        <f>IF($C195="","",IF(COUNTIF(campaigns!$A$2:$A$51,$C195)=0,"campaign_id not on campaigns; ",IF(AND($D195&lt;&gt;"",COUNTIFS(approvals!$A$2:$A$251,$C195,approvals!$B$2:$B$251,$D195)=0),"office not on this campaign (approvals tab); ",""))&amp;IF(AND(OR($E195="delivered",$E195="topped_up",$E195="collected"),$D195=""),"office needed; ","")&amp;IF(AND($E195&lt;&gt;"correction",N($G195)&lt;=0),"qty must be above 0; ","")&amp;IF(AND($E195="received",OR($I195="",$H195="")),"log lot and best-by; ","")&amp;IF(AND($P195="N",SUMIFS(inventory!$G$2:$G$801,inventory!$C$2:$C$801,$C195,inventory!$H$2:$H$801,$H195,inventory!$E$2:$E$801,"rejected")&lt;N($G195)),"UNDER "&amp;config!$B$19&amp;" DAYS LEFT ON THE DROP DAY: reject these units; ","")&amp;IF(AND($E195="delivered",COUNTIF(inventory!$R$2:$R$801,$R195)&gt;1),"two delivered rows for this office: use one; ","")&amp;IF(AND($E195="delivered",$J195=""),"who counted?; ",""))</f>
        <v/>
      </c>
      <c r="R195" s="25">
        <f>IF($C195="","",$C195&amp;"|"&amp;$D195&amp;"|"&amp;$E195)</f>
        <v/>
      </c>
    </row>
    <row r="196">
      <c r="A196" s="9" t="n"/>
      <c r="B196" s="33" t="n"/>
      <c r="I196" s="9" t="n"/>
      <c r="L196" s="26">
        <f>IF($C196="","",IFERROR(IF(INDEX(campaigns!$BG$2:$BG$51,MATCH($C196,campaigns!$A$2:$A$51,0))="","",INDEX(campaigns!$BG$2:$BG$51,MATCH($C196,campaigns!$A$2:$A$51,0))),""))</f>
        <v/>
      </c>
      <c r="M196" s="25">
        <f>IF($C196="","",IF(OR($E196="received"),N($G196),IF(OR($E196="rejected",$E196="delivered",$E196="topped_up"),-N($G196),IF(AND(OR($E196="returned_to_brand",$E196="given_to_roster_office",$E196="released_to_office",$E196="disposed"),IF($F196="","reserve",$F196)="reserve"),-N($G196),IF(AND($E196="correction",IF($F196="","reserve",$F196)="reserve"),N($G196),0)))))</f>
        <v/>
      </c>
      <c r="N196" s="25">
        <f>IF($C196="","",IF($E196="rejected",N($G196),IF(AND(OR($E196="returned_to_brand",$E196="given_to_roster_office",$E196="released_to_office",$E196="disposed"),IF($F196="","reserve",$F196)="rejected"),-N($G196),IF(AND($E196="correction",IF($F196="","reserve",$F196)="rejected"),N($G196),0))))</f>
        <v/>
      </c>
      <c r="O196" s="25">
        <f>IF($C196="","",IF($E196="collected",N($G196),IF(AND(OR($E196="returned_to_brand",$E196="given_to_roster_office",$E196="released_to_office",$E196="disposed"),IF($F196="","reserve",$F196)="leftover"),-N($G196),IF(AND($E196="correction",IF($F196="","reserve",$F196)="leftover"),N($G196),0))))</f>
        <v/>
      </c>
      <c r="P196" s="25">
        <f>IF(OR($E196&lt;&gt;"received",$I196="",$L196=""),"",IF($I196&gt;=$L196+config!$B$19,"Y","N"))</f>
        <v/>
      </c>
      <c r="Q196" s="25">
        <f>IF($C196="","",IF(COUNTIF(campaigns!$A$2:$A$51,$C196)=0,"campaign_id not on campaigns; ",IF(AND($D196&lt;&gt;"",COUNTIFS(approvals!$A$2:$A$251,$C196,approvals!$B$2:$B$251,$D196)=0),"office not on this campaign (approvals tab); ",""))&amp;IF(AND(OR($E196="delivered",$E196="topped_up",$E196="collected"),$D196=""),"office needed; ","")&amp;IF(AND($E196&lt;&gt;"correction",N($G196)&lt;=0),"qty must be above 0; ","")&amp;IF(AND($E196="received",OR($I196="",$H196="")),"log lot and best-by; ","")&amp;IF(AND($P196="N",SUMIFS(inventory!$G$2:$G$801,inventory!$C$2:$C$801,$C196,inventory!$H$2:$H$801,$H196,inventory!$E$2:$E$801,"rejected")&lt;N($G196)),"UNDER "&amp;config!$B$19&amp;" DAYS LEFT ON THE DROP DAY: reject these units; ","")&amp;IF(AND($E196="delivered",COUNTIF(inventory!$R$2:$R$801,$R196)&gt;1),"two delivered rows for this office: use one; ","")&amp;IF(AND($E196="delivered",$J196=""),"who counted?; ",""))</f>
        <v/>
      </c>
      <c r="R196" s="25">
        <f>IF($C196="","",$C196&amp;"|"&amp;$D196&amp;"|"&amp;$E196)</f>
        <v/>
      </c>
    </row>
    <row r="197">
      <c r="A197" s="9" t="n"/>
      <c r="B197" s="33" t="n"/>
      <c r="I197" s="9" t="n"/>
      <c r="L197" s="26">
        <f>IF($C197="","",IFERROR(IF(INDEX(campaigns!$BG$2:$BG$51,MATCH($C197,campaigns!$A$2:$A$51,0))="","",INDEX(campaigns!$BG$2:$BG$51,MATCH($C197,campaigns!$A$2:$A$51,0))),""))</f>
        <v/>
      </c>
      <c r="M197" s="25">
        <f>IF($C197="","",IF(OR($E197="received"),N($G197),IF(OR($E197="rejected",$E197="delivered",$E197="topped_up"),-N($G197),IF(AND(OR($E197="returned_to_brand",$E197="given_to_roster_office",$E197="released_to_office",$E197="disposed"),IF($F197="","reserve",$F197)="reserve"),-N($G197),IF(AND($E197="correction",IF($F197="","reserve",$F197)="reserve"),N($G197),0)))))</f>
        <v/>
      </c>
      <c r="N197" s="25">
        <f>IF($C197="","",IF($E197="rejected",N($G197),IF(AND(OR($E197="returned_to_brand",$E197="given_to_roster_office",$E197="released_to_office",$E197="disposed"),IF($F197="","reserve",$F197)="rejected"),-N($G197),IF(AND($E197="correction",IF($F197="","reserve",$F197)="rejected"),N($G197),0))))</f>
        <v/>
      </c>
      <c r="O197" s="25">
        <f>IF($C197="","",IF($E197="collected",N($G197),IF(AND(OR($E197="returned_to_brand",$E197="given_to_roster_office",$E197="released_to_office",$E197="disposed"),IF($F197="","reserve",$F197)="leftover"),-N($G197),IF(AND($E197="correction",IF($F197="","reserve",$F197)="leftover"),N($G197),0))))</f>
        <v/>
      </c>
      <c r="P197" s="25">
        <f>IF(OR($E197&lt;&gt;"received",$I197="",$L197=""),"",IF($I197&gt;=$L197+config!$B$19,"Y","N"))</f>
        <v/>
      </c>
      <c r="Q197" s="25">
        <f>IF($C197="","",IF(COUNTIF(campaigns!$A$2:$A$51,$C197)=0,"campaign_id not on campaigns; ",IF(AND($D197&lt;&gt;"",COUNTIFS(approvals!$A$2:$A$251,$C197,approvals!$B$2:$B$251,$D197)=0),"office not on this campaign (approvals tab); ",""))&amp;IF(AND(OR($E197="delivered",$E197="topped_up",$E197="collected"),$D197=""),"office needed; ","")&amp;IF(AND($E197&lt;&gt;"correction",N($G197)&lt;=0),"qty must be above 0; ","")&amp;IF(AND($E197="received",OR($I197="",$H197="")),"log lot and best-by; ","")&amp;IF(AND($P197="N",SUMIFS(inventory!$G$2:$G$801,inventory!$C$2:$C$801,$C197,inventory!$H$2:$H$801,$H197,inventory!$E$2:$E$801,"rejected")&lt;N($G197)),"UNDER "&amp;config!$B$19&amp;" DAYS LEFT ON THE DROP DAY: reject these units; ","")&amp;IF(AND($E197="delivered",COUNTIF(inventory!$R$2:$R$801,$R197)&gt;1),"two delivered rows for this office: use one; ","")&amp;IF(AND($E197="delivered",$J197=""),"who counted?; ",""))</f>
        <v/>
      </c>
      <c r="R197" s="25">
        <f>IF($C197="","",$C197&amp;"|"&amp;$D197&amp;"|"&amp;$E197)</f>
        <v/>
      </c>
    </row>
    <row r="198">
      <c r="A198" s="9" t="n"/>
      <c r="B198" s="33" t="n"/>
      <c r="I198" s="9" t="n"/>
      <c r="L198" s="26">
        <f>IF($C198="","",IFERROR(IF(INDEX(campaigns!$BG$2:$BG$51,MATCH($C198,campaigns!$A$2:$A$51,0))="","",INDEX(campaigns!$BG$2:$BG$51,MATCH($C198,campaigns!$A$2:$A$51,0))),""))</f>
        <v/>
      </c>
      <c r="M198" s="25">
        <f>IF($C198="","",IF(OR($E198="received"),N($G198),IF(OR($E198="rejected",$E198="delivered",$E198="topped_up"),-N($G198),IF(AND(OR($E198="returned_to_brand",$E198="given_to_roster_office",$E198="released_to_office",$E198="disposed"),IF($F198="","reserve",$F198)="reserve"),-N($G198),IF(AND($E198="correction",IF($F198="","reserve",$F198)="reserve"),N($G198),0)))))</f>
        <v/>
      </c>
      <c r="N198" s="25">
        <f>IF($C198="","",IF($E198="rejected",N($G198),IF(AND(OR($E198="returned_to_brand",$E198="given_to_roster_office",$E198="released_to_office",$E198="disposed"),IF($F198="","reserve",$F198)="rejected"),-N($G198),IF(AND($E198="correction",IF($F198="","reserve",$F198)="rejected"),N($G198),0))))</f>
        <v/>
      </c>
      <c r="O198" s="25">
        <f>IF($C198="","",IF($E198="collected",N($G198),IF(AND(OR($E198="returned_to_brand",$E198="given_to_roster_office",$E198="released_to_office",$E198="disposed"),IF($F198="","reserve",$F198)="leftover"),-N($G198),IF(AND($E198="correction",IF($F198="","reserve",$F198)="leftover"),N($G198),0))))</f>
        <v/>
      </c>
      <c r="P198" s="25">
        <f>IF(OR($E198&lt;&gt;"received",$I198="",$L198=""),"",IF($I198&gt;=$L198+config!$B$19,"Y","N"))</f>
        <v/>
      </c>
      <c r="Q198" s="25">
        <f>IF($C198="","",IF(COUNTIF(campaigns!$A$2:$A$51,$C198)=0,"campaign_id not on campaigns; ",IF(AND($D198&lt;&gt;"",COUNTIFS(approvals!$A$2:$A$251,$C198,approvals!$B$2:$B$251,$D198)=0),"office not on this campaign (approvals tab); ",""))&amp;IF(AND(OR($E198="delivered",$E198="topped_up",$E198="collected"),$D198=""),"office needed; ","")&amp;IF(AND($E198&lt;&gt;"correction",N($G198)&lt;=0),"qty must be above 0; ","")&amp;IF(AND($E198="received",OR($I198="",$H198="")),"log lot and best-by; ","")&amp;IF(AND($P198="N",SUMIFS(inventory!$G$2:$G$801,inventory!$C$2:$C$801,$C198,inventory!$H$2:$H$801,$H198,inventory!$E$2:$E$801,"rejected")&lt;N($G198)),"UNDER "&amp;config!$B$19&amp;" DAYS LEFT ON THE DROP DAY: reject these units; ","")&amp;IF(AND($E198="delivered",COUNTIF(inventory!$R$2:$R$801,$R198)&gt;1),"two delivered rows for this office: use one; ","")&amp;IF(AND($E198="delivered",$J198=""),"who counted?; ",""))</f>
        <v/>
      </c>
      <c r="R198" s="25">
        <f>IF($C198="","",$C198&amp;"|"&amp;$D198&amp;"|"&amp;$E198)</f>
        <v/>
      </c>
    </row>
    <row r="199">
      <c r="A199" s="9" t="n"/>
      <c r="B199" s="33" t="n"/>
      <c r="I199" s="9" t="n"/>
      <c r="L199" s="26">
        <f>IF($C199="","",IFERROR(IF(INDEX(campaigns!$BG$2:$BG$51,MATCH($C199,campaigns!$A$2:$A$51,0))="","",INDEX(campaigns!$BG$2:$BG$51,MATCH($C199,campaigns!$A$2:$A$51,0))),""))</f>
        <v/>
      </c>
      <c r="M199" s="25">
        <f>IF($C199="","",IF(OR($E199="received"),N($G199),IF(OR($E199="rejected",$E199="delivered",$E199="topped_up"),-N($G199),IF(AND(OR($E199="returned_to_brand",$E199="given_to_roster_office",$E199="released_to_office",$E199="disposed"),IF($F199="","reserve",$F199)="reserve"),-N($G199),IF(AND($E199="correction",IF($F199="","reserve",$F199)="reserve"),N($G199),0)))))</f>
        <v/>
      </c>
      <c r="N199" s="25">
        <f>IF($C199="","",IF($E199="rejected",N($G199),IF(AND(OR($E199="returned_to_brand",$E199="given_to_roster_office",$E199="released_to_office",$E199="disposed"),IF($F199="","reserve",$F199)="rejected"),-N($G199),IF(AND($E199="correction",IF($F199="","reserve",$F199)="rejected"),N($G199),0))))</f>
        <v/>
      </c>
      <c r="O199" s="25">
        <f>IF($C199="","",IF($E199="collected",N($G199),IF(AND(OR($E199="returned_to_brand",$E199="given_to_roster_office",$E199="released_to_office",$E199="disposed"),IF($F199="","reserve",$F199)="leftover"),-N($G199),IF(AND($E199="correction",IF($F199="","reserve",$F199)="leftover"),N($G199),0))))</f>
        <v/>
      </c>
      <c r="P199" s="25">
        <f>IF(OR($E199&lt;&gt;"received",$I199="",$L199=""),"",IF($I199&gt;=$L199+config!$B$19,"Y","N"))</f>
        <v/>
      </c>
      <c r="Q199" s="25">
        <f>IF($C199="","",IF(COUNTIF(campaigns!$A$2:$A$51,$C199)=0,"campaign_id not on campaigns; ",IF(AND($D199&lt;&gt;"",COUNTIFS(approvals!$A$2:$A$251,$C199,approvals!$B$2:$B$251,$D199)=0),"office not on this campaign (approvals tab); ",""))&amp;IF(AND(OR($E199="delivered",$E199="topped_up",$E199="collected"),$D199=""),"office needed; ","")&amp;IF(AND($E199&lt;&gt;"correction",N($G199)&lt;=0),"qty must be above 0; ","")&amp;IF(AND($E199="received",OR($I199="",$H199="")),"log lot and best-by; ","")&amp;IF(AND($P199="N",SUMIFS(inventory!$G$2:$G$801,inventory!$C$2:$C$801,$C199,inventory!$H$2:$H$801,$H199,inventory!$E$2:$E$801,"rejected")&lt;N($G199)),"UNDER "&amp;config!$B$19&amp;" DAYS LEFT ON THE DROP DAY: reject these units; ","")&amp;IF(AND($E199="delivered",COUNTIF(inventory!$R$2:$R$801,$R199)&gt;1),"two delivered rows for this office: use one; ","")&amp;IF(AND($E199="delivered",$J199=""),"who counted?; ",""))</f>
        <v/>
      </c>
      <c r="R199" s="25">
        <f>IF($C199="","",$C199&amp;"|"&amp;$D199&amp;"|"&amp;$E199)</f>
        <v/>
      </c>
    </row>
    <row r="200">
      <c r="A200" s="9" t="n"/>
      <c r="B200" s="33" t="n"/>
      <c r="I200" s="9" t="n"/>
      <c r="L200" s="26">
        <f>IF($C200="","",IFERROR(IF(INDEX(campaigns!$BG$2:$BG$51,MATCH($C200,campaigns!$A$2:$A$51,0))="","",INDEX(campaigns!$BG$2:$BG$51,MATCH($C200,campaigns!$A$2:$A$51,0))),""))</f>
        <v/>
      </c>
      <c r="M200" s="25">
        <f>IF($C200="","",IF(OR($E200="received"),N($G200),IF(OR($E200="rejected",$E200="delivered",$E200="topped_up"),-N($G200),IF(AND(OR($E200="returned_to_brand",$E200="given_to_roster_office",$E200="released_to_office",$E200="disposed"),IF($F200="","reserve",$F200)="reserve"),-N($G200),IF(AND($E200="correction",IF($F200="","reserve",$F200)="reserve"),N($G200),0)))))</f>
        <v/>
      </c>
      <c r="N200" s="25">
        <f>IF($C200="","",IF($E200="rejected",N($G200),IF(AND(OR($E200="returned_to_brand",$E200="given_to_roster_office",$E200="released_to_office",$E200="disposed"),IF($F200="","reserve",$F200)="rejected"),-N($G200),IF(AND($E200="correction",IF($F200="","reserve",$F200)="rejected"),N($G200),0))))</f>
        <v/>
      </c>
      <c r="O200" s="25">
        <f>IF($C200="","",IF($E200="collected",N($G200),IF(AND(OR($E200="returned_to_brand",$E200="given_to_roster_office",$E200="released_to_office",$E200="disposed"),IF($F200="","reserve",$F200)="leftover"),-N($G200),IF(AND($E200="correction",IF($F200="","reserve",$F200)="leftover"),N($G200),0))))</f>
        <v/>
      </c>
      <c r="P200" s="25">
        <f>IF(OR($E200&lt;&gt;"received",$I200="",$L200=""),"",IF($I200&gt;=$L200+config!$B$19,"Y","N"))</f>
        <v/>
      </c>
      <c r="Q200" s="25">
        <f>IF($C200="","",IF(COUNTIF(campaigns!$A$2:$A$51,$C200)=0,"campaign_id not on campaigns; ",IF(AND($D200&lt;&gt;"",COUNTIFS(approvals!$A$2:$A$251,$C200,approvals!$B$2:$B$251,$D200)=0),"office not on this campaign (approvals tab); ",""))&amp;IF(AND(OR($E200="delivered",$E200="topped_up",$E200="collected"),$D200=""),"office needed; ","")&amp;IF(AND($E200&lt;&gt;"correction",N($G200)&lt;=0),"qty must be above 0; ","")&amp;IF(AND($E200="received",OR($I200="",$H200="")),"log lot and best-by; ","")&amp;IF(AND($P200="N",SUMIFS(inventory!$G$2:$G$801,inventory!$C$2:$C$801,$C200,inventory!$H$2:$H$801,$H200,inventory!$E$2:$E$801,"rejected")&lt;N($G200)),"UNDER "&amp;config!$B$19&amp;" DAYS LEFT ON THE DROP DAY: reject these units; ","")&amp;IF(AND($E200="delivered",COUNTIF(inventory!$R$2:$R$801,$R200)&gt;1),"two delivered rows for this office: use one; ","")&amp;IF(AND($E200="delivered",$J200=""),"who counted?; ",""))</f>
        <v/>
      </c>
      <c r="R200" s="25">
        <f>IF($C200="","",$C200&amp;"|"&amp;$D200&amp;"|"&amp;$E200)</f>
        <v/>
      </c>
    </row>
    <row r="201">
      <c r="A201" s="9" t="n"/>
      <c r="B201" s="33" t="n"/>
      <c r="I201" s="9" t="n"/>
      <c r="L201" s="26">
        <f>IF($C201="","",IFERROR(IF(INDEX(campaigns!$BG$2:$BG$51,MATCH($C201,campaigns!$A$2:$A$51,0))="","",INDEX(campaigns!$BG$2:$BG$51,MATCH($C201,campaigns!$A$2:$A$51,0))),""))</f>
        <v/>
      </c>
      <c r="M201" s="25">
        <f>IF($C201="","",IF(OR($E201="received"),N($G201),IF(OR($E201="rejected",$E201="delivered",$E201="topped_up"),-N($G201),IF(AND(OR($E201="returned_to_brand",$E201="given_to_roster_office",$E201="released_to_office",$E201="disposed"),IF($F201="","reserve",$F201)="reserve"),-N($G201),IF(AND($E201="correction",IF($F201="","reserve",$F201)="reserve"),N($G201),0)))))</f>
        <v/>
      </c>
      <c r="N201" s="25">
        <f>IF($C201="","",IF($E201="rejected",N($G201),IF(AND(OR($E201="returned_to_brand",$E201="given_to_roster_office",$E201="released_to_office",$E201="disposed"),IF($F201="","reserve",$F201)="rejected"),-N($G201),IF(AND($E201="correction",IF($F201="","reserve",$F201)="rejected"),N($G201),0))))</f>
        <v/>
      </c>
      <c r="O201" s="25">
        <f>IF($C201="","",IF($E201="collected",N($G201),IF(AND(OR($E201="returned_to_brand",$E201="given_to_roster_office",$E201="released_to_office",$E201="disposed"),IF($F201="","reserve",$F201)="leftover"),-N($G201),IF(AND($E201="correction",IF($F201="","reserve",$F201)="leftover"),N($G201),0))))</f>
        <v/>
      </c>
      <c r="P201" s="25">
        <f>IF(OR($E201&lt;&gt;"received",$I201="",$L201=""),"",IF($I201&gt;=$L201+config!$B$19,"Y","N"))</f>
        <v/>
      </c>
      <c r="Q201" s="25">
        <f>IF($C201="","",IF(COUNTIF(campaigns!$A$2:$A$51,$C201)=0,"campaign_id not on campaigns; ",IF(AND($D201&lt;&gt;"",COUNTIFS(approvals!$A$2:$A$251,$C201,approvals!$B$2:$B$251,$D201)=0),"office not on this campaign (approvals tab); ",""))&amp;IF(AND(OR($E201="delivered",$E201="topped_up",$E201="collected"),$D201=""),"office needed; ","")&amp;IF(AND($E201&lt;&gt;"correction",N($G201)&lt;=0),"qty must be above 0; ","")&amp;IF(AND($E201="received",OR($I201="",$H201="")),"log lot and best-by; ","")&amp;IF(AND($P201="N",SUMIFS(inventory!$G$2:$G$801,inventory!$C$2:$C$801,$C201,inventory!$H$2:$H$801,$H201,inventory!$E$2:$E$801,"rejected")&lt;N($G201)),"UNDER "&amp;config!$B$19&amp;" DAYS LEFT ON THE DROP DAY: reject these units; ","")&amp;IF(AND($E201="delivered",COUNTIF(inventory!$R$2:$R$801,$R201)&gt;1),"two delivered rows for this office: use one; ","")&amp;IF(AND($E201="delivered",$J201=""),"who counted?; ",""))</f>
        <v/>
      </c>
      <c r="R201" s="25">
        <f>IF($C201="","",$C201&amp;"|"&amp;$D201&amp;"|"&amp;$E201)</f>
        <v/>
      </c>
    </row>
    <row r="202">
      <c r="A202" s="9" t="n"/>
      <c r="B202" s="33" t="n"/>
      <c r="I202" s="9" t="n"/>
      <c r="L202" s="26">
        <f>IF($C202="","",IFERROR(IF(INDEX(campaigns!$BG$2:$BG$51,MATCH($C202,campaigns!$A$2:$A$51,0))="","",INDEX(campaigns!$BG$2:$BG$51,MATCH($C202,campaigns!$A$2:$A$51,0))),""))</f>
        <v/>
      </c>
      <c r="M202" s="25">
        <f>IF($C202="","",IF(OR($E202="received"),N($G202),IF(OR($E202="rejected",$E202="delivered",$E202="topped_up"),-N($G202),IF(AND(OR($E202="returned_to_brand",$E202="given_to_roster_office",$E202="released_to_office",$E202="disposed"),IF($F202="","reserve",$F202)="reserve"),-N($G202),IF(AND($E202="correction",IF($F202="","reserve",$F202)="reserve"),N($G202),0)))))</f>
        <v/>
      </c>
      <c r="N202" s="25">
        <f>IF($C202="","",IF($E202="rejected",N($G202),IF(AND(OR($E202="returned_to_brand",$E202="given_to_roster_office",$E202="released_to_office",$E202="disposed"),IF($F202="","reserve",$F202)="rejected"),-N($G202),IF(AND($E202="correction",IF($F202="","reserve",$F202)="rejected"),N($G202),0))))</f>
        <v/>
      </c>
      <c r="O202" s="25">
        <f>IF($C202="","",IF($E202="collected",N($G202),IF(AND(OR($E202="returned_to_brand",$E202="given_to_roster_office",$E202="released_to_office",$E202="disposed"),IF($F202="","reserve",$F202)="leftover"),-N($G202),IF(AND($E202="correction",IF($F202="","reserve",$F202)="leftover"),N($G202),0))))</f>
        <v/>
      </c>
      <c r="P202" s="25">
        <f>IF(OR($E202&lt;&gt;"received",$I202="",$L202=""),"",IF($I202&gt;=$L202+config!$B$19,"Y","N"))</f>
        <v/>
      </c>
      <c r="Q202" s="25">
        <f>IF($C202="","",IF(COUNTIF(campaigns!$A$2:$A$51,$C202)=0,"campaign_id not on campaigns; ",IF(AND($D202&lt;&gt;"",COUNTIFS(approvals!$A$2:$A$251,$C202,approvals!$B$2:$B$251,$D202)=0),"office not on this campaign (approvals tab); ",""))&amp;IF(AND(OR($E202="delivered",$E202="topped_up",$E202="collected"),$D202=""),"office needed; ","")&amp;IF(AND($E202&lt;&gt;"correction",N($G202)&lt;=0),"qty must be above 0; ","")&amp;IF(AND($E202="received",OR($I202="",$H202="")),"log lot and best-by; ","")&amp;IF(AND($P202="N",SUMIFS(inventory!$G$2:$G$801,inventory!$C$2:$C$801,$C202,inventory!$H$2:$H$801,$H202,inventory!$E$2:$E$801,"rejected")&lt;N($G202)),"UNDER "&amp;config!$B$19&amp;" DAYS LEFT ON THE DROP DAY: reject these units; ","")&amp;IF(AND($E202="delivered",COUNTIF(inventory!$R$2:$R$801,$R202)&gt;1),"two delivered rows for this office: use one; ","")&amp;IF(AND($E202="delivered",$J202=""),"who counted?; ",""))</f>
        <v/>
      </c>
      <c r="R202" s="25">
        <f>IF($C202="","",$C202&amp;"|"&amp;$D202&amp;"|"&amp;$E202)</f>
        <v/>
      </c>
    </row>
    <row r="203">
      <c r="A203" s="9" t="n"/>
      <c r="B203" s="33" t="n"/>
      <c r="I203" s="9" t="n"/>
      <c r="L203" s="26">
        <f>IF($C203="","",IFERROR(IF(INDEX(campaigns!$BG$2:$BG$51,MATCH($C203,campaigns!$A$2:$A$51,0))="","",INDEX(campaigns!$BG$2:$BG$51,MATCH($C203,campaigns!$A$2:$A$51,0))),""))</f>
        <v/>
      </c>
      <c r="M203" s="25">
        <f>IF($C203="","",IF(OR($E203="received"),N($G203),IF(OR($E203="rejected",$E203="delivered",$E203="topped_up"),-N($G203),IF(AND(OR($E203="returned_to_brand",$E203="given_to_roster_office",$E203="released_to_office",$E203="disposed"),IF($F203="","reserve",$F203)="reserve"),-N($G203),IF(AND($E203="correction",IF($F203="","reserve",$F203)="reserve"),N($G203),0)))))</f>
        <v/>
      </c>
      <c r="N203" s="25">
        <f>IF($C203="","",IF($E203="rejected",N($G203),IF(AND(OR($E203="returned_to_brand",$E203="given_to_roster_office",$E203="released_to_office",$E203="disposed"),IF($F203="","reserve",$F203)="rejected"),-N($G203),IF(AND($E203="correction",IF($F203="","reserve",$F203)="rejected"),N($G203),0))))</f>
        <v/>
      </c>
      <c r="O203" s="25">
        <f>IF($C203="","",IF($E203="collected",N($G203),IF(AND(OR($E203="returned_to_brand",$E203="given_to_roster_office",$E203="released_to_office",$E203="disposed"),IF($F203="","reserve",$F203)="leftover"),-N($G203),IF(AND($E203="correction",IF($F203="","reserve",$F203)="leftover"),N($G203),0))))</f>
        <v/>
      </c>
      <c r="P203" s="25">
        <f>IF(OR($E203&lt;&gt;"received",$I203="",$L203=""),"",IF($I203&gt;=$L203+config!$B$19,"Y","N"))</f>
        <v/>
      </c>
      <c r="Q203" s="25">
        <f>IF($C203="","",IF(COUNTIF(campaigns!$A$2:$A$51,$C203)=0,"campaign_id not on campaigns; ",IF(AND($D203&lt;&gt;"",COUNTIFS(approvals!$A$2:$A$251,$C203,approvals!$B$2:$B$251,$D203)=0),"office not on this campaign (approvals tab); ",""))&amp;IF(AND(OR($E203="delivered",$E203="topped_up",$E203="collected"),$D203=""),"office needed; ","")&amp;IF(AND($E203&lt;&gt;"correction",N($G203)&lt;=0),"qty must be above 0; ","")&amp;IF(AND($E203="received",OR($I203="",$H203="")),"log lot and best-by; ","")&amp;IF(AND($P203="N",SUMIFS(inventory!$G$2:$G$801,inventory!$C$2:$C$801,$C203,inventory!$H$2:$H$801,$H203,inventory!$E$2:$E$801,"rejected")&lt;N($G203)),"UNDER "&amp;config!$B$19&amp;" DAYS LEFT ON THE DROP DAY: reject these units; ","")&amp;IF(AND($E203="delivered",COUNTIF(inventory!$R$2:$R$801,$R203)&gt;1),"two delivered rows for this office: use one; ","")&amp;IF(AND($E203="delivered",$J203=""),"who counted?; ",""))</f>
        <v/>
      </c>
      <c r="R203" s="25">
        <f>IF($C203="","",$C203&amp;"|"&amp;$D203&amp;"|"&amp;$E203)</f>
        <v/>
      </c>
    </row>
    <row r="204">
      <c r="A204" s="9" t="n"/>
      <c r="B204" s="33" t="n"/>
      <c r="I204" s="9" t="n"/>
      <c r="L204" s="26">
        <f>IF($C204="","",IFERROR(IF(INDEX(campaigns!$BG$2:$BG$51,MATCH($C204,campaigns!$A$2:$A$51,0))="","",INDEX(campaigns!$BG$2:$BG$51,MATCH($C204,campaigns!$A$2:$A$51,0))),""))</f>
        <v/>
      </c>
      <c r="M204" s="25">
        <f>IF($C204="","",IF(OR($E204="received"),N($G204),IF(OR($E204="rejected",$E204="delivered",$E204="topped_up"),-N($G204),IF(AND(OR($E204="returned_to_brand",$E204="given_to_roster_office",$E204="released_to_office",$E204="disposed"),IF($F204="","reserve",$F204)="reserve"),-N($G204),IF(AND($E204="correction",IF($F204="","reserve",$F204)="reserve"),N($G204),0)))))</f>
        <v/>
      </c>
      <c r="N204" s="25">
        <f>IF($C204="","",IF($E204="rejected",N($G204),IF(AND(OR($E204="returned_to_brand",$E204="given_to_roster_office",$E204="released_to_office",$E204="disposed"),IF($F204="","reserve",$F204)="rejected"),-N($G204),IF(AND($E204="correction",IF($F204="","reserve",$F204)="rejected"),N($G204),0))))</f>
        <v/>
      </c>
      <c r="O204" s="25">
        <f>IF($C204="","",IF($E204="collected",N($G204),IF(AND(OR($E204="returned_to_brand",$E204="given_to_roster_office",$E204="released_to_office",$E204="disposed"),IF($F204="","reserve",$F204)="leftover"),-N($G204),IF(AND($E204="correction",IF($F204="","reserve",$F204)="leftover"),N($G204),0))))</f>
        <v/>
      </c>
      <c r="P204" s="25">
        <f>IF(OR($E204&lt;&gt;"received",$I204="",$L204=""),"",IF($I204&gt;=$L204+config!$B$19,"Y","N"))</f>
        <v/>
      </c>
      <c r="Q204" s="25">
        <f>IF($C204="","",IF(COUNTIF(campaigns!$A$2:$A$51,$C204)=0,"campaign_id not on campaigns; ",IF(AND($D204&lt;&gt;"",COUNTIFS(approvals!$A$2:$A$251,$C204,approvals!$B$2:$B$251,$D204)=0),"office not on this campaign (approvals tab); ",""))&amp;IF(AND(OR($E204="delivered",$E204="topped_up",$E204="collected"),$D204=""),"office needed; ","")&amp;IF(AND($E204&lt;&gt;"correction",N($G204)&lt;=0),"qty must be above 0; ","")&amp;IF(AND($E204="received",OR($I204="",$H204="")),"log lot and best-by; ","")&amp;IF(AND($P204="N",SUMIFS(inventory!$G$2:$G$801,inventory!$C$2:$C$801,$C204,inventory!$H$2:$H$801,$H204,inventory!$E$2:$E$801,"rejected")&lt;N($G204)),"UNDER "&amp;config!$B$19&amp;" DAYS LEFT ON THE DROP DAY: reject these units; ","")&amp;IF(AND($E204="delivered",COUNTIF(inventory!$R$2:$R$801,$R204)&gt;1),"two delivered rows for this office: use one; ","")&amp;IF(AND($E204="delivered",$J204=""),"who counted?; ",""))</f>
        <v/>
      </c>
      <c r="R204" s="25">
        <f>IF($C204="","",$C204&amp;"|"&amp;$D204&amp;"|"&amp;$E204)</f>
        <v/>
      </c>
    </row>
    <row r="205">
      <c r="A205" s="9" t="n"/>
      <c r="B205" s="33" t="n"/>
      <c r="I205" s="9" t="n"/>
      <c r="L205" s="26">
        <f>IF($C205="","",IFERROR(IF(INDEX(campaigns!$BG$2:$BG$51,MATCH($C205,campaigns!$A$2:$A$51,0))="","",INDEX(campaigns!$BG$2:$BG$51,MATCH($C205,campaigns!$A$2:$A$51,0))),""))</f>
        <v/>
      </c>
      <c r="M205" s="25">
        <f>IF($C205="","",IF(OR($E205="received"),N($G205),IF(OR($E205="rejected",$E205="delivered",$E205="topped_up"),-N($G205),IF(AND(OR($E205="returned_to_brand",$E205="given_to_roster_office",$E205="released_to_office",$E205="disposed"),IF($F205="","reserve",$F205)="reserve"),-N($G205),IF(AND($E205="correction",IF($F205="","reserve",$F205)="reserve"),N($G205),0)))))</f>
        <v/>
      </c>
      <c r="N205" s="25">
        <f>IF($C205="","",IF($E205="rejected",N($G205),IF(AND(OR($E205="returned_to_brand",$E205="given_to_roster_office",$E205="released_to_office",$E205="disposed"),IF($F205="","reserve",$F205)="rejected"),-N($G205),IF(AND($E205="correction",IF($F205="","reserve",$F205)="rejected"),N($G205),0))))</f>
        <v/>
      </c>
      <c r="O205" s="25">
        <f>IF($C205="","",IF($E205="collected",N($G205),IF(AND(OR($E205="returned_to_brand",$E205="given_to_roster_office",$E205="released_to_office",$E205="disposed"),IF($F205="","reserve",$F205)="leftover"),-N($G205),IF(AND($E205="correction",IF($F205="","reserve",$F205)="leftover"),N($G205),0))))</f>
        <v/>
      </c>
      <c r="P205" s="25">
        <f>IF(OR($E205&lt;&gt;"received",$I205="",$L205=""),"",IF($I205&gt;=$L205+config!$B$19,"Y","N"))</f>
        <v/>
      </c>
      <c r="Q205" s="25">
        <f>IF($C205="","",IF(COUNTIF(campaigns!$A$2:$A$51,$C205)=0,"campaign_id not on campaigns; ",IF(AND($D205&lt;&gt;"",COUNTIFS(approvals!$A$2:$A$251,$C205,approvals!$B$2:$B$251,$D205)=0),"office not on this campaign (approvals tab); ",""))&amp;IF(AND(OR($E205="delivered",$E205="topped_up",$E205="collected"),$D205=""),"office needed; ","")&amp;IF(AND($E205&lt;&gt;"correction",N($G205)&lt;=0),"qty must be above 0; ","")&amp;IF(AND($E205="received",OR($I205="",$H205="")),"log lot and best-by; ","")&amp;IF(AND($P205="N",SUMIFS(inventory!$G$2:$G$801,inventory!$C$2:$C$801,$C205,inventory!$H$2:$H$801,$H205,inventory!$E$2:$E$801,"rejected")&lt;N($G205)),"UNDER "&amp;config!$B$19&amp;" DAYS LEFT ON THE DROP DAY: reject these units; ","")&amp;IF(AND($E205="delivered",COUNTIF(inventory!$R$2:$R$801,$R205)&gt;1),"two delivered rows for this office: use one; ","")&amp;IF(AND($E205="delivered",$J205=""),"who counted?; ",""))</f>
        <v/>
      </c>
      <c r="R205" s="25">
        <f>IF($C205="","",$C205&amp;"|"&amp;$D205&amp;"|"&amp;$E205)</f>
        <v/>
      </c>
    </row>
    <row r="206">
      <c r="A206" s="9" t="n"/>
      <c r="B206" s="33" t="n"/>
      <c r="I206" s="9" t="n"/>
      <c r="L206" s="26">
        <f>IF($C206="","",IFERROR(IF(INDEX(campaigns!$BG$2:$BG$51,MATCH($C206,campaigns!$A$2:$A$51,0))="","",INDEX(campaigns!$BG$2:$BG$51,MATCH($C206,campaigns!$A$2:$A$51,0))),""))</f>
        <v/>
      </c>
      <c r="M206" s="25">
        <f>IF($C206="","",IF(OR($E206="received"),N($G206),IF(OR($E206="rejected",$E206="delivered",$E206="topped_up"),-N($G206),IF(AND(OR($E206="returned_to_brand",$E206="given_to_roster_office",$E206="released_to_office",$E206="disposed"),IF($F206="","reserve",$F206)="reserve"),-N($G206),IF(AND($E206="correction",IF($F206="","reserve",$F206)="reserve"),N($G206),0)))))</f>
        <v/>
      </c>
      <c r="N206" s="25">
        <f>IF($C206="","",IF($E206="rejected",N($G206),IF(AND(OR($E206="returned_to_brand",$E206="given_to_roster_office",$E206="released_to_office",$E206="disposed"),IF($F206="","reserve",$F206)="rejected"),-N($G206),IF(AND($E206="correction",IF($F206="","reserve",$F206)="rejected"),N($G206),0))))</f>
        <v/>
      </c>
      <c r="O206" s="25">
        <f>IF($C206="","",IF($E206="collected",N($G206),IF(AND(OR($E206="returned_to_brand",$E206="given_to_roster_office",$E206="released_to_office",$E206="disposed"),IF($F206="","reserve",$F206)="leftover"),-N($G206),IF(AND($E206="correction",IF($F206="","reserve",$F206)="leftover"),N($G206),0))))</f>
        <v/>
      </c>
      <c r="P206" s="25">
        <f>IF(OR($E206&lt;&gt;"received",$I206="",$L206=""),"",IF($I206&gt;=$L206+config!$B$19,"Y","N"))</f>
        <v/>
      </c>
      <c r="Q206" s="25">
        <f>IF($C206="","",IF(COUNTIF(campaigns!$A$2:$A$51,$C206)=0,"campaign_id not on campaigns; ",IF(AND($D206&lt;&gt;"",COUNTIFS(approvals!$A$2:$A$251,$C206,approvals!$B$2:$B$251,$D206)=0),"office not on this campaign (approvals tab); ",""))&amp;IF(AND(OR($E206="delivered",$E206="topped_up",$E206="collected"),$D206=""),"office needed; ","")&amp;IF(AND($E206&lt;&gt;"correction",N($G206)&lt;=0),"qty must be above 0; ","")&amp;IF(AND($E206="received",OR($I206="",$H206="")),"log lot and best-by; ","")&amp;IF(AND($P206="N",SUMIFS(inventory!$G$2:$G$801,inventory!$C$2:$C$801,$C206,inventory!$H$2:$H$801,$H206,inventory!$E$2:$E$801,"rejected")&lt;N($G206)),"UNDER "&amp;config!$B$19&amp;" DAYS LEFT ON THE DROP DAY: reject these units; ","")&amp;IF(AND($E206="delivered",COUNTIF(inventory!$R$2:$R$801,$R206)&gt;1),"two delivered rows for this office: use one; ","")&amp;IF(AND($E206="delivered",$J206=""),"who counted?; ",""))</f>
        <v/>
      </c>
      <c r="R206" s="25">
        <f>IF($C206="","",$C206&amp;"|"&amp;$D206&amp;"|"&amp;$E206)</f>
        <v/>
      </c>
    </row>
    <row r="207">
      <c r="A207" s="9" t="n"/>
      <c r="B207" s="33" t="n"/>
      <c r="I207" s="9" t="n"/>
      <c r="L207" s="26">
        <f>IF($C207="","",IFERROR(IF(INDEX(campaigns!$BG$2:$BG$51,MATCH($C207,campaigns!$A$2:$A$51,0))="","",INDEX(campaigns!$BG$2:$BG$51,MATCH($C207,campaigns!$A$2:$A$51,0))),""))</f>
        <v/>
      </c>
      <c r="M207" s="25">
        <f>IF($C207="","",IF(OR($E207="received"),N($G207),IF(OR($E207="rejected",$E207="delivered",$E207="topped_up"),-N($G207),IF(AND(OR($E207="returned_to_brand",$E207="given_to_roster_office",$E207="released_to_office",$E207="disposed"),IF($F207="","reserve",$F207)="reserve"),-N($G207),IF(AND($E207="correction",IF($F207="","reserve",$F207)="reserve"),N($G207),0)))))</f>
        <v/>
      </c>
      <c r="N207" s="25">
        <f>IF($C207="","",IF($E207="rejected",N($G207),IF(AND(OR($E207="returned_to_brand",$E207="given_to_roster_office",$E207="released_to_office",$E207="disposed"),IF($F207="","reserve",$F207)="rejected"),-N($G207),IF(AND($E207="correction",IF($F207="","reserve",$F207)="rejected"),N($G207),0))))</f>
        <v/>
      </c>
      <c r="O207" s="25">
        <f>IF($C207="","",IF($E207="collected",N($G207),IF(AND(OR($E207="returned_to_brand",$E207="given_to_roster_office",$E207="released_to_office",$E207="disposed"),IF($F207="","reserve",$F207)="leftover"),-N($G207),IF(AND($E207="correction",IF($F207="","reserve",$F207)="leftover"),N($G207),0))))</f>
        <v/>
      </c>
      <c r="P207" s="25">
        <f>IF(OR($E207&lt;&gt;"received",$I207="",$L207=""),"",IF($I207&gt;=$L207+config!$B$19,"Y","N"))</f>
        <v/>
      </c>
      <c r="Q207" s="25">
        <f>IF($C207="","",IF(COUNTIF(campaigns!$A$2:$A$51,$C207)=0,"campaign_id not on campaigns; ",IF(AND($D207&lt;&gt;"",COUNTIFS(approvals!$A$2:$A$251,$C207,approvals!$B$2:$B$251,$D207)=0),"office not on this campaign (approvals tab); ",""))&amp;IF(AND(OR($E207="delivered",$E207="topped_up",$E207="collected"),$D207=""),"office needed; ","")&amp;IF(AND($E207&lt;&gt;"correction",N($G207)&lt;=0),"qty must be above 0; ","")&amp;IF(AND($E207="received",OR($I207="",$H207="")),"log lot and best-by; ","")&amp;IF(AND($P207="N",SUMIFS(inventory!$G$2:$G$801,inventory!$C$2:$C$801,$C207,inventory!$H$2:$H$801,$H207,inventory!$E$2:$E$801,"rejected")&lt;N($G207)),"UNDER "&amp;config!$B$19&amp;" DAYS LEFT ON THE DROP DAY: reject these units; ","")&amp;IF(AND($E207="delivered",COUNTIF(inventory!$R$2:$R$801,$R207)&gt;1),"two delivered rows for this office: use one; ","")&amp;IF(AND($E207="delivered",$J207=""),"who counted?; ",""))</f>
        <v/>
      </c>
      <c r="R207" s="25">
        <f>IF($C207="","",$C207&amp;"|"&amp;$D207&amp;"|"&amp;$E207)</f>
        <v/>
      </c>
    </row>
    <row r="208">
      <c r="A208" s="9" t="n"/>
      <c r="B208" s="33" t="n"/>
      <c r="I208" s="9" t="n"/>
      <c r="L208" s="26">
        <f>IF($C208="","",IFERROR(IF(INDEX(campaigns!$BG$2:$BG$51,MATCH($C208,campaigns!$A$2:$A$51,0))="","",INDEX(campaigns!$BG$2:$BG$51,MATCH($C208,campaigns!$A$2:$A$51,0))),""))</f>
        <v/>
      </c>
      <c r="M208" s="25">
        <f>IF($C208="","",IF(OR($E208="received"),N($G208),IF(OR($E208="rejected",$E208="delivered",$E208="topped_up"),-N($G208),IF(AND(OR($E208="returned_to_brand",$E208="given_to_roster_office",$E208="released_to_office",$E208="disposed"),IF($F208="","reserve",$F208)="reserve"),-N($G208),IF(AND($E208="correction",IF($F208="","reserve",$F208)="reserve"),N($G208),0)))))</f>
        <v/>
      </c>
      <c r="N208" s="25">
        <f>IF($C208="","",IF($E208="rejected",N($G208),IF(AND(OR($E208="returned_to_brand",$E208="given_to_roster_office",$E208="released_to_office",$E208="disposed"),IF($F208="","reserve",$F208)="rejected"),-N($G208),IF(AND($E208="correction",IF($F208="","reserve",$F208)="rejected"),N($G208),0))))</f>
        <v/>
      </c>
      <c r="O208" s="25">
        <f>IF($C208="","",IF($E208="collected",N($G208),IF(AND(OR($E208="returned_to_brand",$E208="given_to_roster_office",$E208="released_to_office",$E208="disposed"),IF($F208="","reserve",$F208)="leftover"),-N($G208),IF(AND($E208="correction",IF($F208="","reserve",$F208)="leftover"),N($G208),0))))</f>
        <v/>
      </c>
      <c r="P208" s="25">
        <f>IF(OR($E208&lt;&gt;"received",$I208="",$L208=""),"",IF($I208&gt;=$L208+config!$B$19,"Y","N"))</f>
        <v/>
      </c>
      <c r="Q208" s="25">
        <f>IF($C208="","",IF(COUNTIF(campaigns!$A$2:$A$51,$C208)=0,"campaign_id not on campaigns; ",IF(AND($D208&lt;&gt;"",COUNTIFS(approvals!$A$2:$A$251,$C208,approvals!$B$2:$B$251,$D208)=0),"office not on this campaign (approvals tab); ",""))&amp;IF(AND(OR($E208="delivered",$E208="topped_up",$E208="collected"),$D208=""),"office needed; ","")&amp;IF(AND($E208&lt;&gt;"correction",N($G208)&lt;=0),"qty must be above 0; ","")&amp;IF(AND($E208="received",OR($I208="",$H208="")),"log lot and best-by; ","")&amp;IF(AND($P208="N",SUMIFS(inventory!$G$2:$G$801,inventory!$C$2:$C$801,$C208,inventory!$H$2:$H$801,$H208,inventory!$E$2:$E$801,"rejected")&lt;N($G208)),"UNDER "&amp;config!$B$19&amp;" DAYS LEFT ON THE DROP DAY: reject these units; ","")&amp;IF(AND($E208="delivered",COUNTIF(inventory!$R$2:$R$801,$R208)&gt;1),"two delivered rows for this office: use one; ","")&amp;IF(AND($E208="delivered",$J208=""),"who counted?; ",""))</f>
        <v/>
      </c>
      <c r="R208" s="25">
        <f>IF($C208="","",$C208&amp;"|"&amp;$D208&amp;"|"&amp;$E208)</f>
        <v/>
      </c>
    </row>
    <row r="209">
      <c r="A209" s="9" t="n"/>
      <c r="B209" s="33" t="n"/>
      <c r="I209" s="9" t="n"/>
      <c r="L209" s="26">
        <f>IF($C209="","",IFERROR(IF(INDEX(campaigns!$BG$2:$BG$51,MATCH($C209,campaigns!$A$2:$A$51,0))="","",INDEX(campaigns!$BG$2:$BG$51,MATCH($C209,campaigns!$A$2:$A$51,0))),""))</f>
        <v/>
      </c>
      <c r="M209" s="25">
        <f>IF($C209="","",IF(OR($E209="received"),N($G209),IF(OR($E209="rejected",$E209="delivered",$E209="topped_up"),-N($G209),IF(AND(OR($E209="returned_to_brand",$E209="given_to_roster_office",$E209="released_to_office",$E209="disposed"),IF($F209="","reserve",$F209)="reserve"),-N($G209),IF(AND($E209="correction",IF($F209="","reserve",$F209)="reserve"),N($G209),0)))))</f>
        <v/>
      </c>
      <c r="N209" s="25">
        <f>IF($C209="","",IF($E209="rejected",N($G209),IF(AND(OR($E209="returned_to_brand",$E209="given_to_roster_office",$E209="released_to_office",$E209="disposed"),IF($F209="","reserve",$F209)="rejected"),-N($G209),IF(AND($E209="correction",IF($F209="","reserve",$F209)="rejected"),N($G209),0))))</f>
        <v/>
      </c>
      <c r="O209" s="25">
        <f>IF($C209="","",IF($E209="collected",N($G209),IF(AND(OR($E209="returned_to_brand",$E209="given_to_roster_office",$E209="released_to_office",$E209="disposed"),IF($F209="","reserve",$F209)="leftover"),-N($G209),IF(AND($E209="correction",IF($F209="","reserve",$F209)="leftover"),N($G209),0))))</f>
        <v/>
      </c>
      <c r="P209" s="25">
        <f>IF(OR($E209&lt;&gt;"received",$I209="",$L209=""),"",IF($I209&gt;=$L209+config!$B$19,"Y","N"))</f>
        <v/>
      </c>
      <c r="Q209" s="25">
        <f>IF($C209="","",IF(COUNTIF(campaigns!$A$2:$A$51,$C209)=0,"campaign_id not on campaigns; ",IF(AND($D209&lt;&gt;"",COUNTIFS(approvals!$A$2:$A$251,$C209,approvals!$B$2:$B$251,$D209)=0),"office not on this campaign (approvals tab); ",""))&amp;IF(AND(OR($E209="delivered",$E209="topped_up",$E209="collected"),$D209=""),"office needed; ","")&amp;IF(AND($E209&lt;&gt;"correction",N($G209)&lt;=0),"qty must be above 0; ","")&amp;IF(AND($E209="received",OR($I209="",$H209="")),"log lot and best-by; ","")&amp;IF(AND($P209="N",SUMIFS(inventory!$G$2:$G$801,inventory!$C$2:$C$801,$C209,inventory!$H$2:$H$801,$H209,inventory!$E$2:$E$801,"rejected")&lt;N($G209)),"UNDER "&amp;config!$B$19&amp;" DAYS LEFT ON THE DROP DAY: reject these units; ","")&amp;IF(AND($E209="delivered",COUNTIF(inventory!$R$2:$R$801,$R209)&gt;1),"two delivered rows for this office: use one; ","")&amp;IF(AND($E209="delivered",$J209=""),"who counted?; ",""))</f>
        <v/>
      </c>
      <c r="R209" s="25">
        <f>IF($C209="","",$C209&amp;"|"&amp;$D209&amp;"|"&amp;$E209)</f>
        <v/>
      </c>
    </row>
    <row r="210">
      <c r="A210" s="9" t="n"/>
      <c r="B210" s="33" t="n"/>
      <c r="I210" s="9" t="n"/>
      <c r="L210" s="26">
        <f>IF($C210="","",IFERROR(IF(INDEX(campaigns!$BG$2:$BG$51,MATCH($C210,campaigns!$A$2:$A$51,0))="","",INDEX(campaigns!$BG$2:$BG$51,MATCH($C210,campaigns!$A$2:$A$51,0))),""))</f>
        <v/>
      </c>
      <c r="M210" s="25">
        <f>IF($C210="","",IF(OR($E210="received"),N($G210),IF(OR($E210="rejected",$E210="delivered",$E210="topped_up"),-N($G210),IF(AND(OR($E210="returned_to_brand",$E210="given_to_roster_office",$E210="released_to_office",$E210="disposed"),IF($F210="","reserve",$F210)="reserve"),-N($G210),IF(AND($E210="correction",IF($F210="","reserve",$F210)="reserve"),N($G210),0)))))</f>
        <v/>
      </c>
      <c r="N210" s="25">
        <f>IF($C210="","",IF($E210="rejected",N($G210),IF(AND(OR($E210="returned_to_brand",$E210="given_to_roster_office",$E210="released_to_office",$E210="disposed"),IF($F210="","reserve",$F210)="rejected"),-N($G210),IF(AND($E210="correction",IF($F210="","reserve",$F210)="rejected"),N($G210),0))))</f>
        <v/>
      </c>
      <c r="O210" s="25">
        <f>IF($C210="","",IF($E210="collected",N($G210),IF(AND(OR($E210="returned_to_brand",$E210="given_to_roster_office",$E210="released_to_office",$E210="disposed"),IF($F210="","reserve",$F210)="leftover"),-N($G210),IF(AND($E210="correction",IF($F210="","reserve",$F210)="leftover"),N($G210),0))))</f>
        <v/>
      </c>
      <c r="P210" s="25">
        <f>IF(OR($E210&lt;&gt;"received",$I210="",$L210=""),"",IF($I210&gt;=$L210+config!$B$19,"Y","N"))</f>
        <v/>
      </c>
      <c r="Q210" s="25">
        <f>IF($C210="","",IF(COUNTIF(campaigns!$A$2:$A$51,$C210)=0,"campaign_id not on campaigns; ",IF(AND($D210&lt;&gt;"",COUNTIFS(approvals!$A$2:$A$251,$C210,approvals!$B$2:$B$251,$D210)=0),"office not on this campaign (approvals tab); ",""))&amp;IF(AND(OR($E210="delivered",$E210="topped_up",$E210="collected"),$D210=""),"office needed; ","")&amp;IF(AND($E210&lt;&gt;"correction",N($G210)&lt;=0),"qty must be above 0; ","")&amp;IF(AND($E210="received",OR($I210="",$H210="")),"log lot and best-by; ","")&amp;IF(AND($P210="N",SUMIFS(inventory!$G$2:$G$801,inventory!$C$2:$C$801,$C210,inventory!$H$2:$H$801,$H210,inventory!$E$2:$E$801,"rejected")&lt;N($G210)),"UNDER "&amp;config!$B$19&amp;" DAYS LEFT ON THE DROP DAY: reject these units; ","")&amp;IF(AND($E210="delivered",COUNTIF(inventory!$R$2:$R$801,$R210)&gt;1),"two delivered rows for this office: use one; ","")&amp;IF(AND($E210="delivered",$J210=""),"who counted?; ",""))</f>
        <v/>
      </c>
      <c r="R210" s="25">
        <f>IF($C210="","",$C210&amp;"|"&amp;$D210&amp;"|"&amp;$E210)</f>
        <v/>
      </c>
    </row>
    <row r="211">
      <c r="A211" s="9" t="n"/>
      <c r="B211" s="33" t="n"/>
      <c r="I211" s="9" t="n"/>
      <c r="L211" s="26">
        <f>IF($C211="","",IFERROR(IF(INDEX(campaigns!$BG$2:$BG$51,MATCH($C211,campaigns!$A$2:$A$51,0))="","",INDEX(campaigns!$BG$2:$BG$51,MATCH($C211,campaigns!$A$2:$A$51,0))),""))</f>
        <v/>
      </c>
      <c r="M211" s="25">
        <f>IF($C211="","",IF(OR($E211="received"),N($G211),IF(OR($E211="rejected",$E211="delivered",$E211="topped_up"),-N($G211),IF(AND(OR($E211="returned_to_brand",$E211="given_to_roster_office",$E211="released_to_office",$E211="disposed"),IF($F211="","reserve",$F211)="reserve"),-N($G211),IF(AND($E211="correction",IF($F211="","reserve",$F211)="reserve"),N($G211),0)))))</f>
        <v/>
      </c>
      <c r="N211" s="25">
        <f>IF($C211="","",IF($E211="rejected",N($G211),IF(AND(OR($E211="returned_to_brand",$E211="given_to_roster_office",$E211="released_to_office",$E211="disposed"),IF($F211="","reserve",$F211)="rejected"),-N($G211),IF(AND($E211="correction",IF($F211="","reserve",$F211)="rejected"),N($G211),0))))</f>
        <v/>
      </c>
      <c r="O211" s="25">
        <f>IF($C211="","",IF($E211="collected",N($G211),IF(AND(OR($E211="returned_to_brand",$E211="given_to_roster_office",$E211="released_to_office",$E211="disposed"),IF($F211="","reserve",$F211)="leftover"),-N($G211),IF(AND($E211="correction",IF($F211="","reserve",$F211)="leftover"),N($G211),0))))</f>
        <v/>
      </c>
      <c r="P211" s="25">
        <f>IF(OR($E211&lt;&gt;"received",$I211="",$L211=""),"",IF($I211&gt;=$L211+config!$B$19,"Y","N"))</f>
        <v/>
      </c>
      <c r="Q211" s="25">
        <f>IF($C211="","",IF(COUNTIF(campaigns!$A$2:$A$51,$C211)=0,"campaign_id not on campaigns; ",IF(AND($D211&lt;&gt;"",COUNTIFS(approvals!$A$2:$A$251,$C211,approvals!$B$2:$B$251,$D211)=0),"office not on this campaign (approvals tab); ",""))&amp;IF(AND(OR($E211="delivered",$E211="topped_up",$E211="collected"),$D211=""),"office needed; ","")&amp;IF(AND($E211&lt;&gt;"correction",N($G211)&lt;=0),"qty must be above 0; ","")&amp;IF(AND($E211="received",OR($I211="",$H211="")),"log lot and best-by; ","")&amp;IF(AND($P211="N",SUMIFS(inventory!$G$2:$G$801,inventory!$C$2:$C$801,$C211,inventory!$H$2:$H$801,$H211,inventory!$E$2:$E$801,"rejected")&lt;N($G211)),"UNDER "&amp;config!$B$19&amp;" DAYS LEFT ON THE DROP DAY: reject these units; ","")&amp;IF(AND($E211="delivered",COUNTIF(inventory!$R$2:$R$801,$R211)&gt;1),"two delivered rows for this office: use one; ","")&amp;IF(AND($E211="delivered",$J211=""),"who counted?; ",""))</f>
        <v/>
      </c>
      <c r="R211" s="25">
        <f>IF($C211="","",$C211&amp;"|"&amp;$D211&amp;"|"&amp;$E211)</f>
        <v/>
      </c>
    </row>
    <row r="212">
      <c r="A212" s="9" t="n"/>
      <c r="B212" s="33" t="n"/>
      <c r="I212" s="9" t="n"/>
      <c r="L212" s="26">
        <f>IF($C212="","",IFERROR(IF(INDEX(campaigns!$BG$2:$BG$51,MATCH($C212,campaigns!$A$2:$A$51,0))="","",INDEX(campaigns!$BG$2:$BG$51,MATCH($C212,campaigns!$A$2:$A$51,0))),""))</f>
        <v/>
      </c>
      <c r="M212" s="25">
        <f>IF($C212="","",IF(OR($E212="received"),N($G212),IF(OR($E212="rejected",$E212="delivered",$E212="topped_up"),-N($G212),IF(AND(OR($E212="returned_to_brand",$E212="given_to_roster_office",$E212="released_to_office",$E212="disposed"),IF($F212="","reserve",$F212)="reserve"),-N($G212),IF(AND($E212="correction",IF($F212="","reserve",$F212)="reserve"),N($G212),0)))))</f>
        <v/>
      </c>
      <c r="N212" s="25">
        <f>IF($C212="","",IF($E212="rejected",N($G212),IF(AND(OR($E212="returned_to_brand",$E212="given_to_roster_office",$E212="released_to_office",$E212="disposed"),IF($F212="","reserve",$F212)="rejected"),-N($G212),IF(AND($E212="correction",IF($F212="","reserve",$F212)="rejected"),N($G212),0))))</f>
        <v/>
      </c>
      <c r="O212" s="25">
        <f>IF($C212="","",IF($E212="collected",N($G212),IF(AND(OR($E212="returned_to_brand",$E212="given_to_roster_office",$E212="released_to_office",$E212="disposed"),IF($F212="","reserve",$F212)="leftover"),-N($G212),IF(AND($E212="correction",IF($F212="","reserve",$F212)="leftover"),N($G212),0))))</f>
        <v/>
      </c>
      <c r="P212" s="25">
        <f>IF(OR($E212&lt;&gt;"received",$I212="",$L212=""),"",IF($I212&gt;=$L212+config!$B$19,"Y","N"))</f>
        <v/>
      </c>
      <c r="Q212" s="25">
        <f>IF($C212="","",IF(COUNTIF(campaigns!$A$2:$A$51,$C212)=0,"campaign_id not on campaigns; ",IF(AND($D212&lt;&gt;"",COUNTIFS(approvals!$A$2:$A$251,$C212,approvals!$B$2:$B$251,$D212)=0),"office not on this campaign (approvals tab); ",""))&amp;IF(AND(OR($E212="delivered",$E212="topped_up",$E212="collected"),$D212=""),"office needed; ","")&amp;IF(AND($E212&lt;&gt;"correction",N($G212)&lt;=0),"qty must be above 0; ","")&amp;IF(AND($E212="received",OR($I212="",$H212="")),"log lot and best-by; ","")&amp;IF(AND($P212="N",SUMIFS(inventory!$G$2:$G$801,inventory!$C$2:$C$801,$C212,inventory!$H$2:$H$801,$H212,inventory!$E$2:$E$801,"rejected")&lt;N($G212)),"UNDER "&amp;config!$B$19&amp;" DAYS LEFT ON THE DROP DAY: reject these units; ","")&amp;IF(AND($E212="delivered",COUNTIF(inventory!$R$2:$R$801,$R212)&gt;1),"two delivered rows for this office: use one; ","")&amp;IF(AND($E212="delivered",$J212=""),"who counted?; ",""))</f>
        <v/>
      </c>
      <c r="R212" s="25">
        <f>IF($C212="","",$C212&amp;"|"&amp;$D212&amp;"|"&amp;$E212)</f>
        <v/>
      </c>
    </row>
    <row r="213">
      <c r="A213" s="9" t="n"/>
      <c r="B213" s="33" t="n"/>
      <c r="I213" s="9" t="n"/>
      <c r="L213" s="26">
        <f>IF($C213="","",IFERROR(IF(INDEX(campaigns!$BG$2:$BG$51,MATCH($C213,campaigns!$A$2:$A$51,0))="","",INDEX(campaigns!$BG$2:$BG$51,MATCH($C213,campaigns!$A$2:$A$51,0))),""))</f>
        <v/>
      </c>
      <c r="M213" s="25">
        <f>IF($C213="","",IF(OR($E213="received"),N($G213),IF(OR($E213="rejected",$E213="delivered",$E213="topped_up"),-N($G213),IF(AND(OR($E213="returned_to_brand",$E213="given_to_roster_office",$E213="released_to_office",$E213="disposed"),IF($F213="","reserve",$F213)="reserve"),-N($G213),IF(AND($E213="correction",IF($F213="","reserve",$F213)="reserve"),N($G213),0)))))</f>
        <v/>
      </c>
      <c r="N213" s="25">
        <f>IF($C213="","",IF($E213="rejected",N($G213),IF(AND(OR($E213="returned_to_brand",$E213="given_to_roster_office",$E213="released_to_office",$E213="disposed"),IF($F213="","reserve",$F213)="rejected"),-N($G213),IF(AND($E213="correction",IF($F213="","reserve",$F213)="rejected"),N($G213),0))))</f>
        <v/>
      </c>
      <c r="O213" s="25">
        <f>IF($C213="","",IF($E213="collected",N($G213),IF(AND(OR($E213="returned_to_brand",$E213="given_to_roster_office",$E213="released_to_office",$E213="disposed"),IF($F213="","reserve",$F213)="leftover"),-N($G213),IF(AND($E213="correction",IF($F213="","reserve",$F213)="leftover"),N($G213),0))))</f>
        <v/>
      </c>
      <c r="P213" s="25">
        <f>IF(OR($E213&lt;&gt;"received",$I213="",$L213=""),"",IF($I213&gt;=$L213+config!$B$19,"Y","N"))</f>
        <v/>
      </c>
      <c r="Q213" s="25">
        <f>IF($C213="","",IF(COUNTIF(campaigns!$A$2:$A$51,$C213)=0,"campaign_id not on campaigns; ",IF(AND($D213&lt;&gt;"",COUNTIFS(approvals!$A$2:$A$251,$C213,approvals!$B$2:$B$251,$D213)=0),"office not on this campaign (approvals tab); ",""))&amp;IF(AND(OR($E213="delivered",$E213="topped_up",$E213="collected"),$D213=""),"office needed; ","")&amp;IF(AND($E213&lt;&gt;"correction",N($G213)&lt;=0),"qty must be above 0; ","")&amp;IF(AND($E213="received",OR($I213="",$H213="")),"log lot and best-by; ","")&amp;IF(AND($P213="N",SUMIFS(inventory!$G$2:$G$801,inventory!$C$2:$C$801,$C213,inventory!$H$2:$H$801,$H213,inventory!$E$2:$E$801,"rejected")&lt;N($G213)),"UNDER "&amp;config!$B$19&amp;" DAYS LEFT ON THE DROP DAY: reject these units; ","")&amp;IF(AND($E213="delivered",COUNTIF(inventory!$R$2:$R$801,$R213)&gt;1),"two delivered rows for this office: use one; ","")&amp;IF(AND($E213="delivered",$J213=""),"who counted?; ",""))</f>
        <v/>
      </c>
      <c r="R213" s="25">
        <f>IF($C213="","",$C213&amp;"|"&amp;$D213&amp;"|"&amp;$E213)</f>
        <v/>
      </c>
    </row>
    <row r="214">
      <c r="A214" s="9" t="n"/>
      <c r="B214" s="33" t="n"/>
      <c r="I214" s="9" t="n"/>
      <c r="L214" s="26">
        <f>IF($C214="","",IFERROR(IF(INDEX(campaigns!$BG$2:$BG$51,MATCH($C214,campaigns!$A$2:$A$51,0))="","",INDEX(campaigns!$BG$2:$BG$51,MATCH($C214,campaigns!$A$2:$A$51,0))),""))</f>
        <v/>
      </c>
      <c r="M214" s="25">
        <f>IF($C214="","",IF(OR($E214="received"),N($G214),IF(OR($E214="rejected",$E214="delivered",$E214="topped_up"),-N($G214),IF(AND(OR($E214="returned_to_brand",$E214="given_to_roster_office",$E214="released_to_office",$E214="disposed"),IF($F214="","reserve",$F214)="reserve"),-N($G214),IF(AND($E214="correction",IF($F214="","reserve",$F214)="reserve"),N($G214),0)))))</f>
        <v/>
      </c>
      <c r="N214" s="25">
        <f>IF($C214="","",IF($E214="rejected",N($G214),IF(AND(OR($E214="returned_to_brand",$E214="given_to_roster_office",$E214="released_to_office",$E214="disposed"),IF($F214="","reserve",$F214)="rejected"),-N($G214),IF(AND($E214="correction",IF($F214="","reserve",$F214)="rejected"),N($G214),0))))</f>
        <v/>
      </c>
      <c r="O214" s="25">
        <f>IF($C214="","",IF($E214="collected",N($G214),IF(AND(OR($E214="returned_to_brand",$E214="given_to_roster_office",$E214="released_to_office",$E214="disposed"),IF($F214="","reserve",$F214)="leftover"),-N($G214),IF(AND($E214="correction",IF($F214="","reserve",$F214)="leftover"),N($G214),0))))</f>
        <v/>
      </c>
      <c r="P214" s="25">
        <f>IF(OR($E214&lt;&gt;"received",$I214="",$L214=""),"",IF($I214&gt;=$L214+config!$B$19,"Y","N"))</f>
        <v/>
      </c>
      <c r="Q214" s="25">
        <f>IF($C214="","",IF(COUNTIF(campaigns!$A$2:$A$51,$C214)=0,"campaign_id not on campaigns; ",IF(AND($D214&lt;&gt;"",COUNTIFS(approvals!$A$2:$A$251,$C214,approvals!$B$2:$B$251,$D214)=0),"office not on this campaign (approvals tab); ",""))&amp;IF(AND(OR($E214="delivered",$E214="topped_up",$E214="collected"),$D214=""),"office needed; ","")&amp;IF(AND($E214&lt;&gt;"correction",N($G214)&lt;=0),"qty must be above 0; ","")&amp;IF(AND($E214="received",OR($I214="",$H214="")),"log lot and best-by; ","")&amp;IF(AND($P214="N",SUMIFS(inventory!$G$2:$G$801,inventory!$C$2:$C$801,$C214,inventory!$H$2:$H$801,$H214,inventory!$E$2:$E$801,"rejected")&lt;N($G214)),"UNDER "&amp;config!$B$19&amp;" DAYS LEFT ON THE DROP DAY: reject these units; ","")&amp;IF(AND($E214="delivered",COUNTIF(inventory!$R$2:$R$801,$R214)&gt;1),"two delivered rows for this office: use one; ","")&amp;IF(AND($E214="delivered",$J214=""),"who counted?; ",""))</f>
        <v/>
      </c>
      <c r="R214" s="25">
        <f>IF($C214="","",$C214&amp;"|"&amp;$D214&amp;"|"&amp;$E214)</f>
        <v/>
      </c>
    </row>
    <row r="215">
      <c r="A215" s="9" t="n"/>
      <c r="B215" s="33" t="n"/>
      <c r="I215" s="9" t="n"/>
      <c r="L215" s="26">
        <f>IF($C215="","",IFERROR(IF(INDEX(campaigns!$BG$2:$BG$51,MATCH($C215,campaigns!$A$2:$A$51,0))="","",INDEX(campaigns!$BG$2:$BG$51,MATCH($C215,campaigns!$A$2:$A$51,0))),""))</f>
        <v/>
      </c>
      <c r="M215" s="25">
        <f>IF($C215="","",IF(OR($E215="received"),N($G215),IF(OR($E215="rejected",$E215="delivered",$E215="topped_up"),-N($G215),IF(AND(OR($E215="returned_to_brand",$E215="given_to_roster_office",$E215="released_to_office",$E215="disposed"),IF($F215="","reserve",$F215)="reserve"),-N($G215),IF(AND($E215="correction",IF($F215="","reserve",$F215)="reserve"),N($G215),0)))))</f>
        <v/>
      </c>
      <c r="N215" s="25">
        <f>IF($C215="","",IF($E215="rejected",N($G215),IF(AND(OR($E215="returned_to_brand",$E215="given_to_roster_office",$E215="released_to_office",$E215="disposed"),IF($F215="","reserve",$F215)="rejected"),-N($G215),IF(AND($E215="correction",IF($F215="","reserve",$F215)="rejected"),N($G215),0))))</f>
        <v/>
      </c>
      <c r="O215" s="25">
        <f>IF($C215="","",IF($E215="collected",N($G215),IF(AND(OR($E215="returned_to_brand",$E215="given_to_roster_office",$E215="released_to_office",$E215="disposed"),IF($F215="","reserve",$F215)="leftover"),-N($G215),IF(AND($E215="correction",IF($F215="","reserve",$F215)="leftover"),N($G215),0))))</f>
        <v/>
      </c>
      <c r="P215" s="25">
        <f>IF(OR($E215&lt;&gt;"received",$I215="",$L215=""),"",IF($I215&gt;=$L215+config!$B$19,"Y","N"))</f>
        <v/>
      </c>
      <c r="Q215" s="25">
        <f>IF($C215="","",IF(COUNTIF(campaigns!$A$2:$A$51,$C215)=0,"campaign_id not on campaigns; ",IF(AND($D215&lt;&gt;"",COUNTIFS(approvals!$A$2:$A$251,$C215,approvals!$B$2:$B$251,$D215)=0),"office not on this campaign (approvals tab); ",""))&amp;IF(AND(OR($E215="delivered",$E215="topped_up",$E215="collected"),$D215=""),"office needed; ","")&amp;IF(AND($E215&lt;&gt;"correction",N($G215)&lt;=0),"qty must be above 0; ","")&amp;IF(AND($E215="received",OR($I215="",$H215="")),"log lot and best-by; ","")&amp;IF(AND($P215="N",SUMIFS(inventory!$G$2:$G$801,inventory!$C$2:$C$801,$C215,inventory!$H$2:$H$801,$H215,inventory!$E$2:$E$801,"rejected")&lt;N($G215)),"UNDER "&amp;config!$B$19&amp;" DAYS LEFT ON THE DROP DAY: reject these units; ","")&amp;IF(AND($E215="delivered",COUNTIF(inventory!$R$2:$R$801,$R215)&gt;1),"two delivered rows for this office: use one; ","")&amp;IF(AND($E215="delivered",$J215=""),"who counted?; ",""))</f>
        <v/>
      </c>
      <c r="R215" s="25">
        <f>IF($C215="","",$C215&amp;"|"&amp;$D215&amp;"|"&amp;$E215)</f>
        <v/>
      </c>
    </row>
    <row r="216">
      <c r="A216" s="9" t="n"/>
      <c r="B216" s="33" t="n"/>
      <c r="I216" s="9" t="n"/>
      <c r="L216" s="26">
        <f>IF($C216="","",IFERROR(IF(INDEX(campaigns!$BG$2:$BG$51,MATCH($C216,campaigns!$A$2:$A$51,0))="","",INDEX(campaigns!$BG$2:$BG$51,MATCH($C216,campaigns!$A$2:$A$51,0))),""))</f>
        <v/>
      </c>
      <c r="M216" s="25">
        <f>IF($C216="","",IF(OR($E216="received"),N($G216),IF(OR($E216="rejected",$E216="delivered",$E216="topped_up"),-N($G216),IF(AND(OR($E216="returned_to_brand",$E216="given_to_roster_office",$E216="released_to_office",$E216="disposed"),IF($F216="","reserve",$F216)="reserve"),-N($G216),IF(AND($E216="correction",IF($F216="","reserve",$F216)="reserve"),N($G216),0)))))</f>
        <v/>
      </c>
      <c r="N216" s="25">
        <f>IF($C216="","",IF($E216="rejected",N($G216),IF(AND(OR($E216="returned_to_brand",$E216="given_to_roster_office",$E216="released_to_office",$E216="disposed"),IF($F216="","reserve",$F216)="rejected"),-N($G216),IF(AND($E216="correction",IF($F216="","reserve",$F216)="rejected"),N($G216),0))))</f>
        <v/>
      </c>
      <c r="O216" s="25">
        <f>IF($C216="","",IF($E216="collected",N($G216),IF(AND(OR($E216="returned_to_brand",$E216="given_to_roster_office",$E216="released_to_office",$E216="disposed"),IF($F216="","reserve",$F216)="leftover"),-N($G216),IF(AND($E216="correction",IF($F216="","reserve",$F216)="leftover"),N($G216),0))))</f>
        <v/>
      </c>
      <c r="P216" s="25">
        <f>IF(OR($E216&lt;&gt;"received",$I216="",$L216=""),"",IF($I216&gt;=$L216+config!$B$19,"Y","N"))</f>
        <v/>
      </c>
      <c r="Q216" s="25">
        <f>IF($C216="","",IF(COUNTIF(campaigns!$A$2:$A$51,$C216)=0,"campaign_id not on campaigns; ",IF(AND($D216&lt;&gt;"",COUNTIFS(approvals!$A$2:$A$251,$C216,approvals!$B$2:$B$251,$D216)=0),"office not on this campaign (approvals tab); ",""))&amp;IF(AND(OR($E216="delivered",$E216="topped_up",$E216="collected"),$D216=""),"office needed; ","")&amp;IF(AND($E216&lt;&gt;"correction",N($G216)&lt;=0),"qty must be above 0; ","")&amp;IF(AND($E216="received",OR($I216="",$H216="")),"log lot and best-by; ","")&amp;IF(AND($P216="N",SUMIFS(inventory!$G$2:$G$801,inventory!$C$2:$C$801,$C216,inventory!$H$2:$H$801,$H216,inventory!$E$2:$E$801,"rejected")&lt;N($G216)),"UNDER "&amp;config!$B$19&amp;" DAYS LEFT ON THE DROP DAY: reject these units; ","")&amp;IF(AND($E216="delivered",COUNTIF(inventory!$R$2:$R$801,$R216)&gt;1),"two delivered rows for this office: use one; ","")&amp;IF(AND($E216="delivered",$J216=""),"who counted?; ",""))</f>
        <v/>
      </c>
      <c r="R216" s="25">
        <f>IF($C216="","",$C216&amp;"|"&amp;$D216&amp;"|"&amp;$E216)</f>
        <v/>
      </c>
    </row>
    <row r="217">
      <c r="A217" s="9" t="n"/>
      <c r="B217" s="33" t="n"/>
      <c r="I217" s="9" t="n"/>
      <c r="L217" s="26">
        <f>IF($C217="","",IFERROR(IF(INDEX(campaigns!$BG$2:$BG$51,MATCH($C217,campaigns!$A$2:$A$51,0))="","",INDEX(campaigns!$BG$2:$BG$51,MATCH($C217,campaigns!$A$2:$A$51,0))),""))</f>
        <v/>
      </c>
      <c r="M217" s="25">
        <f>IF($C217="","",IF(OR($E217="received"),N($G217),IF(OR($E217="rejected",$E217="delivered",$E217="topped_up"),-N($G217),IF(AND(OR($E217="returned_to_brand",$E217="given_to_roster_office",$E217="released_to_office",$E217="disposed"),IF($F217="","reserve",$F217)="reserve"),-N($G217),IF(AND($E217="correction",IF($F217="","reserve",$F217)="reserve"),N($G217),0)))))</f>
        <v/>
      </c>
      <c r="N217" s="25">
        <f>IF($C217="","",IF($E217="rejected",N($G217),IF(AND(OR($E217="returned_to_brand",$E217="given_to_roster_office",$E217="released_to_office",$E217="disposed"),IF($F217="","reserve",$F217)="rejected"),-N($G217),IF(AND($E217="correction",IF($F217="","reserve",$F217)="rejected"),N($G217),0))))</f>
        <v/>
      </c>
      <c r="O217" s="25">
        <f>IF($C217="","",IF($E217="collected",N($G217),IF(AND(OR($E217="returned_to_brand",$E217="given_to_roster_office",$E217="released_to_office",$E217="disposed"),IF($F217="","reserve",$F217)="leftover"),-N($G217),IF(AND($E217="correction",IF($F217="","reserve",$F217)="leftover"),N($G217),0))))</f>
        <v/>
      </c>
      <c r="P217" s="25">
        <f>IF(OR($E217&lt;&gt;"received",$I217="",$L217=""),"",IF($I217&gt;=$L217+config!$B$19,"Y","N"))</f>
        <v/>
      </c>
      <c r="Q217" s="25">
        <f>IF($C217="","",IF(COUNTIF(campaigns!$A$2:$A$51,$C217)=0,"campaign_id not on campaigns; ",IF(AND($D217&lt;&gt;"",COUNTIFS(approvals!$A$2:$A$251,$C217,approvals!$B$2:$B$251,$D217)=0),"office not on this campaign (approvals tab); ",""))&amp;IF(AND(OR($E217="delivered",$E217="topped_up",$E217="collected"),$D217=""),"office needed; ","")&amp;IF(AND($E217&lt;&gt;"correction",N($G217)&lt;=0),"qty must be above 0; ","")&amp;IF(AND($E217="received",OR($I217="",$H217="")),"log lot and best-by; ","")&amp;IF(AND($P217="N",SUMIFS(inventory!$G$2:$G$801,inventory!$C$2:$C$801,$C217,inventory!$H$2:$H$801,$H217,inventory!$E$2:$E$801,"rejected")&lt;N($G217)),"UNDER "&amp;config!$B$19&amp;" DAYS LEFT ON THE DROP DAY: reject these units; ","")&amp;IF(AND($E217="delivered",COUNTIF(inventory!$R$2:$R$801,$R217)&gt;1),"two delivered rows for this office: use one; ","")&amp;IF(AND($E217="delivered",$J217=""),"who counted?; ",""))</f>
        <v/>
      </c>
      <c r="R217" s="25">
        <f>IF($C217="","",$C217&amp;"|"&amp;$D217&amp;"|"&amp;$E217)</f>
        <v/>
      </c>
    </row>
    <row r="218">
      <c r="A218" s="9" t="n"/>
      <c r="B218" s="33" t="n"/>
      <c r="I218" s="9" t="n"/>
      <c r="L218" s="26">
        <f>IF($C218="","",IFERROR(IF(INDEX(campaigns!$BG$2:$BG$51,MATCH($C218,campaigns!$A$2:$A$51,0))="","",INDEX(campaigns!$BG$2:$BG$51,MATCH($C218,campaigns!$A$2:$A$51,0))),""))</f>
        <v/>
      </c>
      <c r="M218" s="25">
        <f>IF($C218="","",IF(OR($E218="received"),N($G218),IF(OR($E218="rejected",$E218="delivered",$E218="topped_up"),-N($G218),IF(AND(OR($E218="returned_to_brand",$E218="given_to_roster_office",$E218="released_to_office",$E218="disposed"),IF($F218="","reserve",$F218)="reserve"),-N($G218),IF(AND($E218="correction",IF($F218="","reserve",$F218)="reserve"),N($G218),0)))))</f>
        <v/>
      </c>
      <c r="N218" s="25">
        <f>IF($C218="","",IF($E218="rejected",N($G218),IF(AND(OR($E218="returned_to_brand",$E218="given_to_roster_office",$E218="released_to_office",$E218="disposed"),IF($F218="","reserve",$F218)="rejected"),-N($G218),IF(AND($E218="correction",IF($F218="","reserve",$F218)="rejected"),N($G218),0))))</f>
        <v/>
      </c>
      <c r="O218" s="25">
        <f>IF($C218="","",IF($E218="collected",N($G218),IF(AND(OR($E218="returned_to_brand",$E218="given_to_roster_office",$E218="released_to_office",$E218="disposed"),IF($F218="","reserve",$F218)="leftover"),-N($G218),IF(AND($E218="correction",IF($F218="","reserve",$F218)="leftover"),N($G218),0))))</f>
        <v/>
      </c>
      <c r="P218" s="25">
        <f>IF(OR($E218&lt;&gt;"received",$I218="",$L218=""),"",IF($I218&gt;=$L218+config!$B$19,"Y","N"))</f>
        <v/>
      </c>
      <c r="Q218" s="25">
        <f>IF($C218="","",IF(COUNTIF(campaigns!$A$2:$A$51,$C218)=0,"campaign_id not on campaigns; ",IF(AND($D218&lt;&gt;"",COUNTIFS(approvals!$A$2:$A$251,$C218,approvals!$B$2:$B$251,$D218)=0),"office not on this campaign (approvals tab); ",""))&amp;IF(AND(OR($E218="delivered",$E218="topped_up",$E218="collected"),$D218=""),"office needed; ","")&amp;IF(AND($E218&lt;&gt;"correction",N($G218)&lt;=0),"qty must be above 0; ","")&amp;IF(AND($E218="received",OR($I218="",$H218="")),"log lot and best-by; ","")&amp;IF(AND($P218="N",SUMIFS(inventory!$G$2:$G$801,inventory!$C$2:$C$801,$C218,inventory!$H$2:$H$801,$H218,inventory!$E$2:$E$801,"rejected")&lt;N($G218)),"UNDER "&amp;config!$B$19&amp;" DAYS LEFT ON THE DROP DAY: reject these units; ","")&amp;IF(AND($E218="delivered",COUNTIF(inventory!$R$2:$R$801,$R218)&gt;1),"two delivered rows for this office: use one; ","")&amp;IF(AND($E218="delivered",$J218=""),"who counted?; ",""))</f>
        <v/>
      </c>
      <c r="R218" s="25">
        <f>IF($C218="","",$C218&amp;"|"&amp;$D218&amp;"|"&amp;$E218)</f>
        <v/>
      </c>
    </row>
    <row r="219">
      <c r="A219" s="9" t="n"/>
      <c r="B219" s="33" t="n"/>
      <c r="I219" s="9" t="n"/>
      <c r="L219" s="26">
        <f>IF($C219="","",IFERROR(IF(INDEX(campaigns!$BG$2:$BG$51,MATCH($C219,campaigns!$A$2:$A$51,0))="","",INDEX(campaigns!$BG$2:$BG$51,MATCH($C219,campaigns!$A$2:$A$51,0))),""))</f>
        <v/>
      </c>
      <c r="M219" s="25">
        <f>IF($C219="","",IF(OR($E219="received"),N($G219),IF(OR($E219="rejected",$E219="delivered",$E219="topped_up"),-N($G219),IF(AND(OR($E219="returned_to_brand",$E219="given_to_roster_office",$E219="released_to_office",$E219="disposed"),IF($F219="","reserve",$F219)="reserve"),-N($G219),IF(AND($E219="correction",IF($F219="","reserve",$F219)="reserve"),N($G219),0)))))</f>
        <v/>
      </c>
      <c r="N219" s="25">
        <f>IF($C219="","",IF($E219="rejected",N($G219),IF(AND(OR($E219="returned_to_brand",$E219="given_to_roster_office",$E219="released_to_office",$E219="disposed"),IF($F219="","reserve",$F219)="rejected"),-N($G219),IF(AND($E219="correction",IF($F219="","reserve",$F219)="rejected"),N($G219),0))))</f>
        <v/>
      </c>
      <c r="O219" s="25">
        <f>IF($C219="","",IF($E219="collected",N($G219),IF(AND(OR($E219="returned_to_brand",$E219="given_to_roster_office",$E219="released_to_office",$E219="disposed"),IF($F219="","reserve",$F219)="leftover"),-N($G219),IF(AND($E219="correction",IF($F219="","reserve",$F219)="leftover"),N($G219),0))))</f>
        <v/>
      </c>
      <c r="P219" s="25">
        <f>IF(OR($E219&lt;&gt;"received",$I219="",$L219=""),"",IF($I219&gt;=$L219+config!$B$19,"Y","N"))</f>
        <v/>
      </c>
      <c r="Q219" s="25">
        <f>IF($C219="","",IF(COUNTIF(campaigns!$A$2:$A$51,$C219)=0,"campaign_id not on campaigns; ",IF(AND($D219&lt;&gt;"",COUNTIFS(approvals!$A$2:$A$251,$C219,approvals!$B$2:$B$251,$D219)=0),"office not on this campaign (approvals tab); ",""))&amp;IF(AND(OR($E219="delivered",$E219="topped_up",$E219="collected"),$D219=""),"office needed; ","")&amp;IF(AND($E219&lt;&gt;"correction",N($G219)&lt;=0),"qty must be above 0; ","")&amp;IF(AND($E219="received",OR($I219="",$H219="")),"log lot and best-by; ","")&amp;IF(AND($P219="N",SUMIFS(inventory!$G$2:$G$801,inventory!$C$2:$C$801,$C219,inventory!$H$2:$H$801,$H219,inventory!$E$2:$E$801,"rejected")&lt;N($G219)),"UNDER "&amp;config!$B$19&amp;" DAYS LEFT ON THE DROP DAY: reject these units; ","")&amp;IF(AND($E219="delivered",COUNTIF(inventory!$R$2:$R$801,$R219)&gt;1),"two delivered rows for this office: use one; ","")&amp;IF(AND($E219="delivered",$J219=""),"who counted?; ",""))</f>
        <v/>
      </c>
      <c r="R219" s="25">
        <f>IF($C219="","",$C219&amp;"|"&amp;$D219&amp;"|"&amp;$E219)</f>
        <v/>
      </c>
    </row>
    <row r="220">
      <c r="A220" s="9" t="n"/>
      <c r="B220" s="33" t="n"/>
      <c r="I220" s="9" t="n"/>
      <c r="L220" s="26">
        <f>IF($C220="","",IFERROR(IF(INDEX(campaigns!$BG$2:$BG$51,MATCH($C220,campaigns!$A$2:$A$51,0))="","",INDEX(campaigns!$BG$2:$BG$51,MATCH($C220,campaigns!$A$2:$A$51,0))),""))</f>
        <v/>
      </c>
      <c r="M220" s="25">
        <f>IF($C220="","",IF(OR($E220="received"),N($G220),IF(OR($E220="rejected",$E220="delivered",$E220="topped_up"),-N($G220),IF(AND(OR($E220="returned_to_brand",$E220="given_to_roster_office",$E220="released_to_office",$E220="disposed"),IF($F220="","reserve",$F220)="reserve"),-N($G220),IF(AND($E220="correction",IF($F220="","reserve",$F220)="reserve"),N($G220),0)))))</f>
        <v/>
      </c>
      <c r="N220" s="25">
        <f>IF($C220="","",IF($E220="rejected",N($G220),IF(AND(OR($E220="returned_to_brand",$E220="given_to_roster_office",$E220="released_to_office",$E220="disposed"),IF($F220="","reserve",$F220)="rejected"),-N($G220),IF(AND($E220="correction",IF($F220="","reserve",$F220)="rejected"),N($G220),0))))</f>
        <v/>
      </c>
      <c r="O220" s="25">
        <f>IF($C220="","",IF($E220="collected",N($G220),IF(AND(OR($E220="returned_to_brand",$E220="given_to_roster_office",$E220="released_to_office",$E220="disposed"),IF($F220="","reserve",$F220)="leftover"),-N($G220),IF(AND($E220="correction",IF($F220="","reserve",$F220)="leftover"),N($G220),0))))</f>
        <v/>
      </c>
      <c r="P220" s="25">
        <f>IF(OR($E220&lt;&gt;"received",$I220="",$L220=""),"",IF($I220&gt;=$L220+config!$B$19,"Y","N"))</f>
        <v/>
      </c>
      <c r="Q220" s="25">
        <f>IF($C220="","",IF(COUNTIF(campaigns!$A$2:$A$51,$C220)=0,"campaign_id not on campaigns; ",IF(AND($D220&lt;&gt;"",COUNTIFS(approvals!$A$2:$A$251,$C220,approvals!$B$2:$B$251,$D220)=0),"office not on this campaign (approvals tab); ",""))&amp;IF(AND(OR($E220="delivered",$E220="topped_up",$E220="collected"),$D220=""),"office needed; ","")&amp;IF(AND($E220&lt;&gt;"correction",N($G220)&lt;=0),"qty must be above 0; ","")&amp;IF(AND($E220="received",OR($I220="",$H220="")),"log lot and best-by; ","")&amp;IF(AND($P220="N",SUMIFS(inventory!$G$2:$G$801,inventory!$C$2:$C$801,$C220,inventory!$H$2:$H$801,$H220,inventory!$E$2:$E$801,"rejected")&lt;N($G220)),"UNDER "&amp;config!$B$19&amp;" DAYS LEFT ON THE DROP DAY: reject these units; ","")&amp;IF(AND($E220="delivered",COUNTIF(inventory!$R$2:$R$801,$R220)&gt;1),"two delivered rows for this office: use one; ","")&amp;IF(AND($E220="delivered",$J220=""),"who counted?; ",""))</f>
        <v/>
      </c>
      <c r="R220" s="25">
        <f>IF($C220="","",$C220&amp;"|"&amp;$D220&amp;"|"&amp;$E220)</f>
        <v/>
      </c>
    </row>
    <row r="221">
      <c r="A221" s="9" t="n"/>
      <c r="B221" s="33" t="n"/>
      <c r="I221" s="9" t="n"/>
      <c r="L221" s="26">
        <f>IF($C221="","",IFERROR(IF(INDEX(campaigns!$BG$2:$BG$51,MATCH($C221,campaigns!$A$2:$A$51,0))="","",INDEX(campaigns!$BG$2:$BG$51,MATCH($C221,campaigns!$A$2:$A$51,0))),""))</f>
        <v/>
      </c>
      <c r="M221" s="25">
        <f>IF($C221="","",IF(OR($E221="received"),N($G221),IF(OR($E221="rejected",$E221="delivered",$E221="topped_up"),-N($G221),IF(AND(OR($E221="returned_to_brand",$E221="given_to_roster_office",$E221="released_to_office",$E221="disposed"),IF($F221="","reserve",$F221)="reserve"),-N($G221),IF(AND($E221="correction",IF($F221="","reserve",$F221)="reserve"),N($G221),0)))))</f>
        <v/>
      </c>
      <c r="N221" s="25">
        <f>IF($C221="","",IF($E221="rejected",N($G221),IF(AND(OR($E221="returned_to_brand",$E221="given_to_roster_office",$E221="released_to_office",$E221="disposed"),IF($F221="","reserve",$F221)="rejected"),-N($G221),IF(AND($E221="correction",IF($F221="","reserve",$F221)="rejected"),N($G221),0))))</f>
        <v/>
      </c>
      <c r="O221" s="25">
        <f>IF($C221="","",IF($E221="collected",N($G221),IF(AND(OR($E221="returned_to_brand",$E221="given_to_roster_office",$E221="released_to_office",$E221="disposed"),IF($F221="","reserve",$F221)="leftover"),-N($G221),IF(AND($E221="correction",IF($F221="","reserve",$F221)="leftover"),N($G221),0))))</f>
        <v/>
      </c>
      <c r="P221" s="25">
        <f>IF(OR($E221&lt;&gt;"received",$I221="",$L221=""),"",IF($I221&gt;=$L221+config!$B$19,"Y","N"))</f>
        <v/>
      </c>
      <c r="Q221" s="25">
        <f>IF($C221="","",IF(COUNTIF(campaigns!$A$2:$A$51,$C221)=0,"campaign_id not on campaigns; ",IF(AND($D221&lt;&gt;"",COUNTIFS(approvals!$A$2:$A$251,$C221,approvals!$B$2:$B$251,$D221)=0),"office not on this campaign (approvals tab); ",""))&amp;IF(AND(OR($E221="delivered",$E221="topped_up",$E221="collected"),$D221=""),"office needed; ","")&amp;IF(AND($E221&lt;&gt;"correction",N($G221)&lt;=0),"qty must be above 0; ","")&amp;IF(AND($E221="received",OR($I221="",$H221="")),"log lot and best-by; ","")&amp;IF(AND($P221="N",SUMIFS(inventory!$G$2:$G$801,inventory!$C$2:$C$801,$C221,inventory!$H$2:$H$801,$H221,inventory!$E$2:$E$801,"rejected")&lt;N($G221)),"UNDER "&amp;config!$B$19&amp;" DAYS LEFT ON THE DROP DAY: reject these units; ","")&amp;IF(AND($E221="delivered",COUNTIF(inventory!$R$2:$R$801,$R221)&gt;1),"two delivered rows for this office: use one; ","")&amp;IF(AND($E221="delivered",$J221=""),"who counted?; ",""))</f>
        <v/>
      </c>
      <c r="R221" s="25">
        <f>IF($C221="","",$C221&amp;"|"&amp;$D221&amp;"|"&amp;$E221)</f>
        <v/>
      </c>
    </row>
    <row r="222">
      <c r="A222" s="9" t="n"/>
      <c r="B222" s="33" t="n"/>
      <c r="I222" s="9" t="n"/>
      <c r="L222" s="26">
        <f>IF($C222="","",IFERROR(IF(INDEX(campaigns!$BG$2:$BG$51,MATCH($C222,campaigns!$A$2:$A$51,0))="","",INDEX(campaigns!$BG$2:$BG$51,MATCH($C222,campaigns!$A$2:$A$51,0))),""))</f>
        <v/>
      </c>
      <c r="M222" s="25">
        <f>IF($C222="","",IF(OR($E222="received"),N($G222),IF(OR($E222="rejected",$E222="delivered",$E222="topped_up"),-N($G222),IF(AND(OR($E222="returned_to_brand",$E222="given_to_roster_office",$E222="released_to_office",$E222="disposed"),IF($F222="","reserve",$F222)="reserve"),-N($G222),IF(AND($E222="correction",IF($F222="","reserve",$F222)="reserve"),N($G222),0)))))</f>
        <v/>
      </c>
      <c r="N222" s="25">
        <f>IF($C222="","",IF($E222="rejected",N($G222),IF(AND(OR($E222="returned_to_brand",$E222="given_to_roster_office",$E222="released_to_office",$E222="disposed"),IF($F222="","reserve",$F222)="rejected"),-N($G222),IF(AND($E222="correction",IF($F222="","reserve",$F222)="rejected"),N($G222),0))))</f>
        <v/>
      </c>
      <c r="O222" s="25">
        <f>IF($C222="","",IF($E222="collected",N($G222),IF(AND(OR($E222="returned_to_brand",$E222="given_to_roster_office",$E222="released_to_office",$E222="disposed"),IF($F222="","reserve",$F222)="leftover"),-N($G222),IF(AND($E222="correction",IF($F222="","reserve",$F222)="leftover"),N($G222),0))))</f>
        <v/>
      </c>
      <c r="P222" s="25">
        <f>IF(OR($E222&lt;&gt;"received",$I222="",$L222=""),"",IF($I222&gt;=$L222+config!$B$19,"Y","N"))</f>
        <v/>
      </c>
      <c r="Q222" s="25">
        <f>IF($C222="","",IF(COUNTIF(campaigns!$A$2:$A$51,$C222)=0,"campaign_id not on campaigns; ",IF(AND($D222&lt;&gt;"",COUNTIFS(approvals!$A$2:$A$251,$C222,approvals!$B$2:$B$251,$D222)=0),"office not on this campaign (approvals tab); ",""))&amp;IF(AND(OR($E222="delivered",$E222="topped_up",$E222="collected"),$D222=""),"office needed; ","")&amp;IF(AND($E222&lt;&gt;"correction",N($G222)&lt;=0),"qty must be above 0; ","")&amp;IF(AND($E222="received",OR($I222="",$H222="")),"log lot and best-by; ","")&amp;IF(AND($P222="N",SUMIFS(inventory!$G$2:$G$801,inventory!$C$2:$C$801,$C222,inventory!$H$2:$H$801,$H222,inventory!$E$2:$E$801,"rejected")&lt;N($G222)),"UNDER "&amp;config!$B$19&amp;" DAYS LEFT ON THE DROP DAY: reject these units; ","")&amp;IF(AND($E222="delivered",COUNTIF(inventory!$R$2:$R$801,$R222)&gt;1),"two delivered rows for this office: use one; ","")&amp;IF(AND($E222="delivered",$J222=""),"who counted?; ",""))</f>
        <v/>
      </c>
      <c r="R222" s="25">
        <f>IF($C222="","",$C222&amp;"|"&amp;$D222&amp;"|"&amp;$E222)</f>
        <v/>
      </c>
    </row>
    <row r="223">
      <c r="A223" s="9" t="n"/>
      <c r="B223" s="33" t="n"/>
      <c r="I223" s="9" t="n"/>
      <c r="L223" s="26">
        <f>IF($C223="","",IFERROR(IF(INDEX(campaigns!$BG$2:$BG$51,MATCH($C223,campaigns!$A$2:$A$51,0))="","",INDEX(campaigns!$BG$2:$BG$51,MATCH($C223,campaigns!$A$2:$A$51,0))),""))</f>
        <v/>
      </c>
      <c r="M223" s="25">
        <f>IF($C223="","",IF(OR($E223="received"),N($G223),IF(OR($E223="rejected",$E223="delivered",$E223="topped_up"),-N($G223),IF(AND(OR($E223="returned_to_brand",$E223="given_to_roster_office",$E223="released_to_office",$E223="disposed"),IF($F223="","reserve",$F223)="reserve"),-N($G223),IF(AND($E223="correction",IF($F223="","reserve",$F223)="reserve"),N($G223),0)))))</f>
        <v/>
      </c>
      <c r="N223" s="25">
        <f>IF($C223="","",IF($E223="rejected",N($G223),IF(AND(OR($E223="returned_to_brand",$E223="given_to_roster_office",$E223="released_to_office",$E223="disposed"),IF($F223="","reserve",$F223)="rejected"),-N($G223),IF(AND($E223="correction",IF($F223="","reserve",$F223)="rejected"),N($G223),0))))</f>
        <v/>
      </c>
      <c r="O223" s="25">
        <f>IF($C223="","",IF($E223="collected",N($G223),IF(AND(OR($E223="returned_to_brand",$E223="given_to_roster_office",$E223="released_to_office",$E223="disposed"),IF($F223="","reserve",$F223)="leftover"),-N($G223),IF(AND($E223="correction",IF($F223="","reserve",$F223)="leftover"),N($G223),0))))</f>
        <v/>
      </c>
      <c r="P223" s="25">
        <f>IF(OR($E223&lt;&gt;"received",$I223="",$L223=""),"",IF($I223&gt;=$L223+config!$B$19,"Y","N"))</f>
        <v/>
      </c>
      <c r="Q223" s="25">
        <f>IF($C223="","",IF(COUNTIF(campaigns!$A$2:$A$51,$C223)=0,"campaign_id not on campaigns; ",IF(AND($D223&lt;&gt;"",COUNTIFS(approvals!$A$2:$A$251,$C223,approvals!$B$2:$B$251,$D223)=0),"office not on this campaign (approvals tab); ",""))&amp;IF(AND(OR($E223="delivered",$E223="topped_up",$E223="collected"),$D223=""),"office needed; ","")&amp;IF(AND($E223&lt;&gt;"correction",N($G223)&lt;=0),"qty must be above 0; ","")&amp;IF(AND($E223="received",OR($I223="",$H223="")),"log lot and best-by; ","")&amp;IF(AND($P223="N",SUMIFS(inventory!$G$2:$G$801,inventory!$C$2:$C$801,$C223,inventory!$H$2:$H$801,$H223,inventory!$E$2:$E$801,"rejected")&lt;N($G223)),"UNDER "&amp;config!$B$19&amp;" DAYS LEFT ON THE DROP DAY: reject these units; ","")&amp;IF(AND($E223="delivered",COUNTIF(inventory!$R$2:$R$801,$R223)&gt;1),"two delivered rows for this office: use one; ","")&amp;IF(AND($E223="delivered",$J223=""),"who counted?; ",""))</f>
        <v/>
      </c>
      <c r="R223" s="25">
        <f>IF($C223="","",$C223&amp;"|"&amp;$D223&amp;"|"&amp;$E223)</f>
        <v/>
      </c>
    </row>
    <row r="224">
      <c r="A224" s="9" t="n"/>
      <c r="B224" s="33" t="n"/>
      <c r="I224" s="9" t="n"/>
      <c r="L224" s="26">
        <f>IF($C224="","",IFERROR(IF(INDEX(campaigns!$BG$2:$BG$51,MATCH($C224,campaigns!$A$2:$A$51,0))="","",INDEX(campaigns!$BG$2:$BG$51,MATCH($C224,campaigns!$A$2:$A$51,0))),""))</f>
        <v/>
      </c>
      <c r="M224" s="25">
        <f>IF($C224="","",IF(OR($E224="received"),N($G224),IF(OR($E224="rejected",$E224="delivered",$E224="topped_up"),-N($G224),IF(AND(OR($E224="returned_to_brand",$E224="given_to_roster_office",$E224="released_to_office",$E224="disposed"),IF($F224="","reserve",$F224)="reserve"),-N($G224),IF(AND($E224="correction",IF($F224="","reserve",$F224)="reserve"),N($G224),0)))))</f>
        <v/>
      </c>
      <c r="N224" s="25">
        <f>IF($C224="","",IF($E224="rejected",N($G224),IF(AND(OR($E224="returned_to_brand",$E224="given_to_roster_office",$E224="released_to_office",$E224="disposed"),IF($F224="","reserve",$F224)="rejected"),-N($G224),IF(AND($E224="correction",IF($F224="","reserve",$F224)="rejected"),N($G224),0))))</f>
        <v/>
      </c>
      <c r="O224" s="25">
        <f>IF($C224="","",IF($E224="collected",N($G224),IF(AND(OR($E224="returned_to_brand",$E224="given_to_roster_office",$E224="released_to_office",$E224="disposed"),IF($F224="","reserve",$F224)="leftover"),-N($G224),IF(AND($E224="correction",IF($F224="","reserve",$F224)="leftover"),N($G224),0))))</f>
        <v/>
      </c>
      <c r="P224" s="25">
        <f>IF(OR($E224&lt;&gt;"received",$I224="",$L224=""),"",IF($I224&gt;=$L224+config!$B$19,"Y","N"))</f>
        <v/>
      </c>
      <c r="Q224" s="25">
        <f>IF($C224="","",IF(COUNTIF(campaigns!$A$2:$A$51,$C224)=0,"campaign_id not on campaigns; ",IF(AND($D224&lt;&gt;"",COUNTIFS(approvals!$A$2:$A$251,$C224,approvals!$B$2:$B$251,$D224)=0),"office not on this campaign (approvals tab); ",""))&amp;IF(AND(OR($E224="delivered",$E224="topped_up",$E224="collected"),$D224=""),"office needed; ","")&amp;IF(AND($E224&lt;&gt;"correction",N($G224)&lt;=0),"qty must be above 0; ","")&amp;IF(AND($E224="received",OR($I224="",$H224="")),"log lot and best-by; ","")&amp;IF(AND($P224="N",SUMIFS(inventory!$G$2:$G$801,inventory!$C$2:$C$801,$C224,inventory!$H$2:$H$801,$H224,inventory!$E$2:$E$801,"rejected")&lt;N($G224)),"UNDER "&amp;config!$B$19&amp;" DAYS LEFT ON THE DROP DAY: reject these units; ","")&amp;IF(AND($E224="delivered",COUNTIF(inventory!$R$2:$R$801,$R224)&gt;1),"two delivered rows for this office: use one; ","")&amp;IF(AND($E224="delivered",$J224=""),"who counted?; ",""))</f>
        <v/>
      </c>
      <c r="R224" s="25">
        <f>IF($C224="","",$C224&amp;"|"&amp;$D224&amp;"|"&amp;$E224)</f>
        <v/>
      </c>
    </row>
    <row r="225">
      <c r="A225" s="9" t="n"/>
      <c r="B225" s="33" t="n"/>
      <c r="I225" s="9" t="n"/>
      <c r="L225" s="26">
        <f>IF($C225="","",IFERROR(IF(INDEX(campaigns!$BG$2:$BG$51,MATCH($C225,campaigns!$A$2:$A$51,0))="","",INDEX(campaigns!$BG$2:$BG$51,MATCH($C225,campaigns!$A$2:$A$51,0))),""))</f>
        <v/>
      </c>
      <c r="M225" s="25">
        <f>IF($C225="","",IF(OR($E225="received"),N($G225),IF(OR($E225="rejected",$E225="delivered",$E225="topped_up"),-N($G225),IF(AND(OR($E225="returned_to_brand",$E225="given_to_roster_office",$E225="released_to_office",$E225="disposed"),IF($F225="","reserve",$F225)="reserve"),-N($G225),IF(AND($E225="correction",IF($F225="","reserve",$F225)="reserve"),N($G225),0)))))</f>
        <v/>
      </c>
      <c r="N225" s="25">
        <f>IF($C225="","",IF($E225="rejected",N($G225),IF(AND(OR($E225="returned_to_brand",$E225="given_to_roster_office",$E225="released_to_office",$E225="disposed"),IF($F225="","reserve",$F225)="rejected"),-N($G225),IF(AND($E225="correction",IF($F225="","reserve",$F225)="rejected"),N($G225),0))))</f>
        <v/>
      </c>
      <c r="O225" s="25">
        <f>IF($C225="","",IF($E225="collected",N($G225),IF(AND(OR($E225="returned_to_brand",$E225="given_to_roster_office",$E225="released_to_office",$E225="disposed"),IF($F225="","reserve",$F225)="leftover"),-N($G225),IF(AND($E225="correction",IF($F225="","reserve",$F225)="leftover"),N($G225),0))))</f>
        <v/>
      </c>
      <c r="P225" s="25">
        <f>IF(OR($E225&lt;&gt;"received",$I225="",$L225=""),"",IF($I225&gt;=$L225+config!$B$19,"Y","N"))</f>
        <v/>
      </c>
      <c r="Q225" s="25">
        <f>IF($C225="","",IF(COUNTIF(campaigns!$A$2:$A$51,$C225)=0,"campaign_id not on campaigns; ",IF(AND($D225&lt;&gt;"",COUNTIFS(approvals!$A$2:$A$251,$C225,approvals!$B$2:$B$251,$D225)=0),"office not on this campaign (approvals tab); ",""))&amp;IF(AND(OR($E225="delivered",$E225="topped_up",$E225="collected"),$D225=""),"office needed; ","")&amp;IF(AND($E225&lt;&gt;"correction",N($G225)&lt;=0),"qty must be above 0; ","")&amp;IF(AND($E225="received",OR($I225="",$H225="")),"log lot and best-by; ","")&amp;IF(AND($P225="N",SUMIFS(inventory!$G$2:$G$801,inventory!$C$2:$C$801,$C225,inventory!$H$2:$H$801,$H225,inventory!$E$2:$E$801,"rejected")&lt;N($G225)),"UNDER "&amp;config!$B$19&amp;" DAYS LEFT ON THE DROP DAY: reject these units; ","")&amp;IF(AND($E225="delivered",COUNTIF(inventory!$R$2:$R$801,$R225)&gt;1),"two delivered rows for this office: use one; ","")&amp;IF(AND($E225="delivered",$J225=""),"who counted?; ",""))</f>
        <v/>
      </c>
      <c r="R225" s="25">
        <f>IF($C225="","",$C225&amp;"|"&amp;$D225&amp;"|"&amp;$E225)</f>
        <v/>
      </c>
    </row>
    <row r="226">
      <c r="A226" s="9" t="n"/>
      <c r="B226" s="33" t="n"/>
      <c r="I226" s="9" t="n"/>
      <c r="L226" s="26">
        <f>IF($C226="","",IFERROR(IF(INDEX(campaigns!$BG$2:$BG$51,MATCH($C226,campaigns!$A$2:$A$51,0))="","",INDEX(campaigns!$BG$2:$BG$51,MATCH($C226,campaigns!$A$2:$A$51,0))),""))</f>
        <v/>
      </c>
      <c r="M226" s="25">
        <f>IF($C226="","",IF(OR($E226="received"),N($G226),IF(OR($E226="rejected",$E226="delivered",$E226="topped_up"),-N($G226),IF(AND(OR($E226="returned_to_brand",$E226="given_to_roster_office",$E226="released_to_office",$E226="disposed"),IF($F226="","reserve",$F226)="reserve"),-N($G226),IF(AND($E226="correction",IF($F226="","reserve",$F226)="reserve"),N($G226),0)))))</f>
        <v/>
      </c>
      <c r="N226" s="25">
        <f>IF($C226="","",IF($E226="rejected",N($G226),IF(AND(OR($E226="returned_to_brand",$E226="given_to_roster_office",$E226="released_to_office",$E226="disposed"),IF($F226="","reserve",$F226)="rejected"),-N($G226),IF(AND($E226="correction",IF($F226="","reserve",$F226)="rejected"),N($G226),0))))</f>
        <v/>
      </c>
      <c r="O226" s="25">
        <f>IF($C226="","",IF($E226="collected",N($G226),IF(AND(OR($E226="returned_to_brand",$E226="given_to_roster_office",$E226="released_to_office",$E226="disposed"),IF($F226="","reserve",$F226)="leftover"),-N($G226),IF(AND($E226="correction",IF($F226="","reserve",$F226)="leftover"),N($G226),0))))</f>
        <v/>
      </c>
      <c r="P226" s="25">
        <f>IF(OR($E226&lt;&gt;"received",$I226="",$L226=""),"",IF($I226&gt;=$L226+config!$B$19,"Y","N"))</f>
        <v/>
      </c>
      <c r="Q226" s="25">
        <f>IF($C226="","",IF(COUNTIF(campaigns!$A$2:$A$51,$C226)=0,"campaign_id not on campaigns; ",IF(AND($D226&lt;&gt;"",COUNTIFS(approvals!$A$2:$A$251,$C226,approvals!$B$2:$B$251,$D226)=0),"office not on this campaign (approvals tab); ",""))&amp;IF(AND(OR($E226="delivered",$E226="topped_up",$E226="collected"),$D226=""),"office needed; ","")&amp;IF(AND($E226&lt;&gt;"correction",N($G226)&lt;=0),"qty must be above 0; ","")&amp;IF(AND($E226="received",OR($I226="",$H226="")),"log lot and best-by; ","")&amp;IF(AND($P226="N",SUMIFS(inventory!$G$2:$G$801,inventory!$C$2:$C$801,$C226,inventory!$H$2:$H$801,$H226,inventory!$E$2:$E$801,"rejected")&lt;N($G226)),"UNDER "&amp;config!$B$19&amp;" DAYS LEFT ON THE DROP DAY: reject these units; ","")&amp;IF(AND($E226="delivered",COUNTIF(inventory!$R$2:$R$801,$R226)&gt;1),"two delivered rows for this office: use one; ","")&amp;IF(AND($E226="delivered",$J226=""),"who counted?; ",""))</f>
        <v/>
      </c>
      <c r="R226" s="25">
        <f>IF($C226="","",$C226&amp;"|"&amp;$D226&amp;"|"&amp;$E226)</f>
        <v/>
      </c>
    </row>
    <row r="227">
      <c r="A227" s="9" t="n"/>
      <c r="B227" s="33" t="n"/>
      <c r="I227" s="9" t="n"/>
      <c r="L227" s="26">
        <f>IF($C227="","",IFERROR(IF(INDEX(campaigns!$BG$2:$BG$51,MATCH($C227,campaigns!$A$2:$A$51,0))="","",INDEX(campaigns!$BG$2:$BG$51,MATCH($C227,campaigns!$A$2:$A$51,0))),""))</f>
        <v/>
      </c>
      <c r="M227" s="25">
        <f>IF($C227="","",IF(OR($E227="received"),N($G227),IF(OR($E227="rejected",$E227="delivered",$E227="topped_up"),-N($G227),IF(AND(OR($E227="returned_to_brand",$E227="given_to_roster_office",$E227="released_to_office",$E227="disposed"),IF($F227="","reserve",$F227)="reserve"),-N($G227),IF(AND($E227="correction",IF($F227="","reserve",$F227)="reserve"),N($G227),0)))))</f>
        <v/>
      </c>
      <c r="N227" s="25">
        <f>IF($C227="","",IF($E227="rejected",N($G227),IF(AND(OR($E227="returned_to_brand",$E227="given_to_roster_office",$E227="released_to_office",$E227="disposed"),IF($F227="","reserve",$F227)="rejected"),-N($G227),IF(AND($E227="correction",IF($F227="","reserve",$F227)="rejected"),N($G227),0))))</f>
        <v/>
      </c>
      <c r="O227" s="25">
        <f>IF($C227="","",IF($E227="collected",N($G227),IF(AND(OR($E227="returned_to_brand",$E227="given_to_roster_office",$E227="released_to_office",$E227="disposed"),IF($F227="","reserve",$F227)="leftover"),-N($G227),IF(AND($E227="correction",IF($F227="","reserve",$F227)="leftover"),N($G227),0))))</f>
        <v/>
      </c>
      <c r="P227" s="25">
        <f>IF(OR($E227&lt;&gt;"received",$I227="",$L227=""),"",IF($I227&gt;=$L227+config!$B$19,"Y","N"))</f>
        <v/>
      </c>
      <c r="Q227" s="25">
        <f>IF($C227="","",IF(COUNTIF(campaigns!$A$2:$A$51,$C227)=0,"campaign_id not on campaigns; ",IF(AND($D227&lt;&gt;"",COUNTIFS(approvals!$A$2:$A$251,$C227,approvals!$B$2:$B$251,$D227)=0),"office not on this campaign (approvals tab); ",""))&amp;IF(AND(OR($E227="delivered",$E227="topped_up",$E227="collected"),$D227=""),"office needed; ","")&amp;IF(AND($E227&lt;&gt;"correction",N($G227)&lt;=0),"qty must be above 0; ","")&amp;IF(AND($E227="received",OR($I227="",$H227="")),"log lot and best-by; ","")&amp;IF(AND($P227="N",SUMIFS(inventory!$G$2:$G$801,inventory!$C$2:$C$801,$C227,inventory!$H$2:$H$801,$H227,inventory!$E$2:$E$801,"rejected")&lt;N($G227)),"UNDER "&amp;config!$B$19&amp;" DAYS LEFT ON THE DROP DAY: reject these units; ","")&amp;IF(AND($E227="delivered",COUNTIF(inventory!$R$2:$R$801,$R227)&gt;1),"two delivered rows for this office: use one; ","")&amp;IF(AND($E227="delivered",$J227=""),"who counted?; ",""))</f>
        <v/>
      </c>
      <c r="R227" s="25">
        <f>IF($C227="","",$C227&amp;"|"&amp;$D227&amp;"|"&amp;$E227)</f>
        <v/>
      </c>
    </row>
    <row r="228">
      <c r="A228" s="9" t="n"/>
      <c r="B228" s="33" t="n"/>
      <c r="I228" s="9" t="n"/>
      <c r="L228" s="26">
        <f>IF($C228="","",IFERROR(IF(INDEX(campaigns!$BG$2:$BG$51,MATCH($C228,campaigns!$A$2:$A$51,0))="","",INDEX(campaigns!$BG$2:$BG$51,MATCH($C228,campaigns!$A$2:$A$51,0))),""))</f>
        <v/>
      </c>
      <c r="M228" s="25">
        <f>IF($C228="","",IF(OR($E228="received"),N($G228),IF(OR($E228="rejected",$E228="delivered",$E228="topped_up"),-N($G228),IF(AND(OR($E228="returned_to_brand",$E228="given_to_roster_office",$E228="released_to_office",$E228="disposed"),IF($F228="","reserve",$F228)="reserve"),-N($G228),IF(AND($E228="correction",IF($F228="","reserve",$F228)="reserve"),N($G228),0)))))</f>
        <v/>
      </c>
      <c r="N228" s="25">
        <f>IF($C228="","",IF($E228="rejected",N($G228),IF(AND(OR($E228="returned_to_brand",$E228="given_to_roster_office",$E228="released_to_office",$E228="disposed"),IF($F228="","reserve",$F228)="rejected"),-N($G228),IF(AND($E228="correction",IF($F228="","reserve",$F228)="rejected"),N($G228),0))))</f>
        <v/>
      </c>
      <c r="O228" s="25">
        <f>IF($C228="","",IF($E228="collected",N($G228),IF(AND(OR($E228="returned_to_brand",$E228="given_to_roster_office",$E228="released_to_office",$E228="disposed"),IF($F228="","reserve",$F228)="leftover"),-N($G228),IF(AND($E228="correction",IF($F228="","reserve",$F228)="leftover"),N($G228),0))))</f>
        <v/>
      </c>
      <c r="P228" s="25">
        <f>IF(OR($E228&lt;&gt;"received",$I228="",$L228=""),"",IF($I228&gt;=$L228+config!$B$19,"Y","N"))</f>
        <v/>
      </c>
      <c r="Q228" s="25">
        <f>IF($C228="","",IF(COUNTIF(campaigns!$A$2:$A$51,$C228)=0,"campaign_id not on campaigns; ",IF(AND($D228&lt;&gt;"",COUNTIFS(approvals!$A$2:$A$251,$C228,approvals!$B$2:$B$251,$D228)=0),"office not on this campaign (approvals tab); ",""))&amp;IF(AND(OR($E228="delivered",$E228="topped_up",$E228="collected"),$D228=""),"office needed; ","")&amp;IF(AND($E228&lt;&gt;"correction",N($G228)&lt;=0),"qty must be above 0; ","")&amp;IF(AND($E228="received",OR($I228="",$H228="")),"log lot and best-by; ","")&amp;IF(AND($P228="N",SUMIFS(inventory!$G$2:$G$801,inventory!$C$2:$C$801,$C228,inventory!$H$2:$H$801,$H228,inventory!$E$2:$E$801,"rejected")&lt;N($G228)),"UNDER "&amp;config!$B$19&amp;" DAYS LEFT ON THE DROP DAY: reject these units; ","")&amp;IF(AND($E228="delivered",COUNTIF(inventory!$R$2:$R$801,$R228)&gt;1),"two delivered rows for this office: use one; ","")&amp;IF(AND($E228="delivered",$J228=""),"who counted?; ",""))</f>
        <v/>
      </c>
      <c r="R228" s="25">
        <f>IF($C228="","",$C228&amp;"|"&amp;$D228&amp;"|"&amp;$E228)</f>
        <v/>
      </c>
    </row>
    <row r="229">
      <c r="A229" s="9" t="n"/>
      <c r="B229" s="33" t="n"/>
      <c r="I229" s="9" t="n"/>
      <c r="L229" s="26">
        <f>IF($C229="","",IFERROR(IF(INDEX(campaigns!$BG$2:$BG$51,MATCH($C229,campaigns!$A$2:$A$51,0))="","",INDEX(campaigns!$BG$2:$BG$51,MATCH($C229,campaigns!$A$2:$A$51,0))),""))</f>
        <v/>
      </c>
      <c r="M229" s="25">
        <f>IF($C229="","",IF(OR($E229="received"),N($G229),IF(OR($E229="rejected",$E229="delivered",$E229="topped_up"),-N($G229),IF(AND(OR($E229="returned_to_brand",$E229="given_to_roster_office",$E229="released_to_office",$E229="disposed"),IF($F229="","reserve",$F229)="reserve"),-N($G229),IF(AND($E229="correction",IF($F229="","reserve",$F229)="reserve"),N($G229),0)))))</f>
        <v/>
      </c>
      <c r="N229" s="25">
        <f>IF($C229="","",IF($E229="rejected",N($G229),IF(AND(OR($E229="returned_to_brand",$E229="given_to_roster_office",$E229="released_to_office",$E229="disposed"),IF($F229="","reserve",$F229)="rejected"),-N($G229),IF(AND($E229="correction",IF($F229="","reserve",$F229)="rejected"),N($G229),0))))</f>
        <v/>
      </c>
      <c r="O229" s="25">
        <f>IF($C229="","",IF($E229="collected",N($G229),IF(AND(OR($E229="returned_to_brand",$E229="given_to_roster_office",$E229="released_to_office",$E229="disposed"),IF($F229="","reserve",$F229)="leftover"),-N($G229),IF(AND($E229="correction",IF($F229="","reserve",$F229)="leftover"),N($G229),0))))</f>
        <v/>
      </c>
      <c r="P229" s="25">
        <f>IF(OR($E229&lt;&gt;"received",$I229="",$L229=""),"",IF($I229&gt;=$L229+config!$B$19,"Y","N"))</f>
        <v/>
      </c>
      <c r="Q229" s="25">
        <f>IF($C229="","",IF(COUNTIF(campaigns!$A$2:$A$51,$C229)=0,"campaign_id not on campaigns; ",IF(AND($D229&lt;&gt;"",COUNTIFS(approvals!$A$2:$A$251,$C229,approvals!$B$2:$B$251,$D229)=0),"office not on this campaign (approvals tab); ",""))&amp;IF(AND(OR($E229="delivered",$E229="topped_up",$E229="collected"),$D229=""),"office needed; ","")&amp;IF(AND($E229&lt;&gt;"correction",N($G229)&lt;=0),"qty must be above 0; ","")&amp;IF(AND($E229="received",OR($I229="",$H229="")),"log lot and best-by; ","")&amp;IF(AND($P229="N",SUMIFS(inventory!$G$2:$G$801,inventory!$C$2:$C$801,$C229,inventory!$H$2:$H$801,$H229,inventory!$E$2:$E$801,"rejected")&lt;N($G229)),"UNDER "&amp;config!$B$19&amp;" DAYS LEFT ON THE DROP DAY: reject these units; ","")&amp;IF(AND($E229="delivered",COUNTIF(inventory!$R$2:$R$801,$R229)&gt;1),"two delivered rows for this office: use one; ","")&amp;IF(AND($E229="delivered",$J229=""),"who counted?; ",""))</f>
        <v/>
      </c>
      <c r="R229" s="25">
        <f>IF($C229="","",$C229&amp;"|"&amp;$D229&amp;"|"&amp;$E229)</f>
        <v/>
      </c>
    </row>
    <row r="230">
      <c r="A230" s="9" t="n"/>
      <c r="B230" s="33" t="n"/>
      <c r="I230" s="9" t="n"/>
      <c r="L230" s="26">
        <f>IF($C230="","",IFERROR(IF(INDEX(campaigns!$BG$2:$BG$51,MATCH($C230,campaigns!$A$2:$A$51,0))="","",INDEX(campaigns!$BG$2:$BG$51,MATCH($C230,campaigns!$A$2:$A$51,0))),""))</f>
        <v/>
      </c>
      <c r="M230" s="25">
        <f>IF($C230="","",IF(OR($E230="received"),N($G230),IF(OR($E230="rejected",$E230="delivered",$E230="topped_up"),-N($G230),IF(AND(OR($E230="returned_to_brand",$E230="given_to_roster_office",$E230="released_to_office",$E230="disposed"),IF($F230="","reserve",$F230)="reserve"),-N($G230),IF(AND($E230="correction",IF($F230="","reserve",$F230)="reserve"),N($G230),0)))))</f>
        <v/>
      </c>
      <c r="N230" s="25">
        <f>IF($C230="","",IF($E230="rejected",N($G230),IF(AND(OR($E230="returned_to_brand",$E230="given_to_roster_office",$E230="released_to_office",$E230="disposed"),IF($F230="","reserve",$F230)="rejected"),-N($G230),IF(AND($E230="correction",IF($F230="","reserve",$F230)="rejected"),N($G230),0))))</f>
        <v/>
      </c>
      <c r="O230" s="25">
        <f>IF($C230="","",IF($E230="collected",N($G230),IF(AND(OR($E230="returned_to_brand",$E230="given_to_roster_office",$E230="released_to_office",$E230="disposed"),IF($F230="","reserve",$F230)="leftover"),-N($G230),IF(AND($E230="correction",IF($F230="","reserve",$F230)="leftover"),N($G230),0))))</f>
        <v/>
      </c>
      <c r="P230" s="25">
        <f>IF(OR($E230&lt;&gt;"received",$I230="",$L230=""),"",IF($I230&gt;=$L230+config!$B$19,"Y","N"))</f>
        <v/>
      </c>
      <c r="Q230" s="25">
        <f>IF($C230="","",IF(COUNTIF(campaigns!$A$2:$A$51,$C230)=0,"campaign_id not on campaigns; ",IF(AND($D230&lt;&gt;"",COUNTIFS(approvals!$A$2:$A$251,$C230,approvals!$B$2:$B$251,$D230)=0),"office not on this campaign (approvals tab); ",""))&amp;IF(AND(OR($E230="delivered",$E230="topped_up",$E230="collected"),$D230=""),"office needed; ","")&amp;IF(AND($E230&lt;&gt;"correction",N($G230)&lt;=0),"qty must be above 0; ","")&amp;IF(AND($E230="received",OR($I230="",$H230="")),"log lot and best-by; ","")&amp;IF(AND($P230="N",SUMIFS(inventory!$G$2:$G$801,inventory!$C$2:$C$801,$C230,inventory!$H$2:$H$801,$H230,inventory!$E$2:$E$801,"rejected")&lt;N($G230)),"UNDER "&amp;config!$B$19&amp;" DAYS LEFT ON THE DROP DAY: reject these units; ","")&amp;IF(AND($E230="delivered",COUNTIF(inventory!$R$2:$R$801,$R230)&gt;1),"two delivered rows for this office: use one; ","")&amp;IF(AND($E230="delivered",$J230=""),"who counted?; ",""))</f>
        <v/>
      </c>
      <c r="R230" s="25">
        <f>IF($C230="","",$C230&amp;"|"&amp;$D230&amp;"|"&amp;$E230)</f>
        <v/>
      </c>
    </row>
    <row r="231">
      <c r="A231" s="9" t="n"/>
      <c r="B231" s="33" t="n"/>
      <c r="I231" s="9" t="n"/>
      <c r="L231" s="26">
        <f>IF($C231="","",IFERROR(IF(INDEX(campaigns!$BG$2:$BG$51,MATCH($C231,campaigns!$A$2:$A$51,0))="","",INDEX(campaigns!$BG$2:$BG$51,MATCH($C231,campaigns!$A$2:$A$51,0))),""))</f>
        <v/>
      </c>
      <c r="M231" s="25">
        <f>IF($C231="","",IF(OR($E231="received"),N($G231),IF(OR($E231="rejected",$E231="delivered",$E231="topped_up"),-N($G231),IF(AND(OR($E231="returned_to_brand",$E231="given_to_roster_office",$E231="released_to_office",$E231="disposed"),IF($F231="","reserve",$F231)="reserve"),-N($G231),IF(AND($E231="correction",IF($F231="","reserve",$F231)="reserve"),N($G231),0)))))</f>
        <v/>
      </c>
      <c r="N231" s="25">
        <f>IF($C231="","",IF($E231="rejected",N($G231),IF(AND(OR($E231="returned_to_brand",$E231="given_to_roster_office",$E231="released_to_office",$E231="disposed"),IF($F231="","reserve",$F231)="rejected"),-N($G231),IF(AND($E231="correction",IF($F231="","reserve",$F231)="rejected"),N($G231),0))))</f>
        <v/>
      </c>
      <c r="O231" s="25">
        <f>IF($C231="","",IF($E231="collected",N($G231),IF(AND(OR($E231="returned_to_brand",$E231="given_to_roster_office",$E231="released_to_office",$E231="disposed"),IF($F231="","reserve",$F231)="leftover"),-N($G231),IF(AND($E231="correction",IF($F231="","reserve",$F231)="leftover"),N($G231),0))))</f>
        <v/>
      </c>
      <c r="P231" s="25">
        <f>IF(OR($E231&lt;&gt;"received",$I231="",$L231=""),"",IF($I231&gt;=$L231+config!$B$19,"Y","N"))</f>
        <v/>
      </c>
      <c r="Q231" s="25">
        <f>IF($C231="","",IF(COUNTIF(campaigns!$A$2:$A$51,$C231)=0,"campaign_id not on campaigns; ",IF(AND($D231&lt;&gt;"",COUNTIFS(approvals!$A$2:$A$251,$C231,approvals!$B$2:$B$251,$D231)=0),"office not on this campaign (approvals tab); ",""))&amp;IF(AND(OR($E231="delivered",$E231="topped_up",$E231="collected"),$D231=""),"office needed; ","")&amp;IF(AND($E231&lt;&gt;"correction",N($G231)&lt;=0),"qty must be above 0; ","")&amp;IF(AND($E231="received",OR($I231="",$H231="")),"log lot and best-by; ","")&amp;IF(AND($P231="N",SUMIFS(inventory!$G$2:$G$801,inventory!$C$2:$C$801,$C231,inventory!$H$2:$H$801,$H231,inventory!$E$2:$E$801,"rejected")&lt;N($G231)),"UNDER "&amp;config!$B$19&amp;" DAYS LEFT ON THE DROP DAY: reject these units; ","")&amp;IF(AND($E231="delivered",COUNTIF(inventory!$R$2:$R$801,$R231)&gt;1),"two delivered rows for this office: use one; ","")&amp;IF(AND($E231="delivered",$J231=""),"who counted?; ",""))</f>
        <v/>
      </c>
      <c r="R231" s="25">
        <f>IF($C231="","",$C231&amp;"|"&amp;$D231&amp;"|"&amp;$E231)</f>
        <v/>
      </c>
    </row>
    <row r="232">
      <c r="A232" s="9" t="n"/>
      <c r="B232" s="33" t="n"/>
      <c r="I232" s="9" t="n"/>
      <c r="L232" s="26">
        <f>IF($C232="","",IFERROR(IF(INDEX(campaigns!$BG$2:$BG$51,MATCH($C232,campaigns!$A$2:$A$51,0))="","",INDEX(campaigns!$BG$2:$BG$51,MATCH($C232,campaigns!$A$2:$A$51,0))),""))</f>
        <v/>
      </c>
      <c r="M232" s="25">
        <f>IF($C232="","",IF(OR($E232="received"),N($G232),IF(OR($E232="rejected",$E232="delivered",$E232="topped_up"),-N($G232),IF(AND(OR($E232="returned_to_brand",$E232="given_to_roster_office",$E232="released_to_office",$E232="disposed"),IF($F232="","reserve",$F232)="reserve"),-N($G232),IF(AND($E232="correction",IF($F232="","reserve",$F232)="reserve"),N($G232),0)))))</f>
        <v/>
      </c>
      <c r="N232" s="25">
        <f>IF($C232="","",IF($E232="rejected",N($G232),IF(AND(OR($E232="returned_to_brand",$E232="given_to_roster_office",$E232="released_to_office",$E232="disposed"),IF($F232="","reserve",$F232)="rejected"),-N($G232),IF(AND($E232="correction",IF($F232="","reserve",$F232)="rejected"),N($G232),0))))</f>
        <v/>
      </c>
      <c r="O232" s="25">
        <f>IF($C232="","",IF($E232="collected",N($G232),IF(AND(OR($E232="returned_to_brand",$E232="given_to_roster_office",$E232="released_to_office",$E232="disposed"),IF($F232="","reserve",$F232)="leftover"),-N($G232),IF(AND($E232="correction",IF($F232="","reserve",$F232)="leftover"),N($G232),0))))</f>
        <v/>
      </c>
      <c r="P232" s="25">
        <f>IF(OR($E232&lt;&gt;"received",$I232="",$L232=""),"",IF($I232&gt;=$L232+config!$B$19,"Y","N"))</f>
        <v/>
      </c>
      <c r="Q232" s="25">
        <f>IF($C232="","",IF(COUNTIF(campaigns!$A$2:$A$51,$C232)=0,"campaign_id not on campaigns; ",IF(AND($D232&lt;&gt;"",COUNTIFS(approvals!$A$2:$A$251,$C232,approvals!$B$2:$B$251,$D232)=0),"office not on this campaign (approvals tab); ",""))&amp;IF(AND(OR($E232="delivered",$E232="topped_up",$E232="collected"),$D232=""),"office needed; ","")&amp;IF(AND($E232&lt;&gt;"correction",N($G232)&lt;=0),"qty must be above 0; ","")&amp;IF(AND($E232="received",OR($I232="",$H232="")),"log lot and best-by; ","")&amp;IF(AND($P232="N",SUMIFS(inventory!$G$2:$G$801,inventory!$C$2:$C$801,$C232,inventory!$H$2:$H$801,$H232,inventory!$E$2:$E$801,"rejected")&lt;N($G232)),"UNDER "&amp;config!$B$19&amp;" DAYS LEFT ON THE DROP DAY: reject these units; ","")&amp;IF(AND($E232="delivered",COUNTIF(inventory!$R$2:$R$801,$R232)&gt;1),"two delivered rows for this office: use one; ","")&amp;IF(AND($E232="delivered",$J232=""),"who counted?; ",""))</f>
        <v/>
      </c>
      <c r="R232" s="25">
        <f>IF($C232="","",$C232&amp;"|"&amp;$D232&amp;"|"&amp;$E232)</f>
        <v/>
      </c>
    </row>
    <row r="233">
      <c r="A233" s="9" t="n"/>
      <c r="B233" s="33" t="n"/>
      <c r="I233" s="9" t="n"/>
      <c r="L233" s="26">
        <f>IF($C233="","",IFERROR(IF(INDEX(campaigns!$BG$2:$BG$51,MATCH($C233,campaigns!$A$2:$A$51,0))="","",INDEX(campaigns!$BG$2:$BG$51,MATCH($C233,campaigns!$A$2:$A$51,0))),""))</f>
        <v/>
      </c>
      <c r="M233" s="25">
        <f>IF($C233="","",IF(OR($E233="received"),N($G233),IF(OR($E233="rejected",$E233="delivered",$E233="topped_up"),-N($G233),IF(AND(OR($E233="returned_to_brand",$E233="given_to_roster_office",$E233="released_to_office",$E233="disposed"),IF($F233="","reserve",$F233)="reserve"),-N($G233),IF(AND($E233="correction",IF($F233="","reserve",$F233)="reserve"),N($G233),0)))))</f>
        <v/>
      </c>
      <c r="N233" s="25">
        <f>IF($C233="","",IF($E233="rejected",N($G233),IF(AND(OR($E233="returned_to_brand",$E233="given_to_roster_office",$E233="released_to_office",$E233="disposed"),IF($F233="","reserve",$F233)="rejected"),-N($G233),IF(AND($E233="correction",IF($F233="","reserve",$F233)="rejected"),N($G233),0))))</f>
        <v/>
      </c>
      <c r="O233" s="25">
        <f>IF($C233="","",IF($E233="collected",N($G233),IF(AND(OR($E233="returned_to_brand",$E233="given_to_roster_office",$E233="released_to_office",$E233="disposed"),IF($F233="","reserve",$F233)="leftover"),-N($G233),IF(AND($E233="correction",IF($F233="","reserve",$F233)="leftover"),N($G233),0))))</f>
        <v/>
      </c>
      <c r="P233" s="25">
        <f>IF(OR($E233&lt;&gt;"received",$I233="",$L233=""),"",IF($I233&gt;=$L233+config!$B$19,"Y","N"))</f>
        <v/>
      </c>
      <c r="Q233" s="25">
        <f>IF($C233="","",IF(COUNTIF(campaigns!$A$2:$A$51,$C233)=0,"campaign_id not on campaigns; ",IF(AND($D233&lt;&gt;"",COUNTIFS(approvals!$A$2:$A$251,$C233,approvals!$B$2:$B$251,$D233)=0),"office not on this campaign (approvals tab); ",""))&amp;IF(AND(OR($E233="delivered",$E233="topped_up",$E233="collected"),$D233=""),"office needed; ","")&amp;IF(AND($E233&lt;&gt;"correction",N($G233)&lt;=0),"qty must be above 0; ","")&amp;IF(AND($E233="received",OR($I233="",$H233="")),"log lot and best-by; ","")&amp;IF(AND($P233="N",SUMIFS(inventory!$G$2:$G$801,inventory!$C$2:$C$801,$C233,inventory!$H$2:$H$801,$H233,inventory!$E$2:$E$801,"rejected")&lt;N($G233)),"UNDER "&amp;config!$B$19&amp;" DAYS LEFT ON THE DROP DAY: reject these units; ","")&amp;IF(AND($E233="delivered",COUNTIF(inventory!$R$2:$R$801,$R233)&gt;1),"two delivered rows for this office: use one; ","")&amp;IF(AND($E233="delivered",$J233=""),"who counted?; ",""))</f>
        <v/>
      </c>
      <c r="R233" s="25">
        <f>IF($C233="","",$C233&amp;"|"&amp;$D233&amp;"|"&amp;$E233)</f>
        <v/>
      </c>
    </row>
    <row r="234">
      <c r="A234" s="9" t="n"/>
      <c r="B234" s="33" t="n"/>
      <c r="I234" s="9" t="n"/>
      <c r="L234" s="26">
        <f>IF($C234="","",IFERROR(IF(INDEX(campaigns!$BG$2:$BG$51,MATCH($C234,campaigns!$A$2:$A$51,0))="","",INDEX(campaigns!$BG$2:$BG$51,MATCH($C234,campaigns!$A$2:$A$51,0))),""))</f>
        <v/>
      </c>
      <c r="M234" s="25">
        <f>IF($C234="","",IF(OR($E234="received"),N($G234),IF(OR($E234="rejected",$E234="delivered",$E234="topped_up"),-N($G234),IF(AND(OR($E234="returned_to_brand",$E234="given_to_roster_office",$E234="released_to_office",$E234="disposed"),IF($F234="","reserve",$F234)="reserve"),-N($G234),IF(AND($E234="correction",IF($F234="","reserve",$F234)="reserve"),N($G234),0)))))</f>
        <v/>
      </c>
      <c r="N234" s="25">
        <f>IF($C234="","",IF($E234="rejected",N($G234),IF(AND(OR($E234="returned_to_brand",$E234="given_to_roster_office",$E234="released_to_office",$E234="disposed"),IF($F234="","reserve",$F234)="rejected"),-N($G234),IF(AND($E234="correction",IF($F234="","reserve",$F234)="rejected"),N($G234),0))))</f>
        <v/>
      </c>
      <c r="O234" s="25">
        <f>IF($C234="","",IF($E234="collected",N($G234),IF(AND(OR($E234="returned_to_brand",$E234="given_to_roster_office",$E234="released_to_office",$E234="disposed"),IF($F234="","reserve",$F234)="leftover"),-N($G234),IF(AND($E234="correction",IF($F234="","reserve",$F234)="leftover"),N($G234),0))))</f>
        <v/>
      </c>
      <c r="P234" s="25">
        <f>IF(OR($E234&lt;&gt;"received",$I234="",$L234=""),"",IF($I234&gt;=$L234+config!$B$19,"Y","N"))</f>
        <v/>
      </c>
      <c r="Q234" s="25">
        <f>IF($C234="","",IF(COUNTIF(campaigns!$A$2:$A$51,$C234)=0,"campaign_id not on campaigns; ",IF(AND($D234&lt;&gt;"",COUNTIFS(approvals!$A$2:$A$251,$C234,approvals!$B$2:$B$251,$D234)=0),"office not on this campaign (approvals tab); ",""))&amp;IF(AND(OR($E234="delivered",$E234="topped_up",$E234="collected"),$D234=""),"office needed; ","")&amp;IF(AND($E234&lt;&gt;"correction",N($G234)&lt;=0),"qty must be above 0; ","")&amp;IF(AND($E234="received",OR($I234="",$H234="")),"log lot and best-by; ","")&amp;IF(AND($P234="N",SUMIFS(inventory!$G$2:$G$801,inventory!$C$2:$C$801,$C234,inventory!$H$2:$H$801,$H234,inventory!$E$2:$E$801,"rejected")&lt;N($G234)),"UNDER "&amp;config!$B$19&amp;" DAYS LEFT ON THE DROP DAY: reject these units; ","")&amp;IF(AND($E234="delivered",COUNTIF(inventory!$R$2:$R$801,$R234)&gt;1),"two delivered rows for this office: use one; ","")&amp;IF(AND($E234="delivered",$J234=""),"who counted?; ",""))</f>
        <v/>
      </c>
      <c r="R234" s="25">
        <f>IF($C234="","",$C234&amp;"|"&amp;$D234&amp;"|"&amp;$E234)</f>
        <v/>
      </c>
    </row>
    <row r="235">
      <c r="A235" s="9" t="n"/>
      <c r="B235" s="33" t="n"/>
      <c r="I235" s="9" t="n"/>
      <c r="L235" s="26">
        <f>IF($C235="","",IFERROR(IF(INDEX(campaigns!$BG$2:$BG$51,MATCH($C235,campaigns!$A$2:$A$51,0))="","",INDEX(campaigns!$BG$2:$BG$51,MATCH($C235,campaigns!$A$2:$A$51,0))),""))</f>
        <v/>
      </c>
      <c r="M235" s="25">
        <f>IF($C235="","",IF(OR($E235="received"),N($G235),IF(OR($E235="rejected",$E235="delivered",$E235="topped_up"),-N($G235),IF(AND(OR($E235="returned_to_brand",$E235="given_to_roster_office",$E235="released_to_office",$E235="disposed"),IF($F235="","reserve",$F235)="reserve"),-N($G235),IF(AND($E235="correction",IF($F235="","reserve",$F235)="reserve"),N($G235),0)))))</f>
        <v/>
      </c>
      <c r="N235" s="25">
        <f>IF($C235="","",IF($E235="rejected",N($G235),IF(AND(OR($E235="returned_to_brand",$E235="given_to_roster_office",$E235="released_to_office",$E235="disposed"),IF($F235="","reserve",$F235)="rejected"),-N($G235),IF(AND($E235="correction",IF($F235="","reserve",$F235)="rejected"),N($G235),0))))</f>
        <v/>
      </c>
      <c r="O235" s="25">
        <f>IF($C235="","",IF($E235="collected",N($G235),IF(AND(OR($E235="returned_to_brand",$E235="given_to_roster_office",$E235="released_to_office",$E235="disposed"),IF($F235="","reserve",$F235)="leftover"),-N($G235),IF(AND($E235="correction",IF($F235="","reserve",$F235)="leftover"),N($G235),0))))</f>
        <v/>
      </c>
      <c r="P235" s="25">
        <f>IF(OR($E235&lt;&gt;"received",$I235="",$L235=""),"",IF($I235&gt;=$L235+config!$B$19,"Y","N"))</f>
        <v/>
      </c>
      <c r="Q235" s="25">
        <f>IF($C235="","",IF(COUNTIF(campaigns!$A$2:$A$51,$C235)=0,"campaign_id not on campaigns; ",IF(AND($D235&lt;&gt;"",COUNTIFS(approvals!$A$2:$A$251,$C235,approvals!$B$2:$B$251,$D235)=0),"office not on this campaign (approvals tab); ",""))&amp;IF(AND(OR($E235="delivered",$E235="topped_up",$E235="collected"),$D235=""),"office needed; ","")&amp;IF(AND($E235&lt;&gt;"correction",N($G235)&lt;=0),"qty must be above 0; ","")&amp;IF(AND($E235="received",OR($I235="",$H235="")),"log lot and best-by; ","")&amp;IF(AND($P235="N",SUMIFS(inventory!$G$2:$G$801,inventory!$C$2:$C$801,$C235,inventory!$H$2:$H$801,$H235,inventory!$E$2:$E$801,"rejected")&lt;N($G235)),"UNDER "&amp;config!$B$19&amp;" DAYS LEFT ON THE DROP DAY: reject these units; ","")&amp;IF(AND($E235="delivered",COUNTIF(inventory!$R$2:$R$801,$R235)&gt;1),"two delivered rows for this office: use one; ","")&amp;IF(AND($E235="delivered",$J235=""),"who counted?; ",""))</f>
        <v/>
      </c>
      <c r="R235" s="25">
        <f>IF($C235="","",$C235&amp;"|"&amp;$D235&amp;"|"&amp;$E235)</f>
        <v/>
      </c>
    </row>
    <row r="236">
      <c r="A236" s="9" t="n"/>
      <c r="B236" s="33" t="n"/>
      <c r="I236" s="9" t="n"/>
      <c r="L236" s="26">
        <f>IF($C236="","",IFERROR(IF(INDEX(campaigns!$BG$2:$BG$51,MATCH($C236,campaigns!$A$2:$A$51,0))="","",INDEX(campaigns!$BG$2:$BG$51,MATCH($C236,campaigns!$A$2:$A$51,0))),""))</f>
        <v/>
      </c>
      <c r="M236" s="25">
        <f>IF($C236="","",IF(OR($E236="received"),N($G236),IF(OR($E236="rejected",$E236="delivered",$E236="topped_up"),-N($G236),IF(AND(OR($E236="returned_to_brand",$E236="given_to_roster_office",$E236="released_to_office",$E236="disposed"),IF($F236="","reserve",$F236)="reserve"),-N($G236),IF(AND($E236="correction",IF($F236="","reserve",$F236)="reserve"),N($G236),0)))))</f>
        <v/>
      </c>
      <c r="N236" s="25">
        <f>IF($C236="","",IF($E236="rejected",N($G236),IF(AND(OR($E236="returned_to_brand",$E236="given_to_roster_office",$E236="released_to_office",$E236="disposed"),IF($F236="","reserve",$F236)="rejected"),-N($G236),IF(AND($E236="correction",IF($F236="","reserve",$F236)="rejected"),N($G236),0))))</f>
        <v/>
      </c>
      <c r="O236" s="25">
        <f>IF($C236="","",IF($E236="collected",N($G236),IF(AND(OR($E236="returned_to_brand",$E236="given_to_roster_office",$E236="released_to_office",$E236="disposed"),IF($F236="","reserve",$F236)="leftover"),-N($G236),IF(AND($E236="correction",IF($F236="","reserve",$F236)="leftover"),N($G236),0))))</f>
        <v/>
      </c>
      <c r="P236" s="25">
        <f>IF(OR($E236&lt;&gt;"received",$I236="",$L236=""),"",IF($I236&gt;=$L236+config!$B$19,"Y","N"))</f>
        <v/>
      </c>
      <c r="Q236" s="25">
        <f>IF($C236="","",IF(COUNTIF(campaigns!$A$2:$A$51,$C236)=0,"campaign_id not on campaigns; ",IF(AND($D236&lt;&gt;"",COUNTIFS(approvals!$A$2:$A$251,$C236,approvals!$B$2:$B$251,$D236)=0),"office not on this campaign (approvals tab); ",""))&amp;IF(AND(OR($E236="delivered",$E236="topped_up",$E236="collected"),$D236=""),"office needed; ","")&amp;IF(AND($E236&lt;&gt;"correction",N($G236)&lt;=0),"qty must be above 0; ","")&amp;IF(AND($E236="received",OR($I236="",$H236="")),"log lot and best-by; ","")&amp;IF(AND($P236="N",SUMIFS(inventory!$G$2:$G$801,inventory!$C$2:$C$801,$C236,inventory!$H$2:$H$801,$H236,inventory!$E$2:$E$801,"rejected")&lt;N($G236)),"UNDER "&amp;config!$B$19&amp;" DAYS LEFT ON THE DROP DAY: reject these units; ","")&amp;IF(AND($E236="delivered",COUNTIF(inventory!$R$2:$R$801,$R236)&gt;1),"two delivered rows for this office: use one; ","")&amp;IF(AND($E236="delivered",$J236=""),"who counted?; ",""))</f>
        <v/>
      </c>
      <c r="R236" s="25">
        <f>IF($C236="","",$C236&amp;"|"&amp;$D236&amp;"|"&amp;$E236)</f>
        <v/>
      </c>
    </row>
    <row r="237">
      <c r="A237" s="9" t="n"/>
      <c r="B237" s="33" t="n"/>
      <c r="I237" s="9" t="n"/>
      <c r="L237" s="26">
        <f>IF($C237="","",IFERROR(IF(INDEX(campaigns!$BG$2:$BG$51,MATCH($C237,campaigns!$A$2:$A$51,0))="","",INDEX(campaigns!$BG$2:$BG$51,MATCH($C237,campaigns!$A$2:$A$51,0))),""))</f>
        <v/>
      </c>
      <c r="M237" s="25">
        <f>IF($C237="","",IF(OR($E237="received"),N($G237),IF(OR($E237="rejected",$E237="delivered",$E237="topped_up"),-N($G237),IF(AND(OR($E237="returned_to_brand",$E237="given_to_roster_office",$E237="released_to_office",$E237="disposed"),IF($F237="","reserve",$F237)="reserve"),-N($G237),IF(AND($E237="correction",IF($F237="","reserve",$F237)="reserve"),N($G237),0)))))</f>
        <v/>
      </c>
      <c r="N237" s="25">
        <f>IF($C237="","",IF($E237="rejected",N($G237),IF(AND(OR($E237="returned_to_brand",$E237="given_to_roster_office",$E237="released_to_office",$E237="disposed"),IF($F237="","reserve",$F237)="rejected"),-N($G237),IF(AND($E237="correction",IF($F237="","reserve",$F237)="rejected"),N($G237),0))))</f>
        <v/>
      </c>
      <c r="O237" s="25">
        <f>IF($C237="","",IF($E237="collected",N($G237),IF(AND(OR($E237="returned_to_brand",$E237="given_to_roster_office",$E237="released_to_office",$E237="disposed"),IF($F237="","reserve",$F237)="leftover"),-N($G237),IF(AND($E237="correction",IF($F237="","reserve",$F237)="leftover"),N($G237),0))))</f>
        <v/>
      </c>
      <c r="P237" s="25">
        <f>IF(OR($E237&lt;&gt;"received",$I237="",$L237=""),"",IF($I237&gt;=$L237+config!$B$19,"Y","N"))</f>
        <v/>
      </c>
      <c r="Q237" s="25">
        <f>IF($C237="","",IF(COUNTIF(campaigns!$A$2:$A$51,$C237)=0,"campaign_id not on campaigns; ",IF(AND($D237&lt;&gt;"",COUNTIFS(approvals!$A$2:$A$251,$C237,approvals!$B$2:$B$251,$D237)=0),"office not on this campaign (approvals tab); ",""))&amp;IF(AND(OR($E237="delivered",$E237="topped_up",$E237="collected"),$D237=""),"office needed; ","")&amp;IF(AND($E237&lt;&gt;"correction",N($G237)&lt;=0),"qty must be above 0; ","")&amp;IF(AND($E237="received",OR($I237="",$H237="")),"log lot and best-by; ","")&amp;IF(AND($P237="N",SUMIFS(inventory!$G$2:$G$801,inventory!$C$2:$C$801,$C237,inventory!$H$2:$H$801,$H237,inventory!$E$2:$E$801,"rejected")&lt;N($G237)),"UNDER "&amp;config!$B$19&amp;" DAYS LEFT ON THE DROP DAY: reject these units; ","")&amp;IF(AND($E237="delivered",COUNTIF(inventory!$R$2:$R$801,$R237)&gt;1),"two delivered rows for this office: use one; ","")&amp;IF(AND($E237="delivered",$J237=""),"who counted?; ",""))</f>
        <v/>
      </c>
      <c r="R237" s="25">
        <f>IF($C237="","",$C237&amp;"|"&amp;$D237&amp;"|"&amp;$E237)</f>
        <v/>
      </c>
    </row>
    <row r="238">
      <c r="A238" s="9" t="n"/>
      <c r="B238" s="33" t="n"/>
      <c r="I238" s="9" t="n"/>
      <c r="L238" s="26">
        <f>IF($C238="","",IFERROR(IF(INDEX(campaigns!$BG$2:$BG$51,MATCH($C238,campaigns!$A$2:$A$51,0))="","",INDEX(campaigns!$BG$2:$BG$51,MATCH($C238,campaigns!$A$2:$A$51,0))),""))</f>
        <v/>
      </c>
      <c r="M238" s="25">
        <f>IF($C238="","",IF(OR($E238="received"),N($G238),IF(OR($E238="rejected",$E238="delivered",$E238="topped_up"),-N($G238),IF(AND(OR($E238="returned_to_brand",$E238="given_to_roster_office",$E238="released_to_office",$E238="disposed"),IF($F238="","reserve",$F238)="reserve"),-N($G238),IF(AND($E238="correction",IF($F238="","reserve",$F238)="reserve"),N($G238),0)))))</f>
        <v/>
      </c>
      <c r="N238" s="25">
        <f>IF($C238="","",IF($E238="rejected",N($G238),IF(AND(OR($E238="returned_to_brand",$E238="given_to_roster_office",$E238="released_to_office",$E238="disposed"),IF($F238="","reserve",$F238)="rejected"),-N($G238),IF(AND($E238="correction",IF($F238="","reserve",$F238)="rejected"),N($G238),0))))</f>
        <v/>
      </c>
      <c r="O238" s="25">
        <f>IF($C238="","",IF($E238="collected",N($G238),IF(AND(OR($E238="returned_to_brand",$E238="given_to_roster_office",$E238="released_to_office",$E238="disposed"),IF($F238="","reserve",$F238)="leftover"),-N($G238),IF(AND($E238="correction",IF($F238="","reserve",$F238)="leftover"),N($G238),0))))</f>
        <v/>
      </c>
      <c r="P238" s="25">
        <f>IF(OR($E238&lt;&gt;"received",$I238="",$L238=""),"",IF($I238&gt;=$L238+config!$B$19,"Y","N"))</f>
        <v/>
      </c>
      <c r="Q238" s="25">
        <f>IF($C238="","",IF(COUNTIF(campaigns!$A$2:$A$51,$C238)=0,"campaign_id not on campaigns; ",IF(AND($D238&lt;&gt;"",COUNTIFS(approvals!$A$2:$A$251,$C238,approvals!$B$2:$B$251,$D238)=0),"office not on this campaign (approvals tab); ",""))&amp;IF(AND(OR($E238="delivered",$E238="topped_up",$E238="collected"),$D238=""),"office needed; ","")&amp;IF(AND($E238&lt;&gt;"correction",N($G238)&lt;=0),"qty must be above 0; ","")&amp;IF(AND($E238="received",OR($I238="",$H238="")),"log lot and best-by; ","")&amp;IF(AND($P238="N",SUMIFS(inventory!$G$2:$G$801,inventory!$C$2:$C$801,$C238,inventory!$H$2:$H$801,$H238,inventory!$E$2:$E$801,"rejected")&lt;N($G238)),"UNDER "&amp;config!$B$19&amp;" DAYS LEFT ON THE DROP DAY: reject these units; ","")&amp;IF(AND($E238="delivered",COUNTIF(inventory!$R$2:$R$801,$R238)&gt;1),"two delivered rows for this office: use one; ","")&amp;IF(AND($E238="delivered",$J238=""),"who counted?; ",""))</f>
        <v/>
      </c>
      <c r="R238" s="25">
        <f>IF($C238="","",$C238&amp;"|"&amp;$D238&amp;"|"&amp;$E238)</f>
        <v/>
      </c>
    </row>
    <row r="239">
      <c r="A239" s="9" t="n"/>
      <c r="B239" s="33" t="n"/>
      <c r="I239" s="9" t="n"/>
      <c r="L239" s="26">
        <f>IF($C239="","",IFERROR(IF(INDEX(campaigns!$BG$2:$BG$51,MATCH($C239,campaigns!$A$2:$A$51,0))="","",INDEX(campaigns!$BG$2:$BG$51,MATCH($C239,campaigns!$A$2:$A$51,0))),""))</f>
        <v/>
      </c>
      <c r="M239" s="25">
        <f>IF($C239="","",IF(OR($E239="received"),N($G239),IF(OR($E239="rejected",$E239="delivered",$E239="topped_up"),-N($G239),IF(AND(OR($E239="returned_to_brand",$E239="given_to_roster_office",$E239="released_to_office",$E239="disposed"),IF($F239="","reserve",$F239)="reserve"),-N($G239),IF(AND($E239="correction",IF($F239="","reserve",$F239)="reserve"),N($G239),0)))))</f>
        <v/>
      </c>
      <c r="N239" s="25">
        <f>IF($C239="","",IF($E239="rejected",N($G239),IF(AND(OR($E239="returned_to_brand",$E239="given_to_roster_office",$E239="released_to_office",$E239="disposed"),IF($F239="","reserve",$F239)="rejected"),-N($G239),IF(AND($E239="correction",IF($F239="","reserve",$F239)="rejected"),N($G239),0))))</f>
        <v/>
      </c>
      <c r="O239" s="25">
        <f>IF($C239="","",IF($E239="collected",N($G239),IF(AND(OR($E239="returned_to_brand",$E239="given_to_roster_office",$E239="released_to_office",$E239="disposed"),IF($F239="","reserve",$F239)="leftover"),-N($G239),IF(AND($E239="correction",IF($F239="","reserve",$F239)="leftover"),N($G239),0))))</f>
        <v/>
      </c>
      <c r="P239" s="25">
        <f>IF(OR($E239&lt;&gt;"received",$I239="",$L239=""),"",IF($I239&gt;=$L239+config!$B$19,"Y","N"))</f>
        <v/>
      </c>
      <c r="Q239" s="25">
        <f>IF($C239="","",IF(COUNTIF(campaigns!$A$2:$A$51,$C239)=0,"campaign_id not on campaigns; ",IF(AND($D239&lt;&gt;"",COUNTIFS(approvals!$A$2:$A$251,$C239,approvals!$B$2:$B$251,$D239)=0),"office not on this campaign (approvals tab); ",""))&amp;IF(AND(OR($E239="delivered",$E239="topped_up",$E239="collected"),$D239=""),"office needed; ","")&amp;IF(AND($E239&lt;&gt;"correction",N($G239)&lt;=0),"qty must be above 0; ","")&amp;IF(AND($E239="received",OR($I239="",$H239="")),"log lot and best-by; ","")&amp;IF(AND($P239="N",SUMIFS(inventory!$G$2:$G$801,inventory!$C$2:$C$801,$C239,inventory!$H$2:$H$801,$H239,inventory!$E$2:$E$801,"rejected")&lt;N($G239)),"UNDER "&amp;config!$B$19&amp;" DAYS LEFT ON THE DROP DAY: reject these units; ","")&amp;IF(AND($E239="delivered",COUNTIF(inventory!$R$2:$R$801,$R239)&gt;1),"two delivered rows for this office: use one; ","")&amp;IF(AND($E239="delivered",$J239=""),"who counted?; ",""))</f>
        <v/>
      </c>
      <c r="R239" s="25">
        <f>IF($C239="","",$C239&amp;"|"&amp;$D239&amp;"|"&amp;$E239)</f>
        <v/>
      </c>
    </row>
    <row r="240">
      <c r="A240" s="9" t="n"/>
      <c r="B240" s="33" t="n"/>
      <c r="I240" s="9" t="n"/>
      <c r="L240" s="26">
        <f>IF($C240="","",IFERROR(IF(INDEX(campaigns!$BG$2:$BG$51,MATCH($C240,campaigns!$A$2:$A$51,0))="","",INDEX(campaigns!$BG$2:$BG$51,MATCH($C240,campaigns!$A$2:$A$51,0))),""))</f>
        <v/>
      </c>
      <c r="M240" s="25">
        <f>IF($C240="","",IF(OR($E240="received"),N($G240),IF(OR($E240="rejected",$E240="delivered",$E240="topped_up"),-N($G240),IF(AND(OR($E240="returned_to_brand",$E240="given_to_roster_office",$E240="released_to_office",$E240="disposed"),IF($F240="","reserve",$F240)="reserve"),-N($G240),IF(AND($E240="correction",IF($F240="","reserve",$F240)="reserve"),N($G240),0)))))</f>
        <v/>
      </c>
      <c r="N240" s="25">
        <f>IF($C240="","",IF($E240="rejected",N($G240),IF(AND(OR($E240="returned_to_brand",$E240="given_to_roster_office",$E240="released_to_office",$E240="disposed"),IF($F240="","reserve",$F240)="rejected"),-N($G240),IF(AND($E240="correction",IF($F240="","reserve",$F240)="rejected"),N($G240),0))))</f>
        <v/>
      </c>
      <c r="O240" s="25">
        <f>IF($C240="","",IF($E240="collected",N($G240),IF(AND(OR($E240="returned_to_brand",$E240="given_to_roster_office",$E240="released_to_office",$E240="disposed"),IF($F240="","reserve",$F240)="leftover"),-N($G240),IF(AND($E240="correction",IF($F240="","reserve",$F240)="leftover"),N($G240),0))))</f>
        <v/>
      </c>
      <c r="P240" s="25">
        <f>IF(OR($E240&lt;&gt;"received",$I240="",$L240=""),"",IF($I240&gt;=$L240+config!$B$19,"Y","N"))</f>
        <v/>
      </c>
      <c r="Q240" s="25">
        <f>IF($C240="","",IF(COUNTIF(campaigns!$A$2:$A$51,$C240)=0,"campaign_id not on campaigns; ",IF(AND($D240&lt;&gt;"",COUNTIFS(approvals!$A$2:$A$251,$C240,approvals!$B$2:$B$251,$D240)=0),"office not on this campaign (approvals tab); ",""))&amp;IF(AND(OR($E240="delivered",$E240="topped_up",$E240="collected"),$D240=""),"office needed; ","")&amp;IF(AND($E240&lt;&gt;"correction",N($G240)&lt;=0),"qty must be above 0; ","")&amp;IF(AND($E240="received",OR($I240="",$H240="")),"log lot and best-by; ","")&amp;IF(AND($P240="N",SUMIFS(inventory!$G$2:$G$801,inventory!$C$2:$C$801,$C240,inventory!$H$2:$H$801,$H240,inventory!$E$2:$E$801,"rejected")&lt;N($G240)),"UNDER "&amp;config!$B$19&amp;" DAYS LEFT ON THE DROP DAY: reject these units; ","")&amp;IF(AND($E240="delivered",COUNTIF(inventory!$R$2:$R$801,$R240)&gt;1),"two delivered rows for this office: use one; ","")&amp;IF(AND($E240="delivered",$J240=""),"who counted?; ",""))</f>
        <v/>
      </c>
      <c r="R240" s="25">
        <f>IF($C240="","",$C240&amp;"|"&amp;$D240&amp;"|"&amp;$E240)</f>
        <v/>
      </c>
    </row>
    <row r="241">
      <c r="A241" s="9" t="n"/>
      <c r="B241" s="33" t="n"/>
      <c r="I241" s="9" t="n"/>
      <c r="L241" s="26">
        <f>IF($C241="","",IFERROR(IF(INDEX(campaigns!$BG$2:$BG$51,MATCH($C241,campaigns!$A$2:$A$51,0))="","",INDEX(campaigns!$BG$2:$BG$51,MATCH($C241,campaigns!$A$2:$A$51,0))),""))</f>
        <v/>
      </c>
      <c r="M241" s="25">
        <f>IF($C241="","",IF(OR($E241="received"),N($G241),IF(OR($E241="rejected",$E241="delivered",$E241="topped_up"),-N($G241),IF(AND(OR($E241="returned_to_brand",$E241="given_to_roster_office",$E241="released_to_office",$E241="disposed"),IF($F241="","reserve",$F241)="reserve"),-N($G241),IF(AND($E241="correction",IF($F241="","reserve",$F241)="reserve"),N($G241),0)))))</f>
        <v/>
      </c>
      <c r="N241" s="25">
        <f>IF($C241="","",IF($E241="rejected",N($G241),IF(AND(OR($E241="returned_to_brand",$E241="given_to_roster_office",$E241="released_to_office",$E241="disposed"),IF($F241="","reserve",$F241)="rejected"),-N($G241),IF(AND($E241="correction",IF($F241="","reserve",$F241)="rejected"),N($G241),0))))</f>
        <v/>
      </c>
      <c r="O241" s="25">
        <f>IF($C241="","",IF($E241="collected",N($G241),IF(AND(OR($E241="returned_to_brand",$E241="given_to_roster_office",$E241="released_to_office",$E241="disposed"),IF($F241="","reserve",$F241)="leftover"),-N($G241),IF(AND($E241="correction",IF($F241="","reserve",$F241)="leftover"),N($G241),0))))</f>
        <v/>
      </c>
      <c r="P241" s="25">
        <f>IF(OR($E241&lt;&gt;"received",$I241="",$L241=""),"",IF($I241&gt;=$L241+config!$B$19,"Y","N"))</f>
        <v/>
      </c>
      <c r="Q241" s="25">
        <f>IF($C241="","",IF(COUNTIF(campaigns!$A$2:$A$51,$C241)=0,"campaign_id not on campaigns; ",IF(AND($D241&lt;&gt;"",COUNTIFS(approvals!$A$2:$A$251,$C241,approvals!$B$2:$B$251,$D241)=0),"office not on this campaign (approvals tab); ",""))&amp;IF(AND(OR($E241="delivered",$E241="topped_up",$E241="collected"),$D241=""),"office needed; ","")&amp;IF(AND($E241&lt;&gt;"correction",N($G241)&lt;=0),"qty must be above 0; ","")&amp;IF(AND($E241="received",OR($I241="",$H241="")),"log lot and best-by; ","")&amp;IF(AND($P241="N",SUMIFS(inventory!$G$2:$G$801,inventory!$C$2:$C$801,$C241,inventory!$H$2:$H$801,$H241,inventory!$E$2:$E$801,"rejected")&lt;N($G241)),"UNDER "&amp;config!$B$19&amp;" DAYS LEFT ON THE DROP DAY: reject these units; ","")&amp;IF(AND($E241="delivered",COUNTIF(inventory!$R$2:$R$801,$R241)&gt;1),"two delivered rows for this office: use one; ","")&amp;IF(AND($E241="delivered",$J241=""),"who counted?; ",""))</f>
        <v/>
      </c>
      <c r="R241" s="25">
        <f>IF($C241="","",$C241&amp;"|"&amp;$D241&amp;"|"&amp;$E241)</f>
        <v/>
      </c>
    </row>
    <row r="242">
      <c r="A242" s="9" t="n"/>
      <c r="B242" s="33" t="n"/>
      <c r="I242" s="9" t="n"/>
      <c r="L242" s="26">
        <f>IF($C242="","",IFERROR(IF(INDEX(campaigns!$BG$2:$BG$51,MATCH($C242,campaigns!$A$2:$A$51,0))="","",INDEX(campaigns!$BG$2:$BG$51,MATCH($C242,campaigns!$A$2:$A$51,0))),""))</f>
        <v/>
      </c>
      <c r="M242" s="25">
        <f>IF($C242="","",IF(OR($E242="received"),N($G242),IF(OR($E242="rejected",$E242="delivered",$E242="topped_up"),-N($G242),IF(AND(OR($E242="returned_to_brand",$E242="given_to_roster_office",$E242="released_to_office",$E242="disposed"),IF($F242="","reserve",$F242)="reserve"),-N($G242),IF(AND($E242="correction",IF($F242="","reserve",$F242)="reserve"),N($G242),0)))))</f>
        <v/>
      </c>
      <c r="N242" s="25">
        <f>IF($C242="","",IF($E242="rejected",N($G242),IF(AND(OR($E242="returned_to_brand",$E242="given_to_roster_office",$E242="released_to_office",$E242="disposed"),IF($F242="","reserve",$F242)="rejected"),-N($G242),IF(AND($E242="correction",IF($F242="","reserve",$F242)="rejected"),N($G242),0))))</f>
        <v/>
      </c>
      <c r="O242" s="25">
        <f>IF($C242="","",IF($E242="collected",N($G242),IF(AND(OR($E242="returned_to_brand",$E242="given_to_roster_office",$E242="released_to_office",$E242="disposed"),IF($F242="","reserve",$F242)="leftover"),-N($G242),IF(AND($E242="correction",IF($F242="","reserve",$F242)="leftover"),N($G242),0))))</f>
        <v/>
      </c>
      <c r="P242" s="25">
        <f>IF(OR($E242&lt;&gt;"received",$I242="",$L242=""),"",IF($I242&gt;=$L242+config!$B$19,"Y","N"))</f>
        <v/>
      </c>
      <c r="Q242" s="25">
        <f>IF($C242="","",IF(COUNTIF(campaigns!$A$2:$A$51,$C242)=0,"campaign_id not on campaigns; ",IF(AND($D242&lt;&gt;"",COUNTIFS(approvals!$A$2:$A$251,$C242,approvals!$B$2:$B$251,$D242)=0),"office not on this campaign (approvals tab); ",""))&amp;IF(AND(OR($E242="delivered",$E242="topped_up",$E242="collected"),$D242=""),"office needed; ","")&amp;IF(AND($E242&lt;&gt;"correction",N($G242)&lt;=0),"qty must be above 0; ","")&amp;IF(AND($E242="received",OR($I242="",$H242="")),"log lot and best-by; ","")&amp;IF(AND($P242="N",SUMIFS(inventory!$G$2:$G$801,inventory!$C$2:$C$801,$C242,inventory!$H$2:$H$801,$H242,inventory!$E$2:$E$801,"rejected")&lt;N($G242)),"UNDER "&amp;config!$B$19&amp;" DAYS LEFT ON THE DROP DAY: reject these units; ","")&amp;IF(AND($E242="delivered",COUNTIF(inventory!$R$2:$R$801,$R242)&gt;1),"two delivered rows for this office: use one; ","")&amp;IF(AND($E242="delivered",$J242=""),"who counted?; ",""))</f>
        <v/>
      </c>
      <c r="R242" s="25">
        <f>IF($C242="","",$C242&amp;"|"&amp;$D242&amp;"|"&amp;$E242)</f>
        <v/>
      </c>
    </row>
    <row r="243">
      <c r="A243" s="9" t="n"/>
      <c r="B243" s="33" t="n"/>
      <c r="I243" s="9" t="n"/>
      <c r="L243" s="26">
        <f>IF($C243="","",IFERROR(IF(INDEX(campaigns!$BG$2:$BG$51,MATCH($C243,campaigns!$A$2:$A$51,0))="","",INDEX(campaigns!$BG$2:$BG$51,MATCH($C243,campaigns!$A$2:$A$51,0))),""))</f>
        <v/>
      </c>
      <c r="M243" s="25">
        <f>IF($C243="","",IF(OR($E243="received"),N($G243),IF(OR($E243="rejected",$E243="delivered",$E243="topped_up"),-N($G243),IF(AND(OR($E243="returned_to_brand",$E243="given_to_roster_office",$E243="released_to_office",$E243="disposed"),IF($F243="","reserve",$F243)="reserve"),-N($G243),IF(AND($E243="correction",IF($F243="","reserve",$F243)="reserve"),N($G243),0)))))</f>
        <v/>
      </c>
      <c r="N243" s="25">
        <f>IF($C243="","",IF($E243="rejected",N($G243),IF(AND(OR($E243="returned_to_brand",$E243="given_to_roster_office",$E243="released_to_office",$E243="disposed"),IF($F243="","reserve",$F243)="rejected"),-N($G243),IF(AND($E243="correction",IF($F243="","reserve",$F243)="rejected"),N($G243),0))))</f>
        <v/>
      </c>
      <c r="O243" s="25">
        <f>IF($C243="","",IF($E243="collected",N($G243),IF(AND(OR($E243="returned_to_brand",$E243="given_to_roster_office",$E243="released_to_office",$E243="disposed"),IF($F243="","reserve",$F243)="leftover"),-N($G243),IF(AND($E243="correction",IF($F243="","reserve",$F243)="leftover"),N($G243),0))))</f>
        <v/>
      </c>
      <c r="P243" s="25">
        <f>IF(OR($E243&lt;&gt;"received",$I243="",$L243=""),"",IF($I243&gt;=$L243+config!$B$19,"Y","N"))</f>
        <v/>
      </c>
      <c r="Q243" s="25">
        <f>IF($C243="","",IF(COUNTIF(campaigns!$A$2:$A$51,$C243)=0,"campaign_id not on campaigns; ",IF(AND($D243&lt;&gt;"",COUNTIFS(approvals!$A$2:$A$251,$C243,approvals!$B$2:$B$251,$D243)=0),"office not on this campaign (approvals tab); ",""))&amp;IF(AND(OR($E243="delivered",$E243="topped_up",$E243="collected"),$D243=""),"office needed; ","")&amp;IF(AND($E243&lt;&gt;"correction",N($G243)&lt;=0),"qty must be above 0; ","")&amp;IF(AND($E243="received",OR($I243="",$H243="")),"log lot and best-by; ","")&amp;IF(AND($P243="N",SUMIFS(inventory!$G$2:$G$801,inventory!$C$2:$C$801,$C243,inventory!$H$2:$H$801,$H243,inventory!$E$2:$E$801,"rejected")&lt;N($G243)),"UNDER "&amp;config!$B$19&amp;" DAYS LEFT ON THE DROP DAY: reject these units; ","")&amp;IF(AND($E243="delivered",COUNTIF(inventory!$R$2:$R$801,$R243)&gt;1),"two delivered rows for this office: use one; ","")&amp;IF(AND($E243="delivered",$J243=""),"who counted?; ",""))</f>
        <v/>
      </c>
      <c r="R243" s="25">
        <f>IF($C243="","",$C243&amp;"|"&amp;$D243&amp;"|"&amp;$E243)</f>
        <v/>
      </c>
    </row>
    <row r="244">
      <c r="A244" s="9" t="n"/>
      <c r="B244" s="33" t="n"/>
      <c r="I244" s="9" t="n"/>
      <c r="L244" s="26">
        <f>IF($C244="","",IFERROR(IF(INDEX(campaigns!$BG$2:$BG$51,MATCH($C244,campaigns!$A$2:$A$51,0))="","",INDEX(campaigns!$BG$2:$BG$51,MATCH($C244,campaigns!$A$2:$A$51,0))),""))</f>
        <v/>
      </c>
      <c r="M244" s="25">
        <f>IF($C244="","",IF(OR($E244="received"),N($G244),IF(OR($E244="rejected",$E244="delivered",$E244="topped_up"),-N($G244),IF(AND(OR($E244="returned_to_brand",$E244="given_to_roster_office",$E244="released_to_office",$E244="disposed"),IF($F244="","reserve",$F244)="reserve"),-N($G244),IF(AND($E244="correction",IF($F244="","reserve",$F244)="reserve"),N($G244),0)))))</f>
        <v/>
      </c>
      <c r="N244" s="25">
        <f>IF($C244="","",IF($E244="rejected",N($G244),IF(AND(OR($E244="returned_to_brand",$E244="given_to_roster_office",$E244="released_to_office",$E244="disposed"),IF($F244="","reserve",$F244)="rejected"),-N($G244),IF(AND($E244="correction",IF($F244="","reserve",$F244)="rejected"),N($G244),0))))</f>
        <v/>
      </c>
      <c r="O244" s="25">
        <f>IF($C244="","",IF($E244="collected",N($G244),IF(AND(OR($E244="returned_to_brand",$E244="given_to_roster_office",$E244="released_to_office",$E244="disposed"),IF($F244="","reserve",$F244)="leftover"),-N($G244),IF(AND($E244="correction",IF($F244="","reserve",$F244)="leftover"),N($G244),0))))</f>
        <v/>
      </c>
      <c r="P244" s="25">
        <f>IF(OR($E244&lt;&gt;"received",$I244="",$L244=""),"",IF($I244&gt;=$L244+config!$B$19,"Y","N"))</f>
        <v/>
      </c>
      <c r="Q244" s="25">
        <f>IF($C244="","",IF(COUNTIF(campaigns!$A$2:$A$51,$C244)=0,"campaign_id not on campaigns; ",IF(AND($D244&lt;&gt;"",COUNTIFS(approvals!$A$2:$A$251,$C244,approvals!$B$2:$B$251,$D244)=0),"office not on this campaign (approvals tab); ",""))&amp;IF(AND(OR($E244="delivered",$E244="topped_up",$E244="collected"),$D244=""),"office needed; ","")&amp;IF(AND($E244&lt;&gt;"correction",N($G244)&lt;=0),"qty must be above 0; ","")&amp;IF(AND($E244="received",OR($I244="",$H244="")),"log lot and best-by; ","")&amp;IF(AND($P244="N",SUMIFS(inventory!$G$2:$G$801,inventory!$C$2:$C$801,$C244,inventory!$H$2:$H$801,$H244,inventory!$E$2:$E$801,"rejected")&lt;N($G244)),"UNDER "&amp;config!$B$19&amp;" DAYS LEFT ON THE DROP DAY: reject these units; ","")&amp;IF(AND($E244="delivered",COUNTIF(inventory!$R$2:$R$801,$R244)&gt;1),"two delivered rows for this office: use one; ","")&amp;IF(AND($E244="delivered",$J244=""),"who counted?; ",""))</f>
        <v/>
      </c>
      <c r="R244" s="25">
        <f>IF($C244="","",$C244&amp;"|"&amp;$D244&amp;"|"&amp;$E244)</f>
        <v/>
      </c>
    </row>
    <row r="245">
      <c r="A245" s="9" t="n"/>
      <c r="B245" s="33" t="n"/>
      <c r="I245" s="9" t="n"/>
      <c r="L245" s="26">
        <f>IF($C245="","",IFERROR(IF(INDEX(campaigns!$BG$2:$BG$51,MATCH($C245,campaigns!$A$2:$A$51,0))="","",INDEX(campaigns!$BG$2:$BG$51,MATCH($C245,campaigns!$A$2:$A$51,0))),""))</f>
        <v/>
      </c>
      <c r="M245" s="25">
        <f>IF($C245="","",IF(OR($E245="received"),N($G245),IF(OR($E245="rejected",$E245="delivered",$E245="topped_up"),-N($G245),IF(AND(OR($E245="returned_to_brand",$E245="given_to_roster_office",$E245="released_to_office",$E245="disposed"),IF($F245="","reserve",$F245)="reserve"),-N($G245),IF(AND($E245="correction",IF($F245="","reserve",$F245)="reserve"),N($G245),0)))))</f>
        <v/>
      </c>
      <c r="N245" s="25">
        <f>IF($C245="","",IF($E245="rejected",N($G245),IF(AND(OR($E245="returned_to_brand",$E245="given_to_roster_office",$E245="released_to_office",$E245="disposed"),IF($F245="","reserve",$F245)="rejected"),-N($G245),IF(AND($E245="correction",IF($F245="","reserve",$F245)="rejected"),N($G245),0))))</f>
        <v/>
      </c>
      <c r="O245" s="25">
        <f>IF($C245="","",IF($E245="collected",N($G245),IF(AND(OR($E245="returned_to_brand",$E245="given_to_roster_office",$E245="released_to_office",$E245="disposed"),IF($F245="","reserve",$F245)="leftover"),-N($G245),IF(AND($E245="correction",IF($F245="","reserve",$F245)="leftover"),N($G245),0))))</f>
        <v/>
      </c>
      <c r="P245" s="25">
        <f>IF(OR($E245&lt;&gt;"received",$I245="",$L245=""),"",IF($I245&gt;=$L245+config!$B$19,"Y","N"))</f>
        <v/>
      </c>
      <c r="Q245" s="25">
        <f>IF($C245="","",IF(COUNTIF(campaigns!$A$2:$A$51,$C245)=0,"campaign_id not on campaigns; ",IF(AND($D245&lt;&gt;"",COUNTIFS(approvals!$A$2:$A$251,$C245,approvals!$B$2:$B$251,$D245)=0),"office not on this campaign (approvals tab); ",""))&amp;IF(AND(OR($E245="delivered",$E245="topped_up",$E245="collected"),$D245=""),"office needed; ","")&amp;IF(AND($E245&lt;&gt;"correction",N($G245)&lt;=0),"qty must be above 0; ","")&amp;IF(AND($E245="received",OR($I245="",$H245="")),"log lot and best-by; ","")&amp;IF(AND($P245="N",SUMIFS(inventory!$G$2:$G$801,inventory!$C$2:$C$801,$C245,inventory!$H$2:$H$801,$H245,inventory!$E$2:$E$801,"rejected")&lt;N($G245)),"UNDER "&amp;config!$B$19&amp;" DAYS LEFT ON THE DROP DAY: reject these units; ","")&amp;IF(AND($E245="delivered",COUNTIF(inventory!$R$2:$R$801,$R245)&gt;1),"two delivered rows for this office: use one; ","")&amp;IF(AND($E245="delivered",$J245=""),"who counted?; ",""))</f>
        <v/>
      </c>
      <c r="R245" s="25">
        <f>IF($C245="","",$C245&amp;"|"&amp;$D245&amp;"|"&amp;$E245)</f>
        <v/>
      </c>
    </row>
    <row r="246">
      <c r="A246" s="9" t="n"/>
      <c r="B246" s="33" t="n"/>
      <c r="I246" s="9" t="n"/>
      <c r="L246" s="26">
        <f>IF($C246="","",IFERROR(IF(INDEX(campaigns!$BG$2:$BG$51,MATCH($C246,campaigns!$A$2:$A$51,0))="","",INDEX(campaigns!$BG$2:$BG$51,MATCH($C246,campaigns!$A$2:$A$51,0))),""))</f>
        <v/>
      </c>
      <c r="M246" s="25">
        <f>IF($C246="","",IF(OR($E246="received"),N($G246),IF(OR($E246="rejected",$E246="delivered",$E246="topped_up"),-N($G246),IF(AND(OR($E246="returned_to_brand",$E246="given_to_roster_office",$E246="released_to_office",$E246="disposed"),IF($F246="","reserve",$F246)="reserve"),-N($G246),IF(AND($E246="correction",IF($F246="","reserve",$F246)="reserve"),N($G246),0)))))</f>
        <v/>
      </c>
      <c r="N246" s="25">
        <f>IF($C246="","",IF($E246="rejected",N($G246),IF(AND(OR($E246="returned_to_brand",$E246="given_to_roster_office",$E246="released_to_office",$E246="disposed"),IF($F246="","reserve",$F246)="rejected"),-N($G246),IF(AND($E246="correction",IF($F246="","reserve",$F246)="rejected"),N($G246),0))))</f>
        <v/>
      </c>
      <c r="O246" s="25">
        <f>IF($C246="","",IF($E246="collected",N($G246),IF(AND(OR($E246="returned_to_brand",$E246="given_to_roster_office",$E246="released_to_office",$E246="disposed"),IF($F246="","reserve",$F246)="leftover"),-N($G246),IF(AND($E246="correction",IF($F246="","reserve",$F246)="leftover"),N($G246),0))))</f>
        <v/>
      </c>
      <c r="P246" s="25">
        <f>IF(OR($E246&lt;&gt;"received",$I246="",$L246=""),"",IF($I246&gt;=$L246+config!$B$19,"Y","N"))</f>
        <v/>
      </c>
      <c r="Q246" s="25">
        <f>IF($C246="","",IF(COUNTIF(campaigns!$A$2:$A$51,$C246)=0,"campaign_id not on campaigns; ",IF(AND($D246&lt;&gt;"",COUNTIFS(approvals!$A$2:$A$251,$C246,approvals!$B$2:$B$251,$D246)=0),"office not on this campaign (approvals tab); ",""))&amp;IF(AND(OR($E246="delivered",$E246="topped_up",$E246="collected"),$D246=""),"office needed; ","")&amp;IF(AND($E246&lt;&gt;"correction",N($G246)&lt;=0),"qty must be above 0; ","")&amp;IF(AND($E246="received",OR($I246="",$H246="")),"log lot and best-by; ","")&amp;IF(AND($P246="N",SUMIFS(inventory!$G$2:$G$801,inventory!$C$2:$C$801,$C246,inventory!$H$2:$H$801,$H246,inventory!$E$2:$E$801,"rejected")&lt;N($G246)),"UNDER "&amp;config!$B$19&amp;" DAYS LEFT ON THE DROP DAY: reject these units; ","")&amp;IF(AND($E246="delivered",COUNTIF(inventory!$R$2:$R$801,$R246)&gt;1),"two delivered rows for this office: use one; ","")&amp;IF(AND($E246="delivered",$J246=""),"who counted?; ",""))</f>
        <v/>
      </c>
      <c r="R246" s="25">
        <f>IF($C246="","",$C246&amp;"|"&amp;$D246&amp;"|"&amp;$E246)</f>
        <v/>
      </c>
    </row>
    <row r="247">
      <c r="A247" s="9" t="n"/>
      <c r="B247" s="33" t="n"/>
      <c r="I247" s="9" t="n"/>
      <c r="L247" s="26">
        <f>IF($C247="","",IFERROR(IF(INDEX(campaigns!$BG$2:$BG$51,MATCH($C247,campaigns!$A$2:$A$51,0))="","",INDEX(campaigns!$BG$2:$BG$51,MATCH($C247,campaigns!$A$2:$A$51,0))),""))</f>
        <v/>
      </c>
      <c r="M247" s="25">
        <f>IF($C247="","",IF(OR($E247="received"),N($G247),IF(OR($E247="rejected",$E247="delivered",$E247="topped_up"),-N($G247),IF(AND(OR($E247="returned_to_brand",$E247="given_to_roster_office",$E247="released_to_office",$E247="disposed"),IF($F247="","reserve",$F247)="reserve"),-N($G247),IF(AND($E247="correction",IF($F247="","reserve",$F247)="reserve"),N($G247),0)))))</f>
        <v/>
      </c>
      <c r="N247" s="25">
        <f>IF($C247="","",IF($E247="rejected",N($G247),IF(AND(OR($E247="returned_to_brand",$E247="given_to_roster_office",$E247="released_to_office",$E247="disposed"),IF($F247="","reserve",$F247)="rejected"),-N($G247),IF(AND($E247="correction",IF($F247="","reserve",$F247)="rejected"),N($G247),0))))</f>
        <v/>
      </c>
      <c r="O247" s="25">
        <f>IF($C247="","",IF($E247="collected",N($G247),IF(AND(OR($E247="returned_to_brand",$E247="given_to_roster_office",$E247="released_to_office",$E247="disposed"),IF($F247="","reserve",$F247)="leftover"),-N($G247),IF(AND($E247="correction",IF($F247="","reserve",$F247)="leftover"),N($G247),0))))</f>
        <v/>
      </c>
      <c r="P247" s="25">
        <f>IF(OR($E247&lt;&gt;"received",$I247="",$L247=""),"",IF($I247&gt;=$L247+config!$B$19,"Y","N"))</f>
        <v/>
      </c>
      <c r="Q247" s="25">
        <f>IF($C247="","",IF(COUNTIF(campaigns!$A$2:$A$51,$C247)=0,"campaign_id not on campaigns; ",IF(AND($D247&lt;&gt;"",COUNTIFS(approvals!$A$2:$A$251,$C247,approvals!$B$2:$B$251,$D247)=0),"office not on this campaign (approvals tab); ",""))&amp;IF(AND(OR($E247="delivered",$E247="topped_up",$E247="collected"),$D247=""),"office needed; ","")&amp;IF(AND($E247&lt;&gt;"correction",N($G247)&lt;=0),"qty must be above 0; ","")&amp;IF(AND($E247="received",OR($I247="",$H247="")),"log lot and best-by; ","")&amp;IF(AND($P247="N",SUMIFS(inventory!$G$2:$G$801,inventory!$C$2:$C$801,$C247,inventory!$H$2:$H$801,$H247,inventory!$E$2:$E$801,"rejected")&lt;N($G247)),"UNDER "&amp;config!$B$19&amp;" DAYS LEFT ON THE DROP DAY: reject these units; ","")&amp;IF(AND($E247="delivered",COUNTIF(inventory!$R$2:$R$801,$R247)&gt;1),"two delivered rows for this office: use one; ","")&amp;IF(AND($E247="delivered",$J247=""),"who counted?; ",""))</f>
        <v/>
      </c>
      <c r="R247" s="25">
        <f>IF($C247="","",$C247&amp;"|"&amp;$D247&amp;"|"&amp;$E247)</f>
        <v/>
      </c>
    </row>
    <row r="248">
      <c r="A248" s="9" t="n"/>
      <c r="B248" s="33" t="n"/>
      <c r="I248" s="9" t="n"/>
      <c r="L248" s="26">
        <f>IF($C248="","",IFERROR(IF(INDEX(campaigns!$BG$2:$BG$51,MATCH($C248,campaigns!$A$2:$A$51,0))="","",INDEX(campaigns!$BG$2:$BG$51,MATCH($C248,campaigns!$A$2:$A$51,0))),""))</f>
        <v/>
      </c>
      <c r="M248" s="25">
        <f>IF($C248="","",IF(OR($E248="received"),N($G248),IF(OR($E248="rejected",$E248="delivered",$E248="topped_up"),-N($G248),IF(AND(OR($E248="returned_to_brand",$E248="given_to_roster_office",$E248="released_to_office",$E248="disposed"),IF($F248="","reserve",$F248)="reserve"),-N($G248),IF(AND($E248="correction",IF($F248="","reserve",$F248)="reserve"),N($G248),0)))))</f>
        <v/>
      </c>
      <c r="N248" s="25">
        <f>IF($C248="","",IF($E248="rejected",N($G248),IF(AND(OR($E248="returned_to_brand",$E248="given_to_roster_office",$E248="released_to_office",$E248="disposed"),IF($F248="","reserve",$F248)="rejected"),-N($G248),IF(AND($E248="correction",IF($F248="","reserve",$F248)="rejected"),N($G248),0))))</f>
        <v/>
      </c>
      <c r="O248" s="25">
        <f>IF($C248="","",IF($E248="collected",N($G248),IF(AND(OR($E248="returned_to_brand",$E248="given_to_roster_office",$E248="released_to_office",$E248="disposed"),IF($F248="","reserve",$F248)="leftover"),-N($G248),IF(AND($E248="correction",IF($F248="","reserve",$F248)="leftover"),N($G248),0))))</f>
        <v/>
      </c>
      <c r="P248" s="25">
        <f>IF(OR($E248&lt;&gt;"received",$I248="",$L248=""),"",IF($I248&gt;=$L248+config!$B$19,"Y","N"))</f>
        <v/>
      </c>
      <c r="Q248" s="25">
        <f>IF($C248="","",IF(COUNTIF(campaigns!$A$2:$A$51,$C248)=0,"campaign_id not on campaigns; ",IF(AND($D248&lt;&gt;"",COUNTIFS(approvals!$A$2:$A$251,$C248,approvals!$B$2:$B$251,$D248)=0),"office not on this campaign (approvals tab); ",""))&amp;IF(AND(OR($E248="delivered",$E248="topped_up",$E248="collected"),$D248=""),"office needed; ","")&amp;IF(AND($E248&lt;&gt;"correction",N($G248)&lt;=0),"qty must be above 0; ","")&amp;IF(AND($E248="received",OR($I248="",$H248="")),"log lot and best-by; ","")&amp;IF(AND($P248="N",SUMIFS(inventory!$G$2:$G$801,inventory!$C$2:$C$801,$C248,inventory!$H$2:$H$801,$H248,inventory!$E$2:$E$801,"rejected")&lt;N($G248)),"UNDER "&amp;config!$B$19&amp;" DAYS LEFT ON THE DROP DAY: reject these units; ","")&amp;IF(AND($E248="delivered",COUNTIF(inventory!$R$2:$R$801,$R248)&gt;1),"two delivered rows for this office: use one; ","")&amp;IF(AND($E248="delivered",$J248=""),"who counted?; ",""))</f>
        <v/>
      </c>
      <c r="R248" s="25">
        <f>IF($C248="","",$C248&amp;"|"&amp;$D248&amp;"|"&amp;$E248)</f>
        <v/>
      </c>
    </row>
    <row r="249">
      <c r="A249" s="9" t="n"/>
      <c r="B249" s="33" t="n"/>
      <c r="I249" s="9" t="n"/>
      <c r="L249" s="26">
        <f>IF($C249="","",IFERROR(IF(INDEX(campaigns!$BG$2:$BG$51,MATCH($C249,campaigns!$A$2:$A$51,0))="","",INDEX(campaigns!$BG$2:$BG$51,MATCH($C249,campaigns!$A$2:$A$51,0))),""))</f>
        <v/>
      </c>
      <c r="M249" s="25">
        <f>IF($C249="","",IF(OR($E249="received"),N($G249),IF(OR($E249="rejected",$E249="delivered",$E249="topped_up"),-N($G249),IF(AND(OR($E249="returned_to_brand",$E249="given_to_roster_office",$E249="released_to_office",$E249="disposed"),IF($F249="","reserve",$F249)="reserve"),-N($G249),IF(AND($E249="correction",IF($F249="","reserve",$F249)="reserve"),N($G249),0)))))</f>
        <v/>
      </c>
      <c r="N249" s="25">
        <f>IF($C249="","",IF($E249="rejected",N($G249),IF(AND(OR($E249="returned_to_brand",$E249="given_to_roster_office",$E249="released_to_office",$E249="disposed"),IF($F249="","reserve",$F249)="rejected"),-N($G249),IF(AND($E249="correction",IF($F249="","reserve",$F249)="rejected"),N($G249),0))))</f>
        <v/>
      </c>
      <c r="O249" s="25">
        <f>IF($C249="","",IF($E249="collected",N($G249),IF(AND(OR($E249="returned_to_brand",$E249="given_to_roster_office",$E249="released_to_office",$E249="disposed"),IF($F249="","reserve",$F249)="leftover"),-N($G249),IF(AND($E249="correction",IF($F249="","reserve",$F249)="leftover"),N($G249),0))))</f>
        <v/>
      </c>
      <c r="P249" s="25">
        <f>IF(OR($E249&lt;&gt;"received",$I249="",$L249=""),"",IF($I249&gt;=$L249+config!$B$19,"Y","N"))</f>
        <v/>
      </c>
      <c r="Q249" s="25">
        <f>IF($C249="","",IF(COUNTIF(campaigns!$A$2:$A$51,$C249)=0,"campaign_id not on campaigns; ",IF(AND($D249&lt;&gt;"",COUNTIFS(approvals!$A$2:$A$251,$C249,approvals!$B$2:$B$251,$D249)=0),"office not on this campaign (approvals tab); ",""))&amp;IF(AND(OR($E249="delivered",$E249="topped_up",$E249="collected"),$D249=""),"office needed; ","")&amp;IF(AND($E249&lt;&gt;"correction",N($G249)&lt;=0),"qty must be above 0; ","")&amp;IF(AND($E249="received",OR($I249="",$H249="")),"log lot and best-by; ","")&amp;IF(AND($P249="N",SUMIFS(inventory!$G$2:$G$801,inventory!$C$2:$C$801,$C249,inventory!$H$2:$H$801,$H249,inventory!$E$2:$E$801,"rejected")&lt;N($G249)),"UNDER "&amp;config!$B$19&amp;" DAYS LEFT ON THE DROP DAY: reject these units; ","")&amp;IF(AND($E249="delivered",COUNTIF(inventory!$R$2:$R$801,$R249)&gt;1),"two delivered rows for this office: use one; ","")&amp;IF(AND($E249="delivered",$J249=""),"who counted?; ",""))</f>
        <v/>
      </c>
      <c r="R249" s="25">
        <f>IF($C249="","",$C249&amp;"|"&amp;$D249&amp;"|"&amp;$E249)</f>
        <v/>
      </c>
    </row>
    <row r="250">
      <c r="A250" s="9" t="n"/>
      <c r="B250" s="33" t="n"/>
      <c r="I250" s="9" t="n"/>
      <c r="L250" s="26">
        <f>IF($C250="","",IFERROR(IF(INDEX(campaigns!$BG$2:$BG$51,MATCH($C250,campaigns!$A$2:$A$51,0))="","",INDEX(campaigns!$BG$2:$BG$51,MATCH($C250,campaigns!$A$2:$A$51,0))),""))</f>
        <v/>
      </c>
      <c r="M250" s="25">
        <f>IF($C250="","",IF(OR($E250="received"),N($G250),IF(OR($E250="rejected",$E250="delivered",$E250="topped_up"),-N($G250),IF(AND(OR($E250="returned_to_brand",$E250="given_to_roster_office",$E250="released_to_office",$E250="disposed"),IF($F250="","reserve",$F250)="reserve"),-N($G250),IF(AND($E250="correction",IF($F250="","reserve",$F250)="reserve"),N($G250),0)))))</f>
        <v/>
      </c>
      <c r="N250" s="25">
        <f>IF($C250="","",IF($E250="rejected",N($G250),IF(AND(OR($E250="returned_to_brand",$E250="given_to_roster_office",$E250="released_to_office",$E250="disposed"),IF($F250="","reserve",$F250)="rejected"),-N($G250),IF(AND($E250="correction",IF($F250="","reserve",$F250)="rejected"),N($G250),0))))</f>
        <v/>
      </c>
      <c r="O250" s="25">
        <f>IF($C250="","",IF($E250="collected",N($G250),IF(AND(OR($E250="returned_to_brand",$E250="given_to_roster_office",$E250="released_to_office",$E250="disposed"),IF($F250="","reserve",$F250)="leftover"),-N($G250),IF(AND($E250="correction",IF($F250="","reserve",$F250)="leftover"),N($G250),0))))</f>
        <v/>
      </c>
      <c r="P250" s="25">
        <f>IF(OR($E250&lt;&gt;"received",$I250="",$L250=""),"",IF($I250&gt;=$L250+config!$B$19,"Y","N"))</f>
        <v/>
      </c>
      <c r="Q250" s="25">
        <f>IF($C250="","",IF(COUNTIF(campaigns!$A$2:$A$51,$C250)=0,"campaign_id not on campaigns; ",IF(AND($D250&lt;&gt;"",COUNTIFS(approvals!$A$2:$A$251,$C250,approvals!$B$2:$B$251,$D250)=0),"office not on this campaign (approvals tab); ",""))&amp;IF(AND(OR($E250="delivered",$E250="topped_up",$E250="collected"),$D250=""),"office needed; ","")&amp;IF(AND($E250&lt;&gt;"correction",N($G250)&lt;=0),"qty must be above 0; ","")&amp;IF(AND($E250="received",OR($I250="",$H250="")),"log lot and best-by; ","")&amp;IF(AND($P250="N",SUMIFS(inventory!$G$2:$G$801,inventory!$C$2:$C$801,$C250,inventory!$H$2:$H$801,$H250,inventory!$E$2:$E$801,"rejected")&lt;N($G250)),"UNDER "&amp;config!$B$19&amp;" DAYS LEFT ON THE DROP DAY: reject these units; ","")&amp;IF(AND($E250="delivered",COUNTIF(inventory!$R$2:$R$801,$R250)&gt;1),"two delivered rows for this office: use one; ","")&amp;IF(AND($E250="delivered",$J250=""),"who counted?; ",""))</f>
        <v/>
      </c>
      <c r="R250" s="25">
        <f>IF($C250="","",$C250&amp;"|"&amp;$D250&amp;"|"&amp;$E250)</f>
        <v/>
      </c>
    </row>
    <row r="251">
      <c r="A251" s="9" t="n"/>
      <c r="B251" s="33" t="n"/>
      <c r="I251" s="9" t="n"/>
      <c r="L251" s="26">
        <f>IF($C251="","",IFERROR(IF(INDEX(campaigns!$BG$2:$BG$51,MATCH($C251,campaigns!$A$2:$A$51,0))="","",INDEX(campaigns!$BG$2:$BG$51,MATCH($C251,campaigns!$A$2:$A$51,0))),""))</f>
        <v/>
      </c>
      <c r="M251" s="25">
        <f>IF($C251="","",IF(OR($E251="received"),N($G251),IF(OR($E251="rejected",$E251="delivered",$E251="topped_up"),-N($G251),IF(AND(OR($E251="returned_to_brand",$E251="given_to_roster_office",$E251="released_to_office",$E251="disposed"),IF($F251="","reserve",$F251)="reserve"),-N($G251),IF(AND($E251="correction",IF($F251="","reserve",$F251)="reserve"),N($G251),0)))))</f>
        <v/>
      </c>
      <c r="N251" s="25">
        <f>IF($C251="","",IF($E251="rejected",N($G251),IF(AND(OR($E251="returned_to_brand",$E251="given_to_roster_office",$E251="released_to_office",$E251="disposed"),IF($F251="","reserve",$F251)="rejected"),-N($G251),IF(AND($E251="correction",IF($F251="","reserve",$F251)="rejected"),N($G251),0))))</f>
        <v/>
      </c>
      <c r="O251" s="25">
        <f>IF($C251="","",IF($E251="collected",N($G251),IF(AND(OR($E251="returned_to_brand",$E251="given_to_roster_office",$E251="released_to_office",$E251="disposed"),IF($F251="","reserve",$F251)="leftover"),-N($G251),IF(AND($E251="correction",IF($F251="","reserve",$F251)="leftover"),N($G251),0))))</f>
        <v/>
      </c>
      <c r="P251" s="25">
        <f>IF(OR($E251&lt;&gt;"received",$I251="",$L251=""),"",IF($I251&gt;=$L251+config!$B$19,"Y","N"))</f>
        <v/>
      </c>
      <c r="Q251" s="25">
        <f>IF($C251="","",IF(COUNTIF(campaigns!$A$2:$A$51,$C251)=0,"campaign_id not on campaigns; ",IF(AND($D251&lt;&gt;"",COUNTIFS(approvals!$A$2:$A$251,$C251,approvals!$B$2:$B$251,$D251)=0),"office not on this campaign (approvals tab); ",""))&amp;IF(AND(OR($E251="delivered",$E251="topped_up",$E251="collected"),$D251=""),"office needed; ","")&amp;IF(AND($E251&lt;&gt;"correction",N($G251)&lt;=0),"qty must be above 0; ","")&amp;IF(AND($E251="received",OR($I251="",$H251="")),"log lot and best-by; ","")&amp;IF(AND($P251="N",SUMIFS(inventory!$G$2:$G$801,inventory!$C$2:$C$801,$C251,inventory!$H$2:$H$801,$H251,inventory!$E$2:$E$801,"rejected")&lt;N($G251)),"UNDER "&amp;config!$B$19&amp;" DAYS LEFT ON THE DROP DAY: reject these units; ","")&amp;IF(AND($E251="delivered",COUNTIF(inventory!$R$2:$R$801,$R251)&gt;1),"two delivered rows for this office: use one; ","")&amp;IF(AND($E251="delivered",$J251=""),"who counted?; ",""))</f>
        <v/>
      </c>
      <c r="R251" s="25">
        <f>IF($C251="","",$C251&amp;"|"&amp;$D251&amp;"|"&amp;$E251)</f>
        <v/>
      </c>
    </row>
    <row r="252">
      <c r="A252" s="9" t="n"/>
      <c r="B252" s="33" t="n"/>
      <c r="I252" s="9" t="n"/>
      <c r="L252" s="26">
        <f>IF($C252="","",IFERROR(IF(INDEX(campaigns!$BG$2:$BG$51,MATCH($C252,campaigns!$A$2:$A$51,0))="","",INDEX(campaigns!$BG$2:$BG$51,MATCH($C252,campaigns!$A$2:$A$51,0))),""))</f>
        <v/>
      </c>
      <c r="M252" s="25">
        <f>IF($C252="","",IF(OR($E252="received"),N($G252),IF(OR($E252="rejected",$E252="delivered",$E252="topped_up"),-N($G252),IF(AND(OR($E252="returned_to_brand",$E252="given_to_roster_office",$E252="released_to_office",$E252="disposed"),IF($F252="","reserve",$F252)="reserve"),-N($G252),IF(AND($E252="correction",IF($F252="","reserve",$F252)="reserve"),N($G252),0)))))</f>
        <v/>
      </c>
      <c r="N252" s="25">
        <f>IF($C252="","",IF($E252="rejected",N($G252),IF(AND(OR($E252="returned_to_brand",$E252="given_to_roster_office",$E252="released_to_office",$E252="disposed"),IF($F252="","reserve",$F252)="rejected"),-N($G252),IF(AND($E252="correction",IF($F252="","reserve",$F252)="rejected"),N($G252),0))))</f>
        <v/>
      </c>
      <c r="O252" s="25">
        <f>IF($C252="","",IF($E252="collected",N($G252),IF(AND(OR($E252="returned_to_brand",$E252="given_to_roster_office",$E252="released_to_office",$E252="disposed"),IF($F252="","reserve",$F252)="leftover"),-N($G252),IF(AND($E252="correction",IF($F252="","reserve",$F252)="leftover"),N($G252),0))))</f>
        <v/>
      </c>
      <c r="P252" s="25">
        <f>IF(OR($E252&lt;&gt;"received",$I252="",$L252=""),"",IF($I252&gt;=$L252+config!$B$19,"Y","N"))</f>
        <v/>
      </c>
      <c r="Q252" s="25">
        <f>IF($C252="","",IF(COUNTIF(campaigns!$A$2:$A$51,$C252)=0,"campaign_id not on campaigns; ",IF(AND($D252&lt;&gt;"",COUNTIFS(approvals!$A$2:$A$251,$C252,approvals!$B$2:$B$251,$D252)=0),"office not on this campaign (approvals tab); ",""))&amp;IF(AND(OR($E252="delivered",$E252="topped_up",$E252="collected"),$D252=""),"office needed; ","")&amp;IF(AND($E252&lt;&gt;"correction",N($G252)&lt;=0),"qty must be above 0; ","")&amp;IF(AND($E252="received",OR($I252="",$H252="")),"log lot and best-by; ","")&amp;IF(AND($P252="N",SUMIFS(inventory!$G$2:$G$801,inventory!$C$2:$C$801,$C252,inventory!$H$2:$H$801,$H252,inventory!$E$2:$E$801,"rejected")&lt;N($G252)),"UNDER "&amp;config!$B$19&amp;" DAYS LEFT ON THE DROP DAY: reject these units; ","")&amp;IF(AND($E252="delivered",COUNTIF(inventory!$R$2:$R$801,$R252)&gt;1),"two delivered rows for this office: use one; ","")&amp;IF(AND($E252="delivered",$J252=""),"who counted?; ",""))</f>
        <v/>
      </c>
      <c r="R252" s="25">
        <f>IF($C252="","",$C252&amp;"|"&amp;$D252&amp;"|"&amp;$E252)</f>
        <v/>
      </c>
    </row>
    <row r="253">
      <c r="A253" s="9" t="n"/>
      <c r="B253" s="33" t="n"/>
      <c r="I253" s="9" t="n"/>
      <c r="L253" s="26">
        <f>IF($C253="","",IFERROR(IF(INDEX(campaigns!$BG$2:$BG$51,MATCH($C253,campaigns!$A$2:$A$51,0))="","",INDEX(campaigns!$BG$2:$BG$51,MATCH($C253,campaigns!$A$2:$A$51,0))),""))</f>
        <v/>
      </c>
      <c r="M253" s="25">
        <f>IF($C253="","",IF(OR($E253="received"),N($G253),IF(OR($E253="rejected",$E253="delivered",$E253="topped_up"),-N($G253),IF(AND(OR($E253="returned_to_brand",$E253="given_to_roster_office",$E253="released_to_office",$E253="disposed"),IF($F253="","reserve",$F253)="reserve"),-N($G253),IF(AND($E253="correction",IF($F253="","reserve",$F253)="reserve"),N($G253),0)))))</f>
        <v/>
      </c>
      <c r="N253" s="25">
        <f>IF($C253="","",IF($E253="rejected",N($G253),IF(AND(OR($E253="returned_to_brand",$E253="given_to_roster_office",$E253="released_to_office",$E253="disposed"),IF($F253="","reserve",$F253)="rejected"),-N($G253),IF(AND($E253="correction",IF($F253="","reserve",$F253)="rejected"),N($G253),0))))</f>
        <v/>
      </c>
      <c r="O253" s="25">
        <f>IF($C253="","",IF($E253="collected",N($G253),IF(AND(OR($E253="returned_to_brand",$E253="given_to_roster_office",$E253="released_to_office",$E253="disposed"),IF($F253="","reserve",$F253)="leftover"),-N($G253),IF(AND($E253="correction",IF($F253="","reserve",$F253)="leftover"),N($G253),0))))</f>
        <v/>
      </c>
      <c r="P253" s="25">
        <f>IF(OR($E253&lt;&gt;"received",$I253="",$L253=""),"",IF($I253&gt;=$L253+config!$B$19,"Y","N"))</f>
        <v/>
      </c>
      <c r="Q253" s="25">
        <f>IF($C253="","",IF(COUNTIF(campaigns!$A$2:$A$51,$C253)=0,"campaign_id not on campaigns; ",IF(AND($D253&lt;&gt;"",COUNTIFS(approvals!$A$2:$A$251,$C253,approvals!$B$2:$B$251,$D253)=0),"office not on this campaign (approvals tab); ",""))&amp;IF(AND(OR($E253="delivered",$E253="topped_up",$E253="collected"),$D253=""),"office needed; ","")&amp;IF(AND($E253&lt;&gt;"correction",N($G253)&lt;=0),"qty must be above 0; ","")&amp;IF(AND($E253="received",OR($I253="",$H253="")),"log lot and best-by; ","")&amp;IF(AND($P253="N",SUMIFS(inventory!$G$2:$G$801,inventory!$C$2:$C$801,$C253,inventory!$H$2:$H$801,$H253,inventory!$E$2:$E$801,"rejected")&lt;N($G253)),"UNDER "&amp;config!$B$19&amp;" DAYS LEFT ON THE DROP DAY: reject these units; ","")&amp;IF(AND($E253="delivered",COUNTIF(inventory!$R$2:$R$801,$R253)&gt;1),"two delivered rows for this office: use one; ","")&amp;IF(AND($E253="delivered",$J253=""),"who counted?; ",""))</f>
        <v/>
      </c>
      <c r="R253" s="25">
        <f>IF($C253="","",$C253&amp;"|"&amp;$D253&amp;"|"&amp;$E253)</f>
        <v/>
      </c>
    </row>
    <row r="254">
      <c r="A254" s="9" t="n"/>
      <c r="B254" s="33" t="n"/>
      <c r="I254" s="9" t="n"/>
      <c r="L254" s="26">
        <f>IF($C254="","",IFERROR(IF(INDEX(campaigns!$BG$2:$BG$51,MATCH($C254,campaigns!$A$2:$A$51,0))="","",INDEX(campaigns!$BG$2:$BG$51,MATCH($C254,campaigns!$A$2:$A$51,0))),""))</f>
        <v/>
      </c>
      <c r="M254" s="25">
        <f>IF($C254="","",IF(OR($E254="received"),N($G254),IF(OR($E254="rejected",$E254="delivered",$E254="topped_up"),-N($G254),IF(AND(OR($E254="returned_to_brand",$E254="given_to_roster_office",$E254="released_to_office",$E254="disposed"),IF($F254="","reserve",$F254)="reserve"),-N($G254),IF(AND($E254="correction",IF($F254="","reserve",$F254)="reserve"),N($G254),0)))))</f>
        <v/>
      </c>
      <c r="N254" s="25">
        <f>IF($C254="","",IF($E254="rejected",N($G254),IF(AND(OR($E254="returned_to_brand",$E254="given_to_roster_office",$E254="released_to_office",$E254="disposed"),IF($F254="","reserve",$F254)="rejected"),-N($G254),IF(AND($E254="correction",IF($F254="","reserve",$F254)="rejected"),N($G254),0))))</f>
        <v/>
      </c>
      <c r="O254" s="25">
        <f>IF($C254="","",IF($E254="collected",N($G254),IF(AND(OR($E254="returned_to_brand",$E254="given_to_roster_office",$E254="released_to_office",$E254="disposed"),IF($F254="","reserve",$F254)="leftover"),-N($G254),IF(AND($E254="correction",IF($F254="","reserve",$F254)="leftover"),N($G254),0))))</f>
        <v/>
      </c>
      <c r="P254" s="25">
        <f>IF(OR($E254&lt;&gt;"received",$I254="",$L254=""),"",IF($I254&gt;=$L254+config!$B$19,"Y","N"))</f>
        <v/>
      </c>
      <c r="Q254" s="25">
        <f>IF($C254="","",IF(COUNTIF(campaigns!$A$2:$A$51,$C254)=0,"campaign_id not on campaigns; ",IF(AND($D254&lt;&gt;"",COUNTIFS(approvals!$A$2:$A$251,$C254,approvals!$B$2:$B$251,$D254)=0),"office not on this campaign (approvals tab); ",""))&amp;IF(AND(OR($E254="delivered",$E254="topped_up",$E254="collected"),$D254=""),"office needed; ","")&amp;IF(AND($E254&lt;&gt;"correction",N($G254)&lt;=0),"qty must be above 0; ","")&amp;IF(AND($E254="received",OR($I254="",$H254="")),"log lot and best-by; ","")&amp;IF(AND($P254="N",SUMIFS(inventory!$G$2:$G$801,inventory!$C$2:$C$801,$C254,inventory!$H$2:$H$801,$H254,inventory!$E$2:$E$801,"rejected")&lt;N($G254)),"UNDER "&amp;config!$B$19&amp;" DAYS LEFT ON THE DROP DAY: reject these units; ","")&amp;IF(AND($E254="delivered",COUNTIF(inventory!$R$2:$R$801,$R254)&gt;1),"two delivered rows for this office: use one; ","")&amp;IF(AND($E254="delivered",$J254=""),"who counted?; ",""))</f>
        <v/>
      </c>
      <c r="R254" s="25">
        <f>IF($C254="","",$C254&amp;"|"&amp;$D254&amp;"|"&amp;$E254)</f>
        <v/>
      </c>
    </row>
    <row r="255">
      <c r="A255" s="9" t="n"/>
      <c r="B255" s="33" t="n"/>
      <c r="I255" s="9" t="n"/>
      <c r="L255" s="26">
        <f>IF($C255="","",IFERROR(IF(INDEX(campaigns!$BG$2:$BG$51,MATCH($C255,campaigns!$A$2:$A$51,0))="","",INDEX(campaigns!$BG$2:$BG$51,MATCH($C255,campaigns!$A$2:$A$51,0))),""))</f>
        <v/>
      </c>
      <c r="M255" s="25">
        <f>IF($C255="","",IF(OR($E255="received"),N($G255),IF(OR($E255="rejected",$E255="delivered",$E255="topped_up"),-N($G255),IF(AND(OR($E255="returned_to_brand",$E255="given_to_roster_office",$E255="released_to_office",$E255="disposed"),IF($F255="","reserve",$F255)="reserve"),-N($G255),IF(AND($E255="correction",IF($F255="","reserve",$F255)="reserve"),N($G255),0)))))</f>
        <v/>
      </c>
      <c r="N255" s="25">
        <f>IF($C255="","",IF($E255="rejected",N($G255),IF(AND(OR($E255="returned_to_brand",$E255="given_to_roster_office",$E255="released_to_office",$E255="disposed"),IF($F255="","reserve",$F255)="rejected"),-N($G255),IF(AND($E255="correction",IF($F255="","reserve",$F255)="rejected"),N($G255),0))))</f>
        <v/>
      </c>
      <c r="O255" s="25">
        <f>IF($C255="","",IF($E255="collected",N($G255),IF(AND(OR($E255="returned_to_brand",$E255="given_to_roster_office",$E255="released_to_office",$E255="disposed"),IF($F255="","reserve",$F255)="leftover"),-N($G255),IF(AND($E255="correction",IF($F255="","reserve",$F255)="leftover"),N($G255),0))))</f>
        <v/>
      </c>
      <c r="P255" s="25">
        <f>IF(OR($E255&lt;&gt;"received",$I255="",$L255=""),"",IF($I255&gt;=$L255+config!$B$19,"Y","N"))</f>
        <v/>
      </c>
      <c r="Q255" s="25">
        <f>IF($C255="","",IF(COUNTIF(campaigns!$A$2:$A$51,$C255)=0,"campaign_id not on campaigns; ",IF(AND($D255&lt;&gt;"",COUNTIFS(approvals!$A$2:$A$251,$C255,approvals!$B$2:$B$251,$D255)=0),"office not on this campaign (approvals tab); ",""))&amp;IF(AND(OR($E255="delivered",$E255="topped_up",$E255="collected"),$D255=""),"office needed; ","")&amp;IF(AND($E255&lt;&gt;"correction",N($G255)&lt;=0),"qty must be above 0; ","")&amp;IF(AND($E255="received",OR($I255="",$H255="")),"log lot and best-by; ","")&amp;IF(AND($P255="N",SUMIFS(inventory!$G$2:$G$801,inventory!$C$2:$C$801,$C255,inventory!$H$2:$H$801,$H255,inventory!$E$2:$E$801,"rejected")&lt;N($G255)),"UNDER "&amp;config!$B$19&amp;" DAYS LEFT ON THE DROP DAY: reject these units; ","")&amp;IF(AND($E255="delivered",COUNTIF(inventory!$R$2:$R$801,$R255)&gt;1),"two delivered rows for this office: use one; ","")&amp;IF(AND($E255="delivered",$J255=""),"who counted?; ",""))</f>
        <v/>
      </c>
      <c r="R255" s="25">
        <f>IF($C255="","",$C255&amp;"|"&amp;$D255&amp;"|"&amp;$E255)</f>
        <v/>
      </c>
    </row>
    <row r="256">
      <c r="A256" s="9" t="n"/>
      <c r="B256" s="33" t="n"/>
      <c r="I256" s="9" t="n"/>
      <c r="L256" s="26">
        <f>IF($C256="","",IFERROR(IF(INDEX(campaigns!$BG$2:$BG$51,MATCH($C256,campaigns!$A$2:$A$51,0))="","",INDEX(campaigns!$BG$2:$BG$51,MATCH($C256,campaigns!$A$2:$A$51,0))),""))</f>
        <v/>
      </c>
      <c r="M256" s="25">
        <f>IF($C256="","",IF(OR($E256="received"),N($G256),IF(OR($E256="rejected",$E256="delivered",$E256="topped_up"),-N($G256),IF(AND(OR($E256="returned_to_brand",$E256="given_to_roster_office",$E256="released_to_office",$E256="disposed"),IF($F256="","reserve",$F256)="reserve"),-N($G256),IF(AND($E256="correction",IF($F256="","reserve",$F256)="reserve"),N($G256),0)))))</f>
        <v/>
      </c>
      <c r="N256" s="25">
        <f>IF($C256="","",IF($E256="rejected",N($G256),IF(AND(OR($E256="returned_to_brand",$E256="given_to_roster_office",$E256="released_to_office",$E256="disposed"),IF($F256="","reserve",$F256)="rejected"),-N($G256),IF(AND($E256="correction",IF($F256="","reserve",$F256)="rejected"),N($G256),0))))</f>
        <v/>
      </c>
      <c r="O256" s="25">
        <f>IF($C256="","",IF($E256="collected",N($G256),IF(AND(OR($E256="returned_to_brand",$E256="given_to_roster_office",$E256="released_to_office",$E256="disposed"),IF($F256="","reserve",$F256)="leftover"),-N($G256),IF(AND($E256="correction",IF($F256="","reserve",$F256)="leftover"),N($G256),0))))</f>
        <v/>
      </c>
      <c r="P256" s="25">
        <f>IF(OR($E256&lt;&gt;"received",$I256="",$L256=""),"",IF($I256&gt;=$L256+config!$B$19,"Y","N"))</f>
        <v/>
      </c>
      <c r="Q256" s="25">
        <f>IF($C256="","",IF(COUNTIF(campaigns!$A$2:$A$51,$C256)=0,"campaign_id not on campaigns; ",IF(AND($D256&lt;&gt;"",COUNTIFS(approvals!$A$2:$A$251,$C256,approvals!$B$2:$B$251,$D256)=0),"office not on this campaign (approvals tab); ",""))&amp;IF(AND(OR($E256="delivered",$E256="topped_up",$E256="collected"),$D256=""),"office needed; ","")&amp;IF(AND($E256&lt;&gt;"correction",N($G256)&lt;=0),"qty must be above 0; ","")&amp;IF(AND($E256="received",OR($I256="",$H256="")),"log lot and best-by; ","")&amp;IF(AND($P256="N",SUMIFS(inventory!$G$2:$G$801,inventory!$C$2:$C$801,$C256,inventory!$H$2:$H$801,$H256,inventory!$E$2:$E$801,"rejected")&lt;N($G256)),"UNDER "&amp;config!$B$19&amp;" DAYS LEFT ON THE DROP DAY: reject these units; ","")&amp;IF(AND($E256="delivered",COUNTIF(inventory!$R$2:$R$801,$R256)&gt;1),"two delivered rows for this office: use one; ","")&amp;IF(AND($E256="delivered",$J256=""),"who counted?; ",""))</f>
        <v/>
      </c>
      <c r="R256" s="25">
        <f>IF($C256="","",$C256&amp;"|"&amp;$D256&amp;"|"&amp;$E256)</f>
        <v/>
      </c>
    </row>
    <row r="257">
      <c r="A257" s="9" t="n"/>
      <c r="B257" s="33" t="n"/>
      <c r="I257" s="9" t="n"/>
      <c r="L257" s="26">
        <f>IF($C257="","",IFERROR(IF(INDEX(campaigns!$BG$2:$BG$51,MATCH($C257,campaigns!$A$2:$A$51,0))="","",INDEX(campaigns!$BG$2:$BG$51,MATCH($C257,campaigns!$A$2:$A$51,0))),""))</f>
        <v/>
      </c>
      <c r="M257" s="25">
        <f>IF($C257="","",IF(OR($E257="received"),N($G257),IF(OR($E257="rejected",$E257="delivered",$E257="topped_up"),-N($G257),IF(AND(OR($E257="returned_to_brand",$E257="given_to_roster_office",$E257="released_to_office",$E257="disposed"),IF($F257="","reserve",$F257)="reserve"),-N($G257),IF(AND($E257="correction",IF($F257="","reserve",$F257)="reserve"),N($G257),0)))))</f>
        <v/>
      </c>
      <c r="N257" s="25">
        <f>IF($C257="","",IF($E257="rejected",N($G257),IF(AND(OR($E257="returned_to_brand",$E257="given_to_roster_office",$E257="released_to_office",$E257="disposed"),IF($F257="","reserve",$F257)="rejected"),-N($G257),IF(AND($E257="correction",IF($F257="","reserve",$F257)="rejected"),N($G257),0))))</f>
        <v/>
      </c>
      <c r="O257" s="25">
        <f>IF($C257="","",IF($E257="collected",N($G257),IF(AND(OR($E257="returned_to_brand",$E257="given_to_roster_office",$E257="released_to_office",$E257="disposed"),IF($F257="","reserve",$F257)="leftover"),-N($G257),IF(AND($E257="correction",IF($F257="","reserve",$F257)="leftover"),N($G257),0))))</f>
        <v/>
      </c>
      <c r="P257" s="25">
        <f>IF(OR($E257&lt;&gt;"received",$I257="",$L257=""),"",IF($I257&gt;=$L257+config!$B$19,"Y","N"))</f>
        <v/>
      </c>
      <c r="Q257" s="25">
        <f>IF($C257="","",IF(COUNTIF(campaigns!$A$2:$A$51,$C257)=0,"campaign_id not on campaigns; ",IF(AND($D257&lt;&gt;"",COUNTIFS(approvals!$A$2:$A$251,$C257,approvals!$B$2:$B$251,$D257)=0),"office not on this campaign (approvals tab); ",""))&amp;IF(AND(OR($E257="delivered",$E257="topped_up",$E257="collected"),$D257=""),"office needed; ","")&amp;IF(AND($E257&lt;&gt;"correction",N($G257)&lt;=0),"qty must be above 0; ","")&amp;IF(AND($E257="received",OR($I257="",$H257="")),"log lot and best-by; ","")&amp;IF(AND($P257="N",SUMIFS(inventory!$G$2:$G$801,inventory!$C$2:$C$801,$C257,inventory!$H$2:$H$801,$H257,inventory!$E$2:$E$801,"rejected")&lt;N($G257)),"UNDER "&amp;config!$B$19&amp;" DAYS LEFT ON THE DROP DAY: reject these units; ","")&amp;IF(AND($E257="delivered",COUNTIF(inventory!$R$2:$R$801,$R257)&gt;1),"two delivered rows for this office: use one; ","")&amp;IF(AND($E257="delivered",$J257=""),"who counted?; ",""))</f>
        <v/>
      </c>
      <c r="R257" s="25">
        <f>IF($C257="","",$C257&amp;"|"&amp;$D257&amp;"|"&amp;$E257)</f>
        <v/>
      </c>
    </row>
    <row r="258">
      <c r="A258" s="9" t="n"/>
      <c r="B258" s="33" t="n"/>
      <c r="I258" s="9" t="n"/>
      <c r="L258" s="26">
        <f>IF($C258="","",IFERROR(IF(INDEX(campaigns!$BG$2:$BG$51,MATCH($C258,campaigns!$A$2:$A$51,0))="","",INDEX(campaigns!$BG$2:$BG$51,MATCH($C258,campaigns!$A$2:$A$51,0))),""))</f>
        <v/>
      </c>
      <c r="M258" s="25">
        <f>IF($C258="","",IF(OR($E258="received"),N($G258),IF(OR($E258="rejected",$E258="delivered",$E258="topped_up"),-N($G258),IF(AND(OR($E258="returned_to_brand",$E258="given_to_roster_office",$E258="released_to_office",$E258="disposed"),IF($F258="","reserve",$F258)="reserve"),-N($G258),IF(AND($E258="correction",IF($F258="","reserve",$F258)="reserve"),N($G258),0)))))</f>
        <v/>
      </c>
      <c r="N258" s="25">
        <f>IF($C258="","",IF($E258="rejected",N($G258),IF(AND(OR($E258="returned_to_brand",$E258="given_to_roster_office",$E258="released_to_office",$E258="disposed"),IF($F258="","reserve",$F258)="rejected"),-N($G258),IF(AND($E258="correction",IF($F258="","reserve",$F258)="rejected"),N($G258),0))))</f>
        <v/>
      </c>
      <c r="O258" s="25">
        <f>IF($C258="","",IF($E258="collected",N($G258),IF(AND(OR($E258="returned_to_brand",$E258="given_to_roster_office",$E258="released_to_office",$E258="disposed"),IF($F258="","reserve",$F258)="leftover"),-N($G258),IF(AND($E258="correction",IF($F258="","reserve",$F258)="leftover"),N($G258),0))))</f>
        <v/>
      </c>
      <c r="P258" s="25">
        <f>IF(OR($E258&lt;&gt;"received",$I258="",$L258=""),"",IF($I258&gt;=$L258+config!$B$19,"Y","N"))</f>
        <v/>
      </c>
      <c r="Q258" s="25">
        <f>IF($C258="","",IF(COUNTIF(campaigns!$A$2:$A$51,$C258)=0,"campaign_id not on campaigns; ",IF(AND($D258&lt;&gt;"",COUNTIFS(approvals!$A$2:$A$251,$C258,approvals!$B$2:$B$251,$D258)=0),"office not on this campaign (approvals tab); ",""))&amp;IF(AND(OR($E258="delivered",$E258="topped_up",$E258="collected"),$D258=""),"office needed; ","")&amp;IF(AND($E258&lt;&gt;"correction",N($G258)&lt;=0),"qty must be above 0; ","")&amp;IF(AND($E258="received",OR($I258="",$H258="")),"log lot and best-by; ","")&amp;IF(AND($P258="N",SUMIFS(inventory!$G$2:$G$801,inventory!$C$2:$C$801,$C258,inventory!$H$2:$H$801,$H258,inventory!$E$2:$E$801,"rejected")&lt;N($G258)),"UNDER "&amp;config!$B$19&amp;" DAYS LEFT ON THE DROP DAY: reject these units; ","")&amp;IF(AND($E258="delivered",COUNTIF(inventory!$R$2:$R$801,$R258)&gt;1),"two delivered rows for this office: use one; ","")&amp;IF(AND($E258="delivered",$J258=""),"who counted?; ",""))</f>
        <v/>
      </c>
      <c r="R258" s="25">
        <f>IF($C258="","",$C258&amp;"|"&amp;$D258&amp;"|"&amp;$E258)</f>
        <v/>
      </c>
    </row>
    <row r="259">
      <c r="A259" s="9" t="n"/>
      <c r="B259" s="33" t="n"/>
      <c r="I259" s="9" t="n"/>
      <c r="L259" s="26">
        <f>IF($C259="","",IFERROR(IF(INDEX(campaigns!$BG$2:$BG$51,MATCH($C259,campaigns!$A$2:$A$51,0))="","",INDEX(campaigns!$BG$2:$BG$51,MATCH($C259,campaigns!$A$2:$A$51,0))),""))</f>
        <v/>
      </c>
      <c r="M259" s="25">
        <f>IF($C259="","",IF(OR($E259="received"),N($G259),IF(OR($E259="rejected",$E259="delivered",$E259="topped_up"),-N($G259),IF(AND(OR($E259="returned_to_brand",$E259="given_to_roster_office",$E259="released_to_office",$E259="disposed"),IF($F259="","reserve",$F259)="reserve"),-N($G259),IF(AND($E259="correction",IF($F259="","reserve",$F259)="reserve"),N($G259),0)))))</f>
        <v/>
      </c>
      <c r="N259" s="25">
        <f>IF($C259="","",IF($E259="rejected",N($G259),IF(AND(OR($E259="returned_to_brand",$E259="given_to_roster_office",$E259="released_to_office",$E259="disposed"),IF($F259="","reserve",$F259)="rejected"),-N($G259),IF(AND($E259="correction",IF($F259="","reserve",$F259)="rejected"),N($G259),0))))</f>
        <v/>
      </c>
      <c r="O259" s="25">
        <f>IF($C259="","",IF($E259="collected",N($G259),IF(AND(OR($E259="returned_to_brand",$E259="given_to_roster_office",$E259="released_to_office",$E259="disposed"),IF($F259="","reserve",$F259)="leftover"),-N($G259),IF(AND($E259="correction",IF($F259="","reserve",$F259)="leftover"),N($G259),0))))</f>
        <v/>
      </c>
      <c r="P259" s="25">
        <f>IF(OR($E259&lt;&gt;"received",$I259="",$L259=""),"",IF($I259&gt;=$L259+config!$B$19,"Y","N"))</f>
        <v/>
      </c>
      <c r="Q259" s="25">
        <f>IF($C259="","",IF(COUNTIF(campaigns!$A$2:$A$51,$C259)=0,"campaign_id not on campaigns; ",IF(AND($D259&lt;&gt;"",COUNTIFS(approvals!$A$2:$A$251,$C259,approvals!$B$2:$B$251,$D259)=0),"office not on this campaign (approvals tab); ",""))&amp;IF(AND(OR($E259="delivered",$E259="topped_up",$E259="collected"),$D259=""),"office needed; ","")&amp;IF(AND($E259&lt;&gt;"correction",N($G259)&lt;=0),"qty must be above 0; ","")&amp;IF(AND($E259="received",OR($I259="",$H259="")),"log lot and best-by; ","")&amp;IF(AND($P259="N",SUMIFS(inventory!$G$2:$G$801,inventory!$C$2:$C$801,$C259,inventory!$H$2:$H$801,$H259,inventory!$E$2:$E$801,"rejected")&lt;N($G259)),"UNDER "&amp;config!$B$19&amp;" DAYS LEFT ON THE DROP DAY: reject these units; ","")&amp;IF(AND($E259="delivered",COUNTIF(inventory!$R$2:$R$801,$R259)&gt;1),"two delivered rows for this office: use one; ","")&amp;IF(AND($E259="delivered",$J259=""),"who counted?; ",""))</f>
        <v/>
      </c>
      <c r="R259" s="25">
        <f>IF($C259="","",$C259&amp;"|"&amp;$D259&amp;"|"&amp;$E259)</f>
        <v/>
      </c>
    </row>
    <row r="260">
      <c r="A260" s="9" t="n"/>
      <c r="B260" s="33" t="n"/>
      <c r="I260" s="9" t="n"/>
      <c r="L260" s="26">
        <f>IF($C260="","",IFERROR(IF(INDEX(campaigns!$BG$2:$BG$51,MATCH($C260,campaigns!$A$2:$A$51,0))="","",INDEX(campaigns!$BG$2:$BG$51,MATCH($C260,campaigns!$A$2:$A$51,0))),""))</f>
        <v/>
      </c>
      <c r="M260" s="25">
        <f>IF($C260="","",IF(OR($E260="received"),N($G260),IF(OR($E260="rejected",$E260="delivered",$E260="topped_up"),-N($G260),IF(AND(OR($E260="returned_to_brand",$E260="given_to_roster_office",$E260="released_to_office",$E260="disposed"),IF($F260="","reserve",$F260)="reserve"),-N($G260),IF(AND($E260="correction",IF($F260="","reserve",$F260)="reserve"),N($G260),0)))))</f>
        <v/>
      </c>
      <c r="N260" s="25">
        <f>IF($C260="","",IF($E260="rejected",N($G260),IF(AND(OR($E260="returned_to_brand",$E260="given_to_roster_office",$E260="released_to_office",$E260="disposed"),IF($F260="","reserve",$F260)="rejected"),-N($G260),IF(AND($E260="correction",IF($F260="","reserve",$F260)="rejected"),N($G260),0))))</f>
        <v/>
      </c>
      <c r="O260" s="25">
        <f>IF($C260="","",IF($E260="collected",N($G260),IF(AND(OR($E260="returned_to_brand",$E260="given_to_roster_office",$E260="released_to_office",$E260="disposed"),IF($F260="","reserve",$F260)="leftover"),-N($G260),IF(AND($E260="correction",IF($F260="","reserve",$F260)="leftover"),N($G260),0))))</f>
        <v/>
      </c>
      <c r="P260" s="25">
        <f>IF(OR($E260&lt;&gt;"received",$I260="",$L260=""),"",IF($I260&gt;=$L260+config!$B$19,"Y","N"))</f>
        <v/>
      </c>
      <c r="Q260" s="25">
        <f>IF($C260="","",IF(COUNTIF(campaigns!$A$2:$A$51,$C260)=0,"campaign_id not on campaigns; ",IF(AND($D260&lt;&gt;"",COUNTIFS(approvals!$A$2:$A$251,$C260,approvals!$B$2:$B$251,$D260)=0),"office not on this campaign (approvals tab); ",""))&amp;IF(AND(OR($E260="delivered",$E260="topped_up",$E260="collected"),$D260=""),"office needed; ","")&amp;IF(AND($E260&lt;&gt;"correction",N($G260)&lt;=0),"qty must be above 0; ","")&amp;IF(AND($E260="received",OR($I260="",$H260="")),"log lot and best-by; ","")&amp;IF(AND($P260="N",SUMIFS(inventory!$G$2:$G$801,inventory!$C$2:$C$801,$C260,inventory!$H$2:$H$801,$H260,inventory!$E$2:$E$801,"rejected")&lt;N($G260)),"UNDER "&amp;config!$B$19&amp;" DAYS LEFT ON THE DROP DAY: reject these units; ","")&amp;IF(AND($E260="delivered",COUNTIF(inventory!$R$2:$R$801,$R260)&gt;1),"two delivered rows for this office: use one; ","")&amp;IF(AND($E260="delivered",$J260=""),"who counted?; ",""))</f>
        <v/>
      </c>
      <c r="R260" s="25">
        <f>IF($C260="","",$C260&amp;"|"&amp;$D260&amp;"|"&amp;$E260)</f>
        <v/>
      </c>
    </row>
    <row r="261">
      <c r="A261" s="9" t="n"/>
      <c r="B261" s="33" t="n"/>
      <c r="I261" s="9" t="n"/>
      <c r="L261" s="26">
        <f>IF($C261="","",IFERROR(IF(INDEX(campaigns!$BG$2:$BG$51,MATCH($C261,campaigns!$A$2:$A$51,0))="","",INDEX(campaigns!$BG$2:$BG$51,MATCH($C261,campaigns!$A$2:$A$51,0))),""))</f>
        <v/>
      </c>
      <c r="M261" s="25">
        <f>IF($C261="","",IF(OR($E261="received"),N($G261),IF(OR($E261="rejected",$E261="delivered",$E261="topped_up"),-N($G261),IF(AND(OR($E261="returned_to_brand",$E261="given_to_roster_office",$E261="released_to_office",$E261="disposed"),IF($F261="","reserve",$F261)="reserve"),-N($G261),IF(AND($E261="correction",IF($F261="","reserve",$F261)="reserve"),N($G261),0)))))</f>
        <v/>
      </c>
      <c r="N261" s="25">
        <f>IF($C261="","",IF($E261="rejected",N($G261),IF(AND(OR($E261="returned_to_brand",$E261="given_to_roster_office",$E261="released_to_office",$E261="disposed"),IF($F261="","reserve",$F261)="rejected"),-N($G261),IF(AND($E261="correction",IF($F261="","reserve",$F261)="rejected"),N($G261),0))))</f>
        <v/>
      </c>
      <c r="O261" s="25">
        <f>IF($C261="","",IF($E261="collected",N($G261),IF(AND(OR($E261="returned_to_brand",$E261="given_to_roster_office",$E261="released_to_office",$E261="disposed"),IF($F261="","reserve",$F261)="leftover"),-N($G261),IF(AND($E261="correction",IF($F261="","reserve",$F261)="leftover"),N($G261),0))))</f>
        <v/>
      </c>
      <c r="P261" s="25">
        <f>IF(OR($E261&lt;&gt;"received",$I261="",$L261=""),"",IF($I261&gt;=$L261+config!$B$19,"Y","N"))</f>
        <v/>
      </c>
      <c r="Q261" s="25">
        <f>IF($C261="","",IF(COUNTIF(campaigns!$A$2:$A$51,$C261)=0,"campaign_id not on campaigns; ",IF(AND($D261&lt;&gt;"",COUNTIFS(approvals!$A$2:$A$251,$C261,approvals!$B$2:$B$251,$D261)=0),"office not on this campaign (approvals tab); ",""))&amp;IF(AND(OR($E261="delivered",$E261="topped_up",$E261="collected"),$D261=""),"office needed; ","")&amp;IF(AND($E261&lt;&gt;"correction",N($G261)&lt;=0),"qty must be above 0; ","")&amp;IF(AND($E261="received",OR($I261="",$H261="")),"log lot and best-by; ","")&amp;IF(AND($P261="N",SUMIFS(inventory!$G$2:$G$801,inventory!$C$2:$C$801,$C261,inventory!$H$2:$H$801,$H261,inventory!$E$2:$E$801,"rejected")&lt;N($G261)),"UNDER "&amp;config!$B$19&amp;" DAYS LEFT ON THE DROP DAY: reject these units; ","")&amp;IF(AND($E261="delivered",COUNTIF(inventory!$R$2:$R$801,$R261)&gt;1),"two delivered rows for this office: use one; ","")&amp;IF(AND($E261="delivered",$J261=""),"who counted?; ",""))</f>
        <v/>
      </c>
      <c r="R261" s="25">
        <f>IF($C261="","",$C261&amp;"|"&amp;$D261&amp;"|"&amp;$E261)</f>
        <v/>
      </c>
    </row>
    <row r="262">
      <c r="A262" s="9" t="n"/>
      <c r="B262" s="33" t="n"/>
      <c r="I262" s="9" t="n"/>
      <c r="L262" s="26">
        <f>IF($C262="","",IFERROR(IF(INDEX(campaigns!$BG$2:$BG$51,MATCH($C262,campaigns!$A$2:$A$51,0))="","",INDEX(campaigns!$BG$2:$BG$51,MATCH($C262,campaigns!$A$2:$A$51,0))),""))</f>
        <v/>
      </c>
      <c r="M262" s="25">
        <f>IF($C262="","",IF(OR($E262="received"),N($G262),IF(OR($E262="rejected",$E262="delivered",$E262="topped_up"),-N($G262),IF(AND(OR($E262="returned_to_brand",$E262="given_to_roster_office",$E262="released_to_office",$E262="disposed"),IF($F262="","reserve",$F262)="reserve"),-N($G262),IF(AND($E262="correction",IF($F262="","reserve",$F262)="reserve"),N($G262),0)))))</f>
        <v/>
      </c>
      <c r="N262" s="25">
        <f>IF($C262="","",IF($E262="rejected",N($G262),IF(AND(OR($E262="returned_to_brand",$E262="given_to_roster_office",$E262="released_to_office",$E262="disposed"),IF($F262="","reserve",$F262)="rejected"),-N($G262),IF(AND($E262="correction",IF($F262="","reserve",$F262)="rejected"),N($G262),0))))</f>
        <v/>
      </c>
      <c r="O262" s="25">
        <f>IF($C262="","",IF($E262="collected",N($G262),IF(AND(OR($E262="returned_to_brand",$E262="given_to_roster_office",$E262="released_to_office",$E262="disposed"),IF($F262="","reserve",$F262)="leftover"),-N($G262),IF(AND($E262="correction",IF($F262="","reserve",$F262)="leftover"),N($G262),0))))</f>
        <v/>
      </c>
      <c r="P262" s="25">
        <f>IF(OR($E262&lt;&gt;"received",$I262="",$L262=""),"",IF($I262&gt;=$L262+config!$B$19,"Y","N"))</f>
        <v/>
      </c>
      <c r="Q262" s="25">
        <f>IF($C262="","",IF(COUNTIF(campaigns!$A$2:$A$51,$C262)=0,"campaign_id not on campaigns; ",IF(AND($D262&lt;&gt;"",COUNTIFS(approvals!$A$2:$A$251,$C262,approvals!$B$2:$B$251,$D262)=0),"office not on this campaign (approvals tab); ",""))&amp;IF(AND(OR($E262="delivered",$E262="topped_up",$E262="collected"),$D262=""),"office needed; ","")&amp;IF(AND($E262&lt;&gt;"correction",N($G262)&lt;=0),"qty must be above 0; ","")&amp;IF(AND($E262="received",OR($I262="",$H262="")),"log lot and best-by; ","")&amp;IF(AND($P262="N",SUMIFS(inventory!$G$2:$G$801,inventory!$C$2:$C$801,$C262,inventory!$H$2:$H$801,$H262,inventory!$E$2:$E$801,"rejected")&lt;N($G262)),"UNDER "&amp;config!$B$19&amp;" DAYS LEFT ON THE DROP DAY: reject these units; ","")&amp;IF(AND($E262="delivered",COUNTIF(inventory!$R$2:$R$801,$R262)&gt;1),"two delivered rows for this office: use one; ","")&amp;IF(AND($E262="delivered",$J262=""),"who counted?; ",""))</f>
        <v/>
      </c>
      <c r="R262" s="25">
        <f>IF($C262="","",$C262&amp;"|"&amp;$D262&amp;"|"&amp;$E262)</f>
        <v/>
      </c>
    </row>
    <row r="263">
      <c r="A263" s="9" t="n"/>
      <c r="B263" s="33" t="n"/>
      <c r="I263" s="9" t="n"/>
      <c r="L263" s="26">
        <f>IF($C263="","",IFERROR(IF(INDEX(campaigns!$BG$2:$BG$51,MATCH($C263,campaigns!$A$2:$A$51,0))="","",INDEX(campaigns!$BG$2:$BG$51,MATCH($C263,campaigns!$A$2:$A$51,0))),""))</f>
        <v/>
      </c>
      <c r="M263" s="25">
        <f>IF($C263="","",IF(OR($E263="received"),N($G263),IF(OR($E263="rejected",$E263="delivered",$E263="topped_up"),-N($G263),IF(AND(OR($E263="returned_to_brand",$E263="given_to_roster_office",$E263="released_to_office",$E263="disposed"),IF($F263="","reserve",$F263)="reserve"),-N($G263),IF(AND($E263="correction",IF($F263="","reserve",$F263)="reserve"),N($G263),0)))))</f>
        <v/>
      </c>
      <c r="N263" s="25">
        <f>IF($C263="","",IF($E263="rejected",N($G263),IF(AND(OR($E263="returned_to_brand",$E263="given_to_roster_office",$E263="released_to_office",$E263="disposed"),IF($F263="","reserve",$F263)="rejected"),-N($G263),IF(AND($E263="correction",IF($F263="","reserve",$F263)="rejected"),N($G263),0))))</f>
        <v/>
      </c>
      <c r="O263" s="25">
        <f>IF($C263="","",IF($E263="collected",N($G263),IF(AND(OR($E263="returned_to_brand",$E263="given_to_roster_office",$E263="released_to_office",$E263="disposed"),IF($F263="","reserve",$F263)="leftover"),-N($G263),IF(AND($E263="correction",IF($F263="","reserve",$F263)="leftover"),N($G263),0))))</f>
        <v/>
      </c>
      <c r="P263" s="25">
        <f>IF(OR($E263&lt;&gt;"received",$I263="",$L263=""),"",IF($I263&gt;=$L263+config!$B$19,"Y","N"))</f>
        <v/>
      </c>
      <c r="Q263" s="25">
        <f>IF($C263="","",IF(COUNTIF(campaigns!$A$2:$A$51,$C263)=0,"campaign_id not on campaigns; ",IF(AND($D263&lt;&gt;"",COUNTIFS(approvals!$A$2:$A$251,$C263,approvals!$B$2:$B$251,$D263)=0),"office not on this campaign (approvals tab); ",""))&amp;IF(AND(OR($E263="delivered",$E263="topped_up",$E263="collected"),$D263=""),"office needed; ","")&amp;IF(AND($E263&lt;&gt;"correction",N($G263)&lt;=0),"qty must be above 0; ","")&amp;IF(AND($E263="received",OR($I263="",$H263="")),"log lot and best-by; ","")&amp;IF(AND($P263="N",SUMIFS(inventory!$G$2:$G$801,inventory!$C$2:$C$801,$C263,inventory!$H$2:$H$801,$H263,inventory!$E$2:$E$801,"rejected")&lt;N($G263)),"UNDER "&amp;config!$B$19&amp;" DAYS LEFT ON THE DROP DAY: reject these units; ","")&amp;IF(AND($E263="delivered",COUNTIF(inventory!$R$2:$R$801,$R263)&gt;1),"two delivered rows for this office: use one; ","")&amp;IF(AND($E263="delivered",$J263=""),"who counted?; ",""))</f>
        <v/>
      </c>
      <c r="R263" s="25">
        <f>IF($C263="","",$C263&amp;"|"&amp;$D263&amp;"|"&amp;$E263)</f>
        <v/>
      </c>
    </row>
    <row r="264">
      <c r="A264" s="9" t="n"/>
      <c r="B264" s="33" t="n"/>
      <c r="I264" s="9" t="n"/>
      <c r="L264" s="26">
        <f>IF($C264="","",IFERROR(IF(INDEX(campaigns!$BG$2:$BG$51,MATCH($C264,campaigns!$A$2:$A$51,0))="","",INDEX(campaigns!$BG$2:$BG$51,MATCH($C264,campaigns!$A$2:$A$51,0))),""))</f>
        <v/>
      </c>
      <c r="M264" s="25">
        <f>IF($C264="","",IF(OR($E264="received"),N($G264),IF(OR($E264="rejected",$E264="delivered",$E264="topped_up"),-N($G264),IF(AND(OR($E264="returned_to_brand",$E264="given_to_roster_office",$E264="released_to_office",$E264="disposed"),IF($F264="","reserve",$F264)="reserve"),-N($G264),IF(AND($E264="correction",IF($F264="","reserve",$F264)="reserve"),N($G264),0)))))</f>
        <v/>
      </c>
      <c r="N264" s="25">
        <f>IF($C264="","",IF($E264="rejected",N($G264),IF(AND(OR($E264="returned_to_brand",$E264="given_to_roster_office",$E264="released_to_office",$E264="disposed"),IF($F264="","reserve",$F264)="rejected"),-N($G264),IF(AND($E264="correction",IF($F264="","reserve",$F264)="rejected"),N($G264),0))))</f>
        <v/>
      </c>
      <c r="O264" s="25">
        <f>IF($C264="","",IF($E264="collected",N($G264),IF(AND(OR($E264="returned_to_brand",$E264="given_to_roster_office",$E264="released_to_office",$E264="disposed"),IF($F264="","reserve",$F264)="leftover"),-N($G264),IF(AND($E264="correction",IF($F264="","reserve",$F264)="leftover"),N($G264),0))))</f>
        <v/>
      </c>
      <c r="P264" s="25">
        <f>IF(OR($E264&lt;&gt;"received",$I264="",$L264=""),"",IF($I264&gt;=$L264+config!$B$19,"Y","N"))</f>
        <v/>
      </c>
      <c r="Q264" s="25">
        <f>IF($C264="","",IF(COUNTIF(campaigns!$A$2:$A$51,$C264)=0,"campaign_id not on campaigns; ",IF(AND($D264&lt;&gt;"",COUNTIFS(approvals!$A$2:$A$251,$C264,approvals!$B$2:$B$251,$D264)=0),"office not on this campaign (approvals tab); ",""))&amp;IF(AND(OR($E264="delivered",$E264="topped_up",$E264="collected"),$D264=""),"office needed; ","")&amp;IF(AND($E264&lt;&gt;"correction",N($G264)&lt;=0),"qty must be above 0; ","")&amp;IF(AND($E264="received",OR($I264="",$H264="")),"log lot and best-by; ","")&amp;IF(AND($P264="N",SUMIFS(inventory!$G$2:$G$801,inventory!$C$2:$C$801,$C264,inventory!$H$2:$H$801,$H264,inventory!$E$2:$E$801,"rejected")&lt;N($G264)),"UNDER "&amp;config!$B$19&amp;" DAYS LEFT ON THE DROP DAY: reject these units; ","")&amp;IF(AND($E264="delivered",COUNTIF(inventory!$R$2:$R$801,$R264)&gt;1),"two delivered rows for this office: use one; ","")&amp;IF(AND($E264="delivered",$J264=""),"who counted?; ",""))</f>
        <v/>
      </c>
      <c r="R264" s="25">
        <f>IF($C264="","",$C264&amp;"|"&amp;$D264&amp;"|"&amp;$E264)</f>
        <v/>
      </c>
    </row>
    <row r="265">
      <c r="A265" s="9" t="n"/>
      <c r="B265" s="33" t="n"/>
      <c r="I265" s="9" t="n"/>
      <c r="L265" s="26">
        <f>IF($C265="","",IFERROR(IF(INDEX(campaigns!$BG$2:$BG$51,MATCH($C265,campaigns!$A$2:$A$51,0))="","",INDEX(campaigns!$BG$2:$BG$51,MATCH($C265,campaigns!$A$2:$A$51,0))),""))</f>
        <v/>
      </c>
      <c r="M265" s="25">
        <f>IF($C265="","",IF(OR($E265="received"),N($G265),IF(OR($E265="rejected",$E265="delivered",$E265="topped_up"),-N($G265),IF(AND(OR($E265="returned_to_brand",$E265="given_to_roster_office",$E265="released_to_office",$E265="disposed"),IF($F265="","reserve",$F265)="reserve"),-N($G265),IF(AND($E265="correction",IF($F265="","reserve",$F265)="reserve"),N($G265),0)))))</f>
        <v/>
      </c>
      <c r="N265" s="25">
        <f>IF($C265="","",IF($E265="rejected",N($G265),IF(AND(OR($E265="returned_to_brand",$E265="given_to_roster_office",$E265="released_to_office",$E265="disposed"),IF($F265="","reserve",$F265)="rejected"),-N($G265),IF(AND($E265="correction",IF($F265="","reserve",$F265)="rejected"),N($G265),0))))</f>
        <v/>
      </c>
      <c r="O265" s="25">
        <f>IF($C265="","",IF($E265="collected",N($G265),IF(AND(OR($E265="returned_to_brand",$E265="given_to_roster_office",$E265="released_to_office",$E265="disposed"),IF($F265="","reserve",$F265)="leftover"),-N($G265),IF(AND($E265="correction",IF($F265="","reserve",$F265)="leftover"),N($G265),0))))</f>
        <v/>
      </c>
      <c r="P265" s="25">
        <f>IF(OR($E265&lt;&gt;"received",$I265="",$L265=""),"",IF($I265&gt;=$L265+config!$B$19,"Y","N"))</f>
        <v/>
      </c>
      <c r="Q265" s="25">
        <f>IF($C265="","",IF(COUNTIF(campaigns!$A$2:$A$51,$C265)=0,"campaign_id not on campaigns; ",IF(AND($D265&lt;&gt;"",COUNTIFS(approvals!$A$2:$A$251,$C265,approvals!$B$2:$B$251,$D265)=0),"office not on this campaign (approvals tab); ",""))&amp;IF(AND(OR($E265="delivered",$E265="topped_up",$E265="collected"),$D265=""),"office needed; ","")&amp;IF(AND($E265&lt;&gt;"correction",N($G265)&lt;=0),"qty must be above 0; ","")&amp;IF(AND($E265="received",OR($I265="",$H265="")),"log lot and best-by; ","")&amp;IF(AND($P265="N",SUMIFS(inventory!$G$2:$G$801,inventory!$C$2:$C$801,$C265,inventory!$H$2:$H$801,$H265,inventory!$E$2:$E$801,"rejected")&lt;N($G265)),"UNDER "&amp;config!$B$19&amp;" DAYS LEFT ON THE DROP DAY: reject these units; ","")&amp;IF(AND($E265="delivered",COUNTIF(inventory!$R$2:$R$801,$R265)&gt;1),"two delivered rows for this office: use one; ","")&amp;IF(AND($E265="delivered",$J265=""),"who counted?; ",""))</f>
        <v/>
      </c>
      <c r="R265" s="25">
        <f>IF($C265="","",$C265&amp;"|"&amp;$D265&amp;"|"&amp;$E265)</f>
        <v/>
      </c>
    </row>
    <row r="266">
      <c r="A266" s="9" t="n"/>
      <c r="B266" s="33" t="n"/>
      <c r="I266" s="9" t="n"/>
      <c r="L266" s="26">
        <f>IF($C266="","",IFERROR(IF(INDEX(campaigns!$BG$2:$BG$51,MATCH($C266,campaigns!$A$2:$A$51,0))="","",INDEX(campaigns!$BG$2:$BG$51,MATCH($C266,campaigns!$A$2:$A$51,0))),""))</f>
        <v/>
      </c>
      <c r="M266" s="25">
        <f>IF($C266="","",IF(OR($E266="received"),N($G266),IF(OR($E266="rejected",$E266="delivered",$E266="topped_up"),-N($G266),IF(AND(OR($E266="returned_to_brand",$E266="given_to_roster_office",$E266="released_to_office",$E266="disposed"),IF($F266="","reserve",$F266)="reserve"),-N($G266),IF(AND($E266="correction",IF($F266="","reserve",$F266)="reserve"),N($G266),0)))))</f>
        <v/>
      </c>
      <c r="N266" s="25">
        <f>IF($C266="","",IF($E266="rejected",N($G266),IF(AND(OR($E266="returned_to_brand",$E266="given_to_roster_office",$E266="released_to_office",$E266="disposed"),IF($F266="","reserve",$F266)="rejected"),-N($G266),IF(AND($E266="correction",IF($F266="","reserve",$F266)="rejected"),N($G266),0))))</f>
        <v/>
      </c>
      <c r="O266" s="25">
        <f>IF($C266="","",IF($E266="collected",N($G266),IF(AND(OR($E266="returned_to_brand",$E266="given_to_roster_office",$E266="released_to_office",$E266="disposed"),IF($F266="","reserve",$F266)="leftover"),-N($G266),IF(AND($E266="correction",IF($F266="","reserve",$F266)="leftover"),N($G266),0))))</f>
        <v/>
      </c>
      <c r="P266" s="25">
        <f>IF(OR($E266&lt;&gt;"received",$I266="",$L266=""),"",IF($I266&gt;=$L266+config!$B$19,"Y","N"))</f>
        <v/>
      </c>
      <c r="Q266" s="25">
        <f>IF($C266="","",IF(COUNTIF(campaigns!$A$2:$A$51,$C266)=0,"campaign_id not on campaigns; ",IF(AND($D266&lt;&gt;"",COUNTIFS(approvals!$A$2:$A$251,$C266,approvals!$B$2:$B$251,$D266)=0),"office not on this campaign (approvals tab); ",""))&amp;IF(AND(OR($E266="delivered",$E266="topped_up",$E266="collected"),$D266=""),"office needed; ","")&amp;IF(AND($E266&lt;&gt;"correction",N($G266)&lt;=0),"qty must be above 0; ","")&amp;IF(AND($E266="received",OR($I266="",$H266="")),"log lot and best-by; ","")&amp;IF(AND($P266="N",SUMIFS(inventory!$G$2:$G$801,inventory!$C$2:$C$801,$C266,inventory!$H$2:$H$801,$H266,inventory!$E$2:$E$801,"rejected")&lt;N($G266)),"UNDER "&amp;config!$B$19&amp;" DAYS LEFT ON THE DROP DAY: reject these units; ","")&amp;IF(AND($E266="delivered",COUNTIF(inventory!$R$2:$R$801,$R266)&gt;1),"two delivered rows for this office: use one; ","")&amp;IF(AND($E266="delivered",$J266=""),"who counted?; ",""))</f>
        <v/>
      </c>
      <c r="R266" s="25">
        <f>IF($C266="","",$C266&amp;"|"&amp;$D266&amp;"|"&amp;$E266)</f>
        <v/>
      </c>
    </row>
    <row r="267">
      <c r="A267" s="9" t="n"/>
      <c r="B267" s="33" t="n"/>
      <c r="I267" s="9" t="n"/>
      <c r="L267" s="26">
        <f>IF($C267="","",IFERROR(IF(INDEX(campaigns!$BG$2:$BG$51,MATCH($C267,campaigns!$A$2:$A$51,0))="","",INDEX(campaigns!$BG$2:$BG$51,MATCH($C267,campaigns!$A$2:$A$51,0))),""))</f>
        <v/>
      </c>
      <c r="M267" s="25">
        <f>IF($C267="","",IF(OR($E267="received"),N($G267),IF(OR($E267="rejected",$E267="delivered",$E267="topped_up"),-N($G267),IF(AND(OR($E267="returned_to_brand",$E267="given_to_roster_office",$E267="released_to_office",$E267="disposed"),IF($F267="","reserve",$F267)="reserve"),-N($G267),IF(AND($E267="correction",IF($F267="","reserve",$F267)="reserve"),N($G267),0)))))</f>
        <v/>
      </c>
      <c r="N267" s="25">
        <f>IF($C267="","",IF($E267="rejected",N($G267),IF(AND(OR($E267="returned_to_brand",$E267="given_to_roster_office",$E267="released_to_office",$E267="disposed"),IF($F267="","reserve",$F267)="rejected"),-N($G267),IF(AND($E267="correction",IF($F267="","reserve",$F267)="rejected"),N($G267),0))))</f>
        <v/>
      </c>
      <c r="O267" s="25">
        <f>IF($C267="","",IF($E267="collected",N($G267),IF(AND(OR($E267="returned_to_brand",$E267="given_to_roster_office",$E267="released_to_office",$E267="disposed"),IF($F267="","reserve",$F267)="leftover"),-N($G267),IF(AND($E267="correction",IF($F267="","reserve",$F267)="leftover"),N($G267),0))))</f>
        <v/>
      </c>
      <c r="P267" s="25">
        <f>IF(OR($E267&lt;&gt;"received",$I267="",$L267=""),"",IF($I267&gt;=$L267+config!$B$19,"Y","N"))</f>
        <v/>
      </c>
      <c r="Q267" s="25">
        <f>IF($C267="","",IF(COUNTIF(campaigns!$A$2:$A$51,$C267)=0,"campaign_id not on campaigns; ",IF(AND($D267&lt;&gt;"",COUNTIFS(approvals!$A$2:$A$251,$C267,approvals!$B$2:$B$251,$D267)=0),"office not on this campaign (approvals tab); ",""))&amp;IF(AND(OR($E267="delivered",$E267="topped_up",$E267="collected"),$D267=""),"office needed; ","")&amp;IF(AND($E267&lt;&gt;"correction",N($G267)&lt;=0),"qty must be above 0; ","")&amp;IF(AND($E267="received",OR($I267="",$H267="")),"log lot and best-by; ","")&amp;IF(AND($P267="N",SUMIFS(inventory!$G$2:$G$801,inventory!$C$2:$C$801,$C267,inventory!$H$2:$H$801,$H267,inventory!$E$2:$E$801,"rejected")&lt;N($G267)),"UNDER "&amp;config!$B$19&amp;" DAYS LEFT ON THE DROP DAY: reject these units; ","")&amp;IF(AND($E267="delivered",COUNTIF(inventory!$R$2:$R$801,$R267)&gt;1),"two delivered rows for this office: use one; ","")&amp;IF(AND($E267="delivered",$J267=""),"who counted?; ",""))</f>
        <v/>
      </c>
      <c r="R267" s="25">
        <f>IF($C267="","",$C267&amp;"|"&amp;$D267&amp;"|"&amp;$E267)</f>
        <v/>
      </c>
    </row>
    <row r="268">
      <c r="A268" s="9" t="n"/>
      <c r="B268" s="33" t="n"/>
      <c r="I268" s="9" t="n"/>
      <c r="L268" s="26">
        <f>IF($C268="","",IFERROR(IF(INDEX(campaigns!$BG$2:$BG$51,MATCH($C268,campaigns!$A$2:$A$51,0))="","",INDEX(campaigns!$BG$2:$BG$51,MATCH($C268,campaigns!$A$2:$A$51,0))),""))</f>
        <v/>
      </c>
      <c r="M268" s="25">
        <f>IF($C268="","",IF(OR($E268="received"),N($G268),IF(OR($E268="rejected",$E268="delivered",$E268="topped_up"),-N($G268),IF(AND(OR($E268="returned_to_brand",$E268="given_to_roster_office",$E268="released_to_office",$E268="disposed"),IF($F268="","reserve",$F268)="reserve"),-N($G268),IF(AND($E268="correction",IF($F268="","reserve",$F268)="reserve"),N($G268),0)))))</f>
        <v/>
      </c>
      <c r="N268" s="25">
        <f>IF($C268="","",IF($E268="rejected",N($G268),IF(AND(OR($E268="returned_to_brand",$E268="given_to_roster_office",$E268="released_to_office",$E268="disposed"),IF($F268="","reserve",$F268)="rejected"),-N($G268),IF(AND($E268="correction",IF($F268="","reserve",$F268)="rejected"),N($G268),0))))</f>
        <v/>
      </c>
      <c r="O268" s="25">
        <f>IF($C268="","",IF($E268="collected",N($G268),IF(AND(OR($E268="returned_to_brand",$E268="given_to_roster_office",$E268="released_to_office",$E268="disposed"),IF($F268="","reserve",$F268)="leftover"),-N($G268),IF(AND($E268="correction",IF($F268="","reserve",$F268)="leftover"),N($G268),0))))</f>
        <v/>
      </c>
      <c r="P268" s="25">
        <f>IF(OR($E268&lt;&gt;"received",$I268="",$L268=""),"",IF($I268&gt;=$L268+config!$B$19,"Y","N"))</f>
        <v/>
      </c>
      <c r="Q268" s="25">
        <f>IF($C268="","",IF(COUNTIF(campaigns!$A$2:$A$51,$C268)=0,"campaign_id not on campaigns; ",IF(AND($D268&lt;&gt;"",COUNTIFS(approvals!$A$2:$A$251,$C268,approvals!$B$2:$B$251,$D268)=0),"office not on this campaign (approvals tab); ",""))&amp;IF(AND(OR($E268="delivered",$E268="topped_up",$E268="collected"),$D268=""),"office needed; ","")&amp;IF(AND($E268&lt;&gt;"correction",N($G268)&lt;=0),"qty must be above 0; ","")&amp;IF(AND($E268="received",OR($I268="",$H268="")),"log lot and best-by; ","")&amp;IF(AND($P268="N",SUMIFS(inventory!$G$2:$G$801,inventory!$C$2:$C$801,$C268,inventory!$H$2:$H$801,$H268,inventory!$E$2:$E$801,"rejected")&lt;N($G268)),"UNDER "&amp;config!$B$19&amp;" DAYS LEFT ON THE DROP DAY: reject these units; ","")&amp;IF(AND($E268="delivered",COUNTIF(inventory!$R$2:$R$801,$R268)&gt;1),"two delivered rows for this office: use one; ","")&amp;IF(AND($E268="delivered",$J268=""),"who counted?; ",""))</f>
        <v/>
      </c>
      <c r="R268" s="25">
        <f>IF($C268="","",$C268&amp;"|"&amp;$D268&amp;"|"&amp;$E268)</f>
        <v/>
      </c>
    </row>
    <row r="269">
      <c r="A269" s="9" t="n"/>
      <c r="B269" s="33" t="n"/>
      <c r="I269" s="9" t="n"/>
      <c r="L269" s="26">
        <f>IF($C269="","",IFERROR(IF(INDEX(campaigns!$BG$2:$BG$51,MATCH($C269,campaigns!$A$2:$A$51,0))="","",INDEX(campaigns!$BG$2:$BG$51,MATCH($C269,campaigns!$A$2:$A$51,0))),""))</f>
        <v/>
      </c>
      <c r="M269" s="25">
        <f>IF($C269="","",IF(OR($E269="received"),N($G269),IF(OR($E269="rejected",$E269="delivered",$E269="topped_up"),-N($G269),IF(AND(OR($E269="returned_to_brand",$E269="given_to_roster_office",$E269="released_to_office",$E269="disposed"),IF($F269="","reserve",$F269)="reserve"),-N($G269),IF(AND($E269="correction",IF($F269="","reserve",$F269)="reserve"),N($G269),0)))))</f>
        <v/>
      </c>
      <c r="N269" s="25">
        <f>IF($C269="","",IF($E269="rejected",N($G269),IF(AND(OR($E269="returned_to_brand",$E269="given_to_roster_office",$E269="released_to_office",$E269="disposed"),IF($F269="","reserve",$F269)="rejected"),-N($G269),IF(AND($E269="correction",IF($F269="","reserve",$F269)="rejected"),N($G269),0))))</f>
        <v/>
      </c>
      <c r="O269" s="25">
        <f>IF($C269="","",IF($E269="collected",N($G269),IF(AND(OR($E269="returned_to_brand",$E269="given_to_roster_office",$E269="released_to_office",$E269="disposed"),IF($F269="","reserve",$F269)="leftover"),-N($G269),IF(AND($E269="correction",IF($F269="","reserve",$F269)="leftover"),N($G269),0))))</f>
        <v/>
      </c>
      <c r="P269" s="25">
        <f>IF(OR($E269&lt;&gt;"received",$I269="",$L269=""),"",IF($I269&gt;=$L269+config!$B$19,"Y","N"))</f>
        <v/>
      </c>
      <c r="Q269" s="25">
        <f>IF($C269="","",IF(COUNTIF(campaigns!$A$2:$A$51,$C269)=0,"campaign_id not on campaigns; ",IF(AND($D269&lt;&gt;"",COUNTIFS(approvals!$A$2:$A$251,$C269,approvals!$B$2:$B$251,$D269)=0),"office not on this campaign (approvals tab); ",""))&amp;IF(AND(OR($E269="delivered",$E269="topped_up",$E269="collected"),$D269=""),"office needed; ","")&amp;IF(AND($E269&lt;&gt;"correction",N($G269)&lt;=0),"qty must be above 0; ","")&amp;IF(AND($E269="received",OR($I269="",$H269="")),"log lot and best-by; ","")&amp;IF(AND($P269="N",SUMIFS(inventory!$G$2:$G$801,inventory!$C$2:$C$801,$C269,inventory!$H$2:$H$801,$H269,inventory!$E$2:$E$801,"rejected")&lt;N($G269)),"UNDER "&amp;config!$B$19&amp;" DAYS LEFT ON THE DROP DAY: reject these units; ","")&amp;IF(AND($E269="delivered",COUNTIF(inventory!$R$2:$R$801,$R269)&gt;1),"two delivered rows for this office: use one; ","")&amp;IF(AND($E269="delivered",$J269=""),"who counted?; ",""))</f>
        <v/>
      </c>
      <c r="R269" s="25">
        <f>IF($C269="","",$C269&amp;"|"&amp;$D269&amp;"|"&amp;$E269)</f>
        <v/>
      </c>
    </row>
    <row r="270">
      <c r="A270" s="9" t="n"/>
      <c r="B270" s="33" t="n"/>
      <c r="I270" s="9" t="n"/>
      <c r="L270" s="26">
        <f>IF($C270="","",IFERROR(IF(INDEX(campaigns!$BG$2:$BG$51,MATCH($C270,campaigns!$A$2:$A$51,0))="","",INDEX(campaigns!$BG$2:$BG$51,MATCH($C270,campaigns!$A$2:$A$51,0))),""))</f>
        <v/>
      </c>
      <c r="M270" s="25">
        <f>IF($C270="","",IF(OR($E270="received"),N($G270),IF(OR($E270="rejected",$E270="delivered",$E270="topped_up"),-N($G270),IF(AND(OR($E270="returned_to_brand",$E270="given_to_roster_office",$E270="released_to_office",$E270="disposed"),IF($F270="","reserve",$F270)="reserve"),-N($G270),IF(AND($E270="correction",IF($F270="","reserve",$F270)="reserve"),N($G270),0)))))</f>
        <v/>
      </c>
      <c r="N270" s="25">
        <f>IF($C270="","",IF($E270="rejected",N($G270),IF(AND(OR($E270="returned_to_brand",$E270="given_to_roster_office",$E270="released_to_office",$E270="disposed"),IF($F270="","reserve",$F270)="rejected"),-N($G270),IF(AND($E270="correction",IF($F270="","reserve",$F270)="rejected"),N($G270),0))))</f>
        <v/>
      </c>
      <c r="O270" s="25">
        <f>IF($C270="","",IF($E270="collected",N($G270),IF(AND(OR($E270="returned_to_brand",$E270="given_to_roster_office",$E270="released_to_office",$E270="disposed"),IF($F270="","reserve",$F270)="leftover"),-N($G270),IF(AND($E270="correction",IF($F270="","reserve",$F270)="leftover"),N($G270),0))))</f>
        <v/>
      </c>
      <c r="P270" s="25">
        <f>IF(OR($E270&lt;&gt;"received",$I270="",$L270=""),"",IF($I270&gt;=$L270+config!$B$19,"Y","N"))</f>
        <v/>
      </c>
      <c r="Q270" s="25">
        <f>IF($C270="","",IF(COUNTIF(campaigns!$A$2:$A$51,$C270)=0,"campaign_id not on campaigns; ",IF(AND($D270&lt;&gt;"",COUNTIFS(approvals!$A$2:$A$251,$C270,approvals!$B$2:$B$251,$D270)=0),"office not on this campaign (approvals tab); ",""))&amp;IF(AND(OR($E270="delivered",$E270="topped_up",$E270="collected"),$D270=""),"office needed; ","")&amp;IF(AND($E270&lt;&gt;"correction",N($G270)&lt;=0),"qty must be above 0; ","")&amp;IF(AND($E270="received",OR($I270="",$H270="")),"log lot and best-by; ","")&amp;IF(AND($P270="N",SUMIFS(inventory!$G$2:$G$801,inventory!$C$2:$C$801,$C270,inventory!$H$2:$H$801,$H270,inventory!$E$2:$E$801,"rejected")&lt;N($G270)),"UNDER "&amp;config!$B$19&amp;" DAYS LEFT ON THE DROP DAY: reject these units; ","")&amp;IF(AND($E270="delivered",COUNTIF(inventory!$R$2:$R$801,$R270)&gt;1),"two delivered rows for this office: use one; ","")&amp;IF(AND($E270="delivered",$J270=""),"who counted?; ",""))</f>
        <v/>
      </c>
      <c r="R270" s="25">
        <f>IF($C270="","",$C270&amp;"|"&amp;$D270&amp;"|"&amp;$E270)</f>
        <v/>
      </c>
    </row>
    <row r="271">
      <c r="A271" s="9" t="n"/>
      <c r="B271" s="33" t="n"/>
      <c r="I271" s="9" t="n"/>
      <c r="L271" s="26">
        <f>IF($C271="","",IFERROR(IF(INDEX(campaigns!$BG$2:$BG$51,MATCH($C271,campaigns!$A$2:$A$51,0))="","",INDEX(campaigns!$BG$2:$BG$51,MATCH($C271,campaigns!$A$2:$A$51,0))),""))</f>
        <v/>
      </c>
      <c r="M271" s="25">
        <f>IF($C271="","",IF(OR($E271="received"),N($G271),IF(OR($E271="rejected",$E271="delivered",$E271="topped_up"),-N($G271),IF(AND(OR($E271="returned_to_brand",$E271="given_to_roster_office",$E271="released_to_office",$E271="disposed"),IF($F271="","reserve",$F271)="reserve"),-N($G271),IF(AND($E271="correction",IF($F271="","reserve",$F271)="reserve"),N($G271),0)))))</f>
        <v/>
      </c>
      <c r="N271" s="25">
        <f>IF($C271="","",IF($E271="rejected",N($G271),IF(AND(OR($E271="returned_to_brand",$E271="given_to_roster_office",$E271="released_to_office",$E271="disposed"),IF($F271="","reserve",$F271)="rejected"),-N($G271),IF(AND($E271="correction",IF($F271="","reserve",$F271)="rejected"),N($G271),0))))</f>
        <v/>
      </c>
      <c r="O271" s="25">
        <f>IF($C271="","",IF($E271="collected",N($G271),IF(AND(OR($E271="returned_to_brand",$E271="given_to_roster_office",$E271="released_to_office",$E271="disposed"),IF($F271="","reserve",$F271)="leftover"),-N($G271),IF(AND($E271="correction",IF($F271="","reserve",$F271)="leftover"),N($G271),0))))</f>
        <v/>
      </c>
      <c r="P271" s="25">
        <f>IF(OR($E271&lt;&gt;"received",$I271="",$L271=""),"",IF($I271&gt;=$L271+config!$B$19,"Y","N"))</f>
        <v/>
      </c>
      <c r="Q271" s="25">
        <f>IF($C271="","",IF(COUNTIF(campaigns!$A$2:$A$51,$C271)=0,"campaign_id not on campaigns; ",IF(AND($D271&lt;&gt;"",COUNTIFS(approvals!$A$2:$A$251,$C271,approvals!$B$2:$B$251,$D271)=0),"office not on this campaign (approvals tab); ",""))&amp;IF(AND(OR($E271="delivered",$E271="topped_up",$E271="collected"),$D271=""),"office needed; ","")&amp;IF(AND($E271&lt;&gt;"correction",N($G271)&lt;=0),"qty must be above 0; ","")&amp;IF(AND($E271="received",OR($I271="",$H271="")),"log lot and best-by; ","")&amp;IF(AND($P271="N",SUMIFS(inventory!$G$2:$G$801,inventory!$C$2:$C$801,$C271,inventory!$H$2:$H$801,$H271,inventory!$E$2:$E$801,"rejected")&lt;N($G271)),"UNDER "&amp;config!$B$19&amp;" DAYS LEFT ON THE DROP DAY: reject these units; ","")&amp;IF(AND($E271="delivered",COUNTIF(inventory!$R$2:$R$801,$R271)&gt;1),"two delivered rows for this office: use one; ","")&amp;IF(AND($E271="delivered",$J271=""),"who counted?; ",""))</f>
        <v/>
      </c>
      <c r="R271" s="25">
        <f>IF($C271="","",$C271&amp;"|"&amp;$D271&amp;"|"&amp;$E271)</f>
        <v/>
      </c>
    </row>
    <row r="272">
      <c r="A272" s="9" t="n"/>
      <c r="B272" s="33" t="n"/>
      <c r="I272" s="9" t="n"/>
      <c r="L272" s="26">
        <f>IF($C272="","",IFERROR(IF(INDEX(campaigns!$BG$2:$BG$51,MATCH($C272,campaigns!$A$2:$A$51,0))="","",INDEX(campaigns!$BG$2:$BG$51,MATCH($C272,campaigns!$A$2:$A$51,0))),""))</f>
        <v/>
      </c>
      <c r="M272" s="25">
        <f>IF($C272="","",IF(OR($E272="received"),N($G272),IF(OR($E272="rejected",$E272="delivered",$E272="topped_up"),-N($G272),IF(AND(OR($E272="returned_to_brand",$E272="given_to_roster_office",$E272="released_to_office",$E272="disposed"),IF($F272="","reserve",$F272)="reserve"),-N($G272),IF(AND($E272="correction",IF($F272="","reserve",$F272)="reserve"),N($G272),0)))))</f>
        <v/>
      </c>
      <c r="N272" s="25">
        <f>IF($C272="","",IF($E272="rejected",N($G272),IF(AND(OR($E272="returned_to_brand",$E272="given_to_roster_office",$E272="released_to_office",$E272="disposed"),IF($F272="","reserve",$F272)="rejected"),-N($G272),IF(AND($E272="correction",IF($F272="","reserve",$F272)="rejected"),N($G272),0))))</f>
        <v/>
      </c>
      <c r="O272" s="25">
        <f>IF($C272="","",IF($E272="collected",N($G272),IF(AND(OR($E272="returned_to_brand",$E272="given_to_roster_office",$E272="released_to_office",$E272="disposed"),IF($F272="","reserve",$F272)="leftover"),-N($G272),IF(AND($E272="correction",IF($F272="","reserve",$F272)="leftover"),N($G272),0))))</f>
        <v/>
      </c>
      <c r="P272" s="25">
        <f>IF(OR($E272&lt;&gt;"received",$I272="",$L272=""),"",IF($I272&gt;=$L272+config!$B$19,"Y","N"))</f>
        <v/>
      </c>
      <c r="Q272" s="25">
        <f>IF($C272="","",IF(COUNTIF(campaigns!$A$2:$A$51,$C272)=0,"campaign_id not on campaigns; ",IF(AND($D272&lt;&gt;"",COUNTIFS(approvals!$A$2:$A$251,$C272,approvals!$B$2:$B$251,$D272)=0),"office not on this campaign (approvals tab); ",""))&amp;IF(AND(OR($E272="delivered",$E272="topped_up",$E272="collected"),$D272=""),"office needed; ","")&amp;IF(AND($E272&lt;&gt;"correction",N($G272)&lt;=0),"qty must be above 0; ","")&amp;IF(AND($E272="received",OR($I272="",$H272="")),"log lot and best-by; ","")&amp;IF(AND($P272="N",SUMIFS(inventory!$G$2:$G$801,inventory!$C$2:$C$801,$C272,inventory!$H$2:$H$801,$H272,inventory!$E$2:$E$801,"rejected")&lt;N($G272)),"UNDER "&amp;config!$B$19&amp;" DAYS LEFT ON THE DROP DAY: reject these units; ","")&amp;IF(AND($E272="delivered",COUNTIF(inventory!$R$2:$R$801,$R272)&gt;1),"two delivered rows for this office: use one; ","")&amp;IF(AND($E272="delivered",$J272=""),"who counted?; ",""))</f>
        <v/>
      </c>
      <c r="R272" s="25">
        <f>IF($C272="","",$C272&amp;"|"&amp;$D272&amp;"|"&amp;$E272)</f>
        <v/>
      </c>
    </row>
    <row r="273">
      <c r="A273" s="9" t="n"/>
      <c r="B273" s="33" t="n"/>
      <c r="I273" s="9" t="n"/>
      <c r="L273" s="26">
        <f>IF($C273="","",IFERROR(IF(INDEX(campaigns!$BG$2:$BG$51,MATCH($C273,campaigns!$A$2:$A$51,0))="","",INDEX(campaigns!$BG$2:$BG$51,MATCH($C273,campaigns!$A$2:$A$51,0))),""))</f>
        <v/>
      </c>
      <c r="M273" s="25">
        <f>IF($C273="","",IF(OR($E273="received"),N($G273),IF(OR($E273="rejected",$E273="delivered",$E273="topped_up"),-N($G273),IF(AND(OR($E273="returned_to_brand",$E273="given_to_roster_office",$E273="released_to_office",$E273="disposed"),IF($F273="","reserve",$F273)="reserve"),-N($G273),IF(AND($E273="correction",IF($F273="","reserve",$F273)="reserve"),N($G273),0)))))</f>
        <v/>
      </c>
      <c r="N273" s="25">
        <f>IF($C273="","",IF($E273="rejected",N($G273),IF(AND(OR($E273="returned_to_brand",$E273="given_to_roster_office",$E273="released_to_office",$E273="disposed"),IF($F273="","reserve",$F273)="rejected"),-N($G273),IF(AND($E273="correction",IF($F273="","reserve",$F273)="rejected"),N($G273),0))))</f>
        <v/>
      </c>
      <c r="O273" s="25">
        <f>IF($C273="","",IF($E273="collected",N($G273),IF(AND(OR($E273="returned_to_brand",$E273="given_to_roster_office",$E273="released_to_office",$E273="disposed"),IF($F273="","reserve",$F273)="leftover"),-N($G273),IF(AND($E273="correction",IF($F273="","reserve",$F273)="leftover"),N($G273),0))))</f>
        <v/>
      </c>
      <c r="P273" s="25">
        <f>IF(OR($E273&lt;&gt;"received",$I273="",$L273=""),"",IF($I273&gt;=$L273+config!$B$19,"Y","N"))</f>
        <v/>
      </c>
      <c r="Q273" s="25">
        <f>IF($C273="","",IF(COUNTIF(campaigns!$A$2:$A$51,$C273)=0,"campaign_id not on campaigns; ",IF(AND($D273&lt;&gt;"",COUNTIFS(approvals!$A$2:$A$251,$C273,approvals!$B$2:$B$251,$D273)=0),"office not on this campaign (approvals tab); ",""))&amp;IF(AND(OR($E273="delivered",$E273="topped_up",$E273="collected"),$D273=""),"office needed; ","")&amp;IF(AND($E273&lt;&gt;"correction",N($G273)&lt;=0),"qty must be above 0; ","")&amp;IF(AND($E273="received",OR($I273="",$H273="")),"log lot and best-by; ","")&amp;IF(AND($P273="N",SUMIFS(inventory!$G$2:$G$801,inventory!$C$2:$C$801,$C273,inventory!$H$2:$H$801,$H273,inventory!$E$2:$E$801,"rejected")&lt;N($G273)),"UNDER "&amp;config!$B$19&amp;" DAYS LEFT ON THE DROP DAY: reject these units; ","")&amp;IF(AND($E273="delivered",COUNTIF(inventory!$R$2:$R$801,$R273)&gt;1),"two delivered rows for this office: use one; ","")&amp;IF(AND($E273="delivered",$J273=""),"who counted?; ",""))</f>
        <v/>
      </c>
      <c r="R273" s="25">
        <f>IF($C273="","",$C273&amp;"|"&amp;$D273&amp;"|"&amp;$E273)</f>
        <v/>
      </c>
    </row>
    <row r="274">
      <c r="A274" s="9" t="n"/>
      <c r="B274" s="33" t="n"/>
      <c r="I274" s="9" t="n"/>
      <c r="L274" s="26">
        <f>IF($C274="","",IFERROR(IF(INDEX(campaigns!$BG$2:$BG$51,MATCH($C274,campaigns!$A$2:$A$51,0))="","",INDEX(campaigns!$BG$2:$BG$51,MATCH($C274,campaigns!$A$2:$A$51,0))),""))</f>
        <v/>
      </c>
      <c r="M274" s="25">
        <f>IF($C274="","",IF(OR($E274="received"),N($G274),IF(OR($E274="rejected",$E274="delivered",$E274="topped_up"),-N($G274),IF(AND(OR($E274="returned_to_brand",$E274="given_to_roster_office",$E274="released_to_office",$E274="disposed"),IF($F274="","reserve",$F274)="reserve"),-N($G274),IF(AND($E274="correction",IF($F274="","reserve",$F274)="reserve"),N($G274),0)))))</f>
        <v/>
      </c>
      <c r="N274" s="25">
        <f>IF($C274="","",IF($E274="rejected",N($G274),IF(AND(OR($E274="returned_to_brand",$E274="given_to_roster_office",$E274="released_to_office",$E274="disposed"),IF($F274="","reserve",$F274)="rejected"),-N($G274),IF(AND($E274="correction",IF($F274="","reserve",$F274)="rejected"),N($G274),0))))</f>
        <v/>
      </c>
      <c r="O274" s="25">
        <f>IF($C274="","",IF($E274="collected",N($G274),IF(AND(OR($E274="returned_to_brand",$E274="given_to_roster_office",$E274="released_to_office",$E274="disposed"),IF($F274="","reserve",$F274)="leftover"),-N($G274),IF(AND($E274="correction",IF($F274="","reserve",$F274)="leftover"),N($G274),0))))</f>
        <v/>
      </c>
      <c r="P274" s="25">
        <f>IF(OR($E274&lt;&gt;"received",$I274="",$L274=""),"",IF($I274&gt;=$L274+config!$B$19,"Y","N"))</f>
        <v/>
      </c>
      <c r="Q274" s="25">
        <f>IF($C274="","",IF(COUNTIF(campaigns!$A$2:$A$51,$C274)=0,"campaign_id not on campaigns; ",IF(AND($D274&lt;&gt;"",COUNTIFS(approvals!$A$2:$A$251,$C274,approvals!$B$2:$B$251,$D274)=0),"office not on this campaign (approvals tab); ",""))&amp;IF(AND(OR($E274="delivered",$E274="topped_up",$E274="collected"),$D274=""),"office needed; ","")&amp;IF(AND($E274&lt;&gt;"correction",N($G274)&lt;=0),"qty must be above 0; ","")&amp;IF(AND($E274="received",OR($I274="",$H274="")),"log lot and best-by; ","")&amp;IF(AND($P274="N",SUMIFS(inventory!$G$2:$G$801,inventory!$C$2:$C$801,$C274,inventory!$H$2:$H$801,$H274,inventory!$E$2:$E$801,"rejected")&lt;N($G274)),"UNDER "&amp;config!$B$19&amp;" DAYS LEFT ON THE DROP DAY: reject these units; ","")&amp;IF(AND($E274="delivered",COUNTIF(inventory!$R$2:$R$801,$R274)&gt;1),"two delivered rows for this office: use one; ","")&amp;IF(AND($E274="delivered",$J274=""),"who counted?; ",""))</f>
        <v/>
      </c>
      <c r="R274" s="25">
        <f>IF($C274="","",$C274&amp;"|"&amp;$D274&amp;"|"&amp;$E274)</f>
        <v/>
      </c>
    </row>
    <row r="275">
      <c r="A275" s="9" t="n"/>
      <c r="B275" s="33" t="n"/>
      <c r="I275" s="9" t="n"/>
      <c r="L275" s="26">
        <f>IF($C275="","",IFERROR(IF(INDEX(campaigns!$BG$2:$BG$51,MATCH($C275,campaigns!$A$2:$A$51,0))="","",INDEX(campaigns!$BG$2:$BG$51,MATCH($C275,campaigns!$A$2:$A$51,0))),""))</f>
        <v/>
      </c>
      <c r="M275" s="25">
        <f>IF($C275="","",IF(OR($E275="received"),N($G275),IF(OR($E275="rejected",$E275="delivered",$E275="topped_up"),-N($G275),IF(AND(OR($E275="returned_to_brand",$E275="given_to_roster_office",$E275="released_to_office",$E275="disposed"),IF($F275="","reserve",$F275)="reserve"),-N($G275),IF(AND($E275="correction",IF($F275="","reserve",$F275)="reserve"),N($G275),0)))))</f>
        <v/>
      </c>
      <c r="N275" s="25">
        <f>IF($C275="","",IF($E275="rejected",N($G275),IF(AND(OR($E275="returned_to_brand",$E275="given_to_roster_office",$E275="released_to_office",$E275="disposed"),IF($F275="","reserve",$F275)="rejected"),-N($G275),IF(AND($E275="correction",IF($F275="","reserve",$F275)="rejected"),N($G275),0))))</f>
        <v/>
      </c>
      <c r="O275" s="25">
        <f>IF($C275="","",IF($E275="collected",N($G275),IF(AND(OR($E275="returned_to_brand",$E275="given_to_roster_office",$E275="released_to_office",$E275="disposed"),IF($F275="","reserve",$F275)="leftover"),-N($G275),IF(AND($E275="correction",IF($F275="","reserve",$F275)="leftover"),N($G275),0))))</f>
        <v/>
      </c>
      <c r="P275" s="25">
        <f>IF(OR($E275&lt;&gt;"received",$I275="",$L275=""),"",IF($I275&gt;=$L275+config!$B$19,"Y","N"))</f>
        <v/>
      </c>
      <c r="Q275" s="25">
        <f>IF($C275="","",IF(COUNTIF(campaigns!$A$2:$A$51,$C275)=0,"campaign_id not on campaigns; ",IF(AND($D275&lt;&gt;"",COUNTIFS(approvals!$A$2:$A$251,$C275,approvals!$B$2:$B$251,$D275)=0),"office not on this campaign (approvals tab); ",""))&amp;IF(AND(OR($E275="delivered",$E275="topped_up",$E275="collected"),$D275=""),"office needed; ","")&amp;IF(AND($E275&lt;&gt;"correction",N($G275)&lt;=0),"qty must be above 0; ","")&amp;IF(AND($E275="received",OR($I275="",$H275="")),"log lot and best-by; ","")&amp;IF(AND($P275="N",SUMIFS(inventory!$G$2:$G$801,inventory!$C$2:$C$801,$C275,inventory!$H$2:$H$801,$H275,inventory!$E$2:$E$801,"rejected")&lt;N($G275)),"UNDER "&amp;config!$B$19&amp;" DAYS LEFT ON THE DROP DAY: reject these units; ","")&amp;IF(AND($E275="delivered",COUNTIF(inventory!$R$2:$R$801,$R275)&gt;1),"two delivered rows for this office: use one; ","")&amp;IF(AND($E275="delivered",$J275=""),"who counted?; ",""))</f>
        <v/>
      </c>
      <c r="R275" s="25">
        <f>IF($C275="","",$C275&amp;"|"&amp;$D275&amp;"|"&amp;$E275)</f>
        <v/>
      </c>
    </row>
    <row r="276">
      <c r="A276" s="9" t="n"/>
      <c r="B276" s="33" t="n"/>
      <c r="I276" s="9" t="n"/>
      <c r="L276" s="26">
        <f>IF($C276="","",IFERROR(IF(INDEX(campaigns!$BG$2:$BG$51,MATCH($C276,campaigns!$A$2:$A$51,0))="","",INDEX(campaigns!$BG$2:$BG$51,MATCH($C276,campaigns!$A$2:$A$51,0))),""))</f>
        <v/>
      </c>
      <c r="M276" s="25">
        <f>IF($C276="","",IF(OR($E276="received"),N($G276),IF(OR($E276="rejected",$E276="delivered",$E276="topped_up"),-N($G276),IF(AND(OR($E276="returned_to_brand",$E276="given_to_roster_office",$E276="released_to_office",$E276="disposed"),IF($F276="","reserve",$F276)="reserve"),-N($G276),IF(AND($E276="correction",IF($F276="","reserve",$F276)="reserve"),N($G276),0)))))</f>
        <v/>
      </c>
      <c r="N276" s="25">
        <f>IF($C276="","",IF($E276="rejected",N($G276),IF(AND(OR($E276="returned_to_brand",$E276="given_to_roster_office",$E276="released_to_office",$E276="disposed"),IF($F276="","reserve",$F276)="rejected"),-N($G276),IF(AND($E276="correction",IF($F276="","reserve",$F276)="rejected"),N($G276),0))))</f>
        <v/>
      </c>
      <c r="O276" s="25">
        <f>IF($C276="","",IF($E276="collected",N($G276),IF(AND(OR($E276="returned_to_brand",$E276="given_to_roster_office",$E276="released_to_office",$E276="disposed"),IF($F276="","reserve",$F276)="leftover"),-N($G276),IF(AND($E276="correction",IF($F276="","reserve",$F276)="leftover"),N($G276),0))))</f>
        <v/>
      </c>
      <c r="P276" s="25">
        <f>IF(OR($E276&lt;&gt;"received",$I276="",$L276=""),"",IF($I276&gt;=$L276+config!$B$19,"Y","N"))</f>
        <v/>
      </c>
      <c r="Q276" s="25">
        <f>IF($C276="","",IF(COUNTIF(campaigns!$A$2:$A$51,$C276)=0,"campaign_id not on campaigns; ",IF(AND($D276&lt;&gt;"",COUNTIFS(approvals!$A$2:$A$251,$C276,approvals!$B$2:$B$251,$D276)=0),"office not on this campaign (approvals tab); ",""))&amp;IF(AND(OR($E276="delivered",$E276="topped_up",$E276="collected"),$D276=""),"office needed; ","")&amp;IF(AND($E276&lt;&gt;"correction",N($G276)&lt;=0),"qty must be above 0; ","")&amp;IF(AND($E276="received",OR($I276="",$H276="")),"log lot and best-by; ","")&amp;IF(AND($P276="N",SUMIFS(inventory!$G$2:$G$801,inventory!$C$2:$C$801,$C276,inventory!$H$2:$H$801,$H276,inventory!$E$2:$E$801,"rejected")&lt;N($G276)),"UNDER "&amp;config!$B$19&amp;" DAYS LEFT ON THE DROP DAY: reject these units; ","")&amp;IF(AND($E276="delivered",COUNTIF(inventory!$R$2:$R$801,$R276)&gt;1),"two delivered rows for this office: use one; ","")&amp;IF(AND($E276="delivered",$J276=""),"who counted?; ",""))</f>
        <v/>
      </c>
      <c r="R276" s="25">
        <f>IF($C276="","",$C276&amp;"|"&amp;$D276&amp;"|"&amp;$E276)</f>
        <v/>
      </c>
    </row>
    <row r="277">
      <c r="A277" s="9" t="n"/>
      <c r="B277" s="33" t="n"/>
      <c r="I277" s="9" t="n"/>
      <c r="L277" s="26">
        <f>IF($C277="","",IFERROR(IF(INDEX(campaigns!$BG$2:$BG$51,MATCH($C277,campaigns!$A$2:$A$51,0))="","",INDEX(campaigns!$BG$2:$BG$51,MATCH($C277,campaigns!$A$2:$A$51,0))),""))</f>
        <v/>
      </c>
      <c r="M277" s="25">
        <f>IF($C277="","",IF(OR($E277="received"),N($G277),IF(OR($E277="rejected",$E277="delivered",$E277="topped_up"),-N($G277),IF(AND(OR($E277="returned_to_brand",$E277="given_to_roster_office",$E277="released_to_office",$E277="disposed"),IF($F277="","reserve",$F277)="reserve"),-N($G277),IF(AND($E277="correction",IF($F277="","reserve",$F277)="reserve"),N($G277),0)))))</f>
        <v/>
      </c>
      <c r="N277" s="25">
        <f>IF($C277="","",IF($E277="rejected",N($G277),IF(AND(OR($E277="returned_to_brand",$E277="given_to_roster_office",$E277="released_to_office",$E277="disposed"),IF($F277="","reserve",$F277)="rejected"),-N($G277),IF(AND($E277="correction",IF($F277="","reserve",$F277)="rejected"),N($G277),0))))</f>
        <v/>
      </c>
      <c r="O277" s="25">
        <f>IF($C277="","",IF($E277="collected",N($G277),IF(AND(OR($E277="returned_to_brand",$E277="given_to_roster_office",$E277="released_to_office",$E277="disposed"),IF($F277="","reserve",$F277)="leftover"),-N($G277),IF(AND($E277="correction",IF($F277="","reserve",$F277)="leftover"),N($G277),0))))</f>
        <v/>
      </c>
      <c r="P277" s="25">
        <f>IF(OR($E277&lt;&gt;"received",$I277="",$L277=""),"",IF($I277&gt;=$L277+config!$B$19,"Y","N"))</f>
        <v/>
      </c>
      <c r="Q277" s="25">
        <f>IF($C277="","",IF(COUNTIF(campaigns!$A$2:$A$51,$C277)=0,"campaign_id not on campaigns; ",IF(AND($D277&lt;&gt;"",COUNTIFS(approvals!$A$2:$A$251,$C277,approvals!$B$2:$B$251,$D277)=0),"office not on this campaign (approvals tab); ",""))&amp;IF(AND(OR($E277="delivered",$E277="topped_up",$E277="collected"),$D277=""),"office needed; ","")&amp;IF(AND($E277&lt;&gt;"correction",N($G277)&lt;=0),"qty must be above 0; ","")&amp;IF(AND($E277="received",OR($I277="",$H277="")),"log lot and best-by; ","")&amp;IF(AND($P277="N",SUMIFS(inventory!$G$2:$G$801,inventory!$C$2:$C$801,$C277,inventory!$H$2:$H$801,$H277,inventory!$E$2:$E$801,"rejected")&lt;N($G277)),"UNDER "&amp;config!$B$19&amp;" DAYS LEFT ON THE DROP DAY: reject these units; ","")&amp;IF(AND($E277="delivered",COUNTIF(inventory!$R$2:$R$801,$R277)&gt;1),"two delivered rows for this office: use one; ","")&amp;IF(AND($E277="delivered",$J277=""),"who counted?; ",""))</f>
        <v/>
      </c>
      <c r="R277" s="25">
        <f>IF($C277="","",$C277&amp;"|"&amp;$D277&amp;"|"&amp;$E277)</f>
        <v/>
      </c>
    </row>
    <row r="278">
      <c r="A278" s="9" t="n"/>
      <c r="B278" s="33" t="n"/>
      <c r="I278" s="9" t="n"/>
      <c r="L278" s="26">
        <f>IF($C278="","",IFERROR(IF(INDEX(campaigns!$BG$2:$BG$51,MATCH($C278,campaigns!$A$2:$A$51,0))="","",INDEX(campaigns!$BG$2:$BG$51,MATCH($C278,campaigns!$A$2:$A$51,0))),""))</f>
        <v/>
      </c>
      <c r="M278" s="25">
        <f>IF($C278="","",IF(OR($E278="received"),N($G278),IF(OR($E278="rejected",$E278="delivered",$E278="topped_up"),-N($G278),IF(AND(OR($E278="returned_to_brand",$E278="given_to_roster_office",$E278="released_to_office",$E278="disposed"),IF($F278="","reserve",$F278)="reserve"),-N($G278),IF(AND($E278="correction",IF($F278="","reserve",$F278)="reserve"),N($G278),0)))))</f>
        <v/>
      </c>
      <c r="N278" s="25">
        <f>IF($C278="","",IF($E278="rejected",N($G278),IF(AND(OR($E278="returned_to_brand",$E278="given_to_roster_office",$E278="released_to_office",$E278="disposed"),IF($F278="","reserve",$F278)="rejected"),-N($G278),IF(AND($E278="correction",IF($F278="","reserve",$F278)="rejected"),N($G278),0))))</f>
        <v/>
      </c>
      <c r="O278" s="25">
        <f>IF($C278="","",IF($E278="collected",N($G278),IF(AND(OR($E278="returned_to_brand",$E278="given_to_roster_office",$E278="released_to_office",$E278="disposed"),IF($F278="","reserve",$F278)="leftover"),-N($G278),IF(AND($E278="correction",IF($F278="","reserve",$F278)="leftover"),N($G278),0))))</f>
        <v/>
      </c>
      <c r="P278" s="25">
        <f>IF(OR($E278&lt;&gt;"received",$I278="",$L278=""),"",IF($I278&gt;=$L278+config!$B$19,"Y","N"))</f>
        <v/>
      </c>
      <c r="Q278" s="25">
        <f>IF($C278="","",IF(COUNTIF(campaigns!$A$2:$A$51,$C278)=0,"campaign_id not on campaigns; ",IF(AND($D278&lt;&gt;"",COUNTIFS(approvals!$A$2:$A$251,$C278,approvals!$B$2:$B$251,$D278)=0),"office not on this campaign (approvals tab); ",""))&amp;IF(AND(OR($E278="delivered",$E278="topped_up",$E278="collected"),$D278=""),"office needed; ","")&amp;IF(AND($E278&lt;&gt;"correction",N($G278)&lt;=0),"qty must be above 0; ","")&amp;IF(AND($E278="received",OR($I278="",$H278="")),"log lot and best-by; ","")&amp;IF(AND($P278="N",SUMIFS(inventory!$G$2:$G$801,inventory!$C$2:$C$801,$C278,inventory!$H$2:$H$801,$H278,inventory!$E$2:$E$801,"rejected")&lt;N($G278)),"UNDER "&amp;config!$B$19&amp;" DAYS LEFT ON THE DROP DAY: reject these units; ","")&amp;IF(AND($E278="delivered",COUNTIF(inventory!$R$2:$R$801,$R278)&gt;1),"two delivered rows for this office: use one; ","")&amp;IF(AND($E278="delivered",$J278=""),"who counted?; ",""))</f>
        <v/>
      </c>
      <c r="R278" s="25">
        <f>IF($C278="","",$C278&amp;"|"&amp;$D278&amp;"|"&amp;$E278)</f>
        <v/>
      </c>
    </row>
    <row r="279">
      <c r="A279" s="9" t="n"/>
      <c r="B279" s="33" t="n"/>
      <c r="I279" s="9" t="n"/>
      <c r="L279" s="26">
        <f>IF($C279="","",IFERROR(IF(INDEX(campaigns!$BG$2:$BG$51,MATCH($C279,campaigns!$A$2:$A$51,0))="","",INDEX(campaigns!$BG$2:$BG$51,MATCH($C279,campaigns!$A$2:$A$51,0))),""))</f>
        <v/>
      </c>
      <c r="M279" s="25">
        <f>IF($C279="","",IF(OR($E279="received"),N($G279),IF(OR($E279="rejected",$E279="delivered",$E279="topped_up"),-N($G279),IF(AND(OR($E279="returned_to_brand",$E279="given_to_roster_office",$E279="released_to_office",$E279="disposed"),IF($F279="","reserve",$F279)="reserve"),-N($G279),IF(AND($E279="correction",IF($F279="","reserve",$F279)="reserve"),N($G279),0)))))</f>
        <v/>
      </c>
      <c r="N279" s="25">
        <f>IF($C279="","",IF($E279="rejected",N($G279),IF(AND(OR($E279="returned_to_brand",$E279="given_to_roster_office",$E279="released_to_office",$E279="disposed"),IF($F279="","reserve",$F279)="rejected"),-N($G279),IF(AND($E279="correction",IF($F279="","reserve",$F279)="rejected"),N($G279),0))))</f>
        <v/>
      </c>
      <c r="O279" s="25">
        <f>IF($C279="","",IF($E279="collected",N($G279),IF(AND(OR($E279="returned_to_brand",$E279="given_to_roster_office",$E279="released_to_office",$E279="disposed"),IF($F279="","reserve",$F279)="leftover"),-N($G279),IF(AND($E279="correction",IF($F279="","reserve",$F279)="leftover"),N($G279),0))))</f>
        <v/>
      </c>
      <c r="P279" s="25">
        <f>IF(OR($E279&lt;&gt;"received",$I279="",$L279=""),"",IF($I279&gt;=$L279+config!$B$19,"Y","N"))</f>
        <v/>
      </c>
      <c r="Q279" s="25">
        <f>IF($C279="","",IF(COUNTIF(campaigns!$A$2:$A$51,$C279)=0,"campaign_id not on campaigns; ",IF(AND($D279&lt;&gt;"",COUNTIFS(approvals!$A$2:$A$251,$C279,approvals!$B$2:$B$251,$D279)=0),"office not on this campaign (approvals tab); ",""))&amp;IF(AND(OR($E279="delivered",$E279="topped_up",$E279="collected"),$D279=""),"office needed; ","")&amp;IF(AND($E279&lt;&gt;"correction",N($G279)&lt;=0),"qty must be above 0; ","")&amp;IF(AND($E279="received",OR($I279="",$H279="")),"log lot and best-by; ","")&amp;IF(AND($P279="N",SUMIFS(inventory!$G$2:$G$801,inventory!$C$2:$C$801,$C279,inventory!$H$2:$H$801,$H279,inventory!$E$2:$E$801,"rejected")&lt;N($G279)),"UNDER "&amp;config!$B$19&amp;" DAYS LEFT ON THE DROP DAY: reject these units; ","")&amp;IF(AND($E279="delivered",COUNTIF(inventory!$R$2:$R$801,$R279)&gt;1),"two delivered rows for this office: use one; ","")&amp;IF(AND($E279="delivered",$J279=""),"who counted?; ",""))</f>
        <v/>
      </c>
      <c r="R279" s="25">
        <f>IF($C279="","",$C279&amp;"|"&amp;$D279&amp;"|"&amp;$E279)</f>
        <v/>
      </c>
    </row>
    <row r="280">
      <c r="A280" s="9" t="n"/>
      <c r="B280" s="33" t="n"/>
      <c r="I280" s="9" t="n"/>
      <c r="L280" s="26">
        <f>IF($C280="","",IFERROR(IF(INDEX(campaigns!$BG$2:$BG$51,MATCH($C280,campaigns!$A$2:$A$51,0))="","",INDEX(campaigns!$BG$2:$BG$51,MATCH($C280,campaigns!$A$2:$A$51,0))),""))</f>
        <v/>
      </c>
      <c r="M280" s="25">
        <f>IF($C280="","",IF(OR($E280="received"),N($G280),IF(OR($E280="rejected",$E280="delivered",$E280="topped_up"),-N($G280),IF(AND(OR($E280="returned_to_brand",$E280="given_to_roster_office",$E280="released_to_office",$E280="disposed"),IF($F280="","reserve",$F280)="reserve"),-N($G280),IF(AND($E280="correction",IF($F280="","reserve",$F280)="reserve"),N($G280),0)))))</f>
        <v/>
      </c>
      <c r="N280" s="25">
        <f>IF($C280="","",IF($E280="rejected",N($G280),IF(AND(OR($E280="returned_to_brand",$E280="given_to_roster_office",$E280="released_to_office",$E280="disposed"),IF($F280="","reserve",$F280)="rejected"),-N($G280),IF(AND($E280="correction",IF($F280="","reserve",$F280)="rejected"),N($G280),0))))</f>
        <v/>
      </c>
      <c r="O280" s="25">
        <f>IF($C280="","",IF($E280="collected",N($G280),IF(AND(OR($E280="returned_to_brand",$E280="given_to_roster_office",$E280="released_to_office",$E280="disposed"),IF($F280="","reserve",$F280)="leftover"),-N($G280),IF(AND($E280="correction",IF($F280="","reserve",$F280)="leftover"),N($G280),0))))</f>
        <v/>
      </c>
      <c r="P280" s="25">
        <f>IF(OR($E280&lt;&gt;"received",$I280="",$L280=""),"",IF($I280&gt;=$L280+config!$B$19,"Y","N"))</f>
        <v/>
      </c>
      <c r="Q280" s="25">
        <f>IF($C280="","",IF(COUNTIF(campaigns!$A$2:$A$51,$C280)=0,"campaign_id not on campaigns; ",IF(AND($D280&lt;&gt;"",COUNTIFS(approvals!$A$2:$A$251,$C280,approvals!$B$2:$B$251,$D280)=0),"office not on this campaign (approvals tab); ",""))&amp;IF(AND(OR($E280="delivered",$E280="topped_up",$E280="collected"),$D280=""),"office needed; ","")&amp;IF(AND($E280&lt;&gt;"correction",N($G280)&lt;=0),"qty must be above 0; ","")&amp;IF(AND($E280="received",OR($I280="",$H280="")),"log lot and best-by; ","")&amp;IF(AND($P280="N",SUMIFS(inventory!$G$2:$G$801,inventory!$C$2:$C$801,$C280,inventory!$H$2:$H$801,$H280,inventory!$E$2:$E$801,"rejected")&lt;N($G280)),"UNDER "&amp;config!$B$19&amp;" DAYS LEFT ON THE DROP DAY: reject these units; ","")&amp;IF(AND($E280="delivered",COUNTIF(inventory!$R$2:$R$801,$R280)&gt;1),"two delivered rows for this office: use one; ","")&amp;IF(AND($E280="delivered",$J280=""),"who counted?; ",""))</f>
        <v/>
      </c>
      <c r="R280" s="25">
        <f>IF($C280="","",$C280&amp;"|"&amp;$D280&amp;"|"&amp;$E280)</f>
        <v/>
      </c>
    </row>
    <row r="281">
      <c r="A281" s="9" t="n"/>
      <c r="B281" s="33" t="n"/>
      <c r="I281" s="9" t="n"/>
      <c r="L281" s="26">
        <f>IF($C281="","",IFERROR(IF(INDEX(campaigns!$BG$2:$BG$51,MATCH($C281,campaigns!$A$2:$A$51,0))="","",INDEX(campaigns!$BG$2:$BG$51,MATCH($C281,campaigns!$A$2:$A$51,0))),""))</f>
        <v/>
      </c>
      <c r="M281" s="25">
        <f>IF($C281="","",IF(OR($E281="received"),N($G281),IF(OR($E281="rejected",$E281="delivered",$E281="topped_up"),-N($G281),IF(AND(OR($E281="returned_to_brand",$E281="given_to_roster_office",$E281="released_to_office",$E281="disposed"),IF($F281="","reserve",$F281)="reserve"),-N($G281),IF(AND($E281="correction",IF($F281="","reserve",$F281)="reserve"),N($G281),0)))))</f>
        <v/>
      </c>
      <c r="N281" s="25">
        <f>IF($C281="","",IF($E281="rejected",N($G281),IF(AND(OR($E281="returned_to_brand",$E281="given_to_roster_office",$E281="released_to_office",$E281="disposed"),IF($F281="","reserve",$F281)="rejected"),-N($G281),IF(AND($E281="correction",IF($F281="","reserve",$F281)="rejected"),N($G281),0))))</f>
        <v/>
      </c>
      <c r="O281" s="25">
        <f>IF($C281="","",IF($E281="collected",N($G281),IF(AND(OR($E281="returned_to_brand",$E281="given_to_roster_office",$E281="released_to_office",$E281="disposed"),IF($F281="","reserve",$F281)="leftover"),-N($G281),IF(AND($E281="correction",IF($F281="","reserve",$F281)="leftover"),N($G281),0))))</f>
        <v/>
      </c>
      <c r="P281" s="25">
        <f>IF(OR($E281&lt;&gt;"received",$I281="",$L281=""),"",IF($I281&gt;=$L281+config!$B$19,"Y","N"))</f>
        <v/>
      </c>
      <c r="Q281" s="25">
        <f>IF($C281="","",IF(COUNTIF(campaigns!$A$2:$A$51,$C281)=0,"campaign_id not on campaigns; ",IF(AND($D281&lt;&gt;"",COUNTIFS(approvals!$A$2:$A$251,$C281,approvals!$B$2:$B$251,$D281)=0),"office not on this campaign (approvals tab); ",""))&amp;IF(AND(OR($E281="delivered",$E281="topped_up",$E281="collected"),$D281=""),"office needed; ","")&amp;IF(AND($E281&lt;&gt;"correction",N($G281)&lt;=0),"qty must be above 0; ","")&amp;IF(AND($E281="received",OR($I281="",$H281="")),"log lot and best-by; ","")&amp;IF(AND($P281="N",SUMIFS(inventory!$G$2:$G$801,inventory!$C$2:$C$801,$C281,inventory!$H$2:$H$801,$H281,inventory!$E$2:$E$801,"rejected")&lt;N($G281)),"UNDER "&amp;config!$B$19&amp;" DAYS LEFT ON THE DROP DAY: reject these units; ","")&amp;IF(AND($E281="delivered",COUNTIF(inventory!$R$2:$R$801,$R281)&gt;1),"two delivered rows for this office: use one; ","")&amp;IF(AND($E281="delivered",$J281=""),"who counted?; ",""))</f>
        <v/>
      </c>
      <c r="R281" s="25">
        <f>IF($C281="","",$C281&amp;"|"&amp;$D281&amp;"|"&amp;$E281)</f>
        <v/>
      </c>
    </row>
    <row r="282">
      <c r="A282" s="9" t="n"/>
      <c r="B282" s="33" t="n"/>
      <c r="I282" s="9" t="n"/>
      <c r="L282" s="26">
        <f>IF($C282="","",IFERROR(IF(INDEX(campaigns!$BG$2:$BG$51,MATCH($C282,campaigns!$A$2:$A$51,0))="","",INDEX(campaigns!$BG$2:$BG$51,MATCH($C282,campaigns!$A$2:$A$51,0))),""))</f>
        <v/>
      </c>
      <c r="M282" s="25">
        <f>IF($C282="","",IF(OR($E282="received"),N($G282),IF(OR($E282="rejected",$E282="delivered",$E282="topped_up"),-N($G282),IF(AND(OR($E282="returned_to_brand",$E282="given_to_roster_office",$E282="released_to_office",$E282="disposed"),IF($F282="","reserve",$F282)="reserve"),-N($G282),IF(AND($E282="correction",IF($F282="","reserve",$F282)="reserve"),N($G282),0)))))</f>
        <v/>
      </c>
      <c r="N282" s="25">
        <f>IF($C282="","",IF($E282="rejected",N($G282),IF(AND(OR($E282="returned_to_brand",$E282="given_to_roster_office",$E282="released_to_office",$E282="disposed"),IF($F282="","reserve",$F282)="rejected"),-N($G282),IF(AND($E282="correction",IF($F282="","reserve",$F282)="rejected"),N($G282),0))))</f>
        <v/>
      </c>
      <c r="O282" s="25">
        <f>IF($C282="","",IF($E282="collected",N($G282),IF(AND(OR($E282="returned_to_brand",$E282="given_to_roster_office",$E282="released_to_office",$E282="disposed"),IF($F282="","reserve",$F282)="leftover"),-N($G282),IF(AND($E282="correction",IF($F282="","reserve",$F282)="leftover"),N($G282),0))))</f>
        <v/>
      </c>
      <c r="P282" s="25">
        <f>IF(OR($E282&lt;&gt;"received",$I282="",$L282=""),"",IF($I282&gt;=$L282+config!$B$19,"Y","N"))</f>
        <v/>
      </c>
      <c r="Q282" s="25">
        <f>IF($C282="","",IF(COUNTIF(campaigns!$A$2:$A$51,$C282)=0,"campaign_id not on campaigns; ",IF(AND($D282&lt;&gt;"",COUNTIFS(approvals!$A$2:$A$251,$C282,approvals!$B$2:$B$251,$D282)=0),"office not on this campaign (approvals tab); ",""))&amp;IF(AND(OR($E282="delivered",$E282="topped_up",$E282="collected"),$D282=""),"office needed; ","")&amp;IF(AND($E282&lt;&gt;"correction",N($G282)&lt;=0),"qty must be above 0; ","")&amp;IF(AND($E282="received",OR($I282="",$H282="")),"log lot and best-by; ","")&amp;IF(AND($P282="N",SUMIFS(inventory!$G$2:$G$801,inventory!$C$2:$C$801,$C282,inventory!$H$2:$H$801,$H282,inventory!$E$2:$E$801,"rejected")&lt;N($G282)),"UNDER "&amp;config!$B$19&amp;" DAYS LEFT ON THE DROP DAY: reject these units; ","")&amp;IF(AND($E282="delivered",COUNTIF(inventory!$R$2:$R$801,$R282)&gt;1),"two delivered rows for this office: use one; ","")&amp;IF(AND($E282="delivered",$J282=""),"who counted?; ",""))</f>
        <v/>
      </c>
      <c r="R282" s="25">
        <f>IF($C282="","",$C282&amp;"|"&amp;$D282&amp;"|"&amp;$E282)</f>
        <v/>
      </c>
    </row>
    <row r="283">
      <c r="A283" s="9" t="n"/>
      <c r="B283" s="33" t="n"/>
      <c r="I283" s="9" t="n"/>
      <c r="L283" s="26">
        <f>IF($C283="","",IFERROR(IF(INDEX(campaigns!$BG$2:$BG$51,MATCH($C283,campaigns!$A$2:$A$51,0))="","",INDEX(campaigns!$BG$2:$BG$51,MATCH($C283,campaigns!$A$2:$A$51,0))),""))</f>
        <v/>
      </c>
      <c r="M283" s="25">
        <f>IF($C283="","",IF(OR($E283="received"),N($G283),IF(OR($E283="rejected",$E283="delivered",$E283="topped_up"),-N($G283),IF(AND(OR($E283="returned_to_brand",$E283="given_to_roster_office",$E283="released_to_office",$E283="disposed"),IF($F283="","reserve",$F283)="reserve"),-N($G283),IF(AND($E283="correction",IF($F283="","reserve",$F283)="reserve"),N($G283),0)))))</f>
        <v/>
      </c>
      <c r="N283" s="25">
        <f>IF($C283="","",IF($E283="rejected",N($G283),IF(AND(OR($E283="returned_to_brand",$E283="given_to_roster_office",$E283="released_to_office",$E283="disposed"),IF($F283="","reserve",$F283)="rejected"),-N($G283),IF(AND($E283="correction",IF($F283="","reserve",$F283)="rejected"),N($G283),0))))</f>
        <v/>
      </c>
      <c r="O283" s="25">
        <f>IF($C283="","",IF($E283="collected",N($G283),IF(AND(OR($E283="returned_to_brand",$E283="given_to_roster_office",$E283="released_to_office",$E283="disposed"),IF($F283="","reserve",$F283)="leftover"),-N($G283),IF(AND($E283="correction",IF($F283="","reserve",$F283)="leftover"),N($G283),0))))</f>
        <v/>
      </c>
      <c r="P283" s="25">
        <f>IF(OR($E283&lt;&gt;"received",$I283="",$L283=""),"",IF($I283&gt;=$L283+config!$B$19,"Y","N"))</f>
        <v/>
      </c>
      <c r="Q283" s="25">
        <f>IF($C283="","",IF(COUNTIF(campaigns!$A$2:$A$51,$C283)=0,"campaign_id not on campaigns; ",IF(AND($D283&lt;&gt;"",COUNTIFS(approvals!$A$2:$A$251,$C283,approvals!$B$2:$B$251,$D283)=0),"office not on this campaign (approvals tab); ",""))&amp;IF(AND(OR($E283="delivered",$E283="topped_up",$E283="collected"),$D283=""),"office needed; ","")&amp;IF(AND($E283&lt;&gt;"correction",N($G283)&lt;=0),"qty must be above 0; ","")&amp;IF(AND($E283="received",OR($I283="",$H283="")),"log lot and best-by; ","")&amp;IF(AND($P283="N",SUMIFS(inventory!$G$2:$G$801,inventory!$C$2:$C$801,$C283,inventory!$H$2:$H$801,$H283,inventory!$E$2:$E$801,"rejected")&lt;N($G283)),"UNDER "&amp;config!$B$19&amp;" DAYS LEFT ON THE DROP DAY: reject these units; ","")&amp;IF(AND($E283="delivered",COUNTIF(inventory!$R$2:$R$801,$R283)&gt;1),"two delivered rows for this office: use one; ","")&amp;IF(AND($E283="delivered",$J283=""),"who counted?; ",""))</f>
        <v/>
      </c>
      <c r="R283" s="25">
        <f>IF($C283="","",$C283&amp;"|"&amp;$D283&amp;"|"&amp;$E283)</f>
        <v/>
      </c>
    </row>
    <row r="284">
      <c r="A284" s="9" t="n"/>
      <c r="B284" s="33" t="n"/>
      <c r="I284" s="9" t="n"/>
      <c r="L284" s="26">
        <f>IF($C284="","",IFERROR(IF(INDEX(campaigns!$BG$2:$BG$51,MATCH($C284,campaigns!$A$2:$A$51,0))="","",INDEX(campaigns!$BG$2:$BG$51,MATCH($C284,campaigns!$A$2:$A$51,0))),""))</f>
        <v/>
      </c>
      <c r="M284" s="25">
        <f>IF($C284="","",IF(OR($E284="received"),N($G284),IF(OR($E284="rejected",$E284="delivered",$E284="topped_up"),-N($G284),IF(AND(OR($E284="returned_to_brand",$E284="given_to_roster_office",$E284="released_to_office",$E284="disposed"),IF($F284="","reserve",$F284)="reserve"),-N($G284),IF(AND($E284="correction",IF($F284="","reserve",$F284)="reserve"),N($G284),0)))))</f>
        <v/>
      </c>
      <c r="N284" s="25">
        <f>IF($C284="","",IF($E284="rejected",N($G284),IF(AND(OR($E284="returned_to_brand",$E284="given_to_roster_office",$E284="released_to_office",$E284="disposed"),IF($F284="","reserve",$F284)="rejected"),-N($G284),IF(AND($E284="correction",IF($F284="","reserve",$F284)="rejected"),N($G284),0))))</f>
        <v/>
      </c>
      <c r="O284" s="25">
        <f>IF($C284="","",IF($E284="collected",N($G284),IF(AND(OR($E284="returned_to_brand",$E284="given_to_roster_office",$E284="released_to_office",$E284="disposed"),IF($F284="","reserve",$F284)="leftover"),-N($G284),IF(AND($E284="correction",IF($F284="","reserve",$F284)="leftover"),N($G284),0))))</f>
        <v/>
      </c>
      <c r="P284" s="25">
        <f>IF(OR($E284&lt;&gt;"received",$I284="",$L284=""),"",IF($I284&gt;=$L284+config!$B$19,"Y","N"))</f>
        <v/>
      </c>
      <c r="Q284" s="25">
        <f>IF($C284="","",IF(COUNTIF(campaigns!$A$2:$A$51,$C284)=0,"campaign_id not on campaigns; ",IF(AND($D284&lt;&gt;"",COUNTIFS(approvals!$A$2:$A$251,$C284,approvals!$B$2:$B$251,$D284)=0),"office not on this campaign (approvals tab); ",""))&amp;IF(AND(OR($E284="delivered",$E284="topped_up",$E284="collected"),$D284=""),"office needed; ","")&amp;IF(AND($E284&lt;&gt;"correction",N($G284)&lt;=0),"qty must be above 0; ","")&amp;IF(AND($E284="received",OR($I284="",$H284="")),"log lot and best-by; ","")&amp;IF(AND($P284="N",SUMIFS(inventory!$G$2:$G$801,inventory!$C$2:$C$801,$C284,inventory!$H$2:$H$801,$H284,inventory!$E$2:$E$801,"rejected")&lt;N($G284)),"UNDER "&amp;config!$B$19&amp;" DAYS LEFT ON THE DROP DAY: reject these units; ","")&amp;IF(AND($E284="delivered",COUNTIF(inventory!$R$2:$R$801,$R284)&gt;1),"two delivered rows for this office: use one; ","")&amp;IF(AND($E284="delivered",$J284=""),"who counted?; ",""))</f>
        <v/>
      </c>
      <c r="R284" s="25">
        <f>IF($C284="","",$C284&amp;"|"&amp;$D284&amp;"|"&amp;$E284)</f>
        <v/>
      </c>
    </row>
    <row r="285">
      <c r="A285" s="9" t="n"/>
      <c r="B285" s="33" t="n"/>
      <c r="I285" s="9" t="n"/>
      <c r="L285" s="26">
        <f>IF($C285="","",IFERROR(IF(INDEX(campaigns!$BG$2:$BG$51,MATCH($C285,campaigns!$A$2:$A$51,0))="","",INDEX(campaigns!$BG$2:$BG$51,MATCH($C285,campaigns!$A$2:$A$51,0))),""))</f>
        <v/>
      </c>
      <c r="M285" s="25">
        <f>IF($C285="","",IF(OR($E285="received"),N($G285),IF(OR($E285="rejected",$E285="delivered",$E285="topped_up"),-N($G285),IF(AND(OR($E285="returned_to_brand",$E285="given_to_roster_office",$E285="released_to_office",$E285="disposed"),IF($F285="","reserve",$F285)="reserve"),-N($G285),IF(AND($E285="correction",IF($F285="","reserve",$F285)="reserve"),N($G285),0)))))</f>
        <v/>
      </c>
      <c r="N285" s="25">
        <f>IF($C285="","",IF($E285="rejected",N($G285),IF(AND(OR($E285="returned_to_brand",$E285="given_to_roster_office",$E285="released_to_office",$E285="disposed"),IF($F285="","reserve",$F285)="rejected"),-N($G285),IF(AND($E285="correction",IF($F285="","reserve",$F285)="rejected"),N($G285),0))))</f>
        <v/>
      </c>
      <c r="O285" s="25">
        <f>IF($C285="","",IF($E285="collected",N($G285),IF(AND(OR($E285="returned_to_brand",$E285="given_to_roster_office",$E285="released_to_office",$E285="disposed"),IF($F285="","reserve",$F285)="leftover"),-N($G285),IF(AND($E285="correction",IF($F285="","reserve",$F285)="leftover"),N($G285),0))))</f>
        <v/>
      </c>
      <c r="P285" s="25">
        <f>IF(OR($E285&lt;&gt;"received",$I285="",$L285=""),"",IF($I285&gt;=$L285+config!$B$19,"Y","N"))</f>
        <v/>
      </c>
      <c r="Q285" s="25">
        <f>IF($C285="","",IF(COUNTIF(campaigns!$A$2:$A$51,$C285)=0,"campaign_id not on campaigns; ",IF(AND($D285&lt;&gt;"",COUNTIFS(approvals!$A$2:$A$251,$C285,approvals!$B$2:$B$251,$D285)=0),"office not on this campaign (approvals tab); ",""))&amp;IF(AND(OR($E285="delivered",$E285="topped_up",$E285="collected"),$D285=""),"office needed; ","")&amp;IF(AND($E285&lt;&gt;"correction",N($G285)&lt;=0),"qty must be above 0; ","")&amp;IF(AND($E285="received",OR($I285="",$H285="")),"log lot and best-by; ","")&amp;IF(AND($P285="N",SUMIFS(inventory!$G$2:$G$801,inventory!$C$2:$C$801,$C285,inventory!$H$2:$H$801,$H285,inventory!$E$2:$E$801,"rejected")&lt;N($G285)),"UNDER "&amp;config!$B$19&amp;" DAYS LEFT ON THE DROP DAY: reject these units; ","")&amp;IF(AND($E285="delivered",COUNTIF(inventory!$R$2:$R$801,$R285)&gt;1),"two delivered rows for this office: use one; ","")&amp;IF(AND($E285="delivered",$J285=""),"who counted?; ",""))</f>
        <v/>
      </c>
      <c r="R285" s="25">
        <f>IF($C285="","",$C285&amp;"|"&amp;$D285&amp;"|"&amp;$E285)</f>
        <v/>
      </c>
    </row>
    <row r="286">
      <c r="A286" s="9" t="n"/>
      <c r="B286" s="33" t="n"/>
      <c r="I286" s="9" t="n"/>
      <c r="L286" s="26">
        <f>IF($C286="","",IFERROR(IF(INDEX(campaigns!$BG$2:$BG$51,MATCH($C286,campaigns!$A$2:$A$51,0))="","",INDEX(campaigns!$BG$2:$BG$51,MATCH($C286,campaigns!$A$2:$A$51,0))),""))</f>
        <v/>
      </c>
      <c r="M286" s="25">
        <f>IF($C286="","",IF(OR($E286="received"),N($G286),IF(OR($E286="rejected",$E286="delivered",$E286="topped_up"),-N($G286),IF(AND(OR($E286="returned_to_brand",$E286="given_to_roster_office",$E286="released_to_office",$E286="disposed"),IF($F286="","reserve",$F286)="reserve"),-N($G286),IF(AND($E286="correction",IF($F286="","reserve",$F286)="reserve"),N($G286),0)))))</f>
        <v/>
      </c>
      <c r="N286" s="25">
        <f>IF($C286="","",IF($E286="rejected",N($G286),IF(AND(OR($E286="returned_to_brand",$E286="given_to_roster_office",$E286="released_to_office",$E286="disposed"),IF($F286="","reserve",$F286)="rejected"),-N($G286),IF(AND($E286="correction",IF($F286="","reserve",$F286)="rejected"),N($G286),0))))</f>
        <v/>
      </c>
      <c r="O286" s="25">
        <f>IF($C286="","",IF($E286="collected",N($G286),IF(AND(OR($E286="returned_to_brand",$E286="given_to_roster_office",$E286="released_to_office",$E286="disposed"),IF($F286="","reserve",$F286)="leftover"),-N($G286),IF(AND($E286="correction",IF($F286="","reserve",$F286)="leftover"),N($G286),0))))</f>
        <v/>
      </c>
      <c r="P286" s="25">
        <f>IF(OR($E286&lt;&gt;"received",$I286="",$L286=""),"",IF($I286&gt;=$L286+config!$B$19,"Y","N"))</f>
        <v/>
      </c>
      <c r="Q286" s="25">
        <f>IF($C286="","",IF(COUNTIF(campaigns!$A$2:$A$51,$C286)=0,"campaign_id not on campaigns; ",IF(AND($D286&lt;&gt;"",COUNTIFS(approvals!$A$2:$A$251,$C286,approvals!$B$2:$B$251,$D286)=0),"office not on this campaign (approvals tab); ",""))&amp;IF(AND(OR($E286="delivered",$E286="topped_up",$E286="collected"),$D286=""),"office needed; ","")&amp;IF(AND($E286&lt;&gt;"correction",N($G286)&lt;=0),"qty must be above 0; ","")&amp;IF(AND($E286="received",OR($I286="",$H286="")),"log lot and best-by; ","")&amp;IF(AND($P286="N",SUMIFS(inventory!$G$2:$G$801,inventory!$C$2:$C$801,$C286,inventory!$H$2:$H$801,$H286,inventory!$E$2:$E$801,"rejected")&lt;N($G286)),"UNDER "&amp;config!$B$19&amp;" DAYS LEFT ON THE DROP DAY: reject these units; ","")&amp;IF(AND($E286="delivered",COUNTIF(inventory!$R$2:$R$801,$R286)&gt;1),"two delivered rows for this office: use one; ","")&amp;IF(AND($E286="delivered",$J286=""),"who counted?; ",""))</f>
        <v/>
      </c>
      <c r="R286" s="25">
        <f>IF($C286="","",$C286&amp;"|"&amp;$D286&amp;"|"&amp;$E286)</f>
        <v/>
      </c>
    </row>
    <row r="287">
      <c r="A287" s="9" t="n"/>
      <c r="B287" s="33" t="n"/>
      <c r="I287" s="9" t="n"/>
      <c r="L287" s="26">
        <f>IF($C287="","",IFERROR(IF(INDEX(campaigns!$BG$2:$BG$51,MATCH($C287,campaigns!$A$2:$A$51,0))="","",INDEX(campaigns!$BG$2:$BG$51,MATCH($C287,campaigns!$A$2:$A$51,0))),""))</f>
        <v/>
      </c>
      <c r="M287" s="25">
        <f>IF($C287="","",IF(OR($E287="received"),N($G287),IF(OR($E287="rejected",$E287="delivered",$E287="topped_up"),-N($G287),IF(AND(OR($E287="returned_to_brand",$E287="given_to_roster_office",$E287="released_to_office",$E287="disposed"),IF($F287="","reserve",$F287)="reserve"),-N($G287),IF(AND($E287="correction",IF($F287="","reserve",$F287)="reserve"),N($G287),0)))))</f>
        <v/>
      </c>
      <c r="N287" s="25">
        <f>IF($C287="","",IF($E287="rejected",N($G287),IF(AND(OR($E287="returned_to_brand",$E287="given_to_roster_office",$E287="released_to_office",$E287="disposed"),IF($F287="","reserve",$F287)="rejected"),-N($G287),IF(AND($E287="correction",IF($F287="","reserve",$F287)="rejected"),N($G287),0))))</f>
        <v/>
      </c>
      <c r="O287" s="25">
        <f>IF($C287="","",IF($E287="collected",N($G287),IF(AND(OR($E287="returned_to_brand",$E287="given_to_roster_office",$E287="released_to_office",$E287="disposed"),IF($F287="","reserve",$F287)="leftover"),-N($G287),IF(AND($E287="correction",IF($F287="","reserve",$F287)="leftover"),N($G287),0))))</f>
        <v/>
      </c>
      <c r="P287" s="25">
        <f>IF(OR($E287&lt;&gt;"received",$I287="",$L287=""),"",IF($I287&gt;=$L287+config!$B$19,"Y","N"))</f>
        <v/>
      </c>
      <c r="Q287" s="25">
        <f>IF($C287="","",IF(COUNTIF(campaigns!$A$2:$A$51,$C287)=0,"campaign_id not on campaigns; ",IF(AND($D287&lt;&gt;"",COUNTIFS(approvals!$A$2:$A$251,$C287,approvals!$B$2:$B$251,$D287)=0),"office not on this campaign (approvals tab); ",""))&amp;IF(AND(OR($E287="delivered",$E287="topped_up",$E287="collected"),$D287=""),"office needed; ","")&amp;IF(AND($E287&lt;&gt;"correction",N($G287)&lt;=0),"qty must be above 0; ","")&amp;IF(AND($E287="received",OR($I287="",$H287="")),"log lot and best-by; ","")&amp;IF(AND($P287="N",SUMIFS(inventory!$G$2:$G$801,inventory!$C$2:$C$801,$C287,inventory!$H$2:$H$801,$H287,inventory!$E$2:$E$801,"rejected")&lt;N($G287)),"UNDER "&amp;config!$B$19&amp;" DAYS LEFT ON THE DROP DAY: reject these units; ","")&amp;IF(AND($E287="delivered",COUNTIF(inventory!$R$2:$R$801,$R287)&gt;1),"two delivered rows for this office: use one; ","")&amp;IF(AND($E287="delivered",$J287=""),"who counted?; ",""))</f>
        <v/>
      </c>
      <c r="R287" s="25">
        <f>IF($C287="","",$C287&amp;"|"&amp;$D287&amp;"|"&amp;$E287)</f>
        <v/>
      </c>
    </row>
    <row r="288">
      <c r="A288" s="9" t="n"/>
      <c r="B288" s="33" t="n"/>
      <c r="I288" s="9" t="n"/>
      <c r="L288" s="26">
        <f>IF($C288="","",IFERROR(IF(INDEX(campaigns!$BG$2:$BG$51,MATCH($C288,campaigns!$A$2:$A$51,0))="","",INDEX(campaigns!$BG$2:$BG$51,MATCH($C288,campaigns!$A$2:$A$51,0))),""))</f>
        <v/>
      </c>
      <c r="M288" s="25">
        <f>IF($C288="","",IF(OR($E288="received"),N($G288),IF(OR($E288="rejected",$E288="delivered",$E288="topped_up"),-N($G288),IF(AND(OR($E288="returned_to_brand",$E288="given_to_roster_office",$E288="released_to_office",$E288="disposed"),IF($F288="","reserve",$F288)="reserve"),-N($G288),IF(AND($E288="correction",IF($F288="","reserve",$F288)="reserve"),N($G288),0)))))</f>
        <v/>
      </c>
      <c r="N288" s="25">
        <f>IF($C288="","",IF($E288="rejected",N($G288),IF(AND(OR($E288="returned_to_brand",$E288="given_to_roster_office",$E288="released_to_office",$E288="disposed"),IF($F288="","reserve",$F288)="rejected"),-N($G288),IF(AND($E288="correction",IF($F288="","reserve",$F288)="rejected"),N($G288),0))))</f>
        <v/>
      </c>
      <c r="O288" s="25">
        <f>IF($C288="","",IF($E288="collected",N($G288),IF(AND(OR($E288="returned_to_brand",$E288="given_to_roster_office",$E288="released_to_office",$E288="disposed"),IF($F288="","reserve",$F288)="leftover"),-N($G288),IF(AND($E288="correction",IF($F288="","reserve",$F288)="leftover"),N($G288),0))))</f>
        <v/>
      </c>
      <c r="P288" s="25">
        <f>IF(OR($E288&lt;&gt;"received",$I288="",$L288=""),"",IF($I288&gt;=$L288+config!$B$19,"Y","N"))</f>
        <v/>
      </c>
      <c r="Q288" s="25">
        <f>IF($C288="","",IF(COUNTIF(campaigns!$A$2:$A$51,$C288)=0,"campaign_id not on campaigns; ",IF(AND($D288&lt;&gt;"",COUNTIFS(approvals!$A$2:$A$251,$C288,approvals!$B$2:$B$251,$D288)=0),"office not on this campaign (approvals tab); ",""))&amp;IF(AND(OR($E288="delivered",$E288="topped_up",$E288="collected"),$D288=""),"office needed; ","")&amp;IF(AND($E288&lt;&gt;"correction",N($G288)&lt;=0),"qty must be above 0; ","")&amp;IF(AND($E288="received",OR($I288="",$H288="")),"log lot and best-by; ","")&amp;IF(AND($P288="N",SUMIFS(inventory!$G$2:$G$801,inventory!$C$2:$C$801,$C288,inventory!$H$2:$H$801,$H288,inventory!$E$2:$E$801,"rejected")&lt;N($G288)),"UNDER "&amp;config!$B$19&amp;" DAYS LEFT ON THE DROP DAY: reject these units; ","")&amp;IF(AND($E288="delivered",COUNTIF(inventory!$R$2:$R$801,$R288)&gt;1),"two delivered rows for this office: use one; ","")&amp;IF(AND($E288="delivered",$J288=""),"who counted?; ",""))</f>
        <v/>
      </c>
      <c r="R288" s="25">
        <f>IF($C288="","",$C288&amp;"|"&amp;$D288&amp;"|"&amp;$E288)</f>
        <v/>
      </c>
    </row>
    <row r="289">
      <c r="A289" s="9" t="n"/>
      <c r="B289" s="33" t="n"/>
      <c r="I289" s="9" t="n"/>
      <c r="L289" s="26">
        <f>IF($C289="","",IFERROR(IF(INDEX(campaigns!$BG$2:$BG$51,MATCH($C289,campaigns!$A$2:$A$51,0))="","",INDEX(campaigns!$BG$2:$BG$51,MATCH($C289,campaigns!$A$2:$A$51,0))),""))</f>
        <v/>
      </c>
      <c r="M289" s="25">
        <f>IF($C289="","",IF(OR($E289="received"),N($G289),IF(OR($E289="rejected",$E289="delivered",$E289="topped_up"),-N($G289),IF(AND(OR($E289="returned_to_brand",$E289="given_to_roster_office",$E289="released_to_office",$E289="disposed"),IF($F289="","reserve",$F289)="reserve"),-N($G289),IF(AND($E289="correction",IF($F289="","reserve",$F289)="reserve"),N($G289),0)))))</f>
        <v/>
      </c>
      <c r="N289" s="25">
        <f>IF($C289="","",IF($E289="rejected",N($G289),IF(AND(OR($E289="returned_to_brand",$E289="given_to_roster_office",$E289="released_to_office",$E289="disposed"),IF($F289="","reserve",$F289)="rejected"),-N($G289),IF(AND($E289="correction",IF($F289="","reserve",$F289)="rejected"),N($G289),0))))</f>
        <v/>
      </c>
      <c r="O289" s="25">
        <f>IF($C289="","",IF($E289="collected",N($G289),IF(AND(OR($E289="returned_to_brand",$E289="given_to_roster_office",$E289="released_to_office",$E289="disposed"),IF($F289="","reserve",$F289)="leftover"),-N($G289),IF(AND($E289="correction",IF($F289="","reserve",$F289)="leftover"),N($G289),0))))</f>
        <v/>
      </c>
      <c r="P289" s="25">
        <f>IF(OR($E289&lt;&gt;"received",$I289="",$L289=""),"",IF($I289&gt;=$L289+config!$B$19,"Y","N"))</f>
        <v/>
      </c>
      <c r="Q289" s="25">
        <f>IF($C289="","",IF(COUNTIF(campaigns!$A$2:$A$51,$C289)=0,"campaign_id not on campaigns; ",IF(AND($D289&lt;&gt;"",COUNTIFS(approvals!$A$2:$A$251,$C289,approvals!$B$2:$B$251,$D289)=0),"office not on this campaign (approvals tab); ",""))&amp;IF(AND(OR($E289="delivered",$E289="topped_up",$E289="collected"),$D289=""),"office needed; ","")&amp;IF(AND($E289&lt;&gt;"correction",N($G289)&lt;=0),"qty must be above 0; ","")&amp;IF(AND($E289="received",OR($I289="",$H289="")),"log lot and best-by; ","")&amp;IF(AND($P289="N",SUMIFS(inventory!$G$2:$G$801,inventory!$C$2:$C$801,$C289,inventory!$H$2:$H$801,$H289,inventory!$E$2:$E$801,"rejected")&lt;N($G289)),"UNDER "&amp;config!$B$19&amp;" DAYS LEFT ON THE DROP DAY: reject these units; ","")&amp;IF(AND($E289="delivered",COUNTIF(inventory!$R$2:$R$801,$R289)&gt;1),"two delivered rows for this office: use one; ","")&amp;IF(AND($E289="delivered",$J289=""),"who counted?; ",""))</f>
        <v/>
      </c>
      <c r="R289" s="25">
        <f>IF($C289="","",$C289&amp;"|"&amp;$D289&amp;"|"&amp;$E289)</f>
        <v/>
      </c>
    </row>
    <row r="290">
      <c r="A290" s="9" t="n"/>
      <c r="B290" s="33" t="n"/>
      <c r="I290" s="9" t="n"/>
      <c r="L290" s="26">
        <f>IF($C290="","",IFERROR(IF(INDEX(campaigns!$BG$2:$BG$51,MATCH($C290,campaigns!$A$2:$A$51,0))="","",INDEX(campaigns!$BG$2:$BG$51,MATCH($C290,campaigns!$A$2:$A$51,0))),""))</f>
        <v/>
      </c>
      <c r="M290" s="25">
        <f>IF($C290="","",IF(OR($E290="received"),N($G290),IF(OR($E290="rejected",$E290="delivered",$E290="topped_up"),-N($G290),IF(AND(OR($E290="returned_to_brand",$E290="given_to_roster_office",$E290="released_to_office",$E290="disposed"),IF($F290="","reserve",$F290)="reserve"),-N($G290),IF(AND($E290="correction",IF($F290="","reserve",$F290)="reserve"),N($G290),0)))))</f>
        <v/>
      </c>
      <c r="N290" s="25">
        <f>IF($C290="","",IF($E290="rejected",N($G290),IF(AND(OR($E290="returned_to_brand",$E290="given_to_roster_office",$E290="released_to_office",$E290="disposed"),IF($F290="","reserve",$F290)="rejected"),-N($G290),IF(AND($E290="correction",IF($F290="","reserve",$F290)="rejected"),N($G290),0))))</f>
        <v/>
      </c>
      <c r="O290" s="25">
        <f>IF($C290="","",IF($E290="collected",N($G290),IF(AND(OR($E290="returned_to_brand",$E290="given_to_roster_office",$E290="released_to_office",$E290="disposed"),IF($F290="","reserve",$F290)="leftover"),-N($G290),IF(AND($E290="correction",IF($F290="","reserve",$F290)="leftover"),N($G290),0))))</f>
        <v/>
      </c>
      <c r="P290" s="25">
        <f>IF(OR($E290&lt;&gt;"received",$I290="",$L290=""),"",IF($I290&gt;=$L290+config!$B$19,"Y","N"))</f>
        <v/>
      </c>
      <c r="Q290" s="25">
        <f>IF($C290="","",IF(COUNTIF(campaigns!$A$2:$A$51,$C290)=0,"campaign_id not on campaigns; ",IF(AND($D290&lt;&gt;"",COUNTIFS(approvals!$A$2:$A$251,$C290,approvals!$B$2:$B$251,$D290)=0),"office not on this campaign (approvals tab); ",""))&amp;IF(AND(OR($E290="delivered",$E290="topped_up",$E290="collected"),$D290=""),"office needed; ","")&amp;IF(AND($E290&lt;&gt;"correction",N($G290)&lt;=0),"qty must be above 0; ","")&amp;IF(AND($E290="received",OR($I290="",$H290="")),"log lot and best-by; ","")&amp;IF(AND($P290="N",SUMIFS(inventory!$G$2:$G$801,inventory!$C$2:$C$801,$C290,inventory!$H$2:$H$801,$H290,inventory!$E$2:$E$801,"rejected")&lt;N($G290)),"UNDER "&amp;config!$B$19&amp;" DAYS LEFT ON THE DROP DAY: reject these units; ","")&amp;IF(AND($E290="delivered",COUNTIF(inventory!$R$2:$R$801,$R290)&gt;1),"two delivered rows for this office: use one; ","")&amp;IF(AND($E290="delivered",$J290=""),"who counted?; ",""))</f>
        <v/>
      </c>
      <c r="R290" s="25">
        <f>IF($C290="","",$C290&amp;"|"&amp;$D290&amp;"|"&amp;$E290)</f>
        <v/>
      </c>
    </row>
    <row r="291">
      <c r="A291" s="9" t="n"/>
      <c r="B291" s="33" t="n"/>
      <c r="I291" s="9" t="n"/>
      <c r="L291" s="26">
        <f>IF($C291="","",IFERROR(IF(INDEX(campaigns!$BG$2:$BG$51,MATCH($C291,campaigns!$A$2:$A$51,0))="","",INDEX(campaigns!$BG$2:$BG$51,MATCH($C291,campaigns!$A$2:$A$51,0))),""))</f>
        <v/>
      </c>
      <c r="M291" s="25">
        <f>IF($C291="","",IF(OR($E291="received"),N($G291),IF(OR($E291="rejected",$E291="delivered",$E291="topped_up"),-N($G291),IF(AND(OR($E291="returned_to_brand",$E291="given_to_roster_office",$E291="released_to_office",$E291="disposed"),IF($F291="","reserve",$F291)="reserve"),-N($G291),IF(AND($E291="correction",IF($F291="","reserve",$F291)="reserve"),N($G291),0)))))</f>
        <v/>
      </c>
      <c r="N291" s="25">
        <f>IF($C291="","",IF($E291="rejected",N($G291),IF(AND(OR($E291="returned_to_brand",$E291="given_to_roster_office",$E291="released_to_office",$E291="disposed"),IF($F291="","reserve",$F291)="rejected"),-N($G291),IF(AND($E291="correction",IF($F291="","reserve",$F291)="rejected"),N($G291),0))))</f>
        <v/>
      </c>
      <c r="O291" s="25">
        <f>IF($C291="","",IF($E291="collected",N($G291),IF(AND(OR($E291="returned_to_brand",$E291="given_to_roster_office",$E291="released_to_office",$E291="disposed"),IF($F291="","reserve",$F291)="leftover"),-N($G291),IF(AND($E291="correction",IF($F291="","reserve",$F291)="leftover"),N($G291),0))))</f>
        <v/>
      </c>
      <c r="P291" s="25">
        <f>IF(OR($E291&lt;&gt;"received",$I291="",$L291=""),"",IF($I291&gt;=$L291+config!$B$19,"Y","N"))</f>
        <v/>
      </c>
      <c r="Q291" s="25">
        <f>IF($C291="","",IF(COUNTIF(campaigns!$A$2:$A$51,$C291)=0,"campaign_id not on campaigns; ",IF(AND($D291&lt;&gt;"",COUNTIFS(approvals!$A$2:$A$251,$C291,approvals!$B$2:$B$251,$D291)=0),"office not on this campaign (approvals tab); ",""))&amp;IF(AND(OR($E291="delivered",$E291="topped_up",$E291="collected"),$D291=""),"office needed; ","")&amp;IF(AND($E291&lt;&gt;"correction",N($G291)&lt;=0),"qty must be above 0; ","")&amp;IF(AND($E291="received",OR($I291="",$H291="")),"log lot and best-by; ","")&amp;IF(AND($P291="N",SUMIFS(inventory!$G$2:$G$801,inventory!$C$2:$C$801,$C291,inventory!$H$2:$H$801,$H291,inventory!$E$2:$E$801,"rejected")&lt;N($G291)),"UNDER "&amp;config!$B$19&amp;" DAYS LEFT ON THE DROP DAY: reject these units; ","")&amp;IF(AND($E291="delivered",COUNTIF(inventory!$R$2:$R$801,$R291)&gt;1),"two delivered rows for this office: use one; ","")&amp;IF(AND($E291="delivered",$J291=""),"who counted?; ",""))</f>
        <v/>
      </c>
      <c r="R291" s="25">
        <f>IF($C291="","",$C291&amp;"|"&amp;$D291&amp;"|"&amp;$E291)</f>
        <v/>
      </c>
    </row>
    <row r="292">
      <c r="A292" s="9" t="n"/>
      <c r="B292" s="33" t="n"/>
      <c r="I292" s="9" t="n"/>
      <c r="L292" s="26">
        <f>IF($C292="","",IFERROR(IF(INDEX(campaigns!$BG$2:$BG$51,MATCH($C292,campaigns!$A$2:$A$51,0))="","",INDEX(campaigns!$BG$2:$BG$51,MATCH($C292,campaigns!$A$2:$A$51,0))),""))</f>
        <v/>
      </c>
      <c r="M292" s="25">
        <f>IF($C292="","",IF(OR($E292="received"),N($G292),IF(OR($E292="rejected",$E292="delivered",$E292="topped_up"),-N($G292),IF(AND(OR($E292="returned_to_brand",$E292="given_to_roster_office",$E292="released_to_office",$E292="disposed"),IF($F292="","reserve",$F292)="reserve"),-N($G292),IF(AND($E292="correction",IF($F292="","reserve",$F292)="reserve"),N($G292),0)))))</f>
        <v/>
      </c>
      <c r="N292" s="25">
        <f>IF($C292="","",IF($E292="rejected",N($G292),IF(AND(OR($E292="returned_to_brand",$E292="given_to_roster_office",$E292="released_to_office",$E292="disposed"),IF($F292="","reserve",$F292)="rejected"),-N($G292),IF(AND($E292="correction",IF($F292="","reserve",$F292)="rejected"),N($G292),0))))</f>
        <v/>
      </c>
      <c r="O292" s="25">
        <f>IF($C292="","",IF($E292="collected",N($G292),IF(AND(OR($E292="returned_to_brand",$E292="given_to_roster_office",$E292="released_to_office",$E292="disposed"),IF($F292="","reserve",$F292)="leftover"),-N($G292),IF(AND($E292="correction",IF($F292="","reserve",$F292)="leftover"),N($G292),0))))</f>
        <v/>
      </c>
      <c r="P292" s="25">
        <f>IF(OR($E292&lt;&gt;"received",$I292="",$L292=""),"",IF($I292&gt;=$L292+config!$B$19,"Y","N"))</f>
        <v/>
      </c>
      <c r="Q292" s="25">
        <f>IF($C292="","",IF(COUNTIF(campaigns!$A$2:$A$51,$C292)=0,"campaign_id not on campaigns; ",IF(AND($D292&lt;&gt;"",COUNTIFS(approvals!$A$2:$A$251,$C292,approvals!$B$2:$B$251,$D292)=0),"office not on this campaign (approvals tab); ",""))&amp;IF(AND(OR($E292="delivered",$E292="topped_up",$E292="collected"),$D292=""),"office needed; ","")&amp;IF(AND($E292&lt;&gt;"correction",N($G292)&lt;=0),"qty must be above 0; ","")&amp;IF(AND($E292="received",OR($I292="",$H292="")),"log lot and best-by; ","")&amp;IF(AND($P292="N",SUMIFS(inventory!$G$2:$G$801,inventory!$C$2:$C$801,$C292,inventory!$H$2:$H$801,$H292,inventory!$E$2:$E$801,"rejected")&lt;N($G292)),"UNDER "&amp;config!$B$19&amp;" DAYS LEFT ON THE DROP DAY: reject these units; ","")&amp;IF(AND($E292="delivered",COUNTIF(inventory!$R$2:$R$801,$R292)&gt;1),"two delivered rows for this office: use one; ","")&amp;IF(AND($E292="delivered",$J292=""),"who counted?; ",""))</f>
        <v/>
      </c>
      <c r="R292" s="25">
        <f>IF($C292="","",$C292&amp;"|"&amp;$D292&amp;"|"&amp;$E292)</f>
        <v/>
      </c>
    </row>
    <row r="293">
      <c r="A293" s="9" t="n"/>
      <c r="B293" s="33" t="n"/>
      <c r="I293" s="9" t="n"/>
      <c r="L293" s="26">
        <f>IF($C293="","",IFERROR(IF(INDEX(campaigns!$BG$2:$BG$51,MATCH($C293,campaigns!$A$2:$A$51,0))="","",INDEX(campaigns!$BG$2:$BG$51,MATCH($C293,campaigns!$A$2:$A$51,0))),""))</f>
        <v/>
      </c>
      <c r="M293" s="25">
        <f>IF($C293="","",IF(OR($E293="received"),N($G293),IF(OR($E293="rejected",$E293="delivered",$E293="topped_up"),-N($G293),IF(AND(OR($E293="returned_to_brand",$E293="given_to_roster_office",$E293="released_to_office",$E293="disposed"),IF($F293="","reserve",$F293)="reserve"),-N($G293),IF(AND($E293="correction",IF($F293="","reserve",$F293)="reserve"),N($G293),0)))))</f>
        <v/>
      </c>
      <c r="N293" s="25">
        <f>IF($C293="","",IF($E293="rejected",N($G293),IF(AND(OR($E293="returned_to_brand",$E293="given_to_roster_office",$E293="released_to_office",$E293="disposed"),IF($F293="","reserve",$F293)="rejected"),-N($G293),IF(AND($E293="correction",IF($F293="","reserve",$F293)="rejected"),N($G293),0))))</f>
        <v/>
      </c>
      <c r="O293" s="25">
        <f>IF($C293="","",IF($E293="collected",N($G293),IF(AND(OR($E293="returned_to_brand",$E293="given_to_roster_office",$E293="released_to_office",$E293="disposed"),IF($F293="","reserve",$F293)="leftover"),-N($G293),IF(AND($E293="correction",IF($F293="","reserve",$F293)="leftover"),N($G293),0))))</f>
        <v/>
      </c>
      <c r="P293" s="25">
        <f>IF(OR($E293&lt;&gt;"received",$I293="",$L293=""),"",IF($I293&gt;=$L293+config!$B$19,"Y","N"))</f>
        <v/>
      </c>
      <c r="Q293" s="25">
        <f>IF($C293="","",IF(COUNTIF(campaigns!$A$2:$A$51,$C293)=0,"campaign_id not on campaigns; ",IF(AND($D293&lt;&gt;"",COUNTIFS(approvals!$A$2:$A$251,$C293,approvals!$B$2:$B$251,$D293)=0),"office not on this campaign (approvals tab); ",""))&amp;IF(AND(OR($E293="delivered",$E293="topped_up",$E293="collected"),$D293=""),"office needed; ","")&amp;IF(AND($E293&lt;&gt;"correction",N($G293)&lt;=0),"qty must be above 0; ","")&amp;IF(AND($E293="received",OR($I293="",$H293="")),"log lot and best-by; ","")&amp;IF(AND($P293="N",SUMIFS(inventory!$G$2:$G$801,inventory!$C$2:$C$801,$C293,inventory!$H$2:$H$801,$H293,inventory!$E$2:$E$801,"rejected")&lt;N($G293)),"UNDER "&amp;config!$B$19&amp;" DAYS LEFT ON THE DROP DAY: reject these units; ","")&amp;IF(AND($E293="delivered",COUNTIF(inventory!$R$2:$R$801,$R293)&gt;1),"two delivered rows for this office: use one; ","")&amp;IF(AND($E293="delivered",$J293=""),"who counted?; ",""))</f>
        <v/>
      </c>
      <c r="R293" s="25">
        <f>IF($C293="","",$C293&amp;"|"&amp;$D293&amp;"|"&amp;$E293)</f>
        <v/>
      </c>
    </row>
    <row r="294">
      <c r="A294" s="9" t="n"/>
      <c r="B294" s="33" t="n"/>
      <c r="I294" s="9" t="n"/>
      <c r="L294" s="26">
        <f>IF($C294="","",IFERROR(IF(INDEX(campaigns!$BG$2:$BG$51,MATCH($C294,campaigns!$A$2:$A$51,0))="","",INDEX(campaigns!$BG$2:$BG$51,MATCH($C294,campaigns!$A$2:$A$51,0))),""))</f>
        <v/>
      </c>
      <c r="M294" s="25">
        <f>IF($C294="","",IF(OR($E294="received"),N($G294),IF(OR($E294="rejected",$E294="delivered",$E294="topped_up"),-N($G294),IF(AND(OR($E294="returned_to_brand",$E294="given_to_roster_office",$E294="released_to_office",$E294="disposed"),IF($F294="","reserve",$F294)="reserve"),-N($G294),IF(AND($E294="correction",IF($F294="","reserve",$F294)="reserve"),N($G294),0)))))</f>
        <v/>
      </c>
      <c r="N294" s="25">
        <f>IF($C294="","",IF($E294="rejected",N($G294),IF(AND(OR($E294="returned_to_brand",$E294="given_to_roster_office",$E294="released_to_office",$E294="disposed"),IF($F294="","reserve",$F294)="rejected"),-N($G294),IF(AND($E294="correction",IF($F294="","reserve",$F294)="rejected"),N($G294),0))))</f>
        <v/>
      </c>
      <c r="O294" s="25">
        <f>IF($C294="","",IF($E294="collected",N($G294),IF(AND(OR($E294="returned_to_brand",$E294="given_to_roster_office",$E294="released_to_office",$E294="disposed"),IF($F294="","reserve",$F294)="leftover"),-N($G294),IF(AND($E294="correction",IF($F294="","reserve",$F294)="leftover"),N($G294),0))))</f>
        <v/>
      </c>
      <c r="P294" s="25">
        <f>IF(OR($E294&lt;&gt;"received",$I294="",$L294=""),"",IF($I294&gt;=$L294+config!$B$19,"Y","N"))</f>
        <v/>
      </c>
      <c r="Q294" s="25">
        <f>IF($C294="","",IF(COUNTIF(campaigns!$A$2:$A$51,$C294)=0,"campaign_id not on campaigns; ",IF(AND($D294&lt;&gt;"",COUNTIFS(approvals!$A$2:$A$251,$C294,approvals!$B$2:$B$251,$D294)=0),"office not on this campaign (approvals tab); ",""))&amp;IF(AND(OR($E294="delivered",$E294="topped_up",$E294="collected"),$D294=""),"office needed; ","")&amp;IF(AND($E294&lt;&gt;"correction",N($G294)&lt;=0),"qty must be above 0; ","")&amp;IF(AND($E294="received",OR($I294="",$H294="")),"log lot and best-by; ","")&amp;IF(AND($P294="N",SUMIFS(inventory!$G$2:$G$801,inventory!$C$2:$C$801,$C294,inventory!$H$2:$H$801,$H294,inventory!$E$2:$E$801,"rejected")&lt;N($G294)),"UNDER "&amp;config!$B$19&amp;" DAYS LEFT ON THE DROP DAY: reject these units; ","")&amp;IF(AND($E294="delivered",COUNTIF(inventory!$R$2:$R$801,$R294)&gt;1),"two delivered rows for this office: use one; ","")&amp;IF(AND($E294="delivered",$J294=""),"who counted?; ",""))</f>
        <v/>
      </c>
      <c r="R294" s="25">
        <f>IF($C294="","",$C294&amp;"|"&amp;$D294&amp;"|"&amp;$E294)</f>
        <v/>
      </c>
    </row>
    <row r="295">
      <c r="A295" s="9" t="n"/>
      <c r="B295" s="33" t="n"/>
      <c r="I295" s="9" t="n"/>
      <c r="L295" s="26">
        <f>IF($C295="","",IFERROR(IF(INDEX(campaigns!$BG$2:$BG$51,MATCH($C295,campaigns!$A$2:$A$51,0))="","",INDEX(campaigns!$BG$2:$BG$51,MATCH($C295,campaigns!$A$2:$A$51,0))),""))</f>
        <v/>
      </c>
      <c r="M295" s="25">
        <f>IF($C295="","",IF(OR($E295="received"),N($G295),IF(OR($E295="rejected",$E295="delivered",$E295="topped_up"),-N($G295),IF(AND(OR($E295="returned_to_brand",$E295="given_to_roster_office",$E295="released_to_office",$E295="disposed"),IF($F295="","reserve",$F295)="reserve"),-N($G295),IF(AND($E295="correction",IF($F295="","reserve",$F295)="reserve"),N($G295),0)))))</f>
        <v/>
      </c>
      <c r="N295" s="25">
        <f>IF($C295="","",IF($E295="rejected",N($G295),IF(AND(OR($E295="returned_to_brand",$E295="given_to_roster_office",$E295="released_to_office",$E295="disposed"),IF($F295="","reserve",$F295)="rejected"),-N($G295),IF(AND($E295="correction",IF($F295="","reserve",$F295)="rejected"),N($G295),0))))</f>
        <v/>
      </c>
      <c r="O295" s="25">
        <f>IF($C295="","",IF($E295="collected",N($G295),IF(AND(OR($E295="returned_to_brand",$E295="given_to_roster_office",$E295="released_to_office",$E295="disposed"),IF($F295="","reserve",$F295)="leftover"),-N($G295),IF(AND($E295="correction",IF($F295="","reserve",$F295)="leftover"),N($G295),0))))</f>
        <v/>
      </c>
      <c r="P295" s="25">
        <f>IF(OR($E295&lt;&gt;"received",$I295="",$L295=""),"",IF($I295&gt;=$L295+config!$B$19,"Y","N"))</f>
        <v/>
      </c>
      <c r="Q295" s="25">
        <f>IF($C295="","",IF(COUNTIF(campaigns!$A$2:$A$51,$C295)=0,"campaign_id not on campaigns; ",IF(AND($D295&lt;&gt;"",COUNTIFS(approvals!$A$2:$A$251,$C295,approvals!$B$2:$B$251,$D295)=0),"office not on this campaign (approvals tab); ",""))&amp;IF(AND(OR($E295="delivered",$E295="topped_up",$E295="collected"),$D295=""),"office needed; ","")&amp;IF(AND($E295&lt;&gt;"correction",N($G295)&lt;=0),"qty must be above 0; ","")&amp;IF(AND($E295="received",OR($I295="",$H295="")),"log lot and best-by; ","")&amp;IF(AND($P295="N",SUMIFS(inventory!$G$2:$G$801,inventory!$C$2:$C$801,$C295,inventory!$H$2:$H$801,$H295,inventory!$E$2:$E$801,"rejected")&lt;N($G295)),"UNDER "&amp;config!$B$19&amp;" DAYS LEFT ON THE DROP DAY: reject these units; ","")&amp;IF(AND($E295="delivered",COUNTIF(inventory!$R$2:$R$801,$R295)&gt;1),"two delivered rows for this office: use one; ","")&amp;IF(AND($E295="delivered",$J295=""),"who counted?; ",""))</f>
        <v/>
      </c>
      <c r="R295" s="25">
        <f>IF($C295="","",$C295&amp;"|"&amp;$D295&amp;"|"&amp;$E295)</f>
        <v/>
      </c>
    </row>
    <row r="296">
      <c r="A296" s="9" t="n"/>
      <c r="B296" s="33" t="n"/>
      <c r="I296" s="9" t="n"/>
      <c r="L296" s="26">
        <f>IF($C296="","",IFERROR(IF(INDEX(campaigns!$BG$2:$BG$51,MATCH($C296,campaigns!$A$2:$A$51,0))="","",INDEX(campaigns!$BG$2:$BG$51,MATCH($C296,campaigns!$A$2:$A$51,0))),""))</f>
        <v/>
      </c>
      <c r="M296" s="25">
        <f>IF($C296="","",IF(OR($E296="received"),N($G296),IF(OR($E296="rejected",$E296="delivered",$E296="topped_up"),-N($G296),IF(AND(OR($E296="returned_to_brand",$E296="given_to_roster_office",$E296="released_to_office",$E296="disposed"),IF($F296="","reserve",$F296)="reserve"),-N($G296),IF(AND($E296="correction",IF($F296="","reserve",$F296)="reserve"),N($G296),0)))))</f>
        <v/>
      </c>
      <c r="N296" s="25">
        <f>IF($C296="","",IF($E296="rejected",N($G296),IF(AND(OR($E296="returned_to_brand",$E296="given_to_roster_office",$E296="released_to_office",$E296="disposed"),IF($F296="","reserve",$F296)="rejected"),-N($G296),IF(AND($E296="correction",IF($F296="","reserve",$F296)="rejected"),N($G296),0))))</f>
        <v/>
      </c>
      <c r="O296" s="25">
        <f>IF($C296="","",IF($E296="collected",N($G296),IF(AND(OR($E296="returned_to_brand",$E296="given_to_roster_office",$E296="released_to_office",$E296="disposed"),IF($F296="","reserve",$F296)="leftover"),-N($G296),IF(AND($E296="correction",IF($F296="","reserve",$F296)="leftover"),N($G296),0))))</f>
        <v/>
      </c>
      <c r="P296" s="25">
        <f>IF(OR($E296&lt;&gt;"received",$I296="",$L296=""),"",IF($I296&gt;=$L296+config!$B$19,"Y","N"))</f>
        <v/>
      </c>
      <c r="Q296" s="25">
        <f>IF($C296="","",IF(COUNTIF(campaigns!$A$2:$A$51,$C296)=0,"campaign_id not on campaigns; ",IF(AND($D296&lt;&gt;"",COUNTIFS(approvals!$A$2:$A$251,$C296,approvals!$B$2:$B$251,$D296)=0),"office not on this campaign (approvals tab); ",""))&amp;IF(AND(OR($E296="delivered",$E296="topped_up",$E296="collected"),$D296=""),"office needed; ","")&amp;IF(AND($E296&lt;&gt;"correction",N($G296)&lt;=0),"qty must be above 0; ","")&amp;IF(AND($E296="received",OR($I296="",$H296="")),"log lot and best-by; ","")&amp;IF(AND($P296="N",SUMIFS(inventory!$G$2:$G$801,inventory!$C$2:$C$801,$C296,inventory!$H$2:$H$801,$H296,inventory!$E$2:$E$801,"rejected")&lt;N($G296)),"UNDER "&amp;config!$B$19&amp;" DAYS LEFT ON THE DROP DAY: reject these units; ","")&amp;IF(AND($E296="delivered",COUNTIF(inventory!$R$2:$R$801,$R296)&gt;1),"two delivered rows for this office: use one; ","")&amp;IF(AND($E296="delivered",$J296=""),"who counted?; ",""))</f>
        <v/>
      </c>
      <c r="R296" s="25">
        <f>IF($C296="","",$C296&amp;"|"&amp;$D296&amp;"|"&amp;$E296)</f>
        <v/>
      </c>
    </row>
    <row r="297">
      <c r="A297" s="9" t="n"/>
      <c r="B297" s="33" t="n"/>
      <c r="I297" s="9" t="n"/>
      <c r="L297" s="26">
        <f>IF($C297="","",IFERROR(IF(INDEX(campaigns!$BG$2:$BG$51,MATCH($C297,campaigns!$A$2:$A$51,0))="","",INDEX(campaigns!$BG$2:$BG$51,MATCH($C297,campaigns!$A$2:$A$51,0))),""))</f>
        <v/>
      </c>
      <c r="M297" s="25">
        <f>IF($C297="","",IF(OR($E297="received"),N($G297),IF(OR($E297="rejected",$E297="delivered",$E297="topped_up"),-N($G297),IF(AND(OR($E297="returned_to_brand",$E297="given_to_roster_office",$E297="released_to_office",$E297="disposed"),IF($F297="","reserve",$F297)="reserve"),-N($G297),IF(AND($E297="correction",IF($F297="","reserve",$F297)="reserve"),N($G297),0)))))</f>
        <v/>
      </c>
      <c r="N297" s="25">
        <f>IF($C297="","",IF($E297="rejected",N($G297),IF(AND(OR($E297="returned_to_brand",$E297="given_to_roster_office",$E297="released_to_office",$E297="disposed"),IF($F297="","reserve",$F297)="rejected"),-N($G297),IF(AND($E297="correction",IF($F297="","reserve",$F297)="rejected"),N($G297),0))))</f>
        <v/>
      </c>
      <c r="O297" s="25">
        <f>IF($C297="","",IF($E297="collected",N($G297),IF(AND(OR($E297="returned_to_brand",$E297="given_to_roster_office",$E297="released_to_office",$E297="disposed"),IF($F297="","reserve",$F297)="leftover"),-N($G297),IF(AND($E297="correction",IF($F297="","reserve",$F297)="leftover"),N($G297),0))))</f>
        <v/>
      </c>
      <c r="P297" s="25">
        <f>IF(OR($E297&lt;&gt;"received",$I297="",$L297=""),"",IF($I297&gt;=$L297+config!$B$19,"Y","N"))</f>
        <v/>
      </c>
      <c r="Q297" s="25">
        <f>IF($C297="","",IF(COUNTIF(campaigns!$A$2:$A$51,$C297)=0,"campaign_id not on campaigns; ",IF(AND($D297&lt;&gt;"",COUNTIFS(approvals!$A$2:$A$251,$C297,approvals!$B$2:$B$251,$D297)=0),"office not on this campaign (approvals tab); ",""))&amp;IF(AND(OR($E297="delivered",$E297="topped_up",$E297="collected"),$D297=""),"office needed; ","")&amp;IF(AND($E297&lt;&gt;"correction",N($G297)&lt;=0),"qty must be above 0; ","")&amp;IF(AND($E297="received",OR($I297="",$H297="")),"log lot and best-by; ","")&amp;IF(AND($P297="N",SUMIFS(inventory!$G$2:$G$801,inventory!$C$2:$C$801,$C297,inventory!$H$2:$H$801,$H297,inventory!$E$2:$E$801,"rejected")&lt;N($G297)),"UNDER "&amp;config!$B$19&amp;" DAYS LEFT ON THE DROP DAY: reject these units; ","")&amp;IF(AND($E297="delivered",COUNTIF(inventory!$R$2:$R$801,$R297)&gt;1),"two delivered rows for this office: use one; ","")&amp;IF(AND($E297="delivered",$J297=""),"who counted?; ",""))</f>
        <v/>
      </c>
      <c r="R297" s="25">
        <f>IF($C297="","",$C297&amp;"|"&amp;$D297&amp;"|"&amp;$E297)</f>
        <v/>
      </c>
    </row>
    <row r="298">
      <c r="A298" s="9" t="n"/>
      <c r="B298" s="33" t="n"/>
      <c r="I298" s="9" t="n"/>
      <c r="L298" s="26">
        <f>IF($C298="","",IFERROR(IF(INDEX(campaigns!$BG$2:$BG$51,MATCH($C298,campaigns!$A$2:$A$51,0))="","",INDEX(campaigns!$BG$2:$BG$51,MATCH($C298,campaigns!$A$2:$A$51,0))),""))</f>
        <v/>
      </c>
      <c r="M298" s="25">
        <f>IF($C298="","",IF(OR($E298="received"),N($G298),IF(OR($E298="rejected",$E298="delivered",$E298="topped_up"),-N($G298),IF(AND(OR($E298="returned_to_brand",$E298="given_to_roster_office",$E298="released_to_office",$E298="disposed"),IF($F298="","reserve",$F298)="reserve"),-N($G298),IF(AND($E298="correction",IF($F298="","reserve",$F298)="reserve"),N($G298),0)))))</f>
        <v/>
      </c>
      <c r="N298" s="25">
        <f>IF($C298="","",IF($E298="rejected",N($G298),IF(AND(OR($E298="returned_to_brand",$E298="given_to_roster_office",$E298="released_to_office",$E298="disposed"),IF($F298="","reserve",$F298)="rejected"),-N($G298),IF(AND($E298="correction",IF($F298="","reserve",$F298)="rejected"),N($G298),0))))</f>
        <v/>
      </c>
      <c r="O298" s="25">
        <f>IF($C298="","",IF($E298="collected",N($G298),IF(AND(OR($E298="returned_to_brand",$E298="given_to_roster_office",$E298="released_to_office",$E298="disposed"),IF($F298="","reserve",$F298)="leftover"),-N($G298),IF(AND($E298="correction",IF($F298="","reserve",$F298)="leftover"),N($G298),0))))</f>
        <v/>
      </c>
      <c r="P298" s="25">
        <f>IF(OR($E298&lt;&gt;"received",$I298="",$L298=""),"",IF($I298&gt;=$L298+config!$B$19,"Y","N"))</f>
        <v/>
      </c>
      <c r="Q298" s="25">
        <f>IF($C298="","",IF(COUNTIF(campaigns!$A$2:$A$51,$C298)=0,"campaign_id not on campaigns; ",IF(AND($D298&lt;&gt;"",COUNTIFS(approvals!$A$2:$A$251,$C298,approvals!$B$2:$B$251,$D298)=0),"office not on this campaign (approvals tab); ",""))&amp;IF(AND(OR($E298="delivered",$E298="topped_up",$E298="collected"),$D298=""),"office needed; ","")&amp;IF(AND($E298&lt;&gt;"correction",N($G298)&lt;=0),"qty must be above 0; ","")&amp;IF(AND($E298="received",OR($I298="",$H298="")),"log lot and best-by; ","")&amp;IF(AND($P298="N",SUMIFS(inventory!$G$2:$G$801,inventory!$C$2:$C$801,$C298,inventory!$H$2:$H$801,$H298,inventory!$E$2:$E$801,"rejected")&lt;N($G298)),"UNDER "&amp;config!$B$19&amp;" DAYS LEFT ON THE DROP DAY: reject these units; ","")&amp;IF(AND($E298="delivered",COUNTIF(inventory!$R$2:$R$801,$R298)&gt;1),"two delivered rows for this office: use one; ","")&amp;IF(AND($E298="delivered",$J298=""),"who counted?; ",""))</f>
        <v/>
      </c>
      <c r="R298" s="25">
        <f>IF($C298="","",$C298&amp;"|"&amp;$D298&amp;"|"&amp;$E298)</f>
        <v/>
      </c>
    </row>
    <row r="299">
      <c r="A299" s="9" t="n"/>
      <c r="B299" s="33" t="n"/>
      <c r="I299" s="9" t="n"/>
      <c r="L299" s="26">
        <f>IF($C299="","",IFERROR(IF(INDEX(campaigns!$BG$2:$BG$51,MATCH($C299,campaigns!$A$2:$A$51,0))="","",INDEX(campaigns!$BG$2:$BG$51,MATCH($C299,campaigns!$A$2:$A$51,0))),""))</f>
        <v/>
      </c>
      <c r="M299" s="25">
        <f>IF($C299="","",IF(OR($E299="received"),N($G299),IF(OR($E299="rejected",$E299="delivered",$E299="topped_up"),-N($G299),IF(AND(OR($E299="returned_to_brand",$E299="given_to_roster_office",$E299="released_to_office",$E299="disposed"),IF($F299="","reserve",$F299)="reserve"),-N($G299),IF(AND($E299="correction",IF($F299="","reserve",$F299)="reserve"),N($G299),0)))))</f>
        <v/>
      </c>
      <c r="N299" s="25">
        <f>IF($C299="","",IF($E299="rejected",N($G299),IF(AND(OR($E299="returned_to_brand",$E299="given_to_roster_office",$E299="released_to_office",$E299="disposed"),IF($F299="","reserve",$F299)="rejected"),-N($G299),IF(AND($E299="correction",IF($F299="","reserve",$F299)="rejected"),N($G299),0))))</f>
        <v/>
      </c>
      <c r="O299" s="25">
        <f>IF($C299="","",IF($E299="collected",N($G299),IF(AND(OR($E299="returned_to_brand",$E299="given_to_roster_office",$E299="released_to_office",$E299="disposed"),IF($F299="","reserve",$F299)="leftover"),-N($G299),IF(AND($E299="correction",IF($F299="","reserve",$F299)="leftover"),N($G299),0))))</f>
        <v/>
      </c>
      <c r="P299" s="25">
        <f>IF(OR($E299&lt;&gt;"received",$I299="",$L299=""),"",IF($I299&gt;=$L299+config!$B$19,"Y","N"))</f>
        <v/>
      </c>
      <c r="Q299" s="25">
        <f>IF($C299="","",IF(COUNTIF(campaigns!$A$2:$A$51,$C299)=0,"campaign_id not on campaigns; ",IF(AND($D299&lt;&gt;"",COUNTIFS(approvals!$A$2:$A$251,$C299,approvals!$B$2:$B$251,$D299)=0),"office not on this campaign (approvals tab); ",""))&amp;IF(AND(OR($E299="delivered",$E299="topped_up",$E299="collected"),$D299=""),"office needed; ","")&amp;IF(AND($E299&lt;&gt;"correction",N($G299)&lt;=0),"qty must be above 0; ","")&amp;IF(AND($E299="received",OR($I299="",$H299="")),"log lot and best-by; ","")&amp;IF(AND($P299="N",SUMIFS(inventory!$G$2:$G$801,inventory!$C$2:$C$801,$C299,inventory!$H$2:$H$801,$H299,inventory!$E$2:$E$801,"rejected")&lt;N($G299)),"UNDER "&amp;config!$B$19&amp;" DAYS LEFT ON THE DROP DAY: reject these units; ","")&amp;IF(AND($E299="delivered",COUNTIF(inventory!$R$2:$R$801,$R299)&gt;1),"two delivered rows for this office: use one; ","")&amp;IF(AND($E299="delivered",$J299=""),"who counted?; ",""))</f>
        <v/>
      </c>
      <c r="R299" s="25">
        <f>IF($C299="","",$C299&amp;"|"&amp;$D299&amp;"|"&amp;$E299)</f>
        <v/>
      </c>
    </row>
    <row r="300">
      <c r="A300" s="9" t="n"/>
      <c r="B300" s="33" t="n"/>
      <c r="I300" s="9" t="n"/>
      <c r="L300" s="26">
        <f>IF($C300="","",IFERROR(IF(INDEX(campaigns!$BG$2:$BG$51,MATCH($C300,campaigns!$A$2:$A$51,0))="","",INDEX(campaigns!$BG$2:$BG$51,MATCH($C300,campaigns!$A$2:$A$51,0))),""))</f>
        <v/>
      </c>
      <c r="M300" s="25">
        <f>IF($C300="","",IF(OR($E300="received"),N($G300),IF(OR($E300="rejected",$E300="delivered",$E300="topped_up"),-N($G300),IF(AND(OR($E300="returned_to_brand",$E300="given_to_roster_office",$E300="released_to_office",$E300="disposed"),IF($F300="","reserve",$F300)="reserve"),-N($G300),IF(AND($E300="correction",IF($F300="","reserve",$F300)="reserve"),N($G300),0)))))</f>
        <v/>
      </c>
      <c r="N300" s="25">
        <f>IF($C300="","",IF($E300="rejected",N($G300),IF(AND(OR($E300="returned_to_brand",$E300="given_to_roster_office",$E300="released_to_office",$E300="disposed"),IF($F300="","reserve",$F300)="rejected"),-N($G300),IF(AND($E300="correction",IF($F300="","reserve",$F300)="rejected"),N($G300),0))))</f>
        <v/>
      </c>
      <c r="O300" s="25">
        <f>IF($C300="","",IF($E300="collected",N($G300),IF(AND(OR($E300="returned_to_brand",$E300="given_to_roster_office",$E300="released_to_office",$E300="disposed"),IF($F300="","reserve",$F300)="leftover"),-N($G300),IF(AND($E300="correction",IF($F300="","reserve",$F300)="leftover"),N($G300),0))))</f>
        <v/>
      </c>
      <c r="P300" s="25">
        <f>IF(OR($E300&lt;&gt;"received",$I300="",$L300=""),"",IF($I300&gt;=$L300+config!$B$19,"Y","N"))</f>
        <v/>
      </c>
      <c r="Q300" s="25">
        <f>IF($C300="","",IF(COUNTIF(campaigns!$A$2:$A$51,$C300)=0,"campaign_id not on campaigns; ",IF(AND($D300&lt;&gt;"",COUNTIFS(approvals!$A$2:$A$251,$C300,approvals!$B$2:$B$251,$D300)=0),"office not on this campaign (approvals tab); ",""))&amp;IF(AND(OR($E300="delivered",$E300="topped_up",$E300="collected"),$D300=""),"office needed; ","")&amp;IF(AND($E300&lt;&gt;"correction",N($G300)&lt;=0),"qty must be above 0; ","")&amp;IF(AND($E300="received",OR($I300="",$H300="")),"log lot and best-by; ","")&amp;IF(AND($P300="N",SUMIFS(inventory!$G$2:$G$801,inventory!$C$2:$C$801,$C300,inventory!$H$2:$H$801,$H300,inventory!$E$2:$E$801,"rejected")&lt;N($G300)),"UNDER "&amp;config!$B$19&amp;" DAYS LEFT ON THE DROP DAY: reject these units; ","")&amp;IF(AND($E300="delivered",COUNTIF(inventory!$R$2:$R$801,$R300)&gt;1),"two delivered rows for this office: use one; ","")&amp;IF(AND($E300="delivered",$J300=""),"who counted?; ",""))</f>
        <v/>
      </c>
      <c r="R300" s="25">
        <f>IF($C300="","",$C300&amp;"|"&amp;$D300&amp;"|"&amp;$E300)</f>
        <v/>
      </c>
    </row>
    <row r="301">
      <c r="A301" s="9" t="n"/>
      <c r="B301" s="33" t="n"/>
      <c r="I301" s="9" t="n"/>
      <c r="L301" s="26">
        <f>IF($C301="","",IFERROR(IF(INDEX(campaigns!$BG$2:$BG$51,MATCH($C301,campaigns!$A$2:$A$51,0))="","",INDEX(campaigns!$BG$2:$BG$51,MATCH($C301,campaigns!$A$2:$A$51,0))),""))</f>
        <v/>
      </c>
      <c r="M301" s="25">
        <f>IF($C301="","",IF(OR($E301="received"),N($G301),IF(OR($E301="rejected",$E301="delivered",$E301="topped_up"),-N($G301),IF(AND(OR($E301="returned_to_brand",$E301="given_to_roster_office",$E301="released_to_office",$E301="disposed"),IF($F301="","reserve",$F301)="reserve"),-N($G301),IF(AND($E301="correction",IF($F301="","reserve",$F301)="reserve"),N($G301),0)))))</f>
        <v/>
      </c>
      <c r="N301" s="25">
        <f>IF($C301="","",IF($E301="rejected",N($G301),IF(AND(OR($E301="returned_to_brand",$E301="given_to_roster_office",$E301="released_to_office",$E301="disposed"),IF($F301="","reserve",$F301)="rejected"),-N($G301),IF(AND($E301="correction",IF($F301="","reserve",$F301)="rejected"),N($G301),0))))</f>
        <v/>
      </c>
      <c r="O301" s="25">
        <f>IF($C301="","",IF($E301="collected",N($G301),IF(AND(OR($E301="returned_to_brand",$E301="given_to_roster_office",$E301="released_to_office",$E301="disposed"),IF($F301="","reserve",$F301)="leftover"),-N($G301),IF(AND($E301="correction",IF($F301="","reserve",$F301)="leftover"),N($G301),0))))</f>
        <v/>
      </c>
      <c r="P301" s="25">
        <f>IF(OR($E301&lt;&gt;"received",$I301="",$L301=""),"",IF($I301&gt;=$L301+config!$B$19,"Y","N"))</f>
        <v/>
      </c>
      <c r="Q301" s="25">
        <f>IF($C301="","",IF(COUNTIF(campaigns!$A$2:$A$51,$C301)=0,"campaign_id not on campaigns; ",IF(AND($D301&lt;&gt;"",COUNTIFS(approvals!$A$2:$A$251,$C301,approvals!$B$2:$B$251,$D301)=0),"office not on this campaign (approvals tab); ",""))&amp;IF(AND(OR($E301="delivered",$E301="topped_up",$E301="collected"),$D301=""),"office needed; ","")&amp;IF(AND($E301&lt;&gt;"correction",N($G301)&lt;=0),"qty must be above 0; ","")&amp;IF(AND($E301="received",OR($I301="",$H301="")),"log lot and best-by; ","")&amp;IF(AND($P301="N",SUMIFS(inventory!$G$2:$G$801,inventory!$C$2:$C$801,$C301,inventory!$H$2:$H$801,$H301,inventory!$E$2:$E$801,"rejected")&lt;N($G301)),"UNDER "&amp;config!$B$19&amp;" DAYS LEFT ON THE DROP DAY: reject these units; ","")&amp;IF(AND($E301="delivered",COUNTIF(inventory!$R$2:$R$801,$R301)&gt;1),"two delivered rows for this office: use one; ","")&amp;IF(AND($E301="delivered",$J301=""),"who counted?; ",""))</f>
        <v/>
      </c>
      <c r="R301" s="25">
        <f>IF($C301="","",$C301&amp;"|"&amp;$D301&amp;"|"&amp;$E301)</f>
        <v/>
      </c>
    </row>
    <row r="302">
      <c r="A302" s="9" t="n"/>
      <c r="B302" s="33" t="n"/>
      <c r="I302" s="9" t="n"/>
      <c r="L302" s="26">
        <f>IF($C302="","",IFERROR(IF(INDEX(campaigns!$BG$2:$BG$51,MATCH($C302,campaigns!$A$2:$A$51,0))="","",INDEX(campaigns!$BG$2:$BG$51,MATCH($C302,campaigns!$A$2:$A$51,0))),""))</f>
        <v/>
      </c>
      <c r="M302" s="25">
        <f>IF($C302="","",IF(OR($E302="received"),N($G302),IF(OR($E302="rejected",$E302="delivered",$E302="topped_up"),-N($G302),IF(AND(OR($E302="returned_to_brand",$E302="given_to_roster_office",$E302="released_to_office",$E302="disposed"),IF($F302="","reserve",$F302)="reserve"),-N($G302),IF(AND($E302="correction",IF($F302="","reserve",$F302)="reserve"),N($G302),0)))))</f>
        <v/>
      </c>
      <c r="N302" s="25">
        <f>IF($C302="","",IF($E302="rejected",N($G302),IF(AND(OR($E302="returned_to_brand",$E302="given_to_roster_office",$E302="released_to_office",$E302="disposed"),IF($F302="","reserve",$F302)="rejected"),-N($G302),IF(AND($E302="correction",IF($F302="","reserve",$F302)="rejected"),N($G302),0))))</f>
        <v/>
      </c>
      <c r="O302" s="25">
        <f>IF($C302="","",IF($E302="collected",N($G302),IF(AND(OR($E302="returned_to_brand",$E302="given_to_roster_office",$E302="released_to_office",$E302="disposed"),IF($F302="","reserve",$F302)="leftover"),-N($G302),IF(AND($E302="correction",IF($F302="","reserve",$F302)="leftover"),N($G302),0))))</f>
        <v/>
      </c>
      <c r="P302" s="25">
        <f>IF(OR($E302&lt;&gt;"received",$I302="",$L302=""),"",IF($I302&gt;=$L302+config!$B$19,"Y","N"))</f>
        <v/>
      </c>
      <c r="Q302" s="25">
        <f>IF($C302="","",IF(COUNTIF(campaigns!$A$2:$A$51,$C302)=0,"campaign_id not on campaigns; ",IF(AND($D302&lt;&gt;"",COUNTIFS(approvals!$A$2:$A$251,$C302,approvals!$B$2:$B$251,$D302)=0),"office not on this campaign (approvals tab); ",""))&amp;IF(AND(OR($E302="delivered",$E302="topped_up",$E302="collected"),$D302=""),"office needed; ","")&amp;IF(AND($E302&lt;&gt;"correction",N($G302)&lt;=0),"qty must be above 0; ","")&amp;IF(AND($E302="received",OR($I302="",$H302="")),"log lot and best-by; ","")&amp;IF(AND($P302="N",SUMIFS(inventory!$G$2:$G$801,inventory!$C$2:$C$801,$C302,inventory!$H$2:$H$801,$H302,inventory!$E$2:$E$801,"rejected")&lt;N($G302)),"UNDER "&amp;config!$B$19&amp;" DAYS LEFT ON THE DROP DAY: reject these units; ","")&amp;IF(AND($E302="delivered",COUNTIF(inventory!$R$2:$R$801,$R302)&gt;1),"two delivered rows for this office: use one; ","")&amp;IF(AND($E302="delivered",$J302=""),"who counted?; ",""))</f>
        <v/>
      </c>
      <c r="R302" s="25">
        <f>IF($C302="","",$C302&amp;"|"&amp;$D302&amp;"|"&amp;$E302)</f>
        <v/>
      </c>
    </row>
    <row r="303">
      <c r="A303" s="9" t="n"/>
      <c r="B303" s="33" t="n"/>
      <c r="I303" s="9" t="n"/>
      <c r="L303" s="26">
        <f>IF($C303="","",IFERROR(IF(INDEX(campaigns!$BG$2:$BG$51,MATCH($C303,campaigns!$A$2:$A$51,0))="","",INDEX(campaigns!$BG$2:$BG$51,MATCH($C303,campaigns!$A$2:$A$51,0))),""))</f>
        <v/>
      </c>
      <c r="M303" s="25">
        <f>IF($C303="","",IF(OR($E303="received"),N($G303),IF(OR($E303="rejected",$E303="delivered",$E303="topped_up"),-N($G303),IF(AND(OR($E303="returned_to_brand",$E303="given_to_roster_office",$E303="released_to_office",$E303="disposed"),IF($F303="","reserve",$F303)="reserve"),-N($G303),IF(AND($E303="correction",IF($F303="","reserve",$F303)="reserve"),N($G303),0)))))</f>
        <v/>
      </c>
      <c r="N303" s="25">
        <f>IF($C303="","",IF($E303="rejected",N($G303),IF(AND(OR($E303="returned_to_brand",$E303="given_to_roster_office",$E303="released_to_office",$E303="disposed"),IF($F303="","reserve",$F303)="rejected"),-N($G303),IF(AND($E303="correction",IF($F303="","reserve",$F303)="rejected"),N($G303),0))))</f>
        <v/>
      </c>
      <c r="O303" s="25">
        <f>IF($C303="","",IF($E303="collected",N($G303),IF(AND(OR($E303="returned_to_brand",$E303="given_to_roster_office",$E303="released_to_office",$E303="disposed"),IF($F303="","reserve",$F303)="leftover"),-N($G303),IF(AND($E303="correction",IF($F303="","reserve",$F303)="leftover"),N($G303),0))))</f>
        <v/>
      </c>
      <c r="P303" s="25">
        <f>IF(OR($E303&lt;&gt;"received",$I303="",$L303=""),"",IF($I303&gt;=$L303+config!$B$19,"Y","N"))</f>
        <v/>
      </c>
      <c r="Q303" s="25">
        <f>IF($C303="","",IF(COUNTIF(campaigns!$A$2:$A$51,$C303)=0,"campaign_id not on campaigns; ",IF(AND($D303&lt;&gt;"",COUNTIFS(approvals!$A$2:$A$251,$C303,approvals!$B$2:$B$251,$D303)=0),"office not on this campaign (approvals tab); ",""))&amp;IF(AND(OR($E303="delivered",$E303="topped_up",$E303="collected"),$D303=""),"office needed; ","")&amp;IF(AND($E303&lt;&gt;"correction",N($G303)&lt;=0),"qty must be above 0; ","")&amp;IF(AND($E303="received",OR($I303="",$H303="")),"log lot and best-by; ","")&amp;IF(AND($P303="N",SUMIFS(inventory!$G$2:$G$801,inventory!$C$2:$C$801,$C303,inventory!$H$2:$H$801,$H303,inventory!$E$2:$E$801,"rejected")&lt;N($G303)),"UNDER "&amp;config!$B$19&amp;" DAYS LEFT ON THE DROP DAY: reject these units; ","")&amp;IF(AND($E303="delivered",COUNTIF(inventory!$R$2:$R$801,$R303)&gt;1),"two delivered rows for this office: use one; ","")&amp;IF(AND($E303="delivered",$J303=""),"who counted?; ",""))</f>
        <v/>
      </c>
      <c r="R303" s="25">
        <f>IF($C303="","",$C303&amp;"|"&amp;$D303&amp;"|"&amp;$E303)</f>
        <v/>
      </c>
    </row>
    <row r="304">
      <c r="A304" s="9" t="n"/>
      <c r="B304" s="33" t="n"/>
      <c r="I304" s="9" t="n"/>
      <c r="L304" s="26">
        <f>IF($C304="","",IFERROR(IF(INDEX(campaigns!$BG$2:$BG$51,MATCH($C304,campaigns!$A$2:$A$51,0))="","",INDEX(campaigns!$BG$2:$BG$51,MATCH($C304,campaigns!$A$2:$A$51,0))),""))</f>
        <v/>
      </c>
      <c r="M304" s="25">
        <f>IF($C304="","",IF(OR($E304="received"),N($G304),IF(OR($E304="rejected",$E304="delivered",$E304="topped_up"),-N($G304),IF(AND(OR($E304="returned_to_brand",$E304="given_to_roster_office",$E304="released_to_office",$E304="disposed"),IF($F304="","reserve",$F304)="reserve"),-N($G304),IF(AND($E304="correction",IF($F304="","reserve",$F304)="reserve"),N($G304),0)))))</f>
        <v/>
      </c>
      <c r="N304" s="25">
        <f>IF($C304="","",IF($E304="rejected",N($G304),IF(AND(OR($E304="returned_to_brand",$E304="given_to_roster_office",$E304="released_to_office",$E304="disposed"),IF($F304="","reserve",$F304)="rejected"),-N($G304),IF(AND($E304="correction",IF($F304="","reserve",$F304)="rejected"),N($G304),0))))</f>
        <v/>
      </c>
      <c r="O304" s="25">
        <f>IF($C304="","",IF($E304="collected",N($G304),IF(AND(OR($E304="returned_to_brand",$E304="given_to_roster_office",$E304="released_to_office",$E304="disposed"),IF($F304="","reserve",$F304)="leftover"),-N($G304),IF(AND($E304="correction",IF($F304="","reserve",$F304)="leftover"),N($G304),0))))</f>
        <v/>
      </c>
      <c r="P304" s="25">
        <f>IF(OR($E304&lt;&gt;"received",$I304="",$L304=""),"",IF($I304&gt;=$L304+config!$B$19,"Y","N"))</f>
        <v/>
      </c>
      <c r="Q304" s="25">
        <f>IF($C304="","",IF(COUNTIF(campaigns!$A$2:$A$51,$C304)=0,"campaign_id not on campaigns; ",IF(AND($D304&lt;&gt;"",COUNTIFS(approvals!$A$2:$A$251,$C304,approvals!$B$2:$B$251,$D304)=0),"office not on this campaign (approvals tab); ",""))&amp;IF(AND(OR($E304="delivered",$E304="topped_up",$E304="collected"),$D304=""),"office needed; ","")&amp;IF(AND($E304&lt;&gt;"correction",N($G304)&lt;=0),"qty must be above 0; ","")&amp;IF(AND($E304="received",OR($I304="",$H304="")),"log lot and best-by; ","")&amp;IF(AND($P304="N",SUMIFS(inventory!$G$2:$G$801,inventory!$C$2:$C$801,$C304,inventory!$H$2:$H$801,$H304,inventory!$E$2:$E$801,"rejected")&lt;N($G304)),"UNDER "&amp;config!$B$19&amp;" DAYS LEFT ON THE DROP DAY: reject these units; ","")&amp;IF(AND($E304="delivered",COUNTIF(inventory!$R$2:$R$801,$R304)&gt;1),"two delivered rows for this office: use one; ","")&amp;IF(AND($E304="delivered",$J304=""),"who counted?; ",""))</f>
        <v/>
      </c>
      <c r="R304" s="25">
        <f>IF($C304="","",$C304&amp;"|"&amp;$D304&amp;"|"&amp;$E304)</f>
        <v/>
      </c>
    </row>
    <row r="305">
      <c r="A305" s="9" t="n"/>
      <c r="B305" s="33" t="n"/>
      <c r="I305" s="9" t="n"/>
      <c r="L305" s="26">
        <f>IF($C305="","",IFERROR(IF(INDEX(campaigns!$BG$2:$BG$51,MATCH($C305,campaigns!$A$2:$A$51,0))="","",INDEX(campaigns!$BG$2:$BG$51,MATCH($C305,campaigns!$A$2:$A$51,0))),""))</f>
        <v/>
      </c>
      <c r="M305" s="25">
        <f>IF($C305="","",IF(OR($E305="received"),N($G305),IF(OR($E305="rejected",$E305="delivered",$E305="topped_up"),-N($G305),IF(AND(OR($E305="returned_to_brand",$E305="given_to_roster_office",$E305="released_to_office",$E305="disposed"),IF($F305="","reserve",$F305)="reserve"),-N($G305),IF(AND($E305="correction",IF($F305="","reserve",$F305)="reserve"),N($G305),0)))))</f>
        <v/>
      </c>
      <c r="N305" s="25">
        <f>IF($C305="","",IF($E305="rejected",N($G305),IF(AND(OR($E305="returned_to_brand",$E305="given_to_roster_office",$E305="released_to_office",$E305="disposed"),IF($F305="","reserve",$F305)="rejected"),-N($G305),IF(AND($E305="correction",IF($F305="","reserve",$F305)="rejected"),N($G305),0))))</f>
        <v/>
      </c>
      <c r="O305" s="25">
        <f>IF($C305="","",IF($E305="collected",N($G305),IF(AND(OR($E305="returned_to_brand",$E305="given_to_roster_office",$E305="released_to_office",$E305="disposed"),IF($F305="","reserve",$F305)="leftover"),-N($G305),IF(AND($E305="correction",IF($F305="","reserve",$F305)="leftover"),N($G305),0))))</f>
        <v/>
      </c>
      <c r="P305" s="25">
        <f>IF(OR($E305&lt;&gt;"received",$I305="",$L305=""),"",IF($I305&gt;=$L305+config!$B$19,"Y","N"))</f>
        <v/>
      </c>
      <c r="Q305" s="25">
        <f>IF($C305="","",IF(COUNTIF(campaigns!$A$2:$A$51,$C305)=0,"campaign_id not on campaigns; ",IF(AND($D305&lt;&gt;"",COUNTIFS(approvals!$A$2:$A$251,$C305,approvals!$B$2:$B$251,$D305)=0),"office not on this campaign (approvals tab); ",""))&amp;IF(AND(OR($E305="delivered",$E305="topped_up",$E305="collected"),$D305=""),"office needed; ","")&amp;IF(AND($E305&lt;&gt;"correction",N($G305)&lt;=0),"qty must be above 0; ","")&amp;IF(AND($E305="received",OR($I305="",$H305="")),"log lot and best-by; ","")&amp;IF(AND($P305="N",SUMIFS(inventory!$G$2:$G$801,inventory!$C$2:$C$801,$C305,inventory!$H$2:$H$801,$H305,inventory!$E$2:$E$801,"rejected")&lt;N($G305)),"UNDER "&amp;config!$B$19&amp;" DAYS LEFT ON THE DROP DAY: reject these units; ","")&amp;IF(AND($E305="delivered",COUNTIF(inventory!$R$2:$R$801,$R305)&gt;1),"two delivered rows for this office: use one; ","")&amp;IF(AND($E305="delivered",$J305=""),"who counted?; ",""))</f>
        <v/>
      </c>
      <c r="R305" s="25">
        <f>IF($C305="","",$C305&amp;"|"&amp;$D305&amp;"|"&amp;$E305)</f>
        <v/>
      </c>
    </row>
    <row r="306">
      <c r="A306" s="9" t="n"/>
      <c r="B306" s="33" t="n"/>
      <c r="I306" s="9" t="n"/>
      <c r="L306" s="26">
        <f>IF($C306="","",IFERROR(IF(INDEX(campaigns!$BG$2:$BG$51,MATCH($C306,campaigns!$A$2:$A$51,0))="","",INDEX(campaigns!$BG$2:$BG$51,MATCH($C306,campaigns!$A$2:$A$51,0))),""))</f>
        <v/>
      </c>
      <c r="M306" s="25">
        <f>IF($C306="","",IF(OR($E306="received"),N($G306),IF(OR($E306="rejected",$E306="delivered",$E306="topped_up"),-N($G306),IF(AND(OR($E306="returned_to_brand",$E306="given_to_roster_office",$E306="released_to_office",$E306="disposed"),IF($F306="","reserve",$F306)="reserve"),-N($G306),IF(AND($E306="correction",IF($F306="","reserve",$F306)="reserve"),N($G306),0)))))</f>
        <v/>
      </c>
      <c r="N306" s="25">
        <f>IF($C306="","",IF($E306="rejected",N($G306),IF(AND(OR($E306="returned_to_brand",$E306="given_to_roster_office",$E306="released_to_office",$E306="disposed"),IF($F306="","reserve",$F306)="rejected"),-N($G306),IF(AND($E306="correction",IF($F306="","reserve",$F306)="rejected"),N($G306),0))))</f>
        <v/>
      </c>
      <c r="O306" s="25">
        <f>IF($C306="","",IF($E306="collected",N($G306),IF(AND(OR($E306="returned_to_brand",$E306="given_to_roster_office",$E306="released_to_office",$E306="disposed"),IF($F306="","reserve",$F306)="leftover"),-N($G306),IF(AND($E306="correction",IF($F306="","reserve",$F306)="leftover"),N($G306),0))))</f>
        <v/>
      </c>
      <c r="P306" s="25">
        <f>IF(OR($E306&lt;&gt;"received",$I306="",$L306=""),"",IF($I306&gt;=$L306+config!$B$19,"Y","N"))</f>
        <v/>
      </c>
      <c r="Q306" s="25">
        <f>IF($C306="","",IF(COUNTIF(campaigns!$A$2:$A$51,$C306)=0,"campaign_id not on campaigns; ",IF(AND($D306&lt;&gt;"",COUNTIFS(approvals!$A$2:$A$251,$C306,approvals!$B$2:$B$251,$D306)=0),"office not on this campaign (approvals tab); ",""))&amp;IF(AND(OR($E306="delivered",$E306="topped_up",$E306="collected"),$D306=""),"office needed; ","")&amp;IF(AND($E306&lt;&gt;"correction",N($G306)&lt;=0),"qty must be above 0; ","")&amp;IF(AND($E306="received",OR($I306="",$H306="")),"log lot and best-by; ","")&amp;IF(AND($P306="N",SUMIFS(inventory!$G$2:$G$801,inventory!$C$2:$C$801,$C306,inventory!$H$2:$H$801,$H306,inventory!$E$2:$E$801,"rejected")&lt;N($G306)),"UNDER "&amp;config!$B$19&amp;" DAYS LEFT ON THE DROP DAY: reject these units; ","")&amp;IF(AND($E306="delivered",COUNTIF(inventory!$R$2:$R$801,$R306)&gt;1),"two delivered rows for this office: use one; ","")&amp;IF(AND($E306="delivered",$J306=""),"who counted?; ",""))</f>
        <v/>
      </c>
      <c r="R306" s="25">
        <f>IF($C306="","",$C306&amp;"|"&amp;$D306&amp;"|"&amp;$E306)</f>
        <v/>
      </c>
    </row>
    <row r="307">
      <c r="A307" s="9" t="n"/>
      <c r="B307" s="33" t="n"/>
      <c r="I307" s="9" t="n"/>
      <c r="L307" s="26">
        <f>IF($C307="","",IFERROR(IF(INDEX(campaigns!$BG$2:$BG$51,MATCH($C307,campaigns!$A$2:$A$51,0))="","",INDEX(campaigns!$BG$2:$BG$51,MATCH($C307,campaigns!$A$2:$A$51,0))),""))</f>
        <v/>
      </c>
      <c r="M307" s="25">
        <f>IF($C307="","",IF(OR($E307="received"),N($G307),IF(OR($E307="rejected",$E307="delivered",$E307="topped_up"),-N($G307),IF(AND(OR($E307="returned_to_brand",$E307="given_to_roster_office",$E307="released_to_office",$E307="disposed"),IF($F307="","reserve",$F307)="reserve"),-N($G307),IF(AND($E307="correction",IF($F307="","reserve",$F307)="reserve"),N($G307),0)))))</f>
        <v/>
      </c>
      <c r="N307" s="25">
        <f>IF($C307="","",IF($E307="rejected",N($G307),IF(AND(OR($E307="returned_to_brand",$E307="given_to_roster_office",$E307="released_to_office",$E307="disposed"),IF($F307="","reserve",$F307)="rejected"),-N($G307),IF(AND($E307="correction",IF($F307="","reserve",$F307)="rejected"),N($G307),0))))</f>
        <v/>
      </c>
      <c r="O307" s="25">
        <f>IF($C307="","",IF($E307="collected",N($G307),IF(AND(OR($E307="returned_to_brand",$E307="given_to_roster_office",$E307="released_to_office",$E307="disposed"),IF($F307="","reserve",$F307)="leftover"),-N($G307),IF(AND($E307="correction",IF($F307="","reserve",$F307)="leftover"),N($G307),0))))</f>
        <v/>
      </c>
      <c r="P307" s="25">
        <f>IF(OR($E307&lt;&gt;"received",$I307="",$L307=""),"",IF($I307&gt;=$L307+config!$B$19,"Y","N"))</f>
        <v/>
      </c>
      <c r="Q307" s="25">
        <f>IF($C307="","",IF(COUNTIF(campaigns!$A$2:$A$51,$C307)=0,"campaign_id not on campaigns; ",IF(AND($D307&lt;&gt;"",COUNTIFS(approvals!$A$2:$A$251,$C307,approvals!$B$2:$B$251,$D307)=0),"office not on this campaign (approvals tab); ",""))&amp;IF(AND(OR($E307="delivered",$E307="topped_up",$E307="collected"),$D307=""),"office needed; ","")&amp;IF(AND($E307&lt;&gt;"correction",N($G307)&lt;=0),"qty must be above 0; ","")&amp;IF(AND($E307="received",OR($I307="",$H307="")),"log lot and best-by; ","")&amp;IF(AND($P307="N",SUMIFS(inventory!$G$2:$G$801,inventory!$C$2:$C$801,$C307,inventory!$H$2:$H$801,$H307,inventory!$E$2:$E$801,"rejected")&lt;N($G307)),"UNDER "&amp;config!$B$19&amp;" DAYS LEFT ON THE DROP DAY: reject these units; ","")&amp;IF(AND($E307="delivered",COUNTIF(inventory!$R$2:$R$801,$R307)&gt;1),"two delivered rows for this office: use one; ","")&amp;IF(AND($E307="delivered",$J307=""),"who counted?; ",""))</f>
        <v/>
      </c>
      <c r="R307" s="25">
        <f>IF($C307="","",$C307&amp;"|"&amp;$D307&amp;"|"&amp;$E307)</f>
        <v/>
      </c>
    </row>
    <row r="308">
      <c r="A308" s="9" t="n"/>
      <c r="B308" s="33" t="n"/>
      <c r="I308" s="9" t="n"/>
      <c r="L308" s="26">
        <f>IF($C308="","",IFERROR(IF(INDEX(campaigns!$BG$2:$BG$51,MATCH($C308,campaigns!$A$2:$A$51,0))="","",INDEX(campaigns!$BG$2:$BG$51,MATCH($C308,campaigns!$A$2:$A$51,0))),""))</f>
        <v/>
      </c>
      <c r="M308" s="25">
        <f>IF($C308="","",IF(OR($E308="received"),N($G308),IF(OR($E308="rejected",$E308="delivered",$E308="topped_up"),-N($G308),IF(AND(OR($E308="returned_to_brand",$E308="given_to_roster_office",$E308="released_to_office",$E308="disposed"),IF($F308="","reserve",$F308)="reserve"),-N($G308),IF(AND($E308="correction",IF($F308="","reserve",$F308)="reserve"),N($G308),0)))))</f>
        <v/>
      </c>
      <c r="N308" s="25">
        <f>IF($C308="","",IF($E308="rejected",N($G308),IF(AND(OR($E308="returned_to_brand",$E308="given_to_roster_office",$E308="released_to_office",$E308="disposed"),IF($F308="","reserve",$F308)="rejected"),-N($G308),IF(AND($E308="correction",IF($F308="","reserve",$F308)="rejected"),N($G308),0))))</f>
        <v/>
      </c>
      <c r="O308" s="25">
        <f>IF($C308="","",IF($E308="collected",N($G308),IF(AND(OR($E308="returned_to_brand",$E308="given_to_roster_office",$E308="released_to_office",$E308="disposed"),IF($F308="","reserve",$F308)="leftover"),-N($G308),IF(AND($E308="correction",IF($F308="","reserve",$F308)="leftover"),N($G308),0))))</f>
        <v/>
      </c>
      <c r="P308" s="25">
        <f>IF(OR($E308&lt;&gt;"received",$I308="",$L308=""),"",IF($I308&gt;=$L308+config!$B$19,"Y","N"))</f>
        <v/>
      </c>
      <c r="Q308" s="25">
        <f>IF($C308="","",IF(COUNTIF(campaigns!$A$2:$A$51,$C308)=0,"campaign_id not on campaigns; ",IF(AND($D308&lt;&gt;"",COUNTIFS(approvals!$A$2:$A$251,$C308,approvals!$B$2:$B$251,$D308)=0),"office not on this campaign (approvals tab); ",""))&amp;IF(AND(OR($E308="delivered",$E308="topped_up",$E308="collected"),$D308=""),"office needed; ","")&amp;IF(AND($E308&lt;&gt;"correction",N($G308)&lt;=0),"qty must be above 0; ","")&amp;IF(AND($E308="received",OR($I308="",$H308="")),"log lot and best-by; ","")&amp;IF(AND($P308="N",SUMIFS(inventory!$G$2:$G$801,inventory!$C$2:$C$801,$C308,inventory!$H$2:$H$801,$H308,inventory!$E$2:$E$801,"rejected")&lt;N($G308)),"UNDER "&amp;config!$B$19&amp;" DAYS LEFT ON THE DROP DAY: reject these units; ","")&amp;IF(AND($E308="delivered",COUNTIF(inventory!$R$2:$R$801,$R308)&gt;1),"two delivered rows for this office: use one; ","")&amp;IF(AND($E308="delivered",$J308=""),"who counted?; ",""))</f>
        <v/>
      </c>
      <c r="R308" s="25">
        <f>IF($C308="","",$C308&amp;"|"&amp;$D308&amp;"|"&amp;$E308)</f>
        <v/>
      </c>
    </row>
    <row r="309">
      <c r="A309" s="9" t="n"/>
      <c r="B309" s="33" t="n"/>
      <c r="I309" s="9" t="n"/>
      <c r="L309" s="26">
        <f>IF($C309="","",IFERROR(IF(INDEX(campaigns!$BG$2:$BG$51,MATCH($C309,campaigns!$A$2:$A$51,0))="","",INDEX(campaigns!$BG$2:$BG$51,MATCH($C309,campaigns!$A$2:$A$51,0))),""))</f>
        <v/>
      </c>
      <c r="M309" s="25">
        <f>IF($C309="","",IF(OR($E309="received"),N($G309),IF(OR($E309="rejected",$E309="delivered",$E309="topped_up"),-N($G309),IF(AND(OR($E309="returned_to_brand",$E309="given_to_roster_office",$E309="released_to_office",$E309="disposed"),IF($F309="","reserve",$F309)="reserve"),-N($G309),IF(AND($E309="correction",IF($F309="","reserve",$F309)="reserve"),N($G309),0)))))</f>
        <v/>
      </c>
      <c r="N309" s="25">
        <f>IF($C309="","",IF($E309="rejected",N($G309),IF(AND(OR($E309="returned_to_brand",$E309="given_to_roster_office",$E309="released_to_office",$E309="disposed"),IF($F309="","reserve",$F309)="rejected"),-N($G309),IF(AND($E309="correction",IF($F309="","reserve",$F309)="rejected"),N($G309),0))))</f>
        <v/>
      </c>
      <c r="O309" s="25">
        <f>IF($C309="","",IF($E309="collected",N($G309),IF(AND(OR($E309="returned_to_brand",$E309="given_to_roster_office",$E309="released_to_office",$E309="disposed"),IF($F309="","reserve",$F309)="leftover"),-N($G309),IF(AND($E309="correction",IF($F309="","reserve",$F309)="leftover"),N($G309),0))))</f>
        <v/>
      </c>
      <c r="P309" s="25">
        <f>IF(OR($E309&lt;&gt;"received",$I309="",$L309=""),"",IF($I309&gt;=$L309+config!$B$19,"Y","N"))</f>
        <v/>
      </c>
      <c r="Q309" s="25">
        <f>IF($C309="","",IF(COUNTIF(campaigns!$A$2:$A$51,$C309)=0,"campaign_id not on campaigns; ",IF(AND($D309&lt;&gt;"",COUNTIFS(approvals!$A$2:$A$251,$C309,approvals!$B$2:$B$251,$D309)=0),"office not on this campaign (approvals tab); ",""))&amp;IF(AND(OR($E309="delivered",$E309="topped_up",$E309="collected"),$D309=""),"office needed; ","")&amp;IF(AND($E309&lt;&gt;"correction",N($G309)&lt;=0),"qty must be above 0; ","")&amp;IF(AND($E309="received",OR($I309="",$H309="")),"log lot and best-by; ","")&amp;IF(AND($P309="N",SUMIFS(inventory!$G$2:$G$801,inventory!$C$2:$C$801,$C309,inventory!$H$2:$H$801,$H309,inventory!$E$2:$E$801,"rejected")&lt;N($G309)),"UNDER "&amp;config!$B$19&amp;" DAYS LEFT ON THE DROP DAY: reject these units; ","")&amp;IF(AND($E309="delivered",COUNTIF(inventory!$R$2:$R$801,$R309)&gt;1),"two delivered rows for this office: use one; ","")&amp;IF(AND($E309="delivered",$J309=""),"who counted?; ",""))</f>
        <v/>
      </c>
      <c r="R309" s="25">
        <f>IF($C309="","",$C309&amp;"|"&amp;$D309&amp;"|"&amp;$E309)</f>
        <v/>
      </c>
    </row>
    <row r="310">
      <c r="A310" s="9" t="n"/>
      <c r="B310" s="33" t="n"/>
      <c r="I310" s="9" t="n"/>
      <c r="L310" s="26">
        <f>IF($C310="","",IFERROR(IF(INDEX(campaigns!$BG$2:$BG$51,MATCH($C310,campaigns!$A$2:$A$51,0))="","",INDEX(campaigns!$BG$2:$BG$51,MATCH($C310,campaigns!$A$2:$A$51,0))),""))</f>
        <v/>
      </c>
      <c r="M310" s="25">
        <f>IF($C310="","",IF(OR($E310="received"),N($G310),IF(OR($E310="rejected",$E310="delivered",$E310="topped_up"),-N($G310),IF(AND(OR($E310="returned_to_brand",$E310="given_to_roster_office",$E310="released_to_office",$E310="disposed"),IF($F310="","reserve",$F310)="reserve"),-N($G310),IF(AND($E310="correction",IF($F310="","reserve",$F310)="reserve"),N($G310),0)))))</f>
        <v/>
      </c>
      <c r="N310" s="25">
        <f>IF($C310="","",IF($E310="rejected",N($G310),IF(AND(OR($E310="returned_to_brand",$E310="given_to_roster_office",$E310="released_to_office",$E310="disposed"),IF($F310="","reserve",$F310)="rejected"),-N($G310),IF(AND($E310="correction",IF($F310="","reserve",$F310)="rejected"),N($G310),0))))</f>
        <v/>
      </c>
      <c r="O310" s="25">
        <f>IF($C310="","",IF($E310="collected",N($G310),IF(AND(OR($E310="returned_to_brand",$E310="given_to_roster_office",$E310="released_to_office",$E310="disposed"),IF($F310="","reserve",$F310)="leftover"),-N($G310),IF(AND($E310="correction",IF($F310="","reserve",$F310)="leftover"),N($G310),0))))</f>
        <v/>
      </c>
      <c r="P310" s="25">
        <f>IF(OR($E310&lt;&gt;"received",$I310="",$L310=""),"",IF($I310&gt;=$L310+config!$B$19,"Y","N"))</f>
        <v/>
      </c>
      <c r="Q310" s="25">
        <f>IF($C310="","",IF(COUNTIF(campaigns!$A$2:$A$51,$C310)=0,"campaign_id not on campaigns; ",IF(AND($D310&lt;&gt;"",COUNTIFS(approvals!$A$2:$A$251,$C310,approvals!$B$2:$B$251,$D310)=0),"office not on this campaign (approvals tab); ",""))&amp;IF(AND(OR($E310="delivered",$E310="topped_up",$E310="collected"),$D310=""),"office needed; ","")&amp;IF(AND($E310&lt;&gt;"correction",N($G310)&lt;=0),"qty must be above 0; ","")&amp;IF(AND($E310="received",OR($I310="",$H310="")),"log lot and best-by; ","")&amp;IF(AND($P310="N",SUMIFS(inventory!$G$2:$G$801,inventory!$C$2:$C$801,$C310,inventory!$H$2:$H$801,$H310,inventory!$E$2:$E$801,"rejected")&lt;N($G310)),"UNDER "&amp;config!$B$19&amp;" DAYS LEFT ON THE DROP DAY: reject these units; ","")&amp;IF(AND($E310="delivered",COUNTIF(inventory!$R$2:$R$801,$R310)&gt;1),"two delivered rows for this office: use one; ","")&amp;IF(AND($E310="delivered",$J310=""),"who counted?; ",""))</f>
        <v/>
      </c>
      <c r="R310" s="25">
        <f>IF($C310="","",$C310&amp;"|"&amp;$D310&amp;"|"&amp;$E310)</f>
        <v/>
      </c>
    </row>
    <row r="311">
      <c r="A311" s="9" t="n"/>
      <c r="B311" s="33" t="n"/>
      <c r="I311" s="9" t="n"/>
      <c r="L311" s="26">
        <f>IF($C311="","",IFERROR(IF(INDEX(campaigns!$BG$2:$BG$51,MATCH($C311,campaigns!$A$2:$A$51,0))="","",INDEX(campaigns!$BG$2:$BG$51,MATCH($C311,campaigns!$A$2:$A$51,0))),""))</f>
        <v/>
      </c>
      <c r="M311" s="25">
        <f>IF($C311="","",IF(OR($E311="received"),N($G311),IF(OR($E311="rejected",$E311="delivered",$E311="topped_up"),-N($G311),IF(AND(OR($E311="returned_to_brand",$E311="given_to_roster_office",$E311="released_to_office",$E311="disposed"),IF($F311="","reserve",$F311)="reserve"),-N($G311),IF(AND($E311="correction",IF($F311="","reserve",$F311)="reserve"),N($G311),0)))))</f>
        <v/>
      </c>
      <c r="N311" s="25">
        <f>IF($C311="","",IF($E311="rejected",N($G311),IF(AND(OR($E311="returned_to_brand",$E311="given_to_roster_office",$E311="released_to_office",$E311="disposed"),IF($F311="","reserve",$F311)="rejected"),-N($G311),IF(AND($E311="correction",IF($F311="","reserve",$F311)="rejected"),N($G311),0))))</f>
        <v/>
      </c>
      <c r="O311" s="25">
        <f>IF($C311="","",IF($E311="collected",N($G311),IF(AND(OR($E311="returned_to_brand",$E311="given_to_roster_office",$E311="released_to_office",$E311="disposed"),IF($F311="","reserve",$F311)="leftover"),-N($G311),IF(AND($E311="correction",IF($F311="","reserve",$F311)="leftover"),N($G311),0))))</f>
        <v/>
      </c>
      <c r="P311" s="25">
        <f>IF(OR($E311&lt;&gt;"received",$I311="",$L311=""),"",IF($I311&gt;=$L311+config!$B$19,"Y","N"))</f>
        <v/>
      </c>
      <c r="Q311" s="25">
        <f>IF($C311="","",IF(COUNTIF(campaigns!$A$2:$A$51,$C311)=0,"campaign_id not on campaigns; ",IF(AND($D311&lt;&gt;"",COUNTIFS(approvals!$A$2:$A$251,$C311,approvals!$B$2:$B$251,$D311)=0),"office not on this campaign (approvals tab); ",""))&amp;IF(AND(OR($E311="delivered",$E311="topped_up",$E311="collected"),$D311=""),"office needed; ","")&amp;IF(AND($E311&lt;&gt;"correction",N($G311)&lt;=0),"qty must be above 0; ","")&amp;IF(AND($E311="received",OR($I311="",$H311="")),"log lot and best-by; ","")&amp;IF(AND($P311="N",SUMIFS(inventory!$G$2:$G$801,inventory!$C$2:$C$801,$C311,inventory!$H$2:$H$801,$H311,inventory!$E$2:$E$801,"rejected")&lt;N($G311)),"UNDER "&amp;config!$B$19&amp;" DAYS LEFT ON THE DROP DAY: reject these units; ","")&amp;IF(AND($E311="delivered",COUNTIF(inventory!$R$2:$R$801,$R311)&gt;1),"two delivered rows for this office: use one; ","")&amp;IF(AND($E311="delivered",$J311=""),"who counted?; ",""))</f>
        <v/>
      </c>
      <c r="R311" s="25">
        <f>IF($C311="","",$C311&amp;"|"&amp;$D311&amp;"|"&amp;$E311)</f>
        <v/>
      </c>
    </row>
    <row r="312">
      <c r="A312" s="9" t="n"/>
      <c r="B312" s="33" t="n"/>
      <c r="I312" s="9" t="n"/>
      <c r="L312" s="26">
        <f>IF($C312="","",IFERROR(IF(INDEX(campaigns!$BG$2:$BG$51,MATCH($C312,campaigns!$A$2:$A$51,0))="","",INDEX(campaigns!$BG$2:$BG$51,MATCH($C312,campaigns!$A$2:$A$51,0))),""))</f>
        <v/>
      </c>
      <c r="M312" s="25">
        <f>IF($C312="","",IF(OR($E312="received"),N($G312),IF(OR($E312="rejected",$E312="delivered",$E312="topped_up"),-N($G312),IF(AND(OR($E312="returned_to_brand",$E312="given_to_roster_office",$E312="released_to_office",$E312="disposed"),IF($F312="","reserve",$F312)="reserve"),-N($G312),IF(AND($E312="correction",IF($F312="","reserve",$F312)="reserve"),N($G312),0)))))</f>
        <v/>
      </c>
      <c r="N312" s="25">
        <f>IF($C312="","",IF($E312="rejected",N($G312),IF(AND(OR($E312="returned_to_brand",$E312="given_to_roster_office",$E312="released_to_office",$E312="disposed"),IF($F312="","reserve",$F312)="rejected"),-N($G312),IF(AND($E312="correction",IF($F312="","reserve",$F312)="rejected"),N($G312),0))))</f>
        <v/>
      </c>
      <c r="O312" s="25">
        <f>IF($C312="","",IF($E312="collected",N($G312),IF(AND(OR($E312="returned_to_brand",$E312="given_to_roster_office",$E312="released_to_office",$E312="disposed"),IF($F312="","reserve",$F312)="leftover"),-N($G312),IF(AND($E312="correction",IF($F312="","reserve",$F312)="leftover"),N($G312),0))))</f>
        <v/>
      </c>
      <c r="P312" s="25">
        <f>IF(OR($E312&lt;&gt;"received",$I312="",$L312=""),"",IF($I312&gt;=$L312+config!$B$19,"Y","N"))</f>
        <v/>
      </c>
      <c r="Q312" s="25">
        <f>IF($C312="","",IF(COUNTIF(campaigns!$A$2:$A$51,$C312)=0,"campaign_id not on campaigns; ",IF(AND($D312&lt;&gt;"",COUNTIFS(approvals!$A$2:$A$251,$C312,approvals!$B$2:$B$251,$D312)=0),"office not on this campaign (approvals tab); ",""))&amp;IF(AND(OR($E312="delivered",$E312="topped_up",$E312="collected"),$D312=""),"office needed; ","")&amp;IF(AND($E312&lt;&gt;"correction",N($G312)&lt;=0),"qty must be above 0; ","")&amp;IF(AND($E312="received",OR($I312="",$H312="")),"log lot and best-by; ","")&amp;IF(AND($P312="N",SUMIFS(inventory!$G$2:$G$801,inventory!$C$2:$C$801,$C312,inventory!$H$2:$H$801,$H312,inventory!$E$2:$E$801,"rejected")&lt;N($G312)),"UNDER "&amp;config!$B$19&amp;" DAYS LEFT ON THE DROP DAY: reject these units; ","")&amp;IF(AND($E312="delivered",COUNTIF(inventory!$R$2:$R$801,$R312)&gt;1),"two delivered rows for this office: use one; ","")&amp;IF(AND($E312="delivered",$J312=""),"who counted?; ",""))</f>
        <v/>
      </c>
      <c r="R312" s="25">
        <f>IF($C312="","",$C312&amp;"|"&amp;$D312&amp;"|"&amp;$E312)</f>
        <v/>
      </c>
    </row>
    <row r="313">
      <c r="A313" s="9" t="n"/>
      <c r="B313" s="33" t="n"/>
      <c r="I313" s="9" t="n"/>
      <c r="L313" s="26">
        <f>IF($C313="","",IFERROR(IF(INDEX(campaigns!$BG$2:$BG$51,MATCH($C313,campaigns!$A$2:$A$51,0))="","",INDEX(campaigns!$BG$2:$BG$51,MATCH($C313,campaigns!$A$2:$A$51,0))),""))</f>
        <v/>
      </c>
      <c r="M313" s="25">
        <f>IF($C313="","",IF(OR($E313="received"),N($G313),IF(OR($E313="rejected",$E313="delivered",$E313="topped_up"),-N($G313),IF(AND(OR($E313="returned_to_brand",$E313="given_to_roster_office",$E313="released_to_office",$E313="disposed"),IF($F313="","reserve",$F313)="reserve"),-N($G313),IF(AND($E313="correction",IF($F313="","reserve",$F313)="reserve"),N($G313),0)))))</f>
        <v/>
      </c>
      <c r="N313" s="25">
        <f>IF($C313="","",IF($E313="rejected",N($G313),IF(AND(OR($E313="returned_to_brand",$E313="given_to_roster_office",$E313="released_to_office",$E313="disposed"),IF($F313="","reserve",$F313)="rejected"),-N($G313),IF(AND($E313="correction",IF($F313="","reserve",$F313)="rejected"),N($G313),0))))</f>
        <v/>
      </c>
      <c r="O313" s="25">
        <f>IF($C313="","",IF($E313="collected",N($G313),IF(AND(OR($E313="returned_to_brand",$E313="given_to_roster_office",$E313="released_to_office",$E313="disposed"),IF($F313="","reserve",$F313)="leftover"),-N($G313),IF(AND($E313="correction",IF($F313="","reserve",$F313)="leftover"),N($G313),0))))</f>
        <v/>
      </c>
      <c r="P313" s="25">
        <f>IF(OR($E313&lt;&gt;"received",$I313="",$L313=""),"",IF($I313&gt;=$L313+config!$B$19,"Y","N"))</f>
        <v/>
      </c>
      <c r="Q313" s="25">
        <f>IF($C313="","",IF(COUNTIF(campaigns!$A$2:$A$51,$C313)=0,"campaign_id not on campaigns; ",IF(AND($D313&lt;&gt;"",COUNTIFS(approvals!$A$2:$A$251,$C313,approvals!$B$2:$B$251,$D313)=0),"office not on this campaign (approvals tab); ",""))&amp;IF(AND(OR($E313="delivered",$E313="topped_up",$E313="collected"),$D313=""),"office needed; ","")&amp;IF(AND($E313&lt;&gt;"correction",N($G313)&lt;=0),"qty must be above 0; ","")&amp;IF(AND($E313="received",OR($I313="",$H313="")),"log lot and best-by; ","")&amp;IF(AND($P313="N",SUMIFS(inventory!$G$2:$G$801,inventory!$C$2:$C$801,$C313,inventory!$H$2:$H$801,$H313,inventory!$E$2:$E$801,"rejected")&lt;N($G313)),"UNDER "&amp;config!$B$19&amp;" DAYS LEFT ON THE DROP DAY: reject these units; ","")&amp;IF(AND($E313="delivered",COUNTIF(inventory!$R$2:$R$801,$R313)&gt;1),"two delivered rows for this office: use one; ","")&amp;IF(AND($E313="delivered",$J313=""),"who counted?; ",""))</f>
        <v/>
      </c>
      <c r="R313" s="25">
        <f>IF($C313="","",$C313&amp;"|"&amp;$D313&amp;"|"&amp;$E313)</f>
        <v/>
      </c>
    </row>
    <row r="314">
      <c r="A314" s="9" t="n"/>
      <c r="B314" s="33" t="n"/>
      <c r="I314" s="9" t="n"/>
      <c r="L314" s="26">
        <f>IF($C314="","",IFERROR(IF(INDEX(campaigns!$BG$2:$BG$51,MATCH($C314,campaigns!$A$2:$A$51,0))="","",INDEX(campaigns!$BG$2:$BG$51,MATCH($C314,campaigns!$A$2:$A$51,0))),""))</f>
        <v/>
      </c>
      <c r="M314" s="25">
        <f>IF($C314="","",IF(OR($E314="received"),N($G314),IF(OR($E314="rejected",$E314="delivered",$E314="topped_up"),-N($G314),IF(AND(OR($E314="returned_to_brand",$E314="given_to_roster_office",$E314="released_to_office",$E314="disposed"),IF($F314="","reserve",$F314)="reserve"),-N($G314),IF(AND($E314="correction",IF($F314="","reserve",$F314)="reserve"),N($G314),0)))))</f>
        <v/>
      </c>
      <c r="N314" s="25">
        <f>IF($C314="","",IF($E314="rejected",N($G314),IF(AND(OR($E314="returned_to_brand",$E314="given_to_roster_office",$E314="released_to_office",$E314="disposed"),IF($F314="","reserve",$F314)="rejected"),-N($G314),IF(AND($E314="correction",IF($F314="","reserve",$F314)="rejected"),N($G314),0))))</f>
        <v/>
      </c>
      <c r="O314" s="25">
        <f>IF($C314="","",IF($E314="collected",N($G314),IF(AND(OR($E314="returned_to_brand",$E314="given_to_roster_office",$E314="released_to_office",$E314="disposed"),IF($F314="","reserve",$F314)="leftover"),-N($G314),IF(AND($E314="correction",IF($F314="","reserve",$F314)="leftover"),N($G314),0))))</f>
        <v/>
      </c>
      <c r="P314" s="25">
        <f>IF(OR($E314&lt;&gt;"received",$I314="",$L314=""),"",IF($I314&gt;=$L314+config!$B$19,"Y","N"))</f>
        <v/>
      </c>
      <c r="Q314" s="25">
        <f>IF($C314="","",IF(COUNTIF(campaigns!$A$2:$A$51,$C314)=0,"campaign_id not on campaigns; ",IF(AND($D314&lt;&gt;"",COUNTIFS(approvals!$A$2:$A$251,$C314,approvals!$B$2:$B$251,$D314)=0),"office not on this campaign (approvals tab); ",""))&amp;IF(AND(OR($E314="delivered",$E314="topped_up",$E314="collected"),$D314=""),"office needed; ","")&amp;IF(AND($E314&lt;&gt;"correction",N($G314)&lt;=0),"qty must be above 0; ","")&amp;IF(AND($E314="received",OR($I314="",$H314="")),"log lot and best-by; ","")&amp;IF(AND($P314="N",SUMIFS(inventory!$G$2:$G$801,inventory!$C$2:$C$801,$C314,inventory!$H$2:$H$801,$H314,inventory!$E$2:$E$801,"rejected")&lt;N($G314)),"UNDER "&amp;config!$B$19&amp;" DAYS LEFT ON THE DROP DAY: reject these units; ","")&amp;IF(AND($E314="delivered",COUNTIF(inventory!$R$2:$R$801,$R314)&gt;1),"two delivered rows for this office: use one; ","")&amp;IF(AND($E314="delivered",$J314=""),"who counted?; ",""))</f>
        <v/>
      </c>
      <c r="R314" s="25">
        <f>IF($C314="","",$C314&amp;"|"&amp;$D314&amp;"|"&amp;$E314)</f>
        <v/>
      </c>
    </row>
    <row r="315">
      <c r="A315" s="9" t="n"/>
      <c r="B315" s="33" t="n"/>
      <c r="I315" s="9" t="n"/>
      <c r="L315" s="26">
        <f>IF($C315="","",IFERROR(IF(INDEX(campaigns!$BG$2:$BG$51,MATCH($C315,campaigns!$A$2:$A$51,0))="","",INDEX(campaigns!$BG$2:$BG$51,MATCH($C315,campaigns!$A$2:$A$51,0))),""))</f>
        <v/>
      </c>
      <c r="M315" s="25">
        <f>IF($C315="","",IF(OR($E315="received"),N($G315),IF(OR($E315="rejected",$E315="delivered",$E315="topped_up"),-N($G315),IF(AND(OR($E315="returned_to_brand",$E315="given_to_roster_office",$E315="released_to_office",$E315="disposed"),IF($F315="","reserve",$F315)="reserve"),-N($G315),IF(AND($E315="correction",IF($F315="","reserve",$F315)="reserve"),N($G315),0)))))</f>
        <v/>
      </c>
      <c r="N315" s="25">
        <f>IF($C315="","",IF($E315="rejected",N($G315),IF(AND(OR($E315="returned_to_brand",$E315="given_to_roster_office",$E315="released_to_office",$E315="disposed"),IF($F315="","reserve",$F315)="rejected"),-N($G315),IF(AND($E315="correction",IF($F315="","reserve",$F315)="rejected"),N($G315),0))))</f>
        <v/>
      </c>
      <c r="O315" s="25">
        <f>IF($C315="","",IF($E315="collected",N($G315),IF(AND(OR($E315="returned_to_brand",$E315="given_to_roster_office",$E315="released_to_office",$E315="disposed"),IF($F315="","reserve",$F315)="leftover"),-N($G315),IF(AND($E315="correction",IF($F315="","reserve",$F315)="leftover"),N($G315),0))))</f>
        <v/>
      </c>
      <c r="P315" s="25">
        <f>IF(OR($E315&lt;&gt;"received",$I315="",$L315=""),"",IF($I315&gt;=$L315+config!$B$19,"Y","N"))</f>
        <v/>
      </c>
      <c r="Q315" s="25">
        <f>IF($C315="","",IF(COUNTIF(campaigns!$A$2:$A$51,$C315)=0,"campaign_id not on campaigns; ",IF(AND($D315&lt;&gt;"",COUNTIFS(approvals!$A$2:$A$251,$C315,approvals!$B$2:$B$251,$D315)=0),"office not on this campaign (approvals tab); ",""))&amp;IF(AND(OR($E315="delivered",$E315="topped_up",$E315="collected"),$D315=""),"office needed; ","")&amp;IF(AND($E315&lt;&gt;"correction",N($G315)&lt;=0),"qty must be above 0; ","")&amp;IF(AND($E315="received",OR($I315="",$H315="")),"log lot and best-by; ","")&amp;IF(AND($P315="N",SUMIFS(inventory!$G$2:$G$801,inventory!$C$2:$C$801,$C315,inventory!$H$2:$H$801,$H315,inventory!$E$2:$E$801,"rejected")&lt;N($G315)),"UNDER "&amp;config!$B$19&amp;" DAYS LEFT ON THE DROP DAY: reject these units; ","")&amp;IF(AND($E315="delivered",COUNTIF(inventory!$R$2:$R$801,$R315)&gt;1),"two delivered rows for this office: use one; ","")&amp;IF(AND($E315="delivered",$J315=""),"who counted?; ",""))</f>
        <v/>
      </c>
      <c r="R315" s="25">
        <f>IF($C315="","",$C315&amp;"|"&amp;$D315&amp;"|"&amp;$E315)</f>
        <v/>
      </c>
    </row>
    <row r="316">
      <c r="A316" s="9" t="n"/>
      <c r="B316" s="33" t="n"/>
      <c r="I316" s="9" t="n"/>
      <c r="L316" s="26">
        <f>IF($C316="","",IFERROR(IF(INDEX(campaigns!$BG$2:$BG$51,MATCH($C316,campaigns!$A$2:$A$51,0))="","",INDEX(campaigns!$BG$2:$BG$51,MATCH($C316,campaigns!$A$2:$A$51,0))),""))</f>
        <v/>
      </c>
      <c r="M316" s="25">
        <f>IF($C316="","",IF(OR($E316="received"),N($G316),IF(OR($E316="rejected",$E316="delivered",$E316="topped_up"),-N($G316),IF(AND(OR($E316="returned_to_brand",$E316="given_to_roster_office",$E316="released_to_office",$E316="disposed"),IF($F316="","reserve",$F316)="reserve"),-N($G316),IF(AND($E316="correction",IF($F316="","reserve",$F316)="reserve"),N($G316),0)))))</f>
        <v/>
      </c>
      <c r="N316" s="25">
        <f>IF($C316="","",IF($E316="rejected",N($G316),IF(AND(OR($E316="returned_to_brand",$E316="given_to_roster_office",$E316="released_to_office",$E316="disposed"),IF($F316="","reserve",$F316)="rejected"),-N($G316),IF(AND($E316="correction",IF($F316="","reserve",$F316)="rejected"),N($G316),0))))</f>
        <v/>
      </c>
      <c r="O316" s="25">
        <f>IF($C316="","",IF($E316="collected",N($G316),IF(AND(OR($E316="returned_to_brand",$E316="given_to_roster_office",$E316="released_to_office",$E316="disposed"),IF($F316="","reserve",$F316)="leftover"),-N($G316),IF(AND($E316="correction",IF($F316="","reserve",$F316)="leftover"),N($G316),0))))</f>
        <v/>
      </c>
      <c r="P316" s="25">
        <f>IF(OR($E316&lt;&gt;"received",$I316="",$L316=""),"",IF($I316&gt;=$L316+config!$B$19,"Y","N"))</f>
        <v/>
      </c>
      <c r="Q316" s="25">
        <f>IF($C316="","",IF(COUNTIF(campaigns!$A$2:$A$51,$C316)=0,"campaign_id not on campaigns; ",IF(AND($D316&lt;&gt;"",COUNTIFS(approvals!$A$2:$A$251,$C316,approvals!$B$2:$B$251,$D316)=0),"office not on this campaign (approvals tab); ",""))&amp;IF(AND(OR($E316="delivered",$E316="topped_up",$E316="collected"),$D316=""),"office needed; ","")&amp;IF(AND($E316&lt;&gt;"correction",N($G316)&lt;=0),"qty must be above 0; ","")&amp;IF(AND($E316="received",OR($I316="",$H316="")),"log lot and best-by; ","")&amp;IF(AND($P316="N",SUMIFS(inventory!$G$2:$G$801,inventory!$C$2:$C$801,$C316,inventory!$H$2:$H$801,$H316,inventory!$E$2:$E$801,"rejected")&lt;N($G316)),"UNDER "&amp;config!$B$19&amp;" DAYS LEFT ON THE DROP DAY: reject these units; ","")&amp;IF(AND($E316="delivered",COUNTIF(inventory!$R$2:$R$801,$R316)&gt;1),"two delivered rows for this office: use one; ","")&amp;IF(AND($E316="delivered",$J316=""),"who counted?; ",""))</f>
        <v/>
      </c>
      <c r="R316" s="25">
        <f>IF($C316="","",$C316&amp;"|"&amp;$D316&amp;"|"&amp;$E316)</f>
        <v/>
      </c>
    </row>
    <row r="317">
      <c r="A317" s="9" t="n"/>
      <c r="B317" s="33" t="n"/>
      <c r="I317" s="9" t="n"/>
      <c r="L317" s="26">
        <f>IF($C317="","",IFERROR(IF(INDEX(campaigns!$BG$2:$BG$51,MATCH($C317,campaigns!$A$2:$A$51,0))="","",INDEX(campaigns!$BG$2:$BG$51,MATCH($C317,campaigns!$A$2:$A$51,0))),""))</f>
        <v/>
      </c>
      <c r="M317" s="25">
        <f>IF($C317="","",IF(OR($E317="received"),N($G317),IF(OR($E317="rejected",$E317="delivered",$E317="topped_up"),-N($G317),IF(AND(OR($E317="returned_to_brand",$E317="given_to_roster_office",$E317="released_to_office",$E317="disposed"),IF($F317="","reserve",$F317)="reserve"),-N($G317),IF(AND($E317="correction",IF($F317="","reserve",$F317)="reserve"),N($G317),0)))))</f>
        <v/>
      </c>
      <c r="N317" s="25">
        <f>IF($C317="","",IF($E317="rejected",N($G317),IF(AND(OR($E317="returned_to_brand",$E317="given_to_roster_office",$E317="released_to_office",$E317="disposed"),IF($F317="","reserve",$F317)="rejected"),-N($G317),IF(AND($E317="correction",IF($F317="","reserve",$F317)="rejected"),N($G317),0))))</f>
        <v/>
      </c>
      <c r="O317" s="25">
        <f>IF($C317="","",IF($E317="collected",N($G317),IF(AND(OR($E317="returned_to_brand",$E317="given_to_roster_office",$E317="released_to_office",$E317="disposed"),IF($F317="","reserve",$F317)="leftover"),-N($G317),IF(AND($E317="correction",IF($F317="","reserve",$F317)="leftover"),N($G317),0))))</f>
        <v/>
      </c>
      <c r="P317" s="25">
        <f>IF(OR($E317&lt;&gt;"received",$I317="",$L317=""),"",IF($I317&gt;=$L317+config!$B$19,"Y","N"))</f>
        <v/>
      </c>
      <c r="Q317" s="25">
        <f>IF($C317="","",IF(COUNTIF(campaigns!$A$2:$A$51,$C317)=0,"campaign_id not on campaigns; ",IF(AND($D317&lt;&gt;"",COUNTIFS(approvals!$A$2:$A$251,$C317,approvals!$B$2:$B$251,$D317)=0),"office not on this campaign (approvals tab); ",""))&amp;IF(AND(OR($E317="delivered",$E317="topped_up",$E317="collected"),$D317=""),"office needed; ","")&amp;IF(AND($E317&lt;&gt;"correction",N($G317)&lt;=0),"qty must be above 0; ","")&amp;IF(AND($E317="received",OR($I317="",$H317="")),"log lot and best-by; ","")&amp;IF(AND($P317="N",SUMIFS(inventory!$G$2:$G$801,inventory!$C$2:$C$801,$C317,inventory!$H$2:$H$801,$H317,inventory!$E$2:$E$801,"rejected")&lt;N($G317)),"UNDER "&amp;config!$B$19&amp;" DAYS LEFT ON THE DROP DAY: reject these units; ","")&amp;IF(AND($E317="delivered",COUNTIF(inventory!$R$2:$R$801,$R317)&gt;1),"two delivered rows for this office: use one; ","")&amp;IF(AND($E317="delivered",$J317=""),"who counted?; ",""))</f>
        <v/>
      </c>
      <c r="R317" s="25">
        <f>IF($C317="","",$C317&amp;"|"&amp;$D317&amp;"|"&amp;$E317)</f>
        <v/>
      </c>
    </row>
    <row r="318">
      <c r="A318" s="9" t="n"/>
      <c r="B318" s="33" t="n"/>
      <c r="I318" s="9" t="n"/>
      <c r="L318" s="26">
        <f>IF($C318="","",IFERROR(IF(INDEX(campaigns!$BG$2:$BG$51,MATCH($C318,campaigns!$A$2:$A$51,0))="","",INDEX(campaigns!$BG$2:$BG$51,MATCH($C318,campaigns!$A$2:$A$51,0))),""))</f>
        <v/>
      </c>
      <c r="M318" s="25">
        <f>IF($C318="","",IF(OR($E318="received"),N($G318),IF(OR($E318="rejected",$E318="delivered",$E318="topped_up"),-N($G318),IF(AND(OR($E318="returned_to_brand",$E318="given_to_roster_office",$E318="released_to_office",$E318="disposed"),IF($F318="","reserve",$F318)="reserve"),-N($G318),IF(AND($E318="correction",IF($F318="","reserve",$F318)="reserve"),N($G318),0)))))</f>
        <v/>
      </c>
      <c r="N318" s="25">
        <f>IF($C318="","",IF($E318="rejected",N($G318),IF(AND(OR($E318="returned_to_brand",$E318="given_to_roster_office",$E318="released_to_office",$E318="disposed"),IF($F318="","reserve",$F318)="rejected"),-N($G318),IF(AND($E318="correction",IF($F318="","reserve",$F318)="rejected"),N($G318),0))))</f>
        <v/>
      </c>
      <c r="O318" s="25">
        <f>IF($C318="","",IF($E318="collected",N($G318),IF(AND(OR($E318="returned_to_brand",$E318="given_to_roster_office",$E318="released_to_office",$E318="disposed"),IF($F318="","reserve",$F318)="leftover"),-N($G318),IF(AND($E318="correction",IF($F318="","reserve",$F318)="leftover"),N($G318),0))))</f>
        <v/>
      </c>
      <c r="P318" s="25">
        <f>IF(OR($E318&lt;&gt;"received",$I318="",$L318=""),"",IF($I318&gt;=$L318+config!$B$19,"Y","N"))</f>
        <v/>
      </c>
      <c r="Q318" s="25">
        <f>IF($C318="","",IF(COUNTIF(campaigns!$A$2:$A$51,$C318)=0,"campaign_id not on campaigns; ",IF(AND($D318&lt;&gt;"",COUNTIFS(approvals!$A$2:$A$251,$C318,approvals!$B$2:$B$251,$D318)=0),"office not on this campaign (approvals tab); ",""))&amp;IF(AND(OR($E318="delivered",$E318="topped_up",$E318="collected"),$D318=""),"office needed; ","")&amp;IF(AND($E318&lt;&gt;"correction",N($G318)&lt;=0),"qty must be above 0; ","")&amp;IF(AND($E318="received",OR($I318="",$H318="")),"log lot and best-by; ","")&amp;IF(AND($P318="N",SUMIFS(inventory!$G$2:$G$801,inventory!$C$2:$C$801,$C318,inventory!$H$2:$H$801,$H318,inventory!$E$2:$E$801,"rejected")&lt;N($G318)),"UNDER "&amp;config!$B$19&amp;" DAYS LEFT ON THE DROP DAY: reject these units; ","")&amp;IF(AND($E318="delivered",COUNTIF(inventory!$R$2:$R$801,$R318)&gt;1),"two delivered rows for this office: use one; ","")&amp;IF(AND($E318="delivered",$J318=""),"who counted?; ",""))</f>
        <v/>
      </c>
      <c r="R318" s="25">
        <f>IF($C318="","",$C318&amp;"|"&amp;$D318&amp;"|"&amp;$E318)</f>
        <v/>
      </c>
    </row>
    <row r="319">
      <c r="A319" s="9" t="n"/>
      <c r="B319" s="33" t="n"/>
      <c r="I319" s="9" t="n"/>
      <c r="L319" s="26">
        <f>IF($C319="","",IFERROR(IF(INDEX(campaigns!$BG$2:$BG$51,MATCH($C319,campaigns!$A$2:$A$51,0))="","",INDEX(campaigns!$BG$2:$BG$51,MATCH($C319,campaigns!$A$2:$A$51,0))),""))</f>
        <v/>
      </c>
      <c r="M319" s="25">
        <f>IF($C319="","",IF(OR($E319="received"),N($G319),IF(OR($E319="rejected",$E319="delivered",$E319="topped_up"),-N($G319),IF(AND(OR($E319="returned_to_brand",$E319="given_to_roster_office",$E319="released_to_office",$E319="disposed"),IF($F319="","reserve",$F319)="reserve"),-N($G319),IF(AND($E319="correction",IF($F319="","reserve",$F319)="reserve"),N($G319),0)))))</f>
        <v/>
      </c>
      <c r="N319" s="25">
        <f>IF($C319="","",IF($E319="rejected",N($G319),IF(AND(OR($E319="returned_to_brand",$E319="given_to_roster_office",$E319="released_to_office",$E319="disposed"),IF($F319="","reserve",$F319)="rejected"),-N($G319),IF(AND($E319="correction",IF($F319="","reserve",$F319)="rejected"),N($G319),0))))</f>
        <v/>
      </c>
      <c r="O319" s="25">
        <f>IF($C319="","",IF($E319="collected",N($G319),IF(AND(OR($E319="returned_to_brand",$E319="given_to_roster_office",$E319="released_to_office",$E319="disposed"),IF($F319="","reserve",$F319)="leftover"),-N($G319),IF(AND($E319="correction",IF($F319="","reserve",$F319)="leftover"),N($G319),0))))</f>
        <v/>
      </c>
      <c r="P319" s="25">
        <f>IF(OR($E319&lt;&gt;"received",$I319="",$L319=""),"",IF($I319&gt;=$L319+config!$B$19,"Y","N"))</f>
        <v/>
      </c>
      <c r="Q319" s="25">
        <f>IF($C319="","",IF(COUNTIF(campaigns!$A$2:$A$51,$C319)=0,"campaign_id not on campaigns; ",IF(AND($D319&lt;&gt;"",COUNTIFS(approvals!$A$2:$A$251,$C319,approvals!$B$2:$B$251,$D319)=0),"office not on this campaign (approvals tab); ",""))&amp;IF(AND(OR($E319="delivered",$E319="topped_up",$E319="collected"),$D319=""),"office needed; ","")&amp;IF(AND($E319&lt;&gt;"correction",N($G319)&lt;=0),"qty must be above 0; ","")&amp;IF(AND($E319="received",OR($I319="",$H319="")),"log lot and best-by; ","")&amp;IF(AND($P319="N",SUMIFS(inventory!$G$2:$G$801,inventory!$C$2:$C$801,$C319,inventory!$H$2:$H$801,$H319,inventory!$E$2:$E$801,"rejected")&lt;N($G319)),"UNDER "&amp;config!$B$19&amp;" DAYS LEFT ON THE DROP DAY: reject these units; ","")&amp;IF(AND($E319="delivered",COUNTIF(inventory!$R$2:$R$801,$R319)&gt;1),"two delivered rows for this office: use one; ","")&amp;IF(AND($E319="delivered",$J319=""),"who counted?; ",""))</f>
        <v/>
      </c>
      <c r="R319" s="25">
        <f>IF($C319="","",$C319&amp;"|"&amp;$D319&amp;"|"&amp;$E319)</f>
        <v/>
      </c>
    </row>
    <row r="320">
      <c r="A320" s="9" t="n"/>
      <c r="B320" s="33" t="n"/>
      <c r="I320" s="9" t="n"/>
      <c r="L320" s="26">
        <f>IF($C320="","",IFERROR(IF(INDEX(campaigns!$BG$2:$BG$51,MATCH($C320,campaigns!$A$2:$A$51,0))="","",INDEX(campaigns!$BG$2:$BG$51,MATCH($C320,campaigns!$A$2:$A$51,0))),""))</f>
        <v/>
      </c>
      <c r="M320" s="25">
        <f>IF($C320="","",IF(OR($E320="received"),N($G320),IF(OR($E320="rejected",$E320="delivered",$E320="topped_up"),-N($G320),IF(AND(OR($E320="returned_to_brand",$E320="given_to_roster_office",$E320="released_to_office",$E320="disposed"),IF($F320="","reserve",$F320)="reserve"),-N($G320),IF(AND($E320="correction",IF($F320="","reserve",$F320)="reserve"),N($G320),0)))))</f>
        <v/>
      </c>
      <c r="N320" s="25">
        <f>IF($C320="","",IF($E320="rejected",N($G320),IF(AND(OR($E320="returned_to_brand",$E320="given_to_roster_office",$E320="released_to_office",$E320="disposed"),IF($F320="","reserve",$F320)="rejected"),-N($G320),IF(AND($E320="correction",IF($F320="","reserve",$F320)="rejected"),N($G320),0))))</f>
        <v/>
      </c>
      <c r="O320" s="25">
        <f>IF($C320="","",IF($E320="collected",N($G320),IF(AND(OR($E320="returned_to_brand",$E320="given_to_roster_office",$E320="released_to_office",$E320="disposed"),IF($F320="","reserve",$F320)="leftover"),-N($G320),IF(AND($E320="correction",IF($F320="","reserve",$F320)="leftover"),N($G320),0))))</f>
        <v/>
      </c>
      <c r="P320" s="25">
        <f>IF(OR($E320&lt;&gt;"received",$I320="",$L320=""),"",IF($I320&gt;=$L320+config!$B$19,"Y","N"))</f>
        <v/>
      </c>
      <c r="Q320" s="25">
        <f>IF($C320="","",IF(COUNTIF(campaigns!$A$2:$A$51,$C320)=0,"campaign_id not on campaigns; ",IF(AND($D320&lt;&gt;"",COUNTIFS(approvals!$A$2:$A$251,$C320,approvals!$B$2:$B$251,$D320)=0),"office not on this campaign (approvals tab); ",""))&amp;IF(AND(OR($E320="delivered",$E320="topped_up",$E320="collected"),$D320=""),"office needed; ","")&amp;IF(AND($E320&lt;&gt;"correction",N($G320)&lt;=0),"qty must be above 0; ","")&amp;IF(AND($E320="received",OR($I320="",$H320="")),"log lot and best-by; ","")&amp;IF(AND($P320="N",SUMIFS(inventory!$G$2:$G$801,inventory!$C$2:$C$801,$C320,inventory!$H$2:$H$801,$H320,inventory!$E$2:$E$801,"rejected")&lt;N($G320)),"UNDER "&amp;config!$B$19&amp;" DAYS LEFT ON THE DROP DAY: reject these units; ","")&amp;IF(AND($E320="delivered",COUNTIF(inventory!$R$2:$R$801,$R320)&gt;1),"two delivered rows for this office: use one; ","")&amp;IF(AND($E320="delivered",$J320=""),"who counted?; ",""))</f>
        <v/>
      </c>
      <c r="R320" s="25">
        <f>IF($C320="","",$C320&amp;"|"&amp;$D320&amp;"|"&amp;$E320)</f>
        <v/>
      </c>
    </row>
    <row r="321">
      <c r="A321" s="9" t="n"/>
      <c r="B321" s="33" t="n"/>
      <c r="I321" s="9" t="n"/>
      <c r="L321" s="26">
        <f>IF($C321="","",IFERROR(IF(INDEX(campaigns!$BG$2:$BG$51,MATCH($C321,campaigns!$A$2:$A$51,0))="","",INDEX(campaigns!$BG$2:$BG$51,MATCH($C321,campaigns!$A$2:$A$51,0))),""))</f>
        <v/>
      </c>
      <c r="M321" s="25">
        <f>IF($C321="","",IF(OR($E321="received"),N($G321),IF(OR($E321="rejected",$E321="delivered",$E321="topped_up"),-N($G321),IF(AND(OR($E321="returned_to_brand",$E321="given_to_roster_office",$E321="released_to_office",$E321="disposed"),IF($F321="","reserve",$F321)="reserve"),-N($G321),IF(AND($E321="correction",IF($F321="","reserve",$F321)="reserve"),N($G321),0)))))</f>
        <v/>
      </c>
      <c r="N321" s="25">
        <f>IF($C321="","",IF($E321="rejected",N($G321),IF(AND(OR($E321="returned_to_brand",$E321="given_to_roster_office",$E321="released_to_office",$E321="disposed"),IF($F321="","reserve",$F321)="rejected"),-N($G321),IF(AND($E321="correction",IF($F321="","reserve",$F321)="rejected"),N($G321),0))))</f>
        <v/>
      </c>
      <c r="O321" s="25">
        <f>IF($C321="","",IF($E321="collected",N($G321),IF(AND(OR($E321="returned_to_brand",$E321="given_to_roster_office",$E321="released_to_office",$E321="disposed"),IF($F321="","reserve",$F321)="leftover"),-N($G321),IF(AND($E321="correction",IF($F321="","reserve",$F321)="leftover"),N($G321),0))))</f>
        <v/>
      </c>
      <c r="P321" s="25">
        <f>IF(OR($E321&lt;&gt;"received",$I321="",$L321=""),"",IF($I321&gt;=$L321+config!$B$19,"Y","N"))</f>
        <v/>
      </c>
      <c r="Q321" s="25">
        <f>IF($C321="","",IF(COUNTIF(campaigns!$A$2:$A$51,$C321)=0,"campaign_id not on campaigns; ",IF(AND($D321&lt;&gt;"",COUNTIFS(approvals!$A$2:$A$251,$C321,approvals!$B$2:$B$251,$D321)=0),"office not on this campaign (approvals tab); ",""))&amp;IF(AND(OR($E321="delivered",$E321="topped_up",$E321="collected"),$D321=""),"office needed; ","")&amp;IF(AND($E321&lt;&gt;"correction",N($G321)&lt;=0),"qty must be above 0; ","")&amp;IF(AND($E321="received",OR($I321="",$H321="")),"log lot and best-by; ","")&amp;IF(AND($P321="N",SUMIFS(inventory!$G$2:$G$801,inventory!$C$2:$C$801,$C321,inventory!$H$2:$H$801,$H321,inventory!$E$2:$E$801,"rejected")&lt;N($G321)),"UNDER "&amp;config!$B$19&amp;" DAYS LEFT ON THE DROP DAY: reject these units; ","")&amp;IF(AND($E321="delivered",COUNTIF(inventory!$R$2:$R$801,$R321)&gt;1),"two delivered rows for this office: use one; ","")&amp;IF(AND($E321="delivered",$J321=""),"who counted?; ",""))</f>
        <v/>
      </c>
      <c r="R321" s="25">
        <f>IF($C321="","",$C321&amp;"|"&amp;$D321&amp;"|"&amp;$E321)</f>
        <v/>
      </c>
    </row>
    <row r="322">
      <c r="A322" s="9" t="n"/>
      <c r="B322" s="33" t="n"/>
      <c r="I322" s="9" t="n"/>
      <c r="L322" s="26">
        <f>IF($C322="","",IFERROR(IF(INDEX(campaigns!$BG$2:$BG$51,MATCH($C322,campaigns!$A$2:$A$51,0))="","",INDEX(campaigns!$BG$2:$BG$51,MATCH($C322,campaigns!$A$2:$A$51,0))),""))</f>
        <v/>
      </c>
      <c r="M322" s="25">
        <f>IF($C322="","",IF(OR($E322="received"),N($G322),IF(OR($E322="rejected",$E322="delivered",$E322="topped_up"),-N($G322),IF(AND(OR($E322="returned_to_brand",$E322="given_to_roster_office",$E322="released_to_office",$E322="disposed"),IF($F322="","reserve",$F322)="reserve"),-N($G322),IF(AND($E322="correction",IF($F322="","reserve",$F322)="reserve"),N($G322),0)))))</f>
        <v/>
      </c>
      <c r="N322" s="25">
        <f>IF($C322="","",IF($E322="rejected",N($G322),IF(AND(OR($E322="returned_to_brand",$E322="given_to_roster_office",$E322="released_to_office",$E322="disposed"),IF($F322="","reserve",$F322)="rejected"),-N($G322),IF(AND($E322="correction",IF($F322="","reserve",$F322)="rejected"),N($G322),0))))</f>
        <v/>
      </c>
      <c r="O322" s="25">
        <f>IF($C322="","",IF($E322="collected",N($G322),IF(AND(OR($E322="returned_to_brand",$E322="given_to_roster_office",$E322="released_to_office",$E322="disposed"),IF($F322="","reserve",$F322)="leftover"),-N($G322),IF(AND($E322="correction",IF($F322="","reserve",$F322)="leftover"),N($G322),0))))</f>
        <v/>
      </c>
      <c r="P322" s="25">
        <f>IF(OR($E322&lt;&gt;"received",$I322="",$L322=""),"",IF($I322&gt;=$L322+config!$B$19,"Y","N"))</f>
        <v/>
      </c>
      <c r="Q322" s="25">
        <f>IF($C322="","",IF(COUNTIF(campaigns!$A$2:$A$51,$C322)=0,"campaign_id not on campaigns; ",IF(AND($D322&lt;&gt;"",COUNTIFS(approvals!$A$2:$A$251,$C322,approvals!$B$2:$B$251,$D322)=0),"office not on this campaign (approvals tab); ",""))&amp;IF(AND(OR($E322="delivered",$E322="topped_up",$E322="collected"),$D322=""),"office needed; ","")&amp;IF(AND($E322&lt;&gt;"correction",N($G322)&lt;=0),"qty must be above 0; ","")&amp;IF(AND($E322="received",OR($I322="",$H322="")),"log lot and best-by; ","")&amp;IF(AND($P322="N",SUMIFS(inventory!$G$2:$G$801,inventory!$C$2:$C$801,$C322,inventory!$H$2:$H$801,$H322,inventory!$E$2:$E$801,"rejected")&lt;N($G322)),"UNDER "&amp;config!$B$19&amp;" DAYS LEFT ON THE DROP DAY: reject these units; ","")&amp;IF(AND($E322="delivered",COUNTIF(inventory!$R$2:$R$801,$R322)&gt;1),"two delivered rows for this office: use one; ","")&amp;IF(AND($E322="delivered",$J322=""),"who counted?; ",""))</f>
        <v/>
      </c>
      <c r="R322" s="25">
        <f>IF($C322="","",$C322&amp;"|"&amp;$D322&amp;"|"&amp;$E322)</f>
        <v/>
      </c>
    </row>
    <row r="323">
      <c r="A323" s="9" t="n"/>
      <c r="B323" s="33" t="n"/>
      <c r="I323" s="9" t="n"/>
      <c r="L323" s="26">
        <f>IF($C323="","",IFERROR(IF(INDEX(campaigns!$BG$2:$BG$51,MATCH($C323,campaigns!$A$2:$A$51,0))="","",INDEX(campaigns!$BG$2:$BG$51,MATCH($C323,campaigns!$A$2:$A$51,0))),""))</f>
        <v/>
      </c>
      <c r="M323" s="25">
        <f>IF($C323="","",IF(OR($E323="received"),N($G323),IF(OR($E323="rejected",$E323="delivered",$E323="topped_up"),-N($G323),IF(AND(OR($E323="returned_to_brand",$E323="given_to_roster_office",$E323="released_to_office",$E323="disposed"),IF($F323="","reserve",$F323)="reserve"),-N($G323),IF(AND($E323="correction",IF($F323="","reserve",$F323)="reserve"),N($G323),0)))))</f>
        <v/>
      </c>
      <c r="N323" s="25">
        <f>IF($C323="","",IF($E323="rejected",N($G323),IF(AND(OR($E323="returned_to_brand",$E323="given_to_roster_office",$E323="released_to_office",$E323="disposed"),IF($F323="","reserve",$F323)="rejected"),-N($G323),IF(AND($E323="correction",IF($F323="","reserve",$F323)="rejected"),N($G323),0))))</f>
        <v/>
      </c>
      <c r="O323" s="25">
        <f>IF($C323="","",IF($E323="collected",N($G323),IF(AND(OR($E323="returned_to_brand",$E323="given_to_roster_office",$E323="released_to_office",$E323="disposed"),IF($F323="","reserve",$F323)="leftover"),-N($G323),IF(AND($E323="correction",IF($F323="","reserve",$F323)="leftover"),N($G323),0))))</f>
        <v/>
      </c>
      <c r="P323" s="25">
        <f>IF(OR($E323&lt;&gt;"received",$I323="",$L323=""),"",IF($I323&gt;=$L323+config!$B$19,"Y","N"))</f>
        <v/>
      </c>
      <c r="Q323" s="25">
        <f>IF($C323="","",IF(COUNTIF(campaigns!$A$2:$A$51,$C323)=0,"campaign_id not on campaigns; ",IF(AND($D323&lt;&gt;"",COUNTIFS(approvals!$A$2:$A$251,$C323,approvals!$B$2:$B$251,$D323)=0),"office not on this campaign (approvals tab); ",""))&amp;IF(AND(OR($E323="delivered",$E323="topped_up",$E323="collected"),$D323=""),"office needed; ","")&amp;IF(AND($E323&lt;&gt;"correction",N($G323)&lt;=0),"qty must be above 0; ","")&amp;IF(AND($E323="received",OR($I323="",$H323="")),"log lot and best-by; ","")&amp;IF(AND($P323="N",SUMIFS(inventory!$G$2:$G$801,inventory!$C$2:$C$801,$C323,inventory!$H$2:$H$801,$H323,inventory!$E$2:$E$801,"rejected")&lt;N($G323)),"UNDER "&amp;config!$B$19&amp;" DAYS LEFT ON THE DROP DAY: reject these units; ","")&amp;IF(AND($E323="delivered",COUNTIF(inventory!$R$2:$R$801,$R323)&gt;1),"two delivered rows for this office: use one; ","")&amp;IF(AND($E323="delivered",$J323=""),"who counted?; ",""))</f>
        <v/>
      </c>
      <c r="R323" s="25">
        <f>IF($C323="","",$C323&amp;"|"&amp;$D323&amp;"|"&amp;$E323)</f>
        <v/>
      </c>
    </row>
    <row r="324">
      <c r="A324" s="9" t="n"/>
      <c r="B324" s="33" t="n"/>
      <c r="I324" s="9" t="n"/>
      <c r="L324" s="26">
        <f>IF($C324="","",IFERROR(IF(INDEX(campaigns!$BG$2:$BG$51,MATCH($C324,campaigns!$A$2:$A$51,0))="","",INDEX(campaigns!$BG$2:$BG$51,MATCH($C324,campaigns!$A$2:$A$51,0))),""))</f>
        <v/>
      </c>
      <c r="M324" s="25">
        <f>IF($C324="","",IF(OR($E324="received"),N($G324),IF(OR($E324="rejected",$E324="delivered",$E324="topped_up"),-N($G324),IF(AND(OR($E324="returned_to_brand",$E324="given_to_roster_office",$E324="released_to_office",$E324="disposed"),IF($F324="","reserve",$F324)="reserve"),-N($G324),IF(AND($E324="correction",IF($F324="","reserve",$F324)="reserve"),N($G324),0)))))</f>
        <v/>
      </c>
      <c r="N324" s="25">
        <f>IF($C324="","",IF($E324="rejected",N($G324),IF(AND(OR($E324="returned_to_brand",$E324="given_to_roster_office",$E324="released_to_office",$E324="disposed"),IF($F324="","reserve",$F324)="rejected"),-N($G324),IF(AND($E324="correction",IF($F324="","reserve",$F324)="rejected"),N($G324),0))))</f>
        <v/>
      </c>
      <c r="O324" s="25">
        <f>IF($C324="","",IF($E324="collected",N($G324),IF(AND(OR($E324="returned_to_brand",$E324="given_to_roster_office",$E324="released_to_office",$E324="disposed"),IF($F324="","reserve",$F324)="leftover"),-N($G324),IF(AND($E324="correction",IF($F324="","reserve",$F324)="leftover"),N($G324),0))))</f>
        <v/>
      </c>
      <c r="P324" s="25">
        <f>IF(OR($E324&lt;&gt;"received",$I324="",$L324=""),"",IF($I324&gt;=$L324+config!$B$19,"Y","N"))</f>
        <v/>
      </c>
      <c r="Q324" s="25">
        <f>IF($C324="","",IF(COUNTIF(campaigns!$A$2:$A$51,$C324)=0,"campaign_id not on campaigns; ",IF(AND($D324&lt;&gt;"",COUNTIFS(approvals!$A$2:$A$251,$C324,approvals!$B$2:$B$251,$D324)=0),"office not on this campaign (approvals tab); ",""))&amp;IF(AND(OR($E324="delivered",$E324="topped_up",$E324="collected"),$D324=""),"office needed; ","")&amp;IF(AND($E324&lt;&gt;"correction",N($G324)&lt;=0),"qty must be above 0; ","")&amp;IF(AND($E324="received",OR($I324="",$H324="")),"log lot and best-by; ","")&amp;IF(AND($P324="N",SUMIFS(inventory!$G$2:$G$801,inventory!$C$2:$C$801,$C324,inventory!$H$2:$H$801,$H324,inventory!$E$2:$E$801,"rejected")&lt;N($G324)),"UNDER "&amp;config!$B$19&amp;" DAYS LEFT ON THE DROP DAY: reject these units; ","")&amp;IF(AND($E324="delivered",COUNTIF(inventory!$R$2:$R$801,$R324)&gt;1),"two delivered rows for this office: use one; ","")&amp;IF(AND($E324="delivered",$J324=""),"who counted?; ",""))</f>
        <v/>
      </c>
      <c r="R324" s="25">
        <f>IF($C324="","",$C324&amp;"|"&amp;$D324&amp;"|"&amp;$E324)</f>
        <v/>
      </c>
    </row>
    <row r="325">
      <c r="A325" s="9" t="n"/>
      <c r="B325" s="33" t="n"/>
      <c r="I325" s="9" t="n"/>
      <c r="L325" s="26">
        <f>IF($C325="","",IFERROR(IF(INDEX(campaigns!$BG$2:$BG$51,MATCH($C325,campaigns!$A$2:$A$51,0))="","",INDEX(campaigns!$BG$2:$BG$51,MATCH($C325,campaigns!$A$2:$A$51,0))),""))</f>
        <v/>
      </c>
      <c r="M325" s="25">
        <f>IF($C325="","",IF(OR($E325="received"),N($G325),IF(OR($E325="rejected",$E325="delivered",$E325="topped_up"),-N($G325),IF(AND(OR($E325="returned_to_brand",$E325="given_to_roster_office",$E325="released_to_office",$E325="disposed"),IF($F325="","reserve",$F325)="reserve"),-N($G325),IF(AND($E325="correction",IF($F325="","reserve",$F325)="reserve"),N($G325),0)))))</f>
        <v/>
      </c>
      <c r="N325" s="25">
        <f>IF($C325="","",IF($E325="rejected",N($G325),IF(AND(OR($E325="returned_to_brand",$E325="given_to_roster_office",$E325="released_to_office",$E325="disposed"),IF($F325="","reserve",$F325)="rejected"),-N($G325),IF(AND($E325="correction",IF($F325="","reserve",$F325)="rejected"),N($G325),0))))</f>
        <v/>
      </c>
      <c r="O325" s="25">
        <f>IF($C325="","",IF($E325="collected",N($G325),IF(AND(OR($E325="returned_to_brand",$E325="given_to_roster_office",$E325="released_to_office",$E325="disposed"),IF($F325="","reserve",$F325)="leftover"),-N($G325),IF(AND($E325="correction",IF($F325="","reserve",$F325)="leftover"),N($G325),0))))</f>
        <v/>
      </c>
      <c r="P325" s="25">
        <f>IF(OR($E325&lt;&gt;"received",$I325="",$L325=""),"",IF($I325&gt;=$L325+config!$B$19,"Y","N"))</f>
        <v/>
      </c>
      <c r="Q325" s="25">
        <f>IF($C325="","",IF(COUNTIF(campaigns!$A$2:$A$51,$C325)=0,"campaign_id not on campaigns; ",IF(AND($D325&lt;&gt;"",COUNTIFS(approvals!$A$2:$A$251,$C325,approvals!$B$2:$B$251,$D325)=0),"office not on this campaign (approvals tab); ",""))&amp;IF(AND(OR($E325="delivered",$E325="topped_up",$E325="collected"),$D325=""),"office needed; ","")&amp;IF(AND($E325&lt;&gt;"correction",N($G325)&lt;=0),"qty must be above 0; ","")&amp;IF(AND($E325="received",OR($I325="",$H325="")),"log lot and best-by; ","")&amp;IF(AND($P325="N",SUMIFS(inventory!$G$2:$G$801,inventory!$C$2:$C$801,$C325,inventory!$H$2:$H$801,$H325,inventory!$E$2:$E$801,"rejected")&lt;N($G325)),"UNDER "&amp;config!$B$19&amp;" DAYS LEFT ON THE DROP DAY: reject these units; ","")&amp;IF(AND($E325="delivered",COUNTIF(inventory!$R$2:$R$801,$R325)&gt;1),"two delivered rows for this office: use one; ","")&amp;IF(AND($E325="delivered",$J325=""),"who counted?; ",""))</f>
        <v/>
      </c>
      <c r="R325" s="25">
        <f>IF($C325="","",$C325&amp;"|"&amp;$D325&amp;"|"&amp;$E325)</f>
        <v/>
      </c>
    </row>
    <row r="326">
      <c r="A326" s="9" t="n"/>
      <c r="B326" s="33" t="n"/>
      <c r="I326" s="9" t="n"/>
      <c r="L326" s="26">
        <f>IF($C326="","",IFERROR(IF(INDEX(campaigns!$BG$2:$BG$51,MATCH($C326,campaigns!$A$2:$A$51,0))="","",INDEX(campaigns!$BG$2:$BG$51,MATCH($C326,campaigns!$A$2:$A$51,0))),""))</f>
        <v/>
      </c>
      <c r="M326" s="25">
        <f>IF($C326="","",IF(OR($E326="received"),N($G326),IF(OR($E326="rejected",$E326="delivered",$E326="topped_up"),-N($G326),IF(AND(OR($E326="returned_to_brand",$E326="given_to_roster_office",$E326="released_to_office",$E326="disposed"),IF($F326="","reserve",$F326)="reserve"),-N($G326),IF(AND($E326="correction",IF($F326="","reserve",$F326)="reserve"),N($G326),0)))))</f>
        <v/>
      </c>
      <c r="N326" s="25">
        <f>IF($C326="","",IF($E326="rejected",N($G326),IF(AND(OR($E326="returned_to_brand",$E326="given_to_roster_office",$E326="released_to_office",$E326="disposed"),IF($F326="","reserve",$F326)="rejected"),-N($G326),IF(AND($E326="correction",IF($F326="","reserve",$F326)="rejected"),N($G326),0))))</f>
        <v/>
      </c>
      <c r="O326" s="25">
        <f>IF($C326="","",IF($E326="collected",N($G326),IF(AND(OR($E326="returned_to_brand",$E326="given_to_roster_office",$E326="released_to_office",$E326="disposed"),IF($F326="","reserve",$F326)="leftover"),-N($G326),IF(AND($E326="correction",IF($F326="","reserve",$F326)="leftover"),N($G326),0))))</f>
        <v/>
      </c>
      <c r="P326" s="25">
        <f>IF(OR($E326&lt;&gt;"received",$I326="",$L326=""),"",IF($I326&gt;=$L326+config!$B$19,"Y","N"))</f>
        <v/>
      </c>
      <c r="Q326" s="25">
        <f>IF($C326="","",IF(COUNTIF(campaigns!$A$2:$A$51,$C326)=0,"campaign_id not on campaigns; ",IF(AND($D326&lt;&gt;"",COUNTIFS(approvals!$A$2:$A$251,$C326,approvals!$B$2:$B$251,$D326)=0),"office not on this campaign (approvals tab); ",""))&amp;IF(AND(OR($E326="delivered",$E326="topped_up",$E326="collected"),$D326=""),"office needed; ","")&amp;IF(AND($E326&lt;&gt;"correction",N($G326)&lt;=0),"qty must be above 0; ","")&amp;IF(AND($E326="received",OR($I326="",$H326="")),"log lot and best-by; ","")&amp;IF(AND($P326="N",SUMIFS(inventory!$G$2:$G$801,inventory!$C$2:$C$801,$C326,inventory!$H$2:$H$801,$H326,inventory!$E$2:$E$801,"rejected")&lt;N($G326)),"UNDER "&amp;config!$B$19&amp;" DAYS LEFT ON THE DROP DAY: reject these units; ","")&amp;IF(AND($E326="delivered",COUNTIF(inventory!$R$2:$R$801,$R326)&gt;1),"two delivered rows for this office: use one; ","")&amp;IF(AND($E326="delivered",$J326=""),"who counted?; ",""))</f>
        <v/>
      </c>
      <c r="R326" s="25">
        <f>IF($C326="","",$C326&amp;"|"&amp;$D326&amp;"|"&amp;$E326)</f>
        <v/>
      </c>
    </row>
    <row r="327">
      <c r="A327" s="9" t="n"/>
      <c r="B327" s="33" t="n"/>
      <c r="I327" s="9" t="n"/>
      <c r="L327" s="26">
        <f>IF($C327="","",IFERROR(IF(INDEX(campaigns!$BG$2:$BG$51,MATCH($C327,campaigns!$A$2:$A$51,0))="","",INDEX(campaigns!$BG$2:$BG$51,MATCH($C327,campaigns!$A$2:$A$51,0))),""))</f>
        <v/>
      </c>
      <c r="M327" s="25">
        <f>IF($C327="","",IF(OR($E327="received"),N($G327),IF(OR($E327="rejected",$E327="delivered",$E327="topped_up"),-N($G327),IF(AND(OR($E327="returned_to_brand",$E327="given_to_roster_office",$E327="released_to_office",$E327="disposed"),IF($F327="","reserve",$F327)="reserve"),-N($G327),IF(AND($E327="correction",IF($F327="","reserve",$F327)="reserve"),N($G327),0)))))</f>
        <v/>
      </c>
      <c r="N327" s="25">
        <f>IF($C327="","",IF($E327="rejected",N($G327),IF(AND(OR($E327="returned_to_brand",$E327="given_to_roster_office",$E327="released_to_office",$E327="disposed"),IF($F327="","reserve",$F327)="rejected"),-N($G327),IF(AND($E327="correction",IF($F327="","reserve",$F327)="rejected"),N($G327),0))))</f>
        <v/>
      </c>
      <c r="O327" s="25">
        <f>IF($C327="","",IF($E327="collected",N($G327),IF(AND(OR($E327="returned_to_brand",$E327="given_to_roster_office",$E327="released_to_office",$E327="disposed"),IF($F327="","reserve",$F327)="leftover"),-N($G327),IF(AND($E327="correction",IF($F327="","reserve",$F327)="leftover"),N($G327),0))))</f>
        <v/>
      </c>
      <c r="P327" s="25">
        <f>IF(OR($E327&lt;&gt;"received",$I327="",$L327=""),"",IF($I327&gt;=$L327+config!$B$19,"Y","N"))</f>
        <v/>
      </c>
      <c r="Q327" s="25">
        <f>IF($C327="","",IF(COUNTIF(campaigns!$A$2:$A$51,$C327)=0,"campaign_id not on campaigns; ",IF(AND($D327&lt;&gt;"",COUNTIFS(approvals!$A$2:$A$251,$C327,approvals!$B$2:$B$251,$D327)=0),"office not on this campaign (approvals tab); ",""))&amp;IF(AND(OR($E327="delivered",$E327="topped_up",$E327="collected"),$D327=""),"office needed; ","")&amp;IF(AND($E327&lt;&gt;"correction",N($G327)&lt;=0),"qty must be above 0; ","")&amp;IF(AND($E327="received",OR($I327="",$H327="")),"log lot and best-by; ","")&amp;IF(AND($P327="N",SUMIFS(inventory!$G$2:$G$801,inventory!$C$2:$C$801,$C327,inventory!$H$2:$H$801,$H327,inventory!$E$2:$E$801,"rejected")&lt;N($G327)),"UNDER "&amp;config!$B$19&amp;" DAYS LEFT ON THE DROP DAY: reject these units; ","")&amp;IF(AND($E327="delivered",COUNTIF(inventory!$R$2:$R$801,$R327)&gt;1),"two delivered rows for this office: use one; ","")&amp;IF(AND($E327="delivered",$J327=""),"who counted?; ",""))</f>
        <v/>
      </c>
      <c r="R327" s="25">
        <f>IF($C327="","",$C327&amp;"|"&amp;$D327&amp;"|"&amp;$E327)</f>
        <v/>
      </c>
    </row>
    <row r="328">
      <c r="A328" s="9" t="n"/>
      <c r="B328" s="33" t="n"/>
      <c r="I328" s="9" t="n"/>
      <c r="L328" s="26">
        <f>IF($C328="","",IFERROR(IF(INDEX(campaigns!$BG$2:$BG$51,MATCH($C328,campaigns!$A$2:$A$51,0))="","",INDEX(campaigns!$BG$2:$BG$51,MATCH($C328,campaigns!$A$2:$A$51,0))),""))</f>
        <v/>
      </c>
      <c r="M328" s="25">
        <f>IF($C328="","",IF(OR($E328="received"),N($G328),IF(OR($E328="rejected",$E328="delivered",$E328="topped_up"),-N($G328),IF(AND(OR($E328="returned_to_brand",$E328="given_to_roster_office",$E328="released_to_office",$E328="disposed"),IF($F328="","reserve",$F328)="reserve"),-N($G328),IF(AND($E328="correction",IF($F328="","reserve",$F328)="reserve"),N($G328),0)))))</f>
        <v/>
      </c>
      <c r="N328" s="25">
        <f>IF($C328="","",IF($E328="rejected",N($G328),IF(AND(OR($E328="returned_to_brand",$E328="given_to_roster_office",$E328="released_to_office",$E328="disposed"),IF($F328="","reserve",$F328)="rejected"),-N($G328),IF(AND($E328="correction",IF($F328="","reserve",$F328)="rejected"),N($G328),0))))</f>
        <v/>
      </c>
      <c r="O328" s="25">
        <f>IF($C328="","",IF($E328="collected",N($G328),IF(AND(OR($E328="returned_to_brand",$E328="given_to_roster_office",$E328="released_to_office",$E328="disposed"),IF($F328="","reserve",$F328)="leftover"),-N($G328),IF(AND($E328="correction",IF($F328="","reserve",$F328)="leftover"),N($G328),0))))</f>
        <v/>
      </c>
      <c r="P328" s="25">
        <f>IF(OR($E328&lt;&gt;"received",$I328="",$L328=""),"",IF($I328&gt;=$L328+config!$B$19,"Y","N"))</f>
        <v/>
      </c>
      <c r="Q328" s="25">
        <f>IF($C328="","",IF(COUNTIF(campaigns!$A$2:$A$51,$C328)=0,"campaign_id not on campaigns; ",IF(AND($D328&lt;&gt;"",COUNTIFS(approvals!$A$2:$A$251,$C328,approvals!$B$2:$B$251,$D328)=0),"office not on this campaign (approvals tab); ",""))&amp;IF(AND(OR($E328="delivered",$E328="topped_up",$E328="collected"),$D328=""),"office needed; ","")&amp;IF(AND($E328&lt;&gt;"correction",N($G328)&lt;=0),"qty must be above 0; ","")&amp;IF(AND($E328="received",OR($I328="",$H328="")),"log lot and best-by; ","")&amp;IF(AND($P328="N",SUMIFS(inventory!$G$2:$G$801,inventory!$C$2:$C$801,$C328,inventory!$H$2:$H$801,$H328,inventory!$E$2:$E$801,"rejected")&lt;N($G328)),"UNDER "&amp;config!$B$19&amp;" DAYS LEFT ON THE DROP DAY: reject these units; ","")&amp;IF(AND($E328="delivered",COUNTIF(inventory!$R$2:$R$801,$R328)&gt;1),"two delivered rows for this office: use one; ","")&amp;IF(AND($E328="delivered",$J328=""),"who counted?; ",""))</f>
        <v/>
      </c>
      <c r="R328" s="25">
        <f>IF($C328="","",$C328&amp;"|"&amp;$D328&amp;"|"&amp;$E328)</f>
        <v/>
      </c>
    </row>
    <row r="329">
      <c r="A329" s="9" t="n"/>
      <c r="B329" s="33" t="n"/>
      <c r="I329" s="9" t="n"/>
      <c r="L329" s="26">
        <f>IF($C329="","",IFERROR(IF(INDEX(campaigns!$BG$2:$BG$51,MATCH($C329,campaigns!$A$2:$A$51,0))="","",INDEX(campaigns!$BG$2:$BG$51,MATCH($C329,campaigns!$A$2:$A$51,0))),""))</f>
        <v/>
      </c>
      <c r="M329" s="25">
        <f>IF($C329="","",IF(OR($E329="received"),N($G329),IF(OR($E329="rejected",$E329="delivered",$E329="topped_up"),-N($G329),IF(AND(OR($E329="returned_to_brand",$E329="given_to_roster_office",$E329="released_to_office",$E329="disposed"),IF($F329="","reserve",$F329)="reserve"),-N($G329),IF(AND($E329="correction",IF($F329="","reserve",$F329)="reserve"),N($G329),0)))))</f>
        <v/>
      </c>
      <c r="N329" s="25">
        <f>IF($C329="","",IF($E329="rejected",N($G329),IF(AND(OR($E329="returned_to_brand",$E329="given_to_roster_office",$E329="released_to_office",$E329="disposed"),IF($F329="","reserve",$F329)="rejected"),-N($G329),IF(AND($E329="correction",IF($F329="","reserve",$F329)="rejected"),N($G329),0))))</f>
        <v/>
      </c>
      <c r="O329" s="25">
        <f>IF($C329="","",IF($E329="collected",N($G329),IF(AND(OR($E329="returned_to_brand",$E329="given_to_roster_office",$E329="released_to_office",$E329="disposed"),IF($F329="","reserve",$F329)="leftover"),-N($G329),IF(AND($E329="correction",IF($F329="","reserve",$F329)="leftover"),N($G329),0))))</f>
        <v/>
      </c>
      <c r="P329" s="25">
        <f>IF(OR($E329&lt;&gt;"received",$I329="",$L329=""),"",IF($I329&gt;=$L329+config!$B$19,"Y","N"))</f>
        <v/>
      </c>
      <c r="Q329" s="25">
        <f>IF($C329="","",IF(COUNTIF(campaigns!$A$2:$A$51,$C329)=0,"campaign_id not on campaigns; ",IF(AND($D329&lt;&gt;"",COUNTIFS(approvals!$A$2:$A$251,$C329,approvals!$B$2:$B$251,$D329)=0),"office not on this campaign (approvals tab); ",""))&amp;IF(AND(OR($E329="delivered",$E329="topped_up",$E329="collected"),$D329=""),"office needed; ","")&amp;IF(AND($E329&lt;&gt;"correction",N($G329)&lt;=0),"qty must be above 0; ","")&amp;IF(AND($E329="received",OR($I329="",$H329="")),"log lot and best-by; ","")&amp;IF(AND($P329="N",SUMIFS(inventory!$G$2:$G$801,inventory!$C$2:$C$801,$C329,inventory!$H$2:$H$801,$H329,inventory!$E$2:$E$801,"rejected")&lt;N($G329)),"UNDER "&amp;config!$B$19&amp;" DAYS LEFT ON THE DROP DAY: reject these units; ","")&amp;IF(AND($E329="delivered",COUNTIF(inventory!$R$2:$R$801,$R329)&gt;1),"two delivered rows for this office: use one; ","")&amp;IF(AND($E329="delivered",$J329=""),"who counted?; ",""))</f>
        <v/>
      </c>
      <c r="R329" s="25">
        <f>IF($C329="","",$C329&amp;"|"&amp;$D329&amp;"|"&amp;$E329)</f>
        <v/>
      </c>
    </row>
    <row r="330">
      <c r="A330" s="9" t="n"/>
      <c r="B330" s="33" t="n"/>
      <c r="I330" s="9" t="n"/>
      <c r="L330" s="26">
        <f>IF($C330="","",IFERROR(IF(INDEX(campaigns!$BG$2:$BG$51,MATCH($C330,campaigns!$A$2:$A$51,0))="","",INDEX(campaigns!$BG$2:$BG$51,MATCH($C330,campaigns!$A$2:$A$51,0))),""))</f>
        <v/>
      </c>
      <c r="M330" s="25">
        <f>IF($C330="","",IF(OR($E330="received"),N($G330),IF(OR($E330="rejected",$E330="delivered",$E330="topped_up"),-N($G330),IF(AND(OR($E330="returned_to_brand",$E330="given_to_roster_office",$E330="released_to_office",$E330="disposed"),IF($F330="","reserve",$F330)="reserve"),-N($G330),IF(AND($E330="correction",IF($F330="","reserve",$F330)="reserve"),N($G330),0)))))</f>
        <v/>
      </c>
      <c r="N330" s="25">
        <f>IF($C330="","",IF($E330="rejected",N($G330),IF(AND(OR($E330="returned_to_brand",$E330="given_to_roster_office",$E330="released_to_office",$E330="disposed"),IF($F330="","reserve",$F330)="rejected"),-N($G330),IF(AND($E330="correction",IF($F330="","reserve",$F330)="rejected"),N($G330),0))))</f>
        <v/>
      </c>
      <c r="O330" s="25">
        <f>IF($C330="","",IF($E330="collected",N($G330),IF(AND(OR($E330="returned_to_brand",$E330="given_to_roster_office",$E330="released_to_office",$E330="disposed"),IF($F330="","reserve",$F330)="leftover"),-N($G330),IF(AND($E330="correction",IF($F330="","reserve",$F330)="leftover"),N($G330),0))))</f>
        <v/>
      </c>
      <c r="P330" s="25">
        <f>IF(OR($E330&lt;&gt;"received",$I330="",$L330=""),"",IF($I330&gt;=$L330+config!$B$19,"Y","N"))</f>
        <v/>
      </c>
      <c r="Q330" s="25">
        <f>IF($C330="","",IF(COUNTIF(campaigns!$A$2:$A$51,$C330)=0,"campaign_id not on campaigns; ",IF(AND($D330&lt;&gt;"",COUNTIFS(approvals!$A$2:$A$251,$C330,approvals!$B$2:$B$251,$D330)=0),"office not on this campaign (approvals tab); ",""))&amp;IF(AND(OR($E330="delivered",$E330="topped_up",$E330="collected"),$D330=""),"office needed; ","")&amp;IF(AND($E330&lt;&gt;"correction",N($G330)&lt;=0),"qty must be above 0; ","")&amp;IF(AND($E330="received",OR($I330="",$H330="")),"log lot and best-by; ","")&amp;IF(AND($P330="N",SUMIFS(inventory!$G$2:$G$801,inventory!$C$2:$C$801,$C330,inventory!$H$2:$H$801,$H330,inventory!$E$2:$E$801,"rejected")&lt;N($G330)),"UNDER "&amp;config!$B$19&amp;" DAYS LEFT ON THE DROP DAY: reject these units; ","")&amp;IF(AND($E330="delivered",COUNTIF(inventory!$R$2:$R$801,$R330)&gt;1),"two delivered rows for this office: use one; ","")&amp;IF(AND($E330="delivered",$J330=""),"who counted?; ",""))</f>
        <v/>
      </c>
      <c r="R330" s="25">
        <f>IF($C330="","",$C330&amp;"|"&amp;$D330&amp;"|"&amp;$E330)</f>
        <v/>
      </c>
    </row>
    <row r="331">
      <c r="A331" s="9" t="n"/>
      <c r="B331" s="33" t="n"/>
      <c r="I331" s="9" t="n"/>
      <c r="L331" s="26">
        <f>IF($C331="","",IFERROR(IF(INDEX(campaigns!$BG$2:$BG$51,MATCH($C331,campaigns!$A$2:$A$51,0))="","",INDEX(campaigns!$BG$2:$BG$51,MATCH($C331,campaigns!$A$2:$A$51,0))),""))</f>
        <v/>
      </c>
      <c r="M331" s="25">
        <f>IF($C331="","",IF(OR($E331="received"),N($G331),IF(OR($E331="rejected",$E331="delivered",$E331="topped_up"),-N($G331),IF(AND(OR($E331="returned_to_brand",$E331="given_to_roster_office",$E331="released_to_office",$E331="disposed"),IF($F331="","reserve",$F331)="reserve"),-N($G331),IF(AND($E331="correction",IF($F331="","reserve",$F331)="reserve"),N($G331),0)))))</f>
        <v/>
      </c>
      <c r="N331" s="25">
        <f>IF($C331="","",IF($E331="rejected",N($G331),IF(AND(OR($E331="returned_to_brand",$E331="given_to_roster_office",$E331="released_to_office",$E331="disposed"),IF($F331="","reserve",$F331)="rejected"),-N($G331),IF(AND($E331="correction",IF($F331="","reserve",$F331)="rejected"),N($G331),0))))</f>
        <v/>
      </c>
      <c r="O331" s="25">
        <f>IF($C331="","",IF($E331="collected",N($G331),IF(AND(OR($E331="returned_to_brand",$E331="given_to_roster_office",$E331="released_to_office",$E331="disposed"),IF($F331="","reserve",$F331)="leftover"),-N($G331),IF(AND($E331="correction",IF($F331="","reserve",$F331)="leftover"),N($G331),0))))</f>
        <v/>
      </c>
      <c r="P331" s="25">
        <f>IF(OR($E331&lt;&gt;"received",$I331="",$L331=""),"",IF($I331&gt;=$L331+config!$B$19,"Y","N"))</f>
        <v/>
      </c>
      <c r="Q331" s="25">
        <f>IF($C331="","",IF(COUNTIF(campaigns!$A$2:$A$51,$C331)=0,"campaign_id not on campaigns; ",IF(AND($D331&lt;&gt;"",COUNTIFS(approvals!$A$2:$A$251,$C331,approvals!$B$2:$B$251,$D331)=0),"office not on this campaign (approvals tab); ",""))&amp;IF(AND(OR($E331="delivered",$E331="topped_up",$E331="collected"),$D331=""),"office needed; ","")&amp;IF(AND($E331&lt;&gt;"correction",N($G331)&lt;=0),"qty must be above 0; ","")&amp;IF(AND($E331="received",OR($I331="",$H331="")),"log lot and best-by; ","")&amp;IF(AND($P331="N",SUMIFS(inventory!$G$2:$G$801,inventory!$C$2:$C$801,$C331,inventory!$H$2:$H$801,$H331,inventory!$E$2:$E$801,"rejected")&lt;N($G331)),"UNDER "&amp;config!$B$19&amp;" DAYS LEFT ON THE DROP DAY: reject these units; ","")&amp;IF(AND($E331="delivered",COUNTIF(inventory!$R$2:$R$801,$R331)&gt;1),"two delivered rows for this office: use one; ","")&amp;IF(AND($E331="delivered",$J331=""),"who counted?; ",""))</f>
        <v/>
      </c>
      <c r="R331" s="25">
        <f>IF($C331="","",$C331&amp;"|"&amp;$D331&amp;"|"&amp;$E331)</f>
        <v/>
      </c>
    </row>
    <row r="332">
      <c r="A332" s="9" t="n"/>
      <c r="B332" s="33" t="n"/>
      <c r="I332" s="9" t="n"/>
      <c r="L332" s="26">
        <f>IF($C332="","",IFERROR(IF(INDEX(campaigns!$BG$2:$BG$51,MATCH($C332,campaigns!$A$2:$A$51,0))="","",INDEX(campaigns!$BG$2:$BG$51,MATCH($C332,campaigns!$A$2:$A$51,0))),""))</f>
        <v/>
      </c>
      <c r="M332" s="25">
        <f>IF($C332="","",IF(OR($E332="received"),N($G332),IF(OR($E332="rejected",$E332="delivered",$E332="topped_up"),-N($G332),IF(AND(OR($E332="returned_to_brand",$E332="given_to_roster_office",$E332="released_to_office",$E332="disposed"),IF($F332="","reserve",$F332)="reserve"),-N($G332),IF(AND($E332="correction",IF($F332="","reserve",$F332)="reserve"),N($G332),0)))))</f>
        <v/>
      </c>
      <c r="N332" s="25">
        <f>IF($C332="","",IF($E332="rejected",N($G332),IF(AND(OR($E332="returned_to_brand",$E332="given_to_roster_office",$E332="released_to_office",$E332="disposed"),IF($F332="","reserve",$F332)="rejected"),-N($G332),IF(AND($E332="correction",IF($F332="","reserve",$F332)="rejected"),N($G332),0))))</f>
        <v/>
      </c>
      <c r="O332" s="25">
        <f>IF($C332="","",IF($E332="collected",N($G332),IF(AND(OR($E332="returned_to_brand",$E332="given_to_roster_office",$E332="released_to_office",$E332="disposed"),IF($F332="","reserve",$F332)="leftover"),-N($G332),IF(AND($E332="correction",IF($F332="","reserve",$F332)="leftover"),N($G332),0))))</f>
        <v/>
      </c>
      <c r="P332" s="25">
        <f>IF(OR($E332&lt;&gt;"received",$I332="",$L332=""),"",IF($I332&gt;=$L332+config!$B$19,"Y","N"))</f>
        <v/>
      </c>
      <c r="Q332" s="25">
        <f>IF($C332="","",IF(COUNTIF(campaigns!$A$2:$A$51,$C332)=0,"campaign_id not on campaigns; ",IF(AND($D332&lt;&gt;"",COUNTIFS(approvals!$A$2:$A$251,$C332,approvals!$B$2:$B$251,$D332)=0),"office not on this campaign (approvals tab); ",""))&amp;IF(AND(OR($E332="delivered",$E332="topped_up",$E332="collected"),$D332=""),"office needed; ","")&amp;IF(AND($E332&lt;&gt;"correction",N($G332)&lt;=0),"qty must be above 0; ","")&amp;IF(AND($E332="received",OR($I332="",$H332="")),"log lot and best-by; ","")&amp;IF(AND($P332="N",SUMIFS(inventory!$G$2:$G$801,inventory!$C$2:$C$801,$C332,inventory!$H$2:$H$801,$H332,inventory!$E$2:$E$801,"rejected")&lt;N($G332)),"UNDER "&amp;config!$B$19&amp;" DAYS LEFT ON THE DROP DAY: reject these units; ","")&amp;IF(AND($E332="delivered",COUNTIF(inventory!$R$2:$R$801,$R332)&gt;1),"two delivered rows for this office: use one; ","")&amp;IF(AND($E332="delivered",$J332=""),"who counted?; ",""))</f>
        <v/>
      </c>
      <c r="R332" s="25">
        <f>IF($C332="","",$C332&amp;"|"&amp;$D332&amp;"|"&amp;$E332)</f>
        <v/>
      </c>
    </row>
    <row r="333">
      <c r="A333" s="9" t="n"/>
      <c r="B333" s="33" t="n"/>
      <c r="I333" s="9" t="n"/>
      <c r="L333" s="26">
        <f>IF($C333="","",IFERROR(IF(INDEX(campaigns!$BG$2:$BG$51,MATCH($C333,campaigns!$A$2:$A$51,0))="","",INDEX(campaigns!$BG$2:$BG$51,MATCH($C333,campaigns!$A$2:$A$51,0))),""))</f>
        <v/>
      </c>
      <c r="M333" s="25">
        <f>IF($C333="","",IF(OR($E333="received"),N($G333),IF(OR($E333="rejected",$E333="delivered",$E333="topped_up"),-N($G333),IF(AND(OR($E333="returned_to_brand",$E333="given_to_roster_office",$E333="released_to_office",$E333="disposed"),IF($F333="","reserve",$F333)="reserve"),-N($G333),IF(AND($E333="correction",IF($F333="","reserve",$F333)="reserve"),N($G333),0)))))</f>
        <v/>
      </c>
      <c r="N333" s="25">
        <f>IF($C333="","",IF($E333="rejected",N($G333),IF(AND(OR($E333="returned_to_brand",$E333="given_to_roster_office",$E333="released_to_office",$E333="disposed"),IF($F333="","reserve",$F333)="rejected"),-N($G333),IF(AND($E333="correction",IF($F333="","reserve",$F333)="rejected"),N($G333),0))))</f>
        <v/>
      </c>
      <c r="O333" s="25">
        <f>IF($C333="","",IF($E333="collected",N($G333),IF(AND(OR($E333="returned_to_brand",$E333="given_to_roster_office",$E333="released_to_office",$E333="disposed"),IF($F333="","reserve",$F333)="leftover"),-N($G333),IF(AND($E333="correction",IF($F333="","reserve",$F333)="leftover"),N($G333),0))))</f>
        <v/>
      </c>
      <c r="P333" s="25">
        <f>IF(OR($E333&lt;&gt;"received",$I333="",$L333=""),"",IF($I333&gt;=$L333+config!$B$19,"Y","N"))</f>
        <v/>
      </c>
      <c r="Q333" s="25">
        <f>IF($C333="","",IF(COUNTIF(campaigns!$A$2:$A$51,$C333)=0,"campaign_id not on campaigns; ",IF(AND($D333&lt;&gt;"",COUNTIFS(approvals!$A$2:$A$251,$C333,approvals!$B$2:$B$251,$D333)=0),"office not on this campaign (approvals tab); ",""))&amp;IF(AND(OR($E333="delivered",$E333="topped_up",$E333="collected"),$D333=""),"office needed; ","")&amp;IF(AND($E333&lt;&gt;"correction",N($G333)&lt;=0),"qty must be above 0; ","")&amp;IF(AND($E333="received",OR($I333="",$H333="")),"log lot and best-by; ","")&amp;IF(AND($P333="N",SUMIFS(inventory!$G$2:$G$801,inventory!$C$2:$C$801,$C333,inventory!$H$2:$H$801,$H333,inventory!$E$2:$E$801,"rejected")&lt;N($G333)),"UNDER "&amp;config!$B$19&amp;" DAYS LEFT ON THE DROP DAY: reject these units; ","")&amp;IF(AND($E333="delivered",COUNTIF(inventory!$R$2:$R$801,$R333)&gt;1),"two delivered rows for this office: use one; ","")&amp;IF(AND($E333="delivered",$J333=""),"who counted?; ",""))</f>
        <v/>
      </c>
      <c r="R333" s="25">
        <f>IF($C333="","",$C333&amp;"|"&amp;$D333&amp;"|"&amp;$E333)</f>
        <v/>
      </c>
    </row>
    <row r="334">
      <c r="A334" s="9" t="n"/>
      <c r="B334" s="33" t="n"/>
      <c r="I334" s="9" t="n"/>
      <c r="L334" s="26">
        <f>IF($C334="","",IFERROR(IF(INDEX(campaigns!$BG$2:$BG$51,MATCH($C334,campaigns!$A$2:$A$51,0))="","",INDEX(campaigns!$BG$2:$BG$51,MATCH($C334,campaigns!$A$2:$A$51,0))),""))</f>
        <v/>
      </c>
      <c r="M334" s="25">
        <f>IF($C334="","",IF(OR($E334="received"),N($G334),IF(OR($E334="rejected",$E334="delivered",$E334="topped_up"),-N($G334),IF(AND(OR($E334="returned_to_brand",$E334="given_to_roster_office",$E334="released_to_office",$E334="disposed"),IF($F334="","reserve",$F334)="reserve"),-N($G334),IF(AND($E334="correction",IF($F334="","reserve",$F334)="reserve"),N($G334),0)))))</f>
        <v/>
      </c>
      <c r="N334" s="25">
        <f>IF($C334="","",IF($E334="rejected",N($G334),IF(AND(OR($E334="returned_to_brand",$E334="given_to_roster_office",$E334="released_to_office",$E334="disposed"),IF($F334="","reserve",$F334)="rejected"),-N($G334),IF(AND($E334="correction",IF($F334="","reserve",$F334)="rejected"),N($G334),0))))</f>
        <v/>
      </c>
      <c r="O334" s="25">
        <f>IF($C334="","",IF($E334="collected",N($G334),IF(AND(OR($E334="returned_to_brand",$E334="given_to_roster_office",$E334="released_to_office",$E334="disposed"),IF($F334="","reserve",$F334)="leftover"),-N($G334),IF(AND($E334="correction",IF($F334="","reserve",$F334)="leftover"),N($G334),0))))</f>
        <v/>
      </c>
      <c r="P334" s="25">
        <f>IF(OR($E334&lt;&gt;"received",$I334="",$L334=""),"",IF($I334&gt;=$L334+config!$B$19,"Y","N"))</f>
        <v/>
      </c>
      <c r="Q334" s="25">
        <f>IF($C334="","",IF(COUNTIF(campaigns!$A$2:$A$51,$C334)=0,"campaign_id not on campaigns; ",IF(AND($D334&lt;&gt;"",COUNTIFS(approvals!$A$2:$A$251,$C334,approvals!$B$2:$B$251,$D334)=0),"office not on this campaign (approvals tab); ",""))&amp;IF(AND(OR($E334="delivered",$E334="topped_up",$E334="collected"),$D334=""),"office needed; ","")&amp;IF(AND($E334&lt;&gt;"correction",N($G334)&lt;=0),"qty must be above 0; ","")&amp;IF(AND($E334="received",OR($I334="",$H334="")),"log lot and best-by; ","")&amp;IF(AND($P334="N",SUMIFS(inventory!$G$2:$G$801,inventory!$C$2:$C$801,$C334,inventory!$H$2:$H$801,$H334,inventory!$E$2:$E$801,"rejected")&lt;N($G334)),"UNDER "&amp;config!$B$19&amp;" DAYS LEFT ON THE DROP DAY: reject these units; ","")&amp;IF(AND($E334="delivered",COUNTIF(inventory!$R$2:$R$801,$R334)&gt;1),"two delivered rows for this office: use one; ","")&amp;IF(AND($E334="delivered",$J334=""),"who counted?; ",""))</f>
        <v/>
      </c>
      <c r="R334" s="25">
        <f>IF($C334="","",$C334&amp;"|"&amp;$D334&amp;"|"&amp;$E334)</f>
        <v/>
      </c>
    </row>
    <row r="335">
      <c r="A335" s="9" t="n"/>
      <c r="B335" s="33" t="n"/>
      <c r="I335" s="9" t="n"/>
      <c r="L335" s="26">
        <f>IF($C335="","",IFERROR(IF(INDEX(campaigns!$BG$2:$BG$51,MATCH($C335,campaigns!$A$2:$A$51,0))="","",INDEX(campaigns!$BG$2:$BG$51,MATCH($C335,campaigns!$A$2:$A$51,0))),""))</f>
        <v/>
      </c>
      <c r="M335" s="25">
        <f>IF($C335="","",IF(OR($E335="received"),N($G335),IF(OR($E335="rejected",$E335="delivered",$E335="topped_up"),-N($G335),IF(AND(OR($E335="returned_to_brand",$E335="given_to_roster_office",$E335="released_to_office",$E335="disposed"),IF($F335="","reserve",$F335)="reserve"),-N($G335),IF(AND($E335="correction",IF($F335="","reserve",$F335)="reserve"),N($G335),0)))))</f>
        <v/>
      </c>
      <c r="N335" s="25">
        <f>IF($C335="","",IF($E335="rejected",N($G335),IF(AND(OR($E335="returned_to_brand",$E335="given_to_roster_office",$E335="released_to_office",$E335="disposed"),IF($F335="","reserve",$F335)="rejected"),-N($G335),IF(AND($E335="correction",IF($F335="","reserve",$F335)="rejected"),N($G335),0))))</f>
        <v/>
      </c>
      <c r="O335" s="25">
        <f>IF($C335="","",IF($E335="collected",N($G335),IF(AND(OR($E335="returned_to_brand",$E335="given_to_roster_office",$E335="released_to_office",$E335="disposed"),IF($F335="","reserve",$F335)="leftover"),-N($G335),IF(AND($E335="correction",IF($F335="","reserve",$F335)="leftover"),N($G335),0))))</f>
        <v/>
      </c>
      <c r="P335" s="25">
        <f>IF(OR($E335&lt;&gt;"received",$I335="",$L335=""),"",IF($I335&gt;=$L335+config!$B$19,"Y","N"))</f>
        <v/>
      </c>
      <c r="Q335" s="25">
        <f>IF($C335="","",IF(COUNTIF(campaigns!$A$2:$A$51,$C335)=0,"campaign_id not on campaigns; ",IF(AND($D335&lt;&gt;"",COUNTIFS(approvals!$A$2:$A$251,$C335,approvals!$B$2:$B$251,$D335)=0),"office not on this campaign (approvals tab); ",""))&amp;IF(AND(OR($E335="delivered",$E335="topped_up",$E335="collected"),$D335=""),"office needed; ","")&amp;IF(AND($E335&lt;&gt;"correction",N($G335)&lt;=0),"qty must be above 0; ","")&amp;IF(AND($E335="received",OR($I335="",$H335="")),"log lot and best-by; ","")&amp;IF(AND($P335="N",SUMIFS(inventory!$G$2:$G$801,inventory!$C$2:$C$801,$C335,inventory!$H$2:$H$801,$H335,inventory!$E$2:$E$801,"rejected")&lt;N($G335)),"UNDER "&amp;config!$B$19&amp;" DAYS LEFT ON THE DROP DAY: reject these units; ","")&amp;IF(AND($E335="delivered",COUNTIF(inventory!$R$2:$R$801,$R335)&gt;1),"two delivered rows for this office: use one; ","")&amp;IF(AND($E335="delivered",$J335=""),"who counted?; ",""))</f>
        <v/>
      </c>
      <c r="R335" s="25">
        <f>IF($C335="","",$C335&amp;"|"&amp;$D335&amp;"|"&amp;$E335)</f>
        <v/>
      </c>
    </row>
    <row r="336">
      <c r="A336" s="9" t="n"/>
      <c r="B336" s="33" t="n"/>
      <c r="I336" s="9" t="n"/>
      <c r="L336" s="26">
        <f>IF($C336="","",IFERROR(IF(INDEX(campaigns!$BG$2:$BG$51,MATCH($C336,campaigns!$A$2:$A$51,0))="","",INDEX(campaigns!$BG$2:$BG$51,MATCH($C336,campaigns!$A$2:$A$51,0))),""))</f>
        <v/>
      </c>
      <c r="M336" s="25">
        <f>IF($C336="","",IF(OR($E336="received"),N($G336),IF(OR($E336="rejected",$E336="delivered",$E336="topped_up"),-N($G336),IF(AND(OR($E336="returned_to_brand",$E336="given_to_roster_office",$E336="released_to_office",$E336="disposed"),IF($F336="","reserve",$F336)="reserve"),-N($G336),IF(AND($E336="correction",IF($F336="","reserve",$F336)="reserve"),N($G336),0)))))</f>
        <v/>
      </c>
      <c r="N336" s="25">
        <f>IF($C336="","",IF($E336="rejected",N($G336),IF(AND(OR($E336="returned_to_brand",$E336="given_to_roster_office",$E336="released_to_office",$E336="disposed"),IF($F336="","reserve",$F336)="rejected"),-N($G336),IF(AND($E336="correction",IF($F336="","reserve",$F336)="rejected"),N($G336),0))))</f>
        <v/>
      </c>
      <c r="O336" s="25">
        <f>IF($C336="","",IF($E336="collected",N($G336),IF(AND(OR($E336="returned_to_brand",$E336="given_to_roster_office",$E336="released_to_office",$E336="disposed"),IF($F336="","reserve",$F336)="leftover"),-N($G336),IF(AND($E336="correction",IF($F336="","reserve",$F336)="leftover"),N($G336),0))))</f>
        <v/>
      </c>
      <c r="P336" s="25">
        <f>IF(OR($E336&lt;&gt;"received",$I336="",$L336=""),"",IF($I336&gt;=$L336+config!$B$19,"Y","N"))</f>
        <v/>
      </c>
      <c r="Q336" s="25">
        <f>IF($C336="","",IF(COUNTIF(campaigns!$A$2:$A$51,$C336)=0,"campaign_id not on campaigns; ",IF(AND($D336&lt;&gt;"",COUNTIFS(approvals!$A$2:$A$251,$C336,approvals!$B$2:$B$251,$D336)=0),"office not on this campaign (approvals tab); ",""))&amp;IF(AND(OR($E336="delivered",$E336="topped_up",$E336="collected"),$D336=""),"office needed; ","")&amp;IF(AND($E336&lt;&gt;"correction",N($G336)&lt;=0),"qty must be above 0; ","")&amp;IF(AND($E336="received",OR($I336="",$H336="")),"log lot and best-by; ","")&amp;IF(AND($P336="N",SUMIFS(inventory!$G$2:$G$801,inventory!$C$2:$C$801,$C336,inventory!$H$2:$H$801,$H336,inventory!$E$2:$E$801,"rejected")&lt;N($G336)),"UNDER "&amp;config!$B$19&amp;" DAYS LEFT ON THE DROP DAY: reject these units; ","")&amp;IF(AND($E336="delivered",COUNTIF(inventory!$R$2:$R$801,$R336)&gt;1),"two delivered rows for this office: use one; ","")&amp;IF(AND($E336="delivered",$J336=""),"who counted?; ",""))</f>
        <v/>
      </c>
      <c r="R336" s="25">
        <f>IF($C336="","",$C336&amp;"|"&amp;$D336&amp;"|"&amp;$E336)</f>
        <v/>
      </c>
    </row>
    <row r="337">
      <c r="A337" s="9" t="n"/>
      <c r="B337" s="33" t="n"/>
      <c r="I337" s="9" t="n"/>
      <c r="L337" s="26">
        <f>IF($C337="","",IFERROR(IF(INDEX(campaigns!$BG$2:$BG$51,MATCH($C337,campaigns!$A$2:$A$51,0))="","",INDEX(campaigns!$BG$2:$BG$51,MATCH($C337,campaigns!$A$2:$A$51,0))),""))</f>
        <v/>
      </c>
      <c r="M337" s="25">
        <f>IF($C337="","",IF(OR($E337="received"),N($G337),IF(OR($E337="rejected",$E337="delivered",$E337="topped_up"),-N($G337),IF(AND(OR($E337="returned_to_brand",$E337="given_to_roster_office",$E337="released_to_office",$E337="disposed"),IF($F337="","reserve",$F337)="reserve"),-N($G337),IF(AND($E337="correction",IF($F337="","reserve",$F337)="reserve"),N($G337),0)))))</f>
        <v/>
      </c>
      <c r="N337" s="25">
        <f>IF($C337="","",IF($E337="rejected",N($G337),IF(AND(OR($E337="returned_to_brand",$E337="given_to_roster_office",$E337="released_to_office",$E337="disposed"),IF($F337="","reserve",$F337)="rejected"),-N($G337),IF(AND($E337="correction",IF($F337="","reserve",$F337)="rejected"),N($G337),0))))</f>
        <v/>
      </c>
      <c r="O337" s="25">
        <f>IF($C337="","",IF($E337="collected",N($G337),IF(AND(OR($E337="returned_to_brand",$E337="given_to_roster_office",$E337="released_to_office",$E337="disposed"),IF($F337="","reserve",$F337)="leftover"),-N($G337),IF(AND($E337="correction",IF($F337="","reserve",$F337)="leftover"),N($G337),0))))</f>
        <v/>
      </c>
      <c r="P337" s="25">
        <f>IF(OR($E337&lt;&gt;"received",$I337="",$L337=""),"",IF($I337&gt;=$L337+config!$B$19,"Y","N"))</f>
        <v/>
      </c>
      <c r="Q337" s="25">
        <f>IF($C337="","",IF(COUNTIF(campaigns!$A$2:$A$51,$C337)=0,"campaign_id not on campaigns; ",IF(AND($D337&lt;&gt;"",COUNTIFS(approvals!$A$2:$A$251,$C337,approvals!$B$2:$B$251,$D337)=0),"office not on this campaign (approvals tab); ",""))&amp;IF(AND(OR($E337="delivered",$E337="topped_up",$E337="collected"),$D337=""),"office needed; ","")&amp;IF(AND($E337&lt;&gt;"correction",N($G337)&lt;=0),"qty must be above 0; ","")&amp;IF(AND($E337="received",OR($I337="",$H337="")),"log lot and best-by; ","")&amp;IF(AND($P337="N",SUMIFS(inventory!$G$2:$G$801,inventory!$C$2:$C$801,$C337,inventory!$H$2:$H$801,$H337,inventory!$E$2:$E$801,"rejected")&lt;N($G337)),"UNDER "&amp;config!$B$19&amp;" DAYS LEFT ON THE DROP DAY: reject these units; ","")&amp;IF(AND($E337="delivered",COUNTIF(inventory!$R$2:$R$801,$R337)&gt;1),"two delivered rows for this office: use one; ","")&amp;IF(AND($E337="delivered",$J337=""),"who counted?; ",""))</f>
        <v/>
      </c>
      <c r="R337" s="25">
        <f>IF($C337="","",$C337&amp;"|"&amp;$D337&amp;"|"&amp;$E337)</f>
        <v/>
      </c>
    </row>
    <row r="338">
      <c r="A338" s="9" t="n"/>
      <c r="B338" s="33" t="n"/>
      <c r="I338" s="9" t="n"/>
      <c r="L338" s="26">
        <f>IF($C338="","",IFERROR(IF(INDEX(campaigns!$BG$2:$BG$51,MATCH($C338,campaigns!$A$2:$A$51,0))="","",INDEX(campaigns!$BG$2:$BG$51,MATCH($C338,campaigns!$A$2:$A$51,0))),""))</f>
        <v/>
      </c>
      <c r="M338" s="25">
        <f>IF($C338="","",IF(OR($E338="received"),N($G338),IF(OR($E338="rejected",$E338="delivered",$E338="topped_up"),-N($G338),IF(AND(OR($E338="returned_to_brand",$E338="given_to_roster_office",$E338="released_to_office",$E338="disposed"),IF($F338="","reserve",$F338)="reserve"),-N($G338),IF(AND($E338="correction",IF($F338="","reserve",$F338)="reserve"),N($G338),0)))))</f>
        <v/>
      </c>
      <c r="N338" s="25">
        <f>IF($C338="","",IF($E338="rejected",N($G338),IF(AND(OR($E338="returned_to_brand",$E338="given_to_roster_office",$E338="released_to_office",$E338="disposed"),IF($F338="","reserve",$F338)="rejected"),-N($G338),IF(AND($E338="correction",IF($F338="","reserve",$F338)="rejected"),N($G338),0))))</f>
        <v/>
      </c>
      <c r="O338" s="25">
        <f>IF($C338="","",IF($E338="collected",N($G338),IF(AND(OR($E338="returned_to_brand",$E338="given_to_roster_office",$E338="released_to_office",$E338="disposed"),IF($F338="","reserve",$F338)="leftover"),-N($G338),IF(AND($E338="correction",IF($F338="","reserve",$F338)="leftover"),N($G338),0))))</f>
        <v/>
      </c>
      <c r="P338" s="25">
        <f>IF(OR($E338&lt;&gt;"received",$I338="",$L338=""),"",IF($I338&gt;=$L338+config!$B$19,"Y","N"))</f>
        <v/>
      </c>
      <c r="Q338" s="25">
        <f>IF($C338="","",IF(COUNTIF(campaigns!$A$2:$A$51,$C338)=0,"campaign_id not on campaigns; ",IF(AND($D338&lt;&gt;"",COUNTIFS(approvals!$A$2:$A$251,$C338,approvals!$B$2:$B$251,$D338)=0),"office not on this campaign (approvals tab); ",""))&amp;IF(AND(OR($E338="delivered",$E338="topped_up",$E338="collected"),$D338=""),"office needed; ","")&amp;IF(AND($E338&lt;&gt;"correction",N($G338)&lt;=0),"qty must be above 0; ","")&amp;IF(AND($E338="received",OR($I338="",$H338="")),"log lot and best-by; ","")&amp;IF(AND($P338="N",SUMIFS(inventory!$G$2:$G$801,inventory!$C$2:$C$801,$C338,inventory!$H$2:$H$801,$H338,inventory!$E$2:$E$801,"rejected")&lt;N($G338)),"UNDER "&amp;config!$B$19&amp;" DAYS LEFT ON THE DROP DAY: reject these units; ","")&amp;IF(AND($E338="delivered",COUNTIF(inventory!$R$2:$R$801,$R338)&gt;1),"two delivered rows for this office: use one; ","")&amp;IF(AND($E338="delivered",$J338=""),"who counted?; ",""))</f>
        <v/>
      </c>
      <c r="R338" s="25">
        <f>IF($C338="","",$C338&amp;"|"&amp;$D338&amp;"|"&amp;$E338)</f>
        <v/>
      </c>
    </row>
    <row r="339">
      <c r="A339" s="9" t="n"/>
      <c r="B339" s="33" t="n"/>
      <c r="I339" s="9" t="n"/>
      <c r="L339" s="26">
        <f>IF($C339="","",IFERROR(IF(INDEX(campaigns!$BG$2:$BG$51,MATCH($C339,campaigns!$A$2:$A$51,0))="","",INDEX(campaigns!$BG$2:$BG$51,MATCH($C339,campaigns!$A$2:$A$51,0))),""))</f>
        <v/>
      </c>
      <c r="M339" s="25">
        <f>IF($C339="","",IF(OR($E339="received"),N($G339),IF(OR($E339="rejected",$E339="delivered",$E339="topped_up"),-N($G339),IF(AND(OR($E339="returned_to_brand",$E339="given_to_roster_office",$E339="released_to_office",$E339="disposed"),IF($F339="","reserve",$F339)="reserve"),-N($G339),IF(AND($E339="correction",IF($F339="","reserve",$F339)="reserve"),N($G339),0)))))</f>
        <v/>
      </c>
      <c r="N339" s="25">
        <f>IF($C339="","",IF($E339="rejected",N($G339),IF(AND(OR($E339="returned_to_brand",$E339="given_to_roster_office",$E339="released_to_office",$E339="disposed"),IF($F339="","reserve",$F339)="rejected"),-N($G339),IF(AND($E339="correction",IF($F339="","reserve",$F339)="rejected"),N($G339),0))))</f>
        <v/>
      </c>
      <c r="O339" s="25">
        <f>IF($C339="","",IF($E339="collected",N($G339),IF(AND(OR($E339="returned_to_brand",$E339="given_to_roster_office",$E339="released_to_office",$E339="disposed"),IF($F339="","reserve",$F339)="leftover"),-N($G339),IF(AND($E339="correction",IF($F339="","reserve",$F339)="leftover"),N($G339),0))))</f>
        <v/>
      </c>
      <c r="P339" s="25">
        <f>IF(OR($E339&lt;&gt;"received",$I339="",$L339=""),"",IF($I339&gt;=$L339+config!$B$19,"Y","N"))</f>
        <v/>
      </c>
      <c r="Q339" s="25">
        <f>IF($C339="","",IF(COUNTIF(campaigns!$A$2:$A$51,$C339)=0,"campaign_id not on campaigns; ",IF(AND($D339&lt;&gt;"",COUNTIFS(approvals!$A$2:$A$251,$C339,approvals!$B$2:$B$251,$D339)=0),"office not on this campaign (approvals tab); ",""))&amp;IF(AND(OR($E339="delivered",$E339="topped_up",$E339="collected"),$D339=""),"office needed; ","")&amp;IF(AND($E339&lt;&gt;"correction",N($G339)&lt;=0),"qty must be above 0; ","")&amp;IF(AND($E339="received",OR($I339="",$H339="")),"log lot and best-by; ","")&amp;IF(AND($P339="N",SUMIFS(inventory!$G$2:$G$801,inventory!$C$2:$C$801,$C339,inventory!$H$2:$H$801,$H339,inventory!$E$2:$E$801,"rejected")&lt;N($G339)),"UNDER "&amp;config!$B$19&amp;" DAYS LEFT ON THE DROP DAY: reject these units; ","")&amp;IF(AND($E339="delivered",COUNTIF(inventory!$R$2:$R$801,$R339)&gt;1),"two delivered rows for this office: use one; ","")&amp;IF(AND($E339="delivered",$J339=""),"who counted?; ",""))</f>
        <v/>
      </c>
      <c r="R339" s="25">
        <f>IF($C339="","",$C339&amp;"|"&amp;$D339&amp;"|"&amp;$E339)</f>
        <v/>
      </c>
    </row>
    <row r="340">
      <c r="A340" s="9" t="n"/>
      <c r="B340" s="33" t="n"/>
      <c r="I340" s="9" t="n"/>
      <c r="L340" s="26">
        <f>IF($C340="","",IFERROR(IF(INDEX(campaigns!$BG$2:$BG$51,MATCH($C340,campaigns!$A$2:$A$51,0))="","",INDEX(campaigns!$BG$2:$BG$51,MATCH($C340,campaigns!$A$2:$A$51,0))),""))</f>
        <v/>
      </c>
      <c r="M340" s="25">
        <f>IF($C340="","",IF(OR($E340="received"),N($G340),IF(OR($E340="rejected",$E340="delivered",$E340="topped_up"),-N($G340),IF(AND(OR($E340="returned_to_brand",$E340="given_to_roster_office",$E340="released_to_office",$E340="disposed"),IF($F340="","reserve",$F340)="reserve"),-N($G340),IF(AND($E340="correction",IF($F340="","reserve",$F340)="reserve"),N($G340),0)))))</f>
        <v/>
      </c>
      <c r="N340" s="25">
        <f>IF($C340="","",IF($E340="rejected",N($G340),IF(AND(OR($E340="returned_to_brand",$E340="given_to_roster_office",$E340="released_to_office",$E340="disposed"),IF($F340="","reserve",$F340)="rejected"),-N($G340),IF(AND($E340="correction",IF($F340="","reserve",$F340)="rejected"),N($G340),0))))</f>
        <v/>
      </c>
      <c r="O340" s="25">
        <f>IF($C340="","",IF($E340="collected",N($G340),IF(AND(OR($E340="returned_to_brand",$E340="given_to_roster_office",$E340="released_to_office",$E340="disposed"),IF($F340="","reserve",$F340)="leftover"),-N($G340),IF(AND($E340="correction",IF($F340="","reserve",$F340)="leftover"),N($G340),0))))</f>
        <v/>
      </c>
      <c r="P340" s="25">
        <f>IF(OR($E340&lt;&gt;"received",$I340="",$L340=""),"",IF($I340&gt;=$L340+config!$B$19,"Y","N"))</f>
        <v/>
      </c>
      <c r="Q340" s="25">
        <f>IF($C340="","",IF(COUNTIF(campaigns!$A$2:$A$51,$C340)=0,"campaign_id not on campaigns; ",IF(AND($D340&lt;&gt;"",COUNTIFS(approvals!$A$2:$A$251,$C340,approvals!$B$2:$B$251,$D340)=0),"office not on this campaign (approvals tab); ",""))&amp;IF(AND(OR($E340="delivered",$E340="topped_up",$E340="collected"),$D340=""),"office needed; ","")&amp;IF(AND($E340&lt;&gt;"correction",N($G340)&lt;=0),"qty must be above 0; ","")&amp;IF(AND($E340="received",OR($I340="",$H340="")),"log lot and best-by; ","")&amp;IF(AND($P340="N",SUMIFS(inventory!$G$2:$G$801,inventory!$C$2:$C$801,$C340,inventory!$H$2:$H$801,$H340,inventory!$E$2:$E$801,"rejected")&lt;N($G340)),"UNDER "&amp;config!$B$19&amp;" DAYS LEFT ON THE DROP DAY: reject these units; ","")&amp;IF(AND($E340="delivered",COUNTIF(inventory!$R$2:$R$801,$R340)&gt;1),"two delivered rows for this office: use one; ","")&amp;IF(AND($E340="delivered",$J340=""),"who counted?; ",""))</f>
        <v/>
      </c>
      <c r="R340" s="25">
        <f>IF($C340="","",$C340&amp;"|"&amp;$D340&amp;"|"&amp;$E340)</f>
        <v/>
      </c>
    </row>
    <row r="341">
      <c r="A341" s="9" t="n"/>
      <c r="B341" s="33" t="n"/>
      <c r="I341" s="9" t="n"/>
      <c r="L341" s="26">
        <f>IF($C341="","",IFERROR(IF(INDEX(campaigns!$BG$2:$BG$51,MATCH($C341,campaigns!$A$2:$A$51,0))="","",INDEX(campaigns!$BG$2:$BG$51,MATCH($C341,campaigns!$A$2:$A$51,0))),""))</f>
        <v/>
      </c>
      <c r="M341" s="25">
        <f>IF($C341="","",IF(OR($E341="received"),N($G341),IF(OR($E341="rejected",$E341="delivered",$E341="topped_up"),-N($G341),IF(AND(OR($E341="returned_to_brand",$E341="given_to_roster_office",$E341="released_to_office",$E341="disposed"),IF($F341="","reserve",$F341)="reserve"),-N($G341),IF(AND($E341="correction",IF($F341="","reserve",$F341)="reserve"),N($G341),0)))))</f>
        <v/>
      </c>
      <c r="N341" s="25">
        <f>IF($C341="","",IF($E341="rejected",N($G341),IF(AND(OR($E341="returned_to_brand",$E341="given_to_roster_office",$E341="released_to_office",$E341="disposed"),IF($F341="","reserve",$F341)="rejected"),-N($G341),IF(AND($E341="correction",IF($F341="","reserve",$F341)="rejected"),N($G341),0))))</f>
        <v/>
      </c>
      <c r="O341" s="25">
        <f>IF($C341="","",IF($E341="collected",N($G341),IF(AND(OR($E341="returned_to_brand",$E341="given_to_roster_office",$E341="released_to_office",$E341="disposed"),IF($F341="","reserve",$F341)="leftover"),-N($G341),IF(AND($E341="correction",IF($F341="","reserve",$F341)="leftover"),N($G341),0))))</f>
        <v/>
      </c>
      <c r="P341" s="25">
        <f>IF(OR($E341&lt;&gt;"received",$I341="",$L341=""),"",IF($I341&gt;=$L341+config!$B$19,"Y","N"))</f>
        <v/>
      </c>
      <c r="Q341" s="25">
        <f>IF($C341="","",IF(COUNTIF(campaigns!$A$2:$A$51,$C341)=0,"campaign_id not on campaigns; ",IF(AND($D341&lt;&gt;"",COUNTIFS(approvals!$A$2:$A$251,$C341,approvals!$B$2:$B$251,$D341)=0),"office not on this campaign (approvals tab); ",""))&amp;IF(AND(OR($E341="delivered",$E341="topped_up",$E341="collected"),$D341=""),"office needed; ","")&amp;IF(AND($E341&lt;&gt;"correction",N($G341)&lt;=0),"qty must be above 0; ","")&amp;IF(AND($E341="received",OR($I341="",$H341="")),"log lot and best-by; ","")&amp;IF(AND($P341="N",SUMIFS(inventory!$G$2:$G$801,inventory!$C$2:$C$801,$C341,inventory!$H$2:$H$801,$H341,inventory!$E$2:$E$801,"rejected")&lt;N($G341)),"UNDER "&amp;config!$B$19&amp;" DAYS LEFT ON THE DROP DAY: reject these units; ","")&amp;IF(AND($E341="delivered",COUNTIF(inventory!$R$2:$R$801,$R341)&gt;1),"two delivered rows for this office: use one; ","")&amp;IF(AND($E341="delivered",$J341=""),"who counted?; ",""))</f>
        <v/>
      </c>
      <c r="R341" s="25">
        <f>IF($C341="","",$C341&amp;"|"&amp;$D341&amp;"|"&amp;$E341)</f>
        <v/>
      </c>
    </row>
    <row r="342">
      <c r="A342" s="9" t="n"/>
      <c r="B342" s="33" t="n"/>
      <c r="I342" s="9" t="n"/>
      <c r="L342" s="26">
        <f>IF($C342="","",IFERROR(IF(INDEX(campaigns!$BG$2:$BG$51,MATCH($C342,campaigns!$A$2:$A$51,0))="","",INDEX(campaigns!$BG$2:$BG$51,MATCH($C342,campaigns!$A$2:$A$51,0))),""))</f>
        <v/>
      </c>
      <c r="M342" s="25">
        <f>IF($C342="","",IF(OR($E342="received"),N($G342),IF(OR($E342="rejected",$E342="delivered",$E342="topped_up"),-N($G342),IF(AND(OR($E342="returned_to_brand",$E342="given_to_roster_office",$E342="released_to_office",$E342="disposed"),IF($F342="","reserve",$F342)="reserve"),-N($G342),IF(AND($E342="correction",IF($F342="","reserve",$F342)="reserve"),N($G342),0)))))</f>
        <v/>
      </c>
      <c r="N342" s="25">
        <f>IF($C342="","",IF($E342="rejected",N($G342),IF(AND(OR($E342="returned_to_brand",$E342="given_to_roster_office",$E342="released_to_office",$E342="disposed"),IF($F342="","reserve",$F342)="rejected"),-N($G342),IF(AND($E342="correction",IF($F342="","reserve",$F342)="rejected"),N($G342),0))))</f>
        <v/>
      </c>
      <c r="O342" s="25">
        <f>IF($C342="","",IF($E342="collected",N($G342),IF(AND(OR($E342="returned_to_brand",$E342="given_to_roster_office",$E342="released_to_office",$E342="disposed"),IF($F342="","reserve",$F342)="leftover"),-N($G342),IF(AND($E342="correction",IF($F342="","reserve",$F342)="leftover"),N($G342),0))))</f>
        <v/>
      </c>
      <c r="P342" s="25">
        <f>IF(OR($E342&lt;&gt;"received",$I342="",$L342=""),"",IF($I342&gt;=$L342+config!$B$19,"Y","N"))</f>
        <v/>
      </c>
      <c r="Q342" s="25">
        <f>IF($C342="","",IF(COUNTIF(campaigns!$A$2:$A$51,$C342)=0,"campaign_id not on campaigns; ",IF(AND($D342&lt;&gt;"",COUNTIFS(approvals!$A$2:$A$251,$C342,approvals!$B$2:$B$251,$D342)=0),"office not on this campaign (approvals tab); ",""))&amp;IF(AND(OR($E342="delivered",$E342="topped_up",$E342="collected"),$D342=""),"office needed; ","")&amp;IF(AND($E342&lt;&gt;"correction",N($G342)&lt;=0),"qty must be above 0; ","")&amp;IF(AND($E342="received",OR($I342="",$H342="")),"log lot and best-by; ","")&amp;IF(AND($P342="N",SUMIFS(inventory!$G$2:$G$801,inventory!$C$2:$C$801,$C342,inventory!$H$2:$H$801,$H342,inventory!$E$2:$E$801,"rejected")&lt;N($G342)),"UNDER "&amp;config!$B$19&amp;" DAYS LEFT ON THE DROP DAY: reject these units; ","")&amp;IF(AND($E342="delivered",COUNTIF(inventory!$R$2:$R$801,$R342)&gt;1),"two delivered rows for this office: use one; ","")&amp;IF(AND($E342="delivered",$J342=""),"who counted?; ",""))</f>
        <v/>
      </c>
      <c r="R342" s="25">
        <f>IF($C342="","",$C342&amp;"|"&amp;$D342&amp;"|"&amp;$E342)</f>
        <v/>
      </c>
    </row>
    <row r="343">
      <c r="A343" s="9" t="n"/>
      <c r="B343" s="33" t="n"/>
      <c r="I343" s="9" t="n"/>
      <c r="L343" s="26">
        <f>IF($C343="","",IFERROR(IF(INDEX(campaigns!$BG$2:$BG$51,MATCH($C343,campaigns!$A$2:$A$51,0))="","",INDEX(campaigns!$BG$2:$BG$51,MATCH($C343,campaigns!$A$2:$A$51,0))),""))</f>
        <v/>
      </c>
      <c r="M343" s="25">
        <f>IF($C343="","",IF(OR($E343="received"),N($G343),IF(OR($E343="rejected",$E343="delivered",$E343="topped_up"),-N($G343),IF(AND(OR($E343="returned_to_brand",$E343="given_to_roster_office",$E343="released_to_office",$E343="disposed"),IF($F343="","reserve",$F343)="reserve"),-N($G343),IF(AND($E343="correction",IF($F343="","reserve",$F343)="reserve"),N($G343),0)))))</f>
        <v/>
      </c>
      <c r="N343" s="25">
        <f>IF($C343="","",IF($E343="rejected",N($G343),IF(AND(OR($E343="returned_to_brand",$E343="given_to_roster_office",$E343="released_to_office",$E343="disposed"),IF($F343="","reserve",$F343)="rejected"),-N($G343),IF(AND($E343="correction",IF($F343="","reserve",$F343)="rejected"),N($G343),0))))</f>
        <v/>
      </c>
      <c r="O343" s="25">
        <f>IF($C343="","",IF($E343="collected",N($G343),IF(AND(OR($E343="returned_to_brand",$E343="given_to_roster_office",$E343="released_to_office",$E343="disposed"),IF($F343="","reserve",$F343)="leftover"),-N($G343),IF(AND($E343="correction",IF($F343="","reserve",$F343)="leftover"),N($G343),0))))</f>
        <v/>
      </c>
      <c r="P343" s="25">
        <f>IF(OR($E343&lt;&gt;"received",$I343="",$L343=""),"",IF($I343&gt;=$L343+config!$B$19,"Y","N"))</f>
        <v/>
      </c>
      <c r="Q343" s="25">
        <f>IF($C343="","",IF(COUNTIF(campaigns!$A$2:$A$51,$C343)=0,"campaign_id not on campaigns; ",IF(AND($D343&lt;&gt;"",COUNTIFS(approvals!$A$2:$A$251,$C343,approvals!$B$2:$B$251,$D343)=0),"office not on this campaign (approvals tab); ",""))&amp;IF(AND(OR($E343="delivered",$E343="topped_up",$E343="collected"),$D343=""),"office needed; ","")&amp;IF(AND($E343&lt;&gt;"correction",N($G343)&lt;=0),"qty must be above 0; ","")&amp;IF(AND($E343="received",OR($I343="",$H343="")),"log lot and best-by; ","")&amp;IF(AND($P343="N",SUMIFS(inventory!$G$2:$G$801,inventory!$C$2:$C$801,$C343,inventory!$H$2:$H$801,$H343,inventory!$E$2:$E$801,"rejected")&lt;N($G343)),"UNDER "&amp;config!$B$19&amp;" DAYS LEFT ON THE DROP DAY: reject these units; ","")&amp;IF(AND($E343="delivered",COUNTIF(inventory!$R$2:$R$801,$R343)&gt;1),"two delivered rows for this office: use one; ","")&amp;IF(AND($E343="delivered",$J343=""),"who counted?; ",""))</f>
        <v/>
      </c>
      <c r="R343" s="25">
        <f>IF($C343="","",$C343&amp;"|"&amp;$D343&amp;"|"&amp;$E343)</f>
        <v/>
      </c>
    </row>
    <row r="344">
      <c r="A344" s="9" t="n"/>
      <c r="B344" s="33" t="n"/>
      <c r="I344" s="9" t="n"/>
      <c r="L344" s="26">
        <f>IF($C344="","",IFERROR(IF(INDEX(campaigns!$BG$2:$BG$51,MATCH($C344,campaigns!$A$2:$A$51,0))="","",INDEX(campaigns!$BG$2:$BG$51,MATCH($C344,campaigns!$A$2:$A$51,0))),""))</f>
        <v/>
      </c>
      <c r="M344" s="25">
        <f>IF($C344="","",IF(OR($E344="received"),N($G344),IF(OR($E344="rejected",$E344="delivered",$E344="topped_up"),-N($G344),IF(AND(OR($E344="returned_to_brand",$E344="given_to_roster_office",$E344="released_to_office",$E344="disposed"),IF($F344="","reserve",$F344)="reserve"),-N($G344),IF(AND($E344="correction",IF($F344="","reserve",$F344)="reserve"),N($G344),0)))))</f>
        <v/>
      </c>
      <c r="N344" s="25">
        <f>IF($C344="","",IF($E344="rejected",N($G344),IF(AND(OR($E344="returned_to_brand",$E344="given_to_roster_office",$E344="released_to_office",$E344="disposed"),IF($F344="","reserve",$F344)="rejected"),-N($G344),IF(AND($E344="correction",IF($F344="","reserve",$F344)="rejected"),N($G344),0))))</f>
        <v/>
      </c>
      <c r="O344" s="25">
        <f>IF($C344="","",IF($E344="collected",N($G344),IF(AND(OR($E344="returned_to_brand",$E344="given_to_roster_office",$E344="released_to_office",$E344="disposed"),IF($F344="","reserve",$F344)="leftover"),-N($G344),IF(AND($E344="correction",IF($F344="","reserve",$F344)="leftover"),N($G344),0))))</f>
        <v/>
      </c>
      <c r="P344" s="25">
        <f>IF(OR($E344&lt;&gt;"received",$I344="",$L344=""),"",IF($I344&gt;=$L344+config!$B$19,"Y","N"))</f>
        <v/>
      </c>
      <c r="Q344" s="25">
        <f>IF($C344="","",IF(COUNTIF(campaigns!$A$2:$A$51,$C344)=0,"campaign_id not on campaigns; ",IF(AND($D344&lt;&gt;"",COUNTIFS(approvals!$A$2:$A$251,$C344,approvals!$B$2:$B$251,$D344)=0),"office not on this campaign (approvals tab); ",""))&amp;IF(AND(OR($E344="delivered",$E344="topped_up",$E344="collected"),$D344=""),"office needed; ","")&amp;IF(AND($E344&lt;&gt;"correction",N($G344)&lt;=0),"qty must be above 0; ","")&amp;IF(AND($E344="received",OR($I344="",$H344="")),"log lot and best-by; ","")&amp;IF(AND($P344="N",SUMIFS(inventory!$G$2:$G$801,inventory!$C$2:$C$801,$C344,inventory!$H$2:$H$801,$H344,inventory!$E$2:$E$801,"rejected")&lt;N($G344)),"UNDER "&amp;config!$B$19&amp;" DAYS LEFT ON THE DROP DAY: reject these units; ","")&amp;IF(AND($E344="delivered",COUNTIF(inventory!$R$2:$R$801,$R344)&gt;1),"two delivered rows for this office: use one; ","")&amp;IF(AND($E344="delivered",$J344=""),"who counted?; ",""))</f>
        <v/>
      </c>
      <c r="R344" s="25">
        <f>IF($C344="","",$C344&amp;"|"&amp;$D344&amp;"|"&amp;$E344)</f>
        <v/>
      </c>
    </row>
    <row r="345">
      <c r="A345" s="9" t="n"/>
      <c r="B345" s="33" t="n"/>
      <c r="I345" s="9" t="n"/>
      <c r="L345" s="26">
        <f>IF($C345="","",IFERROR(IF(INDEX(campaigns!$BG$2:$BG$51,MATCH($C345,campaigns!$A$2:$A$51,0))="","",INDEX(campaigns!$BG$2:$BG$51,MATCH($C345,campaigns!$A$2:$A$51,0))),""))</f>
        <v/>
      </c>
      <c r="M345" s="25">
        <f>IF($C345="","",IF(OR($E345="received"),N($G345),IF(OR($E345="rejected",$E345="delivered",$E345="topped_up"),-N($G345),IF(AND(OR($E345="returned_to_brand",$E345="given_to_roster_office",$E345="released_to_office",$E345="disposed"),IF($F345="","reserve",$F345)="reserve"),-N($G345),IF(AND($E345="correction",IF($F345="","reserve",$F345)="reserve"),N($G345),0)))))</f>
        <v/>
      </c>
      <c r="N345" s="25">
        <f>IF($C345="","",IF($E345="rejected",N($G345),IF(AND(OR($E345="returned_to_brand",$E345="given_to_roster_office",$E345="released_to_office",$E345="disposed"),IF($F345="","reserve",$F345)="rejected"),-N($G345),IF(AND($E345="correction",IF($F345="","reserve",$F345)="rejected"),N($G345),0))))</f>
        <v/>
      </c>
      <c r="O345" s="25">
        <f>IF($C345="","",IF($E345="collected",N($G345),IF(AND(OR($E345="returned_to_brand",$E345="given_to_roster_office",$E345="released_to_office",$E345="disposed"),IF($F345="","reserve",$F345)="leftover"),-N($G345),IF(AND($E345="correction",IF($F345="","reserve",$F345)="leftover"),N($G345),0))))</f>
        <v/>
      </c>
      <c r="P345" s="25">
        <f>IF(OR($E345&lt;&gt;"received",$I345="",$L345=""),"",IF($I345&gt;=$L345+config!$B$19,"Y","N"))</f>
        <v/>
      </c>
      <c r="Q345" s="25">
        <f>IF($C345="","",IF(COUNTIF(campaigns!$A$2:$A$51,$C345)=0,"campaign_id not on campaigns; ",IF(AND($D345&lt;&gt;"",COUNTIFS(approvals!$A$2:$A$251,$C345,approvals!$B$2:$B$251,$D345)=0),"office not on this campaign (approvals tab); ",""))&amp;IF(AND(OR($E345="delivered",$E345="topped_up",$E345="collected"),$D345=""),"office needed; ","")&amp;IF(AND($E345&lt;&gt;"correction",N($G345)&lt;=0),"qty must be above 0; ","")&amp;IF(AND($E345="received",OR($I345="",$H345="")),"log lot and best-by; ","")&amp;IF(AND($P345="N",SUMIFS(inventory!$G$2:$G$801,inventory!$C$2:$C$801,$C345,inventory!$H$2:$H$801,$H345,inventory!$E$2:$E$801,"rejected")&lt;N($G345)),"UNDER "&amp;config!$B$19&amp;" DAYS LEFT ON THE DROP DAY: reject these units; ","")&amp;IF(AND($E345="delivered",COUNTIF(inventory!$R$2:$R$801,$R345)&gt;1),"two delivered rows for this office: use one; ","")&amp;IF(AND($E345="delivered",$J345=""),"who counted?; ",""))</f>
        <v/>
      </c>
      <c r="R345" s="25">
        <f>IF($C345="","",$C345&amp;"|"&amp;$D345&amp;"|"&amp;$E345)</f>
        <v/>
      </c>
    </row>
    <row r="346">
      <c r="A346" s="9" t="n"/>
      <c r="B346" s="33" t="n"/>
      <c r="I346" s="9" t="n"/>
      <c r="L346" s="26">
        <f>IF($C346="","",IFERROR(IF(INDEX(campaigns!$BG$2:$BG$51,MATCH($C346,campaigns!$A$2:$A$51,0))="","",INDEX(campaigns!$BG$2:$BG$51,MATCH($C346,campaigns!$A$2:$A$51,0))),""))</f>
        <v/>
      </c>
      <c r="M346" s="25">
        <f>IF($C346="","",IF(OR($E346="received"),N($G346),IF(OR($E346="rejected",$E346="delivered",$E346="topped_up"),-N($G346),IF(AND(OR($E346="returned_to_brand",$E346="given_to_roster_office",$E346="released_to_office",$E346="disposed"),IF($F346="","reserve",$F346)="reserve"),-N($G346),IF(AND($E346="correction",IF($F346="","reserve",$F346)="reserve"),N($G346),0)))))</f>
        <v/>
      </c>
      <c r="N346" s="25">
        <f>IF($C346="","",IF($E346="rejected",N($G346),IF(AND(OR($E346="returned_to_brand",$E346="given_to_roster_office",$E346="released_to_office",$E346="disposed"),IF($F346="","reserve",$F346)="rejected"),-N($G346),IF(AND($E346="correction",IF($F346="","reserve",$F346)="rejected"),N($G346),0))))</f>
        <v/>
      </c>
      <c r="O346" s="25">
        <f>IF($C346="","",IF($E346="collected",N($G346),IF(AND(OR($E346="returned_to_brand",$E346="given_to_roster_office",$E346="released_to_office",$E346="disposed"),IF($F346="","reserve",$F346)="leftover"),-N($G346),IF(AND($E346="correction",IF($F346="","reserve",$F346)="leftover"),N($G346),0))))</f>
        <v/>
      </c>
      <c r="P346" s="25">
        <f>IF(OR($E346&lt;&gt;"received",$I346="",$L346=""),"",IF($I346&gt;=$L346+config!$B$19,"Y","N"))</f>
        <v/>
      </c>
      <c r="Q346" s="25">
        <f>IF($C346="","",IF(COUNTIF(campaigns!$A$2:$A$51,$C346)=0,"campaign_id not on campaigns; ",IF(AND($D346&lt;&gt;"",COUNTIFS(approvals!$A$2:$A$251,$C346,approvals!$B$2:$B$251,$D346)=0),"office not on this campaign (approvals tab); ",""))&amp;IF(AND(OR($E346="delivered",$E346="topped_up",$E346="collected"),$D346=""),"office needed; ","")&amp;IF(AND($E346&lt;&gt;"correction",N($G346)&lt;=0),"qty must be above 0; ","")&amp;IF(AND($E346="received",OR($I346="",$H346="")),"log lot and best-by; ","")&amp;IF(AND($P346="N",SUMIFS(inventory!$G$2:$G$801,inventory!$C$2:$C$801,$C346,inventory!$H$2:$H$801,$H346,inventory!$E$2:$E$801,"rejected")&lt;N($G346)),"UNDER "&amp;config!$B$19&amp;" DAYS LEFT ON THE DROP DAY: reject these units; ","")&amp;IF(AND($E346="delivered",COUNTIF(inventory!$R$2:$R$801,$R346)&gt;1),"two delivered rows for this office: use one; ","")&amp;IF(AND($E346="delivered",$J346=""),"who counted?; ",""))</f>
        <v/>
      </c>
      <c r="R346" s="25">
        <f>IF($C346="","",$C346&amp;"|"&amp;$D346&amp;"|"&amp;$E346)</f>
        <v/>
      </c>
    </row>
    <row r="347">
      <c r="A347" s="9" t="n"/>
      <c r="B347" s="33" t="n"/>
      <c r="I347" s="9" t="n"/>
      <c r="L347" s="26">
        <f>IF($C347="","",IFERROR(IF(INDEX(campaigns!$BG$2:$BG$51,MATCH($C347,campaigns!$A$2:$A$51,0))="","",INDEX(campaigns!$BG$2:$BG$51,MATCH($C347,campaigns!$A$2:$A$51,0))),""))</f>
        <v/>
      </c>
      <c r="M347" s="25">
        <f>IF($C347="","",IF(OR($E347="received"),N($G347),IF(OR($E347="rejected",$E347="delivered",$E347="topped_up"),-N($G347),IF(AND(OR($E347="returned_to_brand",$E347="given_to_roster_office",$E347="released_to_office",$E347="disposed"),IF($F347="","reserve",$F347)="reserve"),-N($G347),IF(AND($E347="correction",IF($F347="","reserve",$F347)="reserve"),N($G347),0)))))</f>
        <v/>
      </c>
      <c r="N347" s="25">
        <f>IF($C347="","",IF($E347="rejected",N($G347),IF(AND(OR($E347="returned_to_brand",$E347="given_to_roster_office",$E347="released_to_office",$E347="disposed"),IF($F347="","reserve",$F347)="rejected"),-N($G347),IF(AND($E347="correction",IF($F347="","reserve",$F347)="rejected"),N($G347),0))))</f>
        <v/>
      </c>
      <c r="O347" s="25">
        <f>IF($C347="","",IF($E347="collected",N($G347),IF(AND(OR($E347="returned_to_brand",$E347="given_to_roster_office",$E347="released_to_office",$E347="disposed"),IF($F347="","reserve",$F347)="leftover"),-N($G347),IF(AND($E347="correction",IF($F347="","reserve",$F347)="leftover"),N($G347),0))))</f>
        <v/>
      </c>
      <c r="P347" s="25">
        <f>IF(OR($E347&lt;&gt;"received",$I347="",$L347=""),"",IF($I347&gt;=$L347+config!$B$19,"Y","N"))</f>
        <v/>
      </c>
      <c r="Q347" s="25">
        <f>IF($C347="","",IF(COUNTIF(campaigns!$A$2:$A$51,$C347)=0,"campaign_id not on campaigns; ",IF(AND($D347&lt;&gt;"",COUNTIFS(approvals!$A$2:$A$251,$C347,approvals!$B$2:$B$251,$D347)=0),"office not on this campaign (approvals tab); ",""))&amp;IF(AND(OR($E347="delivered",$E347="topped_up",$E347="collected"),$D347=""),"office needed; ","")&amp;IF(AND($E347&lt;&gt;"correction",N($G347)&lt;=0),"qty must be above 0; ","")&amp;IF(AND($E347="received",OR($I347="",$H347="")),"log lot and best-by; ","")&amp;IF(AND($P347="N",SUMIFS(inventory!$G$2:$G$801,inventory!$C$2:$C$801,$C347,inventory!$H$2:$H$801,$H347,inventory!$E$2:$E$801,"rejected")&lt;N($G347)),"UNDER "&amp;config!$B$19&amp;" DAYS LEFT ON THE DROP DAY: reject these units; ","")&amp;IF(AND($E347="delivered",COUNTIF(inventory!$R$2:$R$801,$R347)&gt;1),"two delivered rows for this office: use one; ","")&amp;IF(AND($E347="delivered",$J347=""),"who counted?; ",""))</f>
        <v/>
      </c>
      <c r="R347" s="25">
        <f>IF($C347="","",$C347&amp;"|"&amp;$D347&amp;"|"&amp;$E347)</f>
        <v/>
      </c>
    </row>
    <row r="348">
      <c r="A348" s="9" t="n"/>
      <c r="B348" s="33" t="n"/>
      <c r="I348" s="9" t="n"/>
      <c r="L348" s="26">
        <f>IF($C348="","",IFERROR(IF(INDEX(campaigns!$BG$2:$BG$51,MATCH($C348,campaigns!$A$2:$A$51,0))="","",INDEX(campaigns!$BG$2:$BG$51,MATCH($C348,campaigns!$A$2:$A$51,0))),""))</f>
        <v/>
      </c>
      <c r="M348" s="25">
        <f>IF($C348="","",IF(OR($E348="received"),N($G348),IF(OR($E348="rejected",$E348="delivered",$E348="topped_up"),-N($G348),IF(AND(OR($E348="returned_to_brand",$E348="given_to_roster_office",$E348="released_to_office",$E348="disposed"),IF($F348="","reserve",$F348)="reserve"),-N($G348),IF(AND($E348="correction",IF($F348="","reserve",$F348)="reserve"),N($G348),0)))))</f>
        <v/>
      </c>
      <c r="N348" s="25">
        <f>IF($C348="","",IF($E348="rejected",N($G348),IF(AND(OR($E348="returned_to_brand",$E348="given_to_roster_office",$E348="released_to_office",$E348="disposed"),IF($F348="","reserve",$F348)="rejected"),-N($G348),IF(AND($E348="correction",IF($F348="","reserve",$F348)="rejected"),N($G348),0))))</f>
        <v/>
      </c>
      <c r="O348" s="25">
        <f>IF($C348="","",IF($E348="collected",N($G348),IF(AND(OR($E348="returned_to_brand",$E348="given_to_roster_office",$E348="released_to_office",$E348="disposed"),IF($F348="","reserve",$F348)="leftover"),-N($G348),IF(AND($E348="correction",IF($F348="","reserve",$F348)="leftover"),N($G348),0))))</f>
        <v/>
      </c>
      <c r="P348" s="25">
        <f>IF(OR($E348&lt;&gt;"received",$I348="",$L348=""),"",IF($I348&gt;=$L348+config!$B$19,"Y","N"))</f>
        <v/>
      </c>
      <c r="Q348" s="25">
        <f>IF($C348="","",IF(COUNTIF(campaigns!$A$2:$A$51,$C348)=0,"campaign_id not on campaigns; ",IF(AND($D348&lt;&gt;"",COUNTIFS(approvals!$A$2:$A$251,$C348,approvals!$B$2:$B$251,$D348)=0),"office not on this campaign (approvals tab); ",""))&amp;IF(AND(OR($E348="delivered",$E348="topped_up",$E348="collected"),$D348=""),"office needed; ","")&amp;IF(AND($E348&lt;&gt;"correction",N($G348)&lt;=0),"qty must be above 0; ","")&amp;IF(AND($E348="received",OR($I348="",$H348="")),"log lot and best-by; ","")&amp;IF(AND($P348="N",SUMIFS(inventory!$G$2:$G$801,inventory!$C$2:$C$801,$C348,inventory!$H$2:$H$801,$H348,inventory!$E$2:$E$801,"rejected")&lt;N($G348)),"UNDER "&amp;config!$B$19&amp;" DAYS LEFT ON THE DROP DAY: reject these units; ","")&amp;IF(AND($E348="delivered",COUNTIF(inventory!$R$2:$R$801,$R348)&gt;1),"two delivered rows for this office: use one; ","")&amp;IF(AND($E348="delivered",$J348=""),"who counted?; ",""))</f>
        <v/>
      </c>
      <c r="R348" s="25">
        <f>IF($C348="","",$C348&amp;"|"&amp;$D348&amp;"|"&amp;$E348)</f>
        <v/>
      </c>
    </row>
    <row r="349">
      <c r="A349" s="9" t="n"/>
      <c r="B349" s="33" t="n"/>
      <c r="I349" s="9" t="n"/>
      <c r="L349" s="26">
        <f>IF($C349="","",IFERROR(IF(INDEX(campaigns!$BG$2:$BG$51,MATCH($C349,campaigns!$A$2:$A$51,0))="","",INDEX(campaigns!$BG$2:$BG$51,MATCH($C349,campaigns!$A$2:$A$51,0))),""))</f>
        <v/>
      </c>
      <c r="M349" s="25">
        <f>IF($C349="","",IF(OR($E349="received"),N($G349),IF(OR($E349="rejected",$E349="delivered",$E349="topped_up"),-N($G349),IF(AND(OR($E349="returned_to_brand",$E349="given_to_roster_office",$E349="released_to_office",$E349="disposed"),IF($F349="","reserve",$F349)="reserve"),-N($G349),IF(AND($E349="correction",IF($F349="","reserve",$F349)="reserve"),N($G349),0)))))</f>
        <v/>
      </c>
      <c r="N349" s="25">
        <f>IF($C349="","",IF($E349="rejected",N($G349),IF(AND(OR($E349="returned_to_brand",$E349="given_to_roster_office",$E349="released_to_office",$E349="disposed"),IF($F349="","reserve",$F349)="rejected"),-N($G349),IF(AND($E349="correction",IF($F349="","reserve",$F349)="rejected"),N($G349),0))))</f>
        <v/>
      </c>
      <c r="O349" s="25">
        <f>IF($C349="","",IF($E349="collected",N($G349),IF(AND(OR($E349="returned_to_brand",$E349="given_to_roster_office",$E349="released_to_office",$E349="disposed"),IF($F349="","reserve",$F349)="leftover"),-N($G349),IF(AND($E349="correction",IF($F349="","reserve",$F349)="leftover"),N($G349),0))))</f>
        <v/>
      </c>
      <c r="P349" s="25">
        <f>IF(OR($E349&lt;&gt;"received",$I349="",$L349=""),"",IF($I349&gt;=$L349+config!$B$19,"Y","N"))</f>
        <v/>
      </c>
      <c r="Q349" s="25">
        <f>IF($C349="","",IF(COUNTIF(campaigns!$A$2:$A$51,$C349)=0,"campaign_id not on campaigns; ",IF(AND($D349&lt;&gt;"",COUNTIFS(approvals!$A$2:$A$251,$C349,approvals!$B$2:$B$251,$D349)=0),"office not on this campaign (approvals tab); ",""))&amp;IF(AND(OR($E349="delivered",$E349="topped_up",$E349="collected"),$D349=""),"office needed; ","")&amp;IF(AND($E349&lt;&gt;"correction",N($G349)&lt;=0),"qty must be above 0; ","")&amp;IF(AND($E349="received",OR($I349="",$H349="")),"log lot and best-by; ","")&amp;IF(AND($P349="N",SUMIFS(inventory!$G$2:$G$801,inventory!$C$2:$C$801,$C349,inventory!$H$2:$H$801,$H349,inventory!$E$2:$E$801,"rejected")&lt;N($G349)),"UNDER "&amp;config!$B$19&amp;" DAYS LEFT ON THE DROP DAY: reject these units; ","")&amp;IF(AND($E349="delivered",COUNTIF(inventory!$R$2:$R$801,$R349)&gt;1),"two delivered rows for this office: use one; ","")&amp;IF(AND($E349="delivered",$J349=""),"who counted?; ",""))</f>
        <v/>
      </c>
      <c r="R349" s="25">
        <f>IF($C349="","",$C349&amp;"|"&amp;$D349&amp;"|"&amp;$E349)</f>
        <v/>
      </c>
    </row>
    <row r="350">
      <c r="A350" s="9" t="n"/>
      <c r="B350" s="33" t="n"/>
      <c r="I350" s="9" t="n"/>
      <c r="L350" s="26">
        <f>IF($C350="","",IFERROR(IF(INDEX(campaigns!$BG$2:$BG$51,MATCH($C350,campaigns!$A$2:$A$51,0))="","",INDEX(campaigns!$BG$2:$BG$51,MATCH($C350,campaigns!$A$2:$A$51,0))),""))</f>
        <v/>
      </c>
      <c r="M350" s="25">
        <f>IF($C350="","",IF(OR($E350="received"),N($G350),IF(OR($E350="rejected",$E350="delivered",$E350="topped_up"),-N($G350),IF(AND(OR($E350="returned_to_brand",$E350="given_to_roster_office",$E350="released_to_office",$E350="disposed"),IF($F350="","reserve",$F350)="reserve"),-N($G350),IF(AND($E350="correction",IF($F350="","reserve",$F350)="reserve"),N($G350),0)))))</f>
        <v/>
      </c>
      <c r="N350" s="25">
        <f>IF($C350="","",IF($E350="rejected",N($G350),IF(AND(OR($E350="returned_to_brand",$E350="given_to_roster_office",$E350="released_to_office",$E350="disposed"),IF($F350="","reserve",$F350)="rejected"),-N($G350),IF(AND($E350="correction",IF($F350="","reserve",$F350)="rejected"),N($G350),0))))</f>
        <v/>
      </c>
      <c r="O350" s="25">
        <f>IF($C350="","",IF($E350="collected",N($G350),IF(AND(OR($E350="returned_to_brand",$E350="given_to_roster_office",$E350="released_to_office",$E350="disposed"),IF($F350="","reserve",$F350)="leftover"),-N($G350),IF(AND($E350="correction",IF($F350="","reserve",$F350)="leftover"),N($G350),0))))</f>
        <v/>
      </c>
      <c r="P350" s="25">
        <f>IF(OR($E350&lt;&gt;"received",$I350="",$L350=""),"",IF($I350&gt;=$L350+config!$B$19,"Y","N"))</f>
        <v/>
      </c>
      <c r="Q350" s="25">
        <f>IF($C350="","",IF(COUNTIF(campaigns!$A$2:$A$51,$C350)=0,"campaign_id not on campaigns; ",IF(AND($D350&lt;&gt;"",COUNTIFS(approvals!$A$2:$A$251,$C350,approvals!$B$2:$B$251,$D350)=0),"office not on this campaign (approvals tab); ",""))&amp;IF(AND(OR($E350="delivered",$E350="topped_up",$E350="collected"),$D350=""),"office needed; ","")&amp;IF(AND($E350&lt;&gt;"correction",N($G350)&lt;=0),"qty must be above 0; ","")&amp;IF(AND($E350="received",OR($I350="",$H350="")),"log lot and best-by; ","")&amp;IF(AND($P350="N",SUMIFS(inventory!$G$2:$G$801,inventory!$C$2:$C$801,$C350,inventory!$H$2:$H$801,$H350,inventory!$E$2:$E$801,"rejected")&lt;N($G350)),"UNDER "&amp;config!$B$19&amp;" DAYS LEFT ON THE DROP DAY: reject these units; ","")&amp;IF(AND($E350="delivered",COUNTIF(inventory!$R$2:$R$801,$R350)&gt;1),"two delivered rows for this office: use one; ","")&amp;IF(AND($E350="delivered",$J350=""),"who counted?; ",""))</f>
        <v/>
      </c>
      <c r="R350" s="25">
        <f>IF($C350="","",$C350&amp;"|"&amp;$D350&amp;"|"&amp;$E350)</f>
        <v/>
      </c>
    </row>
    <row r="351">
      <c r="A351" s="9" t="n"/>
      <c r="B351" s="33" t="n"/>
      <c r="I351" s="9" t="n"/>
      <c r="L351" s="26">
        <f>IF($C351="","",IFERROR(IF(INDEX(campaigns!$BG$2:$BG$51,MATCH($C351,campaigns!$A$2:$A$51,0))="","",INDEX(campaigns!$BG$2:$BG$51,MATCH($C351,campaigns!$A$2:$A$51,0))),""))</f>
        <v/>
      </c>
      <c r="M351" s="25">
        <f>IF($C351="","",IF(OR($E351="received"),N($G351),IF(OR($E351="rejected",$E351="delivered",$E351="topped_up"),-N($G351),IF(AND(OR($E351="returned_to_brand",$E351="given_to_roster_office",$E351="released_to_office",$E351="disposed"),IF($F351="","reserve",$F351)="reserve"),-N($G351),IF(AND($E351="correction",IF($F351="","reserve",$F351)="reserve"),N($G351),0)))))</f>
        <v/>
      </c>
      <c r="N351" s="25">
        <f>IF($C351="","",IF($E351="rejected",N($G351),IF(AND(OR($E351="returned_to_brand",$E351="given_to_roster_office",$E351="released_to_office",$E351="disposed"),IF($F351="","reserve",$F351)="rejected"),-N($G351),IF(AND($E351="correction",IF($F351="","reserve",$F351)="rejected"),N($G351),0))))</f>
        <v/>
      </c>
      <c r="O351" s="25">
        <f>IF($C351="","",IF($E351="collected",N($G351),IF(AND(OR($E351="returned_to_brand",$E351="given_to_roster_office",$E351="released_to_office",$E351="disposed"),IF($F351="","reserve",$F351)="leftover"),-N($G351),IF(AND($E351="correction",IF($F351="","reserve",$F351)="leftover"),N($G351),0))))</f>
        <v/>
      </c>
      <c r="P351" s="25">
        <f>IF(OR($E351&lt;&gt;"received",$I351="",$L351=""),"",IF($I351&gt;=$L351+config!$B$19,"Y","N"))</f>
        <v/>
      </c>
      <c r="Q351" s="25">
        <f>IF($C351="","",IF(COUNTIF(campaigns!$A$2:$A$51,$C351)=0,"campaign_id not on campaigns; ",IF(AND($D351&lt;&gt;"",COUNTIFS(approvals!$A$2:$A$251,$C351,approvals!$B$2:$B$251,$D351)=0),"office not on this campaign (approvals tab); ",""))&amp;IF(AND(OR($E351="delivered",$E351="topped_up",$E351="collected"),$D351=""),"office needed; ","")&amp;IF(AND($E351&lt;&gt;"correction",N($G351)&lt;=0),"qty must be above 0; ","")&amp;IF(AND($E351="received",OR($I351="",$H351="")),"log lot and best-by; ","")&amp;IF(AND($P351="N",SUMIFS(inventory!$G$2:$G$801,inventory!$C$2:$C$801,$C351,inventory!$H$2:$H$801,$H351,inventory!$E$2:$E$801,"rejected")&lt;N($G351)),"UNDER "&amp;config!$B$19&amp;" DAYS LEFT ON THE DROP DAY: reject these units; ","")&amp;IF(AND($E351="delivered",COUNTIF(inventory!$R$2:$R$801,$R351)&gt;1),"two delivered rows for this office: use one; ","")&amp;IF(AND($E351="delivered",$J351=""),"who counted?; ",""))</f>
        <v/>
      </c>
      <c r="R351" s="25">
        <f>IF($C351="","",$C351&amp;"|"&amp;$D351&amp;"|"&amp;$E351)</f>
        <v/>
      </c>
    </row>
    <row r="352">
      <c r="A352" s="9" t="n"/>
      <c r="B352" s="33" t="n"/>
      <c r="I352" s="9" t="n"/>
      <c r="L352" s="26">
        <f>IF($C352="","",IFERROR(IF(INDEX(campaigns!$BG$2:$BG$51,MATCH($C352,campaigns!$A$2:$A$51,0))="","",INDEX(campaigns!$BG$2:$BG$51,MATCH($C352,campaigns!$A$2:$A$51,0))),""))</f>
        <v/>
      </c>
      <c r="M352" s="25">
        <f>IF($C352="","",IF(OR($E352="received"),N($G352),IF(OR($E352="rejected",$E352="delivered",$E352="topped_up"),-N($G352),IF(AND(OR($E352="returned_to_brand",$E352="given_to_roster_office",$E352="released_to_office",$E352="disposed"),IF($F352="","reserve",$F352)="reserve"),-N($G352),IF(AND($E352="correction",IF($F352="","reserve",$F352)="reserve"),N($G352),0)))))</f>
        <v/>
      </c>
      <c r="N352" s="25">
        <f>IF($C352="","",IF($E352="rejected",N($G352),IF(AND(OR($E352="returned_to_brand",$E352="given_to_roster_office",$E352="released_to_office",$E352="disposed"),IF($F352="","reserve",$F352)="rejected"),-N($G352),IF(AND($E352="correction",IF($F352="","reserve",$F352)="rejected"),N($G352),0))))</f>
        <v/>
      </c>
      <c r="O352" s="25">
        <f>IF($C352="","",IF($E352="collected",N($G352),IF(AND(OR($E352="returned_to_brand",$E352="given_to_roster_office",$E352="released_to_office",$E352="disposed"),IF($F352="","reserve",$F352)="leftover"),-N($G352),IF(AND($E352="correction",IF($F352="","reserve",$F352)="leftover"),N($G352),0))))</f>
        <v/>
      </c>
      <c r="P352" s="25">
        <f>IF(OR($E352&lt;&gt;"received",$I352="",$L352=""),"",IF($I352&gt;=$L352+config!$B$19,"Y","N"))</f>
        <v/>
      </c>
      <c r="Q352" s="25">
        <f>IF($C352="","",IF(COUNTIF(campaigns!$A$2:$A$51,$C352)=0,"campaign_id not on campaigns; ",IF(AND($D352&lt;&gt;"",COUNTIFS(approvals!$A$2:$A$251,$C352,approvals!$B$2:$B$251,$D352)=0),"office not on this campaign (approvals tab); ",""))&amp;IF(AND(OR($E352="delivered",$E352="topped_up",$E352="collected"),$D352=""),"office needed; ","")&amp;IF(AND($E352&lt;&gt;"correction",N($G352)&lt;=0),"qty must be above 0; ","")&amp;IF(AND($E352="received",OR($I352="",$H352="")),"log lot and best-by; ","")&amp;IF(AND($P352="N",SUMIFS(inventory!$G$2:$G$801,inventory!$C$2:$C$801,$C352,inventory!$H$2:$H$801,$H352,inventory!$E$2:$E$801,"rejected")&lt;N($G352)),"UNDER "&amp;config!$B$19&amp;" DAYS LEFT ON THE DROP DAY: reject these units; ","")&amp;IF(AND($E352="delivered",COUNTIF(inventory!$R$2:$R$801,$R352)&gt;1),"two delivered rows for this office: use one; ","")&amp;IF(AND($E352="delivered",$J352=""),"who counted?; ",""))</f>
        <v/>
      </c>
      <c r="R352" s="25">
        <f>IF($C352="","",$C352&amp;"|"&amp;$D352&amp;"|"&amp;$E352)</f>
        <v/>
      </c>
    </row>
    <row r="353">
      <c r="A353" s="9" t="n"/>
      <c r="B353" s="33" t="n"/>
      <c r="I353" s="9" t="n"/>
      <c r="L353" s="26">
        <f>IF($C353="","",IFERROR(IF(INDEX(campaigns!$BG$2:$BG$51,MATCH($C353,campaigns!$A$2:$A$51,0))="","",INDEX(campaigns!$BG$2:$BG$51,MATCH($C353,campaigns!$A$2:$A$51,0))),""))</f>
        <v/>
      </c>
      <c r="M353" s="25">
        <f>IF($C353="","",IF(OR($E353="received"),N($G353),IF(OR($E353="rejected",$E353="delivered",$E353="topped_up"),-N($G353),IF(AND(OR($E353="returned_to_brand",$E353="given_to_roster_office",$E353="released_to_office",$E353="disposed"),IF($F353="","reserve",$F353)="reserve"),-N($G353),IF(AND($E353="correction",IF($F353="","reserve",$F353)="reserve"),N($G353),0)))))</f>
        <v/>
      </c>
      <c r="N353" s="25">
        <f>IF($C353="","",IF($E353="rejected",N($G353),IF(AND(OR($E353="returned_to_brand",$E353="given_to_roster_office",$E353="released_to_office",$E353="disposed"),IF($F353="","reserve",$F353)="rejected"),-N($G353),IF(AND($E353="correction",IF($F353="","reserve",$F353)="rejected"),N($G353),0))))</f>
        <v/>
      </c>
      <c r="O353" s="25">
        <f>IF($C353="","",IF($E353="collected",N($G353),IF(AND(OR($E353="returned_to_brand",$E353="given_to_roster_office",$E353="released_to_office",$E353="disposed"),IF($F353="","reserve",$F353)="leftover"),-N($G353),IF(AND($E353="correction",IF($F353="","reserve",$F353)="leftover"),N($G353),0))))</f>
        <v/>
      </c>
      <c r="P353" s="25">
        <f>IF(OR($E353&lt;&gt;"received",$I353="",$L353=""),"",IF($I353&gt;=$L353+config!$B$19,"Y","N"))</f>
        <v/>
      </c>
      <c r="Q353" s="25">
        <f>IF($C353="","",IF(COUNTIF(campaigns!$A$2:$A$51,$C353)=0,"campaign_id not on campaigns; ",IF(AND($D353&lt;&gt;"",COUNTIFS(approvals!$A$2:$A$251,$C353,approvals!$B$2:$B$251,$D353)=0),"office not on this campaign (approvals tab); ",""))&amp;IF(AND(OR($E353="delivered",$E353="topped_up",$E353="collected"),$D353=""),"office needed; ","")&amp;IF(AND($E353&lt;&gt;"correction",N($G353)&lt;=0),"qty must be above 0; ","")&amp;IF(AND($E353="received",OR($I353="",$H353="")),"log lot and best-by; ","")&amp;IF(AND($P353="N",SUMIFS(inventory!$G$2:$G$801,inventory!$C$2:$C$801,$C353,inventory!$H$2:$H$801,$H353,inventory!$E$2:$E$801,"rejected")&lt;N($G353)),"UNDER "&amp;config!$B$19&amp;" DAYS LEFT ON THE DROP DAY: reject these units; ","")&amp;IF(AND($E353="delivered",COUNTIF(inventory!$R$2:$R$801,$R353)&gt;1),"two delivered rows for this office: use one; ","")&amp;IF(AND($E353="delivered",$J353=""),"who counted?; ",""))</f>
        <v/>
      </c>
      <c r="R353" s="25">
        <f>IF($C353="","",$C353&amp;"|"&amp;$D353&amp;"|"&amp;$E353)</f>
        <v/>
      </c>
    </row>
    <row r="354">
      <c r="A354" s="9" t="n"/>
      <c r="B354" s="33" t="n"/>
      <c r="I354" s="9" t="n"/>
      <c r="L354" s="26">
        <f>IF($C354="","",IFERROR(IF(INDEX(campaigns!$BG$2:$BG$51,MATCH($C354,campaigns!$A$2:$A$51,0))="","",INDEX(campaigns!$BG$2:$BG$51,MATCH($C354,campaigns!$A$2:$A$51,0))),""))</f>
        <v/>
      </c>
      <c r="M354" s="25">
        <f>IF($C354="","",IF(OR($E354="received"),N($G354),IF(OR($E354="rejected",$E354="delivered",$E354="topped_up"),-N($G354),IF(AND(OR($E354="returned_to_brand",$E354="given_to_roster_office",$E354="released_to_office",$E354="disposed"),IF($F354="","reserve",$F354)="reserve"),-N($G354),IF(AND($E354="correction",IF($F354="","reserve",$F354)="reserve"),N($G354),0)))))</f>
        <v/>
      </c>
      <c r="N354" s="25">
        <f>IF($C354="","",IF($E354="rejected",N($G354),IF(AND(OR($E354="returned_to_brand",$E354="given_to_roster_office",$E354="released_to_office",$E354="disposed"),IF($F354="","reserve",$F354)="rejected"),-N($G354),IF(AND($E354="correction",IF($F354="","reserve",$F354)="rejected"),N($G354),0))))</f>
        <v/>
      </c>
      <c r="O354" s="25">
        <f>IF($C354="","",IF($E354="collected",N($G354),IF(AND(OR($E354="returned_to_brand",$E354="given_to_roster_office",$E354="released_to_office",$E354="disposed"),IF($F354="","reserve",$F354)="leftover"),-N($G354),IF(AND($E354="correction",IF($F354="","reserve",$F354)="leftover"),N($G354),0))))</f>
        <v/>
      </c>
      <c r="P354" s="25">
        <f>IF(OR($E354&lt;&gt;"received",$I354="",$L354=""),"",IF($I354&gt;=$L354+config!$B$19,"Y","N"))</f>
        <v/>
      </c>
      <c r="Q354" s="25">
        <f>IF($C354="","",IF(COUNTIF(campaigns!$A$2:$A$51,$C354)=0,"campaign_id not on campaigns; ",IF(AND($D354&lt;&gt;"",COUNTIFS(approvals!$A$2:$A$251,$C354,approvals!$B$2:$B$251,$D354)=0),"office not on this campaign (approvals tab); ",""))&amp;IF(AND(OR($E354="delivered",$E354="topped_up",$E354="collected"),$D354=""),"office needed; ","")&amp;IF(AND($E354&lt;&gt;"correction",N($G354)&lt;=0),"qty must be above 0; ","")&amp;IF(AND($E354="received",OR($I354="",$H354="")),"log lot and best-by; ","")&amp;IF(AND($P354="N",SUMIFS(inventory!$G$2:$G$801,inventory!$C$2:$C$801,$C354,inventory!$H$2:$H$801,$H354,inventory!$E$2:$E$801,"rejected")&lt;N($G354)),"UNDER "&amp;config!$B$19&amp;" DAYS LEFT ON THE DROP DAY: reject these units; ","")&amp;IF(AND($E354="delivered",COUNTIF(inventory!$R$2:$R$801,$R354)&gt;1),"two delivered rows for this office: use one; ","")&amp;IF(AND($E354="delivered",$J354=""),"who counted?; ",""))</f>
        <v/>
      </c>
      <c r="R354" s="25">
        <f>IF($C354="","",$C354&amp;"|"&amp;$D354&amp;"|"&amp;$E354)</f>
        <v/>
      </c>
    </row>
    <row r="355">
      <c r="A355" s="9" t="n"/>
      <c r="B355" s="33" t="n"/>
      <c r="I355" s="9" t="n"/>
      <c r="L355" s="26">
        <f>IF($C355="","",IFERROR(IF(INDEX(campaigns!$BG$2:$BG$51,MATCH($C355,campaigns!$A$2:$A$51,0))="","",INDEX(campaigns!$BG$2:$BG$51,MATCH($C355,campaigns!$A$2:$A$51,0))),""))</f>
        <v/>
      </c>
      <c r="M355" s="25">
        <f>IF($C355="","",IF(OR($E355="received"),N($G355),IF(OR($E355="rejected",$E355="delivered",$E355="topped_up"),-N($G355),IF(AND(OR($E355="returned_to_brand",$E355="given_to_roster_office",$E355="released_to_office",$E355="disposed"),IF($F355="","reserve",$F355)="reserve"),-N($G355),IF(AND($E355="correction",IF($F355="","reserve",$F355)="reserve"),N($G355),0)))))</f>
        <v/>
      </c>
      <c r="N355" s="25">
        <f>IF($C355="","",IF($E355="rejected",N($G355),IF(AND(OR($E355="returned_to_brand",$E355="given_to_roster_office",$E355="released_to_office",$E355="disposed"),IF($F355="","reserve",$F355)="rejected"),-N($G355),IF(AND($E355="correction",IF($F355="","reserve",$F355)="rejected"),N($G355),0))))</f>
        <v/>
      </c>
      <c r="O355" s="25">
        <f>IF($C355="","",IF($E355="collected",N($G355),IF(AND(OR($E355="returned_to_brand",$E355="given_to_roster_office",$E355="released_to_office",$E355="disposed"),IF($F355="","reserve",$F355)="leftover"),-N($G355),IF(AND($E355="correction",IF($F355="","reserve",$F355)="leftover"),N($G355),0))))</f>
        <v/>
      </c>
      <c r="P355" s="25">
        <f>IF(OR($E355&lt;&gt;"received",$I355="",$L355=""),"",IF($I355&gt;=$L355+config!$B$19,"Y","N"))</f>
        <v/>
      </c>
      <c r="Q355" s="25">
        <f>IF($C355="","",IF(COUNTIF(campaigns!$A$2:$A$51,$C355)=0,"campaign_id not on campaigns; ",IF(AND($D355&lt;&gt;"",COUNTIFS(approvals!$A$2:$A$251,$C355,approvals!$B$2:$B$251,$D355)=0),"office not on this campaign (approvals tab); ",""))&amp;IF(AND(OR($E355="delivered",$E355="topped_up",$E355="collected"),$D355=""),"office needed; ","")&amp;IF(AND($E355&lt;&gt;"correction",N($G355)&lt;=0),"qty must be above 0; ","")&amp;IF(AND($E355="received",OR($I355="",$H355="")),"log lot and best-by; ","")&amp;IF(AND($P355="N",SUMIFS(inventory!$G$2:$G$801,inventory!$C$2:$C$801,$C355,inventory!$H$2:$H$801,$H355,inventory!$E$2:$E$801,"rejected")&lt;N($G355)),"UNDER "&amp;config!$B$19&amp;" DAYS LEFT ON THE DROP DAY: reject these units; ","")&amp;IF(AND($E355="delivered",COUNTIF(inventory!$R$2:$R$801,$R355)&gt;1),"two delivered rows for this office: use one; ","")&amp;IF(AND($E355="delivered",$J355=""),"who counted?; ",""))</f>
        <v/>
      </c>
      <c r="R355" s="25">
        <f>IF($C355="","",$C355&amp;"|"&amp;$D355&amp;"|"&amp;$E355)</f>
        <v/>
      </c>
    </row>
    <row r="356">
      <c r="A356" s="9" t="n"/>
      <c r="B356" s="33" t="n"/>
      <c r="I356" s="9" t="n"/>
      <c r="L356" s="26">
        <f>IF($C356="","",IFERROR(IF(INDEX(campaigns!$BG$2:$BG$51,MATCH($C356,campaigns!$A$2:$A$51,0))="","",INDEX(campaigns!$BG$2:$BG$51,MATCH($C356,campaigns!$A$2:$A$51,0))),""))</f>
        <v/>
      </c>
      <c r="M356" s="25">
        <f>IF($C356="","",IF(OR($E356="received"),N($G356),IF(OR($E356="rejected",$E356="delivered",$E356="topped_up"),-N($G356),IF(AND(OR($E356="returned_to_brand",$E356="given_to_roster_office",$E356="released_to_office",$E356="disposed"),IF($F356="","reserve",$F356)="reserve"),-N($G356),IF(AND($E356="correction",IF($F356="","reserve",$F356)="reserve"),N($G356),0)))))</f>
        <v/>
      </c>
      <c r="N356" s="25">
        <f>IF($C356="","",IF($E356="rejected",N($G356),IF(AND(OR($E356="returned_to_brand",$E356="given_to_roster_office",$E356="released_to_office",$E356="disposed"),IF($F356="","reserve",$F356)="rejected"),-N($G356),IF(AND($E356="correction",IF($F356="","reserve",$F356)="rejected"),N($G356),0))))</f>
        <v/>
      </c>
      <c r="O356" s="25">
        <f>IF($C356="","",IF($E356="collected",N($G356),IF(AND(OR($E356="returned_to_brand",$E356="given_to_roster_office",$E356="released_to_office",$E356="disposed"),IF($F356="","reserve",$F356)="leftover"),-N($G356),IF(AND($E356="correction",IF($F356="","reserve",$F356)="leftover"),N($G356),0))))</f>
        <v/>
      </c>
      <c r="P356" s="25">
        <f>IF(OR($E356&lt;&gt;"received",$I356="",$L356=""),"",IF($I356&gt;=$L356+config!$B$19,"Y","N"))</f>
        <v/>
      </c>
      <c r="Q356" s="25">
        <f>IF($C356="","",IF(COUNTIF(campaigns!$A$2:$A$51,$C356)=0,"campaign_id not on campaigns; ",IF(AND($D356&lt;&gt;"",COUNTIFS(approvals!$A$2:$A$251,$C356,approvals!$B$2:$B$251,$D356)=0),"office not on this campaign (approvals tab); ",""))&amp;IF(AND(OR($E356="delivered",$E356="topped_up",$E356="collected"),$D356=""),"office needed; ","")&amp;IF(AND($E356&lt;&gt;"correction",N($G356)&lt;=0),"qty must be above 0; ","")&amp;IF(AND($E356="received",OR($I356="",$H356="")),"log lot and best-by; ","")&amp;IF(AND($P356="N",SUMIFS(inventory!$G$2:$G$801,inventory!$C$2:$C$801,$C356,inventory!$H$2:$H$801,$H356,inventory!$E$2:$E$801,"rejected")&lt;N($G356)),"UNDER "&amp;config!$B$19&amp;" DAYS LEFT ON THE DROP DAY: reject these units; ","")&amp;IF(AND($E356="delivered",COUNTIF(inventory!$R$2:$R$801,$R356)&gt;1),"two delivered rows for this office: use one; ","")&amp;IF(AND($E356="delivered",$J356=""),"who counted?; ",""))</f>
        <v/>
      </c>
      <c r="R356" s="25">
        <f>IF($C356="","",$C356&amp;"|"&amp;$D356&amp;"|"&amp;$E356)</f>
        <v/>
      </c>
    </row>
    <row r="357">
      <c r="A357" s="9" t="n"/>
      <c r="B357" s="33" t="n"/>
      <c r="I357" s="9" t="n"/>
      <c r="L357" s="26">
        <f>IF($C357="","",IFERROR(IF(INDEX(campaigns!$BG$2:$BG$51,MATCH($C357,campaigns!$A$2:$A$51,0))="","",INDEX(campaigns!$BG$2:$BG$51,MATCH($C357,campaigns!$A$2:$A$51,0))),""))</f>
        <v/>
      </c>
      <c r="M357" s="25">
        <f>IF($C357="","",IF(OR($E357="received"),N($G357),IF(OR($E357="rejected",$E357="delivered",$E357="topped_up"),-N($G357),IF(AND(OR($E357="returned_to_brand",$E357="given_to_roster_office",$E357="released_to_office",$E357="disposed"),IF($F357="","reserve",$F357)="reserve"),-N($G357),IF(AND($E357="correction",IF($F357="","reserve",$F357)="reserve"),N($G357),0)))))</f>
        <v/>
      </c>
      <c r="N357" s="25">
        <f>IF($C357="","",IF($E357="rejected",N($G357),IF(AND(OR($E357="returned_to_brand",$E357="given_to_roster_office",$E357="released_to_office",$E357="disposed"),IF($F357="","reserve",$F357)="rejected"),-N($G357),IF(AND($E357="correction",IF($F357="","reserve",$F357)="rejected"),N($G357),0))))</f>
        <v/>
      </c>
      <c r="O357" s="25">
        <f>IF($C357="","",IF($E357="collected",N($G357),IF(AND(OR($E357="returned_to_brand",$E357="given_to_roster_office",$E357="released_to_office",$E357="disposed"),IF($F357="","reserve",$F357)="leftover"),-N($G357),IF(AND($E357="correction",IF($F357="","reserve",$F357)="leftover"),N($G357),0))))</f>
        <v/>
      </c>
      <c r="P357" s="25">
        <f>IF(OR($E357&lt;&gt;"received",$I357="",$L357=""),"",IF($I357&gt;=$L357+config!$B$19,"Y","N"))</f>
        <v/>
      </c>
      <c r="Q357" s="25">
        <f>IF($C357="","",IF(COUNTIF(campaigns!$A$2:$A$51,$C357)=0,"campaign_id not on campaigns; ",IF(AND($D357&lt;&gt;"",COUNTIFS(approvals!$A$2:$A$251,$C357,approvals!$B$2:$B$251,$D357)=0),"office not on this campaign (approvals tab); ",""))&amp;IF(AND(OR($E357="delivered",$E357="topped_up",$E357="collected"),$D357=""),"office needed; ","")&amp;IF(AND($E357&lt;&gt;"correction",N($G357)&lt;=0),"qty must be above 0; ","")&amp;IF(AND($E357="received",OR($I357="",$H357="")),"log lot and best-by; ","")&amp;IF(AND($P357="N",SUMIFS(inventory!$G$2:$G$801,inventory!$C$2:$C$801,$C357,inventory!$H$2:$H$801,$H357,inventory!$E$2:$E$801,"rejected")&lt;N($G357)),"UNDER "&amp;config!$B$19&amp;" DAYS LEFT ON THE DROP DAY: reject these units; ","")&amp;IF(AND($E357="delivered",COUNTIF(inventory!$R$2:$R$801,$R357)&gt;1),"two delivered rows for this office: use one; ","")&amp;IF(AND($E357="delivered",$J357=""),"who counted?; ",""))</f>
        <v/>
      </c>
      <c r="R357" s="25">
        <f>IF($C357="","",$C357&amp;"|"&amp;$D357&amp;"|"&amp;$E357)</f>
        <v/>
      </c>
    </row>
    <row r="358">
      <c r="A358" s="9" t="n"/>
      <c r="B358" s="33" t="n"/>
      <c r="I358" s="9" t="n"/>
      <c r="L358" s="26">
        <f>IF($C358="","",IFERROR(IF(INDEX(campaigns!$BG$2:$BG$51,MATCH($C358,campaigns!$A$2:$A$51,0))="","",INDEX(campaigns!$BG$2:$BG$51,MATCH($C358,campaigns!$A$2:$A$51,0))),""))</f>
        <v/>
      </c>
      <c r="M358" s="25">
        <f>IF($C358="","",IF(OR($E358="received"),N($G358),IF(OR($E358="rejected",$E358="delivered",$E358="topped_up"),-N($G358),IF(AND(OR($E358="returned_to_brand",$E358="given_to_roster_office",$E358="released_to_office",$E358="disposed"),IF($F358="","reserve",$F358)="reserve"),-N($G358),IF(AND($E358="correction",IF($F358="","reserve",$F358)="reserve"),N($G358),0)))))</f>
        <v/>
      </c>
      <c r="N358" s="25">
        <f>IF($C358="","",IF($E358="rejected",N($G358),IF(AND(OR($E358="returned_to_brand",$E358="given_to_roster_office",$E358="released_to_office",$E358="disposed"),IF($F358="","reserve",$F358)="rejected"),-N($G358),IF(AND($E358="correction",IF($F358="","reserve",$F358)="rejected"),N($G358),0))))</f>
        <v/>
      </c>
      <c r="O358" s="25">
        <f>IF($C358="","",IF($E358="collected",N($G358),IF(AND(OR($E358="returned_to_brand",$E358="given_to_roster_office",$E358="released_to_office",$E358="disposed"),IF($F358="","reserve",$F358)="leftover"),-N($G358),IF(AND($E358="correction",IF($F358="","reserve",$F358)="leftover"),N($G358),0))))</f>
        <v/>
      </c>
      <c r="P358" s="25">
        <f>IF(OR($E358&lt;&gt;"received",$I358="",$L358=""),"",IF($I358&gt;=$L358+config!$B$19,"Y","N"))</f>
        <v/>
      </c>
      <c r="Q358" s="25">
        <f>IF($C358="","",IF(COUNTIF(campaigns!$A$2:$A$51,$C358)=0,"campaign_id not on campaigns; ",IF(AND($D358&lt;&gt;"",COUNTIFS(approvals!$A$2:$A$251,$C358,approvals!$B$2:$B$251,$D358)=0),"office not on this campaign (approvals tab); ",""))&amp;IF(AND(OR($E358="delivered",$E358="topped_up",$E358="collected"),$D358=""),"office needed; ","")&amp;IF(AND($E358&lt;&gt;"correction",N($G358)&lt;=0),"qty must be above 0; ","")&amp;IF(AND($E358="received",OR($I358="",$H358="")),"log lot and best-by; ","")&amp;IF(AND($P358="N",SUMIFS(inventory!$G$2:$G$801,inventory!$C$2:$C$801,$C358,inventory!$H$2:$H$801,$H358,inventory!$E$2:$E$801,"rejected")&lt;N($G358)),"UNDER "&amp;config!$B$19&amp;" DAYS LEFT ON THE DROP DAY: reject these units; ","")&amp;IF(AND($E358="delivered",COUNTIF(inventory!$R$2:$R$801,$R358)&gt;1),"two delivered rows for this office: use one; ","")&amp;IF(AND($E358="delivered",$J358=""),"who counted?; ",""))</f>
        <v/>
      </c>
      <c r="R358" s="25">
        <f>IF($C358="","",$C358&amp;"|"&amp;$D358&amp;"|"&amp;$E358)</f>
        <v/>
      </c>
    </row>
    <row r="359">
      <c r="A359" s="9" t="n"/>
      <c r="B359" s="33" t="n"/>
      <c r="I359" s="9" t="n"/>
      <c r="L359" s="26">
        <f>IF($C359="","",IFERROR(IF(INDEX(campaigns!$BG$2:$BG$51,MATCH($C359,campaigns!$A$2:$A$51,0))="","",INDEX(campaigns!$BG$2:$BG$51,MATCH($C359,campaigns!$A$2:$A$51,0))),""))</f>
        <v/>
      </c>
      <c r="M359" s="25">
        <f>IF($C359="","",IF(OR($E359="received"),N($G359),IF(OR($E359="rejected",$E359="delivered",$E359="topped_up"),-N($G359),IF(AND(OR($E359="returned_to_brand",$E359="given_to_roster_office",$E359="released_to_office",$E359="disposed"),IF($F359="","reserve",$F359)="reserve"),-N($G359),IF(AND($E359="correction",IF($F359="","reserve",$F359)="reserve"),N($G359),0)))))</f>
        <v/>
      </c>
      <c r="N359" s="25">
        <f>IF($C359="","",IF($E359="rejected",N($G359),IF(AND(OR($E359="returned_to_brand",$E359="given_to_roster_office",$E359="released_to_office",$E359="disposed"),IF($F359="","reserve",$F359)="rejected"),-N($G359),IF(AND($E359="correction",IF($F359="","reserve",$F359)="rejected"),N($G359),0))))</f>
        <v/>
      </c>
      <c r="O359" s="25">
        <f>IF($C359="","",IF($E359="collected",N($G359),IF(AND(OR($E359="returned_to_brand",$E359="given_to_roster_office",$E359="released_to_office",$E359="disposed"),IF($F359="","reserve",$F359)="leftover"),-N($G359),IF(AND($E359="correction",IF($F359="","reserve",$F359)="leftover"),N($G359),0))))</f>
        <v/>
      </c>
      <c r="P359" s="25">
        <f>IF(OR($E359&lt;&gt;"received",$I359="",$L359=""),"",IF($I359&gt;=$L359+config!$B$19,"Y","N"))</f>
        <v/>
      </c>
      <c r="Q359" s="25">
        <f>IF($C359="","",IF(COUNTIF(campaigns!$A$2:$A$51,$C359)=0,"campaign_id not on campaigns; ",IF(AND($D359&lt;&gt;"",COUNTIFS(approvals!$A$2:$A$251,$C359,approvals!$B$2:$B$251,$D359)=0),"office not on this campaign (approvals tab); ",""))&amp;IF(AND(OR($E359="delivered",$E359="topped_up",$E359="collected"),$D359=""),"office needed; ","")&amp;IF(AND($E359&lt;&gt;"correction",N($G359)&lt;=0),"qty must be above 0; ","")&amp;IF(AND($E359="received",OR($I359="",$H359="")),"log lot and best-by; ","")&amp;IF(AND($P359="N",SUMIFS(inventory!$G$2:$G$801,inventory!$C$2:$C$801,$C359,inventory!$H$2:$H$801,$H359,inventory!$E$2:$E$801,"rejected")&lt;N($G359)),"UNDER "&amp;config!$B$19&amp;" DAYS LEFT ON THE DROP DAY: reject these units; ","")&amp;IF(AND($E359="delivered",COUNTIF(inventory!$R$2:$R$801,$R359)&gt;1),"two delivered rows for this office: use one; ","")&amp;IF(AND($E359="delivered",$J359=""),"who counted?; ",""))</f>
        <v/>
      </c>
      <c r="R359" s="25">
        <f>IF($C359="","",$C359&amp;"|"&amp;$D359&amp;"|"&amp;$E359)</f>
        <v/>
      </c>
    </row>
    <row r="360">
      <c r="A360" s="9" t="n"/>
      <c r="B360" s="33" t="n"/>
      <c r="I360" s="9" t="n"/>
      <c r="L360" s="26">
        <f>IF($C360="","",IFERROR(IF(INDEX(campaigns!$BG$2:$BG$51,MATCH($C360,campaigns!$A$2:$A$51,0))="","",INDEX(campaigns!$BG$2:$BG$51,MATCH($C360,campaigns!$A$2:$A$51,0))),""))</f>
        <v/>
      </c>
      <c r="M360" s="25">
        <f>IF($C360="","",IF(OR($E360="received"),N($G360),IF(OR($E360="rejected",$E360="delivered",$E360="topped_up"),-N($G360),IF(AND(OR($E360="returned_to_brand",$E360="given_to_roster_office",$E360="released_to_office",$E360="disposed"),IF($F360="","reserve",$F360)="reserve"),-N($G360),IF(AND($E360="correction",IF($F360="","reserve",$F360)="reserve"),N($G360),0)))))</f>
        <v/>
      </c>
      <c r="N360" s="25">
        <f>IF($C360="","",IF($E360="rejected",N($G360),IF(AND(OR($E360="returned_to_brand",$E360="given_to_roster_office",$E360="released_to_office",$E360="disposed"),IF($F360="","reserve",$F360)="rejected"),-N($G360),IF(AND($E360="correction",IF($F360="","reserve",$F360)="rejected"),N($G360),0))))</f>
        <v/>
      </c>
      <c r="O360" s="25">
        <f>IF($C360="","",IF($E360="collected",N($G360),IF(AND(OR($E360="returned_to_brand",$E360="given_to_roster_office",$E360="released_to_office",$E360="disposed"),IF($F360="","reserve",$F360)="leftover"),-N($G360),IF(AND($E360="correction",IF($F360="","reserve",$F360)="leftover"),N($G360),0))))</f>
        <v/>
      </c>
      <c r="P360" s="25">
        <f>IF(OR($E360&lt;&gt;"received",$I360="",$L360=""),"",IF($I360&gt;=$L360+config!$B$19,"Y","N"))</f>
        <v/>
      </c>
      <c r="Q360" s="25">
        <f>IF($C360="","",IF(COUNTIF(campaigns!$A$2:$A$51,$C360)=0,"campaign_id not on campaigns; ",IF(AND($D360&lt;&gt;"",COUNTIFS(approvals!$A$2:$A$251,$C360,approvals!$B$2:$B$251,$D360)=0),"office not on this campaign (approvals tab); ",""))&amp;IF(AND(OR($E360="delivered",$E360="topped_up",$E360="collected"),$D360=""),"office needed; ","")&amp;IF(AND($E360&lt;&gt;"correction",N($G360)&lt;=0),"qty must be above 0; ","")&amp;IF(AND($E360="received",OR($I360="",$H360="")),"log lot and best-by; ","")&amp;IF(AND($P360="N",SUMIFS(inventory!$G$2:$G$801,inventory!$C$2:$C$801,$C360,inventory!$H$2:$H$801,$H360,inventory!$E$2:$E$801,"rejected")&lt;N($G360)),"UNDER "&amp;config!$B$19&amp;" DAYS LEFT ON THE DROP DAY: reject these units; ","")&amp;IF(AND($E360="delivered",COUNTIF(inventory!$R$2:$R$801,$R360)&gt;1),"two delivered rows for this office: use one; ","")&amp;IF(AND($E360="delivered",$J360=""),"who counted?; ",""))</f>
        <v/>
      </c>
      <c r="R360" s="25">
        <f>IF($C360="","",$C360&amp;"|"&amp;$D360&amp;"|"&amp;$E360)</f>
        <v/>
      </c>
    </row>
    <row r="361">
      <c r="A361" s="9" t="n"/>
      <c r="B361" s="33" t="n"/>
      <c r="I361" s="9" t="n"/>
      <c r="L361" s="26">
        <f>IF($C361="","",IFERROR(IF(INDEX(campaigns!$BG$2:$BG$51,MATCH($C361,campaigns!$A$2:$A$51,0))="","",INDEX(campaigns!$BG$2:$BG$51,MATCH($C361,campaigns!$A$2:$A$51,0))),""))</f>
        <v/>
      </c>
      <c r="M361" s="25">
        <f>IF($C361="","",IF(OR($E361="received"),N($G361),IF(OR($E361="rejected",$E361="delivered",$E361="topped_up"),-N($G361),IF(AND(OR($E361="returned_to_brand",$E361="given_to_roster_office",$E361="released_to_office",$E361="disposed"),IF($F361="","reserve",$F361)="reserve"),-N($G361),IF(AND($E361="correction",IF($F361="","reserve",$F361)="reserve"),N($G361),0)))))</f>
        <v/>
      </c>
      <c r="N361" s="25">
        <f>IF($C361="","",IF($E361="rejected",N($G361),IF(AND(OR($E361="returned_to_brand",$E361="given_to_roster_office",$E361="released_to_office",$E361="disposed"),IF($F361="","reserve",$F361)="rejected"),-N($G361),IF(AND($E361="correction",IF($F361="","reserve",$F361)="rejected"),N($G361),0))))</f>
        <v/>
      </c>
      <c r="O361" s="25">
        <f>IF($C361="","",IF($E361="collected",N($G361),IF(AND(OR($E361="returned_to_brand",$E361="given_to_roster_office",$E361="released_to_office",$E361="disposed"),IF($F361="","reserve",$F361)="leftover"),-N($G361),IF(AND($E361="correction",IF($F361="","reserve",$F361)="leftover"),N($G361),0))))</f>
        <v/>
      </c>
      <c r="P361" s="25">
        <f>IF(OR($E361&lt;&gt;"received",$I361="",$L361=""),"",IF($I361&gt;=$L361+config!$B$19,"Y","N"))</f>
        <v/>
      </c>
      <c r="Q361" s="25">
        <f>IF($C361="","",IF(COUNTIF(campaigns!$A$2:$A$51,$C361)=0,"campaign_id not on campaigns; ",IF(AND($D361&lt;&gt;"",COUNTIFS(approvals!$A$2:$A$251,$C361,approvals!$B$2:$B$251,$D361)=0),"office not on this campaign (approvals tab); ",""))&amp;IF(AND(OR($E361="delivered",$E361="topped_up",$E361="collected"),$D361=""),"office needed; ","")&amp;IF(AND($E361&lt;&gt;"correction",N($G361)&lt;=0),"qty must be above 0; ","")&amp;IF(AND($E361="received",OR($I361="",$H361="")),"log lot and best-by; ","")&amp;IF(AND($P361="N",SUMIFS(inventory!$G$2:$G$801,inventory!$C$2:$C$801,$C361,inventory!$H$2:$H$801,$H361,inventory!$E$2:$E$801,"rejected")&lt;N($G361)),"UNDER "&amp;config!$B$19&amp;" DAYS LEFT ON THE DROP DAY: reject these units; ","")&amp;IF(AND($E361="delivered",COUNTIF(inventory!$R$2:$R$801,$R361)&gt;1),"two delivered rows for this office: use one; ","")&amp;IF(AND($E361="delivered",$J361=""),"who counted?; ",""))</f>
        <v/>
      </c>
      <c r="R361" s="25">
        <f>IF($C361="","",$C361&amp;"|"&amp;$D361&amp;"|"&amp;$E361)</f>
        <v/>
      </c>
    </row>
    <row r="362">
      <c r="A362" s="9" t="n"/>
      <c r="B362" s="33" t="n"/>
      <c r="I362" s="9" t="n"/>
      <c r="L362" s="26">
        <f>IF($C362="","",IFERROR(IF(INDEX(campaigns!$BG$2:$BG$51,MATCH($C362,campaigns!$A$2:$A$51,0))="","",INDEX(campaigns!$BG$2:$BG$51,MATCH($C362,campaigns!$A$2:$A$51,0))),""))</f>
        <v/>
      </c>
      <c r="M362" s="25">
        <f>IF($C362="","",IF(OR($E362="received"),N($G362),IF(OR($E362="rejected",$E362="delivered",$E362="topped_up"),-N($G362),IF(AND(OR($E362="returned_to_brand",$E362="given_to_roster_office",$E362="released_to_office",$E362="disposed"),IF($F362="","reserve",$F362)="reserve"),-N($G362),IF(AND($E362="correction",IF($F362="","reserve",$F362)="reserve"),N($G362),0)))))</f>
        <v/>
      </c>
      <c r="N362" s="25">
        <f>IF($C362="","",IF($E362="rejected",N($G362),IF(AND(OR($E362="returned_to_brand",$E362="given_to_roster_office",$E362="released_to_office",$E362="disposed"),IF($F362="","reserve",$F362)="rejected"),-N($G362),IF(AND($E362="correction",IF($F362="","reserve",$F362)="rejected"),N($G362),0))))</f>
        <v/>
      </c>
      <c r="O362" s="25">
        <f>IF($C362="","",IF($E362="collected",N($G362),IF(AND(OR($E362="returned_to_brand",$E362="given_to_roster_office",$E362="released_to_office",$E362="disposed"),IF($F362="","reserve",$F362)="leftover"),-N($G362),IF(AND($E362="correction",IF($F362="","reserve",$F362)="leftover"),N($G362),0))))</f>
        <v/>
      </c>
      <c r="P362" s="25">
        <f>IF(OR($E362&lt;&gt;"received",$I362="",$L362=""),"",IF($I362&gt;=$L362+config!$B$19,"Y","N"))</f>
        <v/>
      </c>
      <c r="Q362" s="25">
        <f>IF($C362="","",IF(COUNTIF(campaigns!$A$2:$A$51,$C362)=0,"campaign_id not on campaigns; ",IF(AND($D362&lt;&gt;"",COUNTIFS(approvals!$A$2:$A$251,$C362,approvals!$B$2:$B$251,$D362)=0),"office not on this campaign (approvals tab); ",""))&amp;IF(AND(OR($E362="delivered",$E362="topped_up",$E362="collected"),$D362=""),"office needed; ","")&amp;IF(AND($E362&lt;&gt;"correction",N($G362)&lt;=0),"qty must be above 0; ","")&amp;IF(AND($E362="received",OR($I362="",$H362="")),"log lot and best-by; ","")&amp;IF(AND($P362="N",SUMIFS(inventory!$G$2:$G$801,inventory!$C$2:$C$801,$C362,inventory!$H$2:$H$801,$H362,inventory!$E$2:$E$801,"rejected")&lt;N($G362)),"UNDER "&amp;config!$B$19&amp;" DAYS LEFT ON THE DROP DAY: reject these units; ","")&amp;IF(AND($E362="delivered",COUNTIF(inventory!$R$2:$R$801,$R362)&gt;1),"two delivered rows for this office: use one; ","")&amp;IF(AND($E362="delivered",$J362=""),"who counted?; ",""))</f>
        <v/>
      </c>
      <c r="R362" s="25">
        <f>IF($C362="","",$C362&amp;"|"&amp;$D362&amp;"|"&amp;$E362)</f>
        <v/>
      </c>
    </row>
    <row r="363">
      <c r="A363" s="9" t="n"/>
      <c r="B363" s="33" t="n"/>
      <c r="I363" s="9" t="n"/>
      <c r="L363" s="26">
        <f>IF($C363="","",IFERROR(IF(INDEX(campaigns!$BG$2:$BG$51,MATCH($C363,campaigns!$A$2:$A$51,0))="","",INDEX(campaigns!$BG$2:$BG$51,MATCH($C363,campaigns!$A$2:$A$51,0))),""))</f>
        <v/>
      </c>
      <c r="M363" s="25">
        <f>IF($C363="","",IF(OR($E363="received"),N($G363),IF(OR($E363="rejected",$E363="delivered",$E363="topped_up"),-N($G363),IF(AND(OR($E363="returned_to_brand",$E363="given_to_roster_office",$E363="released_to_office",$E363="disposed"),IF($F363="","reserve",$F363)="reserve"),-N($G363),IF(AND($E363="correction",IF($F363="","reserve",$F363)="reserve"),N($G363),0)))))</f>
        <v/>
      </c>
      <c r="N363" s="25">
        <f>IF($C363="","",IF($E363="rejected",N($G363),IF(AND(OR($E363="returned_to_brand",$E363="given_to_roster_office",$E363="released_to_office",$E363="disposed"),IF($F363="","reserve",$F363)="rejected"),-N($G363),IF(AND($E363="correction",IF($F363="","reserve",$F363)="rejected"),N($G363),0))))</f>
        <v/>
      </c>
      <c r="O363" s="25">
        <f>IF($C363="","",IF($E363="collected",N($G363),IF(AND(OR($E363="returned_to_brand",$E363="given_to_roster_office",$E363="released_to_office",$E363="disposed"),IF($F363="","reserve",$F363)="leftover"),-N($G363),IF(AND($E363="correction",IF($F363="","reserve",$F363)="leftover"),N($G363),0))))</f>
        <v/>
      </c>
      <c r="P363" s="25">
        <f>IF(OR($E363&lt;&gt;"received",$I363="",$L363=""),"",IF($I363&gt;=$L363+config!$B$19,"Y","N"))</f>
        <v/>
      </c>
      <c r="Q363" s="25">
        <f>IF($C363="","",IF(COUNTIF(campaigns!$A$2:$A$51,$C363)=0,"campaign_id not on campaigns; ",IF(AND($D363&lt;&gt;"",COUNTIFS(approvals!$A$2:$A$251,$C363,approvals!$B$2:$B$251,$D363)=0),"office not on this campaign (approvals tab); ",""))&amp;IF(AND(OR($E363="delivered",$E363="topped_up",$E363="collected"),$D363=""),"office needed; ","")&amp;IF(AND($E363&lt;&gt;"correction",N($G363)&lt;=0),"qty must be above 0; ","")&amp;IF(AND($E363="received",OR($I363="",$H363="")),"log lot and best-by; ","")&amp;IF(AND($P363="N",SUMIFS(inventory!$G$2:$G$801,inventory!$C$2:$C$801,$C363,inventory!$H$2:$H$801,$H363,inventory!$E$2:$E$801,"rejected")&lt;N($G363)),"UNDER "&amp;config!$B$19&amp;" DAYS LEFT ON THE DROP DAY: reject these units; ","")&amp;IF(AND($E363="delivered",COUNTIF(inventory!$R$2:$R$801,$R363)&gt;1),"two delivered rows for this office: use one; ","")&amp;IF(AND($E363="delivered",$J363=""),"who counted?; ",""))</f>
        <v/>
      </c>
      <c r="R363" s="25">
        <f>IF($C363="","",$C363&amp;"|"&amp;$D363&amp;"|"&amp;$E363)</f>
        <v/>
      </c>
    </row>
    <row r="364">
      <c r="A364" s="9" t="n"/>
      <c r="B364" s="33" t="n"/>
      <c r="I364" s="9" t="n"/>
      <c r="L364" s="26">
        <f>IF($C364="","",IFERROR(IF(INDEX(campaigns!$BG$2:$BG$51,MATCH($C364,campaigns!$A$2:$A$51,0))="","",INDEX(campaigns!$BG$2:$BG$51,MATCH($C364,campaigns!$A$2:$A$51,0))),""))</f>
        <v/>
      </c>
      <c r="M364" s="25">
        <f>IF($C364="","",IF(OR($E364="received"),N($G364),IF(OR($E364="rejected",$E364="delivered",$E364="topped_up"),-N($G364),IF(AND(OR($E364="returned_to_brand",$E364="given_to_roster_office",$E364="released_to_office",$E364="disposed"),IF($F364="","reserve",$F364)="reserve"),-N($G364),IF(AND($E364="correction",IF($F364="","reserve",$F364)="reserve"),N($G364),0)))))</f>
        <v/>
      </c>
      <c r="N364" s="25">
        <f>IF($C364="","",IF($E364="rejected",N($G364),IF(AND(OR($E364="returned_to_brand",$E364="given_to_roster_office",$E364="released_to_office",$E364="disposed"),IF($F364="","reserve",$F364)="rejected"),-N($G364),IF(AND($E364="correction",IF($F364="","reserve",$F364)="rejected"),N($G364),0))))</f>
        <v/>
      </c>
      <c r="O364" s="25">
        <f>IF($C364="","",IF($E364="collected",N($G364),IF(AND(OR($E364="returned_to_brand",$E364="given_to_roster_office",$E364="released_to_office",$E364="disposed"),IF($F364="","reserve",$F364)="leftover"),-N($G364),IF(AND($E364="correction",IF($F364="","reserve",$F364)="leftover"),N($G364),0))))</f>
        <v/>
      </c>
      <c r="P364" s="25">
        <f>IF(OR($E364&lt;&gt;"received",$I364="",$L364=""),"",IF($I364&gt;=$L364+config!$B$19,"Y","N"))</f>
        <v/>
      </c>
      <c r="Q364" s="25">
        <f>IF($C364="","",IF(COUNTIF(campaigns!$A$2:$A$51,$C364)=0,"campaign_id not on campaigns; ",IF(AND($D364&lt;&gt;"",COUNTIFS(approvals!$A$2:$A$251,$C364,approvals!$B$2:$B$251,$D364)=0),"office not on this campaign (approvals tab); ",""))&amp;IF(AND(OR($E364="delivered",$E364="topped_up",$E364="collected"),$D364=""),"office needed; ","")&amp;IF(AND($E364&lt;&gt;"correction",N($G364)&lt;=0),"qty must be above 0; ","")&amp;IF(AND($E364="received",OR($I364="",$H364="")),"log lot and best-by; ","")&amp;IF(AND($P364="N",SUMIFS(inventory!$G$2:$G$801,inventory!$C$2:$C$801,$C364,inventory!$H$2:$H$801,$H364,inventory!$E$2:$E$801,"rejected")&lt;N($G364)),"UNDER "&amp;config!$B$19&amp;" DAYS LEFT ON THE DROP DAY: reject these units; ","")&amp;IF(AND($E364="delivered",COUNTIF(inventory!$R$2:$R$801,$R364)&gt;1),"two delivered rows for this office: use one; ","")&amp;IF(AND($E364="delivered",$J364=""),"who counted?; ",""))</f>
        <v/>
      </c>
      <c r="R364" s="25">
        <f>IF($C364="","",$C364&amp;"|"&amp;$D364&amp;"|"&amp;$E364)</f>
        <v/>
      </c>
    </row>
    <row r="365">
      <c r="A365" s="9" t="n"/>
      <c r="B365" s="33" t="n"/>
      <c r="I365" s="9" t="n"/>
      <c r="L365" s="26">
        <f>IF($C365="","",IFERROR(IF(INDEX(campaigns!$BG$2:$BG$51,MATCH($C365,campaigns!$A$2:$A$51,0))="","",INDEX(campaigns!$BG$2:$BG$51,MATCH($C365,campaigns!$A$2:$A$51,0))),""))</f>
        <v/>
      </c>
      <c r="M365" s="25">
        <f>IF($C365="","",IF(OR($E365="received"),N($G365),IF(OR($E365="rejected",$E365="delivered",$E365="topped_up"),-N($G365),IF(AND(OR($E365="returned_to_brand",$E365="given_to_roster_office",$E365="released_to_office",$E365="disposed"),IF($F365="","reserve",$F365)="reserve"),-N($G365),IF(AND($E365="correction",IF($F365="","reserve",$F365)="reserve"),N($G365),0)))))</f>
        <v/>
      </c>
      <c r="N365" s="25">
        <f>IF($C365="","",IF($E365="rejected",N($G365),IF(AND(OR($E365="returned_to_brand",$E365="given_to_roster_office",$E365="released_to_office",$E365="disposed"),IF($F365="","reserve",$F365)="rejected"),-N($G365),IF(AND($E365="correction",IF($F365="","reserve",$F365)="rejected"),N($G365),0))))</f>
        <v/>
      </c>
      <c r="O365" s="25">
        <f>IF($C365="","",IF($E365="collected",N($G365),IF(AND(OR($E365="returned_to_brand",$E365="given_to_roster_office",$E365="released_to_office",$E365="disposed"),IF($F365="","reserve",$F365)="leftover"),-N($G365),IF(AND($E365="correction",IF($F365="","reserve",$F365)="leftover"),N($G365),0))))</f>
        <v/>
      </c>
      <c r="P365" s="25">
        <f>IF(OR($E365&lt;&gt;"received",$I365="",$L365=""),"",IF($I365&gt;=$L365+config!$B$19,"Y","N"))</f>
        <v/>
      </c>
      <c r="Q365" s="25">
        <f>IF($C365="","",IF(COUNTIF(campaigns!$A$2:$A$51,$C365)=0,"campaign_id not on campaigns; ",IF(AND($D365&lt;&gt;"",COUNTIFS(approvals!$A$2:$A$251,$C365,approvals!$B$2:$B$251,$D365)=0),"office not on this campaign (approvals tab); ",""))&amp;IF(AND(OR($E365="delivered",$E365="topped_up",$E365="collected"),$D365=""),"office needed; ","")&amp;IF(AND($E365&lt;&gt;"correction",N($G365)&lt;=0),"qty must be above 0; ","")&amp;IF(AND($E365="received",OR($I365="",$H365="")),"log lot and best-by; ","")&amp;IF(AND($P365="N",SUMIFS(inventory!$G$2:$G$801,inventory!$C$2:$C$801,$C365,inventory!$H$2:$H$801,$H365,inventory!$E$2:$E$801,"rejected")&lt;N($G365)),"UNDER "&amp;config!$B$19&amp;" DAYS LEFT ON THE DROP DAY: reject these units; ","")&amp;IF(AND($E365="delivered",COUNTIF(inventory!$R$2:$R$801,$R365)&gt;1),"two delivered rows for this office: use one; ","")&amp;IF(AND($E365="delivered",$J365=""),"who counted?; ",""))</f>
        <v/>
      </c>
      <c r="R365" s="25">
        <f>IF($C365="","",$C365&amp;"|"&amp;$D365&amp;"|"&amp;$E365)</f>
        <v/>
      </c>
    </row>
    <row r="366">
      <c r="A366" s="9" t="n"/>
      <c r="B366" s="33" t="n"/>
      <c r="I366" s="9" t="n"/>
      <c r="L366" s="26">
        <f>IF($C366="","",IFERROR(IF(INDEX(campaigns!$BG$2:$BG$51,MATCH($C366,campaigns!$A$2:$A$51,0))="","",INDEX(campaigns!$BG$2:$BG$51,MATCH($C366,campaigns!$A$2:$A$51,0))),""))</f>
        <v/>
      </c>
      <c r="M366" s="25">
        <f>IF($C366="","",IF(OR($E366="received"),N($G366),IF(OR($E366="rejected",$E366="delivered",$E366="topped_up"),-N($G366),IF(AND(OR($E366="returned_to_brand",$E366="given_to_roster_office",$E366="released_to_office",$E366="disposed"),IF($F366="","reserve",$F366)="reserve"),-N($G366),IF(AND($E366="correction",IF($F366="","reserve",$F366)="reserve"),N($G366),0)))))</f>
        <v/>
      </c>
      <c r="N366" s="25">
        <f>IF($C366="","",IF($E366="rejected",N($G366),IF(AND(OR($E366="returned_to_brand",$E366="given_to_roster_office",$E366="released_to_office",$E366="disposed"),IF($F366="","reserve",$F366)="rejected"),-N($G366),IF(AND($E366="correction",IF($F366="","reserve",$F366)="rejected"),N($G366),0))))</f>
        <v/>
      </c>
      <c r="O366" s="25">
        <f>IF($C366="","",IF($E366="collected",N($G366),IF(AND(OR($E366="returned_to_brand",$E366="given_to_roster_office",$E366="released_to_office",$E366="disposed"),IF($F366="","reserve",$F366)="leftover"),-N($G366),IF(AND($E366="correction",IF($F366="","reserve",$F366)="leftover"),N($G366),0))))</f>
        <v/>
      </c>
      <c r="P366" s="25">
        <f>IF(OR($E366&lt;&gt;"received",$I366="",$L366=""),"",IF($I366&gt;=$L366+config!$B$19,"Y","N"))</f>
        <v/>
      </c>
      <c r="Q366" s="25">
        <f>IF($C366="","",IF(COUNTIF(campaigns!$A$2:$A$51,$C366)=0,"campaign_id not on campaigns; ",IF(AND($D366&lt;&gt;"",COUNTIFS(approvals!$A$2:$A$251,$C366,approvals!$B$2:$B$251,$D366)=0),"office not on this campaign (approvals tab); ",""))&amp;IF(AND(OR($E366="delivered",$E366="topped_up",$E366="collected"),$D366=""),"office needed; ","")&amp;IF(AND($E366&lt;&gt;"correction",N($G366)&lt;=0),"qty must be above 0; ","")&amp;IF(AND($E366="received",OR($I366="",$H366="")),"log lot and best-by; ","")&amp;IF(AND($P366="N",SUMIFS(inventory!$G$2:$G$801,inventory!$C$2:$C$801,$C366,inventory!$H$2:$H$801,$H366,inventory!$E$2:$E$801,"rejected")&lt;N($G366)),"UNDER "&amp;config!$B$19&amp;" DAYS LEFT ON THE DROP DAY: reject these units; ","")&amp;IF(AND($E366="delivered",COUNTIF(inventory!$R$2:$R$801,$R366)&gt;1),"two delivered rows for this office: use one; ","")&amp;IF(AND($E366="delivered",$J366=""),"who counted?; ",""))</f>
        <v/>
      </c>
      <c r="R366" s="25">
        <f>IF($C366="","",$C366&amp;"|"&amp;$D366&amp;"|"&amp;$E366)</f>
        <v/>
      </c>
    </row>
    <row r="367">
      <c r="A367" s="9" t="n"/>
      <c r="B367" s="33" t="n"/>
      <c r="I367" s="9" t="n"/>
      <c r="L367" s="26">
        <f>IF($C367="","",IFERROR(IF(INDEX(campaigns!$BG$2:$BG$51,MATCH($C367,campaigns!$A$2:$A$51,0))="","",INDEX(campaigns!$BG$2:$BG$51,MATCH($C367,campaigns!$A$2:$A$51,0))),""))</f>
        <v/>
      </c>
      <c r="M367" s="25">
        <f>IF($C367="","",IF(OR($E367="received"),N($G367),IF(OR($E367="rejected",$E367="delivered",$E367="topped_up"),-N($G367),IF(AND(OR($E367="returned_to_brand",$E367="given_to_roster_office",$E367="released_to_office",$E367="disposed"),IF($F367="","reserve",$F367)="reserve"),-N($G367),IF(AND($E367="correction",IF($F367="","reserve",$F367)="reserve"),N($G367),0)))))</f>
        <v/>
      </c>
      <c r="N367" s="25">
        <f>IF($C367="","",IF($E367="rejected",N($G367),IF(AND(OR($E367="returned_to_brand",$E367="given_to_roster_office",$E367="released_to_office",$E367="disposed"),IF($F367="","reserve",$F367)="rejected"),-N($G367),IF(AND($E367="correction",IF($F367="","reserve",$F367)="rejected"),N($G367),0))))</f>
        <v/>
      </c>
      <c r="O367" s="25">
        <f>IF($C367="","",IF($E367="collected",N($G367),IF(AND(OR($E367="returned_to_brand",$E367="given_to_roster_office",$E367="released_to_office",$E367="disposed"),IF($F367="","reserve",$F367)="leftover"),-N($G367),IF(AND($E367="correction",IF($F367="","reserve",$F367)="leftover"),N($G367),0))))</f>
        <v/>
      </c>
      <c r="P367" s="25">
        <f>IF(OR($E367&lt;&gt;"received",$I367="",$L367=""),"",IF($I367&gt;=$L367+config!$B$19,"Y","N"))</f>
        <v/>
      </c>
      <c r="Q367" s="25">
        <f>IF($C367="","",IF(COUNTIF(campaigns!$A$2:$A$51,$C367)=0,"campaign_id not on campaigns; ",IF(AND($D367&lt;&gt;"",COUNTIFS(approvals!$A$2:$A$251,$C367,approvals!$B$2:$B$251,$D367)=0),"office not on this campaign (approvals tab); ",""))&amp;IF(AND(OR($E367="delivered",$E367="topped_up",$E367="collected"),$D367=""),"office needed; ","")&amp;IF(AND($E367&lt;&gt;"correction",N($G367)&lt;=0),"qty must be above 0; ","")&amp;IF(AND($E367="received",OR($I367="",$H367="")),"log lot and best-by; ","")&amp;IF(AND($P367="N",SUMIFS(inventory!$G$2:$G$801,inventory!$C$2:$C$801,$C367,inventory!$H$2:$H$801,$H367,inventory!$E$2:$E$801,"rejected")&lt;N($G367)),"UNDER "&amp;config!$B$19&amp;" DAYS LEFT ON THE DROP DAY: reject these units; ","")&amp;IF(AND($E367="delivered",COUNTIF(inventory!$R$2:$R$801,$R367)&gt;1),"two delivered rows for this office: use one; ","")&amp;IF(AND($E367="delivered",$J367=""),"who counted?; ",""))</f>
        <v/>
      </c>
      <c r="R367" s="25">
        <f>IF($C367="","",$C367&amp;"|"&amp;$D367&amp;"|"&amp;$E367)</f>
        <v/>
      </c>
    </row>
    <row r="368">
      <c r="A368" s="9" t="n"/>
      <c r="B368" s="33" t="n"/>
      <c r="I368" s="9" t="n"/>
      <c r="L368" s="26">
        <f>IF($C368="","",IFERROR(IF(INDEX(campaigns!$BG$2:$BG$51,MATCH($C368,campaigns!$A$2:$A$51,0))="","",INDEX(campaigns!$BG$2:$BG$51,MATCH($C368,campaigns!$A$2:$A$51,0))),""))</f>
        <v/>
      </c>
      <c r="M368" s="25">
        <f>IF($C368="","",IF(OR($E368="received"),N($G368),IF(OR($E368="rejected",$E368="delivered",$E368="topped_up"),-N($G368),IF(AND(OR($E368="returned_to_brand",$E368="given_to_roster_office",$E368="released_to_office",$E368="disposed"),IF($F368="","reserve",$F368)="reserve"),-N($G368),IF(AND($E368="correction",IF($F368="","reserve",$F368)="reserve"),N($G368),0)))))</f>
        <v/>
      </c>
      <c r="N368" s="25">
        <f>IF($C368="","",IF($E368="rejected",N($G368),IF(AND(OR($E368="returned_to_brand",$E368="given_to_roster_office",$E368="released_to_office",$E368="disposed"),IF($F368="","reserve",$F368)="rejected"),-N($G368),IF(AND($E368="correction",IF($F368="","reserve",$F368)="rejected"),N($G368),0))))</f>
        <v/>
      </c>
      <c r="O368" s="25">
        <f>IF($C368="","",IF($E368="collected",N($G368),IF(AND(OR($E368="returned_to_brand",$E368="given_to_roster_office",$E368="released_to_office",$E368="disposed"),IF($F368="","reserve",$F368)="leftover"),-N($G368),IF(AND($E368="correction",IF($F368="","reserve",$F368)="leftover"),N($G368),0))))</f>
        <v/>
      </c>
      <c r="P368" s="25">
        <f>IF(OR($E368&lt;&gt;"received",$I368="",$L368=""),"",IF($I368&gt;=$L368+config!$B$19,"Y","N"))</f>
        <v/>
      </c>
      <c r="Q368" s="25">
        <f>IF($C368="","",IF(COUNTIF(campaigns!$A$2:$A$51,$C368)=0,"campaign_id not on campaigns; ",IF(AND($D368&lt;&gt;"",COUNTIFS(approvals!$A$2:$A$251,$C368,approvals!$B$2:$B$251,$D368)=0),"office not on this campaign (approvals tab); ",""))&amp;IF(AND(OR($E368="delivered",$E368="topped_up",$E368="collected"),$D368=""),"office needed; ","")&amp;IF(AND($E368&lt;&gt;"correction",N($G368)&lt;=0),"qty must be above 0; ","")&amp;IF(AND($E368="received",OR($I368="",$H368="")),"log lot and best-by; ","")&amp;IF(AND($P368="N",SUMIFS(inventory!$G$2:$G$801,inventory!$C$2:$C$801,$C368,inventory!$H$2:$H$801,$H368,inventory!$E$2:$E$801,"rejected")&lt;N($G368)),"UNDER "&amp;config!$B$19&amp;" DAYS LEFT ON THE DROP DAY: reject these units; ","")&amp;IF(AND($E368="delivered",COUNTIF(inventory!$R$2:$R$801,$R368)&gt;1),"two delivered rows for this office: use one; ","")&amp;IF(AND($E368="delivered",$J368=""),"who counted?; ",""))</f>
        <v/>
      </c>
      <c r="R368" s="25">
        <f>IF($C368="","",$C368&amp;"|"&amp;$D368&amp;"|"&amp;$E368)</f>
        <v/>
      </c>
    </row>
    <row r="369">
      <c r="A369" s="9" t="n"/>
      <c r="B369" s="33" t="n"/>
      <c r="I369" s="9" t="n"/>
      <c r="L369" s="26">
        <f>IF($C369="","",IFERROR(IF(INDEX(campaigns!$BG$2:$BG$51,MATCH($C369,campaigns!$A$2:$A$51,0))="","",INDEX(campaigns!$BG$2:$BG$51,MATCH($C369,campaigns!$A$2:$A$51,0))),""))</f>
        <v/>
      </c>
      <c r="M369" s="25">
        <f>IF($C369="","",IF(OR($E369="received"),N($G369),IF(OR($E369="rejected",$E369="delivered",$E369="topped_up"),-N($G369),IF(AND(OR($E369="returned_to_brand",$E369="given_to_roster_office",$E369="released_to_office",$E369="disposed"),IF($F369="","reserve",$F369)="reserve"),-N($G369),IF(AND($E369="correction",IF($F369="","reserve",$F369)="reserve"),N($G369),0)))))</f>
        <v/>
      </c>
      <c r="N369" s="25">
        <f>IF($C369="","",IF($E369="rejected",N($G369),IF(AND(OR($E369="returned_to_brand",$E369="given_to_roster_office",$E369="released_to_office",$E369="disposed"),IF($F369="","reserve",$F369)="rejected"),-N($G369),IF(AND($E369="correction",IF($F369="","reserve",$F369)="rejected"),N($G369),0))))</f>
        <v/>
      </c>
      <c r="O369" s="25">
        <f>IF($C369="","",IF($E369="collected",N($G369),IF(AND(OR($E369="returned_to_brand",$E369="given_to_roster_office",$E369="released_to_office",$E369="disposed"),IF($F369="","reserve",$F369)="leftover"),-N($G369),IF(AND($E369="correction",IF($F369="","reserve",$F369)="leftover"),N($G369),0))))</f>
        <v/>
      </c>
      <c r="P369" s="25">
        <f>IF(OR($E369&lt;&gt;"received",$I369="",$L369=""),"",IF($I369&gt;=$L369+config!$B$19,"Y","N"))</f>
        <v/>
      </c>
      <c r="Q369" s="25">
        <f>IF($C369="","",IF(COUNTIF(campaigns!$A$2:$A$51,$C369)=0,"campaign_id not on campaigns; ",IF(AND($D369&lt;&gt;"",COUNTIFS(approvals!$A$2:$A$251,$C369,approvals!$B$2:$B$251,$D369)=0),"office not on this campaign (approvals tab); ",""))&amp;IF(AND(OR($E369="delivered",$E369="topped_up",$E369="collected"),$D369=""),"office needed; ","")&amp;IF(AND($E369&lt;&gt;"correction",N($G369)&lt;=0),"qty must be above 0; ","")&amp;IF(AND($E369="received",OR($I369="",$H369="")),"log lot and best-by; ","")&amp;IF(AND($P369="N",SUMIFS(inventory!$G$2:$G$801,inventory!$C$2:$C$801,$C369,inventory!$H$2:$H$801,$H369,inventory!$E$2:$E$801,"rejected")&lt;N($G369)),"UNDER "&amp;config!$B$19&amp;" DAYS LEFT ON THE DROP DAY: reject these units; ","")&amp;IF(AND($E369="delivered",COUNTIF(inventory!$R$2:$R$801,$R369)&gt;1),"two delivered rows for this office: use one; ","")&amp;IF(AND($E369="delivered",$J369=""),"who counted?; ",""))</f>
        <v/>
      </c>
      <c r="R369" s="25">
        <f>IF($C369="","",$C369&amp;"|"&amp;$D369&amp;"|"&amp;$E369)</f>
        <v/>
      </c>
    </row>
    <row r="370">
      <c r="A370" s="9" t="n"/>
      <c r="B370" s="33" t="n"/>
      <c r="I370" s="9" t="n"/>
      <c r="L370" s="26">
        <f>IF($C370="","",IFERROR(IF(INDEX(campaigns!$BG$2:$BG$51,MATCH($C370,campaigns!$A$2:$A$51,0))="","",INDEX(campaigns!$BG$2:$BG$51,MATCH($C370,campaigns!$A$2:$A$51,0))),""))</f>
        <v/>
      </c>
      <c r="M370" s="25">
        <f>IF($C370="","",IF(OR($E370="received"),N($G370),IF(OR($E370="rejected",$E370="delivered",$E370="topped_up"),-N($G370),IF(AND(OR($E370="returned_to_brand",$E370="given_to_roster_office",$E370="released_to_office",$E370="disposed"),IF($F370="","reserve",$F370)="reserve"),-N($G370),IF(AND($E370="correction",IF($F370="","reserve",$F370)="reserve"),N($G370),0)))))</f>
        <v/>
      </c>
      <c r="N370" s="25">
        <f>IF($C370="","",IF($E370="rejected",N($G370),IF(AND(OR($E370="returned_to_brand",$E370="given_to_roster_office",$E370="released_to_office",$E370="disposed"),IF($F370="","reserve",$F370)="rejected"),-N($G370),IF(AND($E370="correction",IF($F370="","reserve",$F370)="rejected"),N($G370),0))))</f>
        <v/>
      </c>
      <c r="O370" s="25">
        <f>IF($C370="","",IF($E370="collected",N($G370),IF(AND(OR($E370="returned_to_brand",$E370="given_to_roster_office",$E370="released_to_office",$E370="disposed"),IF($F370="","reserve",$F370)="leftover"),-N($G370),IF(AND($E370="correction",IF($F370="","reserve",$F370)="leftover"),N($G370),0))))</f>
        <v/>
      </c>
      <c r="P370" s="25">
        <f>IF(OR($E370&lt;&gt;"received",$I370="",$L370=""),"",IF($I370&gt;=$L370+config!$B$19,"Y","N"))</f>
        <v/>
      </c>
      <c r="Q370" s="25">
        <f>IF($C370="","",IF(COUNTIF(campaigns!$A$2:$A$51,$C370)=0,"campaign_id not on campaigns; ",IF(AND($D370&lt;&gt;"",COUNTIFS(approvals!$A$2:$A$251,$C370,approvals!$B$2:$B$251,$D370)=0),"office not on this campaign (approvals tab); ",""))&amp;IF(AND(OR($E370="delivered",$E370="topped_up",$E370="collected"),$D370=""),"office needed; ","")&amp;IF(AND($E370&lt;&gt;"correction",N($G370)&lt;=0),"qty must be above 0; ","")&amp;IF(AND($E370="received",OR($I370="",$H370="")),"log lot and best-by; ","")&amp;IF(AND($P370="N",SUMIFS(inventory!$G$2:$G$801,inventory!$C$2:$C$801,$C370,inventory!$H$2:$H$801,$H370,inventory!$E$2:$E$801,"rejected")&lt;N($G370)),"UNDER "&amp;config!$B$19&amp;" DAYS LEFT ON THE DROP DAY: reject these units; ","")&amp;IF(AND($E370="delivered",COUNTIF(inventory!$R$2:$R$801,$R370)&gt;1),"two delivered rows for this office: use one; ","")&amp;IF(AND($E370="delivered",$J370=""),"who counted?; ",""))</f>
        <v/>
      </c>
      <c r="R370" s="25">
        <f>IF($C370="","",$C370&amp;"|"&amp;$D370&amp;"|"&amp;$E370)</f>
        <v/>
      </c>
    </row>
    <row r="371">
      <c r="A371" s="9" t="n"/>
      <c r="B371" s="33" t="n"/>
      <c r="I371" s="9" t="n"/>
      <c r="L371" s="26">
        <f>IF($C371="","",IFERROR(IF(INDEX(campaigns!$BG$2:$BG$51,MATCH($C371,campaigns!$A$2:$A$51,0))="","",INDEX(campaigns!$BG$2:$BG$51,MATCH($C371,campaigns!$A$2:$A$51,0))),""))</f>
        <v/>
      </c>
      <c r="M371" s="25">
        <f>IF($C371="","",IF(OR($E371="received"),N($G371),IF(OR($E371="rejected",$E371="delivered",$E371="topped_up"),-N($G371),IF(AND(OR($E371="returned_to_brand",$E371="given_to_roster_office",$E371="released_to_office",$E371="disposed"),IF($F371="","reserve",$F371)="reserve"),-N($G371),IF(AND($E371="correction",IF($F371="","reserve",$F371)="reserve"),N($G371),0)))))</f>
        <v/>
      </c>
      <c r="N371" s="25">
        <f>IF($C371="","",IF($E371="rejected",N($G371),IF(AND(OR($E371="returned_to_brand",$E371="given_to_roster_office",$E371="released_to_office",$E371="disposed"),IF($F371="","reserve",$F371)="rejected"),-N($G371),IF(AND($E371="correction",IF($F371="","reserve",$F371)="rejected"),N($G371),0))))</f>
        <v/>
      </c>
      <c r="O371" s="25">
        <f>IF($C371="","",IF($E371="collected",N($G371),IF(AND(OR($E371="returned_to_brand",$E371="given_to_roster_office",$E371="released_to_office",$E371="disposed"),IF($F371="","reserve",$F371)="leftover"),-N($G371),IF(AND($E371="correction",IF($F371="","reserve",$F371)="leftover"),N($G371),0))))</f>
        <v/>
      </c>
      <c r="P371" s="25">
        <f>IF(OR($E371&lt;&gt;"received",$I371="",$L371=""),"",IF($I371&gt;=$L371+config!$B$19,"Y","N"))</f>
        <v/>
      </c>
      <c r="Q371" s="25">
        <f>IF($C371="","",IF(COUNTIF(campaigns!$A$2:$A$51,$C371)=0,"campaign_id not on campaigns; ",IF(AND($D371&lt;&gt;"",COUNTIFS(approvals!$A$2:$A$251,$C371,approvals!$B$2:$B$251,$D371)=0),"office not on this campaign (approvals tab); ",""))&amp;IF(AND(OR($E371="delivered",$E371="topped_up",$E371="collected"),$D371=""),"office needed; ","")&amp;IF(AND($E371&lt;&gt;"correction",N($G371)&lt;=0),"qty must be above 0; ","")&amp;IF(AND($E371="received",OR($I371="",$H371="")),"log lot and best-by; ","")&amp;IF(AND($P371="N",SUMIFS(inventory!$G$2:$G$801,inventory!$C$2:$C$801,$C371,inventory!$H$2:$H$801,$H371,inventory!$E$2:$E$801,"rejected")&lt;N($G371)),"UNDER "&amp;config!$B$19&amp;" DAYS LEFT ON THE DROP DAY: reject these units; ","")&amp;IF(AND($E371="delivered",COUNTIF(inventory!$R$2:$R$801,$R371)&gt;1),"two delivered rows for this office: use one; ","")&amp;IF(AND($E371="delivered",$J371=""),"who counted?; ",""))</f>
        <v/>
      </c>
      <c r="R371" s="25">
        <f>IF($C371="","",$C371&amp;"|"&amp;$D371&amp;"|"&amp;$E371)</f>
        <v/>
      </c>
    </row>
    <row r="372">
      <c r="A372" s="9" t="n"/>
      <c r="B372" s="33" t="n"/>
      <c r="I372" s="9" t="n"/>
      <c r="L372" s="26">
        <f>IF($C372="","",IFERROR(IF(INDEX(campaigns!$BG$2:$BG$51,MATCH($C372,campaigns!$A$2:$A$51,0))="","",INDEX(campaigns!$BG$2:$BG$51,MATCH($C372,campaigns!$A$2:$A$51,0))),""))</f>
        <v/>
      </c>
      <c r="M372" s="25">
        <f>IF($C372="","",IF(OR($E372="received"),N($G372),IF(OR($E372="rejected",$E372="delivered",$E372="topped_up"),-N($G372),IF(AND(OR($E372="returned_to_brand",$E372="given_to_roster_office",$E372="released_to_office",$E372="disposed"),IF($F372="","reserve",$F372)="reserve"),-N($G372),IF(AND($E372="correction",IF($F372="","reserve",$F372)="reserve"),N($G372),0)))))</f>
        <v/>
      </c>
      <c r="N372" s="25">
        <f>IF($C372="","",IF($E372="rejected",N($G372),IF(AND(OR($E372="returned_to_brand",$E372="given_to_roster_office",$E372="released_to_office",$E372="disposed"),IF($F372="","reserve",$F372)="rejected"),-N($G372),IF(AND($E372="correction",IF($F372="","reserve",$F372)="rejected"),N($G372),0))))</f>
        <v/>
      </c>
      <c r="O372" s="25">
        <f>IF($C372="","",IF($E372="collected",N($G372),IF(AND(OR($E372="returned_to_brand",$E372="given_to_roster_office",$E372="released_to_office",$E372="disposed"),IF($F372="","reserve",$F372)="leftover"),-N($G372),IF(AND($E372="correction",IF($F372="","reserve",$F372)="leftover"),N($G372),0))))</f>
        <v/>
      </c>
      <c r="P372" s="25">
        <f>IF(OR($E372&lt;&gt;"received",$I372="",$L372=""),"",IF($I372&gt;=$L372+config!$B$19,"Y","N"))</f>
        <v/>
      </c>
      <c r="Q372" s="25">
        <f>IF($C372="","",IF(COUNTIF(campaigns!$A$2:$A$51,$C372)=0,"campaign_id not on campaigns; ",IF(AND($D372&lt;&gt;"",COUNTIFS(approvals!$A$2:$A$251,$C372,approvals!$B$2:$B$251,$D372)=0),"office not on this campaign (approvals tab); ",""))&amp;IF(AND(OR($E372="delivered",$E372="topped_up",$E372="collected"),$D372=""),"office needed; ","")&amp;IF(AND($E372&lt;&gt;"correction",N($G372)&lt;=0),"qty must be above 0; ","")&amp;IF(AND($E372="received",OR($I372="",$H372="")),"log lot and best-by; ","")&amp;IF(AND($P372="N",SUMIFS(inventory!$G$2:$G$801,inventory!$C$2:$C$801,$C372,inventory!$H$2:$H$801,$H372,inventory!$E$2:$E$801,"rejected")&lt;N($G372)),"UNDER "&amp;config!$B$19&amp;" DAYS LEFT ON THE DROP DAY: reject these units; ","")&amp;IF(AND($E372="delivered",COUNTIF(inventory!$R$2:$R$801,$R372)&gt;1),"two delivered rows for this office: use one; ","")&amp;IF(AND($E372="delivered",$J372=""),"who counted?; ",""))</f>
        <v/>
      </c>
      <c r="R372" s="25">
        <f>IF($C372="","",$C372&amp;"|"&amp;$D372&amp;"|"&amp;$E372)</f>
        <v/>
      </c>
    </row>
    <row r="373">
      <c r="A373" s="9" t="n"/>
      <c r="B373" s="33" t="n"/>
      <c r="I373" s="9" t="n"/>
      <c r="L373" s="26">
        <f>IF($C373="","",IFERROR(IF(INDEX(campaigns!$BG$2:$BG$51,MATCH($C373,campaigns!$A$2:$A$51,0))="","",INDEX(campaigns!$BG$2:$BG$51,MATCH($C373,campaigns!$A$2:$A$51,0))),""))</f>
        <v/>
      </c>
      <c r="M373" s="25">
        <f>IF($C373="","",IF(OR($E373="received"),N($G373),IF(OR($E373="rejected",$E373="delivered",$E373="topped_up"),-N($G373),IF(AND(OR($E373="returned_to_brand",$E373="given_to_roster_office",$E373="released_to_office",$E373="disposed"),IF($F373="","reserve",$F373)="reserve"),-N($G373),IF(AND($E373="correction",IF($F373="","reserve",$F373)="reserve"),N($G373),0)))))</f>
        <v/>
      </c>
      <c r="N373" s="25">
        <f>IF($C373="","",IF($E373="rejected",N($G373),IF(AND(OR($E373="returned_to_brand",$E373="given_to_roster_office",$E373="released_to_office",$E373="disposed"),IF($F373="","reserve",$F373)="rejected"),-N($G373),IF(AND($E373="correction",IF($F373="","reserve",$F373)="rejected"),N($G373),0))))</f>
        <v/>
      </c>
      <c r="O373" s="25">
        <f>IF($C373="","",IF($E373="collected",N($G373),IF(AND(OR($E373="returned_to_brand",$E373="given_to_roster_office",$E373="released_to_office",$E373="disposed"),IF($F373="","reserve",$F373)="leftover"),-N($G373),IF(AND($E373="correction",IF($F373="","reserve",$F373)="leftover"),N($G373),0))))</f>
        <v/>
      </c>
      <c r="P373" s="25">
        <f>IF(OR($E373&lt;&gt;"received",$I373="",$L373=""),"",IF($I373&gt;=$L373+config!$B$19,"Y","N"))</f>
        <v/>
      </c>
      <c r="Q373" s="25">
        <f>IF($C373="","",IF(COUNTIF(campaigns!$A$2:$A$51,$C373)=0,"campaign_id not on campaigns; ",IF(AND($D373&lt;&gt;"",COUNTIFS(approvals!$A$2:$A$251,$C373,approvals!$B$2:$B$251,$D373)=0),"office not on this campaign (approvals tab); ",""))&amp;IF(AND(OR($E373="delivered",$E373="topped_up",$E373="collected"),$D373=""),"office needed; ","")&amp;IF(AND($E373&lt;&gt;"correction",N($G373)&lt;=0),"qty must be above 0; ","")&amp;IF(AND($E373="received",OR($I373="",$H373="")),"log lot and best-by; ","")&amp;IF(AND($P373="N",SUMIFS(inventory!$G$2:$G$801,inventory!$C$2:$C$801,$C373,inventory!$H$2:$H$801,$H373,inventory!$E$2:$E$801,"rejected")&lt;N($G373)),"UNDER "&amp;config!$B$19&amp;" DAYS LEFT ON THE DROP DAY: reject these units; ","")&amp;IF(AND($E373="delivered",COUNTIF(inventory!$R$2:$R$801,$R373)&gt;1),"two delivered rows for this office: use one; ","")&amp;IF(AND($E373="delivered",$J373=""),"who counted?; ",""))</f>
        <v/>
      </c>
      <c r="R373" s="25">
        <f>IF($C373="","",$C373&amp;"|"&amp;$D373&amp;"|"&amp;$E373)</f>
        <v/>
      </c>
    </row>
    <row r="374">
      <c r="A374" s="9" t="n"/>
      <c r="B374" s="33" t="n"/>
      <c r="I374" s="9" t="n"/>
      <c r="L374" s="26">
        <f>IF($C374="","",IFERROR(IF(INDEX(campaigns!$BG$2:$BG$51,MATCH($C374,campaigns!$A$2:$A$51,0))="","",INDEX(campaigns!$BG$2:$BG$51,MATCH($C374,campaigns!$A$2:$A$51,0))),""))</f>
        <v/>
      </c>
      <c r="M374" s="25">
        <f>IF($C374="","",IF(OR($E374="received"),N($G374),IF(OR($E374="rejected",$E374="delivered",$E374="topped_up"),-N($G374),IF(AND(OR($E374="returned_to_brand",$E374="given_to_roster_office",$E374="released_to_office",$E374="disposed"),IF($F374="","reserve",$F374)="reserve"),-N($G374),IF(AND($E374="correction",IF($F374="","reserve",$F374)="reserve"),N($G374),0)))))</f>
        <v/>
      </c>
      <c r="N374" s="25">
        <f>IF($C374="","",IF($E374="rejected",N($G374),IF(AND(OR($E374="returned_to_brand",$E374="given_to_roster_office",$E374="released_to_office",$E374="disposed"),IF($F374="","reserve",$F374)="rejected"),-N($G374),IF(AND($E374="correction",IF($F374="","reserve",$F374)="rejected"),N($G374),0))))</f>
        <v/>
      </c>
      <c r="O374" s="25">
        <f>IF($C374="","",IF($E374="collected",N($G374),IF(AND(OR($E374="returned_to_brand",$E374="given_to_roster_office",$E374="released_to_office",$E374="disposed"),IF($F374="","reserve",$F374)="leftover"),-N($G374),IF(AND($E374="correction",IF($F374="","reserve",$F374)="leftover"),N($G374),0))))</f>
        <v/>
      </c>
      <c r="P374" s="25">
        <f>IF(OR($E374&lt;&gt;"received",$I374="",$L374=""),"",IF($I374&gt;=$L374+config!$B$19,"Y","N"))</f>
        <v/>
      </c>
      <c r="Q374" s="25">
        <f>IF($C374="","",IF(COUNTIF(campaigns!$A$2:$A$51,$C374)=0,"campaign_id not on campaigns; ",IF(AND($D374&lt;&gt;"",COUNTIFS(approvals!$A$2:$A$251,$C374,approvals!$B$2:$B$251,$D374)=0),"office not on this campaign (approvals tab); ",""))&amp;IF(AND(OR($E374="delivered",$E374="topped_up",$E374="collected"),$D374=""),"office needed; ","")&amp;IF(AND($E374&lt;&gt;"correction",N($G374)&lt;=0),"qty must be above 0; ","")&amp;IF(AND($E374="received",OR($I374="",$H374="")),"log lot and best-by; ","")&amp;IF(AND($P374="N",SUMIFS(inventory!$G$2:$G$801,inventory!$C$2:$C$801,$C374,inventory!$H$2:$H$801,$H374,inventory!$E$2:$E$801,"rejected")&lt;N($G374)),"UNDER "&amp;config!$B$19&amp;" DAYS LEFT ON THE DROP DAY: reject these units; ","")&amp;IF(AND($E374="delivered",COUNTIF(inventory!$R$2:$R$801,$R374)&gt;1),"two delivered rows for this office: use one; ","")&amp;IF(AND($E374="delivered",$J374=""),"who counted?; ",""))</f>
        <v/>
      </c>
      <c r="R374" s="25">
        <f>IF($C374="","",$C374&amp;"|"&amp;$D374&amp;"|"&amp;$E374)</f>
        <v/>
      </c>
    </row>
    <row r="375">
      <c r="A375" s="9" t="n"/>
      <c r="B375" s="33" t="n"/>
      <c r="I375" s="9" t="n"/>
      <c r="L375" s="26">
        <f>IF($C375="","",IFERROR(IF(INDEX(campaigns!$BG$2:$BG$51,MATCH($C375,campaigns!$A$2:$A$51,0))="","",INDEX(campaigns!$BG$2:$BG$51,MATCH($C375,campaigns!$A$2:$A$51,0))),""))</f>
        <v/>
      </c>
      <c r="M375" s="25">
        <f>IF($C375="","",IF(OR($E375="received"),N($G375),IF(OR($E375="rejected",$E375="delivered",$E375="topped_up"),-N($G375),IF(AND(OR($E375="returned_to_brand",$E375="given_to_roster_office",$E375="released_to_office",$E375="disposed"),IF($F375="","reserve",$F375)="reserve"),-N($G375),IF(AND($E375="correction",IF($F375="","reserve",$F375)="reserve"),N($G375),0)))))</f>
        <v/>
      </c>
      <c r="N375" s="25">
        <f>IF($C375="","",IF($E375="rejected",N($G375),IF(AND(OR($E375="returned_to_brand",$E375="given_to_roster_office",$E375="released_to_office",$E375="disposed"),IF($F375="","reserve",$F375)="rejected"),-N($G375),IF(AND($E375="correction",IF($F375="","reserve",$F375)="rejected"),N($G375),0))))</f>
        <v/>
      </c>
      <c r="O375" s="25">
        <f>IF($C375="","",IF($E375="collected",N($G375),IF(AND(OR($E375="returned_to_brand",$E375="given_to_roster_office",$E375="released_to_office",$E375="disposed"),IF($F375="","reserve",$F375)="leftover"),-N($G375),IF(AND($E375="correction",IF($F375="","reserve",$F375)="leftover"),N($G375),0))))</f>
        <v/>
      </c>
      <c r="P375" s="25">
        <f>IF(OR($E375&lt;&gt;"received",$I375="",$L375=""),"",IF($I375&gt;=$L375+config!$B$19,"Y","N"))</f>
        <v/>
      </c>
      <c r="Q375" s="25">
        <f>IF($C375="","",IF(COUNTIF(campaigns!$A$2:$A$51,$C375)=0,"campaign_id not on campaigns; ",IF(AND($D375&lt;&gt;"",COUNTIFS(approvals!$A$2:$A$251,$C375,approvals!$B$2:$B$251,$D375)=0),"office not on this campaign (approvals tab); ",""))&amp;IF(AND(OR($E375="delivered",$E375="topped_up",$E375="collected"),$D375=""),"office needed; ","")&amp;IF(AND($E375&lt;&gt;"correction",N($G375)&lt;=0),"qty must be above 0; ","")&amp;IF(AND($E375="received",OR($I375="",$H375="")),"log lot and best-by; ","")&amp;IF(AND($P375="N",SUMIFS(inventory!$G$2:$G$801,inventory!$C$2:$C$801,$C375,inventory!$H$2:$H$801,$H375,inventory!$E$2:$E$801,"rejected")&lt;N($G375)),"UNDER "&amp;config!$B$19&amp;" DAYS LEFT ON THE DROP DAY: reject these units; ","")&amp;IF(AND($E375="delivered",COUNTIF(inventory!$R$2:$R$801,$R375)&gt;1),"two delivered rows for this office: use one; ","")&amp;IF(AND($E375="delivered",$J375=""),"who counted?; ",""))</f>
        <v/>
      </c>
      <c r="R375" s="25">
        <f>IF($C375="","",$C375&amp;"|"&amp;$D375&amp;"|"&amp;$E375)</f>
        <v/>
      </c>
    </row>
    <row r="376">
      <c r="A376" s="9" t="n"/>
      <c r="B376" s="33" t="n"/>
      <c r="I376" s="9" t="n"/>
      <c r="L376" s="26">
        <f>IF($C376="","",IFERROR(IF(INDEX(campaigns!$BG$2:$BG$51,MATCH($C376,campaigns!$A$2:$A$51,0))="","",INDEX(campaigns!$BG$2:$BG$51,MATCH($C376,campaigns!$A$2:$A$51,0))),""))</f>
        <v/>
      </c>
      <c r="M376" s="25">
        <f>IF($C376="","",IF(OR($E376="received"),N($G376),IF(OR($E376="rejected",$E376="delivered",$E376="topped_up"),-N($G376),IF(AND(OR($E376="returned_to_brand",$E376="given_to_roster_office",$E376="released_to_office",$E376="disposed"),IF($F376="","reserve",$F376)="reserve"),-N($G376),IF(AND($E376="correction",IF($F376="","reserve",$F376)="reserve"),N($G376),0)))))</f>
        <v/>
      </c>
      <c r="N376" s="25">
        <f>IF($C376="","",IF($E376="rejected",N($G376),IF(AND(OR($E376="returned_to_brand",$E376="given_to_roster_office",$E376="released_to_office",$E376="disposed"),IF($F376="","reserve",$F376)="rejected"),-N($G376),IF(AND($E376="correction",IF($F376="","reserve",$F376)="rejected"),N($G376),0))))</f>
        <v/>
      </c>
      <c r="O376" s="25">
        <f>IF($C376="","",IF($E376="collected",N($G376),IF(AND(OR($E376="returned_to_brand",$E376="given_to_roster_office",$E376="released_to_office",$E376="disposed"),IF($F376="","reserve",$F376)="leftover"),-N($G376),IF(AND($E376="correction",IF($F376="","reserve",$F376)="leftover"),N($G376),0))))</f>
        <v/>
      </c>
      <c r="P376" s="25">
        <f>IF(OR($E376&lt;&gt;"received",$I376="",$L376=""),"",IF($I376&gt;=$L376+config!$B$19,"Y","N"))</f>
        <v/>
      </c>
      <c r="Q376" s="25">
        <f>IF($C376="","",IF(COUNTIF(campaigns!$A$2:$A$51,$C376)=0,"campaign_id not on campaigns; ",IF(AND($D376&lt;&gt;"",COUNTIFS(approvals!$A$2:$A$251,$C376,approvals!$B$2:$B$251,$D376)=0),"office not on this campaign (approvals tab); ",""))&amp;IF(AND(OR($E376="delivered",$E376="topped_up",$E376="collected"),$D376=""),"office needed; ","")&amp;IF(AND($E376&lt;&gt;"correction",N($G376)&lt;=0),"qty must be above 0; ","")&amp;IF(AND($E376="received",OR($I376="",$H376="")),"log lot and best-by; ","")&amp;IF(AND($P376="N",SUMIFS(inventory!$G$2:$G$801,inventory!$C$2:$C$801,$C376,inventory!$H$2:$H$801,$H376,inventory!$E$2:$E$801,"rejected")&lt;N($G376)),"UNDER "&amp;config!$B$19&amp;" DAYS LEFT ON THE DROP DAY: reject these units; ","")&amp;IF(AND($E376="delivered",COUNTIF(inventory!$R$2:$R$801,$R376)&gt;1),"two delivered rows for this office: use one; ","")&amp;IF(AND($E376="delivered",$J376=""),"who counted?; ",""))</f>
        <v/>
      </c>
      <c r="R376" s="25">
        <f>IF($C376="","",$C376&amp;"|"&amp;$D376&amp;"|"&amp;$E376)</f>
        <v/>
      </c>
    </row>
    <row r="377">
      <c r="A377" s="9" t="n"/>
      <c r="B377" s="33" t="n"/>
      <c r="I377" s="9" t="n"/>
      <c r="L377" s="26">
        <f>IF($C377="","",IFERROR(IF(INDEX(campaigns!$BG$2:$BG$51,MATCH($C377,campaigns!$A$2:$A$51,0))="","",INDEX(campaigns!$BG$2:$BG$51,MATCH($C377,campaigns!$A$2:$A$51,0))),""))</f>
        <v/>
      </c>
      <c r="M377" s="25">
        <f>IF($C377="","",IF(OR($E377="received"),N($G377),IF(OR($E377="rejected",$E377="delivered",$E377="topped_up"),-N($G377),IF(AND(OR($E377="returned_to_brand",$E377="given_to_roster_office",$E377="released_to_office",$E377="disposed"),IF($F377="","reserve",$F377)="reserve"),-N($G377),IF(AND($E377="correction",IF($F377="","reserve",$F377)="reserve"),N($G377),0)))))</f>
        <v/>
      </c>
      <c r="N377" s="25">
        <f>IF($C377="","",IF($E377="rejected",N($G377),IF(AND(OR($E377="returned_to_brand",$E377="given_to_roster_office",$E377="released_to_office",$E377="disposed"),IF($F377="","reserve",$F377)="rejected"),-N($G377),IF(AND($E377="correction",IF($F377="","reserve",$F377)="rejected"),N($G377),0))))</f>
        <v/>
      </c>
      <c r="O377" s="25">
        <f>IF($C377="","",IF($E377="collected",N($G377),IF(AND(OR($E377="returned_to_brand",$E377="given_to_roster_office",$E377="released_to_office",$E377="disposed"),IF($F377="","reserve",$F377)="leftover"),-N($G377),IF(AND($E377="correction",IF($F377="","reserve",$F377)="leftover"),N($G377),0))))</f>
        <v/>
      </c>
      <c r="P377" s="25">
        <f>IF(OR($E377&lt;&gt;"received",$I377="",$L377=""),"",IF($I377&gt;=$L377+config!$B$19,"Y","N"))</f>
        <v/>
      </c>
      <c r="Q377" s="25">
        <f>IF($C377="","",IF(COUNTIF(campaigns!$A$2:$A$51,$C377)=0,"campaign_id not on campaigns; ",IF(AND($D377&lt;&gt;"",COUNTIFS(approvals!$A$2:$A$251,$C377,approvals!$B$2:$B$251,$D377)=0),"office not on this campaign (approvals tab); ",""))&amp;IF(AND(OR($E377="delivered",$E377="topped_up",$E377="collected"),$D377=""),"office needed; ","")&amp;IF(AND($E377&lt;&gt;"correction",N($G377)&lt;=0),"qty must be above 0; ","")&amp;IF(AND($E377="received",OR($I377="",$H377="")),"log lot and best-by; ","")&amp;IF(AND($P377="N",SUMIFS(inventory!$G$2:$G$801,inventory!$C$2:$C$801,$C377,inventory!$H$2:$H$801,$H377,inventory!$E$2:$E$801,"rejected")&lt;N($G377)),"UNDER "&amp;config!$B$19&amp;" DAYS LEFT ON THE DROP DAY: reject these units; ","")&amp;IF(AND($E377="delivered",COUNTIF(inventory!$R$2:$R$801,$R377)&gt;1),"two delivered rows for this office: use one; ","")&amp;IF(AND($E377="delivered",$J377=""),"who counted?; ",""))</f>
        <v/>
      </c>
      <c r="R377" s="25">
        <f>IF($C377="","",$C377&amp;"|"&amp;$D377&amp;"|"&amp;$E377)</f>
        <v/>
      </c>
    </row>
    <row r="378">
      <c r="A378" s="9" t="n"/>
      <c r="B378" s="33" t="n"/>
      <c r="I378" s="9" t="n"/>
      <c r="L378" s="26">
        <f>IF($C378="","",IFERROR(IF(INDEX(campaigns!$BG$2:$BG$51,MATCH($C378,campaigns!$A$2:$A$51,0))="","",INDEX(campaigns!$BG$2:$BG$51,MATCH($C378,campaigns!$A$2:$A$51,0))),""))</f>
        <v/>
      </c>
      <c r="M378" s="25">
        <f>IF($C378="","",IF(OR($E378="received"),N($G378),IF(OR($E378="rejected",$E378="delivered",$E378="topped_up"),-N($G378),IF(AND(OR($E378="returned_to_brand",$E378="given_to_roster_office",$E378="released_to_office",$E378="disposed"),IF($F378="","reserve",$F378)="reserve"),-N($G378),IF(AND($E378="correction",IF($F378="","reserve",$F378)="reserve"),N($G378),0)))))</f>
        <v/>
      </c>
      <c r="N378" s="25">
        <f>IF($C378="","",IF($E378="rejected",N($G378),IF(AND(OR($E378="returned_to_brand",$E378="given_to_roster_office",$E378="released_to_office",$E378="disposed"),IF($F378="","reserve",$F378)="rejected"),-N($G378),IF(AND($E378="correction",IF($F378="","reserve",$F378)="rejected"),N($G378),0))))</f>
        <v/>
      </c>
      <c r="O378" s="25">
        <f>IF($C378="","",IF($E378="collected",N($G378),IF(AND(OR($E378="returned_to_brand",$E378="given_to_roster_office",$E378="released_to_office",$E378="disposed"),IF($F378="","reserve",$F378)="leftover"),-N($G378),IF(AND($E378="correction",IF($F378="","reserve",$F378)="leftover"),N($G378),0))))</f>
        <v/>
      </c>
      <c r="P378" s="25">
        <f>IF(OR($E378&lt;&gt;"received",$I378="",$L378=""),"",IF($I378&gt;=$L378+config!$B$19,"Y","N"))</f>
        <v/>
      </c>
      <c r="Q378" s="25">
        <f>IF($C378="","",IF(COUNTIF(campaigns!$A$2:$A$51,$C378)=0,"campaign_id not on campaigns; ",IF(AND($D378&lt;&gt;"",COUNTIFS(approvals!$A$2:$A$251,$C378,approvals!$B$2:$B$251,$D378)=0),"office not on this campaign (approvals tab); ",""))&amp;IF(AND(OR($E378="delivered",$E378="topped_up",$E378="collected"),$D378=""),"office needed; ","")&amp;IF(AND($E378&lt;&gt;"correction",N($G378)&lt;=0),"qty must be above 0; ","")&amp;IF(AND($E378="received",OR($I378="",$H378="")),"log lot and best-by; ","")&amp;IF(AND($P378="N",SUMIFS(inventory!$G$2:$G$801,inventory!$C$2:$C$801,$C378,inventory!$H$2:$H$801,$H378,inventory!$E$2:$E$801,"rejected")&lt;N($G378)),"UNDER "&amp;config!$B$19&amp;" DAYS LEFT ON THE DROP DAY: reject these units; ","")&amp;IF(AND($E378="delivered",COUNTIF(inventory!$R$2:$R$801,$R378)&gt;1),"two delivered rows for this office: use one; ","")&amp;IF(AND($E378="delivered",$J378=""),"who counted?; ",""))</f>
        <v/>
      </c>
      <c r="R378" s="25">
        <f>IF($C378="","",$C378&amp;"|"&amp;$D378&amp;"|"&amp;$E378)</f>
        <v/>
      </c>
    </row>
    <row r="379">
      <c r="A379" s="9" t="n"/>
      <c r="B379" s="33" t="n"/>
      <c r="I379" s="9" t="n"/>
      <c r="L379" s="26">
        <f>IF($C379="","",IFERROR(IF(INDEX(campaigns!$BG$2:$BG$51,MATCH($C379,campaigns!$A$2:$A$51,0))="","",INDEX(campaigns!$BG$2:$BG$51,MATCH($C379,campaigns!$A$2:$A$51,0))),""))</f>
        <v/>
      </c>
      <c r="M379" s="25">
        <f>IF($C379="","",IF(OR($E379="received"),N($G379),IF(OR($E379="rejected",$E379="delivered",$E379="topped_up"),-N($G379),IF(AND(OR($E379="returned_to_brand",$E379="given_to_roster_office",$E379="released_to_office",$E379="disposed"),IF($F379="","reserve",$F379)="reserve"),-N($G379),IF(AND($E379="correction",IF($F379="","reserve",$F379)="reserve"),N($G379),0)))))</f>
        <v/>
      </c>
      <c r="N379" s="25">
        <f>IF($C379="","",IF($E379="rejected",N($G379),IF(AND(OR($E379="returned_to_brand",$E379="given_to_roster_office",$E379="released_to_office",$E379="disposed"),IF($F379="","reserve",$F379)="rejected"),-N($G379),IF(AND($E379="correction",IF($F379="","reserve",$F379)="rejected"),N($G379),0))))</f>
        <v/>
      </c>
      <c r="O379" s="25">
        <f>IF($C379="","",IF($E379="collected",N($G379),IF(AND(OR($E379="returned_to_brand",$E379="given_to_roster_office",$E379="released_to_office",$E379="disposed"),IF($F379="","reserve",$F379)="leftover"),-N($G379),IF(AND($E379="correction",IF($F379="","reserve",$F379)="leftover"),N($G379),0))))</f>
        <v/>
      </c>
      <c r="P379" s="25">
        <f>IF(OR($E379&lt;&gt;"received",$I379="",$L379=""),"",IF($I379&gt;=$L379+config!$B$19,"Y","N"))</f>
        <v/>
      </c>
      <c r="Q379" s="25">
        <f>IF($C379="","",IF(COUNTIF(campaigns!$A$2:$A$51,$C379)=0,"campaign_id not on campaigns; ",IF(AND($D379&lt;&gt;"",COUNTIFS(approvals!$A$2:$A$251,$C379,approvals!$B$2:$B$251,$D379)=0),"office not on this campaign (approvals tab); ",""))&amp;IF(AND(OR($E379="delivered",$E379="topped_up",$E379="collected"),$D379=""),"office needed; ","")&amp;IF(AND($E379&lt;&gt;"correction",N($G379)&lt;=0),"qty must be above 0; ","")&amp;IF(AND($E379="received",OR($I379="",$H379="")),"log lot and best-by; ","")&amp;IF(AND($P379="N",SUMIFS(inventory!$G$2:$G$801,inventory!$C$2:$C$801,$C379,inventory!$H$2:$H$801,$H379,inventory!$E$2:$E$801,"rejected")&lt;N($G379)),"UNDER "&amp;config!$B$19&amp;" DAYS LEFT ON THE DROP DAY: reject these units; ","")&amp;IF(AND($E379="delivered",COUNTIF(inventory!$R$2:$R$801,$R379)&gt;1),"two delivered rows for this office: use one; ","")&amp;IF(AND($E379="delivered",$J379=""),"who counted?; ",""))</f>
        <v/>
      </c>
      <c r="R379" s="25">
        <f>IF($C379="","",$C379&amp;"|"&amp;$D379&amp;"|"&amp;$E379)</f>
        <v/>
      </c>
    </row>
    <row r="380">
      <c r="A380" s="9" t="n"/>
      <c r="B380" s="33" t="n"/>
      <c r="I380" s="9" t="n"/>
      <c r="L380" s="26">
        <f>IF($C380="","",IFERROR(IF(INDEX(campaigns!$BG$2:$BG$51,MATCH($C380,campaigns!$A$2:$A$51,0))="","",INDEX(campaigns!$BG$2:$BG$51,MATCH($C380,campaigns!$A$2:$A$51,0))),""))</f>
        <v/>
      </c>
      <c r="M380" s="25">
        <f>IF($C380="","",IF(OR($E380="received"),N($G380),IF(OR($E380="rejected",$E380="delivered",$E380="topped_up"),-N($G380),IF(AND(OR($E380="returned_to_brand",$E380="given_to_roster_office",$E380="released_to_office",$E380="disposed"),IF($F380="","reserve",$F380)="reserve"),-N($G380),IF(AND($E380="correction",IF($F380="","reserve",$F380)="reserve"),N($G380),0)))))</f>
        <v/>
      </c>
      <c r="N380" s="25">
        <f>IF($C380="","",IF($E380="rejected",N($G380),IF(AND(OR($E380="returned_to_brand",$E380="given_to_roster_office",$E380="released_to_office",$E380="disposed"),IF($F380="","reserve",$F380)="rejected"),-N($G380),IF(AND($E380="correction",IF($F380="","reserve",$F380)="rejected"),N($G380),0))))</f>
        <v/>
      </c>
      <c r="O380" s="25">
        <f>IF($C380="","",IF($E380="collected",N($G380),IF(AND(OR($E380="returned_to_brand",$E380="given_to_roster_office",$E380="released_to_office",$E380="disposed"),IF($F380="","reserve",$F380)="leftover"),-N($G380),IF(AND($E380="correction",IF($F380="","reserve",$F380)="leftover"),N($G380),0))))</f>
        <v/>
      </c>
      <c r="P380" s="25">
        <f>IF(OR($E380&lt;&gt;"received",$I380="",$L380=""),"",IF($I380&gt;=$L380+config!$B$19,"Y","N"))</f>
        <v/>
      </c>
      <c r="Q380" s="25">
        <f>IF($C380="","",IF(COUNTIF(campaigns!$A$2:$A$51,$C380)=0,"campaign_id not on campaigns; ",IF(AND($D380&lt;&gt;"",COUNTIFS(approvals!$A$2:$A$251,$C380,approvals!$B$2:$B$251,$D380)=0),"office not on this campaign (approvals tab); ",""))&amp;IF(AND(OR($E380="delivered",$E380="topped_up",$E380="collected"),$D380=""),"office needed; ","")&amp;IF(AND($E380&lt;&gt;"correction",N($G380)&lt;=0),"qty must be above 0; ","")&amp;IF(AND($E380="received",OR($I380="",$H380="")),"log lot and best-by; ","")&amp;IF(AND($P380="N",SUMIFS(inventory!$G$2:$G$801,inventory!$C$2:$C$801,$C380,inventory!$H$2:$H$801,$H380,inventory!$E$2:$E$801,"rejected")&lt;N($G380)),"UNDER "&amp;config!$B$19&amp;" DAYS LEFT ON THE DROP DAY: reject these units; ","")&amp;IF(AND($E380="delivered",COUNTIF(inventory!$R$2:$R$801,$R380)&gt;1),"two delivered rows for this office: use one; ","")&amp;IF(AND($E380="delivered",$J380=""),"who counted?; ",""))</f>
        <v/>
      </c>
      <c r="R380" s="25">
        <f>IF($C380="","",$C380&amp;"|"&amp;$D380&amp;"|"&amp;$E380)</f>
        <v/>
      </c>
    </row>
    <row r="381">
      <c r="A381" s="9" t="n"/>
      <c r="B381" s="33" t="n"/>
      <c r="I381" s="9" t="n"/>
      <c r="L381" s="26">
        <f>IF($C381="","",IFERROR(IF(INDEX(campaigns!$BG$2:$BG$51,MATCH($C381,campaigns!$A$2:$A$51,0))="","",INDEX(campaigns!$BG$2:$BG$51,MATCH($C381,campaigns!$A$2:$A$51,0))),""))</f>
        <v/>
      </c>
      <c r="M381" s="25">
        <f>IF($C381="","",IF(OR($E381="received"),N($G381),IF(OR($E381="rejected",$E381="delivered",$E381="topped_up"),-N($G381),IF(AND(OR($E381="returned_to_brand",$E381="given_to_roster_office",$E381="released_to_office",$E381="disposed"),IF($F381="","reserve",$F381)="reserve"),-N($G381),IF(AND($E381="correction",IF($F381="","reserve",$F381)="reserve"),N($G381),0)))))</f>
        <v/>
      </c>
      <c r="N381" s="25">
        <f>IF($C381="","",IF($E381="rejected",N($G381),IF(AND(OR($E381="returned_to_brand",$E381="given_to_roster_office",$E381="released_to_office",$E381="disposed"),IF($F381="","reserve",$F381)="rejected"),-N($G381),IF(AND($E381="correction",IF($F381="","reserve",$F381)="rejected"),N($G381),0))))</f>
        <v/>
      </c>
      <c r="O381" s="25">
        <f>IF($C381="","",IF($E381="collected",N($G381),IF(AND(OR($E381="returned_to_brand",$E381="given_to_roster_office",$E381="released_to_office",$E381="disposed"),IF($F381="","reserve",$F381)="leftover"),-N($G381),IF(AND($E381="correction",IF($F381="","reserve",$F381)="leftover"),N($G381),0))))</f>
        <v/>
      </c>
      <c r="P381" s="25">
        <f>IF(OR($E381&lt;&gt;"received",$I381="",$L381=""),"",IF($I381&gt;=$L381+config!$B$19,"Y","N"))</f>
        <v/>
      </c>
      <c r="Q381" s="25">
        <f>IF($C381="","",IF(COUNTIF(campaigns!$A$2:$A$51,$C381)=0,"campaign_id not on campaigns; ",IF(AND($D381&lt;&gt;"",COUNTIFS(approvals!$A$2:$A$251,$C381,approvals!$B$2:$B$251,$D381)=0),"office not on this campaign (approvals tab); ",""))&amp;IF(AND(OR($E381="delivered",$E381="topped_up",$E381="collected"),$D381=""),"office needed; ","")&amp;IF(AND($E381&lt;&gt;"correction",N($G381)&lt;=0),"qty must be above 0; ","")&amp;IF(AND($E381="received",OR($I381="",$H381="")),"log lot and best-by; ","")&amp;IF(AND($P381="N",SUMIFS(inventory!$G$2:$G$801,inventory!$C$2:$C$801,$C381,inventory!$H$2:$H$801,$H381,inventory!$E$2:$E$801,"rejected")&lt;N($G381)),"UNDER "&amp;config!$B$19&amp;" DAYS LEFT ON THE DROP DAY: reject these units; ","")&amp;IF(AND($E381="delivered",COUNTIF(inventory!$R$2:$R$801,$R381)&gt;1),"two delivered rows for this office: use one; ","")&amp;IF(AND($E381="delivered",$J381=""),"who counted?; ",""))</f>
        <v/>
      </c>
      <c r="R381" s="25">
        <f>IF($C381="","",$C381&amp;"|"&amp;$D381&amp;"|"&amp;$E381)</f>
        <v/>
      </c>
    </row>
    <row r="382">
      <c r="A382" s="9" t="n"/>
      <c r="B382" s="33" t="n"/>
      <c r="I382" s="9" t="n"/>
      <c r="L382" s="26">
        <f>IF($C382="","",IFERROR(IF(INDEX(campaigns!$BG$2:$BG$51,MATCH($C382,campaigns!$A$2:$A$51,0))="","",INDEX(campaigns!$BG$2:$BG$51,MATCH($C382,campaigns!$A$2:$A$51,0))),""))</f>
        <v/>
      </c>
      <c r="M382" s="25">
        <f>IF($C382="","",IF(OR($E382="received"),N($G382),IF(OR($E382="rejected",$E382="delivered",$E382="topped_up"),-N($G382),IF(AND(OR($E382="returned_to_brand",$E382="given_to_roster_office",$E382="released_to_office",$E382="disposed"),IF($F382="","reserve",$F382)="reserve"),-N($G382),IF(AND($E382="correction",IF($F382="","reserve",$F382)="reserve"),N($G382),0)))))</f>
        <v/>
      </c>
      <c r="N382" s="25">
        <f>IF($C382="","",IF($E382="rejected",N($G382),IF(AND(OR($E382="returned_to_brand",$E382="given_to_roster_office",$E382="released_to_office",$E382="disposed"),IF($F382="","reserve",$F382)="rejected"),-N($G382),IF(AND($E382="correction",IF($F382="","reserve",$F382)="rejected"),N($G382),0))))</f>
        <v/>
      </c>
      <c r="O382" s="25">
        <f>IF($C382="","",IF($E382="collected",N($G382),IF(AND(OR($E382="returned_to_brand",$E382="given_to_roster_office",$E382="released_to_office",$E382="disposed"),IF($F382="","reserve",$F382)="leftover"),-N($G382),IF(AND($E382="correction",IF($F382="","reserve",$F382)="leftover"),N($G382),0))))</f>
        <v/>
      </c>
      <c r="P382" s="25">
        <f>IF(OR($E382&lt;&gt;"received",$I382="",$L382=""),"",IF($I382&gt;=$L382+config!$B$19,"Y","N"))</f>
        <v/>
      </c>
      <c r="Q382" s="25">
        <f>IF($C382="","",IF(COUNTIF(campaigns!$A$2:$A$51,$C382)=0,"campaign_id not on campaigns; ",IF(AND($D382&lt;&gt;"",COUNTIFS(approvals!$A$2:$A$251,$C382,approvals!$B$2:$B$251,$D382)=0),"office not on this campaign (approvals tab); ",""))&amp;IF(AND(OR($E382="delivered",$E382="topped_up",$E382="collected"),$D382=""),"office needed; ","")&amp;IF(AND($E382&lt;&gt;"correction",N($G382)&lt;=0),"qty must be above 0; ","")&amp;IF(AND($E382="received",OR($I382="",$H382="")),"log lot and best-by; ","")&amp;IF(AND($P382="N",SUMIFS(inventory!$G$2:$G$801,inventory!$C$2:$C$801,$C382,inventory!$H$2:$H$801,$H382,inventory!$E$2:$E$801,"rejected")&lt;N($G382)),"UNDER "&amp;config!$B$19&amp;" DAYS LEFT ON THE DROP DAY: reject these units; ","")&amp;IF(AND($E382="delivered",COUNTIF(inventory!$R$2:$R$801,$R382)&gt;1),"two delivered rows for this office: use one; ","")&amp;IF(AND($E382="delivered",$J382=""),"who counted?; ",""))</f>
        <v/>
      </c>
      <c r="R382" s="25">
        <f>IF($C382="","",$C382&amp;"|"&amp;$D382&amp;"|"&amp;$E382)</f>
        <v/>
      </c>
    </row>
    <row r="383">
      <c r="A383" s="9" t="n"/>
      <c r="B383" s="33" t="n"/>
      <c r="I383" s="9" t="n"/>
      <c r="L383" s="26">
        <f>IF($C383="","",IFERROR(IF(INDEX(campaigns!$BG$2:$BG$51,MATCH($C383,campaigns!$A$2:$A$51,0))="","",INDEX(campaigns!$BG$2:$BG$51,MATCH($C383,campaigns!$A$2:$A$51,0))),""))</f>
        <v/>
      </c>
      <c r="M383" s="25">
        <f>IF($C383="","",IF(OR($E383="received"),N($G383),IF(OR($E383="rejected",$E383="delivered",$E383="topped_up"),-N($G383),IF(AND(OR($E383="returned_to_brand",$E383="given_to_roster_office",$E383="released_to_office",$E383="disposed"),IF($F383="","reserve",$F383)="reserve"),-N($G383),IF(AND($E383="correction",IF($F383="","reserve",$F383)="reserve"),N($G383),0)))))</f>
        <v/>
      </c>
      <c r="N383" s="25">
        <f>IF($C383="","",IF($E383="rejected",N($G383),IF(AND(OR($E383="returned_to_brand",$E383="given_to_roster_office",$E383="released_to_office",$E383="disposed"),IF($F383="","reserve",$F383)="rejected"),-N($G383),IF(AND($E383="correction",IF($F383="","reserve",$F383)="rejected"),N($G383),0))))</f>
        <v/>
      </c>
      <c r="O383" s="25">
        <f>IF($C383="","",IF($E383="collected",N($G383),IF(AND(OR($E383="returned_to_brand",$E383="given_to_roster_office",$E383="released_to_office",$E383="disposed"),IF($F383="","reserve",$F383)="leftover"),-N($G383),IF(AND($E383="correction",IF($F383="","reserve",$F383)="leftover"),N($G383),0))))</f>
        <v/>
      </c>
      <c r="P383" s="25">
        <f>IF(OR($E383&lt;&gt;"received",$I383="",$L383=""),"",IF($I383&gt;=$L383+config!$B$19,"Y","N"))</f>
        <v/>
      </c>
      <c r="Q383" s="25">
        <f>IF($C383="","",IF(COUNTIF(campaigns!$A$2:$A$51,$C383)=0,"campaign_id not on campaigns; ",IF(AND($D383&lt;&gt;"",COUNTIFS(approvals!$A$2:$A$251,$C383,approvals!$B$2:$B$251,$D383)=0),"office not on this campaign (approvals tab); ",""))&amp;IF(AND(OR($E383="delivered",$E383="topped_up",$E383="collected"),$D383=""),"office needed; ","")&amp;IF(AND($E383&lt;&gt;"correction",N($G383)&lt;=0),"qty must be above 0; ","")&amp;IF(AND($E383="received",OR($I383="",$H383="")),"log lot and best-by; ","")&amp;IF(AND($P383="N",SUMIFS(inventory!$G$2:$G$801,inventory!$C$2:$C$801,$C383,inventory!$H$2:$H$801,$H383,inventory!$E$2:$E$801,"rejected")&lt;N($G383)),"UNDER "&amp;config!$B$19&amp;" DAYS LEFT ON THE DROP DAY: reject these units; ","")&amp;IF(AND($E383="delivered",COUNTIF(inventory!$R$2:$R$801,$R383)&gt;1),"two delivered rows for this office: use one; ","")&amp;IF(AND($E383="delivered",$J383=""),"who counted?; ",""))</f>
        <v/>
      </c>
      <c r="R383" s="25">
        <f>IF($C383="","",$C383&amp;"|"&amp;$D383&amp;"|"&amp;$E383)</f>
        <v/>
      </c>
    </row>
    <row r="384">
      <c r="A384" s="9" t="n"/>
      <c r="B384" s="33" t="n"/>
      <c r="I384" s="9" t="n"/>
      <c r="L384" s="26">
        <f>IF($C384="","",IFERROR(IF(INDEX(campaigns!$BG$2:$BG$51,MATCH($C384,campaigns!$A$2:$A$51,0))="","",INDEX(campaigns!$BG$2:$BG$51,MATCH($C384,campaigns!$A$2:$A$51,0))),""))</f>
        <v/>
      </c>
      <c r="M384" s="25">
        <f>IF($C384="","",IF(OR($E384="received"),N($G384),IF(OR($E384="rejected",$E384="delivered",$E384="topped_up"),-N($G384),IF(AND(OR($E384="returned_to_brand",$E384="given_to_roster_office",$E384="released_to_office",$E384="disposed"),IF($F384="","reserve",$F384)="reserve"),-N($G384),IF(AND($E384="correction",IF($F384="","reserve",$F384)="reserve"),N($G384),0)))))</f>
        <v/>
      </c>
      <c r="N384" s="25">
        <f>IF($C384="","",IF($E384="rejected",N($G384),IF(AND(OR($E384="returned_to_brand",$E384="given_to_roster_office",$E384="released_to_office",$E384="disposed"),IF($F384="","reserve",$F384)="rejected"),-N($G384),IF(AND($E384="correction",IF($F384="","reserve",$F384)="rejected"),N($G384),0))))</f>
        <v/>
      </c>
      <c r="O384" s="25">
        <f>IF($C384="","",IF($E384="collected",N($G384),IF(AND(OR($E384="returned_to_brand",$E384="given_to_roster_office",$E384="released_to_office",$E384="disposed"),IF($F384="","reserve",$F384)="leftover"),-N($G384),IF(AND($E384="correction",IF($F384="","reserve",$F384)="leftover"),N($G384),0))))</f>
        <v/>
      </c>
      <c r="P384" s="25">
        <f>IF(OR($E384&lt;&gt;"received",$I384="",$L384=""),"",IF($I384&gt;=$L384+config!$B$19,"Y","N"))</f>
        <v/>
      </c>
      <c r="Q384" s="25">
        <f>IF($C384="","",IF(COUNTIF(campaigns!$A$2:$A$51,$C384)=0,"campaign_id not on campaigns; ",IF(AND($D384&lt;&gt;"",COUNTIFS(approvals!$A$2:$A$251,$C384,approvals!$B$2:$B$251,$D384)=0),"office not on this campaign (approvals tab); ",""))&amp;IF(AND(OR($E384="delivered",$E384="topped_up",$E384="collected"),$D384=""),"office needed; ","")&amp;IF(AND($E384&lt;&gt;"correction",N($G384)&lt;=0),"qty must be above 0; ","")&amp;IF(AND($E384="received",OR($I384="",$H384="")),"log lot and best-by; ","")&amp;IF(AND($P384="N",SUMIFS(inventory!$G$2:$G$801,inventory!$C$2:$C$801,$C384,inventory!$H$2:$H$801,$H384,inventory!$E$2:$E$801,"rejected")&lt;N($G384)),"UNDER "&amp;config!$B$19&amp;" DAYS LEFT ON THE DROP DAY: reject these units; ","")&amp;IF(AND($E384="delivered",COUNTIF(inventory!$R$2:$R$801,$R384)&gt;1),"two delivered rows for this office: use one; ","")&amp;IF(AND($E384="delivered",$J384=""),"who counted?; ",""))</f>
        <v/>
      </c>
      <c r="R384" s="25">
        <f>IF($C384="","",$C384&amp;"|"&amp;$D384&amp;"|"&amp;$E384)</f>
        <v/>
      </c>
    </row>
    <row r="385">
      <c r="A385" s="9" t="n"/>
      <c r="B385" s="33" t="n"/>
      <c r="I385" s="9" t="n"/>
      <c r="L385" s="26">
        <f>IF($C385="","",IFERROR(IF(INDEX(campaigns!$BG$2:$BG$51,MATCH($C385,campaigns!$A$2:$A$51,0))="","",INDEX(campaigns!$BG$2:$BG$51,MATCH($C385,campaigns!$A$2:$A$51,0))),""))</f>
        <v/>
      </c>
      <c r="M385" s="25">
        <f>IF($C385="","",IF(OR($E385="received"),N($G385),IF(OR($E385="rejected",$E385="delivered",$E385="topped_up"),-N($G385),IF(AND(OR($E385="returned_to_brand",$E385="given_to_roster_office",$E385="released_to_office",$E385="disposed"),IF($F385="","reserve",$F385)="reserve"),-N($G385),IF(AND($E385="correction",IF($F385="","reserve",$F385)="reserve"),N($G385),0)))))</f>
        <v/>
      </c>
      <c r="N385" s="25">
        <f>IF($C385="","",IF($E385="rejected",N($G385),IF(AND(OR($E385="returned_to_brand",$E385="given_to_roster_office",$E385="released_to_office",$E385="disposed"),IF($F385="","reserve",$F385)="rejected"),-N($G385),IF(AND($E385="correction",IF($F385="","reserve",$F385)="rejected"),N($G385),0))))</f>
        <v/>
      </c>
      <c r="O385" s="25">
        <f>IF($C385="","",IF($E385="collected",N($G385),IF(AND(OR($E385="returned_to_brand",$E385="given_to_roster_office",$E385="released_to_office",$E385="disposed"),IF($F385="","reserve",$F385)="leftover"),-N($G385),IF(AND($E385="correction",IF($F385="","reserve",$F385)="leftover"),N($G385),0))))</f>
        <v/>
      </c>
      <c r="P385" s="25">
        <f>IF(OR($E385&lt;&gt;"received",$I385="",$L385=""),"",IF($I385&gt;=$L385+config!$B$19,"Y","N"))</f>
        <v/>
      </c>
      <c r="Q385" s="25">
        <f>IF($C385="","",IF(COUNTIF(campaigns!$A$2:$A$51,$C385)=0,"campaign_id not on campaigns; ",IF(AND($D385&lt;&gt;"",COUNTIFS(approvals!$A$2:$A$251,$C385,approvals!$B$2:$B$251,$D385)=0),"office not on this campaign (approvals tab); ",""))&amp;IF(AND(OR($E385="delivered",$E385="topped_up",$E385="collected"),$D385=""),"office needed; ","")&amp;IF(AND($E385&lt;&gt;"correction",N($G385)&lt;=0),"qty must be above 0; ","")&amp;IF(AND($E385="received",OR($I385="",$H385="")),"log lot and best-by; ","")&amp;IF(AND($P385="N",SUMIFS(inventory!$G$2:$G$801,inventory!$C$2:$C$801,$C385,inventory!$H$2:$H$801,$H385,inventory!$E$2:$E$801,"rejected")&lt;N($G385)),"UNDER "&amp;config!$B$19&amp;" DAYS LEFT ON THE DROP DAY: reject these units; ","")&amp;IF(AND($E385="delivered",COUNTIF(inventory!$R$2:$R$801,$R385)&gt;1),"two delivered rows for this office: use one; ","")&amp;IF(AND($E385="delivered",$J385=""),"who counted?; ",""))</f>
        <v/>
      </c>
      <c r="R385" s="25">
        <f>IF($C385="","",$C385&amp;"|"&amp;$D385&amp;"|"&amp;$E385)</f>
        <v/>
      </c>
    </row>
    <row r="386">
      <c r="A386" s="9" t="n"/>
      <c r="B386" s="33" t="n"/>
      <c r="I386" s="9" t="n"/>
      <c r="L386" s="26">
        <f>IF($C386="","",IFERROR(IF(INDEX(campaigns!$BG$2:$BG$51,MATCH($C386,campaigns!$A$2:$A$51,0))="","",INDEX(campaigns!$BG$2:$BG$51,MATCH($C386,campaigns!$A$2:$A$51,0))),""))</f>
        <v/>
      </c>
      <c r="M386" s="25">
        <f>IF($C386="","",IF(OR($E386="received"),N($G386),IF(OR($E386="rejected",$E386="delivered",$E386="topped_up"),-N($G386),IF(AND(OR($E386="returned_to_brand",$E386="given_to_roster_office",$E386="released_to_office",$E386="disposed"),IF($F386="","reserve",$F386)="reserve"),-N($G386),IF(AND($E386="correction",IF($F386="","reserve",$F386)="reserve"),N($G386),0)))))</f>
        <v/>
      </c>
      <c r="N386" s="25">
        <f>IF($C386="","",IF($E386="rejected",N($G386),IF(AND(OR($E386="returned_to_brand",$E386="given_to_roster_office",$E386="released_to_office",$E386="disposed"),IF($F386="","reserve",$F386)="rejected"),-N($G386),IF(AND($E386="correction",IF($F386="","reserve",$F386)="rejected"),N($G386),0))))</f>
        <v/>
      </c>
      <c r="O386" s="25">
        <f>IF($C386="","",IF($E386="collected",N($G386),IF(AND(OR($E386="returned_to_brand",$E386="given_to_roster_office",$E386="released_to_office",$E386="disposed"),IF($F386="","reserve",$F386)="leftover"),-N($G386),IF(AND($E386="correction",IF($F386="","reserve",$F386)="leftover"),N($G386),0))))</f>
        <v/>
      </c>
      <c r="P386" s="25">
        <f>IF(OR($E386&lt;&gt;"received",$I386="",$L386=""),"",IF($I386&gt;=$L386+config!$B$19,"Y","N"))</f>
        <v/>
      </c>
      <c r="Q386" s="25">
        <f>IF($C386="","",IF(COUNTIF(campaigns!$A$2:$A$51,$C386)=0,"campaign_id not on campaigns; ",IF(AND($D386&lt;&gt;"",COUNTIFS(approvals!$A$2:$A$251,$C386,approvals!$B$2:$B$251,$D386)=0),"office not on this campaign (approvals tab); ",""))&amp;IF(AND(OR($E386="delivered",$E386="topped_up",$E386="collected"),$D386=""),"office needed; ","")&amp;IF(AND($E386&lt;&gt;"correction",N($G386)&lt;=0),"qty must be above 0; ","")&amp;IF(AND($E386="received",OR($I386="",$H386="")),"log lot and best-by; ","")&amp;IF(AND($P386="N",SUMIFS(inventory!$G$2:$G$801,inventory!$C$2:$C$801,$C386,inventory!$H$2:$H$801,$H386,inventory!$E$2:$E$801,"rejected")&lt;N($G386)),"UNDER "&amp;config!$B$19&amp;" DAYS LEFT ON THE DROP DAY: reject these units; ","")&amp;IF(AND($E386="delivered",COUNTIF(inventory!$R$2:$R$801,$R386)&gt;1),"two delivered rows for this office: use one; ","")&amp;IF(AND($E386="delivered",$J386=""),"who counted?; ",""))</f>
        <v/>
      </c>
      <c r="R386" s="25">
        <f>IF($C386="","",$C386&amp;"|"&amp;$D386&amp;"|"&amp;$E386)</f>
        <v/>
      </c>
    </row>
    <row r="387">
      <c r="A387" s="9" t="n"/>
      <c r="B387" s="33" t="n"/>
      <c r="I387" s="9" t="n"/>
      <c r="L387" s="26">
        <f>IF($C387="","",IFERROR(IF(INDEX(campaigns!$BG$2:$BG$51,MATCH($C387,campaigns!$A$2:$A$51,0))="","",INDEX(campaigns!$BG$2:$BG$51,MATCH($C387,campaigns!$A$2:$A$51,0))),""))</f>
        <v/>
      </c>
      <c r="M387" s="25">
        <f>IF($C387="","",IF(OR($E387="received"),N($G387),IF(OR($E387="rejected",$E387="delivered",$E387="topped_up"),-N($G387),IF(AND(OR($E387="returned_to_brand",$E387="given_to_roster_office",$E387="released_to_office",$E387="disposed"),IF($F387="","reserve",$F387)="reserve"),-N($G387),IF(AND($E387="correction",IF($F387="","reserve",$F387)="reserve"),N($G387),0)))))</f>
        <v/>
      </c>
      <c r="N387" s="25">
        <f>IF($C387="","",IF($E387="rejected",N($G387),IF(AND(OR($E387="returned_to_brand",$E387="given_to_roster_office",$E387="released_to_office",$E387="disposed"),IF($F387="","reserve",$F387)="rejected"),-N($G387),IF(AND($E387="correction",IF($F387="","reserve",$F387)="rejected"),N($G387),0))))</f>
        <v/>
      </c>
      <c r="O387" s="25">
        <f>IF($C387="","",IF($E387="collected",N($G387),IF(AND(OR($E387="returned_to_brand",$E387="given_to_roster_office",$E387="released_to_office",$E387="disposed"),IF($F387="","reserve",$F387)="leftover"),-N($G387),IF(AND($E387="correction",IF($F387="","reserve",$F387)="leftover"),N($G387),0))))</f>
        <v/>
      </c>
      <c r="P387" s="25">
        <f>IF(OR($E387&lt;&gt;"received",$I387="",$L387=""),"",IF($I387&gt;=$L387+config!$B$19,"Y","N"))</f>
        <v/>
      </c>
      <c r="Q387" s="25">
        <f>IF($C387="","",IF(COUNTIF(campaigns!$A$2:$A$51,$C387)=0,"campaign_id not on campaigns; ",IF(AND($D387&lt;&gt;"",COUNTIFS(approvals!$A$2:$A$251,$C387,approvals!$B$2:$B$251,$D387)=0),"office not on this campaign (approvals tab); ",""))&amp;IF(AND(OR($E387="delivered",$E387="topped_up",$E387="collected"),$D387=""),"office needed; ","")&amp;IF(AND($E387&lt;&gt;"correction",N($G387)&lt;=0),"qty must be above 0; ","")&amp;IF(AND($E387="received",OR($I387="",$H387="")),"log lot and best-by; ","")&amp;IF(AND($P387="N",SUMIFS(inventory!$G$2:$G$801,inventory!$C$2:$C$801,$C387,inventory!$H$2:$H$801,$H387,inventory!$E$2:$E$801,"rejected")&lt;N($G387)),"UNDER "&amp;config!$B$19&amp;" DAYS LEFT ON THE DROP DAY: reject these units; ","")&amp;IF(AND($E387="delivered",COUNTIF(inventory!$R$2:$R$801,$R387)&gt;1),"two delivered rows for this office: use one; ","")&amp;IF(AND($E387="delivered",$J387=""),"who counted?; ",""))</f>
        <v/>
      </c>
      <c r="R387" s="25">
        <f>IF($C387="","",$C387&amp;"|"&amp;$D387&amp;"|"&amp;$E387)</f>
        <v/>
      </c>
    </row>
    <row r="388">
      <c r="A388" s="9" t="n"/>
      <c r="B388" s="33" t="n"/>
      <c r="I388" s="9" t="n"/>
      <c r="L388" s="26">
        <f>IF($C388="","",IFERROR(IF(INDEX(campaigns!$BG$2:$BG$51,MATCH($C388,campaigns!$A$2:$A$51,0))="","",INDEX(campaigns!$BG$2:$BG$51,MATCH($C388,campaigns!$A$2:$A$51,0))),""))</f>
        <v/>
      </c>
      <c r="M388" s="25">
        <f>IF($C388="","",IF(OR($E388="received"),N($G388),IF(OR($E388="rejected",$E388="delivered",$E388="topped_up"),-N($G388),IF(AND(OR($E388="returned_to_brand",$E388="given_to_roster_office",$E388="released_to_office",$E388="disposed"),IF($F388="","reserve",$F388)="reserve"),-N($G388),IF(AND($E388="correction",IF($F388="","reserve",$F388)="reserve"),N($G388),0)))))</f>
        <v/>
      </c>
      <c r="N388" s="25">
        <f>IF($C388="","",IF($E388="rejected",N($G388),IF(AND(OR($E388="returned_to_brand",$E388="given_to_roster_office",$E388="released_to_office",$E388="disposed"),IF($F388="","reserve",$F388)="rejected"),-N($G388),IF(AND($E388="correction",IF($F388="","reserve",$F388)="rejected"),N($G388),0))))</f>
        <v/>
      </c>
      <c r="O388" s="25">
        <f>IF($C388="","",IF($E388="collected",N($G388),IF(AND(OR($E388="returned_to_brand",$E388="given_to_roster_office",$E388="released_to_office",$E388="disposed"),IF($F388="","reserve",$F388)="leftover"),-N($G388),IF(AND($E388="correction",IF($F388="","reserve",$F388)="leftover"),N($G388),0))))</f>
        <v/>
      </c>
      <c r="P388" s="25">
        <f>IF(OR($E388&lt;&gt;"received",$I388="",$L388=""),"",IF($I388&gt;=$L388+config!$B$19,"Y","N"))</f>
        <v/>
      </c>
      <c r="Q388" s="25">
        <f>IF($C388="","",IF(COUNTIF(campaigns!$A$2:$A$51,$C388)=0,"campaign_id not on campaigns; ",IF(AND($D388&lt;&gt;"",COUNTIFS(approvals!$A$2:$A$251,$C388,approvals!$B$2:$B$251,$D388)=0),"office not on this campaign (approvals tab); ",""))&amp;IF(AND(OR($E388="delivered",$E388="topped_up",$E388="collected"),$D388=""),"office needed; ","")&amp;IF(AND($E388&lt;&gt;"correction",N($G388)&lt;=0),"qty must be above 0; ","")&amp;IF(AND($E388="received",OR($I388="",$H388="")),"log lot and best-by; ","")&amp;IF(AND($P388="N",SUMIFS(inventory!$G$2:$G$801,inventory!$C$2:$C$801,$C388,inventory!$H$2:$H$801,$H388,inventory!$E$2:$E$801,"rejected")&lt;N($G388)),"UNDER "&amp;config!$B$19&amp;" DAYS LEFT ON THE DROP DAY: reject these units; ","")&amp;IF(AND($E388="delivered",COUNTIF(inventory!$R$2:$R$801,$R388)&gt;1),"two delivered rows for this office: use one; ","")&amp;IF(AND($E388="delivered",$J388=""),"who counted?; ",""))</f>
        <v/>
      </c>
      <c r="R388" s="25">
        <f>IF($C388="","",$C388&amp;"|"&amp;$D388&amp;"|"&amp;$E388)</f>
        <v/>
      </c>
    </row>
    <row r="389">
      <c r="A389" s="9" t="n"/>
      <c r="B389" s="33" t="n"/>
      <c r="I389" s="9" t="n"/>
      <c r="L389" s="26">
        <f>IF($C389="","",IFERROR(IF(INDEX(campaigns!$BG$2:$BG$51,MATCH($C389,campaigns!$A$2:$A$51,0))="","",INDEX(campaigns!$BG$2:$BG$51,MATCH($C389,campaigns!$A$2:$A$51,0))),""))</f>
        <v/>
      </c>
      <c r="M389" s="25">
        <f>IF($C389="","",IF(OR($E389="received"),N($G389),IF(OR($E389="rejected",$E389="delivered",$E389="topped_up"),-N($G389),IF(AND(OR($E389="returned_to_brand",$E389="given_to_roster_office",$E389="released_to_office",$E389="disposed"),IF($F389="","reserve",$F389)="reserve"),-N($G389),IF(AND($E389="correction",IF($F389="","reserve",$F389)="reserve"),N($G389),0)))))</f>
        <v/>
      </c>
      <c r="N389" s="25">
        <f>IF($C389="","",IF($E389="rejected",N($G389),IF(AND(OR($E389="returned_to_brand",$E389="given_to_roster_office",$E389="released_to_office",$E389="disposed"),IF($F389="","reserve",$F389)="rejected"),-N($G389),IF(AND($E389="correction",IF($F389="","reserve",$F389)="rejected"),N($G389),0))))</f>
        <v/>
      </c>
      <c r="O389" s="25">
        <f>IF($C389="","",IF($E389="collected",N($G389),IF(AND(OR($E389="returned_to_brand",$E389="given_to_roster_office",$E389="released_to_office",$E389="disposed"),IF($F389="","reserve",$F389)="leftover"),-N($G389),IF(AND($E389="correction",IF($F389="","reserve",$F389)="leftover"),N($G389),0))))</f>
        <v/>
      </c>
      <c r="P389" s="25">
        <f>IF(OR($E389&lt;&gt;"received",$I389="",$L389=""),"",IF($I389&gt;=$L389+config!$B$19,"Y","N"))</f>
        <v/>
      </c>
      <c r="Q389" s="25">
        <f>IF($C389="","",IF(COUNTIF(campaigns!$A$2:$A$51,$C389)=0,"campaign_id not on campaigns; ",IF(AND($D389&lt;&gt;"",COUNTIFS(approvals!$A$2:$A$251,$C389,approvals!$B$2:$B$251,$D389)=0),"office not on this campaign (approvals tab); ",""))&amp;IF(AND(OR($E389="delivered",$E389="topped_up",$E389="collected"),$D389=""),"office needed; ","")&amp;IF(AND($E389&lt;&gt;"correction",N($G389)&lt;=0),"qty must be above 0; ","")&amp;IF(AND($E389="received",OR($I389="",$H389="")),"log lot and best-by; ","")&amp;IF(AND($P389="N",SUMIFS(inventory!$G$2:$G$801,inventory!$C$2:$C$801,$C389,inventory!$H$2:$H$801,$H389,inventory!$E$2:$E$801,"rejected")&lt;N($G389)),"UNDER "&amp;config!$B$19&amp;" DAYS LEFT ON THE DROP DAY: reject these units; ","")&amp;IF(AND($E389="delivered",COUNTIF(inventory!$R$2:$R$801,$R389)&gt;1),"two delivered rows for this office: use one; ","")&amp;IF(AND($E389="delivered",$J389=""),"who counted?; ",""))</f>
        <v/>
      </c>
      <c r="R389" s="25">
        <f>IF($C389="","",$C389&amp;"|"&amp;$D389&amp;"|"&amp;$E389)</f>
        <v/>
      </c>
    </row>
    <row r="390">
      <c r="A390" s="9" t="n"/>
      <c r="B390" s="33" t="n"/>
      <c r="I390" s="9" t="n"/>
      <c r="L390" s="26">
        <f>IF($C390="","",IFERROR(IF(INDEX(campaigns!$BG$2:$BG$51,MATCH($C390,campaigns!$A$2:$A$51,0))="","",INDEX(campaigns!$BG$2:$BG$51,MATCH($C390,campaigns!$A$2:$A$51,0))),""))</f>
        <v/>
      </c>
      <c r="M390" s="25">
        <f>IF($C390="","",IF(OR($E390="received"),N($G390),IF(OR($E390="rejected",$E390="delivered",$E390="topped_up"),-N($G390),IF(AND(OR($E390="returned_to_brand",$E390="given_to_roster_office",$E390="released_to_office",$E390="disposed"),IF($F390="","reserve",$F390)="reserve"),-N($G390),IF(AND($E390="correction",IF($F390="","reserve",$F390)="reserve"),N($G390),0)))))</f>
        <v/>
      </c>
      <c r="N390" s="25">
        <f>IF($C390="","",IF($E390="rejected",N($G390),IF(AND(OR($E390="returned_to_brand",$E390="given_to_roster_office",$E390="released_to_office",$E390="disposed"),IF($F390="","reserve",$F390)="rejected"),-N($G390),IF(AND($E390="correction",IF($F390="","reserve",$F390)="rejected"),N($G390),0))))</f>
        <v/>
      </c>
      <c r="O390" s="25">
        <f>IF($C390="","",IF($E390="collected",N($G390),IF(AND(OR($E390="returned_to_brand",$E390="given_to_roster_office",$E390="released_to_office",$E390="disposed"),IF($F390="","reserve",$F390)="leftover"),-N($G390),IF(AND($E390="correction",IF($F390="","reserve",$F390)="leftover"),N($G390),0))))</f>
        <v/>
      </c>
      <c r="P390" s="25">
        <f>IF(OR($E390&lt;&gt;"received",$I390="",$L390=""),"",IF($I390&gt;=$L390+config!$B$19,"Y","N"))</f>
        <v/>
      </c>
      <c r="Q390" s="25">
        <f>IF($C390="","",IF(COUNTIF(campaigns!$A$2:$A$51,$C390)=0,"campaign_id not on campaigns; ",IF(AND($D390&lt;&gt;"",COUNTIFS(approvals!$A$2:$A$251,$C390,approvals!$B$2:$B$251,$D390)=0),"office not on this campaign (approvals tab); ",""))&amp;IF(AND(OR($E390="delivered",$E390="topped_up",$E390="collected"),$D390=""),"office needed; ","")&amp;IF(AND($E390&lt;&gt;"correction",N($G390)&lt;=0),"qty must be above 0; ","")&amp;IF(AND($E390="received",OR($I390="",$H390="")),"log lot and best-by; ","")&amp;IF(AND($P390="N",SUMIFS(inventory!$G$2:$G$801,inventory!$C$2:$C$801,$C390,inventory!$H$2:$H$801,$H390,inventory!$E$2:$E$801,"rejected")&lt;N($G390)),"UNDER "&amp;config!$B$19&amp;" DAYS LEFT ON THE DROP DAY: reject these units; ","")&amp;IF(AND($E390="delivered",COUNTIF(inventory!$R$2:$R$801,$R390)&gt;1),"two delivered rows for this office: use one; ","")&amp;IF(AND($E390="delivered",$J390=""),"who counted?; ",""))</f>
        <v/>
      </c>
      <c r="R390" s="25">
        <f>IF($C390="","",$C390&amp;"|"&amp;$D390&amp;"|"&amp;$E390)</f>
        <v/>
      </c>
    </row>
    <row r="391">
      <c r="A391" s="9" t="n"/>
      <c r="B391" s="33" t="n"/>
      <c r="I391" s="9" t="n"/>
      <c r="L391" s="26">
        <f>IF($C391="","",IFERROR(IF(INDEX(campaigns!$BG$2:$BG$51,MATCH($C391,campaigns!$A$2:$A$51,0))="","",INDEX(campaigns!$BG$2:$BG$51,MATCH($C391,campaigns!$A$2:$A$51,0))),""))</f>
        <v/>
      </c>
      <c r="M391" s="25">
        <f>IF($C391="","",IF(OR($E391="received"),N($G391),IF(OR($E391="rejected",$E391="delivered",$E391="topped_up"),-N($G391),IF(AND(OR($E391="returned_to_brand",$E391="given_to_roster_office",$E391="released_to_office",$E391="disposed"),IF($F391="","reserve",$F391)="reserve"),-N($G391),IF(AND($E391="correction",IF($F391="","reserve",$F391)="reserve"),N($G391),0)))))</f>
        <v/>
      </c>
      <c r="N391" s="25">
        <f>IF($C391="","",IF($E391="rejected",N($G391),IF(AND(OR($E391="returned_to_brand",$E391="given_to_roster_office",$E391="released_to_office",$E391="disposed"),IF($F391="","reserve",$F391)="rejected"),-N($G391),IF(AND($E391="correction",IF($F391="","reserve",$F391)="rejected"),N($G391),0))))</f>
        <v/>
      </c>
      <c r="O391" s="25">
        <f>IF($C391="","",IF($E391="collected",N($G391),IF(AND(OR($E391="returned_to_brand",$E391="given_to_roster_office",$E391="released_to_office",$E391="disposed"),IF($F391="","reserve",$F391)="leftover"),-N($G391),IF(AND($E391="correction",IF($F391="","reserve",$F391)="leftover"),N($G391),0))))</f>
        <v/>
      </c>
      <c r="P391" s="25">
        <f>IF(OR($E391&lt;&gt;"received",$I391="",$L391=""),"",IF($I391&gt;=$L391+config!$B$19,"Y","N"))</f>
        <v/>
      </c>
      <c r="Q391" s="25">
        <f>IF($C391="","",IF(COUNTIF(campaigns!$A$2:$A$51,$C391)=0,"campaign_id not on campaigns; ",IF(AND($D391&lt;&gt;"",COUNTIFS(approvals!$A$2:$A$251,$C391,approvals!$B$2:$B$251,$D391)=0),"office not on this campaign (approvals tab); ",""))&amp;IF(AND(OR($E391="delivered",$E391="topped_up",$E391="collected"),$D391=""),"office needed; ","")&amp;IF(AND($E391&lt;&gt;"correction",N($G391)&lt;=0),"qty must be above 0; ","")&amp;IF(AND($E391="received",OR($I391="",$H391="")),"log lot and best-by; ","")&amp;IF(AND($P391="N",SUMIFS(inventory!$G$2:$G$801,inventory!$C$2:$C$801,$C391,inventory!$H$2:$H$801,$H391,inventory!$E$2:$E$801,"rejected")&lt;N($G391)),"UNDER "&amp;config!$B$19&amp;" DAYS LEFT ON THE DROP DAY: reject these units; ","")&amp;IF(AND($E391="delivered",COUNTIF(inventory!$R$2:$R$801,$R391)&gt;1),"two delivered rows for this office: use one; ","")&amp;IF(AND($E391="delivered",$J391=""),"who counted?; ",""))</f>
        <v/>
      </c>
      <c r="R391" s="25">
        <f>IF($C391="","",$C391&amp;"|"&amp;$D391&amp;"|"&amp;$E391)</f>
        <v/>
      </c>
    </row>
    <row r="392">
      <c r="A392" s="9" t="n"/>
      <c r="B392" s="33" t="n"/>
      <c r="I392" s="9" t="n"/>
      <c r="L392" s="26">
        <f>IF($C392="","",IFERROR(IF(INDEX(campaigns!$BG$2:$BG$51,MATCH($C392,campaigns!$A$2:$A$51,0))="","",INDEX(campaigns!$BG$2:$BG$51,MATCH($C392,campaigns!$A$2:$A$51,0))),""))</f>
        <v/>
      </c>
      <c r="M392" s="25">
        <f>IF($C392="","",IF(OR($E392="received"),N($G392),IF(OR($E392="rejected",$E392="delivered",$E392="topped_up"),-N($G392),IF(AND(OR($E392="returned_to_brand",$E392="given_to_roster_office",$E392="released_to_office",$E392="disposed"),IF($F392="","reserve",$F392)="reserve"),-N($G392),IF(AND($E392="correction",IF($F392="","reserve",$F392)="reserve"),N($G392),0)))))</f>
        <v/>
      </c>
      <c r="N392" s="25">
        <f>IF($C392="","",IF($E392="rejected",N($G392),IF(AND(OR($E392="returned_to_brand",$E392="given_to_roster_office",$E392="released_to_office",$E392="disposed"),IF($F392="","reserve",$F392)="rejected"),-N($G392),IF(AND($E392="correction",IF($F392="","reserve",$F392)="rejected"),N($G392),0))))</f>
        <v/>
      </c>
      <c r="O392" s="25">
        <f>IF($C392="","",IF($E392="collected",N($G392),IF(AND(OR($E392="returned_to_brand",$E392="given_to_roster_office",$E392="released_to_office",$E392="disposed"),IF($F392="","reserve",$F392)="leftover"),-N($G392),IF(AND($E392="correction",IF($F392="","reserve",$F392)="leftover"),N($G392),0))))</f>
        <v/>
      </c>
      <c r="P392" s="25">
        <f>IF(OR($E392&lt;&gt;"received",$I392="",$L392=""),"",IF($I392&gt;=$L392+config!$B$19,"Y","N"))</f>
        <v/>
      </c>
      <c r="Q392" s="25">
        <f>IF($C392="","",IF(COUNTIF(campaigns!$A$2:$A$51,$C392)=0,"campaign_id not on campaigns; ",IF(AND($D392&lt;&gt;"",COUNTIFS(approvals!$A$2:$A$251,$C392,approvals!$B$2:$B$251,$D392)=0),"office not on this campaign (approvals tab); ",""))&amp;IF(AND(OR($E392="delivered",$E392="topped_up",$E392="collected"),$D392=""),"office needed; ","")&amp;IF(AND($E392&lt;&gt;"correction",N($G392)&lt;=0),"qty must be above 0; ","")&amp;IF(AND($E392="received",OR($I392="",$H392="")),"log lot and best-by; ","")&amp;IF(AND($P392="N",SUMIFS(inventory!$G$2:$G$801,inventory!$C$2:$C$801,$C392,inventory!$H$2:$H$801,$H392,inventory!$E$2:$E$801,"rejected")&lt;N($G392)),"UNDER "&amp;config!$B$19&amp;" DAYS LEFT ON THE DROP DAY: reject these units; ","")&amp;IF(AND($E392="delivered",COUNTIF(inventory!$R$2:$R$801,$R392)&gt;1),"two delivered rows for this office: use one; ","")&amp;IF(AND($E392="delivered",$J392=""),"who counted?; ",""))</f>
        <v/>
      </c>
      <c r="R392" s="25">
        <f>IF($C392="","",$C392&amp;"|"&amp;$D392&amp;"|"&amp;$E392)</f>
        <v/>
      </c>
    </row>
    <row r="393">
      <c r="A393" s="9" t="n"/>
      <c r="B393" s="33" t="n"/>
      <c r="I393" s="9" t="n"/>
      <c r="L393" s="26">
        <f>IF($C393="","",IFERROR(IF(INDEX(campaigns!$BG$2:$BG$51,MATCH($C393,campaigns!$A$2:$A$51,0))="","",INDEX(campaigns!$BG$2:$BG$51,MATCH($C393,campaigns!$A$2:$A$51,0))),""))</f>
        <v/>
      </c>
      <c r="M393" s="25">
        <f>IF($C393="","",IF(OR($E393="received"),N($G393),IF(OR($E393="rejected",$E393="delivered",$E393="topped_up"),-N($G393),IF(AND(OR($E393="returned_to_brand",$E393="given_to_roster_office",$E393="released_to_office",$E393="disposed"),IF($F393="","reserve",$F393)="reserve"),-N($G393),IF(AND($E393="correction",IF($F393="","reserve",$F393)="reserve"),N($G393),0)))))</f>
        <v/>
      </c>
      <c r="N393" s="25">
        <f>IF($C393="","",IF($E393="rejected",N($G393),IF(AND(OR($E393="returned_to_brand",$E393="given_to_roster_office",$E393="released_to_office",$E393="disposed"),IF($F393="","reserve",$F393)="rejected"),-N($G393),IF(AND($E393="correction",IF($F393="","reserve",$F393)="rejected"),N($G393),0))))</f>
        <v/>
      </c>
      <c r="O393" s="25">
        <f>IF($C393="","",IF($E393="collected",N($G393),IF(AND(OR($E393="returned_to_brand",$E393="given_to_roster_office",$E393="released_to_office",$E393="disposed"),IF($F393="","reserve",$F393)="leftover"),-N($G393),IF(AND($E393="correction",IF($F393="","reserve",$F393)="leftover"),N($G393),0))))</f>
        <v/>
      </c>
      <c r="P393" s="25">
        <f>IF(OR($E393&lt;&gt;"received",$I393="",$L393=""),"",IF($I393&gt;=$L393+config!$B$19,"Y","N"))</f>
        <v/>
      </c>
      <c r="Q393" s="25">
        <f>IF($C393="","",IF(COUNTIF(campaigns!$A$2:$A$51,$C393)=0,"campaign_id not on campaigns; ",IF(AND($D393&lt;&gt;"",COUNTIFS(approvals!$A$2:$A$251,$C393,approvals!$B$2:$B$251,$D393)=0),"office not on this campaign (approvals tab); ",""))&amp;IF(AND(OR($E393="delivered",$E393="topped_up",$E393="collected"),$D393=""),"office needed; ","")&amp;IF(AND($E393&lt;&gt;"correction",N($G393)&lt;=0),"qty must be above 0; ","")&amp;IF(AND($E393="received",OR($I393="",$H393="")),"log lot and best-by; ","")&amp;IF(AND($P393="N",SUMIFS(inventory!$G$2:$G$801,inventory!$C$2:$C$801,$C393,inventory!$H$2:$H$801,$H393,inventory!$E$2:$E$801,"rejected")&lt;N($G393)),"UNDER "&amp;config!$B$19&amp;" DAYS LEFT ON THE DROP DAY: reject these units; ","")&amp;IF(AND($E393="delivered",COUNTIF(inventory!$R$2:$R$801,$R393)&gt;1),"two delivered rows for this office: use one; ","")&amp;IF(AND($E393="delivered",$J393=""),"who counted?; ",""))</f>
        <v/>
      </c>
      <c r="R393" s="25">
        <f>IF($C393="","",$C393&amp;"|"&amp;$D393&amp;"|"&amp;$E393)</f>
        <v/>
      </c>
    </row>
    <row r="394">
      <c r="A394" s="9" t="n"/>
      <c r="B394" s="33" t="n"/>
      <c r="I394" s="9" t="n"/>
      <c r="L394" s="26">
        <f>IF($C394="","",IFERROR(IF(INDEX(campaigns!$BG$2:$BG$51,MATCH($C394,campaigns!$A$2:$A$51,0))="","",INDEX(campaigns!$BG$2:$BG$51,MATCH($C394,campaigns!$A$2:$A$51,0))),""))</f>
        <v/>
      </c>
      <c r="M394" s="25">
        <f>IF($C394="","",IF(OR($E394="received"),N($G394),IF(OR($E394="rejected",$E394="delivered",$E394="topped_up"),-N($G394),IF(AND(OR($E394="returned_to_brand",$E394="given_to_roster_office",$E394="released_to_office",$E394="disposed"),IF($F394="","reserve",$F394)="reserve"),-N($G394),IF(AND($E394="correction",IF($F394="","reserve",$F394)="reserve"),N($G394),0)))))</f>
        <v/>
      </c>
      <c r="N394" s="25">
        <f>IF($C394="","",IF($E394="rejected",N($G394),IF(AND(OR($E394="returned_to_brand",$E394="given_to_roster_office",$E394="released_to_office",$E394="disposed"),IF($F394="","reserve",$F394)="rejected"),-N($G394),IF(AND($E394="correction",IF($F394="","reserve",$F394)="rejected"),N($G394),0))))</f>
        <v/>
      </c>
      <c r="O394" s="25">
        <f>IF($C394="","",IF($E394="collected",N($G394),IF(AND(OR($E394="returned_to_brand",$E394="given_to_roster_office",$E394="released_to_office",$E394="disposed"),IF($F394="","reserve",$F394)="leftover"),-N($G394),IF(AND($E394="correction",IF($F394="","reserve",$F394)="leftover"),N($G394),0))))</f>
        <v/>
      </c>
      <c r="P394" s="25">
        <f>IF(OR($E394&lt;&gt;"received",$I394="",$L394=""),"",IF($I394&gt;=$L394+config!$B$19,"Y","N"))</f>
        <v/>
      </c>
      <c r="Q394" s="25">
        <f>IF($C394="","",IF(COUNTIF(campaigns!$A$2:$A$51,$C394)=0,"campaign_id not on campaigns; ",IF(AND($D394&lt;&gt;"",COUNTIFS(approvals!$A$2:$A$251,$C394,approvals!$B$2:$B$251,$D394)=0),"office not on this campaign (approvals tab); ",""))&amp;IF(AND(OR($E394="delivered",$E394="topped_up",$E394="collected"),$D394=""),"office needed; ","")&amp;IF(AND($E394&lt;&gt;"correction",N($G394)&lt;=0),"qty must be above 0; ","")&amp;IF(AND($E394="received",OR($I394="",$H394="")),"log lot and best-by; ","")&amp;IF(AND($P394="N",SUMIFS(inventory!$G$2:$G$801,inventory!$C$2:$C$801,$C394,inventory!$H$2:$H$801,$H394,inventory!$E$2:$E$801,"rejected")&lt;N($G394)),"UNDER "&amp;config!$B$19&amp;" DAYS LEFT ON THE DROP DAY: reject these units; ","")&amp;IF(AND($E394="delivered",COUNTIF(inventory!$R$2:$R$801,$R394)&gt;1),"two delivered rows for this office: use one; ","")&amp;IF(AND($E394="delivered",$J394=""),"who counted?; ",""))</f>
        <v/>
      </c>
      <c r="R394" s="25">
        <f>IF($C394="","",$C394&amp;"|"&amp;$D394&amp;"|"&amp;$E394)</f>
        <v/>
      </c>
    </row>
    <row r="395">
      <c r="A395" s="9" t="n"/>
      <c r="B395" s="33" t="n"/>
      <c r="I395" s="9" t="n"/>
      <c r="L395" s="26">
        <f>IF($C395="","",IFERROR(IF(INDEX(campaigns!$BG$2:$BG$51,MATCH($C395,campaigns!$A$2:$A$51,0))="","",INDEX(campaigns!$BG$2:$BG$51,MATCH($C395,campaigns!$A$2:$A$51,0))),""))</f>
        <v/>
      </c>
      <c r="M395" s="25">
        <f>IF($C395="","",IF(OR($E395="received"),N($G395),IF(OR($E395="rejected",$E395="delivered",$E395="topped_up"),-N($G395),IF(AND(OR($E395="returned_to_brand",$E395="given_to_roster_office",$E395="released_to_office",$E395="disposed"),IF($F395="","reserve",$F395)="reserve"),-N($G395),IF(AND($E395="correction",IF($F395="","reserve",$F395)="reserve"),N($G395),0)))))</f>
        <v/>
      </c>
      <c r="N395" s="25">
        <f>IF($C395="","",IF($E395="rejected",N($G395),IF(AND(OR($E395="returned_to_brand",$E395="given_to_roster_office",$E395="released_to_office",$E395="disposed"),IF($F395="","reserve",$F395)="rejected"),-N($G395),IF(AND($E395="correction",IF($F395="","reserve",$F395)="rejected"),N($G395),0))))</f>
        <v/>
      </c>
      <c r="O395" s="25">
        <f>IF($C395="","",IF($E395="collected",N($G395),IF(AND(OR($E395="returned_to_brand",$E395="given_to_roster_office",$E395="released_to_office",$E395="disposed"),IF($F395="","reserve",$F395)="leftover"),-N($G395),IF(AND($E395="correction",IF($F395="","reserve",$F395)="leftover"),N($G395),0))))</f>
        <v/>
      </c>
      <c r="P395" s="25">
        <f>IF(OR($E395&lt;&gt;"received",$I395="",$L395=""),"",IF($I395&gt;=$L395+config!$B$19,"Y","N"))</f>
        <v/>
      </c>
      <c r="Q395" s="25">
        <f>IF($C395="","",IF(COUNTIF(campaigns!$A$2:$A$51,$C395)=0,"campaign_id not on campaigns; ",IF(AND($D395&lt;&gt;"",COUNTIFS(approvals!$A$2:$A$251,$C395,approvals!$B$2:$B$251,$D395)=0),"office not on this campaign (approvals tab); ",""))&amp;IF(AND(OR($E395="delivered",$E395="topped_up",$E395="collected"),$D395=""),"office needed; ","")&amp;IF(AND($E395&lt;&gt;"correction",N($G395)&lt;=0),"qty must be above 0; ","")&amp;IF(AND($E395="received",OR($I395="",$H395="")),"log lot and best-by; ","")&amp;IF(AND($P395="N",SUMIFS(inventory!$G$2:$G$801,inventory!$C$2:$C$801,$C395,inventory!$H$2:$H$801,$H395,inventory!$E$2:$E$801,"rejected")&lt;N($G395)),"UNDER "&amp;config!$B$19&amp;" DAYS LEFT ON THE DROP DAY: reject these units; ","")&amp;IF(AND($E395="delivered",COUNTIF(inventory!$R$2:$R$801,$R395)&gt;1),"two delivered rows for this office: use one; ","")&amp;IF(AND($E395="delivered",$J395=""),"who counted?; ",""))</f>
        <v/>
      </c>
      <c r="R395" s="25">
        <f>IF($C395="","",$C395&amp;"|"&amp;$D395&amp;"|"&amp;$E395)</f>
        <v/>
      </c>
    </row>
    <row r="396">
      <c r="A396" s="9" t="n"/>
      <c r="B396" s="33" t="n"/>
      <c r="I396" s="9" t="n"/>
      <c r="L396" s="26">
        <f>IF($C396="","",IFERROR(IF(INDEX(campaigns!$BG$2:$BG$51,MATCH($C396,campaigns!$A$2:$A$51,0))="","",INDEX(campaigns!$BG$2:$BG$51,MATCH($C396,campaigns!$A$2:$A$51,0))),""))</f>
        <v/>
      </c>
      <c r="M396" s="25">
        <f>IF($C396="","",IF(OR($E396="received"),N($G396),IF(OR($E396="rejected",$E396="delivered",$E396="topped_up"),-N($G396),IF(AND(OR($E396="returned_to_brand",$E396="given_to_roster_office",$E396="released_to_office",$E396="disposed"),IF($F396="","reserve",$F396)="reserve"),-N($G396),IF(AND($E396="correction",IF($F396="","reserve",$F396)="reserve"),N($G396),0)))))</f>
        <v/>
      </c>
      <c r="N396" s="25">
        <f>IF($C396="","",IF($E396="rejected",N($G396),IF(AND(OR($E396="returned_to_brand",$E396="given_to_roster_office",$E396="released_to_office",$E396="disposed"),IF($F396="","reserve",$F396)="rejected"),-N($G396),IF(AND($E396="correction",IF($F396="","reserve",$F396)="rejected"),N($G396),0))))</f>
        <v/>
      </c>
      <c r="O396" s="25">
        <f>IF($C396="","",IF($E396="collected",N($G396),IF(AND(OR($E396="returned_to_brand",$E396="given_to_roster_office",$E396="released_to_office",$E396="disposed"),IF($F396="","reserve",$F396)="leftover"),-N($G396),IF(AND($E396="correction",IF($F396="","reserve",$F396)="leftover"),N($G396),0))))</f>
        <v/>
      </c>
      <c r="P396" s="25">
        <f>IF(OR($E396&lt;&gt;"received",$I396="",$L396=""),"",IF($I396&gt;=$L396+config!$B$19,"Y","N"))</f>
        <v/>
      </c>
      <c r="Q396" s="25">
        <f>IF($C396="","",IF(COUNTIF(campaigns!$A$2:$A$51,$C396)=0,"campaign_id not on campaigns; ",IF(AND($D396&lt;&gt;"",COUNTIFS(approvals!$A$2:$A$251,$C396,approvals!$B$2:$B$251,$D396)=0),"office not on this campaign (approvals tab); ",""))&amp;IF(AND(OR($E396="delivered",$E396="topped_up",$E396="collected"),$D396=""),"office needed; ","")&amp;IF(AND($E396&lt;&gt;"correction",N($G396)&lt;=0),"qty must be above 0; ","")&amp;IF(AND($E396="received",OR($I396="",$H396="")),"log lot and best-by; ","")&amp;IF(AND($P396="N",SUMIFS(inventory!$G$2:$G$801,inventory!$C$2:$C$801,$C396,inventory!$H$2:$H$801,$H396,inventory!$E$2:$E$801,"rejected")&lt;N($G396)),"UNDER "&amp;config!$B$19&amp;" DAYS LEFT ON THE DROP DAY: reject these units; ","")&amp;IF(AND($E396="delivered",COUNTIF(inventory!$R$2:$R$801,$R396)&gt;1),"two delivered rows for this office: use one; ","")&amp;IF(AND($E396="delivered",$J396=""),"who counted?; ",""))</f>
        <v/>
      </c>
      <c r="R396" s="25">
        <f>IF($C396="","",$C396&amp;"|"&amp;$D396&amp;"|"&amp;$E396)</f>
        <v/>
      </c>
    </row>
    <row r="397">
      <c r="A397" s="9" t="n"/>
      <c r="B397" s="33" t="n"/>
      <c r="I397" s="9" t="n"/>
      <c r="L397" s="26">
        <f>IF($C397="","",IFERROR(IF(INDEX(campaigns!$BG$2:$BG$51,MATCH($C397,campaigns!$A$2:$A$51,0))="","",INDEX(campaigns!$BG$2:$BG$51,MATCH($C397,campaigns!$A$2:$A$51,0))),""))</f>
        <v/>
      </c>
      <c r="M397" s="25">
        <f>IF($C397="","",IF(OR($E397="received"),N($G397),IF(OR($E397="rejected",$E397="delivered",$E397="topped_up"),-N($G397),IF(AND(OR($E397="returned_to_brand",$E397="given_to_roster_office",$E397="released_to_office",$E397="disposed"),IF($F397="","reserve",$F397)="reserve"),-N($G397),IF(AND($E397="correction",IF($F397="","reserve",$F397)="reserve"),N($G397),0)))))</f>
        <v/>
      </c>
      <c r="N397" s="25">
        <f>IF($C397="","",IF($E397="rejected",N($G397),IF(AND(OR($E397="returned_to_brand",$E397="given_to_roster_office",$E397="released_to_office",$E397="disposed"),IF($F397="","reserve",$F397)="rejected"),-N($G397),IF(AND($E397="correction",IF($F397="","reserve",$F397)="rejected"),N($G397),0))))</f>
        <v/>
      </c>
      <c r="O397" s="25">
        <f>IF($C397="","",IF($E397="collected",N($G397),IF(AND(OR($E397="returned_to_brand",$E397="given_to_roster_office",$E397="released_to_office",$E397="disposed"),IF($F397="","reserve",$F397)="leftover"),-N($G397),IF(AND($E397="correction",IF($F397="","reserve",$F397)="leftover"),N($G397),0))))</f>
        <v/>
      </c>
      <c r="P397" s="25">
        <f>IF(OR($E397&lt;&gt;"received",$I397="",$L397=""),"",IF($I397&gt;=$L397+config!$B$19,"Y","N"))</f>
        <v/>
      </c>
      <c r="Q397" s="25">
        <f>IF($C397="","",IF(COUNTIF(campaigns!$A$2:$A$51,$C397)=0,"campaign_id not on campaigns; ",IF(AND($D397&lt;&gt;"",COUNTIFS(approvals!$A$2:$A$251,$C397,approvals!$B$2:$B$251,$D397)=0),"office not on this campaign (approvals tab); ",""))&amp;IF(AND(OR($E397="delivered",$E397="topped_up",$E397="collected"),$D397=""),"office needed; ","")&amp;IF(AND($E397&lt;&gt;"correction",N($G397)&lt;=0),"qty must be above 0; ","")&amp;IF(AND($E397="received",OR($I397="",$H397="")),"log lot and best-by; ","")&amp;IF(AND($P397="N",SUMIFS(inventory!$G$2:$G$801,inventory!$C$2:$C$801,$C397,inventory!$H$2:$H$801,$H397,inventory!$E$2:$E$801,"rejected")&lt;N($G397)),"UNDER "&amp;config!$B$19&amp;" DAYS LEFT ON THE DROP DAY: reject these units; ","")&amp;IF(AND($E397="delivered",COUNTIF(inventory!$R$2:$R$801,$R397)&gt;1),"two delivered rows for this office: use one; ","")&amp;IF(AND($E397="delivered",$J397=""),"who counted?; ",""))</f>
        <v/>
      </c>
      <c r="R397" s="25">
        <f>IF($C397="","",$C397&amp;"|"&amp;$D397&amp;"|"&amp;$E397)</f>
        <v/>
      </c>
    </row>
    <row r="398">
      <c r="A398" s="9" t="n"/>
      <c r="B398" s="33" t="n"/>
      <c r="I398" s="9" t="n"/>
      <c r="L398" s="26">
        <f>IF($C398="","",IFERROR(IF(INDEX(campaigns!$BG$2:$BG$51,MATCH($C398,campaigns!$A$2:$A$51,0))="","",INDEX(campaigns!$BG$2:$BG$51,MATCH($C398,campaigns!$A$2:$A$51,0))),""))</f>
        <v/>
      </c>
      <c r="M398" s="25">
        <f>IF($C398="","",IF(OR($E398="received"),N($G398),IF(OR($E398="rejected",$E398="delivered",$E398="topped_up"),-N($G398),IF(AND(OR($E398="returned_to_brand",$E398="given_to_roster_office",$E398="released_to_office",$E398="disposed"),IF($F398="","reserve",$F398)="reserve"),-N($G398),IF(AND($E398="correction",IF($F398="","reserve",$F398)="reserve"),N($G398),0)))))</f>
        <v/>
      </c>
      <c r="N398" s="25">
        <f>IF($C398="","",IF($E398="rejected",N($G398),IF(AND(OR($E398="returned_to_brand",$E398="given_to_roster_office",$E398="released_to_office",$E398="disposed"),IF($F398="","reserve",$F398)="rejected"),-N($G398),IF(AND($E398="correction",IF($F398="","reserve",$F398)="rejected"),N($G398),0))))</f>
        <v/>
      </c>
      <c r="O398" s="25">
        <f>IF($C398="","",IF($E398="collected",N($G398),IF(AND(OR($E398="returned_to_brand",$E398="given_to_roster_office",$E398="released_to_office",$E398="disposed"),IF($F398="","reserve",$F398)="leftover"),-N($G398),IF(AND($E398="correction",IF($F398="","reserve",$F398)="leftover"),N($G398),0))))</f>
        <v/>
      </c>
      <c r="P398" s="25">
        <f>IF(OR($E398&lt;&gt;"received",$I398="",$L398=""),"",IF($I398&gt;=$L398+config!$B$19,"Y","N"))</f>
        <v/>
      </c>
      <c r="Q398" s="25">
        <f>IF($C398="","",IF(COUNTIF(campaigns!$A$2:$A$51,$C398)=0,"campaign_id not on campaigns; ",IF(AND($D398&lt;&gt;"",COUNTIFS(approvals!$A$2:$A$251,$C398,approvals!$B$2:$B$251,$D398)=0),"office not on this campaign (approvals tab); ",""))&amp;IF(AND(OR($E398="delivered",$E398="topped_up",$E398="collected"),$D398=""),"office needed; ","")&amp;IF(AND($E398&lt;&gt;"correction",N($G398)&lt;=0),"qty must be above 0; ","")&amp;IF(AND($E398="received",OR($I398="",$H398="")),"log lot and best-by; ","")&amp;IF(AND($P398="N",SUMIFS(inventory!$G$2:$G$801,inventory!$C$2:$C$801,$C398,inventory!$H$2:$H$801,$H398,inventory!$E$2:$E$801,"rejected")&lt;N($G398)),"UNDER "&amp;config!$B$19&amp;" DAYS LEFT ON THE DROP DAY: reject these units; ","")&amp;IF(AND($E398="delivered",COUNTIF(inventory!$R$2:$R$801,$R398)&gt;1),"two delivered rows for this office: use one; ","")&amp;IF(AND($E398="delivered",$J398=""),"who counted?; ",""))</f>
        <v/>
      </c>
      <c r="R398" s="25">
        <f>IF($C398="","",$C398&amp;"|"&amp;$D398&amp;"|"&amp;$E398)</f>
        <v/>
      </c>
    </row>
    <row r="399">
      <c r="A399" s="9" t="n"/>
      <c r="B399" s="33" t="n"/>
      <c r="I399" s="9" t="n"/>
      <c r="L399" s="26">
        <f>IF($C399="","",IFERROR(IF(INDEX(campaigns!$BG$2:$BG$51,MATCH($C399,campaigns!$A$2:$A$51,0))="","",INDEX(campaigns!$BG$2:$BG$51,MATCH($C399,campaigns!$A$2:$A$51,0))),""))</f>
        <v/>
      </c>
      <c r="M399" s="25">
        <f>IF($C399="","",IF(OR($E399="received"),N($G399),IF(OR($E399="rejected",$E399="delivered",$E399="topped_up"),-N($G399),IF(AND(OR($E399="returned_to_brand",$E399="given_to_roster_office",$E399="released_to_office",$E399="disposed"),IF($F399="","reserve",$F399)="reserve"),-N($G399),IF(AND($E399="correction",IF($F399="","reserve",$F399)="reserve"),N($G399),0)))))</f>
        <v/>
      </c>
      <c r="N399" s="25">
        <f>IF($C399="","",IF($E399="rejected",N($G399),IF(AND(OR($E399="returned_to_brand",$E399="given_to_roster_office",$E399="released_to_office",$E399="disposed"),IF($F399="","reserve",$F399)="rejected"),-N($G399),IF(AND($E399="correction",IF($F399="","reserve",$F399)="rejected"),N($G399),0))))</f>
        <v/>
      </c>
      <c r="O399" s="25">
        <f>IF($C399="","",IF($E399="collected",N($G399),IF(AND(OR($E399="returned_to_brand",$E399="given_to_roster_office",$E399="released_to_office",$E399="disposed"),IF($F399="","reserve",$F399)="leftover"),-N($G399),IF(AND($E399="correction",IF($F399="","reserve",$F399)="leftover"),N($G399),0))))</f>
        <v/>
      </c>
      <c r="P399" s="25">
        <f>IF(OR($E399&lt;&gt;"received",$I399="",$L399=""),"",IF($I399&gt;=$L399+config!$B$19,"Y","N"))</f>
        <v/>
      </c>
      <c r="Q399" s="25">
        <f>IF($C399="","",IF(COUNTIF(campaigns!$A$2:$A$51,$C399)=0,"campaign_id not on campaigns; ",IF(AND($D399&lt;&gt;"",COUNTIFS(approvals!$A$2:$A$251,$C399,approvals!$B$2:$B$251,$D399)=0),"office not on this campaign (approvals tab); ",""))&amp;IF(AND(OR($E399="delivered",$E399="topped_up",$E399="collected"),$D399=""),"office needed; ","")&amp;IF(AND($E399&lt;&gt;"correction",N($G399)&lt;=0),"qty must be above 0; ","")&amp;IF(AND($E399="received",OR($I399="",$H399="")),"log lot and best-by; ","")&amp;IF(AND($P399="N",SUMIFS(inventory!$G$2:$G$801,inventory!$C$2:$C$801,$C399,inventory!$H$2:$H$801,$H399,inventory!$E$2:$E$801,"rejected")&lt;N($G399)),"UNDER "&amp;config!$B$19&amp;" DAYS LEFT ON THE DROP DAY: reject these units; ","")&amp;IF(AND($E399="delivered",COUNTIF(inventory!$R$2:$R$801,$R399)&gt;1),"two delivered rows for this office: use one; ","")&amp;IF(AND($E399="delivered",$J399=""),"who counted?; ",""))</f>
        <v/>
      </c>
      <c r="R399" s="25">
        <f>IF($C399="","",$C399&amp;"|"&amp;$D399&amp;"|"&amp;$E399)</f>
        <v/>
      </c>
    </row>
    <row r="400">
      <c r="A400" s="9" t="n"/>
      <c r="B400" s="33" t="n"/>
      <c r="I400" s="9" t="n"/>
      <c r="L400" s="26">
        <f>IF($C400="","",IFERROR(IF(INDEX(campaigns!$BG$2:$BG$51,MATCH($C400,campaigns!$A$2:$A$51,0))="","",INDEX(campaigns!$BG$2:$BG$51,MATCH($C400,campaigns!$A$2:$A$51,0))),""))</f>
        <v/>
      </c>
      <c r="M400" s="25">
        <f>IF($C400="","",IF(OR($E400="received"),N($G400),IF(OR($E400="rejected",$E400="delivered",$E400="topped_up"),-N($G400),IF(AND(OR($E400="returned_to_brand",$E400="given_to_roster_office",$E400="released_to_office",$E400="disposed"),IF($F400="","reserve",$F400)="reserve"),-N($G400),IF(AND($E400="correction",IF($F400="","reserve",$F400)="reserve"),N($G400),0)))))</f>
        <v/>
      </c>
      <c r="N400" s="25">
        <f>IF($C400="","",IF($E400="rejected",N($G400),IF(AND(OR($E400="returned_to_brand",$E400="given_to_roster_office",$E400="released_to_office",$E400="disposed"),IF($F400="","reserve",$F400)="rejected"),-N($G400),IF(AND($E400="correction",IF($F400="","reserve",$F400)="rejected"),N($G400),0))))</f>
        <v/>
      </c>
      <c r="O400" s="25">
        <f>IF($C400="","",IF($E400="collected",N($G400),IF(AND(OR($E400="returned_to_brand",$E400="given_to_roster_office",$E400="released_to_office",$E400="disposed"),IF($F400="","reserve",$F400)="leftover"),-N($G400),IF(AND($E400="correction",IF($F400="","reserve",$F400)="leftover"),N($G400),0))))</f>
        <v/>
      </c>
      <c r="P400" s="25">
        <f>IF(OR($E400&lt;&gt;"received",$I400="",$L400=""),"",IF($I400&gt;=$L400+config!$B$19,"Y","N"))</f>
        <v/>
      </c>
      <c r="Q400" s="25">
        <f>IF($C400="","",IF(COUNTIF(campaigns!$A$2:$A$51,$C400)=0,"campaign_id not on campaigns; ",IF(AND($D400&lt;&gt;"",COUNTIFS(approvals!$A$2:$A$251,$C400,approvals!$B$2:$B$251,$D400)=0),"office not on this campaign (approvals tab); ",""))&amp;IF(AND(OR($E400="delivered",$E400="topped_up",$E400="collected"),$D400=""),"office needed; ","")&amp;IF(AND($E400&lt;&gt;"correction",N($G400)&lt;=0),"qty must be above 0; ","")&amp;IF(AND($E400="received",OR($I400="",$H400="")),"log lot and best-by; ","")&amp;IF(AND($P400="N",SUMIFS(inventory!$G$2:$G$801,inventory!$C$2:$C$801,$C400,inventory!$H$2:$H$801,$H400,inventory!$E$2:$E$801,"rejected")&lt;N($G400)),"UNDER "&amp;config!$B$19&amp;" DAYS LEFT ON THE DROP DAY: reject these units; ","")&amp;IF(AND($E400="delivered",COUNTIF(inventory!$R$2:$R$801,$R400)&gt;1),"two delivered rows for this office: use one; ","")&amp;IF(AND($E400="delivered",$J400=""),"who counted?; ",""))</f>
        <v/>
      </c>
      <c r="R400" s="25">
        <f>IF($C400="","",$C400&amp;"|"&amp;$D400&amp;"|"&amp;$E400)</f>
        <v/>
      </c>
    </row>
    <row r="401">
      <c r="A401" s="9" t="n"/>
      <c r="B401" s="33" t="n"/>
      <c r="I401" s="9" t="n"/>
      <c r="L401" s="26">
        <f>IF($C401="","",IFERROR(IF(INDEX(campaigns!$BG$2:$BG$51,MATCH($C401,campaigns!$A$2:$A$51,0))="","",INDEX(campaigns!$BG$2:$BG$51,MATCH($C401,campaigns!$A$2:$A$51,0))),""))</f>
        <v/>
      </c>
      <c r="M401" s="25">
        <f>IF($C401="","",IF(OR($E401="received"),N($G401),IF(OR($E401="rejected",$E401="delivered",$E401="topped_up"),-N($G401),IF(AND(OR($E401="returned_to_brand",$E401="given_to_roster_office",$E401="released_to_office",$E401="disposed"),IF($F401="","reserve",$F401)="reserve"),-N($G401),IF(AND($E401="correction",IF($F401="","reserve",$F401)="reserve"),N($G401),0)))))</f>
        <v/>
      </c>
      <c r="N401" s="25">
        <f>IF($C401="","",IF($E401="rejected",N($G401),IF(AND(OR($E401="returned_to_brand",$E401="given_to_roster_office",$E401="released_to_office",$E401="disposed"),IF($F401="","reserve",$F401)="rejected"),-N($G401),IF(AND($E401="correction",IF($F401="","reserve",$F401)="rejected"),N($G401),0))))</f>
        <v/>
      </c>
      <c r="O401" s="25">
        <f>IF($C401="","",IF($E401="collected",N($G401),IF(AND(OR($E401="returned_to_brand",$E401="given_to_roster_office",$E401="released_to_office",$E401="disposed"),IF($F401="","reserve",$F401)="leftover"),-N($G401),IF(AND($E401="correction",IF($F401="","reserve",$F401)="leftover"),N($G401),0))))</f>
        <v/>
      </c>
      <c r="P401" s="25">
        <f>IF(OR($E401&lt;&gt;"received",$I401="",$L401=""),"",IF($I401&gt;=$L401+config!$B$19,"Y","N"))</f>
        <v/>
      </c>
      <c r="Q401" s="25">
        <f>IF($C401="","",IF(COUNTIF(campaigns!$A$2:$A$51,$C401)=0,"campaign_id not on campaigns; ",IF(AND($D401&lt;&gt;"",COUNTIFS(approvals!$A$2:$A$251,$C401,approvals!$B$2:$B$251,$D401)=0),"office not on this campaign (approvals tab); ",""))&amp;IF(AND(OR($E401="delivered",$E401="topped_up",$E401="collected"),$D401=""),"office needed; ","")&amp;IF(AND($E401&lt;&gt;"correction",N($G401)&lt;=0),"qty must be above 0; ","")&amp;IF(AND($E401="received",OR($I401="",$H401="")),"log lot and best-by; ","")&amp;IF(AND($P401="N",SUMIFS(inventory!$G$2:$G$801,inventory!$C$2:$C$801,$C401,inventory!$H$2:$H$801,$H401,inventory!$E$2:$E$801,"rejected")&lt;N($G401)),"UNDER "&amp;config!$B$19&amp;" DAYS LEFT ON THE DROP DAY: reject these units; ","")&amp;IF(AND($E401="delivered",COUNTIF(inventory!$R$2:$R$801,$R401)&gt;1),"two delivered rows for this office: use one; ","")&amp;IF(AND($E401="delivered",$J401=""),"who counted?; ",""))</f>
        <v/>
      </c>
      <c r="R401" s="25">
        <f>IF($C401="","",$C401&amp;"|"&amp;$D401&amp;"|"&amp;$E401)</f>
        <v/>
      </c>
    </row>
    <row r="402">
      <c r="A402" s="9" t="n"/>
      <c r="B402" s="33" t="n"/>
      <c r="I402" s="9" t="n"/>
      <c r="L402" s="26">
        <f>IF($C402="","",IFERROR(IF(INDEX(campaigns!$BG$2:$BG$51,MATCH($C402,campaigns!$A$2:$A$51,0))="","",INDEX(campaigns!$BG$2:$BG$51,MATCH($C402,campaigns!$A$2:$A$51,0))),""))</f>
        <v/>
      </c>
      <c r="M402" s="25">
        <f>IF($C402="","",IF(OR($E402="received"),N($G402),IF(OR($E402="rejected",$E402="delivered",$E402="topped_up"),-N($G402),IF(AND(OR($E402="returned_to_brand",$E402="given_to_roster_office",$E402="released_to_office",$E402="disposed"),IF($F402="","reserve",$F402)="reserve"),-N($G402),IF(AND($E402="correction",IF($F402="","reserve",$F402)="reserve"),N($G402),0)))))</f>
        <v/>
      </c>
      <c r="N402" s="25">
        <f>IF($C402="","",IF($E402="rejected",N($G402),IF(AND(OR($E402="returned_to_brand",$E402="given_to_roster_office",$E402="released_to_office",$E402="disposed"),IF($F402="","reserve",$F402)="rejected"),-N($G402),IF(AND($E402="correction",IF($F402="","reserve",$F402)="rejected"),N($G402),0))))</f>
        <v/>
      </c>
      <c r="O402" s="25">
        <f>IF($C402="","",IF($E402="collected",N($G402),IF(AND(OR($E402="returned_to_brand",$E402="given_to_roster_office",$E402="released_to_office",$E402="disposed"),IF($F402="","reserve",$F402)="leftover"),-N($G402),IF(AND($E402="correction",IF($F402="","reserve",$F402)="leftover"),N($G402),0))))</f>
        <v/>
      </c>
      <c r="P402" s="25">
        <f>IF(OR($E402&lt;&gt;"received",$I402="",$L402=""),"",IF($I402&gt;=$L402+config!$B$19,"Y","N"))</f>
        <v/>
      </c>
      <c r="Q402" s="25">
        <f>IF($C402="","",IF(COUNTIF(campaigns!$A$2:$A$51,$C402)=0,"campaign_id not on campaigns; ",IF(AND($D402&lt;&gt;"",COUNTIFS(approvals!$A$2:$A$251,$C402,approvals!$B$2:$B$251,$D402)=0),"office not on this campaign (approvals tab); ",""))&amp;IF(AND(OR($E402="delivered",$E402="topped_up",$E402="collected"),$D402=""),"office needed; ","")&amp;IF(AND($E402&lt;&gt;"correction",N($G402)&lt;=0),"qty must be above 0; ","")&amp;IF(AND($E402="received",OR($I402="",$H402="")),"log lot and best-by; ","")&amp;IF(AND($P402="N",SUMIFS(inventory!$G$2:$G$801,inventory!$C$2:$C$801,$C402,inventory!$H$2:$H$801,$H402,inventory!$E$2:$E$801,"rejected")&lt;N($G402)),"UNDER "&amp;config!$B$19&amp;" DAYS LEFT ON THE DROP DAY: reject these units; ","")&amp;IF(AND($E402="delivered",COUNTIF(inventory!$R$2:$R$801,$R402)&gt;1),"two delivered rows for this office: use one; ","")&amp;IF(AND($E402="delivered",$J402=""),"who counted?; ",""))</f>
        <v/>
      </c>
      <c r="R402" s="25">
        <f>IF($C402="","",$C402&amp;"|"&amp;$D402&amp;"|"&amp;$E402)</f>
        <v/>
      </c>
    </row>
    <row r="403">
      <c r="A403" s="9" t="n"/>
      <c r="B403" s="33" t="n"/>
      <c r="I403" s="9" t="n"/>
      <c r="L403" s="26">
        <f>IF($C403="","",IFERROR(IF(INDEX(campaigns!$BG$2:$BG$51,MATCH($C403,campaigns!$A$2:$A$51,0))="","",INDEX(campaigns!$BG$2:$BG$51,MATCH($C403,campaigns!$A$2:$A$51,0))),""))</f>
        <v/>
      </c>
      <c r="M403" s="25">
        <f>IF($C403="","",IF(OR($E403="received"),N($G403),IF(OR($E403="rejected",$E403="delivered",$E403="topped_up"),-N($G403),IF(AND(OR($E403="returned_to_brand",$E403="given_to_roster_office",$E403="released_to_office",$E403="disposed"),IF($F403="","reserve",$F403)="reserve"),-N($G403),IF(AND($E403="correction",IF($F403="","reserve",$F403)="reserve"),N($G403),0)))))</f>
        <v/>
      </c>
      <c r="N403" s="25">
        <f>IF($C403="","",IF($E403="rejected",N($G403),IF(AND(OR($E403="returned_to_brand",$E403="given_to_roster_office",$E403="released_to_office",$E403="disposed"),IF($F403="","reserve",$F403)="rejected"),-N($G403),IF(AND($E403="correction",IF($F403="","reserve",$F403)="rejected"),N($G403),0))))</f>
        <v/>
      </c>
      <c r="O403" s="25">
        <f>IF($C403="","",IF($E403="collected",N($G403),IF(AND(OR($E403="returned_to_brand",$E403="given_to_roster_office",$E403="released_to_office",$E403="disposed"),IF($F403="","reserve",$F403)="leftover"),-N($G403),IF(AND($E403="correction",IF($F403="","reserve",$F403)="leftover"),N($G403),0))))</f>
        <v/>
      </c>
      <c r="P403" s="25">
        <f>IF(OR($E403&lt;&gt;"received",$I403="",$L403=""),"",IF($I403&gt;=$L403+config!$B$19,"Y","N"))</f>
        <v/>
      </c>
      <c r="Q403" s="25">
        <f>IF($C403="","",IF(COUNTIF(campaigns!$A$2:$A$51,$C403)=0,"campaign_id not on campaigns; ",IF(AND($D403&lt;&gt;"",COUNTIFS(approvals!$A$2:$A$251,$C403,approvals!$B$2:$B$251,$D403)=0),"office not on this campaign (approvals tab); ",""))&amp;IF(AND(OR($E403="delivered",$E403="topped_up",$E403="collected"),$D403=""),"office needed; ","")&amp;IF(AND($E403&lt;&gt;"correction",N($G403)&lt;=0),"qty must be above 0; ","")&amp;IF(AND($E403="received",OR($I403="",$H403="")),"log lot and best-by; ","")&amp;IF(AND($P403="N",SUMIFS(inventory!$G$2:$G$801,inventory!$C$2:$C$801,$C403,inventory!$H$2:$H$801,$H403,inventory!$E$2:$E$801,"rejected")&lt;N($G403)),"UNDER "&amp;config!$B$19&amp;" DAYS LEFT ON THE DROP DAY: reject these units; ","")&amp;IF(AND($E403="delivered",COUNTIF(inventory!$R$2:$R$801,$R403)&gt;1),"two delivered rows for this office: use one; ","")&amp;IF(AND($E403="delivered",$J403=""),"who counted?; ",""))</f>
        <v/>
      </c>
      <c r="R403" s="25">
        <f>IF($C403="","",$C403&amp;"|"&amp;$D403&amp;"|"&amp;$E403)</f>
        <v/>
      </c>
    </row>
    <row r="404">
      <c r="A404" s="9" t="n"/>
      <c r="B404" s="33" t="n"/>
      <c r="I404" s="9" t="n"/>
      <c r="L404" s="26">
        <f>IF($C404="","",IFERROR(IF(INDEX(campaigns!$BG$2:$BG$51,MATCH($C404,campaigns!$A$2:$A$51,0))="","",INDEX(campaigns!$BG$2:$BG$51,MATCH($C404,campaigns!$A$2:$A$51,0))),""))</f>
        <v/>
      </c>
      <c r="M404" s="25">
        <f>IF($C404="","",IF(OR($E404="received"),N($G404),IF(OR($E404="rejected",$E404="delivered",$E404="topped_up"),-N($G404),IF(AND(OR($E404="returned_to_brand",$E404="given_to_roster_office",$E404="released_to_office",$E404="disposed"),IF($F404="","reserve",$F404)="reserve"),-N($G404),IF(AND($E404="correction",IF($F404="","reserve",$F404)="reserve"),N($G404),0)))))</f>
        <v/>
      </c>
      <c r="N404" s="25">
        <f>IF($C404="","",IF($E404="rejected",N($G404),IF(AND(OR($E404="returned_to_brand",$E404="given_to_roster_office",$E404="released_to_office",$E404="disposed"),IF($F404="","reserve",$F404)="rejected"),-N($G404),IF(AND($E404="correction",IF($F404="","reserve",$F404)="rejected"),N($G404),0))))</f>
        <v/>
      </c>
      <c r="O404" s="25">
        <f>IF($C404="","",IF($E404="collected",N($G404),IF(AND(OR($E404="returned_to_brand",$E404="given_to_roster_office",$E404="released_to_office",$E404="disposed"),IF($F404="","reserve",$F404)="leftover"),-N($G404),IF(AND($E404="correction",IF($F404="","reserve",$F404)="leftover"),N($G404),0))))</f>
        <v/>
      </c>
      <c r="P404" s="25">
        <f>IF(OR($E404&lt;&gt;"received",$I404="",$L404=""),"",IF($I404&gt;=$L404+config!$B$19,"Y","N"))</f>
        <v/>
      </c>
      <c r="Q404" s="25">
        <f>IF($C404="","",IF(COUNTIF(campaigns!$A$2:$A$51,$C404)=0,"campaign_id not on campaigns; ",IF(AND($D404&lt;&gt;"",COUNTIFS(approvals!$A$2:$A$251,$C404,approvals!$B$2:$B$251,$D404)=0),"office not on this campaign (approvals tab); ",""))&amp;IF(AND(OR($E404="delivered",$E404="topped_up",$E404="collected"),$D404=""),"office needed; ","")&amp;IF(AND($E404&lt;&gt;"correction",N($G404)&lt;=0),"qty must be above 0; ","")&amp;IF(AND($E404="received",OR($I404="",$H404="")),"log lot and best-by; ","")&amp;IF(AND($P404="N",SUMIFS(inventory!$G$2:$G$801,inventory!$C$2:$C$801,$C404,inventory!$H$2:$H$801,$H404,inventory!$E$2:$E$801,"rejected")&lt;N($G404)),"UNDER "&amp;config!$B$19&amp;" DAYS LEFT ON THE DROP DAY: reject these units; ","")&amp;IF(AND($E404="delivered",COUNTIF(inventory!$R$2:$R$801,$R404)&gt;1),"two delivered rows for this office: use one; ","")&amp;IF(AND($E404="delivered",$J404=""),"who counted?; ",""))</f>
        <v/>
      </c>
      <c r="R404" s="25">
        <f>IF($C404="","",$C404&amp;"|"&amp;$D404&amp;"|"&amp;$E404)</f>
        <v/>
      </c>
    </row>
    <row r="405">
      <c r="A405" s="9" t="n"/>
      <c r="B405" s="33" t="n"/>
      <c r="I405" s="9" t="n"/>
      <c r="L405" s="26">
        <f>IF($C405="","",IFERROR(IF(INDEX(campaigns!$BG$2:$BG$51,MATCH($C405,campaigns!$A$2:$A$51,0))="","",INDEX(campaigns!$BG$2:$BG$51,MATCH($C405,campaigns!$A$2:$A$51,0))),""))</f>
        <v/>
      </c>
      <c r="M405" s="25">
        <f>IF($C405="","",IF(OR($E405="received"),N($G405),IF(OR($E405="rejected",$E405="delivered",$E405="topped_up"),-N($G405),IF(AND(OR($E405="returned_to_brand",$E405="given_to_roster_office",$E405="released_to_office",$E405="disposed"),IF($F405="","reserve",$F405)="reserve"),-N($G405),IF(AND($E405="correction",IF($F405="","reserve",$F405)="reserve"),N($G405),0)))))</f>
        <v/>
      </c>
      <c r="N405" s="25">
        <f>IF($C405="","",IF($E405="rejected",N($G405),IF(AND(OR($E405="returned_to_brand",$E405="given_to_roster_office",$E405="released_to_office",$E405="disposed"),IF($F405="","reserve",$F405)="rejected"),-N($G405),IF(AND($E405="correction",IF($F405="","reserve",$F405)="rejected"),N($G405),0))))</f>
        <v/>
      </c>
      <c r="O405" s="25">
        <f>IF($C405="","",IF($E405="collected",N($G405),IF(AND(OR($E405="returned_to_brand",$E405="given_to_roster_office",$E405="released_to_office",$E405="disposed"),IF($F405="","reserve",$F405)="leftover"),-N($G405),IF(AND($E405="correction",IF($F405="","reserve",$F405)="leftover"),N($G405),0))))</f>
        <v/>
      </c>
      <c r="P405" s="25">
        <f>IF(OR($E405&lt;&gt;"received",$I405="",$L405=""),"",IF($I405&gt;=$L405+config!$B$19,"Y","N"))</f>
        <v/>
      </c>
      <c r="Q405" s="25">
        <f>IF($C405="","",IF(COUNTIF(campaigns!$A$2:$A$51,$C405)=0,"campaign_id not on campaigns; ",IF(AND($D405&lt;&gt;"",COUNTIFS(approvals!$A$2:$A$251,$C405,approvals!$B$2:$B$251,$D405)=0),"office not on this campaign (approvals tab); ",""))&amp;IF(AND(OR($E405="delivered",$E405="topped_up",$E405="collected"),$D405=""),"office needed; ","")&amp;IF(AND($E405&lt;&gt;"correction",N($G405)&lt;=0),"qty must be above 0; ","")&amp;IF(AND($E405="received",OR($I405="",$H405="")),"log lot and best-by; ","")&amp;IF(AND($P405="N",SUMIFS(inventory!$G$2:$G$801,inventory!$C$2:$C$801,$C405,inventory!$H$2:$H$801,$H405,inventory!$E$2:$E$801,"rejected")&lt;N($G405)),"UNDER "&amp;config!$B$19&amp;" DAYS LEFT ON THE DROP DAY: reject these units; ","")&amp;IF(AND($E405="delivered",COUNTIF(inventory!$R$2:$R$801,$R405)&gt;1),"two delivered rows for this office: use one; ","")&amp;IF(AND($E405="delivered",$J405=""),"who counted?; ",""))</f>
        <v/>
      </c>
      <c r="R405" s="25">
        <f>IF($C405="","",$C405&amp;"|"&amp;$D405&amp;"|"&amp;$E405)</f>
        <v/>
      </c>
    </row>
    <row r="406">
      <c r="A406" s="9" t="n"/>
      <c r="B406" s="33" t="n"/>
      <c r="I406" s="9" t="n"/>
      <c r="L406" s="26">
        <f>IF($C406="","",IFERROR(IF(INDEX(campaigns!$BG$2:$BG$51,MATCH($C406,campaigns!$A$2:$A$51,0))="","",INDEX(campaigns!$BG$2:$BG$51,MATCH($C406,campaigns!$A$2:$A$51,0))),""))</f>
        <v/>
      </c>
      <c r="M406" s="25">
        <f>IF($C406="","",IF(OR($E406="received"),N($G406),IF(OR($E406="rejected",$E406="delivered",$E406="topped_up"),-N($G406),IF(AND(OR($E406="returned_to_brand",$E406="given_to_roster_office",$E406="released_to_office",$E406="disposed"),IF($F406="","reserve",$F406)="reserve"),-N($G406),IF(AND($E406="correction",IF($F406="","reserve",$F406)="reserve"),N($G406),0)))))</f>
        <v/>
      </c>
      <c r="N406" s="25">
        <f>IF($C406="","",IF($E406="rejected",N($G406),IF(AND(OR($E406="returned_to_brand",$E406="given_to_roster_office",$E406="released_to_office",$E406="disposed"),IF($F406="","reserve",$F406)="rejected"),-N($G406),IF(AND($E406="correction",IF($F406="","reserve",$F406)="rejected"),N($G406),0))))</f>
        <v/>
      </c>
      <c r="O406" s="25">
        <f>IF($C406="","",IF($E406="collected",N($G406),IF(AND(OR($E406="returned_to_brand",$E406="given_to_roster_office",$E406="released_to_office",$E406="disposed"),IF($F406="","reserve",$F406)="leftover"),-N($G406),IF(AND($E406="correction",IF($F406="","reserve",$F406)="leftover"),N($G406),0))))</f>
        <v/>
      </c>
      <c r="P406" s="25">
        <f>IF(OR($E406&lt;&gt;"received",$I406="",$L406=""),"",IF($I406&gt;=$L406+config!$B$19,"Y","N"))</f>
        <v/>
      </c>
      <c r="Q406" s="25">
        <f>IF($C406="","",IF(COUNTIF(campaigns!$A$2:$A$51,$C406)=0,"campaign_id not on campaigns; ",IF(AND($D406&lt;&gt;"",COUNTIFS(approvals!$A$2:$A$251,$C406,approvals!$B$2:$B$251,$D406)=0),"office not on this campaign (approvals tab); ",""))&amp;IF(AND(OR($E406="delivered",$E406="topped_up",$E406="collected"),$D406=""),"office needed; ","")&amp;IF(AND($E406&lt;&gt;"correction",N($G406)&lt;=0),"qty must be above 0; ","")&amp;IF(AND($E406="received",OR($I406="",$H406="")),"log lot and best-by; ","")&amp;IF(AND($P406="N",SUMIFS(inventory!$G$2:$G$801,inventory!$C$2:$C$801,$C406,inventory!$H$2:$H$801,$H406,inventory!$E$2:$E$801,"rejected")&lt;N($G406)),"UNDER "&amp;config!$B$19&amp;" DAYS LEFT ON THE DROP DAY: reject these units; ","")&amp;IF(AND($E406="delivered",COUNTIF(inventory!$R$2:$R$801,$R406)&gt;1),"two delivered rows for this office: use one; ","")&amp;IF(AND($E406="delivered",$J406=""),"who counted?; ",""))</f>
        <v/>
      </c>
      <c r="R406" s="25">
        <f>IF($C406="","",$C406&amp;"|"&amp;$D406&amp;"|"&amp;$E406)</f>
        <v/>
      </c>
    </row>
    <row r="407">
      <c r="A407" s="9" t="n"/>
      <c r="B407" s="33" t="n"/>
      <c r="I407" s="9" t="n"/>
      <c r="L407" s="26">
        <f>IF($C407="","",IFERROR(IF(INDEX(campaigns!$BG$2:$BG$51,MATCH($C407,campaigns!$A$2:$A$51,0))="","",INDEX(campaigns!$BG$2:$BG$51,MATCH($C407,campaigns!$A$2:$A$51,0))),""))</f>
        <v/>
      </c>
      <c r="M407" s="25">
        <f>IF($C407="","",IF(OR($E407="received"),N($G407),IF(OR($E407="rejected",$E407="delivered",$E407="topped_up"),-N($G407),IF(AND(OR($E407="returned_to_brand",$E407="given_to_roster_office",$E407="released_to_office",$E407="disposed"),IF($F407="","reserve",$F407)="reserve"),-N($G407),IF(AND($E407="correction",IF($F407="","reserve",$F407)="reserve"),N($G407),0)))))</f>
        <v/>
      </c>
      <c r="N407" s="25">
        <f>IF($C407="","",IF($E407="rejected",N($G407),IF(AND(OR($E407="returned_to_brand",$E407="given_to_roster_office",$E407="released_to_office",$E407="disposed"),IF($F407="","reserve",$F407)="rejected"),-N($G407),IF(AND($E407="correction",IF($F407="","reserve",$F407)="rejected"),N($G407),0))))</f>
        <v/>
      </c>
      <c r="O407" s="25">
        <f>IF($C407="","",IF($E407="collected",N($G407),IF(AND(OR($E407="returned_to_brand",$E407="given_to_roster_office",$E407="released_to_office",$E407="disposed"),IF($F407="","reserve",$F407)="leftover"),-N($G407),IF(AND($E407="correction",IF($F407="","reserve",$F407)="leftover"),N($G407),0))))</f>
        <v/>
      </c>
      <c r="P407" s="25">
        <f>IF(OR($E407&lt;&gt;"received",$I407="",$L407=""),"",IF($I407&gt;=$L407+config!$B$19,"Y","N"))</f>
        <v/>
      </c>
      <c r="Q407" s="25">
        <f>IF($C407="","",IF(COUNTIF(campaigns!$A$2:$A$51,$C407)=0,"campaign_id not on campaigns; ",IF(AND($D407&lt;&gt;"",COUNTIFS(approvals!$A$2:$A$251,$C407,approvals!$B$2:$B$251,$D407)=0),"office not on this campaign (approvals tab); ",""))&amp;IF(AND(OR($E407="delivered",$E407="topped_up",$E407="collected"),$D407=""),"office needed; ","")&amp;IF(AND($E407&lt;&gt;"correction",N($G407)&lt;=0),"qty must be above 0; ","")&amp;IF(AND($E407="received",OR($I407="",$H407="")),"log lot and best-by; ","")&amp;IF(AND($P407="N",SUMIFS(inventory!$G$2:$G$801,inventory!$C$2:$C$801,$C407,inventory!$H$2:$H$801,$H407,inventory!$E$2:$E$801,"rejected")&lt;N($G407)),"UNDER "&amp;config!$B$19&amp;" DAYS LEFT ON THE DROP DAY: reject these units; ","")&amp;IF(AND($E407="delivered",COUNTIF(inventory!$R$2:$R$801,$R407)&gt;1),"two delivered rows for this office: use one; ","")&amp;IF(AND($E407="delivered",$J407=""),"who counted?; ",""))</f>
        <v/>
      </c>
      <c r="R407" s="25">
        <f>IF($C407="","",$C407&amp;"|"&amp;$D407&amp;"|"&amp;$E407)</f>
        <v/>
      </c>
    </row>
    <row r="408">
      <c r="A408" s="9" t="n"/>
      <c r="B408" s="33" t="n"/>
      <c r="I408" s="9" t="n"/>
      <c r="L408" s="26">
        <f>IF($C408="","",IFERROR(IF(INDEX(campaigns!$BG$2:$BG$51,MATCH($C408,campaigns!$A$2:$A$51,0))="","",INDEX(campaigns!$BG$2:$BG$51,MATCH($C408,campaigns!$A$2:$A$51,0))),""))</f>
        <v/>
      </c>
      <c r="M408" s="25">
        <f>IF($C408="","",IF(OR($E408="received"),N($G408),IF(OR($E408="rejected",$E408="delivered",$E408="topped_up"),-N($G408),IF(AND(OR($E408="returned_to_brand",$E408="given_to_roster_office",$E408="released_to_office",$E408="disposed"),IF($F408="","reserve",$F408)="reserve"),-N($G408),IF(AND($E408="correction",IF($F408="","reserve",$F408)="reserve"),N($G408),0)))))</f>
        <v/>
      </c>
      <c r="N408" s="25">
        <f>IF($C408="","",IF($E408="rejected",N($G408),IF(AND(OR($E408="returned_to_brand",$E408="given_to_roster_office",$E408="released_to_office",$E408="disposed"),IF($F408="","reserve",$F408)="rejected"),-N($G408),IF(AND($E408="correction",IF($F408="","reserve",$F408)="rejected"),N($G408),0))))</f>
        <v/>
      </c>
      <c r="O408" s="25">
        <f>IF($C408="","",IF($E408="collected",N($G408),IF(AND(OR($E408="returned_to_brand",$E408="given_to_roster_office",$E408="released_to_office",$E408="disposed"),IF($F408="","reserve",$F408)="leftover"),-N($G408),IF(AND($E408="correction",IF($F408="","reserve",$F408)="leftover"),N($G408),0))))</f>
        <v/>
      </c>
      <c r="P408" s="25">
        <f>IF(OR($E408&lt;&gt;"received",$I408="",$L408=""),"",IF($I408&gt;=$L408+config!$B$19,"Y","N"))</f>
        <v/>
      </c>
      <c r="Q408" s="25">
        <f>IF($C408="","",IF(COUNTIF(campaigns!$A$2:$A$51,$C408)=0,"campaign_id not on campaigns; ",IF(AND($D408&lt;&gt;"",COUNTIFS(approvals!$A$2:$A$251,$C408,approvals!$B$2:$B$251,$D408)=0),"office not on this campaign (approvals tab); ",""))&amp;IF(AND(OR($E408="delivered",$E408="topped_up",$E408="collected"),$D408=""),"office needed; ","")&amp;IF(AND($E408&lt;&gt;"correction",N($G408)&lt;=0),"qty must be above 0; ","")&amp;IF(AND($E408="received",OR($I408="",$H408="")),"log lot and best-by; ","")&amp;IF(AND($P408="N",SUMIFS(inventory!$G$2:$G$801,inventory!$C$2:$C$801,$C408,inventory!$H$2:$H$801,$H408,inventory!$E$2:$E$801,"rejected")&lt;N($G408)),"UNDER "&amp;config!$B$19&amp;" DAYS LEFT ON THE DROP DAY: reject these units; ","")&amp;IF(AND($E408="delivered",COUNTIF(inventory!$R$2:$R$801,$R408)&gt;1),"two delivered rows for this office: use one; ","")&amp;IF(AND($E408="delivered",$J408=""),"who counted?; ",""))</f>
        <v/>
      </c>
      <c r="R408" s="25">
        <f>IF($C408="","",$C408&amp;"|"&amp;$D408&amp;"|"&amp;$E408)</f>
        <v/>
      </c>
    </row>
    <row r="409">
      <c r="A409" s="9" t="n"/>
      <c r="B409" s="33" t="n"/>
      <c r="I409" s="9" t="n"/>
      <c r="L409" s="26">
        <f>IF($C409="","",IFERROR(IF(INDEX(campaigns!$BG$2:$BG$51,MATCH($C409,campaigns!$A$2:$A$51,0))="","",INDEX(campaigns!$BG$2:$BG$51,MATCH($C409,campaigns!$A$2:$A$51,0))),""))</f>
        <v/>
      </c>
      <c r="M409" s="25">
        <f>IF($C409="","",IF(OR($E409="received"),N($G409),IF(OR($E409="rejected",$E409="delivered",$E409="topped_up"),-N($G409),IF(AND(OR($E409="returned_to_brand",$E409="given_to_roster_office",$E409="released_to_office",$E409="disposed"),IF($F409="","reserve",$F409)="reserve"),-N($G409),IF(AND($E409="correction",IF($F409="","reserve",$F409)="reserve"),N($G409),0)))))</f>
        <v/>
      </c>
      <c r="N409" s="25">
        <f>IF($C409="","",IF($E409="rejected",N($G409),IF(AND(OR($E409="returned_to_brand",$E409="given_to_roster_office",$E409="released_to_office",$E409="disposed"),IF($F409="","reserve",$F409)="rejected"),-N($G409),IF(AND($E409="correction",IF($F409="","reserve",$F409)="rejected"),N($G409),0))))</f>
        <v/>
      </c>
      <c r="O409" s="25">
        <f>IF($C409="","",IF($E409="collected",N($G409),IF(AND(OR($E409="returned_to_brand",$E409="given_to_roster_office",$E409="released_to_office",$E409="disposed"),IF($F409="","reserve",$F409)="leftover"),-N($G409),IF(AND($E409="correction",IF($F409="","reserve",$F409)="leftover"),N($G409),0))))</f>
        <v/>
      </c>
      <c r="P409" s="25">
        <f>IF(OR($E409&lt;&gt;"received",$I409="",$L409=""),"",IF($I409&gt;=$L409+config!$B$19,"Y","N"))</f>
        <v/>
      </c>
      <c r="Q409" s="25">
        <f>IF($C409="","",IF(COUNTIF(campaigns!$A$2:$A$51,$C409)=0,"campaign_id not on campaigns; ",IF(AND($D409&lt;&gt;"",COUNTIFS(approvals!$A$2:$A$251,$C409,approvals!$B$2:$B$251,$D409)=0),"office not on this campaign (approvals tab); ",""))&amp;IF(AND(OR($E409="delivered",$E409="topped_up",$E409="collected"),$D409=""),"office needed; ","")&amp;IF(AND($E409&lt;&gt;"correction",N($G409)&lt;=0),"qty must be above 0; ","")&amp;IF(AND($E409="received",OR($I409="",$H409="")),"log lot and best-by; ","")&amp;IF(AND($P409="N",SUMIFS(inventory!$G$2:$G$801,inventory!$C$2:$C$801,$C409,inventory!$H$2:$H$801,$H409,inventory!$E$2:$E$801,"rejected")&lt;N($G409)),"UNDER "&amp;config!$B$19&amp;" DAYS LEFT ON THE DROP DAY: reject these units; ","")&amp;IF(AND($E409="delivered",COUNTIF(inventory!$R$2:$R$801,$R409)&gt;1),"two delivered rows for this office: use one; ","")&amp;IF(AND($E409="delivered",$J409=""),"who counted?; ",""))</f>
        <v/>
      </c>
      <c r="R409" s="25">
        <f>IF($C409="","",$C409&amp;"|"&amp;$D409&amp;"|"&amp;$E409)</f>
        <v/>
      </c>
    </row>
    <row r="410">
      <c r="A410" s="9" t="n"/>
      <c r="B410" s="33" t="n"/>
      <c r="I410" s="9" t="n"/>
      <c r="L410" s="26">
        <f>IF($C410="","",IFERROR(IF(INDEX(campaigns!$BG$2:$BG$51,MATCH($C410,campaigns!$A$2:$A$51,0))="","",INDEX(campaigns!$BG$2:$BG$51,MATCH($C410,campaigns!$A$2:$A$51,0))),""))</f>
        <v/>
      </c>
      <c r="M410" s="25">
        <f>IF($C410="","",IF(OR($E410="received"),N($G410),IF(OR($E410="rejected",$E410="delivered",$E410="topped_up"),-N($G410),IF(AND(OR($E410="returned_to_brand",$E410="given_to_roster_office",$E410="released_to_office",$E410="disposed"),IF($F410="","reserve",$F410)="reserve"),-N($G410),IF(AND($E410="correction",IF($F410="","reserve",$F410)="reserve"),N($G410),0)))))</f>
        <v/>
      </c>
      <c r="N410" s="25">
        <f>IF($C410="","",IF($E410="rejected",N($G410),IF(AND(OR($E410="returned_to_brand",$E410="given_to_roster_office",$E410="released_to_office",$E410="disposed"),IF($F410="","reserve",$F410)="rejected"),-N($G410),IF(AND($E410="correction",IF($F410="","reserve",$F410)="rejected"),N($G410),0))))</f>
        <v/>
      </c>
      <c r="O410" s="25">
        <f>IF($C410="","",IF($E410="collected",N($G410),IF(AND(OR($E410="returned_to_brand",$E410="given_to_roster_office",$E410="released_to_office",$E410="disposed"),IF($F410="","reserve",$F410)="leftover"),-N($G410),IF(AND($E410="correction",IF($F410="","reserve",$F410)="leftover"),N($G410),0))))</f>
        <v/>
      </c>
      <c r="P410" s="25">
        <f>IF(OR($E410&lt;&gt;"received",$I410="",$L410=""),"",IF($I410&gt;=$L410+config!$B$19,"Y","N"))</f>
        <v/>
      </c>
      <c r="Q410" s="25">
        <f>IF($C410="","",IF(COUNTIF(campaigns!$A$2:$A$51,$C410)=0,"campaign_id not on campaigns; ",IF(AND($D410&lt;&gt;"",COUNTIFS(approvals!$A$2:$A$251,$C410,approvals!$B$2:$B$251,$D410)=0),"office not on this campaign (approvals tab); ",""))&amp;IF(AND(OR($E410="delivered",$E410="topped_up",$E410="collected"),$D410=""),"office needed; ","")&amp;IF(AND($E410&lt;&gt;"correction",N($G410)&lt;=0),"qty must be above 0; ","")&amp;IF(AND($E410="received",OR($I410="",$H410="")),"log lot and best-by; ","")&amp;IF(AND($P410="N",SUMIFS(inventory!$G$2:$G$801,inventory!$C$2:$C$801,$C410,inventory!$H$2:$H$801,$H410,inventory!$E$2:$E$801,"rejected")&lt;N($G410)),"UNDER "&amp;config!$B$19&amp;" DAYS LEFT ON THE DROP DAY: reject these units; ","")&amp;IF(AND($E410="delivered",COUNTIF(inventory!$R$2:$R$801,$R410)&gt;1),"two delivered rows for this office: use one; ","")&amp;IF(AND($E410="delivered",$J410=""),"who counted?; ",""))</f>
        <v/>
      </c>
      <c r="R410" s="25">
        <f>IF($C410="","",$C410&amp;"|"&amp;$D410&amp;"|"&amp;$E410)</f>
        <v/>
      </c>
    </row>
    <row r="411">
      <c r="A411" s="9" t="n"/>
      <c r="B411" s="33" t="n"/>
      <c r="I411" s="9" t="n"/>
      <c r="L411" s="26">
        <f>IF($C411="","",IFERROR(IF(INDEX(campaigns!$BG$2:$BG$51,MATCH($C411,campaigns!$A$2:$A$51,0))="","",INDEX(campaigns!$BG$2:$BG$51,MATCH($C411,campaigns!$A$2:$A$51,0))),""))</f>
        <v/>
      </c>
      <c r="M411" s="25">
        <f>IF($C411="","",IF(OR($E411="received"),N($G411),IF(OR($E411="rejected",$E411="delivered",$E411="topped_up"),-N($G411),IF(AND(OR($E411="returned_to_brand",$E411="given_to_roster_office",$E411="released_to_office",$E411="disposed"),IF($F411="","reserve",$F411)="reserve"),-N($G411),IF(AND($E411="correction",IF($F411="","reserve",$F411)="reserve"),N($G411),0)))))</f>
        <v/>
      </c>
      <c r="N411" s="25">
        <f>IF($C411="","",IF($E411="rejected",N($G411),IF(AND(OR($E411="returned_to_brand",$E411="given_to_roster_office",$E411="released_to_office",$E411="disposed"),IF($F411="","reserve",$F411)="rejected"),-N($G411),IF(AND($E411="correction",IF($F411="","reserve",$F411)="rejected"),N($G411),0))))</f>
        <v/>
      </c>
      <c r="O411" s="25">
        <f>IF($C411="","",IF($E411="collected",N($G411),IF(AND(OR($E411="returned_to_brand",$E411="given_to_roster_office",$E411="released_to_office",$E411="disposed"),IF($F411="","reserve",$F411)="leftover"),-N($G411),IF(AND($E411="correction",IF($F411="","reserve",$F411)="leftover"),N($G411),0))))</f>
        <v/>
      </c>
      <c r="P411" s="25">
        <f>IF(OR($E411&lt;&gt;"received",$I411="",$L411=""),"",IF($I411&gt;=$L411+config!$B$19,"Y","N"))</f>
        <v/>
      </c>
      <c r="Q411" s="25">
        <f>IF($C411="","",IF(COUNTIF(campaigns!$A$2:$A$51,$C411)=0,"campaign_id not on campaigns; ",IF(AND($D411&lt;&gt;"",COUNTIFS(approvals!$A$2:$A$251,$C411,approvals!$B$2:$B$251,$D411)=0),"office not on this campaign (approvals tab); ",""))&amp;IF(AND(OR($E411="delivered",$E411="topped_up",$E411="collected"),$D411=""),"office needed; ","")&amp;IF(AND($E411&lt;&gt;"correction",N($G411)&lt;=0),"qty must be above 0; ","")&amp;IF(AND($E411="received",OR($I411="",$H411="")),"log lot and best-by; ","")&amp;IF(AND($P411="N",SUMIFS(inventory!$G$2:$G$801,inventory!$C$2:$C$801,$C411,inventory!$H$2:$H$801,$H411,inventory!$E$2:$E$801,"rejected")&lt;N($G411)),"UNDER "&amp;config!$B$19&amp;" DAYS LEFT ON THE DROP DAY: reject these units; ","")&amp;IF(AND($E411="delivered",COUNTIF(inventory!$R$2:$R$801,$R411)&gt;1),"two delivered rows for this office: use one; ","")&amp;IF(AND($E411="delivered",$J411=""),"who counted?; ",""))</f>
        <v/>
      </c>
      <c r="R411" s="25">
        <f>IF($C411="","",$C411&amp;"|"&amp;$D411&amp;"|"&amp;$E411)</f>
        <v/>
      </c>
    </row>
    <row r="412">
      <c r="A412" s="9" t="n"/>
      <c r="B412" s="33" t="n"/>
      <c r="I412" s="9" t="n"/>
      <c r="L412" s="26">
        <f>IF($C412="","",IFERROR(IF(INDEX(campaigns!$BG$2:$BG$51,MATCH($C412,campaigns!$A$2:$A$51,0))="","",INDEX(campaigns!$BG$2:$BG$51,MATCH($C412,campaigns!$A$2:$A$51,0))),""))</f>
        <v/>
      </c>
      <c r="M412" s="25">
        <f>IF($C412="","",IF(OR($E412="received"),N($G412),IF(OR($E412="rejected",$E412="delivered",$E412="topped_up"),-N($G412),IF(AND(OR($E412="returned_to_brand",$E412="given_to_roster_office",$E412="released_to_office",$E412="disposed"),IF($F412="","reserve",$F412)="reserve"),-N($G412),IF(AND($E412="correction",IF($F412="","reserve",$F412)="reserve"),N($G412),0)))))</f>
        <v/>
      </c>
      <c r="N412" s="25">
        <f>IF($C412="","",IF($E412="rejected",N($G412),IF(AND(OR($E412="returned_to_brand",$E412="given_to_roster_office",$E412="released_to_office",$E412="disposed"),IF($F412="","reserve",$F412)="rejected"),-N($G412),IF(AND($E412="correction",IF($F412="","reserve",$F412)="rejected"),N($G412),0))))</f>
        <v/>
      </c>
      <c r="O412" s="25">
        <f>IF($C412="","",IF($E412="collected",N($G412),IF(AND(OR($E412="returned_to_brand",$E412="given_to_roster_office",$E412="released_to_office",$E412="disposed"),IF($F412="","reserve",$F412)="leftover"),-N($G412),IF(AND($E412="correction",IF($F412="","reserve",$F412)="leftover"),N($G412),0))))</f>
        <v/>
      </c>
      <c r="P412" s="25">
        <f>IF(OR($E412&lt;&gt;"received",$I412="",$L412=""),"",IF($I412&gt;=$L412+config!$B$19,"Y","N"))</f>
        <v/>
      </c>
      <c r="Q412" s="25">
        <f>IF($C412="","",IF(COUNTIF(campaigns!$A$2:$A$51,$C412)=0,"campaign_id not on campaigns; ",IF(AND($D412&lt;&gt;"",COUNTIFS(approvals!$A$2:$A$251,$C412,approvals!$B$2:$B$251,$D412)=0),"office not on this campaign (approvals tab); ",""))&amp;IF(AND(OR($E412="delivered",$E412="topped_up",$E412="collected"),$D412=""),"office needed; ","")&amp;IF(AND($E412&lt;&gt;"correction",N($G412)&lt;=0),"qty must be above 0; ","")&amp;IF(AND($E412="received",OR($I412="",$H412="")),"log lot and best-by; ","")&amp;IF(AND($P412="N",SUMIFS(inventory!$G$2:$G$801,inventory!$C$2:$C$801,$C412,inventory!$H$2:$H$801,$H412,inventory!$E$2:$E$801,"rejected")&lt;N($G412)),"UNDER "&amp;config!$B$19&amp;" DAYS LEFT ON THE DROP DAY: reject these units; ","")&amp;IF(AND($E412="delivered",COUNTIF(inventory!$R$2:$R$801,$R412)&gt;1),"two delivered rows for this office: use one; ","")&amp;IF(AND($E412="delivered",$J412=""),"who counted?; ",""))</f>
        <v/>
      </c>
      <c r="R412" s="25">
        <f>IF($C412="","",$C412&amp;"|"&amp;$D412&amp;"|"&amp;$E412)</f>
        <v/>
      </c>
    </row>
    <row r="413">
      <c r="A413" s="9" t="n"/>
      <c r="B413" s="33" t="n"/>
      <c r="I413" s="9" t="n"/>
      <c r="L413" s="26">
        <f>IF($C413="","",IFERROR(IF(INDEX(campaigns!$BG$2:$BG$51,MATCH($C413,campaigns!$A$2:$A$51,0))="","",INDEX(campaigns!$BG$2:$BG$51,MATCH($C413,campaigns!$A$2:$A$51,0))),""))</f>
        <v/>
      </c>
      <c r="M413" s="25">
        <f>IF($C413="","",IF(OR($E413="received"),N($G413),IF(OR($E413="rejected",$E413="delivered",$E413="topped_up"),-N($G413),IF(AND(OR($E413="returned_to_brand",$E413="given_to_roster_office",$E413="released_to_office",$E413="disposed"),IF($F413="","reserve",$F413)="reserve"),-N($G413),IF(AND($E413="correction",IF($F413="","reserve",$F413)="reserve"),N($G413),0)))))</f>
        <v/>
      </c>
      <c r="N413" s="25">
        <f>IF($C413="","",IF($E413="rejected",N($G413),IF(AND(OR($E413="returned_to_brand",$E413="given_to_roster_office",$E413="released_to_office",$E413="disposed"),IF($F413="","reserve",$F413)="rejected"),-N($G413),IF(AND($E413="correction",IF($F413="","reserve",$F413)="rejected"),N($G413),0))))</f>
        <v/>
      </c>
      <c r="O413" s="25">
        <f>IF($C413="","",IF($E413="collected",N($G413),IF(AND(OR($E413="returned_to_brand",$E413="given_to_roster_office",$E413="released_to_office",$E413="disposed"),IF($F413="","reserve",$F413)="leftover"),-N($G413),IF(AND($E413="correction",IF($F413="","reserve",$F413)="leftover"),N($G413),0))))</f>
        <v/>
      </c>
      <c r="P413" s="25">
        <f>IF(OR($E413&lt;&gt;"received",$I413="",$L413=""),"",IF($I413&gt;=$L413+config!$B$19,"Y","N"))</f>
        <v/>
      </c>
      <c r="Q413" s="25">
        <f>IF($C413="","",IF(COUNTIF(campaigns!$A$2:$A$51,$C413)=0,"campaign_id not on campaigns; ",IF(AND($D413&lt;&gt;"",COUNTIFS(approvals!$A$2:$A$251,$C413,approvals!$B$2:$B$251,$D413)=0),"office not on this campaign (approvals tab); ",""))&amp;IF(AND(OR($E413="delivered",$E413="topped_up",$E413="collected"),$D413=""),"office needed; ","")&amp;IF(AND($E413&lt;&gt;"correction",N($G413)&lt;=0),"qty must be above 0; ","")&amp;IF(AND($E413="received",OR($I413="",$H413="")),"log lot and best-by; ","")&amp;IF(AND($P413="N",SUMIFS(inventory!$G$2:$G$801,inventory!$C$2:$C$801,$C413,inventory!$H$2:$H$801,$H413,inventory!$E$2:$E$801,"rejected")&lt;N($G413)),"UNDER "&amp;config!$B$19&amp;" DAYS LEFT ON THE DROP DAY: reject these units; ","")&amp;IF(AND($E413="delivered",COUNTIF(inventory!$R$2:$R$801,$R413)&gt;1),"two delivered rows for this office: use one; ","")&amp;IF(AND($E413="delivered",$J413=""),"who counted?; ",""))</f>
        <v/>
      </c>
      <c r="R413" s="25">
        <f>IF($C413="","",$C413&amp;"|"&amp;$D413&amp;"|"&amp;$E413)</f>
        <v/>
      </c>
    </row>
    <row r="414">
      <c r="A414" s="9" t="n"/>
      <c r="B414" s="33" t="n"/>
      <c r="I414" s="9" t="n"/>
      <c r="L414" s="26">
        <f>IF($C414="","",IFERROR(IF(INDEX(campaigns!$BG$2:$BG$51,MATCH($C414,campaigns!$A$2:$A$51,0))="","",INDEX(campaigns!$BG$2:$BG$51,MATCH($C414,campaigns!$A$2:$A$51,0))),""))</f>
        <v/>
      </c>
      <c r="M414" s="25">
        <f>IF($C414="","",IF(OR($E414="received"),N($G414),IF(OR($E414="rejected",$E414="delivered",$E414="topped_up"),-N($G414),IF(AND(OR($E414="returned_to_brand",$E414="given_to_roster_office",$E414="released_to_office",$E414="disposed"),IF($F414="","reserve",$F414)="reserve"),-N($G414),IF(AND($E414="correction",IF($F414="","reserve",$F414)="reserve"),N($G414),0)))))</f>
        <v/>
      </c>
      <c r="N414" s="25">
        <f>IF($C414="","",IF($E414="rejected",N($G414),IF(AND(OR($E414="returned_to_brand",$E414="given_to_roster_office",$E414="released_to_office",$E414="disposed"),IF($F414="","reserve",$F414)="rejected"),-N($G414),IF(AND($E414="correction",IF($F414="","reserve",$F414)="rejected"),N($G414),0))))</f>
        <v/>
      </c>
      <c r="O414" s="25">
        <f>IF($C414="","",IF($E414="collected",N($G414),IF(AND(OR($E414="returned_to_brand",$E414="given_to_roster_office",$E414="released_to_office",$E414="disposed"),IF($F414="","reserve",$F414)="leftover"),-N($G414),IF(AND($E414="correction",IF($F414="","reserve",$F414)="leftover"),N($G414),0))))</f>
        <v/>
      </c>
      <c r="P414" s="25">
        <f>IF(OR($E414&lt;&gt;"received",$I414="",$L414=""),"",IF($I414&gt;=$L414+config!$B$19,"Y","N"))</f>
        <v/>
      </c>
      <c r="Q414" s="25">
        <f>IF($C414="","",IF(COUNTIF(campaigns!$A$2:$A$51,$C414)=0,"campaign_id not on campaigns; ",IF(AND($D414&lt;&gt;"",COUNTIFS(approvals!$A$2:$A$251,$C414,approvals!$B$2:$B$251,$D414)=0),"office not on this campaign (approvals tab); ",""))&amp;IF(AND(OR($E414="delivered",$E414="topped_up",$E414="collected"),$D414=""),"office needed; ","")&amp;IF(AND($E414&lt;&gt;"correction",N($G414)&lt;=0),"qty must be above 0; ","")&amp;IF(AND($E414="received",OR($I414="",$H414="")),"log lot and best-by; ","")&amp;IF(AND($P414="N",SUMIFS(inventory!$G$2:$G$801,inventory!$C$2:$C$801,$C414,inventory!$H$2:$H$801,$H414,inventory!$E$2:$E$801,"rejected")&lt;N($G414)),"UNDER "&amp;config!$B$19&amp;" DAYS LEFT ON THE DROP DAY: reject these units; ","")&amp;IF(AND($E414="delivered",COUNTIF(inventory!$R$2:$R$801,$R414)&gt;1),"two delivered rows for this office: use one; ","")&amp;IF(AND($E414="delivered",$J414=""),"who counted?; ",""))</f>
        <v/>
      </c>
      <c r="R414" s="25">
        <f>IF($C414="","",$C414&amp;"|"&amp;$D414&amp;"|"&amp;$E414)</f>
        <v/>
      </c>
    </row>
    <row r="415">
      <c r="A415" s="9" t="n"/>
      <c r="B415" s="33" t="n"/>
      <c r="I415" s="9" t="n"/>
      <c r="L415" s="26">
        <f>IF($C415="","",IFERROR(IF(INDEX(campaigns!$BG$2:$BG$51,MATCH($C415,campaigns!$A$2:$A$51,0))="","",INDEX(campaigns!$BG$2:$BG$51,MATCH($C415,campaigns!$A$2:$A$51,0))),""))</f>
        <v/>
      </c>
      <c r="M415" s="25">
        <f>IF($C415="","",IF(OR($E415="received"),N($G415),IF(OR($E415="rejected",$E415="delivered",$E415="topped_up"),-N($G415),IF(AND(OR($E415="returned_to_brand",$E415="given_to_roster_office",$E415="released_to_office",$E415="disposed"),IF($F415="","reserve",$F415)="reserve"),-N($G415),IF(AND($E415="correction",IF($F415="","reserve",$F415)="reserve"),N($G415),0)))))</f>
        <v/>
      </c>
      <c r="N415" s="25">
        <f>IF($C415="","",IF($E415="rejected",N($G415),IF(AND(OR($E415="returned_to_brand",$E415="given_to_roster_office",$E415="released_to_office",$E415="disposed"),IF($F415="","reserve",$F415)="rejected"),-N($G415),IF(AND($E415="correction",IF($F415="","reserve",$F415)="rejected"),N($G415),0))))</f>
        <v/>
      </c>
      <c r="O415" s="25">
        <f>IF($C415="","",IF($E415="collected",N($G415),IF(AND(OR($E415="returned_to_brand",$E415="given_to_roster_office",$E415="released_to_office",$E415="disposed"),IF($F415="","reserve",$F415)="leftover"),-N($G415),IF(AND($E415="correction",IF($F415="","reserve",$F415)="leftover"),N($G415),0))))</f>
        <v/>
      </c>
      <c r="P415" s="25">
        <f>IF(OR($E415&lt;&gt;"received",$I415="",$L415=""),"",IF($I415&gt;=$L415+config!$B$19,"Y","N"))</f>
        <v/>
      </c>
      <c r="Q415" s="25">
        <f>IF($C415="","",IF(COUNTIF(campaigns!$A$2:$A$51,$C415)=0,"campaign_id not on campaigns; ",IF(AND($D415&lt;&gt;"",COUNTIFS(approvals!$A$2:$A$251,$C415,approvals!$B$2:$B$251,$D415)=0),"office not on this campaign (approvals tab); ",""))&amp;IF(AND(OR($E415="delivered",$E415="topped_up",$E415="collected"),$D415=""),"office needed; ","")&amp;IF(AND($E415&lt;&gt;"correction",N($G415)&lt;=0),"qty must be above 0; ","")&amp;IF(AND($E415="received",OR($I415="",$H415="")),"log lot and best-by; ","")&amp;IF(AND($P415="N",SUMIFS(inventory!$G$2:$G$801,inventory!$C$2:$C$801,$C415,inventory!$H$2:$H$801,$H415,inventory!$E$2:$E$801,"rejected")&lt;N($G415)),"UNDER "&amp;config!$B$19&amp;" DAYS LEFT ON THE DROP DAY: reject these units; ","")&amp;IF(AND($E415="delivered",COUNTIF(inventory!$R$2:$R$801,$R415)&gt;1),"two delivered rows for this office: use one; ","")&amp;IF(AND($E415="delivered",$J415=""),"who counted?; ",""))</f>
        <v/>
      </c>
      <c r="R415" s="25">
        <f>IF($C415="","",$C415&amp;"|"&amp;$D415&amp;"|"&amp;$E415)</f>
        <v/>
      </c>
    </row>
    <row r="416">
      <c r="A416" s="9" t="n"/>
      <c r="B416" s="33" t="n"/>
      <c r="I416" s="9" t="n"/>
      <c r="L416" s="26">
        <f>IF($C416="","",IFERROR(IF(INDEX(campaigns!$BG$2:$BG$51,MATCH($C416,campaigns!$A$2:$A$51,0))="","",INDEX(campaigns!$BG$2:$BG$51,MATCH($C416,campaigns!$A$2:$A$51,0))),""))</f>
        <v/>
      </c>
      <c r="M416" s="25">
        <f>IF($C416="","",IF(OR($E416="received"),N($G416),IF(OR($E416="rejected",$E416="delivered",$E416="topped_up"),-N($G416),IF(AND(OR($E416="returned_to_brand",$E416="given_to_roster_office",$E416="released_to_office",$E416="disposed"),IF($F416="","reserve",$F416)="reserve"),-N($G416),IF(AND($E416="correction",IF($F416="","reserve",$F416)="reserve"),N($G416),0)))))</f>
        <v/>
      </c>
      <c r="N416" s="25">
        <f>IF($C416="","",IF($E416="rejected",N($G416),IF(AND(OR($E416="returned_to_brand",$E416="given_to_roster_office",$E416="released_to_office",$E416="disposed"),IF($F416="","reserve",$F416)="rejected"),-N($G416),IF(AND($E416="correction",IF($F416="","reserve",$F416)="rejected"),N($G416),0))))</f>
        <v/>
      </c>
      <c r="O416" s="25">
        <f>IF($C416="","",IF($E416="collected",N($G416),IF(AND(OR($E416="returned_to_brand",$E416="given_to_roster_office",$E416="released_to_office",$E416="disposed"),IF($F416="","reserve",$F416)="leftover"),-N($G416),IF(AND($E416="correction",IF($F416="","reserve",$F416)="leftover"),N($G416),0))))</f>
        <v/>
      </c>
      <c r="P416" s="25">
        <f>IF(OR($E416&lt;&gt;"received",$I416="",$L416=""),"",IF($I416&gt;=$L416+config!$B$19,"Y","N"))</f>
        <v/>
      </c>
      <c r="Q416" s="25">
        <f>IF($C416="","",IF(COUNTIF(campaigns!$A$2:$A$51,$C416)=0,"campaign_id not on campaigns; ",IF(AND($D416&lt;&gt;"",COUNTIFS(approvals!$A$2:$A$251,$C416,approvals!$B$2:$B$251,$D416)=0),"office not on this campaign (approvals tab); ",""))&amp;IF(AND(OR($E416="delivered",$E416="topped_up",$E416="collected"),$D416=""),"office needed; ","")&amp;IF(AND($E416&lt;&gt;"correction",N($G416)&lt;=0),"qty must be above 0; ","")&amp;IF(AND($E416="received",OR($I416="",$H416="")),"log lot and best-by; ","")&amp;IF(AND($P416="N",SUMIFS(inventory!$G$2:$G$801,inventory!$C$2:$C$801,$C416,inventory!$H$2:$H$801,$H416,inventory!$E$2:$E$801,"rejected")&lt;N($G416)),"UNDER "&amp;config!$B$19&amp;" DAYS LEFT ON THE DROP DAY: reject these units; ","")&amp;IF(AND($E416="delivered",COUNTIF(inventory!$R$2:$R$801,$R416)&gt;1),"two delivered rows for this office: use one; ","")&amp;IF(AND($E416="delivered",$J416=""),"who counted?; ",""))</f>
        <v/>
      </c>
      <c r="R416" s="25">
        <f>IF($C416="","",$C416&amp;"|"&amp;$D416&amp;"|"&amp;$E416)</f>
        <v/>
      </c>
    </row>
    <row r="417">
      <c r="A417" s="9" t="n"/>
      <c r="B417" s="33" t="n"/>
      <c r="I417" s="9" t="n"/>
      <c r="L417" s="26">
        <f>IF($C417="","",IFERROR(IF(INDEX(campaigns!$BG$2:$BG$51,MATCH($C417,campaigns!$A$2:$A$51,0))="","",INDEX(campaigns!$BG$2:$BG$51,MATCH($C417,campaigns!$A$2:$A$51,0))),""))</f>
        <v/>
      </c>
      <c r="M417" s="25">
        <f>IF($C417="","",IF(OR($E417="received"),N($G417),IF(OR($E417="rejected",$E417="delivered",$E417="topped_up"),-N($G417),IF(AND(OR($E417="returned_to_brand",$E417="given_to_roster_office",$E417="released_to_office",$E417="disposed"),IF($F417="","reserve",$F417)="reserve"),-N($G417),IF(AND($E417="correction",IF($F417="","reserve",$F417)="reserve"),N($G417),0)))))</f>
        <v/>
      </c>
      <c r="N417" s="25">
        <f>IF($C417="","",IF($E417="rejected",N($G417),IF(AND(OR($E417="returned_to_brand",$E417="given_to_roster_office",$E417="released_to_office",$E417="disposed"),IF($F417="","reserve",$F417)="rejected"),-N($G417),IF(AND($E417="correction",IF($F417="","reserve",$F417)="rejected"),N($G417),0))))</f>
        <v/>
      </c>
      <c r="O417" s="25">
        <f>IF($C417="","",IF($E417="collected",N($G417),IF(AND(OR($E417="returned_to_brand",$E417="given_to_roster_office",$E417="released_to_office",$E417="disposed"),IF($F417="","reserve",$F417)="leftover"),-N($G417),IF(AND($E417="correction",IF($F417="","reserve",$F417)="leftover"),N($G417),0))))</f>
        <v/>
      </c>
      <c r="P417" s="25">
        <f>IF(OR($E417&lt;&gt;"received",$I417="",$L417=""),"",IF($I417&gt;=$L417+config!$B$19,"Y","N"))</f>
        <v/>
      </c>
      <c r="Q417" s="25">
        <f>IF($C417="","",IF(COUNTIF(campaigns!$A$2:$A$51,$C417)=0,"campaign_id not on campaigns; ",IF(AND($D417&lt;&gt;"",COUNTIFS(approvals!$A$2:$A$251,$C417,approvals!$B$2:$B$251,$D417)=0),"office not on this campaign (approvals tab); ",""))&amp;IF(AND(OR($E417="delivered",$E417="topped_up",$E417="collected"),$D417=""),"office needed; ","")&amp;IF(AND($E417&lt;&gt;"correction",N($G417)&lt;=0),"qty must be above 0; ","")&amp;IF(AND($E417="received",OR($I417="",$H417="")),"log lot and best-by; ","")&amp;IF(AND($P417="N",SUMIFS(inventory!$G$2:$G$801,inventory!$C$2:$C$801,$C417,inventory!$H$2:$H$801,$H417,inventory!$E$2:$E$801,"rejected")&lt;N($G417)),"UNDER "&amp;config!$B$19&amp;" DAYS LEFT ON THE DROP DAY: reject these units; ","")&amp;IF(AND($E417="delivered",COUNTIF(inventory!$R$2:$R$801,$R417)&gt;1),"two delivered rows for this office: use one; ","")&amp;IF(AND($E417="delivered",$J417=""),"who counted?; ",""))</f>
        <v/>
      </c>
      <c r="R417" s="25">
        <f>IF($C417="","",$C417&amp;"|"&amp;$D417&amp;"|"&amp;$E417)</f>
        <v/>
      </c>
    </row>
    <row r="418">
      <c r="A418" s="9" t="n"/>
      <c r="B418" s="33" t="n"/>
      <c r="I418" s="9" t="n"/>
      <c r="L418" s="26">
        <f>IF($C418="","",IFERROR(IF(INDEX(campaigns!$BG$2:$BG$51,MATCH($C418,campaigns!$A$2:$A$51,0))="","",INDEX(campaigns!$BG$2:$BG$51,MATCH($C418,campaigns!$A$2:$A$51,0))),""))</f>
        <v/>
      </c>
      <c r="M418" s="25">
        <f>IF($C418="","",IF(OR($E418="received"),N($G418),IF(OR($E418="rejected",$E418="delivered",$E418="topped_up"),-N($G418),IF(AND(OR($E418="returned_to_brand",$E418="given_to_roster_office",$E418="released_to_office",$E418="disposed"),IF($F418="","reserve",$F418)="reserve"),-N($G418),IF(AND($E418="correction",IF($F418="","reserve",$F418)="reserve"),N($G418),0)))))</f>
        <v/>
      </c>
      <c r="N418" s="25">
        <f>IF($C418="","",IF($E418="rejected",N($G418),IF(AND(OR($E418="returned_to_brand",$E418="given_to_roster_office",$E418="released_to_office",$E418="disposed"),IF($F418="","reserve",$F418)="rejected"),-N($G418),IF(AND($E418="correction",IF($F418="","reserve",$F418)="rejected"),N($G418),0))))</f>
        <v/>
      </c>
      <c r="O418" s="25">
        <f>IF($C418="","",IF($E418="collected",N($G418),IF(AND(OR($E418="returned_to_brand",$E418="given_to_roster_office",$E418="released_to_office",$E418="disposed"),IF($F418="","reserve",$F418)="leftover"),-N($G418),IF(AND($E418="correction",IF($F418="","reserve",$F418)="leftover"),N($G418),0))))</f>
        <v/>
      </c>
      <c r="P418" s="25">
        <f>IF(OR($E418&lt;&gt;"received",$I418="",$L418=""),"",IF($I418&gt;=$L418+config!$B$19,"Y","N"))</f>
        <v/>
      </c>
      <c r="Q418" s="25">
        <f>IF($C418="","",IF(COUNTIF(campaigns!$A$2:$A$51,$C418)=0,"campaign_id not on campaigns; ",IF(AND($D418&lt;&gt;"",COUNTIFS(approvals!$A$2:$A$251,$C418,approvals!$B$2:$B$251,$D418)=0),"office not on this campaign (approvals tab); ",""))&amp;IF(AND(OR($E418="delivered",$E418="topped_up",$E418="collected"),$D418=""),"office needed; ","")&amp;IF(AND($E418&lt;&gt;"correction",N($G418)&lt;=0),"qty must be above 0; ","")&amp;IF(AND($E418="received",OR($I418="",$H418="")),"log lot and best-by; ","")&amp;IF(AND($P418="N",SUMIFS(inventory!$G$2:$G$801,inventory!$C$2:$C$801,$C418,inventory!$H$2:$H$801,$H418,inventory!$E$2:$E$801,"rejected")&lt;N($G418)),"UNDER "&amp;config!$B$19&amp;" DAYS LEFT ON THE DROP DAY: reject these units; ","")&amp;IF(AND($E418="delivered",COUNTIF(inventory!$R$2:$R$801,$R418)&gt;1),"two delivered rows for this office: use one; ","")&amp;IF(AND($E418="delivered",$J418=""),"who counted?; ",""))</f>
        <v/>
      </c>
      <c r="R418" s="25">
        <f>IF($C418="","",$C418&amp;"|"&amp;$D418&amp;"|"&amp;$E418)</f>
        <v/>
      </c>
    </row>
    <row r="419">
      <c r="A419" s="9" t="n"/>
      <c r="B419" s="33" t="n"/>
      <c r="I419" s="9" t="n"/>
      <c r="L419" s="26">
        <f>IF($C419="","",IFERROR(IF(INDEX(campaigns!$BG$2:$BG$51,MATCH($C419,campaigns!$A$2:$A$51,0))="","",INDEX(campaigns!$BG$2:$BG$51,MATCH($C419,campaigns!$A$2:$A$51,0))),""))</f>
        <v/>
      </c>
      <c r="M419" s="25">
        <f>IF($C419="","",IF(OR($E419="received"),N($G419),IF(OR($E419="rejected",$E419="delivered",$E419="topped_up"),-N($G419),IF(AND(OR($E419="returned_to_brand",$E419="given_to_roster_office",$E419="released_to_office",$E419="disposed"),IF($F419="","reserve",$F419)="reserve"),-N($G419),IF(AND($E419="correction",IF($F419="","reserve",$F419)="reserve"),N($G419),0)))))</f>
        <v/>
      </c>
      <c r="N419" s="25">
        <f>IF($C419="","",IF($E419="rejected",N($G419),IF(AND(OR($E419="returned_to_brand",$E419="given_to_roster_office",$E419="released_to_office",$E419="disposed"),IF($F419="","reserve",$F419)="rejected"),-N($G419),IF(AND($E419="correction",IF($F419="","reserve",$F419)="rejected"),N($G419),0))))</f>
        <v/>
      </c>
      <c r="O419" s="25">
        <f>IF($C419="","",IF($E419="collected",N($G419),IF(AND(OR($E419="returned_to_brand",$E419="given_to_roster_office",$E419="released_to_office",$E419="disposed"),IF($F419="","reserve",$F419)="leftover"),-N($G419),IF(AND($E419="correction",IF($F419="","reserve",$F419)="leftover"),N($G419),0))))</f>
        <v/>
      </c>
      <c r="P419" s="25">
        <f>IF(OR($E419&lt;&gt;"received",$I419="",$L419=""),"",IF($I419&gt;=$L419+config!$B$19,"Y","N"))</f>
        <v/>
      </c>
      <c r="Q419" s="25">
        <f>IF($C419="","",IF(COUNTIF(campaigns!$A$2:$A$51,$C419)=0,"campaign_id not on campaigns; ",IF(AND($D419&lt;&gt;"",COUNTIFS(approvals!$A$2:$A$251,$C419,approvals!$B$2:$B$251,$D419)=0),"office not on this campaign (approvals tab); ",""))&amp;IF(AND(OR($E419="delivered",$E419="topped_up",$E419="collected"),$D419=""),"office needed; ","")&amp;IF(AND($E419&lt;&gt;"correction",N($G419)&lt;=0),"qty must be above 0; ","")&amp;IF(AND($E419="received",OR($I419="",$H419="")),"log lot and best-by; ","")&amp;IF(AND($P419="N",SUMIFS(inventory!$G$2:$G$801,inventory!$C$2:$C$801,$C419,inventory!$H$2:$H$801,$H419,inventory!$E$2:$E$801,"rejected")&lt;N($G419)),"UNDER "&amp;config!$B$19&amp;" DAYS LEFT ON THE DROP DAY: reject these units; ","")&amp;IF(AND($E419="delivered",COUNTIF(inventory!$R$2:$R$801,$R419)&gt;1),"two delivered rows for this office: use one; ","")&amp;IF(AND($E419="delivered",$J419=""),"who counted?; ",""))</f>
        <v/>
      </c>
      <c r="R419" s="25">
        <f>IF($C419="","",$C419&amp;"|"&amp;$D419&amp;"|"&amp;$E419)</f>
        <v/>
      </c>
    </row>
    <row r="420">
      <c r="A420" s="9" t="n"/>
      <c r="B420" s="33" t="n"/>
      <c r="I420" s="9" t="n"/>
      <c r="L420" s="26">
        <f>IF($C420="","",IFERROR(IF(INDEX(campaigns!$BG$2:$BG$51,MATCH($C420,campaigns!$A$2:$A$51,0))="","",INDEX(campaigns!$BG$2:$BG$51,MATCH($C420,campaigns!$A$2:$A$51,0))),""))</f>
        <v/>
      </c>
      <c r="M420" s="25">
        <f>IF($C420="","",IF(OR($E420="received"),N($G420),IF(OR($E420="rejected",$E420="delivered",$E420="topped_up"),-N($G420),IF(AND(OR($E420="returned_to_brand",$E420="given_to_roster_office",$E420="released_to_office",$E420="disposed"),IF($F420="","reserve",$F420)="reserve"),-N($G420),IF(AND($E420="correction",IF($F420="","reserve",$F420)="reserve"),N($G420),0)))))</f>
        <v/>
      </c>
      <c r="N420" s="25">
        <f>IF($C420="","",IF($E420="rejected",N($G420),IF(AND(OR($E420="returned_to_brand",$E420="given_to_roster_office",$E420="released_to_office",$E420="disposed"),IF($F420="","reserve",$F420)="rejected"),-N($G420),IF(AND($E420="correction",IF($F420="","reserve",$F420)="rejected"),N($G420),0))))</f>
        <v/>
      </c>
      <c r="O420" s="25">
        <f>IF($C420="","",IF($E420="collected",N($G420),IF(AND(OR($E420="returned_to_brand",$E420="given_to_roster_office",$E420="released_to_office",$E420="disposed"),IF($F420="","reserve",$F420)="leftover"),-N($G420),IF(AND($E420="correction",IF($F420="","reserve",$F420)="leftover"),N($G420),0))))</f>
        <v/>
      </c>
      <c r="P420" s="25">
        <f>IF(OR($E420&lt;&gt;"received",$I420="",$L420=""),"",IF($I420&gt;=$L420+config!$B$19,"Y","N"))</f>
        <v/>
      </c>
      <c r="Q420" s="25">
        <f>IF($C420="","",IF(COUNTIF(campaigns!$A$2:$A$51,$C420)=0,"campaign_id not on campaigns; ",IF(AND($D420&lt;&gt;"",COUNTIFS(approvals!$A$2:$A$251,$C420,approvals!$B$2:$B$251,$D420)=0),"office not on this campaign (approvals tab); ",""))&amp;IF(AND(OR($E420="delivered",$E420="topped_up",$E420="collected"),$D420=""),"office needed; ","")&amp;IF(AND($E420&lt;&gt;"correction",N($G420)&lt;=0),"qty must be above 0; ","")&amp;IF(AND($E420="received",OR($I420="",$H420="")),"log lot and best-by; ","")&amp;IF(AND($P420="N",SUMIFS(inventory!$G$2:$G$801,inventory!$C$2:$C$801,$C420,inventory!$H$2:$H$801,$H420,inventory!$E$2:$E$801,"rejected")&lt;N($G420)),"UNDER "&amp;config!$B$19&amp;" DAYS LEFT ON THE DROP DAY: reject these units; ","")&amp;IF(AND($E420="delivered",COUNTIF(inventory!$R$2:$R$801,$R420)&gt;1),"two delivered rows for this office: use one; ","")&amp;IF(AND($E420="delivered",$J420=""),"who counted?; ",""))</f>
        <v/>
      </c>
      <c r="R420" s="25">
        <f>IF($C420="","",$C420&amp;"|"&amp;$D420&amp;"|"&amp;$E420)</f>
        <v/>
      </c>
    </row>
    <row r="421">
      <c r="A421" s="9" t="n"/>
      <c r="B421" s="33" t="n"/>
      <c r="I421" s="9" t="n"/>
      <c r="L421" s="26">
        <f>IF($C421="","",IFERROR(IF(INDEX(campaigns!$BG$2:$BG$51,MATCH($C421,campaigns!$A$2:$A$51,0))="","",INDEX(campaigns!$BG$2:$BG$51,MATCH($C421,campaigns!$A$2:$A$51,0))),""))</f>
        <v/>
      </c>
      <c r="M421" s="25">
        <f>IF($C421="","",IF(OR($E421="received"),N($G421),IF(OR($E421="rejected",$E421="delivered",$E421="topped_up"),-N($G421),IF(AND(OR($E421="returned_to_brand",$E421="given_to_roster_office",$E421="released_to_office",$E421="disposed"),IF($F421="","reserve",$F421)="reserve"),-N($G421),IF(AND($E421="correction",IF($F421="","reserve",$F421)="reserve"),N($G421),0)))))</f>
        <v/>
      </c>
      <c r="N421" s="25">
        <f>IF($C421="","",IF($E421="rejected",N($G421),IF(AND(OR($E421="returned_to_brand",$E421="given_to_roster_office",$E421="released_to_office",$E421="disposed"),IF($F421="","reserve",$F421)="rejected"),-N($G421),IF(AND($E421="correction",IF($F421="","reserve",$F421)="rejected"),N($G421),0))))</f>
        <v/>
      </c>
      <c r="O421" s="25">
        <f>IF($C421="","",IF($E421="collected",N($G421),IF(AND(OR($E421="returned_to_brand",$E421="given_to_roster_office",$E421="released_to_office",$E421="disposed"),IF($F421="","reserve",$F421)="leftover"),-N($G421),IF(AND($E421="correction",IF($F421="","reserve",$F421)="leftover"),N($G421),0))))</f>
        <v/>
      </c>
      <c r="P421" s="25">
        <f>IF(OR($E421&lt;&gt;"received",$I421="",$L421=""),"",IF($I421&gt;=$L421+config!$B$19,"Y","N"))</f>
        <v/>
      </c>
      <c r="Q421" s="25">
        <f>IF($C421="","",IF(COUNTIF(campaigns!$A$2:$A$51,$C421)=0,"campaign_id not on campaigns; ",IF(AND($D421&lt;&gt;"",COUNTIFS(approvals!$A$2:$A$251,$C421,approvals!$B$2:$B$251,$D421)=0),"office not on this campaign (approvals tab); ",""))&amp;IF(AND(OR($E421="delivered",$E421="topped_up",$E421="collected"),$D421=""),"office needed; ","")&amp;IF(AND($E421&lt;&gt;"correction",N($G421)&lt;=0),"qty must be above 0; ","")&amp;IF(AND($E421="received",OR($I421="",$H421="")),"log lot and best-by; ","")&amp;IF(AND($P421="N",SUMIFS(inventory!$G$2:$G$801,inventory!$C$2:$C$801,$C421,inventory!$H$2:$H$801,$H421,inventory!$E$2:$E$801,"rejected")&lt;N($G421)),"UNDER "&amp;config!$B$19&amp;" DAYS LEFT ON THE DROP DAY: reject these units; ","")&amp;IF(AND($E421="delivered",COUNTIF(inventory!$R$2:$R$801,$R421)&gt;1),"two delivered rows for this office: use one; ","")&amp;IF(AND($E421="delivered",$J421=""),"who counted?; ",""))</f>
        <v/>
      </c>
      <c r="R421" s="25">
        <f>IF($C421="","",$C421&amp;"|"&amp;$D421&amp;"|"&amp;$E421)</f>
        <v/>
      </c>
    </row>
    <row r="422">
      <c r="A422" s="9" t="n"/>
      <c r="B422" s="33" t="n"/>
      <c r="I422" s="9" t="n"/>
      <c r="L422" s="26">
        <f>IF($C422="","",IFERROR(IF(INDEX(campaigns!$BG$2:$BG$51,MATCH($C422,campaigns!$A$2:$A$51,0))="","",INDEX(campaigns!$BG$2:$BG$51,MATCH($C422,campaigns!$A$2:$A$51,0))),""))</f>
        <v/>
      </c>
      <c r="M422" s="25">
        <f>IF($C422="","",IF(OR($E422="received"),N($G422),IF(OR($E422="rejected",$E422="delivered",$E422="topped_up"),-N($G422),IF(AND(OR($E422="returned_to_brand",$E422="given_to_roster_office",$E422="released_to_office",$E422="disposed"),IF($F422="","reserve",$F422)="reserve"),-N($G422),IF(AND($E422="correction",IF($F422="","reserve",$F422)="reserve"),N($G422),0)))))</f>
        <v/>
      </c>
      <c r="N422" s="25">
        <f>IF($C422="","",IF($E422="rejected",N($G422),IF(AND(OR($E422="returned_to_brand",$E422="given_to_roster_office",$E422="released_to_office",$E422="disposed"),IF($F422="","reserve",$F422)="rejected"),-N($G422),IF(AND($E422="correction",IF($F422="","reserve",$F422)="rejected"),N($G422),0))))</f>
        <v/>
      </c>
      <c r="O422" s="25">
        <f>IF($C422="","",IF($E422="collected",N($G422),IF(AND(OR($E422="returned_to_brand",$E422="given_to_roster_office",$E422="released_to_office",$E422="disposed"),IF($F422="","reserve",$F422)="leftover"),-N($G422),IF(AND($E422="correction",IF($F422="","reserve",$F422)="leftover"),N($G422),0))))</f>
        <v/>
      </c>
      <c r="P422" s="25">
        <f>IF(OR($E422&lt;&gt;"received",$I422="",$L422=""),"",IF($I422&gt;=$L422+config!$B$19,"Y","N"))</f>
        <v/>
      </c>
      <c r="Q422" s="25">
        <f>IF($C422="","",IF(COUNTIF(campaigns!$A$2:$A$51,$C422)=0,"campaign_id not on campaigns; ",IF(AND($D422&lt;&gt;"",COUNTIFS(approvals!$A$2:$A$251,$C422,approvals!$B$2:$B$251,$D422)=0),"office not on this campaign (approvals tab); ",""))&amp;IF(AND(OR($E422="delivered",$E422="topped_up",$E422="collected"),$D422=""),"office needed; ","")&amp;IF(AND($E422&lt;&gt;"correction",N($G422)&lt;=0),"qty must be above 0; ","")&amp;IF(AND($E422="received",OR($I422="",$H422="")),"log lot and best-by; ","")&amp;IF(AND($P422="N",SUMIFS(inventory!$G$2:$G$801,inventory!$C$2:$C$801,$C422,inventory!$H$2:$H$801,$H422,inventory!$E$2:$E$801,"rejected")&lt;N($G422)),"UNDER "&amp;config!$B$19&amp;" DAYS LEFT ON THE DROP DAY: reject these units; ","")&amp;IF(AND($E422="delivered",COUNTIF(inventory!$R$2:$R$801,$R422)&gt;1),"two delivered rows for this office: use one; ","")&amp;IF(AND($E422="delivered",$J422=""),"who counted?; ",""))</f>
        <v/>
      </c>
      <c r="R422" s="25">
        <f>IF($C422="","",$C422&amp;"|"&amp;$D422&amp;"|"&amp;$E422)</f>
        <v/>
      </c>
    </row>
    <row r="423">
      <c r="A423" s="9" t="n"/>
      <c r="B423" s="33" t="n"/>
      <c r="I423" s="9" t="n"/>
      <c r="L423" s="26">
        <f>IF($C423="","",IFERROR(IF(INDEX(campaigns!$BG$2:$BG$51,MATCH($C423,campaigns!$A$2:$A$51,0))="","",INDEX(campaigns!$BG$2:$BG$51,MATCH($C423,campaigns!$A$2:$A$51,0))),""))</f>
        <v/>
      </c>
      <c r="M423" s="25">
        <f>IF($C423="","",IF(OR($E423="received"),N($G423),IF(OR($E423="rejected",$E423="delivered",$E423="topped_up"),-N($G423),IF(AND(OR($E423="returned_to_brand",$E423="given_to_roster_office",$E423="released_to_office",$E423="disposed"),IF($F423="","reserve",$F423)="reserve"),-N($G423),IF(AND($E423="correction",IF($F423="","reserve",$F423)="reserve"),N($G423),0)))))</f>
        <v/>
      </c>
      <c r="N423" s="25">
        <f>IF($C423="","",IF($E423="rejected",N($G423),IF(AND(OR($E423="returned_to_brand",$E423="given_to_roster_office",$E423="released_to_office",$E423="disposed"),IF($F423="","reserve",$F423)="rejected"),-N($G423),IF(AND($E423="correction",IF($F423="","reserve",$F423)="rejected"),N($G423),0))))</f>
        <v/>
      </c>
      <c r="O423" s="25">
        <f>IF($C423="","",IF($E423="collected",N($G423),IF(AND(OR($E423="returned_to_brand",$E423="given_to_roster_office",$E423="released_to_office",$E423="disposed"),IF($F423="","reserve",$F423)="leftover"),-N($G423),IF(AND($E423="correction",IF($F423="","reserve",$F423)="leftover"),N($G423),0))))</f>
        <v/>
      </c>
      <c r="P423" s="25">
        <f>IF(OR($E423&lt;&gt;"received",$I423="",$L423=""),"",IF($I423&gt;=$L423+config!$B$19,"Y","N"))</f>
        <v/>
      </c>
      <c r="Q423" s="25">
        <f>IF($C423="","",IF(COUNTIF(campaigns!$A$2:$A$51,$C423)=0,"campaign_id not on campaigns; ",IF(AND($D423&lt;&gt;"",COUNTIFS(approvals!$A$2:$A$251,$C423,approvals!$B$2:$B$251,$D423)=0),"office not on this campaign (approvals tab); ",""))&amp;IF(AND(OR($E423="delivered",$E423="topped_up",$E423="collected"),$D423=""),"office needed; ","")&amp;IF(AND($E423&lt;&gt;"correction",N($G423)&lt;=0),"qty must be above 0; ","")&amp;IF(AND($E423="received",OR($I423="",$H423="")),"log lot and best-by; ","")&amp;IF(AND($P423="N",SUMIFS(inventory!$G$2:$G$801,inventory!$C$2:$C$801,$C423,inventory!$H$2:$H$801,$H423,inventory!$E$2:$E$801,"rejected")&lt;N($G423)),"UNDER "&amp;config!$B$19&amp;" DAYS LEFT ON THE DROP DAY: reject these units; ","")&amp;IF(AND($E423="delivered",COUNTIF(inventory!$R$2:$R$801,$R423)&gt;1),"two delivered rows for this office: use one; ","")&amp;IF(AND($E423="delivered",$J423=""),"who counted?; ",""))</f>
        <v/>
      </c>
      <c r="R423" s="25">
        <f>IF($C423="","",$C423&amp;"|"&amp;$D423&amp;"|"&amp;$E423)</f>
        <v/>
      </c>
    </row>
    <row r="424">
      <c r="A424" s="9" t="n"/>
      <c r="B424" s="33" t="n"/>
      <c r="I424" s="9" t="n"/>
      <c r="L424" s="26">
        <f>IF($C424="","",IFERROR(IF(INDEX(campaigns!$BG$2:$BG$51,MATCH($C424,campaigns!$A$2:$A$51,0))="","",INDEX(campaigns!$BG$2:$BG$51,MATCH($C424,campaigns!$A$2:$A$51,0))),""))</f>
        <v/>
      </c>
      <c r="M424" s="25">
        <f>IF($C424="","",IF(OR($E424="received"),N($G424),IF(OR($E424="rejected",$E424="delivered",$E424="topped_up"),-N($G424),IF(AND(OR($E424="returned_to_brand",$E424="given_to_roster_office",$E424="released_to_office",$E424="disposed"),IF($F424="","reserve",$F424)="reserve"),-N($G424),IF(AND($E424="correction",IF($F424="","reserve",$F424)="reserve"),N($G424),0)))))</f>
        <v/>
      </c>
      <c r="N424" s="25">
        <f>IF($C424="","",IF($E424="rejected",N($G424),IF(AND(OR($E424="returned_to_brand",$E424="given_to_roster_office",$E424="released_to_office",$E424="disposed"),IF($F424="","reserve",$F424)="rejected"),-N($G424),IF(AND($E424="correction",IF($F424="","reserve",$F424)="rejected"),N($G424),0))))</f>
        <v/>
      </c>
      <c r="O424" s="25">
        <f>IF($C424="","",IF($E424="collected",N($G424),IF(AND(OR($E424="returned_to_brand",$E424="given_to_roster_office",$E424="released_to_office",$E424="disposed"),IF($F424="","reserve",$F424)="leftover"),-N($G424),IF(AND($E424="correction",IF($F424="","reserve",$F424)="leftover"),N($G424),0))))</f>
        <v/>
      </c>
      <c r="P424" s="25">
        <f>IF(OR($E424&lt;&gt;"received",$I424="",$L424=""),"",IF($I424&gt;=$L424+config!$B$19,"Y","N"))</f>
        <v/>
      </c>
      <c r="Q424" s="25">
        <f>IF($C424="","",IF(COUNTIF(campaigns!$A$2:$A$51,$C424)=0,"campaign_id not on campaigns; ",IF(AND($D424&lt;&gt;"",COUNTIFS(approvals!$A$2:$A$251,$C424,approvals!$B$2:$B$251,$D424)=0),"office not on this campaign (approvals tab); ",""))&amp;IF(AND(OR($E424="delivered",$E424="topped_up",$E424="collected"),$D424=""),"office needed; ","")&amp;IF(AND($E424&lt;&gt;"correction",N($G424)&lt;=0),"qty must be above 0; ","")&amp;IF(AND($E424="received",OR($I424="",$H424="")),"log lot and best-by; ","")&amp;IF(AND($P424="N",SUMIFS(inventory!$G$2:$G$801,inventory!$C$2:$C$801,$C424,inventory!$H$2:$H$801,$H424,inventory!$E$2:$E$801,"rejected")&lt;N($G424)),"UNDER "&amp;config!$B$19&amp;" DAYS LEFT ON THE DROP DAY: reject these units; ","")&amp;IF(AND($E424="delivered",COUNTIF(inventory!$R$2:$R$801,$R424)&gt;1),"two delivered rows for this office: use one; ","")&amp;IF(AND($E424="delivered",$J424=""),"who counted?; ",""))</f>
        <v/>
      </c>
      <c r="R424" s="25">
        <f>IF($C424="","",$C424&amp;"|"&amp;$D424&amp;"|"&amp;$E424)</f>
        <v/>
      </c>
    </row>
    <row r="425">
      <c r="A425" s="9" t="n"/>
      <c r="B425" s="33" t="n"/>
      <c r="I425" s="9" t="n"/>
      <c r="L425" s="26">
        <f>IF($C425="","",IFERROR(IF(INDEX(campaigns!$BG$2:$BG$51,MATCH($C425,campaigns!$A$2:$A$51,0))="","",INDEX(campaigns!$BG$2:$BG$51,MATCH($C425,campaigns!$A$2:$A$51,0))),""))</f>
        <v/>
      </c>
      <c r="M425" s="25">
        <f>IF($C425="","",IF(OR($E425="received"),N($G425),IF(OR($E425="rejected",$E425="delivered",$E425="topped_up"),-N($G425),IF(AND(OR($E425="returned_to_brand",$E425="given_to_roster_office",$E425="released_to_office",$E425="disposed"),IF($F425="","reserve",$F425)="reserve"),-N($G425),IF(AND($E425="correction",IF($F425="","reserve",$F425)="reserve"),N($G425),0)))))</f>
        <v/>
      </c>
      <c r="N425" s="25">
        <f>IF($C425="","",IF($E425="rejected",N($G425),IF(AND(OR($E425="returned_to_brand",$E425="given_to_roster_office",$E425="released_to_office",$E425="disposed"),IF($F425="","reserve",$F425)="rejected"),-N($G425),IF(AND($E425="correction",IF($F425="","reserve",$F425)="rejected"),N($G425),0))))</f>
        <v/>
      </c>
      <c r="O425" s="25">
        <f>IF($C425="","",IF($E425="collected",N($G425),IF(AND(OR($E425="returned_to_brand",$E425="given_to_roster_office",$E425="released_to_office",$E425="disposed"),IF($F425="","reserve",$F425)="leftover"),-N($G425),IF(AND($E425="correction",IF($F425="","reserve",$F425)="leftover"),N($G425),0))))</f>
        <v/>
      </c>
      <c r="P425" s="25">
        <f>IF(OR($E425&lt;&gt;"received",$I425="",$L425=""),"",IF($I425&gt;=$L425+config!$B$19,"Y","N"))</f>
        <v/>
      </c>
      <c r="Q425" s="25">
        <f>IF($C425="","",IF(COUNTIF(campaigns!$A$2:$A$51,$C425)=0,"campaign_id not on campaigns; ",IF(AND($D425&lt;&gt;"",COUNTIFS(approvals!$A$2:$A$251,$C425,approvals!$B$2:$B$251,$D425)=0),"office not on this campaign (approvals tab); ",""))&amp;IF(AND(OR($E425="delivered",$E425="topped_up",$E425="collected"),$D425=""),"office needed; ","")&amp;IF(AND($E425&lt;&gt;"correction",N($G425)&lt;=0),"qty must be above 0; ","")&amp;IF(AND($E425="received",OR($I425="",$H425="")),"log lot and best-by; ","")&amp;IF(AND($P425="N",SUMIFS(inventory!$G$2:$G$801,inventory!$C$2:$C$801,$C425,inventory!$H$2:$H$801,$H425,inventory!$E$2:$E$801,"rejected")&lt;N($G425)),"UNDER "&amp;config!$B$19&amp;" DAYS LEFT ON THE DROP DAY: reject these units; ","")&amp;IF(AND($E425="delivered",COUNTIF(inventory!$R$2:$R$801,$R425)&gt;1),"two delivered rows for this office: use one; ","")&amp;IF(AND($E425="delivered",$J425=""),"who counted?; ",""))</f>
        <v/>
      </c>
      <c r="R425" s="25">
        <f>IF($C425="","",$C425&amp;"|"&amp;$D425&amp;"|"&amp;$E425)</f>
        <v/>
      </c>
    </row>
    <row r="426">
      <c r="A426" s="9" t="n"/>
      <c r="B426" s="33" t="n"/>
      <c r="I426" s="9" t="n"/>
      <c r="L426" s="26">
        <f>IF($C426="","",IFERROR(IF(INDEX(campaigns!$BG$2:$BG$51,MATCH($C426,campaigns!$A$2:$A$51,0))="","",INDEX(campaigns!$BG$2:$BG$51,MATCH($C426,campaigns!$A$2:$A$51,0))),""))</f>
        <v/>
      </c>
      <c r="M426" s="25">
        <f>IF($C426="","",IF(OR($E426="received"),N($G426),IF(OR($E426="rejected",$E426="delivered",$E426="topped_up"),-N($G426),IF(AND(OR($E426="returned_to_brand",$E426="given_to_roster_office",$E426="released_to_office",$E426="disposed"),IF($F426="","reserve",$F426)="reserve"),-N($G426),IF(AND($E426="correction",IF($F426="","reserve",$F426)="reserve"),N($G426),0)))))</f>
        <v/>
      </c>
      <c r="N426" s="25">
        <f>IF($C426="","",IF($E426="rejected",N($G426),IF(AND(OR($E426="returned_to_brand",$E426="given_to_roster_office",$E426="released_to_office",$E426="disposed"),IF($F426="","reserve",$F426)="rejected"),-N($G426),IF(AND($E426="correction",IF($F426="","reserve",$F426)="rejected"),N($G426),0))))</f>
        <v/>
      </c>
      <c r="O426" s="25">
        <f>IF($C426="","",IF($E426="collected",N($G426),IF(AND(OR($E426="returned_to_brand",$E426="given_to_roster_office",$E426="released_to_office",$E426="disposed"),IF($F426="","reserve",$F426)="leftover"),-N($G426),IF(AND($E426="correction",IF($F426="","reserve",$F426)="leftover"),N($G426),0))))</f>
        <v/>
      </c>
      <c r="P426" s="25">
        <f>IF(OR($E426&lt;&gt;"received",$I426="",$L426=""),"",IF($I426&gt;=$L426+config!$B$19,"Y","N"))</f>
        <v/>
      </c>
      <c r="Q426" s="25">
        <f>IF($C426="","",IF(COUNTIF(campaigns!$A$2:$A$51,$C426)=0,"campaign_id not on campaigns; ",IF(AND($D426&lt;&gt;"",COUNTIFS(approvals!$A$2:$A$251,$C426,approvals!$B$2:$B$251,$D426)=0),"office not on this campaign (approvals tab); ",""))&amp;IF(AND(OR($E426="delivered",$E426="topped_up",$E426="collected"),$D426=""),"office needed; ","")&amp;IF(AND($E426&lt;&gt;"correction",N($G426)&lt;=0),"qty must be above 0; ","")&amp;IF(AND($E426="received",OR($I426="",$H426="")),"log lot and best-by; ","")&amp;IF(AND($P426="N",SUMIFS(inventory!$G$2:$G$801,inventory!$C$2:$C$801,$C426,inventory!$H$2:$H$801,$H426,inventory!$E$2:$E$801,"rejected")&lt;N($G426)),"UNDER "&amp;config!$B$19&amp;" DAYS LEFT ON THE DROP DAY: reject these units; ","")&amp;IF(AND($E426="delivered",COUNTIF(inventory!$R$2:$R$801,$R426)&gt;1),"two delivered rows for this office: use one; ","")&amp;IF(AND($E426="delivered",$J426=""),"who counted?; ",""))</f>
        <v/>
      </c>
      <c r="R426" s="25">
        <f>IF($C426="","",$C426&amp;"|"&amp;$D426&amp;"|"&amp;$E426)</f>
        <v/>
      </c>
    </row>
    <row r="427">
      <c r="A427" s="9" t="n"/>
      <c r="B427" s="33" t="n"/>
      <c r="I427" s="9" t="n"/>
      <c r="L427" s="26">
        <f>IF($C427="","",IFERROR(IF(INDEX(campaigns!$BG$2:$BG$51,MATCH($C427,campaigns!$A$2:$A$51,0))="","",INDEX(campaigns!$BG$2:$BG$51,MATCH($C427,campaigns!$A$2:$A$51,0))),""))</f>
        <v/>
      </c>
      <c r="M427" s="25">
        <f>IF($C427="","",IF(OR($E427="received"),N($G427),IF(OR($E427="rejected",$E427="delivered",$E427="topped_up"),-N($G427),IF(AND(OR($E427="returned_to_brand",$E427="given_to_roster_office",$E427="released_to_office",$E427="disposed"),IF($F427="","reserve",$F427)="reserve"),-N($G427),IF(AND($E427="correction",IF($F427="","reserve",$F427)="reserve"),N($G427),0)))))</f>
        <v/>
      </c>
      <c r="N427" s="25">
        <f>IF($C427="","",IF($E427="rejected",N($G427),IF(AND(OR($E427="returned_to_brand",$E427="given_to_roster_office",$E427="released_to_office",$E427="disposed"),IF($F427="","reserve",$F427)="rejected"),-N($G427),IF(AND($E427="correction",IF($F427="","reserve",$F427)="rejected"),N($G427),0))))</f>
        <v/>
      </c>
      <c r="O427" s="25">
        <f>IF($C427="","",IF($E427="collected",N($G427),IF(AND(OR($E427="returned_to_brand",$E427="given_to_roster_office",$E427="released_to_office",$E427="disposed"),IF($F427="","reserve",$F427)="leftover"),-N($G427),IF(AND($E427="correction",IF($F427="","reserve",$F427)="leftover"),N($G427),0))))</f>
        <v/>
      </c>
      <c r="P427" s="25">
        <f>IF(OR($E427&lt;&gt;"received",$I427="",$L427=""),"",IF($I427&gt;=$L427+config!$B$19,"Y","N"))</f>
        <v/>
      </c>
      <c r="Q427" s="25">
        <f>IF($C427="","",IF(COUNTIF(campaigns!$A$2:$A$51,$C427)=0,"campaign_id not on campaigns; ",IF(AND($D427&lt;&gt;"",COUNTIFS(approvals!$A$2:$A$251,$C427,approvals!$B$2:$B$251,$D427)=0),"office not on this campaign (approvals tab); ",""))&amp;IF(AND(OR($E427="delivered",$E427="topped_up",$E427="collected"),$D427=""),"office needed; ","")&amp;IF(AND($E427&lt;&gt;"correction",N($G427)&lt;=0),"qty must be above 0; ","")&amp;IF(AND($E427="received",OR($I427="",$H427="")),"log lot and best-by; ","")&amp;IF(AND($P427="N",SUMIFS(inventory!$G$2:$G$801,inventory!$C$2:$C$801,$C427,inventory!$H$2:$H$801,$H427,inventory!$E$2:$E$801,"rejected")&lt;N($G427)),"UNDER "&amp;config!$B$19&amp;" DAYS LEFT ON THE DROP DAY: reject these units; ","")&amp;IF(AND($E427="delivered",COUNTIF(inventory!$R$2:$R$801,$R427)&gt;1),"two delivered rows for this office: use one; ","")&amp;IF(AND($E427="delivered",$J427=""),"who counted?; ",""))</f>
        <v/>
      </c>
      <c r="R427" s="25">
        <f>IF($C427="","",$C427&amp;"|"&amp;$D427&amp;"|"&amp;$E427)</f>
        <v/>
      </c>
    </row>
    <row r="428">
      <c r="A428" s="9" t="n"/>
      <c r="B428" s="33" t="n"/>
      <c r="I428" s="9" t="n"/>
      <c r="L428" s="26">
        <f>IF($C428="","",IFERROR(IF(INDEX(campaigns!$BG$2:$BG$51,MATCH($C428,campaigns!$A$2:$A$51,0))="","",INDEX(campaigns!$BG$2:$BG$51,MATCH($C428,campaigns!$A$2:$A$51,0))),""))</f>
        <v/>
      </c>
      <c r="M428" s="25">
        <f>IF($C428="","",IF(OR($E428="received"),N($G428),IF(OR($E428="rejected",$E428="delivered",$E428="topped_up"),-N($G428),IF(AND(OR($E428="returned_to_brand",$E428="given_to_roster_office",$E428="released_to_office",$E428="disposed"),IF($F428="","reserve",$F428)="reserve"),-N($G428),IF(AND($E428="correction",IF($F428="","reserve",$F428)="reserve"),N($G428),0)))))</f>
        <v/>
      </c>
      <c r="N428" s="25">
        <f>IF($C428="","",IF($E428="rejected",N($G428),IF(AND(OR($E428="returned_to_brand",$E428="given_to_roster_office",$E428="released_to_office",$E428="disposed"),IF($F428="","reserve",$F428)="rejected"),-N($G428),IF(AND($E428="correction",IF($F428="","reserve",$F428)="rejected"),N($G428),0))))</f>
        <v/>
      </c>
      <c r="O428" s="25">
        <f>IF($C428="","",IF($E428="collected",N($G428),IF(AND(OR($E428="returned_to_brand",$E428="given_to_roster_office",$E428="released_to_office",$E428="disposed"),IF($F428="","reserve",$F428)="leftover"),-N($G428),IF(AND($E428="correction",IF($F428="","reserve",$F428)="leftover"),N($G428),0))))</f>
        <v/>
      </c>
      <c r="P428" s="25">
        <f>IF(OR($E428&lt;&gt;"received",$I428="",$L428=""),"",IF($I428&gt;=$L428+config!$B$19,"Y","N"))</f>
        <v/>
      </c>
      <c r="Q428" s="25">
        <f>IF($C428="","",IF(COUNTIF(campaigns!$A$2:$A$51,$C428)=0,"campaign_id not on campaigns; ",IF(AND($D428&lt;&gt;"",COUNTIFS(approvals!$A$2:$A$251,$C428,approvals!$B$2:$B$251,$D428)=0),"office not on this campaign (approvals tab); ",""))&amp;IF(AND(OR($E428="delivered",$E428="topped_up",$E428="collected"),$D428=""),"office needed; ","")&amp;IF(AND($E428&lt;&gt;"correction",N($G428)&lt;=0),"qty must be above 0; ","")&amp;IF(AND($E428="received",OR($I428="",$H428="")),"log lot and best-by; ","")&amp;IF(AND($P428="N",SUMIFS(inventory!$G$2:$G$801,inventory!$C$2:$C$801,$C428,inventory!$H$2:$H$801,$H428,inventory!$E$2:$E$801,"rejected")&lt;N($G428)),"UNDER "&amp;config!$B$19&amp;" DAYS LEFT ON THE DROP DAY: reject these units; ","")&amp;IF(AND($E428="delivered",COUNTIF(inventory!$R$2:$R$801,$R428)&gt;1),"two delivered rows for this office: use one; ","")&amp;IF(AND($E428="delivered",$J428=""),"who counted?; ",""))</f>
        <v/>
      </c>
      <c r="R428" s="25">
        <f>IF($C428="","",$C428&amp;"|"&amp;$D428&amp;"|"&amp;$E428)</f>
        <v/>
      </c>
    </row>
    <row r="429">
      <c r="A429" s="9" t="n"/>
      <c r="B429" s="33" t="n"/>
      <c r="I429" s="9" t="n"/>
      <c r="L429" s="26">
        <f>IF($C429="","",IFERROR(IF(INDEX(campaigns!$BG$2:$BG$51,MATCH($C429,campaigns!$A$2:$A$51,0))="","",INDEX(campaigns!$BG$2:$BG$51,MATCH($C429,campaigns!$A$2:$A$51,0))),""))</f>
        <v/>
      </c>
      <c r="M429" s="25">
        <f>IF($C429="","",IF(OR($E429="received"),N($G429),IF(OR($E429="rejected",$E429="delivered",$E429="topped_up"),-N($G429),IF(AND(OR($E429="returned_to_brand",$E429="given_to_roster_office",$E429="released_to_office",$E429="disposed"),IF($F429="","reserve",$F429)="reserve"),-N($G429),IF(AND($E429="correction",IF($F429="","reserve",$F429)="reserve"),N($G429),0)))))</f>
        <v/>
      </c>
      <c r="N429" s="25">
        <f>IF($C429="","",IF($E429="rejected",N($G429),IF(AND(OR($E429="returned_to_brand",$E429="given_to_roster_office",$E429="released_to_office",$E429="disposed"),IF($F429="","reserve",$F429)="rejected"),-N($G429),IF(AND($E429="correction",IF($F429="","reserve",$F429)="rejected"),N($G429),0))))</f>
        <v/>
      </c>
      <c r="O429" s="25">
        <f>IF($C429="","",IF($E429="collected",N($G429),IF(AND(OR($E429="returned_to_brand",$E429="given_to_roster_office",$E429="released_to_office",$E429="disposed"),IF($F429="","reserve",$F429)="leftover"),-N($G429),IF(AND($E429="correction",IF($F429="","reserve",$F429)="leftover"),N($G429),0))))</f>
        <v/>
      </c>
      <c r="P429" s="25">
        <f>IF(OR($E429&lt;&gt;"received",$I429="",$L429=""),"",IF($I429&gt;=$L429+config!$B$19,"Y","N"))</f>
        <v/>
      </c>
      <c r="Q429" s="25">
        <f>IF($C429="","",IF(COUNTIF(campaigns!$A$2:$A$51,$C429)=0,"campaign_id not on campaigns; ",IF(AND($D429&lt;&gt;"",COUNTIFS(approvals!$A$2:$A$251,$C429,approvals!$B$2:$B$251,$D429)=0),"office not on this campaign (approvals tab); ",""))&amp;IF(AND(OR($E429="delivered",$E429="topped_up",$E429="collected"),$D429=""),"office needed; ","")&amp;IF(AND($E429&lt;&gt;"correction",N($G429)&lt;=0),"qty must be above 0; ","")&amp;IF(AND($E429="received",OR($I429="",$H429="")),"log lot and best-by; ","")&amp;IF(AND($P429="N",SUMIFS(inventory!$G$2:$G$801,inventory!$C$2:$C$801,$C429,inventory!$H$2:$H$801,$H429,inventory!$E$2:$E$801,"rejected")&lt;N($G429)),"UNDER "&amp;config!$B$19&amp;" DAYS LEFT ON THE DROP DAY: reject these units; ","")&amp;IF(AND($E429="delivered",COUNTIF(inventory!$R$2:$R$801,$R429)&gt;1),"two delivered rows for this office: use one; ","")&amp;IF(AND($E429="delivered",$J429=""),"who counted?; ",""))</f>
        <v/>
      </c>
      <c r="R429" s="25">
        <f>IF($C429="","",$C429&amp;"|"&amp;$D429&amp;"|"&amp;$E429)</f>
        <v/>
      </c>
    </row>
    <row r="430">
      <c r="A430" s="9" t="n"/>
      <c r="B430" s="33" t="n"/>
      <c r="I430" s="9" t="n"/>
      <c r="L430" s="26">
        <f>IF($C430="","",IFERROR(IF(INDEX(campaigns!$BG$2:$BG$51,MATCH($C430,campaigns!$A$2:$A$51,0))="","",INDEX(campaigns!$BG$2:$BG$51,MATCH($C430,campaigns!$A$2:$A$51,0))),""))</f>
        <v/>
      </c>
      <c r="M430" s="25">
        <f>IF($C430="","",IF(OR($E430="received"),N($G430),IF(OR($E430="rejected",$E430="delivered",$E430="topped_up"),-N($G430),IF(AND(OR($E430="returned_to_brand",$E430="given_to_roster_office",$E430="released_to_office",$E430="disposed"),IF($F430="","reserve",$F430)="reserve"),-N($G430),IF(AND($E430="correction",IF($F430="","reserve",$F430)="reserve"),N($G430),0)))))</f>
        <v/>
      </c>
      <c r="N430" s="25">
        <f>IF($C430="","",IF($E430="rejected",N($G430),IF(AND(OR($E430="returned_to_brand",$E430="given_to_roster_office",$E430="released_to_office",$E430="disposed"),IF($F430="","reserve",$F430)="rejected"),-N($G430),IF(AND($E430="correction",IF($F430="","reserve",$F430)="rejected"),N($G430),0))))</f>
        <v/>
      </c>
      <c r="O430" s="25">
        <f>IF($C430="","",IF($E430="collected",N($G430),IF(AND(OR($E430="returned_to_brand",$E430="given_to_roster_office",$E430="released_to_office",$E430="disposed"),IF($F430="","reserve",$F430)="leftover"),-N($G430),IF(AND($E430="correction",IF($F430="","reserve",$F430)="leftover"),N($G430),0))))</f>
        <v/>
      </c>
      <c r="P430" s="25">
        <f>IF(OR($E430&lt;&gt;"received",$I430="",$L430=""),"",IF($I430&gt;=$L430+config!$B$19,"Y","N"))</f>
        <v/>
      </c>
      <c r="Q430" s="25">
        <f>IF($C430="","",IF(COUNTIF(campaigns!$A$2:$A$51,$C430)=0,"campaign_id not on campaigns; ",IF(AND($D430&lt;&gt;"",COUNTIFS(approvals!$A$2:$A$251,$C430,approvals!$B$2:$B$251,$D430)=0),"office not on this campaign (approvals tab); ",""))&amp;IF(AND(OR($E430="delivered",$E430="topped_up",$E430="collected"),$D430=""),"office needed; ","")&amp;IF(AND($E430&lt;&gt;"correction",N($G430)&lt;=0),"qty must be above 0; ","")&amp;IF(AND($E430="received",OR($I430="",$H430="")),"log lot and best-by; ","")&amp;IF(AND($P430="N",SUMIFS(inventory!$G$2:$G$801,inventory!$C$2:$C$801,$C430,inventory!$H$2:$H$801,$H430,inventory!$E$2:$E$801,"rejected")&lt;N($G430)),"UNDER "&amp;config!$B$19&amp;" DAYS LEFT ON THE DROP DAY: reject these units; ","")&amp;IF(AND($E430="delivered",COUNTIF(inventory!$R$2:$R$801,$R430)&gt;1),"two delivered rows for this office: use one; ","")&amp;IF(AND($E430="delivered",$J430=""),"who counted?; ",""))</f>
        <v/>
      </c>
      <c r="R430" s="25">
        <f>IF($C430="","",$C430&amp;"|"&amp;$D430&amp;"|"&amp;$E430)</f>
        <v/>
      </c>
    </row>
    <row r="431">
      <c r="A431" s="9" t="n"/>
      <c r="B431" s="33" t="n"/>
      <c r="I431" s="9" t="n"/>
      <c r="L431" s="26">
        <f>IF($C431="","",IFERROR(IF(INDEX(campaigns!$BG$2:$BG$51,MATCH($C431,campaigns!$A$2:$A$51,0))="","",INDEX(campaigns!$BG$2:$BG$51,MATCH($C431,campaigns!$A$2:$A$51,0))),""))</f>
        <v/>
      </c>
      <c r="M431" s="25">
        <f>IF($C431="","",IF(OR($E431="received"),N($G431),IF(OR($E431="rejected",$E431="delivered",$E431="topped_up"),-N($G431),IF(AND(OR($E431="returned_to_brand",$E431="given_to_roster_office",$E431="released_to_office",$E431="disposed"),IF($F431="","reserve",$F431)="reserve"),-N($G431),IF(AND($E431="correction",IF($F431="","reserve",$F431)="reserve"),N($G431),0)))))</f>
        <v/>
      </c>
      <c r="N431" s="25">
        <f>IF($C431="","",IF($E431="rejected",N($G431),IF(AND(OR($E431="returned_to_brand",$E431="given_to_roster_office",$E431="released_to_office",$E431="disposed"),IF($F431="","reserve",$F431)="rejected"),-N($G431),IF(AND($E431="correction",IF($F431="","reserve",$F431)="rejected"),N($G431),0))))</f>
        <v/>
      </c>
      <c r="O431" s="25">
        <f>IF($C431="","",IF($E431="collected",N($G431),IF(AND(OR($E431="returned_to_brand",$E431="given_to_roster_office",$E431="released_to_office",$E431="disposed"),IF($F431="","reserve",$F431)="leftover"),-N($G431),IF(AND($E431="correction",IF($F431="","reserve",$F431)="leftover"),N($G431),0))))</f>
        <v/>
      </c>
      <c r="P431" s="25">
        <f>IF(OR($E431&lt;&gt;"received",$I431="",$L431=""),"",IF($I431&gt;=$L431+config!$B$19,"Y","N"))</f>
        <v/>
      </c>
      <c r="Q431" s="25">
        <f>IF($C431="","",IF(COUNTIF(campaigns!$A$2:$A$51,$C431)=0,"campaign_id not on campaigns; ",IF(AND($D431&lt;&gt;"",COUNTIFS(approvals!$A$2:$A$251,$C431,approvals!$B$2:$B$251,$D431)=0),"office not on this campaign (approvals tab); ",""))&amp;IF(AND(OR($E431="delivered",$E431="topped_up",$E431="collected"),$D431=""),"office needed; ","")&amp;IF(AND($E431&lt;&gt;"correction",N($G431)&lt;=0),"qty must be above 0; ","")&amp;IF(AND($E431="received",OR($I431="",$H431="")),"log lot and best-by; ","")&amp;IF(AND($P431="N",SUMIFS(inventory!$G$2:$G$801,inventory!$C$2:$C$801,$C431,inventory!$H$2:$H$801,$H431,inventory!$E$2:$E$801,"rejected")&lt;N($G431)),"UNDER "&amp;config!$B$19&amp;" DAYS LEFT ON THE DROP DAY: reject these units; ","")&amp;IF(AND($E431="delivered",COUNTIF(inventory!$R$2:$R$801,$R431)&gt;1),"two delivered rows for this office: use one; ","")&amp;IF(AND($E431="delivered",$J431=""),"who counted?; ",""))</f>
        <v/>
      </c>
      <c r="R431" s="25">
        <f>IF($C431="","",$C431&amp;"|"&amp;$D431&amp;"|"&amp;$E431)</f>
        <v/>
      </c>
    </row>
    <row r="432">
      <c r="A432" s="9" t="n"/>
      <c r="B432" s="33" t="n"/>
      <c r="I432" s="9" t="n"/>
      <c r="L432" s="26">
        <f>IF($C432="","",IFERROR(IF(INDEX(campaigns!$BG$2:$BG$51,MATCH($C432,campaigns!$A$2:$A$51,0))="","",INDEX(campaigns!$BG$2:$BG$51,MATCH($C432,campaigns!$A$2:$A$51,0))),""))</f>
        <v/>
      </c>
      <c r="M432" s="25">
        <f>IF($C432="","",IF(OR($E432="received"),N($G432),IF(OR($E432="rejected",$E432="delivered",$E432="topped_up"),-N($G432),IF(AND(OR($E432="returned_to_brand",$E432="given_to_roster_office",$E432="released_to_office",$E432="disposed"),IF($F432="","reserve",$F432)="reserve"),-N($G432),IF(AND($E432="correction",IF($F432="","reserve",$F432)="reserve"),N($G432),0)))))</f>
        <v/>
      </c>
      <c r="N432" s="25">
        <f>IF($C432="","",IF($E432="rejected",N($G432),IF(AND(OR($E432="returned_to_brand",$E432="given_to_roster_office",$E432="released_to_office",$E432="disposed"),IF($F432="","reserve",$F432)="rejected"),-N($G432),IF(AND($E432="correction",IF($F432="","reserve",$F432)="rejected"),N($G432),0))))</f>
        <v/>
      </c>
      <c r="O432" s="25">
        <f>IF($C432="","",IF($E432="collected",N($G432),IF(AND(OR($E432="returned_to_brand",$E432="given_to_roster_office",$E432="released_to_office",$E432="disposed"),IF($F432="","reserve",$F432)="leftover"),-N($G432),IF(AND($E432="correction",IF($F432="","reserve",$F432)="leftover"),N($G432),0))))</f>
        <v/>
      </c>
      <c r="P432" s="25">
        <f>IF(OR($E432&lt;&gt;"received",$I432="",$L432=""),"",IF($I432&gt;=$L432+config!$B$19,"Y","N"))</f>
        <v/>
      </c>
      <c r="Q432" s="25">
        <f>IF($C432="","",IF(COUNTIF(campaigns!$A$2:$A$51,$C432)=0,"campaign_id not on campaigns; ",IF(AND($D432&lt;&gt;"",COUNTIFS(approvals!$A$2:$A$251,$C432,approvals!$B$2:$B$251,$D432)=0),"office not on this campaign (approvals tab); ",""))&amp;IF(AND(OR($E432="delivered",$E432="topped_up",$E432="collected"),$D432=""),"office needed; ","")&amp;IF(AND($E432&lt;&gt;"correction",N($G432)&lt;=0),"qty must be above 0; ","")&amp;IF(AND($E432="received",OR($I432="",$H432="")),"log lot and best-by; ","")&amp;IF(AND($P432="N",SUMIFS(inventory!$G$2:$G$801,inventory!$C$2:$C$801,$C432,inventory!$H$2:$H$801,$H432,inventory!$E$2:$E$801,"rejected")&lt;N($G432)),"UNDER "&amp;config!$B$19&amp;" DAYS LEFT ON THE DROP DAY: reject these units; ","")&amp;IF(AND($E432="delivered",COUNTIF(inventory!$R$2:$R$801,$R432)&gt;1),"two delivered rows for this office: use one; ","")&amp;IF(AND($E432="delivered",$J432=""),"who counted?; ",""))</f>
        <v/>
      </c>
      <c r="R432" s="25">
        <f>IF($C432="","",$C432&amp;"|"&amp;$D432&amp;"|"&amp;$E432)</f>
        <v/>
      </c>
    </row>
    <row r="433">
      <c r="A433" s="9" t="n"/>
      <c r="B433" s="33" t="n"/>
      <c r="I433" s="9" t="n"/>
      <c r="L433" s="26">
        <f>IF($C433="","",IFERROR(IF(INDEX(campaigns!$BG$2:$BG$51,MATCH($C433,campaigns!$A$2:$A$51,0))="","",INDEX(campaigns!$BG$2:$BG$51,MATCH($C433,campaigns!$A$2:$A$51,0))),""))</f>
        <v/>
      </c>
      <c r="M433" s="25">
        <f>IF($C433="","",IF(OR($E433="received"),N($G433),IF(OR($E433="rejected",$E433="delivered",$E433="topped_up"),-N($G433),IF(AND(OR($E433="returned_to_brand",$E433="given_to_roster_office",$E433="released_to_office",$E433="disposed"),IF($F433="","reserve",$F433)="reserve"),-N($G433),IF(AND($E433="correction",IF($F433="","reserve",$F433)="reserve"),N($G433),0)))))</f>
        <v/>
      </c>
      <c r="N433" s="25">
        <f>IF($C433="","",IF($E433="rejected",N($G433),IF(AND(OR($E433="returned_to_brand",$E433="given_to_roster_office",$E433="released_to_office",$E433="disposed"),IF($F433="","reserve",$F433)="rejected"),-N($G433),IF(AND($E433="correction",IF($F433="","reserve",$F433)="rejected"),N($G433),0))))</f>
        <v/>
      </c>
      <c r="O433" s="25">
        <f>IF($C433="","",IF($E433="collected",N($G433),IF(AND(OR($E433="returned_to_brand",$E433="given_to_roster_office",$E433="released_to_office",$E433="disposed"),IF($F433="","reserve",$F433)="leftover"),-N($G433),IF(AND($E433="correction",IF($F433="","reserve",$F433)="leftover"),N($G433),0))))</f>
        <v/>
      </c>
      <c r="P433" s="25">
        <f>IF(OR($E433&lt;&gt;"received",$I433="",$L433=""),"",IF($I433&gt;=$L433+config!$B$19,"Y","N"))</f>
        <v/>
      </c>
      <c r="Q433" s="25">
        <f>IF($C433="","",IF(COUNTIF(campaigns!$A$2:$A$51,$C433)=0,"campaign_id not on campaigns; ",IF(AND($D433&lt;&gt;"",COUNTIFS(approvals!$A$2:$A$251,$C433,approvals!$B$2:$B$251,$D433)=0),"office not on this campaign (approvals tab); ",""))&amp;IF(AND(OR($E433="delivered",$E433="topped_up",$E433="collected"),$D433=""),"office needed; ","")&amp;IF(AND($E433&lt;&gt;"correction",N($G433)&lt;=0),"qty must be above 0; ","")&amp;IF(AND($E433="received",OR($I433="",$H433="")),"log lot and best-by; ","")&amp;IF(AND($P433="N",SUMIFS(inventory!$G$2:$G$801,inventory!$C$2:$C$801,$C433,inventory!$H$2:$H$801,$H433,inventory!$E$2:$E$801,"rejected")&lt;N($G433)),"UNDER "&amp;config!$B$19&amp;" DAYS LEFT ON THE DROP DAY: reject these units; ","")&amp;IF(AND($E433="delivered",COUNTIF(inventory!$R$2:$R$801,$R433)&gt;1),"two delivered rows for this office: use one; ","")&amp;IF(AND($E433="delivered",$J433=""),"who counted?; ",""))</f>
        <v/>
      </c>
      <c r="R433" s="25">
        <f>IF($C433="","",$C433&amp;"|"&amp;$D433&amp;"|"&amp;$E433)</f>
        <v/>
      </c>
    </row>
    <row r="434">
      <c r="A434" s="9" t="n"/>
      <c r="B434" s="33" t="n"/>
      <c r="I434" s="9" t="n"/>
      <c r="L434" s="26">
        <f>IF($C434="","",IFERROR(IF(INDEX(campaigns!$BG$2:$BG$51,MATCH($C434,campaigns!$A$2:$A$51,0))="","",INDEX(campaigns!$BG$2:$BG$51,MATCH($C434,campaigns!$A$2:$A$51,0))),""))</f>
        <v/>
      </c>
      <c r="M434" s="25">
        <f>IF($C434="","",IF(OR($E434="received"),N($G434),IF(OR($E434="rejected",$E434="delivered",$E434="topped_up"),-N($G434),IF(AND(OR($E434="returned_to_brand",$E434="given_to_roster_office",$E434="released_to_office",$E434="disposed"),IF($F434="","reserve",$F434)="reserve"),-N($G434),IF(AND($E434="correction",IF($F434="","reserve",$F434)="reserve"),N($G434),0)))))</f>
        <v/>
      </c>
      <c r="N434" s="25">
        <f>IF($C434="","",IF($E434="rejected",N($G434),IF(AND(OR($E434="returned_to_brand",$E434="given_to_roster_office",$E434="released_to_office",$E434="disposed"),IF($F434="","reserve",$F434)="rejected"),-N($G434),IF(AND($E434="correction",IF($F434="","reserve",$F434)="rejected"),N($G434),0))))</f>
        <v/>
      </c>
      <c r="O434" s="25">
        <f>IF($C434="","",IF($E434="collected",N($G434),IF(AND(OR($E434="returned_to_brand",$E434="given_to_roster_office",$E434="released_to_office",$E434="disposed"),IF($F434="","reserve",$F434)="leftover"),-N($G434),IF(AND($E434="correction",IF($F434="","reserve",$F434)="leftover"),N($G434),0))))</f>
        <v/>
      </c>
      <c r="P434" s="25">
        <f>IF(OR($E434&lt;&gt;"received",$I434="",$L434=""),"",IF($I434&gt;=$L434+config!$B$19,"Y","N"))</f>
        <v/>
      </c>
      <c r="Q434" s="25">
        <f>IF($C434="","",IF(COUNTIF(campaigns!$A$2:$A$51,$C434)=0,"campaign_id not on campaigns; ",IF(AND($D434&lt;&gt;"",COUNTIFS(approvals!$A$2:$A$251,$C434,approvals!$B$2:$B$251,$D434)=0),"office not on this campaign (approvals tab); ",""))&amp;IF(AND(OR($E434="delivered",$E434="topped_up",$E434="collected"),$D434=""),"office needed; ","")&amp;IF(AND($E434&lt;&gt;"correction",N($G434)&lt;=0),"qty must be above 0; ","")&amp;IF(AND($E434="received",OR($I434="",$H434="")),"log lot and best-by; ","")&amp;IF(AND($P434="N",SUMIFS(inventory!$G$2:$G$801,inventory!$C$2:$C$801,$C434,inventory!$H$2:$H$801,$H434,inventory!$E$2:$E$801,"rejected")&lt;N($G434)),"UNDER "&amp;config!$B$19&amp;" DAYS LEFT ON THE DROP DAY: reject these units; ","")&amp;IF(AND($E434="delivered",COUNTIF(inventory!$R$2:$R$801,$R434)&gt;1),"two delivered rows for this office: use one; ","")&amp;IF(AND($E434="delivered",$J434=""),"who counted?; ",""))</f>
        <v/>
      </c>
      <c r="R434" s="25">
        <f>IF($C434="","",$C434&amp;"|"&amp;$D434&amp;"|"&amp;$E434)</f>
        <v/>
      </c>
    </row>
    <row r="435">
      <c r="A435" s="9" t="n"/>
      <c r="B435" s="33" t="n"/>
      <c r="I435" s="9" t="n"/>
      <c r="L435" s="26">
        <f>IF($C435="","",IFERROR(IF(INDEX(campaigns!$BG$2:$BG$51,MATCH($C435,campaigns!$A$2:$A$51,0))="","",INDEX(campaigns!$BG$2:$BG$51,MATCH($C435,campaigns!$A$2:$A$51,0))),""))</f>
        <v/>
      </c>
      <c r="M435" s="25">
        <f>IF($C435="","",IF(OR($E435="received"),N($G435),IF(OR($E435="rejected",$E435="delivered",$E435="topped_up"),-N($G435),IF(AND(OR($E435="returned_to_brand",$E435="given_to_roster_office",$E435="released_to_office",$E435="disposed"),IF($F435="","reserve",$F435)="reserve"),-N($G435),IF(AND($E435="correction",IF($F435="","reserve",$F435)="reserve"),N($G435),0)))))</f>
        <v/>
      </c>
      <c r="N435" s="25">
        <f>IF($C435="","",IF($E435="rejected",N($G435),IF(AND(OR($E435="returned_to_brand",$E435="given_to_roster_office",$E435="released_to_office",$E435="disposed"),IF($F435="","reserve",$F435)="rejected"),-N($G435),IF(AND($E435="correction",IF($F435="","reserve",$F435)="rejected"),N($G435),0))))</f>
        <v/>
      </c>
      <c r="O435" s="25">
        <f>IF($C435="","",IF($E435="collected",N($G435),IF(AND(OR($E435="returned_to_brand",$E435="given_to_roster_office",$E435="released_to_office",$E435="disposed"),IF($F435="","reserve",$F435)="leftover"),-N($G435),IF(AND($E435="correction",IF($F435="","reserve",$F435)="leftover"),N($G435),0))))</f>
        <v/>
      </c>
      <c r="P435" s="25">
        <f>IF(OR($E435&lt;&gt;"received",$I435="",$L435=""),"",IF($I435&gt;=$L435+config!$B$19,"Y","N"))</f>
        <v/>
      </c>
      <c r="Q435" s="25">
        <f>IF($C435="","",IF(COUNTIF(campaigns!$A$2:$A$51,$C435)=0,"campaign_id not on campaigns; ",IF(AND($D435&lt;&gt;"",COUNTIFS(approvals!$A$2:$A$251,$C435,approvals!$B$2:$B$251,$D435)=0),"office not on this campaign (approvals tab); ",""))&amp;IF(AND(OR($E435="delivered",$E435="topped_up",$E435="collected"),$D435=""),"office needed; ","")&amp;IF(AND($E435&lt;&gt;"correction",N($G435)&lt;=0),"qty must be above 0; ","")&amp;IF(AND($E435="received",OR($I435="",$H435="")),"log lot and best-by; ","")&amp;IF(AND($P435="N",SUMIFS(inventory!$G$2:$G$801,inventory!$C$2:$C$801,$C435,inventory!$H$2:$H$801,$H435,inventory!$E$2:$E$801,"rejected")&lt;N($G435)),"UNDER "&amp;config!$B$19&amp;" DAYS LEFT ON THE DROP DAY: reject these units; ","")&amp;IF(AND($E435="delivered",COUNTIF(inventory!$R$2:$R$801,$R435)&gt;1),"two delivered rows for this office: use one; ","")&amp;IF(AND($E435="delivered",$J435=""),"who counted?; ",""))</f>
        <v/>
      </c>
      <c r="R435" s="25">
        <f>IF($C435="","",$C435&amp;"|"&amp;$D435&amp;"|"&amp;$E435)</f>
        <v/>
      </c>
    </row>
    <row r="436">
      <c r="A436" s="9" t="n"/>
      <c r="B436" s="33" t="n"/>
      <c r="I436" s="9" t="n"/>
      <c r="L436" s="26">
        <f>IF($C436="","",IFERROR(IF(INDEX(campaigns!$BG$2:$BG$51,MATCH($C436,campaigns!$A$2:$A$51,0))="","",INDEX(campaigns!$BG$2:$BG$51,MATCH($C436,campaigns!$A$2:$A$51,0))),""))</f>
        <v/>
      </c>
      <c r="M436" s="25">
        <f>IF($C436="","",IF(OR($E436="received"),N($G436),IF(OR($E436="rejected",$E436="delivered",$E436="topped_up"),-N($G436),IF(AND(OR($E436="returned_to_brand",$E436="given_to_roster_office",$E436="released_to_office",$E436="disposed"),IF($F436="","reserve",$F436)="reserve"),-N($G436),IF(AND($E436="correction",IF($F436="","reserve",$F436)="reserve"),N($G436),0)))))</f>
        <v/>
      </c>
      <c r="N436" s="25">
        <f>IF($C436="","",IF($E436="rejected",N($G436),IF(AND(OR($E436="returned_to_brand",$E436="given_to_roster_office",$E436="released_to_office",$E436="disposed"),IF($F436="","reserve",$F436)="rejected"),-N($G436),IF(AND($E436="correction",IF($F436="","reserve",$F436)="rejected"),N($G436),0))))</f>
        <v/>
      </c>
      <c r="O436" s="25">
        <f>IF($C436="","",IF($E436="collected",N($G436),IF(AND(OR($E436="returned_to_brand",$E436="given_to_roster_office",$E436="released_to_office",$E436="disposed"),IF($F436="","reserve",$F436)="leftover"),-N($G436),IF(AND($E436="correction",IF($F436="","reserve",$F436)="leftover"),N($G436),0))))</f>
        <v/>
      </c>
      <c r="P436" s="25">
        <f>IF(OR($E436&lt;&gt;"received",$I436="",$L436=""),"",IF($I436&gt;=$L436+config!$B$19,"Y","N"))</f>
        <v/>
      </c>
      <c r="Q436" s="25">
        <f>IF($C436="","",IF(COUNTIF(campaigns!$A$2:$A$51,$C436)=0,"campaign_id not on campaigns; ",IF(AND($D436&lt;&gt;"",COUNTIFS(approvals!$A$2:$A$251,$C436,approvals!$B$2:$B$251,$D436)=0),"office not on this campaign (approvals tab); ",""))&amp;IF(AND(OR($E436="delivered",$E436="topped_up",$E436="collected"),$D436=""),"office needed; ","")&amp;IF(AND($E436&lt;&gt;"correction",N($G436)&lt;=0),"qty must be above 0; ","")&amp;IF(AND($E436="received",OR($I436="",$H436="")),"log lot and best-by; ","")&amp;IF(AND($P436="N",SUMIFS(inventory!$G$2:$G$801,inventory!$C$2:$C$801,$C436,inventory!$H$2:$H$801,$H436,inventory!$E$2:$E$801,"rejected")&lt;N($G436)),"UNDER "&amp;config!$B$19&amp;" DAYS LEFT ON THE DROP DAY: reject these units; ","")&amp;IF(AND($E436="delivered",COUNTIF(inventory!$R$2:$R$801,$R436)&gt;1),"two delivered rows for this office: use one; ","")&amp;IF(AND($E436="delivered",$J436=""),"who counted?; ",""))</f>
        <v/>
      </c>
      <c r="R436" s="25">
        <f>IF($C436="","",$C436&amp;"|"&amp;$D436&amp;"|"&amp;$E436)</f>
        <v/>
      </c>
    </row>
    <row r="437">
      <c r="A437" s="9" t="n"/>
      <c r="B437" s="33" t="n"/>
      <c r="I437" s="9" t="n"/>
      <c r="L437" s="26">
        <f>IF($C437="","",IFERROR(IF(INDEX(campaigns!$BG$2:$BG$51,MATCH($C437,campaigns!$A$2:$A$51,0))="","",INDEX(campaigns!$BG$2:$BG$51,MATCH($C437,campaigns!$A$2:$A$51,0))),""))</f>
        <v/>
      </c>
      <c r="M437" s="25">
        <f>IF($C437="","",IF(OR($E437="received"),N($G437),IF(OR($E437="rejected",$E437="delivered",$E437="topped_up"),-N($G437),IF(AND(OR($E437="returned_to_brand",$E437="given_to_roster_office",$E437="released_to_office",$E437="disposed"),IF($F437="","reserve",$F437)="reserve"),-N($G437),IF(AND($E437="correction",IF($F437="","reserve",$F437)="reserve"),N($G437),0)))))</f>
        <v/>
      </c>
      <c r="N437" s="25">
        <f>IF($C437="","",IF($E437="rejected",N($G437),IF(AND(OR($E437="returned_to_brand",$E437="given_to_roster_office",$E437="released_to_office",$E437="disposed"),IF($F437="","reserve",$F437)="rejected"),-N($G437),IF(AND($E437="correction",IF($F437="","reserve",$F437)="rejected"),N($G437),0))))</f>
        <v/>
      </c>
      <c r="O437" s="25">
        <f>IF($C437="","",IF($E437="collected",N($G437),IF(AND(OR($E437="returned_to_brand",$E437="given_to_roster_office",$E437="released_to_office",$E437="disposed"),IF($F437="","reserve",$F437)="leftover"),-N($G437),IF(AND($E437="correction",IF($F437="","reserve",$F437)="leftover"),N($G437),0))))</f>
        <v/>
      </c>
      <c r="P437" s="25">
        <f>IF(OR($E437&lt;&gt;"received",$I437="",$L437=""),"",IF($I437&gt;=$L437+config!$B$19,"Y","N"))</f>
        <v/>
      </c>
      <c r="Q437" s="25">
        <f>IF($C437="","",IF(COUNTIF(campaigns!$A$2:$A$51,$C437)=0,"campaign_id not on campaigns; ",IF(AND($D437&lt;&gt;"",COUNTIFS(approvals!$A$2:$A$251,$C437,approvals!$B$2:$B$251,$D437)=0),"office not on this campaign (approvals tab); ",""))&amp;IF(AND(OR($E437="delivered",$E437="topped_up",$E437="collected"),$D437=""),"office needed; ","")&amp;IF(AND($E437&lt;&gt;"correction",N($G437)&lt;=0),"qty must be above 0; ","")&amp;IF(AND($E437="received",OR($I437="",$H437="")),"log lot and best-by; ","")&amp;IF(AND($P437="N",SUMIFS(inventory!$G$2:$G$801,inventory!$C$2:$C$801,$C437,inventory!$H$2:$H$801,$H437,inventory!$E$2:$E$801,"rejected")&lt;N($G437)),"UNDER "&amp;config!$B$19&amp;" DAYS LEFT ON THE DROP DAY: reject these units; ","")&amp;IF(AND($E437="delivered",COUNTIF(inventory!$R$2:$R$801,$R437)&gt;1),"two delivered rows for this office: use one; ","")&amp;IF(AND($E437="delivered",$J437=""),"who counted?; ",""))</f>
        <v/>
      </c>
      <c r="R437" s="25">
        <f>IF($C437="","",$C437&amp;"|"&amp;$D437&amp;"|"&amp;$E437)</f>
        <v/>
      </c>
    </row>
    <row r="438">
      <c r="A438" s="9" t="n"/>
      <c r="B438" s="33" t="n"/>
      <c r="I438" s="9" t="n"/>
      <c r="L438" s="26">
        <f>IF($C438="","",IFERROR(IF(INDEX(campaigns!$BG$2:$BG$51,MATCH($C438,campaigns!$A$2:$A$51,0))="","",INDEX(campaigns!$BG$2:$BG$51,MATCH($C438,campaigns!$A$2:$A$51,0))),""))</f>
        <v/>
      </c>
      <c r="M438" s="25">
        <f>IF($C438="","",IF(OR($E438="received"),N($G438),IF(OR($E438="rejected",$E438="delivered",$E438="topped_up"),-N($G438),IF(AND(OR($E438="returned_to_brand",$E438="given_to_roster_office",$E438="released_to_office",$E438="disposed"),IF($F438="","reserve",$F438)="reserve"),-N($G438),IF(AND($E438="correction",IF($F438="","reserve",$F438)="reserve"),N($G438),0)))))</f>
        <v/>
      </c>
      <c r="N438" s="25">
        <f>IF($C438="","",IF($E438="rejected",N($G438),IF(AND(OR($E438="returned_to_brand",$E438="given_to_roster_office",$E438="released_to_office",$E438="disposed"),IF($F438="","reserve",$F438)="rejected"),-N($G438),IF(AND($E438="correction",IF($F438="","reserve",$F438)="rejected"),N($G438),0))))</f>
        <v/>
      </c>
      <c r="O438" s="25">
        <f>IF($C438="","",IF($E438="collected",N($G438),IF(AND(OR($E438="returned_to_brand",$E438="given_to_roster_office",$E438="released_to_office",$E438="disposed"),IF($F438="","reserve",$F438)="leftover"),-N($G438),IF(AND($E438="correction",IF($F438="","reserve",$F438)="leftover"),N($G438),0))))</f>
        <v/>
      </c>
      <c r="P438" s="25">
        <f>IF(OR($E438&lt;&gt;"received",$I438="",$L438=""),"",IF($I438&gt;=$L438+config!$B$19,"Y","N"))</f>
        <v/>
      </c>
      <c r="Q438" s="25">
        <f>IF($C438="","",IF(COUNTIF(campaigns!$A$2:$A$51,$C438)=0,"campaign_id not on campaigns; ",IF(AND($D438&lt;&gt;"",COUNTIFS(approvals!$A$2:$A$251,$C438,approvals!$B$2:$B$251,$D438)=0),"office not on this campaign (approvals tab); ",""))&amp;IF(AND(OR($E438="delivered",$E438="topped_up",$E438="collected"),$D438=""),"office needed; ","")&amp;IF(AND($E438&lt;&gt;"correction",N($G438)&lt;=0),"qty must be above 0; ","")&amp;IF(AND($E438="received",OR($I438="",$H438="")),"log lot and best-by; ","")&amp;IF(AND($P438="N",SUMIFS(inventory!$G$2:$G$801,inventory!$C$2:$C$801,$C438,inventory!$H$2:$H$801,$H438,inventory!$E$2:$E$801,"rejected")&lt;N($G438)),"UNDER "&amp;config!$B$19&amp;" DAYS LEFT ON THE DROP DAY: reject these units; ","")&amp;IF(AND($E438="delivered",COUNTIF(inventory!$R$2:$R$801,$R438)&gt;1),"two delivered rows for this office: use one; ","")&amp;IF(AND($E438="delivered",$J438=""),"who counted?; ",""))</f>
        <v/>
      </c>
      <c r="R438" s="25">
        <f>IF($C438="","",$C438&amp;"|"&amp;$D438&amp;"|"&amp;$E438)</f>
        <v/>
      </c>
    </row>
    <row r="439">
      <c r="A439" s="9" t="n"/>
      <c r="B439" s="33" t="n"/>
      <c r="I439" s="9" t="n"/>
      <c r="L439" s="26">
        <f>IF($C439="","",IFERROR(IF(INDEX(campaigns!$BG$2:$BG$51,MATCH($C439,campaigns!$A$2:$A$51,0))="","",INDEX(campaigns!$BG$2:$BG$51,MATCH($C439,campaigns!$A$2:$A$51,0))),""))</f>
        <v/>
      </c>
      <c r="M439" s="25">
        <f>IF($C439="","",IF(OR($E439="received"),N($G439),IF(OR($E439="rejected",$E439="delivered",$E439="topped_up"),-N($G439),IF(AND(OR($E439="returned_to_brand",$E439="given_to_roster_office",$E439="released_to_office",$E439="disposed"),IF($F439="","reserve",$F439)="reserve"),-N($G439),IF(AND($E439="correction",IF($F439="","reserve",$F439)="reserve"),N($G439),0)))))</f>
        <v/>
      </c>
      <c r="N439" s="25">
        <f>IF($C439="","",IF($E439="rejected",N($G439),IF(AND(OR($E439="returned_to_brand",$E439="given_to_roster_office",$E439="released_to_office",$E439="disposed"),IF($F439="","reserve",$F439)="rejected"),-N($G439),IF(AND($E439="correction",IF($F439="","reserve",$F439)="rejected"),N($G439),0))))</f>
        <v/>
      </c>
      <c r="O439" s="25">
        <f>IF($C439="","",IF($E439="collected",N($G439),IF(AND(OR($E439="returned_to_brand",$E439="given_to_roster_office",$E439="released_to_office",$E439="disposed"),IF($F439="","reserve",$F439)="leftover"),-N($G439),IF(AND($E439="correction",IF($F439="","reserve",$F439)="leftover"),N($G439),0))))</f>
        <v/>
      </c>
      <c r="P439" s="25">
        <f>IF(OR($E439&lt;&gt;"received",$I439="",$L439=""),"",IF($I439&gt;=$L439+config!$B$19,"Y","N"))</f>
        <v/>
      </c>
      <c r="Q439" s="25">
        <f>IF($C439="","",IF(COUNTIF(campaigns!$A$2:$A$51,$C439)=0,"campaign_id not on campaigns; ",IF(AND($D439&lt;&gt;"",COUNTIFS(approvals!$A$2:$A$251,$C439,approvals!$B$2:$B$251,$D439)=0),"office not on this campaign (approvals tab); ",""))&amp;IF(AND(OR($E439="delivered",$E439="topped_up",$E439="collected"),$D439=""),"office needed; ","")&amp;IF(AND($E439&lt;&gt;"correction",N($G439)&lt;=0),"qty must be above 0; ","")&amp;IF(AND($E439="received",OR($I439="",$H439="")),"log lot and best-by; ","")&amp;IF(AND($P439="N",SUMIFS(inventory!$G$2:$G$801,inventory!$C$2:$C$801,$C439,inventory!$H$2:$H$801,$H439,inventory!$E$2:$E$801,"rejected")&lt;N($G439)),"UNDER "&amp;config!$B$19&amp;" DAYS LEFT ON THE DROP DAY: reject these units; ","")&amp;IF(AND($E439="delivered",COUNTIF(inventory!$R$2:$R$801,$R439)&gt;1),"two delivered rows for this office: use one; ","")&amp;IF(AND($E439="delivered",$J439=""),"who counted?; ",""))</f>
        <v/>
      </c>
      <c r="R439" s="25">
        <f>IF($C439="","",$C439&amp;"|"&amp;$D439&amp;"|"&amp;$E439)</f>
        <v/>
      </c>
    </row>
    <row r="440">
      <c r="A440" s="9" t="n"/>
      <c r="B440" s="33" t="n"/>
      <c r="I440" s="9" t="n"/>
      <c r="L440" s="26">
        <f>IF($C440="","",IFERROR(IF(INDEX(campaigns!$BG$2:$BG$51,MATCH($C440,campaigns!$A$2:$A$51,0))="","",INDEX(campaigns!$BG$2:$BG$51,MATCH($C440,campaigns!$A$2:$A$51,0))),""))</f>
        <v/>
      </c>
      <c r="M440" s="25">
        <f>IF($C440="","",IF(OR($E440="received"),N($G440),IF(OR($E440="rejected",$E440="delivered",$E440="topped_up"),-N($G440),IF(AND(OR($E440="returned_to_brand",$E440="given_to_roster_office",$E440="released_to_office",$E440="disposed"),IF($F440="","reserve",$F440)="reserve"),-N($G440),IF(AND($E440="correction",IF($F440="","reserve",$F440)="reserve"),N($G440),0)))))</f>
        <v/>
      </c>
      <c r="N440" s="25">
        <f>IF($C440="","",IF($E440="rejected",N($G440),IF(AND(OR($E440="returned_to_brand",$E440="given_to_roster_office",$E440="released_to_office",$E440="disposed"),IF($F440="","reserve",$F440)="rejected"),-N($G440),IF(AND($E440="correction",IF($F440="","reserve",$F440)="rejected"),N($G440),0))))</f>
        <v/>
      </c>
      <c r="O440" s="25">
        <f>IF($C440="","",IF($E440="collected",N($G440),IF(AND(OR($E440="returned_to_brand",$E440="given_to_roster_office",$E440="released_to_office",$E440="disposed"),IF($F440="","reserve",$F440)="leftover"),-N($G440),IF(AND($E440="correction",IF($F440="","reserve",$F440)="leftover"),N($G440),0))))</f>
        <v/>
      </c>
      <c r="P440" s="25">
        <f>IF(OR($E440&lt;&gt;"received",$I440="",$L440=""),"",IF($I440&gt;=$L440+config!$B$19,"Y","N"))</f>
        <v/>
      </c>
      <c r="Q440" s="25">
        <f>IF($C440="","",IF(COUNTIF(campaigns!$A$2:$A$51,$C440)=0,"campaign_id not on campaigns; ",IF(AND($D440&lt;&gt;"",COUNTIFS(approvals!$A$2:$A$251,$C440,approvals!$B$2:$B$251,$D440)=0),"office not on this campaign (approvals tab); ",""))&amp;IF(AND(OR($E440="delivered",$E440="topped_up",$E440="collected"),$D440=""),"office needed; ","")&amp;IF(AND($E440&lt;&gt;"correction",N($G440)&lt;=0),"qty must be above 0; ","")&amp;IF(AND($E440="received",OR($I440="",$H440="")),"log lot and best-by; ","")&amp;IF(AND($P440="N",SUMIFS(inventory!$G$2:$G$801,inventory!$C$2:$C$801,$C440,inventory!$H$2:$H$801,$H440,inventory!$E$2:$E$801,"rejected")&lt;N($G440)),"UNDER "&amp;config!$B$19&amp;" DAYS LEFT ON THE DROP DAY: reject these units; ","")&amp;IF(AND($E440="delivered",COUNTIF(inventory!$R$2:$R$801,$R440)&gt;1),"two delivered rows for this office: use one; ","")&amp;IF(AND($E440="delivered",$J440=""),"who counted?; ",""))</f>
        <v/>
      </c>
      <c r="R440" s="25">
        <f>IF($C440="","",$C440&amp;"|"&amp;$D440&amp;"|"&amp;$E440)</f>
        <v/>
      </c>
    </row>
    <row r="441">
      <c r="A441" s="9" t="n"/>
      <c r="B441" s="33" t="n"/>
      <c r="I441" s="9" t="n"/>
      <c r="L441" s="26">
        <f>IF($C441="","",IFERROR(IF(INDEX(campaigns!$BG$2:$BG$51,MATCH($C441,campaigns!$A$2:$A$51,0))="","",INDEX(campaigns!$BG$2:$BG$51,MATCH($C441,campaigns!$A$2:$A$51,0))),""))</f>
        <v/>
      </c>
      <c r="M441" s="25">
        <f>IF($C441="","",IF(OR($E441="received"),N($G441),IF(OR($E441="rejected",$E441="delivered",$E441="topped_up"),-N($G441),IF(AND(OR($E441="returned_to_brand",$E441="given_to_roster_office",$E441="released_to_office",$E441="disposed"),IF($F441="","reserve",$F441)="reserve"),-N($G441),IF(AND($E441="correction",IF($F441="","reserve",$F441)="reserve"),N($G441),0)))))</f>
        <v/>
      </c>
      <c r="N441" s="25">
        <f>IF($C441="","",IF($E441="rejected",N($G441),IF(AND(OR($E441="returned_to_brand",$E441="given_to_roster_office",$E441="released_to_office",$E441="disposed"),IF($F441="","reserve",$F441)="rejected"),-N($G441),IF(AND($E441="correction",IF($F441="","reserve",$F441)="rejected"),N($G441),0))))</f>
        <v/>
      </c>
      <c r="O441" s="25">
        <f>IF($C441="","",IF($E441="collected",N($G441),IF(AND(OR($E441="returned_to_brand",$E441="given_to_roster_office",$E441="released_to_office",$E441="disposed"),IF($F441="","reserve",$F441)="leftover"),-N($G441),IF(AND($E441="correction",IF($F441="","reserve",$F441)="leftover"),N($G441),0))))</f>
        <v/>
      </c>
      <c r="P441" s="25">
        <f>IF(OR($E441&lt;&gt;"received",$I441="",$L441=""),"",IF($I441&gt;=$L441+config!$B$19,"Y","N"))</f>
        <v/>
      </c>
      <c r="Q441" s="25">
        <f>IF($C441="","",IF(COUNTIF(campaigns!$A$2:$A$51,$C441)=0,"campaign_id not on campaigns; ",IF(AND($D441&lt;&gt;"",COUNTIFS(approvals!$A$2:$A$251,$C441,approvals!$B$2:$B$251,$D441)=0),"office not on this campaign (approvals tab); ",""))&amp;IF(AND(OR($E441="delivered",$E441="topped_up",$E441="collected"),$D441=""),"office needed; ","")&amp;IF(AND($E441&lt;&gt;"correction",N($G441)&lt;=0),"qty must be above 0; ","")&amp;IF(AND($E441="received",OR($I441="",$H441="")),"log lot and best-by; ","")&amp;IF(AND($P441="N",SUMIFS(inventory!$G$2:$G$801,inventory!$C$2:$C$801,$C441,inventory!$H$2:$H$801,$H441,inventory!$E$2:$E$801,"rejected")&lt;N($G441)),"UNDER "&amp;config!$B$19&amp;" DAYS LEFT ON THE DROP DAY: reject these units; ","")&amp;IF(AND($E441="delivered",COUNTIF(inventory!$R$2:$R$801,$R441)&gt;1),"two delivered rows for this office: use one; ","")&amp;IF(AND($E441="delivered",$J441=""),"who counted?; ",""))</f>
        <v/>
      </c>
      <c r="R441" s="25">
        <f>IF($C441="","",$C441&amp;"|"&amp;$D441&amp;"|"&amp;$E441)</f>
        <v/>
      </c>
    </row>
    <row r="442">
      <c r="A442" s="9" t="n"/>
      <c r="B442" s="33" t="n"/>
      <c r="I442" s="9" t="n"/>
      <c r="L442" s="26">
        <f>IF($C442="","",IFERROR(IF(INDEX(campaigns!$BG$2:$BG$51,MATCH($C442,campaigns!$A$2:$A$51,0))="","",INDEX(campaigns!$BG$2:$BG$51,MATCH($C442,campaigns!$A$2:$A$51,0))),""))</f>
        <v/>
      </c>
      <c r="M442" s="25">
        <f>IF($C442="","",IF(OR($E442="received"),N($G442),IF(OR($E442="rejected",$E442="delivered",$E442="topped_up"),-N($G442),IF(AND(OR($E442="returned_to_brand",$E442="given_to_roster_office",$E442="released_to_office",$E442="disposed"),IF($F442="","reserve",$F442)="reserve"),-N($G442),IF(AND($E442="correction",IF($F442="","reserve",$F442)="reserve"),N($G442),0)))))</f>
        <v/>
      </c>
      <c r="N442" s="25">
        <f>IF($C442="","",IF($E442="rejected",N($G442),IF(AND(OR($E442="returned_to_brand",$E442="given_to_roster_office",$E442="released_to_office",$E442="disposed"),IF($F442="","reserve",$F442)="rejected"),-N($G442),IF(AND($E442="correction",IF($F442="","reserve",$F442)="rejected"),N($G442),0))))</f>
        <v/>
      </c>
      <c r="O442" s="25">
        <f>IF($C442="","",IF($E442="collected",N($G442),IF(AND(OR($E442="returned_to_brand",$E442="given_to_roster_office",$E442="released_to_office",$E442="disposed"),IF($F442="","reserve",$F442)="leftover"),-N($G442),IF(AND($E442="correction",IF($F442="","reserve",$F442)="leftover"),N($G442),0))))</f>
        <v/>
      </c>
      <c r="P442" s="25">
        <f>IF(OR($E442&lt;&gt;"received",$I442="",$L442=""),"",IF($I442&gt;=$L442+config!$B$19,"Y","N"))</f>
        <v/>
      </c>
      <c r="Q442" s="25">
        <f>IF($C442="","",IF(COUNTIF(campaigns!$A$2:$A$51,$C442)=0,"campaign_id not on campaigns; ",IF(AND($D442&lt;&gt;"",COUNTIFS(approvals!$A$2:$A$251,$C442,approvals!$B$2:$B$251,$D442)=0),"office not on this campaign (approvals tab); ",""))&amp;IF(AND(OR($E442="delivered",$E442="topped_up",$E442="collected"),$D442=""),"office needed; ","")&amp;IF(AND($E442&lt;&gt;"correction",N($G442)&lt;=0),"qty must be above 0; ","")&amp;IF(AND($E442="received",OR($I442="",$H442="")),"log lot and best-by; ","")&amp;IF(AND($P442="N",SUMIFS(inventory!$G$2:$G$801,inventory!$C$2:$C$801,$C442,inventory!$H$2:$H$801,$H442,inventory!$E$2:$E$801,"rejected")&lt;N($G442)),"UNDER "&amp;config!$B$19&amp;" DAYS LEFT ON THE DROP DAY: reject these units; ","")&amp;IF(AND($E442="delivered",COUNTIF(inventory!$R$2:$R$801,$R442)&gt;1),"two delivered rows for this office: use one; ","")&amp;IF(AND($E442="delivered",$J442=""),"who counted?; ",""))</f>
        <v/>
      </c>
      <c r="R442" s="25">
        <f>IF($C442="","",$C442&amp;"|"&amp;$D442&amp;"|"&amp;$E442)</f>
        <v/>
      </c>
    </row>
    <row r="443">
      <c r="A443" s="9" t="n"/>
      <c r="B443" s="33" t="n"/>
      <c r="I443" s="9" t="n"/>
      <c r="L443" s="26">
        <f>IF($C443="","",IFERROR(IF(INDEX(campaigns!$BG$2:$BG$51,MATCH($C443,campaigns!$A$2:$A$51,0))="","",INDEX(campaigns!$BG$2:$BG$51,MATCH($C443,campaigns!$A$2:$A$51,0))),""))</f>
        <v/>
      </c>
      <c r="M443" s="25">
        <f>IF($C443="","",IF(OR($E443="received"),N($G443),IF(OR($E443="rejected",$E443="delivered",$E443="topped_up"),-N($G443),IF(AND(OR($E443="returned_to_brand",$E443="given_to_roster_office",$E443="released_to_office",$E443="disposed"),IF($F443="","reserve",$F443)="reserve"),-N($G443),IF(AND($E443="correction",IF($F443="","reserve",$F443)="reserve"),N($G443),0)))))</f>
        <v/>
      </c>
      <c r="N443" s="25">
        <f>IF($C443="","",IF($E443="rejected",N($G443),IF(AND(OR($E443="returned_to_brand",$E443="given_to_roster_office",$E443="released_to_office",$E443="disposed"),IF($F443="","reserve",$F443)="rejected"),-N($G443),IF(AND($E443="correction",IF($F443="","reserve",$F443)="rejected"),N($G443),0))))</f>
        <v/>
      </c>
      <c r="O443" s="25">
        <f>IF($C443="","",IF($E443="collected",N($G443),IF(AND(OR($E443="returned_to_brand",$E443="given_to_roster_office",$E443="released_to_office",$E443="disposed"),IF($F443="","reserve",$F443)="leftover"),-N($G443),IF(AND($E443="correction",IF($F443="","reserve",$F443)="leftover"),N($G443),0))))</f>
        <v/>
      </c>
      <c r="P443" s="25">
        <f>IF(OR($E443&lt;&gt;"received",$I443="",$L443=""),"",IF($I443&gt;=$L443+config!$B$19,"Y","N"))</f>
        <v/>
      </c>
      <c r="Q443" s="25">
        <f>IF($C443="","",IF(COUNTIF(campaigns!$A$2:$A$51,$C443)=0,"campaign_id not on campaigns; ",IF(AND($D443&lt;&gt;"",COUNTIFS(approvals!$A$2:$A$251,$C443,approvals!$B$2:$B$251,$D443)=0),"office not on this campaign (approvals tab); ",""))&amp;IF(AND(OR($E443="delivered",$E443="topped_up",$E443="collected"),$D443=""),"office needed; ","")&amp;IF(AND($E443&lt;&gt;"correction",N($G443)&lt;=0),"qty must be above 0; ","")&amp;IF(AND($E443="received",OR($I443="",$H443="")),"log lot and best-by; ","")&amp;IF(AND($P443="N",SUMIFS(inventory!$G$2:$G$801,inventory!$C$2:$C$801,$C443,inventory!$H$2:$H$801,$H443,inventory!$E$2:$E$801,"rejected")&lt;N($G443)),"UNDER "&amp;config!$B$19&amp;" DAYS LEFT ON THE DROP DAY: reject these units; ","")&amp;IF(AND($E443="delivered",COUNTIF(inventory!$R$2:$R$801,$R443)&gt;1),"two delivered rows for this office: use one; ","")&amp;IF(AND($E443="delivered",$J443=""),"who counted?; ",""))</f>
        <v/>
      </c>
      <c r="R443" s="25">
        <f>IF($C443="","",$C443&amp;"|"&amp;$D443&amp;"|"&amp;$E443)</f>
        <v/>
      </c>
    </row>
    <row r="444">
      <c r="A444" s="9" t="n"/>
      <c r="B444" s="33" t="n"/>
      <c r="I444" s="9" t="n"/>
      <c r="L444" s="26">
        <f>IF($C444="","",IFERROR(IF(INDEX(campaigns!$BG$2:$BG$51,MATCH($C444,campaigns!$A$2:$A$51,0))="","",INDEX(campaigns!$BG$2:$BG$51,MATCH($C444,campaigns!$A$2:$A$51,0))),""))</f>
        <v/>
      </c>
      <c r="M444" s="25">
        <f>IF($C444="","",IF(OR($E444="received"),N($G444),IF(OR($E444="rejected",$E444="delivered",$E444="topped_up"),-N($G444),IF(AND(OR($E444="returned_to_brand",$E444="given_to_roster_office",$E444="released_to_office",$E444="disposed"),IF($F444="","reserve",$F444)="reserve"),-N($G444),IF(AND($E444="correction",IF($F444="","reserve",$F444)="reserve"),N($G444),0)))))</f>
        <v/>
      </c>
      <c r="N444" s="25">
        <f>IF($C444="","",IF($E444="rejected",N($G444),IF(AND(OR($E444="returned_to_brand",$E444="given_to_roster_office",$E444="released_to_office",$E444="disposed"),IF($F444="","reserve",$F444)="rejected"),-N($G444),IF(AND($E444="correction",IF($F444="","reserve",$F444)="rejected"),N($G444),0))))</f>
        <v/>
      </c>
      <c r="O444" s="25">
        <f>IF($C444="","",IF($E444="collected",N($G444),IF(AND(OR($E444="returned_to_brand",$E444="given_to_roster_office",$E444="released_to_office",$E444="disposed"),IF($F444="","reserve",$F444)="leftover"),-N($G444),IF(AND($E444="correction",IF($F444="","reserve",$F444)="leftover"),N($G444),0))))</f>
        <v/>
      </c>
      <c r="P444" s="25">
        <f>IF(OR($E444&lt;&gt;"received",$I444="",$L444=""),"",IF($I444&gt;=$L444+config!$B$19,"Y","N"))</f>
        <v/>
      </c>
      <c r="Q444" s="25">
        <f>IF($C444="","",IF(COUNTIF(campaigns!$A$2:$A$51,$C444)=0,"campaign_id not on campaigns; ",IF(AND($D444&lt;&gt;"",COUNTIFS(approvals!$A$2:$A$251,$C444,approvals!$B$2:$B$251,$D444)=0),"office not on this campaign (approvals tab); ",""))&amp;IF(AND(OR($E444="delivered",$E444="topped_up",$E444="collected"),$D444=""),"office needed; ","")&amp;IF(AND($E444&lt;&gt;"correction",N($G444)&lt;=0),"qty must be above 0; ","")&amp;IF(AND($E444="received",OR($I444="",$H444="")),"log lot and best-by; ","")&amp;IF(AND($P444="N",SUMIFS(inventory!$G$2:$G$801,inventory!$C$2:$C$801,$C444,inventory!$H$2:$H$801,$H444,inventory!$E$2:$E$801,"rejected")&lt;N($G444)),"UNDER "&amp;config!$B$19&amp;" DAYS LEFT ON THE DROP DAY: reject these units; ","")&amp;IF(AND($E444="delivered",COUNTIF(inventory!$R$2:$R$801,$R444)&gt;1),"two delivered rows for this office: use one; ","")&amp;IF(AND($E444="delivered",$J444=""),"who counted?; ",""))</f>
        <v/>
      </c>
      <c r="R444" s="25">
        <f>IF($C444="","",$C444&amp;"|"&amp;$D444&amp;"|"&amp;$E444)</f>
        <v/>
      </c>
    </row>
    <row r="445">
      <c r="A445" s="9" t="n"/>
      <c r="B445" s="33" t="n"/>
      <c r="I445" s="9" t="n"/>
      <c r="L445" s="26">
        <f>IF($C445="","",IFERROR(IF(INDEX(campaigns!$BG$2:$BG$51,MATCH($C445,campaigns!$A$2:$A$51,0))="","",INDEX(campaigns!$BG$2:$BG$51,MATCH($C445,campaigns!$A$2:$A$51,0))),""))</f>
        <v/>
      </c>
      <c r="M445" s="25">
        <f>IF($C445="","",IF(OR($E445="received"),N($G445),IF(OR($E445="rejected",$E445="delivered",$E445="topped_up"),-N($G445),IF(AND(OR($E445="returned_to_brand",$E445="given_to_roster_office",$E445="released_to_office",$E445="disposed"),IF($F445="","reserve",$F445)="reserve"),-N($G445),IF(AND($E445="correction",IF($F445="","reserve",$F445)="reserve"),N($G445),0)))))</f>
        <v/>
      </c>
      <c r="N445" s="25">
        <f>IF($C445="","",IF($E445="rejected",N($G445),IF(AND(OR($E445="returned_to_brand",$E445="given_to_roster_office",$E445="released_to_office",$E445="disposed"),IF($F445="","reserve",$F445)="rejected"),-N($G445),IF(AND($E445="correction",IF($F445="","reserve",$F445)="rejected"),N($G445),0))))</f>
        <v/>
      </c>
      <c r="O445" s="25">
        <f>IF($C445="","",IF($E445="collected",N($G445),IF(AND(OR($E445="returned_to_brand",$E445="given_to_roster_office",$E445="released_to_office",$E445="disposed"),IF($F445="","reserve",$F445)="leftover"),-N($G445),IF(AND($E445="correction",IF($F445="","reserve",$F445)="leftover"),N($G445),0))))</f>
        <v/>
      </c>
      <c r="P445" s="25">
        <f>IF(OR($E445&lt;&gt;"received",$I445="",$L445=""),"",IF($I445&gt;=$L445+config!$B$19,"Y","N"))</f>
        <v/>
      </c>
      <c r="Q445" s="25">
        <f>IF($C445="","",IF(COUNTIF(campaigns!$A$2:$A$51,$C445)=0,"campaign_id not on campaigns; ",IF(AND($D445&lt;&gt;"",COUNTIFS(approvals!$A$2:$A$251,$C445,approvals!$B$2:$B$251,$D445)=0),"office not on this campaign (approvals tab); ",""))&amp;IF(AND(OR($E445="delivered",$E445="topped_up",$E445="collected"),$D445=""),"office needed; ","")&amp;IF(AND($E445&lt;&gt;"correction",N($G445)&lt;=0),"qty must be above 0; ","")&amp;IF(AND($E445="received",OR($I445="",$H445="")),"log lot and best-by; ","")&amp;IF(AND($P445="N",SUMIFS(inventory!$G$2:$G$801,inventory!$C$2:$C$801,$C445,inventory!$H$2:$H$801,$H445,inventory!$E$2:$E$801,"rejected")&lt;N($G445)),"UNDER "&amp;config!$B$19&amp;" DAYS LEFT ON THE DROP DAY: reject these units; ","")&amp;IF(AND($E445="delivered",COUNTIF(inventory!$R$2:$R$801,$R445)&gt;1),"two delivered rows for this office: use one; ","")&amp;IF(AND($E445="delivered",$J445=""),"who counted?; ",""))</f>
        <v/>
      </c>
      <c r="R445" s="25">
        <f>IF($C445="","",$C445&amp;"|"&amp;$D445&amp;"|"&amp;$E445)</f>
        <v/>
      </c>
    </row>
    <row r="446">
      <c r="A446" s="9" t="n"/>
      <c r="B446" s="33" t="n"/>
      <c r="I446" s="9" t="n"/>
      <c r="L446" s="26">
        <f>IF($C446="","",IFERROR(IF(INDEX(campaigns!$BG$2:$BG$51,MATCH($C446,campaigns!$A$2:$A$51,0))="","",INDEX(campaigns!$BG$2:$BG$51,MATCH($C446,campaigns!$A$2:$A$51,0))),""))</f>
        <v/>
      </c>
      <c r="M446" s="25">
        <f>IF($C446="","",IF(OR($E446="received"),N($G446),IF(OR($E446="rejected",$E446="delivered",$E446="topped_up"),-N($G446),IF(AND(OR($E446="returned_to_brand",$E446="given_to_roster_office",$E446="released_to_office",$E446="disposed"),IF($F446="","reserve",$F446)="reserve"),-N($G446),IF(AND($E446="correction",IF($F446="","reserve",$F446)="reserve"),N($G446),0)))))</f>
        <v/>
      </c>
      <c r="N446" s="25">
        <f>IF($C446="","",IF($E446="rejected",N($G446),IF(AND(OR($E446="returned_to_brand",$E446="given_to_roster_office",$E446="released_to_office",$E446="disposed"),IF($F446="","reserve",$F446)="rejected"),-N($G446),IF(AND($E446="correction",IF($F446="","reserve",$F446)="rejected"),N($G446),0))))</f>
        <v/>
      </c>
      <c r="O446" s="25">
        <f>IF($C446="","",IF($E446="collected",N($G446),IF(AND(OR($E446="returned_to_brand",$E446="given_to_roster_office",$E446="released_to_office",$E446="disposed"),IF($F446="","reserve",$F446)="leftover"),-N($G446),IF(AND($E446="correction",IF($F446="","reserve",$F446)="leftover"),N($G446),0))))</f>
        <v/>
      </c>
      <c r="P446" s="25">
        <f>IF(OR($E446&lt;&gt;"received",$I446="",$L446=""),"",IF($I446&gt;=$L446+config!$B$19,"Y","N"))</f>
        <v/>
      </c>
      <c r="Q446" s="25">
        <f>IF($C446="","",IF(COUNTIF(campaigns!$A$2:$A$51,$C446)=0,"campaign_id not on campaigns; ",IF(AND($D446&lt;&gt;"",COUNTIFS(approvals!$A$2:$A$251,$C446,approvals!$B$2:$B$251,$D446)=0),"office not on this campaign (approvals tab); ",""))&amp;IF(AND(OR($E446="delivered",$E446="topped_up",$E446="collected"),$D446=""),"office needed; ","")&amp;IF(AND($E446&lt;&gt;"correction",N($G446)&lt;=0),"qty must be above 0; ","")&amp;IF(AND($E446="received",OR($I446="",$H446="")),"log lot and best-by; ","")&amp;IF(AND($P446="N",SUMIFS(inventory!$G$2:$G$801,inventory!$C$2:$C$801,$C446,inventory!$H$2:$H$801,$H446,inventory!$E$2:$E$801,"rejected")&lt;N($G446)),"UNDER "&amp;config!$B$19&amp;" DAYS LEFT ON THE DROP DAY: reject these units; ","")&amp;IF(AND($E446="delivered",COUNTIF(inventory!$R$2:$R$801,$R446)&gt;1),"two delivered rows for this office: use one; ","")&amp;IF(AND($E446="delivered",$J446=""),"who counted?; ",""))</f>
        <v/>
      </c>
      <c r="R446" s="25">
        <f>IF($C446="","",$C446&amp;"|"&amp;$D446&amp;"|"&amp;$E446)</f>
        <v/>
      </c>
    </row>
    <row r="447">
      <c r="A447" s="9" t="n"/>
      <c r="B447" s="33" t="n"/>
      <c r="I447" s="9" t="n"/>
      <c r="L447" s="26">
        <f>IF($C447="","",IFERROR(IF(INDEX(campaigns!$BG$2:$BG$51,MATCH($C447,campaigns!$A$2:$A$51,0))="","",INDEX(campaigns!$BG$2:$BG$51,MATCH($C447,campaigns!$A$2:$A$51,0))),""))</f>
        <v/>
      </c>
      <c r="M447" s="25">
        <f>IF($C447="","",IF(OR($E447="received"),N($G447),IF(OR($E447="rejected",$E447="delivered",$E447="topped_up"),-N($G447),IF(AND(OR($E447="returned_to_brand",$E447="given_to_roster_office",$E447="released_to_office",$E447="disposed"),IF($F447="","reserve",$F447)="reserve"),-N($G447),IF(AND($E447="correction",IF($F447="","reserve",$F447)="reserve"),N($G447),0)))))</f>
        <v/>
      </c>
      <c r="N447" s="25">
        <f>IF($C447="","",IF($E447="rejected",N($G447),IF(AND(OR($E447="returned_to_brand",$E447="given_to_roster_office",$E447="released_to_office",$E447="disposed"),IF($F447="","reserve",$F447)="rejected"),-N($G447),IF(AND($E447="correction",IF($F447="","reserve",$F447)="rejected"),N($G447),0))))</f>
        <v/>
      </c>
      <c r="O447" s="25">
        <f>IF($C447="","",IF($E447="collected",N($G447),IF(AND(OR($E447="returned_to_brand",$E447="given_to_roster_office",$E447="released_to_office",$E447="disposed"),IF($F447="","reserve",$F447)="leftover"),-N($G447),IF(AND($E447="correction",IF($F447="","reserve",$F447)="leftover"),N($G447),0))))</f>
        <v/>
      </c>
      <c r="P447" s="25">
        <f>IF(OR($E447&lt;&gt;"received",$I447="",$L447=""),"",IF($I447&gt;=$L447+config!$B$19,"Y","N"))</f>
        <v/>
      </c>
      <c r="Q447" s="25">
        <f>IF($C447="","",IF(COUNTIF(campaigns!$A$2:$A$51,$C447)=0,"campaign_id not on campaigns; ",IF(AND($D447&lt;&gt;"",COUNTIFS(approvals!$A$2:$A$251,$C447,approvals!$B$2:$B$251,$D447)=0),"office not on this campaign (approvals tab); ",""))&amp;IF(AND(OR($E447="delivered",$E447="topped_up",$E447="collected"),$D447=""),"office needed; ","")&amp;IF(AND($E447&lt;&gt;"correction",N($G447)&lt;=0),"qty must be above 0; ","")&amp;IF(AND($E447="received",OR($I447="",$H447="")),"log lot and best-by; ","")&amp;IF(AND($P447="N",SUMIFS(inventory!$G$2:$G$801,inventory!$C$2:$C$801,$C447,inventory!$H$2:$H$801,$H447,inventory!$E$2:$E$801,"rejected")&lt;N($G447)),"UNDER "&amp;config!$B$19&amp;" DAYS LEFT ON THE DROP DAY: reject these units; ","")&amp;IF(AND($E447="delivered",COUNTIF(inventory!$R$2:$R$801,$R447)&gt;1),"two delivered rows for this office: use one; ","")&amp;IF(AND($E447="delivered",$J447=""),"who counted?; ",""))</f>
        <v/>
      </c>
      <c r="R447" s="25">
        <f>IF($C447="","",$C447&amp;"|"&amp;$D447&amp;"|"&amp;$E447)</f>
        <v/>
      </c>
    </row>
    <row r="448">
      <c r="A448" s="9" t="n"/>
      <c r="B448" s="33" t="n"/>
      <c r="I448" s="9" t="n"/>
      <c r="L448" s="26">
        <f>IF($C448="","",IFERROR(IF(INDEX(campaigns!$BG$2:$BG$51,MATCH($C448,campaigns!$A$2:$A$51,0))="","",INDEX(campaigns!$BG$2:$BG$51,MATCH($C448,campaigns!$A$2:$A$51,0))),""))</f>
        <v/>
      </c>
      <c r="M448" s="25">
        <f>IF($C448="","",IF(OR($E448="received"),N($G448),IF(OR($E448="rejected",$E448="delivered",$E448="topped_up"),-N($G448),IF(AND(OR($E448="returned_to_brand",$E448="given_to_roster_office",$E448="released_to_office",$E448="disposed"),IF($F448="","reserve",$F448)="reserve"),-N($G448),IF(AND($E448="correction",IF($F448="","reserve",$F448)="reserve"),N($G448),0)))))</f>
        <v/>
      </c>
      <c r="N448" s="25">
        <f>IF($C448="","",IF($E448="rejected",N($G448),IF(AND(OR($E448="returned_to_brand",$E448="given_to_roster_office",$E448="released_to_office",$E448="disposed"),IF($F448="","reserve",$F448)="rejected"),-N($G448),IF(AND($E448="correction",IF($F448="","reserve",$F448)="rejected"),N($G448),0))))</f>
        <v/>
      </c>
      <c r="O448" s="25">
        <f>IF($C448="","",IF($E448="collected",N($G448),IF(AND(OR($E448="returned_to_brand",$E448="given_to_roster_office",$E448="released_to_office",$E448="disposed"),IF($F448="","reserve",$F448)="leftover"),-N($G448),IF(AND($E448="correction",IF($F448="","reserve",$F448)="leftover"),N($G448),0))))</f>
        <v/>
      </c>
      <c r="P448" s="25">
        <f>IF(OR($E448&lt;&gt;"received",$I448="",$L448=""),"",IF($I448&gt;=$L448+config!$B$19,"Y","N"))</f>
        <v/>
      </c>
      <c r="Q448" s="25">
        <f>IF($C448="","",IF(COUNTIF(campaigns!$A$2:$A$51,$C448)=0,"campaign_id not on campaigns; ",IF(AND($D448&lt;&gt;"",COUNTIFS(approvals!$A$2:$A$251,$C448,approvals!$B$2:$B$251,$D448)=0),"office not on this campaign (approvals tab); ",""))&amp;IF(AND(OR($E448="delivered",$E448="topped_up",$E448="collected"),$D448=""),"office needed; ","")&amp;IF(AND($E448&lt;&gt;"correction",N($G448)&lt;=0),"qty must be above 0; ","")&amp;IF(AND($E448="received",OR($I448="",$H448="")),"log lot and best-by; ","")&amp;IF(AND($P448="N",SUMIFS(inventory!$G$2:$G$801,inventory!$C$2:$C$801,$C448,inventory!$H$2:$H$801,$H448,inventory!$E$2:$E$801,"rejected")&lt;N($G448)),"UNDER "&amp;config!$B$19&amp;" DAYS LEFT ON THE DROP DAY: reject these units; ","")&amp;IF(AND($E448="delivered",COUNTIF(inventory!$R$2:$R$801,$R448)&gt;1),"two delivered rows for this office: use one; ","")&amp;IF(AND($E448="delivered",$J448=""),"who counted?; ",""))</f>
        <v/>
      </c>
      <c r="R448" s="25">
        <f>IF($C448="","",$C448&amp;"|"&amp;$D448&amp;"|"&amp;$E448)</f>
        <v/>
      </c>
    </row>
    <row r="449">
      <c r="A449" s="9" t="n"/>
      <c r="B449" s="33" t="n"/>
      <c r="I449" s="9" t="n"/>
      <c r="L449" s="26">
        <f>IF($C449="","",IFERROR(IF(INDEX(campaigns!$BG$2:$BG$51,MATCH($C449,campaigns!$A$2:$A$51,0))="","",INDEX(campaigns!$BG$2:$BG$51,MATCH($C449,campaigns!$A$2:$A$51,0))),""))</f>
        <v/>
      </c>
      <c r="M449" s="25">
        <f>IF($C449="","",IF(OR($E449="received"),N($G449),IF(OR($E449="rejected",$E449="delivered",$E449="topped_up"),-N($G449),IF(AND(OR($E449="returned_to_brand",$E449="given_to_roster_office",$E449="released_to_office",$E449="disposed"),IF($F449="","reserve",$F449)="reserve"),-N($G449),IF(AND($E449="correction",IF($F449="","reserve",$F449)="reserve"),N($G449),0)))))</f>
        <v/>
      </c>
      <c r="N449" s="25">
        <f>IF($C449="","",IF($E449="rejected",N($G449),IF(AND(OR($E449="returned_to_brand",$E449="given_to_roster_office",$E449="released_to_office",$E449="disposed"),IF($F449="","reserve",$F449)="rejected"),-N($G449),IF(AND($E449="correction",IF($F449="","reserve",$F449)="rejected"),N($G449),0))))</f>
        <v/>
      </c>
      <c r="O449" s="25">
        <f>IF($C449="","",IF($E449="collected",N($G449),IF(AND(OR($E449="returned_to_brand",$E449="given_to_roster_office",$E449="released_to_office",$E449="disposed"),IF($F449="","reserve",$F449)="leftover"),-N($G449),IF(AND($E449="correction",IF($F449="","reserve",$F449)="leftover"),N($G449),0))))</f>
        <v/>
      </c>
      <c r="P449" s="25">
        <f>IF(OR($E449&lt;&gt;"received",$I449="",$L449=""),"",IF($I449&gt;=$L449+config!$B$19,"Y","N"))</f>
        <v/>
      </c>
      <c r="Q449" s="25">
        <f>IF($C449="","",IF(COUNTIF(campaigns!$A$2:$A$51,$C449)=0,"campaign_id not on campaigns; ",IF(AND($D449&lt;&gt;"",COUNTIFS(approvals!$A$2:$A$251,$C449,approvals!$B$2:$B$251,$D449)=0),"office not on this campaign (approvals tab); ",""))&amp;IF(AND(OR($E449="delivered",$E449="topped_up",$E449="collected"),$D449=""),"office needed; ","")&amp;IF(AND($E449&lt;&gt;"correction",N($G449)&lt;=0),"qty must be above 0; ","")&amp;IF(AND($E449="received",OR($I449="",$H449="")),"log lot and best-by; ","")&amp;IF(AND($P449="N",SUMIFS(inventory!$G$2:$G$801,inventory!$C$2:$C$801,$C449,inventory!$H$2:$H$801,$H449,inventory!$E$2:$E$801,"rejected")&lt;N($G449)),"UNDER "&amp;config!$B$19&amp;" DAYS LEFT ON THE DROP DAY: reject these units; ","")&amp;IF(AND($E449="delivered",COUNTIF(inventory!$R$2:$R$801,$R449)&gt;1),"two delivered rows for this office: use one; ","")&amp;IF(AND($E449="delivered",$J449=""),"who counted?; ",""))</f>
        <v/>
      </c>
      <c r="R449" s="25">
        <f>IF($C449="","",$C449&amp;"|"&amp;$D449&amp;"|"&amp;$E449)</f>
        <v/>
      </c>
    </row>
    <row r="450">
      <c r="A450" s="9" t="n"/>
      <c r="B450" s="33" t="n"/>
      <c r="I450" s="9" t="n"/>
      <c r="L450" s="26">
        <f>IF($C450="","",IFERROR(IF(INDEX(campaigns!$BG$2:$BG$51,MATCH($C450,campaigns!$A$2:$A$51,0))="","",INDEX(campaigns!$BG$2:$BG$51,MATCH($C450,campaigns!$A$2:$A$51,0))),""))</f>
        <v/>
      </c>
      <c r="M450" s="25">
        <f>IF($C450="","",IF(OR($E450="received"),N($G450),IF(OR($E450="rejected",$E450="delivered",$E450="topped_up"),-N($G450),IF(AND(OR($E450="returned_to_brand",$E450="given_to_roster_office",$E450="released_to_office",$E450="disposed"),IF($F450="","reserve",$F450)="reserve"),-N($G450),IF(AND($E450="correction",IF($F450="","reserve",$F450)="reserve"),N($G450),0)))))</f>
        <v/>
      </c>
      <c r="N450" s="25">
        <f>IF($C450="","",IF($E450="rejected",N($G450),IF(AND(OR($E450="returned_to_brand",$E450="given_to_roster_office",$E450="released_to_office",$E450="disposed"),IF($F450="","reserve",$F450)="rejected"),-N($G450),IF(AND($E450="correction",IF($F450="","reserve",$F450)="rejected"),N($G450),0))))</f>
        <v/>
      </c>
      <c r="O450" s="25">
        <f>IF($C450="","",IF($E450="collected",N($G450),IF(AND(OR($E450="returned_to_brand",$E450="given_to_roster_office",$E450="released_to_office",$E450="disposed"),IF($F450="","reserve",$F450)="leftover"),-N($G450),IF(AND($E450="correction",IF($F450="","reserve",$F450)="leftover"),N($G450),0))))</f>
        <v/>
      </c>
      <c r="P450" s="25">
        <f>IF(OR($E450&lt;&gt;"received",$I450="",$L450=""),"",IF($I450&gt;=$L450+config!$B$19,"Y","N"))</f>
        <v/>
      </c>
      <c r="Q450" s="25">
        <f>IF($C450="","",IF(COUNTIF(campaigns!$A$2:$A$51,$C450)=0,"campaign_id not on campaigns; ",IF(AND($D450&lt;&gt;"",COUNTIFS(approvals!$A$2:$A$251,$C450,approvals!$B$2:$B$251,$D450)=0),"office not on this campaign (approvals tab); ",""))&amp;IF(AND(OR($E450="delivered",$E450="topped_up",$E450="collected"),$D450=""),"office needed; ","")&amp;IF(AND($E450&lt;&gt;"correction",N($G450)&lt;=0),"qty must be above 0; ","")&amp;IF(AND($E450="received",OR($I450="",$H450="")),"log lot and best-by; ","")&amp;IF(AND($P450="N",SUMIFS(inventory!$G$2:$G$801,inventory!$C$2:$C$801,$C450,inventory!$H$2:$H$801,$H450,inventory!$E$2:$E$801,"rejected")&lt;N($G450)),"UNDER "&amp;config!$B$19&amp;" DAYS LEFT ON THE DROP DAY: reject these units; ","")&amp;IF(AND($E450="delivered",COUNTIF(inventory!$R$2:$R$801,$R450)&gt;1),"two delivered rows for this office: use one; ","")&amp;IF(AND($E450="delivered",$J450=""),"who counted?; ",""))</f>
        <v/>
      </c>
      <c r="R450" s="25">
        <f>IF($C450="","",$C450&amp;"|"&amp;$D450&amp;"|"&amp;$E450)</f>
        <v/>
      </c>
    </row>
    <row r="451">
      <c r="A451" s="9" t="n"/>
      <c r="B451" s="33" t="n"/>
      <c r="I451" s="9" t="n"/>
      <c r="L451" s="26">
        <f>IF($C451="","",IFERROR(IF(INDEX(campaigns!$BG$2:$BG$51,MATCH($C451,campaigns!$A$2:$A$51,0))="","",INDEX(campaigns!$BG$2:$BG$51,MATCH($C451,campaigns!$A$2:$A$51,0))),""))</f>
        <v/>
      </c>
      <c r="M451" s="25">
        <f>IF($C451="","",IF(OR($E451="received"),N($G451),IF(OR($E451="rejected",$E451="delivered",$E451="topped_up"),-N($G451),IF(AND(OR($E451="returned_to_brand",$E451="given_to_roster_office",$E451="released_to_office",$E451="disposed"),IF($F451="","reserve",$F451)="reserve"),-N($G451),IF(AND($E451="correction",IF($F451="","reserve",$F451)="reserve"),N($G451),0)))))</f>
        <v/>
      </c>
      <c r="N451" s="25">
        <f>IF($C451="","",IF($E451="rejected",N($G451),IF(AND(OR($E451="returned_to_brand",$E451="given_to_roster_office",$E451="released_to_office",$E451="disposed"),IF($F451="","reserve",$F451)="rejected"),-N($G451),IF(AND($E451="correction",IF($F451="","reserve",$F451)="rejected"),N($G451),0))))</f>
        <v/>
      </c>
      <c r="O451" s="25">
        <f>IF($C451="","",IF($E451="collected",N($G451),IF(AND(OR($E451="returned_to_brand",$E451="given_to_roster_office",$E451="released_to_office",$E451="disposed"),IF($F451="","reserve",$F451)="leftover"),-N($G451),IF(AND($E451="correction",IF($F451="","reserve",$F451)="leftover"),N($G451),0))))</f>
        <v/>
      </c>
      <c r="P451" s="25">
        <f>IF(OR($E451&lt;&gt;"received",$I451="",$L451=""),"",IF($I451&gt;=$L451+config!$B$19,"Y","N"))</f>
        <v/>
      </c>
      <c r="Q451" s="25">
        <f>IF($C451="","",IF(COUNTIF(campaigns!$A$2:$A$51,$C451)=0,"campaign_id not on campaigns; ",IF(AND($D451&lt;&gt;"",COUNTIFS(approvals!$A$2:$A$251,$C451,approvals!$B$2:$B$251,$D451)=0),"office not on this campaign (approvals tab); ",""))&amp;IF(AND(OR($E451="delivered",$E451="topped_up",$E451="collected"),$D451=""),"office needed; ","")&amp;IF(AND($E451&lt;&gt;"correction",N($G451)&lt;=0),"qty must be above 0; ","")&amp;IF(AND($E451="received",OR($I451="",$H451="")),"log lot and best-by; ","")&amp;IF(AND($P451="N",SUMIFS(inventory!$G$2:$G$801,inventory!$C$2:$C$801,$C451,inventory!$H$2:$H$801,$H451,inventory!$E$2:$E$801,"rejected")&lt;N($G451)),"UNDER "&amp;config!$B$19&amp;" DAYS LEFT ON THE DROP DAY: reject these units; ","")&amp;IF(AND($E451="delivered",COUNTIF(inventory!$R$2:$R$801,$R451)&gt;1),"two delivered rows for this office: use one; ","")&amp;IF(AND($E451="delivered",$J451=""),"who counted?; ",""))</f>
        <v/>
      </c>
      <c r="R451" s="25">
        <f>IF($C451="","",$C451&amp;"|"&amp;$D451&amp;"|"&amp;$E451)</f>
        <v/>
      </c>
    </row>
    <row r="452">
      <c r="A452" s="9" t="n"/>
      <c r="B452" s="33" t="n"/>
      <c r="I452" s="9" t="n"/>
      <c r="L452" s="26">
        <f>IF($C452="","",IFERROR(IF(INDEX(campaigns!$BG$2:$BG$51,MATCH($C452,campaigns!$A$2:$A$51,0))="","",INDEX(campaigns!$BG$2:$BG$51,MATCH($C452,campaigns!$A$2:$A$51,0))),""))</f>
        <v/>
      </c>
      <c r="M452" s="25">
        <f>IF($C452="","",IF(OR($E452="received"),N($G452),IF(OR($E452="rejected",$E452="delivered",$E452="topped_up"),-N($G452),IF(AND(OR($E452="returned_to_brand",$E452="given_to_roster_office",$E452="released_to_office",$E452="disposed"),IF($F452="","reserve",$F452)="reserve"),-N($G452),IF(AND($E452="correction",IF($F452="","reserve",$F452)="reserve"),N($G452),0)))))</f>
        <v/>
      </c>
      <c r="N452" s="25">
        <f>IF($C452="","",IF($E452="rejected",N($G452),IF(AND(OR($E452="returned_to_brand",$E452="given_to_roster_office",$E452="released_to_office",$E452="disposed"),IF($F452="","reserve",$F452)="rejected"),-N($G452),IF(AND($E452="correction",IF($F452="","reserve",$F452)="rejected"),N($G452),0))))</f>
        <v/>
      </c>
      <c r="O452" s="25">
        <f>IF($C452="","",IF($E452="collected",N($G452),IF(AND(OR($E452="returned_to_brand",$E452="given_to_roster_office",$E452="released_to_office",$E452="disposed"),IF($F452="","reserve",$F452)="leftover"),-N($G452),IF(AND($E452="correction",IF($F452="","reserve",$F452)="leftover"),N($G452),0))))</f>
        <v/>
      </c>
      <c r="P452" s="25">
        <f>IF(OR($E452&lt;&gt;"received",$I452="",$L452=""),"",IF($I452&gt;=$L452+config!$B$19,"Y","N"))</f>
        <v/>
      </c>
      <c r="Q452" s="25">
        <f>IF($C452="","",IF(COUNTIF(campaigns!$A$2:$A$51,$C452)=0,"campaign_id not on campaigns; ",IF(AND($D452&lt;&gt;"",COUNTIFS(approvals!$A$2:$A$251,$C452,approvals!$B$2:$B$251,$D452)=0),"office not on this campaign (approvals tab); ",""))&amp;IF(AND(OR($E452="delivered",$E452="topped_up",$E452="collected"),$D452=""),"office needed; ","")&amp;IF(AND($E452&lt;&gt;"correction",N($G452)&lt;=0),"qty must be above 0; ","")&amp;IF(AND($E452="received",OR($I452="",$H452="")),"log lot and best-by; ","")&amp;IF(AND($P452="N",SUMIFS(inventory!$G$2:$G$801,inventory!$C$2:$C$801,$C452,inventory!$H$2:$H$801,$H452,inventory!$E$2:$E$801,"rejected")&lt;N($G452)),"UNDER "&amp;config!$B$19&amp;" DAYS LEFT ON THE DROP DAY: reject these units; ","")&amp;IF(AND($E452="delivered",COUNTIF(inventory!$R$2:$R$801,$R452)&gt;1),"two delivered rows for this office: use one; ","")&amp;IF(AND($E452="delivered",$J452=""),"who counted?; ",""))</f>
        <v/>
      </c>
      <c r="R452" s="25">
        <f>IF($C452="","",$C452&amp;"|"&amp;$D452&amp;"|"&amp;$E452)</f>
        <v/>
      </c>
    </row>
    <row r="453">
      <c r="A453" s="9" t="n"/>
      <c r="B453" s="33" t="n"/>
      <c r="I453" s="9" t="n"/>
      <c r="L453" s="26">
        <f>IF($C453="","",IFERROR(IF(INDEX(campaigns!$BG$2:$BG$51,MATCH($C453,campaigns!$A$2:$A$51,0))="","",INDEX(campaigns!$BG$2:$BG$51,MATCH($C453,campaigns!$A$2:$A$51,0))),""))</f>
        <v/>
      </c>
      <c r="M453" s="25">
        <f>IF($C453="","",IF(OR($E453="received"),N($G453),IF(OR($E453="rejected",$E453="delivered",$E453="topped_up"),-N($G453),IF(AND(OR($E453="returned_to_brand",$E453="given_to_roster_office",$E453="released_to_office",$E453="disposed"),IF($F453="","reserve",$F453)="reserve"),-N($G453),IF(AND($E453="correction",IF($F453="","reserve",$F453)="reserve"),N($G453),0)))))</f>
        <v/>
      </c>
      <c r="N453" s="25">
        <f>IF($C453="","",IF($E453="rejected",N($G453),IF(AND(OR($E453="returned_to_brand",$E453="given_to_roster_office",$E453="released_to_office",$E453="disposed"),IF($F453="","reserve",$F453)="rejected"),-N($G453),IF(AND($E453="correction",IF($F453="","reserve",$F453)="rejected"),N($G453),0))))</f>
        <v/>
      </c>
      <c r="O453" s="25">
        <f>IF($C453="","",IF($E453="collected",N($G453),IF(AND(OR($E453="returned_to_brand",$E453="given_to_roster_office",$E453="released_to_office",$E453="disposed"),IF($F453="","reserve",$F453)="leftover"),-N($G453),IF(AND($E453="correction",IF($F453="","reserve",$F453)="leftover"),N($G453),0))))</f>
        <v/>
      </c>
      <c r="P453" s="25">
        <f>IF(OR($E453&lt;&gt;"received",$I453="",$L453=""),"",IF($I453&gt;=$L453+config!$B$19,"Y","N"))</f>
        <v/>
      </c>
      <c r="Q453" s="25">
        <f>IF($C453="","",IF(COUNTIF(campaigns!$A$2:$A$51,$C453)=0,"campaign_id not on campaigns; ",IF(AND($D453&lt;&gt;"",COUNTIFS(approvals!$A$2:$A$251,$C453,approvals!$B$2:$B$251,$D453)=0),"office not on this campaign (approvals tab); ",""))&amp;IF(AND(OR($E453="delivered",$E453="topped_up",$E453="collected"),$D453=""),"office needed; ","")&amp;IF(AND($E453&lt;&gt;"correction",N($G453)&lt;=0),"qty must be above 0; ","")&amp;IF(AND($E453="received",OR($I453="",$H453="")),"log lot and best-by; ","")&amp;IF(AND($P453="N",SUMIFS(inventory!$G$2:$G$801,inventory!$C$2:$C$801,$C453,inventory!$H$2:$H$801,$H453,inventory!$E$2:$E$801,"rejected")&lt;N($G453)),"UNDER "&amp;config!$B$19&amp;" DAYS LEFT ON THE DROP DAY: reject these units; ","")&amp;IF(AND($E453="delivered",COUNTIF(inventory!$R$2:$R$801,$R453)&gt;1),"two delivered rows for this office: use one; ","")&amp;IF(AND($E453="delivered",$J453=""),"who counted?; ",""))</f>
        <v/>
      </c>
      <c r="R453" s="25">
        <f>IF($C453="","",$C453&amp;"|"&amp;$D453&amp;"|"&amp;$E453)</f>
        <v/>
      </c>
    </row>
    <row r="454">
      <c r="A454" s="9" t="n"/>
      <c r="B454" s="33" t="n"/>
      <c r="I454" s="9" t="n"/>
      <c r="L454" s="26">
        <f>IF($C454="","",IFERROR(IF(INDEX(campaigns!$BG$2:$BG$51,MATCH($C454,campaigns!$A$2:$A$51,0))="","",INDEX(campaigns!$BG$2:$BG$51,MATCH($C454,campaigns!$A$2:$A$51,0))),""))</f>
        <v/>
      </c>
      <c r="M454" s="25">
        <f>IF($C454="","",IF(OR($E454="received"),N($G454),IF(OR($E454="rejected",$E454="delivered",$E454="topped_up"),-N($G454),IF(AND(OR($E454="returned_to_brand",$E454="given_to_roster_office",$E454="released_to_office",$E454="disposed"),IF($F454="","reserve",$F454)="reserve"),-N($G454),IF(AND($E454="correction",IF($F454="","reserve",$F454)="reserve"),N($G454),0)))))</f>
        <v/>
      </c>
      <c r="N454" s="25">
        <f>IF($C454="","",IF($E454="rejected",N($G454),IF(AND(OR($E454="returned_to_brand",$E454="given_to_roster_office",$E454="released_to_office",$E454="disposed"),IF($F454="","reserve",$F454)="rejected"),-N($G454),IF(AND($E454="correction",IF($F454="","reserve",$F454)="rejected"),N($G454),0))))</f>
        <v/>
      </c>
      <c r="O454" s="25">
        <f>IF($C454="","",IF($E454="collected",N($G454),IF(AND(OR($E454="returned_to_brand",$E454="given_to_roster_office",$E454="released_to_office",$E454="disposed"),IF($F454="","reserve",$F454)="leftover"),-N($G454),IF(AND($E454="correction",IF($F454="","reserve",$F454)="leftover"),N($G454),0))))</f>
        <v/>
      </c>
      <c r="P454" s="25">
        <f>IF(OR($E454&lt;&gt;"received",$I454="",$L454=""),"",IF($I454&gt;=$L454+config!$B$19,"Y","N"))</f>
        <v/>
      </c>
      <c r="Q454" s="25">
        <f>IF($C454="","",IF(COUNTIF(campaigns!$A$2:$A$51,$C454)=0,"campaign_id not on campaigns; ",IF(AND($D454&lt;&gt;"",COUNTIFS(approvals!$A$2:$A$251,$C454,approvals!$B$2:$B$251,$D454)=0),"office not on this campaign (approvals tab); ",""))&amp;IF(AND(OR($E454="delivered",$E454="topped_up",$E454="collected"),$D454=""),"office needed; ","")&amp;IF(AND($E454&lt;&gt;"correction",N($G454)&lt;=0),"qty must be above 0; ","")&amp;IF(AND($E454="received",OR($I454="",$H454="")),"log lot and best-by; ","")&amp;IF(AND($P454="N",SUMIFS(inventory!$G$2:$G$801,inventory!$C$2:$C$801,$C454,inventory!$H$2:$H$801,$H454,inventory!$E$2:$E$801,"rejected")&lt;N($G454)),"UNDER "&amp;config!$B$19&amp;" DAYS LEFT ON THE DROP DAY: reject these units; ","")&amp;IF(AND($E454="delivered",COUNTIF(inventory!$R$2:$R$801,$R454)&gt;1),"two delivered rows for this office: use one; ","")&amp;IF(AND($E454="delivered",$J454=""),"who counted?; ",""))</f>
        <v/>
      </c>
      <c r="R454" s="25">
        <f>IF($C454="","",$C454&amp;"|"&amp;$D454&amp;"|"&amp;$E454)</f>
        <v/>
      </c>
    </row>
    <row r="455">
      <c r="A455" s="9" t="n"/>
      <c r="B455" s="33" t="n"/>
      <c r="I455" s="9" t="n"/>
      <c r="L455" s="26">
        <f>IF($C455="","",IFERROR(IF(INDEX(campaigns!$BG$2:$BG$51,MATCH($C455,campaigns!$A$2:$A$51,0))="","",INDEX(campaigns!$BG$2:$BG$51,MATCH($C455,campaigns!$A$2:$A$51,0))),""))</f>
        <v/>
      </c>
      <c r="M455" s="25">
        <f>IF($C455="","",IF(OR($E455="received"),N($G455),IF(OR($E455="rejected",$E455="delivered",$E455="topped_up"),-N($G455),IF(AND(OR($E455="returned_to_brand",$E455="given_to_roster_office",$E455="released_to_office",$E455="disposed"),IF($F455="","reserve",$F455)="reserve"),-N($G455),IF(AND($E455="correction",IF($F455="","reserve",$F455)="reserve"),N($G455),0)))))</f>
        <v/>
      </c>
      <c r="N455" s="25">
        <f>IF($C455="","",IF($E455="rejected",N($G455),IF(AND(OR($E455="returned_to_brand",$E455="given_to_roster_office",$E455="released_to_office",$E455="disposed"),IF($F455="","reserve",$F455)="rejected"),-N($G455),IF(AND($E455="correction",IF($F455="","reserve",$F455)="rejected"),N($G455),0))))</f>
        <v/>
      </c>
      <c r="O455" s="25">
        <f>IF($C455="","",IF($E455="collected",N($G455),IF(AND(OR($E455="returned_to_brand",$E455="given_to_roster_office",$E455="released_to_office",$E455="disposed"),IF($F455="","reserve",$F455)="leftover"),-N($G455),IF(AND($E455="correction",IF($F455="","reserve",$F455)="leftover"),N($G455),0))))</f>
        <v/>
      </c>
      <c r="P455" s="25">
        <f>IF(OR($E455&lt;&gt;"received",$I455="",$L455=""),"",IF($I455&gt;=$L455+config!$B$19,"Y","N"))</f>
        <v/>
      </c>
      <c r="Q455" s="25">
        <f>IF($C455="","",IF(COUNTIF(campaigns!$A$2:$A$51,$C455)=0,"campaign_id not on campaigns; ",IF(AND($D455&lt;&gt;"",COUNTIFS(approvals!$A$2:$A$251,$C455,approvals!$B$2:$B$251,$D455)=0),"office not on this campaign (approvals tab); ",""))&amp;IF(AND(OR($E455="delivered",$E455="topped_up",$E455="collected"),$D455=""),"office needed; ","")&amp;IF(AND($E455&lt;&gt;"correction",N($G455)&lt;=0),"qty must be above 0; ","")&amp;IF(AND($E455="received",OR($I455="",$H455="")),"log lot and best-by; ","")&amp;IF(AND($P455="N",SUMIFS(inventory!$G$2:$G$801,inventory!$C$2:$C$801,$C455,inventory!$H$2:$H$801,$H455,inventory!$E$2:$E$801,"rejected")&lt;N($G455)),"UNDER "&amp;config!$B$19&amp;" DAYS LEFT ON THE DROP DAY: reject these units; ","")&amp;IF(AND($E455="delivered",COUNTIF(inventory!$R$2:$R$801,$R455)&gt;1),"two delivered rows for this office: use one; ","")&amp;IF(AND($E455="delivered",$J455=""),"who counted?; ",""))</f>
        <v/>
      </c>
      <c r="R455" s="25">
        <f>IF($C455="","",$C455&amp;"|"&amp;$D455&amp;"|"&amp;$E455)</f>
        <v/>
      </c>
    </row>
    <row r="456">
      <c r="A456" s="9" t="n"/>
      <c r="B456" s="33" t="n"/>
      <c r="I456" s="9" t="n"/>
      <c r="L456" s="26">
        <f>IF($C456="","",IFERROR(IF(INDEX(campaigns!$BG$2:$BG$51,MATCH($C456,campaigns!$A$2:$A$51,0))="","",INDEX(campaigns!$BG$2:$BG$51,MATCH($C456,campaigns!$A$2:$A$51,0))),""))</f>
        <v/>
      </c>
      <c r="M456" s="25">
        <f>IF($C456="","",IF(OR($E456="received"),N($G456),IF(OR($E456="rejected",$E456="delivered",$E456="topped_up"),-N($G456),IF(AND(OR($E456="returned_to_brand",$E456="given_to_roster_office",$E456="released_to_office",$E456="disposed"),IF($F456="","reserve",$F456)="reserve"),-N($G456),IF(AND($E456="correction",IF($F456="","reserve",$F456)="reserve"),N($G456),0)))))</f>
        <v/>
      </c>
      <c r="N456" s="25">
        <f>IF($C456="","",IF($E456="rejected",N($G456),IF(AND(OR($E456="returned_to_brand",$E456="given_to_roster_office",$E456="released_to_office",$E456="disposed"),IF($F456="","reserve",$F456)="rejected"),-N($G456),IF(AND($E456="correction",IF($F456="","reserve",$F456)="rejected"),N($G456),0))))</f>
        <v/>
      </c>
      <c r="O456" s="25">
        <f>IF($C456="","",IF($E456="collected",N($G456),IF(AND(OR($E456="returned_to_brand",$E456="given_to_roster_office",$E456="released_to_office",$E456="disposed"),IF($F456="","reserve",$F456)="leftover"),-N($G456),IF(AND($E456="correction",IF($F456="","reserve",$F456)="leftover"),N($G456),0))))</f>
        <v/>
      </c>
      <c r="P456" s="25">
        <f>IF(OR($E456&lt;&gt;"received",$I456="",$L456=""),"",IF($I456&gt;=$L456+config!$B$19,"Y","N"))</f>
        <v/>
      </c>
      <c r="Q456" s="25">
        <f>IF($C456="","",IF(COUNTIF(campaigns!$A$2:$A$51,$C456)=0,"campaign_id not on campaigns; ",IF(AND($D456&lt;&gt;"",COUNTIFS(approvals!$A$2:$A$251,$C456,approvals!$B$2:$B$251,$D456)=0),"office not on this campaign (approvals tab); ",""))&amp;IF(AND(OR($E456="delivered",$E456="topped_up",$E456="collected"),$D456=""),"office needed; ","")&amp;IF(AND($E456&lt;&gt;"correction",N($G456)&lt;=0),"qty must be above 0; ","")&amp;IF(AND($E456="received",OR($I456="",$H456="")),"log lot and best-by; ","")&amp;IF(AND($P456="N",SUMIFS(inventory!$G$2:$G$801,inventory!$C$2:$C$801,$C456,inventory!$H$2:$H$801,$H456,inventory!$E$2:$E$801,"rejected")&lt;N($G456)),"UNDER "&amp;config!$B$19&amp;" DAYS LEFT ON THE DROP DAY: reject these units; ","")&amp;IF(AND($E456="delivered",COUNTIF(inventory!$R$2:$R$801,$R456)&gt;1),"two delivered rows for this office: use one; ","")&amp;IF(AND($E456="delivered",$J456=""),"who counted?; ",""))</f>
        <v/>
      </c>
      <c r="R456" s="25">
        <f>IF($C456="","",$C456&amp;"|"&amp;$D456&amp;"|"&amp;$E456)</f>
        <v/>
      </c>
    </row>
    <row r="457">
      <c r="A457" s="9" t="n"/>
      <c r="B457" s="33" t="n"/>
      <c r="I457" s="9" t="n"/>
      <c r="L457" s="26">
        <f>IF($C457="","",IFERROR(IF(INDEX(campaigns!$BG$2:$BG$51,MATCH($C457,campaigns!$A$2:$A$51,0))="","",INDEX(campaigns!$BG$2:$BG$51,MATCH($C457,campaigns!$A$2:$A$51,0))),""))</f>
        <v/>
      </c>
      <c r="M457" s="25">
        <f>IF($C457="","",IF(OR($E457="received"),N($G457),IF(OR($E457="rejected",$E457="delivered",$E457="topped_up"),-N($G457),IF(AND(OR($E457="returned_to_brand",$E457="given_to_roster_office",$E457="released_to_office",$E457="disposed"),IF($F457="","reserve",$F457)="reserve"),-N($G457),IF(AND($E457="correction",IF($F457="","reserve",$F457)="reserve"),N($G457),0)))))</f>
        <v/>
      </c>
      <c r="N457" s="25">
        <f>IF($C457="","",IF($E457="rejected",N($G457),IF(AND(OR($E457="returned_to_brand",$E457="given_to_roster_office",$E457="released_to_office",$E457="disposed"),IF($F457="","reserve",$F457)="rejected"),-N($G457),IF(AND($E457="correction",IF($F457="","reserve",$F457)="rejected"),N($G457),0))))</f>
        <v/>
      </c>
      <c r="O457" s="25">
        <f>IF($C457="","",IF($E457="collected",N($G457),IF(AND(OR($E457="returned_to_brand",$E457="given_to_roster_office",$E457="released_to_office",$E457="disposed"),IF($F457="","reserve",$F457)="leftover"),-N($G457),IF(AND($E457="correction",IF($F457="","reserve",$F457)="leftover"),N($G457),0))))</f>
        <v/>
      </c>
      <c r="P457" s="25">
        <f>IF(OR($E457&lt;&gt;"received",$I457="",$L457=""),"",IF($I457&gt;=$L457+config!$B$19,"Y","N"))</f>
        <v/>
      </c>
      <c r="Q457" s="25">
        <f>IF($C457="","",IF(COUNTIF(campaigns!$A$2:$A$51,$C457)=0,"campaign_id not on campaigns; ",IF(AND($D457&lt;&gt;"",COUNTIFS(approvals!$A$2:$A$251,$C457,approvals!$B$2:$B$251,$D457)=0),"office not on this campaign (approvals tab); ",""))&amp;IF(AND(OR($E457="delivered",$E457="topped_up",$E457="collected"),$D457=""),"office needed; ","")&amp;IF(AND($E457&lt;&gt;"correction",N($G457)&lt;=0),"qty must be above 0; ","")&amp;IF(AND($E457="received",OR($I457="",$H457="")),"log lot and best-by; ","")&amp;IF(AND($P457="N",SUMIFS(inventory!$G$2:$G$801,inventory!$C$2:$C$801,$C457,inventory!$H$2:$H$801,$H457,inventory!$E$2:$E$801,"rejected")&lt;N($G457)),"UNDER "&amp;config!$B$19&amp;" DAYS LEFT ON THE DROP DAY: reject these units; ","")&amp;IF(AND($E457="delivered",COUNTIF(inventory!$R$2:$R$801,$R457)&gt;1),"two delivered rows for this office: use one; ","")&amp;IF(AND($E457="delivered",$J457=""),"who counted?; ",""))</f>
        <v/>
      </c>
      <c r="R457" s="25">
        <f>IF($C457="","",$C457&amp;"|"&amp;$D457&amp;"|"&amp;$E457)</f>
        <v/>
      </c>
    </row>
    <row r="458">
      <c r="A458" s="9" t="n"/>
      <c r="B458" s="33" t="n"/>
      <c r="I458" s="9" t="n"/>
      <c r="L458" s="26">
        <f>IF($C458="","",IFERROR(IF(INDEX(campaigns!$BG$2:$BG$51,MATCH($C458,campaigns!$A$2:$A$51,0))="","",INDEX(campaigns!$BG$2:$BG$51,MATCH($C458,campaigns!$A$2:$A$51,0))),""))</f>
        <v/>
      </c>
      <c r="M458" s="25">
        <f>IF($C458="","",IF(OR($E458="received"),N($G458),IF(OR($E458="rejected",$E458="delivered",$E458="topped_up"),-N($G458),IF(AND(OR($E458="returned_to_brand",$E458="given_to_roster_office",$E458="released_to_office",$E458="disposed"),IF($F458="","reserve",$F458)="reserve"),-N($G458),IF(AND($E458="correction",IF($F458="","reserve",$F458)="reserve"),N($G458),0)))))</f>
        <v/>
      </c>
      <c r="N458" s="25">
        <f>IF($C458="","",IF($E458="rejected",N($G458),IF(AND(OR($E458="returned_to_brand",$E458="given_to_roster_office",$E458="released_to_office",$E458="disposed"),IF($F458="","reserve",$F458)="rejected"),-N($G458),IF(AND($E458="correction",IF($F458="","reserve",$F458)="rejected"),N($G458),0))))</f>
        <v/>
      </c>
      <c r="O458" s="25">
        <f>IF($C458="","",IF($E458="collected",N($G458),IF(AND(OR($E458="returned_to_brand",$E458="given_to_roster_office",$E458="released_to_office",$E458="disposed"),IF($F458="","reserve",$F458)="leftover"),-N($G458),IF(AND($E458="correction",IF($F458="","reserve",$F458)="leftover"),N($G458),0))))</f>
        <v/>
      </c>
      <c r="P458" s="25">
        <f>IF(OR($E458&lt;&gt;"received",$I458="",$L458=""),"",IF($I458&gt;=$L458+config!$B$19,"Y","N"))</f>
        <v/>
      </c>
      <c r="Q458" s="25">
        <f>IF($C458="","",IF(COUNTIF(campaigns!$A$2:$A$51,$C458)=0,"campaign_id not on campaigns; ",IF(AND($D458&lt;&gt;"",COUNTIFS(approvals!$A$2:$A$251,$C458,approvals!$B$2:$B$251,$D458)=0),"office not on this campaign (approvals tab); ",""))&amp;IF(AND(OR($E458="delivered",$E458="topped_up",$E458="collected"),$D458=""),"office needed; ","")&amp;IF(AND($E458&lt;&gt;"correction",N($G458)&lt;=0),"qty must be above 0; ","")&amp;IF(AND($E458="received",OR($I458="",$H458="")),"log lot and best-by; ","")&amp;IF(AND($P458="N",SUMIFS(inventory!$G$2:$G$801,inventory!$C$2:$C$801,$C458,inventory!$H$2:$H$801,$H458,inventory!$E$2:$E$801,"rejected")&lt;N($G458)),"UNDER "&amp;config!$B$19&amp;" DAYS LEFT ON THE DROP DAY: reject these units; ","")&amp;IF(AND($E458="delivered",COUNTIF(inventory!$R$2:$R$801,$R458)&gt;1),"two delivered rows for this office: use one; ","")&amp;IF(AND($E458="delivered",$J458=""),"who counted?; ",""))</f>
        <v/>
      </c>
      <c r="R458" s="25">
        <f>IF($C458="","",$C458&amp;"|"&amp;$D458&amp;"|"&amp;$E458)</f>
        <v/>
      </c>
    </row>
    <row r="459">
      <c r="A459" s="9" t="n"/>
      <c r="B459" s="33" t="n"/>
      <c r="I459" s="9" t="n"/>
      <c r="L459" s="26">
        <f>IF($C459="","",IFERROR(IF(INDEX(campaigns!$BG$2:$BG$51,MATCH($C459,campaigns!$A$2:$A$51,0))="","",INDEX(campaigns!$BG$2:$BG$51,MATCH($C459,campaigns!$A$2:$A$51,0))),""))</f>
        <v/>
      </c>
      <c r="M459" s="25">
        <f>IF($C459="","",IF(OR($E459="received"),N($G459),IF(OR($E459="rejected",$E459="delivered",$E459="topped_up"),-N($G459),IF(AND(OR($E459="returned_to_brand",$E459="given_to_roster_office",$E459="released_to_office",$E459="disposed"),IF($F459="","reserve",$F459)="reserve"),-N($G459),IF(AND($E459="correction",IF($F459="","reserve",$F459)="reserve"),N($G459),0)))))</f>
        <v/>
      </c>
      <c r="N459" s="25">
        <f>IF($C459="","",IF($E459="rejected",N($G459),IF(AND(OR($E459="returned_to_brand",$E459="given_to_roster_office",$E459="released_to_office",$E459="disposed"),IF($F459="","reserve",$F459)="rejected"),-N($G459),IF(AND($E459="correction",IF($F459="","reserve",$F459)="rejected"),N($G459),0))))</f>
        <v/>
      </c>
      <c r="O459" s="25">
        <f>IF($C459="","",IF($E459="collected",N($G459),IF(AND(OR($E459="returned_to_brand",$E459="given_to_roster_office",$E459="released_to_office",$E459="disposed"),IF($F459="","reserve",$F459)="leftover"),-N($G459),IF(AND($E459="correction",IF($F459="","reserve",$F459)="leftover"),N($G459),0))))</f>
        <v/>
      </c>
      <c r="P459" s="25">
        <f>IF(OR($E459&lt;&gt;"received",$I459="",$L459=""),"",IF($I459&gt;=$L459+config!$B$19,"Y","N"))</f>
        <v/>
      </c>
      <c r="Q459" s="25">
        <f>IF($C459="","",IF(COUNTIF(campaigns!$A$2:$A$51,$C459)=0,"campaign_id not on campaigns; ",IF(AND($D459&lt;&gt;"",COUNTIFS(approvals!$A$2:$A$251,$C459,approvals!$B$2:$B$251,$D459)=0),"office not on this campaign (approvals tab); ",""))&amp;IF(AND(OR($E459="delivered",$E459="topped_up",$E459="collected"),$D459=""),"office needed; ","")&amp;IF(AND($E459&lt;&gt;"correction",N($G459)&lt;=0),"qty must be above 0; ","")&amp;IF(AND($E459="received",OR($I459="",$H459="")),"log lot and best-by; ","")&amp;IF(AND($P459="N",SUMIFS(inventory!$G$2:$G$801,inventory!$C$2:$C$801,$C459,inventory!$H$2:$H$801,$H459,inventory!$E$2:$E$801,"rejected")&lt;N($G459)),"UNDER "&amp;config!$B$19&amp;" DAYS LEFT ON THE DROP DAY: reject these units; ","")&amp;IF(AND($E459="delivered",COUNTIF(inventory!$R$2:$R$801,$R459)&gt;1),"two delivered rows for this office: use one; ","")&amp;IF(AND($E459="delivered",$J459=""),"who counted?; ",""))</f>
        <v/>
      </c>
      <c r="R459" s="25">
        <f>IF($C459="","",$C459&amp;"|"&amp;$D459&amp;"|"&amp;$E459)</f>
        <v/>
      </c>
    </row>
    <row r="460">
      <c r="A460" s="9" t="n"/>
      <c r="B460" s="33" t="n"/>
      <c r="I460" s="9" t="n"/>
      <c r="L460" s="26">
        <f>IF($C460="","",IFERROR(IF(INDEX(campaigns!$BG$2:$BG$51,MATCH($C460,campaigns!$A$2:$A$51,0))="","",INDEX(campaigns!$BG$2:$BG$51,MATCH($C460,campaigns!$A$2:$A$51,0))),""))</f>
        <v/>
      </c>
      <c r="M460" s="25">
        <f>IF($C460="","",IF(OR($E460="received"),N($G460),IF(OR($E460="rejected",$E460="delivered",$E460="topped_up"),-N($G460),IF(AND(OR($E460="returned_to_brand",$E460="given_to_roster_office",$E460="released_to_office",$E460="disposed"),IF($F460="","reserve",$F460)="reserve"),-N($G460),IF(AND($E460="correction",IF($F460="","reserve",$F460)="reserve"),N($G460),0)))))</f>
        <v/>
      </c>
      <c r="N460" s="25">
        <f>IF($C460="","",IF($E460="rejected",N($G460),IF(AND(OR($E460="returned_to_brand",$E460="given_to_roster_office",$E460="released_to_office",$E460="disposed"),IF($F460="","reserve",$F460)="rejected"),-N($G460),IF(AND($E460="correction",IF($F460="","reserve",$F460)="rejected"),N($G460),0))))</f>
        <v/>
      </c>
      <c r="O460" s="25">
        <f>IF($C460="","",IF($E460="collected",N($G460),IF(AND(OR($E460="returned_to_brand",$E460="given_to_roster_office",$E460="released_to_office",$E460="disposed"),IF($F460="","reserve",$F460)="leftover"),-N($G460),IF(AND($E460="correction",IF($F460="","reserve",$F460)="leftover"),N($G460),0))))</f>
        <v/>
      </c>
      <c r="P460" s="25">
        <f>IF(OR($E460&lt;&gt;"received",$I460="",$L460=""),"",IF($I460&gt;=$L460+config!$B$19,"Y","N"))</f>
        <v/>
      </c>
      <c r="Q460" s="25">
        <f>IF($C460="","",IF(COUNTIF(campaigns!$A$2:$A$51,$C460)=0,"campaign_id not on campaigns; ",IF(AND($D460&lt;&gt;"",COUNTIFS(approvals!$A$2:$A$251,$C460,approvals!$B$2:$B$251,$D460)=0),"office not on this campaign (approvals tab); ",""))&amp;IF(AND(OR($E460="delivered",$E460="topped_up",$E460="collected"),$D460=""),"office needed; ","")&amp;IF(AND($E460&lt;&gt;"correction",N($G460)&lt;=0),"qty must be above 0; ","")&amp;IF(AND($E460="received",OR($I460="",$H460="")),"log lot and best-by; ","")&amp;IF(AND($P460="N",SUMIFS(inventory!$G$2:$G$801,inventory!$C$2:$C$801,$C460,inventory!$H$2:$H$801,$H460,inventory!$E$2:$E$801,"rejected")&lt;N($G460)),"UNDER "&amp;config!$B$19&amp;" DAYS LEFT ON THE DROP DAY: reject these units; ","")&amp;IF(AND($E460="delivered",COUNTIF(inventory!$R$2:$R$801,$R460)&gt;1),"two delivered rows for this office: use one; ","")&amp;IF(AND($E460="delivered",$J460=""),"who counted?; ",""))</f>
        <v/>
      </c>
      <c r="R460" s="25">
        <f>IF($C460="","",$C460&amp;"|"&amp;$D460&amp;"|"&amp;$E460)</f>
        <v/>
      </c>
    </row>
    <row r="461">
      <c r="A461" s="9" t="n"/>
      <c r="B461" s="33" t="n"/>
      <c r="I461" s="9" t="n"/>
      <c r="L461" s="26">
        <f>IF($C461="","",IFERROR(IF(INDEX(campaigns!$BG$2:$BG$51,MATCH($C461,campaigns!$A$2:$A$51,0))="","",INDEX(campaigns!$BG$2:$BG$51,MATCH($C461,campaigns!$A$2:$A$51,0))),""))</f>
        <v/>
      </c>
      <c r="M461" s="25">
        <f>IF($C461="","",IF(OR($E461="received"),N($G461),IF(OR($E461="rejected",$E461="delivered",$E461="topped_up"),-N($G461),IF(AND(OR($E461="returned_to_brand",$E461="given_to_roster_office",$E461="released_to_office",$E461="disposed"),IF($F461="","reserve",$F461)="reserve"),-N($G461),IF(AND($E461="correction",IF($F461="","reserve",$F461)="reserve"),N($G461),0)))))</f>
        <v/>
      </c>
      <c r="N461" s="25">
        <f>IF($C461="","",IF($E461="rejected",N($G461),IF(AND(OR($E461="returned_to_brand",$E461="given_to_roster_office",$E461="released_to_office",$E461="disposed"),IF($F461="","reserve",$F461)="rejected"),-N($G461),IF(AND($E461="correction",IF($F461="","reserve",$F461)="rejected"),N($G461),0))))</f>
        <v/>
      </c>
      <c r="O461" s="25">
        <f>IF($C461="","",IF($E461="collected",N($G461),IF(AND(OR($E461="returned_to_brand",$E461="given_to_roster_office",$E461="released_to_office",$E461="disposed"),IF($F461="","reserve",$F461)="leftover"),-N($G461),IF(AND($E461="correction",IF($F461="","reserve",$F461)="leftover"),N($G461),0))))</f>
        <v/>
      </c>
      <c r="P461" s="25">
        <f>IF(OR($E461&lt;&gt;"received",$I461="",$L461=""),"",IF($I461&gt;=$L461+config!$B$19,"Y","N"))</f>
        <v/>
      </c>
      <c r="Q461" s="25">
        <f>IF($C461="","",IF(COUNTIF(campaigns!$A$2:$A$51,$C461)=0,"campaign_id not on campaigns; ",IF(AND($D461&lt;&gt;"",COUNTIFS(approvals!$A$2:$A$251,$C461,approvals!$B$2:$B$251,$D461)=0),"office not on this campaign (approvals tab); ",""))&amp;IF(AND(OR($E461="delivered",$E461="topped_up",$E461="collected"),$D461=""),"office needed; ","")&amp;IF(AND($E461&lt;&gt;"correction",N($G461)&lt;=0),"qty must be above 0; ","")&amp;IF(AND($E461="received",OR($I461="",$H461="")),"log lot and best-by; ","")&amp;IF(AND($P461="N",SUMIFS(inventory!$G$2:$G$801,inventory!$C$2:$C$801,$C461,inventory!$H$2:$H$801,$H461,inventory!$E$2:$E$801,"rejected")&lt;N($G461)),"UNDER "&amp;config!$B$19&amp;" DAYS LEFT ON THE DROP DAY: reject these units; ","")&amp;IF(AND($E461="delivered",COUNTIF(inventory!$R$2:$R$801,$R461)&gt;1),"two delivered rows for this office: use one; ","")&amp;IF(AND($E461="delivered",$J461=""),"who counted?; ",""))</f>
        <v/>
      </c>
      <c r="R461" s="25">
        <f>IF($C461="","",$C461&amp;"|"&amp;$D461&amp;"|"&amp;$E461)</f>
        <v/>
      </c>
    </row>
    <row r="462">
      <c r="A462" s="9" t="n"/>
      <c r="B462" s="33" t="n"/>
      <c r="I462" s="9" t="n"/>
      <c r="L462" s="26">
        <f>IF($C462="","",IFERROR(IF(INDEX(campaigns!$BG$2:$BG$51,MATCH($C462,campaigns!$A$2:$A$51,0))="","",INDEX(campaigns!$BG$2:$BG$51,MATCH($C462,campaigns!$A$2:$A$51,0))),""))</f>
        <v/>
      </c>
      <c r="M462" s="25">
        <f>IF($C462="","",IF(OR($E462="received"),N($G462),IF(OR($E462="rejected",$E462="delivered",$E462="topped_up"),-N($G462),IF(AND(OR($E462="returned_to_brand",$E462="given_to_roster_office",$E462="released_to_office",$E462="disposed"),IF($F462="","reserve",$F462)="reserve"),-N($G462),IF(AND($E462="correction",IF($F462="","reserve",$F462)="reserve"),N($G462),0)))))</f>
        <v/>
      </c>
      <c r="N462" s="25">
        <f>IF($C462="","",IF($E462="rejected",N($G462),IF(AND(OR($E462="returned_to_brand",$E462="given_to_roster_office",$E462="released_to_office",$E462="disposed"),IF($F462="","reserve",$F462)="rejected"),-N($G462),IF(AND($E462="correction",IF($F462="","reserve",$F462)="rejected"),N($G462),0))))</f>
        <v/>
      </c>
      <c r="O462" s="25">
        <f>IF($C462="","",IF($E462="collected",N($G462),IF(AND(OR($E462="returned_to_brand",$E462="given_to_roster_office",$E462="released_to_office",$E462="disposed"),IF($F462="","reserve",$F462)="leftover"),-N($G462),IF(AND($E462="correction",IF($F462="","reserve",$F462)="leftover"),N($G462),0))))</f>
        <v/>
      </c>
      <c r="P462" s="25">
        <f>IF(OR($E462&lt;&gt;"received",$I462="",$L462=""),"",IF($I462&gt;=$L462+config!$B$19,"Y","N"))</f>
        <v/>
      </c>
      <c r="Q462" s="25">
        <f>IF($C462="","",IF(COUNTIF(campaigns!$A$2:$A$51,$C462)=0,"campaign_id not on campaigns; ",IF(AND($D462&lt;&gt;"",COUNTIFS(approvals!$A$2:$A$251,$C462,approvals!$B$2:$B$251,$D462)=0),"office not on this campaign (approvals tab); ",""))&amp;IF(AND(OR($E462="delivered",$E462="topped_up",$E462="collected"),$D462=""),"office needed; ","")&amp;IF(AND($E462&lt;&gt;"correction",N($G462)&lt;=0),"qty must be above 0; ","")&amp;IF(AND($E462="received",OR($I462="",$H462="")),"log lot and best-by; ","")&amp;IF(AND($P462="N",SUMIFS(inventory!$G$2:$G$801,inventory!$C$2:$C$801,$C462,inventory!$H$2:$H$801,$H462,inventory!$E$2:$E$801,"rejected")&lt;N($G462)),"UNDER "&amp;config!$B$19&amp;" DAYS LEFT ON THE DROP DAY: reject these units; ","")&amp;IF(AND($E462="delivered",COUNTIF(inventory!$R$2:$R$801,$R462)&gt;1),"two delivered rows for this office: use one; ","")&amp;IF(AND($E462="delivered",$J462=""),"who counted?; ",""))</f>
        <v/>
      </c>
      <c r="R462" s="25">
        <f>IF($C462="","",$C462&amp;"|"&amp;$D462&amp;"|"&amp;$E462)</f>
        <v/>
      </c>
    </row>
    <row r="463">
      <c r="A463" s="9" t="n"/>
      <c r="B463" s="33" t="n"/>
      <c r="I463" s="9" t="n"/>
      <c r="L463" s="26">
        <f>IF($C463="","",IFERROR(IF(INDEX(campaigns!$BG$2:$BG$51,MATCH($C463,campaigns!$A$2:$A$51,0))="","",INDEX(campaigns!$BG$2:$BG$51,MATCH($C463,campaigns!$A$2:$A$51,0))),""))</f>
        <v/>
      </c>
      <c r="M463" s="25">
        <f>IF($C463="","",IF(OR($E463="received"),N($G463),IF(OR($E463="rejected",$E463="delivered",$E463="topped_up"),-N($G463),IF(AND(OR($E463="returned_to_brand",$E463="given_to_roster_office",$E463="released_to_office",$E463="disposed"),IF($F463="","reserve",$F463)="reserve"),-N($G463),IF(AND($E463="correction",IF($F463="","reserve",$F463)="reserve"),N($G463),0)))))</f>
        <v/>
      </c>
      <c r="N463" s="25">
        <f>IF($C463="","",IF($E463="rejected",N($G463),IF(AND(OR($E463="returned_to_brand",$E463="given_to_roster_office",$E463="released_to_office",$E463="disposed"),IF($F463="","reserve",$F463)="rejected"),-N($G463),IF(AND($E463="correction",IF($F463="","reserve",$F463)="rejected"),N($G463),0))))</f>
        <v/>
      </c>
      <c r="O463" s="25">
        <f>IF($C463="","",IF($E463="collected",N($G463),IF(AND(OR($E463="returned_to_brand",$E463="given_to_roster_office",$E463="released_to_office",$E463="disposed"),IF($F463="","reserve",$F463)="leftover"),-N($G463),IF(AND($E463="correction",IF($F463="","reserve",$F463)="leftover"),N($G463),0))))</f>
        <v/>
      </c>
      <c r="P463" s="25">
        <f>IF(OR($E463&lt;&gt;"received",$I463="",$L463=""),"",IF($I463&gt;=$L463+config!$B$19,"Y","N"))</f>
        <v/>
      </c>
      <c r="Q463" s="25">
        <f>IF($C463="","",IF(COUNTIF(campaigns!$A$2:$A$51,$C463)=0,"campaign_id not on campaigns; ",IF(AND($D463&lt;&gt;"",COUNTIFS(approvals!$A$2:$A$251,$C463,approvals!$B$2:$B$251,$D463)=0),"office not on this campaign (approvals tab); ",""))&amp;IF(AND(OR($E463="delivered",$E463="topped_up",$E463="collected"),$D463=""),"office needed; ","")&amp;IF(AND($E463&lt;&gt;"correction",N($G463)&lt;=0),"qty must be above 0; ","")&amp;IF(AND($E463="received",OR($I463="",$H463="")),"log lot and best-by; ","")&amp;IF(AND($P463="N",SUMIFS(inventory!$G$2:$G$801,inventory!$C$2:$C$801,$C463,inventory!$H$2:$H$801,$H463,inventory!$E$2:$E$801,"rejected")&lt;N($G463)),"UNDER "&amp;config!$B$19&amp;" DAYS LEFT ON THE DROP DAY: reject these units; ","")&amp;IF(AND($E463="delivered",COUNTIF(inventory!$R$2:$R$801,$R463)&gt;1),"two delivered rows for this office: use one; ","")&amp;IF(AND($E463="delivered",$J463=""),"who counted?; ",""))</f>
        <v/>
      </c>
      <c r="R463" s="25">
        <f>IF($C463="","",$C463&amp;"|"&amp;$D463&amp;"|"&amp;$E463)</f>
        <v/>
      </c>
    </row>
    <row r="464">
      <c r="A464" s="9" t="n"/>
      <c r="B464" s="33" t="n"/>
      <c r="I464" s="9" t="n"/>
      <c r="L464" s="26">
        <f>IF($C464="","",IFERROR(IF(INDEX(campaigns!$BG$2:$BG$51,MATCH($C464,campaigns!$A$2:$A$51,0))="","",INDEX(campaigns!$BG$2:$BG$51,MATCH($C464,campaigns!$A$2:$A$51,0))),""))</f>
        <v/>
      </c>
      <c r="M464" s="25">
        <f>IF($C464="","",IF(OR($E464="received"),N($G464),IF(OR($E464="rejected",$E464="delivered",$E464="topped_up"),-N($G464),IF(AND(OR($E464="returned_to_brand",$E464="given_to_roster_office",$E464="released_to_office",$E464="disposed"),IF($F464="","reserve",$F464)="reserve"),-N($G464),IF(AND($E464="correction",IF($F464="","reserve",$F464)="reserve"),N($G464),0)))))</f>
        <v/>
      </c>
      <c r="N464" s="25">
        <f>IF($C464="","",IF($E464="rejected",N($G464),IF(AND(OR($E464="returned_to_brand",$E464="given_to_roster_office",$E464="released_to_office",$E464="disposed"),IF($F464="","reserve",$F464)="rejected"),-N($G464),IF(AND($E464="correction",IF($F464="","reserve",$F464)="rejected"),N($G464),0))))</f>
        <v/>
      </c>
      <c r="O464" s="25">
        <f>IF($C464="","",IF($E464="collected",N($G464),IF(AND(OR($E464="returned_to_brand",$E464="given_to_roster_office",$E464="released_to_office",$E464="disposed"),IF($F464="","reserve",$F464)="leftover"),-N($G464),IF(AND($E464="correction",IF($F464="","reserve",$F464)="leftover"),N($G464),0))))</f>
        <v/>
      </c>
      <c r="P464" s="25">
        <f>IF(OR($E464&lt;&gt;"received",$I464="",$L464=""),"",IF($I464&gt;=$L464+config!$B$19,"Y","N"))</f>
        <v/>
      </c>
      <c r="Q464" s="25">
        <f>IF($C464="","",IF(COUNTIF(campaigns!$A$2:$A$51,$C464)=0,"campaign_id not on campaigns; ",IF(AND($D464&lt;&gt;"",COUNTIFS(approvals!$A$2:$A$251,$C464,approvals!$B$2:$B$251,$D464)=0),"office not on this campaign (approvals tab); ",""))&amp;IF(AND(OR($E464="delivered",$E464="topped_up",$E464="collected"),$D464=""),"office needed; ","")&amp;IF(AND($E464&lt;&gt;"correction",N($G464)&lt;=0),"qty must be above 0; ","")&amp;IF(AND($E464="received",OR($I464="",$H464="")),"log lot and best-by; ","")&amp;IF(AND($P464="N",SUMIFS(inventory!$G$2:$G$801,inventory!$C$2:$C$801,$C464,inventory!$H$2:$H$801,$H464,inventory!$E$2:$E$801,"rejected")&lt;N($G464)),"UNDER "&amp;config!$B$19&amp;" DAYS LEFT ON THE DROP DAY: reject these units; ","")&amp;IF(AND($E464="delivered",COUNTIF(inventory!$R$2:$R$801,$R464)&gt;1),"two delivered rows for this office: use one; ","")&amp;IF(AND($E464="delivered",$J464=""),"who counted?; ",""))</f>
        <v/>
      </c>
      <c r="R464" s="25">
        <f>IF($C464="","",$C464&amp;"|"&amp;$D464&amp;"|"&amp;$E464)</f>
        <v/>
      </c>
    </row>
    <row r="465">
      <c r="A465" s="9" t="n"/>
      <c r="B465" s="33" t="n"/>
      <c r="I465" s="9" t="n"/>
      <c r="L465" s="26">
        <f>IF($C465="","",IFERROR(IF(INDEX(campaigns!$BG$2:$BG$51,MATCH($C465,campaigns!$A$2:$A$51,0))="","",INDEX(campaigns!$BG$2:$BG$51,MATCH($C465,campaigns!$A$2:$A$51,0))),""))</f>
        <v/>
      </c>
      <c r="M465" s="25">
        <f>IF($C465="","",IF(OR($E465="received"),N($G465),IF(OR($E465="rejected",$E465="delivered",$E465="topped_up"),-N($G465),IF(AND(OR($E465="returned_to_brand",$E465="given_to_roster_office",$E465="released_to_office",$E465="disposed"),IF($F465="","reserve",$F465)="reserve"),-N($G465),IF(AND($E465="correction",IF($F465="","reserve",$F465)="reserve"),N($G465),0)))))</f>
        <v/>
      </c>
      <c r="N465" s="25">
        <f>IF($C465="","",IF($E465="rejected",N($G465),IF(AND(OR($E465="returned_to_brand",$E465="given_to_roster_office",$E465="released_to_office",$E465="disposed"),IF($F465="","reserve",$F465)="rejected"),-N($G465),IF(AND($E465="correction",IF($F465="","reserve",$F465)="rejected"),N($G465),0))))</f>
        <v/>
      </c>
      <c r="O465" s="25">
        <f>IF($C465="","",IF($E465="collected",N($G465),IF(AND(OR($E465="returned_to_brand",$E465="given_to_roster_office",$E465="released_to_office",$E465="disposed"),IF($F465="","reserve",$F465)="leftover"),-N($G465),IF(AND($E465="correction",IF($F465="","reserve",$F465)="leftover"),N($G465),0))))</f>
        <v/>
      </c>
      <c r="P465" s="25">
        <f>IF(OR($E465&lt;&gt;"received",$I465="",$L465=""),"",IF($I465&gt;=$L465+config!$B$19,"Y","N"))</f>
        <v/>
      </c>
      <c r="Q465" s="25">
        <f>IF($C465="","",IF(COUNTIF(campaigns!$A$2:$A$51,$C465)=0,"campaign_id not on campaigns; ",IF(AND($D465&lt;&gt;"",COUNTIFS(approvals!$A$2:$A$251,$C465,approvals!$B$2:$B$251,$D465)=0),"office not on this campaign (approvals tab); ",""))&amp;IF(AND(OR($E465="delivered",$E465="topped_up",$E465="collected"),$D465=""),"office needed; ","")&amp;IF(AND($E465&lt;&gt;"correction",N($G465)&lt;=0),"qty must be above 0; ","")&amp;IF(AND($E465="received",OR($I465="",$H465="")),"log lot and best-by; ","")&amp;IF(AND($P465="N",SUMIFS(inventory!$G$2:$G$801,inventory!$C$2:$C$801,$C465,inventory!$H$2:$H$801,$H465,inventory!$E$2:$E$801,"rejected")&lt;N($G465)),"UNDER "&amp;config!$B$19&amp;" DAYS LEFT ON THE DROP DAY: reject these units; ","")&amp;IF(AND($E465="delivered",COUNTIF(inventory!$R$2:$R$801,$R465)&gt;1),"two delivered rows for this office: use one; ","")&amp;IF(AND($E465="delivered",$J465=""),"who counted?; ",""))</f>
        <v/>
      </c>
      <c r="R465" s="25">
        <f>IF($C465="","",$C465&amp;"|"&amp;$D465&amp;"|"&amp;$E465)</f>
        <v/>
      </c>
    </row>
    <row r="466">
      <c r="A466" s="9" t="n"/>
      <c r="B466" s="33" t="n"/>
      <c r="I466" s="9" t="n"/>
      <c r="L466" s="26">
        <f>IF($C466="","",IFERROR(IF(INDEX(campaigns!$BG$2:$BG$51,MATCH($C466,campaigns!$A$2:$A$51,0))="","",INDEX(campaigns!$BG$2:$BG$51,MATCH($C466,campaigns!$A$2:$A$51,0))),""))</f>
        <v/>
      </c>
      <c r="M466" s="25">
        <f>IF($C466="","",IF(OR($E466="received"),N($G466),IF(OR($E466="rejected",$E466="delivered",$E466="topped_up"),-N($G466),IF(AND(OR($E466="returned_to_brand",$E466="given_to_roster_office",$E466="released_to_office",$E466="disposed"),IF($F466="","reserve",$F466)="reserve"),-N($G466),IF(AND($E466="correction",IF($F466="","reserve",$F466)="reserve"),N($G466),0)))))</f>
        <v/>
      </c>
      <c r="N466" s="25">
        <f>IF($C466="","",IF($E466="rejected",N($G466),IF(AND(OR($E466="returned_to_brand",$E466="given_to_roster_office",$E466="released_to_office",$E466="disposed"),IF($F466="","reserve",$F466)="rejected"),-N($G466),IF(AND($E466="correction",IF($F466="","reserve",$F466)="rejected"),N($G466),0))))</f>
        <v/>
      </c>
      <c r="O466" s="25">
        <f>IF($C466="","",IF($E466="collected",N($G466),IF(AND(OR($E466="returned_to_brand",$E466="given_to_roster_office",$E466="released_to_office",$E466="disposed"),IF($F466="","reserve",$F466)="leftover"),-N($G466),IF(AND($E466="correction",IF($F466="","reserve",$F466)="leftover"),N($G466),0))))</f>
        <v/>
      </c>
      <c r="P466" s="25">
        <f>IF(OR($E466&lt;&gt;"received",$I466="",$L466=""),"",IF($I466&gt;=$L466+config!$B$19,"Y","N"))</f>
        <v/>
      </c>
      <c r="Q466" s="25">
        <f>IF($C466="","",IF(COUNTIF(campaigns!$A$2:$A$51,$C466)=0,"campaign_id not on campaigns; ",IF(AND($D466&lt;&gt;"",COUNTIFS(approvals!$A$2:$A$251,$C466,approvals!$B$2:$B$251,$D466)=0),"office not on this campaign (approvals tab); ",""))&amp;IF(AND(OR($E466="delivered",$E466="topped_up",$E466="collected"),$D466=""),"office needed; ","")&amp;IF(AND($E466&lt;&gt;"correction",N($G466)&lt;=0),"qty must be above 0; ","")&amp;IF(AND($E466="received",OR($I466="",$H466="")),"log lot and best-by; ","")&amp;IF(AND($P466="N",SUMIFS(inventory!$G$2:$G$801,inventory!$C$2:$C$801,$C466,inventory!$H$2:$H$801,$H466,inventory!$E$2:$E$801,"rejected")&lt;N($G466)),"UNDER "&amp;config!$B$19&amp;" DAYS LEFT ON THE DROP DAY: reject these units; ","")&amp;IF(AND($E466="delivered",COUNTIF(inventory!$R$2:$R$801,$R466)&gt;1),"two delivered rows for this office: use one; ","")&amp;IF(AND($E466="delivered",$J466=""),"who counted?; ",""))</f>
        <v/>
      </c>
      <c r="R466" s="25">
        <f>IF($C466="","",$C466&amp;"|"&amp;$D466&amp;"|"&amp;$E466)</f>
        <v/>
      </c>
    </row>
    <row r="467">
      <c r="A467" s="9" t="n"/>
      <c r="B467" s="33" t="n"/>
      <c r="I467" s="9" t="n"/>
      <c r="L467" s="26">
        <f>IF($C467="","",IFERROR(IF(INDEX(campaigns!$BG$2:$BG$51,MATCH($C467,campaigns!$A$2:$A$51,0))="","",INDEX(campaigns!$BG$2:$BG$51,MATCH($C467,campaigns!$A$2:$A$51,0))),""))</f>
        <v/>
      </c>
      <c r="M467" s="25">
        <f>IF($C467="","",IF(OR($E467="received"),N($G467),IF(OR($E467="rejected",$E467="delivered",$E467="topped_up"),-N($G467),IF(AND(OR($E467="returned_to_brand",$E467="given_to_roster_office",$E467="released_to_office",$E467="disposed"),IF($F467="","reserve",$F467)="reserve"),-N($G467),IF(AND($E467="correction",IF($F467="","reserve",$F467)="reserve"),N($G467),0)))))</f>
        <v/>
      </c>
      <c r="N467" s="25">
        <f>IF($C467="","",IF($E467="rejected",N($G467),IF(AND(OR($E467="returned_to_brand",$E467="given_to_roster_office",$E467="released_to_office",$E467="disposed"),IF($F467="","reserve",$F467)="rejected"),-N($G467),IF(AND($E467="correction",IF($F467="","reserve",$F467)="rejected"),N($G467),0))))</f>
        <v/>
      </c>
      <c r="O467" s="25">
        <f>IF($C467="","",IF($E467="collected",N($G467),IF(AND(OR($E467="returned_to_brand",$E467="given_to_roster_office",$E467="released_to_office",$E467="disposed"),IF($F467="","reserve",$F467)="leftover"),-N($G467),IF(AND($E467="correction",IF($F467="","reserve",$F467)="leftover"),N($G467),0))))</f>
        <v/>
      </c>
      <c r="P467" s="25">
        <f>IF(OR($E467&lt;&gt;"received",$I467="",$L467=""),"",IF($I467&gt;=$L467+config!$B$19,"Y","N"))</f>
        <v/>
      </c>
      <c r="Q467" s="25">
        <f>IF($C467="","",IF(COUNTIF(campaigns!$A$2:$A$51,$C467)=0,"campaign_id not on campaigns; ",IF(AND($D467&lt;&gt;"",COUNTIFS(approvals!$A$2:$A$251,$C467,approvals!$B$2:$B$251,$D467)=0),"office not on this campaign (approvals tab); ",""))&amp;IF(AND(OR($E467="delivered",$E467="topped_up",$E467="collected"),$D467=""),"office needed; ","")&amp;IF(AND($E467&lt;&gt;"correction",N($G467)&lt;=0),"qty must be above 0; ","")&amp;IF(AND($E467="received",OR($I467="",$H467="")),"log lot and best-by; ","")&amp;IF(AND($P467="N",SUMIFS(inventory!$G$2:$G$801,inventory!$C$2:$C$801,$C467,inventory!$H$2:$H$801,$H467,inventory!$E$2:$E$801,"rejected")&lt;N($G467)),"UNDER "&amp;config!$B$19&amp;" DAYS LEFT ON THE DROP DAY: reject these units; ","")&amp;IF(AND($E467="delivered",COUNTIF(inventory!$R$2:$R$801,$R467)&gt;1),"two delivered rows for this office: use one; ","")&amp;IF(AND($E467="delivered",$J467=""),"who counted?; ",""))</f>
        <v/>
      </c>
      <c r="R467" s="25">
        <f>IF($C467="","",$C467&amp;"|"&amp;$D467&amp;"|"&amp;$E467)</f>
        <v/>
      </c>
    </row>
    <row r="468">
      <c r="A468" s="9" t="n"/>
      <c r="B468" s="33" t="n"/>
      <c r="I468" s="9" t="n"/>
      <c r="L468" s="26">
        <f>IF($C468="","",IFERROR(IF(INDEX(campaigns!$BG$2:$BG$51,MATCH($C468,campaigns!$A$2:$A$51,0))="","",INDEX(campaigns!$BG$2:$BG$51,MATCH($C468,campaigns!$A$2:$A$51,0))),""))</f>
        <v/>
      </c>
      <c r="M468" s="25">
        <f>IF($C468="","",IF(OR($E468="received"),N($G468),IF(OR($E468="rejected",$E468="delivered",$E468="topped_up"),-N($G468),IF(AND(OR($E468="returned_to_brand",$E468="given_to_roster_office",$E468="released_to_office",$E468="disposed"),IF($F468="","reserve",$F468)="reserve"),-N($G468),IF(AND($E468="correction",IF($F468="","reserve",$F468)="reserve"),N($G468),0)))))</f>
        <v/>
      </c>
      <c r="N468" s="25">
        <f>IF($C468="","",IF($E468="rejected",N($G468),IF(AND(OR($E468="returned_to_brand",$E468="given_to_roster_office",$E468="released_to_office",$E468="disposed"),IF($F468="","reserve",$F468)="rejected"),-N($G468),IF(AND($E468="correction",IF($F468="","reserve",$F468)="rejected"),N($G468),0))))</f>
        <v/>
      </c>
      <c r="O468" s="25">
        <f>IF($C468="","",IF($E468="collected",N($G468),IF(AND(OR($E468="returned_to_brand",$E468="given_to_roster_office",$E468="released_to_office",$E468="disposed"),IF($F468="","reserve",$F468)="leftover"),-N($G468),IF(AND($E468="correction",IF($F468="","reserve",$F468)="leftover"),N($G468),0))))</f>
        <v/>
      </c>
      <c r="P468" s="25">
        <f>IF(OR($E468&lt;&gt;"received",$I468="",$L468=""),"",IF($I468&gt;=$L468+config!$B$19,"Y","N"))</f>
        <v/>
      </c>
      <c r="Q468" s="25">
        <f>IF($C468="","",IF(COUNTIF(campaigns!$A$2:$A$51,$C468)=0,"campaign_id not on campaigns; ",IF(AND($D468&lt;&gt;"",COUNTIFS(approvals!$A$2:$A$251,$C468,approvals!$B$2:$B$251,$D468)=0),"office not on this campaign (approvals tab); ",""))&amp;IF(AND(OR($E468="delivered",$E468="topped_up",$E468="collected"),$D468=""),"office needed; ","")&amp;IF(AND($E468&lt;&gt;"correction",N($G468)&lt;=0),"qty must be above 0; ","")&amp;IF(AND($E468="received",OR($I468="",$H468="")),"log lot and best-by; ","")&amp;IF(AND($P468="N",SUMIFS(inventory!$G$2:$G$801,inventory!$C$2:$C$801,$C468,inventory!$H$2:$H$801,$H468,inventory!$E$2:$E$801,"rejected")&lt;N($G468)),"UNDER "&amp;config!$B$19&amp;" DAYS LEFT ON THE DROP DAY: reject these units; ","")&amp;IF(AND($E468="delivered",COUNTIF(inventory!$R$2:$R$801,$R468)&gt;1),"two delivered rows for this office: use one; ","")&amp;IF(AND($E468="delivered",$J468=""),"who counted?; ",""))</f>
        <v/>
      </c>
      <c r="R468" s="25">
        <f>IF($C468="","",$C468&amp;"|"&amp;$D468&amp;"|"&amp;$E468)</f>
        <v/>
      </c>
    </row>
    <row r="469">
      <c r="A469" s="9" t="n"/>
      <c r="B469" s="33" t="n"/>
      <c r="I469" s="9" t="n"/>
      <c r="L469" s="26">
        <f>IF($C469="","",IFERROR(IF(INDEX(campaigns!$BG$2:$BG$51,MATCH($C469,campaigns!$A$2:$A$51,0))="","",INDEX(campaigns!$BG$2:$BG$51,MATCH($C469,campaigns!$A$2:$A$51,0))),""))</f>
        <v/>
      </c>
      <c r="M469" s="25">
        <f>IF($C469="","",IF(OR($E469="received"),N($G469),IF(OR($E469="rejected",$E469="delivered",$E469="topped_up"),-N($G469),IF(AND(OR($E469="returned_to_brand",$E469="given_to_roster_office",$E469="released_to_office",$E469="disposed"),IF($F469="","reserve",$F469)="reserve"),-N($G469),IF(AND($E469="correction",IF($F469="","reserve",$F469)="reserve"),N($G469),0)))))</f>
        <v/>
      </c>
      <c r="N469" s="25">
        <f>IF($C469="","",IF($E469="rejected",N($G469),IF(AND(OR($E469="returned_to_brand",$E469="given_to_roster_office",$E469="released_to_office",$E469="disposed"),IF($F469="","reserve",$F469)="rejected"),-N($G469),IF(AND($E469="correction",IF($F469="","reserve",$F469)="rejected"),N($G469),0))))</f>
        <v/>
      </c>
      <c r="O469" s="25">
        <f>IF($C469="","",IF($E469="collected",N($G469),IF(AND(OR($E469="returned_to_brand",$E469="given_to_roster_office",$E469="released_to_office",$E469="disposed"),IF($F469="","reserve",$F469)="leftover"),-N($G469),IF(AND($E469="correction",IF($F469="","reserve",$F469)="leftover"),N($G469),0))))</f>
        <v/>
      </c>
      <c r="P469" s="25">
        <f>IF(OR($E469&lt;&gt;"received",$I469="",$L469=""),"",IF($I469&gt;=$L469+config!$B$19,"Y","N"))</f>
        <v/>
      </c>
      <c r="Q469" s="25">
        <f>IF($C469="","",IF(COUNTIF(campaigns!$A$2:$A$51,$C469)=0,"campaign_id not on campaigns; ",IF(AND($D469&lt;&gt;"",COUNTIFS(approvals!$A$2:$A$251,$C469,approvals!$B$2:$B$251,$D469)=0),"office not on this campaign (approvals tab); ",""))&amp;IF(AND(OR($E469="delivered",$E469="topped_up",$E469="collected"),$D469=""),"office needed; ","")&amp;IF(AND($E469&lt;&gt;"correction",N($G469)&lt;=0),"qty must be above 0; ","")&amp;IF(AND($E469="received",OR($I469="",$H469="")),"log lot and best-by; ","")&amp;IF(AND($P469="N",SUMIFS(inventory!$G$2:$G$801,inventory!$C$2:$C$801,$C469,inventory!$H$2:$H$801,$H469,inventory!$E$2:$E$801,"rejected")&lt;N($G469)),"UNDER "&amp;config!$B$19&amp;" DAYS LEFT ON THE DROP DAY: reject these units; ","")&amp;IF(AND($E469="delivered",COUNTIF(inventory!$R$2:$R$801,$R469)&gt;1),"two delivered rows for this office: use one; ","")&amp;IF(AND($E469="delivered",$J469=""),"who counted?; ",""))</f>
        <v/>
      </c>
      <c r="R469" s="25">
        <f>IF($C469="","",$C469&amp;"|"&amp;$D469&amp;"|"&amp;$E469)</f>
        <v/>
      </c>
    </row>
    <row r="470">
      <c r="A470" s="9" t="n"/>
      <c r="B470" s="33" t="n"/>
      <c r="I470" s="9" t="n"/>
      <c r="L470" s="26">
        <f>IF($C470="","",IFERROR(IF(INDEX(campaigns!$BG$2:$BG$51,MATCH($C470,campaigns!$A$2:$A$51,0))="","",INDEX(campaigns!$BG$2:$BG$51,MATCH($C470,campaigns!$A$2:$A$51,0))),""))</f>
        <v/>
      </c>
      <c r="M470" s="25">
        <f>IF($C470="","",IF(OR($E470="received"),N($G470),IF(OR($E470="rejected",$E470="delivered",$E470="topped_up"),-N($G470),IF(AND(OR($E470="returned_to_brand",$E470="given_to_roster_office",$E470="released_to_office",$E470="disposed"),IF($F470="","reserve",$F470)="reserve"),-N($G470),IF(AND($E470="correction",IF($F470="","reserve",$F470)="reserve"),N($G470),0)))))</f>
        <v/>
      </c>
      <c r="N470" s="25">
        <f>IF($C470="","",IF($E470="rejected",N($G470),IF(AND(OR($E470="returned_to_brand",$E470="given_to_roster_office",$E470="released_to_office",$E470="disposed"),IF($F470="","reserve",$F470)="rejected"),-N($G470),IF(AND($E470="correction",IF($F470="","reserve",$F470)="rejected"),N($G470),0))))</f>
        <v/>
      </c>
      <c r="O470" s="25">
        <f>IF($C470="","",IF($E470="collected",N($G470),IF(AND(OR($E470="returned_to_brand",$E470="given_to_roster_office",$E470="released_to_office",$E470="disposed"),IF($F470="","reserve",$F470)="leftover"),-N($G470),IF(AND($E470="correction",IF($F470="","reserve",$F470)="leftover"),N($G470),0))))</f>
        <v/>
      </c>
      <c r="P470" s="25">
        <f>IF(OR($E470&lt;&gt;"received",$I470="",$L470=""),"",IF($I470&gt;=$L470+config!$B$19,"Y","N"))</f>
        <v/>
      </c>
      <c r="Q470" s="25">
        <f>IF($C470="","",IF(COUNTIF(campaigns!$A$2:$A$51,$C470)=0,"campaign_id not on campaigns; ",IF(AND($D470&lt;&gt;"",COUNTIFS(approvals!$A$2:$A$251,$C470,approvals!$B$2:$B$251,$D470)=0),"office not on this campaign (approvals tab); ",""))&amp;IF(AND(OR($E470="delivered",$E470="topped_up",$E470="collected"),$D470=""),"office needed; ","")&amp;IF(AND($E470&lt;&gt;"correction",N($G470)&lt;=0),"qty must be above 0; ","")&amp;IF(AND($E470="received",OR($I470="",$H470="")),"log lot and best-by; ","")&amp;IF(AND($P470="N",SUMIFS(inventory!$G$2:$G$801,inventory!$C$2:$C$801,$C470,inventory!$H$2:$H$801,$H470,inventory!$E$2:$E$801,"rejected")&lt;N($G470)),"UNDER "&amp;config!$B$19&amp;" DAYS LEFT ON THE DROP DAY: reject these units; ","")&amp;IF(AND($E470="delivered",COUNTIF(inventory!$R$2:$R$801,$R470)&gt;1),"two delivered rows for this office: use one; ","")&amp;IF(AND($E470="delivered",$J470=""),"who counted?; ",""))</f>
        <v/>
      </c>
      <c r="R470" s="25">
        <f>IF($C470="","",$C470&amp;"|"&amp;$D470&amp;"|"&amp;$E470)</f>
        <v/>
      </c>
    </row>
    <row r="471">
      <c r="A471" s="9" t="n"/>
      <c r="B471" s="33" t="n"/>
      <c r="I471" s="9" t="n"/>
      <c r="L471" s="26">
        <f>IF($C471="","",IFERROR(IF(INDEX(campaigns!$BG$2:$BG$51,MATCH($C471,campaigns!$A$2:$A$51,0))="","",INDEX(campaigns!$BG$2:$BG$51,MATCH($C471,campaigns!$A$2:$A$51,0))),""))</f>
        <v/>
      </c>
      <c r="M471" s="25">
        <f>IF($C471="","",IF(OR($E471="received"),N($G471),IF(OR($E471="rejected",$E471="delivered",$E471="topped_up"),-N($G471),IF(AND(OR($E471="returned_to_brand",$E471="given_to_roster_office",$E471="released_to_office",$E471="disposed"),IF($F471="","reserve",$F471)="reserve"),-N($G471),IF(AND($E471="correction",IF($F471="","reserve",$F471)="reserve"),N($G471),0)))))</f>
        <v/>
      </c>
      <c r="N471" s="25">
        <f>IF($C471="","",IF($E471="rejected",N($G471),IF(AND(OR($E471="returned_to_brand",$E471="given_to_roster_office",$E471="released_to_office",$E471="disposed"),IF($F471="","reserve",$F471)="rejected"),-N($G471),IF(AND($E471="correction",IF($F471="","reserve",$F471)="rejected"),N($G471),0))))</f>
        <v/>
      </c>
      <c r="O471" s="25">
        <f>IF($C471="","",IF($E471="collected",N($G471),IF(AND(OR($E471="returned_to_brand",$E471="given_to_roster_office",$E471="released_to_office",$E471="disposed"),IF($F471="","reserve",$F471)="leftover"),-N($G471),IF(AND($E471="correction",IF($F471="","reserve",$F471)="leftover"),N($G471),0))))</f>
        <v/>
      </c>
      <c r="P471" s="25">
        <f>IF(OR($E471&lt;&gt;"received",$I471="",$L471=""),"",IF($I471&gt;=$L471+config!$B$19,"Y","N"))</f>
        <v/>
      </c>
      <c r="Q471" s="25">
        <f>IF($C471="","",IF(COUNTIF(campaigns!$A$2:$A$51,$C471)=0,"campaign_id not on campaigns; ",IF(AND($D471&lt;&gt;"",COUNTIFS(approvals!$A$2:$A$251,$C471,approvals!$B$2:$B$251,$D471)=0),"office not on this campaign (approvals tab); ",""))&amp;IF(AND(OR($E471="delivered",$E471="topped_up",$E471="collected"),$D471=""),"office needed; ","")&amp;IF(AND($E471&lt;&gt;"correction",N($G471)&lt;=0),"qty must be above 0; ","")&amp;IF(AND($E471="received",OR($I471="",$H471="")),"log lot and best-by; ","")&amp;IF(AND($P471="N",SUMIFS(inventory!$G$2:$G$801,inventory!$C$2:$C$801,$C471,inventory!$H$2:$H$801,$H471,inventory!$E$2:$E$801,"rejected")&lt;N($G471)),"UNDER "&amp;config!$B$19&amp;" DAYS LEFT ON THE DROP DAY: reject these units; ","")&amp;IF(AND($E471="delivered",COUNTIF(inventory!$R$2:$R$801,$R471)&gt;1),"two delivered rows for this office: use one; ","")&amp;IF(AND($E471="delivered",$J471=""),"who counted?; ",""))</f>
        <v/>
      </c>
      <c r="R471" s="25">
        <f>IF($C471="","",$C471&amp;"|"&amp;$D471&amp;"|"&amp;$E471)</f>
        <v/>
      </c>
    </row>
    <row r="472">
      <c r="A472" s="9" t="n"/>
      <c r="B472" s="33" t="n"/>
      <c r="I472" s="9" t="n"/>
      <c r="L472" s="26">
        <f>IF($C472="","",IFERROR(IF(INDEX(campaigns!$BG$2:$BG$51,MATCH($C472,campaigns!$A$2:$A$51,0))="","",INDEX(campaigns!$BG$2:$BG$51,MATCH($C472,campaigns!$A$2:$A$51,0))),""))</f>
        <v/>
      </c>
      <c r="M472" s="25">
        <f>IF($C472="","",IF(OR($E472="received"),N($G472),IF(OR($E472="rejected",$E472="delivered",$E472="topped_up"),-N($G472),IF(AND(OR($E472="returned_to_brand",$E472="given_to_roster_office",$E472="released_to_office",$E472="disposed"),IF($F472="","reserve",$F472)="reserve"),-N($G472),IF(AND($E472="correction",IF($F472="","reserve",$F472)="reserve"),N($G472),0)))))</f>
        <v/>
      </c>
      <c r="N472" s="25">
        <f>IF($C472="","",IF($E472="rejected",N($G472),IF(AND(OR($E472="returned_to_brand",$E472="given_to_roster_office",$E472="released_to_office",$E472="disposed"),IF($F472="","reserve",$F472)="rejected"),-N($G472),IF(AND($E472="correction",IF($F472="","reserve",$F472)="rejected"),N($G472),0))))</f>
        <v/>
      </c>
      <c r="O472" s="25">
        <f>IF($C472="","",IF($E472="collected",N($G472),IF(AND(OR($E472="returned_to_brand",$E472="given_to_roster_office",$E472="released_to_office",$E472="disposed"),IF($F472="","reserve",$F472)="leftover"),-N($G472),IF(AND($E472="correction",IF($F472="","reserve",$F472)="leftover"),N($G472),0))))</f>
        <v/>
      </c>
      <c r="P472" s="25">
        <f>IF(OR($E472&lt;&gt;"received",$I472="",$L472=""),"",IF($I472&gt;=$L472+config!$B$19,"Y","N"))</f>
        <v/>
      </c>
      <c r="Q472" s="25">
        <f>IF($C472="","",IF(COUNTIF(campaigns!$A$2:$A$51,$C472)=0,"campaign_id not on campaigns; ",IF(AND($D472&lt;&gt;"",COUNTIFS(approvals!$A$2:$A$251,$C472,approvals!$B$2:$B$251,$D472)=0),"office not on this campaign (approvals tab); ",""))&amp;IF(AND(OR($E472="delivered",$E472="topped_up",$E472="collected"),$D472=""),"office needed; ","")&amp;IF(AND($E472&lt;&gt;"correction",N($G472)&lt;=0),"qty must be above 0; ","")&amp;IF(AND($E472="received",OR($I472="",$H472="")),"log lot and best-by; ","")&amp;IF(AND($P472="N",SUMIFS(inventory!$G$2:$G$801,inventory!$C$2:$C$801,$C472,inventory!$H$2:$H$801,$H472,inventory!$E$2:$E$801,"rejected")&lt;N($G472)),"UNDER "&amp;config!$B$19&amp;" DAYS LEFT ON THE DROP DAY: reject these units; ","")&amp;IF(AND($E472="delivered",COUNTIF(inventory!$R$2:$R$801,$R472)&gt;1),"two delivered rows for this office: use one; ","")&amp;IF(AND($E472="delivered",$J472=""),"who counted?; ",""))</f>
        <v/>
      </c>
      <c r="R472" s="25">
        <f>IF($C472="","",$C472&amp;"|"&amp;$D472&amp;"|"&amp;$E472)</f>
        <v/>
      </c>
    </row>
    <row r="473">
      <c r="A473" s="9" t="n"/>
      <c r="B473" s="33" t="n"/>
      <c r="I473" s="9" t="n"/>
      <c r="L473" s="26">
        <f>IF($C473="","",IFERROR(IF(INDEX(campaigns!$BG$2:$BG$51,MATCH($C473,campaigns!$A$2:$A$51,0))="","",INDEX(campaigns!$BG$2:$BG$51,MATCH($C473,campaigns!$A$2:$A$51,0))),""))</f>
        <v/>
      </c>
      <c r="M473" s="25">
        <f>IF($C473="","",IF(OR($E473="received"),N($G473),IF(OR($E473="rejected",$E473="delivered",$E473="topped_up"),-N($G473),IF(AND(OR($E473="returned_to_brand",$E473="given_to_roster_office",$E473="released_to_office",$E473="disposed"),IF($F473="","reserve",$F473)="reserve"),-N($G473),IF(AND($E473="correction",IF($F473="","reserve",$F473)="reserve"),N($G473),0)))))</f>
        <v/>
      </c>
      <c r="N473" s="25">
        <f>IF($C473="","",IF($E473="rejected",N($G473),IF(AND(OR($E473="returned_to_brand",$E473="given_to_roster_office",$E473="released_to_office",$E473="disposed"),IF($F473="","reserve",$F473)="rejected"),-N($G473),IF(AND($E473="correction",IF($F473="","reserve",$F473)="rejected"),N($G473),0))))</f>
        <v/>
      </c>
      <c r="O473" s="25">
        <f>IF($C473="","",IF($E473="collected",N($G473),IF(AND(OR($E473="returned_to_brand",$E473="given_to_roster_office",$E473="released_to_office",$E473="disposed"),IF($F473="","reserve",$F473)="leftover"),-N($G473),IF(AND($E473="correction",IF($F473="","reserve",$F473)="leftover"),N($G473),0))))</f>
        <v/>
      </c>
      <c r="P473" s="25">
        <f>IF(OR($E473&lt;&gt;"received",$I473="",$L473=""),"",IF($I473&gt;=$L473+config!$B$19,"Y","N"))</f>
        <v/>
      </c>
      <c r="Q473" s="25">
        <f>IF($C473="","",IF(COUNTIF(campaigns!$A$2:$A$51,$C473)=0,"campaign_id not on campaigns; ",IF(AND($D473&lt;&gt;"",COUNTIFS(approvals!$A$2:$A$251,$C473,approvals!$B$2:$B$251,$D473)=0),"office not on this campaign (approvals tab); ",""))&amp;IF(AND(OR($E473="delivered",$E473="topped_up",$E473="collected"),$D473=""),"office needed; ","")&amp;IF(AND($E473&lt;&gt;"correction",N($G473)&lt;=0),"qty must be above 0; ","")&amp;IF(AND($E473="received",OR($I473="",$H473="")),"log lot and best-by; ","")&amp;IF(AND($P473="N",SUMIFS(inventory!$G$2:$G$801,inventory!$C$2:$C$801,$C473,inventory!$H$2:$H$801,$H473,inventory!$E$2:$E$801,"rejected")&lt;N($G473)),"UNDER "&amp;config!$B$19&amp;" DAYS LEFT ON THE DROP DAY: reject these units; ","")&amp;IF(AND($E473="delivered",COUNTIF(inventory!$R$2:$R$801,$R473)&gt;1),"two delivered rows for this office: use one; ","")&amp;IF(AND($E473="delivered",$J473=""),"who counted?; ",""))</f>
        <v/>
      </c>
      <c r="R473" s="25">
        <f>IF($C473="","",$C473&amp;"|"&amp;$D473&amp;"|"&amp;$E473)</f>
        <v/>
      </c>
    </row>
    <row r="474">
      <c r="A474" s="9" t="n"/>
      <c r="B474" s="33" t="n"/>
      <c r="I474" s="9" t="n"/>
      <c r="L474" s="26">
        <f>IF($C474="","",IFERROR(IF(INDEX(campaigns!$BG$2:$BG$51,MATCH($C474,campaigns!$A$2:$A$51,0))="","",INDEX(campaigns!$BG$2:$BG$51,MATCH($C474,campaigns!$A$2:$A$51,0))),""))</f>
        <v/>
      </c>
      <c r="M474" s="25">
        <f>IF($C474="","",IF(OR($E474="received"),N($G474),IF(OR($E474="rejected",$E474="delivered",$E474="topped_up"),-N($G474),IF(AND(OR($E474="returned_to_brand",$E474="given_to_roster_office",$E474="released_to_office",$E474="disposed"),IF($F474="","reserve",$F474)="reserve"),-N($G474),IF(AND($E474="correction",IF($F474="","reserve",$F474)="reserve"),N($G474),0)))))</f>
        <v/>
      </c>
      <c r="N474" s="25">
        <f>IF($C474="","",IF($E474="rejected",N($G474),IF(AND(OR($E474="returned_to_brand",$E474="given_to_roster_office",$E474="released_to_office",$E474="disposed"),IF($F474="","reserve",$F474)="rejected"),-N($G474),IF(AND($E474="correction",IF($F474="","reserve",$F474)="rejected"),N($G474),0))))</f>
        <v/>
      </c>
      <c r="O474" s="25">
        <f>IF($C474="","",IF($E474="collected",N($G474),IF(AND(OR($E474="returned_to_brand",$E474="given_to_roster_office",$E474="released_to_office",$E474="disposed"),IF($F474="","reserve",$F474)="leftover"),-N($G474),IF(AND($E474="correction",IF($F474="","reserve",$F474)="leftover"),N($G474),0))))</f>
        <v/>
      </c>
      <c r="P474" s="25">
        <f>IF(OR($E474&lt;&gt;"received",$I474="",$L474=""),"",IF($I474&gt;=$L474+config!$B$19,"Y","N"))</f>
        <v/>
      </c>
      <c r="Q474" s="25">
        <f>IF($C474="","",IF(COUNTIF(campaigns!$A$2:$A$51,$C474)=0,"campaign_id not on campaigns; ",IF(AND($D474&lt;&gt;"",COUNTIFS(approvals!$A$2:$A$251,$C474,approvals!$B$2:$B$251,$D474)=0),"office not on this campaign (approvals tab); ",""))&amp;IF(AND(OR($E474="delivered",$E474="topped_up",$E474="collected"),$D474=""),"office needed; ","")&amp;IF(AND($E474&lt;&gt;"correction",N($G474)&lt;=0),"qty must be above 0; ","")&amp;IF(AND($E474="received",OR($I474="",$H474="")),"log lot and best-by; ","")&amp;IF(AND($P474="N",SUMIFS(inventory!$G$2:$G$801,inventory!$C$2:$C$801,$C474,inventory!$H$2:$H$801,$H474,inventory!$E$2:$E$801,"rejected")&lt;N($G474)),"UNDER "&amp;config!$B$19&amp;" DAYS LEFT ON THE DROP DAY: reject these units; ","")&amp;IF(AND($E474="delivered",COUNTIF(inventory!$R$2:$R$801,$R474)&gt;1),"two delivered rows for this office: use one; ","")&amp;IF(AND($E474="delivered",$J474=""),"who counted?; ",""))</f>
        <v/>
      </c>
      <c r="R474" s="25">
        <f>IF($C474="","",$C474&amp;"|"&amp;$D474&amp;"|"&amp;$E474)</f>
        <v/>
      </c>
    </row>
    <row r="475">
      <c r="A475" s="9" t="n"/>
      <c r="B475" s="33" t="n"/>
      <c r="I475" s="9" t="n"/>
      <c r="L475" s="26">
        <f>IF($C475="","",IFERROR(IF(INDEX(campaigns!$BG$2:$BG$51,MATCH($C475,campaigns!$A$2:$A$51,0))="","",INDEX(campaigns!$BG$2:$BG$51,MATCH($C475,campaigns!$A$2:$A$51,0))),""))</f>
        <v/>
      </c>
      <c r="M475" s="25">
        <f>IF($C475="","",IF(OR($E475="received"),N($G475),IF(OR($E475="rejected",$E475="delivered",$E475="topped_up"),-N($G475),IF(AND(OR($E475="returned_to_brand",$E475="given_to_roster_office",$E475="released_to_office",$E475="disposed"),IF($F475="","reserve",$F475)="reserve"),-N($G475),IF(AND($E475="correction",IF($F475="","reserve",$F475)="reserve"),N($G475),0)))))</f>
        <v/>
      </c>
      <c r="N475" s="25">
        <f>IF($C475="","",IF($E475="rejected",N($G475),IF(AND(OR($E475="returned_to_brand",$E475="given_to_roster_office",$E475="released_to_office",$E475="disposed"),IF($F475="","reserve",$F475)="rejected"),-N($G475),IF(AND($E475="correction",IF($F475="","reserve",$F475)="rejected"),N($G475),0))))</f>
        <v/>
      </c>
      <c r="O475" s="25">
        <f>IF($C475="","",IF($E475="collected",N($G475),IF(AND(OR($E475="returned_to_brand",$E475="given_to_roster_office",$E475="released_to_office",$E475="disposed"),IF($F475="","reserve",$F475)="leftover"),-N($G475),IF(AND($E475="correction",IF($F475="","reserve",$F475)="leftover"),N($G475),0))))</f>
        <v/>
      </c>
      <c r="P475" s="25">
        <f>IF(OR($E475&lt;&gt;"received",$I475="",$L475=""),"",IF($I475&gt;=$L475+config!$B$19,"Y","N"))</f>
        <v/>
      </c>
      <c r="Q475" s="25">
        <f>IF($C475="","",IF(COUNTIF(campaigns!$A$2:$A$51,$C475)=0,"campaign_id not on campaigns; ",IF(AND($D475&lt;&gt;"",COUNTIFS(approvals!$A$2:$A$251,$C475,approvals!$B$2:$B$251,$D475)=0),"office not on this campaign (approvals tab); ",""))&amp;IF(AND(OR($E475="delivered",$E475="topped_up",$E475="collected"),$D475=""),"office needed; ","")&amp;IF(AND($E475&lt;&gt;"correction",N($G475)&lt;=0),"qty must be above 0; ","")&amp;IF(AND($E475="received",OR($I475="",$H475="")),"log lot and best-by; ","")&amp;IF(AND($P475="N",SUMIFS(inventory!$G$2:$G$801,inventory!$C$2:$C$801,$C475,inventory!$H$2:$H$801,$H475,inventory!$E$2:$E$801,"rejected")&lt;N($G475)),"UNDER "&amp;config!$B$19&amp;" DAYS LEFT ON THE DROP DAY: reject these units; ","")&amp;IF(AND($E475="delivered",COUNTIF(inventory!$R$2:$R$801,$R475)&gt;1),"two delivered rows for this office: use one; ","")&amp;IF(AND($E475="delivered",$J475=""),"who counted?; ",""))</f>
        <v/>
      </c>
      <c r="R475" s="25">
        <f>IF($C475="","",$C475&amp;"|"&amp;$D475&amp;"|"&amp;$E475)</f>
        <v/>
      </c>
    </row>
    <row r="476">
      <c r="A476" s="9" t="n"/>
      <c r="B476" s="33" t="n"/>
      <c r="I476" s="9" t="n"/>
      <c r="L476" s="26">
        <f>IF($C476="","",IFERROR(IF(INDEX(campaigns!$BG$2:$BG$51,MATCH($C476,campaigns!$A$2:$A$51,0))="","",INDEX(campaigns!$BG$2:$BG$51,MATCH($C476,campaigns!$A$2:$A$51,0))),""))</f>
        <v/>
      </c>
      <c r="M476" s="25">
        <f>IF($C476="","",IF(OR($E476="received"),N($G476),IF(OR($E476="rejected",$E476="delivered",$E476="topped_up"),-N($G476),IF(AND(OR($E476="returned_to_brand",$E476="given_to_roster_office",$E476="released_to_office",$E476="disposed"),IF($F476="","reserve",$F476)="reserve"),-N($G476),IF(AND($E476="correction",IF($F476="","reserve",$F476)="reserve"),N($G476),0)))))</f>
        <v/>
      </c>
      <c r="N476" s="25">
        <f>IF($C476="","",IF($E476="rejected",N($G476),IF(AND(OR($E476="returned_to_brand",$E476="given_to_roster_office",$E476="released_to_office",$E476="disposed"),IF($F476="","reserve",$F476)="rejected"),-N($G476),IF(AND($E476="correction",IF($F476="","reserve",$F476)="rejected"),N($G476),0))))</f>
        <v/>
      </c>
      <c r="O476" s="25">
        <f>IF($C476="","",IF($E476="collected",N($G476),IF(AND(OR($E476="returned_to_brand",$E476="given_to_roster_office",$E476="released_to_office",$E476="disposed"),IF($F476="","reserve",$F476)="leftover"),-N($G476),IF(AND($E476="correction",IF($F476="","reserve",$F476)="leftover"),N($G476),0))))</f>
        <v/>
      </c>
      <c r="P476" s="25">
        <f>IF(OR($E476&lt;&gt;"received",$I476="",$L476=""),"",IF($I476&gt;=$L476+config!$B$19,"Y","N"))</f>
        <v/>
      </c>
      <c r="Q476" s="25">
        <f>IF($C476="","",IF(COUNTIF(campaigns!$A$2:$A$51,$C476)=0,"campaign_id not on campaigns; ",IF(AND($D476&lt;&gt;"",COUNTIFS(approvals!$A$2:$A$251,$C476,approvals!$B$2:$B$251,$D476)=0),"office not on this campaign (approvals tab); ",""))&amp;IF(AND(OR($E476="delivered",$E476="topped_up",$E476="collected"),$D476=""),"office needed; ","")&amp;IF(AND($E476&lt;&gt;"correction",N($G476)&lt;=0),"qty must be above 0; ","")&amp;IF(AND($E476="received",OR($I476="",$H476="")),"log lot and best-by; ","")&amp;IF(AND($P476="N",SUMIFS(inventory!$G$2:$G$801,inventory!$C$2:$C$801,$C476,inventory!$H$2:$H$801,$H476,inventory!$E$2:$E$801,"rejected")&lt;N($G476)),"UNDER "&amp;config!$B$19&amp;" DAYS LEFT ON THE DROP DAY: reject these units; ","")&amp;IF(AND($E476="delivered",COUNTIF(inventory!$R$2:$R$801,$R476)&gt;1),"two delivered rows for this office: use one; ","")&amp;IF(AND($E476="delivered",$J476=""),"who counted?; ",""))</f>
        <v/>
      </c>
      <c r="R476" s="25">
        <f>IF($C476="","",$C476&amp;"|"&amp;$D476&amp;"|"&amp;$E476)</f>
        <v/>
      </c>
    </row>
    <row r="477">
      <c r="A477" s="9" t="n"/>
      <c r="B477" s="33" t="n"/>
      <c r="I477" s="9" t="n"/>
      <c r="L477" s="26">
        <f>IF($C477="","",IFERROR(IF(INDEX(campaigns!$BG$2:$BG$51,MATCH($C477,campaigns!$A$2:$A$51,0))="","",INDEX(campaigns!$BG$2:$BG$51,MATCH($C477,campaigns!$A$2:$A$51,0))),""))</f>
        <v/>
      </c>
      <c r="M477" s="25">
        <f>IF($C477="","",IF(OR($E477="received"),N($G477),IF(OR($E477="rejected",$E477="delivered",$E477="topped_up"),-N($G477),IF(AND(OR($E477="returned_to_brand",$E477="given_to_roster_office",$E477="released_to_office",$E477="disposed"),IF($F477="","reserve",$F477)="reserve"),-N($G477),IF(AND($E477="correction",IF($F477="","reserve",$F477)="reserve"),N($G477),0)))))</f>
        <v/>
      </c>
      <c r="N477" s="25">
        <f>IF($C477="","",IF($E477="rejected",N($G477),IF(AND(OR($E477="returned_to_brand",$E477="given_to_roster_office",$E477="released_to_office",$E477="disposed"),IF($F477="","reserve",$F477)="rejected"),-N($G477),IF(AND($E477="correction",IF($F477="","reserve",$F477)="rejected"),N($G477),0))))</f>
        <v/>
      </c>
      <c r="O477" s="25">
        <f>IF($C477="","",IF($E477="collected",N($G477),IF(AND(OR($E477="returned_to_brand",$E477="given_to_roster_office",$E477="released_to_office",$E477="disposed"),IF($F477="","reserve",$F477)="leftover"),-N($G477),IF(AND($E477="correction",IF($F477="","reserve",$F477)="leftover"),N($G477),0))))</f>
        <v/>
      </c>
      <c r="P477" s="25">
        <f>IF(OR($E477&lt;&gt;"received",$I477="",$L477=""),"",IF($I477&gt;=$L477+config!$B$19,"Y","N"))</f>
        <v/>
      </c>
      <c r="Q477" s="25">
        <f>IF($C477="","",IF(COUNTIF(campaigns!$A$2:$A$51,$C477)=0,"campaign_id not on campaigns; ",IF(AND($D477&lt;&gt;"",COUNTIFS(approvals!$A$2:$A$251,$C477,approvals!$B$2:$B$251,$D477)=0),"office not on this campaign (approvals tab); ",""))&amp;IF(AND(OR($E477="delivered",$E477="topped_up",$E477="collected"),$D477=""),"office needed; ","")&amp;IF(AND($E477&lt;&gt;"correction",N($G477)&lt;=0),"qty must be above 0; ","")&amp;IF(AND($E477="received",OR($I477="",$H477="")),"log lot and best-by; ","")&amp;IF(AND($P477="N",SUMIFS(inventory!$G$2:$G$801,inventory!$C$2:$C$801,$C477,inventory!$H$2:$H$801,$H477,inventory!$E$2:$E$801,"rejected")&lt;N($G477)),"UNDER "&amp;config!$B$19&amp;" DAYS LEFT ON THE DROP DAY: reject these units; ","")&amp;IF(AND($E477="delivered",COUNTIF(inventory!$R$2:$R$801,$R477)&gt;1),"two delivered rows for this office: use one; ","")&amp;IF(AND($E477="delivered",$J477=""),"who counted?; ",""))</f>
        <v/>
      </c>
      <c r="R477" s="25">
        <f>IF($C477="","",$C477&amp;"|"&amp;$D477&amp;"|"&amp;$E477)</f>
        <v/>
      </c>
    </row>
    <row r="478">
      <c r="A478" s="9" t="n"/>
      <c r="B478" s="33" t="n"/>
      <c r="I478" s="9" t="n"/>
      <c r="L478" s="26">
        <f>IF($C478="","",IFERROR(IF(INDEX(campaigns!$BG$2:$BG$51,MATCH($C478,campaigns!$A$2:$A$51,0))="","",INDEX(campaigns!$BG$2:$BG$51,MATCH($C478,campaigns!$A$2:$A$51,0))),""))</f>
        <v/>
      </c>
      <c r="M478" s="25">
        <f>IF($C478="","",IF(OR($E478="received"),N($G478),IF(OR($E478="rejected",$E478="delivered",$E478="topped_up"),-N($G478),IF(AND(OR($E478="returned_to_brand",$E478="given_to_roster_office",$E478="released_to_office",$E478="disposed"),IF($F478="","reserve",$F478)="reserve"),-N($G478),IF(AND($E478="correction",IF($F478="","reserve",$F478)="reserve"),N($G478),0)))))</f>
        <v/>
      </c>
      <c r="N478" s="25">
        <f>IF($C478="","",IF($E478="rejected",N($G478),IF(AND(OR($E478="returned_to_brand",$E478="given_to_roster_office",$E478="released_to_office",$E478="disposed"),IF($F478="","reserve",$F478)="rejected"),-N($G478),IF(AND($E478="correction",IF($F478="","reserve",$F478)="rejected"),N($G478),0))))</f>
        <v/>
      </c>
      <c r="O478" s="25">
        <f>IF($C478="","",IF($E478="collected",N($G478),IF(AND(OR($E478="returned_to_brand",$E478="given_to_roster_office",$E478="released_to_office",$E478="disposed"),IF($F478="","reserve",$F478)="leftover"),-N($G478),IF(AND($E478="correction",IF($F478="","reserve",$F478)="leftover"),N($G478),0))))</f>
        <v/>
      </c>
      <c r="P478" s="25">
        <f>IF(OR($E478&lt;&gt;"received",$I478="",$L478=""),"",IF($I478&gt;=$L478+config!$B$19,"Y","N"))</f>
        <v/>
      </c>
      <c r="Q478" s="25">
        <f>IF($C478="","",IF(COUNTIF(campaigns!$A$2:$A$51,$C478)=0,"campaign_id not on campaigns; ",IF(AND($D478&lt;&gt;"",COUNTIFS(approvals!$A$2:$A$251,$C478,approvals!$B$2:$B$251,$D478)=0),"office not on this campaign (approvals tab); ",""))&amp;IF(AND(OR($E478="delivered",$E478="topped_up",$E478="collected"),$D478=""),"office needed; ","")&amp;IF(AND($E478&lt;&gt;"correction",N($G478)&lt;=0),"qty must be above 0; ","")&amp;IF(AND($E478="received",OR($I478="",$H478="")),"log lot and best-by; ","")&amp;IF(AND($P478="N",SUMIFS(inventory!$G$2:$G$801,inventory!$C$2:$C$801,$C478,inventory!$H$2:$H$801,$H478,inventory!$E$2:$E$801,"rejected")&lt;N($G478)),"UNDER "&amp;config!$B$19&amp;" DAYS LEFT ON THE DROP DAY: reject these units; ","")&amp;IF(AND($E478="delivered",COUNTIF(inventory!$R$2:$R$801,$R478)&gt;1),"two delivered rows for this office: use one; ","")&amp;IF(AND($E478="delivered",$J478=""),"who counted?; ",""))</f>
        <v/>
      </c>
      <c r="R478" s="25">
        <f>IF($C478="","",$C478&amp;"|"&amp;$D478&amp;"|"&amp;$E478)</f>
        <v/>
      </c>
    </row>
    <row r="479">
      <c r="A479" s="9" t="n"/>
      <c r="B479" s="33" t="n"/>
      <c r="I479" s="9" t="n"/>
      <c r="L479" s="26">
        <f>IF($C479="","",IFERROR(IF(INDEX(campaigns!$BG$2:$BG$51,MATCH($C479,campaigns!$A$2:$A$51,0))="","",INDEX(campaigns!$BG$2:$BG$51,MATCH($C479,campaigns!$A$2:$A$51,0))),""))</f>
        <v/>
      </c>
      <c r="M479" s="25">
        <f>IF($C479="","",IF(OR($E479="received"),N($G479),IF(OR($E479="rejected",$E479="delivered",$E479="topped_up"),-N($G479),IF(AND(OR($E479="returned_to_brand",$E479="given_to_roster_office",$E479="released_to_office",$E479="disposed"),IF($F479="","reserve",$F479)="reserve"),-N($G479),IF(AND($E479="correction",IF($F479="","reserve",$F479)="reserve"),N($G479),0)))))</f>
        <v/>
      </c>
      <c r="N479" s="25">
        <f>IF($C479="","",IF($E479="rejected",N($G479),IF(AND(OR($E479="returned_to_brand",$E479="given_to_roster_office",$E479="released_to_office",$E479="disposed"),IF($F479="","reserve",$F479)="rejected"),-N($G479),IF(AND($E479="correction",IF($F479="","reserve",$F479)="rejected"),N($G479),0))))</f>
        <v/>
      </c>
      <c r="O479" s="25">
        <f>IF($C479="","",IF($E479="collected",N($G479),IF(AND(OR($E479="returned_to_brand",$E479="given_to_roster_office",$E479="released_to_office",$E479="disposed"),IF($F479="","reserve",$F479)="leftover"),-N($G479),IF(AND($E479="correction",IF($F479="","reserve",$F479)="leftover"),N($G479),0))))</f>
        <v/>
      </c>
      <c r="P479" s="25">
        <f>IF(OR($E479&lt;&gt;"received",$I479="",$L479=""),"",IF($I479&gt;=$L479+config!$B$19,"Y","N"))</f>
        <v/>
      </c>
      <c r="Q479" s="25">
        <f>IF($C479="","",IF(COUNTIF(campaigns!$A$2:$A$51,$C479)=0,"campaign_id not on campaigns; ",IF(AND($D479&lt;&gt;"",COUNTIFS(approvals!$A$2:$A$251,$C479,approvals!$B$2:$B$251,$D479)=0),"office not on this campaign (approvals tab); ",""))&amp;IF(AND(OR($E479="delivered",$E479="topped_up",$E479="collected"),$D479=""),"office needed; ","")&amp;IF(AND($E479&lt;&gt;"correction",N($G479)&lt;=0),"qty must be above 0; ","")&amp;IF(AND($E479="received",OR($I479="",$H479="")),"log lot and best-by; ","")&amp;IF(AND($P479="N",SUMIFS(inventory!$G$2:$G$801,inventory!$C$2:$C$801,$C479,inventory!$H$2:$H$801,$H479,inventory!$E$2:$E$801,"rejected")&lt;N($G479)),"UNDER "&amp;config!$B$19&amp;" DAYS LEFT ON THE DROP DAY: reject these units; ","")&amp;IF(AND($E479="delivered",COUNTIF(inventory!$R$2:$R$801,$R479)&gt;1),"two delivered rows for this office: use one; ","")&amp;IF(AND($E479="delivered",$J479=""),"who counted?; ",""))</f>
        <v/>
      </c>
      <c r="R479" s="25">
        <f>IF($C479="","",$C479&amp;"|"&amp;$D479&amp;"|"&amp;$E479)</f>
        <v/>
      </c>
    </row>
    <row r="480">
      <c r="A480" s="9" t="n"/>
      <c r="B480" s="33" t="n"/>
      <c r="I480" s="9" t="n"/>
      <c r="L480" s="26">
        <f>IF($C480="","",IFERROR(IF(INDEX(campaigns!$BG$2:$BG$51,MATCH($C480,campaigns!$A$2:$A$51,0))="","",INDEX(campaigns!$BG$2:$BG$51,MATCH($C480,campaigns!$A$2:$A$51,0))),""))</f>
        <v/>
      </c>
      <c r="M480" s="25">
        <f>IF($C480="","",IF(OR($E480="received"),N($G480),IF(OR($E480="rejected",$E480="delivered",$E480="topped_up"),-N($G480),IF(AND(OR($E480="returned_to_brand",$E480="given_to_roster_office",$E480="released_to_office",$E480="disposed"),IF($F480="","reserve",$F480)="reserve"),-N($G480),IF(AND($E480="correction",IF($F480="","reserve",$F480)="reserve"),N($G480),0)))))</f>
        <v/>
      </c>
      <c r="N480" s="25">
        <f>IF($C480="","",IF($E480="rejected",N($G480),IF(AND(OR($E480="returned_to_brand",$E480="given_to_roster_office",$E480="released_to_office",$E480="disposed"),IF($F480="","reserve",$F480)="rejected"),-N($G480),IF(AND($E480="correction",IF($F480="","reserve",$F480)="rejected"),N($G480),0))))</f>
        <v/>
      </c>
      <c r="O480" s="25">
        <f>IF($C480="","",IF($E480="collected",N($G480),IF(AND(OR($E480="returned_to_brand",$E480="given_to_roster_office",$E480="released_to_office",$E480="disposed"),IF($F480="","reserve",$F480)="leftover"),-N($G480),IF(AND($E480="correction",IF($F480="","reserve",$F480)="leftover"),N($G480),0))))</f>
        <v/>
      </c>
      <c r="P480" s="25">
        <f>IF(OR($E480&lt;&gt;"received",$I480="",$L480=""),"",IF($I480&gt;=$L480+config!$B$19,"Y","N"))</f>
        <v/>
      </c>
      <c r="Q480" s="25">
        <f>IF($C480="","",IF(COUNTIF(campaigns!$A$2:$A$51,$C480)=0,"campaign_id not on campaigns; ",IF(AND($D480&lt;&gt;"",COUNTIFS(approvals!$A$2:$A$251,$C480,approvals!$B$2:$B$251,$D480)=0),"office not on this campaign (approvals tab); ",""))&amp;IF(AND(OR($E480="delivered",$E480="topped_up",$E480="collected"),$D480=""),"office needed; ","")&amp;IF(AND($E480&lt;&gt;"correction",N($G480)&lt;=0),"qty must be above 0; ","")&amp;IF(AND($E480="received",OR($I480="",$H480="")),"log lot and best-by; ","")&amp;IF(AND($P480="N",SUMIFS(inventory!$G$2:$G$801,inventory!$C$2:$C$801,$C480,inventory!$H$2:$H$801,$H480,inventory!$E$2:$E$801,"rejected")&lt;N($G480)),"UNDER "&amp;config!$B$19&amp;" DAYS LEFT ON THE DROP DAY: reject these units; ","")&amp;IF(AND($E480="delivered",COUNTIF(inventory!$R$2:$R$801,$R480)&gt;1),"two delivered rows for this office: use one; ","")&amp;IF(AND($E480="delivered",$J480=""),"who counted?; ",""))</f>
        <v/>
      </c>
      <c r="R480" s="25">
        <f>IF($C480="","",$C480&amp;"|"&amp;$D480&amp;"|"&amp;$E480)</f>
        <v/>
      </c>
    </row>
    <row r="481">
      <c r="A481" s="9" t="n"/>
      <c r="B481" s="33" t="n"/>
      <c r="I481" s="9" t="n"/>
      <c r="L481" s="26">
        <f>IF($C481="","",IFERROR(IF(INDEX(campaigns!$BG$2:$BG$51,MATCH($C481,campaigns!$A$2:$A$51,0))="","",INDEX(campaigns!$BG$2:$BG$51,MATCH($C481,campaigns!$A$2:$A$51,0))),""))</f>
        <v/>
      </c>
      <c r="M481" s="25">
        <f>IF($C481="","",IF(OR($E481="received"),N($G481),IF(OR($E481="rejected",$E481="delivered",$E481="topped_up"),-N($G481),IF(AND(OR($E481="returned_to_brand",$E481="given_to_roster_office",$E481="released_to_office",$E481="disposed"),IF($F481="","reserve",$F481)="reserve"),-N($G481),IF(AND($E481="correction",IF($F481="","reserve",$F481)="reserve"),N($G481),0)))))</f>
        <v/>
      </c>
      <c r="N481" s="25">
        <f>IF($C481="","",IF($E481="rejected",N($G481),IF(AND(OR($E481="returned_to_brand",$E481="given_to_roster_office",$E481="released_to_office",$E481="disposed"),IF($F481="","reserve",$F481)="rejected"),-N($G481),IF(AND($E481="correction",IF($F481="","reserve",$F481)="rejected"),N($G481),0))))</f>
        <v/>
      </c>
      <c r="O481" s="25">
        <f>IF($C481="","",IF($E481="collected",N($G481),IF(AND(OR($E481="returned_to_brand",$E481="given_to_roster_office",$E481="released_to_office",$E481="disposed"),IF($F481="","reserve",$F481)="leftover"),-N($G481),IF(AND($E481="correction",IF($F481="","reserve",$F481)="leftover"),N($G481),0))))</f>
        <v/>
      </c>
      <c r="P481" s="25">
        <f>IF(OR($E481&lt;&gt;"received",$I481="",$L481=""),"",IF($I481&gt;=$L481+config!$B$19,"Y","N"))</f>
        <v/>
      </c>
      <c r="Q481" s="25">
        <f>IF($C481="","",IF(COUNTIF(campaigns!$A$2:$A$51,$C481)=0,"campaign_id not on campaigns; ",IF(AND($D481&lt;&gt;"",COUNTIFS(approvals!$A$2:$A$251,$C481,approvals!$B$2:$B$251,$D481)=0),"office not on this campaign (approvals tab); ",""))&amp;IF(AND(OR($E481="delivered",$E481="topped_up",$E481="collected"),$D481=""),"office needed; ","")&amp;IF(AND($E481&lt;&gt;"correction",N($G481)&lt;=0),"qty must be above 0; ","")&amp;IF(AND($E481="received",OR($I481="",$H481="")),"log lot and best-by; ","")&amp;IF(AND($P481="N",SUMIFS(inventory!$G$2:$G$801,inventory!$C$2:$C$801,$C481,inventory!$H$2:$H$801,$H481,inventory!$E$2:$E$801,"rejected")&lt;N($G481)),"UNDER "&amp;config!$B$19&amp;" DAYS LEFT ON THE DROP DAY: reject these units; ","")&amp;IF(AND($E481="delivered",COUNTIF(inventory!$R$2:$R$801,$R481)&gt;1),"two delivered rows for this office: use one; ","")&amp;IF(AND($E481="delivered",$J481=""),"who counted?; ",""))</f>
        <v/>
      </c>
      <c r="R481" s="25">
        <f>IF($C481="","",$C481&amp;"|"&amp;$D481&amp;"|"&amp;$E481)</f>
        <v/>
      </c>
    </row>
    <row r="482">
      <c r="A482" s="9" t="n"/>
      <c r="B482" s="33" t="n"/>
      <c r="I482" s="9" t="n"/>
      <c r="L482" s="26">
        <f>IF($C482="","",IFERROR(IF(INDEX(campaigns!$BG$2:$BG$51,MATCH($C482,campaigns!$A$2:$A$51,0))="","",INDEX(campaigns!$BG$2:$BG$51,MATCH($C482,campaigns!$A$2:$A$51,0))),""))</f>
        <v/>
      </c>
      <c r="M482" s="25">
        <f>IF($C482="","",IF(OR($E482="received"),N($G482),IF(OR($E482="rejected",$E482="delivered",$E482="topped_up"),-N($G482),IF(AND(OR($E482="returned_to_brand",$E482="given_to_roster_office",$E482="released_to_office",$E482="disposed"),IF($F482="","reserve",$F482)="reserve"),-N($G482),IF(AND($E482="correction",IF($F482="","reserve",$F482)="reserve"),N($G482),0)))))</f>
        <v/>
      </c>
      <c r="N482" s="25">
        <f>IF($C482="","",IF($E482="rejected",N($G482),IF(AND(OR($E482="returned_to_brand",$E482="given_to_roster_office",$E482="released_to_office",$E482="disposed"),IF($F482="","reserve",$F482)="rejected"),-N($G482),IF(AND($E482="correction",IF($F482="","reserve",$F482)="rejected"),N($G482),0))))</f>
        <v/>
      </c>
      <c r="O482" s="25">
        <f>IF($C482="","",IF($E482="collected",N($G482),IF(AND(OR($E482="returned_to_brand",$E482="given_to_roster_office",$E482="released_to_office",$E482="disposed"),IF($F482="","reserve",$F482)="leftover"),-N($G482),IF(AND($E482="correction",IF($F482="","reserve",$F482)="leftover"),N($G482),0))))</f>
        <v/>
      </c>
      <c r="P482" s="25">
        <f>IF(OR($E482&lt;&gt;"received",$I482="",$L482=""),"",IF($I482&gt;=$L482+config!$B$19,"Y","N"))</f>
        <v/>
      </c>
      <c r="Q482" s="25">
        <f>IF($C482="","",IF(COUNTIF(campaigns!$A$2:$A$51,$C482)=0,"campaign_id not on campaigns; ",IF(AND($D482&lt;&gt;"",COUNTIFS(approvals!$A$2:$A$251,$C482,approvals!$B$2:$B$251,$D482)=0),"office not on this campaign (approvals tab); ",""))&amp;IF(AND(OR($E482="delivered",$E482="topped_up",$E482="collected"),$D482=""),"office needed; ","")&amp;IF(AND($E482&lt;&gt;"correction",N($G482)&lt;=0),"qty must be above 0; ","")&amp;IF(AND($E482="received",OR($I482="",$H482="")),"log lot and best-by; ","")&amp;IF(AND($P482="N",SUMIFS(inventory!$G$2:$G$801,inventory!$C$2:$C$801,$C482,inventory!$H$2:$H$801,$H482,inventory!$E$2:$E$801,"rejected")&lt;N($G482)),"UNDER "&amp;config!$B$19&amp;" DAYS LEFT ON THE DROP DAY: reject these units; ","")&amp;IF(AND($E482="delivered",COUNTIF(inventory!$R$2:$R$801,$R482)&gt;1),"two delivered rows for this office: use one; ","")&amp;IF(AND($E482="delivered",$J482=""),"who counted?; ",""))</f>
        <v/>
      </c>
      <c r="R482" s="25">
        <f>IF($C482="","",$C482&amp;"|"&amp;$D482&amp;"|"&amp;$E482)</f>
        <v/>
      </c>
    </row>
    <row r="483">
      <c r="A483" s="9" t="n"/>
      <c r="B483" s="33" t="n"/>
      <c r="I483" s="9" t="n"/>
      <c r="L483" s="26">
        <f>IF($C483="","",IFERROR(IF(INDEX(campaigns!$BG$2:$BG$51,MATCH($C483,campaigns!$A$2:$A$51,0))="","",INDEX(campaigns!$BG$2:$BG$51,MATCH($C483,campaigns!$A$2:$A$51,0))),""))</f>
        <v/>
      </c>
      <c r="M483" s="25">
        <f>IF($C483="","",IF(OR($E483="received"),N($G483),IF(OR($E483="rejected",$E483="delivered",$E483="topped_up"),-N($G483),IF(AND(OR($E483="returned_to_brand",$E483="given_to_roster_office",$E483="released_to_office",$E483="disposed"),IF($F483="","reserve",$F483)="reserve"),-N($G483),IF(AND($E483="correction",IF($F483="","reserve",$F483)="reserve"),N($G483),0)))))</f>
        <v/>
      </c>
      <c r="N483" s="25">
        <f>IF($C483="","",IF($E483="rejected",N($G483),IF(AND(OR($E483="returned_to_brand",$E483="given_to_roster_office",$E483="released_to_office",$E483="disposed"),IF($F483="","reserve",$F483)="rejected"),-N($G483),IF(AND($E483="correction",IF($F483="","reserve",$F483)="rejected"),N($G483),0))))</f>
        <v/>
      </c>
      <c r="O483" s="25">
        <f>IF($C483="","",IF($E483="collected",N($G483),IF(AND(OR($E483="returned_to_brand",$E483="given_to_roster_office",$E483="released_to_office",$E483="disposed"),IF($F483="","reserve",$F483)="leftover"),-N($G483),IF(AND($E483="correction",IF($F483="","reserve",$F483)="leftover"),N($G483),0))))</f>
        <v/>
      </c>
      <c r="P483" s="25">
        <f>IF(OR($E483&lt;&gt;"received",$I483="",$L483=""),"",IF($I483&gt;=$L483+config!$B$19,"Y","N"))</f>
        <v/>
      </c>
      <c r="Q483" s="25">
        <f>IF($C483="","",IF(COUNTIF(campaigns!$A$2:$A$51,$C483)=0,"campaign_id not on campaigns; ",IF(AND($D483&lt;&gt;"",COUNTIFS(approvals!$A$2:$A$251,$C483,approvals!$B$2:$B$251,$D483)=0),"office not on this campaign (approvals tab); ",""))&amp;IF(AND(OR($E483="delivered",$E483="topped_up",$E483="collected"),$D483=""),"office needed; ","")&amp;IF(AND($E483&lt;&gt;"correction",N($G483)&lt;=0),"qty must be above 0; ","")&amp;IF(AND($E483="received",OR($I483="",$H483="")),"log lot and best-by; ","")&amp;IF(AND($P483="N",SUMIFS(inventory!$G$2:$G$801,inventory!$C$2:$C$801,$C483,inventory!$H$2:$H$801,$H483,inventory!$E$2:$E$801,"rejected")&lt;N($G483)),"UNDER "&amp;config!$B$19&amp;" DAYS LEFT ON THE DROP DAY: reject these units; ","")&amp;IF(AND($E483="delivered",COUNTIF(inventory!$R$2:$R$801,$R483)&gt;1),"two delivered rows for this office: use one; ","")&amp;IF(AND($E483="delivered",$J483=""),"who counted?; ",""))</f>
        <v/>
      </c>
      <c r="R483" s="25">
        <f>IF($C483="","",$C483&amp;"|"&amp;$D483&amp;"|"&amp;$E483)</f>
        <v/>
      </c>
    </row>
    <row r="484">
      <c r="A484" s="9" t="n"/>
      <c r="B484" s="33" t="n"/>
      <c r="I484" s="9" t="n"/>
      <c r="L484" s="26">
        <f>IF($C484="","",IFERROR(IF(INDEX(campaigns!$BG$2:$BG$51,MATCH($C484,campaigns!$A$2:$A$51,0))="","",INDEX(campaigns!$BG$2:$BG$51,MATCH($C484,campaigns!$A$2:$A$51,0))),""))</f>
        <v/>
      </c>
      <c r="M484" s="25">
        <f>IF($C484="","",IF(OR($E484="received"),N($G484),IF(OR($E484="rejected",$E484="delivered",$E484="topped_up"),-N($G484),IF(AND(OR($E484="returned_to_brand",$E484="given_to_roster_office",$E484="released_to_office",$E484="disposed"),IF($F484="","reserve",$F484)="reserve"),-N($G484),IF(AND($E484="correction",IF($F484="","reserve",$F484)="reserve"),N($G484),0)))))</f>
        <v/>
      </c>
      <c r="N484" s="25">
        <f>IF($C484="","",IF($E484="rejected",N($G484),IF(AND(OR($E484="returned_to_brand",$E484="given_to_roster_office",$E484="released_to_office",$E484="disposed"),IF($F484="","reserve",$F484)="rejected"),-N($G484),IF(AND($E484="correction",IF($F484="","reserve",$F484)="rejected"),N($G484),0))))</f>
        <v/>
      </c>
      <c r="O484" s="25">
        <f>IF($C484="","",IF($E484="collected",N($G484),IF(AND(OR($E484="returned_to_brand",$E484="given_to_roster_office",$E484="released_to_office",$E484="disposed"),IF($F484="","reserve",$F484)="leftover"),-N($G484),IF(AND($E484="correction",IF($F484="","reserve",$F484)="leftover"),N($G484),0))))</f>
        <v/>
      </c>
      <c r="P484" s="25">
        <f>IF(OR($E484&lt;&gt;"received",$I484="",$L484=""),"",IF($I484&gt;=$L484+config!$B$19,"Y","N"))</f>
        <v/>
      </c>
      <c r="Q484" s="25">
        <f>IF($C484="","",IF(COUNTIF(campaigns!$A$2:$A$51,$C484)=0,"campaign_id not on campaigns; ",IF(AND($D484&lt;&gt;"",COUNTIFS(approvals!$A$2:$A$251,$C484,approvals!$B$2:$B$251,$D484)=0),"office not on this campaign (approvals tab); ",""))&amp;IF(AND(OR($E484="delivered",$E484="topped_up",$E484="collected"),$D484=""),"office needed; ","")&amp;IF(AND($E484&lt;&gt;"correction",N($G484)&lt;=0),"qty must be above 0; ","")&amp;IF(AND($E484="received",OR($I484="",$H484="")),"log lot and best-by; ","")&amp;IF(AND($P484="N",SUMIFS(inventory!$G$2:$G$801,inventory!$C$2:$C$801,$C484,inventory!$H$2:$H$801,$H484,inventory!$E$2:$E$801,"rejected")&lt;N($G484)),"UNDER "&amp;config!$B$19&amp;" DAYS LEFT ON THE DROP DAY: reject these units; ","")&amp;IF(AND($E484="delivered",COUNTIF(inventory!$R$2:$R$801,$R484)&gt;1),"two delivered rows for this office: use one; ","")&amp;IF(AND($E484="delivered",$J484=""),"who counted?; ",""))</f>
        <v/>
      </c>
      <c r="R484" s="25">
        <f>IF($C484="","",$C484&amp;"|"&amp;$D484&amp;"|"&amp;$E484)</f>
        <v/>
      </c>
    </row>
    <row r="485">
      <c r="A485" s="9" t="n"/>
      <c r="B485" s="33" t="n"/>
      <c r="I485" s="9" t="n"/>
      <c r="L485" s="26">
        <f>IF($C485="","",IFERROR(IF(INDEX(campaigns!$BG$2:$BG$51,MATCH($C485,campaigns!$A$2:$A$51,0))="","",INDEX(campaigns!$BG$2:$BG$51,MATCH($C485,campaigns!$A$2:$A$51,0))),""))</f>
        <v/>
      </c>
      <c r="M485" s="25">
        <f>IF($C485="","",IF(OR($E485="received"),N($G485),IF(OR($E485="rejected",$E485="delivered",$E485="topped_up"),-N($G485),IF(AND(OR($E485="returned_to_brand",$E485="given_to_roster_office",$E485="released_to_office",$E485="disposed"),IF($F485="","reserve",$F485)="reserve"),-N($G485),IF(AND($E485="correction",IF($F485="","reserve",$F485)="reserve"),N($G485),0)))))</f>
        <v/>
      </c>
      <c r="N485" s="25">
        <f>IF($C485="","",IF($E485="rejected",N($G485),IF(AND(OR($E485="returned_to_brand",$E485="given_to_roster_office",$E485="released_to_office",$E485="disposed"),IF($F485="","reserve",$F485)="rejected"),-N($G485),IF(AND($E485="correction",IF($F485="","reserve",$F485)="rejected"),N($G485),0))))</f>
        <v/>
      </c>
      <c r="O485" s="25">
        <f>IF($C485="","",IF($E485="collected",N($G485),IF(AND(OR($E485="returned_to_brand",$E485="given_to_roster_office",$E485="released_to_office",$E485="disposed"),IF($F485="","reserve",$F485)="leftover"),-N($G485),IF(AND($E485="correction",IF($F485="","reserve",$F485)="leftover"),N($G485),0))))</f>
        <v/>
      </c>
      <c r="P485" s="25">
        <f>IF(OR($E485&lt;&gt;"received",$I485="",$L485=""),"",IF($I485&gt;=$L485+config!$B$19,"Y","N"))</f>
        <v/>
      </c>
      <c r="Q485" s="25">
        <f>IF($C485="","",IF(COUNTIF(campaigns!$A$2:$A$51,$C485)=0,"campaign_id not on campaigns; ",IF(AND($D485&lt;&gt;"",COUNTIFS(approvals!$A$2:$A$251,$C485,approvals!$B$2:$B$251,$D485)=0),"office not on this campaign (approvals tab); ",""))&amp;IF(AND(OR($E485="delivered",$E485="topped_up",$E485="collected"),$D485=""),"office needed; ","")&amp;IF(AND($E485&lt;&gt;"correction",N($G485)&lt;=0),"qty must be above 0; ","")&amp;IF(AND($E485="received",OR($I485="",$H485="")),"log lot and best-by; ","")&amp;IF(AND($P485="N",SUMIFS(inventory!$G$2:$G$801,inventory!$C$2:$C$801,$C485,inventory!$H$2:$H$801,$H485,inventory!$E$2:$E$801,"rejected")&lt;N($G485)),"UNDER "&amp;config!$B$19&amp;" DAYS LEFT ON THE DROP DAY: reject these units; ","")&amp;IF(AND($E485="delivered",COUNTIF(inventory!$R$2:$R$801,$R485)&gt;1),"two delivered rows for this office: use one; ","")&amp;IF(AND($E485="delivered",$J485=""),"who counted?; ",""))</f>
        <v/>
      </c>
      <c r="R485" s="25">
        <f>IF($C485="","",$C485&amp;"|"&amp;$D485&amp;"|"&amp;$E485)</f>
        <v/>
      </c>
    </row>
    <row r="486">
      <c r="A486" s="9" t="n"/>
      <c r="B486" s="33" t="n"/>
      <c r="I486" s="9" t="n"/>
      <c r="L486" s="26">
        <f>IF($C486="","",IFERROR(IF(INDEX(campaigns!$BG$2:$BG$51,MATCH($C486,campaigns!$A$2:$A$51,0))="","",INDEX(campaigns!$BG$2:$BG$51,MATCH($C486,campaigns!$A$2:$A$51,0))),""))</f>
        <v/>
      </c>
      <c r="M486" s="25">
        <f>IF($C486="","",IF(OR($E486="received"),N($G486),IF(OR($E486="rejected",$E486="delivered",$E486="topped_up"),-N($G486),IF(AND(OR($E486="returned_to_brand",$E486="given_to_roster_office",$E486="released_to_office",$E486="disposed"),IF($F486="","reserve",$F486)="reserve"),-N($G486),IF(AND($E486="correction",IF($F486="","reserve",$F486)="reserve"),N($G486),0)))))</f>
        <v/>
      </c>
      <c r="N486" s="25">
        <f>IF($C486="","",IF($E486="rejected",N($G486),IF(AND(OR($E486="returned_to_brand",$E486="given_to_roster_office",$E486="released_to_office",$E486="disposed"),IF($F486="","reserve",$F486)="rejected"),-N($G486),IF(AND($E486="correction",IF($F486="","reserve",$F486)="rejected"),N($G486),0))))</f>
        <v/>
      </c>
      <c r="O486" s="25">
        <f>IF($C486="","",IF($E486="collected",N($G486),IF(AND(OR($E486="returned_to_brand",$E486="given_to_roster_office",$E486="released_to_office",$E486="disposed"),IF($F486="","reserve",$F486)="leftover"),-N($G486),IF(AND($E486="correction",IF($F486="","reserve",$F486)="leftover"),N($G486),0))))</f>
        <v/>
      </c>
      <c r="P486" s="25">
        <f>IF(OR($E486&lt;&gt;"received",$I486="",$L486=""),"",IF($I486&gt;=$L486+config!$B$19,"Y","N"))</f>
        <v/>
      </c>
      <c r="Q486" s="25">
        <f>IF($C486="","",IF(COUNTIF(campaigns!$A$2:$A$51,$C486)=0,"campaign_id not on campaigns; ",IF(AND($D486&lt;&gt;"",COUNTIFS(approvals!$A$2:$A$251,$C486,approvals!$B$2:$B$251,$D486)=0),"office not on this campaign (approvals tab); ",""))&amp;IF(AND(OR($E486="delivered",$E486="topped_up",$E486="collected"),$D486=""),"office needed; ","")&amp;IF(AND($E486&lt;&gt;"correction",N($G486)&lt;=0),"qty must be above 0; ","")&amp;IF(AND($E486="received",OR($I486="",$H486="")),"log lot and best-by; ","")&amp;IF(AND($P486="N",SUMIFS(inventory!$G$2:$G$801,inventory!$C$2:$C$801,$C486,inventory!$H$2:$H$801,$H486,inventory!$E$2:$E$801,"rejected")&lt;N($G486)),"UNDER "&amp;config!$B$19&amp;" DAYS LEFT ON THE DROP DAY: reject these units; ","")&amp;IF(AND($E486="delivered",COUNTIF(inventory!$R$2:$R$801,$R486)&gt;1),"two delivered rows for this office: use one; ","")&amp;IF(AND($E486="delivered",$J486=""),"who counted?; ",""))</f>
        <v/>
      </c>
      <c r="R486" s="25">
        <f>IF($C486="","",$C486&amp;"|"&amp;$D486&amp;"|"&amp;$E486)</f>
        <v/>
      </c>
    </row>
    <row r="487">
      <c r="A487" s="9" t="n"/>
      <c r="B487" s="33" t="n"/>
      <c r="I487" s="9" t="n"/>
      <c r="L487" s="26">
        <f>IF($C487="","",IFERROR(IF(INDEX(campaigns!$BG$2:$BG$51,MATCH($C487,campaigns!$A$2:$A$51,0))="","",INDEX(campaigns!$BG$2:$BG$51,MATCH($C487,campaigns!$A$2:$A$51,0))),""))</f>
        <v/>
      </c>
      <c r="M487" s="25">
        <f>IF($C487="","",IF(OR($E487="received"),N($G487),IF(OR($E487="rejected",$E487="delivered",$E487="topped_up"),-N($G487),IF(AND(OR($E487="returned_to_brand",$E487="given_to_roster_office",$E487="released_to_office",$E487="disposed"),IF($F487="","reserve",$F487)="reserve"),-N($G487),IF(AND($E487="correction",IF($F487="","reserve",$F487)="reserve"),N($G487),0)))))</f>
        <v/>
      </c>
      <c r="N487" s="25">
        <f>IF($C487="","",IF($E487="rejected",N($G487),IF(AND(OR($E487="returned_to_brand",$E487="given_to_roster_office",$E487="released_to_office",$E487="disposed"),IF($F487="","reserve",$F487)="rejected"),-N($G487),IF(AND($E487="correction",IF($F487="","reserve",$F487)="rejected"),N($G487),0))))</f>
        <v/>
      </c>
      <c r="O487" s="25">
        <f>IF($C487="","",IF($E487="collected",N($G487),IF(AND(OR($E487="returned_to_brand",$E487="given_to_roster_office",$E487="released_to_office",$E487="disposed"),IF($F487="","reserve",$F487)="leftover"),-N($G487),IF(AND($E487="correction",IF($F487="","reserve",$F487)="leftover"),N($G487),0))))</f>
        <v/>
      </c>
      <c r="P487" s="25">
        <f>IF(OR($E487&lt;&gt;"received",$I487="",$L487=""),"",IF($I487&gt;=$L487+config!$B$19,"Y","N"))</f>
        <v/>
      </c>
      <c r="Q487" s="25">
        <f>IF($C487="","",IF(COUNTIF(campaigns!$A$2:$A$51,$C487)=0,"campaign_id not on campaigns; ",IF(AND($D487&lt;&gt;"",COUNTIFS(approvals!$A$2:$A$251,$C487,approvals!$B$2:$B$251,$D487)=0),"office not on this campaign (approvals tab); ",""))&amp;IF(AND(OR($E487="delivered",$E487="topped_up",$E487="collected"),$D487=""),"office needed; ","")&amp;IF(AND($E487&lt;&gt;"correction",N($G487)&lt;=0),"qty must be above 0; ","")&amp;IF(AND($E487="received",OR($I487="",$H487="")),"log lot and best-by; ","")&amp;IF(AND($P487="N",SUMIFS(inventory!$G$2:$G$801,inventory!$C$2:$C$801,$C487,inventory!$H$2:$H$801,$H487,inventory!$E$2:$E$801,"rejected")&lt;N($G487)),"UNDER "&amp;config!$B$19&amp;" DAYS LEFT ON THE DROP DAY: reject these units; ","")&amp;IF(AND($E487="delivered",COUNTIF(inventory!$R$2:$R$801,$R487)&gt;1),"two delivered rows for this office: use one; ","")&amp;IF(AND($E487="delivered",$J487=""),"who counted?; ",""))</f>
        <v/>
      </c>
      <c r="R487" s="25">
        <f>IF($C487="","",$C487&amp;"|"&amp;$D487&amp;"|"&amp;$E487)</f>
        <v/>
      </c>
    </row>
    <row r="488">
      <c r="A488" s="9" t="n"/>
      <c r="B488" s="33" t="n"/>
      <c r="I488" s="9" t="n"/>
      <c r="L488" s="26">
        <f>IF($C488="","",IFERROR(IF(INDEX(campaigns!$BG$2:$BG$51,MATCH($C488,campaigns!$A$2:$A$51,0))="","",INDEX(campaigns!$BG$2:$BG$51,MATCH($C488,campaigns!$A$2:$A$51,0))),""))</f>
        <v/>
      </c>
      <c r="M488" s="25">
        <f>IF($C488="","",IF(OR($E488="received"),N($G488),IF(OR($E488="rejected",$E488="delivered",$E488="topped_up"),-N($G488),IF(AND(OR($E488="returned_to_brand",$E488="given_to_roster_office",$E488="released_to_office",$E488="disposed"),IF($F488="","reserve",$F488)="reserve"),-N($G488),IF(AND($E488="correction",IF($F488="","reserve",$F488)="reserve"),N($G488),0)))))</f>
        <v/>
      </c>
      <c r="N488" s="25">
        <f>IF($C488="","",IF($E488="rejected",N($G488),IF(AND(OR($E488="returned_to_brand",$E488="given_to_roster_office",$E488="released_to_office",$E488="disposed"),IF($F488="","reserve",$F488)="rejected"),-N($G488),IF(AND($E488="correction",IF($F488="","reserve",$F488)="rejected"),N($G488),0))))</f>
        <v/>
      </c>
      <c r="O488" s="25">
        <f>IF($C488="","",IF($E488="collected",N($G488),IF(AND(OR($E488="returned_to_brand",$E488="given_to_roster_office",$E488="released_to_office",$E488="disposed"),IF($F488="","reserve",$F488)="leftover"),-N($G488),IF(AND($E488="correction",IF($F488="","reserve",$F488)="leftover"),N($G488),0))))</f>
        <v/>
      </c>
      <c r="P488" s="25">
        <f>IF(OR($E488&lt;&gt;"received",$I488="",$L488=""),"",IF($I488&gt;=$L488+config!$B$19,"Y","N"))</f>
        <v/>
      </c>
      <c r="Q488" s="25">
        <f>IF($C488="","",IF(COUNTIF(campaigns!$A$2:$A$51,$C488)=0,"campaign_id not on campaigns; ",IF(AND($D488&lt;&gt;"",COUNTIFS(approvals!$A$2:$A$251,$C488,approvals!$B$2:$B$251,$D488)=0),"office not on this campaign (approvals tab); ",""))&amp;IF(AND(OR($E488="delivered",$E488="topped_up",$E488="collected"),$D488=""),"office needed; ","")&amp;IF(AND($E488&lt;&gt;"correction",N($G488)&lt;=0),"qty must be above 0; ","")&amp;IF(AND($E488="received",OR($I488="",$H488="")),"log lot and best-by; ","")&amp;IF(AND($P488="N",SUMIFS(inventory!$G$2:$G$801,inventory!$C$2:$C$801,$C488,inventory!$H$2:$H$801,$H488,inventory!$E$2:$E$801,"rejected")&lt;N($G488)),"UNDER "&amp;config!$B$19&amp;" DAYS LEFT ON THE DROP DAY: reject these units; ","")&amp;IF(AND($E488="delivered",COUNTIF(inventory!$R$2:$R$801,$R488)&gt;1),"two delivered rows for this office: use one; ","")&amp;IF(AND($E488="delivered",$J488=""),"who counted?; ",""))</f>
        <v/>
      </c>
      <c r="R488" s="25">
        <f>IF($C488="","",$C488&amp;"|"&amp;$D488&amp;"|"&amp;$E488)</f>
        <v/>
      </c>
    </row>
    <row r="489">
      <c r="A489" s="9" t="n"/>
      <c r="B489" s="33" t="n"/>
      <c r="I489" s="9" t="n"/>
      <c r="L489" s="26">
        <f>IF($C489="","",IFERROR(IF(INDEX(campaigns!$BG$2:$BG$51,MATCH($C489,campaigns!$A$2:$A$51,0))="","",INDEX(campaigns!$BG$2:$BG$51,MATCH($C489,campaigns!$A$2:$A$51,0))),""))</f>
        <v/>
      </c>
      <c r="M489" s="25">
        <f>IF($C489="","",IF(OR($E489="received"),N($G489),IF(OR($E489="rejected",$E489="delivered",$E489="topped_up"),-N($G489),IF(AND(OR($E489="returned_to_brand",$E489="given_to_roster_office",$E489="released_to_office",$E489="disposed"),IF($F489="","reserve",$F489)="reserve"),-N($G489),IF(AND($E489="correction",IF($F489="","reserve",$F489)="reserve"),N($G489),0)))))</f>
        <v/>
      </c>
      <c r="N489" s="25">
        <f>IF($C489="","",IF($E489="rejected",N($G489),IF(AND(OR($E489="returned_to_brand",$E489="given_to_roster_office",$E489="released_to_office",$E489="disposed"),IF($F489="","reserve",$F489)="rejected"),-N($G489),IF(AND($E489="correction",IF($F489="","reserve",$F489)="rejected"),N($G489),0))))</f>
        <v/>
      </c>
      <c r="O489" s="25">
        <f>IF($C489="","",IF($E489="collected",N($G489),IF(AND(OR($E489="returned_to_brand",$E489="given_to_roster_office",$E489="released_to_office",$E489="disposed"),IF($F489="","reserve",$F489)="leftover"),-N($G489),IF(AND($E489="correction",IF($F489="","reserve",$F489)="leftover"),N($G489),0))))</f>
        <v/>
      </c>
      <c r="P489" s="25">
        <f>IF(OR($E489&lt;&gt;"received",$I489="",$L489=""),"",IF($I489&gt;=$L489+config!$B$19,"Y","N"))</f>
        <v/>
      </c>
      <c r="Q489" s="25">
        <f>IF($C489="","",IF(COUNTIF(campaigns!$A$2:$A$51,$C489)=0,"campaign_id not on campaigns; ",IF(AND($D489&lt;&gt;"",COUNTIFS(approvals!$A$2:$A$251,$C489,approvals!$B$2:$B$251,$D489)=0),"office not on this campaign (approvals tab); ",""))&amp;IF(AND(OR($E489="delivered",$E489="topped_up",$E489="collected"),$D489=""),"office needed; ","")&amp;IF(AND($E489&lt;&gt;"correction",N($G489)&lt;=0),"qty must be above 0; ","")&amp;IF(AND($E489="received",OR($I489="",$H489="")),"log lot and best-by; ","")&amp;IF(AND($P489="N",SUMIFS(inventory!$G$2:$G$801,inventory!$C$2:$C$801,$C489,inventory!$H$2:$H$801,$H489,inventory!$E$2:$E$801,"rejected")&lt;N($G489)),"UNDER "&amp;config!$B$19&amp;" DAYS LEFT ON THE DROP DAY: reject these units; ","")&amp;IF(AND($E489="delivered",COUNTIF(inventory!$R$2:$R$801,$R489)&gt;1),"two delivered rows for this office: use one; ","")&amp;IF(AND($E489="delivered",$J489=""),"who counted?; ",""))</f>
        <v/>
      </c>
      <c r="R489" s="25">
        <f>IF($C489="","",$C489&amp;"|"&amp;$D489&amp;"|"&amp;$E489)</f>
        <v/>
      </c>
    </row>
    <row r="490">
      <c r="A490" s="9" t="n"/>
      <c r="B490" s="33" t="n"/>
      <c r="I490" s="9" t="n"/>
      <c r="L490" s="26">
        <f>IF($C490="","",IFERROR(IF(INDEX(campaigns!$BG$2:$BG$51,MATCH($C490,campaigns!$A$2:$A$51,0))="","",INDEX(campaigns!$BG$2:$BG$51,MATCH($C490,campaigns!$A$2:$A$51,0))),""))</f>
        <v/>
      </c>
      <c r="M490" s="25">
        <f>IF($C490="","",IF(OR($E490="received"),N($G490),IF(OR($E490="rejected",$E490="delivered",$E490="topped_up"),-N($G490),IF(AND(OR($E490="returned_to_brand",$E490="given_to_roster_office",$E490="released_to_office",$E490="disposed"),IF($F490="","reserve",$F490)="reserve"),-N($G490),IF(AND($E490="correction",IF($F490="","reserve",$F490)="reserve"),N($G490),0)))))</f>
        <v/>
      </c>
      <c r="N490" s="25">
        <f>IF($C490="","",IF($E490="rejected",N($G490),IF(AND(OR($E490="returned_to_brand",$E490="given_to_roster_office",$E490="released_to_office",$E490="disposed"),IF($F490="","reserve",$F490)="rejected"),-N($G490),IF(AND($E490="correction",IF($F490="","reserve",$F490)="rejected"),N($G490),0))))</f>
        <v/>
      </c>
      <c r="O490" s="25">
        <f>IF($C490="","",IF($E490="collected",N($G490),IF(AND(OR($E490="returned_to_brand",$E490="given_to_roster_office",$E490="released_to_office",$E490="disposed"),IF($F490="","reserve",$F490)="leftover"),-N($G490),IF(AND($E490="correction",IF($F490="","reserve",$F490)="leftover"),N($G490),0))))</f>
        <v/>
      </c>
      <c r="P490" s="25">
        <f>IF(OR($E490&lt;&gt;"received",$I490="",$L490=""),"",IF($I490&gt;=$L490+config!$B$19,"Y","N"))</f>
        <v/>
      </c>
      <c r="Q490" s="25">
        <f>IF($C490="","",IF(COUNTIF(campaigns!$A$2:$A$51,$C490)=0,"campaign_id not on campaigns; ",IF(AND($D490&lt;&gt;"",COUNTIFS(approvals!$A$2:$A$251,$C490,approvals!$B$2:$B$251,$D490)=0),"office not on this campaign (approvals tab); ",""))&amp;IF(AND(OR($E490="delivered",$E490="topped_up",$E490="collected"),$D490=""),"office needed; ","")&amp;IF(AND($E490&lt;&gt;"correction",N($G490)&lt;=0),"qty must be above 0; ","")&amp;IF(AND($E490="received",OR($I490="",$H490="")),"log lot and best-by; ","")&amp;IF(AND($P490="N",SUMIFS(inventory!$G$2:$G$801,inventory!$C$2:$C$801,$C490,inventory!$H$2:$H$801,$H490,inventory!$E$2:$E$801,"rejected")&lt;N($G490)),"UNDER "&amp;config!$B$19&amp;" DAYS LEFT ON THE DROP DAY: reject these units; ","")&amp;IF(AND($E490="delivered",COUNTIF(inventory!$R$2:$R$801,$R490)&gt;1),"two delivered rows for this office: use one; ","")&amp;IF(AND($E490="delivered",$J490=""),"who counted?; ",""))</f>
        <v/>
      </c>
      <c r="R490" s="25">
        <f>IF($C490="","",$C490&amp;"|"&amp;$D490&amp;"|"&amp;$E490)</f>
        <v/>
      </c>
    </row>
    <row r="491">
      <c r="A491" s="9" t="n"/>
      <c r="B491" s="33" t="n"/>
      <c r="I491" s="9" t="n"/>
      <c r="L491" s="26">
        <f>IF($C491="","",IFERROR(IF(INDEX(campaigns!$BG$2:$BG$51,MATCH($C491,campaigns!$A$2:$A$51,0))="","",INDEX(campaigns!$BG$2:$BG$51,MATCH($C491,campaigns!$A$2:$A$51,0))),""))</f>
        <v/>
      </c>
      <c r="M491" s="25">
        <f>IF($C491="","",IF(OR($E491="received"),N($G491),IF(OR($E491="rejected",$E491="delivered",$E491="topped_up"),-N($G491),IF(AND(OR($E491="returned_to_brand",$E491="given_to_roster_office",$E491="released_to_office",$E491="disposed"),IF($F491="","reserve",$F491)="reserve"),-N($G491),IF(AND($E491="correction",IF($F491="","reserve",$F491)="reserve"),N($G491),0)))))</f>
        <v/>
      </c>
      <c r="N491" s="25">
        <f>IF($C491="","",IF($E491="rejected",N($G491),IF(AND(OR($E491="returned_to_brand",$E491="given_to_roster_office",$E491="released_to_office",$E491="disposed"),IF($F491="","reserve",$F491)="rejected"),-N($G491),IF(AND($E491="correction",IF($F491="","reserve",$F491)="rejected"),N($G491),0))))</f>
        <v/>
      </c>
      <c r="O491" s="25">
        <f>IF($C491="","",IF($E491="collected",N($G491),IF(AND(OR($E491="returned_to_brand",$E491="given_to_roster_office",$E491="released_to_office",$E491="disposed"),IF($F491="","reserve",$F491)="leftover"),-N($G491),IF(AND($E491="correction",IF($F491="","reserve",$F491)="leftover"),N($G491),0))))</f>
        <v/>
      </c>
      <c r="P491" s="25">
        <f>IF(OR($E491&lt;&gt;"received",$I491="",$L491=""),"",IF($I491&gt;=$L491+config!$B$19,"Y","N"))</f>
        <v/>
      </c>
      <c r="Q491" s="25">
        <f>IF($C491="","",IF(COUNTIF(campaigns!$A$2:$A$51,$C491)=0,"campaign_id not on campaigns; ",IF(AND($D491&lt;&gt;"",COUNTIFS(approvals!$A$2:$A$251,$C491,approvals!$B$2:$B$251,$D491)=0),"office not on this campaign (approvals tab); ",""))&amp;IF(AND(OR($E491="delivered",$E491="topped_up",$E491="collected"),$D491=""),"office needed; ","")&amp;IF(AND($E491&lt;&gt;"correction",N($G491)&lt;=0),"qty must be above 0; ","")&amp;IF(AND($E491="received",OR($I491="",$H491="")),"log lot and best-by; ","")&amp;IF(AND($P491="N",SUMIFS(inventory!$G$2:$G$801,inventory!$C$2:$C$801,$C491,inventory!$H$2:$H$801,$H491,inventory!$E$2:$E$801,"rejected")&lt;N($G491)),"UNDER "&amp;config!$B$19&amp;" DAYS LEFT ON THE DROP DAY: reject these units; ","")&amp;IF(AND($E491="delivered",COUNTIF(inventory!$R$2:$R$801,$R491)&gt;1),"two delivered rows for this office: use one; ","")&amp;IF(AND($E491="delivered",$J491=""),"who counted?; ",""))</f>
        <v/>
      </c>
      <c r="R491" s="25">
        <f>IF($C491="","",$C491&amp;"|"&amp;$D491&amp;"|"&amp;$E491)</f>
        <v/>
      </c>
    </row>
    <row r="492">
      <c r="A492" s="9" t="n"/>
      <c r="B492" s="33" t="n"/>
      <c r="I492" s="9" t="n"/>
      <c r="L492" s="26">
        <f>IF($C492="","",IFERROR(IF(INDEX(campaigns!$BG$2:$BG$51,MATCH($C492,campaigns!$A$2:$A$51,0))="","",INDEX(campaigns!$BG$2:$BG$51,MATCH($C492,campaigns!$A$2:$A$51,0))),""))</f>
        <v/>
      </c>
      <c r="M492" s="25">
        <f>IF($C492="","",IF(OR($E492="received"),N($G492),IF(OR($E492="rejected",$E492="delivered",$E492="topped_up"),-N($G492),IF(AND(OR($E492="returned_to_brand",$E492="given_to_roster_office",$E492="released_to_office",$E492="disposed"),IF($F492="","reserve",$F492)="reserve"),-N($G492),IF(AND($E492="correction",IF($F492="","reserve",$F492)="reserve"),N($G492),0)))))</f>
        <v/>
      </c>
      <c r="N492" s="25">
        <f>IF($C492="","",IF($E492="rejected",N($G492),IF(AND(OR($E492="returned_to_brand",$E492="given_to_roster_office",$E492="released_to_office",$E492="disposed"),IF($F492="","reserve",$F492)="rejected"),-N($G492),IF(AND($E492="correction",IF($F492="","reserve",$F492)="rejected"),N($G492),0))))</f>
        <v/>
      </c>
      <c r="O492" s="25">
        <f>IF($C492="","",IF($E492="collected",N($G492),IF(AND(OR($E492="returned_to_brand",$E492="given_to_roster_office",$E492="released_to_office",$E492="disposed"),IF($F492="","reserve",$F492)="leftover"),-N($G492),IF(AND($E492="correction",IF($F492="","reserve",$F492)="leftover"),N($G492),0))))</f>
        <v/>
      </c>
      <c r="P492" s="25">
        <f>IF(OR($E492&lt;&gt;"received",$I492="",$L492=""),"",IF($I492&gt;=$L492+config!$B$19,"Y","N"))</f>
        <v/>
      </c>
      <c r="Q492" s="25">
        <f>IF($C492="","",IF(COUNTIF(campaigns!$A$2:$A$51,$C492)=0,"campaign_id not on campaigns; ",IF(AND($D492&lt;&gt;"",COUNTIFS(approvals!$A$2:$A$251,$C492,approvals!$B$2:$B$251,$D492)=0),"office not on this campaign (approvals tab); ",""))&amp;IF(AND(OR($E492="delivered",$E492="topped_up",$E492="collected"),$D492=""),"office needed; ","")&amp;IF(AND($E492&lt;&gt;"correction",N($G492)&lt;=0),"qty must be above 0; ","")&amp;IF(AND($E492="received",OR($I492="",$H492="")),"log lot and best-by; ","")&amp;IF(AND($P492="N",SUMIFS(inventory!$G$2:$G$801,inventory!$C$2:$C$801,$C492,inventory!$H$2:$H$801,$H492,inventory!$E$2:$E$801,"rejected")&lt;N($G492)),"UNDER "&amp;config!$B$19&amp;" DAYS LEFT ON THE DROP DAY: reject these units; ","")&amp;IF(AND($E492="delivered",COUNTIF(inventory!$R$2:$R$801,$R492)&gt;1),"two delivered rows for this office: use one; ","")&amp;IF(AND($E492="delivered",$J492=""),"who counted?; ",""))</f>
        <v/>
      </c>
      <c r="R492" s="25">
        <f>IF($C492="","",$C492&amp;"|"&amp;$D492&amp;"|"&amp;$E492)</f>
        <v/>
      </c>
    </row>
    <row r="493">
      <c r="A493" s="9" t="n"/>
      <c r="B493" s="33" t="n"/>
      <c r="I493" s="9" t="n"/>
      <c r="L493" s="26">
        <f>IF($C493="","",IFERROR(IF(INDEX(campaigns!$BG$2:$BG$51,MATCH($C493,campaigns!$A$2:$A$51,0))="","",INDEX(campaigns!$BG$2:$BG$51,MATCH($C493,campaigns!$A$2:$A$51,0))),""))</f>
        <v/>
      </c>
      <c r="M493" s="25">
        <f>IF($C493="","",IF(OR($E493="received"),N($G493),IF(OR($E493="rejected",$E493="delivered",$E493="topped_up"),-N($G493),IF(AND(OR($E493="returned_to_brand",$E493="given_to_roster_office",$E493="released_to_office",$E493="disposed"),IF($F493="","reserve",$F493)="reserve"),-N($G493),IF(AND($E493="correction",IF($F493="","reserve",$F493)="reserve"),N($G493),0)))))</f>
        <v/>
      </c>
      <c r="N493" s="25">
        <f>IF($C493="","",IF($E493="rejected",N($G493),IF(AND(OR($E493="returned_to_brand",$E493="given_to_roster_office",$E493="released_to_office",$E493="disposed"),IF($F493="","reserve",$F493)="rejected"),-N($G493),IF(AND($E493="correction",IF($F493="","reserve",$F493)="rejected"),N($G493),0))))</f>
        <v/>
      </c>
      <c r="O493" s="25">
        <f>IF($C493="","",IF($E493="collected",N($G493),IF(AND(OR($E493="returned_to_brand",$E493="given_to_roster_office",$E493="released_to_office",$E493="disposed"),IF($F493="","reserve",$F493)="leftover"),-N($G493),IF(AND($E493="correction",IF($F493="","reserve",$F493)="leftover"),N($G493),0))))</f>
        <v/>
      </c>
      <c r="P493" s="25">
        <f>IF(OR($E493&lt;&gt;"received",$I493="",$L493=""),"",IF($I493&gt;=$L493+config!$B$19,"Y","N"))</f>
        <v/>
      </c>
      <c r="Q493" s="25">
        <f>IF($C493="","",IF(COUNTIF(campaigns!$A$2:$A$51,$C493)=0,"campaign_id not on campaigns; ",IF(AND($D493&lt;&gt;"",COUNTIFS(approvals!$A$2:$A$251,$C493,approvals!$B$2:$B$251,$D493)=0),"office not on this campaign (approvals tab); ",""))&amp;IF(AND(OR($E493="delivered",$E493="topped_up",$E493="collected"),$D493=""),"office needed; ","")&amp;IF(AND($E493&lt;&gt;"correction",N($G493)&lt;=0),"qty must be above 0; ","")&amp;IF(AND($E493="received",OR($I493="",$H493="")),"log lot and best-by; ","")&amp;IF(AND($P493="N",SUMIFS(inventory!$G$2:$G$801,inventory!$C$2:$C$801,$C493,inventory!$H$2:$H$801,$H493,inventory!$E$2:$E$801,"rejected")&lt;N($G493)),"UNDER "&amp;config!$B$19&amp;" DAYS LEFT ON THE DROP DAY: reject these units; ","")&amp;IF(AND($E493="delivered",COUNTIF(inventory!$R$2:$R$801,$R493)&gt;1),"two delivered rows for this office: use one; ","")&amp;IF(AND($E493="delivered",$J493=""),"who counted?; ",""))</f>
        <v/>
      </c>
      <c r="R493" s="25">
        <f>IF($C493="","",$C493&amp;"|"&amp;$D493&amp;"|"&amp;$E493)</f>
        <v/>
      </c>
    </row>
    <row r="494">
      <c r="A494" s="9" t="n"/>
      <c r="B494" s="33" t="n"/>
      <c r="I494" s="9" t="n"/>
      <c r="L494" s="26">
        <f>IF($C494="","",IFERROR(IF(INDEX(campaigns!$BG$2:$BG$51,MATCH($C494,campaigns!$A$2:$A$51,0))="","",INDEX(campaigns!$BG$2:$BG$51,MATCH($C494,campaigns!$A$2:$A$51,0))),""))</f>
        <v/>
      </c>
      <c r="M494" s="25">
        <f>IF($C494="","",IF(OR($E494="received"),N($G494),IF(OR($E494="rejected",$E494="delivered",$E494="topped_up"),-N($G494),IF(AND(OR($E494="returned_to_brand",$E494="given_to_roster_office",$E494="released_to_office",$E494="disposed"),IF($F494="","reserve",$F494)="reserve"),-N($G494),IF(AND($E494="correction",IF($F494="","reserve",$F494)="reserve"),N($G494),0)))))</f>
        <v/>
      </c>
      <c r="N494" s="25">
        <f>IF($C494="","",IF($E494="rejected",N($G494),IF(AND(OR($E494="returned_to_brand",$E494="given_to_roster_office",$E494="released_to_office",$E494="disposed"),IF($F494="","reserve",$F494)="rejected"),-N($G494),IF(AND($E494="correction",IF($F494="","reserve",$F494)="rejected"),N($G494),0))))</f>
        <v/>
      </c>
      <c r="O494" s="25">
        <f>IF($C494="","",IF($E494="collected",N($G494),IF(AND(OR($E494="returned_to_brand",$E494="given_to_roster_office",$E494="released_to_office",$E494="disposed"),IF($F494="","reserve",$F494)="leftover"),-N($G494),IF(AND($E494="correction",IF($F494="","reserve",$F494)="leftover"),N($G494),0))))</f>
        <v/>
      </c>
      <c r="P494" s="25">
        <f>IF(OR($E494&lt;&gt;"received",$I494="",$L494=""),"",IF($I494&gt;=$L494+config!$B$19,"Y","N"))</f>
        <v/>
      </c>
      <c r="Q494" s="25">
        <f>IF($C494="","",IF(COUNTIF(campaigns!$A$2:$A$51,$C494)=0,"campaign_id not on campaigns; ",IF(AND($D494&lt;&gt;"",COUNTIFS(approvals!$A$2:$A$251,$C494,approvals!$B$2:$B$251,$D494)=0),"office not on this campaign (approvals tab); ",""))&amp;IF(AND(OR($E494="delivered",$E494="topped_up",$E494="collected"),$D494=""),"office needed; ","")&amp;IF(AND($E494&lt;&gt;"correction",N($G494)&lt;=0),"qty must be above 0; ","")&amp;IF(AND($E494="received",OR($I494="",$H494="")),"log lot and best-by; ","")&amp;IF(AND($P494="N",SUMIFS(inventory!$G$2:$G$801,inventory!$C$2:$C$801,$C494,inventory!$H$2:$H$801,$H494,inventory!$E$2:$E$801,"rejected")&lt;N($G494)),"UNDER "&amp;config!$B$19&amp;" DAYS LEFT ON THE DROP DAY: reject these units; ","")&amp;IF(AND($E494="delivered",COUNTIF(inventory!$R$2:$R$801,$R494)&gt;1),"two delivered rows for this office: use one; ","")&amp;IF(AND($E494="delivered",$J494=""),"who counted?; ",""))</f>
        <v/>
      </c>
      <c r="R494" s="25">
        <f>IF($C494="","",$C494&amp;"|"&amp;$D494&amp;"|"&amp;$E494)</f>
        <v/>
      </c>
    </row>
    <row r="495">
      <c r="A495" s="9" t="n"/>
      <c r="B495" s="33" t="n"/>
      <c r="I495" s="9" t="n"/>
      <c r="L495" s="26">
        <f>IF($C495="","",IFERROR(IF(INDEX(campaigns!$BG$2:$BG$51,MATCH($C495,campaigns!$A$2:$A$51,0))="","",INDEX(campaigns!$BG$2:$BG$51,MATCH($C495,campaigns!$A$2:$A$51,0))),""))</f>
        <v/>
      </c>
      <c r="M495" s="25">
        <f>IF($C495="","",IF(OR($E495="received"),N($G495),IF(OR($E495="rejected",$E495="delivered",$E495="topped_up"),-N($G495),IF(AND(OR($E495="returned_to_brand",$E495="given_to_roster_office",$E495="released_to_office",$E495="disposed"),IF($F495="","reserve",$F495)="reserve"),-N($G495),IF(AND($E495="correction",IF($F495="","reserve",$F495)="reserve"),N($G495),0)))))</f>
        <v/>
      </c>
      <c r="N495" s="25">
        <f>IF($C495="","",IF($E495="rejected",N($G495),IF(AND(OR($E495="returned_to_brand",$E495="given_to_roster_office",$E495="released_to_office",$E495="disposed"),IF($F495="","reserve",$F495)="rejected"),-N($G495),IF(AND($E495="correction",IF($F495="","reserve",$F495)="rejected"),N($G495),0))))</f>
        <v/>
      </c>
      <c r="O495" s="25">
        <f>IF($C495="","",IF($E495="collected",N($G495),IF(AND(OR($E495="returned_to_brand",$E495="given_to_roster_office",$E495="released_to_office",$E495="disposed"),IF($F495="","reserve",$F495)="leftover"),-N($G495),IF(AND($E495="correction",IF($F495="","reserve",$F495)="leftover"),N($G495),0))))</f>
        <v/>
      </c>
      <c r="P495" s="25">
        <f>IF(OR($E495&lt;&gt;"received",$I495="",$L495=""),"",IF($I495&gt;=$L495+config!$B$19,"Y","N"))</f>
        <v/>
      </c>
      <c r="Q495" s="25">
        <f>IF($C495="","",IF(COUNTIF(campaigns!$A$2:$A$51,$C495)=0,"campaign_id not on campaigns; ",IF(AND($D495&lt;&gt;"",COUNTIFS(approvals!$A$2:$A$251,$C495,approvals!$B$2:$B$251,$D495)=0),"office not on this campaign (approvals tab); ",""))&amp;IF(AND(OR($E495="delivered",$E495="topped_up",$E495="collected"),$D495=""),"office needed; ","")&amp;IF(AND($E495&lt;&gt;"correction",N($G495)&lt;=0),"qty must be above 0; ","")&amp;IF(AND($E495="received",OR($I495="",$H495="")),"log lot and best-by; ","")&amp;IF(AND($P495="N",SUMIFS(inventory!$G$2:$G$801,inventory!$C$2:$C$801,$C495,inventory!$H$2:$H$801,$H495,inventory!$E$2:$E$801,"rejected")&lt;N($G495)),"UNDER "&amp;config!$B$19&amp;" DAYS LEFT ON THE DROP DAY: reject these units; ","")&amp;IF(AND($E495="delivered",COUNTIF(inventory!$R$2:$R$801,$R495)&gt;1),"two delivered rows for this office: use one; ","")&amp;IF(AND($E495="delivered",$J495=""),"who counted?; ",""))</f>
        <v/>
      </c>
      <c r="R495" s="25">
        <f>IF($C495="","",$C495&amp;"|"&amp;$D495&amp;"|"&amp;$E495)</f>
        <v/>
      </c>
    </row>
    <row r="496">
      <c r="A496" s="9" t="n"/>
      <c r="B496" s="33" t="n"/>
      <c r="I496" s="9" t="n"/>
      <c r="L496" s="26">
        <f>IF($C496="","",IFERROR(IF(INDEX(campaigns!$BG$2:$BG$51,MATCH($C496,campaigns!$A$2:$A$51,0))="","",INDEX(campaigns!$BG$2:$BG$51,MATCH($C496,campaigns!$A$2:$A$51,0))),""))</f>
        <v/>
      </c>
      <c r="M496" s="25">
        <f>IF($C496="","",IF(OR($E496="received"),N($G496),IF(OR($E496="rejected",$E496="delivered",$E496="topped_up"),-N($G496),IF(AND(OR($E496="returned_to_brand",$E496="given_to_roster_office",$E496="released_to_office",$E496="disposed"),IF($F496="","reserve",$F496)="reserve"),-N($G496),IF(AND($E496="correction",IF($F496="","reserve",$F496)="reserve"),N($G496),0)))))</f>
        <v/>
      </c>
      <c r="N496" s="25">
        <f>IF($C496="","",IF($E496="rejected",N($G496),IF(AND(OR($E496="returned_to_brand",$E496="given_to_roster_office",$E496="released_to_office",$E496="disposed"),IF($F496="","reserve",$F496)="rejected"),-N($G496),IF(AND($E496="correction",IF($F496="","reserve",$F496)="rejected"),N($G496),0))))</f>
        <v/>
      </c>
      <c r="O496" s="25">
        <f>IF($C496="","",IF($E496="collected",N($G496),IF(AND(OR($E496="returned_to_brand",$E496="given_to_roster_office",$E496="released_to_office",$E496="disposed"),IF($F496="","reserve",$F496)="leftover"),-N($G496),IF(AND($E496="correction",IF($F496="","reserve",$F496)="leftover"),N($G496),0))))</f>
        <v/>
      </c>
      <c r="P496" s="25">
        <f>IF(OR($E496&lt;&gt;"received",$I496="",$L496=""),"",IF($I496&gt;=$L496+config!$B$19,"Y","N"))</f>
        <v/>
      </c>
      <c r="Q496" s="25">
        <f>IF($C496="","",IF(COUNTIF(campaigns!$A$2:$A$51,$C496)=0,"campaign_id not on campaigns; ",IF(AND($D496&lt;&gt;"",COUNTIFS(approvals!$A$2:$A$251,$C496,approvals!$B$2:$B$251,$D496)=0),"office not on this campaign (approvals tab); ",""))&amp;IF(AND(OR($E496="delivered",$E496="topped_up",$E496="collected"),$D496=""),"office needed; ","")&amp;IF(AND($E496&lt;&gt;"correction",N($G496)&lt;=0),"qty must be above 0; ","")&amp;IF(AND($E496="received",OR($I496="",$H496="")),"log lot and best-by; ","")&amp;IF(AND($P496="N",SUMIFS(inventory!$G$2:$G$801,inventory!$C$2:$C$801,$C496,inventory!$H$2:$H$801,$H496,inventory!$E$2:$E$801,"rejected")&lt;N($G496)),"UNDER "&amp;config!$B$19&amp;" DAYS LEFT ON THE DROP DAY: reject these units; ","")&amp;IF(AND($E496="delivered",COUNTIF(inventory!$R$2:$R$801,$R496)&gt;1),"two delivered rows for this office: use one; ","")&amp;IF(AND($E496="delivered",$J496=""),"who counted?; ",""))</f>
        <v/>
      </c>
      <c r="R496" s="25">
        <f>IF($C496="","",$C496&amp;"|"&amp;$D496&amp;"|"&amp;$E496)</f>
        <v/>
      </c>
    </row>
    <row r="497">
      <c r="A497" s="9" t="n"/>
      <c r="B497" s="33" t="n"/>
      <c r="I497" s="9" t="n"/>
      <c r="L497" s="26">
        <f>IF($C497="","",IFERROR(IF(INDEX(campaigns!$BG$2:$BG$51,MATCH($C497,campaigns!$A$2:$A$51,0))="","",INDEX(campaigns!$BG$2:$BG$51,MATCH($C497,campaigns!$A$2:$A$51,0))),""))</f>
        <v/>
      </c>
      <c r="M497" s="25">
        <f>IF($C497="","",IF(OR($E497="received"),N($G497),IF(OR($E497="rejected",$E497="delivered",$E497="topped_up"),-N($G497),IF(AND(OR($E497="returned_to_brand",$E497="given_to_roster_office",$E497="released_to_office",$E497="disposed"),IF($F497="","reserve",$F497)="reserve"),-N($G497),IF(AND($E497="correction",IF($F497="","reserve",$F497)="reserve"),N($G497),0)))))</f>
        <v/>
      </c>
      <c r="N497" s="25">
        <f>IF($C497="","",IF($E497="rejected",N($G497),IF(AND(OR($E497="returned_to_brand",$E497="given_to_roster_office",$E497="released_to_office",$E497="disposed"),IF($F497="","reserve",$F497)="rejected"),-N($G497),IF(AND($E497="correction",IF($F497="","reserve",$F497)="rejected"),N($G497),0))))</f>
        <v/>
      </c>
      <c r="O497" s="25">
        <f>IF($C497="","",IF($E497="collected",N($G497),IF(AND(OR($E497="returned_to_brand",$E497="given_to_roster_office",$E497="released_to_office",$E497="disposed"),IF($F497="","reserve",$F497)="leftover"),-N($G497),IF(AND($E497="correction",IF($F497="","reserve",$F497)="leftover"),N($G497),0))))</f>
        <v/>
      </c>
      <c r="P497" s="25">
        <f>IF(OR($E497&lt;&gt;"received",$I497="",$L497=""),"",IF($I497&gt;=$L497+config!$B$19,"Y","N"))</f>
        <v/>
      </c>
      <c r="Q497" s="25">
        <f>IF($C497="","",IF(COUNTIF(campaigns!$A$2:$A$51,$C497)=0,"campaign_id not on campaigns; ",IF(AND($D497&lt;&gt;"",COUNTIFS(approvals!$A$2:$A$251,$C497,approvals!$B$2:$B$251,$D497)=0),"office not on this campaign (approvals tab); ",""))&amp;IF(AND(OR($E497="delivered",$E497="topped_up",$E497="collected"),$D497=""),"office needed; ","")&amp;IF(AND($E497&lt;&gt;"correction",N($G497)&lt;=0),"qty must be above 0; ","")&amp;IF(AND($E497="received",OR($I497="",$H497="")),"log lot and best-by; ","")&amp;IF(AND($P497="N",SUMIFS(inventory!$G$2:$G$801,inventory!$C$2:$C$801,$C497,inventory!$H$2:$H$801,$H497,inventory!$E$2:$E$801,"rejected")&lt;N($G497)),"UNDER "&amp;config!$B$19&amp;" DAYS LEFT ON THE DROP DAY: reject these units; ","")&amp;IF(AND($E497="delivered",COUNTIF(inventory!$R$2:$R$801,$R497)&gt;1),"two delivered rows for this office: use one; ","")&amp;IF(AND($E497="delivered",$J497=""),"who counted?; ",""))</f>
        <v/>
      </c>
      <c r="R497" s="25">
        <f>IF($C497="","",$C497&amp;"|"&amp;$D497&amp;"|"&amp;$E497)</f>
        <v/>
      </c>
    </row>
    <row r="498">
      <c r="A498" s="9" t="n"/>
      <c r="B498" s="33" t="n"/>
      <c r="I498" s="9" t="n"/>
      <c r="L498" s="26">
        <f>IF($C498="","",IFERROR(IF(INDEX(campaigns!$BG$2:$BG$51,MATCH($C498,campaigns!$A$2:$A$51,0))="","",INDEX(campaigns!$BG$2:$BG$51,MATCH($C498,campaigns!$A$2:$A$51,0))),""))</f>
        <v/>
      </c>
      <c r="M498" s="25">
        <f>IF($C498="","",IF(OR($E498="received"),N($G498),IF(OR($E498="rejected",$E498="delivered",$E498="topped_up"),-N($G498),IF(AND(OR($E498="returned_to_brand",$E498="given_to_roster_office",$E498="released_to_office",$E498="disposed"),IF($F498="","reserve",$F498)="reserve"),-N($G498),IF(AND($E498="correction",IF($F498="","reserve",$F498)="reserve"),N($G498),0)))))</f>
        <v/>
      </c>
      <c r="N498" s="25">
        <f>IF($C498="","",IF($E498="rejected",N($G498),IF(AND(OR($E498="returned_to_brand",$E498="given_to_roster_office",$E498="released_to_office",$E498="disposed"),IF($F498="","reserve",$F498)="rejected"),-N($G498),IF(AND($E498="correction",IF($F498="","reserve",$F498)="rejected"),N($G498),0))))</f>
        <v/>
      </c>
      <c r="O498" s="25">
        <f>IF($C498="","",IF($E498="collected",N($G498),IF(AND(OR($E498="returned_to_brand",$E498="given_to_roster_office",$E498="released_to_office",$E498="disposed"),IF($F498="","reserve",$F498)="leftover"),-N($G498),IF(AND($E498="correction",IF($F498="","reserve",$F498)="leftover"),N($G498),0))))</f>
        <v/>
      </c>
      <c r="P498" s="25">
        <f>IF(OR($E498&lt;&gt;"received",$I498="",$L498=""),"",IF($I498&gt;=$L498+config!$B$19,"Y","N"))</f>
        <v/>
      </c>
      <c r="Q498" s="25">
        <f>IF($C498="","",IF(COUNTIF(campaigns!$A$2:$A$51,$C498)=0,"campaign_id not on campaigns; ",IF(AND($D498&lt;&gt;"",COUNTIFS(approvals!$A$2:$A$251,$C498,approvals!$B$2:$B$251,$D498)=0),"office not on this campaign (approvals tab); ",""))&amp;IF(AND(OR($E498="delivered",$E498="topped_up",$E498="collected"),$D498=""),"office needed; ","")&amp;IF(AND($E498&lt;&gt;"correction",N($G498)&lt;=0),"qty must be above 0; ","")&amp;IF(AND($E498="received",OR($I498="",$H498="")),"log lot and best-by; ","")&amp;IF(AND($P498="N",SUMIFS(inventory!$G$2:$G$801,inventory!$C$2:$C$801,$C498,inventory!$H$2:$H$801,$H498,inventory!$E$2:$E$801,"rejected")&lt;N($G498)),"UNDER "&amp;config!$B$19&amp;" DAYS LEFT ON THE DROP DAY: reject these units; ","")&amp;IF(AND($E498="delivered",COUNTIF(inventory!$R$2:$R$801,$R498)&gt;1),"two delivered rows for this office: use one; ","")&amp;IF(AND($E498="delivered",$J498=""),"who counted?; ",""))</f>
        <v/>
      </c>
      <c r="R498" s="25">
        <f>IF($C498="","",$C498&amp;"|"&amp;$D498&amp;"|"&amp;$E498)</f>
        <v/>
      </c>
    </row>
    <row r="499">
      <c r="A499" s="9" t="n"/>
      <c r="B499" s="33" t="n"/>
      <c r="I499" s="9" t="n"/>
      <c r="L499" s="26">
        <f>IF($C499="","",IFERROR(IF(INDEX(campaigns!$BG$2:$BG$51,MATCH($C499,campaigns!$A$2:$A$51,0))="","",INDEX(campaigns!$BG$2:$BG$51,MATCH($C499,campaigns!$A$2:$A$51,0))),""))</f>
        <v/>
      </c>
      <c r="M499" s="25">
        <f>IF($C499="","",IF(OR($E499="received"),N($G499),IF(OR($E499="rejected",$E499="delivered",$E499="topped_up"),-N($G499),IF(AND(OR($E499="returned_to_brand",$E499="given_to_roster_office",$E499="released_to_office",$E499="disposed"),IF($F499="","reserve",$F499)="reserve"),-N($G499),IF(AND($E499="correction",IF($F499="","reserve",$F499)="reserve"),N($G499),0)))))</f>
        <v/>
      </c>
      <c r="N499" s="25">
        <f>IF($C499="","",IF($E499="rejected",N($G499),IF(AND(OR($E499="returned_to_brand",$E499="given_to_roster_office",$E499="released_to_office",$E499="disposed"),IF($F499="","reserve",$F499)="rejected"),-N($G499),IF(AND($E499="correction",IF($F499="","reserve",$F499)="rejected"),N($G499),0))))</f>
        <v/>
      </c>
      <c r="O499" s="25">
        <f>IF($C499="","",IF($E499="collected",N($G499),IF(AND(OR($E499="returned_to_brand",$E499="given_to_roster_office",$E499="released_to_office",$E499="disposed"),IF($F499="","reserve",$F499)="leftover"),-N($G499),IF(AND($E499="correction",IF($F499="","reserve",$F499)="leftover"),N($G499),0))))</f>
        <v/>
      </c>
      <c r="P499" s="25">
        <f>IF(OR($E499&lt;&gt;"received",$I499="",$L499=""),"",IF($I499&gt;=$L499+config!$B$19,"Y","N"))</f>
        <v/>
      </c>
      <c r="Q499" s="25">
        <f>IF($C499="","",IF(COUNTIF(campaigns!$A$2:$A$51,$C499)=0,"campaign_id not on campaigns; ",IF(AND($D499&lt;&gt;"",COUNTIFS(approvals!$A$2:$A$251,$C499,approvals!$B$2:$B$251,$D499)=0),"office not on this campaign (approvals tab); ",""))&amp;IF(AND(OR($E499="delivered",$E499="topped_up",$E499="collected"),$D499=""),"office needed; ","")&amp;IF(AND($E499&lt;&gt;"correction",N($G499)&lt;=0),"qty must be above 0; ","")&amp;IF(AND($E499="received",OR($I499="",$H499="")),"log lot and best-by; ","")&amp;IF(AND($P499="N",SUMIFS(inventory!$G$2:$G$801,inventory!$C$2:$C$801,$C499,inventory!$H$2:$H$801,$H499,inventory!$E$2:$E$801,"rejected")&lt;N($G499)),"UNDER "&amp;config!$B$19&amp;" DAYS LEFT ON THE DROP DAY: reject these units; ","")&amp;IF(AND($E499="delivered",COUNTIF(inventory!$R$2:$R$801,$R499)&gt;1),"two delivered rows for this office: use one; ","")&amp;IF(AND($E499="delivered",$J499=""),"who counted?; ",""))</f>
        <v/>
      </c>
      <c r="R499" s="25">
        <f>IF($C499="","",$C499&amp;"|"&amp;$D499&amp;"|"&amp;$E499)</f>
        <v/>
      </c>
    </row>
    <row r="500">
      <c r="A500" s="9" t="n"/>
      <c r="B500" s="33" t="n"/>
      <c r="I500" s="9" t="n"/>
      <c r="L500" s="26">
        <f>IF($C500="","",IFERROR(IF(INDEX(campaigns!$BG$2:$BG$51,MATCH($C500,campaigns!$A$2:$A$51,0))="","",INDEX(campaigns!$BG$2:$BG$51,MATCH($C500,campaigns!$A$2:$A$51,0))),""))</f>
        <v/>
      </c>
      <c r="M500" s="25">
        <f>IF($C500="","",IF(OR($E500="received"),N($G500),IF(OR($E500="rejected",$E500="delivered",$E500="topped_up"),-N($G500),IF(AND(OR($E500="returned_to_brand",$E500="given_to_roster_office",$E500="released_to_office",$E500="disposed"),IF($F500="","reserve",$F500)="reserve"),-N($G500),IF(AND($E500="correction",IF($F500="","reserve",$F500)="reserve"),N($G500),0)))))</f>
        <v/>
      </c>
      <c r="N500" s="25">
        <f>IF($C500="","",IF($E500="rejected",N($G500),IF(AND(OR($E500="returned_to_brand",$E500="given_to_roster_office",$E500="released_to_office",$E500="disposed"),IF($F500="","reserve",$F500)="rejected"),-N($G500),IF(AND($E500="correction",IF($F500="","reserve",$F500)="rejected"),N($G500),0))))</f>
        <v/>
      </c>
      <c r="O500" s="25">
        <f>IF($C500="","",IF($E500="collected",N($G500),IF(AND(OR($E500="returned_to_brand",$E500="given_to_roster_office",$E500="released_to_office",$E500="disposed"),IF($F500="","reserve",$F500)="leftover"),-N($G500),IF(AND($E500="correction",IF($F500="","reserve",$F500)="leftover"),N($G500),0))))</f>
        <v/>
      </c>
      <c r="P500" s="25">
        <f>IF(OR($E500&lt;&gt;"received",$I500="",$L500=""),"",IF($I500&gt;=$L500+config!$B$19,"Y","N"))</f>
        <v/>
      </c>
      <c r="Q500" s="25">
        <f>IF($C500="","",IF(COUNTIF(campaigns!$A$2:$A$51,$C500)=0,"campaign_id not on campaigns; ",IF(AND($D500&lt;&gt;"",COUNTIFS(approvals!$A$2:$A$251,$C500,approvals!$B$2:$B$251,$D500)=0),"office not on this campaign (approvals tab); ",""))&amp;IF(AND(OR($E500="delivered",$E500="topped_up",$E500="collected"),$D500=""),"office needed; ","")&amp;IF(AND($E500&lt;&gt;"correction",N($G500)&lt;=0),"qty must be above 0; ","")&amp;IF(AND($E500="received",OR($I500="",$H500="")),"log lot and best-by; ","")&amp;IF(AND($P500="N",SUMIFS(inventory!$G$2:$G$801,inventory!$C$2:$C$801,$C500,inventory!$H$2:$H$801,$H500,inventory!$E$2:$E$801,"rejected")&lt;N($G500)),"UNDER "&amp;config!$B$19&amp;" DAYS LEFT ON THE DROP DAY: reject these units; ","")&amp;IF(AND($E500="delivered",COUNTIF(inventory!$R$2:$R$801,$R500)&gt;1),"two delivered rows for this office: use one; ","")&amp;IF(AND($E500="delivered",$J500=""),"who counted?; ",""))</f>
        <v/>
      </c>
      <c r="R500" s="25">
        <f>IF($C500="","",$C500&amp;"|"&amp;$D500&amp;"|"&amp;$E500)</f>
        <v/>
      </c>
    </row>
    <row r="501">
      <c r="A501" s="9" t="n"/>
      <c r="B501" s="33" t="n"/>
      <c r="I501" s="9" t="n"/>
      <c r="L501" s="26">
        <f>IF($C501="","",IFERROR(IF(INDEX(campaigns!$BG$2:$BG$51,MATCH($C501,campaigns!$A$2:$A$51,0))="","",INDEX(campaigns!$BG$2:$BG$51,MATCH($C501,campaigns!$A$2:$A$51,0))),""))</f>
        <v/>
      </c>
      <c r="M501" s="25">
        <f>IF($C501="","",IF(OR($E501="received"),N($G501),IF(OR($E501="rejected",$E501="delivered",$E501="topped_up"),-N($G501),IF(AND(OR($E501="returned_to_brand",$E501="given_to_roster_office",$E501="released_to_office",$E501="disposed"),IF($F501="","reserve",$F501)="reserve"),-N($G501),IF(AND($E501="correction",IF($F501="","reserve",$F501)="reserve"),N($G501),0)))))</f>
        <v/>
      </c>
      <c r="N501" s="25">
        <f>IF($C501="","",IF($E501="rejected",N($G501),IF(AND(OR($E501="returned_to_brand",$E501="given_to_roster_office",$E501="released_to_office",$E501="disposed"),IF($F501="","reserve",$F501)="rejected"),-N($G501),IF(AND($E501="correction",IF($F501="","reserve",$F501)="rejected"),N($G501),0))))</f>
        <v/>
      </c>
      <c r="O501" s="25">
        <f>IF($C501="","",IF($E501="collected",N($G501),IF(AND(OR($E501="returned_to_brand",$E501="given_to_roster_office",$E501="released_to_office",$E501="disposed"),IF($F501="","reserve",$F501)="leftover"),-N($G501),IF(AND($E501="correction",IF($F501="","reserve",$F501)="leftover"),N($G501),0))))</f>
        <v/>
      </c>
      <c r="P501" s="25">
        <f>IF(OR($E501&lt;&gt;"received",$I501="",$L501=""),"",IF($I501&gt;=$L501+config!$B$19,"Y","N"))</f>
        <v/>
      </c>
      <c r="Q501" s="25">
        <f>IF($C501="","",IF(COUNTIF(campaigns!$A$2:$A$51,$C501)=0,"campaign_id not on campaigns; ",IF(AND($D501&lt;&gt;"",COUNTIFS(approvals!$A$2:$A$251,$C501,approvals!$B$2:$B$251,$D501)=0),"office not on this campaign (approvals tab); ",""))&amp;IF(AND(OR($E501="delivered",$E501="topped_up",$E501="collected"),$D501=""),"office needed; ","")&amp;IF(AND($E501&lt;&gt;"correction",N($G501)&lt;=0),"qty must be above 0; ","")&amp;IF(AND($E501="received",OR($I501="",$H501="")),"log lot and best-by; ","")&amp;IF(AND($P501="N",SUMIFS(inventory!$G$2:$G$801,inventory!$C$2:$C$801,$C501,inventory!$H$2:$H$801,$H501,inventory!$E$2:$E$801,"rejected")&lt;N($G501)),"UNDER "&amp;config!$B$19&amp;" DAYS LEFT ON THE DROP DAY: reject these units; ","")&amp;IF(AND($E501="delivered",COUNTIF(inventory!$R$2:$R$801,$R501)&gt;1),"two delivered rows for this office: use one; ","")&amp;IF(AND($E501="delivered",$J501=""),"who counted?; ",""))</f>
        <v/>
      </c>
      <c r="R501" s="25">
        <f>IF($C501="","",$C501&amp;"|"&amp;$D501&amp;"|"&amp;$E501)</f>
        <v/>
      </c>
    </row>
    <row r="502">
      <c r="A502" s="9" t="n"/>
      <c r="B502" s="33" t="n"/>
      <c r="I502" s="9" t="n"/>
      <c r="L502" s="26">
        <f>IF($C502="","",IFERROR(IF(INDEX(campaigns!$BG$2:$BG$51,MATCH($C502,campaigns!$A$2:$A$51,0))="","",INDEX(campaigns!$BG$2:$BG$51,MATCH($C502,campaigns!$A$2:$A$51,0))),""))</f>
        <v/>
      </c>
      <c r="M502" s="25">
        <f>IF($C502="","",IF(OR($E502="received"),N($G502),IF(OR($E502="rejected",$E502="delivered",$E502="topped_up"),-N($G502),IF(AND(OR($E502="returned_to_brand",$E502="given_to_roster_office",$E502="released_to_office",$E502="disposed"),IF($F502="","reserve",$F502)="reserve"),-N($G502),IF(AND($E502="correction",IF($F502="","reserve",$F502)="reserve"),N($G502),0)))))</f>
        <v/>
      </c>
      <c r="N502" s="25">
        <f>IF($C502="","",IF($E502="rejected",N($G502),IF(AND(OR($E502="returned_to_brand",$E502="given_to_roster_office",$E502="released_to_office",$E502="disposed"),IF($F502="","reserve",$F502)="rejected"),-N($G502),IF(AND($E502="correction",IF($F502="","reserve",$F502)="rejected"),N($G502),0))))</f>
        <v/>
      </c>
      <c r="O502" s="25">
        <f>IF($C502="","",IF($E502="collected",N($G502),IF(AND(OR($E502="returned_to_brand",$E502="given_to_roster_office",$E502="released_to_office",$E502="disposed"),IF($F502="","reserve",$F502)="leftover"),-N($G502),IF(AND($E502="correction",IF($F502="","reserve",$F502)="leftover"),N($G502),0))))</f>
        <v/>
      </c>
      <c r="P502" s="25">
        <f>IF(OR($E502&lt;&gt;"received",$I502="",$L502=""),"",IF($I502&gt;=$L502+config!$B$19,"Y","N"))</f>
        <v/>
      </c>
      <c r="Q502" s="25">
        <f>IF($C502="","",IF(COUNTIF(campaigns!$A$2:$A$51,$C502)=0,"campaign_id not on campaigns; ",IF(AND($D502&lt;&gt;"",COUNTIFS(approvals!$A$2:$A$251,$C502,approvals!$B$2:$B$251,$D502)=0),"office not on this campaign (approvals tab); ",""))&amp;IF(AND(OR($E502="delivered",$E502="topped_up",$E502="collected"),$D502=""),"office needed; ","")&amp;IF(AND($E502&lt;&gt;"correction",N($G502)&lt;=0),"qty must be above 0; ","")&amp;IF(AND($E502="received",OR($I502="",$H502="")),"log lot and best-by; ","")&amp;IF(AND($P502="N",SUMIFS(inventory!$G$2:$G$801,inventory!$C$2:$C$801,$C502,inventory!$H$2:$H$801,$H502,inventory!$E$2:$E$801,"rejected")&lt;N($G502)),"UNDER "&amp;config!$B$19&amp;" DAYS LEFT ON THE DROP DAY: reject these units; ","")&amp;IF(AND($E502="delivered",COUNTIF(inventory!$R$2:$R$801,$R502)&gt;1),"two delivered rows for this office: use one; ","")&amp;IF(AND($E502="delivered",$J502=""),"who counted?; ",""))</f>
        <v/>
      </c>
      <c r="R502" s="25">
        <f>IF($C502="","",$C502&amp;"|"&amp;$D502&amp;"|"&amp;$E502)</f>
        <v/>
      </c>
    </row>
    <row r="503">
      <c r="A503" s="9" t="n"/>
      <c r="B503" s="33" t="n"/>
      <c r="I503" s="9" t="n"/>
      <c r="L503" s="26">
        <f>IF($C503="","",IFERROR(IF(INDEX(campaigns!$BG$2:$BG$51,MATCH($C503,campaigns!$A$2:$A$51,0))="","",INDEX(campaigns!$BG$2:$BG$51,MATCH($C503,campaigns!$A$2:$A$51,0))),""))</f>
        <v/>
      </c>
      <c r="M503" s="25">
        <f>IF($C503="","",IF(OR($E503="received"),N($G503),IF(OR($E503="rejected",$E503="delivered",$E503="topped_up"),-N($G503),IF(AND(OR($E503="returned_to_brand",$E503="given_to_roster_office",$E503="released_to_office",$E503="disposed"),IF($F503="","reserve",$F503)="reserve"),-N($G503),IF(AND($E503="correction",IF($F503="","reserve",$F503)="reserve"),N($G503),0)))))</f>
        <v/>
      </c>
      <c r="N503" s="25">
        <f>IF($C503="","",IF($E503="rejected",N($G503),IF(AND(OR($E503="returned_to_brand",$E503="given_to_roster_office",$E503="released_to_office",$E503="disposed"),IF($F503="","reserve",$F503)="rejected"),-N($G503),IF(AND($E503="correction",IF($F503="","reserve",$F503)="rejected"),N($G503),0))))</f>
        <v/>
      </c>
      <c r="O503" s="25">
        <f>IF($C503="","",IF($E503="collected",N($G503),IF(AND(OR($E503="returned_to_brand",$E503="given_to_roster_office",$E503="released_to_office",$E503="disposed"),IF($F503="","reserve",$F503)="leftover"),-N($G503),IF(AND($E503="correction",IF($F503="","reserve",$F503)="leftover"),N($G503),0))))</f>
        <v/>
      </c>
      <c r="P503" s="25">
        <f>IF(OR($E503&lt;&gt;"received",$I503="",$L503=""),"",IF($I503&gt;=$L503+config!$B$19,"Y","N"))</f>
        <v/>
      </c>
      <c r="Q503" s="25">
        <f>IF($C503="","",IF(COUNTIF(campaigns!$A$2:$A$51,$C503)=0,"campaign_id not on campaigns; ",IF(AND($D503&lt;&gt;"",COUNTIFS(approvals!$A$2:$A$251,$C503,approvals!$B$2:$B$251,$D503)=0),"office not on this campaign (approvals tab); ",""))&amp;IF(AND(OR($E503="delivered",$E503="topped_up",$E503="collected"),$D503=""),"office needed; ","")&amp;IF(AND($E503&lt;&gt;"correction",N($G503)&lt;=0),"qty must be above 0; ","")&amp;IF(AND($E503="received",OR($I503="",$H503="")),"log lot and best-by; ","")&amp;IF(AND($P503="N",SUMIFS(inventory!$G$2:$G$801,inventory!$C$2:$C$801,$C503,inventory!$H$2:$H$801,$H503,inventory!$E$2:$E$801,"rejected")&lt;N($G503)),"UNDER "&amp;config!$B$19&amp;" DAYS LEFT ON THE DROP DAY: reject these units; ","")&amp;IF(AND($E503="delivered",COUNTIF(inventory!$R$2:$R$801,$R503)&gt;1),"two delivered rows for this office: use one; ","")&amp;IF(AND($E503="delivered",$J503=""),"who counted?; ",""))</f>
        <v/>
      </c>
      <c r="R503" s="25">
        <f>IF($C503="","",$C503&amp;"|"&amp;$D503&amp;"|"&amp;$E503)</f>
        <v/>
      </c>
    </row>
    <row r="504">
      <c r="A504" s="9" t="n"/>
      <c r="B504" s="33" t="n"/>
      <c r="I504" s="9" t="n"/>
      <c r="L504" s="26">
        <f>IF($C504="","",IFERROR(IF(INDEX(campaigns!$BG$2:$BG$51,MATCH($C504,campaigns!$A$2:$A$51,0))="","",INDEX(campaigns!$BG$2:$BG$51,MATCH($C504,campaigns!$A$2:$A$51,0))),""))</f>
        <v/>
      </c>
      <c r="M504" s="25">
        <f>IF($C504="","",IF(OR($E504="received"),N($G504),IF(OR($E504="rejected",$E504="delivered",$E504="topped_up"),-N($G504),IF(AND(OR($E504="returned_to_brand",$E504="given_to_roster_office",$E504="released_to_office",$E504="disposed"),IF($F504="","reserve",$F504)="reserve"),-N($G504),IF(AND($E504="correction",IF($F504="","reserve",$F504)="reserve"),N($G504),0)))))</f>
        <v/>
      </c>
      <c r="N504" s="25">
        <f>IF($C504="","",IF($E504="rejected",N($G504),IF(AND(OR($E504="returned_to_brand",$E504="given_to_roster_office",$E504="released_to_office",$E504="disposed"),IF($F504="","reserve",$F504)="rejected"),-N($G504),IF(AND($E504="correction",IF($F504="","reserve",$F504)="rejected"),N($G504),0))))</f>
        <v/>
      </c>
      <c r="O504" s="25">
        <f>IF($C504="","",IF($E504="collected",N($G504),IF(AND(OR($E504="returned_to_brand",$E504="given_to_roster_office",$E504="released_to_office",$E504="disposed"),IF($F504="","reserve",$F504)="leftover"),-N($G504),IF(AND($E504="correction",IF($F504="","reserve",$F504)="leftover"),N($G504),0))))</f>
        <v/>
      </c>
      <c r="P504" s="25">
        <f>IF(OR($E504&lt;&gt;"received",$I504="",$L504=""),"",IF($I504&gt;=$L504+config!$B$19,"Y","N"))</f>
        <v/>
      </c>
      <c r="Q504" s="25">
        <f>IF($C504="","",IF(COUNTIF(campaigns!$A$2:$A$51,$C504)=0,"campaign_id not on campaigns; ",IF(AND($D504&lt;&gt;"",COUNTIFS(approvals!$A$2:$A$251,$C504,approvals!$B$2:$B$251,$D504)=0),"office not on this campaign (approvals tab); ",""))&amp;IF(AND(OR($E504="delivered",$E504="topped_up",$E504="collected"),$D504=""),"office needed; ","")&amp;IF(AND($E504&lt;&gt;"correction",N($G504)&lt;=0),"qty must be above 0; ","")&amp;IF(AND($E504="received",OR($I504="",$H504="")),"log lot and best-by; ","")&amp;IF(AND($P504="N",SUMIFS(inventory!$G$2:$G$801,inventory!$C$2:$C$801,$C504,inventory!$H$2:$H$801,$H504,inventory!$E$2:$E$801,"rejected")&lt;N($G504)),"UNDER "&amp;config!$B$19&amp;" DAYS LEFT ON THE DROP DAY: reject these units; ","")&amp;IF(AND($E504="delivered",COUNTIF(inventory!$R$2:$R$801,$R504)&gt;1),"two delivered rows for this office: use one; ","")&amp;IF(AND($E504="delivered",$J504=""),"who counted?; ",""))</f>
        <v/>
      </c>
      <c r="R504" s="25">
        <f>IF($C504="","",$C504&amp;"|"&amp;$D504&amp;"|"&amp;$E504)</f>
        <v/>
      </c>
    </row>
    <row r="505">
      <c r="A505" s="9" t="n"/>
      <c r="B505" s="33" t="n"/>
      <c r="I505" s="9" t="n"/>
      <c r="L505" s="26">
        <f>IF($C505="","",IFERROR(IF(INDEX(campaigns!$BG$2:$BG$51,MATCH($C505,campaigns!$A$2:$A$51,0))="","",INDEX(campaigns!$BG$2:$BG$51,MATCH($C505,campaigns!$A$2:$A$51,0))),""))</f>
        <v/>
      </c>
      <c r="M505" s="25">
        <f>IF($C505="","",IF(OR($E505="received"),N($G505),IF(OR($E505="rejected",$E505="delivered",$E505="topped_up"),-N($G505),IF(AND(OR($E505="returned_to_brand",$E505="given_to_roster_office",$E505="released_to_office",$E505="disposed"),IF($F505="","reserve",$F505)="reserve"),-N($G505),IF(AND($E505="correction",IF($F505="","reserve",$F505)="reserve"),N($G505),0)))))</f>
        <v/>
      </c>
      <c r="N505" s="25">
        <f>IF($C505="","",IF($E505="rejected",N($G505),IF(AND(OR($E505="returned_to_brand",$E505="given_to_roster_office",$E505="released_to_office",$E505="disposed"),IF($F505="","reserve",$F505)="rejected"),-N($G505),IF(AND($E505="correction",IF($F505="","reserve",$F505)="rejected"),N($G505),0))))</f>
        <v/>
      </c>
      <c r="O505" s="25">
        <f>IF($C505="","",IF($E505="collected",N($G505),IF(AND(OR($E505="returned_to_brand",$E505="given_to_roster_office",$E505="released_to_office",$E505="disposed"),IF($F505="","reserve",$F505)="leftover"),-N($G505),IF(AND($E505="correction",IF($F505="","reserve",$F505)="leftover"),N($G505),0))))</f>
        <v/>
      </c>
      <c r="P505" s="25">
        <f>IF(OR($E505&lt;&gt;"received",$I505="",$L505=""),"",IF($I505&gt;=$L505+config!$B$19,"Y","N"))</f>
        <v/>
      </c>
      <c r="Q505" s="25">
        <f>IF($C505="","",IF(COUNTIF(campaigns!$A$2:$A$51,$C505)=0,"campaign_id not on campaigns; ",IF(AND($D505&lt;&gt;"",COUNTIFS(approvals!$A$2:$A$251,$C505,approvals!$B$2:$B$251,$D505)=0),"office not on this campaign (approvals tab); ",""))&amp;IF(AND(OR($E505="delivered",$E505="topped_up",$E505="collected"),$D505=""),"office needed; ","")&amp;IF(AND($E505&lt;&gt;"correction",N($G505)&lt;=0),"qty must be above 0; ","")&amp;IF(AND($E505="received",OR($I505="",$H505="")),"log lot and best-by; ","")&amp;IF(AND($P505="N",SUMIFS(inventory!$G$2:$G$801,inventory!$C$2:$C$801,$C505,inventory!$H$2:$H$801,$H505,inventory!$E$2:$E$801,"rejected")&lt;N($G505)),"UNDER "&amp;config!$B$19&amp;" DAYS LEFT ON THE DROP DAY: reject these units; ","")&amp;IF(AND($E505="delivered",COUNTIF(inventory!$R$2:$R$801,$R505)&gt;1),"two delivered rows for this office: use one; ","")&amp;IF(AND($E505="delivered",$J505=""),"who counted?; ",""))</f>
        <v/>
      </c>
      <c r="R505" s="25">
        <f>IF($C505="","",$C505&amp;"|"&amp;$D505&amp;"|"&amp;$E505)</f>
        <v/>
      </c>
    </row>
    <row r="506">
      <c r="A506" s="9" t="n"/>
      <c r="B506" s="33" t="n"/>
      <c r="I506" s="9" t="n"/>
      <c r="L506" s="26">
        <f>IF($C506="","",IFERROR(IF(INDEX(campaigns!$BG$2:$BG$51,MATCH($C506,campaigns!$A$2:$A$51,0))="","",INDEX(campaigns!$BG$2:$BG$51,MATCH($C506,campaigns!$A$2:$A$51,0))),""))</f>
        <v/>
      </c>
      <c r="M506" s="25">
        <f>IF($C506="","",IF(OR($E506="received"),N($G506),IF(OR($E506="rejected",$E506="delivered",$E506="topped_up"),-N($G506),IF(AND(OR($E506="returned_to_brand",$E506="given_to_roster_office",$E506="released_to_office",$E506="disposed"),IF($F506="","reserve",$F506)="reserve"),-N($G506),IF(AND($E506="correction",IF($F506="","reserve",$F506)="reserve"),N($G506),0)))))</f>
        <v/>
      </c>
      <c r="N506" s="25">
        <f>IF($C506="","",IF($E506="rejected",N($G506),IF(AND(OR($E506="returned_to_brand",$E506="given_to_roster_office",$E506="released_to_office",$E506="disposed"),IF($F506="","reserve",$F506)="rejected"),-N($G506),IF(AND($E506="correction",IF($F506="","reserve",$F506)="rejected"),N($G506),0))))</f>
        <v/>
      </c>
      <c r="O506" s="25">
        <f>IF($C506="","",IF($E506="collected",N($G506),IF(AND(OR($E506="returned_to_brand",$E506="given_to_roster_office",$E506="released_to_office",$E506="disposed"),IF($F506="","reserve",$F506)="leftover"),-N($G506),IF(AND($E506="correction",IF($F506="","reserve",$F506)="leftover"),N($G506),0))))</f>
        <v/>
      </c>
      <c r="P506" s="25">
        <f>IF(OR($E506&lt;&gt;"received",$I506="",$L506=""),"",IF($I506&gt;=$L506+config!$B$19,"Y","N"))</f>
        <v/>
      </c>
      <c r="Q506" s="25">
        <f>IF($C506="","",IF(COUNTIF(campaigns!$A$2:$A$51,$C506)=0,"campaign_id not on campaigns; ",IF(AND($D506&lt;&gt;"",COUNTIFS(approvals!$A$2:$A$251,$C506,approvals!$B$2:$B$251,$D506)=0),"office not on this campaign (approvals tab); ",""))&amp;IF(AND(OR($E506="delivered",$E506="topped_up",$E506="collected"),$D506=""),"office needed; ","")&amp;IF(AND($E506&lt;&gt;"correction",N($G506)&lt;=0),"qty must be above 0; ","")&amp;IF(AND($E506="received",OR($I506="",$H506="")),"log lot and best-by; ","")&amp;IF(AND($P506="N",SUMIFS(inventory!$G$2:$G$801,inventory!$C$2:$C$801,$C506,inventory!$H$2:$H$801,$H506,inventory!$E$2:$E$801,"rejected")&lt;N($G506)),"UNDER "&amp;config!$B$19&amp;" DAYS LEFT ON THE DROP DAY: reject these units; ","")&amp;IF(AND($E506="delivered",COUNTIF(inventory!$R$2:$R$801,$R506)&gt;1),"two delivered rows for this office: use one; ","")&amp;IF(AND($E506="delivered",$J506=""),"who counted?; ",""))</f>
        <v/>
      </c>
      <c r="R506" s="25">
        <f>IF($C506="","",$C506&amp;"|"&amp;$D506&amp;"|"&amp;$E506)</f>
        <v/>
      </c>
    </row>
    <row r="507">
      <c r="A507" s="9" t="n"/>
      <c r="B507" s="33" t="n"/>
      <c r="I507" s="9" t="n"/>
      <c r="L507" s="26">
        <f>IF($C507="","",IFERROR(IF(INDEX(campaigns!$BG$2:$BG$51,MATCH($C507,campaigns!$A$2:$A$51,0))="","",INDEX(campaigns!$BG$2:$BG$51,MATCH($C507,campaigns!$A$2:$A$51,0))),""))</f>
        <v/>
      </c>
      <c r="M507" s="25">
        <f>IF($C507="","",IF(OR($E507="received"),N($G507),IF(OR($E507="rejected",$E507="delivered",$E507="topped_up"),-N($G507),IF(AND(OR($E507="returned_to_brand",$E507="given_to_roster_office",$E507="released_to_office",$E507="disposed"),IF($F507="","reserve",$F507)="reserve"),-N($G507),IF(AND($E507="correction",IF($F507="","reserve",$F507)="reserve"),N($G507),0)))))</f>
        <v/>
      </c>
      <c r="N507" s="25">
        <f>IF($C507="","",IF($E507="rejected",N($G507),IF(AND(OR($E507="returned_to_brand",$E507="given_to_roster_office",$E507="released_to_office",$E507="disposed"),IF($F507="","reserve",$F507)="rejected"),-N($G507),IF(AND($E507="correction",IF($F507="","reserve",$F507)="rejected"),N($G507),0))))</f>
        <v/>
      </c>
      <c r="O507" s="25">
        <f>IF($C507="","",IF($E507="collected",N($G507),IF(AND(OR($E507="returned_to_brand",$E507="given_to_roster_office",$E507="released_to_office",$E507="disposed"),IF($F507="","reserve",$F507)="leftover"),-N($G507),IF(AND($E507="correction",IF($F507="","reserve",$F507)="leftover"),N($G507),0))))</f>
        <v/>
      </c>
      <c r="P507" s="25">
        <f>IF(OR($E507&lt;&gt;"received",$I507="",$L507=""),"",IF($I507&gt;=$L507+config!$B$19,"Y","N"))</f>
        <v/>
      </c>
      <c r="Q507" s="25">
        <f>IF($C507="","",IF(COUNTIF(campaigns!$A$2:$A$51,$C507)=0,"campaign_id not on campaigns; ",IF(AND($D507&lt;&gt;"",COUNTIFS(approvals!$A$2:$A$251,$C507,approvals!$B$2:$B$251,$D507)=0),"office not on this campaign (approvals tab); ",""))&amp;IF(AND(OR($E507="delivered",$E507="topped_up",$E507="collected"),$D507=""),"office needed; ","")&amp;IF(AND($E507&lt;&gt;"correction",N($G507)&lt;=0),"qty must be above 0; ","")&amp;IF(AND($E507="received",OR($I507="",$H507="")),"log lot and best-by; ","")&amp;IF(AND($P507="N",SUMIFS(inventory!$G$2:$G$801,inventory!$C$2:$C$801,$C507,inventory!$H$2:$H$801,$H507,inventory!$E$2:$E$801,"rejected")&lt;N($G507)),"UNDER "&amp;config!$B$19&amp;" DAYS LEFT ON THE DROP DAY: reject these units; ","")&amp;IF(AND($E507="delivered",COUNTIF(inventory!$R$2:$R$801,$R507)&gt;1),"two delivered rows for this office: use one; ","")&amp;IF(AND($E507="delivered",$J507=""),"who counted?; ",""))</f>
        <v/>
      </c>
      <c r="R507" s="25">
        <f>IF($C507="","",$C507&amp;"|"&amp;$D507&amp;"|"&amp;$E507)</f>
        <v/>
      </c>
    </row>
    <row r="508">
      <c r="A508" s="9" t="n"/>
      <c r="B508" s="33" t="n"/>
      <c r="I508" s="9" t="n"/>
      <c r="L508" s="26">
        <f>IF($C508="","",IFERROR(IF(INDEX(campaigns!$BG$2:$BG$51,MATCH($C508,campaigns!$A$2:$A$51,0))="","",INDEX(campaigns!$BG$2:$BG$51,MATCH($C508,campaigns!$A$2:$A$51,0))),""))</f>
        <v/>
      </c>
      <c r="M508" s="25">
        <f>IF($C508="","",IF(OR($E508="received"),N($G508),IF(OR($E508="rejected",$E508="delivered",$E508="topped_up"),-N($G508),IF(AND(OR($E508="returned_to_brand",$E508="given_to_roster_office",$E508="released_to_office",$E508="disposed"),IF($F508="","reserve",$F508)="reserve"),-N($G508),IF(AND($E508="correction",IF($F508="","reserve",$F508)="reserve"),N($G508),0)))))</f>
        <v/>
      </c>
      <c r="N508" s="25">
        <f>IF($C508="","",IF($E508="rejected",N($G508),IF(AND(OR($E508="returned_to_brand",$E508="given_to_roster_office",$E508="released_to_office",$E508="disposed"),IF($F508="","reserve",$F508)="rejected"),-N($G508),IF(AND($E508="correction",IF($F508="","reserve",$F508)="rejected"),N($G508),0))))</f>
        <v/>
      </c>
      <c r="O508" s="25">
        <f>IF($C508="","",IF($E508="collected",N($G508),IF(AND(OR($E508="returned_to_brand",$E508="given_to_roster_office",$E508="released_to_office",$E508="disposed"),IF($F508="","reserve",$F508)="leftover"),-N($G508),IF(AND($E508="correction",IF($F508="","reserve",$F508)="leftover"),N($G508),0))))</f>
        <v/>
      </c>
      <c r="P508" s="25">
        <f>IF(OR($E508&lt;&gt;"received",$I508="",$L508=""),"",IF($I508&gt;=$L508+config!$B$19,"Y","N"))</f>
        <v/>
      </c>
      <c r="Q508" s="25">
        <f>IF($C508="","",IF(COUNTIF(campaigns!$A$2:$A$51,$C508)=0,"campaign_id not on campaigns; ",IF(AND($D508&lt;&gt;"",COUNTIFS(approvals!$A$2:$A$251,$C508,approvals!$B$2:$B$251,$D508)=0),"office not on this campaign (approvals tab); ",""))&amp;IF(AND(OR($E508="delivered",$E508="topped_up",$E508="collected"),$D508=""),"office needed; ","")&amp;IF(AND($E508&lt;&gt;"correction",N($G508)&lt;=0),"qty must be above 0; ","")&amp;IF(AND($E508="received",OR($I508="",$H508="")),"log lot and best-by; ","")&amp;IF(AND($P508="N",SUMIFS(inventory!$G$2:$G$801,inventory!$C$2:$C$801,$C508,inventory!$H$2:$H$801,$H508,inventory!$E$2:$E$801,"rejected")&lt;N($G508)),"UNDER "&amp;config!$B$19&amp;" DAYS LEFT ON THE DROP DAY: reject these units; ","")&amp;IF(AND($E508="delivered",COUNTIF(inventory!$R$2:$R$801,$R508)&gt;1),"two delivered rows for this office: use one; ","")&amp;IF(AND($E508="delivered",$J508=""),"who counted?; ",""))</f>
        <v/>
      </c>
      <c r="R508" s="25">
        <f>IF($C508="","",$C508&amp;"|"&amp;$D508&amp;"|"&amp;$E508)</f>
        <v/>
      </c>
    </row>
    <row r="509">
      <c r="A509" s="9" t="n"/>
      <c r="B509" s="33" t="n"/>
      <c r="I509" s="9" t="n"/>
      <c r="L509" s="26">
        <f>IF($C509="","",IFERROR(IF(INDEX(campaigns!$BG$2:$BG$51,MATCH($C509,campaigns!$A$2:$A$51,0))="","",INDEX(campaigns!$BG$2:$BG$51,MATCH($C509,campaigns!$A$2:$A$51,0))),""))</f>
        <v/>
      </c>
      <c r="M509" s="25">
        <f>IF($C509="","",IF(OR($E509="received"),N($G509),IF(OR($E509="rejected",$E509="delivered",$E509="topped_up"),-N($G509),IF(AND(OR($E509="returned_to_brand",$E509="given_to_roster_office",$E509="released_to_office",$E509="disposed"),IF($F509="","reserve",$F509)="reserve"),-N($G509),IF(AND($E509="correction",IF($F509="","reserve",$F509)="reserve"),N($G509),0)))))</f>
        <v/>
      </c>
      <c r="N509" s="25">
        <f>IF($C509="","",IF($E509="rejected",N($G509),IF(AND(OR($E509="returned_to_brand",$E509="given_to_roster_office",$E509="released_to_office",$E509="disposed"),IF($F509="","reserve",$F509)="rejected"),-N($G509),IF(AND($E509="correction",IF($F509="","reserve",$F509)="rejected"),N($G509),0))))</f>
        <v/>
      </c>
      <c r="O509" s="25">
        <f>IF($C509="","",IF($E509="collected",N($G509),IF(AND(OR($E509="returned_to_brand",$E509="given_to_roster_office",$E509="released_to_office",$E509="disposed"),IF($F509="","reserve",$F509)="leftover"),-N($G509),IF(AND($E509="correction",IF($F509="","reserve",$F509)="leftover"),N($G509),0))))</f>
        <v/>
      </c>
      <c r="P509" s="25">
        <f>IF(OR($E509&lt;&gt;"received",$I509="",$L509=""),"",IF($I509&gt;=$L509+config!$B$19,"Y","N"))</f>
        <v/>
      </c>
      <c r="Q509" s="25">
        <f>IF($C509="","",IF(COUNTIF(campaigns!$A$2:$A$51,$C509)=0,"campaign_id not on campaigns; ",IF(AND($D509&lt;&gt;"",COUNTIFS(approvals!$A$2:$A$251,$C509,approvals!$B$2:$B$251,$D509)=0),"office not on this campaign (approvals tab); ",""))&amp;IF(AND(OR($E509="delivered",$E509="topped_up",$E509="collected"),$D509=""),"office needed; ","")&amp;IF(AND($E509&lt;&gt;"correction",N($G509)&lt;=0),"qty must be above 0; ","")&amp;IF(AND($E509="received",OR($I509="",$H509="")),"log lot and best-by; ","")&amp;IF(AND($P509="N",SUMIFS(inventory!$G$2:$G$801,inventory!$C$2:$C$801,$C509,inventory!$H$2:$H$801,$H509,inventory!$E$2:$E$801,"rejected")&lt;N($G509)),"UNDER "&amp;config!$B$19&amp;" DAYS LEFT ON THE DROP DAY: reject these units; ","")&amp;IF(AND($E509="delivered",COUNTIF(inventory!$R$2:$R$801,$R509)&gt;1),"two delivered rows for this office: use one; ","")&amp;IF(AND($E509="delivered",$J509=""),"who counted?; ",""))</f>
        <v/>
      </c>
      <c r="R509" s="25">
        <f>IF($C509="","",$C509&amp;"|"&amp;$D509&amp;"|"&amp;$E509)</f>
        <v/>
      </c>
    </row>
    <row r="510">
      <c r="A510" s="9" t="n"/>
      <c r="B510" s="33" t="n"/>
      <c r="I510" s="9" t="n"/>
      <c r="L510" s="26">
        <f>IF($C510="","",IFERROR(IF(INDEX(campaigns!$BG$2:$BG$51,MATCH($C510,campaigns!$A$2:$A$51,0))="","",INDEX(campaigns!$BG$2:$BG$51,MATCH($C510,campaigns!$A$2:$A$51,0))),""))</f>
        <v/>
      </c>
      <c r="M510" s="25">
        <f>IF($C510="","",IF(OR($E510="received"),N($G510),IF(OR($E510="rejected",$E510="delivered",$E510="topped_up"),-N($G510),IF(AND(OR($E510="returned_to_brand",$E510="given_to_roster_office",$E510="released_to_office",$E510="disposed"),IF($F510="","reserve",$F510)="reserve"),-N($G510),IF(AND($E510="correction",IF($F510="","reserve",$F510)="reserve"),N($G510),0)))))</f>
        <v/>
      </c>
      <c r="N510" s="25">
        <f>IF($C510="","",IF($E510="rejected",N($G510),IF(AND(OR($E510="returned_to_brand",$E510="given_to_roster_office",$E510="released_to_office",$E510="disposed"),IF($F510="","reserve",$F510)="rejected"),-N($G510),IF(AND($E510="correction",IF($F510="","reserve",$F510)="rejected"),N($G510),0))))</f>
        <v/>
      </c>
      <c r="O510" s="25">
        <f>IF($C510="","",IF($E510="collected",N($G510),IF(AND(OR($E510="returned_to_brand",$E510="given_to_roster_office",$E510="released_to_office",$E510="disposed"),IF($F510="","reserve",$F510)="leftover"),-N($G510),IF(AND($E510="correction",IF($F510="","reserve",$F510)="leftover"),N($G510),0))))</f>
        <v/>
      </c>
      <c r="P510" s="25">
        <f>IF(OR($E510&lt;&gt;"received",$I510="",$L510=""),"",IF($I510&gt;=$L510+config!$B$19,"Y","N"))</f>
        <v/>
      </c>
      <c r="Q510" s="25">
        <f>IF($C510="","",IF(COUNTIF(campaigns!$A$2:$A$51,$C510)=0,"campaign_id not on campaigns; ",IF(AND($D510&lt;&gt;"",COUNTIFS(approvals!$A$2:$A$251,$C510,approvals!$B$2:$B$251,$D510)=0),"office not on this campaign (approvals tab); ",""))&amp;IF(AND(OR($E510="delivered",$E510="topped_up",$E510="collected"),$D510=""),"office needed; ","")&amp;IF(AND($E510&lt;&gt;"correction",N($G510)&lt;=0),"qty must be above 0; ","")&amp;IF(AND($E510="received",OR($I510="",$H510="")),"log lot and best-by; ","")&amp;IF(AND($P510="N",SUMIFS(inventory!$G$2:$G$801,inventory!$C$2:$C$801,$C510,inventory!$H$2:$H$801,$H510,inventory!$E$2:$E$801,"rejected")&lt;N($G510)),"UNDER "&amp;config!$B$19&amp;" DAYS LEFT ON THE DROP DAY: reject these units; ","")&amp;IF(AND($E510="delivered",COUNTIF(inventory!$R$2:$R$801,$R510)&gt;1),"two delivered rows for this office: use one; ","")&amp;IF(AND($E510="delivered",$J510=""),"who counted?; ",""))</f>
        <v/>
      </c>
      <c r="R510" s="25">
        <f>IF($C510="","",$C510&amp;"|"&amp;$D510&amp;"|"&amp;$E510)</f>
        <v/>
      </c>
    </row>
    <row r="511">
      <c r="A511" s="9" t="n"/>
      <c r="B511" s="33" t="n"/>
      <c r="I511" s="9" t="n"/>
      <c r="L511" s="26">
        <f>IF($C511="","",IFERROR(IF(INDEX(campaigns!$BG$2:$BG$51,MATCH($C511,campaigns!$A$2:$A$51,0))="","",INDEX(campaigns!$BG$2:$BG$51,MATCH($C511,campaigns!$A$2:$A$51,0))),""))</f>
        <v/>
      </c>
      <c r="M511" s="25">
        <f>IF($C511="","",IF(OR($E511="received"),N($G511),IF(OR($E511="rejected",$E511="delivered",$E511="topped_up"),-N($G511),IF(AND(OR($E511="returned_to_brand",$E511="given_to_roster_office",$E511="released_to_office",$E511="disposed"),IF($F511="","reserve",$F511)="reserve"),-N($G511),IF(AND($E511="correction",IF($F511="","reserve",$F511)="reserve"),N($G511),0)))))</f>
        <v/>
      </c>
      <c r="N511" s="25">
        <f>IF($C511="","",IF($E511="rejected",N($G511),IF(AND(OR($E511="returned_to_brand",$E511="given_to_roster_office",$E511="released_to_office",$E511="disposed"),IF($F511="","reserve",$F511)="rejected"),-N($G511),IF(AND($E511="correction",IF($F511="","reserve",$F511)="rejected"),N($G511),0))))</f>
        <v/>
      </c>
      <c r="O511" s="25">
        <f>IF($C511="","",IF($E511="collected",N($G511),IF(AND(OR($E511="returned_to_brand",$E511="given_to_roster_office",$E511="released_to_office",$E511="disposed"),IF($F511="","reserve",$F511)="leftover"),-N($G511),IF(AND($E511="correction",IF($F511="","reserve",$F511)="leftover"),N($G511),0))))</f>
        <v/>
      </c>
      <c r="P511" s="25">
        <f>IF(OR($E511&lt;&gt;"received",$I511="",$L511=""),"",IF($I511&gt;=$L511+config!$B$19,"Y","N"))</f>
        <v/>
      </c>
      <c r="Q511" s="25">
        <f>IF($C511="","",IF(COUNTIF(campaigns!$A$2:$A$51,$C511)=0,"campaign_id not on campaigns; ",IF(AND($D511&lt;&gt;"",COUNTIFS(approvals!$A$2:$A$251,$C511,approvals!$B$2:$B$251,$D511)=0),"office not on this campaign (approvals tab); ",""))&amp;IF(AND(OR($E511="delivered",$E511="topped_up",$E511="collected"),$D511=""),"office needed; ","")&amp;IF(AND($E511&lt;&gt;"correction",N($G511)&lt;=0),"qty must be above 0; ","")&amp;IF(AND($E511="received",OR($I511="",$H511="")),"log lot and best-by; ","")&amp;IF(AND($P511="N",SUMIFS(inventory!$G$2:$G$801,inventory!$C$2:$C$801,$C511,inventory!$H$2:$H$801,$H511,inventory!$E$2:$E$801,"rejected")&lt;N($G511)),"UNDER "&amp;config!$B$19&amp;" DAYS LEFT ON THE DROP DAY: reject these units; ","")&amp;IF(AND($E511="delivered",COUNTIF(inventory!$R$2:$R$801,$R511)&gt;1),"two delivered rows for this office: use one; ","")&amp;IF(AND($E511="delivered",$J511=""),"who counted?; ",""))</f>
        <v/>
      </c>
      <c r="R511" s="25">
        <f>IF($C511="","",$C511&amp;"|"&amp;$D511&amp;"|"&amp;$E511)</f>
        <v/>
      </c>
    </row>
    <row r="512">
      <c r="A512" s="9" t="n"/>
      <c r="B512" s="33" t="n"/>
      <c r="I512" s="9" t="n"/>
      <c r="L512" s="26">
        <f>IF($C512="","",IFERROR(IF(INDEX(campaigns!$BG$2:$BG$51,MATCH($C512,campaigns!$A$2:$A$51,0))="","",INDEX(campaigns!$BG$2:$BG$51,MATCH($C512,campaigns!$A$2:$A$51,0))),""))</f>
        <v/>
      </c>
      <c r="M512" s="25">
        <f>IF($C512="","",IF(OR($E512="received"),N($G512),IF(OR($E512="rejected",$E512="delivered",$E512="topped_up"),-N($G512),IF(AND(OR($E512="returned_to_brand",$E512="given_to_roster_office",$E512="released_to_office",$E512="disposed"),IF($F512="","reserve",$F512)="reserve"),-N($G512),IF(AND($E512="correction",IF($F512="","reserve",$F512)="reserve"),N($G512),0)))))</f>
        <v/>
      </c>
      <c r="N512" s="25">
        <f>IF($C512="","",IF($E512="rejected",N($G512),IF(AND(OR($E512="returned_to_brand",$E512="given_to_roster_office",$E512="released_to_office",$E512="disposed"),IF($F512="","reserve",$F512)="rejected"),-N($G512),IF(AND($E512="correction",IF($F512="","reserve",$F512)="rejected"),N($G512),0))))</f>
        <v/>
      </c>
      <c r="O512" s="25">
        <f>IF($C512="","",IF($E512="collected",N($G512),IF(AND(OR($E512="returned_to_brand",$E512="given_to_roster_office",$E512="released_to_office",$E512="disposed"),IF($F512="","reserve",$F512)="leftover"),-N($G512),IF(AND($E512="correction",IF($F512="","reserve",$F512)="leftover"),N($G512),0))))</f>
        <v/>
      </c>
      <c r="P512" s="25">
        <f>IF(OR($E512&lt;&gt;"received",$I512="",$L512=""),"",IF($I512&gt;=$L512+config!$B$19,"Y","N"))</f>
        <v/>
      </c>
      <c r="Q512" s="25">
        <f>IF($C512="","",IF(COUNTIF(campaigns!$A$2:$A$51,$C512)=0,"campaign_id not on campaigns; ",IF(AND($D512&lt;&gt;"",COUNTIFS(approvals!$A$2:$A$251,$C512,approvals!$B$2:$B$251,$D512)=0),"office not on this campaign (approvals tab); ",""))&amp;IF(AND(OR($E512="delivered",$E512="topped_up",$E512="collected"),$D512=""),"office needed; ","")&amp;IF(AND($E512&lt;&gt;"correction",N($G512)&lt;=0),"qty must be above 0; ","")&amp;IF(AND($E512="received",OR($I512="",$H512="")),"log lot and best-by; ","")&amp;IF(AND($P512="N",SUMIFS(inventory!$G$2:$G$801,inventory!$C$2:$C$801,$C512,inventory!$H$2:$H$801,$H512,inventory!$E$2:$E$801,"rejected")&lt;N($G512)),"UNDER "&amp;config!$B$19&amp;" DAYS LEFT ON THE DROP DAY: reject these units; ","")&amp;IF(AND($E512="delivered",COUNTIF(inventory!$R$2:$R$801,$R512)&gt;1),"two delivered rows for this office: use one; ","")&amp;IF(AND($E512="delivered",$J512=""),"who counted?; ",""))</f>
        <v/>
      </c>
      <c r="R512" s="25">
        <f>IF($C512="","",$C512&amp;"|"&amp;$D512&amp;"|"&amp;$E512)</f>
        <v/>
      </c>
    </row>
    <row r="513">
      <c r="A513" s="9" t="n"/>
      <c r="B513" s="33" t="n"/>
      <c r="I513" s="9" t="n"/>
      <c r="L513" s="26">
        <f>IF($C513="","",IFERROR(IF(INDEX(campaigns!$BG$2:$BG$51,MATCH($C513,campaigns!$A$2:$A$51,0))="","",INDEX(campaigns!$BG$2:$BG$51,MATCH($C513,campaigns!$A$2:$A$51,0))),""))</f>
        <v/>
      </c>
      <c r="M513" s="25">
        <f>IF($C513="","",IF(OR($E513="received"),N($G513),IF(OR($E513="rejected",$E513="delivered",$E513="topped_up"),-N($G513),IF(AND(OR($E513="returned_to_brand",$E513="given_to_roster_office",$E513="released_to_office",$E513="disposed"),IF($F513="","reserve",$F513)="reserve"),-N($G513),IF(AND($E513="correction",IF($F513="","reserve",$F513)="reserve"),N($G513),0)))))</f>
        <v/>
      </c>
      <c r="N513" s="25">
        <f>IF($C513="","",IF($E513="rejected",N($G513),IF(AND(OR($E513="returned_to_brand",$E513="given_to_roster_office",$E513="released_to_office",$E513="disposed"),IF($F513="","reserve",$F513)="rejected"),-N($G513),IF(AND($E513="correction",IF($F513="","reserve",$F513)="rejected"),N($G513),0))))</f>
        <v/>
      </c>
      <c r="O513" s="25">
        <f>IF($C513="","",IF($E513="collected",N($G513),IF(AND(OR($E513="returned_to_brand",$E513="given_to_roster_office",$E513="released_to_office",$E513="disposed"),IF($F513="","reserve",$F513)="leftover"),-N($G513),IF(AND($E513="correction",IF($F513="","reserve",$F513)="leftover"),N($G513),0))))</f>
        <v/>
      </c>
      <c r="P513" s="25">
        <f>IF(OR($E513&lt;&gt;"received",$I513="",$L513=""),"",IF($I513&gt;=$L513+config!$B$19,"Y","N"))</f>
        <v/>
      </c>
      <c r="Q513" s="25">
        <f>IF($C513="","",IF(COUNTIF(campaigns!$A$2:$A$51,$C513)=0,"campaign_id not on campaigns; ",IF(AND($D513&lt;&gt;"",COUNTIFS(approvals!$A$2:$A$251,$C513,approvals!$B$2:$B$251,$D513)=0),"office not on this campaign (approvals tab); ",""))&amp;IF(AND(OR($E513="delivered",$E513="topped_up",$E513="collected"),$D513=""),"office needed; ","")&amp;IF(AND($E513&lt;&gt;"correction",N($G513)&lt;=0),"qty must be above 0; ","")&amp;IF(AND($E513="received",OR($I513="",$H513="")),"log lot and best-by; ","")&amp;IF(AND($P513="N",SUMIFS(inventory!$G$2:$G$801,inventory!$C$2:$C$801,$C513,inventory!$H$2:$H$801,$H513,inventory!$E$2:$E$801,"rejected")&lt;N($G513)),"UNDER "&amp;config!$B$19&amp;" DAYS LEFT ON THE DROP DAY: reject these units; ","")&amp;IF(AND($E513="delivered",COUNTIF(inventory!$R$2:$R$801,$R513)&gt;1),"two delivered rows for this office: use one; ","")&amp;IF(AND($E513="delivered",$J513=""),"who counted?; ",""))</f>
        <v/>
      </c>
      <c r="R513" s="25">
        <f>IF($C513="","",$C513&amp;"|"&amp;$D513&amp;"|"&amp;$E513)</f>
        <v/>
      </c>
    </row>
    <row r="514">
      <c r="A514" s="9" t="n"/>
      <c r="B514" s="33" t="n"/>
      <c r="I514" s="9" t="n"/>
      <c r="L514" s="26">
        <f>IF($C514="","",IFERROR(IF(INDEX(campaigns!$BG$2:$BG$51,MATCH($C514,campaigns!$A$2:$A$51,0))="","",INDEX(campaigns!$BG$2:$BG$51,MATCH($C514,campaigns!$A$2:$A$51,0))),""))</f>
        <v/>
      </c>
      <c r="M514" s="25">
        <f>IF($C514="","",IF(OR($E514="received"),N($G514),IF(OR($E514="rejected",$E514="delivered",$E514="topped_up"),-N($G514),IF(AND(OR($E514="returned_to_brand",$E514="given_to_roster_office",$E514="released_to_office",$E514="disposed"),IF($F514="","reserve",$F514)="reserve"),-N($G514),IF(AND($E514="correction",IF($F514="","reserve",$F514)="reserve"),N($G514),0)))))</f>
        <v/>
      </c>
      <c r="N514" s="25">
        <f>IF($C514="","",IF($E514="rejected",N($G514),IF(AND(OR($E514="returned_to_brand",$E514="given_to_roster_office",$E514="released_to_office",$E514="disposed"),IF($F514="","reserve",$F514)="rejected"),-N($G514),IF(AND($E514="correction",IF($F514="","reserve",$F514)="rejected"),N($G514),0))))</f>
        <v/>
      </c>
      <c r="O514" s="25">
        <f>IF($C514="","",IF($E514="collected",N($G514),IF(AND(OR($E514="returned_to_brand",$E514="given_to_roster_office",$E514="released_to_office",$E514="disposed"),IF($F514="","reserve",$F514)="leftover"),-N($G514),IF(AND($E514="correction",IF($F514="","reserve",$F514)="leftover"),N($G514),0))))</f>
        <v/>
      </c>
      <c r="P514" s="25">
        <f>IF(OR($E514&lt;&gt;"received",$I514="",$L514=""),"",IF($I514&gt;=$L514+config!$B$19,"Y","N"))</f>
        <v/>
      </c>
      <c r="Q514" s="25">
        <f>IF($C514="","",IF(COUNTIF(campaigns!$A$2:$A$51,$C514)=0,"campaign_id not on campaigns; ",IF(AND($D514&lt;&gt;"",COUNTIFS(approvals!$A$2:$A$251,$C514,approvals!$B$2:$B$251,$D514)=0),"office not on this campaign (approvals tab); ",""))&amp;IF(AND(OR($E514="delivered",$E514="topped_up",$E514="collected"),$D514=""),"office needed; ","")&amp;IF(AND($E514&lt;&gt;"correction",N($G514)&lt;=0),"qty must be above 0; ","")&amp;IF(AND($E514="received",OR($I514="",$H514="")),"log lot and best-by; ","")&amp;IF(AND($P514="N",SUMIFS(inventory!$G$2:$G$801,inventory!$C$2:$C$801,$C514,inventory!$H$2:$H$801,$H514,inventory!$E$2:$E$801,"rejected")&lt;N($G514)),"UNDER "&amp;config!$B$19&amp;" DAYS LEFT ON THE DROP DAY: reject these units; ","")&amp;IF(AND($E514="delivered",COUNTIF(inventory!$R$2:$R$801,$R514)&gt;1),"two delivered rows for this office: use one; ","")&amp;IF(AND($E514="delivered",$J514=""),"who counted?; ",""))</f>
        <v/>
      </c>
      <c r="R514" s="25">
        <f>IF($C514="","",$C514&amp;"|"&amp;$D514&amp;"|"&amp;$E514)</f>
        <v/>
      </c>
    </row>
    <row r="515">
      <c r="A515" s="9" t="n"/>
      <c r="B515" s="33" t="n"/>
      <c r="I515" s="9" t="n"/>
      <c r="L515" s="26">
        <f>IF($C515="","",IFERROR(IF(INDEX(campaigns!$BG$2:$BG$51,MATCH($C515,campaigns!$A$2:$A$51,0))="","",INDEX(campaigns!$BG$2:$BG$51,MATCH($C515,campaigns!$A$2:$A$51,0))),""))</f>
        <v/>
      </c>
      <c r="M515" s="25">
        <f>IF($C515="","",IF(OR($E515="received"),N($G515),IF(OR($E515="rejected",$E515="delivered",$E515="topped_up"),-N($G515),IF(AND(OR($E515="returned_to_brand",$E515="given_to_roster_office",$E515="released_to_office",$E515="disposed"),IF($F515="","reserve",$F515)="reserve"),-N($G515),IF(AND($E515="correction",IF($F515="","reserve",$F515)="reserve"),N($G515),0)))))</f>
        <v/>
      </c>
      <c r="N515" s="25">
        <f>IF($C515="","",IF($E515="rejected",N($G515),IF(AND(OR($E515="returned_to_brand",$E515="given_to_roster_office",$E515="released_to_office",$E515="disposed"),IF($F515="","reserve",$F515)="rejected"),-N($G515),IF(AND($E515="correction",IF($F515="","reserve",$F515)="rejected"),N($G515),0))))</f>
        <v/>
      </c>
      <c r="O515" s="25">
        <f>IF($C515="","",IF($E515="collected",N($G515),IF(AND(OR($E515="returned_to_brand",$E515="given_to_roster_office",$E515="released_to_office",$E515="disposed"),IF($F515="","reserve",$F515)="leftover"),-N($G515),IF(AND($E515="correction",IF($F515="","reserve",$F515)="leftover"),N($G515),0))))</f>
        <v/>
      </c>
      <c r="P515" s="25">
        <f>IF(OR($E515&lt;&gt;"received",$I515="",$L515=""),"",IF($I515&gt;=$L515+config!$B$19,"Y","N"))</f>
        <v/>
      </c>
      <c r="Q515" s="25">
        <f>IF($C515="","",IF(COUNTIF(campaigns!$A$2:$A$51,$C515)=0,"campaign_id not on campaigns; ",IF(AND($D515&lt;&gt;"",COUNTIFS(approvals!$A$2:$A$251,$C515,approvals!$B$2:$B$251,$D515)=0),"office not on this campaign (approvals tab); ",""))&amp;IF(AND(OR($E515="delivered",$E515="topped_up",$E515="collected"),$D515=""),"office needed; ","")&amp;IF(AND($E515&lt;&gt;"correction",N($G515)&lt;=0),"qty must be above 0; ","")&amp;IF(AND($E515="received",OR($I515="",$H515="")),"log lot and best-by; ","")&amp;IF(AND($P515="N",SUMIFS(inventory!$G$2:$G$801,inventory!$C$2:$C$801,$C515,inventory!$H$2:$H$801,$H515,inventory!$E$2:$E$801,"rejected")&lt;N($G515)),"UNDER "&amp;config!$B$19&amp;" DAYS LEFT ON THE DROP DAY: reject these units; ","")&amp;IF(AND($E515="delivered",COUNTIF(inventory!$R$2:$R$801,$R515)&gt;1),"two delivered rows for this office: use one; ","")&amp;IF(AND($E515="delivered",$J515=""),"who counted?; ",""))</f>
        <v/>
      </c>
      <c r="R515" s="25">
        <f>IF($C515="","",$C515&amp;"|"&amp;$D515&amp;"|"&amp;$E515)</f>
        <v/>
      </c>
    </row>
    <row r="516">
      <c r="A516" s="9" t="n"/>
      <c r="B516" s="33" t="n"/>
      <c r="I516" s="9" t="n"/>
      <c r="L516" s="26">
        <f>IF($C516="","",IFERROR(IF(INDEX(campaigns!$BG$2:$BG$51,MATCH($C516,campaigns!$A$2:$A$51,0))="","",INDEX(campaigns!$BG$2:$BG$51,MATCH($C516,campaigns!$A$2:$A$51,0))),""))</f>
        <v/>
      </c>
      <c r="M516" s="25">
        <f>IF($C516="","",IF(OR($E516="received"),N($G516),IF(OR($E516="rejected",$E516="delivered",$E516="topped_up"),-N($G516),IF(AND(OR($E516="returned_to_brand",$E516="given_to_roster_office",$E516="released_to_office",$E516="disposed"),IF($F516="","reserve",$F516)="reserve"),-N($G516),IF(AND($E516="correction",IF($F516="","reserve",$F516)="reserve"),N($G516),0)))))</f>
        <v/>
      </c>
      <c r="N516" s="25">
        <f>IF($C516="","",IF($E516="rejected",N($G516),IF(AND(OR($E516="returned_to_brand",$E516="given_to_roster_office",$E516="released_to_office",$E516="disposed"),IF($F516="","reserve",$F516)="rejected"),-N($G516),IF(AND($E516="correction",IF($F516="","reserve",$F516)="rejected"),N($G516),0))))</f>
        <v/>
      </c>
      <c r="O516" s="25">
        <f>IF($C516="","",IF($E516="collected",N($G516),IF(AND(OR($E516="returned_to_brand",$E516="given_to_roster_office",$E516="released_to_office",$E516="disposed"),IF($F516="","reserve",$F516)="leftover"),-N($G516),IF(AND($E516="correction",IF($F516="","reserve",$F516)="leftover"),N($G516),0))))</f>
        <v/>
      </c>
      <c r="P516" s="25">
        <f>IF(OR($E516&lt;&gt;"received",$I516="",$L516=""),"",IF($I516&gt;=$L516+config!$B$19,"Y","N"))</f>
        <v/>
      </c>
      <c r="Q516" s="25">
        <f>IF($C516="","",IF(COUNTIF(campaigns!$A$2:$A$51,$C516)=0,"campaign_id not on campaigns; ",IF(AND($D516&lt;&gt;"",COUNTIFS(approvals!$A$2:$A$251,$C516,approvals!$B$2:$B$251,$D516)=0),"office not on this campaign (approvals tab); ",""))&amp;IF(AND(OR($E516="delivered",$E516="topped_up",$E516="collected"),$D516=""),"office needed; ","")&amp;IF(AND($E516&lt;&gt;"correction",N($G516)&lt;=0),"qty must be above 0; ","")&amp;IF(AND($E516="received",OR($I516="",$H516="")),"log lot and best-by; ","")&amp;IF(AND($P516="N",SUMIFS(inventory!$G$2:$G$801,inventory!$C$2:$C$801,$C516,inventory!$H$2:$H$801,$H516,inventory!$E$2:$E$801,"rejected")&lt;N($G516)),"UNDER "&amp;config!$B$19&amp;" DAYS LEFT ON THE DROP DAY: reject these units; ","")&amp;IF(AND($E516="delivered",COUNTIF(inventory!$R$2:$R$801,$R516)&gt;1),"two delivered rows for this office: use one; ","")&amp;IF(AND($E516="delivered",$J516=""),"who counted?; ",""))</f>
        <v/>
      </c>
      <c r="R516" s="25">
        <f>IF($C516="","",$C516&amp;"|"&amp;$D516&amp;"|"&amp;$E516)</f>
        <v/>
      </c>
    </row>
    <row r="517">
      <c r="A517" s="9" t="n"/>
      <c r="B517" s="33" t="n"/>
      <c r="I517" s="9" t="n"/>
      <c r="L517" s="26">
        <f>IF($C517="","",IFERROR(IF(INDEX(campaigns!$BG$2:$BG$51,MATCH($C517,campaigns!$A$2:$A$51,0))="","",INDEX(campaigns!$BG$2:$BG$51,MATCH($C517,campaigns!$A$2:$A$51,0))),""))</f>
        <v/>
      </c>
      <c r="M517" s="25">
        <f>IF($C517="","",IF(OR($E517="received"),N($G517),IF(OR($E517="rejected",$E517="delivered",$E517="topped_up"),-N($G517),IF(AND(OR($E517="returned_to_brand",$E517="given_to_roster_office",$E517="released_to_office",$E517="disposed"),IF($F517="","reserve",$F517)="reserve"),-N($G517),IF(AND($E517="correction",IF($F517="","reserve",$F517)="reserve"),N($G517),0)))))</f>
        <v/>
      </c>
      <c r="N517" s="25">
        <f>IF($C517="","",IF($E517="rejected",N($G517),IF(AND(OR($E517="returned_to_brand",$E517="given_to_roster_office",$E517="released_to_office",$E517="disposed"),IF($F517="","reserve",$F517)="rejected"),-N($G517),IF(AND($E517="correction",IF($F517="","reserve",$F517)="rejected"),N($G517),0))))</f>
        <v/>
      </c>
      <c r="O517" s="25">
        <f>IF($C517="","",IF($E517="collected",N($G517),IF(AND(OR($E517="returned_to_brand",$E517="given_to_roster_office",$E517="released_to_office",$E517="disposed"),IF($F517="","reserve",$F517)="leftover"),-N($G517),IF(AND($E517="correction",IF($F517="","reserve",$F517)="leftover"),N($G517),0))))</f>
        <v/>
      </c>
      <c r="P517" s="25">
        <f>IF(OR($E517&lt;&gt;"received",$I517="",$L517=""),"",IF($I517&gt;=$L517+config!$B$19,"Y","N"))</f>
        <v/>
      </c>
      <c r="Q517" s="25">
        <f>IF($C517="","",IF(COUNTIF(campaigns!$A$2:$A$51,$C517)=0,"campaign_id not on campaigns; ",IF(AND($D517&lt;&gt;"",COUNTIFS(approvals!$A$2:$A$251,$C517,approvals!$B$2:$B$251,$D517)=0),"office not on this campaign (approvals tab); ",""))&amp;IF(AND(OR($E517="delivered",$E517="topped_up",$E517="collected"),$D517=""),"office needed; ","")&amp;IF(AND($E517&lt;&gt;"correction",N($G517)&lt;=0),"qty must be above 0; ","")&amp;IF(AND($E517="received",OR($I517="",$H517="")),"log lot and best-by; ","")&amp;IF(AND($P517="N",SUMIFS(inventory!$G$2:$G$801,inventory!$C$2:$C$801,$C517,inventory!$H$2:$H$801,$H517,inventory!$E$2:$E$801,"rejected")&lt;N($G517)),"UNDER "&amp;config!$B$19&amp;" DAYS LEFT ON THE DROP DAY: reject these units; ","")&amp;IF(AND($E517="delivered",COUNTIF(inventory!$R$2:$R$801,$R517)&gt;1),"two delivered rows for this office: use one; ","")&amp;IF(AND($E517="delivered",$J517=""),"who counted?; ",""))</f>
        <v/>
      </c>
      <c r="R517" s="25">
        <f>IF($C517="","",$C517&amp;"|"&amp;$D517&amp;"|"&amp;$E517)</f>
        <v/>
      </c>
    </row>
    <row r="518">
      <c r="A518" s="9" t="n"/>
      <c r="B518" s="33" t="n"/>
      <c r="I518" s="9" t="n"/>
      <c r="L518" s="26">
        <f>IF($C518="","",IFERROR(IF(INDEX(campaigns!$BG$2:$BG$51,MATCH($C518,campaigns!$A$2:$A$51,0))="","",INDEX(campaigns!$BG$2:$BG$51,MATCH($C518,campaigns!$A$2:$A$51,0))),""))</f>
        <v/>
      </c>
      <c r="M518" s="25">
        <f>IF($C518="","",IF(OR($E518="received"),N($G518),IF(OR($E518="rejected",$E518="delivered",$E518="topped_up"),-N($G518),IF(AND(OR($E518="returned_to_brand",$E518="given_to_roster_office",$E518="released_to_office",$E518="disposed"),IF($F518="","reserve",$F518)="reserve"),-N($G518),IF(AND($E518="correction",IF($F518="","reserve",$F518)="reserve"),N($G518),0)))))</f>
        <v/>
      </c>
      <c r="N518" s="25">
        <f>IF($C518="","",IF($E518="rejected",N($G518),IF(AND(OR($E518="returned_to_brand",$E518="given_to_roster_office",$E518="released_to_office",$E518="disposed"),IF($F518="","reserve",$F518)="rejected"),-N($G518),IF(AND($E518="correction",IF($F518="","reserve",$F518)="rejected"),N($G518),0))))</f>
        <v/>
      </c>
      <c r="O518" s="25">
        <f>IF($C518="","",IF($E518="collected",N($G518),IF(AND(OR($E518="returned_to_brand",$E518="given_to_roster_office",$E518="released_to_office",$E518="disposed"),IF($F518="","reserve",$F518)="leftover"),-N($G518),IF(AND($E518="correction",IF($F518="","reserve",$F518)="leftover"),N($G518),0))))</f>
        <v/>
      </c>
      <c r="P518" s="25">
        <f>IF(OR($E518&lt;&gt;"received",$I518="",$L518=""),"",IF($I518&gt;=$L518+config!$B$19,"Y","N"))</f>
        <v/>
      </c>
      <c r="Q518" s="25">
        <f>IF($C518="","",IF(COUNTIF(campaigns!$A$2:$A$51,$C518)=0,"campaign_id not on campaigns; ",IF(AND($D518&lt;&gt;"",COUNTIFS(approvals!$A$2:$A$251,$C518,approvals!$B$2:$B$251,$D518)=0),"office not on this campaign (approvals tab); ",""))&amp;IF(AND(OR($E518="delivered",$E518="topped_up",$E518="collected"),$D518=""),"office needed; ","")&amp;IF(AND($E518&lt;&gt;"correction",N($G518)&lt;=0),"qty must be above 0; ","")&amp;IF(AND($E518="received",OR($I518="",$H518="")),"log lot and best-by; ","")&amp;IF(AND($P518="N",SUMIFS(inventory!$G$2:$G$801,inventory!$C$2:$C$801,$C518,inventory!$H$2:$H$801,$H518,inventory!$E$2:$E$801,"rejected")&lt;N($G518)),"UNDER "&amp;config!$B$19&amp;" DAYS LEFT ON THE DROP DAY: reject these units; ","")&amp;IF(AND($E518="delivered",COUNTIF(inventory!$R$2:$R$801,$R518)&gt;1),"two delivered rows for this office: use one; ","")&amp;IF(AND($E518="delivered",$J518=""),"who counted?; ",""))</f>
        <v/>
      </c>
      <c r="R518" s="25">
        <f>IF($C518="","",$C518&amp;"|"&amp;$D518&amp;"|"&amp;$E518)</f>
        <v/>
      </c>
    </row>
    <row r="519">
      <c r="A519" s="9" t="n"/>
      <c r="B519" s="33" t="n"/>
      <c r="I519" s="9" t="n"/>
      <c r="L519" s="26">
        <f>IF($C519="","",IFERROR(IF(INDEX(campaigns!$BG$2:$BG$51,MATCH($C519,campaigns!$A$2:$A$51,0))="","",INDEX(campaigns!$BG$2:$BG$51,MATCH($C519,campaigns!$A$2:$A$51,0))),""))</f>
        <v/>
      </c>
      <c r="M519" s="25">
        <f>IF($C519="","",IF(OR($E519="received"),N($G519),IF(OR($E519="rejected",$E519="delivered",$E519="topped_up"),-N($G519),IF(AND(OR($E519="returned_to_brand",$E519="given_to_roster_office",$E519="released_to_office",$E519="disposed"),IF($F519="","reserve",$F519)="reserve"),-N($G519),IF(AND($E519="correction",IF($F519="","reserve",$F519)="reserve"),N($G519),0)))))</f>
        <v/>
      </c>
      <c r="N519" s="25">
        <f>IF($C519="","",IF($E519="rejected",N($G519),IF(AND(OR($E519="returned_to_brand",$E519="given_to_roster_office",$E519="released_to_office",$E519="disposed"),IF($F519="","reserve",$F519)="rejected"),-N($G519),IF(AND($E519="correction",IF($F519="","reserve",$F519)="rejected"),N($G519),0))))</f>
        <v/>
      </c>
      <c r="O519" s="25">
        <f>IF($C519="","",IF($E519="collected",N($G519),IF(AND(OR($E519="returned_to_brand",$E519="given_to_roster_office",$E519="released_to_office",$E519="disposed"),IF($F519="","reserve",$F519)="leftover"),-N($G519),IF(AND($E519="correction",IF($F519="","reserve",$F519)="leftover"),N($G519),0))))</f>
        <v/>
      </c>
      <c r="P519" s="25">
        <f>IF(OR($E519&lt;&gt;"received",$I519="",$L519=""),"",IF($I519&gt;=$L519+config!$B$19,"Y","N"))</f>
        <v/>
      </c>
      <c r="Q519" s="25">
        <f>IF($C519="","",IF(COUNTIF(campaigns!$A$2:$A$51,$C519)=0,"campaign_id not on campaigns; ",IF(AND($D519&lt;&gt;"",COUNTIFS(approvals!$A$2:$A$251,$C519,approvals!$B$2:$B$251,$D519)=0),"office not on this campaign (approvals tab); ",""))&amp;IF(AND(OR($E519="delivered",$E519="topped_up",$E519="collected"),$D519=""),"office needed; ","")&amp;IF(AND($E519&lt;&gt;"correction",N($G519)&lt;=0),"qty must be above 0; ","")&amp;IF(AND($E519="received",OR($I519="",$H519="")),"log lot and best-by; ","")&amp;IF(AND($P519="N",SUMIFS(inventory!$G$2:$G$801,inventory!$C$2:$C$801,$C519,inventory!$H$2:$H$801,$H519,inventory!$E$2:$E$801,"rejected")&lt;N($G519)),"UNDER "&amp;config!$B$19&amp;" DAYS LEFT ON THE DROP DAY: reject these units; ","")&amp;IF(AND($E519="delivered",COUNTIF(inventory!$R$2:$R$801,$R519)&gt;1),"two delivered rows for this office: use one; ","")&amp;IF(AND($E519="delivered",$J519=""),"who counted?; ",""))</f>
        <v/>
      </c>
      <c r="R519" s="25">
        <f>IF($C519="","",$C519&amp;"|"&amp;$D519&amp;"|"&amp;$E519)</f>
        <v/>
      </c>
    </row>
    <row r="520">
      <c r="A520" s="9" t="n"/>
      <c r="B520" s="33" t="n"/>
      <c r="I520" s="9" t="n"/>
      <c r="L520" s="26">
        <f>IF($C520="","",IFERROR(IF(INDEX(campaigns!$BG$2:$BG$51,MATCH($C520,campaigns!$A$2:$A$51,0))="","",INDEX(campaigns!$BG$2:$BG$51,MATCH($C520,campaigns!$A$2:$A$51,0))),""))</f>
        <v/>
      </c>
      <c r="M520" s="25">
        <f>IF($C520="","",IF(OR($E520="received"),N($G520),IF(OR($E520="rejected",$E520="delivered",$E520="topped_up"),-N($G520),IF(AND(OR($E520="returned_to_brand",$E520="given_to_roster_office",$E520="released_to_office",$E520="disposed"),IF($F520="","reserve",$F520)="reserve"),-N($G520),IF(AND($E520="correction",IF($F520="","reserve",$F520)="reserve"),N($G520),0)))))</f>
        <v/>
      </c>
      <c r="N520" s="25">
        <f>IF($C520="","",IF($E520="rejected",N($G520),IF(AND(OR($E520="returned_to_brand",$E520="given_to_roster_office",$E520="released_to_office",$E520="disposed"),IF($F520="","reserve",$F520)="rejected"),-N($G520),IF(AND($E520="correction",IF($F520="","reserve",$F520)="rejected"),N($G520),0))))</f>
        <v/>
      </c>
      <c r="O520" s="25">
        <f>IF($C520="","",IF($E520="collected",N($G520),IF(AND(OR($E520="returned_to_brand",$E520="given_to_roster_office",$E520="released_to_office",$E520="disposed"),IF($F520="","reserve",$F520)="leftover"),-N($G520),IF(AND($E520="correction",IF($F520="","reserve",$F520)="leftover"),N($G520),0))))</f>
        <v/>
      </c>
      <c r="P520" s="25">
        <f>IF(OR($E520&lt;&gt;"received",$I520="",$L520=""),"",IF($I520&gt;=$L520+config!$B$19,"Y","N"))</f>
        <v/>
      </c>
      <c r="Q520" s="25">
        <f>IF($C520="","",IF(COUNTIF(campaigns!$A$2:$A$51,$C520)=0,"campaign_id not on campaigns; ",IF(AND($D520&lt;&gt;"",COUNTIFS(approvals!$A$2:$A$251,$C520,approvals!$B$2:$B$251,$D520)=0),"office not on this campaign (approvals tab); ",""))&amp;IF(AND(OR($E520="delivered",$E520="topped_up",$E520="collected"),$D520=""),"office needed; ","")&amp;IF(AND($E520&lt;&gt;"correction",N($G520)&lt;=0),"qty must be above 0; ","")&amp;IF(AND($E520="received",OR($I520="",$H520="")),"log lot and best-by; ","")&amp;IF(AND($P520="N",SUMIFS(inventory!$G$2:$G$801,inventory!$C$2:$C$801,$C520,inventory!$H$2:$H$801,$H520,inventory!$E$2:$E$801,"rejected")&lt;N($G520)),"UNDER "&amp;config!$B$19&amp;" DAYS LEFT ON THE DROP DAY: reject these units; ","")&amp;IF(AND($E520="delivered",COUNTIF(inventory!$R$2:$R$801,$R520)&gt;1),"two delivered rows for this office: use one; ","")&amp;IF(AND($E520="delivered",$J520=""),"who counted?; ",""))</f>
        <v/>
      </c>
      <c r="R520" s="25">
        <f>IF($C520="","",$C520&amp;"|"&amp;$D520&amp;"|"&amp;$E520)</f>
        <v/>
      </c>
    </row>
    <row r="521">
      <c r="A521" s="9" t="n"/>
      <c r="B521" s="33" t="n"/>
      <c r="I521" s="9" t="n"/>
      <c r="L521" s="26">
        <f>IF($C521="","",IFERROR(IF(INDEX(campaigns!$BG$2:$BG$51,MATCH($C521,campaigns!$A$2:$A$51,0))="","",INDEX(campaigns!$BG$2:$BG$51,MATCH($C521,campaigns!$A$2:$A$51,0))),""))</f>
        <v/>
      </c>
      <c r="M521" s="25">
        <f>IF($C521="","",IF(OR($E521="received"),N($G521),IF(OR($E521="rejected",$E521="delivered",$E521="topped_up"),-N($G521),IF(AND(OR($E521="returned_to_brand",$E521="given_to_roster_office",$E521="released_to_office",$E521="disposed"),IF($F521="","reserve",$F521)="reserve"),-N($G521),IF(AND($E521="correction",IF($F521="","reserve",$F521)="reserve"),N($G521),0)))))</f>
        <v/>
      </c>
      <c r="N521" s="25">
        <f>IF($C521="","",IF($E521="rejected",N($G521),IF(AND(OR($E521="returned_to_brand",$E521="given_to_roster_office",$E521="released_to_office",$E521="disposed"),IF($F521="","reserve",$F521)="rejected"),-N($G521),IF(AND($E521="correction",IF($F521="","reserve",$F521)="rejected"),N($G521),0))))</f>
        <v/>
      </c>
      <c r="O521" s="25">
        <f>IF($C521="","",IF($E521="collected",N($G521),IF(AND(OR($E521="returned_to_brand",$E521="given_to_roster_office",$E521="released_to_office",$E521="disposed"),IF($F521="","reserve",$F521)="leftover"),-N($G521),IF(AND($E521="correction",IF($F521="","reserve",$F521)="leftover"),N($G521),0))))</f>
        <v/>
      </c>
      <c r="P521" s="25">
        <f>IF(OR($E521&lt;&gt;"received",$I521="",$L521=""),"",IF($I521&gt;=$L521+config!$B$19,"Y","N"))</f>
        <v/>
      </c>
      <c r="Q521" s="25">
        <f>IF($C521="","",IF(COUNTIF(campaigns!$A$2:$A$51,$C521)=0,"campaign_id not on campaigns; ",IF(AND($D521&lt;&gt;"",COUNTIFS(approvals!$A$2:$A$251,$C521,approvals!$B$2:$B$251,$D521)=0),"office not on this campaign (approvals tab); ",""))&amp;IF(AND(OR($E521="delivered",$E521="topped_up",$E521="collected"),$D521=""),"office needed; ","")&amp;IF(AND($E521&lt;&gt;"correction",N($G521)&lt;=0),"qty must be above 0; ","")&amp;IF(AND($E521="received",OR($I521="",$H521="")),"log lot and best-by; ","")&amp;IF(AND($P521="N",SUMIFS(inventory!$G$2:$G$801,inventory!$C$2:$C$801,$C521,inventory!$H$2:$H$801,$H521,inventory!$E$2:$E$801,"rejected")&lt;N($G521)),"UNDER "&amp;config!$B$19&amp;" DAYS LEFT ON THE DROP DAY: reject these units; ","")&amp;IF(AND($E521="delivered",COUNTIF(inventory!$R$2:$R$801,$R521)&gt;1),"two delivered rows for this office: use one; ","")&amp;IF(AND($E521="delivered",$J521=""),"who counted?; ",""))</f>
        <v/>
      </c>
      <c r="R521" s="25">
        <f>IF($C521="","",$C521&amp;"|"&amp;$D521&amp;"|"&amp;$E521)</f>
        <v/>
      </c>
    </row>
    <row r="522">
      <c r="A522" s="9" t="n"/>
      <c r="B522" s="33" t="n"/>
      <c r="I522" s="9" t="n"/>
      <c r="L522" s="26">
        <f>IF($C522="","",IFERROR(IF(INDEX(campaigns!$BG$2:$BG$51,MATCH($C522,campaigns!$A$2:$A$51,0))="","",INDEX(campaigns!$BG$2:$BG$51,MATCH($C522,campaigns!$A$2:$A$51,0))),""))</f>
        <v/>
      </c>
      <c r="M522" s="25">
        <f>IF($C522="","",IF(OR($E522="received"),N($G522),IF(OR($E522="rejected",$E522="delivered",$E522="topped_up"),-N($G522),IF(AND(OR($E522="returned_to_brand",$E522="given_to_roster_office",$E522="released_to_office",$E522="disposed"),IF($F522="","reserve",$F522)="reserve"),-N($G522),IF(AND($E522="correction",IF($F522="","reserve",$F522)="reserve"),N($G522),0)))))</f>
        <v/>
      </c>
      <c r="N522" s="25">
        <f>IF($C522="","",IF($E522="rejected",N($G522),IF(AND(OR($E522="returned_to_brand",$E522="given_to_roster_office",$E522="released_to_office",$E522="disposed"),IF($F522="","reserve",$F522)="rejected"),-N($G522),IF(AND($E522="correction",IF($F522="","reserve",$F522)="rejected"),N($G522),0))))</f>
        <v/>
      </c>
      <c r="O522" s="25">
        <f>IF($C522="","",IF($E522="collected",N($G522),IF(AND(OR($E522="returned_to_brand",$E522="given_to_roster_office",$E522="released_to_office",$E522="disposed"),IF($F522="","reserve",$F522)="leftover"),-N($G522),IF(AND($E522="correction",IF($F522="","reserve",$F522)="leftover"),N($G522),0))))</f>
        <v/>
      </c>
      <c r="P522" s="25">
        <f>IF(OR($E522&lt;&gt;"received",$I522="",$L522=""),"",IF($I522&gt;=$L522+config!$B$19,"Y","N"))</f>
        <v/>
      </c>
      <c r="Q522" s="25">
        <f>IF($C522="","",IF(COUNTIF(campaigns!$A$2:$A$51,$C522)=0,"campaign_id not on campaigns; ",IF(AND($D522&lt;&gt;"",COUNTIFS(approvals!$A$2:$A$251,$C522,approvals!$B$2:$B$251,$D522)=0),"office not on this campaign (approvals tab); ",""))&amp;IF(AND(OR($E522="delivered",$E522="topped_up",$E522="collected"),$D522=""),"office needed; ","")&amp;IF(AND($E522&lt;&gt;"correction",N($G522)&lt;=0),"qty must be above 0; ","")&amp;IF(AND($E522="received",OR($I522="",$H522="")),"log lot and best-by; ","")&amp;IF(AND($P522="N",SUMIFS(inventory!$G$2:$G$801,inventory!$C$2:$C$801,$C522,inventory!$H$2:$H$801,$H522,inventory!$E$2:$E$801,"rejected")&lt;N($G522)),"UNDER "&amp;config!$B$19&amp;" DAYS LEFT ON THE DROP DAY: reject these units; ","")&amp;IF(AND($E522="delivered",COUNTIF(inventory!$R$2:$R$801,$R522)&gt;1),"two delivered rows for this office: use one; ","")&amp;IF(AND($E522="delivered",$J522=""),"who counted?; ",""))</f>
        <v/>
      </c>
      <c r="R522" s="25">
        <f>IF($C522="","",$C522&amp;"|"&amp;$D522&amp;"|"&amp;$E522)</f>
        <v/>
      </c>
    </row>
    <row r="523">
      <c r="A523" s="9" t="n"/>
      <c r="B523" s="33" t="n"/>
      <c r="I523" s="9" t="n"/>
      <c r="L523" s="26">
        <f>IF($C523="","",IFERROR(IF(INDEX(campaigns!$BG$2:$BG$51,MATCH($C523,campaigns!$A$2:$A$51,0))="","",INDEX(campaigns!$BG$2:$BG$51,MATCH($C523,campaigns!$A$2:$A$51,0))),""))</f>
        <v/>
      </c>
      <c r="M523" s="25">
        <f>IF($C523="","",IF(OR($E523="received"),N($G523),IF(OR($E523="rejected",$E523="delivered",$E523="topped_up"),-N($G523),IF(AND(OR($E523="returned_to_brand",$E523="given_to_roster_office",$E523="released_to_office",$E523="disposed"),IF($F523="","reserve",$F523)="reserve"),-N($G523),IF(AND($E523="correction",IF($F523="","reserve",$F523)="reserve"),N($G523),0)))))</f>
        <v/>
      </c>
      <c r="N523" s="25">
        <f>IF($C523="","",IF($E523="rejected",N($G523),IF(AND(OR($E523="returned_to_brand",$E523="given_to_roster_office",$E523="released_to_office",$E523="disposed"),IF($F523="","reserve",$F523)="rejected"),-N($G523),IF(AND($E523="correction",IF($F523="","reserve",$F523)="rejected"),N($G523),0))))</f>
        <v/>
      </c>
      <c r="O523" s="25">
        <f>IF($C523="","",IF($E523="collected",N($G523),IF(AND(OR($E523="returned_to_brand",$E523="given_to_roster_office",$E523="released_to_office",$E523="disposed"),IF($F523="","reserve",$F523)="leftover"),-N($G523),IF(AND($E523="correction",IF($F523="","reserve",$F523)="leftover"),N($G523),0))))</f>
        <v/>
      </c>
      <c r="P523" s="25">
        <f>IF(OR($E523&lt;&gt;"received",$I523="",$L523=""),"",IF($I523&gt;=$L523+config!$B$19,"Y","N"))</f>
        <v/>
      </c>
      <c r="Q523" s="25">
        <f>IF($C523="","",IF(COUNTIF(campaigns!$A$2:$A$51,$C523)=0,"campaign_id not on campaigns; ",IF(AND($D523&lt;&gt;"",COUNTIFS(approvals!$A$2:$A$251,$C523,approvals!$B$2:$B$251,$D523)=0),"office not on this campaign (approvals tab); ",""))&amp;IF(AND(OR($E523="delivered",$E523="topped_up",$E523="collected"),$D523=""),"office needed; ","")&amp;IF(AND($E523&lt;&gt;"correction",N($G523)&lt;=0),"qty must be above 0; ","")&amp;IF(AND($E523="received",OR($I523="",$H523="")),"log lot and best-by; ","")&amp;IF(AND($P523="N",SUMIFS(inventory!$G$2:$G$801,inventory!$C$2:$C$801,$C523,inventory!$H$2:$H$801,$H523,inventory!$E$2:$E$801,"rejected")&lt;N($G523)),"UNDER "&amp;config!$B$19&amp;" DAYS LEFT ON THE DROP DAY: reject these units; ","")&amp;IF(AND($E523="delivered",COUNTIF(inventory!$R$2:$R$801,$R523)&gt;1),"two delivered rows for this office: use one; ","")&amp;IF(AND($E523="delivered",$J523=""),"who counted?; ",""))</f>
        <v/>
      </c>
      <c r="R523" s="25">
        <f>IF($C523="","",$C523&amp;"|"&amp;$D523&amp;"|"&amp;$E523)</f>
        <v/>
      </c>
    </row>
    <row r="524">
      <c r="A524" s="9" t="n"/>
      <c r="B524" s="33" t="n"/>
      <c r="I524" s="9" t="n"/>
      <c r="L524" s="26">
        <f>IF($C524="","",IFERROR(IF(INDEX(campaigns!$BG$2:$BG$51,MATCH($C524,campaigns!$A$2:$A$51,0))="","",INDEX(campaigns!$BG$2:$BG$51,MATCH($C524,campaigns!$A$2:$A$51,0))),""))</f>
        <v/>
      </c>
      <c r="M524" s="25">
        <f>IF($C524="","",IF(OR($E524="received"),N($G524),IF(OR($E524="rejected",$E524="delivered",$E524="topped_up"),-N($G524),IF(AND(OR($E524="returned_to_brand",$E524="given_to_roster_office",$E524="released_to_office",$E524="disposed"),IF($F524="","reserve",$F524)="reserve"),-N($G524),IF(AND($E524="correction",IF($F524="","reserve",$F524)="reserve"),N($G524),0)))))</f>
        <v/>
      </c>
      <c r="N524" s="25">
        <f>IF($C524="","",IF($E524="rejected",N($G524),IF(AND(OR($E524="returned_to_brand",$E524="given_to_roster_office",$E524="released_to_office",$E524="disposed"),IF($F524="","reserve",$F524)="rejected"),-N($G524),IF(AND($E524="correction",IF($F524="","reserve",$F524)="rejected"),N($G524),0))))</f>
        <v/>
      </c>
      <c r="O524" s="25">
        <f>IF($C524="","",IF($E524="collected",N($G524),IF(AND(OR($E524="returned_to_brand",$E524="given_to_roster_office",$E524="released_to_office",$E524="disposed"),IF($F524="","reserve",$F524)="leftover"),-N($G524),IF(AND($E524="correction",IF($F524="","reserve",$F524)="leftover"),N($G524),0))))</f>
        <v/>
      </c>
      <c r="P524" s="25">
        <f>IF(OR($E524&lt;&gt;"received",$I524="",$L524=""),"",IF($I524&gt;=$L524+config!$B$19,"Y","N"))</f>
        <v/>
      </c>
      <c r="Q524" s="25">
        <f>IF($C524="","",IF(COUNTIF(campaigns!$A$2:$A$51,$C524)=0,"campaign_id not on campaigns; ",IF(AND($D524&lt;&gt;"",COUNTIFS(approvals!$A$2:$A$251,$C524,approvals!$B$2:$B$251,$D524)=0),"office not on this campaign (approvals tab); ",""))&amp;IF(AND(OR($E524="delivered",$E524="topped_up",$E524="collected"),$D524=""),"office needed; ","")&amp;IF(AND($E524&lt;&gt;"correction",N($G524)&lt;=0),"qty must be above 0; ","")&amp;IF(AND($E524="received",OR($I524="",$H524="")),"log lot and best-by; ","")&amp;IF(AND($P524="N",SUMIFS(inventory!$G$2:$G$801,inventory!$C$2:$C$801,$C524,inventory!$H$2:$H$801,$H524,inventory!$E$2:$E$801,"rejected")&lt;N($G524)),"UNDER "&amp;config!$B$19&amp;" DAYS LEFT ON THE DROP DAY: reject these units; ","")&amp;IF(AND($E524="delivered",COUNTIF(inventory!$R$2:$R$801,$R524)&gt;1),"two delivered rows for this office: use one; ","")&amp;IF(AND($E524="delivered",$J524=""),"who counted?; ",""))</f>
        <v/>
      </c>
      <c r="R524" s="25">
        <f>IF($C524="","",$C524&amp;"|"&amp;$D524&amp;"|"&amp;$E524)</f>
        <v/>
      </c>
    </row>
    <row r="525">
      <c r="A525" s="9" t="n"/>
      <c r="B525" s="33" t="n"/>
      <c r="I525" s="9" t="n"/>
      <c r="L525" s="26">
        <f>IF($C525="","",IFERROR(IF(INDEX(campaigns!$BG$2:$BG$51,MATCH($C525,campaigns!$A$2:$A$51,0))="","",INDEX(campaigns!$BG$2:$BG$51,MATCH($C525,campaigns!$A$2:$A$51,0))),""))</f>
        <v/>
      </c>
      <c r="M525" s="25">
        <f>IF($C525="","",IF(OR($E525="received"),N($G525),IF(OR($E525="rejected",$E525="delivered",$E525="topped_up"),-N($G525),IF(AND(OR($E525="returned_to_brand",$E525="given_to_roster_office",$E525="released_to_office",$E525="disposed"),IF($F525="","reserve",$F525)="reserve"),-N($G525),IF(AND($E525="correction",IF($F525="","reserve",$F525)="reserve"),N($G525),0)))))</f>
        <v/>
      </c>
      <c r="N525" s="25">
        <f>IF($C525="","",IF($E525="rejected",N($G525),IF(AND(OR($E525="returned_to_brand",$E525="given_to_roster_office",$E525="released_to_office",$E525="disposed"),IF($F525="","reserve",$F525)="rejected"),-N($G525),IF(AND($E525="correction",IF($F525="","reserve",$F525)="rejected"),N($G525),0))))</f>
        <v/>
      </c>
      <c r="O525" s="25">
        <f>IF($C525="","",IF($E525="collected",N($G525),IF(AND(OR($E525="returned_to_brand",$E525="given_to_roster_office",$E525="released_to_office",$E525="disposed"),IF($F525="","reserve",$F525)="leftover"),-N($G525),IF(AND($E525="correction",IF($F525="","reserve",$F525)="leftover"),N($G525),0))))</f>
        <v/>
      </c>
      <c r="P525" s="25">
        <f>IF(OR($E525&lt;&gt;"received",$I525="",$L525=""),"",IF($I525&gt;=$L525+config!$B$19,"Y","N"))</f>
        <v/>
      </c>
      <c r="Q525" s="25">
        <f>IF($C525="","",IF(COUNTIF(campaigns!$A$2:$A$51,$C525)=0,"campaign_id not on campaigns; ",IF(AND($D525&lt;&gt;"",COUNTIFS(approvals!$A$2:$A$251,$C525,approvals!$B$2:$B$251,$D525)=0),"office not on this campaign (approvals tab); ",""))&amp;IF(AND(OR($E525="delivered",$E525="topped_up",$E525="collected"),$D525=""),"office needed; ","")&amp;IF(AND($E525&lt;&gt;"correction",N($G525)&lt;=0),"qty must be above 0; ","")&amp;IF(AND($E525="received",OR($I525="",$H525="")),"log lot and best-by; ","")&amp;IF(AND($P525="N",SUMIFS(inventory!$G$2:$G$801,inventory!$C$2:$C$801,$C525,inventory!$H$2:$H$801,$H525,inventory!$E$2:$E$801,"rejected")&lt;N($G525)),"UNDER "&amp;config!$B$19&amp;" DAYS LEFT ON THE DROP DAY: reject these units; ","")&amp;IF(AND($E525="delivered",COUNTIF(inventory!$R$2:$R$801,$R525)&gt;1),"two delivered rows for this office: use one; ","")&amp;IF(AND($E525="delivered",$J525=""),"who counted?; ",""))</f>
        <v/>
      </c>
      <c r="R525" s="25">
        <f>IF($C525="","",$C525&amp;"|"&amp;$D525&amp;"|"&amp;$E525)</f>
        <v/>
      </c>
    </row>
    <row r="526">
      <c r="A526" s="9" t="n"/>
      <c r="B526" s="33" t="n"/>
      <c r="I526" s="9" t="n"/>
      <c r="L526" s="26">
        <f>IF($C526="","",IFERROR(IF(INDEX(campaigns!$BG$2:$BG$51,MATCH($C526,campaigns!$A$2:$A$51,0))="","",INDEX(campaigns!$BG$2:$BG$51,MATCH($C526,campaigns!$A$2:$A$51,0))),""))</f>
        <v/>
      </c>
      <c r="M526" s="25">
        <f>IF($C526="","",IF(OR($E526="received"),N($G526),IF(OR($E526="rejected",$E526="delivered",$E526="topped_up"),-N($G526),IF(AND(OR($E526="returned_to_brand",$E526="given_to_roster_office",$E526="released_to_office",$E526="disposed"),IF($F526="","reserve",$F526)="reserve"),-N($G526),IF(AND($E526="correction",IF($F526="","reserve",$F526)="reserve"),N($G526),0)))))</f>
        <v/>
      </c>
      <c r="N526" s="25">
        <f>IF($C526="","",IF($E526="rejected",N($G526),IF(AND(OR($E526="returned_to_brand",$E526="given_to_roster_office",$E526="released_to_office",$E526="disposed"),IF($F526="","reserve",$F526)="rejected"),-N($G526),IF(AND($E526="correction",IF($F526="","reserve",$F526)="rejected"),N($G526),0))))</f>
        <v/>
      </c>
      <c r="O526" s="25">
        <f>IF($C526="","",IF($E526="collected",N($G526),IF(AND(OR($E526="returned_to_brand",$E526="given_to_roster_office",$E526="released_to_office",$E526="disposed"),IF($F526="","reserve",$F526)="leftover"),-N($G526),IF(AND($E526="correction",IF($F526="","reserve",$F526)="leftover"),N($G526),0))))</f>
        <v/>
      </c>
      <c r="P526" s="25">
        <f>IF(OR($E526&lt;&gt;"received",$I526="",$L526=""),"",IF($I526&gt;=$L526+config!$B$19,"Y","N"))</f>
        <v/>
      </c>
      <c r="Q526" s="25">
        <f>IF($C526="","",IF(COUNTIF(campaigns!$A$2:$A$51,$C526)=0,"campaign_id not on campaigns; ",IF(AND($D526&lt;&gt;"",COUNTIFS(approvals!$A$2:$A$251,$C526,approvals!$B$2:$B$251,$D526)=0),"office not on this campaign (approvals tab); ",""))&amp;IF(AND(OR($E526="delivered",$E526="topped_up",$E526="collected"),$D526=""),"office needed; ","")&amp;IF(AND($E526&lt;&gt;"correction",N($G526)&lt;=0),"qty must be above 0; ","")&amp;IF(AND($E526="received",OR($I526="",$H526="")),"log lot and best-by; ","")&amp;IF(AND($P526="N",SUMIFS(inventory!$G$2:$G$801,inventory!$C$2:$C$801,$C526,inventory!$H$2:$H$801,$H526,inventory!$E$2:$E$801,"rejected")&lt;N($G526)),"UNDER "&amp;config!$B$19&amp;" DAYS LEFT ON THE DROP DAY: reject these units; ","")&amp;IF(AND($E526="delivered",COUNTIF(inventory!$R$2:$R$801,$R526)&gt;1),"two delivered rows for this office: use one; ","")&amp;IF(AND($E526="delivered",$J526=""),"who counted?; ",""))</f>
        <v/>
      </c>
      <c r="R526" s="25">
        <f>IF($C526="","",$C526&amp;"|"&amp;$D526&amp;"|"&amp;$E526)</f>
        <v/>
      </c>
    </row>
    <row r="527">
      <c r="A527" s="9" t="n"/>
      <c r="B527" s="33" t="n"/>
      <c r="I527" s="9" t="n"/>
      <c r="L527" s="26">
        <f>IF($C527="","",IFERROR(IF(INDEX(campaigns!$BG$2:$BG$51,MATCH($C527,campaigns!$A$2:$A$51,0))="","",INDEX(campaigns!$BG$2:$BG$51,MATCH($C527,campaigns!$A$2:$A$51,0))),""))</f>
        <v/>
      </c>
      <c r="M527" s="25">
        <f>IF($C527="","",IF(OR($E527="received"),N($G527),IF(OR($E527="rejected",$E527="delivered",$E527="topped_up"),-N($G527),IF(AND(OR($E527="returned_to_brand",$E527="given_to_roster_office",$E527="released_to_office",$E527="disposed"),IF($F527="","reserve",$F527)="reserve"),-N($G527),IF(AND($E527="correction",IF($F527="","reserve",$F527)="reserve"),N($G527),0)))))</f>
        <v/>
      </c>
      <c r="N527" s="25">
        <f>IF($C527="","",IF($E527="rejected",N($G527),IF(AND(OR($E527="returned_to_brand",$E527="given_to_roster_office",$E527="released_to_office",$E527="disposed"),IF($F527="","reserve",$F527)="rejected"),-N($G527),IF(AND($E527="correction",IF($F527="","reserve",$F527)="rejected"),N($G527),0))))</f>
        <v/>
      </c>
      <c r="O527" s="25">
        <f>IF($C527="","",IF($E527="collected",N($G527),IF(AND(OR($E527="returned_to_brand",$E527="given_to_roster_office",$E527="released_to_office",$E527="disposed"),IF($F527="","reserve",$F527)="leftover"),-N($G527),IF(AND($E527="correction",IF($F527="","reserve",$F527)="leftover"),N($G527),0))))</f>
        <v/>
      </c>
      <c r="P527" s="25">
        <f>IF(OR($E527&lt;&gt;"received",$I527="",$L527=""),"",IF($I527&gt;=$L527+config!$B$19,"Y","N"))</f>
        <v/>
      </c>
      <c r="Q527" s="25">
        <f>IF($C527="","",IF(COUNTIF(campaigns!$A$2:$A$51,$C527)=0,"campaign_id not on campaigns; ",IF(AND($D527&lt;&gt;"",COUNTIFS(approvals!$A$2:$A$251,$C527,approvals!$B$2:$B$251,$D527)=0),"office not on this campaign (approvals tab); ",""))&amp;IF(AND(OR($E527="delivered",$E527="topped_up",$E527="collected"),$D527=""),"office needed; ","")&amp;IF(AND($E527&lt;&gt;"correction",N($G527)&lt;=0),"qty must be above 0; ","")&amp;IF(AND($E527="received",OR($I527="",$H527="")),"log lot and best-by; ","")&amp;IF(AND($P527="N",SUMIFS(inventory!$G$2:$G$801,inventory!$C$2:$C$801,$C527,inventory!$H$2:$H$801,$H527,inventory!$E$2:$E$801,"rejected")&lt;N($G527)),"UNDER "&amp;config!$B$19&amp;" DAYS LEFT ON THE DROP DAY: reject these units; ","")&amp;IF(AND($E527="delivered",COUNTIF(inventory!$R$2:$R$801,$R527)&gt;1),"two delivered rows for this office: use one; ","")&amp;IF(AND($E527="delivered",$J527=""),"who counted?; ",""))</f>
        <v/>
      </c>
      <c r="R527" s="25">
        <f>IF($C527="","",$C527&amp;"|"&amp;$D527&amp;"|"&amp;$E527)</f>
        <v/>
      </c>
    </row>
    <row r="528">
      <c r="A528" s="9" t="n"/>
      <c r="B528" s="33" t="n"/>
      <c r="I528" s="9" t="n"/>
      <c r="L528" s="26">
        <f>IF($C528="","",IFERROR(IF(INDEX(campaigns!$BG$2:$BG$51,MATCH($C528,campaigns!$A$2:$A$51,0))="","",INDEX(campaigns!$BG$2:$BG$51,MATCH($C528,campaigns!$A$2:$A$51,0))),""))</f>
        <v/>
      </c>
      <c r="M528" s="25">
        <f>IF($C528="","",IF(OR($E528="received"),N($G528),IF(OR($E528="rejected",$E528="delivered",$E528="topped_up"),-N($G528),IF(AND(OR($E528="returned_to_brand",$E528="given_to_roster_office",$E528="released_to_office",$E528="disposed"),IF($F528="","reserve",$F528)="reserve"),-N($G528),IF(AND($E528="correction",IF($F528="","reserve",$F528)="reserve"),N($G528),0)))))</f>
        <v/>
      </c>
      <c r="N528" s="25">
        <f>IF($C528="","",IF($E528="rejected",N($G528),IF(AND(OR($E528="returned_to_brand",$E528="given_to_roster_office",$E528="released_to_office",$E528="disposed"),IF($F528="","reserve",$F528)="rejected"),-N($G528),IF(AND($E528="correction",IF($F528="","reserve",$F528)="rejected"),N($G528),0))))</f>
        <v/>
      </c>
      <c r="O528" s="25">
        <f>IF($C528="","",IF($E528="collected",N($G528),IF(AND(OR($E528="returned_to_brand",$E528="given_to_roster_office",$E528="released_to_office",$E528="disposed"),IF($F528="","reserve",$F528)="leftover"),-N($G528),IF(AND($E528="correction",IF($F528="","reserve",$F528)="leftover"),N($G528),0))))</f>
        <v/>
      </c>
      <c r="P528" s="25">
        <f>IF(OR($E528&lt;&gt;"received",$I528="",$L528=""),"",IF($I528&gt;=$L528+config!$B$19,"Y","N"))</f>
        <v/>
      </c>
      <c r="Q528" s="25">
        <f>IF($C528="","",IF(COUNTIF(campaigns!$A$2:$A$51,$C528)=0,"campaign_id not on campaigns; ",IF(AND($D528&lt;&gt;"",COUNTIFS(approvals!$A$2:$A$251,$C528,approvals!$B$2:$B$251,$D528)=0),"office not on this campaign (approvals tab); ",""))&amp;IF(AND(OR($E528="delivered",$E528="topped_up",$E528="collected"),$D528=""),"office needed; ","")&amp;IF(AND($E528&lt;&gt;"correction",N($G528)&lt;=0),"qty must be above 0; ","")&amp;IF(AND($E528="received",OR($I528="",$H528="")),"log lot and best-by; ","")&amp;IF(AND($P528="N",SUMIFS(inventory!$G$2:$G$801,inventory!$C$2:$C$801,$C528,inventory!$H$2:$H$801,$H528,inventory!$E$2:$E$801,"rejected")&lt;N($G528)),"UNDER "&amp;config!$B$19&amp;" DAYS LEFT ON THE DROP DAY: reject these units; ","")&amp;IF(AND($E528="delivered",COUNTIF(inventory!$R$2:$R$801,$R528)&gt;1),"two delivered rows for this office: use one; ","")&amp;IF(AND($E528="delivered",$J528=""),"who counted?; ",""))</f>
        <v/>
      </c>
      <c r="R528" s="25">
        <f>IF($C528="","",$C528&amp;"|"&amp;$D528&amp;"|"&amp;$E528)</f>
        <v/>
      </c>
    </row>
    <row r="529">
      <c r="A529" s="9" t="n"/>
      <c r="B529" s="33" t="n"/>
      <c r="I529" s="9" t="n"/>
      <c r="L529" s="26">
        <f>IF($C529="","",IFERROR(IF(INDEX(campaigns!$BG$2:$BG$51,MATCH($C529,campaigns!$A$2:$A$51,0))="","",INDEX(campaigns!$BG$2:$BG$51,MATCH($C529,campaigns!$A$2:$A$51,0))),""))</f>
        <v/>
      </c>
      <c r="M529" s="25">
        <f>IF($C529="","",IF(OR($E529="received"),N($G529),IF(OR($E529="rejected",$E529="delivered",$E529="topped_up"),-N($G529),IF(AND(OR($E529="returned_to_brand",$E529="given_to_roster_office",$E529="released_to_office",$E529="disposed"),IF($F529="","reserve",$F529)="reserve"),-N($G529),IF(AND($E529="correction",IF($F529="","reserve",$F529)="reserve"),N($G529),0)))))</f>
        <v/>
      </c>
      <c r="N529" s="25">
        <f>IF($C529="","",IF($E529="rejected",N($G529),IF(AND(OR($E529="returned_to_brand",$E529="given_to_roster_office",$E529="released_to_office",$E529="disposed"),IF($F529="","reserve",$F529)="rejected"),-N($G529),IF(AND($E529="correction",IF($F529="","reserve",$F529)="rejected"),N($G529),0))))</f>
        <v/>
      </c>
      <c r="O529" s="25">
        <f>IF($C529="","",IF($E529="collected",N($G529),IF(AND(OR($E529="returned_to_brand",$E529="given_to_roster_office",$E529="released_to_office",$E529="disposed"),IF($F529="","reserve",$F529)="leftover"),-N($G529),IF(AND($E529="correction",IF($F529="","reserve",$F529)="leftover"),N($G529),0))))</f>
        <v/>
      </c>
      <c r="P529" s="25">
        <f>IF(OR($E529&lt;&gt;"received",$I529="",$L529=""),"",IF($I529&gt;=$L529+config!$B$19,"Y","N"))</f>
        <v/>
      </c>
      <c r="Q529" s="25">
        <f>IF($C529="","",IF(COUNTIF(campaigns!$A$2:$A$51,$C529)=0,"campaign_id not on campaigns; ",IF(AND($D529&lt;&gt;"",COUNTIFS(approvals!$A$2:$A$251,$C529,approvals!$B$2:$B$251,$D529)=0),"office not on this campaign (approvals tab); ",""))&amp;IF(AND(OR($E529="delivered",$E529="topped_up",$E529="collected"),$D529=""),"office needed; ","")&amp;IF(AND($E529&lt;&gt;"correction",N($G529)&lt;=0),"qty must be above 0; ","")&amp;IF(AND($E529="received",OR($I529="",$H529="")),"log lot and best-by; ","")&amp;IF(AND($P529="N",SUMIFS(inventory!$G$2:$G$801,inventory!$C$2:$C$801,$C529,inventory!$H$2:$H$801,$H529,inventory!$E$2:$E$801,"rejected")&lt;N($G529)),"UNDER "&amp;config!$B$19&amp;" DAYS LEFT ON THE DROP DAY: reject these units; ","")&amp;IF(AND($E529="delivered",COUNTIF(inventory!$R$2:$R$801,$R529)&gt;1),"two delivered rows for this office: use one; ","")&amp;IF(AND($E529="delivered",$J529=""),"who counted?; ",""))</f>
        <v/>
      </c>
      <c r="R529" s="25">
        <f>IF($C529="","",$C529&amp;"|"&amp;$D529&amp;"|"&amp;$E529)</f>
        <v/>
      </c>
    </row>
    <row r="530">
      <c r="A530" s="9" t="n"/>
      <c r="B530" s="33" t="n"/>
      <c r="I530" s="9" t="n"/>
      <c r="L530" s="26">
        <f>IF($C530="","",IFERROR(IF(INDEX(campaigns!$BG$2:$BG$51,MATCH($C530,campaigns!$A$2:$A$51,0))="","",INDEX(campaigns!$BG$2:$BG$51,MATCH($C530,campaigns!$A$2:$A$51,0))),""))</f>
        <v/>
      </c>
      <c r="M530" s="25">
        <f>IF($C530="","",IF(OR($E530="received"),N($G530),IF(OR($E530="rejected",$E530="delivered",$E530="topped_up"),-N($G530),IF(AND(OR($E530="returned_to_brand",$E530="given_to_roster_office",$E530="released_to_office",$E530="disposed"),IF($F530="","reserve",$F530)="reserve"),-N($G530),IF(AND($E530="correction",IF($F530="","reserve",$F530)="reserve"),N($G530),0)))))</f>
        <v/>
      </c>
      <c r="N530" s="25">
        <f>IF($C530="","",IF($E530="rejected",N($G530),IF(AND(OR($E530="returned_to_brand",$E530="given_to_roster_office",$E530="released_to_office",$E530="disposed"),IF($F530="","reserve",$F530)="rejected"),-N($G530),IF(AND($E530="correction",IF($F530="","reserve",$F530)="rejected"),N($G530),0))))</f>
        <v/>
      </c>
      <c r="O530" s="25">
        <f>IF($C530="","",IF($E530="collected",N($G530),IF(AND(OR($E530="returned_to_brand",$E530="given_to_roster_office",$E530="released_to_office",$E530="disposed"),IF($F530="","reserve",$F530)="leftover"),-N($G530),IF(AND($E530="correction",IF($F530="","reserve",$F530)="leftover"),N($G530),0))))</f>
        <v/>
      </c>
      <c r="P530" s="25">
        <f>IF(OR($E530&lt;&gt;"received",$I530="",$L530=""),"",IF($I530&gt;=$L530+config!$B$19,"Y","N"))</f>
        <v/>
      </c>
      <c r="Q530" s="25">
        <f>IF($C530="","",IF(COUNTIF(campaigns!$A$2:$A$51,$C530)=0,"campaign_id not on campaigns; ",IF(AND($D530&lt;&gt;"",COUNTIFS(approvals!$A$2:$A$251,$C530,approvals!$B$2:$B$251,$D530)=0),"office not on this campaign (approvals tab); ",""))&amp;IF(AND(OR($E530="delivered",$E530="topped_up",$E530="collected"),$D530=""),"office needed; ","")&amp;IF(AND($E530&lt;&gt;"correction",N($G530)&lt;=0),"qty must be above 0; ","")&amp;IF(AND($E530="received",OR($I530="",$H530="")),"log lot and best-by; ","")&amp;IF(AND($P530="N",SUMIFS(inventory!$G$2:$G$801,inventory!$C$2:$C$801,$C530,inventory!$H$2:$H$801,$H530,inventory!$E$2:$E$801,"rejected")&lt;N($G530)),"UNDER "&amp;config!$B$19&amp;" DAYS LEFT ON THE DROP DAY: reject these units; ","")&amp;IF(AND($E530="delivered",COUNTIF(inventory!$R$2:$R$801,$R530)&gt;1),"two delivered rows for this office: use one; ","")&amp;IF(AND($E530="delivered",$J530=""),"who counted?; ",""))</f>
        <v/>
      </c>
      <c r="R530" s="25">
        <f>IF($C530="","",$C530&amp;"|"&amp;$D530&amp;"|"&amp;$E530)</f>
        <v/>
      </c>
    </row>
    <row r="531">
      <c r="A531" s="9" t="n"/>
      <c r="B531" s="33" t="n"/>
      <c r="I531" s="9" t="n"/>
      <c r="L531" s="26">
        <f>IF($C531="","",IFERROR(IF(INDEX(campaigns!$BG$2:$BG$51,MATCH($C531,campaigns!$A$2:$A$51,0))="","",INDEX(campaigns!$BG$2:$BG$51,MATCH($C531,campaigns!$A$2:$A$51,0))),""))</f>
        <v/>
      </c>
      <c r="M531" s="25">
        <f>IF($C531="","",IF(OR($E531="received"),N($G531),IF(OR($E531="rejected",$E531="delivered",$E531="topped_up"),-N($G531),IF(AND(OR($E531="returned_to_brand",$E531="given_to_roster_office",$E531="released_to_office",$E531="disposed"),IF($F531="","reserve",$F531)="reserve"),-N($G531),IF(AND($E531="correction",IF($F531="","reserve",$F531)="reserve"),N($G531),0)))))</f>
        <v/>
      </c>
      <c r="N531" s="25">
        <f>IF($C531="","",IF($E531="rejected",N($G531),IF(AND(OR($E531="returned_to_brand",$E531="given_to_roster_office",$E531="released_to_office",$E531="disposed"),IF($F531="","reserve",$F531)="rejected"),-N($G531),IF(AND($E531="correction",IF($F531="","reserve",$F531)="rejected"),N($G531),0))))</f>
        <v/>
      </c>
      <c r="O531" s="25">
        <f>IF($C531="","",IF($E531="collected",N($G531),IF(AND(OR($E531="returned_to_brand",$E531="given_to_roster_office",$E531="released_to_office",$E531="disposed"),IF($F531="","reserve",$F531)="leftover"),-N($G531),IF(AND($E531="correction",IF($F531="","reserve",$F531)="leftover"),N($G531),0))))</f>
        <v/>
      </c>
      <c r="P531" s="25">
        <f>IF(OR($E531&lt;&gt;"received",$I531="",$L531=""),"",IF($I531&gt;=$L531+config!$B$19,"Y","N"))</f>
        <v/>
      </c>
      <c r="Q531" s="25">
        <f>IF($C531="","",IF(COUNTIF(campaigns!$A$2:$A$51,$C531)=0,"campaign_id not on campaigns; ",IF(AND($D531&lt;&gt;"",COUNTIFS(approvals!$A$2:$A$251,$C531,approvals!$B$2:$B$251,$D531)=0),"office not on this campaign (approvals tab); ",""))&amp;IF(AND(OR($E531="delivered",$E531="topped_up",$E531="collected"),$D531=""),"office needed; ","")&amp;IF(AND($E531&lt;&gt;"correction",N($G531)&lt;=0),"qty must be above 0; ","")&amp;IF(AND($E531="received",OR($I531="",$H531="")),"log lot and best-by; ","")&amp;IF(AND($P531="N",SUMIFS(inventory!$G$2:$G$801,inventory!$C$2:$C$801,$C531,inventory!$H$2:$H$801,$H531,inventory!$E$2:$E$801,"rejected")&lt;N($G531)),"UNDER "&amp;config!$B$19&amp;" DAYS LEFT ON THE DROP DAY: reject these units; ","")&amp;IF(AND($E531="delivered",COUNTIF(inventory!$R$2:$R$801,$R531)&gt;1),"two delivered rows for this office: use one; ","")&amp;IF(AND($E531="delivered",$J531=""),"who counted?; ",""))</f>
        <v/>
      </c>
      <c r="R531" s="25">
        <f>IF($C531="","",$C531&amp;"|"&amp;$D531&amp;"|"&amp;$E531)</f>
        <v/>
      </c>
    </row>
    <row r="532">
      <c r="A532" s="9" t="n"/>
      <c r="B532" s="33" t="n"/>
      <c r="I532" s="9" t="n"/>
      <c r="L532" s="26">
        <f>IF($C532="","",IFERROR(IF(INDEX(campaigns!$BG$2:$BG$51,MATCH($C532,campaigns!$A$2:$A$51,0))="","",INDEX(campaigns!$BG$2:$BG$51,MATCH($C532,campaigns!$A$2:$A$51,0))),""))</f>
        <v/>
      </c>
      <c r="M532" s="25">
        <f>IF($C532="","",IF(OR($E532="received"),N($G532),IF(OR($E532="rejected",$E532="delivered",$E532="topped_up"),-N($G532),IF(AND(OR($E532="returned_to_brand",$E532="given_to_roster_office",$E532="released_to_office",$E532="disposed"),IF($F532="","reserve",$F532)="reserve"),-N($G532),IF(AND($E532="correction",IF($F532="","reserve",$F532)="reserve"),N($G532),0)))))</f>
        <v/>
      </c>
      <c r="N532" s="25">
        <f>IF($C532="","",IF($E532="rejected",N($G532),IF(AND(OR($E532="returned_to_brand",$E532="given_to_roster_office",$E532="released_to_office",$E532="disposed"),IF($F532="","reserve",$F532)="rejected"),-N($G532),IF(AND($E532="correction",IF($F532="","reserve",$F532)="rejected"),N($G532),0))))</f>
        <v/>
      </c>
      <c r="O532" s="25">
        <f>IF($C532="","",IF($E532="collected",N($G532),IF(AND(OR($E532="returned_to_brand",$E532="given_to_roster_office",$E532="released_to_office",$E532="disposed"),IF($F532="","reserve",$F532)="leftover"),-N($G532),IF(AND($E532="correction",IF($F532="","reserve",$F532)="leftover"),N($G532),0))))</f>
        <v/>
      </c>
      <c r="P532" s="25">
        <f>IF(OR($E532&lt;&gt;"received",$I532="",$L532=""),"",IF($I532&gt;=$L532+config!$B$19,"Y","N"))</f>
        <v/>
      </c>
      <c r="Q532" s="25">
        <f>IF($C532="","",IF(COUNTIF(campaigns!$A$2:$A$51,$C532)=0,"campaign_id not on campaigns; ",IF(AND($D532&lt;&gt;"",COUNTIFS(approvals!$A$2:$A$251,$C532,approvals!$B$2:$B$251,$D532)=0),"office not on this campaign (approvals tab); ",""))&amp;IF(AND(OR($E532="delivered",$E532="topped_up",$E532="collected"),$D532=""),"office needed; ","")&amp;IF(AND($E532&lt;&gt;"correction",N($G532)&lt;=0),"qty must be above 0; ","")&amp;IF(AND($E532="received",OR($I532="",$H532="")),"log lot and best-by; ","")&amp;IF(AND($P532="N",SUMIFS(inventory!$G$2:$G$801,inventory!$C$2:$C$801,$C532,inventory!$H$2:$H$801,$H532,inventory!$E$2:$E$801,"rejected")&lt;N($G532)),"UNDER "&amp;config!$B$19&amp;" DAYS LEFT ON THE DROP DAY: reject these units; ","")&amp;IF(AND($E532="delivered",COUNTIF(inventory!$R$2:$R$801,$R532)&gt;1),"two delivered rows for this office: use one; ","")&amp;IF(AND($E532="delivered",$J532=""),"who counted?; ",""))</f>
        <v/>
      </c>
      <c r="R532" s="25">
        <f>IF($C532="","",$C532&amp;"|"&amp;$D532&amp;"|"&amp;$E532)</f>
        <v/>
      </c>
    </row>
    <row r="533">
      <c r="A533" s="9" t="n"/>
      <c r="B533" s="33" t="n"/>
      <c r="I533" s="9" t="n"/>
      <c r="L533" s="26">
        <f>IF($C533="","",IFERROR(IF(INDEX(campaigns!$BG$2:$BG$51,MATCH($C533,campaigns!$A$2:$A$51,0))="","",INDEX(campaigns!$BG$2:$BG$51,MATCH($C533,campaigns!$A$2:$A$51,0))),""))</f>
        <v/>
      </c>
      <c r="M533" s="25">
        <f>IF($C533="","",IF(OR($E533="received"),N($G533),IF(OR($E533="rejected",$E533="delivered",$E533="topped_up"),-N($G533),IF(AND(OR($E533="returned_to_brand",$E533="given_to_roster_office",$E533="released_to_office",$E533="disposed"),IF($F533="","reserve",$F533)="reserve"),-N($G533),IF(AND($E533="correction",IF($F533="","reserve",$F533)="reserve"),N($G533),0)))))</f>
        <v/>
      </c>
      <c r="N533" s="25">
        <f>IF($C533="","",IF($E533="rejected",N($G533),IF(AND(OR($E533="returned_to_brand",$E533="given_to_roster_office",$E533="released_to_office",$E533="disposed"),IF($F533="","reserve",$F533)="rejected"),-N($G533),IF(AND($E533="correction",IF($F533="","reserve",$F533)="rejected"),N($G533),0))))</f>
        <v/>
      </c>
      <c r="O533" s="25">
        <f>IF($C533="","",IF($E533="collected",N($G533),IF(AND(OR($E533="returned_to_brand",$E533="given_to_roster_office",$E533="released_to_office",$E533="disposed"),IF($F533="","reserve",$F533)="leftover"),-N($G533),IF(AND($E533="correction",IF($F533="","reserve",$F533)="leftover"),N($G533),0))))</f>
        <v/>
      </c>
      <c r="P533" s="25">
        <f>IF(OR($E533&lt;&gt;"received",$I533="",$L533=""),"",IF($I533&gt;=$L533+config!$B$19,"Y","N"))</f>
        <v/>
      </c>
      <c r="Q533" s="25">
        <f>IF($C533="","",IF(COUNTIF(campaigns!$A$2:$A$51,$C533)=0,"campaign_id not on campaigns; ",IF(AND($D533&lt;&gt;"",COUNTIFS(approvals!$A$2:$A$251,$C533,approvals!$B$2:$B$251,$D533)=0),"office not on this campaign (approvals tab); ",""))&amp;IF(AND(OR($E533="delivered",$E533="topped_up",$E533="collected"),$D533=""),"office needed; ","")&amp;IF(AND($E533&lt;&gt;"correction",N($G533)&lt;=0),"qty must be above 0; ","")&amp;IF(AND($E533="received",OR($I533="",$H533="")),"log lot and best-by; ","")&amp;IF(AND($P533="N",SUMIFS(inventory!$G$2:$G$801,inventory!$C$2:$C$801,$C533,inventory!$H$2:$H$801,$H533,inventory!$E$2:$E$801,"rejected")&lt;N($G533)),"UNDER "&amp;config!$B$19&amp;" DAYS LEFT ON THE DROP DAY: reject these units; ","")&amp;IF(AND($E533="delivered",COUNTIF(inventory!$R$2:$R$801,$R533)&gt;1),"two delivered rows for this office: use one; ","")&amp;IF(AND($E533="delivered",$J533=""),"who counted?; ",""))</f>
        <v/>
      </c>
      <c r="R533" s="25">
        <f>IF($C533="","",$C533&amp;"|"&amp;$D533&amp;"|"&amp;$E533)</f>
        <v/>
      </c>
    </row>
    <row r="534">
      <c r="A534" s="9" t="n"/>
      <c r="B534" s="33" t="n"/>
      <c r="I534" s="9" t="n"/>
      <c r="L534" s="26">
        <f>IF($C534="","",IFERROR(IF(INDEX(campaigns!$BG$2:$BG$51,MATCH($C534,campaigns!$A$2:$A$51,0))="","",INDEX(campaigns!$BG$2:$BG$51,MATCH($C534,campaigns!$A$2:$A$51,0))),""))</f>
        <v/>
      </c>
      <c r="M534" s="25">
        <f>IF($C534="","",IF(OR($E534="received"),N($G534),IF(OR($E534="rejected",$E534="delivered",$E534="topped_up"),-N($G534),IF(AND(OR($E534="returned_to_brand",$E534="given_to_roster_office",$E534="released_to_office",$E534="disposed"),IF($F534="","reserve",$F534)="reserve"),-N($G534),IF(AND($E534="correction",IF($F534="","reserve",$F534)="reserve"),N($G534),0)))))</f>
        <v/>
      </c>
      <c r="N534" s="25">
        <f>IF($C534="","",IF($E534="rejected",N($G534),IF(AND(OR($E534="returned_to_brand",$E534="given_to_roster_office",$E534="released_to_office",$E534="disposed"),IF($F534="","reserve",$F534)="rejected"),-N($G534),IF(AND($E534="correction",IF($F534="","reserve",$F534)="rejected"),N($G534),0))))</f>
        <v/>
      </c>
      <c r="O534" s="25">
        <f>IF($C534="","",IF($E534="collected",N($G534),IF(AND(OR($E534="returned_to_brand",$E534="given_to_roster_office",$E534="released_to_office",$E534="disposed"),IF($F534="","reserve",$F534)="leftover"),-N($G534),IF(AND($E534="correction",IF($F534="","reserve",$F534)="leftover"),N($G534),0))))</f>
        <v/>
      </c>
      <c r="P534" s="25">
        <f>IF(OR($E534&lt;&gt;"received",$I534="",$L534=""),"",IF($I534&gt;=$L534+config!$B$19,"Y","N"))</f>
        <v/>
      </c>
      <c r="Q534" s="25">
        <f>IF($C534="","",IF(COUNTIF(campaigns!$A$2:$A$51,$C534)=0,"campaign_id not on campaigns; ",IF(AND($D534&lt;&gt;"",COUNTIFS(approvals!$A$2:$A$251,$C534,approvals!$B$2:$B$251,$D534)=0),"office not on this campaign (approvals tab); ",""))&amp;IF(AND(OR($E534="delivered",$E534="topped_up",$E534="collected"),$D534=""),"office needed; ","")&amp;IF(AND($E534&lt;&gt;"correction",N($G534)&lt;=0),"qty must be above 0; ","")&amp;IF(AND($E534="received",OR($I534="",$H534="")),"log lot and best-by; ","")&amp;IF(AND($P534="N",SUMIFS(inventory!$G$2:$G$801,inventory!$C$2:$C$801,$C534,inventory!$H$2:$H$801,$H534,inventory!$E$2:$E$801,"rejected")&lt;N($G534)),"UNDER "&amp;config!$B$19&amp;" DAYS LEFT ON THE DROP DAY: reject these units; ","")&amp;IF(AND($E534="delivered",COUNTIF(inventory!$R$2:$R$801,$R534)&gt;1),"two delivered rows for this office: use one; ","")&amp;IF(AND($E534="delivered",$J534=""),"who counted?; ",""))</f>
        <v/>
      </c>
      <c r="R534" s="25">
        <f>IF($C534="","",$C534&amp;"|"&amp;$D534&amp;"|"&amp;$E534)</f>
        <v/>
      </c>
    </row>
    <row r="535">
      <c r="A535" s="9" t="n"/>
      <c r="B535" s="33" t="n"/>
      <c r="I535" s="9" t="n"/>
      <c r="L535" s="26">
        <f>IF($C535="","",IFERROR(IF(INDEX(campaigns!$BG$2:$BG$51,MATCH($C535,campaigns!$A$2:$A$51,0))="","",INDEX(campaigns!$BG$2:$BG$51,MATCH($C535,campaigns!$A$2:$A$51,0))),""))</f>
        <v/>
      </c>
      <c r="M535" s="25">
        <f>IF($C535="","",IF(OR($E535="received"),N($G535),IF(OR($E535="rejected",$E535="delivered",$E535="topped_up"),-N($G535),IF(AND(OR($E535="returned_to_brand",$E535="given_to_roster_office",$E535="released_to_office",$E535="disposed"),IF($F535="","reserve",$F535)="reserve"),-N($G535),IF(AND($E535="correction",IF($F535="","reserve",$F535)="reserve"),N($G535),0)))))</f>
        <v/>
      </c>
      <c r="N535" s="25">
        <f>IF($C535="","",IF($E535="rejected",N($G535),IF(AND(OR($E535="returned_to_brand",$E535="given_to_roster_office",$E535="released_to_office",$E535="disposed"),IF($F535="","reserve",$F535)="rejected"),-N($G535),IF(AND($E535="correction",IF($F535="","reserve",$F535)="rejected"),N($G535),0))))</f>
        <v/>
      </c>
      <c r="O535" s="25">
        <f>IF($C535="","",IF($E535="collected",N($G535),IF(AND(OR($E535="returned_to_brand",$E535="given_to_roster_office",$E535="released_to_office",$E535="disposed"),IF($F535="","reserve",$F535)="leftover"),-N($G535),IF(AND($E535="correction",IF($F535="","reserve",$F535)="leftover"),N($G535),0))))</f>
        <v/>
      </c>
      <c r="P535" s="25">
        <f>IF(OR($E535&lt;&gt;"received",$I535="",$L535=""),"",IF($I535&gt;=$L535+config!$B$19,"Y","N"))</f>
        <v/>
      </c>
      <c r="Q535" s="25">
        <f>IF($C535="","",IF(COUNTIF(campaigns!$A$2:$A$51,$C535)=0,"campaign_id not on campaigns; ",IF(AND($D535&lt;&gt;"",COUNTIFS(approvals!$A$2:$A$251,$C535,approvals!$B$2:$B$251,$D535)=0),"office not on this campaign (approvals tab); ",""))&amp;IF(AND(OR($E535="delivered",$E535="topped_up",$E535="collected"),$D535=""),"office needed; ","")&amp;IF(AND($E535&lt;&gt;"correction",N($G535)&lt;=0),"qty must be above 0; ","")&amp;IF(AND($E535="received",OR($I535="",$H535="")),"log lot and best-by; ","")&amp;IF(AND($P535="N",SUMIFS(inventory!$G$2:$G$801,inventory!$C$2:$C$801,$C535,inventory!$H$2:$H$801,$H535,inventory!$E$2:$E$801,"rejected")&lt;N($G535)),"UNDER "&amp;config!$B$19&amp;" DAYS LEFT ON THE DROP DAY: reject these units; ","")&amp;IF(AND($E535="delivered",COUNTIF(inventory!$R$2:$R$801,$R535)&gt;1),"two delivered rows for this office: use one; ","")&amp;IF(AND($E535="delivered",$J535=""),"who counted?; ",""))</f>
        <v/>
      </c>
      <c r="R535" s="25">
        <f>IF($C535="","",$C535&amp;"|"&amp;$D535&amp;"|"&amp;$E535)</f>
        <v/>
      </c>
    </row>
    <row r="536">
      <c r="A536" s="9" t="n"/>
      <c r="B536" s="33" t="n"/>
      <c r="I536" s="9" t="n"/>
      <c r="L536" s="26">
        <f>IF($C536="","",IFERROR(IF(INDEX(campaigns!$BG$2:$BG$51,MATCH($C536,campaigns!$A$2:$A$51,0))="","",INDEX(campaigns!$BG$2:$BG$51,MATCH($C536,campaigns!$A$2:$A$51,0))),""))</f>
        <v/>
      </c>
      <c r="M536" s="25">
        <f>IF($C536="","",IF(OR($E536="received"),N($G536),IF(OR($E536="rejected",$E536="delivered",$E536="topped_up"),-N($G536),IF(AND(OR($E536="returned_to_brand",$E536="given_to_roster_office",$E536="released_to_office",$E536="disposed"),IF($F536="","reserve",$F536)="reserve"),-N($G536),IF(AND($E536="correction",IF($F536="","reserve",$F536)="reserve"),N($G536),0)))))</f>
        <v/>
      </c>
      <c r="N536" s="25">
        <f>IF($C536="","",IF($E536="rejected",N($G536),IF(AND(OR($E536="returned_to_brand",$E536="given_to_roster_office",$E536="released_to_office",$E536="disposed"),IF($F536="","reserve",$F536)="rejected"),-N($G536),IF(AND($E536="correction",IF($F536="","reserve",$F536)="rejected"),N($G536),0))))</f>
        <v/>
      </c>
      <c r="O536" s="25">
        <f>IF($C536="","",IF($E536="collected",N($G536),IF(AND(OR($E536="returned_to_brand",$E536="given_to_roster_office",$E536="released_to_office",$E536="disposed"),IF($F536="","reserve",$F536)="leftover"),-N($G536),IF(AND($E536="correction",IF($F536="","reserve",$F536)="leftover"),N($G536),0))))</f>
        <v/>
      </c>
      <c r="P536" s="25">
        <f>IF(OR($E536&lt;&gt;"received",$I536="",$L536=""),"",IF($I536&gt;=$L536+config!$B$19,"Y","N"))</f>
        <v/>
      </c>
      <c r="Q536" s="25">
        <f>IF($C536="","",IF(COUNTIF(campaigns!$A$2:$A$51,$C536)=0,"campaign_id not on campaigns; ",IF(AND($D536&lt;&gt;"",COUNTIFS(approvals!$A$2:$A$251,$C536,approvals!$B$2:$B$251,$D536)=0),"office not on this campaign (approvals tab); ",""))&amp;IF(AND(OR($E536="delivered",$E536="topped_up",$E536="collected"),$D536=""),"office needed; ","")&amp;IF(AND($E536&lt;&gt;"correction",N($G536)&lt;=0),"qty must be above 0; ","")&amp;IF(AND($E536="received",OR($I536="",$H536="")),"log lot and best-by; ","")&amp;IF(AND($P536="N",SUMIFS(inventory!$G$2:$G$801,inventory!$C$2:$C$801,$C536,inventory!$H$2:$H$801,$H536,inventory!$E$2:$E$801,"rejected")&lt;N($G536)),"UNDER "&amp;config!$B$19&amp;" DAYS LEFT ON THE DROP DAY: reject these units; ","")&amp;IF(AND($E536="delivered",COUNTIF(inventory!$R$2:$R$801,$R536)&gt;1),"two delivered rows for this office: use one; ","")&amp;IF(AND($E536="delivered",$J536=""),"who counted?; ",""))</f>
        <v/>
      </c>
      <c r="R536" s="25">
        <f>IF($C536="","",$C536&amp;"|"&amp;$D536&amp;"|"&amp;$E536)</f>
        <v/>
      </c>
    </row>
    <row r="537">
      <c r="A537" s="9" t="n"/>
      <c r="B537" s="33" t="n"/>
      <c r="I537" s="9" t="n"/>
      <c r="L537" s="26">
        <f>IF($C537="","",IFERROR(IF(INDEX(campaigns!$BG$2:$BG$51,MATCH($C537,campaigns!$A$2:$A$51,0))="","",INDEX(campaigns!$BG$2:$BG$51,MATCH($C537,campaigns!$A$2:$A$51,0))),""))</f>
        <v/>
      </c>
      <c r="M537" s="25">
        <f>IF($C537="","",IF(OR($E537="received"),N($G537),IF(OR($E537="rejected",$E537="delivered",$E537="topped_up"),-N($G537),IF(AND(OR($E537="returned_to_brand",$E537="given_to_roster_office",$E537="released_to_office",$E537="disposed"),IF($F537="","reserve",$F537)="reserve"),-N($G537),IF(AND($E537="correction",IF($F537="","reserve",$F537)="reserve"),N($G537),0)))))</f>
        <v/>
      </c>
      <c r="N537" s="25">
        <f>IF($C537="","",IF($E537="rejected",N($G537),IF(AND(OR($E537="returned_to_brand",$E537="given_to_roster_office",$E537="released_to_office",$E537="disposed"),IF($F537="","reserve",$F537)="rejected"),-N($G537),IF(AND($E537="correction",IF($F537="","reserve",$F537)="rejected"),N($G537),0))))</f>
        <v/>
      </c>
      <c r="O537" s="25">
        <f>IF($C537="","",IF($E537="collected",N($G537),IF(AND(OR($E537="returned_to_brand",$E537="given_to_roster_office",$E537="released_to_office",$E537="disposed"),IF($F537="","reserve",$F537)="leftover"),-N($G537),IF(AND($E537="correction",IF($F537="","reserve",$F537)="leftover"),N($G537),0))))</f>
        <v/>
      </c>
      <c r="P537" s="25">
        <f>IF(OR($E537&lt;&gt;"received",$I537="",$L537=""),"",IF($I537&gt;=$L537+config!$B$19,"Y","N"))</f>
        <v/>
      </c>
      <c r="Q537" s="25">
        <f>IF($C537="","",IF(COUNTIF(campaigns!$A$2:$A$51,$C537)=0,"campaign_id not on campaigns; ",IF(AND($D537&lt;&gt;"",COUNTIFS(approvals!$A$2:$A$251,$C537,approvals!$B$2:$B$251,$D537)=0),"office not on this campaign (approvals tab); ",""))&amp;IF(AND(OR($E537="delivered",$E537="topped_up",$E537="collected"),$D537=""),"office needed; ","")&amp;IF(AND($E537&lt;&gt;"correction",N($G537)&lt;=0),"qty must be above 0; ","")&amp;IF(AND($E537="received",OR($I537="",$H537="")),"log lot and best-by; ","")&amp;IF(AND($P537="N",SUMIFS(inventory!$G$2:$G$801,inventory!$C$2:$C$801,$C537,inventory!$H$2:$H$801,$H537,inventory!$E$2:$E$801,"rejected")&lt;N($G537)),"UNDER "&amp;config!$B$19&amp;" DAYS LEFT ON THE DROP DAY: reject these units; ","")&amp;IF(AND($E537="delivered",COUNTIF(inventory!$R$2:$R$801,$R537)&gt;1),"two delivered rows for this office: use one; ","")&amp;IF(AND($E537="delivered",$J537=""),"who counted?; ",""))</f>
        <v/>
      </c>
      <c r="R537" s="25">
        <f>IF($C537="","",$C537&amp;"|"&amp;$D537&amp;"|"&amp;$E537)</f>
        <v/>
      </c>
    </row>
    <row r="538">
      <c r="A538" s="9" t="n"/>
      <c r="B538" s="33" t="n"/>
      <c r="I538" s="9" t="n"/>
      <c r="L538" s="26">
        <f>IF($C538="","",IFERROR(IF(INDEX(campaigns!$BG$2:$BG$51,MATCH($C538,campaigns!$A$2:$A$51,0))="","",INDEX(campaigns!$BG$2:$BG$51,MATCH($C538,campaigns!$A$2:$A$51,0))),""))</f>
        <v/>
      </c>
      <c r="M538" s="25">
        <f>IF($C538="","",IF(OR($E538="received"),N($G538),IF(OR($E538="rejected",$E538="delivered",$E538="topped_up"),-N($G538),IF(AND(OR($E538="returned_to_brand",$E538="given_to_roster_office",$E538="released_to_office",$E538="disposed"),IF($F538="","reserve",$F538)="reserve"),-N($G538),IF(AND($E538="correction",IF($F538="","reserve",$F538)="reserve"),N($G538),0)))))</f>
        <v/>
      </c>
      <c r="N538" s="25">
        <f>IF($C538="","",IF($E538="rejected",N($G538),IF(AND(OR($E538="returned_to_brand",$E538="given_to_roster_office",$E538="released_to_office",$E538="disposed"),IF($F538="","reserve",$F538)="rejected"),-N($G538),IF(AND($E538="correction",IF($F538="","reserve",$F538)="rejected"),N($G538),0))))</f>
        <v/>
      </c>
      <c r="O538" s="25">
        <f>IF($C538="","",IF($E538="collected",N($G538),IF(AND(OR($E538="returned_to_brand",$E538="given_to_roster_office",$E538="released_to_office",$E538="disposed"),IF($F538="","reserve",$F538)="leftover"),-N($G538),IF(AND($E538="correction",IF($F538="","reserve",$F538)="leftover"),N($G538),0))))</f>
        <v/>
      </c>
      <c r="P538" s="25">
        <f>IF(OR($E538&lt;&gt;"received",$I538="",$L538=""),"",IF($I538&gt;=$L538+config!$B$19,"Y","N"))</f>
        <v/>
      </c>
      <c r="Q538" s="25">
        <f>IF($C538="","",IF(COUNTIF(campaigns!$A$2:$A$51,$C538)=0,"campaign_id not on campaigns; ",IF(AND($D538&lt;&gt;"",COUNTIFS(approvals!$A$2:$A$251,$C538,approvals!$B$2:$B$251,$D538)=0),"office not on this campaign (approvals tab); ",""))&amp;IF(AND(OR($E538="delivered",$E538="topped_up",$E538="collected"),$D538=""),"office needed; ","")&amp;IF(AND($E538&lt;&gt;"correction",N($G538)&lt;=0),"qty must be above 0; ","")&amp;IF(AND($E538="received",OR($I538="",$H538="")),"log lot and best-by; ","")&amp;IF(AND($P538="N",SUMIFS(inventory!$G$2:$G$801,inventory!$C$2:$C$801,$C538,inventory!$H$2:$H$801,$H538,inventory!$E$2:$E$801,"rejected")&lt;N($G538)),"UNDER "&amp;config!$B$19&amp;" DAYS LEFT ON THE DROP DAY: reject these units; ","")&amp;IF(AND($E538="delivered",COUNTIF(inventory!$R$2:$R$801,$R538)&gt;1),"two delivered rows for this office: use one; ","")&amp;IF(AND($E538="delivered",$J538=""),"who counted?; ",""))</f>
        <v/>
      </c>
      <c r="R538" s="25">
        <f>IF($C538="","",$C538&amp;"|"&amp;$D538&amp;"|"&amp;$E538)</f>
        <v/>
      </c>
    </row>
    <row r="539">
      <c r="A539" s="9" t="n"/>
      <c r="B539" s="33" t="n"/>
      <c r="I539" s="9" t="n"/>
      <c r="L539" s="26">
        <f>IF($C539="","",IFERROR(IF(INDEX(campaigns!$BG$2:$BG$51,MATCH($C539,campaigns!$A$2:$A$51,0))="","",INDEX(campaigns!$BG$2:$BG$51,MATCH($C539,campaigns!$A$2:$A$51,0))),""))</f>
        <v/>
      </c>
      <c r="M539" s="25">
        <f>IF($C539="","",IF(OR($E539="received"),N($G539),IF(OR($E539="rejected",$E539="delivered",$E539="topped_up"),-N($G539),IF(AND(OR($E539="returned_to_brand",$E539="given_to_roster_office",$E539="released_to_office",$E539="disposed"),IF($F539="","reserve",$F539)="reserve"),-N($G539),IF(AND($E539="correction",IF($F539="","reserve",$F539)="reserve"),N($G539),0)))))</f>
        <v/>
      </c>
      <c r="N539" s="25">
        <f>IF($C539="","",IF($E539="rejected",N($G539),IF(AND(OR($E539="returned_to_brand",$E539="given_to_roster_office",$E539="released_to_office",$E539="disposed"),IF($F539="","reserve",$F539)="rejected"),-N($G539),IF(AND($E539="correction",IF($F539="","reserve",$F539)="rejected"),N($G539),0))))</f>
        <v/>
      </c>
      <c r="O539" s="25">
        <f>IF($C539="","",IF($E539="collected",N($G539),IF(AND(OR($E539="returned_to_brand",$E539="given_to_roster_office",$E539="released_to_office",$E539="disposed"),IF($F539="","reserve",$F539)="leftover"),-N($G539),IF(AND($E539="correction",IF($F539="","reserve",$F539)="leftover"),N($G539),0))))</f>
        <v/>
      </c>
      <c r="P539" s="25">
        <f>IF(OR($E539&lt;&gt;"received",$I539="",$L539=""),"",IF($I539&gt;=$L539+config!$B$19,"Y","N"))</f>
        <v/>
      </c>
      <c r="Q539" s="25">
        <f>IF($C539="","",IF(COUNTIF(campaigns!$A$2:$A$51,$C539)=0,"campaign_id not on campaigns; ",IF(AND($D539&lt;&gt;"",COUNTIFS(approvals!$A$2:$A$251,$C539,approvals!$B$2:$B$251,$D539)=0),"office not on this campaign (approvals tab); ",""))&amp;IF(AND(OR($E539="delivered",$E539="topped_up",$E539="collected"),$D539=""),"office needed; ","")&amp;IF(AND($E539&lt;&gt;"correction",N($G539)&lt;=0),"qty must be above 0; ","")&amp;IF(AND($E539="received",OR($I539="",$H539="")),"log lot and best-by; ","")&amp;IF(AND($P539="N",SUMIFS(inventory!$G$2:$G$801,inventory!$C$2:$C$801,$C539,inventory!$H$2:$H$801,$H539,inventory!$E$2:$E$801,"rejected")&lt;N($G539)),"UNDER "&amp;config!$B$19&amp;" DAYS LEFT ON THE DROP DAY: reject these units; ","")&amp;IF(AND($E539="delivered",COUNTIF(inventory!$R$2:$R$801,$R539)&gt;1),"two delivered rows for this office: use one; ","")&amp;IF(AND($E539="delivered",$J539=""),"who counted?; ",""))</f>
        <v/>
      </c>
      <c r="R539" s="25">
        <f>IF($C539="","",$C539&amp;"|"&amp;$D539&amp;"|"&amp;$E539)</f>
        <v/>
      </c>
    </row>
    <row r="540">
      <c r="A540" s="9" t="n"/>
      <c r="B540" s="33" t="n"/>
      <c r="I540" s="9" t="n"/>
      <c r="L540" s="26">
        <f>IF($C540="","",IFERROR(IF(INDEX(campaigns!$BG$2:$BG$51,MATCH($C540,campaigns!$A$2:$A$51,0))="","",INDEX(campaigns!$BG$2:$BG$51,MATCH($C540,campaigns!$A$2:$A$51,0))),""))</f>
        <v/>
      </c>
      <c r="M540" s="25">
        <f>IF($C540="","",IF(OR($E540="received"),N($G540),IF(OR($E540="rejected",$E540="delivered",$E540="topped_up"),-N($G540),IF(AND(OR($E540="returned_to_brand",$E540="given_to_roster_office",$E540="released_to_office",$E540="disposed"),IF($F540="","reserve",$F540)="reserve"),-N($G540),IF(AND($E540="correction",IF($F540="","reserve",$F540)="reserve"),N($G540),0)))))</f>
        <v/>
      </c>
      <c r="N540" s="25">
        <f>IF($C540="","",IF($E540="rejected",N($G540),IF(AND(OR($E540="returned_to_brand",$E540="given_to_roster_office",$E540="released_to_office",$E540="disposed"),IF($F540="","reserve",$F540)="rejected"),-N($G540),IF(AND($E540="correction",IF($F540="","reserve",$F540)="rejected"),N($G540),0))))</f>
        <v/>
      </c>
      <c r="O540" s="25">
        <f>IF($C540="","",IF($E540="collected",N($G540),IF(AND(OR($E540="returned_to_brand",$E540="given_to_roster_office",$E540="released_to_office",$E540="disposed"),IF($F540="","reserve",$F540)="leftover"),-N($G540),IF(AND($E540="correction",IF($F540="","reserve",$F540)="leftover"),N($G540),0))))</f>
        <v/>
      </c>
      <c r="P540" s="25">
        <f>IF(OR($E540&lt;&gt;"received",$I540="",$L540=""),"",IF($I540&gt;=$L540+config!$B$19,"Y","N"))</f>
        <v/>
      </c>
      <c r="Q540" s="25">
        <f>IF($C540="","",IF(COUNTIF(campaigns!$A$2:$A$51,$C540)=0,"campaign_id not on campaigns; ",IF(AND($D540&lt;&gt;"",COUNTIFS(approvals!$A$2:$A$251,$C540,approvals!$B$2:$B$251,$D540)=0),"office not on this campaign (approvals tab); ",""))&amp;IF(AND(OR($E540="delivered",$E540="topped_up",$E540="collected"),$D540=""),"office needed; ","")&amp;IF(AND($E540&lt;&gt;"correction",N($G540)&lt;=0),"qty must be above 0; ","")&amp;IF(AND($E540="received",OR($I540="",$H540="")),"log lot and best-by; ","")&amp;IF(AND($P540="N",SUMIFS(inventory!$G$2:$G$801,inventory!$C$2:$C$801,$C540,inventory!$H$2:$H$801,$H540,inventory!$E$2:$E$801,"rejected")&lt;N($G540)),"UNDER "&amp;config!$B$19&amp;" DAYS LEFT ON THE DROP DAY: reject these units; ","")&amp;IF(AND($E540="delivered",COUNTIF(inventory!$R$2:$R$801,$R540)&gt;1),"two delivered rows for this office: use one; ","")&amp;IF(AND($E540="delivered",$J540=""),"who counted?; ",""))</f>
        <v/>
      </c>
      <c r="R540" s="25">
        <f>IF($C540="","",$C540&amp;"|"&amp;$D540&amp;"|"&amp;$E540)</f>
        <v/>
      </c>
    </row>
    <row r="541">
      <c r="A541" s="9" t="n"/>
      <c r="B541" s="33" t="n"/>
      <c r="I541" s="9" t="n"/>
      <c r="L541" s="26">
        <f>IF($C541="","",IFERROR(IF(INDEX(campaigns!$BG$2:$BG$51,MATCH($C541,campaigns!$A$2:$A$51,0))="","",INDEX(campaigns!$BG$2:$BG$51,MATCH($C541,campaigns!$A$2:$A$51,0))),""))</f>
        <v/>
      </c>
      <c r="M541" s="25">
        <f>IF($C541="","",IF(OR($E541="received"),N($G541),IF(OR($E541="rejected",$E541="delivered",$E541="topped_up"),-N($G541),IF(AND(OR($E541="returned_to_brand",$E541="given_to_roster_office",$E541="released_to_office",$E541="disposed"),IF($F541="","reserve",$F541)="reserve"),-N($G541),IF(AND($E541="correction",IF($F541="","reserve",$F541)="reserve"),N($G541),0)))))</f>
        <v/>
      </c>
      <c r="N541" s="25">
        <f>IF($C541="","",IF($E541="rejected",N($G541),IF(AND(OR($E541="returned_to_brand",$E541="given_to_roster_office",$E541="released_to_office",$E541="disposed"),IF($F541="","reserve",$F541)="rejected"),-N($G541),IF(AND($E541="correction",IF($F541="","reserve",$F541)="rejected"),N($G541),0))))</f>
        <v/>
      </c>
      <c r="O541" s="25">
        <f>IF($C541="","",IF($E541="collected",N($G541),IF(AND(OR($E541="returned_to_brand",$E541="given_to_roster_office",$E541="released_to_office",$E541="disposed"),IF($F541="","reserve",$F541)="leftover"),-N($G541),IF(AND($E541="correction",IF($F541="","reserve",$F541)="leftover"),N($G541),0))))</f>
        <v/>
      </c>
      <c r="P541" s="25">
        <f>IF(OR($E541&lt;&gt;"received",$I541="",$L541=""),"",IF($I541&gt;=$L541+config!$B$19,"Y","N"))</f>
        <v/>
      </c>
      <c r="Q541" s="25">
        <f>IF($C541="","",IF(COUNTIF(campaigns!$A$2:$A$51,$C541)=0,"campaign_id not on campaigns; ",IF(AND($D541&lt;&gt;"",COUNTIFS(approvals!$A$2:$A$251,$C541,approvals!$B$2:$B$251,$D541)=0),"office not on this campaign (approvals tab); ",""))&amp;IF(AND(OR($E541="delivered",$E541="topped_up",$E541="collected"),$D541=""),"office needed; ","")&amp;IF(AND($E541&lt;&gt;"correction",N($G541)&lt;=0),"qty must be above 0; ","")&amp;IF(AND($E541="received",OR($I541="",$H541="")),"log lot and best-by; ","")&amp;IF(AND($P541="N",SUMIFS(inventory!$G$2:$G$801,inventory!$C$2:$C$801,$C541,inventory!$H$2:$H$801,$H541,inventory!$E$2:$E$801,"rejected")&lt;N($G541)),"UNDER "&amp;config!$B$19&amp;" DAYS LEFT ON THE DROP DAY: reject these units; ","")&amp;IF(AND($E541="delivered",COUNTIF(inventory!$R$2:$R$801,$R541)&gt;1),"two delivered rows for this office: use one; ","")&amp;IF(AND($E541="delivered",$J541=""),"who counted?; ",""))</f>
        <v/>
      </c>
      <c r="R541" s="25">
        <f>IF($C541="","",$C541&amp;"|"&amp;$D541&amp;"|"&amp;$E541)</f>
        <v/>
      </c>
    </row>
    <row r="542">
      <c r="A542" s="9" t="n"/>
      <c r="B542" s="33" t="n"/>
      <c r="I542" s="9" t="n"/>
      <c r="L542" s="26">
        <f>IF($C542="","",IFERROR(IF(INDEX(campaigns!$BG$2:$BG$51,MATCH($C542,campaigns!$A$2:$A$51,0))="","",INDEX(campaigns!$BG$2:$BG$51,MATCH($C542,campaigns!$A$2:$A$51,0))),""))</f>
        <v/>
      </c>
      <c r="M542" s="25">
        <f>IF($C542="","",IF(OR($E542="received"),N($G542),IF(OR($E542="rejected",$E542="delivered",$E542="topped_up"),-N($G542),IF(AND(OR($E542="returned_to_brand",$E542="given_to_roster_office",$E542="released_to_office",$E542="disposed"),IF($F542="","reserve",$F542)="reserve"),-N($G542),IF(AND($E542="correction",IF($F542="","reserve",$F542)="reserve"),N($G542),0)))))</f>
        <v/>
      </c>
      <c r="N542" s="25">
        <f>IF($C542="","",IF($E542="rejected",N($G542),IF(AND(OR($E542="returned_to_brand",$E542="given_to_roster_office",$E542="released_to_office",$E542="disposed"),IF($F542="","reserve",$F542)="rejected"),-N($G542),IF(AND($E542="correction",IF($F542="","reserve",$F542)="rejected"),N($G542),0))))</f>
        <v/>
      </c>
      <c r="O542" s="25">
        <f>IF($C542="","",IF($E542="collected",N($G542),IF(AND(OR($E542="returned_to_brand",$E542="given_to_roster_office",$E542="released_to_office",$E542="disposed"),IF($F542="","reserve",$F542)="leftover"),-N($G542),IF(AND($E542="correction",IF($F542="","reserve",$F542)="leftover"),N($G542),0))))</f>
        <v/>
      </c>
      <c r="P542" s="25">
        <f>IF(OR($E542&lt;&gt;"received",$I542="",$L542=""),"",IF($I542&gt;=$L542+config!$B$19,"Y","N"))</f>
        <v/>
      </c>
      <c r="Q542" s="25">
        <f>IF($C542="","",IF(COUNTIF(campaigns!$A$2:$A$51,$C542)=0,"campaign_id not on campaigns; ",IF(AND($D542&lt;&gt;"",COUNTIFS(approvals!$A$2:$A$251,$C542,approvals!$B$2:$B$251,$D542)=0),"office not on this campaign (approvals tab); ",""))&amp;IF(AND(OR($E542="delivered",$E542="topped_up",$E542="collected"),$D542=""),"office needed; ","")&amp;IF(AND($E542&lt;&gt;"correction",N($G542)&lt;=0),"qty must be above 0; ","")&amp;IF(AND($E542="received",OR($I542="",$H542="")),"log lot and best-by; ","")&amp;IF(AND($P542="N",SUMIFS(inventory!$G$2:$G$801,inventory!$C$2:$C$801,$C542,inventory!$H$2:$H$801,$H542,inventory!$E$2:$E$801,"rejected")&lt;N($G542)),"UNDER "&amp;config!$B$19&amp;" DAYS LEFT ON THE DROP DAY: reject these units; ","")&amp;IF(AND($E542="delivered",COUNTIF(inventory!$R$2:$R$801,$R542)&gt;1),"two delivered rows for this office: use one; ","")&amp;IF(AND($E542="delivered",$J542=""),"who counted?; ",""))</f>
        <v/>
      </c>
      <c r="R542" s="25">
        <f>IF($C542="","",$C542&amp;"|"&amp;$D542&amp;"|"&amp;$E542)</f>
        <v/>
      </c>
    </row>
    <row r="543">
      <c r="A543" s="9" t="n"/>
      <c r="B543" s="33" t="n"/>
      <c r="I543" s="9" t="n"/>
      <c r="L543" s="26">
        <f>IF($C543="","",IFERROR(IF(INDEX(campaigns!$BG$2:$BG$51,MATCH($C543,campaigns!$A$2:$A$51,0))="","",INDEX(campaigns!$BG$2:$BG$51,MATCH($C543,campaigns!$A$2:$A$51,0))),""))</f>
        <v/>
      </c>
      <c r="M543" s="25">
        <f>IF($C543="","",IF(OR($E543="received"),N($G543),IF(OR($E543="rejected",$E543="delivered",$E543="topped_up"),-N($G543),IF(AND(OR($E543="returned_to_brand",$E543="given_to_roster_office",$E543="released_to_office",$E543="disposed"),IF($F543="","reserve",$F543)="reserve"),-N($G543),IF(AND($E543="correction",IF($F543="","reserve",$F543)="reserve"),N($G543),0)))))</f>
        <v/>
      </c>
      <c r="N543" s="25">
        <f>IF($C543="","",IF($E543="rejected",N($G543),IF(AND(OR($E543="returned_to_brand",$E543="given_to_roster_office",$E543="released_to_office",$E543="disposed"),IF($F543="","reserve",$F543)="rejected"),-N($G543),IF(AND($E543="correction",IF($F543="","reserve",$F543)="rejected"),N($G543),0))))</f>
        <v/>
      </c>
      <c r="O543" s="25">
        <f>IF($C543="","",IF($E543="collected",N($G543),IF(AND(OR($E543="returned_to_brand",$E543="given_to_roster_office",$E543="released_to_office",$E543="disposed"),IF($F543="","reserve",$F543)="leftover"),-N($G543),IF(AND($E543="correction",IF($F543="","reserve",$F543)="leftover"),N($G543),0))))</f>
        <v/>
      </c>
      <c r="P543" s="25">
        <f>IF(OR($E543&lt;&gt;"received",$I543="",$L543=""),"",IF($I543&gt;=$L543+config!$B$19,"Y","N"))</f>
        <v/>
      </c>
      <c r="Q543" s="25">
        <f>IF($C543="","",IF(COUNTIF(campaigns!$A$2:$A$51,$C543)=0,"campaign_id not on campaigns; ",IF(AND($D543&lt;&gt;"",COUNTIFS(approvals!$A$2:$A$251,$C543,approvals!$B$2:$B$251,$D543)=0),"office not on this campaign (approvals tab); ",""))&amp;IF(AND(OR($E543="delivered",$E543="topped_up",$E543="collected"),$D543=""),"office needed; ","")&amp;IF(AND($E543&lt;&gt;"correction",N($G543)&lt;=0),"qty must be above 0; ","")&amp;IF(AND($E543="received",OR($I543="",$H543="")),"log lot and best-by; ","")&amp;IF(AND($P543="N",SUMIFS(inventory!$G$2:$G$801,inventory!$C$2:$C$801,$C543,inventory!$H$2:$H$801,$H543,inventory!$E$2:$E$801,"rejected")&lt;N($G543)),"UNDER "&amp;config!$B$19&amp;" DAYS LEFT ON THE DROP DAY: reject these units; ","")&amp;IF(AND($E543="delivered",COUNTIF(inventory!$R$2:$R$801,$R543)&gt;1),"two delivered rows for this office: use one; ","")&amp;IF(AND($E543="delivered",$J543=""),"who counted?; ",""))</f>
        <v/>
      </c>
      <c r="R543" s="25">
        <f>IF($C543="","",$C543&amp;"|"&amp;$D543&amp;"|"&amp;$E543)</f>
        <v/>
      </c>
    </row>
    <row r="544">
      <c r="A544" s="9" t="n"/>
      <c r="B544" s="33" t="n"/>
      <c r="I544" s="9" t="n"/>
      <c r="L544" s="26">
        <f>IF($C544="","",IFERROR(IF(INDEX(campaigns!$BG$2:$BG$51,MATCH($C544,campaigns!$A$2:$A$51,0))="","",INDEX(campaigns!$BG$2:$BG$51,MATCH($C544,campaigns!$A$2:$A$51,0))),""))</f>
        <v/>
      </c>
      <c r="M544" s="25">
        <f>IF($C544="","",IF(OR($E544="received"),N($G544),IF(OR($E544="rejected",$E544="delivered",$E544="topped_up"),-N($G544),IF(AND(OR($E544="returned_to_brand",$E544="given_to_roster_office",$E544="released_to_office",$E544="disposed"),IF($F544="","reserve",$F544)="reserve"),-N($G544),IF(AND($E544="correction",IF($F544="","reserve",$F544)="reserve"),N($G544),0)))))</f>
        <v/>
      </c>
      <c r="N544" s="25">
        <f>IF($C544="","",IF($E544="rejected",N($G544),IF(AND(OR($E544="returned_to_brand",$E544="given_to_roster_office",$E544="released_to_office",$E544="disposed"),IF($F544="","reserve",$F544)="rejected"),-N($G544),IF(AND($E544="correction",IF($F544="","reserve",$F544)="rejected"),N($G544),0))))</f>
        <v/>
      </c>
      <c r="O544" s="25">
        <f>IF($C544="","",IF($E544="collected",N($G544),IF(AND(OR($E544="returned_to_brand",$E544="given_to_roster_office",$E544="released_to_office",$E544="disposed"),IF($F544="","reserve",$F544)="leftover"),-N($G544),IF(AND($E544="correction",IF($F544="","reserve",$F544)="leftover"),N($G544),0))))</f>
        <v/>
      </c>
      <c r="P544" s="25">
        <f>IF(OR($E544&lt;&gt;"received",$I544="",$L544=""),"",IF($I544&gt;=$L544+config!$B$19,"Y","N"))</f>
        <v/>
      </c>
      <c r="Q544" s="25">
        <f>IF($C544="","",IF(COUNTIF(campaigns!$A$2:$A$51,$C544)=0,"campaign_id not on campaigns; ",IF(AND($D544&lt;&gt;"",COUNTIFS(approvals!$A$2:$A$251,$C544,approvals!$B$2:$B$251,$D544)=0),"office not on this campaign (approvals tab); ",""))&amp;IF(AND(OR($E544="delivered",$E544="topped_up",$E544="collected"),$D544=""),"office needed; ","")&amp;IF(AND($E544&lt;&gt;"correction",N($G544)&lt;=0),"qty must be above 0; ","")&amp;IF(AND($E544="received",OR($I544="",$H544="")),"log lot and best-by; ","")&amp;IF(AND($P544="N",SUMIFS(inventory!$G$2:$G$801,inventory!$C$2:$C$801,$C544,inventory!$H$2:$H$801,$H544,inventory!$E$2:$E$801,"rejected")&lt;N($G544)),"UNDER "&amp;config!$B$19&amp;" DAYS LEFT ON THE DROP DAY: reject these units; ","")&amp;IF(AND($E544="delivered",COUNTIF(inventory!$R$2:$R$801,$R544)&gt;1),"two delivered rows for this office: use one; ","")&amp;IF(AND($E544="delivered",$J544=""),"who counted?; ",""))</f>
        <v/>
      </c>
      <c r="R544" s="25">
        <f>IF($C544="","",$C544&amp;"|"&amp;$D544&amp;"|"&amp;$E544)</f>
        <v/>
      </c>
    </row>
    <row r="545">
      <c r="A545" s="9" t="n"/>
      <c r="B545" s="33" t="n"/>
      <c r="I545" s="9" t="n"/>
      <c r="L545" s="26">
        <f>IF($C545="","",IFERROR(IF(INDEX(campaigns!$BG$2:$BG$51,MATCH($C545,campaigns!$A$2:$A$51,0))="","",INDEX(campaigns!$BG$2:$BG$51,MATCH($C545,campaigns!$A$2:$A$51,0))),""))</f>
        <v/>
      </c>
      <c r="M545" s="25">
        <f>IF($C545="","",IF(OR($E545="received"),N($G545),IF(OR($E545="rejected",$E545="delivered",$E545="topped_up"),-N($G545),IF(AND(OR($E545="returned_to_brand",$E545="given_to_roster_office",$E545="released_to_office",$E545="disposed"),IF($F545="","reserve",$F545)="reserve"),-N($G545),IF(AND($E545="correction",IF($F545="","reserve",$F545)="reserve"),N($G545),0)))))</f>
        <v/>
      </c>
      <c r="N545" s="25">
        <f>IF($C545="","",IF($E545="rejected",N($G545),IF(AND(OR($E545="returned_to_brand",$E545="given_to_roster_office",$E545="released_to_office",$E545="disposed"),IF($F545="","reserve",$F545)="rejected"),-N($G545),IF(AND($E545="correction",IF($F545="","reserve",$F545)="rejected"),N($G545),0))))</f>
        <v/>
      </c>
      <c r="O545" s="25">
        <f>IF($C545="","",IF($E545="collected",N($G545),IF(AND(OR($E545="returned_to_brand",$E545="given_to_roster_office",$E545="released_to_office",$E545="disposed"),IF($F545="","reserve",$F545)="leftover"),-N($G545),IF(AND($E545="correction",IF($F545="","reserve",$F545)="leftover"),N($G545),0))))</f>
        <v/>
      </c>
      <c r="P545" s="25">
        <f>IF(OR($E545&lt;&gt;"received",$I545="",$L545=""),"",IF($I545&gt;=$L545+config!$B$19,"Y","N"))</f>
        <v/>
      </c>
      <c r="Q545" s="25">
        <f>IF($C545="","",IF(COUNTIF(campaigns!$A$2:$A$51,$C545)=0,"campaign_id not on campaigns; ",IF(AND($D545&lt;&gt;"",COUNTIFS(approvals!$A$2:$A$251,$C545,approvals!$B$2:$B$251,$D545)=0),"office not on this campaign (approvals tab); ",""))&amp;IF(AND(OR($E545="delivered",$E545="topped_up",$E545="collected"),$D545=""),"office needed; ","")&amp;IF(AND($E545&lt;&gt;"correction",N($G545)&lt;=0),"qty must be above 0; ","")&amp;IF(AND($E545="received",OR($I545="",$H545="")),"log lot and best-by; ","")&amp;IF(AND($P545="N",SUMIFS(inventory!$G$2:$G$801,inventory!$C$2:$C$801,$C545,inventory!$H$2:$H$801,$H545,inventory!$E$2:$E$801,"rejected")&lt;N($G545)),"UNDER "&amp;config!$B$19&amp;" DAYS LEFT ON THE DROP DAY: reject these units; ","")&amp;IF(AND($E545="delivered",COUNTIF(inventory!$R$2:$R$801,$R545)&gt;1),"two delivered rows for this office: use one; ","")&amp;IF(AND($E545="delivered",$J545=""),"who counted?; ",""))</f>
        <v/>
      </c>
      <c r="R545" s="25">
        <f>IF($C545="","",$C545&amp;"|"&amp;$D545&amp;"|"&amp;$E545)</f>
        <v/>
      </c>
    </row>
    <row r="546">
      <c r="A546" s="9" t="n"/>
      <c r="B546" s="33" t="n"/>
      <c r="I546" s="9" t="n"/>
      <c r="L546" s="26">
        <f>IF($C546="","",IFERROR(IF(INDEX(campaigns!$BG$2:$BG$51,MATCH($C546,campaigns!$A$2:$A$51,0))="","",INDEX(campaigns!$BG$2:$BG$51,MATCH($C546,campaigns!$A$2:$A$51,0))),""))</f>
        <v/>
      </c>
      <c r="M546" s="25">
        <f>IF($C546="","",IF(OR($E546="received"),N($G546),IF(OR($E546="rejected",$E546="delivered",$E546="topped_up"),-N($G546),IF(AND(OR($E546="returned_to_brand",$E546="given_to_roster_office",$E546="released_to_office",$E546="disposed"),IF($F546="","reserve",$F546)="reserve"),-N($G546),IF(AND($E546="correction",IF($F546="","reserve",$F546)="reserve"),N($G546),0)))))</f>
        <v/>
      </c>
      <c r="N546" s="25">
        <f>IF($C546="","",IF($E546="rejected",N($G546),IF(AND(OR($E546="returned_to_brand",$E546="given_to_roster_office",$E546="released_to_office",$E546="disposed"),IF($F546="","reserve",$F546)="rejected"),-N($G546),IF(AND($E546="correction",IF($F546="","reserve",$F546)="rejected"),N($G546),0))))</f>
        <v/>
      </c>
      <c r="O546" s="25">
        <f>IF($C546="","",IF($E546="collected",N($G546),IF(AND(OR($E546="returned_to_brand",$E546="given_to_roster_office",$E546="released_to_office",$E546="disposed"),IF($F546="","reserve",$F546)="leftover"),-N($G546),IF(AND($E546="correction",IF($F546="","reserve",$F546)="leftover"),N($G546),0))))</f>
        <v/>
      </c>
      <c r="P546" s="25">
        <f>IF(OR($E546&lt;&gt;"received",$I546="",$L546=""),"",IF($I546&gt;=$L546+config!$B$19,"Y","N"))</f>
        <v/>
      </c>
      <c r="Q546" s="25">
        <f>IF($C546="","",IF(COUNTIF(campaigns!$A$2:$A$51,$C546)=0,"campaign_id not on campaigns; ",IF(AND($D546&lt;&gt;"",COUNTIFS(approvals!$A$2:$A$251,$C546,approvals!$B$2:$B$251,$D546)=0),"office not on this campaign (approvals tab); ",""))&amp;IF(AND(OR($E546="delivered",$E546="topped_up",$E546="collected"),$D546=""),"office needed; ","")&amp;IF(AND($E546&lt;&gt;"correction",N($G546)&lt;=0),"qty must be above 0; ","")&amp;IF(AND($E546="received",OR($I546="",$H546="")),"log lot and best-by; ","")&amp;IF(AND($P546="N",SUMIFS(inventory!$G$2:$G$801,inventory!$C$2:$C$801,$C546,inventory!$H$2:$H$801,$H546,inventory!$E$2:$E$801,"rejected")&lt;N($G546)),"UNDER "&amp;config!$B$19&amp;" DAYS LEFT ON THE DROP DAY: reject these units; ","")&amp;IF(AND($E546="delivered",COUNTIF(inventory!$R$2:$R$801,$R546)&gt;1),"two delivered rows for this office: use one; ","")&amp;IF(AND($E546="delivered",$J546=""),"who counted?; ",""))</f>
        <v/>
      </c>
      <c r="R546" s="25">
        <f>IF($C546="","",$C546&amp;"|"&amp;$D546&amp;"|"&amp;$E546)</f>
        <v/>
      </c>
    </row>
    <row r="547">
      <c r="A547" s="9" t="n"/>
      <c r="B547" s="33" t="n"/>
      <c r="I547" s="9" t="n"/>
      <c r="L547" s="26">
        <f>IF($C547="","",IFERROR(IF(INDEX(campaigns!$BG$2:$BG$51,MATCH($C547,campaigns!$A$2:$A$51,0))="","",INDEX(campaigns!$BG$2:$BG$51,MATCH($C547,campaigns!$A$2:$A$51,0))),""))</f>
        <v/>
      </c>
      <c r="M547" s="25">
        <f>IF($C547="","",IF(OR($E547="received"),N($G547),IF(OR($E547="rejected",$E547="delivered",$E547="topped_up"),-N($G547),IF(AND(OR($E547="returned_to_brand",$E547="given_to_roster_office",$E547="released_to_office",$E547="disposed"),IF($F547="","reserve",$F547)="reserve"),-N($G547),IF(AND($E547="correction",IF($F547="","reserve",$F547)="reserve"),N($G547),0)))))</f>
        <v/>
      </c>
      <c r="N547" s="25">
        <f>IF($C547="","",IF($E547="rejected",N($G547),IF(AND(OR($E547="returned_to_brand",$E547="given_to_roster_office",$E547="released_to_office",$E547="disposed"),IF($F547="","reserve",$F547)="rejected"),-N($G547),IF(AND($E547="correction",IF($F547="","reserve",$F547)="rejected"),N($G547),0))))</f>
        <v/>
      </c>
      <c r="O547" s="25">
        <f>IF($C547="","",IF($E547="collected",N($G547),IF(AND(OR($E547="returned_to_brand",$E547="given_to_roster_office",$E547="released_to_office",$E547="disposed"),IF($F547="","reserve",$F547)="leftover"),-N($G547),IF(AND($E547="correction",IF($F547="","reserve",$F547)="leftover"),N($G547),0))))</f>
        <v/>
      </c>
      <c r="P547" s="25">
        <f>IF(OR($E547&lt;&gt;"received",$I547="",$L547=""),"",IF($I547&gt;=$L547+config!$B$19,"Y","N"))</f>
        <v/>
      </c>
      <c r="Q547" s="25">
        <f>IF($C547="","",IF(COUNTIF(campaigns!$A$2:$A$51,$C547)=0,"campaign_id not on campaigns; ",IF(AND($D547&lt;&gt;"",COUNTIFS(approvals!$A$2:$A$251,$C547,approvals!$B$2:$B$251,$D547)=0),"office not on this campaign (approvals tab); ",""))&amp;IF(AND(OR($E547="delivered",$E547="topped_up",$E547="collected"),$D547=""),"office needed; ","")&amp;IF(AND($E547&lt;&gt;"correction",N($G547)&lt;=0),"qty must be above 0; ","")&amp;IF(AND($E547="received",OR($I547="",$H547="")),"log lot and best-by; ","")&amp;IF(AND($P547="N",SUMIFS(inventory!$G$2:$G$801,inventory!$C$2:$C$801,$C547,inventory!$H$2:$H$801,$H547,inventory!$E$2:$E$801,"rejected")&lt;N($G547)),"UNDER "&amp;config!$B$19&amp;" DAYS LEFT ON THE DROP DAY: reject these units; ","")&amp;IF(AND($E547="delivered",COUNTIF(inventory!$R$2:$R$801,$R547)&gt;1),"two delivered rows for this office: use one; ","")&amp;IF(AND($E547="delivered",$J547=""),"who counted?; ",""))</f>
        <v/>
      </c>
      <c r="R547" s="25">
        <f>IF($C547="","",$C547&amp;"|"&amp;$D547&amp;"|"&amp;$E547)</f>
        <v/>
      </c>
    </row>
    <row r="548">
      <c r="A548" s="9" t="n"/>
      <c r="B548" s="33" t="n"/>
      <c r="I548" s="9" t="n"/>
      <c r="L548" s="26">
        <f>IF($C548="","",IFERROR(IF(INDEX(campaigns!$BG$2:$BG$51,MATCH($C548,campaigns!$A$2:$A$51,0))="","",INDEX(campaigns!$BG$2:$BG$51,MATCH($C548,campaigns!$A$2:$A$51,0))),""))</f>
        <v/>
      </c>
      <c r="M548" s="25">
        <f>IF($C548="","",IF(OR($E548="received"),N($G548),IF(OR($E548="rejected",$E548="delivered",$E548="topped_up"),-N($G548),IF(AND(OR($E548="returned_to_brand",$E548="given_to_roster_office",$E548="released_to_office",$E548="disposed"),IF($F548="","reserve",$F548)="reserve"),-N($G548),IF(AND($E548="correction",IF($F548="","reserve",$F548)="reserve"),N($G548),0)))))</f>
        <v/>
      </c>
      <c r="N548" s="25">
        <f>IF($C548="","",IF($E548="rejected",N($G548),IF(AND(OR($E548="returned_to_brand",$E548="given_to_roster_office",$E548="released_to_office",$E548="disposed"),IF($F548="","reserve",$F548)="rejected"),-N($G548),IF(AND($E548="correction",IF($F548="","reserve",$F548)="rejected"),N($G548),0))))</f>
        <v/>
      </c>
      <c r="O548" s="25">
        <f>IF($C548="","",IF($E548="collected",N($G548),IF(AND(OR($E548="returned_to_brand",$E548="given_to_roster_office",$E548="released_to_office",$E548="disposed"),IF($F548="","reserve",$F548)="leftover"),-N($G548),IF(AND($E548="correction",IF($F548="","reserve",$F548)="leftover"),N($G548),0))))</f>
        <v/>
      </c>
      <c r="P548" s="25">
        <f>IF(OR($E548&lt;&gt;"received",$I548="",$L548=""),"",IF($I548&gt;=$L548+config!$B$19,"Y","N"))</f>
        <v/>
      </c>
      <c r="Q548" s="25">
        <f>IF($C548="","",IF(COUNTIF(campaigns!$A$2:$A$51,$C548)=0,"campaign_id not on campaigns; ",IF(AND($D548&lt;&gt;"",COUNTIFS(approvals!$A$2:$A$251,$C548,approvals!$B$2:$B$251,$D548)=0),"office not on this campaign (approvals tab); ",""))&amp;IF(AND(OR($E548="delivered",$E548="topped_up",$E548="collected"),$D548=""),"office needed; ","")&amp;IF(AND($E548&lt;&gt;"correction",N($G548)&lt;=0),"qty must be above 0; ","")&amp;IF(AND($E548="received",OR($I548="",$H548="")),"log lot and best-by; ","")&amp;IF(AND($P548="N",SUMIFS(inventory!$G$2:$G$801,inventory!$C$2:$C$801,$C548,inventory!$H$2:$H$801,$H548,inventory!$E$2:$E$801,"rejected")&lt;N($G548)),"UNDER "&amp;config!$B$19&amp;" DAYS LEFT ON THE DROP DAY: reject these units; ","")&amp;IF(AND($E548="delivered",COUNTIF(inventory!$R$2:$R$801,$R548)&gt;1),"two delivered rows for this office: use one; ","")&amp;IF(AND($E548="delivered",$J548=""),"who counted?; ",""))</f>
        <v/>
      </c>
      <c r="R548" s="25">
        <f>IF($C548="","",$C548&amp;"|"&amp;$D548&amp;"|"&amp;$E548)</f>
        <v/>
      </c>
    </row>
    <row r="549">
      <c r="A549" s="9" t="n"/>
      <c r="B549" s="33" t="n"/>
      <c r="I549" s="9" t="n"/>
      <c r="L549" s="26">
        <f>IF($C549="","",IFERROR(IF(INDEX(campaigns!$BG$2:$BG$51,MATCH($C549,campaigns!$A$2:$A$51,0))="","",INDEX(campaigns!$BG$2:$BG$51,MATCH($C549,campaigns!$A$2:$A$51,0))),""))</f>
        <v/>
      </c>
      <c r="M549" s="25">
        <f>IF($C549="","",IF(OR($E549="received"),N($G549),IF(OR($E549="rejected",$E549="delivered",$E549="topped_up"),-N($G549),IF(AND(OR($E549="returned_to_brand",$E549="given_to_roster_office",$E549="released_to_office",$E549="disposed"),IF($F549="","reserve",$F549)="reserve"),-N($G549),IF(AND($E549="correction",IF($F549="","reserve",$F549)="reserve"),N($G549),0)))))</f>
        <v/>
      </c>
      <c r="N549" s="25">
        <f>IF($C549="","",IF($E549="rejected",N($G549),IF(AND(OR($E549="returned_to_brand",$E549="given_to_roster_office",$E549="released_to_office",$E549="disposed"),IF($F549="","reserve",$F549)="rejected"),-N($G549),IF(AND($E549="correction",IF($F549="","reserve",$F549)="rejected"),N($G549),0))))</f>
        <v/>
      </c>
      <c r="O549" s="25">
        <f>IF($C549="","",IF($E549="collected",N($G549),IF(AND(OR($E549="returned_to_brand",$E549="given_to_roster_office",$E549="released_to_office",$E549="disposed"),IF($F549="","reserve",$F549)="leftover"),-N($G549),IF(AND($E549="correction",IF($F549="","reserve",$F549)="leftover"),N($G549),0))))</f>
        <v/>
      </c>
      <c r="P549" s="25">
        <f>IF(OR($E549&lt;&gt;"received",$I549="",$L549=""),"",IF($I549&gt;=$L549+config!$B$19,"Y","N"))</f>
        <v/>
      </c>
      <c r="Q549" s="25">
        <f>IF($C549="","",IF(COUNTIF(campaigns!$A$2:$A$51,$C549)=0,"campaign_id not on campaigns; ",IF(AND($D549&lt;&gt;"",COUNTIFS(approvals!$A$2:$A$251,$C549,approvals!$B$2:$B$251,$D549)=0),"office not on this campaign (approvals tab); ",""))&amp;IF(AND(OR($E549="delivered",$E549="topped_up",$E549="collected"),$D549=""),"office needed; ","")&amp;IF(AND($E549&lt;&gt;"correction",N($G549)&lt;=0),"qty must be above 0; ","")&amp;IF(AND($E549="received",OR($I549="",$H549="")),"log lot and best-by; ","")&amp;IF(AND($P549="N",SUMIFS(inventory!$G$2:$G$801,inventory!$C$2:$C$801,$C549,inventory!$H$2:$H$801,$H549,inventory!$E$2:$E$801,"rejected")&lt;N($G549)),"UNDER "&amp;config!$B$19&amp;" DAYS LEFT ON THE DROP DAY: reject these units; ","")&amp;IF(AND($E549="delivered",COUNTIF(inventory!$R$2:$R$801,$R549)&gt;1),"two delivered rows for this office: use one; ","")&amp;IF(AND($E549="delivered",$J549=""),"who counted?; ",""))</f>
        <v/>
      </c>
      <c r="R549" s="25">
        <f>IF($C549="","",$C549&amp;"|"&amp;$D549&amp;"|"&amp;$E549)</f>
        <v/>
      </c>
    </row>
    <row r="550">
      <c r="A550" s="9" t="n"/>
      <c r="B550" s="33" t="n"/>
      <c r="I550" s="9" t="n"/>
      <c r="L550" s="26">
        <f>IF($C550="","",IFERROR(IF(INDEX(campaigns!$BG$2:$BG$51,MATCH($C550,campaigns!$A$2:$A$51,0))="","",INDEX(campaigns!$BG$2:$BG$51,MATCH($C550,campaigns!$A$2:$A$51,0))),""))</f>
        <v/>
      </c>
      <c r="M550" s="25">
        <f>IF($C550="","",IF(OR($E550="received"),N($G550),IF(OR($E550="rejected",$E550="delivered",$E550="topped_up"),-N($G550),IF(AND(OR($E550="returned_to_brand",$E550="given_to_roster_office",$E550="released_to_office",$E550="disposed"),IF($F550="","reserve",$F550)="reserve"),-N($G550),IF(AND($E550="correction",IF($F550="","reserve",$F550)="reserve"),N($G550),0)))))</f>
        <v/>
      </c>
      <c r="N550" s="25">
        <f>IF($C550="","",IF($E550="rejected",N($G550),IF(AND(OR($E550="returned_to_brand",$E550="given_to_roster_office",$E550="released_to_office",$E550="disposed"),IF($F550="","reserve",$F550)="rejected"),-N($G550),IF(AND($E550="correction",IF($F550="","reserve",$F550)="rejected"),N($G550),0))))</f>
        <v/>
      </c>
      <c r="O550" s="25">
        <f>IF($C550="","",IF($E550="collected",N($G550),IF(AND(OR($E550="returned_to_brand",$E550="given_to_roster_office",$E550="released_to_office",$E550="disposed"),IF($F550="","reserve",$F550)="leftover"),-N($G550),IF(AND($E550="correction",IF($F550="","reserve",$F550)="leftover"),N($G550),0))))</f>
        <v/>
      </c>
      <c r="P550" s="25">
        <f>IF(OR($E550&lt;&gt;"received",$I550="",$L550=""),"",IF($I550&gt;=$L550+config!$B$19,"Y","N"))</f>
        <v/>
      </c>
      <c r="Q550" s="25">
        <f>IF($C550="","",IF(COUNTIF(campaigns!$A$2:$A$51,$C550)=0,"campaign_id not on campaigns; ",IF(AND($D550&lt;&gt;"",COUNTIFS(approvals!$A$2:$A$251,$C550,approvals!$B$2:$B$251,$D550)=0),"office not on this campaign (approvals tab); ",""))&amp;IF(AND(OR($E550="delivered",$E550="topped_up",$E550="collected"),$D550=""),"office needed; ","")&amp;IF(AND($E550&lt;&gt;"correction",N($G550)&lt;=0),"qty must be above 0; ","")&amp;IF(AND($E550="received",OR($I550="",$H550="")),"log lot and best-by; ","")&amp;IF(AND($P550="N",SUMIFS(inventory!$G$2:$G$801,inventory!$C$2:$C$801,$C550,inventory!$H$2:$H$801,$H550,inventory!$E$2:$E$801,"rejected")&lt;N($G550)),"UNDER "&amp;config!$B$19&amp;" DAYS LEFT ON THE DROP DAY: reject these units; ","")&amp;IF(AND($E550="delivered",COUNTIF(inventory!$R$2:$R$801,$R550)&gt;1),"two delivered rows for this office: use one; ","")&amp;IF(AND($E550="delivered",$J550=""),"who counted?; ",""))</f>
        <v/>
      </c>
      <c r="R550" s="25">
        <f>IF($C550="","",$C550&amp;"|"&amp;$D550&amp;"|"&amp;$E550)</f>
        <v/>
      </c>
    </row>
    <row r="551">
      <c r="A551" s="9" t="n"/>
      <c r="B551" s="33" t="n"/>
      <c r="I551" s="9" t="n"/>
      <c r="L551" s="26">
        <f>IF($C551="","",IFERROR(IF(INDEX(campaigns!$BG$2:$BG$51,MATCH($C551,campaigns!$A$2:$A$51,0))="","",INDEX(campaigns!$BG$2:$BG$51,MATCH($C551,campaigns!$A$2:$A$51,0))),""))</f>
        <v/>
      </c>
      <c r="M551" s="25">
        <f>IF($C551="","",IF(OR($E551="received"),N($G551),IF(OR($E551="rejected",$E551="delivered",$E551="topped_up"),-N($G551),IF(AND(OR($E551="returned_to_brand",$E551="given_to_roster_office",$E551="released_to_office",$E551="disposed"),IF($F551="","reserve",$F551)="reserve"),-N($G551),IF(AND($E551="correction",IF($F551="","reserve",$F551)="reserve"),N($G551),0)))))</f>
        <v/>
      </c>
      <c r="N551" s="25">
        <f>IF($C551="","",IF($E551="rejected",N($G551),IF(AND(OR($E551="returned_to_brand",$E551="given_to_roster_office",$E551="released_to_office",$E551="disposed"),IF($F551="","reserve",$F551)="rejected"),-N($G551),IF(AND($E551="correction",IF($F551="","reserve",$F551)="rejected"),N($G551),0))))</f>
        <v/>
      </c>
      <c r="O551" s="25">
        <f>IF($C551="","",IF($E551="collected",N($G551),IF(AND(OR($E551="returned_to_brand",$E551="given_to_roster_office",$E551="released_to_office",$E551="disposed"),IF($F551="","reserve",$F551)="leftover"),-N($G551),IF(AND($E551="correction",IF($F551="","reserve",$F551)="leftover"),N($G551),0))))</f>
        <v/>
      </c>
      <c r="P551" s="25">
        <f>IF(OR($E551&lt;&gt;"received",$I551="",$L551=""),"",IF($I551&gt;=$L551+config!$B$19,"Y","N"))</f>
        <v/>
      </c>
      <c r="Q551" s="25">
        <f>IF($C551="","",IF(COUNTIF(campaigns!$A$2:$A$51,$C551)=0,"campaign_id not on campaigns; ",IF(AND($D551&lt;&gt;"",COUNTIFS(approvals!$A$2:$A$251,$C551,approvals!$B$2:$B$251,$D551)=0),"office not on this campaign (approvals tab); ",""))&amp;IF(AND(OR($E551="delivered",$E551="topped_up",$E551="collected"),$D551=""),"office needed; ","")&amp;IF(AND($E551&lt;&gt;"correction",N($G551)&lt;=0),"qty must be above 0; ","")&amp;IF(AND($E551="received",OR($I551="",$H551="")),"log lot and best-by; ","")&amp;IF(AND($P551="N",SUMIFS(inventory!$G$2:$G$801,inventory!$C$2:$C$801,$C551,inventory!$H$2:$H$801,$H551,inventory!$E$2:$E$801,"rejected")&lt;N($G551)),"UNDER "&amp;config!$B$19&amp;" DAYS LEFT ON THE DROP DAY: reject these units; ","")&amp;IF(AND($E551="delivered",COUNTIF(inventory!$R$2:$R$801,$R551)&gt;1),"two delivered rows for this office: use one; ","")&amp;IF(AND($E551="delivered",$J551=""),"who counted?; ",""))</f>
        <v/>
      </c>
      <c r="R551" s="25">
        <f>IF($C551="","",$C551&amp;"|"&amp;$D551&amp;"|"&amp;$E551)</f>
        <v/>
      </c>
    </row>
    <row r="552">
      <c r="A552" s="9" t="n"/>
      <c r="B552" s="33" t="n"/>
      <c r="I552" s="9" t="n"/>
      <c r="L552" s="26">
        <f>IF($C552="","",IFERROR(IF(INDEX(campaigns!$BG$2:$BG$51,MATCH($C552,campaigns!$A$2:$A$51,0))="","",INDEX(campaigns!$BG$2:$BG$51,MATCH($C552,campaigns!$A$2:$A$51,0))),""))</f>
        <v/>
      </c>
      <c r="M552" s="25">
        <f>IF($C552="","",IF(OR($E552="received"),N($G552),IF(OR($E552="rejected",$E552="delivered",$E552="topped_up"),-N($G552),IF(AND(OR($E552="returned_to_brand",$E552="given_to_roster_office",$E552="released_to_office",$E552="disposed"),IF($F552="","reserve",$F552)="reserve"),-N($G552),IF(AND($E552="correction",IF($F552="","reserve",$F552)="reserve"),N($G552),0)))))</f>
        <v/>
      </c>
      <c r="N552" s="25">
        <f>IF($C552="","",IF($E552="rejected",N($G552),IF(AND(OR($E552="returned_to_brand",$E552="given_to_roster_office",$E552="released_to_office",$E552="disposed"),IF($F552="","reserve",$F552)="rejected"),-N($G552),IF(AND($E552="correction",IF($F552="","reserve",$F552)="rejected"),N($G552),0))))</f>
        <v/>
      </c>
      <c r="O552" s="25">
        <f>IF($C552="","",IF($E552="collected",N($G552),IF(AND(OR($E552="returned_to_brand",$E552="given_to_roster_office",$E552="released_to_office",$E552="disposed"),IF($F552="","reserve",$F552)="leftover"),-N($G552),IF(AND($E552="correction",IF($F552="","reserve",$F552)="leftover"),N($G552),0))))</f>
        <v/>
      </c>
      <c r="P552" s="25">
        <f>IF(OR($E552&lt;&gt;"received",$I552="",$L552=""),"",IF($I552&gt;=$L552+config!$B$19,"Y","N"))</f>
        <v/>
      </c>
      <c r="Q552" s="25">
        <f>IF($C552="","",IF(COUNTIF(campaigns!$A$2:$A$51,$C552)=0,"campaign_id not on campaigns; ",IF(AND($D552&lt;&gt;"",COUNTIFS(approvals!$A$2:$A$251,$C552,approvals!$B$2:$B$251,$D552)=0),"office not on this campaign (approvals tab); ",""))&amp;IF(AND(OR($E552="delivered",$E552="topped_up",$E552="collected"),$D552=""),"office needed; ","")&amp;IF(AND($E552&lt;&gt;"correction",N($G552)&lt;=0),"qty must be above 0; ","")&amp;IF(AND($E552="received",OR($I552="",$H552="")),"log lot and best-by; ","")&amp;IF(AND($P552="N",SUMIFS(inventory!$G$2:$G$801,inventory!$C$2:$C$801,$C552,inventory!$H$2:$H$801,$H552,inventory!$E$2:$E$801,"rejected")&lt;N($G552)),"UNDER "&amp;config!$B$19&amp;" DAYS LEFT ON THE DROP DAY: reject these units; ","")&amp;IF(AND($E552="delivered",COUNTIF(inventory!$R$2:$R$801,$R552)&gt;1),"two delivered rows for this office: use one; ","")&amp;IF(AND($E552="delivered",$J552=""),"who counted?; ",""))</f>
        <v/>
      </c>
      <c r="R552" s="25">
        <f>IF($C552="","",$C552&amp;"|"&amp;$D552&amp;"|"&amp;$E552)</f>
        <v/>
      </c>
    </row>
    <row r="553">
      <c r="A553" s="9" t="n"/>
      <c r="B553" s="33" t="n"/>
      <c r="I553" s="9" t="n"/>
      <c r="L553" s="26">
        <f>IF($C553="","",IFERROR(IF(INDEX(campaigns!$BG$2:$BG$51,MATCH($C553,campaigns!$A$2:$A$51,0))="","",INDEX(campaigns!$BG$2:$BG$51,MATCH($C553,campaigns!$A$2:$A$51,0))),""))</f>
        <v/>
      </c>
      <c r="M553" s="25">
        <f>IF($C553="","",IF(OR($E553="received"),N($G553),IF(OR($E553="rejected",$E553="delivered",$E553="topped_up"),-N($G553),IF(AND(OR($E553="returned_to_brand",$E553="given_to_roster_office",$E553="released_to_office",$E553="disposed"),IF($F553="","reserve",$F553)="reserve"),-N($G553),IF(AND($E553="correction",IF($F553="","reserve",$F553)="reserve"),N($G553),0)))))</f>
        <v/>
      </c>
      <c r="N553" s="25">
        <f>IF($C553="","",IF($E553="rejected",N($G553),IF(AND(OR($E553="returned_to_brand",$E553="given_to_roster_office",$E553="released_to_office",$E553="disposed"),IF($F553="","reserve",$F553)="rejected"),-N($G553),IF(AND($E553="correction",IF($F553="","reserve",$F553)="rejected"),N($G553),0))))</f>
        <v/>
      </c>
      <c r="O553" s="25">
        <f>IF($C553="","",IF($E553="collected",N($G553),IF(AND(OR($E553="returned_to_brand",$E553="given_to_roster_office",$E553="released_to_office",$E553="disposed"),IF($F553="","reserve",$F553)="leftover"),-N($G553),IF(AND($E553="correction",IF($F553="","reserve",$F553)="leftover"),N($G553),0))))</f>
        <v/>
      </c>
      <c r="P553" s="25">
        <f>IF(OR($E553&lt;&gt;"received",$I553="",$L553=""),"",IF($I553&gt;=$L553+config!$B$19,"Y","N"))</f>
        <v/>
      </c>
      <c r="Q553" s="25">
        <f>IF($C553="","",IF(COUNTIF(campaigns!$A$2:$A$51,$C553)=0,"campaign_id not on campaigns; ",IF(AND($D553&lt;&gt;"",COUNTIFS(approvals!$A$2:$A$251,$C553,approvals!$B$2:$B$251,$D553)=0),"office not on this campaign (approvals tab); ",""))&amp;IF(AND(OR($E553="delivered",$E553="topped_up",$E553="collected"),$D553=""),"office needed; ","")&amp;IF(AND($E553&lt;&gt;"correction",N($G553)&lt;=0),"qty must be above 0; ","")&amp;IF(AND($E553="received",OR($I553="",$H553="")),"log lot and best-by; ","")&amp;IF(AND($P553="N",SUMIFS(inventory!$G$2:$G$801,inventory!$C$2:$C$801,$C553,inventory!$H$2:$H$801,$H553,inventory!$E$2:$E$801,"rejected")&lt;N($G553)),"UNDER "&amp;config!$B$19&amp;" DAYS LEFT ON THE DROP DAY: reject these units; ","")&amp;IF(AND($E553="delivered",COUNTIF(inventory!$R$2:$R$801,$R553)&gt;1),"two delivered rows for this office: use one; ","")&amp;IF(AND($E553="delivered",$J553=""),"who counted?; ",""))</f>
        <v/>
      </c>
      <c r="R553" s="25">
        <f>IF($C553="","",$C553&amp;"|"&amp;$D553&amp;"|"&amp;$E553)</f>
        <v/>
      </c>
    </row>
    <row r="554">
      <c r="A554" s="9" t="n"/>
      <c r="B554" s="33" t="n"/>
      <c r="I554" s="9" t="n"/>
      <c r="L554" s="26">
        <f>IF($C554="","",IFERROR(IF(INDEX(campaigns!$BG$2:$BG$51,MATCH($C554,campaigns!$A$2:$A$51,0))="","",INDEX(campaigns!$BG$2:$BG$51,MATCH($C554,campaigns!$A$2:$A$51,0))),""))</f>
        <v/>
      </c>
      <c r="M554" s="25">
        <f>IF($C554="","",IF(OR($E554="received"),N($G554),IF(OR($E554="rejected",$E554="delivered",$E554="topped_up"),-N($G554),IF(AND(OR($E554="returned_to_brand",$E554="given_to_roster_office",$E554="released_to_office",$E554="disposed"),IF($F554="","reserve",$F554)="reserve"),-N($G554),IF(AND($E554="correction",IF($F554="","reserve",$F554)="reserve"),N($G554),0)))))</f>
        <v/>
      </c>
      <c r="N554" s="25">
        <f>IF($C554="","",IF($E554="rejected",N($G554),IF(AND(OR($E554="returned_to_brand",$E554="given_to_roster_office",$E554="released_to_office",$E554="disposed"),IF($F554="","reserve",$F554)="rejected"),-N($G554),IF(AND($E554="correction",IF($F554="","reserve",$F554)="rejected"),N($G554),0))))</f>
        <v/>
      </c>
      <c r="O554" s="25">
        <f>IF($C554="","",IF($E554="collected",N($G554),IF(AND(OR($E554="returned_to_brand",$E554="given_to_roster_office",$E554="released_to_office",$E554="disposed"),IF($F554="","reserve",$F554)="leftover"),-N($G554),IF(AND($E554="correction",IF($F554="","reserve",$F554)="leftover"),N($G554),0))))</f>
        <v/>
      </c>
      <c r="P554" s="25">
        <f>IF(OR($E554&lt;&gt;"received",$I554="",$L554=""),"",IF($I554&gt;=$L554+config!$B$19,"Y","N"))</f>
        <v/>
      </c>
      <c r="Q554" s="25">
        <f>IF($C554="","",IF(COUNTIF(campaigns!$A$2:$A$51,$C554)=0,"campaign_id not on campaigns; ",IF(AND($D554&lt;&gt;"",COUNTIFS(approvals!$A$2:$A$251,$C554,approvals!$B$2:$B$251,$D554)=0),"office not on this campaign (approvals tab); ",""))&amp;IF(AND(OR($E554="delivered",$E554="topped_up",$E554="collected"),$D554=""),"office needed; ","")&amp;IF(AND($E554&lt;&gt;"correction",N($G554)&lt;=0),"qty must be above 0; ","")&amp;IF(AND($E554="received",OR($I554="",$H554="")),"log lot and best-by; ","")&amp;IF(AND($P554="N",SUMIFS(inventory!$G$2:$G$801,inventory!$C$2:$C$801,$C554,inventory!$H$2:$H$801,$H554,inventory!$E$2:$E$801,"rejected")&lt;N($G554)),"UNDER "&amp;config!$B$19&amp;" DAYS LEFT ON THE DROP DAY: reject these units; ","")&amp;IF(AND($E554="delivered",COUNTIF(inventory!$R$2:$R$801,$R554)&gt;1),"two delivered rows for this office: use one; ","")&amp;IF(AND($E554="delivered",$J554=""),"who counted?; ",""))</f>
        <v/>
      </c>
      <c r="R554" s="25">
        <f>IF($C554="","",$C554&amp;"|"&amp;$D554&amp;"|"&amp;$E554)</f>
        <v/>
      </c>
    </row>
    <row r="555">
      <c r="A555" s="9" t="n"/>
      <c r="B555" s="33" t="n"/>
      <c r="I555" s="9" t="n"/>
      <c r="L555" s="26">
        <f>IF($C555="","",IFERROR(IF(INDEX(campaigns!$BG$2:$BG$51,MATCH($C555,campaigns!$A$2:$A$51,0))="","",INDEX(campaigns!$BG$2:$BG$51,MATCH($C555,campaigns!$A$2:$A$51,0))),""))</f>
        <v/>
      </c>
      <c r="M555" s="25">
        <f>IF($C555="","",IF(OR($E555="received"),N($G555),IF(OR($E555="rejected",$E555="delivered",$E555="topped_up"),-N($G555),IF(AND(OR($E555="returned_to_brand",$E555="given_to_roster_office",$E555="released_to_office",$E555="disposed"),IF($F555="","reserve",$F555)="reserve"),-N($G555),IF(AND($E555="correction",IF($F555="","reserve",$F555)="reserve"),N($G555),0)))))</f>
        <v/>
      </c>
      <c r="N555" s="25">
        <f>IF($C555="","",IF($E555="rejected",N($G555),IF(AND(OR($E555="returned_to_brand",$E555="given_to_roster_office",$E555="released_to_office",$E555="disposed"),IF($F555="","reserve",$F555)="rejected"),-N($G555),IF(AND($E555="correction",IF($F555="","reserve",$F555)="rejected"),N($G555),0))))</f>
        <v/>
      </c>
      <c r="O555" s="25">
        <f>IF($C555="","",IF($E555="collected",N($G555),IF(AND(OR($E555="returned_to_brand",$E555="given_to_roster_office",$E555="released_to_office",$E555="disposed"),IF($F555="","reserve",$F555)="leftover"),-N($G555),IF(AND($E555="correction",IF($F555="","reserve",$F555)="leftover"),N($G555),0))))</f>
        <v/>
      </c>
      <c r="P555" s="25">
        <f>IF(OR($E555&lt;&gt;"received",$I555="",$L555=""),"",IF($I555&gt;=$L555+config!$B$19,"Y","N"))</f>
        <v/>
      </c>
      <c r="Q555" s="25">
        <f>IF($C555="","",IF(COUNTIF(campaigns!$A$2:$A$51,$C555)=0,"campaign_id not on campaigns; ",IF(AND($D555&lt;&gt;"",COUNTIFS(approvals!$A$2:$A$251,$C555,approvals!$B$2:$B$251,$D555)=0),"office not on this campaign (approvals tab); ",""))&amp;IF(AND(OR($E555="delivered",$E555="topped_up",$E555="collected"),$D555=""),"office needed; ","")&amp;IF(AND($E555&lt;&gt;"correction",N($G555)&lt;=0),"qty must be above 0; ","")&amp;IF(AND($E555="received",OR($I555="",$H555="")),"log lot and best-by; ","")&amp;IF(AND($P555="N",SUMIFS(inventory!$G$2:$G$801,inventory!$C$2:$C$801,$C555,inventory!$H$2:$H$801,$H555,inventory!$E$2:$E$801,"rejected")&lt;N($G555)),"UNDER "&amp;config!$B$19&amp;" DAYS LEFT ON THE DROP DAY: reject these units; ","")&amp;IF(AND($E555="delivered",COUNTIF(inventory!$R$2:$R$801,$R555)&gt;1),"two delivered rows for this office: use one; ","")&amp;IF(AND($E555="delivered",$J555=""),"who counted?; ",""))</f>
        <v/>
      </c>
      <c r="R555" s="25">
        <f>IF($C555="","",$C555&amp;"|"&amp;$D555&amp;"|"&amp;$E555)</f>
        <v/>
      </c>
    </row>
    <row r="556">
      <c r="A556" s="9" t="n"/>
      <c r="B556" s="33" t="n"/>
      <c r="I556" s="9" t="n"/>
      <c r="L556" s="26">
        <f>IF($C556="","",IFERROR(IF(INDEX(campaigns!$BG$2:$BG$51,MATCH($C556,campaigns!$A$2:$A$51,0))="","",INDEX(campaigns!$BG$2:$BG$51,MATCH($C556,campaigns!$A$2:$A$51,0))),""))</f>
        <v/>
      </c>
      <c r="M556" s="25">
        <f>IF($C556="","",IF(OR($E556="received"),N($G556),IF(OR($E556="rejected",$E556="delivered",$E556="topped_up"),-N($G556),IF(AND(OR($E556="returned_to_brand",$E556="given_to_roster_office",$E556="released_to_office",$E556="disposed"),IF($F556="","reserve",$F556)="reserve"),-N($G556),IF(AND($E556="correction",IF($F556="","reserve",$F556)="reserve"),N($G556),0)))))</f>
        <v/>
      </c>
      <c r="N556" s="25">
        <f>IF($C556="","",IF($E556="rejected",N($G556),IF(AND(OR($E556="returned_to_brand",$E556="given_to_roster_office",$E556="released_to_office",$E556="disposed"),IF($F556="","reserve",$F556)="rejected"),-N($G556),IF(AND($E556="correction",IF($F556="","reserve",$F556)="rejected"),N($G556),0))))</f>
        <v/>
      </c>
      <c r="O556" s="25">
        <f>IF($C556="","",IF($E556="collected",N($G556),IF(AND(OR($E556="returned_to_brand",$E556="given_to_roster_office",$E556="released_to_office",$E556="disposed"),IF($F556="","reserve",$F556)="leftover"),-N($G556),IF(AND($E556="correction",IF($F556="","reserve",$F556)="leftover"),N($G556),0))))</f>
        <v/>
      </c>
      <c r="P556" s="25">
        <f>IF(OR($E556&lt;&gt;"received",$I556="",$L556=""),"",IF($I556&gt;=$L556+config!$B$19,"Y","N"))</f>
        <v/>
      </c>
      <c r="Q556" s="25">
        <f>IF($C556="","",IF(COUNTIF(campaigns!$A$2:$A$51,$C556)=0,"campaign_id not on campaigns; ",IF(AND($D556&lt;&gt;"",COUNTIFS(approvals!$A$2:$A$251,$C556,approvals!$B$2:$B$251,$D556)=0),"office not on this campaign (approvals tab); ",""))&amp;IF(AND(OR($E556="delivered",$E556="topped_up",$E556="collected"),$D556=""),"office needed; ","")&amp;IF(AND($E556&lt;&gt;"correction",N($G556)&lt;=0),"qty must be above 0; ","")&amp;IF(AND($E556="received",OR($I556="",$H556="")),"log lot and best-by; ","")&amp;IF(AND($P556="N",SUMIFS(inventory!$G$2:$G$801,inventory!$C$2:$C$801,$C556,inventory!$H$2:$H$801,$H556,inventory!$E$2:$E$801,"rejected")&lt;N($G556)),"UNDER "&amp;config!$B$19&amp;" DAYS LEFT ON THE DROP DAY: reject these units; ","")&amp;IF(AND($E556="delivered",COUNTIF(inventory!$R$2:$R$801,$R556)&gt;1),"two delivered rows for this office: use one; ","")&amp;IF(AND($E556="delivered",$J556=""),"who counted?; ",""))</f>
        <v/>
      </c>
      <c r="R556" s="25">
        <f>IF($C556="","",$C556&amp;"|"&amp;$D556&amp;"|"&amp;$E556)</f>
        <v/>
      </c>
    </row>
    <row r="557">
      <c r="A557" s="9" t="n"/>
      <c r="B557" s="33" t="n"/>
      <c r="I557" s="9" t="n"/>
      <c r="L557" s="26">
        <f>IF($C557="","",IFERROR(IF(INDEX(campaigns!$BG$2:$BG$51,MATCH($C557,campaigns!$A$2:$A$51,0))="","",INDEX(campaigns!$BG$2:$BG$51,MATCH($C557,campaigns!$A$2:$A$51,0))),""))</f>
        <v/>
      </c>
      <c r="M557" s="25">
        <f>IF($C557="","",IF(OR($E557="received"),N($G557),IF(OR($E557="rejected",$E557="delivered",$E557="topped_up"),-N($G557),IF(AND(OR($E557="returned_to_brand",$E557="given_to_roster_office",$E557="released_to_office",$E557="disposed"),IF($F557="","reserve",$F557)="reserve"),-N($G557),IF(AND($E557="correction",IF($F557="","reserve",$F557)="reserve"),N($G557),0)))))</f>
        <v/>
      </c>
      <c r="N557" s="25">
        <f>IF($C557="","",IF($E557="rejected",N($G557),IF(AND(OR($E557="returned_to_brand",$E557="given_to_roster_office",$E557="released_to_office",$E557="disposed"),IF($F557="","reserve",$F557)="rejected"),-N($G557),IF(AND($E557="correction",IF($F557="","reserve",$F557)="rejected"),N($G557),0))))</f>
        <v/>
      </c>
      <c r="O557" s="25">
        <f>IF($C557="","",IF($E557="collected",N($G557),IF(AND(OR($E557="returned_to_brand",$E557="given_to_roster_office",$E557="released_to_office",$E557="disposed"),IF($F557="","reserve",$F557)="leftover"),-N($G557),IF(AND($E557="correction",IF($F557="","reserve",$F557)="leftover"),N($G557),0))))</f>
        <v/>
      </c>
      <c r="P557" s="25">
        <f>IF(OR($E557&lt;&gt;"received",$I557="",$L557=""),"",IF($I557&gt;=$L557+config!$B$19,"Y","N"))</f>
        <v/>
      </c>
      <c r="Q557" s="25">
        <f>IF($C557="","",IF(COUNTIF(campaigns!$A$2:$A$51,$C557)=0,"campaign_id not on campaigns; ",IF(AND($D557&lt;&gt;"",COUNTIFS(approvals!$A$2:$A$251,$C557,approvals!$B$2:$B$251,$D557)=0),"office not on this campaign (approvals tab); ",""))&amp;IF(AND(OR($E557="delivered",$E557="topped_up",$E557="collected"),$D557=""),"office needed; ","")&amp;IF(AND($E557&lt;&gt;"correction",N($G557)&lt;=0),"qty must be above 0; ","")&amp;IF(AND($E557="received",OR($I557="",$H557="")),"log lot and best-by; ","")&amp;IF(AND($P557="N",SUMIFS(inventory!$G$2:$G$801,inventory!$C$2:$C$801,$C557,inventory!$H$2:$H$801,$H557,inventory!$E$2:$E$801,"rejected")&lt;N($G557)),"UNDER "&amp;config!$B$19&amp;" DAYS LEFT ON THE DROP DAY: reject these units; ","")&amp;IF(AND($E557="delivered",COUNTIF(inventory!$R$2:$R$801,$R557)&gt;1),"two delivered rows for this office: use one; ","")&amp;IF(AND($E557="delivered",$J557=""),"who counted?; ",""))</f>
        <v/>
      </c>
      <c r="R557" s="25">
        <f>IF($C557="","",$C557&amp;"|"&amp;$D557&amp;"|"&amp;$E557)</f>
        <v/>
      </c>
    </row>
    <row r="558">
      <c r="A558" s="9" t="n"/>
      <c r="B558" s="33" t="n"/>
      <c r="I558" s="9" t="n"/>
      <c r="L558" s="26">
        <f>IF($C558="","",IFERROR(IF(INDEX(campaigns!$BG$2:$BG$51,MATCH($C558,campaigns!$A$2:$A$51,0))="","",INDEX(campaigns!$BG$2:$BG$51,MATCH($C558,campaigns!$A$2:$A$51,0))),""))</f>
        <v/>
      </c>
      <c r="M558" s="25">
        <f>IF($C558="","",IF(OR($E558="received"),N($G558),IF(OR($E558="rejected",$E558="delivered",$E558="topped_up"),-N($G558),IF(AND(OR($E558="returned_to_brand",$E558="given_to_roster_office",$E558="released_to_office",$E558="disposed"),IF($F558="","reserve",$F558)="reserve"),-N($G558),IF(AND($E558="correction",IF($F558="","reserve",$F558)="reserve"),N($G558),0)))))</f>
        <v/>
      </c>
      <c r="N558" s="25">
        <f>IF($C558="","",IF($E558="rejected",N($G558),IF(AND(OR($E558="returned_to_brand",$E558="given_to_roster_office",$E558="released_to_office",$E558="disposed"),IF($F558="","reserve",$F558)="rejected"),-N($G558),IF(AND($E558="correction",IF($F558="","reserve",$F558)="rejected"),N($G558),0))))</f>
        <v/>
      </c>
      <c r="O558" s="25">
        <f>IF($C558="","",IF($E558="collected",N($G558),IF(AND(OR($E558="returned_to_brand",$E558="given_to_roster_office",$E558="released_to_office",$E558="disposed"),IF($F558="","reserve",$F558)="leftover"),-N($G558),IF(AND($E558="correction",IF($F558="","reserve",$F558)="leftover"),N($G558),0))))</f>
        <v/>
      </c>
      <c r="P558" s="25">
        <f>IF(OR($E558&lt;&gt;"received",$I558="",$L558=""),"",IF($I558&gt;=$L558+config!$B$19,"Y","N"))</f>
        <v/>
      </c>
      <c r="Q558" s="25">
        <f>IF($C558="","",IF(COUNTIF(campaigns!$A$2:$A$51,$C558)=0,"campaign_id not on campaigns; ",IF(AND($D558&lt;&gt;"",COUNTIFS(approvals!$A$2:$A$251,$C558,approvals!$B$2:$B$251,$D558)=0),"office not on this campaign (approvals tab); ",""))&amp;IF(AND(OR($E558="delivered",$E558="topped_up",$E558="collected"),$D558=""),"office needed; ","")&amp;IF(AND($E558&lt;&gt;"correction",N($G558)&lt;=0),"qty must be above 0; ","")&amp;IF(AND($E558="received",OR($I558="",$H558="")),"log lot and best-by; ","")&amp;IF(AND($P558="N",SUMIFS(inventory!$G$2:$G$801,inventory!$C$2:$C$801,$C558,inventory!$H$2:$H$801,$H558,inventory!$E$2:$E$801,"rejected")&lt;N($G558)),"UNDER "&amp;config!$B$19&amp;" DAYS LEFT ON THE DROP DAY: reject these units; ","")&amp;IF(AND($E558="delivered",COUNTIF(inventory!$R$2:$R$801,$R558)&gt;1),"two delivered rows for this office: use one; ","")&amp;IF(AND($E558="delivered",$J558=""),"who counted?; ",""))</f>
        <v/>
      </c>
      <c r="R558" s="25">
        <f>IF($C558="","",$C558&amp;"|"&amp;$D558&amp;"|"&amp;$E558)</f>
        <v/>
      </c>
    </row>
    <row r="559">
      <c r="A559" s="9" t="n"/>
      <c r="B559" s="33" t="n"/>
      <c r="I559" s="9" t="n"/>
      <c r="L559" s="26">
        <f>IF($C559="","",IFERROR(IF(INDEX(campaigns!$BG$2:$BG$51,MATCH($C559,campaigns!$A$2:$A$51,0))="","",INDEX(campaigns!$BG$2:$BG$51,MATCH($C559,campaigns!$A$2:$A$51,0))),""))</f>
        <v/>
      </c>
      <c r="M559" s="25">
        <f>IF($C559="","",IF(OR($E559="received"),N($G559),IF(OR($E559="rejected",$E559="delivered",$E559="topped_up"),-N($G559),IF(AND(OR($E559="returned_to_brand",$E559="given_to_roster_office",$E559="released_to_office",$E559="disposed"),IF($F559="","reserve",$F559)="reserve"),-N($G559),IF(AND($E559="correction",IF($F559="","reserve",$F559)="reserve"),N($G559),0)))))</f>
        <v/>
      </c>
      <c r="N559" s="25">
        <f>IF($C559="","",IF($E559="rejected",N($G559),IF(AND(OR($E559="returned_to_brand",$E559="given_to_roster_office",$E559="released_to_office",$E559="disposed"),IF($F559="","reserve",$F559)="rejected"),-N($G559),IF(AND($E559="correction",IF($F559="","reserve",$F559)="rejected"),N($G559),0))))</f>
        <v/>
      </c>
      <c r="O559" s="25">
        <f>IF($C559="","",IF($E559="collected",N($G559),IF(AND(OR($E559="returned_to_brand",$E559="given_to_roster_office",$E559="released_to_office",$E559="disposed"),IF($F559="","reserve",$F559)="leftover"),-N($G559),IF(AND($E559="correction",IF($F559="","reserve",$F559)="leftover"),N($G559),0))))</f>
        <v/>
      </c>
      <c r="P559" s="25">
        <f>IF(OR($E559&lt;&gt;"received",$I559="",$L559=""),"",IF($I559&gt;=$L559+config!$B$19,"Y","N"))</f>
        <v/>
      </c>
      <c r="Q559" s="25">
        <f>IF($C559="","",IF(COUNTIF(campaigns!$A$2:$A$51,$C559)=0,"campaign_id not on campaigns; ",IF(AND($D559&lt;&gt;"",COUNTIFS(approvals!$A$2:$A$251,$C559,approvals!$B$2:$B$251,$D559)=0),"office not on this campaign (approvals tab); ",""))&amp;IF(AND(OR($E559="delivered",$E559="topped_up",$E559="collected"),$D559=""),"office needed; ","")&amp;IF(AND($E559&lt;&gt;"correction",N($G559)&lt;=0),"qty must be above 0; ","")&amp;IF(AND($E559="received",OR($I559="",$H559="")),"log lot and best-by; ","")&amp;IF(AND($P559="N",SUMIFS(inventory!$G$2:$G$801,inventory!$C$2:$C$801,$C559,inventory!$H$2:$H$801,$H559,inventory!$E$2:$E$801,"rejected")&lt;N($G559)),"UNDER "&amp;config!$B$19&amp;" DAYS LEFT ON THE DROP DAY: reject these units; ","")&amp;IF(AND($E559="delivered",COUNTIF(inventory!$R$2:$R$801,$R559)&gt;1),"two delivered rows for this office: use one; ","")&amp;IF(AND($E559="delivered",$J559=""),"who counted?; ",""))</f>
        <v/>
      </c>
      <c r="R559" s="25">
        <f>IF($C559="","",$C559&amp;"|"&amp;$D559&amp;"|"&amp;$E559)</f>
        <v/>
      </c>
    </row>
    <row r="560">
      <c r="A560" s="9" t="n"/>
      <c r="B560" s="33" t="n"/>
      <c r="I560" s="9" t="n"/>
      <c r="L560" s="26">
        <f>IF($C560="","",IFERROR(IF(INDEX(campaigns!$BG$2:$BG$51,MATCH($C560,campaigns!$A$2:$A$51,0))="","",INDEX(campaigns!$BG$2:$BG$51,MATCH($C560,campaigns!$A$2:$A$51,0))),""))</f>
        <v/>
      </c>
      <c r="M560" s="25">
        <f>IF($C560="","",IF(OR($E560="received"),N($G560),IF(OR($E560="rejected",$E560="delivered",$E560="topped_up"),-N($G560),IF(AND(OR($E560="returned_to_brand",$E560="given_to_roster_office",$E560="released_to_office",$E560="disposed"),IF($F560="","reserve",$F560)="reserve"),-N($G560),IF(AND($E560="correction",IF($F560="","reserve",$F560)="reserve"),N($G560),0)))))</f>
        <v/>
      </c>
      <c r="N560" s="25">
        <f>IF($C560="","",IF($E560="rejected",N($G560),IF(AND(OR($E560="returned_to_brand",$E560="given_to_roster_office",$E560="released_to_office",$E560="disposed"),IF($F560="","reserve",$F560)="rejected"),-N($G560),IF(AND($E560="correction",IF($F560="","reserve",$F560)="rejected"),N($G560),0))))</f>
        <v/>
      </c>
      <c r="O560" s="25">
        <f>IF($C560="","",IF($E560="collected",N($G560),IF(AND(OR($E560="returned_to_brand",$E560="given_to_roster_office",$E560="released_to_office",$E560="disposed"),IF($F560="","reserve",$F560)="leftover"),-N($G560),IF(AND($E560="correction",IF($F560="","reserve",$F560)="leftover"),N($G560),0))))</f>
        <v/>
      </c>
      <c r="P560" s="25">
        <f>IF(OR($E560&lt;&gt;"received",$I560="",$L560=""),"",IF($I560&gt;=$L560+config!$B$19,"Y","N"))</f>
        <v/>
      </c>
      <c r="Q560" s="25">
        <f>IF($C560="","",IF(COUNTIF(campaigns!$A$2:$A$51,$C560)=0,"campaign_id not on campaigns; ",IF(AND($D560&lt;&gt;"",COUNTIFS(approvals!$A$2:$A$251,$C560,approvals!$B$2:$B$251,$D560)=0),"office not on this campaign (approvals tab); ",""))&amp;IF(AND(OR($E560="delivered",$E560="topped_up",$E560="collected"),$D560=""),"office needed; ","")&amp;IF(AND($E560&lt;&gt;"correction",N($G560)&lt;=0),"qty must be above 0; ","")&amp;IF(AND($E560="received",OR($I560="",$H560="")),"log lot and best-by; ","")&amp;IF(AND($P560="N",SUMIFS(inventory!$G$2:$G$801,inventory!$C$2:$C$801,$C560,inventory!$H$2:$H$801,$H560,inventory!$E$2:$E$801,"rejected")&lt;N($G560)),"UNDER "&amp;config!$B$19&amp;" DAYS LEFT ON THE DROP DAY: reject these units; ","")&amp;IF(AND($E560="delivered",COUNTIF(inventory!$R$2:$R$801,$R560)&gt;1),"two delivered rows for this office: use one; ","")&amp;IF(AND($E560="delivered",$J560=""),"who counted?; ",""))</f>
        <v/>
      </c>
      <c r="R560" s="25">
        <f>IF($C560="","",$C560&amp;"|"&amp;$D560&amp;"|"&amp;$E560)</f>
        <v/>
      </c>
    </row>
    <row r="561">
      <c r="A561" s="9" t="n"/>
      <c r="B561" s="33" t="n"/>
      <c r="I561" s="9" t="n"/>
      <c r="L561" s="26">
        <f>IF($C561="","",IFERROR(IF(INDEX(campaigns!$BG$2:$BG$51,MATCH($C561,campaigns!$A$2:$A$51,0))="","",INDEX(campaigns!$BG$2:$BG$51,MATCH($C561,campaigns!$A$2:$A$51,0))),""))</f>
        <v/>
      </c>
      <c r="M561" s="25">
        <f>IF($C561="","",IF(OR($E561="received"),N($G561),IF(OR($E561="rejected",$E561="delivered",$E561="topped_up"),-N($G561),IF(AND(OR($E561="returned_to_brand",$E561="given_to_roster_office",$E561="released_to_office",$E561="disposed"),IF($F561="","reserve",$F561)="reserve"),-N($G561),IF(AND($E561="correction",IF($F561="","reserve",$F561)="reserve"),N($G561),0)))))</f>
        <v/>
      </c>
      <c r="N561" s="25">
        <f>IF($C561="","",IF($E561="rejected",N($G561),IF(AND(OR($E561="returned_to_brand",$E561="given_to_roster_office",$E561="released_to_office",$E561="disposed"),IF($F561="","reserve",$F561)="rejected"),-N($G561),IF(AND($E561="correction",IF($F561="","reserve",$F561)="rejected"),N($G561),0))))</f>
        <v/>
      </c>
      <c r="O561" s="25">
        <f>IF($C561="","",IF($E561="collected",N($G561),IF(AND(OR($E561="returned_to_brand",$E561="given_to_roster_office",$E561="released_to_office",$E561="disposed"),IF($F561="","reserve",$F561)="leftover"),-N($G561),IF(AND($E561="correction",IF($F561="","reserve",$F561)="leftover"),N($G561),0))))</f>
        <v/>
      </c>
      <c r="P561" s="25">
        <f>IF(OR($E561&lt;&gt;"received",$I561="",$L561=""),"",IF($I561&gt;=$L561+config!$B$19,"Y","N"))</f>
        <v/>
      </c>
      <c r="Q561" s="25">
        <f>IF($C561="","",IF(COUNTIF(campaigns!$A$2:$A$51,$C561)=0,"campaign_id not on campaigns; ",IF(AND($D561&lt;&gt;"",COUNTIFS(approvals!$A$2:$A$251,$C561,approvals!$B$2:$B$251,$D561)=0),"office not on this campaign (approvals tab); ",""))&amp;IF(AND(OR($E561="delivered",$E561="topped_up",$E561="collected"),$D561=""),"office needed; ","")&amp;IF(AND($E561&lt;&gt;"correction",N($G561)&lt;=0),"qty must be above 0; ","")&amp;IF(AND($E561="received",OR($I561="",$H561="")),"log lot and best-by; ","")&amp;IF(AND($P561="N",SUMIFS(inventory!$G$2:$G$801,inventory!$C$2:$C$801,$C561,inventory!$H$2:$H$801,$H561,inventory!$E$2:$E$801,"rejected")&lt;N($G561)),"UNDER "&amp;config!$B$19&amp;" DAYS LEFT ON THE DROP DAY: reject these units; ","")&amp;IF(AND($E561="delivered",COUNTIF(inventory!$R$2:$R$801,$R561)&gt;1),"two delivered rows for this office: use one; ","")&amp;IF(AND($E561="delivered",$J561=""),"who counted?; ",""))</f>
        <v/>
      </c>
      <c r="R561" s="25">
        <f>IF($C561="","",$C561&amp;"|"&amp;$D561&amp;"|"&amp;$E561)</f>
        <v/>
      </c>
    </row>
    <row r="562">
      <c r="A562" s="9" t="n"/>
      <c r="B562" s="33" t="n"/>
      <c r="I562" s="9" t="n"/>
      <c r="L562" s="26">
        <f>IF($C562="","",IFERROR(IF(INDEX(campaigns!$BG$2:$BG$51,MATCH($C562,campaigns!$A$2:$A$51,0))="","",INDEX(campaigns!$BG$2:$BG$51,MATCH($C562,campaigns!$A$2:$A$51,0))),""))</f>
        <v/>
      </c>
      <c r="M562" s="25">
        <f>IF($C562="","",IF(OR($E562="received"),N($G562),IF(OR($E562="rejected",$E562="delivered",$E562="topped_up"),-N($G562),IF(AND(OR($E562="returned_to_brand",$E562="given_to_roster_office",$E562="released_to_office",$E562="disposed"),IF($F562="","reserve",$F562)="reserve"),-N($G562),IF(AND($E562="correction",IF($F562="","reserve",$F562)="reserve"),N($G562),0)))))</f>
        <v/>
      </c>
      <c r="N562" s="25">
        <f>IF($C562="","",IF($E562="rejected",N($G562),IF(AND(OR($E562="returned_to_brand",$E562="given_to_roster_office",$E562="released_to_office",$E562="disposed"),IF($F562="","reserve",$F562)="rejected"),-N($G562),IF(AND($E562="correction",IF($F562="","reserve",$F562)="rejected"),N($G562),0))))</f>
        <v/>
      </c>
      <c r="O562" s="25">
        <f>IF($C562="","",IF($E562="collected",N($G562),IF(AND(OR($E562="returned_to_brand",$E562="given_to_roster_office",$E562="released_to_office",$E562="disposed"),IF($F562="","reserve",$F562)="leftover"),-N($G562),IF(AND($E562="correction",IF($F562="","reserve",$F562)="leftover"),N($G562),0))))</f>
        <v/>
      </c>
      <c r="P562" s="25">
        <f>IF(OR($E562&lt;&gt;"received",$I562="",$L562=""),"",IF($I562&gt;=$L562+config!$B$19,"Y","N"))</f>
        <v/>
      </c>
      <c r="Q562" s="25">
        <f>IF($C562="","",IF(COUNTIF(campaigns!$A$2:$A$51,$C562)=0,"campaign_id not on campaigns; ",IF(AND($D562&lt;&gt;"",COUNTIFS(approvals!$A$2:$A$251,$C562,approvals!$B$2:$B$251,$D562)=0),"office not on this campaign (approvals tab); ",""))&amp;IF(AND(OR($E562="delivered",$E562="topped_up",$E562="collected"),$D562=""),"office needed; ","")&amp;IF(AND($E562&lt;&gt;"correction",N($G562)&lt;=0),"qty must be above 0; ","")&amp;IF(AND($E562="received",OR($I562="",$H562="")),"log lot and best-by; ","")&amp;IF(AND($P562="N",SUMIFS(inventory!$G$2:$G$801,inventory!$C$2:$C$801,$C562,inventory!$H$2:$H$801,$H562,inventory!$E$2:$E$801,"rejected")&lt;N($G562)),"UNDER "&amp;config!$B$19&amp;" DAYS LEFT ON THE DROP DAY: reject these units; ","")&amp;IF(AND($E562="delivered",COUNTIF(inventory!$R$2:$R$801,$R562)&gt;1),"two delivered rows for this office: use one; ","")&amp;IF(AND($E562="delivered",$J562=""),"who counted?; ",""))</f>
        <v/>
      </c>
      <c r="R562" s="25">
        <f>IF($C562="","",$C562&amp;"|"&amp;$D562&amp;"|"&amp;$E562)</f>
        <v/>
      </c>
    </row>
    <row r="563">
      <c r="A563" s="9" t="n"/>
      <c r="B563" s="33" t="n"/>
      <c r="I563" s="9" t="n"/>
      <c r="L563" s="26">
        <f>IF($C563="","",IFERROR(IF(INDEX(campaigns!$BG$2:$BG$51,MATCH($C563,campaigns!$A$2:$A$51,0))="","",INDEX(campaigns!$BG$2:$BG$51,MATCH($C563,campaigns!$A$2:$A$51,0))),""))</f>
        <v/>
      </c>
      <c r="M563" s="25">
        <f>IF($C563="","",IF(OR($E563="received"),N($G563),IF(OR($E563="rejected",$E563="delivered",$E563="topped_up"),-N($G563),IF(AND(OR($E563="returned_to_brand",$E563="given_to_roster_office",$E563="released_to_office",$E563="disposed"),IF($F563="","reserve",$F563)="reserve"),-N($G563),IF(AND($E563="correction",IF($F563="","reserve",$F563)="reserve"),N($G563),0)))))</f>
        <v/>
      </c>
      <c r="N563" s="25">
        <f>IF($C563="","",IF($E563="rejected",N($G563),IF(AND(OR($E563="returned_to_brand",$E563="given_to_roster_office",$E563="released_to_office",$E563="disposed"),IF($F563="","reserve",$F563)="rejected"),-N($G563),IF(AND($E563="correction",IF($F563="","reserve",$F563)="rejected"),N($G563),0))))</f>
        <v/>
      </c>
      <c r="O563" s="25">
        <f>IF($C563="","",IF($E563="collected",N($G563),IF(AND(OR($E563="returned_to_brand",$E563="given_to_roster_office",$E563="released_to_office",$E563="disposed"),IF($F563="","reserve",$F563)="leftover"),-N($G563),IF(AND($E563="correction",IF($F563="","reserve",$F563)="leftover"),N($G563),0))))</f>
        <v/>
      </c>
      <c r="P563" s="25">
        <f>IF(OR($E563&lt;&gt;"received",$I563="",$L563=""),"",IF($I563&gt;=$L563+config!$B$19,"Y","N"))</f>
        <v/>
      </c>
      <c r="Q563" s="25">
        <f>IF($C563="","",IF(COUNTIF(campaigns!$A$2:$A$51,$C563)=0,"campaign_id not on campaigns; ",IF(AND($D563&lt;&gt;"",COUNTIFS(approvals!$A$2:$A$251,$C563,approvals!$B$2:$B$251,$D563)=0),"office not on this campaign (approvals tab); ",""))&amp;IF(AND(OR($E563="delivered",$E563="topped_up",$E563="collected"),$D563=""),"office needed; ","")&amp;IF(AND($E563&lt;&gt;"correction",N($G563)&lt;=0),"qty must be above 0; ","")&amp;IF(AND($E563="received",OR($I563="",$H563="")),"log lot and best-by; ","")&amp;IF(AND($P563="N",SUMIFS(inventory!$G$2:$G$801,inventory!$C$2:$C$801,$C563,inventory!$H$2:$H$801,$H563,inventory!$E$2:$E$801,"rejected")&lt;N($G563)),"UNDER "&amp;config!$B$19&amp;" DAYS LEFT ON THE DROP DAY: reject these units; ","")&amp;IF(AND($E563="delivered",COUNTIF(inventory!$R$2:$R$801,$R563)&gt;1),"two delivered rows for this office: use one; ","")&amp;IF(AND($E563="delivered",$J563=""),"who counted?; ",""))</f>
        <v/>
      </c>
      <c r="R563" s="25">
        <f>IF($C563="","",$C563&amp;"|"&amp;$D563&amp;"|"&amp;$E563)</f>
        <v/>
      </c>
    </row>
    <row r="564">
      <c r="A564" s="9" t="n"/>
      <c r="B564" s="33" t="n"/>
      <c r="I564" s="9" t="n"/>
      <c r="L564" s="26">
        <f>IF($C564="","",IFERROR(IF(INDEX(campaigns!$BG$2:$BG$51,MATCH($C564,campaigns!$A$2:$A$51,0))="","",INDEX(campaigns!$BG$2:$BG$51,MATCH($C564,campaigns!$A$2:$A$51,0))),""))</f>
        <v/>
      </c>
      <c r="M564" s="25">
        <f>IF($C564="","",IF(OR($E564="received"),N($G564),IF(OR($E564="rejected",$E564="delivered",$E564="topped_up"),-N($G564),IF(AND(OR($E564="returned_to_brand",$E564="given_to_roster_office",$E564="released_to_office",$E564="disposed"),IF($F564="","reserve",$F564)="reserve"),-N($G564),IF(AND($E564="correction",IF($F564="","reserve",$F564)="reserve"),N($G564),0)))))</f>
        <v/>
      </c>
      <c r="N564" s="25">
        <f>IF($C564="","",IF($E564="rejected",N($G564),IF(AND(OR($E564="returned_to_brand",$E564="given_to_roster_office",$E564="released_to_office",$E564="disposed"),IF($F564="","reserve",$F564)="rejected"),-N($G564),IF(AND($E564="correction",IF($F564="","reserve",$F564)="rejected"),N($G564),0))))</f>
        <v/>
      </c>
      <c r="O564" s="25">
        <f>IF($C564="","",IF($E564="collected",N($G564),IF(AND(OR($E564="returned_to_brand",$E564="given_to_roster_office",$E564="released_to_office",$E564="disposed"),IF($F564="","reserve",$F564)="leftover"),-N($G564),IF(AND($E564="correction",IF($F564="","reserve",$F564)="leftover"),N($G564),0))))</f>
        <v/>
      </c>
      <c r="P564" s="25">
        <f>IF(OR($E564&lt;&gt;"received",$I564="",$L564=""),"",IF($I564&gt;=$L564+config!$B$19,"Y","N"))</f>
        <v/>
      </c>
      <c r="Q564" s="25">
        <f>IF($C564="","",IF(COUNTIF(campaigns!$A$2:$A$51,$C564)=0,"campaign_id not on campaigns; ",IF(AND($D564&lt;&gt;"",COUNTIFS(approvals!$A$2:$A$251,$C564,approvals!$B$2:$B$251,$D564)=0),"office not on this campaign (approvals tab); ",""))&amp;IF(AND(OR($E564="delivered",$E564="topped_up",$E564="collected"),$D564=""),"office needed; ","")&amp;IF(AND($E564&lt;&gt;"correction",N($G564)&lt;=0),"qty must be above 0; ","")&amp;IF(AND($E564="received",OR($I564="",$H564="")),"log lot and best-by; ","")&amp;IF(AND($P564="N",SUMIFS(inventory!$G$2:$G$801,inventory!$C$2:$C$801,$C564,inventory!$H$2:$H$801,$H564,inventory!$E$2:$E$801,"rejected")&lt;N($G564)),"UNDER "&amp;config!$B$19&amp;" DAYS LEFT ON THE DROP DAY: reject these units; ","")&amp;IF(AND($E564="delivered",COUNTIF(inventory!$R$2:$R$801,$R564)&gt;1),"two delivered rows for this office: use one; ","")&amp;IF(AND($E564="delivered",$J564=""),"who counted?; ",""))</f>
        <v/>
      </c>
      <c r="R564" s="25">
        <f>IF($C564="","",$C564&amp;"|"&amp;$D564&amp;"|"&amp;$E564)</f>
        <v/>
      </c>
    </row>
    <row r="565">
      <c r="A565" s="9" t="n"/>
      <c r="B565" s="33" t="n"/>
      <c r="I565" s="9" t="n"/>
      <c r="L565" s="26">
        <f>IF($C565="","",IFERROR(IF(INDEX(campaigns!$BG$2:$BG$51,MATCH($C565,campaigns!$A$2:$A$51,0))="","",INDEX(campaigns!$BG$2:$BG$51,MATCH($C565,campaigns!$A$2:$A$51,0))),""))</f>
        <v/>
      </c>
      <c r="M565" s="25">
        <f>IF($C565="","",IF(OR($E565="received"),N($G565),IF(OR($E565="rejected",$E565="delivered",$E565="topped_up"),-N($G565),IF(AND(OR($E565="returned_to_brand",$E565="given_to_roster_office",$E565="released_to_office",$E565="disposed"),IF($F565="","reserve",$F565)="reserve"),-N($G565),IF(AND($E565="correction",IF($F565="","reserve",$F565)="reserve"),N($G565),0)))))</f>
        <v/>
      </c>
      <c r="N565" s="25">
        <f>IF($C565="","",IF($E565="rejected",N($G565),IF(AND(OR($E565="returned_to_brand",$E565="given_to_roster_office",$E565="released_to_office",$E565="disposed"),IF($F565="","reserve",$F565)="rejected"),-N($G565),IF(AND($E565="correction",IF($F565="","reserve",$F565)="rejected"),N($G565),0))))</f>
        <v/>
      </c>
      <c r="O565" s="25">
        <f>IF($C565="","",IF($E565="collected",N($G565),IF(AND(OR($E565="returned_to_brand",$E565="given_to_roster_office",$E565="released_to_office",$E565="disposed"),IF($F565="","reserve",$F565)="leftover"),-N($G565),IF(AND($E565="correction",IF($F565="","reserve",$F565)="leftover"),N($G565),0))))</f>
        <v/>
      </c>
      <c r="P565" s="25">
        <f>IF(OR($E565&lt;&gt;"received",$I565="",$L565=""),"",IF($I565&gt;=$L565+config!$B$19,"Y","N"))</f>
        <v/>
      </c>
      <c r="Q565" s="25">
        <f>IF($C565="","",IF(COUNTIF(campaigns!$A$2:$A$51,$C565)=0,"campaign_id not on campaigns; ",IF(AND($D565&lt;&gt;"",COUNTIFS(approvals!$A$2:$A$251,$C565,approvals!$B$2:$B$251,$D565)=0),"office not on this campaign (approvals tab); ",""))&amp;IF(AND(OR($E565="delivered",$E565="topped_up",$E565="collected"),$D565=""),"office needed; ","")&amp;IF(AND($E565&lt;&gt;"correction",N($G565)&lt;=0),"qty must be above 0; ","")&amp;IF(AND($E565="received",OR($I565="",$H565="")),"log lot and best-by; ","")&amp;IF(AND($P565="N",SUMIFS(inventory!$G$2:$G$801,inventory!$C$2:$C$801,$C565,inventory!$H$2:$H$801,$H565,inventory!$E$2:$E$801,"rejected")&lt;N($G565)),"UNDER "&amp;config!$B$19&amp;" DAYS LEFT ON THE DROP DAY: reject these units; ","")&amp;IF(AND($E565="delivered",COUNTIF(inventory!$R$2:$R$801,$R565)&gt;1),"two delivered rows for this office: use one; ","")&amp;IF(AND($E565="delivered",$J565=""),"who counted?; ",""))</f>
        <v/>
      </c>
      <c r="R565" s="25">
        <f>IF($C565="","",$C565&amp;"|"&amp;$D565&amp;"|"&amp;$E565)</f>
        <v/>
      </c>
    </row>
    <row r="566">
      <c r="A566" s="9" t="n"/>
      <c r="B566" s="33" t="n"/>
      <c r="I566" s="9" t="n"/>
      <c r="L566" s="26">
        <f>IF($C566="","",IFERROR(IF(INDEX(campaigns!$BG$2:$BG$51,MATCH($C566,campaigns!$A$2:$A$51,0))="","",INDEX(campaigns!$BG$2:$BG$51,MATCH($C566,campaigns!$A$2:$A$51,0))),""))</f>
        <v/>
      </c>
      <c r="M566" s="25">
        <f>IF($C566="","",IF(OR($E566="received"),N($G566),IF(OR($E566="rejected",$E566="delivered",$E566="topped_up"),-N($G566),IF(AND(OR($E566="returned_to_brand",$E566="given_to_roster_office",$E566="released_to_office",$E566="disposed"),IF($F566="","reserve",$F566)="reserve"),-N($G566),IF(AND($E566="correction",IF($F566="","reserve",$F566)="reserve"),N($G566),0)))))</f>
        <v/>
      </c>
      <c r="N566" s="25">
        <f>IF($C566="","",IF($E566="rejected",N($G566),IF(AND(OR($E566="returned_to_brand",$E566="given_to_roster_office",$E566="released_to_office",$E566="disposed"),IF($F566="","reserve",$F566)="rejected"),-N($G566),IF(AND($E566="correction",IF($F566="","reserve",$F566)="rejected"),N($G566),0))))</f>
        <v/>
      </c>
      <c r="O566" s="25">
        <f>IF($C566="","",IF($E566="collected",N($G566),IF(AND(OR($E566="returned_to_brand",$E566="given_to_roster_office",$E566="released_to_office",$E566="disposed"),IF($F566="","reserve",$F566)="leftover"),-N($G566),IF(AND($E566="correction",IF($F566="","reserve",$F566)="leftover"),N($G566),0))))</f>
        <v/>
      </c>
      <c r="P566" s="25">
        <f>IF(OR($E566&lt;&gt;"received",$I566="",$L566=""),"",IF($I566&gt;=$L566+config!$B$19,"Y","N"))</f>
        <v/>
      </c>
      <c r="Q566" s="25">
        <f>IF($C566="","",IF(COUNTIF(campaigns!$A$2:$A$51,$C566)=0,"campaign_id not on campaigns; ",IF(AND($D566&lt;&gt;"",COUNTIFS(approvals!$A$2:$A$251,$C566,approvals!$B$2:$B$251,$D566)=0),"office not on this campaign (approvals tab); ",""))&amp;IF(AND(OR($E566="delivered",$E566="topped_up",$E566="collected"),$D566=""),"office needed; ","")&amp;IF(AND($E566&lt;&gt;"correction",N($G566)&lt;=0),"qty must be above 0; ","")&amp;IF(AND($E566="received",OR($I566="",$H566="")),"log lot and best-by; ","")&amp;IF(AND($P566="N",SUMIFS(inventory!$G$2:$G$801,inventory!$C$2:$C$801,$C566,inventory!$H$2:$H$801,$H566,inventory!$E$2:$E$801,"rejected")&lt;N($G566)),"UNDER "&amp;config!$B$19&amp;" DAYS LEFT ON THE DROP DAY: reject these units; ","")&amp;IF(AND($E566="delivered",COUNTIF(inventory!$R$2:$R$801,$R566)&gt;1),"two delivered rows for this office: use one; ","")&amp;IF(AND($E566="delivered",$J566=""),"who counted?; ",""))</f>
        <v/>
      </c>
      <c r="R566" s="25">
        <f>IF($C566="","",$C566&amp;"|"&amp;$D566&amp;"|"&amp;$E566)</f>
        <v/>
      </c>
    </row>
    <row r="567">
      <c r="A567" s="9" t="n"/>
      <c r="B567" s="33" t="n"/>
      <c r="I567" s="9" t="n"/>
      <c r="L567" s="26">
        <f>IF($C567="","",IFERROR(IF(INDEX(campaigns!$BG$2:$BG$51,MATCH($C567,campaigns!$A$2:$A$51,0))="","",INDEX(campaigns!$BG$2:$BG$51,MATCH($C567,campaigns!$A$2:$A$51,0))),""))</f>
        <v/>
      </c>
      <c r="M567" s="25">
        <f>IF($C567="","",IF(OR($E567="received"),N($G567),IF(OR($E567="rejected",$E567="delivered",$E567="topped_up"),-N($G567),IF(AND(OR($E567="returned_to_brand",$E567="given_to_roster_office",$E567="released_to_office",$E567="disposed"),IF($F567="","reserve",$F567)="reserve"),-N($G567),IF(AND($E567="correction",IF($F567="","reserve",$F567)="reserve"),N($G567),0)))))</f>
        <v/>
      </c>
      <c r="N567" s="25">
        <f>IF($C567="","",IF($E567="rejected",N($G567),IF(AND(OR($E567="returned_to_brand",$E567="given_to_roster_office",$E567="released_to_office",$E567="disposed"),IF($F567="","reserve",$F567)="rejected"),-N($G567),IF(AND($E567="correction",IF($F567="","reserve",$F567)="rejected"),N($G567),0))))</f>
        <v/>
      </c>
      <c r="O567" s="25">
        <f>IF($C567="","",IF($E567="collected",N($G567),IF(AND(OR($E567="returned_to_brand",$E567="given_to_roster_office",$E567="released_to_office",$E567="disposed"),IF($F567="","reserve",$F567)="leftover"),-N($G567),IF(AND($E567="correction",IF($F567="","reserve",$F567)="leftover"),N($G567),0))))</f>
        <v/>
      </c>
      <c r="P567" s="25">
        <f>IF(OR($E567&lt;&gt;"received",$I567="",$L567=""),"",IF($I567&gt;=$L567+config!$B$19,"Y","N"))</f>
        <v/>
      </c>
      <c r="Q567" s="25">
        <f>IF($C567="","",IF(COUNTIF(campaigns!$A$2:$A$51,$C567)=0,"campaign_id not on campaigns; ",IF(AND($D567&lt;&gt;"",COUNTIFS(approvals!$A$2:$A$251,$C567,approvals!$B$2:$B$251,$D567)=0),"office not on this campaign (approvals tab); ",""))&amp;IF(AND(OR($E567="delivered",$E567="topped_up",$E567="collected"),$D567=""),"office needed; ","")&amp;IF(AND($E567&lt;&gt;"correction",N($G567)&lt;=0),"qty must be above 0; ","")&amp;IF(AND($E567="received",OR($I567="",$H567="")),"log lot and best-by; ","")&amp;IF(AND($P567="N",SUMIFS(inventory!$G$2:$G$801,inventory!$C$2:$C$801,$C567,inventory!$H$2:$H$801,$H567,inventory!$E$2:$E$801,"rejected")&lt;N($G567)),"UNDER "&amp;config!$B$19&amp;" DAYS LEFT ON THE DROP DAY: reject these units; ","")&amp;IF(AND($E567="delivered",COUNTIF(inventory!$R$2:$R$801,$R567)&gt;1),"two delivered rows for this office: use one; ","")&amp;IF(AND($E567="delivered",$J567=""),"who counted?; ",""))</f>
        <v/>
      </c>
      <c r="R567" s="25">
        <f>IF($C567="","",$C567&amp;"|"&amp;$D567&amp;"|"&amp;$E567)</f>
        <v/>
      </c>
    </row>
    <row r="568">
      <c r="A568" s="9" t="n"/>
      <c r="B568" s="33" t="n"/>
      <c r="I568" s="9" t="n"/>
      <c r="L568" s="26">
        <f>IF($C568="","",IFERROR(IF(INDEX(campaigns!$BG$2:$BG$51,MATCH($C568,campaigns!$A$2:$A$51,0))="","",INDEX(campaigns!$BG$2:$BG$51,MATCH($C568,campaigns!$A$2:$A$51,0))),""))</f>
        <v/>
      </c>
      <c r="M568" s="25">
        <f>IF($C568="","",IF(OR($E568="received"),N($G568),IF(OR($E568="rejected",$E568="delivered",$E568="topped_up"),-N($G568),IF(AND(OR($E568="returned_to_brand",$E568="given_to_roster_office",$E568="released_to_office",$E568="disposed"),IF($F568="","reserve",$F568)="reserve"),-N($G568),IF(AND($E568="correction",IF($F568="","reserve",$F568)="reserve"),N($G568),0)))))</f>
        <v/>
      </c>
      <c r="N568" s="25">
        <f>IF($C568="","",IF($E568="rejected",N($G568),IF(AND(OR($E568="returned_to_brand",$E568="given_to_roster_office",$E568="released_to_office",$E568="disposed"),IF($F568="","reserve",$F568)="rejected"),-N($G568),IF(AND($E568="correction",IF($F568="","reserve",$F568)="rejected"),N($G568),0))))</f>
        <v/>
      </c>
      <c r="O568" s="25">
        <f>IF($C568="","",IF($E568="collected",N($G568),IF(AND(OR($E568="returned_to_brand",$E568="given_to_roster_office",$E568="released_to_office",$E568="disposed"),IF($F568="","reserve",$F568)="leftover"),-N($G568),IF(AND($E568="correction",IF($F568="","reserve",$F568)="leftover"),N($G568),0))))</f>
        <v/>
      </c>
      <c r="P568" s="25">
        <f>IF(OR($E568&lt;&gt;"received",$I568="",$L568=""),"",IF($I568&gt;=$L568+config!$B$19,"Y","N"))</f>
        <v/>
      </c>
      <c r="Q568" s="25">
        <f>IF($C568="","",IF(COUNTIF(campaigns!$A$2:$A$51,$C568)=0,"campaign_id not on campaigns; ",IF(AND($D568&lt;&gt;"",COUNTIFS(approvals!$A$2:$A$251,$C568,approvals!$B$2:$B$251,$D568)=0),"office not on this campaign (approvals tab); ",""))&amp;IF(AND(OR($E568="delivered",$E568="topped_up",$E568="collected"),$D568=""),"office needed; ","")&amp;IF(AND($E568&lt;&gt;"correction",N($G568)&lt;=0),"qty must be above 0; ","")&amp;IF(AND($E568="received",OR($I568="",$H568="")),"log lot and best-by; ","")&amp;IF(AND($P568="N",SUMIFS(inventory!$G$2:$G$801,inventory!$C$2:$C$801,$C568,inventory!$H$2:$H$801,$H568,inventory!$E$2:$E$801,"rejected")&lt;N($G568)),"UNDER "&amp;config!$B$19&amp;" DAYS LEFT ON THE DROP DAY: reject these units; ","")&amp;IF(AND($E568="delivered",COUNTIF(inventory!$R$2:$R$801,$R568)&gt;1),"two delivered rows for this office: use one; ","")&amp;IF(AND($E568="delivered",$J568=""),"who counted?; ",""))</f>
        <v/>
      </c>
      <c r="R568" s="25">
        <f>IF($C568="","",$C568&amp;"|"&amp;$D568&amp;"|"&amp;$E568)</f>
        <v/>
      </c>
    </row>
    <row r="569">
      <c r="A569" s="9" t="n"/>
      <c r="B569" s="33" t="n"/>
      <c r="I569" s="9" t="n"/>
      <c r="L569" s="26">
        <f>IF($C569="","",IFERROR(IF(INDEX(campaigns!$BG$2:$BG$51,MATCH($C569,campaigns!$A$2:$A$51,0))="","",INDEX(campaigns!$BG$2:$BG$51,MATCH($C569,campaigns!$A$2:$A$51,0))),""))</f>
        <v/>
      </c>
      <c r="M569" s="25">
        <f>IF($C569="","",IF(OR($E569="received"),N($G569),IF(OR($E569="rejected",$E569="delivered",$E569="topped_up"),-N($G569),IF(AND(OR($E569="returned_to_brand",$E569="given_to_roster_office",$E569="released_to_office",$E569="disposed"),IF($F569="","reserve",$F569)="reserve"),-N($G569),IF(AND($E569="correction",IF($F569="","reserve",$F569)="reserve"),N($G569),0)))))</f>
        <v/>
      </c>
      <c r="N569" s="25">
        <f>IF($C569="","",IF($E569="rejected",N($G569),IF(AND(OR($E569="returned_to_brand",$E569="given_to_roster_office",$E569="released_to_office",$E569="disposed"),IF($F569="","reserve",$F569)="rejected"),-N($G569),IF(AND($E569="correction",IF($F569="","reserve",$F569)="rejected"),N($G569),0))))</f>
        <v/>
      </c>
      <c r="O569" s="25">
        <f>IF($C569="","",IF($E569="collected",N($G569),IF(AND(OR($E569="returned_to_brand",$E569="given_to_roster_office",$E569="released_to_office",$E569="disposed"),IF($F569="","reserve",$F569)="leftover"),-N($G569),IF(AND($E569="correction",IF($F569="","reserve",$F569)="leftover"),N($G569),0))))</f>
        <v/>
      </c>
      <c r="P569" s="25">
        <f>IF(OR($E569&lt;&gt;"received",$I569="",$L569=""),"",IF($I569&gt;=$L569+config!$B$19,"Y","N"))</f>
        <v/>
      </c>
      <c r="Q569" s="25">
        <f>IF($C569="","",IF(COUNTIF(campaigns!$A$2:$A$51,$C569)=0,"campaign_id not on campaigns; ",IF(AND($D569&lt;&gt;"",COUNTIFS(approvals!$A$2:$A$251,$C569,approvals!$B$2:$B$251,$D569)=0),"office not on this campaign (approvals tab); ",""))&amp;IF(AND(OR($E569="delivered",$E569="topped_up",$E569="collected"),$D569=""),"office needed; ","")&amp;IF(AND($E569&lt;&gt;"correction",N($G569)&lt;=0),"qty must be above 0; ","")&amp;IF(AND($E569="received",OR($I569="",$H569="")),"log lot and best-by; ","")&amp;IF(AND($P569="N",SUMIFS(inventory!$G$2:$G$801,inventory!$C$2:$C$801,$C569,inventory!$H$2:$H$801,$H569,inventory!$E$2:$E$801,"rejected")&lt;N($G569)),"UNDER "&amp;config!$B$19&amp;" DAYS LEFT ON THE DROP DAY: reject these units; ","")&amp;IF(AND($E569="delivered",COUNTIF(inventory!$R$2:$R$801,$R569)&gt;1),"two delivered rows for this office: use one; ","")&amp;IF(AND($E569="delivered",$J569=""),"who counted?; ",""))</f>
        <v/>
      </c>
      <c r="R569" s="25">
        <f>IF($C569="","",$C569&amp;"|"&amp;$D569&amp;"|"&amp;$E569)</f>
        <v/>
      </c>
    </row>
    <row r="570">
      <c r="A570" s="9" t="n"/>
      <c r="B570" s="33" t="n"/>
      <c r="I570" s="9" t="n"/>
      <c r="L570" s="26">
        <f>IF($C570="","",IFERROR(IF(INDEX(campaigns!$BG$2:$BG$51,MATCH($C570,campaigns!$A$2:$A$51,0))="","",INDEX(campaigns!$BG$2:$BG$51,MATCH($C570,campaigns!$A$2:$A$51,0))),""))</f>
        <v/>
      </c>
      <c r="M570" s="25">
        <f>IF($C570="","",IF(OR($E570="received"),N($G570),IF(OR($E570="rejected",$E570="delivered",$E570="topped_up"),-N($G570),IF(AND(OR($E570="returned_to_brand",$E570="given_to_roster_office",$E570="released_to_office",$E570="disposed"),IF($F570="","reserve",$F570)="reserve"),-N($G570),IF(AND($E570="correction",IF($F570="","reserve",$F570)="reserve"),N($G570),0)))))</f>
        <v/>
      </c>
      <c r="N570" s="25">
        <f>IF($C570="","",IF($E570="rejected",N($G570),IF(AND(OR($E570="returned_to_brand",$E570="given_to_roster_office",$E570="released_to_office",$E570="disposed"),IF($F570="","reserve",$F570)="rejected"),-N($G570),IF(AND($E570="correction",IF($F570="","reserve",$F570)="rejected"),N($G570),0))))</f>
        <v/>
      </c>
      <c r="O570" s="25">
        <f>IF($C570="","",IF($E570="collected",N($G570),IF(AND(OR($E570="returned_to_brand",$E570="given_to_roster_office",$E570="released_to_office",$E570="disposed"),IF($F570="","reserve",$F570)="leftover"),-N($G570),IF(AND($E570="correction",IF($F570="","reserve",$F570)="leftover"),N($G570),0))))</f>
        <v/>
      </c>
      <c r="P570" s="25">
        <f>IF(OR($E570&lt;&gt;"received",$I570="",$L570=""),"",IF($I570&gt;=$L570+config!$B$19,"Y","N"))</f>
        <v/>
      </c>
      <c r="Q570" s="25">
        <f>IF($C570="","",IF(COUNTIF(campaigns!$A$2:$A$51,$C570)=0,"campaign_id not on campaigns; ",IF(AND($D570&lt;&gt;"",COUNTIFS(approvals!$A$2:$A$251,$C570,approvals!$B$2:$B$251,$D570)=0),"office not on this campaign (approvals tab); ",""))&amp;IF(AND(OR($E570="delivered",$E570="topped_up",$E570="collected"),$D570=""),"office needed; ","")&amp;IF(AND($E570&lt;&gt;"correction",N($G570)&lt;=0),"qty must be above 0; ","")&amp;IF(AND($E570="received",OR($I570="",$H570="")),"log lot and best-by; ","")&amp;IF(AND($P570="N",SUMIFS(inventory!$G$2:$G$801,inventory!$C$2:$C$801,$C570,inventory!$H$2:$H$801,$H570,inventory!$E$2:$E$801,"rejected")&lt;N($G570)),"UNDER "&amp;config!$B$19&amp;" DAYS LEFT ON THE DROP DAY: reject these units; ","")&amp;IF(AND($E570="delivered",COUNTIF(inventory!$R$2:$R$801,$R570)&gt;1),"two delivered rows for this office: use one; ","")&amp;IF(AND($E570="delivered",$J570=""),"who counted?; ",""))</f>
        <v/>
      </c>
      <c r="R570" s="25">
        <f>IF($C570="","",$C570&amp;"|"&amp;$D570&amp;"|"&amp;$E570)</f>
        <v/>
      </c>
    </row>
    <row r="571">
      <c r="A571" s="9" t="n"/>
      <c r="B571" s="33" t="n"/>
      <c r="I571" s="9" t="n"/>
      <c r="L571" s="26">
        <f>IF($C571="","",IFERROR(IF(INDEX(campaigns!$BG$2:$BG$51,MATCH($C571,campaigns!$A$2:$A$51,0))="","",INDEX(campaigns!$BG$2:$BG$51,MATCH($C571,campaigns!$A$2:$A$51,0))),""))</f>
        <v/>
      </c>
      <c r="M571" s="25">
        <f>IF($C571="","",IF(OR($E571="received"),N($G571),IF(OR($E571="rejected",$E571="delivered",$E571="topped_up"),-N($G571),IF(AND(OR($E571="returned_to_brand",$E571="given_to_roster_office",$E571="released_to_office",$E571="disposed"),IF($F571="","reserve",$F571)="reserve"),-N($G571),IF(AND($E571="correction",IF($F571="","reserve",$F571)="reserve"),N($G571),0)))))</f>
        <v/>
      </c>
      <c r="N571" s="25">
        <f>IF($C571="","",IF($E571="rejected",N($G571),IF(AND(OR($E571="returned_to_brand",$E571="given_to_roster_office",$E571="released_to_office",$E571="disposed"),IF($F571="","reserve",$F571)="rejected"),-N($G571),IF(AND($E571="correction",IF($F571="","reserve",$F571)="rejected"),N($G571),0))))</f>
        <v/>
      </c>
      <c r="O571" s="25">
        <f>IF($C571="","",IF($E571="collected",N($G571),IF(AND(OR($E571="returned_to_brand",$E571="given_to_roster_office",$E571="released_to_office",$E571="disposed"),IF($F571="","reserve",$F571)="leftover"),-N($G571),IF(AND($E571="correction",IF($F571="","reserve",$F571)="leftover"),N($G571),0))))</f>
        <v/>
      </c>
      <c r="P571" s="25">
        <f>IF(OR($E571&lt;&gt;"received",$I571="",$L571=""),"",IF($I571&gt;=$L571+config!$B$19,"Y","N"))</f>
        <v/>
      </c>
      <c r="Q571" s="25">
        <f>IF($C571="","",IF(COUNTIF(campaigns!$A$2:$A$51,$C571)=0,"campaign_id not on campaigns; ",IF(AND($D571&lt;&gt;"",COUNTIFS(approvals!$A$2:$A$251,$C571,approvals!$B$2:$B$251,$D571)=0),"office not on this campaign (approvals tab); ",""))&amp;IF(AND(OR($E571="delivered",$E571="topped_up",$E571="collected"),$D571=""),"office needed; ","")&amp;IF(AND($E571&lt;&gt;"correction",N($G571)&lt;=0),"qty must be above 0; ","")&amp;IF(AND($E571="received",OR($I571="",$H571="")),"log lot and best-by; ","")&amp;IF(AND($P571="N",SUMIFS(inventory!$G$2:$G$801,inventory!$C$2:$C$801,$C571,inventory!$H$2:$H$801,$H571,inventory!$E$2:$E$801,"rejected")&lt;N($G571)),"UNDER "&amp;config!$B$19&amp;" DAYS LEFT ON THE DROP DAY: reject these units; ","")&amp;IF(AND($E571="delivered",COUNTIF(inventory!$R$2:$R$801,$R571)&gt;1),"two delivered rows for this office: use one; ","")&amp;IF(AND($E571="delivered",$J571=""),"who counted?; ",""))</f>
        <v/>
      </c>
      <c r="R571" s="25">
        <f>IF($C571="","",$C571&amp;"|"&amp;$D571&amp;"|"&amp;$E571)</f>
        <v/>
      </c>
    </row>
    <row r="572">
      <c r="A572" s="9" t="n"/>
      <c r="B572" s="33" t="n"/>
      <c r="I572" s="9" t="n"/>
      <c r="L572" s="26">
        <f>IF($C572="","",IFERROR(IF(INDEX(campaigns!$BG$2:$BG$51,MATCH($C572,campaigns!$A$2:$A$51,0))="","",INDEX(campaigns!$BG$2:$BG$51,MATCH($C572,campaigns!$A$2:$A$51,0))),""))</f>
        <v/>
      </c>
      <c r="M572" s="25">
        <f>IF($C572="","",IF(OR($E572="received"),N($G572),IF(OR($E572="rejected",$E572="delivered",$E572="topped_up"),-N($G572),IF(AND(OR($E572="returned_to_brand",$E572="given_to_roster_office",$E572="released_to_office",$E572="disposed"),IF($F572="","reserve",$F572)="reserve"),-N($G572),IF(AND($E572="correction",IF($F572="","reserve",$F572)="reserve"),N($G572),0)))))</f>
        <v/>
      </c>
      <c r="N572" s="25">
        <f>IF($C572="","",IF($E572="rejected",N($G572),IF(AND(OR($E572="returned_to_brand",$E572="given_to_roster_office",$E572="released_to_office",$E572="disposed"),IF($F572="","reserve",$F572)="rejected"),-N($G572),IF(AND($E572="correction",IF($F572="","reserve",$F572)="rejected"),N($G572),0))))</f>
        <v/>
      </c>
      <c r="O572" s="25">
        <f>IF($C572="","",IF($E572="collected",N($G572),IF(AND(OR($E572="returned_to_brand",$E572="given_to_roster_office",$E572="released_to_office",$E572="disposed"),IF($F572="","reserve",$F572)="leftover"),-N($G572),IF(AND($E572="correction",IF($F572="","reserve",$F572)="leftover"),N($G572),0))))</f>
        <v/>
      </c>
      <c r="P572" s="25">
        <f>IF(OR($E572&lt;&gt;"received",$I572="",$L572=""),"",IF($I572&gt;=$L572+config!$B$19,"Y","N"))</f>
        <v/>
      </c>
      <c r="Q572" s="25">
        <f>IF($C572="","",IF(COUNTIF(campaigns!$A$2:$A$51,$C572)=0,"campaign_id not on campaigns; ",IF(AND($D572&lt;&gt;"",COUNTIFS(approvals!$A$2:$A$251,$C572,approvals!$B$2:$B$251,$D572)=0),"office not on this campaign (approvals tab); ",""))&amp;IF(AND(OR($E572="delivered",$E572="topped_up",$E572="collected"),$D572=""),"office needed; ","")&amp;IF(AND($E572&lt;&gt;"correction",N($G572)&lt;=0),"qty must be above 0; ","")&amp;IF(AND($E572="received",OR($I572="",$H572="")),"log lot and best-by; ","")&amp;IF(AND($P572="N",SUMIFS(inventory!$G$2:$G$801,inventory!$C$2:$C$801,$C572,inventory!$H$2:$H$801,$H572,inventory!$E$2:$E$801,"rejected")&lt;N($G572)),"UNDER "&amp;config!$B$19&amp;" DAYS LEFT ON THE DROP DAY: reject these units; ","")&amp;IF(AND($E572="delivered",COUNTIF(inventory!$R$2:$R$801,$R572)&gt;1),"two delivered rows for this office: use one; ","")&amp;IF(AND($E572="delivered",$J572=""),"who counted?; ",""))</f>
        <v/>
      </c>
      <c r="R572" s="25">
        <f>IF($C572="","",$C572&amp;"|"&amp;$D572&amp;"|"&amp;$E572)</f>
        <v/>
      </c>
    </row>
    <row r="573">
      <c r="A573" s="9" t="n"/>
      <c r="B573" s="33" t="n"/>
      <c r="I573" s="9" t="n"/>
      <c r="L573" s="26">
        <f>IF($C573="","",IFERROR(IF(INDEX(campaigns!$BG$2:$BG$51,MATCH($C573,campaigns!$A$2:$A$51,0))="","",INDEX(campaigns!$BG$2:$BG$51,MATCH($C573,campaigns!$A$2:$A$51,0))),""))</f>
        <v/>
      </c>
      <c r="M573" s="25">
        <f>IF($C573="","",IF(OR($E573="received"),N($G573),IF(OR($E573="rejected",$E573="delivered",$E573="topped_up"),-N($G573),IF(AND(OR($E573="returned_to_brand",$E573="given_to_roster_office",$E573="released_to_office",$E573="disposed"),IF($F573="","reserve",$F573)="reserve"),-N($G573),IF(AND($E573="correction",IF($F573="","reserve",$F573)="reserve"),N($G573),0)))))</f>
        <v/>
      </c>
      <c r="N573" s="25">
        <f>IF($C573="","",IF($E573="rejected",N($G573),IF(AND(OR($E573="returned_to_brand",$E573="given_to_roster_office",$E573="released_to_office",$E573="disposed"),IF($F573="","reserve",$F573)="rejected"),-N($G573),IF(AND($E573="correction",IF($F573="","reserve",$F573)="rejected"),N($G573),0))))</f>
        <v/>
      </c>
      <c r="O573" s="25">
        <f>IF($C573="","",IF($E573="collected",N($G573),IF(AND(OR($E573="returned_to_brand",$E573="given_to_roster_office",$E573="released_to_office",$E573="disposed"),IF($F573="","reserve",$F573)="leftover"),-N($G573),IF(AND($E573="correction",IF($F573="","reserve",$F573)="leftover"),N($G573),0))))</f>
        <v/>
      </c>
      <c r="P573" s="25">
        <f>IF(OR($E573&lt;&gt;"received",$I573="",$L573=""),"",IF($I573&gt;=$L573+config!$B$19,"Y","N"))</f>
        <v/>
      </c>
      <c r="Q573" s="25">
        <f>IF($C573="","",IF(COUNTIF(campaigns!$A$2:$A$51,$C573)=0,"campaign_id not on campaigns; ",IF(AND($D573&lt;&gt;"",COUNTIFS(approvals!$A$2:$A$251,$C573,approvals!$B$2:$B$251,$D573)=0),"office not on this campaign (approvals tab); ",""))&amp;IF(AND(OR($E573="delivered",$E573="topped_up",$E573="collected"),$D573=""),"office needed; ","")&amp;IF(AND($E573&lt;&gt;"correction",N($G573)&lt;=0),"qty must be above 0; ","")&amp;IF(AND($E573="received",OR($I573="",$H573="")),"log lot and best-by; ","")&amp;IF(AND($P573="N",SUMIFS(inventory!$G$2:$G$801,inventory!$C$2:$C$801,$C573,inventory!$H$2:$H$801,$H573,inventory!$E$2:$E$801,"rejected")&lt;N($G573)),"UNDER "&amp;config!$B$19&amp;" DAYS LEFT ON THE DROP DAY: reject these units; ","")&amp;IF(AND($E573="delivered",COUNTIF(inventory!$R$2:$R$801,$R573)&gt;1),"two delivered rows for this office: use one; ","")&amp;IF(AND($E573="delivered",$J573=""),"who counted?; ",""))</f>
        <v/>
      </c>
      <c r="R573" s="25">
        <f>IF($C573="","",$C573&amp;"|"&amp;$D573&amp;"|"&amp;$E573)</f>
        <v/>
      </c>
    </row>
    <row r="574">
      <c r="A574" s="9" t="n"/>
      <c r="B574" s="33" t="n"/>
      <c r="I574" s="9" t="n"/>
      <c r="L574" s="26">
        <f>IF($C574="","",IFERROR(IF(INDEX(campaigns!$BG$2:$BG$51,MATCH($C574,campaigns!$A$2:$A$51,0))="","",INDEX(campaigns!$BG$2:$BG$51,MATCH($C574,campaigns!$A$2:$A$51,0))),""))</f>
        <v/>
      </c>
      <c r="M574" s="25">
        <f>IF($C574="","",IF(OR($E574="received"),N($G574),IF(OR($E574="rejected",$E574="delivered",$E574="topped_up"),-N($G574),IF(AND(OR($E574="returned_to_brand",$E574="given_to_roster_office",$E574="released_to_office",$E574="disposed"),IF($F574="","reserve",$F574)="reserve"),-N($G574),IF(AND($E574="correction",IF($F574="","reserve",$F574)="reserve"),N($G574),0)))))</f>
        <v/>
      </c>
      <c r="N574" s="25">
        <f>IF($C574="","",IF($E574="rejected",N($G574),IF(AND(OR($E574="returned_to_brand",$E574="given_to_roster_office",$E574="released_to_office",$E574="disposed"),IF($F574="","reserve",$F574)="rejected"),-N($G574),IF(AND($E574="correction",IF($F574="","reserve",$F574)="rejected"),N($G574),0))))</f>
        <v/>
      </c>
      <c r="O574" s="25">
        <f>IF($C574="","",IF($E574="collected",N($G574),IF(AND(OR($E574="returned_to_brand",$E574="given_to_roster_office",$E574="released_to_office",$E574="disposed"),IF($F574="","reserve",$F574)="leftover"),-N($G574),IF(AND($E574="correction",IF($F574="","reserve",$F574)="leftover"),N($G574),0))))</f>
        <v/>
      </c>
      <c r="P574" s="25">
        <f>IF(OR($E574&lt;&gt;"received",$I574="",$L574=""),"",IF($I574&gt;=$L574+config!$B$19,"Y","N"))</f>
        <v/>
      </c>
      <c r="Q574" s="25">
        <f>IF($C574="","",IF(COUNTIF(campaigns!$A$2:$A$51,$C574)=0,"campaign_id not on campaigns; ",IF(AND($D574&lt;&gt;"",COUNTIFS(approvals!$A$2:$A$251,$C574,approvals!$B$2:$B$251,$D574)=0),"office not on this campaign (approvals tab); ",""))&amp;IF(AND(OR($E574="delivered",$E574="topped_up",$E574="collected"),$D574=""),"office needed; ","")&amp;IF(AND($E574&lt;&gt;"correction",N($G574)&lt;=0),"qty must be above 0; ","")&amp;IF(AND($E574="received",OR($I574="",$H574="")),"log lot and best-by; ","")&amp;IF(AND($P574="N",SUMIFS(inventory!$G$2:$G$801,inventory!$C$2:$C$801,$C574,inventory!$H$2:$H$801,$H574,inventory!$E$2:$E$801,"rejected")&lt;N($G574)),"UNDER "&amp;config!$B$19&amp;" DAYS LEFT ON THE DROP DAY: reject these units; ","")&amp;IF(AND($E574="delivered",COUNTIF(inventory!$R$2:$R$801,$R574)&gt;1),"two delivered rows for this office: use one; ","")&amp;IF(AND($E574="delivered",$J574=""),"who counted?; ",""))</f>
        <v/>
      </c>
      <c r="R574" s="25">
        <f>IF($C574="","",$C574&amp;"|"&amp;$D574&amp;"|"&amp;$E574)</f>
        <v/>
      </c>
    </row>
    <row r="575">
      <c r="A575" s="9" t="n"/>
      <c r="B575" s="33" t="n"/>
      <c r="I575" s="9" t="n"/>
      <c r="L575" s="26">
        <f>IF($C575="","",IFERROR(IF(INDEX(campaigns!$BG$2:$BG$51,MATCH($C575,campaigns!$A$2:$A$51,0))="","",INDEX(campaigns!$BG$2:$BG$51,MATCH($C575,campaigns!$A$2:$A$51,0))),""))</f>
        <v/>
      </c>
      <c r="M575" s="25">
        <f>IF($C575="","",IF(OR($E575="received"),N($G575),IF(OR($E575="rejected",$E575="delivered",$E575="topped_up"),-N($G575),IF(AND(OR($E575="returned_to_brand",$E575="given_to_roster_office",$E575="released_to_office",$E575="disposed"),IF($F575="","reserve",$F575)="reserve"),-N($G575),IF(AND($E575="correction",IF($F575="","reserve",$F575)="reserve"),N($G575),0)))))</f>
        <v/>
      </c>
      <c r="N575" s="25">
        <f>IF($C575="","",IF($E575="rejected",N($G575),IF(AND(OR($E575="returned_to_brand",$E575="given_to_roster_office",$E575="released_to_office",$E575="disposed"),IF($F575="","reserve",$F575)="rejected"),-N($G575),IF(AND($E575="correction",IF($F575="","reserve",$F575)="rejected"),N($G575),0))))</f>
        <v/>
      </c>
      <c r="O575" s="25">
        <f>IF($C575="","",IF($E575="collected",N($G575),IF(AND(OR($E575="returned_to_brand",$E575="given_to_roster_office",$E575="released_to_office",$E575="disposed"),IF($F575="","reserve",$F575)="leftover"),-N($G575),IF(AND($E575="correction",IF($F575="","reserve",$F575)="leftover"),N($G575),0))))</f>
        <v/>
      </c>
      <c r="P575" s="25">
        <f>IF(OR($E575&lt;&gt;"received",$I575="",$L575=""),"",IF($I575&gt;=$L575+config!$B$19,"Y","N"))</f>
        <v/>
      </c>
      <c r="Q575" s="25">
        <f>IF($C575="","",IF(COUNTIF(campaigns!$A$2:$A$51,$C575)=0,"campaign_id not on campaigns; ",IF(AND($D575&lt;&gt;"",COUNTIFS(approvals!$A$2:$A$251,$C575,approvals!$B$2:$B$251,$D575)=0),"office not on this campaign (approvals tab); ",""))&amp;IF(AND(OR($E575="delivered",$E575="topped_up",$E575="collected"),$D575=""),"office needed; ","")&amp;IF(AND($E575&lt;&gt;"correction",N($G575)&lt;=0),"qty must be above 0; ","")&amp;IF(AND($E575="received",OR($I575="",$H575="")),"log lot and best-by; ","")&amp;IF(AND($P575="N",SUMIFS(inventory!$G$2:$G$801,inventory!$C$2:$C$801,$C575,inventory!$H$2:$H$801,$H575,inventory!$E$2:$E$801,"rejected")&lt;N($G575)),"UNDER "&amp;config!$B$19&amp;" DAYS LEFT ON THE DROP DAY: reject these units; ","")&amp;IF(AND($E575="delivered",COUNTIF(inventory!$R$2:$R$801,$R575)&gt;1),"two delivered rows for this office: use one; ","")&amp;IF(AND($E575="delivered",$J575=""),"who counted?; ",""))</f>
        <v/>
      </c>
      <c r="R575" s="25">
        <f>IF($C575="","",$C575&amp;"|"&amp;$D575&amp;"|"&amp;$E575)</f>
        <v/>
      </c>
    </row>
    <row r="576">
      <c r="A576" s="9" t="n"/>
      <c r="B576" s="33" t="n"/>
      <c r="I576" s="9" t="n"/>
      <c r="L576" s="26">
        <f>IF($C576="","",IFERROR(IF(INDEX(campaigns!$BG$2:$BG$51,MATCH($C576,campaigns!$A$2:$A$51,0))="","",INDEX(campaigns!$BG$2:$BG$51,MATCH($C576,campaigns!$A$2:$A$51,0))),""))</f>
        <v/>
      </c>
      <c r="M576" s="25">
        <f>IF($C576="","",IF(OR($E576="received"),N($G576),IF(OR($E576="rejected",$E576="delivered",$E576="topped_up"),-N($G576),IF(AND(OR($E576="returned_to_brand",$E576="given_to_roster_office",$E576="released_to_office",$E576="disposed"),IF($F576="","reserve",$F576)="reserve"),-N($G576),IF(AND($E576="correction",IF($F576="","reserve",$F576)="reserve"),N($G576),0)))))</f>
        <v/>
      </c>
      <c r="N576" s="25">
        <f>IF($C576="","",IF($E576="rejected",N($G576),IF(AND(OR($E576="returned_to_brand",$E576="given_to_roster_office",$E576="released_to_office",$E576="disposed"),IF($F576="","reserve",$F576)="rejected"),-N($G576),IF(AND($E576="correction",IF($F576="","reserve",$F576)="rejected"),N($G576),0))))</f>
        <v/>
      </c>
      <c r="O576" s="25">
        <f>IF($C576="","",IF($E576="collected",N($G576),IF(AND(OR($E576="returned_to_brand",$E576="given_to_roster_office",$E576="released_to_office",$E576="disposed"),IF($F576="","reserve",$F576)="leftover"),-N($G576),IF(AND($E576="correction",IF($F576="","reserve",$F576)="leftover"),N($G576),0))))</f>
        <v/>
      </c>
      <c r="P576" s="25">
        <f>IF(OR($E576&lt;&gt;"received",$I576="",$L576=""),"",IF($I576&gt;=$L576+config!$B$19,"Y","N"))</f>
        <v/>
      </c>
      <c r="Q576" s="25">
        <f>IF($C576="","",IF(COUNTIF(campaigns!$A$2:$A$51,$C576)=0,"campaign_id not on campaigns; ",IF(AND($D576&lt;&gt;"",COUNTIFS(approvals!$A$2:$A$251,$C576,approvals!$B$2:$B$251,$D576)=0),"office not on this campaign (approvals tab); ",""))&amp;IF(AND(OR($E576="delivered",$E576="topped_up",$E576="collected"),$D576=""),"office needed; ","")&amp;IF(AND($E576&lt;&gt;"correction",N($G576)&lt;=0),"qty must be above 0; ","")&amp;IF(AND($E576="received",OR($I576="",$H576="")),"log lot and best-by; ","")&amp;IF(AND($P576="N",SUMIFS(inventory!$G$2:$G$801,inventory!$C$2:$C$801,$C576,inventory!$H$2:$H$801,$H576,inventory!$E$2:$E$801,"rejected")&lt;N($G576)),"UNDER "&amp;config!$B$19&amp;" DAYS LEFT ON THE DROP DAY: reject these units; ","")&amp;IF(AND($E576="delivered",COUNTIF(inventory!$R$2:$R$801,$R576)&gt;1),"two delivered rows for this office: use one; ","")&amp;IF(AND($E576="delivered",$J576=""),"who counted?; ",""))</f>
        <v/>
      </c>
      <c r="R576" s="25">
        <f>IF($C576="","",$C576&amp;"|"&amp;$D576&amp;"|"&amp;$E576)</f>
        <v/>
      </c>
    </row>
    <row r="577">
      <c r="A577" s="9" t="n"/>
      <c r="B577" s="33" t="n"/>
      <c r="I577" s="9" t="n"/>
      <c r="L577" s="26">
        <f>IF($C577="","",IFERROR(IF(INDEX(campaigns!$BG$2:$BG$51,MATCH($C577,campaigns!$A$2:$A$51,0))="","",INDEX(campaigns!$BG$2:$BG$51,MATCH($C577,campaigns!$A$2:$A$51,0))),""))</f>
        <v/>
      </c>
      <c r="M577" s="25">
        <f>IF($C577="","",IF(OR($E577="received"),N($G577),IF(OR($E577="rejected",$E577="delivered",$E577="topped_up"),-N($G577),IF(AND(OR($E577="returned_to_brand",$E577="given_to_roster_office",$E577="released_to_office",$E577="disposed"),IF($F577="","reserve",$F577)="reserve"),-N($G577),IF(AND($E577="correction",IF($F577="","reserve",$F577)="reserve"),N($G577),0)))))</f>
        <v/>
      </c>
      <c r="N577" s="25">
        <f>IF($C577="","",IF($E577="rejected",N($G577),IF(AND(OR($E577="returned_to_brand",$E577="given_to_roster_office",$E577="released_to_office",$E577="disposed"),IF($F577="","reserve",$F577)="rejected"),-N($G577),IF(AND($E577="correction",IF($F577="","reserve",$F577)="rejected"),N($G577),0))))</f>
        <v/>
      </c>
      <c r="O577" s="25">
        <f>IF($C577="","",IF($E577="collected",N($G577),IF(AND(OR($E577="returned_to_brand",$E577="given_to_roster_office",$E577="released_to_office",$E577="disposed"),IF($F577="","reserve",$F577)="leftover"),-N($G577),IF(AND($E577="correction",IF($F577="","reserve",$F577)="leftover"),N($G577),0))))</f>
        <v/>
      </c>
      <c r="P577" s="25">
        <f>IF(OR($E577&lt;&gt;"received",$I577="",$L577=""),"",IF($I577&gt;=$L577+config!$B$19,"Y","N"))</f>
        <v/>
      </c>
      <c r="Q577" s="25">
        <f>IF($C577="","",IF(COUNTIF(campaigns!$A$2:$A$51,$C577)=0,"campaign_id not on campaigns; ",IF(AND($D577&lt;&gt;"",COUNTIFS(approvals!$A$2:$A$251,$C577,approvals!$B$2:$B$251,$D577)=0),"office not on this campaign (approvals tab); ",""))&amp;IF(AND(OR($E577="delivered",$E577="topped_up",$E577="collected"),$D577=""),"office needed; ","")&amp;IF(AND($E577&lt;&gt;"correction",N($G577)&lt;=0),"qty must be above 0; ","")&amp;IF(AND($E577="received",OR($I577="",$H577="")),"log lot and best-by; ","")&amp;IF(AND($P577="N",SUMIFS(inventory!$G$2:$G$801,inventory!$C$2:$C$801,$C577,inventory!$H$2:$H$801,$H577,inventory!$E$2:$E$801,"rejected")&lt;N($G577)),"UNDER "&amp;config!$B$19&amp;" DAYS LEFT ON THE DROP DAY: reject these units; ","")&amp;IF(AND($E577="delivered",COUNTIF(inventory!$R$2:$R$801,$R577)&gt;1),"two delivered rows for this office: use one; ","")&amp;IF(AND($E577="delivered",$J577=""),"who counted?; ",""))</f>
        <v/>
      </c>
      <c r="R577" s="25">
        <f>IF($C577="","",$C577&amp;"|"&amp;$D577&amp;"|"&amp;$E577)</f>
        <v/>
      </c>
    </row>
    <row r="578">
      <c r="A578" s="9" t="n"/>
      <c r="B578" s="33" t="n"/>
      <c r="I578" s="9" t="n"/>
      <c r="L578" s="26">
        <f>IF($C578="","",IFERROR(IF(INDEX(campaigns!$BG$2:$BG$51,MATCH($C578,campaigns!$A$2:$A$51,0))="","",INDEX(campaigns!$BG$2:$BG$51,MATCH($C578,campaigns!$A$2:$A$51,0))),""))</f>
        <v/>
      </c>
      <c r="M578" s="25">
        <f>IF($C578="","",IF(OR($E578="received"),N($G578),IF(OR($E578="rejected",$E578="delivered",$E578="topped_up"),-N($G578),IF(AND(OR($E578="returned_to_brand",$E578="given_to_roster_office",$E578="released_to_office",$E578="disposed"),IF($F578="","reserve",$F578)="reserve"),-N($G578),IF(AND($E578="correction",IF($F578="","reserve",$F578)="reserve"),N($G578),0)))))</f>
        <v/>
      </c>
      <c r="N578" s="25">
        <f>IF($C578="","",IF($E578="rejected",N($G578),IF(AND(OR($E578="returned_to_brand",$E578="given_to_roster_office",$E578="released_to_office",$E578="disposed"),IF($F578="","reserve",$F578)="rejected"),-N($G578),IF(AND($E578="correction",IF($F578="","reserve",$F578)="rejected"),N($G578),0))))</f>
        <v/>
      </c>
      <c r="O578" s="25">
        <f>IF($C578="","",IF($E578="collected",N($G578),IF(AND(OR($E578="returned_to_brand",$E578="given_to_roster_office",$E578="released_to_office",$E578="disposed"),IF($F578="","reserve",$F578)="leftover"),-N($G578),IF(AND($E578="correction",IF($F578="","reserve",$F578)="leftover"),N($G578),0))))</f>
        <v/>
      </c>
      <c r="P578" s="25">
        <f>IF(OR($E578&lt;&gt;"received",$I578="",$L578=""),"",IF($I578&gt;=$L578+config!$B$19,"Y","N"))</f>
        <v/>
      </c>
      <c r="Q578" s="25">
        <f>IF($C578="","",IF(COUNTIF(campaigns!$A$2:$A$51,$C578)=0,"campaign_id not on campaigns; ",IF(AND($D578&lt;&gt;"",COUNTIFS(approvals!$A$2:$A$251,$C578,approvals!$B$2:$B$251,$D578)=0),"office not on this campaign (approvals tab); ",""))&amp;IF(AND(OR($E578="delivered",$E578="topped_up",$E578="collected"),$D578=""),"office needed; ","")&amp;IF(AND($E578&lt;&gt;"correction",N($G578)&lt;=0),"qty must be above 0; ","")&amp;IF(AND($E578="received",OR($I578="",$H578="")),"log lot and best-by; ","")&amp;IF(AND($P578="N",SUMIFS(inventory!$G$2:$G$801,inventory!$C$2:$C$801,$C578,inventory!$H$2:$H$801,$H578,inventory!$E$2:$E$801,"rejected")&lt;N($G578)),"UNDER "&amp;config!$B$19&amp;" DAYS LEFT ON THE DROP DAY: reject these units; ","")&amp;IF(AND($E578="delivered",COUNTIF(inventory!$R$2:$R$801,$R578)&gt;1),"two delivered rows for this office: use one; ","")&amp;IF(AND($E578="delivered",$J578=""),"who counted?; ",""))</f>
        <v/>
      </c>
      <c r="R578" s="25">
        <f>IF($C578="","",$C578&amp;"|"&amp;$D578&amp;"|"&amp;$E578)</f>
        <v/>
      </c>
    </row>
    <row r="579">
      <c r="A579" s="9" t="n"/>
      <c r="B579" s="33" t="n"/>
      <c r="I579" s="9" t="n"/>
      <c r="L579" s="26">
        <f>IF($C579="","",IFERROR(IF(INDEX(campaigns!$BG$2:$BG$51,MATCH($C579,campaigns!$A$2:$A$51,0))="","",INDEX(campaigns!$BG$2:$BG$51,MATCH($C579,campaigns!$A$2:$A$51,0))),""))</f>
        <v/>
      </c>
      <c r="M579" s="25">
        <f>IF($C579="","",IF(OR($E579="received"),N($G579),IF(OR($E579="rejected",$E579="delivered",$E579="topped_up"),-N($G579),IF(AND(OR($E579="returned_to_brand",$E579="given_to_roster_office",$E579="released_to_office",$E579="disposed"),IF($F579="","reserve",$F579)="reserve"),-N($G579),IF(AND($E579="correction",IF($F579="","reserve",$F579)="reserve"),N($G579),0)))))</f>
        <v/>
      </c>
      <c r="N579" s="25">
        <f>IF($C579="","",IF($E579="rejected",N($G579),IF(AND(OR($E579="returned_to_brand",$E579="given_to_roster_office",$E579="released_to_office",$E579="disposed"),IF($F579="","reserve",$F579)="rejected"),-N($G579),IF(AND($E579="correction",IF($F579="","reserve",$F579)="rejected"),N($G579),0))))</f>
        <v/>
      </c>
      <c r="O579" s="25">
        <f>IF($C579="","",IF($E579="collected",N($G579),IF(AND(OR($E579="returned_to_brand",$E579="given_to_roster_office",$E579="released_to_office",$E579="disposed"),IF($F579="","reserve",$F579)="leftover"),-N($G579),IF(AND($E579="correction",IF($F579="","reserve",$F579)="leftover"),N($G579),0))))</f>
        <v/>
      </c>
      <c r="P579" s="25">
        <f>IF(OR($E579&lt;&gt;"received",$I579="",$L579=""),"",IF($I579&gt;=$L579+config!$B$19,"Y","N"))</f>
        <v/>
      </c>
      <c r="Q579" s="25">
        <f>IF($C579="","",IF(COUNTIF(campaigns!$A$2:$A$51,$C579)=0,"campaign_id not on campaigns; ",IF(AND($D579&lt;&gt;"",COUNTIFS(approvals!$A$2:$A$251,$C579,approvals!$B$2:$B$251,$D579)=0),"office not on this campaign (approvals tab); ",""))&amp;IF(AND(OR($E579="delivered",$E579="topped_up",$E579="collected"),$D579=""),"office needed; ","")&amp;IF(AND($E579&lt;&gt;"correction",N($G579)&lt;=0),"qty must be above 0; ","")&amp;IF(AND($E579="received",OR($I579="",$H579="")),"log lot and best-by; ","")&amp;IF(AND($P579="N",SUMIFS(inventory!$G$2:$G$801,inventory!$C$2:$C$801,$C579,inventory!$H$2:$H$801,$H579,inventory!$E$2:$E$801,"rejected")&lt;N($G579)),"UNDER "&amp;config!$B$19&amp;" DAYS LEFT ON THE DROP DAY: reject these units; ","")&amp;IF(AND($E579="delivered",COUNTIF(inventory!$R$2:$R$801,$R579)&gt;1),"two delivered rows for this office: use one; ","")&amp;IF(AND($E579="delivered",$J579=""),"who counted?; ",""))</f>
        <v/>
      </c>
      <c r="R579" s="25">
        <f>IF($C579="","",$C579&amp;"|"&amp;$D579&amp;"|"&amp;$E579)</f>
        <v/>
      </c>
    </row>
    <row r="580">
      <c r="A580" s="9" t="n"/>
      <c r="B580" s="33" t="n"/>
      <c r="I580" s="9" t="n"/>
      <c r="L580" s="26">
        <f>IF($C580="","",IFERROR(IF(INDEX(campaigns!$BG$2:$BG$51,MATCH($C580,campaigns!$A$2:$A$51,0))="","",INDEX(campaigns!$BG$2:$BG$51,MATCH($C580,campaigns!$A$2:$A$51,0))),""))</f>
        <v/>
      </c>
      <c r="M580" s="25">
        <f>IF($C580="","",IF(OR($E580="received"),N($G580),IF(OR($E580="rejected",$E580="delivered",$E580="topped_up"),-N($G580),IF(AND(OR($E580="returned_to_brand",$E580="given_to_roster_office",$E580="released_to_office",$E580="disposed"),IF($F580="","reserve",$F580)="reserve"),-N($G580),IF(AND($E580="correction",IF($F580="","reserve",$F580)="reserve"),N($G580),0)))))</f>
        <v/>
      </c>
      <c r="N580" s="25">
        <f>IF($C580="","",IF($E580="rejected",N($G580),IF(AND(OR($E580="returned_to_brand",$E580="given_to_roster_office",$E580="released_to_office",$E580="disposed"),IF($F580="","reserve",$F580)="rejected"),-N($G580),IF(AND($E580="correction",IF($F580="","reserve",$F580)="rejected"),N($G580),0))))</f>
        <v/>
      </c>
      <c r="O580" s="25">
        <f>IF($C580="","",IF($E580="collected",N($G580),IF(AND(OR($E580="returned_to_brand",$E580="given_to_roster_office",$E580="released_to_office",$E580="disposed"),IF($F580="","reserve",$F580)="leftover"),-N($G580),IF(AND($E580="correction",IF($F580="","reserve",$F580)="leftover"),N($G580),0))))</f>
        <v/>
      </c>
      <c r="P580" s="25">
        <f>IF(OR($E580&lt;&gt;"received",$I580="",$L580=""),"",IF($I580&gt;=$L580+config!$B$19,"Y","N"))</f>
        <v/>
      </c>
      <c r="Q580" s="25">
        <f>IF($C580="","",IF(COUNTIF(campaigns!$A$2:$A$51,$C580)=0,"campaign_id not on campaigns; ",IF(AND($D580&lt;&gt;"",COUNTIFS(approvals!$A$2:$A$251,$C580,approvals!$B$2:$B$251,$D580)=0),"office not on this campaign (approvals tab); ",""))&amp;IF(AND(OR($E580="delivered",$E580="topped_up",$E580="collected"),$D580=""),"office needed; ","")&amp;IF(AND($E580&lt;&gt;"correction",N($G580)&lt;=0),"qty must be above 0; ","")&amp;IF(AND($E580="received",OR($I580="",$H580="")),"log lot and best-by; ","")&amp;IF(AND($P580="N",SUMIFS(inventory!$G$2:$G$801,inventory!$C$2:$C$801,$C580,inventory!$H$2:$H$801,$H580,inventory!$E$2:$E$801,"rejected")&lt;N($G580)),"UNDER "&amp;config!$B$19&amp;" DAYS LEFT ON THE DROP DAY: reject these units; ","")&amp;IF(AND($E580="delivered",COUNTIF(inventory!$R$2:$R$801,$R580)&gt;1),"two delivered rows for this office: use one; ","")&amp;IF(AND($E580="delivered",$J580=""),"who counted?; ",""))</f>
        <v/>
      </c>
      <c r="R580" s="25">
        <f>IF($C580="","",$C580&amp;"|"&amp;$D580&amp;"|"&amp;$E580)</f>
        <v/>
      </c>
    </row>
    <row r="581">
      <c r="A581" s="9" t="n"/>
      <c r="B581" s="33" t="n"/>
      <c r="I581" s="9" t="n"/>
      <c r="L581" s="26">
        <f>IF($C581="","",IFERROR(IF(INDEX(campaigns!$BG$2:$BG$51,MATCH($C581,campaigns!$A$2:$A$51,0))="","",INDEX(campaigns!$BG$2:$BG$51,MATCH($C581,campaigns!$A$2:$A$51,0))),""))</f>
        <v/>
      </c>
      <c r="M581" s="25">
        <f>IF($C581="","",IF(OR($E581="received"),N($G581),IF(OR($E581="rejected",$E581="delivered",$E581="topped_up"),-N($G581),IF(AND(OR($E581="returned_to_brand",$E581="given_to_roster_office",$E581="released_to_office",$E581="disposed"),IF($F581="","reserve",$F581)="reserve"),-N($G581),IF(AND($E581="correction",IF($F581="","reserve",$F581)="reserve"),N($G581),0)))))</f>
        <v/>
      </c>
      <c r="N581" s="25">
        <f>IF($C581="","",IF($E581="rejected",N($G581),IF(AND(OR($E581="returned_to_brand",$E581="given_to_roster_office",$E581="released_to_office",$E581="disposed"),IF($F581="","reserve",$F581)="rejected"),-N($G581),IF(AND($E581="correction",IF($F581="","reserve",$F581)="rejected"),N($G581),0))))</f>
        <v/>
      </c>
      <c r="O581" s="25">
        <f>IF($C581="","",IF($E581="collected",N($G581),IF(AND(OR($E581="returned_to_brand",$E581="given_to_roster_office",$E581="released_to_office",$E581="disposed"),IF($F581="","reserve",$F581)="leftover"),-N($G581),IF(AND($E581="correction",IF($F581="","reserve",$F581)="leftover"),N($G581),0))))</f>
        <v/>
      </c>
      <c r="P581" s="25">
        <f>IF(OR($E581&lt;&gt;"received",$I581="",$L581=""),"",IF($I581&gt;=$L581+config!$B$19,"Y","N"))</f>
        <v/>
      </c>
      <c r="Q581" s="25">
        <f>IF($C581="","",IF(COUNTIF(campaigns!$A$2:$A$51,$C581)=0,"campaign_id not on campaigns; ",IF(AND($D581&lt;&gt;"",COUNTIFS(approvals!$A$2:$A$251,$C581,approvals!$B$2:$B$251,$D581)=0),"office not on this campaign (approvals tab); ",""))&amp;IF(AND(OR($E581="delivered",$E581="topped_up",$E581="collected"),$D581=""),"office needed; ","")&amp;IF(AND($E581&lt;&gt;"correction",N($G581)&lt;=0),"qty must be above 0; ","")&amp;IF(AND($E581="received",OR($I581="",$H581="")),"log lot and best-by; ","")&amp;IF(AND($P581="N",SUMIFS(inventory!$G$2:$G$801,inventory!$C$2:$C$801,$C581,inventory!$H$2:$H$801,$H581,inventory!$E$2:$E$801,"rejected")&lt;N($G581)),"UNDER "&amp;config!$B$19&amp;" DAYS LEFT ON THE DROP DAY: reject these units; ","")&amp;IF(AND($E581="delivered",COUNTIF(inventory!$R$2:$R$801,$R581)&gt;1),"two delivered rows for this office: use one; ","")&amp;IF(AND($E581="delivered",$J581=""),"who counted?; ",""))</f>
        <v/>
      </c>
      <c r="R581" s="25">
        <f>IF($C581="","",$C581&amp;"|"&amp;$D581&amp;"|"&amp;$E581)</f>
        <v/>
      </c>
    </row>
    <row r="582">
      <c r="A582" s="9" t="n"/>
      <c r="B582" s="33" t="n"/>
      <c r="I582" s="9" t="n"/>
      <c r="L582" s="26">
        <f>IF($C582="","",IFERROR(IF(INDEX(campaigns!$BG$2:$BG$51,MATCH($C582,campaigns!$A$2:$A$51,0))="","",INDEX(campaigns!$BG$2:$BG$51,MATCH($C582,campaigns!$A$2:$A$51,0))),""))</f>
        <v/>
      </c>
      <c r="M582" s="25">
        <f>IF($C582="","",IF(OR($E582="received"),N($G582),IF(OR($E582="rejected",$E582="delivered",$E582="topped_up"),-N($G582),IF(AND(OR($E582="returned_to_brand",$E582="given_to_roster_office",$E582="released_to_office",$E582="disposed"),IF($F582="","reserve",$F582)="reserve"),-N($G582),IF(AND($E582="correction",IF($F582="","reserve",$F582)="reserve"),N($G582),0)))))</f>
        <v/>
      </c>
      <c r="N582" s="25">
        <f>IF($C582="","",IF($E582="rejected",N($G582),IF(AND(OR($E582="returned_to_brand",$E582="given_to_roster_office",$E582="released_to_office",$E582="disposed"),IF($F582="","reserve",$F582)="rejected"),-N($G582),IF(AND($E582="correction",IF($F582="","reserve",$F582)="rejected"),N($G582),0))))</f>
        <v/>
      </c>
      <c r="O582" s="25">
        <f>IF($C582="","",IF($E582="collected",N($G582),IF(AND(OR($E582="returned_to_brand",$E582="given_to_roster_office",$E582="released_to_office",$E582="disposed"),IF($F582="","reserve",$F582)="leftover"),-N($G582),IF(AND($E582="correction",IF($F582="","reserve",$F582)="leftover"),N($G582),0))))</f>
        <v/>
      </c>
      <c r="P582" s="25">
        <f>IF(OR($E582&lt;&gt;"received",$I582="",$L582=""),"",IF($I582&gt;=$L582+config!$B$19,"Y","N"))</f>
        <v/>
      </c>
      <c r="Q582" s="25">
        <f>IF($C582="","",IF(COUNTIF(campaigns!$A$2:$A$51,$C582)=0,"campaign_id not on campaigns; ",IF(AND($D582&lt;&gt;"",COUNTIFS(approvals!$A$2:$A$251,$C582,approvals!$B$2:$B$251,$D582)=0),"office not on this campaign (approvals tab); ",""))&amp;IF(AND(OR($E582="delivered",$E582="topped_up",$E582="collected"),$D582=""),"office needed; ","")&amp;IF(AND($E582&lt;&gt;"correction",N($G582)&lt;=0),"qty must be above 0; ","")&amp;IF(AND($E582="received",OR($I582="",$H582="")),"log lot and best-by; ","")&amp;IF(AND($P582="N",SUMIFS(inventory!$G$2:$G$801,inventory!$C$2:$C$801,$C582,inventory!$H$2:$H$801,$H582,inventory!$E$2:$E$801,"rejected")&lt;N($G582)),"UNDER "&amp;config!$B$19&amp;" DAYS LEFT ON THE DROP DAY: reject these units; ","")&amp;IF(AND($E582="delivered",COUNTIF(inventory!$R$2:$R$801,$R582)&gt;1),"two delivered rows for this office: use one; ","")&amp;IF(AND($E582="delivered",$J582=""),"who counted?; ",""))</f>
        <v/>
      </c>
      <c r="R582" s="25">
        <f>IF($C582="","",$C582&amp;"|"&amp;$D582&amp;"|"&amp;$E582)</f>
        <v/>
      </c>
    </row>
    <row r="583">
      <c r="A583" s="9" t="n"/>
      <c r="B583" s="33" t="n"/>
      <c r="I583" s="9" t="n"/>
      <c r="L583" s="26">
        <f>IF($C583="","",IFERROR(IF(INDEX(campaigns!$BG$2:$BG$51,MATCH($C583,campaigns!$A$2:$A$51,0))="","",INDEX(campaigns!$BG$2:$BG$51,MATCH($C583,campaigns!$A$2:$A$51,0))),""))</f>
        <v/>
      </c>
      <c r="M583" s="25">
        <f>IF($C583="","",IF(OR($E583="received"),N($G583),IF(OR($E583="rejected",$E583="delivered",$E583="topped_up"),-N($G583),IF(AND(OR($E583="returned_to_brand",$E583="given_to_roster_office",$E583="released_to_office",$E583="disposed"),IF($F583="","reserve",$F583)="reserve"),-N($G583),IF(AND($E583="correction",IF($F583="","reserve",$F583)="reserve"),N($G583),0)))))</f>
        <v/>
      </c>
      <c r="N583" s="25">
        <f>IF($C583="","",IF($E583="rejected",N($G583),IF(AND(OR($E583="returned_to_brand",$E583="given_to_roster_office",$E583="released_to_office",$E583="disposed"),IF($F583="","reserve",$F583)="rejected"),-N($G583),IF(AND($E583="correction",IF($F583="","reserve",$F583)="rejected"),N($G583),0))))</f>
        <v/>
      </c>
      <c r="O583" s="25">
        <f>IF($C583="","",IF($E583="collected",N($G583),IF(AND(OR($E583="returned_to_brand",$E583="given_to_roster_office",$E583="released_to_office",$E583="disposed"),IF($F583="","reserve",$F583)="leftover"),-N($G583),IF(AND($E583="correction",IF($F583="","reserve",$F583)="leftover"),N($G583),0))))</f>
        <v/>
      </c>
      <c r="P583" s="25">
        <f>IF(OR($E583&lt;&gt;"received",$I583="",$L583=""),"",IF($I583&gt;=$L583+config!$B$19,"Y","N"))</f>
        <v/>
      </c>
      <c r="Q583" s="25">
        <f>IF($C583="","",IF(COUNTIF(campaigns!$A$2:$A$51,$C583)=0,"campaign_id not on campaigns; ",IF(AND($D583&lt;&gt;"",COUNTIFS(approvals!$A$2:$A$251,$C583,approvals!$B$2:$B$251,$D583)=0),"office not on this campaign (approvals tab); ",""))&amp;IF(AND(OR($E583="delivered",$E583="topped_up",$E583="collected"),$D583=""),"office needed; ","")&amp;IF(AND($E583&lt;&gt;"correction",N($G583)&lt;=0),"qty must be above 0; ","")&amp;IF(AND($E583="received",OR($I583="",$H583="")),"log lot and best-by; ","")&amp;IF(AND($P583="N",SUMIFS(inventory!$G$2:$G$801,inventory!$C$2:$C$801,$C583,inventory!$H$2:$H$801,$H583,inventory!$E$2:$E$801,"rejected")&lt;N($G583)),"UNDER "&amp;config!$B$19&amp;" DAYS LEFT ON THE DROP DAY: reject these units; ","")&amp;IF(AND($E583="delivered",COUNTIF(inventory!$R$2:$R$801,$R583)&gt;1),"two delivered rows for this office: use one; ","")&amp;IF(AND($E583="delivered",$J583=""),"who counted?; ",""))</f>
        <v/>
      </c>
      <c r="R583" s="25">
        <f>IF($C583="","",$C583&amp;"|"&amp;$D583&amp;"|"&amp;$E583)</f>
        <v/>
      </c>
    </row>
    <row r="584">
      <c r="A584" s="9" t="n"/>
      <c r="B584" s="33" t="n"/>
      <c r="I584" s="9" t="n"/>
      <c r="L584" s="26">
        <f>IF($C584="","",IFERROR(IF(INDEX(campaigns!$BG$2:$BG$51,MATCH($C584,campaigns!$A$2:$A$51,0))="","",INDEX(campaigns!$BG$2:$BG$51,MATCH($C584,campaigns!$A$2:$A$51,0))),""))</f>
        <v/>
      </c>
      <c r="M584" s="25">
        <f>IF($C584="","",IF(OR($E584="received"),N($G584),IF(OR($E584="rejected",$E584="delivered",$E584="topped_up"),-N($G584),IF(AND(OR($E584="returned_to_brand",$E584="given_to_roster_office",$E584="released_to_office",$E584="disposed"),IF($F584="","reserve",$F584)="reserve"),-N($G584),IF(AND($E584="correction",IF($F584="","reserve",$F584)="reserve"),N($G584),0)))))</f>
        <v/>
      </c>
      <c r="N584" s="25">
        <f>IF($C584="","",IF($E584="rejected",N($G584),IF(AND(OR($E584="returned_to_brand",$E584="given_to_roster_office",$E584="released_to_office",$E584="disposed"),IF($F584="","reserve",$F584)="rejected"),-N($G584),IF(AND($E584="correction",IF($F584="","reserve",$F584)="rejected"),N($G584),0))))</f>
        <v/>
      </c>
      <c r="O584" s="25">
        <f>IF($C584="","",IF($E584="collected",N($G584),IF(AND(OR($E584="returned_to_brand",$E584="given_to_roster_office",$E584="released_to_office",$E584="disposed"),IF($F584="","reserve",$F584)="leftover"),-N($G584),IF(AND($E584="correction",IF($F584="","reserve",$F584)="leftover"),N($G584),0))))</f>
        <v/>
      </c>
      <c r="P584" s="25">
        <f>IF(OR($E584&lt;&gt;"received",$I584="",$L584=""),"",IF($I584&gt;=$L584+config!$B$19,"Y","N"))</f>
        <v/>
      </c>
      <c r="Q584" s="25">
        <f>IF($C584="","",IF(COUNTIF(campaigns!$A$2:$A$51,$C584)=0,"campaign_id not on campaigns; ",IF(AND($D584&lt;&gt;"",COUNTIFS(approvals!$A$2:$A$251,$C584,approvals!$B$2:$B$251,$D584)=0),"office not on this campaign (approvals tab); ",""))&amp;IF(AND(OR($E584="delivered",$E584="topped_up",$E584="collected"),$D584=""),"office needed; ","")&amp;IF(AND($E584&lt;&gt;"correction",N($G584)&lt;=0),"qty must be above 0; ","")&amp;IF(AND($E584="received",OR($I584="",$H584="")),"log lot and best-by; ","")&amp;IF(AND($P584="N",SUMIFS(inventory!$G$2:$G$801,inventory!$C$2:$C$801,$C584,inventory!$H$2:$H$801,$H584,inventory!$E$2:$E$801,"rejected")&lt;N($G584)),"UNDER "&amp;config!$B$19&amp;" DAYS LEFT ON THE DROP DAY: reject these units; ","")&amp;IF(AND($E584="delivered",COUNTIF(inventory!$R$2:$R$801,$R584)&gt;1),"two delivered rows for this office: use one; ","")&amp;IF(AND($E584="delivered",$J584=""),"who counted?; ",""))</f>
        <v/>
      </c>
      <c r="R584" s="25">
        <f>IF($C584="","",$C584&amp;"|"&amp;$D584&amp;"|"&amp;$E584)</f>
        <v/>
      </c>
    </row>
    <row r="585">
      <c r="A585" s="9" t="n"/>
      <c r="B585" s="33" t="n"/>
      <c r="I585" s="9" t="n"/>
      <c r="L585" s="26">
        <f>IF($C585="","",IFERROR(IF(INDEX(campaigns!$BG$2:$BG$51,MATCH($C585,campaigns!$A$2:$A$51,0))="","",INDEX(campaigns!$BG$2:$BG$51,MATCH($C585,campaigns!$A$2:$A$51,0))),""))</f>
        <v/>
      </c>
      <c r="M585" s="25">
        <f>IF($C585="","",IF(OR($E585="received"),N($G585),IF(OR($E585="rejected",$E585="delivered",$E585="topped_up"),-N($G585),IF(AND(OR($E585="returned_to_brand",$E585="given_to_roster_office",$E585="released_to_office",$E585="disposed"),IF($F585="","reserve",$F585)="reserve"),-N($G585),IF(AND($E585="correction",IF($F585="","reserve",$F585)="reserve"),N($G585),0)))))</f>
        <v/>
      </c>
      <c r="N585" s="25">
        <f>IF($C585="","",IF($E585="rejected",N($G585),IF(AND(OR($E585="returned_to_brand",$E585="given_to_roster_office",$E585="released_to_office",$E585="disposed"),IF($F585="","reserve",$F585)="rejected"),-N($G585),IF(AND($E585="correction",IF($F585="","reserve",$F585)="rejected"),N($G585),0))))</f>
        <v/>
      </c>
      <c r="O585" s="25">
        <f>IF($C585="","",IF($E585="collected",N($G585),IF(AND(OR($E585="returned_to_brand",$E585="given_to_roster_office",$E585="released_to_office",$E585="disposed"),IF($F585="","reserve",$F585)="leftover"),-N($G585),IF(AND($E585="correction",IF($F585="","reserve",$F585)="leftover"),N($G585),0))))</f>
        <v/>
      </c>
      <c r="P585" s="25">
        <f>IF(OR($E585&lt;&gt;"received",$I585="",$L585=""),"",IF($I585&gt;=$L585+config!$B$19,"Y","N"))</f>
        <v/>
      </c>
      <c r="Q585" s="25">
        <f>IF($C585="","",IF(COUNTIF(campaigns!$A$2:$A$51,$C585)=0,"campaign_id not on campaigns; ",IF(AND($D585&lt;&gt;"",COUNTIFS(approvals!$A$2:$A$251,$C585,approvals!$B$2:$B$251,$D585)=0),"office not on this campaign (approvals tab); ",""))&amp;IF(AND(OR($E585="delivered",$E585="topped_up",$E585="collected"),$D585=""),"office needed; ","")&amp;IF(AND($E585&lt;&gt;"correction",N($G585)&lt;=0),"qty must be above 0; ","")&amp;IF(AND($E585="received",OR($I585="",$H585="")),"log lot and best-by; ","")&amp;IF(AND($P585="N",SUMIFS(inventory!$G$2:$G$801,inventory!$C$2:$C$801,$C585,inventory!$H$2:$H$801,$H585,inventory!$E$2:$E$801,"rejected")&lt;N($G585)),"UNDER "&amp;config!$B$19&amp;" DAYS LEFT ON THE DROP DAY: reject these units; ","")&amp;IF(AND($E585="delivered",COUNTIF(inventory!$R$2:$R$801,$R585)&gt;1),"two delivered rows for this office: use one; ","")&amp;IF(AND($E585="delivered",$J585=""),"who counted?; ",""))</f>
        <v/>
      </c>
      <c r="R585" s="25">
        <f>IF($C585="","",$C585&amp;"|"&amp;$D585&amp;"|"&amp;$E585)</f>
        <v/>
      </c>
    </row>
    <row r="586">
      <c r="A586" s="9" t="n"/>
      <c r="B586" s="33" t="n"/>
      <c r="I586" s="9" t="n"/>
      <c r="L586" s="26">
        <f>IF($C586="","",IFERROR(IF(INDEX(campaigns!$BG$2:$BG$51,MATCH($C586,campaigns!$A$2:$A$51,0))="","",INDEX(campaigns!$BG$2:$BG$51,MATCH($C586,campaigns!$A$2:$A$51,0))),""))</f>
        <v/>
      </c>
      <c r="M586" s="25">
        <f>IF($C586="","",IF(OR($E586="received"),N($G586),IF(OR($E586="rejected",$E586="delivered",$E586="topped_up"),-N($G586),IF(AND(OR($E586="returned_to_brand",$E586="given_to_roster_office",$E586="released_to_office",$E586="disposed"),IF($F586="","reserve",$F586)="reserve"),-N($G586),IF(AND($E586="correction",IF($F586="","reserve",$F586)="reserve"),N($G586),0)))))</f>
        <v/>
      </c>
      <c r="N586" s="25">
        <f>IF($C586="","",IF($E586="rejected",N($G586),IF(AND(OR($E586="returned_to_brand",$E586="given_to_roster_office",$E586="released_to_office",$E586="disposed"),IF($F586="","reserve",$F586)="rejected"),-N($G586),IF(AND($E586="correction",IF($F586="","reserve",$F586)="rejected"),N($G586),0))))</f>
        <v/>
      </c>
      <c r="O586" s="25">
        <f>IF($C586="","",IF($E586="collected",N($G586),IF(AND(OR($E586="returned_to_brand",$E586="given_to_roster_office",$E586="released_to_office",$E586="disposed"),IF($F586="","reserve",$F586)="leftover"),-N($G586),IF(AND($E586="correction",IF($F586="","reserve",$F586)="leftover"),N($G586),0))))</f>
        <v/>
      </c>
      <c r="P586" s="25">
        <f>IF(OR($E586&lt;&gt;"received",$I586="",$L586=""),"",IF($I586&gt;=$L586+config!$B$19,"Y","N"))</f>
        <v/>
      </c>
      <c r="Q586" s="25">
        <f>IF($C586="","",IF(COUNTIF(campaigns!$A$2:$A$51,$C586)=0,"campaign_id not on campaigns; ",IF(AND($D586&lt;&gt;"",COUNTIFS(approvals!$A$2:$A$251,$C586,approvals!$B$2:$B$251,$D586)=0),"office not on this campaign (approvals tab); ",""))&amp;IF(AND(OR($E586="delivered",$E586="topped_up",$E586="collected"),$D586=""),"office needed; ","")&amp;IF(AND($E586&lt;&gt;"correction",N($G586)&lt;=0),"qty must be above 0; ","")&amp;IF(AND($E586="received",OR($I586="",$H586="")),"log lot and best-by; ","")&amp;IF(AND($P586="N",SUMIFS(inventory!$G$2:$G$801,inventory!$C$2:$C$801,$C586,inventory!$H$2:$H$801,$H586,inventory!$E$2:$E$801,"rejected")&lt;N($G586)),"UNDER "&amp;config!$B$19&amp;" DAYS LEFT ON THE DROP DAY: reject these units; ","")&amp;IF(AND($E586="delivered",COUNTIF(inventory!$R$2:$R$801,$R586)&gt;1),"two delivered rows for this office: use one; ","")&amp;IF(AND($E586="delivered",$J586=""),"who counted?; ",""))</f>
        <v/>
      </c>
      <c r="R586" s="25">
        <f>IF($C586="","",$C586&amp;"|"&amp;$D586&amp;"|"&amp;$E586)</f>
        <v/>
      </c>
    </row>
    <row r="587">
      <c r="A587" s="9" t="n"/>
      <c r="B587" s="33" t="n"/>
      <c r="I587" s="9" t="n"/>
      <c r="L587" s="26">
        <f>IF($C587="","",IFERROR(IF(INDEX(campaigns!$BG$2:$BG$51,MATCH($C587,campaigns!$A$2:$A$51,0))="","",INDEX(campaigns!$BG$2:$BG$51,MATCH($C587,campaigns!$A$2:$A$51,0))),""))</f>
        <v/>
      </c>
      <c r="M587" s="25">
        <f>IF($C587="","",IF(OR($E587="received"),N($G587),IF(OR($E587="rejected",$E587="delivered",$E587="topped_up"),-N($G587),IF(AND(OR($E587="returned_to_brand",$E587="given_to_roster_office",$E587="released_to_office",$E587="disposed"),IF($F587="","reserve",$F587)="reserve"),-N($G587),IF(AND($E587="correction",IF($F587="","reserve",$F587)="reserve"),N($G587),0)))))</f>
        <v/>
      </c>
      <c r="N587" s="25">
        <f>IF($C587="","",IF($E587="rejected",N($G587),IF(AND(OR($E587="returned_to_brand",$E587="given_to_roster_office",$E587="released_to_office",$E587="disposed"),IF($F587="","reserve",$F587)="rejected"),-N($G587),IF(AND($E587="correction",IF($F587="","reserve",$F587)="rejected"),N($G587),0))))</f>
        <v/>
      </c>
      <c r="O587" s="25">
        <f>IF($C587="","",IF($E587="collected",N($G587),IF(AND(OR($E587="returned_to_brand",$E587="given_to_roster_office",$E587="released_to_office",$E587="disposed"),IF($F587="","reserve",$F587)="leftover"),-N($G587),IF(AND($E587="correction",IF($F587="","reserve",$F587)="leftover"),N($G587),0))))</f>
        <v/>
      </c>
      <c r="P587" s="25">
        <f>IF(OR($E587&lt;&gt;"received",$I587="",$L587=""),"",IF($I587&gt;=$L587+config!$B$19,"Y","N"))</f>
        <v/>
      </c>
      <c r="Q587" s="25">
        <f>IF($C587="","",IF(COUNTIF(campaigns!$A$2:$A$51,$C587)=0,"campaign_id not on campaigns; ",IF(AND($D587&lt;&gt;"",COUNTIFS(approvals!$A$2:$A$251,$C587,approvals!$B$2:$B$251,$D587)=0),"office not on this campaign (approvals tab); ",""))&amp;IF(AND(OR($E587="delivered",$E587="topped_up",$E587="collected"),$D587=""),"office needed; ","")&amp;IF(AND($E587&lt;&gt;"correction",N($G587)&lt;=0),"qty must be above 0; ","")&amp;IF(AND($E587="received",OR($I587="",$H587="")),"log lot and best-by; ","")&amp;IF(AND($P587="N",SUMIFS(inventory!$G$2:$G$801,inventory!$C$2:$C$801,$C587,inventory!$H$2:$H$801,$H587,inventory!$E$2:$E$801,"rejected")&lt;N($G587)),"UNDER "&amp;config!$B$19&amp;" DAYS LEFT ON THE DROP DAY: reject these units; ","")&amp;IF(AND($E587="delivered",COUNTIF(inventory!$R$2:$R$801,$R587)&gt;1),"two delivered rows for this office: use one; ","")&amp;IF(AND($E587="delivered",$J587=""),"who counted?; ",""))</f>
        <v/>
      </c>
      <c r="R587" s="25">
        <f>IF($C587="","",$C587&amp;"|"&amp;$D587&amp;"|"&amp;$E587)</f>
        <v/>
      </c>
    </row>
    <row r="588">
      <c r="A588" s="9" t="n"/>
      <c r="B588" s="33" t="n"/>
      <c r="I588" s="9" t="n"/>
      <c r="L588" s="26">
        <f>IF($C588="","",IFERROR(IF(INDEX(campaigns!$BG$2:$BG$51,MATCH($C588,campaigns!$A$2:$A$51,0))="","",INDEX(campaigns!$BG$2:$BG$51,MATCH($C588,campaigns!$A$2:$A$51,0))),""))</f>
        <v/>
      </c>
      <c r="M588" s="25">
        <f>IF($C588="","",IF(OR($E588="received"),N($G588),IF(OR($E588="rejected",$E588="delivered",$E588="topped_up"),-N($G588),IF(AND(OR($E588="returned_to_brand",$E588="given_to_roster_office",$E588="released_to_office",$E588="disposed"),IF($F588="","reserve",$F588)="reserve"),-N($G588),IF(AND($E588="correction",IF($F588="","reserve",$F588)="reserve"),N($G588),0)))))</f>
        <v/>
      </c>
      <c r="N588" s="25">
        <f>IF($C588="","",IF($E588="rejected",N($G588),IF(AND(OR($E588="returned_to_brand",$E588="given_to_roster_office",$E588="released_to_office",$E588="disposed"),IF($F588="","reserve",$F588)="rejected"),-N($G588),IF(AND($E588="correction",IF($F588="","reserve",$F588)="rejected"),N($G588),0))))</f>
        <v/>
      </c>
      <c r="O588" s="25">
        <f>IF($C588="","",IF($E588="collected",N($G588),IF(AND(OR($E588="returned_to_brand",$E588="given_to_roster_office",$E588="released_to_office",$E588="disposed"),IF($F588="","reserve",$F588)="leftover"),-N($G588),IF(AND($E588="correction",IF($F588="","reserve",$F588)="leftover"),N($G588),0))))</f>
        <v/>
      </c>
      <c r="P588" s="25">
        <f>IF(OR($E588&lt;&gt;"received",$I588="",$L588=""),"",IF($I588&gt;=$L588+config!$B$19,"Y","N"))</f>
        <v/>
      </c>
      <c r="Q588" s="25">
        <f>IF($C588="","",IF(COUNTIF(campaigns!$A$2:$A$51,$C588)=0,"campaign_id not on campaigns; ",IF(AND($D588&lt;&gt;"",COUNTIFS(approvals!$A$2:$A$251,$C588,approvals!$B$2:$B$251,$D588)=0),"office not on this campaign (approvals tab); ",""))&amp;IF(AND(OR($E588="delivered",$E588="topped_up",$E588="collected"),$D588=""),"office needed; ","")&amp;IF(AND($E588&lt;&gt;"correction",N($G588)&lt;=0),"qty must be above 0; ","")&amp;IF(AND($E588="received",OR($I588="",$H588="")),"log lot and best-by; ","")&amp;IF(AND($P588="N",SUMIFS(inventory!$G$2:$G$801,inventory!$C$2:$C$801,$C588,inventory!$H$2:$H$801,$H588,inventory!$E$2:$E$801,"rejected")&lt;N($G588)),"UNDER "&amp;config!$B$19&amp;" DAYS LEFT ON THE DROP DAY: reject these units; ","")&amp;IF(AND($E588="delivered",COUNTIF(inventory!$R$2:$R$801,$R588)&gt;1),"two delivered rows for this office: use one; ","")&amp;IF(AND($E588="delivered",$J588=""),"who counted?; ",""))</f>
        <v/>
      </c>
      <c r="R588" s="25">
        <f>IF($C588="","",$C588&amp;"|"&amp;$D588&amp;"|"&amp;$E588)</f>
        <v/>
      </c>
    </row>
    <row r="589">
      <c r="A589" s="9" t="n"/>
      <c r="B589" s="33" t="n"/>
      <c r="I589" s="9" t="n"/>
      <c r="L589" s="26">
        <f>IF($C589="","",IFERROR(IF(INDEX(campaigns!$BG$2:$BG$51,MATCH($C589,campaigns!$A$2:$A$51,0))="","",INDEX(campaigns!$BG$2:$BG$51,MATCH($C589,campaigns!$A$2:$A$51,0))),""))</f>
        <v/>
      </c>
      <c r="M589" s="25">
        <f>IF($C589="","",IF(OR($E589="received"),N($G589),IF(OR($E589="rejected",$E589="delivered",$E589="topped_up"),-N($G589),IF(AND(OR($E589="returned_to_brand",$E589="given_to_roster_office",$E589="released_to_office",$E589="disposed"),IF($F589="","reserve",$F589)="reserve"),-N($G589),IF(AND($E589="correction",IF($F589="","reserve",$F589)="reserve"),N($G589),0)))))</f>
        <v/>
      </c>
      <c r="N589" s="25">
        <f>IF($C589="","",IF($E589="rejected",N($G589),IF(AND(OR($E589="returned_to_brand",$E589="given_to_roster_office",$E589="released_to_office",$E589="disposed"),IF($F589="","reserve",$F589)="rejected"),-N($G589),IF(AND($E589="correction",IF($F589="","reserve",$F589)="rejected"),N($G589),0))))</f>
        <v/>
      </c>
      <c r="O589" s="25">
        <f>IF($C589="","",IF($E589="collected",N($G589),IF(AND(OR($E589="returned_to_brand",$E589="given_to_roster_office",$E589="released_to_office",$E589="disposed"),IF($F589="","reserve",$F589)="leftover"),-N($G589),IF(AND($E589="correction",IF($F589="","reserve",$F589)="leftover"),N($G589),0))))</f>
        <v/>
      </c>
      <c r="P589" s="25">
        <f>IF(OR($E589&lt;&gt;"received",$I589="",$L589=""),"",IF($I589&gt;=$L589+config!$B$19,"Y","N"))</f>
        <v/>
      </c>
      <c r="Q589" s="25">
        <f>IF($C589="","",IF(COUNTIF(campaigns!$A$2:$A$51,$C589)=0,"campaign_id not on campaigns; ",IF(AND($D589&lt;&gt;"",COUNTIFS(approvals!$A$2:$A$251,$C589,approvals!$B$2:$B$251,$D589)=0),"office not on this campaign (approvals tab); ",""))&amp;IF(AND(OR($E589="delivered",$E589="topped_up",$E589="collected"),$D589=""),"office needed; ","")&amp;IF(AND($E589&lt;&gt;"correction",N($G589)&lt;=0),"qty must be above 0; ","")&amp;IF(AND($E589="received",OR($I589="",$H589="")),"log lot and best-by; ","")&amp;IF(AND($P589="N",SUMIFS(inventory!$G$2:$G$801,inventory!$C$2:$C$801,$C589,inventory!$H$2:$H$801,$H589,inventory!$E$2:$E$801,"rejected")&lt;N($G589)),"UNDER "&amp;config!$B$19&amp;" DAYS LEFT ON THE DROP DAY: reject these units; ","")&amp;IF(AND($E589="delivered",COUNTIF(inventory!$R$2:$R$801,$R589)&gt;1),"two delivered rows for this office: use one; ","")&amp;IF(AND($E589="delivered",$J589=""),"who counted?; ",""))</f>
        <v/>
      </c>
      <c r="R589" s="25">
        <f>IF($C589="","",$C589&amp;"|"&amp;$D589&amp;"|"&amp;$E589)</f>
        <v/>
      </c>
    </row>
    <row r="590">
      <c r="A590" s="9" t="n"/>
      <c r="B590" s="33" t="n"/>
      <c r="I590" s="9" t="n"/>
      <c r="L590" s="26">
        <f>IF($C590="","",IFERROR(IF(INDEX(campaigns!$BG$2:$BG$51,MATCH($C590,campaigns!$A$2:$A$51,0))="","",INDEX(campaigns!$BG$2:$BG$51,MATCH($C590,campaigns!$A$2:$A$51,0))),""))</f>
        <v/>
      </c>
      <c r="M590" s="25">
        <f>IF($C590="","",IF(OR($E590="received"),N($G590),IF(OR($E590="rejected",$E590="delivered",$E590="topped_up"),-N($G590),IF(AND(OR($E590="returned_to_brand",$E590="given_to_roster_office",$E590="released_to_office",$E590="disposed"),IF($F590="","reserve",$F590)="reserve"),-N($G590),IF(AND($E590="correction",IF($F590="","reserve",$F590)="reserve"),N($G590),0)))))</f>
        <v/>
      </c>
      <c r="N590" s="25">
        <f>IF($C590="","",IF($E590="rejected",N($G590),IF(AND(OR($E590="returned_to_brand",$E590="given_to_roster_office",$E590="released_to_office",$E590="disposed"),IF($F590="","reserve",$F590)="rejected"),-N($G590),IF(AND($E590="correction",IF($F590="","reserve",$F590)="rejected"),N($G590),0))))</f>
        <v/>
      </c>
      <c r="O590" s="25">
        <f>IF($C590="","",IF($E590="collected",N($G590),IF(AND(OR($E590="returned_to_brand",$E590="given_to_roster_office",$E590="released_to_office",$E590="disposed"),IF($F590="","reserve",$F590)="leftover"),-N($G590),IF(AND($E590="correction",IF($F590="","reserve",$F590)="leftover"),N($G590),0))))</f>
        <v/>
      </c>
      <c r="P590" s="25">
        <f>IF(OR($E590&lt;&gt;"received",$I590="",$L590=""),"",IF($I590&gt;=$L590+config!$B$19,"Y","N"))</f>
        <v/>
      </c>
      <c r="Q590" s="25">
        <f>IF($C590="","",IF(COUNTIF(campaigns!$A$2:$A$51,$C590)=0,"campaign_id not on campaigns; ",IF(AND($D590&lt;&gt;"",COUNTIFS(approvals!$A$2:$A$251,$C590,approvals!$B$2:$B$251,$D590)=0),"office not on this campaign (approvals tab); ",""))&amp;IF(AND(OR($E590="delivered",$E590="topped_up",$E590="collected"),$D590=""),"office needed; ","")&amp;IF(AND($E590&lt;&gt;"correction",N($G590)&lt;=0),"qty must be above 0; ","")&amp;IF(AND($E590="received",OR($I590="",$H590="")),"log lot and best-by; ","")&amp;IF(AND($P590="N",SUMIFS(inventory!$G$2:$G$801,inventory!$C$2:$C$801,$C590,inventory!$H$2:$H$801,$H590,inventory!$E$2:$E$801,"rejected")&lt;N($G590)),"UNDER "&amp;config!$B$19&amp;" DAYS LEFT ON THE DROP DAY: reject these units; ","")&amp;IF(AND($E590="delivered",COUNTIF(inventory!$R$2:$R$801,$R590)&gt;1),"two delivered rows for this office: use one; ","")&amp;IF(AND($E590="delivered",$J590=""),"who counted?; ",""))</f>
        <v/>
      </c>
      <c r="R590" s="25">
        <f>IF($C590="","",$C590&amp;"|"&amp;$D590&amp;"|"&amp;$E590)</f>
        <v/>
      </c>
    </row>
    <row r="591">
      <c r="A591" s="9" t="n"/>
      <c r="B591" s="33" t="n"/>
      <c r="I591" s="9" t="n"/>
      <c r="L591" s="26">
        <f>IF($C591="","",IFERROR(IF(INDEX(campaigns!$BG$2:$BG$51,MATCH($C591,campaigns!$A$2:$A$51,0))="","",INDEX(campaigns!$BG$2:$BG$51,MATCH($C591,campaigns!$A$2:$A$51,0))),""))</f>
        <v/>
      </c>
      <c r="M591" s="25">
        <f>IF($C591="","",IF(OR($E591="received"),N($G591),IF(OR($E591="rejected",$E591="delivered",$E591="topped_up"),-N($G591),IF(AND(OR($E591="returned_to_brand",$E591="given_to_roster_office",$E591="released_to_office",$E591="disposed"),IF($F591="","reserve",$F591)="reserve"),-N($G591),IF(AND($E591="correction",IF($F591="","reserve",$F591)="reserve"),N($G591),0)))))</f>
        <v/>
      </c>
      <c r="N591" s="25">
        <f>IF($C591="","",IF($E591="rejected",N($G591),IF(AND(OR($E591="returned_to_brand",$E591="given_to_roster_office",$E591="released_to_office",$E591="disposed"),IF($F591="","reserve",$F591)="rejected"),-N($G591),IF(AND($E591="correction",IF($F591="","reserve",$F591)="rejected"),N($G591),0))))</f>
        <v/>
      </c>
      <c r="O591" s="25">
        <f>IF($C591="","",IF($E591="collected",N($G591),IF(AND(OR($E591="returned_to_brand",$E591="given_to_roster_office",$E591="released_to_office",$E591="disposed"),IF($F591="","reserve",$F591)="leftover"),-N($G591),IF(AND($E591="correction",IF($F591="","reserve",$F591)="leftover"),N($G591),0))))</f>
        <v/>
      </c>
      <c r="P591" s="25">
        <f>IF(OR($E591&lt;&gt;"received",$I591="",$L591=""),"",IF($I591&gt;=$L591+config!$B$19,"Y","N"))</f>
        <v/>
      </c>
      <c r="Q591" s="25">
        <f>IF($C591="","",IF(COUNTIF(campaigns!$A$2:$A$51,$C591)=0,"campaign_id not on campaigns; ",IF(AND($D591&lt;&gt;"",COUNTIFS(approvals!$A$2:$A$251,$C591,approvals!$B$2:$B$251,$D591)=0),"office not on this campaign (approvals tab); ",""))&amp;IF(AND(OR($E591="delivered",$E591="topped_up",$E591="collected"),$D591=""),"office needed; ","")&amp;IF(AND($E591&lt;&gt;"correction",N($G591)&lt;=0),"qty must be above 0; ","")&amp;IF(AND($E591="received",OR($I591="",$H591="")),"log lot and best-by; ","")&amp;IF(AND($P591="N",SUMIFS(inventory!$G$2:$G$801,inventory!$C$2:$C$801,$C591,inventory!$H$2:$H$801,$H591,inventory!$E$2:$E$801,"rejected")&lt;N($G591)),"UNDER "&amp;config!$B$19&amp;" DAYS LEFT ON THE DROP DAY: reject these units; ","")&amp;IF(AND($E591="delivered",COUNTIF(inventory!$R$2:$R$801,$R591)&gt;1),"two delivered rows for this office: use one; ","")&amp;IF(AND($E591="delivered",$J591=""),"who counted?; ",""))</f>
        <v/>
      </c>
      <c r="R591" s="25">
        <f>IF($C591="","",$C591&amp;"|"&amp;$D591&amp;"|"&amp;$E591)</f>
        <v/>
      </c>
    </row>
    <row r="592">
      <c r="A592" s="9" t="n"/>
      <c r="B592" s="33" t="n"/>
      <c r="I592" s="9" t="n"/>
      <c r="L592" s="26">
        <f>IF($C592="","",IFERROR(IF(INDEX(campaigns!$BG$2:$BG$51,MATCH($C592,campaigns!$A$2:$A$51,0))="","",INDEX(campaigns!$BG$2:$BG$51,MATCH($C592,campaigns!$A$2:$A$51,0))),""))</f>
        <v/>
      </c>
      <c r="M592" s="25">
        <f>IF($C592="","",IF(OR($E592="received"),N($G592),IF(OR($E592="rejected",$E592="delivered",$E592="topped_up"),-N($G592),IF(AND(OR($E592="returned_to_brand",$E592="given_to_roster_office",$E592="released_to_office",$E592="disposed"),IF($F592="","reserve",$F592)="reserve"),-N($G592),IF(AND($E592="correction",IF($F592="","reserve",$F592)="reserve"),N($G592),0)))))</f>
        <v/>
      </c>
      <c r="N592" s="25">
        <f>IF($C592="","",IF($E592="rejected",N($G592),IF(AND(OR($E592="returned_to_brand",$E592="given_to_roster_office",$E592="released_to_office",$E592="disposed"),IF($F592="","reserve",$F592)="rejected"),-N($G592),IF(AND($E592="correction",IF($F592="","reserve",$F592)="rejected"),N($G592),0))))</f>
        <v/>
      </c>
      <c r="O592" s="25">
        <f>IF($C592="","",IF($E592="collected",N($G592),IF(AND(OR($E592="returned_to_brand",$E592="given_to_roster_office",$E592="released_to_office",$E592="disposed"),IF($F592="","reserve",$F592)="leftover"),-N($G592),IF(AND($E592="correction",IF($F592="","reserve",$F592)="leftover"),N($G592),0))))</f>
        <v/>
      </c>
      <c r="P592" s="25">
        <f>IF(OR($E592&lt;&gt;"received",$I592="",$L592=""),"",IF($I592&gt;=$L592+config!$B$19,"Y","N"))</f>
        <v/>
      </c>
      <c r="Q592" s="25">
        <f>IF($C592="","",IF(COUNTIF(campaigns!$A$2:$A$51,$C592)=0,"campaign_id not on campaigns; ",IF(AND($D592&lt;&gt;"",COUNTIFS(approvals!$A$2:$A$251,$C592,approvals!$B$2:$B$251,$D592)=0),"office not on this campaign (approvals tab); ",""))&amp;IF(AND(OR($E592="delivered",$E592="topped_up",$E592="collected"),$D592=""),"office needed; ","")&amp;IF(AND($E592&lt;&gt;"correction",N($G592)&lt;=0),"qty must be above 0; ","")&amp;IF(AND($E592="received",OR($I592="",$H592="")),"log lot and best-by; ","")&amp;IF(AND($P592="N",SUMIFS(inventory!$G$2:$G$801,inventory!$C$2:$C$801,$C592,inventory!$H$2:$H$801,$H592,inventory!$E$2:$E$801,"rejected")&lt;N($G592)),"UNDER "&amp;config!$B$19&amp;" DAYS LEFT ON THE DROP DAY: reject these units; ","")&amp;IF(AND($E592="delivered",COUNTIF(inventory!$R$2:$R$801,$R592)&gt;1),"two delivered rows for this office: use one; ","")&amp;IF(AND($E592="delivered",$J592=""),"who counted?; ",""))</f>
        <v/>
      </c>
      <c r="R592" s="25">
        <f>IF($C592="","",$C592&amp;"|"&amp;$D592&amp;"|"&amp;$E592)</f>
        <v/>
      </c>
    </row>
    <row r="593">
      <c r="A593" s="9" t="n"/>
      <c r="B593" s="33" t="n"/>
      <c r="I593" s="9" t="n"/>
      <c r="L593" s="26">
        <f>IF($C593="","",IFERROR(IF(INDEX(campaigns!$BG$2:$BG$51,MATCH($C593,campaigns!$A$2:$A$51,0))="","",INDEX(campaigns!$BG$2:$BG$51,MATCH($C593,campaigns!$A$2:$A$51,0))),""))</f>
        <v/>
      </c>
      <c r="M593" s="25">
        <f>IF($C593="","",IF(OR($E593="received"),N($G593),IF(OR($E593="rejected",$E593="delivered",$E593="topped_up"),-N($G593),IF(AND(OR($E593="returned_to_brand",$E593="given_to_roster_office",$E593="released_to_office",$E593="disposed"),IF($F593="","reserve",$F593)="reserve"),-N($G593),IF(AND($E593="correction",IF($F593="","reserve",$F593)="reserve"),N($G593),0)))))</f>
        <v/>
      </c>
      <c r="N593" s="25">
        <f>IF($C593="","",IF($E593="rejected",N($G593),IF(AND(OR($E593="returned_to_brand",$E593="given_to_roster_office",$E593="released_to_office",$E593="disposed"),IF($F593="","reserve",$F593)="rejected"),-N($G593),IF(AND($E593="correction",IF($F593="","reserve",$F593)="rejected"),N($G593),0))))</f>
        <v/>
      </c>
      <c r="O593" s="25">
        <f>IF($C593="","",IF($E593="collected",N($G593),IF(AND(OR($E593="returned_to_brand",$E593="given_to_roster_office",$E593="released_to_office",$E593="disposed"),IF($F593="","reserve",$F593)="leftover"),-N($G593),IF(AND($E593="correction",IF($F593="","reserve",$F593)="leftover"),N($G593),0))))</f>
        <v/>
      </c>
      <c r="P593" s="25">
        <f>IF(OR($E593&lt;&gt;"received",$I593="",$L593=""),"",IF($I593&gt;=$L593+config!$B$19,"Y","N"))</f>
        <v/>
      </c>
      <c r="Q593" s="25">
        <f>IF($C593="","",IF(COUNTIF(campaigns!$A$2:$A$51,$C593)=0,"campaign_id not on campaigns; ",IF(AND($D593&lt;&gt;"",COUNTIFS(approvals!$A$2:$A$251,$C593,approvals!$B$2:$B$251,$D593)=0),"office not on this campaign (approvals tab); ",""))&amp;IF(AND(OR($E593="delivered",$E593="topped_up",$E593="collected"),$D593=""),"office needed; ","")&amp;IF(AND($E593&lt;&gt;"correction",N($G593)&lt;=0),"qty must be above 0; ","")&amp;IF(AND($E593="received",OR($I593="",$H593="")),"log lot and best-by; ","")&amp;IF(AND($P593="N",SUMIFS(inventory!$G$2:$G$801,inventory!$C$2:$C$801,$C593,inventory!$H$2:$H$801,$H593,inventory!$E$2:$E$801,"rejected")&lt;N($G593)),"UNDER "&amp;config!$B$19&amp;" DAYS LEFT ON THE DROP DAY: reject these units; ","")&amp;IF(AND($E593="delivered",COUNTIF(inventory!$R$2:$R$801,$R593)&gt;1),"two delivered rows for this office: use one; ","")&amp;IF(AND($E593="delivered",$J593=""),"who counted?; ",""))</f>
        <v/>
      </c>
      <c r="R593" s="25">
        <f>IF($C593="","",$C593&amp;"|"&amp;$D593&amp;"|"&amp;$E593)</f>
        <v/>
      </c>
    </row>
    <row r="594">
      <c r="A594" s="9" t="n"/>
      <c r="B594" s="33" t="n"/>
      <c r="I594" s="9" t="n"/>
      <c r="L594" s="26">
        <f>IF($C594="","",IFERROR(IF(INDEX(campaigns!$BG$2:$BG$51,MATCH($C594,campaigns!$A$2:$A$51,0))="","",INDEX(campaigns!$BG$2:$BG$51,MATCH($C594,campaigns!$A$2:$A$51,0))),""))</f>
        <v/>
      </c>
      <c r="M594" s="25">
        <f>IF($C594="","",IF(OR($E594="received"),N($G594),IF(OR($E594="rejected",$E594="delivered",$E594="topped_up"),-N($G594),IF(AND(OR($E594="returned_to_brand",$E594="given_to_roster_office",$E594="released_to_office",$E594="disposed"),IF($F594="","reserve",$F594)="reserve"),-N($G594),IF(AND($E594="correction",IF($F594="","reserve",$F594)="reserve"),N($G594),0)))))</f>
        <v/>
      </c>
      <c r="N594" s="25">
        <f>IF($C594="","",IF($E594="rejected",N($G594),IF(AND(OR($E594="returned_to_brand",$E594="given_to_roster_office",$E594="released_to_office",$E594="disposed"),IF($F594="","reserve",$F594)="rejected"),-N($G594),IF(AND($E594="correction",IF($F594="","reserve",$F594)="rejected"),N($G594),0))))</f>
        <v/>
      </c>
      <c r="O594" s="25">
        <f>IF($C594="","",IF($E594="collected",N($G594),IF(AND(OR($E594="returned_to_brand",$E594="given_to_roster_office",$E594="released_to_office",$E594="disposed"),IF($F594="","reserve",$F594)="leftover"),-N($G594),IF(AND($E594="correction",IF($F594="","reserve",$F594)="leftover"),N($G594),0))))</f>
        <v/>
      </c>
      <c r="P594" s="25">
        <f>IF(OR($E594&lt;&gt;"received",$I594="",$L594=""),"",IF($I594&gt;=$L594+config!$B$19,"Y","N"))</f>
        <v/>
      </c>
      <c r="Q594" s="25">
        <f>IF($C594="","",IF(COUNTIF(campaigns!$A$2:$A$51,$C594)=0,"campaign_id not on campaigns; ",IF(AND($D594&lt;&gt;"",COUNTIFS(approvals!$A$2:$A$251,$C594,approvals!$B$2:$B$251,$D594)=0),"office not on this campaign (approvals tab); ",""))&amp;IF(AND(OR($E594="delivered",$E594="topped_up",$E594="collected"),$D594=""),"office needed; ","")&amp;IF(AND($E594&lt;&gt;"correction",N($G594)&lt;=0),"qty must be above 0; ","")&amp;IF(AND($E594="received",OR($I594="",$H594="")),"log lot and best-by; ","")&amp;IF(AND($P594="N",SUMIFS(inventory!$G$2:$G$801,inventory!$C$2:$C$801,$C594,inventory!$H$2:$H$801,$H594,inventory!$E$2:$E$801,"rejected")&lt;N($G594)),"UNDER "&amp;config!$B$19&amp;" DAYS LEFT ON THE DROP DAY: reject these units; ","")&amp;IF(AND($E594="delivered",COUNTIF(inventory!$R$2:$R$801,$R594)&gt;1),"two delivered rows for this office: use one; ","")&amp;IF(AND($E594="delivered",$J594=""),"who counted?; ",""))</f>
        <v/>
      </c>
      <c r="R594" s="25">
        <f>IF($C594="","",$C594&amp;"|"&amp;$D594&amp;"|"&amp;$E594)</f>
        <v/>
      </c>
    </row>
    <row r="595">
      <c r="A595" s="9" t="n"/>
      <c r="B595" s="33" t="n"/>
      <c r="I595" s="9" t="n"/>
      <c r="L595" s="26">
        <f>IF($C595="","",IFERROR(IF(INDEX(campaigns!$BG$2:$BG$51,MATCH($C595,campaigns!$A$2:$A$51,0))="","",INDEX(campaigns!$BG$2:$BG$51,MATCH($C595,campaigns!$A$2:$A$51,0))),""))</f>
        <v/>
      </c>
      <c r="M595" s="25">
        <f>IF($C595="","",IF(OR($E595="received"),N($G595),IF(OR($E595="rejected",$E595="delivered",$E595="topped_up"),-N($G595),IF(AND(OR($E595="returned_to_brand",$E595="given_to_roster_office",$E595="released_to_office",$E595="disposed"),IF($F595="","reserve",$F595)="reserve"),-N($G595),IF(AND($E595="correction",IF($F595="","reserve",$F595)="reserve"),N($G595),0)))))</f>
        <v/>
      </c>
      <c r="N595" s="25">
        <f>IF($C595="","",IF($E595="rejected",N($G595),IF(AND(OR($E595="returned_to_brand",$E595="given_to_roster_office",$E595="released_to_office",$E595="disposed"),IF($F595="","reserve",$F595)="rejected"),-N($G595),IF(AND($E595="correction",IF($F595="","reserve",$F595)="rejected"),N($G595),0))))</f>
        <v/>
      </c>
      <c r="O595" s="25">
        <f>IF($C595="","",IF($E595="collected",N($G595),IF(AND(OR($E595="returned_to_brand",$E595="given_to_roster_office",$E595="released_to_office",$E595="disposed"),IF($F595="","reserve",$F595)="leftover"),-N($G595),IF(AND($E595="correction",IF($F595="","reserve",$F595)="leftover"),N($G595),0))))</f>
        <v/>
      </c>
      <c r="P595" s="25">
        <f>IF(OR($E595&lt;&gt;"received",$I595="",$L595=""),"",IF($I595&gt;=$L595+config!$B$19,"Y","N"))</f>
        <v/>
      </c>
      <c r="Q595" s="25">
        <f>IF($C595="","",IF(COUNTIF(campaigns!$A$2:$A$51,$C595)=0,"campaign_id not on campaigns; ",IF(AND($D595&lt;&gt;"",COUNTIFS(approvals!$A$2:$A$251,$C595,approvals!$B$2:$B$251,$D595)=0),"office not on this campaign (approvals tab); ",""))&amp;IF(AND(OR($E595="delivered",$E595="topped_up",$E595="collected"),$D595=""),"office needed; ","")&amp;IF(AND($E595&lt;&gt;"correction",N($G595)&lt;=0),"qty must be above 0; ","")&amp;IF(AND($E595="received",OR($I595="",$H595="")),"log lot and best-by; ","")&amp;IF(AND($P595="N",SUMIFS(inventory!$G$2:$G$801,inventory!$C$2:$C$801,$C595,inventory!$H$2:$H$801,$H595,inventory!$E$2:$E$801,"rejected")&lt;N($G595)),"UNDER "&amp;config!$B$19&amp;" DAYS LEFT ON THE DROP DAY: reject these units; ","")&amp;IF(AND($E595="delivered",COUNTIF(inventory!$R$2:$R$801,$R595)&gt;1),"two delivered rows for this office: use one; ","")&amp;IF(AND($E595="delivered",$J595=""),"who counted?; ",""))</f>
        <v/>
      </c>
      <c r="R595" s="25">
        <f>IF($C595="","",$C595&amp;"|"&amp;$D595&amp;"|"&amp;$E595)</f>
        <v/>
      </c>
    </row>
    <row r="596">
      <c r="A596" s="9" t="n"/>
      <c r="B596" s="33" t="n"/>
      <c r="I596" s="9" t="n"/>
      <c r="L596" s="26">
        <f>IF($C596="","",IFERROR(IF(INDEX(campaigns!$BG$2:$BG$51,MATCH($C596,campaigns!$A$2:$A$51,0))="","",INDEX(campaigns!$BG$2:$BG$51,MATCH($C596,campaigns!$A$2:$A$51,0))),""))</f>
        <v/>
      </c>
      <c r="M596" s="25">
        <f>IF($C596="","",IF(OR($E596="received"),N($G596),IF(OR($E596="rejected",$E596="delivered",$E596="topped_up"),-N($G596),IF(AND(OR($E596="returned_to_brand",$E596="given_to_roster_office",$E596="released_to_office",$E596="disposed"),IF($F596="","reserve",$F596)="reserve"),-N($G596),IF(AND($E596="correction",IF($F596="","reserve",$F596)="reserve"),N($G596),0)))))</f>
        <v/>
      </c>
      <c r="N596" s="25">
        <f>IF($C596="","",IF($E596="rejected",N($G596),IF(AND(OR($E596="returned_to_brand",$E596="given_to_roster_office",$E596="released_to_office",$E596="disposed"),IF($F596="","reserve",$F596)="rejected"),-N($G596),IF(AND($E596="correction",IF($F596="","reserve",$F596)="rejected"),N($G596),0))))</f>
        <v/>
      </c>
      <c r="O596" s="25">
        <f>IF($C596="","",IF($E596="collected",N($G596),IF(AND(OR($E596="returned_to_brand",$E596="given_to_roster_office",$E596="released_to_office",$E596="disposed"),IF($F596="","reserve",$F596)="leftover"),-N($G596),IF(AND($E596="correction",IF($F596="","reserve",$F596)="leftover"),N($G596),0))))</f>
        <v/>
      </c>
      <c r="P596" s="25">
        <f>IF(OR($E596&lt;&gt;"received",$I596="",$L596=""),"",IF($I596&gt;=$L596+config!$B$19,"Y","N"))</f>
        <v/>
      </c>
      <c r="Q596" s="25">
        <f>IF($C596="","",IF(COUNTIF(campaigns!$A$2:$A$51,$C596)=0,"campaign_id not on campaigns; ",IF(AND($D596&lt;&gt;"",COUNTIFS(approvals!$A$2:$A$251,$C596,approvals!$B$2:$B$251,$D596)=0),"office not on this campaign (approvals tab); ",""))&amp;IF(AND(OR($E596="delivered",$E596="topped_up",$E596="collected"),$D596=""),"office needed; ","")&amp;IF(AND($E596&lt;&gt;"correction",N($G596)&lt;=0),"qty must be above 0; ","")&amp;IF(AND($E596="received",OR($I596="",$H596="")),"log lot and best-by; ","")&amp;IF(AND($P596="N",SUMIFS(inventory!$G$2:$G$801,inventory!$C$2:$C$801,$C596,inventory!$H$2:$H$801,$H596,inventory!$E$2:$E$801,"rejected")&lt;N($G596)),"UNDER "&amp;config!$B$19&amp;" DAYS LEFT ON THE DROP DAY: reject these units; ","")&amp;IF(AND($E596="delivered",COUNTIF(inventory!$R$2:$R$801,$R596)&gt;1),"two delivered rows for this office: use one; ","")&amp;IF(AND($E596="delivered",$J596=""),"who counted?; ",""))</f>
        <v/>
      </c>
      <c r="R596" s="25">
        <f>IF($C596="","",$C596&amp;"|"&amp;$D596&amp;"|"&amp;$E596)</f>
        <v/>
      </c>
    </row>
    <row r="597">
      <c r="A597" s="9" t="n"/>
      <c r="B597" s="33" t="n"/>
      <c r="I597" s="9" t="n"/>
      <c r="L597" s="26">
        <f>IF($C597="","",IFERROR(IF(INDEX(campaigns!$BG$2:$BG$51,MATCH($C597,campaigns!$A$2:$A$51,0))="","",INDEX(campaigns!$BG$2:$BG$51,MATCH($C597,campaigns!$A$2:$A$51,0))),""))</f>
        <v/>
      </c>
      <c r="M597" s="25">
        <f>IF($C597="","",IF(OR($E597="received"),N($G597),IF(OR($E597="rejected",$E597="delivered",$E597="topped_up"),-N($G597),IF(AND(OR($E597="returned_to_brand",$E597="given_to_roster_office",$E597="released_to_office",$E597="disposed"),IF($F597="","reserve",$F597)="reserve"),-N($G597),IF(AND($E597="correction",IF($F597="","reserve",$F597)="reserve"),N($G597),0)))))</f>
        <v/>
      </c>
      <c r="N597" s="25">
        <f>IF($C597="","",IF($E597="rejected",N($G597),IF(AND(OR($E597="returned_to_brand",$E597="given_to_roster_office",$E597="released_to_office",$E597="disposed"),IF($F597="","reserve",$F597)="rejected"),-N($G597),IF(AND($E597="correction",IF($F597="","reserve",$F597)="rejected"),N($G597),0))))</f>
        <v/>
      </c>
      <c r="O597" s="25">
        <f>IF($C597="","",IF($E597="collected",N($G597),IF(AND(OR($E597="returned_to_brand",$E597="given_to_roster_office",$E597="released_to_office",$E597="disposed"),IF($F597="","reserve",$F597)="leftover"),-N($G597),IF(AND($E597="correction",IF($F597="","reserve",$F597)="leftover"),N($G597),0))))</f>
        <v/>
      </c>
      <c r="P597" s="25">
        <f>IF(OR($E597&lt;&gt;"received",$I597="",$L597=""),"",IF($I597&gt;=$L597+config!$B$19,"Y","N"))</f>
        <v/>
      </c>
      <c r="Q597" s="25">
        <f>IF($C597="","",IF(COUNTIF(campaigns!$A$2:$A$51,$C597)=0,"campaign_id not on campaigns; ",IF(AND($D597&lt;&gt;"",COUNTIFS(approvals!$A$2:$A$251,$C597,approvals!$B$2:$B$251,$D597)=0),"office not on this campaign (approvals tab); ",""))&amp;IF(AND(OR($E597="delivered",$E597="topped_up",$E597="collected"),$D597=""),"office needed; ","")&amp;IF(AND($E597&lt;&gt;"correction",N($G597)&lt;=0),"qty must be above 0; ","")&amp;IF(AND($E597="received",OR($I597="",$H597="")),"log lot and best-by; ","")&amp;IF(AND($P597="N",SUMIFS(inventory!$G$2:$G$801,inventory!$C$2:$C$801,$C597,inventory!$H$2:$H$801,$H597,inventory!$E$2:$E$801,"rejected")&lt;N($G597)),"UNDER "&amp;config!$B$19&amp;" DAYS LEFT ON THE DROP DAY: reject these units; ","")&amp;IF(AND($E597="delivered",COUNTIF(inventory!$R$2:$R$801,$R597)&gt;1),"two delivered rows for this office: use one; ","")&amp;IF(AND($E597="delivered",$J597=""),"who counted?; ",""))</f>
        <v/>
      </c>
      <c r="R597" s="25">
        <f>IF($C597="","",$C597&amp;"|"&amp;$D597&amp;"|"&amp;$E597)</f>
        <v/>
      </c>
    </row>
    <row r="598">
      <c r="A598" s="9" t="n"/>
      <c r="B598" s="33" t="n"/>
      <c r="I598" s="9" t="n"/>
      <c r="L598" s="26">
        <f>IF($C598="","",IFERROR(IF(INDEX(campaigns!$BG$2:$BG$51,MATCH($C598,campaigns!$A$2:$A$51,0))="","",INDEX(campaigns!$BG$2:$BG$51,MATCH($C598,campaigns!$A$2:$A$51,0))),""))</f>
        <v/>
      </c>
      <c r="M598" s="25">
        <f>IF($C598="","",IF(OR($E598="received"),N($G598),IF(OR($E598="rejected",$E598="delivered",$E598="topped_up"),-N($G598),IF(AND(OR($E598="returned_to_brand",$E598="given_to_roster_office",$E598="released_to_office",$E598="disposed"),IF($F598="","reserve",$F598)="reserve"),-N($G598),IF(AND($E598="correction",IF($F598="","reserve",$F598)="reserve"),N($G598),0)))))</f>
        <v/>
      </c>
      <c r="N598" s="25">
        <f>IF($C598="","",IF($E598="rejected",N($G598),IF(AND(OR($E598="returned_to_brand",$E598="given_to_roster_office",$E598="released_to_office",$E598="disposed"),IF($F598="","reserve",$F598)="rejected"),-N($G598),IF(AND($E598="correction",IF($F598="","reserve",$F598)="rejected"),N($G598),0))))</f>
        <v/>
      </c>
      <c r="O598" s="25">
        <f>IF($C598="","",IF($E598="collected",N($G598),IF(AND(OR($E598="returned_to_brand",$E598="given_to_roster_office",$E598="released_to_office",$E598="disposed"),IF($F598="","reserve",$F598)="leftover"),-N($G598),IF(AND($E598="correction",IF($F598="","reserve",$F598)="leftover"),N($G598),0))))</f>
        <v/>
      </c>
      <c r="P598" s="25">
        <f>IF(OR($E598&lt;&gt;"received",$I598="",$L598=""),"",IF($I598&gt;=$L598+config!$B$19,"Y","N"))</f>
        <v/>
      </c>
      <c r="Q598" s="25">
        <f>IF($C598="","",IF(COUNTIF(campaigns!$A$2:$A$51,$C598)=0,"campaign_id not on campaigns; ",IF(AND($D598&lt;&gt;"",COUNTIFS(approvals!$A$2:$A$251,$C598,approvals!$B$2:$B$251,$D598)=0),"office not on this campaign (approvals tab); ",""))&amp;IF(AND(OR($E598="delivered",$E598="topped_up",$E598="collected"),$D598=""),"office needed; ","")&amp;IF(AND($E598&lt;&gt;"correction",N($G598)&lt;=0),"qty must be above 0; ","")&amp;IF(AND($E598="received",OR($I598="",$H598="")),"log lot and best-by; ","")&amp;IF(AND($P598="N",SUMIFS(inventory!$G$2:$G$801,inventory!$C$2:$C$801,$C598,inventory!$H$2:$H$801,$H598,inventory!$E$2:$E$801,"rejected")&lt;N($G598)),"UNDER "&amp;config!$B$19&amp;" DAYS LEFT ON THE DROP DAY: reject these units; ","")&amp;IF(AND($E598="delivered",COUNTIF(inventory!$R$2:$R$801,$R598)&gt;1),"two delivered rows for this office: use one; ","")&amp;IF(AND($E598="delivered",$J598=""),"who counted?; ",""))</f>
        <v/>
      </c>
      <c r="R598" s="25">
        <f>IF($C598="","",$C598&amp;"|"&amp;$D598&amp;"|"&amp;$E598)</f>
        <v/>
      </c>
    </row>
    <row r="599">
      <c r="A599" s="9" t="n"/>
      <c r="B599" s="33" t="n"/>
      <c r="I599" s="9" t="n"/>
      <c r="L599" s="26">
        <f>IF($C599="","",IFERROR(IF(INDEX(campaigns!$BG$2:$BG$51,MATCH($C599,campaigns!$A$2:$A$51,0))="","",INDEX(campaigns!$BG$2:$BG$51,MATCH($C599,campaigns!$A$2:$A$51,0))),""))</f>
        <v/>
      </c>
      <c r="M599" s="25">
        <f>IF($C599="","",IF(OR($E599="received"),N($G599),IF(OR($E599="rejected",$E599="delivered",$E599="topped_up"),-N($G599),IF(AND(OR($E599="returned_to_brand",$E599="given_to_roster_office",$E599="released_to_office",$E599="disposed"),IF($F599="","reserve",$F599)="reserve"),-N($G599),IF(AND($E599="correction",IF($F599="","reserve",$F599)="reserve"),N($G599),0)))))</f>
        <v/>
      </c>
      <c r="N599" s="25">
        <f>IF($C599="","",IF($E599="rejected",N($G599),IF(AND(OR($E599="returned_to_brand",$E599="given_to_roster_office",$E599="released_to_office",$E599="disposed"),IF($F599="","reserve",$F599)="rejected"),-N($G599),IF(AND($E599="correction",IF($F599="","reserve",$F599)="rejected"),N($G599),0))))</f>
        <v/>
      </c>
      <c r="O599" s="25">
        <f>IF($C599="","",IF($E599="collected",N($G599),IF(AND(OR($E599="returned_to_brand",$E599="given_to_roster_office",$E599="released_to_office",$E599="disposed"),IF($F599="","reserve",$F599)="leftover"),-N($G599),IF(AND($E599="correction",IF($F599="","reserve",$F599)="leftover"),N($G599),0))))</f>
        <v/>
      </c>
      <c r="P599" s="25">
        <f>IF(OR($E599&lt;&gt;"received",$I599="",$L599=""),"",IF($I599&gt;=$L599+config!$B$19,"Y","N"))</f>
        <v/>
      </c>
      <c r="Q599" s="25">
        <f>IF($C599="","",IF(COUNTIF(campaigns!$A$2:$A$51,$C599)=0,"campaign_id not on campaigns; ",IF(AND($D599&lt;&gt;"",COUNTIFS(approvals!$A$2:$A$251,$C599,approvals!$B$2:$B$251,$D599)=0),"office not on this campaign (approvals tab); ",""))&amp;IF(AND(OR($E599="delivered",$E599="topped_up",$E599="collected"),$D599=""),"office needed; ","")&amp;IF(AND($E599&lt;&gt;"correction",N($G599)&lt;=0),"qty must be above 0; ","")&amp;IF(AND($E599="received",OR($I599="",$H599="")),"log lot and best-by; ","")&amp;IF(AND($P599="N",SUMIFS(inventory!$G$2:$G$801,inventory!$C$2:$C$801,$C599,inventory!$H$2:$H$801,$H599,inventory!$E$2:$E$801,"rejected")&lt;N($G599)),"UNDER "&amp;config!$B$19&amp;" DAYS LEFT ON THE DROP DAY: reject these units; ","")&amp;IF(AND($E599="delivered",COUNTIF(inventory!$R$2:$R$801,$R599)&gt;1),"two delivered rows for this office: use one; ","")&amp;IF(AND($E599="delivered",$J599=""),"who counted?; ",""))</f>
        <v/>
      </c>
      <c r="R599" s="25">
        <f>IF($C599="","",$C599&amp;"|"&amp;$D599&amp;"|"&amp;$E599)</f>
        <v/>
      </c>
    </row>
    <row r="600">
      <c r="A600" s="9" t="n"/>
      <c r="B600" s="33" t="n"/>
      <c r="I600" s="9" t="n"/>
      <c r="L600" s="26">
        <f>IF($C600="","",IFERROR(IF(INDEX(campaigns!$BG$2:$BG$51,MATCH($C600,campaigns!$A$2:$A$51,0))="","",INDEX(campaigns!$BG$2:$BG$51,MATCH($C600,campaigns!$A$2:$A$51,0))),""))</f>
        <v/>
      </c>
      <c r="M600" s="25">
        <f>IF($C600="","",IF(OR($E600="received"),N($G600),IF(OR($E600="rejected",$E600="delivered",$E600="topped_up"),-N($G600),IF(AND(OR($E600="returned_to_brand",$E600="given_to_roster_office",$E600="released_to_office",$E600="disposed"),IF($F600="","reserve",$F600)="reserve"),-N($G600),IF(AND($E600="correction",IF($F600="","reserve",$F600)="reserve"),N($G600),0)))))</f>
        <v/>
      </c>
      <c r="N600" s="25">
        <f>IF($C600="","",IF($E600="rejected",N($G600),IF(AND(OR($E600="returned_to_brand",$E600="given_to_roster_office",$E600="released_to_office",$E600="disposed"),IF($F600="","reserve",$F600)="rejected"),-N($G600),IF(AND($E600="correction",IF($F600="","reserve",$F600)="rejected"),N($G600),0))))</f>
        <v/>
      </c>
      <c r="O600" s="25">
        <f>IF($C600="","",IF($E600="collected",N($G600),IF(AND(OR($E600="returned_to_brand",$E600="given_to_roster_office",$E600="released_to_office",$E600="disposed"),IF($F600="","reserve",$F600)="leftover"),-N($G600),IF(AND($E600="correction",IF($F600="","reserve",$F600)="leftover"),N($G600),0))))</f>
        <v/>
      </c>
      <c r="P600" s="25">
        <f>IF(OR($E600&lt;&gt;"received",$I600="",$L600=""),"",IF($I600&gt;=$L600+config!$B$19,"Y","N"))</f>
        <v/>
      </c>
      <c r="Q600" s="25">
        <f>IF($C600="","",IF(COUNTIF(campaigns!$A$2:$A$51,$C600)=0,"campaign_id not on campaigns; ",IF(AND($D600&lt;&gt;"",COUNTIFS(approvals!$A$2:$A$251,$C600,approvals!$B$2:$B$251,$D600)=0),"office not on this campaign (approvals tab); ",""))&amp;IF(AND(OR($E600="delivered",$E600="topped_up",$E600="collected"),$D600=""),"office needed; ","")&amp;IF(AND($E600&lt;&gt;"correction",N($G600)&lt;=0),"qty must be above 0; ","")&amp;IF(AND($E600="received",OR($I600="",$H600="")),"log lot and best-by; ","")&amp;IF(AND($P600="N",SUMIFS(inventory!$G$2:$G$801,inventory!$C$2:$C$801,$C600,inventory!$H$2:$H$801,$H600,inventory!$E$2:$E$801,"rejected")&lt;N($G600)),"UNDER "&amp;config!$B$19&amp;" DAYS LEFT ON THE DROP DAY: reject these units; ","")&amp;IF(AND($E600="delivered",COUNTIF(inventory!$R$2:$R$801,$R600)&gt;1),"two delivered rows for this office: use one; ","")&amp;IF(AND($E600="delivered",$J600=""),"who counted?; ",""))</f>
        <v/>
      </c>
      <c r="R600" s="25">
        <f>IF($C600="","",$C600&amp;"|"&amp;$D600&amp;"|"&amp;$E600)</f>
        <v/>
      </c>
    </row>
    <row r="601">
      <c r="A601" s="9" t="n"/>
      <c r="B601" s="33" t="n"/>
      <c r="I601" s="9" t="n"/>
      <c r="L601" s="26">
        <f>IF($C601="","",IFERROR(IF(INDEX(campaigns!$BG$2:$BG$51,MATCH($C601,campaigns!$A$2:$A$51,0))="","",INDEX(campaigns!$BG$2:$BG$51,MATCH($C601,campaigns!$A$2:$A$51,0))),""))</f>
        <v/>
      </c>
      <c r="M601" s="25">
        <f>IF($C601="","",IF(OR($E601="received"),N($G601),IF(OR($E601="rejected",$E601="delivered",$E601="topped_up"),-N($G601),IF(AND(OR($E601="returned_to_brand",$E601="given_to_roster_office",$E601="released_to_office",$E601="disposed"),IF($F601="","reserve",$F601)="reserve"),-N($G601),IF(AND($E601="correction",IF($F601="","reserve",$F601)="reserve"),N($G601),0)))))</f>
        <v/>
      </c>
      <c r="N601" s="25">
        <f>IF($C601="","",IF($E601="rejected",N($G601),IF(AND(OR($E601="returned_to_brand",$E601="given_to_roster_office",$E601="released_to_office",$E601="disposed"),IF($F601="","reserve",$F601)="rejected"),-N($G601),IF(AND($E601="correction",IF($F601="","reserve",$F601)="rejected"),N($G601),0))))</f>
        <v/>
      </c>
      <c r="O601" s="25">
        <f>IF($C601="","",IF($E601="collected",N($G601),IF(AND(OR($E601="returned_to_brand",$E601="given_to_roster_office",$E601="released_to_office",$E601="disposed"),IF($F601="","reserve",$F601)="leftover"),-N($G601),IF(AND($E601="correction",IF($F601="","reserve",$F601)="leftover"),N($G601),0))))</f>
        <v/>
      </c>
      <c r="P601" s="25">
        <f>IF(OR($E601&lt;&gt;"received",$I601="",$L601=""),"",IF($I601&gt;=$L601+config!$B$19,"Y","N"))</f>
        <v/>
      </c>
      <c r="Q601" s="25">
        <f>IF($C601="","",IF(COUNTIF(campaigns!$A$2:$A$51,$C601)=0,"campaign_id not on campaigns; ",IF(AND($D601&lt;&gt;"",COUNTIFS(approvals!$A$2:$A$251,$C601,approvals!$B$2:$B$251,$D601)=0),"office not on this campaign (approvals tab); ",""))&amp;IF(AND(OR($E601="delivered",$E601="topped_up",$E601="collected"),$D601=""),"office needed; ","")&amp;IF(AND($E601&lt;&gt;"correction",N($G601)&lt;=0),"qty must be above 0; ","")&amp;IF(AND($E601="received",OR($I601="",$H601="")),"log lot and best-by; ","")&amp;IF(AND($P601="N",SUMIFS(inventory!$G$2:$G$801,inventory!$C$2:$C$801,$C601,inventory!$H$2:$H$801,$H601,inventory!$E$2:$E$801,"rejected")&lt;N($G601)),"UNDER "&amp;config!$B$19&amp;" DAYS LEFT ON THE DROP DAY: reject these units; ","")&amp;IF(AND($E601="delivered",COUNTIF(inventory!$R$2:$R$801,$R601)&gt;1),"two delivered rows for this office: use one; ","")&amp;IF(AND($E601="delivered",$J601=""),"who counted?; ",""))</f>
        <v/>
      </c>
      <c r="R601" s="25">
        <f>IF($C601="","",$C601&amp;"|"&amp;$D601&amp;"|"&amp;$E601)</f>
        <v/>
      </c>
    </row>
    <row r="602">
      <c r="A602" s="9" t="n"/>
      <c r="B602" s="33" t="n"/>
      <c r="I602" s="9" t="n"/>
      <c r="L602" s="26">
        <f>IF($C602="","",IFERROR(IF(INDEX(campaigns!$BG$2:$BG$51,MATCH($C602,campaigns!$A$2:$A$51,0))="","",INDEX(campaigns!$BG$2:$BG$51,MATCH($C602,campaigns!$A$2:$A$51,0))),""))</f>
        <v/>
      </c>
      <c r="M602" s="25">
        <f>IF($C602="","",IF(OR($E602="received"),N($G602),IF(OR($E602="rejected",$E602="delivered",$E602="topped_up"),-N($G602),IF(AND(OR($E602="returned_to_brand",$E602="given_to_roster_office",$E602="released_to_office",$E602="disposed"),IF($F602="","reserve",$F602)="reserve"),-N($G602),IF(AND($E602="correction",IF($F602="","reserve",$F602)="reserve"),N($G602),0)))))</f>
        <v/>
      </c>
      <c r="N602" s="25">
        <f>IF($C602="","",IF($E602="rejected",N($G602),IF(AND(OR($E602="returned_to_brand",$E602="given_to_roster_office",$E602="released_to_office",$E602="disposed"),IF($F602="","reserve",$F602)="rejected"),-N($G602),IF(AND($E602="correction",IF($F602="","reserve",$F602)="rejected"),N($G602),0))))</f>
        <v/>
      </c>
      <c r="O602" s="25">
        <f>IF($C602="","",IF($E602="collected",N($G602),IF(AND(OR($E602="returned_to_brand",$E602="given_to_roster_office",$E602="released_to_office",$E602="disposed"),IF($F602="","reserve",$F602)="leftover"),-N($G602),IF(AND($E602="correction",IF($F602="","reserve",$F602)="leftover"),N($G602),0))))</f>
        <v/>
      </c>
      <c r="P602" s="25">
        <f>IF(OR($E602&lt;&gt;"received",$I602="",$L602=""),"",IF($I602&gt;=$L602+config!$B$19,"Y","N"))</f>
        <v/>
      </c>
      <c r="Q602" s="25">
        <f>IF($C602="","",IF(COUNTIF(campaigns!$A$2:$A$51,$C602)=0,"campaign_id not on campaigns; ",IF(AND($D602&lt;&gt;"",COUNTIFS(approvals!$A$2:$A$251,$C602,approvals!$B$2:$B$251,$D602)=0),"office not on this campaign (approvals tab); ",""))&amp;IF(AND(OR($E602="delivered",$E602="topped_up",$E602="collected"),$D602=""),"office needed; ","")&amp;IF(AND($E602&lt;&gt;"correction",N($G602)&lt;=0),"qty must be above 0; ","")&amp;IF(AND($E602="received",OR($I602="",$H602="")),"log lot and best-by; ","")&amp;IF(AND($P602="N",SUMIFS(inventory!$G$2:$G$801,inventory!$C$2:$C$801,$C602,inventory!$H$2:$H$801,$H602,inventory!$E$2:$E$801,"rejected")&lt;N($G602)),"UNDER "&amp;config!$B$19&amp;" DAYS LEFT ON THE DROP DAY: reject these units; ","")&amp;IF(AND($E602="delivered",COUNTIF(inventory!$R$2:$R$801,$R602)&gt;1),"two delivered rows for this office: use one; ","")&amp;IF(AND($E602="delivered",$J602=""),"who counted?; ",""))</f>
        <v/>
      </c>
      <c r="R602" s="25">
        <f>IF($C602="","",$C602&amp;"|"&amp;$D602&amp;"|"&amp;$E602)</f>
        <v/>
      </c>
    </row>
    <row r="603">
      <c r="A603" s="9" t="n"/>
      <c r="B603" s="33" t="n"/>
      <c r="I603" s="9" t="n"/>
      <c r="L603" s="26">
        <f>IF($C603="","",IFERROR(IF(INDEX(campaigns!$BG$2:$BG$51,MATCH($C603,campaigns!$A$2:$A$51,0))="","",INDEX(campaigns!$BG$2:$BG$51,MATCH($C603,campaigns!$A$2:$A$51,0))),""))</f>
        <v/>
      </c>
      <c r="M603" s="25">
        <f>IF($C603="","",IF(OR($E603="received"),N($G603),IF(OR($E603="rejected",$E603="delivered",$E603="topped_up"),-N($G603),IF(AND(OR($E603="returned_to_brand",$E603="given_to_roster_office",$E603="released_to_office",$E603="disposed"),IF($F603="","reserve",$F603)="reserve"),-N($G603),IF(AND($E603="correction",IF($F603="","reserve",$F603)="reserve"),N($G603),0)))))</f>
        <v/>
      </c>
      <c r="N603" s="25">
        <f>IF($C603="","",IF($E603="rejected",N($G603),IF(AND(OR($E603="returned_to_brand",$E603="given_to_roster_office",$E603="released_to_office",$E603="disposed"),IF($F603="","reserve",$F603)="rejected"),-N($G603),IF(AND($E603="correction",IF($F603="","reserve",$F603)="rejected"),N($G603),0))))</f>
        <v/>
      </c>
      <c r="O603" s="25">
        <f>IF($C603="","",IF($E603="collected",N($G603),IF(AND(OR($E603="returned_to_brand",$E603="given_to_roster_office",$E603="released_to_office",$E603="disposed"),IF($F603="","reserve",$F603)="leftover"),-N($G603),IF(AND($E603="correction",IF($F603="","reserve",$F603)="leftover"),N($G603),0))))</f>
        <v/>
      </c>
      <c r="P603" s="25">
        <f>IF(OR($E603&lt;&gt;"received",$I603="",$L603=""),"",IF($I603&gt;=$L603+config!$B$19,"Y","N"))</f>
        <v/>
      </c>
      <c r="Q603" s="25">
        <f>IF($C603="","",IF(COUNTIF(campaigns!$A$2:$A$51,$C603)=0,"campaign_id not on campaigns; ",IF(AND($D603&lt;&gt;"",COUNTIFS(approvals!$A$2:$A$251,$C603,approvals!$B$2:$B$251,$D603)=0),"office not on this campaign (approvals tab); ",""))&amp;IF(AND(OR($E603="delivered",$E603="topped_up",$E603="collected"),$D603=""),"office needed; ","")&amp;IF(AND($E603&lt;&gt;"correction",N($G603)&lt;=0),"qty must be above 0; ","")&amp;IF(AND($E603="received",OR($I603="",$H603="")),"log lot and best-by; ","")&amp;IF(AND($P603="N",SUMIFS(inventory!$G$2:$G$801,inventory!$C$2:$C$801,$C603,inventory!$H$2:$H$801,$H603,inventory!$E$2:$E$801,"rejected")&lt;N($G603)),"UNDER "&amp;config!$B$19&amp;" DAYS LEFT ON THE DROP DAY: reject these units; ","")&amp;IF(AND($E603="delivered",COUNTIF(inventory!$R$2:$R$801,$R603)&gt;1),"two delivered rows for this office: use one; ","")&amp;IF(AND($E603="delivered",$J603=""),"who counted?; ",""))</f>
        <v/>
      </c>
      <c r="R603" s="25">
        <f>IF($C603="","",$C603&amp;"|"&amp;$D603&amp;"|"&amp;$E603)</f>
        <v/>
      </c>
    </row>
    <row r="604">
      <c r="A604" s="9" t="n"/>
      <c r="B604" s="33" t="n"/>
      <c r="I604" s="9" t="n"/>
      <c r="L604" s="26">
        <f>IF($C604="","",IFERROR(IF(INDEX(campaigns!$BG$2:$BG$51,MATCH($C604,campaigns!$A$2:$A$51,0))="","",INDEX(campaigns!$BG$2:$BG$51,MATCH($C604,campaigns!$A$2:$A$51,0))),""))</f>
        <v/>
      </c>
      <c r="M604" s="25">
        <f>IF($C604="","",IF(OR($E604="received"),N($G604),IF(OR($E604="rejected",$E604="delivered",$E604="topped_up"),-N($G604),IF(AND(OR($E604="returned_to_brand",$E604="given_to_roster_office",$E604="released_to_office",$E604="disposed"),IF($F604="","reserve",$F604)="reserve"),-N($G604),IF(AND($E604="correction",IF($F604="","reserve",$F604)="reserve"),N($G604),0)))))</f>
        <v/>
      </c>
      <c r="N604" s="25">
        <f>IF($C604="","",IF($E604="rejected",N($G604),IF(AND(OR($E604="returned_to_brand",$E604="given_to_roster_office",$E604="released_to_office",$E604="disposed"),IF($F604="","reserve",$F604)="rejected"),-N($G604),IF(AND($E604="correction",IF($F604="","reserve",$F604)="rejected"),N($G604),0))))</f>
        <v/>
      </c>
      <c r="O604" s="25">
        <f>IF($C604="","",IF($E604="collected",N($G604),IF(AND(OR($E604="returned_to_brand",$E604="given_to_roster_office",$E604="released_to_office",$E604="disposed"),IF($F604="","reserve",$F604)="leftover"),-N($G604),IF(AND($E604="correction",IF($F604="","reserve",$F604)="leftover"),N($G604),0))))</f>
        <v/>
      </c>
      <c r="P604" s="25">
        <f>IF(OR($E604&lt;&gt;"received",$I604="",$L604=""),"",IF($I604&gt;=$L604+config!$B$19,"Y","N"))</f>
        <v/>
      </c>
      <c r="Q604" s="25">
        <f>IF($C604="","",IF(COUNTIF(campaigns!$A$2:$A$51,$C604)=0,"campaign_id not on campaigns; ",IF(AND($D604&lt;&gt;"",COUNTIFS(approvals!$A$2:$A$251,$C604,approvals!$B$2:$B$251,$D604)=0),"office not on this campaign (approvals tab); ",""))&amp;IF(AND(OR($E604="delivered",$E604="topped_up",$E604="collected"),$D604=""),"office needed; ","")&amp;IF(AND($E604&lt;&gt;"correction",N($G604)&lt;=0),"qty must be above 0; ","")&amp;IF(AND($E604="received",OR($I604="",$H604="")),"log lot and best-by; ","")&amp;IF(AND($P604="N",SUMIFS(inventory!$G$2:$G$801,inventory!$C$2:$C$801,$C604,inventory!$H$2:$H$801,$H604,inventory!$E$2:$E$801,"rejected")&lt;N($G604)),"UNDER "&amp;config!$B$19&amp;" DAYS LEFT ON THE DROP DAY: reject these units; ","")&amp;IF(AND($E604="delivered",COUNTIF(inventory!$R$2:$R$801,$R604)&gt;1),"two delivered rows for this office: use one; ","")&amp;IF(AND($E604="delivered",$J604=""),"who counted?; ",""))</f>
        <v/>
      </c>
      <c r="R604" s="25">
        <f>IF($C604="","",$C604&amp;"|"&amp;$D604&amp;"|"&amp;$E604)</f>
        <v/>
      </c>
    </row>
    <row r="605">
      <c r="A605" s="9" t="n"/>
      <c r="B605" s="33" t="n"/>
      <c r="I605" s="9" t="n"/>
      <c r="L605" s="26">
        <f>IF($C605="","",IFERROR(IF(INDEX(campaigns!$BG$2:$BG$51,MATCH($C605,campaigns!$A$2:$A$51,0))="","",INDEX(campaigns!$BG$2:$BG$51,MATCH($C605,campaigns!$A$2:$A$51,0))),""))</f>
        <v/>
      </c>
      <c r="M605" s="25">
        <f>IF($C605="","",IF(OR($E605="received"),N($G605),IF(OR($E605="rejected",$E605="delivered",$E605="topped_up"),-N($G605),IF(AND(OR($E605="returned_to_brand",$E605="given_to_roster_office",$E605="released_to_office",$E605="disposed"),IF($F605="","reserve",$F605)="reserve"),-N($G605),IF(AND($E605="correction",IF($F605="","reserve",$F605)="reserve"),N($G605),0)))))</f>
        <v/>
      </c>
      <c r="N605" s="25">
        <f>IF($C605="","",IF($E605="rejected",N($G605),IF(AND(OR($E605="returned_to_brand",$E605="given_to_roster_office",$E605="released_to_office",$E605="disposed"),IF($F605="","reserve",$F605)="rejected"),-N($G605),IF(AND($E605="correction",IF($F605="","reserve",$F605)="rejected"),N($G605),0))))</f>
        <v/>
      </c>
      <c r="O605" s="25">
        <f>IF($C605="","",IF($E605="collected",N($G605),IF(AND(OR($E605="returned_to_brand",$E605="given_to_roster_office",$E605="released_to_office",$E605="disposed"),IF($F605="","reserve",$F605)="leftover"),-N($G605),IF(AND($E605="correction",IF($F605="","reserve",$F605)="leftover"),N($G605),0))))</f>
        <v/>
      </c>
      <c r="P605" s="25">
        <f>IF(OR($E605&lt;&gt;"received",$I605="",$L605=""),"",IF($I605&gt;=$L605+config!$B$19,"Y","N"))</f>
        <v/>
      </c>
      <c r="Q605" s="25">
        <f>IF($C605="","",IF(COUNTIF(campaigns!$A$2:$A$51,$C605)=0,"campaign_id not on campaigns; ",IF(AND($D605&lt;&gt;"",COUNTIFS(approvals!$A$2:$A$251,$C605,approvals!$B$2:$B$251,$D605)=0),"office not on this campaign (approvals tab); ",""))&amp;IF(AND(OR($E605="delivered",$E605="topped_up",$E605="collected"),$D605=""),"office needed; ","")&amp;IF(AND($E605&lt;&gt;"correction",N($G605)&lt;=0),"qty must be above 0; ","")&amp;IF(AND($E605="received",OR($I605="",$H605="")),"log lot and best-by; ","")&amp;IF(AND($P605="N",SUMIFS(inventory!$G$2:$G$801,inventory!$C$2:$C$801,$C605,inventory!$H$2:$H$801,$H605,inventory!$E$2:$E$801,"rejected")&lt;N($G605)),"UNDER "&amp;config!$B$19&amp;" DAYS LEFT ON THE DROP DAY: reject these units; ","")&amp;IF(AND($E605="delivered",COUNTIF(inventory!$R$2:$R$801,$R605)&gt;1),"two delivered rows for this office: use one; ","")&amp;IF(AND($E605="delivered",$J605=""),"who counted?; ",""))</f>
        <v/>
      </c>
      <c r="R605" s="25">
        <f>IF($C605="","",$C605&amp;"|"&amp;$D605&amp;"|"&amp;$E605)</f>
        <v/>
      </c>
    </row>
    <row r="606">
      <c r="A606" s="9" t="n"/>
      <c r="B606" s="33" t="n"/>
      <c r="I606" s="9" t="n"/>
      <c r="L606" s="26">
        <f>IF($C606="","",IFERROR(IF(INDEX(campaigns!$BG$2:$BG$51,MATCH($C606,campaigns!$A$2:$A$51,0))="","",INDEX(campaigns!$BG$2:$BG$51,MATCH($C606,campaigns!$A$2:$A$51,0))),""))</f>
        <v/>
      </c>
      <c r="M606" s="25">
        <f>IF($C606="","",IF(OR($E606="received"),N($G606),IF(OR($E606="rejected",$E606="delivered",$E606="topped_up"),-N($G606),IF(AND(OR($E606="returned_to_brand",$E606="given_to_roster_office",$E606="released_to_office",$E606="disposed"),IF($F606="","reserve",$F606)="reserve"),-N($G606),IF(AND($E606="correction",IF($F606="","reserve",$F606)="reserve"),N($G606),0)))))</f>
        <v/>
      </c>
      <c r="N606" s="25">
        <f>IF($C606="","",IF($E606="rejected",N($G606),IF(AND(OR($E606="returned_to_brand",$E606="given_to_roster_office",$E606="released_to_office",$E606="disposed"),IF($F606="","reserve",$F606)="rejected"),-N($G606),IF(AND($E606="correction",IF($F606="","reserve",$F606)="rejected"),N($G606),0))))</f>
        <v/>
      </c>
      <c r="O606" s="25">
        <f>IF($C606="","",IF($E606="collected",N($G606),IF(AND(OR($E606="returned_to_brand",$E606="given_to_roster_office",$E606="released_to_office",$E606="disposed"),IF($F606="","reserve",$F606)="leftover"),-N($G606),IF(AND($E606="correction",IF($F606="","reserve",$F606)="leftover"),N($G606),0))))</f>
        <v/>
      </c>
      <c r="P606" s="25">
        <f>IF(OR($E606&lt;&gt;"received",$I606="",$L606=""),"",IF($I606&gt;=$L606+config!$B$19,"Y","N"))</f>
        <v/>
      </c>
      <c r="Q606" s="25">
        <f>IF($C606="","",IF(COUNTIF(campaigns!$A$2:$A$51,$C606)=0,"campaign_id not on campaigns; ",IF(AND($D606&lt;&gt;"",COUNTIFS(approvals!$A$2:$A$251,$C606,approvals!$B$2:$B$251,$D606)=0),"office not on this campaign (approvals tab); ",""))&amp;IF(AND(OR($E606="delivered",$E606="topped_up",$E606="collected"),$D606=""),"office needed; ","")&amp;IF(AND($E606&lt;&gt;"correction",N($G606)&lt;=0),"qty must be above 0; ","")&amp;IF(AND($E606="received",OR($I606="",$H606="")),"log lot and best-by; ","")&amp;IF(AND($P606="N",SUMIFS(inventory!$G$2:$G$801,inventory!$C$2:$C$801,$C606,inventory!$H$2:$H$801,$H606,inventory!$E$2:$E$801,"rejected")&lt;N($G606)),"UNDER "&amp;config!$B$19&amp;" DAYS LEFT ON THE DROP DAY: reject these units; ","")&amp;IF(AND($E606="delivered",COUNTIF(inventory!$R$2:$R$801,$R606)&gt;1),"two delivered rows for this office: use one; ","")&amp;IF(AND($E606="delivered",$J606=""),"who counted?; ",""))</f>
        <v/>
      </c>
      <c r="R606" s="25">
        <f>IF($C606="","",$C606&amp;"|"&amp;$D606&amp;"|"&amp;$E606)</f>
        <v/>
      </c>
    </row>
    <row r="607">
      <c r="A607" s="9" t="n"/>
      <c r="B607" s="33" t="n"/>
      <c r="I607" s="9" t="n"/>
      <c r="L607" s="26">
        <f>IF($C607="","",IFERROR(IF(INDEX(campaigns!$BG$2:$BG$51,MATCH($C607,campaigns!$A$2:$A$51,0))="","",INDEX(campaigns!$BG$2:$BG$51,MATCH($C607,campaigns!$A$2:$A$51,0))),""))</f>
        <v/>
      </c>
      <c r="M607" s="25">
        <f>IF($C607="","",IF(OR($E607="received"),N($G607),IF(OR($E607="rejected",$E607="delivered",$E607="topped_up"),-N($G607),IF(AND(OR($E607="returned_to_brand",$E607="given_to_roster_office",$E607="released_to_office",$E607="disposed"),IF($F607="","reserve",$F607)="reserve"),-N($G607),IF(AND($E607="correction",IF($F607="","reserve",$F607)="reserve"),N($G607),0)))))</f>
        <v/>
      </c>
      <c r="N607" s="25">
        <f>IF($C607="","",IF($E607="rejected",N($G607),IF(AND(OR($E607="returned_to_brand",$E607="given_to_roster_office",$E607="released_to_office",$E607="disposed"),IF($F607="","reserve",$F607)="rejected"),-N($G607),IF(AND($E607="correction",IF($F607="","reserve",$F607)="rejected"),N($G607),0))))</f>
        <v/>
      </c>
      <c r="O607" s="25">
        <f>IF($C607="","",IF($E607="collected",N($G607),IF(AND(OR($E607="returned_to_brand",$E607="given_to_roster_office",$E607="released_to_office",$E607="disposed"),IF($F607="","reserve",$F607)="leftover"),-N($G607),IF(AND($E607="correction",IF($F607="","reserve",$F607)="leftover"),N($G607),0))))</f>
        <v/>
      </c>
      <c r="P607" s="25">
        <f>IF(OR($E607&lt;&gt;"received",$I607="",$L607=""),"",IF($I607&gt;=$L607+config!$B$19,"Y","N"))</f>
        <v/>
      </c>
      <c r="Q607" s="25">
        <f>IF($C607="","",IF(COUNTIF(campaigns!$A$2:$A$51,$C607)=0,"campaign_id not on campaigns; ",IF(AND($D607&lt;&gt;"",COUNTIFS(approvals!$A$2:$A$251,$C607,approvals!$B$2:$B$251,$D607)=0),"office not on this campaign (approvals tab); ",""))&amp;IF(AND(OR($E607="delivered",$E607="topped_up",$E607="collected"),$D607=""),"office needed; ","")&amp;IF(AND($E607&lt;&gt;"correction",N($G607)&lt;=0),"qty must be above 0; ","")&amp;IF(AND($E607="received",OR($I607="",$H607="")),"log lot and best-by; ","")&amp;IF(AND($P607="N",SUMIFS(inventory!$G$2:$G$801,inventory!$C$2:$C$801,$C607,inventory!$H$2:$H$801,$H607,inventory!$E$2:$E$801,"rejected")&lt;N($G607)),"UNDER "&amp;config!$B$19&amp;" DAYS LEFT ON THE DROP DAY: reject these units; ","")&amp;IF(AND($E607="delivered",COUNTIF(inventory!$R$2:$R$801,$R607)&gt;1),"two delivered rows for this office: use one; ","")&amp;IF(AND($E607="delivered",$J607=""),"who counted?; ",""))</f>
        <v/>
      </c>
      <c r="R607" s="25">
        <f>IF($C607="","",$C607&amp;"|"&amp;$D607&amp;"|"&amp;$E607)</f>
        <v/>
      </c>
    </row>
    <row r="608">
      <c r="A608" s="9" t="n"/>
      <c r="B608" s="33" t="n"/>
      <c r="I608" s="9" t="n"/>
      <c r="L608" s="26">
        <f>IF($C608="","",IFERROR(IF(INDEX(campaigns!$BG$2:$BG$51,MATCH($C608,campaigns!$A$2:$A$51,0))="","",INDEX(campaigns!$BG$2:$BG$51,MATCH($C608,campaigns!$A$2:$A$51,0))),""))</f>
        <v/>
      </c>
      <c r="M608" s="25">
        <f>IF($C608="","",IF(OR($E608="received"),N($G608),IF(OR($E608="rejected",$E608="delivered",$E608="topped_up"),-N($G608),IF(AND(OR($E608="returned_to_brand",$E608="given_to_roster_office",$E608="released_to_office",$E608="disposed"),IF($F608="","reserve",$F608)="reserve"),-N($G608),IF(AND($E608="correction",IF($F608="","reserve",$F608)="reserve"),N($G608),0)))))</f>
        <v/>
      </c>
      <c r="N608" s="25">
        <f>IF($C608="","",IF($E608="rejected",N($G608),IF(AND(OR($E608="returned_to_brand",$E608="given_to_roster_office",$E608="released_to_office",$E608="disposed"),IF($F608="","reserve",$F608)="rejected"),-N($G608),IF(AND($E608="correction",IF($F608="","reserve",$F608)="rejected"),N($G608),0))))</f>
        <v/>
      </c>
      <c r="O608" s="25">
        <f>IF($C608="","",IF($E608="collected",N($G608),IF(AND(OR($E608="returned_to_brand",$E608="given_to_roster_office",$E608="released_to_office",$E608="disposed"),IF($F608="","reserve",$F608)="leftover"),-N($G608),IF(AND($E608="correction",IF($F608="","reserve",$F608)="leftover"),N($G608),0))))</f>
        <v/>
      </c>
      <c r="P608" s="25">
        <f>IF(OR($E608&lt;&gt;"received",$I608="",$L608=""),"",IF($I608&gt;=$L608+config!$B$19,"Y","N"))</f>
        <v/>
      </c>
      <c r="Q608" s="25">
        <f>IF($C608="","",IF(COUNTIF(campaigns!$A$2:$A$51,$C608)=0,"campaign_id not on campaigns; ",IF(AND($D608&lt;&gt;"",COUNTIFS(approvals!$A$2:$A$251,$C608,approvals!$B$2:$B$251,$D608)=0),"office not on this campaign (approvals tab); ",""))&amp;IF(AND(OR($E608="delivered",$E608="topped_up",$E608="collected"),$D608=""),"office needed; ","")&amp;IF(AND($E608&lt;&gt;"correction",N($G608)&lt;=0),"qty must be above 0; ","")&amp;IF(AND($E608="received",OR($I608="",$H608="")),"log lot and best-by; ","")&amp;IF(AND($P608="N",SUMIFS(inventory!$G$2:$G$801,inventory!$C$2:$C$801,$C608,inventory!$H$2:$H$801,$H608,inventory!$E$2:$E$801,"rejected")&lt;N($G608)),"UNDER "&amp;config!$B$19&amp;" DAYS LEFT ON THE DROP DAY: reject these units; ","")&amp;IF(AND($E608="delivered",COUNTIF(inventory!$R$2:$R$801,$R608)&gt;1),"two delivered rows for this office: use one; ","")&amp;IF(AND($E608="delivered",$J608=""),"who counted?; ",""))</f>
        <v/>
      </c>
      <c r="R608" s="25">
        <f>IF($C608="","",$C608&amp;"|"&amp;$D608&amp;"|"&amp;$E608)</f>
        <v/>
      </c>
    </row>
    <row r="609">
      <c r="A609" s="9" t="n"/>
      <c r="B609" s="33" t="n"/>
      <c r="I609" s="9" t="n"/>
      <c r="L609" s="26">
        <f>IF($C609="","",IFERROR(IF(INDEX(campaigns!$BG$2:$BG$51,MATCH($C609,campaigns!$A$2:$A$51,0))="","",INDEX(campaigns!$BG$2:$BG$51,MATCH($C609,campaigns!$A$2:$A$51,0))),""))</f>
        <v/>
      </c>
      <c r="M609" s="25">
        <f>IF($C609="","",IF(OR($E609="received"),N($G609),IF(OR($E609="rejected",$E609="delivered",$E609="topped_up"),-N($G609),IF(AND(OR($E609="returned_to_brand",$E609="given_to_roster_office",$E609="released_to_office",$E609="disposed"),IF($F609="","reserve",$F609)="reserve"),-N($G609),IF(AND($E609="correction",IF($F609="","reserve",$F609)="reserve"),N($G609),0)))))</f>
        <v/>
      </c>
      <c r="N609" s="25">
        <f>IF($C609="","",IF($E609="rejected",N($G609),IF(AND(OR($E609="returned_to_brand",$E609="given_to_roster_office",$E609="released_to_office",$E609="disposed"),IF($F609="","reserve",$F609)="rejected"),-N($G609),IF(AND($E609="correction",IF($F609="","reserve",$F609)="rejected"),N($G609),0))))</f>
        <v/>
      </c>
      <c r="O609" s="25">
        <f>IF($C609="","",IF($E609="collected",N($G609),IF(AND(OR($E609="returned_to_brand",$E609="given_to_roster_office",$E609="released_to_office",$E609="disposed"),IF($F609="","reserve",$F609)="leftover"),-N($G609),IF(AND($E609="correction",IF($F609="","reserve",$F609)="leftover"),N($G609),0))))</f>
        <v/>
      </c>
      <c r="P609" s="25">
        <f>IF(OR($E609&lt;&gt;"received",$I609="",$L609=""),"",IF($I609&gt;=$L609+config!$B$19,"Y","N"))</f>
        <v/>
      </c>
      <c r="Q609" s="25">
        <f>IF($C609="","",IF(COUNTIF(campaigns!$A$2:$A$51,$C609)=0,"campaign_id not on campaigns; ",IF(AND($D609&lt;&gt;"",COUNTIFS(approvals!$A$2:$A$251,$C609,approvals!$B$2:$B$251,$D609)=0),"office not on this campaign (approvals tab); ",""))&amp;IF(AND(OR($E609="delivered",$E609="topped_up",$E609="collected"),$D609=""),"office needed; ","")&amp;IF(AND($E609&lt;&gt;"correction",N($G609)&lt;=0),"qty must be above 0; ","")&amp;IF(AND($E609="received",OR($I609="",$H609="")),"log lot and best-by; ","")&amp;IF(AND($P609="N",SUMIFS(inventory!$G$2:$G$801,inventory!$C$2:$C$801,$C609,inventory!$H$2:$H$801,$H609,inventory!$E$2:$E$801,"rejected")&lt;N($G609)),"UNDER "&amp;config!$B$19&amp;" DAYS LEFT ON THE DROP DAY: reject these units; ","")&amp;IF(AND($E609="delivered",COUNTIF(inventory!$R$2:$R$801,$R609)&gt;1),"two delivered rows for this office: use one; ","")&amp;IF(AND($E609="delivered",$J609=""),"who counted?; ",""))</f>
        <v/>
      </c>
      <c r="R609" s="25">
        <f>IF($C609="","",$C609&amp;"|"&amp;$D609&amp;"|"&amp;$E609)</f>
        <v/>
      </c>
    </row>
    <row r="610">
      <c r="A610" s="9" t="n"/>
      <c r="B610" s="33" t="n"/>
      <c r="I610" s="9" t="n"/>
      <c r="L610" s="26">
        <f>IF($C610="","",IFERROR(IF(INDEX(campaigns!$BG$2:$BG$51,MATCH($C610,campaigns!$A$2:$A$51,0))="","",INDEX(campaigns!$BG$2:$BG$51,MATCH($C610,campaigns!$A$2:$A$51,0))),""))</f>
        <v/>
      </c>
      <c r="M610" s="25">
        <f>IF($C610="","",IF(OR($E610="received"),N($G610),IF(OR($E610="rejected",$E610="delivered",$E610="topped_up"),-N($G610),IF(AND(OR($E610="returned_to_brand",$E610="given_to_roster_office",$E610="released_to_office",$E610="disposed"),IF($F610="","reserve",$F610)="reserve"),-N($G610),IF(AND($E610="correction",IF($F610="","reserve",$F610)="reserve"),N($G610),0)))))</f>
        <v/>
      </c>
      <c r="N610" s="25">
        <f>IF($C610="","",IF($E610="rejected",N($G610),IF(AND(OR($E610="returned_to_brand",$E610="given_to_roster_office",$E610="released_to_office",$E610="disposed"),IF($F610="","reserve",$F610)="rejected"),-N($G610),IF(AND($E610="correction",IF($F610="","reserve",$F610)="rejected"),N($G610),0))))</f>
        <v/>
      </c>
      <c r="O610" s="25">
        <f>IF($C610="","",IF($E610="collected",N($G610),IF(AND(OR($E610="returned_to_brand",$E610="given_to_roster_office",$E610="released_to_office",$E610="disposed"),IF($F610="","reserve",$F610)="leftover"),-N($G610),IF(AND($E610="correction",IF($F610="","reserve",$F610)="leftover"),N($G610),0))))</f>
        <v/>
      </c>
      <c r="P610" s="25">
        <f>IF(OR($E610&lt;&gt;"received",$I610="",$L610=""),"",IF($I610&gt;=$L610+config!$B$19,"Y","N"))</f>
        <v/>
      </c>
      <c r="Q610" s="25">
        <f>IF($C610="","",IF(COUNTIF(campaigns!$A$2:$A$51,$C610)=0,"campaign_id not on campaigns; ",IF(AND($D610&lt;&gt;"",COUNTIFS(approvals!$A$2:$A$251,$C610,approvals!$B$2:$B$251,$D610)=0),"office not on this campaign (approvals tab); ",""))&amp;IF(AND(OR($E610="delivered",$E610="topped_up",$E610="collected"),$D610=""),"office needed; ","")&amp;IF(AND($E610&lt;&gt;"correction",N($G610)&lt;=0),"qty must be above 0; ","")&amp;IF(AND($E610="received",OR($I610="",$H610="")),"log lot and best-by; ","")&amp;IF(AND($P610="N",SUMIFS(inventory!$G$2:$G$801,inventory!$C$2:$C$801,$C610,inventory!$H$2:$H$801,$H610,inventory!$E$2:$E$801,"rejected")&lt;N($G610)),"UNDER "&amp;config!$B$19&amp;" DAYS LEFT ON THE DROP DAY: reject these units; ","")&amp;IF(AND($E610="delivered",COUNTIF(inventory!$R$2:$R$801,$R610)&gt;1),"two delivered rows for this office: use one; ","")&amp;IF(AND($E610="delivered",$J610=""),"who counted?; ",""))</f>
        <v/>
      </c>
      <c r="R610" s="25">
        <f>IF($C610="","",$C610&amp;"|"&amp;$D610&amp;"|"&amp;$E610)</f>
        <v/>
      </c>
    </row>
    <row r="611">
      <c r="A611" s="9" t="n"/>
      <c r="B611" s="33" t="n"/>
      <c r="I611" s="9" t="n"/>
      <c r="L611" s="26">
        <f>IF($C611="","",IFERROR(IF(INDEX(campaigns!$BG$2:$BG$51,MATCH($C611,campaigns!$A$2:$A$51,0))="","",INDEX(campaigns!$BG$2:$BG$51,MATCH($C611,campaigns!$A$2:$A$51,0))),""))</f>
        <v/>
      </c>
      <c r="M611" s="25">
        <f>IF($C611="","",IF(OR($E611="received"),N($G611),IF(OR($E611="rejected",$E611="delivered",$E611="topped_up"),-N($G611),IF(AND(OR($E611="returned_to_brand",$E611="given_to_roster_office",$E611="released_to_office",$E611="disposed"),IF($F611="","reserve",$F611)="reserve"),-N($G611),IF(AND($E611="correction",IF($F611="","reserve",$F611)="reserve"),N($G611),0)))))</f>
        <v/>
      </c>
      <c r="N611" s="25">
        <f>IF($C611="","",IF($E611="rejected",N($G611),IF(AND(OR($E611="returned_to_brand",$E611="given_to_roster_office",$E611="released_to_office",$E611="disposed"),IF($F611="","reserve",$F611)="rejected"),-N($G611),IF(AND($E611="correction",IF($F611="","reserve",$F611)="rejected"),N($G611),0))))</f>
        <v/>
      </c>
      <c r="O611" s="25">
        <f>IF($C611="","",IF($E611="collected",N($G611),IF(AND(OR($E611="returned_to_brand",$E611="given_to_roster_office",$E611="released_to_office",$E611="disposed"),IF($F611="","reserve",$F611)="leftover"),-N($G611),IF(AND($E611="correction",IF($F611="","reserve",$F611)="leftover"),N($G611),0))))</f>
        <v/>
      </c>
      <c r="P611" s="25">
        <f>IF(OR($E611&lt;&gt;"received",$I611="",$L611=""),"",IF($I611&gt;=$L611+config!$B$19,"Y","N"))</f>
        <v/>
      </c>
      <c r="Q611" s="25">
        <f>IF($C611="","",IF(COUNTIF(campaigns!$A$2:$A$51,$C611)=0,"campaign_id not on campaigns; ",IF(AND($D611&lt;&gt;"",COUNTIFS(approvals!$A$2:$A$251,$C611,approvals!$B$2:$B$251,$D611)=0),"office not on this campaign (approvals tab); ",""))&amp;IF(AND(OR($E611="delivered",$E611="topped_up",$E611="collected"),$D611=""),"office needed; ","")&amp;IF(AND($E611&lt;&gt;"correction",N($G611)&lt;=0),"qty must be above 0; ","")&amp;IF(AND($E611="received",OR($I611="",$H611="")),"log lot and best-by; ","")&amp;IF(AND($P611="N",SUMIFS(inventory!$G$2:$G$801,inventory!$C$2:$C$801,$C611,inventory!$H$2:$H$801,$H611,inventory!$E$2:$E$801,"rejected")&lt;N($G611)),"UNDER "&amp;config!$B$19&amp;" DAYS LEFT ON THE DROP DAY: reject these units; ","")&amp;IF(AND($E611="delivered",COUNTIF(inventory!$R$2:$R$801,$R611)&gt;1),"two delivered rows for this office: use one; ","")&amp;IF(AND($E611="delivered",$J611=""),"who counted?; ",""))</f>
        <v/>
      </c>
      <c r="R611" s="25">
        <f>IF($C611="","",$C611&amp;"|"&amp;$D611&amp;"|"&amp;$E611)</f>
        <v/>
      </c>
    </row>
    <row r="612">
      <c r="A612" s="9" t="n"/>
      <c r="B612" s="33" t="n"/>
      <c r="I612" s="9" t="n"/>
      <c r="L612" s="26">
        <f>IF($C612="","",IFERROR(IF(INDEX(campaigns!$BG$2:$BG$51,MATCH($C612,campaigns!$A$2:$A$51,0))="","",INDEX(campaigns!$BG$2:$BG$51,MATCH($C612,campaigns!$A$2:$A$51,0))),""))</f>
        <v/>
      </c>
      <c r="M612" s="25">
        <f>IF($C612="","",IF(OR($E612="received"),N($G612),IF(OR($E612="rejected",$E612="delivered",$E612="topped_up"),-N($G612),IF(AND(OR($E612="returned_to_brand",$E612="given_to_roster_office",$E612="released_to_office",$E612="disposed"),IF($F612="","reserve",$F612)="reserve"),-N($G612),IF(AND($E612="correction",IF($F612="","reserve",$F612)="reserve"),N($G612),0)))))</f>
        <v/>
      </c>
      <c r="N612" s="25">
        <f>IF($C612="","",IF($E612="rejected",N($G612),IF(AND(OR($E612="returned_to_brand",$E612="given_to_roster_office",$E612="released_to_office",$E612="disposed"),IF($F612="","reserve",$F612)="rejected"),-N($G612),IF(AND($E612="correction",IF($F612="","reserve",$F612)="rejected"),N($G612),0))))</f>
        <v/>
      </c>
      <c r="O612" s="25">
        <f>IF($C612="","",IF($E612="collected",N($G612),IF(AND(OR($E612="returned_to_brand",$E612="given_to_roster_office",$E612="released_to_office",$E612="disposed"),IF($F612="","reserve",$F612)="leftover"),-N($G612),IF(AND($E612="correction",IF($F612="","reserve",$F612)="leftover"),N($G612),0))))</f>
        <v/>
      </c>
      <c r="P612" s="25">
        <f>IF(OR($E612&lt;&gt;"received",$I612="",$L612=""),"",IF($I612&gt;=$L612+config!$B$19,"Y","N"))</f>
        <v/>
      </c>
      <c r="Q612" s="25">
        <f>IF($C612="","",IF(COUNTIF(campaigns!$A$2:$A$51,$C612)=0,"campaign_id not on campaigns; ",IF(AND($D612&lt;&gt;"",COUNTIFS(approvals!$A$2:$A$251,$C612,approvals!$B$2:$B$251,$D612)=0),"office not on this campaign (approvals tab); ",""))&amp;IF(AND(OR($E612="delivered",$E612="topped_up",$E612="collected"),$D612=""),"office needed; ","")&amp;IF(AND($E612&lt;&gt;"correction",N($G612)&lt;=0),"qty must be above 0; ","")&amp;IF(AND($E612="received",OR($I612="",$H612="")),"log lot and best-by; ","")&amp;IF(AND($P612="N",SUMIFS(inventory!$G$2:$G$801,inventory!$C$2:$C$801,$C612,inventory!$H$2:$H$801,$H612,inventory!$E$2:$E$801,"rejected")&lt;N($G612)),"UNDER "&amp;config!$B$19&amp;" DAYS LEFT ON THE DROP DAY: reject these units; ","")&amp;IF(AND($E612="delivered",COUNTIF(inventory!$R$2:$R$801,$R612)&gt;1),"two delivered rows for this office: use one; ","")&amp;IF(AND($E612="delivered",$J612=""),"who counted?; ",""))</f>
        <v/>
      </c>
      <c r="R612" s="25">
        <f>IF($C612="","",$C612&amp;"|"&amp;$D612&amp;"|"&amp;$E612)</f>
        <v/>
      </c>
    </row>
    <row r="613">
      <c r="A613" s="9" t="n"/>
      <c r="B613" s="33" t="n"/>
      <c r="I613" s="9" t="n"/>
      <c r="L613" s="26">
        <f>IF($C613="","",IFERROR(IF(INDEX(campaigns!$BG$2:$BG$51,MATCH($C613,campaigns!$A$2:$A$51,0))="","",INDEX(campaigns!$BG$2:$BG$51,MATCH($C613,campaigns!$A$2:$A$51,0))),""))</f>
        <v/>
      </c>
      <c r="M613" s="25">
        <f>IF($C613="","",IF(OR($E613="received"),N($G613),IF(OR($E613="rejected",$E613="delivered",$E613="topped_up"),-N($G613),IF(AND(OR($E613="returned_to_brand",$E613="given_to_roster_office",$E613="released_to_office",$E613="disposed"),IF($F613="","reserve",$F613)="reserve"),-N($G613),IF(AND($E613="correction",IF($F613="","reserve",$F613)="reserve"),N($G613),0)))))</f>
        <v/>
      </c>
      <c r="N613" s="25">
        <f>IF($C613="","",IF($E613="rejected",N($G613),IF(AND(OR($E613="returned_to_brand",$E613="given_to_roster_office",$E613="released_to_office",$E613="disposed"),IF($F613="","reserve",$F613)="rejected"),-N($G613),IF(AND($E613="correction",IF($F613="","reserve",$F613)="rejected"),N($G613),0))))</f>
        <v/>
      </c>
      <c r="O613" s="25">
        <f>IF($C613="","",IF($E613="collected",N($G613),IF(AND(OR($E613="returned_to_brand",$E613="given_to_roster_office",$E613="released_to_office",$E613="disposed"),IF($F613="","reserve",$F613)="leftover"),-N($G613),IF(AND($E613="correction",IF($F613="","reserve",$F613)="leftover"),N($G613),0))))</f>
        <v/>
      </c>
      <c r="P613" s="25">
        <f>IF(OR($E613&lt;&gt;"received",$I613="",$L613=""),"",IF($I613&gt;=$L613+config!$B$19,"Y","N"))</f>
        <v/>
      </c>
      <c r="Q613" s="25">
        <f>IF($C613="","",IF(COUNTIF(campaigns!$A$2:$A$51,$C613)=0,"campaign_id not on campaigns; ",IF(AND($D613&lt;&gt;"",COUNTIFS(approvals!$A$2:$A$251,$C613,approvals!$B$2:$B$251,$D613)=0),"office not on this campaign (approvals tab); ",""))&amp;IF(AND(OR($E613="delivered",$E613="topped_up",$E613="collected"),$D613=""),"office needed; ","")&amp;IF(AND($E613&lt;&gt;"correction",N($G613)&lt;=0),"qty must be above 0; ","")&amp;IF(AND($E613="received",OR($I613="",$H613="")),"log lot and best-by; ","")&amp;IF(AND($P613="N",SUMIFS(inventory!$G$2:$G$801,inventory!$C$2:$C$801,$C613,inventory!$H$2:$H$801,$H613,inventory!$E$2:$E$801,"rejected")&lt;N($G613)),"UNDER "&amp;config!$B$19&amp;" DAYS LEFT ON THE DROP DAY: reject these units; ","")&amp;IF(AND($E613="delivered",COUNTIF(inventory!$R$2:$R$801,$R613)&gt;1),"two delivered rows for this office: use one; ","")&amp;IF(AND($E613="delivered",$J613=""),"who counted?; ",""))</f>
        <v/>
      </c>
      <c r="R613" s="25">
        <f>IF($C613="","",$C613&amp;"|"&amp;$D613&amp;"|"&amp;$E613)</f>
        <v/>
      </c>
    </row>
    <row r="614">
      <c r="A614" s="9" t="n"/>
      <c r="B614" s="33" t="n"/>
      <c r="I614" s="9" t="n"/>
      <c r="L614" s="26">
        <f>IF($C614="","",IFERROR(IF(INDEX(campaigns!$BG$2:$BG$51,MATCH($C614,campaigns!$A$2:$A$51,0))="","",INDEX(campaigns!$BG$2:$BG$51,MATCH($C614,campaigns!$A$2:$A$51,0))),""))</f>
        <v/>
      </c>
      <c r="M614" s="25">
        <f>IF($C614="","",IF(OR($E614="received"),N($G614),IF(OR($E614="rejected",$E614="delivered",$E614="topped_up"),-N($G614),IF(AND(OR($E614="returned_to_brand",$E614="given_to_roster_office",$E614="released_to_office",$E614="disposed"),IF($F614="","reserve",$F614)="reserve"),-N($G614),IF(AND($E614="correction",IF($F614="","reserve",$F614)="reserve"),N($G614),0)))))</f>
        <v/>
      </c>
      <c r="N614" s="25">
        <f>IF($C614="","",IF($E614="rejected",N($G614),IF(AND(OR($E614="returned_to_brand",$E614="given_to_roster_office",$E614="released_to_office",$E614="disposed"),IF($F614="","reserve",$F614)="rejected"),-N($G614),IF(AND($E614="correction",IF($F614="","reserve",$F614)="rejected"),N($G614),0))))</f>
        <v/>
      </c>
      <c r="O614" s="25">
        <f>IF($C614="","",IF($E614="collected",N($G614),IF(AND(OR($E614="returned_to_brand",$E614="given_to_roster_office",$E614="released_to_office",$E614="disposed"),IF($F614="","reserve",$F614)="leftover"),-N($G614),IF(AND($E614="correction",IF($F614="","reserve",$F614)="leftover"),N($G614),0))))</f>
        <v/>
      </c>
      <c r="P614" s="25">
        <f>IF(OR($E614&lt;&gt;"received",$I614="",$L614=""),"",IF($I614&gt;=$L614+config!$B$19,"Y","N"))</f>
        <v/>
      </c>
      <c r="Q614" s="25">
        <f>IF($C614="","",IF(COUNTIF(campaigns!$A$2:$A$51,$C614)=0,"campaign_id not on campaigns; ",IF(AND($D614&lt;&gt;"",COUNTIFS(approvals!$A$2:$A$251,$C614,approvals!$B$2:$B$251,$D614)=0),"office not on this campaign (approvals tab); ",""))&amp;IF(AND(OR($E614="delivered",$E614="topped_up",$E614="collected"),$D614=""),"office needed; ","")&amp;IF(AND($E614&lt;&gt;"correction",N($G614)&lt;=0),"qty must be above 0; ","")&amp;IF(AND($E614="received",OR($I614="",$H614="")),"log lot and best-by; ","")&amp;IF(AND($P614="N",SUMIFS(inventory!$G$2:$G$801,inventory!$C$2:$C$801,$C614,inventory!$H$2:$H$801,$H614,inventory!$E$2:$E$801,"rejected")&lt;N($G614)),"UNDER "&amp;config!$B$19&amp;" DAYS LEFT ON THE DROP DAY: reject these units; ","")&amp;IF(AND($E614="delivered",COUNTIF(inventory!$R$2:$R$801,$R614)&gt;1),"two delivered rows for this office: use one; ","")&amp;IF(AND($E614="delivered",$J614=""),"who counted?; ",""))</f>
        <v/>
      </c>
      <c r="R614" s="25">
        <f>IF($C614="","",$C614&amp;"|"&amp;$D614&amp;"|"&amp;$E614)</f>
        <v/>
      </c>
    </row>
    <row r="615">
      <c r="A615" s="9" t="n"/>
      <c r="B615" s="33" t="n"/>
      <c r="I615" s="9" t="n"/>
      <c r="L615" s="26">
        <f>IF($C615="","",IFERROR(IF(INDEX(campaigns!$BG$2:$BG$51,MATCH($C615,campaigns!$A$2:$A$51,0))="","",INDEX(campaigns!$BG$2:$BG$51,MATCH($C615,campaigns!$A$2:$A$51,0))),""))</f>
        <v/>
      </c>
      <c r="M615" s="25">
        <f>IF($C615="","",IF(OR($E615="received"),N($G615),IF(OR($E615="rejected",$E615="delivered",$E615="topped_up"),-N($G615),IF(AND(OR($E615="returned_to_brand",$E615="given_to_roster_office",$E615="released_to_office",$E615="disposed"),IF($F615="","reserve",$F615)="reserve"),-N($G615),IF(AND($E615="correction",IF($F615="","reserve",$F615)="reserve"),N($G615),0)))))</f>
        <v/>
      </c>
      <c r="N615" s="25">
        <f>IF($C615="","",IF($E615="rejected",N($G615),IF(AND(OR($E615="returned_to_brand",$E615="given_to_roster_office",$E615="released_to_office",$E615="disposed"),IF($F615="","reserve",$F615)="rejected"),-N($G615),IF(AND($E615="correction",IF($F615="","reserve",$F615)="rejected"),N($G615),0))))</f>
        <v/>
      </c>
      <c r="O615" s="25">
        <f>IF($C615="","",IF($E615="collected",N($G615),IF(AND(OR($E615="returned_to_brand",$E615="given_to_roster_office",$E615="released_to_office",$E615="disposed"),IF($F615="","reserve",$F615)="leftover"),-N($G615),IF(AND($E615="correction",IF($F615="","reserve",$F615)="leftover"),N($G615),0))))</f>
        <v/>
      </c>
      <c r="P615" s="25">
        <f>IF(OR($E615&lt;&gt;"received",$I615="",$L615=""),"",IF($I615&gt;=$L615+config!$B$19,"Y","N"))</f>
        <v/>
      </c>
      <c r="Q615" s="25">
        <f>IF($C615="","",IF(COUNTIF(campaigns!$A$2:$A$51,$C615)=0,"campaign_id not on campaigns; ",IF(AND($D615&lt;&gt;"",COUNTIFS(approvals!$A$2:$A$251,$C615,approvals!$B$2:$B$251,$D615)=0),"office not on this campaign (approvals tab); ",""))&amp;IF(AND(OR($E615="delivered",$E615="topped_up",$E615="collected"),$D615=""),"office needed; ","")&amp;IF(AND($E615&lt;&gt;"correction",N($G615)&lt;=0),"qty must be above 0; ","")&amp;IF(AND($E615="received",OR($I615="",$H615="")),"log lot and best-by; ","")&amp;IF(AND($P615="N",SUMIFS(inventory!$G$2:$G$801,inventory!$C$2:$C$801,$C615,inventory!$H$2:$H$801,$H615,inventory!$E$2:$E$801,"rejected")&lt;N($G615)),"UNDER "&amp;config!$B$19&amp;" DAYS LEFT ON THE DROP DAY: reject these units; ","")&amp;IF(AND($E615="delivered",COUNTIF(inventory!$R$2:$R$801,$R615)&gt;1),"two delivered rows for this office: use one; ","")&amp;IF(AND($E615="delivered",$J615=""),"who counted?; ",""))</f>
        <v/>
      </c>
      <c r="R615" s="25">
        <f>IF($C615="","",$C615&amp;"|"&amp;$D615&amp;"|"&amp;$E615)</f>
        <v/>
      </c>
    </row>
    <row r="616">
      <c r="A616" s="9" t="n"/>
      <c r="B616" s="33" t="n"/>
      <c r="I616" s="9" t="n"/>
      <c r="L616" s="26">
        <f>IF($C616="","",IFERROR(IF(INDEX(campaigns!$BG$2:$BG$51,MATCH($C616,campaigns!$A$2:$A$51,0))="","",INDEX(campaigns!$BG$2:$BG$51,MATCH($C616,campaigns!$A$2:$A$51,0))),""))</f>
        <v/>
      </c>
      <c r="M616" s="25">
        <f>IF($C616="","",IF(OR($E616="received"),N($G616),IF(OR($E616="rejected",$E616="delivered",$E616="topped_up"),-N($G616),IF(AND(OR($E616="returned_to_brand",$E616="given_to_roster_office",$E616="released_to_office",$E616="disposed"),IF($F616="","reserve",$F616)="reserve"),-N($G616),IF(AND($E616="correction",IF($F616="","reserve",$F616)="reserve"),N($G616),0)))))</f>
        <v/>
      </c>
      <c r="N616" s="25">
        <f>IF($C616="","",IF($E616="rejected",N($G616),IF(AND(OR($E616="returned_to_brand",$E616="given_to_roster_office",$E616="released_to_office",$E616="disposed"),IF($F616="","reserve",$F616)="rejected"),-N($G616),IF(AND($E616="correction",IF($F616="","reserve",$F616)="rejected"),N($G616),0))))</f>
        <v/>
      </c>
      <c r="O616" s="25">
        <f>IF($C616="","",IF($E616="collected",N($G616),IF(AND(OR($E616="returned_to_brand",$E616="given_to_roster_office",$E616="released_to_office",$E616="disposed"),IF($F616="","reserve",$F616)="leftover"),-N($G616),IF(AND($E616="correction",IF($F616="","reserve",$F616)="leftover"),N($G616),0))))</f>
        <v/>
      </c>
      <c r="P616" s="25">
        <f>IF(OR($E616&lt;&gt;"received",$I616="",$L616=""),"",IF($I616&gt;=$L616+config!$B$19,"Y","N"))</f>
        <v/>
      </c>
      <c r="Q616" s="25">
        <f>IF($C616="","",IF(COUNTIF(campaigns!$A$2:$A$51,$C616)=0,"campaign_id not on campaigns; ",IF(AND($D616&lt;&gt;"",COUNTIFS(approvals!$A$2:$A$251,$C616,approvals!$B$2:$B$251,$D616)=0),"office not on this campaign (approvals tab); ",""))&amp;IF(AND(OR($E616="delivered",$E616="topped_up",$E616="collected"),$D616=""),"office needed; ","")&amp;IF(AND($E616&lt;&gt;"correction",N($G616)&lt;=0),"qty must be above 0; ","")&amp;IF(AND($E616="received",OR($I616="",$H616="")),"log lot and best-by; ","")&amp;IF(AND($P616="N",SUMIFS(inventory!$G$2:$G$801,inventory!$C$2:$C$801,$C616,inventory!$H$2:$H$801,$H616,inventory!$E$2:$E$801,"rejected")&lt;N($G616)),"UNDER "&amp;config!$B$19&amp;" DAYS LEFT ON THE DROP DAY: reject these units; ","")&amp;IF(AND($E616="delivered",COUNTIF(inventory!$R$2:$R$801,$R616)&gt;1),"two delivered rows for this office: use one; ","")&amp;IF(AND($E616="delivered",$J616=""),"who counted?; ",""))</f>
        <v/>
      </c>
      <c r="R616" s="25">
        <f>IF($C616="","",$C616&amp;"|"&amp;$D616&amp;"|"&amp;$E616)</f>
        <v/>
      </c>
    </row>
    <row r="617">
      <c r="A617" s="9" t="n"/>
      <c r="B617" s="33" t="n"/>
      <c r="I617" s="9" t="n"/>
      <c r="L617" s="26">
        <f>IF($C617="","",IFERROR(IF(INDEX(campaigns!$BG$2:$BG$51,MATCH($C617,campaigns!$A$2:$A$51,0))="","",INDEX(campaigns!$BG$2:$BG$51,MATCH($C617,campaigns!$A$2:$A$51,0))),""))</f>
        <v/>
      </c>
      <c r="M617" s="25">
        <f>IF($C617="","",IF(OR($E617="received"),N($G617),IF(OR($E617="rejected",$E617="delivered",$E617="topped_up"),-N($G617),IF(AND(OR($E617="returned_to_brand",$E617="given_to_roster_office",$E617="released_to_office",$E617="disposed"),IF($F617="","reserve",$F617)="reserve"),-N($G617),IF(AND($E617="correction",IF($F617="","reserve",$F617)="reserve"),N($G617),0)))))</f>
        <v/>
      </c>
      <c r="N617" s="25">
        <f>IF($C617="","",IF($E617="rejected",N($G617),IF(AND(OR($E617="returned_to_brand",$E617="given_to_roster_office",$E617="released_to_office",$E617="disposed"),IF($F617="","reserve",$F617)="rejected"),-N($G617),IF(AND($E617="correction",IF($F617="","reserve",$F617)="rejected"),N($G617),0))))</f>
        <v/>
      </c>
      <c r="O617" s="25">
        <f>IF($C617="","",IF($E617="collected",N($G617),IF(AND(OR($E617="returned_to_brand",$E617="given_to_roster_office",$E617="released_to_office",$E617="disposed"),IF($F617="","reserve",$F617)="leftover"),-N($G617),IF(AND($E617="correction",IF($F617="","reserve",$F617)="leftover"),N($G617),0))))</f>
        <v/>
      </c>
      <c r="P617" s="25">
        <f>IF(OR($E617&lt;&gt;"received",$I617="",$L617=""),"",IF($I617&gt;=$L617+config!$B$19,"Y","N"))</f>
        <v/>
      </c>
      <c r="Q617" s="25">
        <f>IF($C617="","",IF(COUNTIF(campaigns!$A$2:$A$51,$C617)=0,"campaign_id not on campaigns; ",IF(AND($D617&lt;&gt;"",COUNTIFS(approvals!$A$2:$A$251,$C617,approvals!$B$2:$B$251,$D617)=0),"office not on this campaign (approvals tab); ",""))&amp;IF(AND(OR($E617="delivered",$E617="topped_up",$E617="collected"),$D617=""),"office needed; ","")&amp;IF(AND($E617&lt;&gt;"correction",N($G617)&lt;=0),"qty must be above 0; ","")&amp;IF(AND($E617="received",OR($I617="",$H617="")),"log lot and best-by; ","")&amp;IF(AND($P617="N",SUMIFS(inventory!$G$2:$G$801,inventory!$C$2:$C$801,$C617,inventory!$H$2:$H$801,$H617,inventory!$E$2:$E$801,"rejected")&lt;N($G617)),"UNDER "&amp;config!$B$19&amp;" DAYS LEFT ON THE DROP DAY: reject these units; ","")&amp;IF(AND($E617="delivered",COUNTIF(inventory!$R$2:$R$801,$R617)&gt;1),"two delivered rows for this office: use one; ","")&amp;IF(AND($E617="delivered",$J617=""),"who counted?; ",""))</f>
        <v/>
      </c>
      <c r="R617" s="25">
        <f>IF($C617="","",$C617&amp;"|"&amp;$D617&amp;"|"&amp;$E617)</f>
        <v/>
      </c>
    </row>
    <row r="618">
      <c r="A618" s="9" t="n"/>
      <c r="B618" s="33" t="n"/>
      <c r="I618" s="9" t="n"/>
      <c r="L618" s="26">
        <f>IF($C618="","",IFERROR(IF(INDEX(campaigns!$BG$2:$BG$51,MATCH($C618,campaigns!$A$2:$A$51,0))="","",INDEX(campaigns!$BG$2:$BG$51,MATCH($C618,campaigns!$A$2:$A$51,0))),""))</f>
        <v/>
      </c>
      <c r="M618" s="25">
        <f>IF($C618="","",IF(OR($E618="received"),N($G618),IF(OR($E618="rejected",$E618="delivered",$E618="topped_up"),-N($G618),IF(AND(OR($E618="returned_to_brand",$E618="given_to_roster_office",$E618="released_to_office",$E618="disposed"),IF($F618="","reserve",$F618)="reserve"),-N($G618),IF(AND($E618="correction",IF($F618="","reserve",$F618)="reserve"),N($G618),0)))))</f>
        <v/>
      </c>
      <c r="N618" s="25">
        <f>IF($C618="","",IF($E618="rejected",N($G618),IF(AND(OR($E618="returned_to_brand",$E618="given_to_roster_office",$E618="released_to_office",$E618="disposed"),IF($F618="","reserve",$F618)="rejected"),-N($G618),IF(AND($E618="correction",IF($F618="","reserve",$F618)="rejected"),N($G618),0))))</f>
        <v/>
      </c>
      <c r="O618" s="25">
        <f>IF($C618="","",IF($E618="collected",N($G618),IF(AND(OR($E618="returned_to_brand",$E618="given_to_roster_office",$E618="released_to_office",$E618="disposed"),IF($F618="","reserve",$F618)="leftover"),-N($G618),IF(AND($E618="correction",IF($F618="","reserve",$F618)="leftover"),N($G618),0))))</f>
        <v/>
      </c>
      <c r="P618" s="25">
        <f>IF(OR($E618&lt;&gt;"received",$I618="",$L618=""),"",IF($I618&gt;=$L618+config!$B$19,"Y","N"))</f>
        <v/>
      </c>
      <c r="Q618" s="25">
        <f>IF($C618="","",IF(COUNTIF(campaigns!$A$2:$A$51,$C618)=0,"campaign_id not on campaigns; ",IF(AND($D618&lt;&gt;"",COUNTIFS(approvals!$A$2:$A$251,$C618,approvals!$B$2:$B$251,$D618)=0),"office not on this campaign (approvals tab); ",""))&amp;IF(AND(OR($E618="delivered",$E618="topped_up",$E618="collected"),$D618=""),"office needed; ","")&amp;IF(AND($E618&lt;&gt;"correction",N($G618)&lt;=0),"qty must be above 0; ","")&amp;IF(AND($E618="received",OR($I618="",$H618="")),"log lot and best-by; ","")&amp;IF(AND($P618="N",SUMIFS(inventory!$G$2:$G$801,inventory!$C$2:$C$801,$C618,inventory!$H$2:$H$801,$H618,inventory!$E$2:$E$801,"rejected")&lt;N($G618)),"UNDER "&amp;config!$B$19&amp;" DAYS LEFT ON THE DROP DAY: reject these units; ","")&amp;IF(AND($E618="delivered",COUNTIF(inventory!$R$2:$R$801,$R618)&gt;1),"two delivered rows for this office: use one; ","")&amp;IF(AND($E618="delivered",$J618=""),"who counted?; ",""))</f>
        <v/>
      </c>
      <c r="R618" s="25">
        <f>IF($C618="","",$C618&amp;"|"&amp;$D618&amp;"|"&amp;$E618)</f>
        <v/>
      </c>
    </row>
    <row r="619">
      <c r="A619" s="9" t="n"/>
      <c r="B619" s="33" t="n"/>
      <c r="I619" s="9" t="n"/>
      <c r="L619" s="26">
        <f>IF($C619="","",IFERROR(IF(INDEX(campaigns!$BG$2:$BG$51,MATCH($C619,campaigns!$A$2:$A$51,0))="","",INDEX(campaigns!$BG$2:$BG$51,MATCH($C619,campaigns!$A$2:$A$51,0))),""))</f>
        <v/>
      </c>
      <c r="M619" s="25">
        <f>IF($C619="","",IF(OR($E619="received"),N($G619),IF(OR($E619="rejected",$E619="delivered",$E619="topped_up"),-N($G619),IF(AND(OR($E619="returned_to_brand",$E619="given_to_roster_office",$E619="released_to_office",$E619="disposed"),IF($F619="","reserve",$F619)="reserve"),-N($G619),IF(AND($E619="correction",IF($F619="","reserve",$F619)="reserve"),N($G619),0)))))</f>
        <v/>
      </c>
      <c r="N619" s="25">
        <f>IF($C619="","",IF($E619="rejected",N($G619),IF(AND(OR($E619="returned_to_brand",$E619="given_to_roster_office",$E619="released_to_office",$E619="disposed"),IF($F619="","reserve",$F619)="rejected"),-N($G619),IF(AND($E619="correction",IF($F619="","reserve",$F619)="rejected"),N($G619),0))))</f>
        <v/>
      </c>
      <c r="O619" s="25">
        <f>IF($C619="","",IF($E619="collected",N($G619),IF(AND(OR($E619="returned_to_brand",$E619="given_to_roster_office",$E619="released_to_office",$E619="disposed"),IF($F619="","reserve",$F619)="leftover"),-N($G619),IF(AND($E619="correction",IF($F619="","reserve",$F619)="leftover"),N($G619),0))))</f>
        <v/>
      </c>
      <c r="P619" s="25">
        <f>IF(OR($E619&lt;&gt;"received",$I619="",$L619=""),"",IF($I619&gt;=$L619+config!$B$19,"Y","N"))</f>
        <v/>
      </c>
      <c r="Q619" s="25">
        <f>IF($C619="","",IF(COUNTIF(campaigns!$A$2:$A$51,$C619)=0,"campaign_id not on campaigns; ",IF(AND($D619&lt;&gt;"",COUNTIFS(approvals!$A$2:$A$251,$C619,approvals!$B$2:$B$251,$D619)=0),"office not on this campaign (approvals tab); ",""))&amp;IF(AND(OR($E619="delivered",$E619="topped_up",$E619="collected"),$D619=""),"office needed; ","")&amp;IF(AND($E619&lt;&gt;"correction",N($G619)&lt;=0),"qty must be above 0; ","")&amp;IF(AND($E619="received",OR($I619="",$H619="")),"log lot and best-by; ","")&amp;IF(AND($P619="N",SUMIFS(inventory!$G$2:$G$801,inventory!$C$2:$C$801,$C619,inventory!$H$2:$H$801,$H619,inventory!$E$2:$E$801,"rejected")&lt;N($G619)),"UNDER "&amp;config!$B$19&amp;" DAYS LEFT ON THE DROP DAY: reject these units; ","")&amp;IF(AND($E619="delivered",COUNTIF(inventory!$R$2:$R$801,$R619)&gt;1),"two delivered rows for this office: use one; ","")&amp;IF(AND($E619="delivered",$J619=""),"who counted?; ",""))</f>
        <v/>
      </c>
      <c r="R619" s="25">
        <f>IF($C619="","",$C619&amp;"|"&amp;$D619&amp;"|"&amp;$E619)</f>
        <v/>
      </c>
    </row>
    <row r="620">
      <c r="A620" s="9" t="n"/>
      <c r="B620" s="33" t="n"/>
      <c r="I620" s="9" t="n"/>
      <c r="L620" s="26">
        <f>IF($C620="","",IFERROR(IF(INDEX(campaigns!$BG$2:$BG$51,MATCH($C620,campaigns!$A$2:$A$51,0))="","",INDEX(campaigns!$BG$2:$BG$51,MATCH($C620,campaigns!$A$2:$A$51,0))),""))</f>
        <v/>
      </c>
      <c r="M620" s="25">
        <f>IF($C620="","",IF(OR($E620="received"),N($G620),IF(OR($E620="rejected",$E620="delivered",$E620="topped_up"),-N($G620),IF(AND(OR($E620="returned_to_brand",$E620="given_to_roster_office",$E620="released_to_office",$E620="disposed"),IF($F620="","reserve",$F620)="reserve"),-N($G620),IF(AND($E620="correction",IF($F620="","reserve",$F620)="reserve"),N($G620),0)))))</f>
        <v/>
      </c>
      <c r="N620" s="25">
        <f>IF($C620="","",IF($E620="rejected",N($G620),IF(AND(OR($E620="returned_to_brand",$E620="given_to_roster_office",$E620="released_to_office",$E620="disposed"),IF($F620="","reserve",$F620)="rejected"),-N($G620),IF(AND($E620="correction",IF($F620="","reserve",$F620)="rejected"),N($G620),0))))</f>
        <v/>
      </c>
      <c r="O620" s="25">
        <f>IF($C620="","",IF($E620="collected",N($G620),IF(AND(OR($E620="returned_to_brand",$E620="given_to_roster_office",$E620="released_to_office",$E620="disposed"),IF($F620="","reserve",$F620)="leftover"),-N($G620),IF(AND($E620="correction",IF($F620="","reserve",$F620)="leftover"),N($G620),0))))</f>
        <v/>
      </c>
      <c r="P620" s="25">
        <f>IF(OR($E620&lt;&gt;"received",$I620="",$L620=""),"",IF($I620&gt;=$L620+config!$B$19,"Y","N"))</f>
        <v/>
      </c>
      <c r="Q620" s="25">
        <f>IF($C620="","",IF(COUNTIF(campaigns!$A$2:$A$51,$C620)=0,"campaign_id not on campaigns; ",IF(AND($D620&lt;&gt;"",COUNTIFS(approvals!$A$2:$A$251,$C620,approvals!$B$2:$B$251,$D620)=0),"office not on this campaign (approvals tab); ",""))&amp;IF(AND(OR($E620="delivered",$E620="topped_up",$E620="collected"),$D620=""),"office needed; ","")&amp;IF(AND($E620&lt;&gt;"correction",N($G620)&lt;=0),"qty must be above 0; ","")&amp;IF(AND($E620="received",OR($I620="",$H620="")),"log lot and best-by; ","")&amp;IF(AND($P620="N",SUMIFS(inventory!$G$2:$G$801,inventory!$C$2:$C$801,$C620,inventory!$H$2:$H$801,$H620,inventory!$E$2:$E$801,"rejected")&lt;N($G620)),"UNDER "&amp;config!$B$19&amp;" DAYS LEFT ON THE DROP DAY: reject these units; ","")&amp;IF(AND($E620="delivered",COUNTIF(inventory!$R$2:$R$801,$R620)&gt;1),"two delivered rows for this office: use one; ","")&amp;IF(AND($E620="delivered",$J620=""),"who counted?; ",""))</f>
        <v/>
      </c>
      <c r="R620" s="25">
        <f>IF($C620="","",$C620&amp;"|"&amp;$D620&amp;"|"&amp;$E620)</f>
        <v/>
      </c>
    </row>
    <row r="621">
      <c r="A621" s="9" t="n"/>
      <c r="B621" s="33" t="n"/>
      <c r="I621" s="9" t="n"/>
      <c r="L621" s="26">
        <f>IF($C621="","",IFERROR(IF(INDEX(campaigns!$BG$2:$BG$51,MATCH($C621,campaigns!$A$2:$A$51,0))="","",INDEX(campaigns!$BG$2:$BG$51,MATCH($C621,campaigns!$A$2:$A$51,0))),""))</f>
        <v/>
      </c>
      <c r="M621" s="25">
        <f>IF($C621="","",IF(OR($E621="received"),N($G621),IF(OR($E621="rejected",$E621="delivered",$E621="topped_up"),-N($G621),IF(AND(OR($E621="returned_to_brand",$E621="given_to_roster_office",$E621="released_to_office",$E621="disposed"),IF($F621="","reserve",$F621)="reserve"),-N($G621),IF(AND($E621="correction",IF($F621="","reserve",$F621)="reserve"),N($G621),0)))))</f>
        <v/>
      </c>
      <c r="N621" s="25">
        <f>IF($C621="","",IF($E621="rejected",N($G621),IF(AND(OR($E621="returned_to_brand",$E621="given_to_roster_office",$E621="released_to_office",$E621="disposed"),IF($F621="","reserve",$F621)="rejected"),-N($G621),IF(AND($E621="correction",IF($F621="","reserve",$F621)="rejected"),N($G621),0))))</f>
        <v/>
      </c>
      <c r="O621" s="25">
        <f>IF($C621="","",IF($E621="collected",N($G621),IF(AND(OR($E621="returned_to_brand",$E621="given_to_roster_office",$E621="released_to_office",$E621="disposed"),IF($F621="","reserve",$F621)="leftover"),-N($G621),IF(AND($E621="correction",IF($F621="","reserve",$F621)="leftover"),N($G621),0))))</f>
        <v/>
      </c>
      <c r="P621" s="25">
        <f>IF(OR($E621&lt;&gt;"received",$I621="",$L621=""),"",IF($I621&gt;=$L621+config!$B$19,"Y","N"))</f>
        <v/>
      </c>
      <c r="Q621" s="25">
        <f>IF($C621="","",IF(COUNTIF(campaigns!$A$2:$A$51,$C621)=0,"campaign_id not on campaigns; ",IF(AND($D621&lt;&gt;"",COUNTIFS(approvals!$A$2:$A$251,$C621,approvals!$B$2:$B$251,$D621)=0),"office not on this campaign (approvals tab); ",""))&amp;IF(AND(OR($E621="delivered",$E621="topped_up",$E621="collected"),$D621=""),"office needed; ","")&amp;IF(AND($E621&lt;&gt;"correction",N($G621)&lt;=0),"qty must be above 0; ","")&amp;IF(AND($E621="received",OR($I621="",$H621="")),"log lot and best-by; ","")&amp;IF(AND($P621="N",SUMIFS(inventory!$G$2:$G$801,inventory!$C$2:$C$801,$C621,inventory!$H$2:$H$801,$H621,inventory!$E$2:$E$801,"rejected")&lt;N($G621)),"UNDER "&amp;config!$B$19&amp;" DAYS LEFT ON THE DROP DAY: reject these units; ","")&amp;IF(AND($E621="delivered",COUNTIF(inventory!$R$2:$R$801,$R621)&gt;1),"two delivered rows for this office: use one; ","")&amp;IF(AND($E621="delivered",$J621=""),"who counted?; ",""))</f>
        <v/>
      </c>
      <c r="R621" s="25">
        <f>IF($C621="","",$C621&amp;"|"&amp;$D621&amp;"|"&amp;$E621)</f>
        <v/>
      </c>
    </row>
    <row r="622">
      <c r="A622" s="9" t="n"/>
      <c r="B622" s="33" t="n"/>
      <c r="I622" s="9" t="n"/>
      <c r="L622" s="26">
        <f>IF($C622="","",IFERROR(IF(INDEX(campaigns!$BG$2:$BG$51,MATCH($C622,campaigns!$A$2:$A$51,0))="","",INDEX(campaigns!$BG$2:$BG$51,MATCH($C622,campaigns!$A$2:$A$51,0))),""))</f>
        <v/>
      </c>
      <c r="M622" s="25">
        <f>IF($C622="","",IF(OR($E622="received"),N($G622),IF(OR($E622="rejected",$E622="delivered",$E622="topped_up"),-N($G622),IF(AND(OR($E622="returned_to_brand",$E622="given_to_roster_office",$E622="released_to_office",$E622="disposed"),IF($F622="","reserve",$F622)="reserve"),-N($G622),IF(AND($E622="correction",IF($F622="","reserve",$F622)="reserve"),N($G622),0)))))</f>
        <v/>
      </c>
      <c r="N622" s="25">
        <f>IF($C622="","",IF($E622="rejected",N($G622),IF(AND(OR($E622="returned_to_brand",$E622="given_to_roster_office",$E622="released_to_office",$E622="disposed"),IF($F622="","reserve",$F622)="rejected"),-N($G622),IF(AND($E622="correction",IF($F622="","reserve",$F622)="rejected"),N($G622),0))))</f>
        <v/>
      </c>
      <c r="O622" s="25">
        <f>IF($C622="","",IF($E622="collected",N($G622),IF(AND(OR($E622="returned_to_brand",$E622="given_to_roster_office",$E622="released_to_office",$E622="disposed"),IF($F622="","reserve",$F622)="leftover"),-N($G622),IF(AND($E622="correction",IF($F622="","reserve",$F622)="leftover"),N($G622),0))))</f>
        <v/>
      </c>
      <c r="P622" s="25">
        <f>IF(OR($E622&lt;&gt;"received",$I622="",$L622=""),"",IF($I622&gt;=$L622+config!$B$19,"Y","N"))</f>
        <v/>
      </c>
      <c r="Q622" s="25">
        <f>IF($C622="","",IF(COUNTIF(campaigns!$A$2:$A$51,$C622)=0,"campaign_id not on campaigns; ",IF(AND($D622&lt;&gt;"",COUNTIFS(approvals!$A$2:$A$251,$C622,approvals!$B$2:$B$251,$D622)=0),"office not on this campaign (approvals tab); ",""))&amp;IF(AND(OR($E622="delivered",$E622="topped_up",$E622="collected"),$D622=""),"office needed; ","")&amp;IF(AND($E622&lt;&gt;"correction",N($G622)&lt;=0),"qty must be above 0; ","")&amp;IF(AND($E622="received",OR($I622="",$H622="")),"log lot and best-by; ","")&amp;IF(AND($P622="N",SUMIFS(inventory!$G$2:$G$801,inventory!$C$2:$C$801,$C622,inventory!$H$2:$H$801,$H622,inventory!$E$2:$E$801,"rejected")&lt;N($G622)),"UNDER "&amp;config!$B$19&amp;" DAYS LEFT ON THE DROP DAY: reject these units; ","")&amp;IF(AND($E622="delivered",COUNTIF(inventory!$R$2:$R$801,$R622)&gt;1),"two delivered rows for this office: use one; ","")&amp;IF(AND($E622="delivered",$J622=""),"who counted?; ",""))</f>
        <v/>
      </c>
      <c r="R622" s="25">
        <f>IF($C622="","",$C622&amp;"|"&amp;$D622&amp;"|"&amp;$E622)</f>
        <v/>
      </c>
    </row>
    <row r="623">
      <c r="A623" s="9" t="n"/>
      <c r="B623" s="33" t="n"/>
      <c r="I623" s="9" t="n"/>
      <c r="L623" s="26">
        <f>IF($C623="","",IFERROR(IF(INDEX(campaigns!$BG$2:$BG$51,MATCH($C623,campaigns!$A$2:$A$51,0))="","",INDEX(campaigns!$BG$2:$BG$51,MATCH($C623,campaigns!$A$2:$A$51,0))),""))</f>
        <v/>
      </c>
      <c r="M623" s="25">
        <f>IF($C623="","",IF(OR($E623="received"),N($G623),IF(OR($E623="rejected",$E623="delivered",$E623="topped_up"),-N($G623),IF(AND(OR($E623="returned_to_brand",$E623="given_to_roster_office",$E623="released_to_office",$E623="disposed"),IF($F623="","reserve",$F623)="reserve"),-N($G623),IF(AND($E623="correction",IF($F623="","reserve",$F623)="reserve"),N($G623),0)))))</f>
        <v/>
      </c>
      <c r="N623" s="25">
        <f>IF($C623="","",IF($E623="rejected",N($G623),IF(AND(OR($E623="returned_to_brand",$E623="given_to_roster_office",$E623="released_to_office",$E623="disposed"),IF($F623="","reserve",$F623)="rejected"),-N($G623),IF(AND($E623="correction",IF($F623="","reserve",$F623)="rejected"),N($G623),0))))</f>
        <v/>
      </c>
      <c r="O623" s="25">
        <f>IF($C623="","",IF($E623="collected",N($G623),IF(AND(OR($E623="returned_to_brand",$E623="given_to_roster_office",$E623="released_to_office",$E623="disposed"),IF($F623="","reserve",$F623)="leftover"),-N($G623),IF(AND($E623="correction",IF($F623="","reserve",$F623)="leftover"),N($G623),0))))</f>
        <v/>
      </c>
      <c r="P623" s="25">
        <f>IF(OR($E623&lt;&gt;"received",$I623="",$L623=""),"",IF($I623&gt;=$L623+config!$B$19,"Y","N"))</f>
        <v/>
      </c>
      <c r="Q623" s="25">
        <f>IF($C623="","",IF(COUNTIF(campaigns!$A$2:$A$51,$C623)=0,"campaign_id not on campaigns; ",IF(AND($D623&lt;&gt;"",COUNTIFS(approvals!$A$2:$A$251,$C623,approvals!$B$2:$B$251,$D623)=0),"office not on this campaign (approvals tab); ",""))&amp;IF(AND(OR($E623="delivered",$E623="topped_up",$E623="collected"),$D623=""),"office needed; ","")&amp;IF(AND($E623&lt;&gt;"correction",N($G623)&lt;=0),"qty must be above 0; ","")&amp;IF(AND($E623="received",OR($I623="",$H623="")),"log lot and best-by; ","")&amp;IF(AND($P623="N",SUMIFS(inventory!$G$2:$G$801,inventory!$C$2:$C$801,$C623,inventory!$H$2:$H$801,$H623,inventory!$E$2:$E$801,"rejected")&lt;N($G623)),"UNDER "&amp;config!$B$19&amp;" DAYS LEFT ON THE DROP DAY: reject these units; ","")&amp;IF(AND($E623="delivered",COUNTIF(inventory!$R$2:$R$801,$R623)&gt;1),"two delivered rows for this office: use one; ","")&amp;IF(AND($E623="delivered",$J623=""),"who counted?; ",""))</f>
        <v/>
      </c>
      <c r="R623" s="25">
        <f>IF($C623="","",$C623&amp;"|"&amp;$D623&amp;"|"&amp;$E623)</f>
        <v/>
      </c>
    </row>
    <row r="624">
      <c r="A624" s="9" t="n"/>
      <c r="B624" s="33" t="n"/>
      <c r="I624" s="9" t="n"/>
      <c r="L624" s="26">
        <f>IF($C624="","",IFERROR(IF(INDEX(campaigns!$BG$2:$BG$51,MATCH($C624,campaigns!$A$2:$A$51,0))="","",INDEX(campaigns!$BG$2:$BG$51,MATCH($C624,campaigns!$A$2:$A$51,0))),""))</f>
        <v/>
      </c>
      <c r="M624" s="25">
        <f>IF($C624="","",IF(OR($E624="received"),N($G624),IF(OR($E624="rejected",$E624="delivered",$E624="topped_up"),-N($G624),IF(AND(OR($E624="returned_to_brand",$E624="given_to_roster_office",$E624="released_to_office",$E624="disposed"),IF($F624="","reserve",$F624)="reserve"),-N($G624),IF(AND($E624="correction",IF($F624="","reserve",$F624)="reserve"),N($G624),0)))))</f>
        <v/>
      </c>
      <c r="N624" s="25">
        <f>IF($C624="","",IF($E624="rejected",N($G624),IF(AND(OR($E624="returned_to_brand",$E624="given_to_roster_office",$E624="released_to_office",$E624="disposed"),IF($F624="","reserve",$F624)="rejected"),-N($G624),IF(AND($E624="correction",IF($F624="","reserve",$F624)="rejected"),N($G624),0))))</f>
        <v/>
      </c>
      <c r="O624" s="25">
        <f>IF($C624="","",IF($E624="collected",N($G624),IF(AND(OR($E624="returned_to_brand",$E624="given_to_roster_office",$E624="released_to_office",$E624="disposed"),IF($F624="","reserve",$F624)="leftover"),-N($G624),IF(AND($E624="correction",IF($F624="","reserve",$F624)="leftover"),N($G624),0))))</f>
        <v/>
      </c>
      <c r="P624" s="25">
        <f>IF(OR($E624&lt;&gt;"received",$I624="",$L624=""),"",IF($I624&gt;=$L624+config!$B$19,"Y","N"))</f>
        <v/>
      </c>
      <c r="Q624" s="25">
        <f>IF($C624="","",IF(COUNTIF(campaigns!$A$2:$A$51,$C624)=0,"campaign_id not on campaigns; ",IF(AND($D624&lt;&gt;"",COUNTIFS(approvals!$A$2:$A$251,$C624,approvals!$B$2:$B$251,$D624)=0),"office not on this campaign (approvals tab); ",""))&amp;IF(AND(OR($E624="delivered",$E624="topped_up",$E624="collected"),$D624=""),"office needed; ","")&amp;IF(AND($E624&lt;&gt;"correction",N($G624)&lt;=0),"qty must be above 0; ","")&amp;IF(AND($E624="received",OR($I624="",$H624="")),"log lot and best-by; ","")&amp;IF(AND($P624="N",SUMIFS(inventory!$G$2:$G$801,inventory!$C$2:$C$801,$C624,inventory!$H$2:$H$801,$H624,inventory!$E$2:$E$801,"rejected")&lt;N($G624)),"UNDER "&amp;config!$B$19&amp;" DAYS LEFT ON THE DROP DAY: reject these units; ","")&amp;IF(AND($E624="delivered",COUNTIF(inventory!$R$2:$R$801,$R624)&gt;1),"two delivered rows for this office: use one; ","")&amp;IF(AND($E624="delivered",$J624=""),"who counted?; ",""))</f>
        <v/>
      </c>
      <c r="R624" s="25">
        <f>IF($C624="","",$C624&amp;"|"&amp;$D624&amp;"|"&amp;$E624)</f>
        <v/>
      </c>
    </row>
    <row r="625">
      <c r="A625" s="9" t="n"/>
      <c r="B625" s="33" t="n"/>
      <c r="I625" s="9" t="n"/>
      <c r="L625" s="26">
        <f>IF($C625="","",IFERROR(IF(INDEX(campaigns!$BG$2:$BG$51,MATCH($C625,campaigns!$A$2:$A$51,0))="","",INDEX(campaigns!$BG$2:$BG$51,MATCH($C625,campaigns!$A$2:$A$51,0))),""))</f>
        <v/>
      </c>
      <c r="M625" s="25">
        <f>IF($C625="","",IF(OR($E625="received"),N($G625),IF(OR($E625="rejected",$E625="delivered",$E625="topped_up"),-N($G625),IF(AND(OR($E625="returned_to_brand",$E625="given_to_roster_office",$E625="released_to_office",$E625="disposed"),IF($F625="","reserve",$F625)="reserve"),-N($G625),IF(AND($E625="correction",IF($F625="","reserve",$F625)="reserve"),N($G625),0)))))</f>
        <v/>
      </c>
      <c r="N625" s="25">
        <f>IF($C625="","",IF($E625="rejected",N($G625),IF(AND(OR($E625="returned_to_brand",$E625="given_to_roster_office",$E625="released_to_office",$E625="disposed"),IF($F625="","reserve",$F625)="rejected"),-N($G625),IF(AND($E625="correction",IF($F625="","reserve",$F625)="rejected"),N($G625),0))))</f>
        <v/>
      </c>
      <c r="O625" s="25">
        <f>IF($C625="","",IF($E625="collected",N($G625),IF(AND(OR($E625="returned_to_brand",$E625="given_to_roster_office",$E625="released_to_office",$E625="disposed"),IF($F625="","reserve",$F625)="leftover"),-N($G625),IF(AND($E625="correction",IF($F625="","reserve",$F625)="leftover"),N($G625),0))))</f>
        <v/>
      </c>
      <c r="P625" s="25">
        <f>IF(OR($E625&lt;&gt;"received",$I625="",$L625=""),"",IF($I625&gt;=$L625+config!$B$19,"Y","N"))</f>
        <v/>
      </c>
      <c r="Q625" s="25">
        <f>IF($C625="","",IF(COUNTIF(campaigns!$A$2:$A$51,$C625)=0,"campaign_id not on campaigns; ",IF(AND($D625&lt;&gt;"",COUNTIFS(approvals!$A$2:$A$251,$C625,approvals!$B$2:$B$251,$D625)=0),"office not on this campaign (approvals tab); ",""))&amp;IF(AND(OR($E625="delivered",$E625="topped_up",$E625="collected"),$D625=""),"office needed; ","")&amp;IF(AND($E625&lt;&gt;"correction",N($G625)&lt;=0),"qty must be above 0; ","")&amp;IF(AND($E625="received",OR($I625="",$H625="")),"log lot and best-by; ","")&amp;IF(AND($P625="N",SUMIFS(inventory!$G$2:$G$801,inventory!$C$2:$C$801,$C625,inventory!$H$2:$H$801,$H625,inventory!$E$2:$E$801,"rejected")&lt;N($G625)),"UNDER "&amp;config!$B$19&amp;" DAYS LEFT ON THE DROP DAY: reject these units; ","")&amp;IF(AND($E625="delivered",COUNTIF(inventory!$R$2:$R$801,$R625)&gt;1),"two delivered rows for this office: use one; ","")&amp;IF(AND($E625="delivered",$J625=""),"who counted?; ",""))</f>
        <v/>
      </c>
      <c r="R625" s="25">
        <f>IF($C625="","",$C625&amp;"|"&amp;$D625&amp;"|"&amp;$E625)</f>
        <v/>
      </c>
    </row>
    <row r="626">
      <c r="A626" s="9" t="n"/>
      <c r="B626" s="33" t="n"/>
      <c r="I626" s="9" t="n"/>
      <c r="L626" s="26">
        <f>IF($C626="","",IFERROR(IF(INDEX(campaigns!$BG$2:$BG$51,MATCH($C626,campaigns!$A$2:$A$51,0))="","",INDEX(campaigns!$BG$2:$BG$51,MATCH($C626,campaigns!$A$2:$A$51,0))),""))</f>
        <v/>
      </c>
      <c r="M626" s="25">
        <f>IF($C626="","",IF(OR($E626="received"),N($G626),IF(OR($E626="rejected",$E626="delivered",$E626="topped_up"),-N($G626),IF(AND(OR($E626="returned_to_brand",$E626="given_to_roster_office",$E626="released_to_office",$E626="disposed"),IF($F626="","reserve",$F626)="reserve"),-N($G626),IF(AND($E626="correction",IF($F626="","reserve",$F626)="reserve"),N($G626),0)))))</f>
        <v/>
      </c>
      <c r="N626" s="25">
        <f>IF($C626="","",IF($E626="rejected",N($G626),IF(AND(OR($E626="returned_to_brand",$E626="given_to_roster_office",$E626="released_to_office",$E626="disposed"),IF($F626="","reserve",$F626)="rejected"),-N($G626),IF(AND($E626="correction",IF($F626="","reserve",$F626)="rejected"),N($G626),0))))</f>
        <v/>
      </c>
      <c r="O626" s="25">
        <f>IF($C626="","",IF($E626="collected",N($G626),IF(AND(OR($E626="returned_to_brand",$E626="given_to_roster_office",$E626="released_to_office",$E626="disposed"),IF($F626="","reserve",$F626)="leftover"),-N($G626),IF(AND($E626="correction",IF($F626="","reserve",$F626)="leftover"),N($G626),0))))</f>
        <v/>
      </c>
      <c r="P626" s="25">
        <f>IF(OR($E626&lt;&gt;"received",$I626="",$L626=""),"",IF($I626&gt;=$L626+config!$B$19,"Y","N"))</f>
        <v/>
      </c>
      <c r="Q626" s="25">
        <f>IF($C626="","",IF(COUNTIF(campaigns!$A$2:$A$51,$C626)=0,"campaign_id not on campaigns; ",IF(AND($D626&lt;&gt;"",COUNTIFS(approvals!$A$2:$A$251,$C626,approvals!$B$2:$B$251,$D626)=0),"office not on this campaign (approvals tab); ",""))&amp;IF(AND(OR($E626="delivered",$E626="topped_up",$E626="collected"),$D626=""),"office needed; ","")&amp;IF(AND($E626&lt;&gt;"correction",N($G626)&lt;=0),"qty must be above 0; ","")&amp;IF(AND($E626="received",OR($I626="",$H626="")),"log lot and best-by; ","")&amp;IF(AND($P626="N",SUMIFS(inventory!$G$2:$G$801,inventory!$C$2:$C$801,$C626,inventory!$H$2:$H$801,$H626,inventory!$E$2:$E$801,"rejected")&lt;N($G626)),"UNDER "&amp;config!$B$19&amp;" DAYS LEFT ON THE DROP DAY: reject these units; ","")&amp;IF(AND($E626="delivered",COUNTIF(inventory!$R$2:$R$801,$R626)&gt;1),"two delivered rows for this office: use one; ","")&amp;IF(AND($E626="delivered",$J626=""),"who counted?; ",""))</f>
        <v/>
      </c>
      <c r="R626" s="25">
        <f>IF($C626="","",$C626&amp;"|"&amp;$D626&amp;"|"&amp;$E626)</f>
        <v/>
      </c>
    </row>
    <row r="627">
      <c r="A627" s="9" t="n"/>
      <c r="B627" s="33" t="n"/>
      <c r="I627" s="9" t="n"/>
      <c r="L627" s="26">
        <f>IF($C627="","",IFERROR(IF(INDEX(campaigns!$BG$2:$BG$51,MATCH($C627,campaigns!$A$2:$A$51,0))="","",INDEX(campaigns!$BG$2:$BG$51,MATCH($C627,campaigns!$A$2:$A$51,0))),""))</f>
        <v/>
      </c>
      <c r="M627" s="25">
        <f>IF($C627="","",IF(OR($E627="received"),N($G627),IF(OR($E627="rejected",$E627="delivered",$E627="topped_up"),-N($G627),IF(AND(OR($E627="returned_to_brand",$E627="given_to_roster_office",$E627="released_to_office",$E627="disposed"),IF($F627="","reserve",$F627)="reserve"),-N($G627),IF(AND($E627="correction",IF($F627="","reserve",$F627)="reserve"),N($G627),0)))))</f>
        <v/>
      </c>
      <c r="N627" s="25">
        <f>IF($C627="","",IF($E627="rejected",N($G627),IF(AND(OR($E627="returned_to_brand",$E627="given_to_roster_office",$E627="released_to_office",$E627="disposed"),IF($F627="","reserve",$F627)="rejected"),-N($G627),IF(AND($E627="correction",IF($F627="","reserve",$F627)="rejected"),N($G627),0))))</f>
        <v/>
      </c>
      <c r="O627" s="25">
        <f>IF($C627="","",IF($E627="collected",N($G627),IF(AND(OR($E627="returned_to_brand",$E627="given_to_roster_office",$E627="released_to_office",$E627="disposed"),IF($F627="","reserve",$F627)="leftover"),-N($G627),IF(AND($E627="correction",IF($F627="","reserve",$F627)="leftover"),N($G627),0))))</f>
        <v/>
      </c>
      <c r="P627" s="25">
        <f>IF(OR($E627&lt;&gt;"received",$I627="",$L627=""),"",IF($I627&gt;=$L627+config!$B$19,"Y","N"))</f>
        <v/>
      </c>
      <c r="Q627" s="25">
        <f>IF($C627="","",IF(COUNTIF(campaigns!$A$2:$A$51,$C627)=0,"campaign_id not on campaigns; ",IF(AND($D627&lt;&gt;"",COUNTIFS(approvals!$A$2:$A$251,$C627,approvals!$B$2:$B$251,$D627)=0),"office not on this campaign (approvals tab); ",""))&amp;IF(AND(OR($E627="delivered",$E627="topped_up",$E627="collected"),$D627=""),"office needed; ","")&amp;IF(AND($E627&lt;&gt;"correction",N($G627)&lt;=0),"qty must be above 0; ","")&amp;IF(AND($E627="received",OR($I627="",$H627="")),"log lot and best-by; ","")&amp;IF(AND($P627="N",SUMIFS(inventory!$G$2:$G$801,inventory!$C$2:$C$801,$C627,inventory!$H$2:$H$801,$H627,inventory!$E$2:$E$801,"rejected")&lt;N($G627)),"UNDER "&amp;config!$B$19&amp;" DAYS LEFT ON THE DROP DAY: reject these units; ","")&amp;IF(AND($E627="delivered",COUNTIF(inventory!$R$2:$R$801,$R627)&gt;1),"two delivered rows for this office: use one; ","")&amp;IF(AND($E627="delivered",$J627=""),"who counted?; ",""))</f>
        <v/>
      </c>
      <c r="R627" s="25">
        <f>IF($C627="","",$C627&amp;"|"&amp;$D627&amp;"|"&amp;$E627)</f>
        <v/>
      </c>
    </row>
    <row r="628">
      <c r="A628" s="9" t="n"/>
      <c r="B628" s="33" t="n"/>
      <c r="I628" s="9" t="n"/>
      <c r="L628" s="26">
        <f>IF($C628="","",IFERROR(IF(INDEX(campaigns!$BG$2:$BG$51,MATCH($C628,campaigns!$A$2:$A$51,0))="","",INDEX(campaigns!$BG$2:$BG$51,MATCH($C628,campaigns!$A$2:$A$51,0))),""))</f>
        <v/>
      </c>
      <c r="M628" s="25">
        <f>IF($C628="","",IF(OR($E628="received"),N($G628),IF(OR($E628="rejected",$E628="delivered",$E628="topped_up"),-N($G628),IF(AND(OR($E628="returned_to_brand",$E628="given_to_roster_office",$E628="released_to_office",$E628="disposed"),IF($F628="","reserve",$F628)="reserve"),-N($G628),IF(AND($E628="correction",IF($F628="","reserve",$F628)="reserve"),N($G628),0)))))</f>
        <v/>
      </c>
      <c r="N628" s="25">
        <f>IF($C628="","",IF($E628="rejected",N($G628),IF(AND(OR($E628="returned_to_brand",$E628="given_to_roster_office",$E628="released_to_office",$E628="disposed"),IF($F628="","reserve",$F628)="rejected"),-N($G628),IF(AND($E628="correction",IF($F628="","reserve",$F628)="rejected"),N($G628),0))))</f>
        <v/>
      </c>
      <c r="O628" s="25">
        <f>IF($C628="","",IF($E628="collected",N($G628),IF(AND(OR($E628="returned_to_brand",$E628="given_to_roster_office",$E628="released_to_office",$E628="disposed"),IF($F628="","reserve",$F628)="leftover"),-N($G628),IF(AND($E628="correction",IF($F628="","reserve",$F628)="leftover"),N($G628),0))))</f>
        <v/>
      </c>
      <c r="P628" s="25">
        <f>IF(OR($E628&lt;&gt;"received",$I628="",$L628=""),"",IF($I628&gt;=$L628+config!$B$19,"Y","N"))</f>
        <v/>
      </c>
      <c r="Q628" s="25">
        <f>IF($C628="","",IF(COUNTIF(campaigns!$A$2:$A$51,$C628)=0,"campaign_id not on campaigns; ",IF(AND($D628&lt;&gt;"",COUNTIFS(approvals!$A$2:$A$251,$C628,approvals!$B$2:$B$251,$D628)=0),"office not on this campaign (approvals tab); ",""))&amp;IF(AND(OR($E628="delivered",$E628="topped_up",$E628="collected"),$D628=""),"office needed; ","")&amp;IF(AND($E628&lt;&gt;"correction",N($G628)&lt;=0),"qty must be above 0; ","")&amp;IF(AND($E628="received",OR($I628="",$H628="")),"log lot and best-by; ","")&amp;IF(AND($P628="N",SUMIFS(inventory!$G$2:$G$801,inventory!$C$2:$C$801,$C628,inventory!$H$2:$H$801,$H628,inventory!$E$2:$E$801,"rejected")&lt;N($G628)),"UNDER "&amp;config!$B$19&amp;" DAYS LEFT ON THE DROP DAY: reject these units; ","")&amp;IF(AND($E628="delivered",COUNTIF(inventory!$R$2:$R$801,$R628)&gt;1),"two delivered rows for this office: use one; ","")&amp;IF(AND($E628="delivered",$J628=""),"who counted?; ",""))</f>
        <v/>
      </c>
      <c r="R628" s="25">
        <f>IF($C628="","",$C628&amp;"|"&amp;$D628&amp;"|"&amp;$E628)</f>
        <v/>
      </c>
    </row>
    <row r="629">
      <c r="A629" s="9" t="n"/>
      <c r="B629" s="33" t="n"/>
      <c r="I629" s="9" t="n"/>
      <c r="L629" s="26">
        <f>IF($C629="","",IFERROR(IF(INDEX(campaigns!$BG$2:$BG$51,MATCH($C629,campaigns!$A$2:$A$51,0))="","",INDEX(campaigns!$BG$2:$BG$51,MATCH($C629,campaigns!$A$2:$A$51,0))),""))</f>
        <v/>
      </c>
      <c r="M629" s="25">
        <f>IF($C629="","",IF(OR($E629="received"),N($G629),IF(OR($E629="rejected",$E629="delivered",$E629="topped_up"),-N($G629),IF(AND(OR($E629="returned_to_brand",$E629="given_to_roster_office",$E629="released_to_office",$E629="disposed"),IF($F629="","reserve",$F629)="reserve"),-N($G629),IF(AND($E629="correction",IF($F629="","reserve",$F629)="reserve"),N($G629),0)))))</f>
        <v/>
      </c>
      <c r="N629" s="25">
        <f>IF($C629="","",IF($E629="rejected",N($G629),IF(AND(OR($E629="returned_to_brand",$E629="given_to_roster_office",$E629="released_to_office",$E629="disposed"),IF($F629="","reserve",$F629)="rejected"),-N($G629),IF(AND($E629="correction",IF($F629="","reserve",$F629)="rejected"),N($G629),0))))</f>
        <v/>
      </c>
      <c r="O629" s="25">
        <f>IF($C629="","",IF($E629="collected",N($G629),IF(AND(OR($E629="returned_to_brand",$E629="given_to_roster_office",$E629="released_to_office",$E629="disposed"),IF($F629="","reserve",$F629)="leftover"),-N($G629),IF(AND($E629="correction",IF($F629="","reserve",$F629)="leftover"),N($G629),0))))</f>
        <v/>
      </c>
      <c r="P629" s="25">
        <f>IF(OR($E629&lt;&gt;"received",$I629="",$L629=""),"",IF($I629&gt;=$L629+config!$B$19,"Y","N"))</f>
        <v/>
      </c>
      <c r="Q629" s="25">
        <f>IF($C629="","",IF(COUNTIF(campaigns!$A$2:$A$51,$C629)=0,"campaign_id not on campaigns; ",IF(AND($D629&lt;&gt;"",COUNTIFS(approvals!$A$2:$A$251,$C629,approvals!$B$2:$B$251,$D629)=0),"office not on this campaign (approvals tab); ",""))&amp;IF(AND(OR($E629="delivered",$E629="topped_up",$E629="collected"),$D629=""),"office needed; ","")&amp;IF(AND($E629&lt;&gt;"correction",N($G629)&lt;=0),"qty must be above 0; ","")&amp;IF(AND($E629="received",OR($I629="",$H629="")),"log lot and best-by; ","")&amp;IF(AND($P629="N",SUMIFS(inventory!$G$2:$G$801,inventory!$C$2:$C$801,$C629,inventory!$H$2:$H$801,$H629,inventory!$E$2:$E$801,"rejected")&lt;N($G629)),"UNDER "&amp;config!$B$19&amp;" DAYS LEFT ON THE DROP DAY: reject these units; ","")&amp;IF(AND($E629="delivered",COUNTIF(inventory!$R$2:$R$801,$R629)&gt;1),"two delivered rows for this office: use one; ","")&amp;IF(AND($E629="delivered",$J629=""),"who counted?; ",""))</f>
        <v/>
      </c>
      <c r="R629" s="25">
        <f>IF($C629="","",$C629&amp;"|"&amp;$D629&amp;"|"&amp;$E629)</f>
        <v/>
      </c>
    </row>
    <row r="630">
      <c r="A630" s="9" t="n"/>
      <c r="B630" s="33" t="n"/>
      <c r="I630" s="9" t="n"/>
      <c r="L630" s="26">
        <f>IF($C630="","",IFERROR(IF(INDEX(campaigns!$BG$2:$BG$51,MATCH($C630,campaigns!$A$2:$A$51,0))="","",INDEX(campaigns!$BG$2:$BG$51,MATCH($C630,campaigns!$A$2:$A$51,0))),""))</f>
        <v/>
      </c>
      <c r="M630" s="25">
        <f>IF($C630="","",IF(OR($E630="received"),N($G630),IF(OR($E630="rejected",$E630="delivered",$E630="topped_up"),-N($G630),IF(AND(OR($E630="returned_to_brand",$E630="given_to_roster_office",$E630="released_to_office",$E630="disposed"),IF($F630="","reserve",$F630)="reserve"),-N($G630),IF(AND($E630="correction",IF($F630="","reserve",$F630)="reserve"),N($G630),0)))))</f>
        <v/>
      </c>
      <c r="N630" s="25">
        <f>IF($C630="","",IF($E630="rejected",N($G630),IF(AND(OR($E630="returned_to_brand",$E630="given_to_roster_office",$E630="released_to_office",$E630="disposed"),IF($F630="","reserve",$F630)="rejected"),-N($G630),IF(AND($E630="correction",IF($F630="","reserve",$F630)="rejected"),N($G630),0))))</f>
        <v/>
      </c>
      <c r="O630" s="25">
        <f>IF($C630="","",IF($E630="collected",N($G630),IF(AND(OR($E630="returned_to_brand",$E630="given_to_roster_office",$E630="released_to_office",$E630="disposed"),IF($F630="","reserve",$F630)="leftover"),-N($G630),IF(AND($E630="correction",IF($F630="","reserve",$F630)="leftover"),N($G630),0))))</f>
        <v/>
      </c>
      <c r="P630" s="25">
        <f>IF(OR($E630&lt;&gt;"received",$I630="",$L630=""),"",IF($I630&gt;=$L630+config!$B$19,"Y","N"))</f>
        <v/>
      </c>
      <c r="Q630" s="25">
        <f>IF($C630="","",IF(COUNTIF(campaigns!$A$2:$A$51,$C630)=0,"campaign_id not on campaigns; ",IF(AND($D630&lt;&gt;"",COUNTIFS(approvals!$A$2:$A$251,$C630,approvals!$B$2:$B$251,$D630)=0),"office not on this campaign (approvals tab); ",""))&amp;IF(AND(OR($E630="delivered",$E630="topped_up",$E630="collected"),$D630=""),"office needed; ","")&amp;IF(AND($E630&lt;&gt;"correction",N($G630)&lt;=0),"qty must be above 0; ","")&amp;IF(AND($E630="received",OR($I630="",$H630="")),"log lot and best-by; ","")&amp;IF(AND($P630="N",SUMIFS(inventory!$G$2:$G$801,inventory!$C$2:$C$801,$C630,inventory!$H$2:$H$801,$H630,inventory!$E$2:$E$801,"rejected")&lt;N($G630)),"UNDER "&amp;config!$B$19&amp;" DAYS LEFT ON THE DROP DAY: reject these units; ","")&amp;IF(AND($E630="delivered",COUNTIF(inventory!$R$2:$R$801,$R630)&gt;1),"two delivered rows for this office: use one; ","")&amp;IF(AND($E630="delivered",$J630=""),"who counted?; ",""))</f>
        <v/>
      </c>
      <c r="R630" s="25">
        <f>IF($C630="","",$C630&amp;"|"&amp;$D630&amp;"|"&amp;$E630)</f>
        <v/>
      </c>
    </row>
    <row r="631">
      <c r="A631" s="9" t="n"/>
      <c r="B631" s="33" t="n"/>
      <c r="I631" s="9" t="n"/>
      <c r="L631" s="26">
        <f>IF($C631="","",IFERROR(IF(INDEX(campaigns!$BG$2:$BG$51,MATCH($C631,campaigns!$A$2:$A$51,0))="","",INDEX(campaigns!$BG$2:$BG$51,MATCH($C631,campaigns!$A$2:$A$51,0))),""))</f>
        <v/>
      </c>
      <c r="M631" s="25">
        <f>IF($C631="","",IF(OR($E631="received"),N($G631),IF(OR($E631="rejected",$E631="delivered",$E631="topped_up"),-N($G631),IF(AND(OR($E631="returned_to_brand",$E631="given_to_roster_office",$E631="released_to_office",$E631="disposed"),IF($F631="","reserve",$F631)="reserve"),-N($G631),IF(AND($E631="correction",IF($F631="","reserve",$F631)="reserve"),N($G631),0)))))</f>
        <v/>
      </c>
      <c r="N631" s="25">
        <f>IF($C631="","",IF($E631="rejected",N($G631),IF(AND(OR($E631="returned_to_brand",$E631="given_to_roster_office",$E631="released_to_office",$E631="disposed"),IF($F631="","reserve",$F631)="rejected"),-N($G631),IF(AND($E631="correction",IF($F631="","reserve",$F631)="rejected"),N($G631),0))))</f>
        <v/>
      </c>
      <c r="O631" s="25">
        <f>IF($C631="","",IF($E631="collected",N($G631),IF(AND(OR($E631="returned_to_brand",$E631="given_to_roster_office",$E631="released_to_office",$E631="disposed"),IF($F631="","reserve",$F631)="leftover"),-N($G631),IF(AND($E631="correction",IF($F631="","reserve",$F631)="leftover"),N($G631),0))))</f>
        <v/>
      </c>
      <c r="P631" s="25">
        <f>IF(OR($E631&lt;&gt;"received",$I631="",$L631=""),"",IF($I631&gt;=$L631+config!$B$19,"Y","N"))</f>
        <v/>
      </c>
      <c r="Q631" s="25">
        <f>IF($C631="","",IF(COUNTIF(campaigns!$A$2:$A$51,$C631)=0,"campaign_id not on campaigns; ",IF(AND($D631&lt;&gt;"",COUNTIFS(approvals!$A$2:$A$251,$C631,approvals!$B$2:$B$251,$D631)=0),"office not on this campaign (approvals tab); ",""))&amp;IF(AND(OR($E631="delivered",$E631="topped_up",$E631="collected"),$D631=""),"office needed; ","")&amp;IF(AND($E631&lt;&gt;"correction",N($G631)&lt;=0),"qty must be above 0; ","")&amp;IF(AND($E631="received",OR($I631="",$H631="")),"log lot and best-by; ","")&amp;IF(AND($P631="N",SUMIFS(inventory!$G$2:$G$801,inventory!$C$2:$C$801,$C631,inventory!$H$2:$H$801,$H631,inventory!$E$2:$E$801,"rejected")&lt;N($G631)),"UNDER "&amp;config!$B$19&amp;" DAYS LEFT ON THE DROP DAY: reject these units; ","")&amp;IF(AND($E631="delivered",COUNTIF(inventory!$R$2:$R$801,$R631)&gt;1),"two delivered rows for this office: use one; ","")&amp;IF(AND($E631="delivered",$J631=""),"who counted?; ",""))</f>
        <v/>
      </c>
      <c r="R631" s="25">
        <f>IF($C631="","",$C631&amp;"|"&amp;$D631&amp;"|"&amp;$E631)</f>
        <v/>
      </c>
    </row>
    <row r="632">
      <c r="A632" s="9" t="n"/>
      <c r="B632" s="33" t="n"/>
      <c r="I632" s="9" t="n"/>
      <c r="L632" s="26">
        <f>IF($C632="","",IFERROR(IF(INDEX(campaigns!$BG$2:$BG$51,MATCH($C632,campaigns!$A$2:$A$51,0))="","",INDEX(campaigns!$BG$2:$BG$51,MATCH($C632,campaigns!$A$2:$A$51,0))),""))</f>
        <v/>
      </c>
      <c r="M632" s="25">
        <f>IF($C632="","",IF(OR($E632="received"),N($G632),IF(OR($E632="rejected",$E632="delivered",$E632="topped_up"),-N($G632),IF(AND(OR($E632="returned_to_brand",$E632="given_to_roster_office",$E632="released_to_office",$E632="disposed"),IF($F632="","reserve",$F632)="reserve"),-N($G632),IF(AND($E632="correction",IF($F632="","reserve",$F632)="reserve"),N($G632),0)))))</f>
        <v/>
      </c>
      <c r="N632" s="25">
        <f>IF($C632="","",IF($E632="rejected",N($G632),IF(AND(OR($E632="returned_to_brand",$E632="given_to_roster_office",$E632="released_to_office",$E632="disposed"),IF($F632="","reserve",$F632)="rejected"),-N($G632),IF(AND($E632="correction",IF($F632="","reserve",$F632)="rejected"),N($G632),0))))</f>
        <v/>
      </c>
      <c r="O632" s="25">
        <f>IF($C632="","",IF($E632="collected",N($G632),IF(AND(OR($E632="returned_to_brand",$E632="given_to_roster_office",$E632="released_to_office",$E632="disposed"),IF($F632="","reserve",$F632)="leftover"),-N($G632),IF(AND($E632="correction",IF($F632="","reserve",$F632)="leftover"),N($G632),0))))</f>
        <v/>
      </c>
      <c r="P632" s="25">
        <f>IF(OR($E632&lt;&gt;"received",$I632="",$L632=""),"",IF($I632&gt;=$L632+config!$B$19,"Y","N"))</f>
        <v/>
      </c>
      <c r="Q632" s="25">
        <f>IF($C632="","",IF(COUNTIF(campaigns!$A$2:$A$51,$C632)=0,"campaign_id not on campaigns; ",IF(AND($D632&lt;&gt;"",COUNTIFS(approvals!$A$2:$A$251,$C632,approvals!$B$2:$B$251,$D632)=0),"office not on this campaign (approvals tab); ",""))&amp;IF(AND(OR($E632="delivered",$E632="topped_up",$E632="collected"),$D632=""),"office needed; ","")&amp;IF(AND($E632&lt;&gt;"correction",N($G632)&lt;=0),"qty must be above 0; ","")&amp;IF(AND($E632="received",OR($I632="",$H632="")),"log lot and best-by; ","")&amp;IF(AND($P632="N",SUMIFS(inventory!$G$2:$G$801,inventory!$C$2:$C$801,$C632,inventory!$H$2:$H$801,$H632,inventory!$E$2:$E$801,"rejected")&lt;N($G632)),"UNDER "&amp;config!$B$19&amp;" DAYS LEFT ON THE DROP DAY: reject these units; ","")&amp;IF(AND($E632="delivered",COUNTIF(inventory!$R$2:$R$801,$R632)&gt;1),"two delivered rows for this office: use one; ","")&amp;IF(AND($E632="delivered",$J632=""),"who counted?; ",""))</f>
        <v/>
      </c>
      <c r="R632" s="25">
        <f>IF($C632="","",$C632&amp;"|"&amp;$D632&amp;"|"&amp;$E632)</f>
        <v/>
      </c>
    </row>
    <row r="633">
      <c r="A633" s="9" t="n"/>
      <c r="B633" s="33" t="n"/>
      <c r="I633" s="9" t="n"/>
      <c r="L633" s="26">
        <f>IF($C633="","",IFERROR(IF(INDEX(campaigns!$BG$2:$BG$51,MATCH($C633,campaigns!$A$2:$A$51,0))="","",INDEX(campaigns!$BG$2:$BG$51,MATCH($C633,campaigns!$A$2:$A$51,0))),""))</f>
        <v/>
      </c>
      <c r="M633" s="25">
        <f>IF($C633="","",IF(OR($E633="received"),N($G633),IF(OR($E633="rejected",$E633="delivered",$E633="topped_up"),-N($G633),IF(AND(OR($E633="returned_to_brand",$E633="given_to_roster_office",$E633="released_to_office",$E633="disposed"),IF($F633="","reserve",$F633)="reserve"),-N($G633),IF(AND($E633="correction",IF($F633="","reserve",$F633)="reserve"),N($G633),0)))))</f>
        <v/>
      </c>
      <c r="N633" s="25">
        <f>IF($C633="","",IF($E633="rejected",N($G633),IF(AND(OR($E633="returned_to_brand",$E633="given_to_roster_office",$E633="released_to_office",$E633="disposed"),IF($F633="","reserve",$F633)="rejected"),-N($G633),IF(AND($E633="correction",IF($F633="","reserve",$F633)="rejected"),N($G633),0))))</f>
        <v/>
      </c>
      <c r="O633" s="25">
        <f>IF($C633="","",IF($E633="collected",N($G633),IF(AND(OR($E633="returned_to_brand",$E633="given_to_roster_office",$E633="released_to_office",$E633="disposed"),IF($F633="","reserve",$F633)="leftover"),-N($G633),IF(AND($E633="correction",IF($F633="","reserve",$F633)="leftover"),N($G633),0))))</f>
        <v/>
      </c>
      <c r="P633" s="25">
        <f>IF(OR($E633&lt;&gt;"received",$I633="",$L633=""),"",IF($I633&gt;=$L633+config!$B$19,"Y","N"))</f>
        <v/>
      </c>
      <c r="Q633" s="25">
        <f>IF($C633="","",IF(COUNTIF(campaigns!$A$2:$A$51,$C633)=0,"campaign_id not on campaigns; ",IF(AND($D633&lt;&gt;"",COUNTIFS(approvals!$A$2:$A$251,$C633,approvals!$B$2:$B$251,$D633)=0),"office not on this campaign (approvals tab); ",""))&amp;IF(AND(OR($E633="delivered",$E633="topped_up",$E633="collected"),$D633=""),"office needed; ","")&amp;IF(AND($E633&lt;&gt;"correction",N($G633)&lt;=0),"qty must be above 0; ","")&amp;IF(AND($E633="received",OR($I633="",$H633="")),"log lot and best-by; ","")&amp;IF(AND($P633="N",SUMIFS(inventory!$G$2:$G$801,inventory!$C$2:$C$801,$C633,inventory!$H$2:$H$801,$H633,inventory!$E$2:$E$801,"rejected")&lt;N($G633)),"UNDER "&amp;config!$B$19&amp;" DAYS LEFT ON THE DROP DAY: reject these units; ","")&amp;IF(AND($E633="delivered",COUNTIF(inventory!$R$2:$R$801,$R633)&gt;1),"two delivered rows for this office: use one; ","")&amp;IF(AND($E633="delivered",$J633=""),"who counted?; ",""))</f>
        <v/>
      </c>
      <c r="R633" s="25">
        <f>IF($C633="","",$C633&amp;"|"&amp;$D633&amp;"|"&amp;$E633)</f>
        <v/>
      </c>
    </row>
    <row r="634">
      <c r="A634" s="9" t="n"/>
      <c r="B634" s="33" t="n"/>
      <c r="I634" s="9" t="n"/>
      <c r="L634" s="26">
        <f>IF($C634="","",IFERROR(IF(INDEX(campaigns!$BG$2:$BG$51,MATCH($C634,campaigns!$A$2:$A$51,0))="","",INDEX(campaigns!$BG$2:$BG$51,MATCH($C634,campaigns!$A$2:$A$51,0))),""))</f>
        <v/>
      </c>
      <c r="M634" s="25">
        <f>IF($C634="","",IF(OR($E634="received"),N($G634),IF(OR($E634="rejected",$E634="delivered",$E634="topped_up"),-N($G634),IF(AND(OR($E634="returned_to_brand",$E634="given_to_roster_office",$E634="released_to_office",$E634="disposed"),IF($F634="","reserve",$F634)="reserve"),-N($G634),IF(AND($E634="correction",IF($F634="","reserve",$F634)="reserve"),N($G634),0)))))</f>
        <v/>
      </c>
      <c r="N634" s="25">
        <f>IF($C634="","",IF($E634="rejected",N($G634),IF(AND(OR($E634="returned_to_brand",$E634="given_to_roster_office",$E634="released_to_office",$E634="disposed"),IF($F634="","reserve",$F634)="rejected"),-N($G634),IF(AND($E634="correction",IF($F634="","reserve",$F634)="rejected"),N($G634),0))))</f>
        <v/>
      </c>
      <c r="O634" s="25">
        <f>IF($C634="","",IF($E634="collected",N($G634),IF(AND(OR($E634="returned_to_brand",$E634="given_to_roster_office",$E634="released_to_office",$E634="disposed"),IF($F634="","reserve",$F634)="leftover"),-N($G634),IF(AND($E634="correction",IF($F634="","reserve",$F634)="leftover"),N($G634),0))))</f>
        <v/>
      </c>
      <c r="P634" s="25">
        <f>IF(OR($E634&lt;&gt;"received",$I634="",$L634=""),"",IF($I634&gt;=$L634+config!$B$19,"Y","N"))</f>
        <v/>
      </c>
      <c r="Q634" s="25">
        <f>IF($C634="","",IF(COUNTIF(campaigns!$A$2:$A$51,$C634)=0,"campaign_id not on campaigns; ",IF(AND($D634&lt;&gt;"",COUNTIFS(approvals!$A$2:$A$251,$C634,approvals!$B$2:$B$251,$D634)=0),"office not on this campaign (approvals tab); ",""))&amp;IF(AND(OR($E634="delivered",$E634="topped_up",$E634="collected"),$D634=""),"office needed; ","")&amp;IF(AND($E634&lt;&gt;"correction",N($G634)&lt;=0),"qty must be above 0; ","")&amp;IF(AND($E634="received",OR($I634="",$H634="")),"log lot and best-by; ","")&amp;IF(AND($P634="N",SUMIFS(inventory!$G$2:$G$801,inventory!$C$2:$C$801,$C634,inventory!$H$2:$H$801,$H634,inventory!$E$2:$E$801,"rejected")&lt;N($G634)),"UNDER "&amp;config!$B$19&amp;" DAYS LEFT ON THE DROP DAY: reject these units; ","")&amp;IF(AND($E634="delivered",COUNTIF(inventory!$R$2:$R$801,$R634)&gt;1),"two delivered rows for this office: use one; ","")&amp;IF(AND($E634="delivered",$J634=""),"who counted?; ",""))</f>
        <v/>
      </c>
      <c r="R634" s="25">
        <f>IF($C634="","",$C634&amp;"|"&amp;$D634&amp;"|"&amp;$E634)</f>
        <v/>
      </c>
    </row>
    <row r="635">
      <c r="A635" s="9" t="n"/>
      <c r="B635" s="33" t="n"/>
      <c r="I635" s="9" t="n"/>
      <c r="L635" s="26">
        <f>IF($C635="","",IFERROR(IF(INDEX(campaigns!$BG$2:$BG$51,MATCH($C635,campaigns!$A$2:$A$51,0))="","",INDEX(campaigns!$BG$2:$BG$51,MATCH($C635,campaigns!$A$2:$A$51,0))),""))</f>
        <v/>
      </c>
      <c r="M635" s="25">
        <f>IF($C635="","",IF(OR($E635="received"),N($G635),IF(OR($E635="rejected",$E635="delivered",$E635="topped_up"),-N($G635),IF(AND(OR($E635="returned_to_brand",$E635="given_to_roster_office",$E635="released_to_office",$E635="disposed"),IF($F635="","reserve",$F635)="reserve"),-N($G635),IF(AND($E635="correction",IF($F635="","reserve",$F635)="reserve"),N($G635),0)))))</f>
        <v/>
      </c>
      <c r="N635" s="25">
        <f>IF($C635="","",IF($E635="rejected",N($G635),IF(AND(OR($E635="returned_to_brand",$E635="given_to_roster_office",$E635="released_to_office",$E635="disposed"),IF($F635="","reserve",$F635)="rejected"),-N($G635),IF(AND($E635="correction",IF($F635="","reserve",$F635)="rejected"),N($G635),0))))</f>
        <v/>
      </c>
      <c r="O635" s="25">
        <f>IF($C635="","",IF($E635="collected",N($G635),IF(AND(OR($E635="returned_to_brand",$E635="given_to_roster_office",$E635="released_to_office",$E635="disposed"),IF($F635="","reserve",$F635)="leftover"),-N($G635),IF(AND($E635="correction",IF($F635="","reserve",$F635)="leftover"),N($G635),0))))</f>
        <v/>
      </c>
      <c r="P635" s="25">
        <f>IF(OR($E635&lt;&gt;"received",$I635="",$L635=""),"",IF($I635&gt;=$L635+config!$B$19,"Y","N"))</f>
        <v/>
      </c>
      <c r="Q635" s="25">
        <f>IF($C635="","",IF(COUNTIF(campaigns!$A$2:$A$51,$C635)=0,"campaign_id not on campaigns; ",IF(AND($D635&lt;&gt;"",COUNTIFS(approvals!$A$2:$A$251,$C635,approvals!$B$2:$B$251,$D635)=0),"office not on this campaign (approvals tab); ",""))&amp;IF(AND(OR($E635="delivered",$E635="topped_up",$E635="collected"),$D635=""),"office needed; ","")&amp;IF(AND($E635&lt;&gt;"correction",N($G635)&lt;=0),"qty must be above 0; ","")&amp;IF(AND($E635="received",OR($I635="",$H635="")),"log lot and best-by; ","")&amp;IF(AND($P635="N",SUMIFS(inventory!$G$2:$G$801,inventory!$C$2:$C$801,$C635,inventory!$H$2:$H$801,$H635,inventory!$E$2:$E$801,"rejected")&lt;N($G635)),"UNDER "&amp;config!$B$19&amp;" DAYS LEFT ON THE DROP DAY: reject these units; ","")&amp;IF(AND($E635="delivered",COUNTIF(inventory!$R$2:$R$801,$R635)&gt;1),"two delivered rows for this office: use one; ","")&amp;IF(AND($E635="delivered",$J635=""),"who counted?; ",""))</f>
        <v/>
      </c>
      <c r="R635" s="25">
        <f>IF($C635="","",$C635&amp;"|"&amp;$D635&amp;"|"&amp;$E635)</f>
        <v/>
      </c>
    </row>
    <row r="636">
      <c r="A636" s="9" t="n"/>
      <c r="B636" s="33" t="n"/>
      <c r="I636" s="9" t="n"/>
      <c r="L636" s="26">
        <f>IF($C636="","",IFERROR(IF(INDEX(campaigns!$BG$2:$BG$51,MATCH($C636,campaigns!$A$2:$A$51,0))="","",INDEX(campaigns!$BG$2:$BG$51,MATCH($C636,campaigns!$A$2:$A$51,0))),""))</f>
        <v/>
      </c>
      <c r="M636" s="25">
        <f>IF($C636="","",IF(OR($E636="received"),N($G636),IF(OR($E636="rejected",$E636="delivered",$E636="topped_up"),-N($G636),IF(AND(OR($E636="returned_to_brand",$E636="given_to_roster_office",$E636="released_to_office",$E636="disposed"),IF($F636="","reserve",$F636)="reserve"),-N($G636),IF(AND($E636="correction",IF($F636="","reserve",$F636)="reserve"),N($G636),0)))))</f>
        <v/>
      </c>
      <c r="N636" s="25">
        <f>IF($C636="","",IF($E636="rejected",N($G636),IF(AND(OR($E636="returned_to_brand",$E636="given_to_roster_office",$E636="released_to_office",$E636="disposed"),IF($F636="","reserve",$F636)="rejected"),-N($G636),IF(AND($E636="correction",IF($F636="","reserve",$F636)="rejected"),N($G636),0))))</f>
        <v/>
      </c>
      <c r="O636" s="25">
        <f>IF($C636="","",IF($E636="collected",N($G636),IF(AND(OR($E636="returned_to_brand",$E636="given_to_roster_office",$E636="released_to_office",$E636="disposed"),IF($F636="","reserve",$F636)="leftover"),-N($G636),IF(AND($E636="correction",IF($F636="","reserve",$F636)="leftover"),N($G636),0))))</f>
        <v/>
      </c>
      <c r="P636" s="25">
        <f>IF(OR($E636&lt;&gt;"received",$I636="",$L636=""),"",IF($I636&gt;=$L636+config!$B$19,"Y","N"))</f>
        <v/>
      </c>
      <c r="Q636" s="25">
        <f>IF($C636="","",IF(COUNTIF(campaigns!$A$2:$A$51,$C636)=0,"campaign_id not on campaigns; ",IF(AND($D636&lt;&gt;"",COUNTIFS(approvals!$A$2:$A$251,$C636,approvals!$B$2:$B$251,$D636)=0),"office not on this campaign (approvals tab); ",""))&amp;IF(AND(OR($E636="delivered",$E636="topped_up",$E636="collected"),$D636=""),"office needed; ","")&amp;IF(AND($E636&lt;&gt;"correction",N($G636)&lt;=0),"qty must be above 0; ","")&amp;IF(AND($E636="received",OR($I636="",$H636="")),"log lot and best-by; ","")&amp;IF(AND($P636="N",SUMIFS(inventory!$G$2:$G$801,inventory!$C$2:$C$801,$C636,inventory!$H$2:$H$801,$H636,inventory!$E$2:$E$801,"rejected")&lt;N($G636)),"UNDER "&amp;config!$B$19&amp;" DAYS LEFT ON THE DROP DAY: reject these units; ","")&amp;IF(AND($E636="delivered",COUNTIF(inventory!$R$2:$R$801,$R636)&gt;1),"two delivered rows for this office: use one; ","")&amp;IF(AND($E636="delivered",$J636=""),"who counted?; ",""))</f>
        <v/>
      </c>
      <c r="R636" s="25">
        <f>IF($C636="","",$C636&amp;"|"&amp;$D636&amp;"|"&amp;$E636)</f>
        <v/>
      </c>
    </row>
    <row r="637">
      <c r="A637" s="9" t="n"/>
      <c r="B637" s="33" t="n"/>
      <c r="I637" s="9" t="n"/>
      <c r="L637" s="26">
        <f>IF($C637="","",IFERROR(IF(INDEX(campaigns!$BG$2:$BG$51,MATCH($C637,campaigns!$A$2:$A$51,0))="","",INDEX(campaigns!$BG$2:$BG$51,MATCH($C637,campaigns!$A$2:$A$51,0))),""))</f>
        <v/>
      </c>
      <c r="M637" s="25">
        <f>IF($C637="","",IF(OR($E637="received"),N($G637),IF(OR($E637="rejected",$E637="delivered",$E637="topped_up"),-N($G637),IF(AND(OR($E637="returned_to_brand",$E637="given_to_roster_office",$E637="released_to_office",$E637="disposed"),IF($F637="","reserve",$F637)="reserve"),-N($G637),IF(AND($E637="correction",IF($F637="","reserve",$F637)="reserve"),N($G637),0)))))</f>
        <v/>
      </c>
      <c r="N637" s="25">
        <f>IF($C637="","",IF($E637="rejected",N($G637),IF(AND(OR($E637="returned_to_brand",$E637="given_to_roster_office",$E637="released_to_office",$E637="disposed"),IF($F637="","reserve",$F637)="rejected"),-N($G637),IF(AND($E637="correction",IF($F637="","reserve",$F637)="rejected"),N($G637),0))))</f>
        <v/>
      </c>
      <c r="O637" s="25">
        <f>IF($C637="","",IF($E637="collected",N($G637),IF(AND(OR($E637="returned_to_brand",$E637="given_to_roster_office",$E637="released_to_office",$E637="disposed"),IF($F637="","reserve",$F637)="leftover"),-N($G637),IF(AND($E637="correction",IF($F637="","reserve",$F637)="leftover"),N($G637),0))))</f>
        <v/>
      </c>
      <c r="P637" s="25">
        <f>IF(OR($E637&lt;&gt;"received",$I637="",$L637=""),"",IF($I637&gt;=$L637+config!$B$19,"Y","N"))</f>
        <v/>
      </c>
      <c r="Q637" s="25">
        <f>IF($C637="","",IF(COUNTIF(campaigns!$A$2:$A$51,$C637)=0,"campaign_id not on campaigns; ",IF(AND($D637&lt;&gt;"",COUNTIFS(approvals!$A$2:$A$251,$C637,approvals!$B$2:$B$251,$D637)=0),"office not on this campaign (approvals tab); ",""))&amp;IF(AND(OR($E637="delivered",$E637="topped_up",$E637="collected"),$D637=""),"office needed; ","")&amp;IF(AND($E637&lt;&gt;"correction",N($G637)&lt;=0),"qty must be above 0; ","")&amp;IF(AND($E637="received",OR($I637="",$H637="")),"log lot and best-by; ","")&amp;IF(AND($P637="N",SUMIFS(inventory!$G$2:$G$801,inventory!$C$2:$C$801,$C637,inventory!$H$2:$H$801,$H637,inventory!$E$2:$E$801,"rejected")&lt;N($G637)),"UNDER "&amp;config!$B$19&amp;" DAYS LEFT ON THE DROP DAY: reject these units; ","")&amp;IF(AND($E637="delivered",COUNTIF(inventory!$R$2:$R$801,$R637)&gt;1),"two delivered rows for this office: use one; ","")&amp;IF(AND($E637="delivered",$J637=""),"who counted?; ",""))</f>
        <v/>
      </c>
      <c r="R637" s="25">
        <f>IF($C637="","",$C637&amp;"|"&amp;$D637&amp;"|"&amp;$E637)</f>
        <v/>
      </c>
    </row>
    <row r="638">
      <c r="A638" s="9" t="n"/>
      <c r="B638" s="33" t="n"/>
      <c r="I638" s="9" t="n"/>
      <c r="L638" s="26">
        <f>IF($C638="","",IFERROR(IF(INDEX(campaigns!$BG$2:$BG$51,MATCH($C638,campaigns!$A$2:$A$51,0))="","",INDEX(campaigns!$BG$2:$BG$51,MATCH($C638,campaigns!$A$2:$A$51,0))),""))</f>
        <v/>
      </c>
      <c r="M638" s="25">
        <f>IF($C638="","",IF(OR($E638="received"),N($G638),IF(OR($E638="rejected",$E638="delivered",$E638="topped_up"),-N($G638),IF(AND(OR($E638="returned_to_brand",$E638="given_to_roster_office",$E638="released_to_office",$E638="disposed"),IF($F638="","reserve",$F638)="reserve"),-N($G638),IF(AND($E638="correction",IF($F638="","reserve",$F638)="reserve"),N($G638),0)))))</f>
        <v/>
      </c>
      <c r="N638" s="25">
        <f>IF($C638="","",IF($E638="rejected",N($G638),IF(AND(OR($E638="returned_to_brand",$E638="given_to_roster_office",$E638="released_to_office",$E638="disposed"),IF($F638="","reserve",$F638)="rejected"),-N($G638),IF(AND($E638="correction",IF($F638="","reserve",$F638)="rejected"),N($G638),0))))</f>
        <v/>
      </c>
      <c r="O638" s="25">
        <f>IF($C638="","",IF($E638="collected",N($G638),IF(AND(OR($E638="returned_to_brand",$E638="given_to_roster_office",$E638="released_to_office",$E638="disposed"),IF($F638="","reserve",$F638)="leftover"),-N($G638),IF(AND($E638="correction",IF($F638="","reserve",$F638)="leftover"),N($G638),0))))</f>
        <v/>
      </c>
      <c r="P638" s="25">
        <f>IF(OR($E638&lt;&gt;"received",$I638="",$L638=""),"",IF($I638&gt;=$L638+config!$B$19,"Y","N"))</f>
        <v/>
      </c>
      <c r="Q638" s="25">
        <f>IF($C638="","",IF(COUNTIF(campaigns!$A$2:$A$51,$C638)=0,"campaign_id not on campaigns; ",IF(AND($D638&lt;&gt;"",COUNTIFS(approvals!$A$2:$A$251,$C638,approvals!$B$2:$B$251,$D638)=0),"office not on this campaign (approvals tab); ",""))&amp;IF(AND(OR($E638="delivered",$E638="topped_up",$E638="collected"),$D638=""),"office needed; ","")&amp;IF(AND($E638&lt;&gt;"correction",N($G638)&lt;=0),"qty must be above 0; ","")&amp;IF(AND($E638="received",OR($I638="",$H638="")),"log lot and best-by; ","")&amp;IF(AND($P638="N",SUMIFS(inventory!$G$2:$G$801,inventory!$C$2:$C$801,$C638,inventory!$H$2:$H$801,$H638,inventory!$E$2:$E$801,"rejected")&lt;N($G638)),"UNDER "&amp;config!$B$19&amp;" DAYS LEFT ON THE DROP DAY: reject these units; ","")&amp;IF(AND($E638="delivered",COUNTIF(inventory!$R$2:$R$801,$R638)&gt;1),"two delivered rows for this office: use one; ","")&amp;IF(AND($E638="delivered",$J638=""),"who counted?; ",""))</f>
        <v/>
      </c>
      <c r="R638" s="25">
        <f>IF($C638="","",$C638&amp;"|"&amp;$D638&amp;"|"&amp;$E638)</f>
        <v/>
      </c>
    </row>
    <row r="639">
      <c r="A639" s="9" t="n"/>
      <c r="B639" s="33" t="n"/>
      <c r="I639" s="9" t="n"/>
      <c r="L639" s="26">
        <f>IF($C639="","",IFERROR(IF(INDEX(campaigns!$BG$2:$BG$51,MATCH($C639,campaigns!$A$2:$A$51,0))="","",INDEX(campaigns!$BG$2:$BG$51,MATCH($C639,campaigns!$A$2:$A$51,0))),""))</f>
        <v/>
      </c>
      <c r="M639" s="25">
        <f>IF($C639="","",IF(OR($E639="received"),N($G639),IF(OR($E639="rejected",$E639="delivered",$E639="topped_up"),-N($G639),IF(AND(OR($E639="returned_to_brand",$E639="given_to_roster_office",$E639="released_to_office",$E639="disposed"),IF($F639="","reserve",$F639)="reserve"),-N($G639),IF(AND($E639="correction",IF($F639="","reserve",$F639)="reserve"),N($G639),0)))))</f>
        <v/>
      </c>
      <c r="N639" s="25">
        <f>IF($C639="","",IF($E639="rejected",N($G639),IF(AND(OR($E639="returned_to_brand",$E639="given_to_roster_office",$E639="released_to_office",$E639="disposed"),IF($F639="","reserve",$F639)="rejected"),-N($G639),IF(AND($E639="correction",IF($F639="","reserve",$F639)="rejected"),N($G639),0))))</f>
        <v/>
      </c>
      <c r="O639" s="25">
        <f>IF($C639="","",IF($E639="collected",N($G639),IF(AND(OR($E639="returned_to_brand",$E639="given_to_roster_office",$E639="released_to_office",$E639="disposed"),IF($F639="","reserve",$F639)="leftover"),-N($G639),IF(AND($E639="correction",IF($F639="","reserve",$F639)="leftover"),N($G639),0))))</f>
        <v/>
      </c>
      <c r="P639" s="25">
        <f>IF(OR($E639&lt;&gt;"received",$I639="",$L639=""),"",IF($I639&gt;=$L639+config!$B$19,"Y","N"))</f>
        <v/>
      </c>
      <c r="Q639" s="25">
        <f>IF($C639="","",IF(COUNTIF(campaigns!$A$2:$A$51,$C639)=0,"campaign_id not on campaigns; ",IF(AND($D639&lt;&gt;"",COUNTIFS(approvals!$A$2:$A$251,$C639,approvals!$B$2:$B$251,$D639)=0),"office not on this campaign (approvals tab); ",""))&amp;IF(AND(OR($E639="delivered",$E639="topped_up",$E639="collected"),$D639=""),"office needed; ","")&amp;IF(AND($E639&lt;&gt;"correction",N($G639)&lt;=0),"qty must be above 0; ","")&amp;IF(AND($E639="received",OR($I639="",$H639="")),"log lot and best-by; ","")&amp;IF(AND($P639="N",SUMIFS(inventory!$G$2:$G$801,inventory!$C$2:$C$801,$C639,inventory!$H$2:$H$801,$H639,inventory!$E$2:$E$801,"rejected")&lt;N($G639)),"UNDER "&amp;config!$B$19&amp;" DAYS LEFT ON THE DROP DAY: reject these units; ","")&amp;IF(AND($E639="delivered",COUNTIF(inventory!$R$2:$R$801,$R639)&gt;1),"two delivered rows for this office: use one; ","")&amp;IF(AND($E639="delivered",$J639=""),"who counted?; ",""))</f>
        <v/>
      </c>
      <c r="R639" s="25">
        <f>IF($C639="","",$C639&amp;"|"&amp;$D639&amp;"|"&amp;$E639)</f>
        <v/>
      </c>
    </row>
    <row r="640">
      <c r="A640" s="9" t="n"/>
      <c r="B640" s="33" t="n"/>
      <c r="I640" s="9" t="n"/>
      <c r="L640" s="26">
        <f>IF($C640="","",IFERROR(IF(INDEX(campaigns!$BG$2:$BG$51,MATCH($C640,campaigns!$A$2:$A$51,0))="","",INDEX(campaigns!$BG$2:$BG$51,MATCH($C640,campaigns!$A$2:$A$51,0))),""))</f>
        <v/>
      </c>
      <c r="M640" s="25">
        <f>IF($C640="","",IF(OR($E640="received"),N($G640),IF(OR($E640="rejected",$E640="delivered",$E640="topped_up"),-N($G640),IF(AND(OR($E640="returned_to_brand",$E640="given_to_roster_office",$E640="released_to_office",$E640="disposed"),IF($F640="","reserve",$F640)="reserve"),-N($G640),IF(AND($E640="correction",IF($F640="","reserve",$F640)="reserve"),N($G640),0)))))</f>
        <v/>
      </c>
      <c r="N640" s="25">
        <f>IF($C640="","",IF($E640="rejected",N($G640),IF(AND(OR($E640="returned_to_brand",$E640="given_to_roster_office",$E640="released_to_office",$E640="disposed"),IF($F640="","reserve",$F640)="rejected"),-N($G640),IF(AND($E640="correction",IF($F640="","reserve",$F640)="rejected"),N($G640),0))))</f>
        <v/>
      </c>
      <c r="O640" s="25">
        <f>IF($C640="","",IF($E640="collected",N($G640),IF(AND(OR($E640="returned_to_brand",$E640="given_to_roster_office",$E640="released_to_office",$E640="disposed"),IF($F640="","reserve",$F640)="leftover"),-N($G640),IF(AND($E640="correction",IF($F640="","reserve",$F640)="leftover"),N($G640),0))))</f>
        <v/>
      </c>
      <c r="P640" s="25">
        <f>IF(OR($E640&lt;&gt;"received",$I640="",$L640=""),"",IF($I640&gt;=$L640+config!$B$19,"Y","N"))</f>
        <v/>
      </c>
      <c r="Q640" s="25">
        <f>IF($C640="","",IF(COUNTIF(campaigns!$A$2:$A$51,$C640)=0,"campaign_id not on campaigns; ",IF(AND($D640&lt;&gt;"",COUNTIFS(approvals!$A$2:$A$251,$C640,approvals!$B$2:$B$251,$D640)=0),"office not on this campaign (approvals tab); ",""))&amp;IF(AND(OR($E640="delivered",$E640="topped_up",$E640="collected"),$D640=""),"office needed; ","")&amp;IF(AND($E640&lt;&gt;"correction",N($G640)&lt;=0),"qty must be above 0; ","")&amp;IF(AND($E640="received",OR($I640="",$H640="")),"log lot and best-by; ","")&amp;IF(AND($P640="N",SUMIFS(inventory!$G$2:$G$801,inventory!$C$2:$C$801,$C640,inventory!$H$2:$H$801,$H640,inventory!$E$2:$E$801,"rejected")&lt;N($G640)),"UNDER "&amp;config!$B$19&amp;" DAYS LEFT ON THE DROP DAY: reject these units; ","")&amp;IF(AND($E640="delivered",COUNTIF(inventory!$R$2:$R$801,$R640)&gt;1),"two delivered rows for this office: use one; ","")&amp;IF(AND($E640="delivered",$J640=""),"who counted?; ",""))</f>
        <v/>
      </c>
      <c r="R640" s="25">
        <f>IF($C640="","",$C640&amp;"|"&amp;$D640&amp;"|"&amp;$E640)</f>
        <v/>
      </c>
    </row>
    <row r="641">
      <c r="A641" s="9" t="n"/>
      <c r="B641" s="33" t="n"/>
      <c r="I641" s="9" t="n"/>
      <c r="L641" s="26">
        <f>IF($C641="","",IFERROR(IF(INDEX(campaigns!$BG$2:$BG$51,MATCH($C641,campaigns!$A$2:$A$51,0))="","",INDEX(campaigns!$BG$2:$BG$51,MATCH($C641,campaigns!$A$2:$A$51,0))),""))</f>
        <v/>
      </c>
      <c r="M641" s="25">
        <f>IF($C641="","",IF(OR($E641="received"),N($G641),IF(OR($E641="rejected",$E641="delivered",$E641="topped_up"),-N($G641),IF(AND(OR($E641="returned_to_brand",$E641="given_to_roster_office",$E641="released_to_office",$E641="disposed"),IF($F641="","reserve",$F641)="reserve"),-N($G641),IF(AND($E641="correction",IF($F641="","reserve",$F641)="reserve"),N($G641),0)))))</f>
        <v/>
      </c>
      <c r="N641" s="25">
        <f>IF($C641="","",IF($E641="rejected",N($G641),IF(AND(OR($E641="returned_to_brand",$E641="given_to_roster_office",$E641="released_to_office",$E641="disposed"),IF($F641="","reserve",$F641)="rejected"),-N($G641),IF(AND($E641="correction",IF($F641="","reserve",$F641)="rejected"),N($G641),0))))</f>
        <v/>
      </c>
      <c r="O641" s="25">
        <f>IF($C641="","",IF($E641="collected",N($G641),IF(AND(OR($E641="returned_to_brand",$E641="given_to_roster_office",$E641="released_to_office",$E641="disposed"),IF($F641="","reserve",$F641)="leftover"),-N($G641),IF(AND($E641="correction",IF($F641="","reserve",$F641)="leftover"),N($G641),0))))</f>
        <v/>
      </c>
      <c r="P641" s="25">
        <f>IF(OR($E641&lt;&gt;"received",$I641="",$L641=""),"",IF($I641&gt;=$L641+config!$B$19,"Y","N"))</f>
        <v/>
      </c>
      <c r="Q641" s="25">
        <f>IF($C641="","",IF(COUNTIF(campaigns!$A$2:$A$51,$C641)=0,"campaign_id not on campaigns; ",IF(AND($D641&lt;&gt;"",COUNTIFS(approvals!$A$2:$A$251,$C641,approvals!$B$2:$B$251,$D641)=0),"office not on this campaign (approvals tab); ",""))&amp;IF(AND(OR($E641="delivered",$E641="topped_up",$E641="collected"),$D641=""),"office needed; ","")&amp;IF(AND($E641&lt;&gt;"correction",N($G641)&lt;=0),"qty must be above 0; ","")&amp;IF(AND($E641="received",OR($I641="",$H641="")),"log lot and best-by; ","")&amp;IF(AND($P641="N",SUMIFS(inventory!$G$2:$G$801,inventory!$C$2:$C$801,$C641,inventory!$H$2:$H$801,$H641,inventory!$E$2:$E$801,"rejected")&lt;N($G641)),"UNDER "&amp;config!$B$19&amp;" DAYS LEFT ON THE DROP DAY: reject these units; ","")&amp;IF(AND($E641="delivered",COUNTIF(inventory!$R$2:$R$801,$R641)&gt;1),"two delivered rows for this office: use one; ","")&amp;IF(AND($E641="delivered",$J641=""),"who counted?; ",""))</f>
        <v/>
      </c>
      <c r="R641" s="25">
        <f>IF($C641="","",$C641&amp;"|"&amp;$D641&amp;"|"&amp;$E641)</f>
        <v/>
      </c>
    </row>
    <row r="642">
      <c r="A642" s="9" t="n"/>
      <c r="B642" s="33" t="n"/>
      <c r="I642" s="9" t="n"/>
      <c r="L642" s="26">
        <f>IF($C642="","",IFERROR(IF(INDEX(campaigns!$BG$2:$BG$51,MATCH($C642,campaigns!$A$2:$A$51,0))="","",INDEX(campaigns!$BG$2:$BG$51,MATCH($C642,campaigns!$A$2:$A$51,0))),""))</f>
        <v/>
      </c>
      <c r="M642" s="25">
        <f>IF($C642="","",IF(OR($E642="received"),N($G642),IF(OR($E642="rejected",$E642="delivered",$E642="topped_up"),-N($G642),IF(AND(OR($E642="returned_to_brand",$E642="given_to_roster_office",$E642="released_to_office",$E642="disposed"),IF($F642="","reserve",$F642)="reserve"),-N($G642),IF(AND($E642="correction",IF($F642="","reserve",$F642)="reserve"),N($G642),0)))))</f>
        <v/>
      </c>
      <c r="N642" s="25">
        <f>IF($C642="","",IF($E642="rejected",N($G642),IF(AND(OR($E642="returned_to_brand",$E642="given_to_roster_office",$E642="released_to_office",$E642="disposed"),IF($F642="","reserve",$F642)="rejected"),-N($G642),IF(AND($E642="correction",IF($F642="","reserve",$F642)="rejected"),N($G642),0))))</f>
        <v/>
      </c>
      <c r="O642" s="25">
        <f>IF($C642="","",IF($E642="collected",N($G642),IF(AND(OR($E642="returned_to_brand",$E642="given_to_roster_office",$E642="released_to_office",$E642="disposed"),IF($F642="","reserve",$F642)="leftover"),-N($G642),IF(AND($E642="correction",IF($F642="","reserve",$F642)="leftover"),N($G642),0))))</f>
        <v/>
      </c>
      <c r="P642" s="25">
        <f>IF(OR($E642&lt;&gt;"received",$I642="",$L642=""),"",IF($I642&gt;=$L642+config!$B$19,"Y","N"))</f>
        <v/>
      </c>
      <c r="Q642" s="25">
        <f>IF($C642="","",IF(COUNTIF(campaigns!$A$2:$A$51,$C642)=0,"campaign_id not on campaigns; ",IF(AND($D642&lt;&gt;"",COUNTIFS(approvals!$A$2:$A$251,$C642,approvals!$B$2:$B$251,$D642)=0),"office not on this campaign (approvals tab); ",""))&amp;IF(AND(OR($E642="delivered",$E642="topped_up",$E642="collected"),$D642=""),"office needed; ","")&amp;IF(AND($E642&lt;&gt;"correction",N($G642)&lt;=0),"qty must be above 0; ","")&amp;IF(AND($E642="received",OR($I642="",$H642="")),"log lot and best-by; ","")&amp;IF(AND($P642="N",SUMIFS(inventory!$G$2:$G$801,inventory!$C$2:$C$801,$C642,inventory!$H$2:$H$801,$H642,inventory!$E$2:$E$801,"rejected")&lt;N($G642)),"UNDER "&amp;config!$B$19&amp;" DAYS LEFT ON THE DROP DAY: reject these units; ","")&amp;IF(AND($E642="delivered",COUNTIF(inventory!$R$2:$R$801,$R642)&gt;1),"two delivered rows for this office: use one; ","")&amp;IF(AND($E642="delivered",$J642=""),"who counted?; ",""))</f>
        <v/>
      </c>
      <c r="R642" s="25">
        <f>IF($C642="","",$C642&amp;"|"&amp;$D642&amp;"|"&amp;$E642)</f>
        <v/>
      </c>
    </row>
    <row r="643">
      <c r="A643" s="9" t="n"/>
      <c r="B643" s="33" t="n"/>
      <c r="I643" s="9" t="n"/>
      <c r="L643" s="26">
        <f>IF($C643="","",IFERROR(IF(INDEX(campaigns!$BG$2:$BG$51,MATCH($C643,campaigns!$A$2:$A$51,0))="","",INDEX(campaigns!$BG$2:$BG$51,MATCH($C643,campaigns!$A$2:$A$51,0))),""))</f>
        <v/>
      </c>
      <c r="M643" s="25">
        <f>IF($C643="","",IF(OR($E643="received"),N($G643),IF(OR($E643="rejected",$E643="delivered",$E643="topped_up"),-N($G643),IF(AND(OR($E643="returned_to_brand",$E643="given_to_roster_office",$E643="released_to_office",$E643="disposed"),IF($F643="","reserve",$F643)="reserve"),-N($G643),IF(AND($E643="correction",IF($F643="","reserve",$F643)="reserve"),N($G643),0)))))</f>
        <v/>
      </c>
      <c r="N643" s="25">
        <f>IF($C643="","",IF($E643="rejected",N($G643),IF(AND(OR($E643="returned_to_brand",$E643="given_to_roster_office",$E643="released_to_office",$E643="disposed"),IF($F643="","reserve",$F643)="rejected"),-N($G643),IF(AND($E643="correction",IF($F643="","reserve",$F643)="rejected"),N($G643),0))))</f>
        <v/>
      </c>
      <c r="O643" s="25">
        <f>IF($C643="","",IF($E643="collected",N($G643),IF(AND(OR($E643="returned_to_brand",$E643="given_to_roster_office",$E643="released_to_office",$E643="disposed"),IF($F643="","reserve",$F643)="leftover"),-N($G643),IF(AND($E643="correction",IF($F643="","reserve",$F643)="leftover"),N($G643),0))))</f>
        <v/>
      </c>
      <c r="P643" s="25">
        <f>IF(OR($E643&lt;&gt;"received",$I643="",$L643=""),"",IF($I643&gt;=$L643+config!$B$19,"Y","N"))</f>
        <v/>
      </c>
      <c r="Q643" s="25">
        <f>IF($C643="","",IF(COUNTIF(campaigns!$A$2:$A$51,$C643)=0,"campaign_id not on campaigns; ",IF(AND($D643&lt;&gt;"",COUNTIFS(approvals!$A$2:$A$251,$C643,approvals!$B$2:$B$251,$D643)=0),"office not on this campaign (approvals tab); ",""))&amp;IF(AND(OR($E643="delivered",$E643="topped_up",$E643="collected"),$D643=""),"office needed; ","")&amp;IF(AND($E643&lt;&gt;"correction",N($G643)&lt;=0),"qty must be above 0; ","")&amp;IF(AND($E643="received",OR($I643="",$H643="")),"log lot and best-by; ","")&amp;IF(AND($P643="N",SUMIFS(inventory!$G$2:$G$801,inventory!$C$2:$C$801,$C643,inventory!$H$2:$H$801,$H643,inventory!$E$2:$E$801,"rejected")&lt;N($G643)),"UNDER "&amp;config!$B$19&amp;" DAYS LEFT ON THE DROP DAY: reject these units; ","")&amp;IF(AND($E643="delivered",COUNTIF(inventory!$R$2:$R$801,$R643)&gt;1),"two delivered rows for this office: use one; ","")&amp;IF(AND($E643="delivered",$J643=""),"who counted?; ",""))</f>
        <v/>
      </c>
      <c r="R643" s="25">
        <f>IF($C643="","",$C643&amp;"|"&amp;$D643&amp;"|"&amp;$E643)</f>
        <v/>
      </c>
    </row>
    <row r="644">
      <c r="A644" s="9" t="n"/>
      <c r="B644" s="33" t="n"/>
      <c r="I644" s="9" t="n"/>
      <c r="L644" s="26">
        <f>IF($C644="","",IFERROR(IF(INDEX(campaigns!$BG$2:$BG$51,MATCH($C644,campaigns!$A$2:$A$51,0))="","",INDEX(campaigns!$BG$2:$BG$51,MATCH($C644,campaigns!$A$2:$A$51,0))),""))</f>
        <v/>
      </c>
      <c r="M644" s="25">
        <f>IF($C644="","",IF(OR($E644="received"),N($G644),IF(OR($E644="rejected",$E644="delivered",$E644="topped_up"),-N($G644),IF(AND(OR($E644="returned_to_brand",$E644="given_to_roster_office",$E644="released_to_office",$E644="disposed"),IF($F644="","reserve",$F644)="reserve"),-N($G644),IF(AND($E644="correction",IF($F644="","reserve",$F644)="reserve"),N($G644),0)))))</f>
        <v/>
      </c>
      <c r="N644" s="25">
        <f>IF($C644="","",IF($E644="rejected",N($G644),IF(AND(OR($E644="returned_to_brand",$E644="given_to_roster_office",$E644="released_to_office",$E644="disposed"),IF($F644="","reserve",$F644)="rejected"),-N($G644),IF(AND($E644="correction",IF($F644="","reserve",$F644)="rejected"),N($G644),0))))</f>
        <v/>
      </c>
      <c r="O644" s="25">
        <f>IF($C644="","",IF($E644="collected",N($G644),IF(AND(OR($E644="returned_to_brand",$E644="given_to_roster_office",$E644="released_to_office",$E644="disposed"),IF($F644="","reserve",$F644)="leftover"),-N($G644),IF(AND($E644="correction",IF($F644="","reserve",$F644)="leftover"),N($G644),0))))</f>
        <v/>
      </c>
      <c r="P644" s="25">
        <f>IF(OR($E644&lt;&gt;"received",$I644="",$L644=""),"",IF($I644&gt;=$L644+config!$B$19,"Y","N"))</f>
        <v/>
      </c>
      <c r="Q644" s="25">
        <f>IF($C644="","",IF(COUNTIF(campaigns!$A$2:$A$51,$C644)=0,"campaign_id not on campaigns; ",IF(AND($D644&lt;&gt;"",COUNTIFS(approvals!$A$2:$A$251,$C644,approvals!$B$2:$B$251,$D644)=0),"office not on this campaign (approvals tab); ",""))&amp;IF(AND(OR($E644="delivered",$E644="topped_up",$E644="collected"),$D644=""),"office needed; ","")&amp;IF(AND($E644&lt;&gt;"correction",N($G644)&lt;=0),"qty must be above 0; ","")&amp;IF(AND($E644="received",OR($I644="",$H644="")),"log lot and best-by; ","")&amp;IF(AND($P644="N",SUMIFS(inventory!$G$2:$G$801,inventory!$C$2:$C$801,$C644,inventory!$H$2:$H$801,$H644,inventory!$E$2:$E$801,"rejected")&lt;N($G644)),"UNDER "&amp;config!$B$19&amp;" DAYS LEFT ON THE DROP DAY: reject these units; ","")&amp;IF(AND($E644="delivered",COUNTIF(inventory!$R$2:$R$801,$R644)&gt;1),"two delivered rows for this office: use one; ","")&amp;IF(AND($E644="delivered",$J644=""),"who counted?; ",""))</f>
        <v/>
      </c>
      <c r="R644" s="25">
        <f>IF($C644="","",$C644&amp;"|"&amp;$D644&amp;"|"&amp;$E644)</f>
        <v/>
      </c>
    </row>
    <row r="645">
      <c r="A645" s="9" t="n"/>
      <c r="B645" s="33" t="n"/>
      <c r="I645" s="9" t="n"/>
      <c r="L645" s="26">
        <f>IF($C645="","",IFERROR(IF(INDEX(campaigns!$BG$2:$BG$51,MATCH($C645,campaigns!$A$2:$A$51,0))="","",INDEX(campaigns!$BG$2:$BG$51,MATCH($C645,campaigns!$A$2:$A$51,0))),""))</f>
        <v/>
      </c>
      <c r="M645" s="25">
        <f>IF($C645="","",IF(OR($E645="received"),N($G645),IF(OR($E645="rejected",$E645="delivered",$E645="topped_up"),-N($G645),IF(AND(OR($E645="returned_to_brand",$E645="given_to_roster_office",$E645="released_to_office",$E645="disposed"),IF($F645="","reserve",$F645)="reserve"),-N($G645),IF(AND($E645="correction",IF($F645="","reserve",$F645)="reserve"),N($G645),0)))))</f>
        <v/>
      </c>
      <c r="N645" s="25">
        <f>IF($C645="","",IF($E645="rejected",N($G645),IF(AND(OR($E645="returned_to_brand",$E645="given_to_roster_office",$E645="released_to_office",$E645="disposed"),IF($F645="","reserve",$F645)="rejected"),-N($G645),IF(AND($E645="correction",IF($F645="","reserve",$F645)="rejected"),N($G645),0))))</f>
        <v/>
      </c>
      <c r="O645" s="25">
        <f>IF($C645="","",IF($E645="collected",N($G645),IF(AND(OR($E645="returned_to_brand",$E645="given_to_roster_office",$E645="released_to_office",$E645="disposed"),IF($F645="","reserve",$F645)="leftover"),-N($G645),IF(AND($E645="correction",IF($F645="","reserve",$F645)="leftover"),N($G645),0))))</f>
        <v/>
      </c>
      <c r="P645" s="25">
        <f>IF(OR($E645&lt;&gt;"received",$I645="",$L645=""),"",IF($I645&gt;=$L645+config!$B$19,"Y","N"))</f>
        <v/>
      </c>
      <c r="Q645" s="25">
        <f>IF($C645="","",IF(COUNTIF(campaigns!$A$2:$A$51,$C645)=0,"campaign_id not on campaigns; ",IF(AND($D645&lt;&gt;"",COUNTIFS(approvals!$A$2:$A$251,$C645,approvals!$B$2:$B$251,$D645)=0),"office not on this campaign (approvals tab); ",""))&amp;IF(AND(OR($E645="delivered",$E645="topped_up",$E645="collected"),$D645=""),"office needed; ","")&amp;IF(AND($E645&lt;&gt;"correction",N($G645)&lt;=0),"qty must be above 0; ","")&amp;IF(AND($E645="received",OR($I645="",$H645="")),"log lot and best-by; ","")&amp;IF(AND($P645="N",SUMIFS(inventory!$G$2:$G$801,inventory!$C$2:$C$801,$C645,inventory!$H$2:$H$801,$H645,inventory!$E$2:$E$801,"rejected")&lt;N($G645)),"UNDER "&amp;config!$B$19&amp;" DAYS LEFT ON THE DROP DAY: reject these units; ","")&amp;IF(AND($E645="delivered",COUNTIF(inventory!$R$2:$R$801,$R645)&gt;1),"two delivered rows for this office: use one; ","")&amp;IF(AND($E645="delivered",$J645=""),"who counted?; ",""))</f>
        <v/>
      </c>
      <c r="R645" s="25">
        <f>IF($C645="","",$C645&amp;"|"&amp;$D645&amp;"|"&amp;$E645)</f>
        <v/>
      </c>
    </row>
    <row r="646">
      <c r="A646" s="9" t="n"/>
      <c r="B646" s="33" t="n"/>
      <c r="I646" s="9" t="n"/>
      <c r="L646" s="26">
        <f>IF($C646="","",IFERROR(IF(INDEX(campaigns!$BG$2:$BG$51,MATCH($C646,campaigns!$A$2:$A$51,0))="","",INDEX(campaigns!$BG$2:$BG$51,MATCH($C646,campaigns!$A$2:$A$51,0))),""))</f>
        <v/>
      </c>
      <c r="M646" s="25">
        <f>IF($C646="","",IF(OR($E646="received"),N($G646),IF(OR($E646="rejected",$E646="delivered",$E646="topped_up"),-N($G646),IF(AND(OR($E646="returned_to_brand",$E646="given_to_roster_office",$E646="released_to_office",$E646="disposed"),IF($F646="","reserve",$F646)="reserve"),-N($G646),IF(AND($E646="correction",IF($F646="","reserve",$F646)="reserve"),N($G646),0)))))</f>
        <v/>
      </c>
      <c r="N646" s="25">
        <f>IF($C646="","",IF($E646="rejected",N($G646),IF(AND(OR($E646="returned_to_brand",$E646="given_to_roster_office",$E646="released_to_office",$E646="disposed"),IF($F646="","reserve",$F646)="rejected"),-N($G646),IF(AND($E646="correction",IF($F646="","reserve",$F646)="rejected"),N($G646),0))))</f>
        <v/>
      </c>
      <c r="O646" s="25">
        <f>IF($C646="","",IF($E646="collected",N($G646),IF(AND(OR($E646="returned_to_brand",$E646="given_to_roster_office",$E646="released_to_office",$E646="disposed"),IF($F646="","reserve",$F646)="leftover"),-N($G646),IF(AND($E646="correction",IF($F646="","reserve",$F646)="leftover"),N($G646),0))))</f>
        <v/>
      </c>
      <c r="P646" s="25">
        <f>IF(OR($E646&lt;&gt;"received",$I646="",$L646=""),"",IF($I646&gt;=$L646+config!$B$19,"Y","N"))</f>
        <v/>
      </c>
      <c r="Q646" s="25">
        <f>IF($C646="","",IF(COUNTIF(campaigns!$A$2:$A$51,$C646)=0,"campaign_id not on campaigns; ",IF(AND($D646&lt;&gt;"",COUNTIFS(approvals!$A$2:$A$251,$C646,approvals!$B$2:$B$251,$D646)=0),"office not on this campaign (approvals tab); ",""))&amp;IF(AND(OR($E646="delivered",$E646="topped_up",$E646="collected"),$D646=""),"office needed; ","")&amp;IF(AND($E646&lt;&gt;"correction",N($G646)&lt;=0),"qty must be above 0; ","")&amp;IF(AND($E646="received",OR($I646="",$H646="")),"log lot and best-by; ","")&amp;IF(AND($P646="N",SUMIFS(inventory!$G$2:$G$801,inventory!$C$2:$C$801,$C646,inventory!$H$2:$H$801,$H646,inventory!$E$2:$E$801,"rejected")&lt;N($G646)),"UNDER "&amp;config!$B$19&amp;" DAYS LEFT ON THE DROP DAY: reject these units; ","")&amp;IF(AND($E646="delivered",COUNTIF(inventory!$R$2:$R$801,$R646)&gt;1),"two delivered rows for this office: use one; ","")&amp;IF(AND($E646="delivered",$J646=""),"who counted?; ",""))</f>
        <v/>
      </c>
      <c r="R646" s="25">
        <f>IF($C646="","",$C646&amp;"|"&amp;$D646&amp;"|"&amp;$E646)</f>
        <v/>
      </c>
    </row>
    <row r="647">
      <c r="A647" s="9" t="n"/>
      <c r="B647" s="33" t="n"/>
      <c r="I647" s="9" t="n"/>
      <c r="L647" s="26">
        <f>IF($C647="","",IFERROR(IF(INDEX(campaigns!$BG$2:$BG$51,MATCH($C647,campaigns!$A$2:$A$51,0))="","",INDEX(campaigns!$BG$2:$BG$51,MATCH($C647,campaigns!$A$2:$A$51,0))),""))</f>
        <v/>
      </c>
      <c r="M647" s="25">
        <f>IF($C647="","",IF(OR($E647="received"),N($G647),IF(OR($E647="rejected",$E647="delivered",$E647="topped_up"),-N($G647),IF(AND(OR($E647="returned_to_brand",$E647="given_to_roster_office",$E647="released_to_office",$E647="disposed"),IF($F647="","reserve",$F647)="reserve"),-N($G647),IF(AND($E647="correction",IF($F647="","reserve",$F647)="reserve"),N($G647),0)))))</f>
        <v/>
      </c>
      <c r="N647" s="25">
        <f>IF($C647="","",IF($E647="rejected",N($G647),IF(AND(OR($E647="returned_to_brand",$E647="given_to_roster_office",$E647="released_to_office",$E647="disposed"),IF($F647="","reserve",$F647)="rejected"),-N($G647),IF(AND($E647="correction",IF($F647="","reserve",$F647)="rejected"),N($G647),0))))</f>
        <v/>
      </c>
      <c r="O647" s="25">
        <f>IF($C647="","",IF($E647="collected",N($G647),IF(AND(OR($E647="returned_to_brand",$E647="given_to_roster_office",$E647="released_to_office",$E647="disposed"),IF($F647="","reserve",$F647)="leftover"),-N($G647),IF(AND($E647="correction",IF($F647="","reserve",$F647)="leftover"),N($G647),0))))</f>
        <v/>
      </c>
      <c r="P647" s="25">
        <f>IF(OR($E647&lt;&gt;"received",$I647="",$L647=""),"",IF($I647&gt;=$L647+config!$B$19,"Y","N"))</f>
        <v/>
      </c>
      <c r="Q647" s="25">
        <f>IF($C647="","",IF(COUNTIF(campaigns!$A$2:$A$51,$C647)=0,"campaign_id not on campaigns; ",IF(AND($D647&lt;&gt;"",COUNTIFS(approvals!$A$2:$A$251,$C647,approvals!$B$2:$B$251,$D647)=0),"office not on this campaign (approvals tab); ",""))&amp;IF(AND(OR($E647="delivered",$E647="topped_up",$E647="collected"),$D647=""),"office needed; ","")&amp;IF(AND($E647&lt;&gt;"correction",N($G647)&lt;=0),"qty must be above 0; ","")&amp;IF(AND($E647="received",OR($I647="",$H647="")),"log lot and best-by; ","")&amp;IF(AND($P647="N",SUMIFS(inventory!$G$2:$G$801,inventory!$C$2:$C$801,$C647,inventory!$H$2:$H$801,$H647,inventory!$E$2:$E$801,"rejected")&lt;N($G647)),"UNDER "&amp;config!$B$19&amp;" DAYS LEFT ON THE DROP DAY: reject these units; ","")&amp;IF(AND($E647="delivered",COUNTIF(inventory!$R$2:$R$801,$R647)&gt;1),"two delivered rows for this office: use one; ","")&amp;IF(AND($E647="delivered",$J647=""),"who counted?; ",""))</f>
        <v/>
      </c>
      <c r="R647" s="25">
        <f>IF($C647="","",$C647&amp;"|"&amp;$D647&amp;"|"&amp;$E647)</f>
        <v/>
      </c>
    </row>
    <row r="648">
      <c r="A648" s="9" t="n"/>
      <c r="B648" s="33" t="n"/>
      <c r="I648" s="9" t="n"/>
      <c r="L648" s="26">
        <f>IF($C648="","",IFERROR(IF(INDEX(campaigns!$BG$2:$BG$51,MATCH($C648,campaigns!$A$2:$A$51,0))="","",INDEX(campaigns!$BG$2:$BG$51,MATCH($C648,campaigns!$A$2:$A$51,0))),""))</f>
        <v/>
      </c>
      <c r="M648" s="25">
        <f>IF($C648="","",IF(OR($E648="received"),N($G648),IF(OR($E648="rejected",$E648="delivered",$E648="topped_up"),-N($G648),IF(AND(OR($E648="returned_to_brand",$E648="given_to_roster_office",$E648="released_to_office",$E648="disposed"),IF($F648="","reserve",$F648)="reserve"),-N($G648),IF(AND($E648="correction",IF($F648="","reserve",$F648)="reserve"),N($G648),0)))))</f>
        <v/>
      </c>
      <c r="N648" s="25">
        <f>IF($C648="","",IF($E648="rejected",N($G648),IF(AND(OR($E648="returned_to_brand",$E648="given_to_roster_office",$E648="released_to_office",$E648="disposed"),IF($F648="","reserve",$F648)="rejected"),-N($G648),IF(AND($E648="correction",IF($F648="","reserve",$F648)="rejected"),N($G648),0))))</f>
        <v/>
      </c>
      <c r="O648" s="25">
        <f>IF($C648="","",IF($E648="collected",N($G648),IF(AND(OR($E648="returned_to_brand",$E648="given_to_roster_office",$E648="released_to_office",$E648="disposed"),IF($F648="","reserve",$F648)="leftover"),-N($G648),IF(AND($E648="correction",IF($F648="","reserve",$F648)="leftover"),N($G648),0))))</f>
        <v/>
      </c>
      <c r="P648" s="25">
        <f>IF(OR($E648&lt;&gt;"received",$I648="",$L648=""),"",IF($I648&gt;=$L648+config!$B$19,"Y","N"))</f>
        <v/>
      </c>
      <c r="Q648" s="25">
        <f>IF($C648="","",IF(COUNTIF(campaigns!$A$2:$A$51,$C648)=0,"campaign_id not on campaigns; ",IF(AND($D648&lt;&gt;"",COUNTIFS(approvals!$A$2:$A$251,$C648,approvals!$B$2:$B$251,$D648)=0),"office not on this campaign (approvals tab); ",""))&amp;IF(AND(OR($E648="delivered",$E648="topped_up",$E648="collected"),$D648=""),"office needed; ","")&amp;IF(AND($E648&lt;&gt;"correction",N($G648)&lt;=0),"qty must be above 0; ","")&amp;IF(AND($E648="received",OR($I648="",$H648="")),"log lot and best-by; ","")&amp;IF(AND($P648="N",SUMIFS(inventory!$G$2:$G$801,inventory!$C$2:$C$801,$C648,inventory!$H$2:$H$801,$H648,inventory!$E$2:$E$801,"rejected")&lt;N($G648)),"UNDER "&amp;config!$B$19&amp;" DAYS LEFT ON THE DROP DAY: reject these units; ","")&amp;IF(AND($E648="delivered",COUNTIF(inventory!$R$2:$R$801,$R648)&gt;1),"two delivered rows for this office: use one; ","")&amp;IF(AND($E648="delivered",$J648=""),"who counted?; ",""))</f>
        <v/>
      </c>
      <c r="R648" s="25">
        <f>IF($C648="","",$C648&amp;"|"&amp;$D648&amp;"|"&amp;$E648)</f>
        <v/>
      </c>
    </row>
    <row r="649">
      <c r="A649" s="9" t="n"/>
      <c r="B649" s="33" t="n"/>
      <c r="I649" s="9" t="n"/>
      <c r="L649" s="26">
        <f>IF($C649="","",IFERROR(IF(INDEX(campaigns!$BG$2:$BG$51,MATCH($C649,campaigns!$A$2:$A$51,0))="","",INDEX(campaigns!$BG$2:$BG$51,MATCH($C649,campaigns!$A$2:$A$51,0))),""))</f>
        <v/>
      </c>
      <c r="M649" s="25">
        <f>IF($C649="","",IF(OR($E649="received"),N($G649),IF(OR($E649="rejected",$E649="delivered",$E649="topped_up"),-N($G649),IF(AND(OR($E649="returned_to_brand",$E649="given_to_roster_office",$E649="released_to_office",$E649="disposed"),IF($F649="","reserve",$F649)="reserve"),-N($G649),IF(AND($E649="correction",IF($F649="","reserve",$F649)="reserve"),N($G649),0)))))</f>
        <v/>
      </c>
      <c r="N649" s="25">
        <f>IF($C649="","",IF($E649="rejected",N($G649),IF(AND(OR($E649="returned_to_brand",$E649="given_to_roster_office",$E649="released_to_office",$E649="disposed"),IF($F649="","reserve",$F649)="rejected"),-N($G649),IF(AND($E649="correction",IF($F649="","reserve",$F649)="rejected"),N($G649),0))))</f>
        <v/>
      </c>
      <c r="O649" s="25">
        <f>IF($C649="","",IF($E649="collected",N($G649),IF(AND(OR($E649="returned_to_brand",$E649="given_to_roster_office",$E649="released_to_office",$E649="disposed"),IF($F649="","reserve",$F649)="leftover"),-N($G649),IF(AND($E649="correction",IF($F649="","reserve",$F649)="leftover"),N($G649),0))))</f>
        <v/>
      </c>
      <c r="P649" s="25">
        <f>IF(OR($E649&lt;&gt;"received",$I649="",$L649=""),"",IF($I649&gt;=$L649+config!$B$19,"Y","N"))</f>
        <v/>
      </c>
      <c r="Q649" s="25">
        <f>IF($C649="","",IF(COUNTIF(campaigns!$A$2:$A$51,$C649)=0,"campaign_id not on campaigns; ",IF(AND($D649&lt;&gt;"",COUNTIFS(approvals!$A$2:$A$251,$C649,approvals!$B$2:$B$251,$D649)=0),"office not on this campaign (approvals tab); ",""))&amp;IF(AND(OR($E649="delivered",$E649="topped_up",$E649="collected"),$D649=""),"office needed; ","")&amp;IF(AND($E649&lt;&gt;"correction",N($G649)&lt;=0),"qty must be above 0; ","")&amp;IF(AND($E649="received",OR($I649="",$H649="")),"log lot and best-by; ","")&amp;IF(AND($P649="N",SUMIFS(inventory!$G$2:$G$801,inventory!$C$2:$C$801,$C649,inventory!$H$2:$H$801,$H649,inventory!$E$2:$E$801,"rejected")&lt;N($G649)),"UNDER "&amp;config!$B$19&amp;" DAYS LEFT ON THE DROP DAY: reject these units; ","")&amp;IF(AND($E649="delivered",COUNTIF(inventory!$R$2:$R$801,$R649)&gt;1),"two delivered rows for this office: use one; ","")&amp;IF(AND($E649="delivered",$J649=""),"who counted?; ",""))</f>
        <v/>
      </c>
      <c r="R649" s="25">
        <f>IF($C649="","",$C649&amp;"|"&amp;$D649&amp;"|"&amp;$E649)</f>
        <v/>
      </c>
    </row>
    <row r="650">
      <c r="A650" s="9" t="n"/>
      <c r="B650" s="33" t="n"/>
      <c r="I650" s="9" t="n"/>
      <c r="L650" s="26">
        <f>IF($C650="","",IFERROR(IF(INDEX(campaigns!$BG$2:$BG$51,MATCH($C650,campaigns!$A$2:$A$51,0))="","",INDEX(campaigns!$BG$2:$BG$51,MATCH($C650,campaigns!$A$2:$A$51,0))),""))</f>
        <v/>
      </c>
      <c r="M650" s="25">
        <f>IF($C650="","",IF(OR($E650="received"),N($G650),IF(OR($E650="rejected",$E650="delivered",$E650="topped_up"),-N($G650),IF(AND(OR($E650="returned_to_brand",$E650="given_to_roster_office",$E650="released_to_office",$E650="disposed"),IF($F650="","reserve",$F650)="reserve"),-N($G650),IF(AND($E650="correction",IF($F650="","reserve",$F650)="reserve"),N($G650),0)))))</f>
        <v/>
      </c>
      <c r="N650" s="25">
        <f>IF($C650="","",IF($E650="rejected",N($G650),IF(AND(OR($E650="returned_to_brand",$E650="given_to_roster_office",$E650="released_to_office",$E650="disposed"),IF($F650="","reserve",$F650)="rejected"),-N($G650),IF(AND($E650="correction",IF($F650="","reserve",$F650)="rejected"),N($G650),0))))</f>
        <v/>
      </c>
      <c r="O650" s="25">
        <f>IF($C650="","",IF($E650="collected",N($G650),IF(AND(OR($E650="returned_to_brand",$E650="given_to_roster_office",$E650="released_to_office",$E650="disposed"),IF($F650="","reserve",$F650)="leftover"),-N($G650),IF(AND($E650="correction",IF($F650="","reserve",$F650)="leftover"),N($G650),0))))</f>
        <v/>
      </c>
      <c r="P650" s="25">
        <f>IF(OR($E650&lt;&gt;"received",$I650="",$L650=""),"",IF($I650&gt;=$L650+config!$B$19,"Y","N"))</f>
        <v/>
      </c>
      <c r="Q650" s="25">
        <f>IF($C650="","",IF(COUNTIF(campaigns!$A$2:$A$51,$C650)=0,"campaign_id not on campaigns; ",IF(AND($D650&lt;&gt;"",COUNTIFS(approvals!$A$2:$A$251,$C650,approvals!$B$2:$B$251,$D650)=0),"office not on this campaign (approvals tab); ",""))&amp;IF(AND(OR($E650="delivered",$E650="topped_up",$E650="collected"),$D650=""),"office needed; ","")&amp;IF(AND($E650&lt;&gt;"correction",N($G650)&lt;=0),"qty must be above 0; ","")&amp;IF(AND($E650="received",OR($I650="",$H650="")),"log lot and best-by; ","")&amp;IF(AND($P650="N",SUMIFS(inventory!$G$2:$G$801,inventory!$C$2:$C$801,$C650,inventory!$H$2:$H$801,$H650,inventory!$E$2:$E$801,"rejected")&lt;N($G650)),"UNDER "&amp;config!$B$19&amp;" DAYS LEFT ON THE DROP DAY: reject these units; ","")&amp;IF(AND($E650="delivered",COUNTIF(inventory!$R$2:$R$801,$R650)&gt;1),"two delivered rows for this office: use one; ","")&amp;IF(AND($E650="delivered",$J650=""),"who counted?; ",""))</f>
        <v/>
      </c>
      <c r="R650" s="25">
        <f>IF($C650="","",$C650&amp;"|"&amp;$D650&amp;"|"&amp;$E650)</f>
        <v/>
      </c>
    </row>
    <row r="651">
      <c r="A651" s="9" t="n"/>
      <c r="B651" s="33" t="n"/>
      <c r="I651" s="9" t="n"/>
      <c r="L651" s="26">
        <f>IF($C651="","",IFERROR(IF(INDEX(campaigns!$BG$2:$BG$51,MATCH($C651,campaigns!$A$2:$A$51,0))="","",INDEX(campaigns!$BG$2:$BG$51,MATCH($C651,campaigns!$A$2:$A$51,0))),""))</f>
        <v/>
      </c>
      <c r="M651" s="25">
        <f>IF($C651="","",IF(OR($E651="received"),N($G651),IF(OR($E651="rejected",$E651="delivered",$E651="topped_up"),-N($G651),IF(AND(OR($E651="returned_to_brand",$E651="given_to_roster_office",$E651="released_to_office",$E651="disposed"),IF($F651="","reserve",$F651)="reserve"),-N($G651),IF(AND($E651="correction",IF($F651="","reserve",$F651)="reserve"),N($G651),0)))))</f>
        <v/>
      </c>
      <c r="N651" s="25">
        <f>IF($C651="","",IF($E651="rejected",N($G651),IF(AND(OR($E651="returned_to_brand",$E651="given_to_roster_office",$E651="released_to_office",$E651="disposed"),IF($F651="","reserve",$F651)="rejected"),-N($G651),IF(AND($E651="correction",IF($F651="","reserve",$F651)="rejected"),N($G651),0))))</f>
        <v/>
      </c>
      <c r="O651" s="25">
        <f>IF($C651="","",IF($E651="collected",N($G651),IF(AND(OR($E651="returned_to_brand",$E651="given_to_roster_office",$E651="released_to_office",$E651="disposed"),IF($F651="","reserve",$F651)="leftover"),-N($G651),IF(AND($E651="correction",IF($F651="","reserve",$F651)="leftover"),N($G651),0))))</f>
        <v/>
      </c>
      <c r="P651" s="25">
        <f>IF(OR($E651&lt;&gt;"received",$I651="",$L651=""),"",IF($I651&gt;=$L651+config!$B$19,"Y","N"))</f>
        <v/>
      </c>
      <c r="Q651" s="25">
        <f>IF($C651="","",IF(COUNTIF(campaigns!$A$2:$A$51,$C651)=0,"campaign_id not on campaigns; ",IF(AND($D651&lt;&gt;"",COUNTIFS(approvals!$A$2:$A$251,$C651,approvals!$B$2:$B$251,$D651)=0),"office not on this campaign (approvals tab); ",""))&amp;IF(AND(OR($E651="delivered",$E651="topped_up",$E651="collected"),$D651=""),"office needed; ","")&amp;IF(AND($E651&lt;&gt;"correction",N($G651)&lt;=0),"qty must be above 0; ","")&amp;IF(AND($E651="received",OR($I651="",$H651="")),"log lot and best-by; ","")&amp;IF(AND($P651="N",SUMIFS(inventory!$G$2:$G$801,inventory!$C$2:$C$801,$C651,inventory!$H$2:$H$801,$H651,inventory!$E$2:$E$801,"rejected")&lt;N($G651)),"UNDER "&amp;config!$B$19&amp;" DAYS LEFT ON THE DROP DAY: reject these units; ","")&amp;IF(AND($E651="delivered",COUNTIF(inventory!$R$2:$R$801,$R651)&gt;1),"two delivered rows for this office: use one; ","")&amp;IF(AND($E651="delivered",$J651=""),"who counted?; ",""))</f>
        <v/>
      </c>
      <c r="R651" s="25">
        <f>IF($C651="","",$C651&amp;"|"&amp;$D651&amp;"|"&amp;$E651)</f>
        <v/>
      </c>
    </row>
    <row r="652">
      <c r="A652" s="9" t="n"/>
      <c r="B652" s="33" t="n"/>
      <c r="I652" s="9" t="n"/>
      <c r="L652" s="26">
        <f>IF($C652="","",IFERROR(IF(INDEX(campaigns!$BG$2:$BG$51,MATCH($C652,campaigns!$A$2:$A$51,0))="","",INDEX(campaigns!$BG$2:$BG$51,MATCH($C652,campaigns!$A$2:$A$51,0))),""))</f>
        <v/>
      </c>
      <c r="M652" s="25">
        <f>IF($C652="","",IF(OR($E652="received"),N($G652),IF(OR($E652="rejected",$E652="delivered",$E652="topped_up"),-N($G652),IF(AND(OR($E652="returned_to_brand",$E652="given_to_roster_office",$E652="released_to_office",$E652="disposed"),IF($F652="","reserve",$F652)="reserve"),-N($G652),IF(AND($E652="correction",IF($F652="","reserve",$F652)="reserve"),N($G652),0)))))</f>
        <v/>
      </c>
      <c r="N652" s="25">
        <f>IF($C652="","",IF($E652="rejected",N($G652),IF(AND(OR($E652="returned_to_brand",$E652="given_to_roster_office",$E652="released_to_office",$E652="disposed"),IF($F652="","reserve",$F652)="rejected"),-N($G652),IF(AND($E652="correction",IF($F652="","reserve",$F652)="rejected"),N($G652),0))))</f>
        <v/>
      </c>
      <c r="O652" s="25">
        <f>IF($C652="","",IF($E652="collected",N($G652),IF(AND(OR($E652="returned_to_brand",$E652="given_to_roster_office",$E652="released_to_office",$E652="disposed"),IF($F652="","reserve",$F652)="leftover"),-N($G652),IF(AND($E652="correction",IF($F652="","reserve",$F652)="leftover"),N($G652),0))))</f>
        <v/>
      </c>
      <c r="P652" s="25">
        <f>IF(OR($E652&lt;&gt;"received",$I652="",$L652=""),"",IF($I652&gt;=$L652+config!$B$19,"Y","N"))</f>
        <v/>
      </c>
      <c r="Q652" s="25">
        <f>IF($C652="","",IF(COUNTIF(campaigns!$A$2:$A$51,$C652)=0,"campaign_id not on campaigns; ",IF(AND($D652&lt;&gt;"",COUNTIFS(approvals!$A$2:$A$251,$C652,approvals!$B$2:$B$251,$D652)=0),"office not on this campaign (approvals tab); ",""))&amp;IF(AND(OR($E652="delivered",$E652="topped_up",$E652="collected"),$D652=""),"office needed; ","")&amp;IF(AND($E652&lt;&gt;"correction",N($G652)&lt;=0),"qty must be above 0; ","")&amp;IF(AND($E652="received",OR($I652="",$H652="")),"log lot and best-by; ","")&amp;IF(AND($P652="N",SUMIFS(inventory!$G$2:$G$801,inventory!$C$2:$C$801,$C652,inventory!$H$2:$H$801,$H652,inventory!$E$2:$E$801,"rejected")&lt;N($G652)),"UNDER "&amp;config!$B$19&amp;" DAYS LEFT ON THE DROP DAY: reject these units; ","")&amp;IF(AND($E652="delivered",COUNTIF(inventory!$R$2:$R$801,$R652)&gt;1),"two delivered rows for this office: use one; ","")&amp;IF(AND($E652="delivered",$J652=""),"who counted?; ",""))</f>
        <v/>
      </c>
      <c r="R652" s="25">
        <f>IF($C652="","",$C652&amp;"|"&amp;$D652&amp;"|"&amp;$E652)</f>
        <v/>
      </c>
    </row>
    <row r="653">
      <c r="A653" s="9" t="n"/>
      <c r="B653" s="33" t="n"/>
      <c r="I653" s="9" t="n"/>
      <c r="L653" s="26">
        <f>IF($C653="","",IFERROR(IF(INDEX(campaigns!$BG$2:$BG$51,MATCH($C653,campaigns!$A$2:$A$51,0))="","",INDEX(campaigns!$BG$2:$BG$51,MATCH($C653,campaigns!$A$2:$A$51,0))),""))</f>
        <v/>
      </c>
      <c r="M653" s="25">
        <f>IF($C653="","",IF(OR($E653="received"),N($G653),IF(OR($E653="rejected",$E653="delivered",$E653="topped_up"),-N($G653),IF(AND(OR($E653="returned_to_brand",$E653="given_to_roster_office",$E653="released_to_office",$E653="disposed"),IF($F653="","reserve",$F653)="reserve"),-N($G653),IF(AND($E653="correction",IF($F653="","reserve",$F653)="reserve"),N($G653),0)))))</f>
        <v/>
      </c>
      <c r="N653" s="25">
        <f>IF($C653="","",IF($E653="rejected",N($G653),IF(AND(OR($E653="returned_to_brand",$E653="given_to_roster_office",$E653="released_to_office",$E653="disposed"),IF($F653="","reserve",$F653)="rejected"),-N($G653),IF(AND($E653="correction",IF($F653="","reserve",$F653)="rejected"),N($G653),0))))</f>
        <v/>
      </c>
      <c r="O653" s="25">
        <f>IF($C653="","",IF($E653="collected",N($G653),IF(AND(OR($E653="returned_to_brand",$E653="given_to_roster_office",$E653="released_to_office",$E653="disposed"),IF($F653="","reserve",$F653)="leftover"),-N($G653),IF(AND($E653="correction",IF($F653="","reserve",$F653)="leftover"),N($G653),0))))</f>
        <v/>
      </c>
      <c r="P653" s="25">
        <f>IF(OR($E653&lt;&gt;"received",$I653="",$L653=""),"",IF($I653&gt;=$L653+config!$B$19,"Y","N"))</f>
        <v/>
      </c>
      <c r="Q653" s="25">
        <f>IF($C653="","",IF(COUNTIF(campaigns!$A$2:$A$51,$C653)=0,"campaign_id not on campaigns; ",IF(AND($D653&lt;&gt;"",COUNTIFS(approvals!$A$2:$A$251,$C653,approvals!$B$2:$B$251,$D653)=0),"office not on this campaign (approvals tab); ",""))&amp;IF(AND(OR($E653="delivered",$E653="topped_up",$E653="collected"),$D653=""),"office needed; ","")&amp;IF(AND($E653&lt;&gt;"correction",N($G653)&lt;=0),"qty must be above 0; ","")&amp;IF(AND($E653="received",OR($I653="",$H653="")),"log lot and best-by; ","")&amp;IF(AND($P653="N",SUMIFS(inventory!$G$2:$G$801,inventory!$C$2:$C$801,$C653,inventory!$H$2:$H$801,$H653,inventory!$E$2:$E$801,"rejected")&lt;N($G653)),"UNDER "&amp;config!$B$19&amp;" DAYS LEFT ON THE DROP DAY: reject these units; ","")&amp;IF(AND($E653="delivered",COUNTIF(inventory!$R$2:$R$801,$R653)&gt;1),"two delivered rows for this office: use one; ","")&amp;IF(AND($E653="delivered",$J653=""),"who counted?; ",""))</f>
        <v/>
      </c>
      <c r="R653" s="25">
        <f>IF($C653="","",$C653&amp;"|"&amp;$D653&amp;"|"&amp;$E653)</f>
        <v/>
      </c>
    </row>
    <row r="654">
      <c r="A654" s="9" t="n"/>
      <c r="B654" s="33" t="n"/>
      <c r="I654" s="9" t="n"/>
      <c r="L654" s="26">
        <f>IF($C654="","",IFERROR(IF(INDEX(campaigns!$BG$2:$BG$51,MATCH($C654,campaigns!$A$2:$A$51,0))="","",INDEX(campaigns!$BG$2:$BG$51,MATCH($C654,campaigns!$A$2:$A$51,0))),""))</f>
        <v/>
      </c>
      <c r="M654" s="25">
        <f>IF($C654="","",IF(OR($E654="received"),N($G654),IF(OR($E654="rejected",$E654="delivered",$E654="topped_up"),-N($G654),IF(AND(OR($E654="returned_to_brand",$E654="given_to_roster_office",$E654="released_to_office",$E654="disposed"),IF($F654="","reserve",$F654)="reserve"),-N($G654),IF(AND($E654="correction",IF($F654="","reserve",$F654)="reserve"),N($G654),0)))))</f>
        <v/>
      </c>
      <c r="N654" s="25">
        <f>IF($C654="","",IF($E654="rejected",N($G654),IF(AND(OR($E654="returned_to_brand",$E654="given_to_roster_office",$E654="released_to_office",$E654="disposed"),IF($F654="","reserve",$F654)="rejected"),-N($G654),IF(AND($E654="correction",IF($F654="","reserve",$F654)="rejected"),N($G654),0))))</f>
        <v/>
      </c>
      <c r="O654" s="25">
        <f>IF($C654="","",IF($E654="collected",N($G654),IF(AND(OR($E654="returned_to_brand",$E654="given_to_roster_office",$E654="released_to_office",$E654="disposed"),IF($F654="","reserve",$F654)="leftover"),-N($G654),IF(AND($E654="correction",IF($F654="","reserve",$F654)="leftover"),N($G654),0))))</f>
        <v/>
      </c>
      <c r="P654" s="25">
        <f>IF(OR($E654&lt;&gt;"received",$I654="",$L654=""),"",IF($I654&gt;=$L654+config!$B$19,"Y","N"))</f>
        <v/>
      </c>
      <c r="Q654" s="25">
        <f>IF($C654="","",IF(COUNTIF(campaigns!$A$2:$A$51,$C654)=0,"campaign_id not on campaigns; ",IF(AND($D654&lt;&gt;"",COUNTIFS(approvals!$A$2:$A$251,$C654,approvals!$B$2:$B$251,$D654)=0),"office not on this campaign (approvals tab); ",""))&amp;IF(AND(OR($E654="delivered",$E654="topped_up",$E654="collected"),$D654=""),"office needed; ","")&amp;IF(AND($E654&lt;&gt;"correction",N($G654)&lt;=0),"qty must be above 0; ","")&amp;IF(AND($E654="received",OR($I654="",$H654="")),"log lot and best-by; ","")&amp;IF(AND($P654="N",SUMIFS(inventory!$G$2:$G$801,inventory!$C$2:$C$801,$C654,inventory!$H$2:$H$801,$H654,inventory!$E$2:$E$801,"rejected")&lt;N($G654)),"UNDER "&amp;config!$B$19&amp;" DAYS LEFT ON THE DROP DAY: reject these units; ","")&amp;IF(AND($E654="delivered",COUNTIF(inventory!$R$2:$R$801,$R654)&gt;1),"two delivered rows for this office: use one; ","")&amp;IF(AND($E654="delivered",$J654=""),"who counted?; ",""))</f>
        <v/>
      </c>
      <c r="R654" s="25">
        <f>IF($C654="","",$C654&amp;"|"&amp;$D654&amp;"|"&amp;$E654)</f>
        <v/>
      </c>
    </row>
    <row r="655">
      <c r="A655" s="9" t="n"/>
      <c r="B655" s="33" t="n"/>
      <c r="I655" s="9" t="n"/>
      <c r="L655" s="26">
        <f>IF($C655="","",IFERROR(IF(INDEX(campaigns!$BG$2:$BG$51,MATCH($C655,campaigns!$A$2:$A$51,0))="","",INDEX(campaigns!$BG$2:$BG$51,MATCH($C655,campaigns!$A$2:$A$51,0))),""))</f>
        <v/>
      </c>
      <c r="M655" s="25">
        <f>IF($C655="","",IF(OR($E655="received"),N($G655),IF(OR($E655="rejected",$E655="delivered",$E655="topped_up"),-N($G655),IF(AND(OR($E655="returned_to_brand",$E655="given_to_roster_office",$E655="released_to_office",$E655="disposed"),IF($F655="","reserve",$F655)="reserve"),-N($G655),IF(AND($E655="correction",IF($F655="","reserve",$F655)="reserve"),N($G655),0)))))</f>
        <v/>
      </c>
      <c r="N655" s="25">
        <f>IF($C655="","",IF($E655="rejected",N($G655),IF(AND(OR($E655="returned_to_brand",$E655="given_to_roster_office",$E655="released_to_office",$E655="disposed"),IF($F655="","reserve",$F655)="rejected"),-N($G655),IF(AND($E655="correction",IF($F655="","reserve",$F655)="rejected"),N($G655),0))))</f>
        <v/>
      </c>
      <c r="O655" s="25">
        <f>IF($C655="","",IF($E655="collected",N($G655),IF(AND(OR($E655="returned_to_brand",$E655="given_to_roster_office",$E655="released_to_office",$E655="disposed"),IF($F655="","reserve",$F655)="leftover"),-N($G655),IF(AND($E655="correction",IF($F655="","reserve",$F655)="leftover"),N($G655),0))))</f>
        <v/>
      </c>
      <c r="P655" s="25">
        <f>IF(OR($E655&lt;&gt;"received",$I655="",$L655=""),"",IF($I655&gt;=$L655+config!$B$19,"Y","N"))</f>
        <v/>
      </c>
      <c r="Q655" s="25">
        <f>IF($C655="","",IF(COUNTIF(campaigns!$A$2:$A$51,$C655)=0,"campaign_id not on campaigns; ",IF(AND($D655&lt;&gt;"",COUNTIFS(approvals!$A$2:$A$251,$C655,approvals!$B$2:$B$251,$D655)=0),"office not on this campaign (approvals tab); ",""))&amp;IF(AND(OR($E655="delivered",$E655="topped_up",$E655="collected"),$D655=""),"office needed; ","")&amp;IF(AND($E655&lt;&gt;"correction",N($G655)&lt;=0),"qty must be above 0; ","")&amp;IF(AND($E655="received",OR($I655="",$H655="")),"log lot and best-by; ","")&amp;IF(AND($P655="N",SUMIFS(inventory!$G$2:$G$801,inventory!$C$2:$C$801,$C655,inventory!$H$2:$H$801,$H655,inventory!$E$2:$E$801,"rejected")&lt;N($G655)),"UNDER "&amp;config!$B$19&amp;" DAYS LEFT ON THE DROP DAY: reject these units; ","")&amp;IF(AND($E655="delivered",COUNTIF(inventory!$R$2:$R$801,$R655)&gt;1),"two delivered rows for this office: use one; ","")&amp;IF(AND($E655="delivered",$J655=""),"who counted?; ",""))</f>
        <v/>
      </c>
      <c r="R655" s="25">
        <f>IF($C655="","",$C655&amp;"|"&amp;$D655&amp;"|"&amp;$E655)</f>
        <v/>
      </c>
    </row>
    <row r="656">
      <c r="A656" s="9" t="n"/>
      <c r="B656" s="33" t="n"/>
      <c r="I656" s="9" t="n"/>
      <c r="L656" s="26">
        <f>IF($C656="","",IFERROR(IF(INDEX(campaigns!$BG$2:$BG$51,MATCH($C656,campaigns!$A$2:$A$51,0))="","",INDEX(campaigns!$BG$2:$BG$51,MATCH($C656,campaigns!$A$2:$A$51,0))),""))</f>
        <v/>
      </c>
      <c r="M656" s="25">
        <f>IF($C656="","",IF(OR($E656="received"),N($G656),IF(OR($E656="rejected",$E656="delivered",$E656="topped_up"),-N($G656),IF(AND(OR($E656="returned_to_brand",$E656="given_to_roster_office",$E656="released_to_office",$E656="disposed"),IF($F656="","reserve",$F656)="reserve"),-N($G656),IF(AND($E656="correction",IF($F656="","reserve",$F656)="reserve"),N($G656),0)))))</f>
        <v/>
      </c>
      <c r="N656" s="25">
        <f>IF($C656="","",IF($E656="rejected",N($G656),IF(AND(OR($E656="returned_to_brand",$E656="given_to_roster_office",$E656="released_to_office",$E656="disposed"),IF($F656="","reserve",$F656)="rejected"),-N($G656),IF(AND($E656="correction",IF($F656="","reserve",$F656)="rejected"),N($G656),0))))</f>
        <v/>
      </c>
      <c r="O656" s="25">
        <f>IF($C656="","",IF($E656="collected",N($G656),IF(AND(OR($E656="returned_to_brand",$E656="given_to_roster_office",$E656="released_to_office",$E656="disposed"),IF($F656="","reserve",$F656)="leftover"),-N($G656),IF(AND($E656="correction",IF($F656="","reserve",$F656)="leftover"),N($G656),0))))</f>
        <v/>
      </c>
      <c r="P656" s="25">
        <f>IF(OR($E656&lt;&gt;"received",$I656="",$L656=""),"",IF($I656&gt;=$L656+config!$B$19,"Y","N"))</f>
        <v/>
      </c>
      <c r="Q656" s="25">
        <f>IF($C656="","",IF(COUNTIF(campaigns!$A$2:$A$51,$C656)=0,"campaign_id not on campaigns; ",IF(AND($D656&lt;&gt;"",COUNTIFS(approvals!$A$2:$A$251,$C656,approvals!$B$2:$B$251,$D656)=0),"office not on this campaign (approvals tab); ",""))&amp;IF(AND(OR($E656="delivered",$E656="topped_up",$E656="collected"),$D656=""),"office needed; ","")&amp;IF(AND($E656&lt;&gt;"correction",N($G656)&lt;=0),"qty must be above 0; ","")&amp;IF(AND($E656="received",OR($I656="",$H656="")),"log lot and best-by; ","")&amp;IF(AND($P656="N",SUMIFS(inventory!$G$2:$G$801,inventory!$C$2:$C$801,$C656,inventory!$H$2:$H$801,$H656,inventory!$E$2:$E$801,"rejected")&lt;N($G656)),"UNDER "&amp;config!$B$19&amp;" DAYS LEFT ON THE DROP DAY: reject these units; ","")&amp;IF(AND($E656="delivered",COUNTIF(inventory!$R$2:$R$801,$R656)&gt;1),"two delivered rows for this office: use one; ","")&amp;IF(AND($E656="delivered",$J656=""),"who counted?; ",""))</f>
        <v/>
      </c>
      <c r="R656" s="25">
        <f>IF($C656="","",$C656&amp;"|"&amp;$D656&amp;"|"&amp;$E656)</f>
        <v/>
      </c>
    </row>
    <row r="657">
      <c r="A657" s="9" t="n"/>
      <c r="B657" s="33" t="n"/>
      <c r="I657" s="9" t="n"/>
      <c r="L657" s="26">
        <f>IF($C657="","",IFERROR(IF(INDEX(campaigns!$BG$2:$BG$51,MATCH($C657,campaigns!$A$2:$A$51,0))="","",INDEX(campaigns!$BG$2:$BG$51,MATCH($C657,campaigns!$A$2:$A$51,0))),""))</f>
        <v/>
      </c>
      <c r="M657" s="25">
        <f>IF($C657="","",IF(OR($E657="received"),N($G657),IF(OR($E657="rejected",$E657="delivered",$E657="topped_up"),-N($G657),IF(AND(OR($E657="returned_to_brand",$E657="given_to_roster_office",$E657="released_to_office",$E657="disposed"),IF($F657="","reserve",$F657)="reserve"),-N($G657),IF(AND($E657="correction",IF($F657="","reserve",$F657)="reserve"),N($G657),0)))))</f>
        <v/>
      </c>
      <c r="N657" s="25">
        <f>IF($C657="","",IF($E657="rejected",N($G657),IF(AND(OR($E657="returned_to_brand",$E657="given_to_roster_office",$E657="released_to_office",$E657="disposed"),IF($F657="","reserve",$F657)="rejected"),-N($G657),IF(AND($E657="correction",IF($F657="","reserve",$F657)="rejected"),N($G657),0))))</f>
        <v/>
      </c>
      <c r="O657" s="25">
        <f>IF($C657="","",IF($E657="collected",N($G657),IF(AND(OR($E657="returned_to_brand",$E657="given_to_roster_office",$E657="released_to_office",$E657="disposed"),IF($F657="","reserve",$F657)="leftover"),-N($G657),IF(AND($E657="correction",IF($F657="","reserve",$F657)="leftover"),N($G657),0))))</f>
        <v/>
      </c>
      <c r="P657" s="25">
        <f>IF(OR($E657&lt;&gt;"received",$I657="",$L657=""),"",IF($I657&gt;=$L657+config!$B$19,"Y","N"))</f>
        <v/>
      </c>
      <c r="Q657" s="25">
        <f>IF($C657="","",IF(COUNTIF(campaigns!$A$2:$A$51,$C657)=0,"campaign_id not on campaigns; ",IF(AND($D657&lt;&gt;"",COUNTIFS(approvals!$A$2:$A$251,$C657,approvals!$B$2:$B$251,$D657)=0),"office not on this campaign (approvals tab); ",""))&amp;IF(AND(OR($E657="delivered",$E657="topped_up",$E657="collected"),$D657=""),"office needed; ","")&amp;IF(AND($E657&lt;&gt;"correction",N($G657)&lt;=0),"qty must be above 0; ","")&amp;IF(AND($E657="received",OR($I657="",$H657="")),"log lot and best-by; ","")&amp;IF(AND($P657="N",SUMIFS(inventory!$G$2:$G$801,inventory!$C$2:$C$801,$C657,inventory!$H$2:$H$801,$H657,inventory!$E$2:$E$801,"rejected")&lt;N($G657)),"UNDER "&amp;config!$B$19&amp;" DAYS LEFT ON THE DROP DAY: reject these units; ","")&amp;IF(AND($E657="delivered",COUNTIF(inventory!$R$2:$R$801,$R657)&gt;1),"two delivered rows for this office: use one; ","")&amp;IF(AND($E657="delivered",$J657=""),"who counted?; ",""))</f>
        <v/>
      </c>
      <c r="R657" s="25">
        <f>IF($C657="","",$C657&amp;"|"&amp;$D657&amp;"|"&amp;$E657)</f>
        <v/>
      </c>
    </row>
    <row r="658">
      <c r="A658" s="9" t="n"/>
      <c r="B658" s="33" t="n"/>
      <c r="I658" s="9" t="n"/>
      <c r="L658" s="26">
        <f>IF($C658="","",IFERROR(IF(INDEX(campaigns!$BG$2:$BG$51,MATCH($C658,campaigns!$A$2:$A$51,0))="","",INDEX(campaigns!$BG$2:$BG$51,MATCH($C658,campaigns!$A$2:$A$51,0))),""))</f>
        <v/>
      </c>
      <c r="M658" s="25">
        <f>IF($C658="","",IF(OR($E658="received"),N($G658),IF(OR($E658="rejected",$E658="delivered",$E658="topped_up"),-N($G658),IF(AND(OR($E658="returned_to_brand",$E658="given_to_roster_office",$E658="released_to_office",$E658="disposed"),IF($F658="","reserve",$F658)="reserve"),-N($G658),IF(AND($E658="correction",IF($F658="","reserve",$F658)="reserve"),N($G658),0)))))</f>
        <v/>
      </c>
      <c r="N658" s="25">
        <f>IF($C658="","",IF($E658="rejected",N($G658),IF(AND(OR($E658="returned_to_brand",$E658="given_to_roster_office",$E658="released_to_office",$E658="disposed"),IF($F658="","reserve",$F658)="rejected"),-N($G658),IF(AND($E658="correction",IF($F658="","reserve",$F658)="rejected"),N($G658),0))))</f>
        <v/>
      </c>
      <c r="O658" s="25">
        <f>IF($C658="","",IF($E658="collected",N($G658),IF(AND(OR($E658="returned_to_brand",$E658="given_to_roster_office",$E658="released_to_office",$E658="disposed"),IF($F658="","reserve",$F658)="leftover"),-N($G658),IF(AND($E658="correction",IF($F658="","reserve",$F658)="leftover"),N($G658),0))))</f>
        <v/>
      </c>
      <c r="P658" s="25">
        <f>IF(OR($E658&lt;&gt;"received",$I658="",$L658=""),"",IF($I658&gt;=$L658+config!$B$19,"Y","N"))</f>
        <v/>
      </c>
      <c r="Q658" s="25">
        <f>IF($C658="","",IF(COUNTIF(campaigns!$A$2:$A$51,$C658)=0,"campaign_id not on campaigns; ",IF(AND($D658&lt;&gt;"",COUNTIFS(approvals!$A$2:$A$251,$C658,approvals!$B$2:$B$251,$D658)=0),"office not on this campaign (approvals tab); ",""))&amp;IF(AND(OR($E658="delivered",$E658="topped_up",$E658="collected"),$D658=""),"office needed; ","")&amp;IF(AND($E658&lt;&gt;"correction",N($G658)&lt;=0),"qty must be above 0; ","")&amp;IF(AND($E658="received",OR($I658="",$H658="")),"log lot and best-by; ","")&amp;IF(AND($P658="N",SUMIFS(inventory!$G$2:$G$801,inventory!$C$2:$C$801,$C658,inventory!$H$2:$H$801,$H658,inventory!$E$2:$E$801,"rejected")&lt;N($G658)),"UNDER "&amp;config!$B$19&amp;" DAYS LEFT ON THE DROP DAY: reject these units; ","")&amp;IF(AND($E658="delivered",COUNTIF(inventory!$R$2:$R$801,$R658)&gt;1),"two delivered rows for this office: use one; ","")&amp;IF(AND($E658="delivered",$J658=""),"who counted?; ",""))</f>
        <v/>
      </c>
      <c r="R658" s="25">
        <f>IF($C658="","",$C658&amp;"|"&amp;$D658&amp;"|"&amp;$E658)</f>
        <v/>
      </c>
    </row>
    <row r="659">
      <c r="A659" s="9" t="n"/>
      <c r="B659" s="33" t="n"/>
      <c r="I659" s="9" t="n"/>
      <c r="L659" s="26">
        <f>IF($C659="","",IFERROR(IF(INDEX(campaigns!$BG$2:$BG$51,MATCH($C659,campaigns!$A$2:$A$51,0))="","",INDEX(campaigns!$BG$2:$BG$51,MATCH($C659,campaigns!$A$2:$A$51,0))),""))</f>
        <v/>
      </c>
      <c r="M659" s="25">
        <f>IF($C659="","",IF(OR($E659="received"),N($G659),IF(OR($E659="rejected",$E659="delivered",$E659="topped_up"),-N($G659),IF(AND(OR($E659="returned_to_brand",$E659="given_to_roster_office",$E659="released_to_office",$E659="disposed"),IF($F659="","reserve",$F659)="reserve"),-N($G659),IF(AND($E659="correction",IF($F659="","reserve",$F659)="reserve"),N($G659),0)))))</f>
        <v/>
      </c>
      <c r="N659" s="25">
        <f>IF($C659="","",IF($E659="rejected",N($G659),IF(AND(OR($E659="returned_to_brand",$E659="given_to_roster_office",$E659="released_to_office",$E659="disposed"),IF($F659="","reserve",$F659)="rejected"),-N($G659),IF(AND($E659="correction",IF($F659="","reserve",$F659)="rejected"),N($G659),0))))</f>
        <v/>
      </c>
      <c r="O659" s="25">
        <f>IF($C659="","",IF($E659="collected",N($G659),IF(AND(OR($E659="returned_to_brand",$E659="given_to_roster_office",$E659="released_to_office",$E659="disposed"),IF($F659="","reserve",$F659)="leftover"),-N($G659),IF(AND($E659="correction",IF($F659="","reserve",$F659)="leftover"),N($G659),0))))</f>
        <v/>
      </c>
      <c r="P659" s="25">
        <f>IF(OR($E659&lt;&gt;"received",$I659="",$L659=""),"",IF($I659&gt;=$L659+config!$B$19,"Y","N"))</f>
        <v/>
      </c>
      <c r="Q659" s="25">
        <f>IF($C659="","",IF(COUNTIF(campaigns!$A$2:$A$51,$C659)=0,"campaign_id not on campaigns; ",IF(AND($D659&lt;&gt;"",COUNTIFS(approvals!$A$2:$A$251,$C659,approvals!$B$2:$B$251,$D659)=0),"office not on this campaign (approvals tab); ",""))&amp;IF(AND(OR($E659="delivered",$E659="topped_up",$E659="collected"),$D659=""),"office needed; ","")&amp;IF(AND($E659&lt;&gt;"correction",N($G659)&lt;=0),"qty must be above 0; ","")&amp;IF(AND($E659="received",OR($I659="",$H659="")),"log lot and best-by; ","")&amp;IF(AND($P659="N",SUMIFS(inventory!$G$2:$G$801,inventory!$C$2:$C$801,$C659,inventory!$H$2:$H$801,$H659,inventory!$E$2:$E$801,"rejected")&lt;N($G659)),"UNDER "&amp;config!$B$19&amp;" DAYS LEFT ON THE DROP DAY: reject these units; ","")&amp;IF(AND($E659="delivered",COUNTIF(inventory!$R$2:$R$801,$R659)&gt;1),"two delivered rows for this office: use one; ","")&amp;IF(AND($E659="delivered",$J659=""),"who counted?; ",""))</f>
        <v/>
      </c>
      <c r="R659" s="25">
        <f>IF($C659="","",$C659&amp;"|"&amp;$D659&amp;"|"&amp;$E659)</f>
        <v/>
      </c>
    </row>
    <row r="660">
      <c r="A660" s="9" t="n"/>
      <c r="B660" s="33" t="n"/>
      <c r="I660" s="9" t="n"/>
      <c r="L660" s="26">
        <f>IF($C660="","",IFERROR(IF(INDEX(campaigns!$BG$2:$BG$51,MATCH($C660,campaigns!$A$2:$A$51,0))="","",INDEX(campaigns!$BG$2:$BG$51,MATCH($C660,campaigns!$A$2:$A$51,0))),""))</f>
        <v/>
      </c>
      <c r="M660" s="25">
        <f>IF($C660="","",IF(OR($E660="received"),N($G660),IF(OR($E660="rejected",$E660="delivered",$E660="topped_up"),-N($G660),IF(AND(OR($E660="returned_to_brand",$E660="given_to_roster_office",$E660="released_to_office",$E660="disposed"),IF($F660="","reserve",$F660)="reserve"),-N($G660),IF(AND($E660="correction",IF($F660="","reserve",$F660)="reserve"),N($G660),0)))))</f>
        <v/>
      </c>
      <c r="N660" s="25">
        <f>IF($C660="","",IF($E660="rejected",N($G660),IF(AND(OR($E660="returned_to_brand",$E660="given_to_roster_office",$E660="released_to_office",$E660="disposed"),IF($F660="","reserve",$F660)="rejected"),-N($G660),IF(AND($E660="correction",IF($F660="","reserve",$F660)="rejected"),N($G660),0))))</f>
        <v/>
      </c>
      <c r="O660" s="25">
        <f>IF($C660="","",IF($E660="collected",N($G660),IF(AND(OR($E660="returned_to_brand",$E660="given_to_roster_office",$E660="released_to_office",$E660="disposed"),IF($F660="","reserve",$F660)="leftover"),-N($G660),IF(AND($E660="correction",IF($F660="","reserve",$F660)="leftover"),N($G660),0))))</f>
        <v/>
      </c>
      <c r="P660" s="25">
        <f>IF(OR($E660&lt;&gt;"received",$I660="",$L660=""),"",IF($I660&gt;=$L660+config!$B$19,"Y","N"))</f>
        <v/>
      </c>
      <c r="Q660" s="25">
        <f>IF($C660="","",IF(COUNTIF(campaigns!$A$2:$A$51,$C660)=0,"campaign_id not on campaigns; ",IF(AND($D660&lt;&gt;"",COUNTIFS(approvals!$A$2:$A$251,$C660,approvals!$B$2:$B$251,$D660)=0),"office not on this campaign (approvals tab); ",""))&amp;IF(AND(OR($E660="delivered",$E660="topped_up",$E660="collected"),$D660=""),"office needed; ","")&amp;IF(AND($E660&lt;&gt;"correction",N($G660)&lt;=0),"qty must be above 0; ","")&amp;IF(AND($E660="received",OR($I660="",$H660="")),"log lot and best-by; ","")&amp;IF(AND($P660="N",SUMIFS(inventory!$G$2:$G$801,inventory!$C$2:$C$801,$C660,inventory!$H$2:$H$801,$H660,inventory!$E$2:$E$801,"rejected")&lt;N($G660)),"UNDER "&amp;config!$B$19&amp;" DAYS LEFT ON THE DROP DAY: reject these units; ","")&amp;IF(AND($E660="delivered",COUNTIF(inventory!$R$2:$R$801,$R660)&gt;1),"two delivered rows for this office: use one; ","")&amp;IF(AND($E660="delivered",$J660=""),"who counted?; ",""))</f>
        <v/>
      </c>
      <c r="R660" s="25">
        <f>IF($C660="","",$C660&amp;"|"&amp;$D660&amp;"|"&amp;$E660)</f>
        <v/>
      </c>
    </row>
    <row r="661">
      <c r="A661" s="9" t="n"/>
      <c r="B661" s="33" t="n"/>
      <c r="I661" s="9" t="n"/>
      <c r="L661" s="26">
        <f>IF($C661="","",IFERROR(IF(INDEX(campaigns!$BG$2:$BG$51,MATCH($C661,campaigns!$A$2:$A$51,0))="","",INDEX(campaigns!$BG$2:$BG$51,MATCH($C661,campaigns!$A$2:$A$51,0))),""))</f>
        <v/>
      </c>
      <c r="M661" s="25">
        <f>IF($C661="","",IF(OR($E661="received"),N($G661),IF(OR($E661="rejected",$E661="delivered",$E661="topped_up"),-N($G661),IF(AND(OR($E661="returned_to_brand",$E661="given_to_roster_office",$E661="released_to_office",$E661="disposed"),IF($F661="","reserve",$F661)="reserve"),-N($G661),IF(AND($E661="correction",IF($F661="","reserve",$F661)="reserve"),N($G661),0)))))</f>
        <v/>
      </c>
      <c r="N661" s="25">
        <f>IF($C661="","",IF($E661="rejected",N($G661),IF(AND(OR($E661="returned_to_brand",$E661="given_to_roster_office",$E661="released_to_office",$E661="disposed"),IF($F661="","reserve",$F661)="rejected"),-N($G661),IF(AND($E661="correction",IF($F661="","reserve",$F661)="rejected"),N($G661),0))))</f>
        <v/>
      </c>
      <c r="O661" s="25">
        <f>IF($C661="","",IF($E661="collected",N($G661),IF(AND(OR($E661="returned_to_brand",$E661="given_to_roster_office",$E661="released_to_office",$E661="disposed"),IF($F661="","reserve",$F661)="leftover"),-N($G661),IF(AND($E661="correction",IF($F661="","reserve",$F661)="leftover"),N($G661),0))))</f>
        <v/>
      </c>
      <c r="P661" s="25">
        <f>IF(OR($E661&lt;&gt;"received",$I661="",$L661=""),"",IF($I661&gt;=$L661+config!$B$19,"Y","N"))</f>
        <v/>
      </c>
      <c r="Q661" s="25">
        <f>IF($C661="","",IF(COUNTIF(campaigns!$A$2:$A$51,$C661)=0,"campaign_id not on campaigns; ",IF(AND($D661&lt;&gt;"",COUNTIFS(approvals!$A$2:$A$251,$C661,approvals!$B$2:$B$251,$D661)=0),"office not on this campaign (approvals tab); ",""))&amp;IF(AND(OR($E661="delivered",$E661="topped_up",$E661="collected"),$D661=""),"office needed; ","")&amp;IF(AND($E661&lt;&gt;"correction",N($G661)&lt;=0),"qty must be above 0; ","")&amp;IF(AND($E661="received",OR($I661="",$H661="")),"log lot and best-by; ","")&amp;IF(AND($P661="N",SUMIFS(inventory!$G$2:$G$801,inventory!$C$2:$C$801,$C661,inventory!$H$2:$H$801,$H661,inventory!$E$2:$E$801,"rejected")&lt;N($G661)),"UNDER "&amp;config!$B$19&amp;" DAYS LEFT ON THE DROP DAY: reject these units; ","")&amp;IF(AND($E661="delivered",COUNTIF(inventory!$R$2:$R$801,$R661)&gt;1),"two delivered rows for this office: use one; ","")&amp;IF(AND($E661="delivered",$J661=""),"who counted?; ",""))</f>
        <v/>
      </c>
      <c r="R661" s="25">
        <f>IF($C661="","",$C661&amp;"|"&amp;$D661&amp;"|"&amp;$E661)</f>
        <v/>
      </c>
    </row>
    <row r="662">
      <c r="A662" s="9" t="n"/>
      <c r="B662" s="33" t="n"/>
      <c r="I662" s="9" t="n"/>
      <c r="L662" s="26">
        <f>IF($C662="","",IFERROR(IF(INDEX(campaigns!$BG$2:$BG$51,MATCH($C662,campaigns!$A$2:$A$51,0))="","",INDEX(campaigns!$BG$2:$BG$51,MATCH($C662,campaigns!$A$2:$A$51,0))),""))</f>
        <v/>
      </c>
      <c r="M662" s="25">
        <f>IF($C662="","",IF(OR($E662="received"),N($G662),IF(OR($E662="rejected",$E662="delivered",$E662="topped_up"),-N($G662),IF(AND(OR($E662="returned_to_brand",$E662="given_to_roster_office",$E662="released_to_office",$E662="disposed"),IF($F662="","reserve",$F662)="reserve"),-N($G662),IF(AND($E662="correction",IF($F662="","reserve",$F662)="reserve"),N($G662),0)))))</f>
        <v/>
      </c>
      <c r="N662" s="25">
        <f>IF($C662="","",IF($E662="rejected",N($G662),IF(AND(OR($E662="returned_to_brand",$E662="given_to_roster_office",$E662="released_to_office",$E662="disposed"),IF($F662="","reserve",$F662)="rejected"),-N($G662),IF(AND($E662="correction",IF($F662="","reserve",$F662)="rejected"),N($G662),0))))</f>
        <v/>
      </c>
      <c r="O662" s="25">
        <f>IF($C662="","",IF($E662="collected",N($G662),IF(AND(OR($E662="returned_to_brand",$E662="given_to_roster_office",$E662="released_to_office",$E662="disposed"),IF($F662="","reserve",$F662)="leftover"),-N($G662),IF(AND($E662="correction",IF($F662="","reserve",$F662)="leftover"),N($G662),0))))</f>
        <v/>
      </c>
      <c r="P662" s="25">
        <f>IF(OR($E662&lt;&gt;"received",$I662="",$L662=""),"",IF($I662&gt;=$L662+config!$B$19,"Y","N"))</f>
        <v/>
      </c>
      <c r="Q662" s="25">
        <f>IF($C662="","",IF(COUNTIF(campaigns!$A$2:$A$51,$C662)=0,"campaign_id not on campaigns; ",IF(AND($D662&lt;&gt;"",COUNTIFS(approvals!$A$2:$A$251,$C662,approvals!$B$2:$B$251,$D662)=0),"office not on this campaign (approvals tab); ",""))&amp;IF(AND(OR($E662="delivered",$E662="topped_up",$E662="collected"),$D662=""),"office needed; ","")&amp;IF(AND($E662&lt;&gt;"correction",N($G662)&lt;=0),"qty must be above 0; ","")&amp;IF(AND($E662="received",OR($I662="",$H662="")),"log lot and best-by; ","")&amp;IF(AND($P662="N",SUMIFS(inventory!$G$2:$G$801,inventory!$C$2:$C$801,$C662,inventory!$H$2:$H$801,$H662,inventory!$E$2:$E$801,"rejected")&lt;N($G662)),"UNDER "&amp;config!$B$19&amp;" DAYS LEFT ON THE DROP DAY: reject these units; ","")&amp;IF(AND($E662="delivered",COUNTIF(inventory!$R$2:$R$801,$R662)&gt;1),"two delivered rows for this office: use one; ","")&amp;IF(AND($E662="delivered",$J662=""),"who counted?; ",""))</f>
        <v/>
      </c>
      <c r="R662" s="25">
        <f>IF($C662="","",$C662&amp;"|"&amp;$D662&amp;"|"&amp;$E662)</f>
        <v/>
      </c>
    </row>
    <row r="663">
      <c r="A663" s="9" t="n"/>
      <c r="B663" s="33" t="n"/>
      <c r="I663" s="9" t="n"/>
      <c r="L663" s="26">
        <f>IF($C663="","",IFERROR(IF(INDEX(campaigns!$BG$2:$BG$51,MATCH($C663,campaigns!$A$2:$A$51,0))="","",INDEX(campaigns!$BG$2:$BG$51,MATCH($C663,campaigns!$A$2:$A$51,0))),""))</f>
        <v/>
      </c>
      <c r="M663" s="25">
        <f>IF($C663="","",IF(OR($E663="received"),N($G663),IF(OR($E663="rejected",$E663="delivered",$E663="topped_up"),-N($G663),IF(AND(OR($E663="returned_to_brand",$E663="given_to_roster_office",$E663="released_to_office",$E663="disposed"),IF($F663="","reserve",$F663)="reserve"),-N($G663),IF(AND($E663="correction",IF($F663="","reserve",$F663)="reserve"),N($G663),0)))))</f>
        <v/>
      </c>
      <c r="N663" s="25">
        <f>IF($C663="","",IF($E663="rejected",N($G663),IF(AND(OR($E663="returned_to_brand",$E663="given_to_roster_office",$E663="released_to_office",$E663="disposed"),IF($F663="","reserve",$F663)="rejected"),-N($G663),IF(AND($E663="correction",IF($F663="","reserve",$F663)="rejected"),N($G663),0))))</f>
        <v/>
      </c>
      <c r="O663" s="25">
        <f>IF($C663="","",IF($E663="collected",N($G663),IF(AND(OR($E663="returned_to_brand",$E663="given_to_roster_office",$E663="released_to_office",$E663="disposed"),IF($F663="","reserve",$F663)="leftover"),-N($G663),IF(AND($E663="correction",IF($F663="","reserve",$F663)="leftover"),N($G663),0))))</f>
        <v/>
      </c>
      <c r="P663" s="25">
        <f>IF(OR($E663&lt;&gt;"received",$I663="",$L663=""),"",IF($I663&gt;=$L663+config!$B$19,"Y","N"))</f>
        <v/>
      </c>
      <c r="Q663" s="25">
        <f>IF($C663="","",IF(COUNTIF(campaigns!$A$2:$A$51,$C663)=0,"campaign_id not on campaigns; ",IF(AND($D663&lt;&gt;"",COUNTIFS(approvals!$A$2:$A$251,$C663,approvals!$B$2:$B$251,$D663)=0),"office not on this campaign (approvals tab); ",""))&amp;IF(AND(OR($E663="delivered",$E663="topped_up",$E663="collected"),$D663=""),"office needed; ","")&amp;IF(AND($E663&lt;&gt;"correction",N($G663)&lt;=0),"qty must be above 0; ","")&amp;IF(AND($E663="received",OR($I663="",$H663="")),"log lot and best-by; ","")&amp;IF(AND($P663="N",SUMIFS(inventory!$G$2:$G$801,inventory!$C$2:$C$801,$C663,inventory!$H$2:$H$801,$H663,inventory!$E$2:$E$801,"rejected")&lt;N($G663)),"UNDER "&amp;config!$B$19&amp;" DAYS LEFT ON THE DROP DAY: reject these units; ","")&amp;IF(AND($E663="delivered",COUNTIF(inventory!$R$2:$R$801,$R663)&gt;1),"two delivered rows for this office: use one; ","")&amp;IF(AND($E663="delivered",$J663=""),"who counted?; ",""))</f>
        <v/>
      </c>
      <c r="R663" s="25">
        <f>IF($C663="","",$C663&amp;"|"&amp;$D663&amp;"|"&amp;$E663)</f>
        <v/>
      </c>
    </row>
    <row r="664">
      <c r="A664" s="9" t="n"/>
      <c r="B664" s="33" t="n"/>
      <c r="I664" s="9" t="n"/>
      <c r="L664" s="26">
        <f>IF($C664="","",IFERROR(IF(INDEX(campaigns!$BG$2:$BG$51,MATCH($C664,campaigns!$A$2:$A$51,0))="","",INDEX(campaigns!$BG$2:$BG$51,MATCH($C664,campaigns!$A$2:$A$51,0))),""))</f>
        <v/>
      </c>
      <c r="M664" s="25">
        <f>IF($C664="","",IF(OR($E664="received"),N($G664),IF(OR($E664="rejected",$E664="delivered",$E664="topped_up"),-N($G664),IF(AND(OR($E664="returned_to_brand",$E664="given_to_roster_office",$E664="released_to_office",$E664="disposed"),IF($F664="","reserve",$F664)="reserve"),-N($G664),IF(AND($E664="correction",IF($F664="","reserve",$F664)="reserve"),N($G664),0)))))</f>
        <v/>
      </c>
      <c r="N664" s="25">
        <f>IF($C664="","",IF($E664="rejected",N($G664),IF(AND(OR($E664="returned_to_brand",$E664="given_to_roster_office",$E664="released_to_office",$E664="disposed"),IF($F664="","reserve",$F664)="rejected"),-N($G664),IF(AND($E664="correction",IF($F664="","reserve",$F664)="rejected"),N($G664),0))))</f>
        <v/>
      </c>
      <c r="O664" s="25">
        <f>IF($C664="","",IF($E664="collected",N($G664),IF(AND(OR($E664="returned_to_brand",$E664="given_to_roster_office",$E664="released_to_office",$E664="disposed"),IF($F664="","reserve",$F664)="leftover"),-N($G664),IF(AND($E664="correction",IF($F664="","reserve",$F664)="leftover"),N($G664),0))))</f>
        <v/>
      </c>
      <c r="P664" s="25">
        <f>IF(OR($E664&lt;&gt;"received",$I664="",$L664=""),"",IF($I664&gt;=$L664+config!$B$19,"Y","N"))</f>
        <v/>
      </c>
      <c r="Q664" s="25">
        <f>IF($C664="","",IF(COUNTIF(campaigns!$A$2:$A$51,$C664)=0,"campaign_id not on campaigns; ",IF(AND($D664&lt;&gt;"",COUNTIFS(approvals!$A$2:$A$251,$C664,approvals!$B$2:$B$251,$D664)=0),"office not on this campaign (approvals tab); ",""))&amp;IF(AND(OR($E664="delivered",$E664="topped_up",$E664="collected"),$D664=""),"office needed; ","")&amp;IF(AND($E664&lt;&gt;"correction",N($G664)&lt;=0),"qty must be above 0; ","")&amp;IF(AND($E664="received",OR($I664="",$H664="")),"log lot and best-by; ","")&amp;IF(AND($P664="N",SUMIFS(inventory!$G$2:$G$801,inventory!$C$2:$C$801,$C664,inventory!$H$2:$H$801,$H664,inventory!$E$2:$E$801,"rejected")&lt;N($G664)),"UNDER "&amp;config!$B$19&amp;" DAYS LEFT ON THE DROP DAY: reject these units; ","")&amp;IF(AND($E664="delivered",COUNTIF(inventory!$R$2:$R$801,$R664)&gt;1),"two delivered rows for this office: use one; ","")&amp;IF(AND($E664="delivered",$J664=""),"who counted?; ",""))</f>
        <v/>
      </c>
      <c r="R664" s="25">
        <f>IF($C664="","",$C664&amp;"|"&amp;$D664&amp;"|"&amp;$E664)</f>
        <v/>
      </c>
    </row>
    <row r="665">
      <c r="A665" s="9" t="n"/>
      <c r="B665" s="33" t="n"/>
      <c r="I665" s="9" t="n"/>
      <c r="L665" s="26">
        <f>IF($C665="","",IFERROR(IF(INDEX(campaigns!$BG$2:$BG$51,MATCH($C665,campaigns!$A$2:$A$51,0))="","",INDEX(campaigns!$BG$2:$BG$51,MATCH($C665,campaigns!$A$2:$A$51,0))),""))</f>
        <v/>
      </c>
      <c r="M665" s="25">
        <f>IF($C665="","",IF(OR($E665="received"),N($G665),IF(OR($E665="rejected",$E665="delivered",$E665="topped_up"),-N($G665),IF(AND(OR($E665="returned_to_brand",$E665="given_to_roster_office",$E665="released_to_office",$E665="disposed"),IF($F665="","reserve",$F665)="reserve"),-N($G665),IF(AND($E665="correction",IF($F665="","reserve",$F665)="reserve"),N($G665),0)))))</f>
        <v/>
      </c>
      <c r="N665" s="25">
        <f>IF($C665="","",IF($E665="rejected",N($G665),IF(AND(OR($E665="returned_to_brand",$E665="given_to_roster_office",$E665="released_to_office",$E665="disposed"),IF($F665="","reserve",$F665)="rejected"),-N($G665),IF(AND($E665="correction",IF($F665="","reserve",$F665)="rejected"),N($G665),0))))</f>
        <v/>
      </c>
      <c r="O665" s="25">
        <f>IF($C665="","",IF($E665="collected",N($G665),IF(AND(OR($E665="returned_to_brand",$E665="given_to_roster_office",$E665="released_to_office",$E665="disposed"),IF($F665="","reserve",$F665)="leftover"),-N($G665),IF(AND($E665="correction",IF($F665="","reserve",$F665)="leftover"),N($G665),0))))</f>
        <v/>
      </c>
      <c r="P665" s="25">
        <f>IF(OR($E665&lt;&gt;"received",$I665="",$L665=""),"",IF($I665&gt;=$L665+config!$B$19,"Y","N"))</f>
        <v/>
      </c>
      <c r="Q665" s="25">
        <f>IF($C665="","",IF(COUNTIF(campaigns!$A$2:$A$51,$C665)=0,"campaign_id not on campaigns; ",IF(AND($D665&lt;&gt;"",COUNTIFS(approvals!$A$2:$A$251,$C665,approvals!$B$2:$B$251,$D665)=0),"office not on this campaign (approvals tab); ",""))&amp;IF(AND(OR($E665="delivered",$E665="topped_up",$E665="collected"),$D665=""),"office needed; ","")&amp;IF(AND($E665&lt;&gt;"correction",N($G665)&lt;=0),"qty must be above 0; ","")&amp;IF(AND($E665="received",OR($I665="",$H665="")),"log lot and best-by; ","")&amp;IF(AND($P665="N",SUMIFS(inventory!$G$2:$G$801,inventory!$C$2:$C$801,$C665,inventory!$H$2:$H$801,$H665,inventory!$E$2:$E$801,"rejected")&lt;N($G665)),"UNDER "&amp;config!$B$19&amp;" DAYS LEFT ON THE DROP DAY: reject these units; ","")&amp;IF(AND($E665="delivered",COUNTIF(inventory!$R$2:$R$801,$R665)&gt;1),"two delivered rows for this office: use one; ","")&amp;IF(AND($E665="delivered",$J665=""),"who counted?; ",""))</f>
        <v/>
      </c>
      <c r="R665" s="25">
        <f>IF($C665="","",$C665&amp;"|"&amp;$D665&amp;"|"&amp;$E665)</f>
        <v/>
      </c>
    </row>
    <row r="666">
      <c r="A666" s="9" t="n"/>
      <c r="B666" s="33" t="n"/>
      <c r="I666" s="9" t="n"/>
      <c r="L666" s="26">
        <f>IF($C666="","",IFERROR(IF(INDEX(campaigns!$BG$2:$BG$51,MATCH($C666,campaigns!$A$2:$A$51,0))="","",INDEX(campaigns!$BG$2:$BG$51,MATCH($C666,campaigns!$A$2:$A$51,0))),""))</f>
        <v/>
      </c>
      <c r="M666" s="25">
        <f>IF($C666="","",IF(OR($E666="received"),N($G666),IF(OR($E666="rejected",$E666="delivered",$E666="topped_up"),-N($G666),IF(AND(OR($E666="returned_to_brand",$E666="given_to_roster_office",$E666="released_to_office",$E666="disposed"),IF($F666="","reserve",$F666)="reserve"),-N($G666),IF(AND($E666="correction",IF($F666="","reserve",$F666)="reserve"),N($G666),0)))))</f>
        <v/>
      </c>
      <c r="N666" s="25">
        <f>IF($C666="","",IF($E666="rejected",N($G666),IF(AND(OR($E666="returned_to_brand",$E666="given_to_roster_office",$E666="released_to_office",$E666="disposed"),IF($F666="","reserve",$F666)="rejected"),-N($G666),IF(AND($E666="correction",IF($F666="","reserve",$F666)="rejected"),N($G666),0))))</f>
        <v/>
      </c>
      <c r="O666" s="25">
        <f>IF($C666="","",IF($E666="collected",N($G666),IF(AND(OR($E666="returned_to_brand",$E666="given_to_roster_office",$E666="released_to_office",$E666="disposed"),IF($F666="","reserve",$F666)="leftover"),-N($G666),IF(AND($E666="correction",IF($F666="","reserve",$F666)="leftover"),N($G666),0))))</f>
        <v/>
      </c>
      <c r="P666" s="25">
        <f>IF(OR($E666&lt;&gt;"received",$I666="",$L666=""),"",IF($I666&gt;=$L666+config!$B$19,"Y","N"))</f>
        <v/>
      </c>
      <c r="Q666" s="25">
        <f>IF($C666="","",IF(COUNTIF(campaigns!$A$2:$A$51,$C666)=0,"campaign_id not on campaigns; ",IF(AND($D666&lt;&gt;"",COUNTIFS(approvals!$A$2:$A$251,$C666,approvals!$B$2:$B$251,$D666)=0),"office not on this campaign (approvals tab); ",""))&amp;IF(AND(OR($E666="delivered",$E666="topped_up",$E666="collected"),$D666=""),"office needed; ","")&amp;IF(AND($E666&lt;&gt;"correction",N($G666)&lt;=0),"qty must be above 0; ","")&amp;IF(AND($E666="received",OR($I666="",$H666="")),"log lot and best-by; ","")&amp;IF(AND($P666="N",SUMIFS(inventory!$G$2:$G$801,inventory!$C$2:$C$801,$C666,inventory!$H$2:$H$801,$H666,inventory!$E$2:$E$801,"rejected")&lt;N($G666)),"UNDER "&amp;config!$B$19&amp;" DAYS LEFT ON THE DROP DAY: reject these units; ","")&amp;IF(AND($E666="delivered",COUNTIF(inventory!$R$2:$R$801,$R666)&gt;1),"two delivered rows for this office: use one; ","")&amp;IF(AND($E666="delivered",$J666=""),"who counted?; ",""))</f>
        <v/>
      </c>
      <c r="R666" s="25">
        <f>IF($C666="","",$C666&amp;"|"&amp;$D666&amp;"|"&amp;$E666)</f>
        <v/>
      </c>
    </row>
    <row r="667">
      <c r="A667" s="9" t="n"/>
      <c r="B667" s="33" t="n"/>
      <c r="I667" s="9" t="n"/>
      <c r="L667" s="26">
        <f>IF($C667="","",IFERROR(IF(INDEX(campaigns!$BG$2:$BG$51,MATCH($C667,campaigns!$A$2:$A$51,0))="","",INDEX(campaigns!$BG$2:$BG$51,MATCH($C667,campaigns!$A$2:$A$51,0))),""))</f>
        <v/>
      </c>
      <c r="M667" s="25">
        <f>IF($C667="","",IF(OR($E667="received"),N($G667),IF(OR($E667="rejected",$E667="delivered",$E667="topped_up"),-N($G667),IF(AND(OR($E667="returned_to_brand",$E667="given_to_roster_office",$E667="released_to_office",$E667="disposed"),IF($F667="","reserve",$F667)="reserve"),-N($G667),IF(AND($E667="correction",IF($F667="","reserve",$F667)="reserve"),N($G667),0)))))</f>
        <v/>
      </c>
      <c r="N667" s="25">
        <f>IF($C667="","",IF($E667="rejected",N($G667),IF(AND(OR($E667="returned_to_brand",$E667="given_to_roster_office",$E667="released_to_office",$E667="disposed"),IF($F667="","reserve",$F667)="rejected"),-N($G667),IF(AND($E667="correction",IF($F667="","reserve",$F667)="rejected"),N($G667),0))))</f>
        <v/>
      </c>
      <c r="O667" s="25">
        <f>IF($C667="","",IF($E667="collected",N($G667),IF(AND(OR($E667="returned_to_brand",$E667="given_to_roster_office",$E667="released_to_office",$E667="disposed"),IF($F667="","reserve",$F667)="leftover"),-N($G667),IF(AND($E667="correction",IF($F667="","reserve",$F667)="leftover"),N($G667),0))))</f>
        <v/>
      </c>
      <c r="P667" s="25">
        <f>IF(OR($E667&lt;&gt;"received",$I667="",$L667=""),"",IF($I667&gt;=$L667+config!$B$19,"Y","N"))</f>
        <v/>
      </c>
      <c r="Q667" s="25">
        <f>IF($C667="","",IF(COUNTIF(campaigns!$A$2:$A$51,$C667)=0,"campaign_id not on campaigns; ",IF(AND($D667&lt;&gt;"",COUNTIFS(approvals!$A$2:$A$251,$C667,approvals!$B$2:$B$251,$D667)=0),"office not on this campaign (approvals tab); ",""))&amp;IF(AND(OR($E667="delivered",$E667="topped_up",$E667="collected"),$D667=""),"office needed; ","")&amp;IF(AND($E667&lt;&gt;"correction",N($G667)&lt;=0),"qty must be above 0; ","")&amp;IF(AND($E667="received",OR($I667="",$H667="")),"log lot and best-by; ","")&amp;IF(AND($P667="N",SUMIFS(inventory!$G$2:$G$801,inventory!$C$2:$C$801,$C667,inventory!$H$2:$H$801,$H667,inventory!$E$2:$E$801,"rejected")&lt;N($G667)),"UNDER "&amp;config!$B$19&amp;" DAYS LEFT ON THE DROP DAY: reject these units; ","")&amp;IF(AND($E667="delivered",COUNTIF(inventory!$R$2:$R$801,$R667)&gt;1),"two delivered rows for this office: use one; ","")&amp;IF(AND($E667="delivered",$J667=""),"who counted?; ",""))</f>
        <v/>
      </c>
      <c r="R667" s="25">
        <f>IF($C667="","",$C667&amp;"|"&amp;$D667&amp;"|"&amp;$E667)</f>
        <v/>
      </c>
    </row>
    <row r="668">
      <c r="A668" s="9" t="n"/>
      <c r="B668" s="33" t="n"/>
      <c r="I668" s="9" t="n"/>
      <c r="L668" s="26">
        <f>IF($C668="","",IFERROR(IF(INDEX(campaigns!$BG$2:$BG$51,MATCH($C668,campaigns!$A$2:$A$51,0))="","",INDEX(campaigns!$BG$2:$BG$51,MATCH($C668,campaigns!$A$2:$A$51,0))),""))</f>
        <v/>
      </c>
      <c r="M668" s="25">
        <f>IF($C668="","",IF(OR($E668="received"),N($G668),IF(OR($E668="rejected",$E668="delivered",$E668="topped_up"),-N($G668),IF(AND(OR($E668="returned_to_brand",$E668="given_to_roster_office",$E668="released_to_office",$E668="disposed"),IF($F668="","reserve",$F668)="reserve"),-N($G668),IF(AND($E668="correction",IF($F668="","reserve",$F668)="reserve"),N($G668),0)))))</f>
        <v/>
      </c>
      <c r="N668" s="25">
        <f>IF($C668="","",IF($E668="rejected",N($G668),IF(AND(OR($E668="returned_to_brand",$E668="given_to_roster_office",$E668="released_to_office",$E668="disposed"),IF($F668="","reserve",$F668)="rejected"),-N($G668),IF(AND($E668="correction",IF($F668="","reserve",$F668)="rejected"),N($G668),0))))</f>
        <v/>
      </c>
      <c r="O668" s="25">
        <f>IF($C668="","",IF($E668="collected",N($G668),IF(AND(OR($E668="returned_to_brand",$E668="given_to_roster_office",$E668="released_to_office",$E668="disposed"),IF($F668="","reserve",$F668)="leftover"),-N($G668),IF(AND($E668="correction",IF($F668="","reserve",$F668)="leftover"),N($G668),0))))</f>
        <v/>
      </c>
      <c r="P668" s="25">
        <f>IF(OR($E668&lt;&gt;"received",$I668="",$L668=""),"",IF($I668&gt;=$L668+config!$B$19,"Y","N"))</f>
        <v/>
      </c>
      <c r="Q668" s="25">
        <f>IF($C668="","",IF(COUNTIF(campaigns!$A$2:$A$51,$C668)=0,"campaign_id not on campaigns; ",IF(AND($D668&lt;&gt;"",COUNTIFS(approvals!$A$2:$A$251,$C668,approvals!$B$2:$B$251,$D668)=0),"office not on this campaign (approvals tab); ",""))&amp;IF(AND(OR($E668="delivered",$E668="topped_up",$E668="collected"),$D668=""),"office needed; ","")&amp;IF(AND($E668&lt;&gt;"correction",N($G668)&lt;=0),"qty must be above 0; ","")&amp;IF(AND($E668="received",OR($I668="",$H668="")),"log lot and best-by; ","")&amp;IF(AND($P668="N",SUMIFS(inventory!$G$2:$G$801,inventory!$C$2:$C$801,$C668,inventory!$H$2:$H$801,$H668,inventory!$E$2:$E$801,"rejected")&lt;N($G668)),"UNDER "&amp;config!$B$19&amp;" DAYS LEFT ON THE DROP DAY: reject these units; ","")&amp;IF(AND($E668="delivered",COUNTIF(inventory!$R$2:$R$801,$R668)&gt;1),"two delivered rows for this office: use one; ","")&amp;IF(AND($E668="delivered",$J668=""),"who counted?; ",""))</f>
        <v/>
      </c>
      <c r="R668" s="25">
        <f>IF($C668="","",$C668&amp;"|"&amp;$D668&amp;"|"&amp;$E668)</f>
        <v/>
      </c>
    </row>
    <row r="669">
      <c r="A669" s="9" t="n"/>
      <c r="B669" s="33" t="n"/>
      <c r="I669" s="9" t="n"/>
      <c r="L669" s="26">
        <f>IF($C669="","",IFERROR(IF(INDEX(campaigns!$BG$2:$BG$51,MATCH($C669,campaigns!$A$2:$A$51,0))="","",INDEX(campaigns!$BG$2:$BG$51,MATCH($C669,campaigns!$A$2:$A$51,0))),""))</f>
        <v/>
      </c>
      <c r="M669" s="25">
        <f>IF($C669="","",IF(OR($E669="received"),N($G669),IF(OR($E669="rejected",$E669="delivered",$E669="topped_up"),-N($G669),IF(AND(OR($E669="returned_to_brand",$E669="given_to_roster_office",$E669="released_to_office",$E669="disposed"),IF($F669="","reserve",$F669)="reserve"),-N($G669),IF(AND($E669="correction",IF($F669="","reserve",$F669)="reserve"),N($G669),0)))))</f>
        <v/>
      </c>
      <c r="N669" s="25">
        <f>IF($C669="","",IF($E669="rejected",N($G669),IF(AND(OR($E669="returned_to_brand",$E669="given_to_roster_office",$E669="released_to_office",$E669="disposed"),IF($F669="","reserve",$F669)="rejected"),-N($G669),IF(AND($E669="correction",IF($F669="","reserve",$F669)="rejected"),N($G669),0))))</f>
        <v/>
      </c>
      <c r="O669" s="25">
        <f>IF($C669="","",IF($E669="collected",N($G669),IF(AND(OR($E669="returned_to_brand",$E669="given_to_roster_office",$E669="released_to_office",$E669="disposed"),IF($F669="","reserve",$F669)="leftover"),-N($G669),IF(AND($E669="correction",IF($F669="","reserve",$F669)="leftover"),N($G669),0))))</f>
        <v/>
      </c>
      <c r="P669" s="25">
        <f>IF(OR($E669&lt;&gt;"received",$I669="",$L669=""),"",IF($I669&gt;=$L669+config!$B$19,"Y","N"))</f>
        <v/>
      </c>
      <c r="Q669" s="25">
        <f>IF($C669="","",IF(COUNTIF(campaigns!$A$2:$A$51,$C669)=0,"campaign_id not on campaigns; ",IF(AND($D669&lt;&gt;"",COUNTIFS(approvals!$A$2:$A$251,$C669,approvals!$B$2:$B$251,$D669)=0),"office not on this campaign (approvals tab); ",""))&amp;IF(AND(OR($E669="delivered",$E669="topped_up",$E669="collected"),$D669=""),"office needed; ","")&amp;IF(AND($E669&lt;&gt;"correction",N($G669)&lt;=0),"qty must be above 0; ","")&amp;IF(AND($E669="received",OR($I669="",$H669="")),"log lot and best-by; ","")&amp;IF(AND($P669="N",SUMIFS(inventory!$G$2:$G$801,inventory!$C$2:$C$801,$C669,inventory!$H$2:$H$801,$H669,inventory!$E$2:$E$801,"rejected")&lt;N($G669)),"UNDER "&amp;config!$B$19&amp;" DAYS LEFT ON THE DROP DAY: reject these units; ","")&amp;IF(AND($E669="delivered",COUNTIF(inventory!$R$2:$R$801,$R669)&gt;1),"two delivered rows for this office: use one; ","")&amp;IF(AND($E669="delivered",$J669=""),"who counted?; ",""))</f>
        <v/>
      </c>
      <c r="R669" s="25">
        <f>IF($C669="","",$C669&amp;"|"&amp;$D669&amp;"|"&amp;$E669)</f>
        <v/>
      </c>
    </row>
    <row r="670">
      <c r="A670" s="9" t="n"/>
      <c r="B670" s="33" t="n"/>
      <c r="I670" s="9" t="n"/>
      <c r="L670" s="26">
        <f>IF($C670="","",IFERROR(IF(INDEX(campaigns!$BG$2:$BG$51,MATCH($C670,campaigns!$A$2:$A$51,0))="","",INDEX(campaigns!$BG$2:$BG$51,MATCH($C670,campaigns!$A$2:$A$51,0))),""))</f>
        <v/>
      </c>
      <c r="M670" s="25">
        <f>IF($C670="","",IF(OR($E670="received"),N($G670),IF(OR($E670="rejected",$E670="delivered",$E670="topped_up"),-N($G670),IF(AND(OR($E670="returned_to_brand",$E670="given_to_roster_office",$E670="released_to_office",$E670="disposed"),IF($F670="","reserve",$F670)="reserve"),-N($G670),IF(AND($E670="correction",IF($F670="","reserve",$F670)="reserve"),N($G670),0)))))</f>
        <v/>
      </c>
      <c r="N670" s="25">
        <f>IF($C670="","",IF($E670="rejected",N($G670),IF(AND(OR($E670="returned_to_brand",$E670="given_to_roster_office",$E670="released_to_office",$E670="disposed"),IF($F670="","reserve",$F670)="rejected"),-N($G670),IF(AND($E670="correction",IF($F670="","reserve",$F670)="rejected"),N($G670),0))))</f>
        <v/>
      </c>
      <c r="O670" s="25">
        <f>IF($C670="","",IF($E670="collected",N($G670),IF(AND(OR($E670="returned_to_brand",$E670="given_to_roster_office",$E670="released_to_office",$E670="disposed"),IF($F670="","reserve",$F670)="leftover"),-N($G670),IF(AND($E670="correction",IF($F670="","reserve",$F670)="leftover"),N($G670),0))))</f>
        <v/>
      </c>
      <c r="P670" s="25">
        <f>IF(OR($E670&lt;&gt;"received",$I670="",$L670=""),"",IF($I670&gt;=$L670+config!$B$19,"Y","N"))</f>
        <v/>
      </c>
      <c r="Q670" s="25">
        <f>IF($C670="","",IF(COUNTIF(campaigns!$A$2:$A$51,$C670)=0,"campaign_id not on campaigns; ",IF(AND($D670&lt;&gt;"",COUNTIFS(approvals!$A$2:$A$251,$C670,approvals!$B$2:$B$251,$D670)=0),"office not on this campaign (approvals tab); ",""))&amp;IF(AND(OR($E670="delivered",$E670="topped_up",$E670="collected"),$D670=""),"office needed; ","")&amp;IF(AND($E670&lt;&gt;"correction",N($G670)&lt;=0),"qty must be above 0; ","")&amp;IF(AND($E670="received",OR($I670="",$H670="")),"log lot and best-by; ","")&amp;IF(AND($P670="N",SUMIFS(inventory!$G$2:$G$801,inventory!$C$2:$C$801,$C670,inventory!$H$2:$H$801,$H670,inventory!$E$2:$E$801,"rejected")&lt;N($G670)),"UNDER "&amp;config!$B$19&amp;" DAYS LEFT ON THE DROP DAY: reject these units; ","")&amp;IF(AND($E670="delivered",COUNTIF(inventory!$R$2:$R$801,$R670)&gt;1),"two delivered rows for this office: use one; ","")&amp;IF(AND($E670="delivered",$J670=""),"who counted?; ",""))</f>
        <v/>
      </c>
      <c r="R670" s="25">
        <f>IF($C670="","",$C670&amp;"|"&amp;$D670&amp;"|"&amp;$E670)</f>
        <v/>
      </c>
    </row>
    <row r="671">
      <c r="A671" s="9" t="n"/>
      <c r="B671" s="33" t="n"/>
      <c r="I671" s="9" t="n"/>
      <c r="L671" s="26">
        <f>IF($C671="","",IFERROR(IF(INDEX(campaigns!$BG$2:$BG$51,MATCH($C671,campaigns!$A$2:$A$51,0))="","",INDEX(campaigns!$BG$2:$BG$51,MATCH($C671,campaigns!$A$2:$A$51,0))),""))</f>
        <v/>
      </c>
      <c r="M671" s="25">
        <f>IF($C671="","",IF(OR($E671="received"),N($G671),IF(OR($E671="rejected",$E671="delivered",$E671="topped_up"),-N($G671),IF(AND(OR($E671="returned_to_brand",$E671="given_to_roster_office",$E671="released_to_office",$E671="disposed"),IF($F671="","reserve",$F671)="reserve"),-N($G671),IF(AND($E671="correction",IF($F671="","reserve",$F671)="reserve"),N($G671),0)))))</f>
        <v/>
      </c>
      <c r="N671" s="25">
        <f>IF($C671="","",IF($E671="rejected",N($G671),IF(AND(OR($E671="returned_to_brand",$E671="given_to_roster_office",$E671="released_to_office",$E671="disposed"),IF($F671="","reserve",$F671)="rejected"),-N($G671),IF(AND($E671="correction",IF($F671="","reserve",$F671)="rejected"),N($G671),0))))</f>
        <v/>
      </c>
      <c r="O671" s="25">
        <f>IF($C671="","",IF($E671="collected",N($G671),IF(AND(OR($E671="returned_to_brand",$E671="given_to_roster_office",$E671="released_to_office",$E671="disposed"),IF($F671="","reserve",$F671)="leftover"),-N($G671),IF(AND($E671="correction",IF($F671="","reserve",$F671)="leftover"),N($G671),0))))</f>
        <v/>
      </c>
      <c r="P671" s="25">
        <f>IF(OR($E671&lt;&gt;"received",$I671="",$L671=""),"",IF($I671&gt;=$L671+config!$B$19,"Y","N"))</f>
        <v/>
      </c>
      <c r="Q671" s="25">
        <f>IF($C671="","",IF(COUNTIF(campaigns!$A$2:$A$51,$C671)=0,"campaign_id not on campaigns; ",IF(AND($D671&lt;&gt;"",COUNTIFS(approvals!$A$2:$A$251,$C671,approvals!$B$2:$B$251,$D671)=0),"office not on this campaign (approvals tab); ",""))&amp;IF(AND(OR($E671="delivered",$E671="topped_up",$E671="collected"),$D671=""),"office needed; ","")&amp;IF(AND($E671&lt;&gt;"correction",N($G671)&lt;=0),"qty must be above 0; ","")&amp;IF(AND($E671="received",OR($I671="",$H671="")),"log lot and best-by; ","")&amp;IF(AND($P671="N",SUMIFS(inventory!$G$2:$G$801,inventory!$C$2:$C$801,$C671,inventory!$H$2:$H$801,$H671,inventory!$E$2:$E$801,"rejected")&lt;N($G671)),"UNDER "&amp;config!$B$19&amp;" DAYS LEFT ON THE DROP DAY: reject these units; ","")&amp;IF(AND($E671="delivered",COUNTIF(inventory!$R$2:$R$801,$R671)&gt;1),"two delivered rows for this office: use one; ","")&amp;IF(AND($E671="delivered",$J671=""),"who counted?; ",""))</f>
        <v/>
      </c>
      <c r="R671" s="25">
        <f>IF($C671="","",$C671&amp;"|"&amp;$D671&amp;"|"&amp;$E671)</f>
        <v/>
      </c>
    </row>
    <row r="672">
      <c r="A672" s="9" t="n"/>
      <c r="B672" s="33" t="n"/>
      <c r="I672" s="9" t="n"/>
      <c r="L672" s="26">
        <f>IF($C672="","",IFERROR(IF(INDEX(campaigns!$BG$2:$BG$51,MATCH($C672,campaigns!$A$2:$A$51,0))="","",INDEX(campaigns!$BG$2:$BG$51,MATCH($C672,campaigns!$A$2:$A$51,0))),""))</f>
        <v/>
      </c>
      <c r="M672" s="25">
        <f>IF($C672="","",IF(OR($E672="received"),N($G672),IF(OR($E672="rejected",$E672="delivered",$E672="topped_up"),-N($G672),IF(AND(OR($E672="returned_to_brand",$E672="given_to_roster_office",$E672="released_to_office",$E672="disposed"),IF($F672="","reserve",$F672)="reserve"),-N($G672),IF(AND($E672="correction",IF($F672="","reserve",$F672)="reserve"),N($G672),0)))))</f>
        <v/>
      </c>
      <c r="N672" s="25">
        <f>IF($C672="","",IF($E672="rejected",N($G672),IF(AND(OR($E672="returned_to_brand",$E672="given_to_roster_office",$E672="released_to_office",$E672="disposed"),IF($F672="","reserve",$F672)="rejected"),-N($G672),IF(AND($E672="correction",IF($F672="","reserve",$F672)="rejected"),N($G672),0))))</f>
        <v/>
      </c>
      <c r="O672" s="25">
        <f>IF($C672="","",IF($E672="collected",N($G672),IF(AND(OR($E672="returned_to_brand",$E672="given_to_roster_office",$E672="released_to_office",$E672="disposed"),IF($F672="","reserve",$F672)="leftover"),-N($G672),IF(AND($E672="correction",IF($F672="","reserve",$F672)="leftover"),N($G672),0))))</f>
        <v/>
      </c>
      <c r="P672" s="25">
        <f>IF(OR($E672&lt;&gt;"received",$I672="",$L672=""),"",IF($I672&gt;=$L672+config!$B$19,"Y","N"))</f>
        <v/>
      </c>
      <c r="Q672" s="25">
        <f>IF($C672="","",IF(COUNTIF(campaigns!$A$2:$A$51,$C672)=0,"campaign_id not on campaigns; ",IF(AND($D672&lt;&gt;"",COUNTIFS(approvals!$A$2:$A$251,$C672,approvals!$B$2:$B$251,$D672)=0),"office not on this campaign (approvals tab); ",""))&amp;IF(AND(OR($E672="delivered",$E672="topped_up",$E672="collected"),$D672=""),"office needed; ","")&amp;IF(AND($E672&lt;&gt;"correction",N($G672)&lt;=0),"qty must be above 0; ","")&amp;IF(AND($E672="received",OR($I672="",$H672="")),"log lot and best-by; ","")&amp;IF(AND($P672="N",SUMIFS(inventory!$G$2:$G$801,inventory!$C$2:$C$801,$C672,inventory!$H$2:$H$801,$H672,inventory!$E$2:$E$801,"rejected")&lt;N($G672)),"UNDER "&amp;config!$B$19&amp;" DAYS LEFT ON THE DROP DAY: reject these units; ","")&amp;IF(AND($E672="delivered",COUNTIF(inventory!$R$2:$R$801,$R672)&gt;1),"two delivered rows for this office: use one; ","")&amp;IF(AND($E672="delivered",$J672=""),"who counted?; ",""))</f>
        <v/>
      </c>
      <c r="R672" s="25">
        <f>IF($C672="","",$C672&amp;"|"&amp;$D672&amp;"|"&amp;$E672)</f>
        <v/>
      </c>
    </row>
    <row r="673">
      <c r="A673" s="9" t="n"/>
      <c r="B673" s="33" t="n"/>
      <c r="I673" s="9" t="n"/>
      <c r="L673" s="26">
        <f>IF($C673="","",IFERROR(IF(INDEX(campaigns!$BG$2:$BG$51,MATCH($C673,campaigns!$A$2:$A$51,0))="","",INDEX(campaigns!$BG$2:$BG$51,MATCH($C673,campaigns!$A$2:$A$51,0))),""))</f>
        <v/>
      </c>
      <c r="M673" s="25">
        <f>IF($C673="","",IF(OR($E673="received"),N($G673),IF(OR($E673="rejected",$E673="delivered",$E673="topped_up"),-N($G673),IF(AND(OR($E673="returned_to_brand",$E673="given_to_roster_office",$E673="released_to_office",$E673="disposed"),IF($F673="","reserve",$F673)="reserve"),-N($G673),IF(AND($E673="correction",IF($F673="","reserve",$F673)="reserve"),N($G673),0)))))</f>
        <v/>
      </c>
      <c r="N673" s="25">
        <f>IF($C673="","",IF($E673="rejected",N($G673),IF(AND(OR($E673="returned_to_brand",$E673="given_to_roster_office",$E673="released_to_office",$E673="disposed"),IF($F673="","reserve",$F673)="rejected"),-N($G673),IF(AND($E673="correction",IF($F673="","reserve",$F673)="rejected"),N($G673),0))))</f>
        <v/>
      </c>
      <c r="O673" s="25">
        <f>IF($C673="","",IF($E673="collected",N($G673),IF(AND(OR($E673="returned_to_brand",$E673="given_to_roster_office",$E673="released_to_office",$E673="disposed"),IF($F673="","reserve",$F673)="leftover"),-N($G673),IF(AND($E673="correction",IF($F673="","reserve",$F673)="leftover"),N($G673),0))))</f>
        <v/>
      </c>
      <c r="P673" s="25">
        <f>IF(OR($E673&lt;&gt;"received",$I673="",$L673=""),"",IF($I673&gt;=$L673+config!$B$19,"Y","N"))</f>
        <v/>
      </c>
      <c r="Q673" s="25">
        <f>IF($C673="","",IF(COUNTIF(campaigns!$A$2:$A$51,$C673)=0,"campaign_id not on campaigns; ",IF(AND($D673&lt;&gt;"",COUNTIFS(approvals!$A$2:$A$251,$C673,approvals!$B$2:$B$251,$D673)=0),"office not on this campaign (approvals tab); ",""))&amp;IF(AND(OR($E673="delivered",$E673="topped_up",$E673="collected"),$D673=""),"office needed; ","")&amp;IF(AND($E673&lt;&gt;"correction",N($G673)&lt;=0),"qty must be above 0; ","")&amp;IF(AND($E673="received",OR($I673="",$H673="")),"log lot and best-by; ","")&amp;IF(AND($P673="N",SUMIFS(inventory!$G$2:$G$801,inventory!$C$2:$C$801,$C673,inventory!$H$2:$H$801,$H673,inventory!$E$2:$E$801,"rejected")&lt;N($G673)),"UNDER "&amp;config!$B$19&amp;" DAYS LEFT ON THE DROP DAY: reject these units; ","")&amp;IF(AND($E673="delivered",COUNTIF(inventory!$R$2:$R$801,$R673)&gt;1),"two delivered rows for this office: use one; ","")&amp;IF(AND($E673="delivered",$J673=""),"who counted?; ",""))</f>
        <v/>
      </c>
      <c r="R673" s="25">
        <f>IF($C673="","",$C673&amp;"|"&amp;$D673&amp;"|"&amp;$E673)</f>
        <v/>
      </c>
    </row>
    <row r="674">
      <c r="A674" s="9" t="n"/>
      <c r="B674" s="33" t="n"/>
      <c r="I674" s="9" t="n"/>
      <c r="L674" s="26">
        <f>IF($C674="","",IFERROR(IF(INDEX(campaigns!$BG$2:$BG$51,MATCH($C674,campaigns!$A$2:$A$51,0))="","",INDEX(campaigns!$BG$2:$BG$51,MATCH($C674,campaigns!$A$2:$A$51,0))),""))</f>
        <v/>
      </c>
      <c r="M674" s="25">
        <f>IF($C674="","",IF(OR($E674="received"),N($G674),IF(OR($E674="rejected",$E674="delivered",$E674="topped_up"),-N($G674),IF(AND(OR($E674="returned_to_brand",$E674="given_to_roster_office",$E674="released_to_office",$E674="disposed"),IF($F674="","reserve",$F674)="reserve"),-N($G674),IF(AND($E674="correction",IF($F674="","reserve",$F674)="reserve"),N($G674),0)))))</f>
        <v/>
      </c>
      <c r="N674" s="25">
        <f>IF($C674="","",IF($E674="rejected",N($G674),IF(AND(OR($E674="returned_to_brand",$E674="given_to_roster_office",$E674="released_to_office",$E674="disposed"),IF($F674="","reserve",$F674)="rejected"),-N($G674),IF(AND($E674="correction",IF($F674="","reserve",$F674)="rejected"),N($G674),0))))</f>
        <v/>
      </c>
      <c r="O674" s="25">
        <f>IF($C674="","",IF($E674="collected",N($G674),IF(AND(OR($E674="returned_to_brand",$E674="given_to_roster_office",$E674="released_to_office",$E674="disposed"),IF($F674="","reserve",$F674)="leftover"),-N($G674),IF(AND($E674="correction",IF($F674="","reserve",$F674)="leftover"),N($G674),0))))</f>
        <v/>
      </c>
      <c r="P674" s="25">
        <f>IF(OR($E674&lt;&gt;"received",$I674="",$L674=""),"",IF($I674&gt;=$L674+config!$B$19,"Y","N"))</f>
        <v/>
      </c>
      <c r="Q674" s="25">
        <f>IF($C674="","",IF(COUNTIF(campaigns!$A$2:$A$51,$C674)=0,"campaign_id not on campaigns; ",IF(AND($D674&lt;&gt;"",COUNTIFS(approvals!$A$2:$A$251,$C674,approvals!$B$2:$B$251,$D674)=0),"office not on this campaign (approvals tab); ",""))&amp;IF(AND(OR($E674="delivered",$E674="topped_up",$E674="collected"),$D674=""),"office needed; ","")&amp;IF(AND($E674&lt;&gt;"correction",N($G674)&lt;=0),"qty must be above 0; ","")&amp;IF(AND($E674="received",OR($I674="",$H674="")),"log lot and best-by; ","")&amp;IF(AND($P674="N",SUMIFS(inventory!$G$2:$G$801,inventory!$C$2:$C$801,$C674,inventory!$H$2:$H$801,$H674,inventory!$E$2:$E$801,"rejected")&lt;N($G674)),"UNDER "&amp;config!$B$19&amp;" DAYS LEFT ON THE DROP DAY: reject these units; ","")&amp;IF(AND($E674="delivered",COUNTIF(inventory!$R$2:$R$801,$R674)&gt;1),"two delivered rows for this office: use one; ","")&amp;IF(AND($E674="delivered",$J674=""),"who counted?; ",""))</f>
        <v/>
      </c>
      <c r="R674" s="25">
        <f>IF($C674="","",$C674&amp;"|"&amp;$D674&amp;"|"&amp;$E674)</f>
        <v/>
      </c>
    </row>
    <row r="675">
      <c r="A675" s="9" t="n"/>
      <c r="B675" s="33" t="n"/>
      <c r="I675" s="9" t="n"/>
      <c r="L675" s="26">
        <f>IF($C675="","",IFERROR(IF(INDEX(campaigns!$BG$2:$BG$51,MATCH($C675,campaigns!$A$2:$A$51,0))="","",INDEX(campaigns!$BG$2:$BG$51,MATCH($C675,campaigns!$A$2:$A$51,0))),""))</f>
        <v/>
      </c>
      <c r="M675" s="25">
        <f>IF($C675="","",IF(OR($E675="received"),N($G675),IF(OR($E675="rejected",$E675="delivered",$E675="topped_up"),-N($G675),IF(AND(OR($E675="returned_to_brand",$E675="given_to_roster_office",$E675="released_to_office",$E675="disposed"),IF($F675="","reserve",$F675)="reserve"),-N($G675),IF(AND($E675="correction",IF($F675="","reserve",$F675)="reserve"),N($G675),0)))))</f>
        <v/>
      </c>
      <c r="N675" s="25">
        <f>IF($C675="","",IF($E675="rejected",N($G675),IF(AND(OR($E675="returned_to_brand",$E675="given_to_roster_office",$E675="released_to_office",$E675="disposed"),IF($F675="","reserve",$F675)="rejected"),-N($G675),IF(AND($E675="correction",IF($F675="","reserve",$F675)="rejected"),N($G675),0))))</f>
        <v/>
      </c>
      <c r="O675" s="25">
        <f>IF($C675="","",IF($E675="collected",N($G675),IF(AND(OR($E675="returned_to_brand",$E675="given_to_roster_office",$E675="released_to_office",$E675="disposed"),IF($F675="","reserve",$F675)="leftover"),-N($G675),IF(AND($E675="correction",IF($F675="","reserve",$F675)="leftover"),N($G675),0))))</f>
        <v/>
      </c>
      <c r="P675" s="25">
        <f>IF(OR($E675&lt;&gt;"received",$I675="",$L675=""),"",IF($I675&gt;=$L675+config!$B$19,"Y","N"))</f>
        <v/>
      </c>
      <c r="Q675" s="25">
        <f>IF($C675="","",IF(COUNTIF(campaigns!$A$2:$A$51,$C675)=0,"campaign_id not on campaigns; ",IF(AND($D675&lt;&gt;"",COUNTIFS(approvals!$A$2:$A$251,$C675,approvals!$B$2:$B$251,$D675)=0),"office not on this campaign (approvals tab); ",""))&amp;IF(AND(OR($E675="delivered",$E675="topped_up",$E675="collected"),$D675=""),"office needed; ","")&amp;IF(AND($E675&lt;&gt;"correction",N($G675)&lt;=0),"qty must be above 0; ","")&amp;IF(AND($E675="received",OR($I675="",$H675="")),"log lot and best-by; ","")&amp;IF(AND($P675="N",SUMIFS(inventory!$G$2:$G$801,inventory!$C$2:$C$801,$C675,inventory!$H$2:$H$801,$H675,inventory!$E$2:$E$801,"rejected")&lt;N($G675)),"UNDER "&amp;config!$B$19&amp;" DAYS LEFT ON THE DROP DAY: reject these units; ","")&amp;IF(AND($E675="delivered",COUNTIF(inventory!$R$2:$R$801,$R675)&gt;1),"two delivered rows for this office: use one; ","")&amp;IF(AND($E675="delivered",$J675=""),"who counted?; ",""))</f>
        <v/>
      </c>
      <c r="R675" s="25">
        <f>IF($C675="","",$C675&amp;"|"&amp;$D675&amp;"|"&amp;$E675)</f>
        <v/>
      </c>
    </row>
    <row r="676">
      <c r="A676" s="9" t="n"/>
      <c r="B676" s="33" t="n"/>
      <c r="I676" s="9" t="n"/>
      <c r="L676" s="26">
        <f>IF($C676="","",IFERROR(IF(INDEX(campaigns!$BG$2:$BG$51,MATCH($C676,campaigns!$A$2:$A$51,0))="","",INDEX(campaigns!$BG$2:$BG$51,MATCH($C676,campaigns!$A$2:$A$51,0))),""))</f>
        <v/>
      </c>
      <c r="M676" s="25">
        <f>IF($C676="","",IF(OR($E676="received"),N($G676),IF(OR($E676="rejected",$E676="delivered",$E676="topped_up"),-N($G676),IF(AND(OR($E676="returned_to_brand",$E676="given_to_roster_office",$E676="released_to_office",$E676="disposed"),IF($F676="","reserve",$F676)="reserve"),-N($G676),IF(AND($E676="correction",IF($F676="","reserve",$F676)="reserve"),N($G676),0)))))</f>
        <v/>
      </c>
      <c r="N676" s="25">
        <f>IF($C676="","",IF($E676="rejected",N($G676),IF(AND(OR($E676="returned_to_brand",$E676="given_to_roster_office",$E676="released_to_office",$E676="disposed"),IF($F676="","reserve",$F676)="rejected"),-N($G676),IF(AND($E676="correction",IF($F676="","reserve",$F676)="rejected"),N($G676),0))))</f>
        <v/>
      </c>
      <c r="O676" s="25">
        <f>IF($C676="","",IF($E676="collected",N($G676),IF(AND(OR($E676="returned_to_brand",$E676="given_to_roster_office",$E676="released_to_office",$E676="disposed"),IF($F676="","reserve",$F676)="leftover"),-N($G676),IF(AND($E676="correction",IF($F676="","reserve",$F676)="leftover"),N($G676),0))))</f>
        <v/>
      </c>
      <c r="P676" s="25">
        <f>IF(OR($E676&lt;&gt;"received",$I676="",$L676=""),"",IF($I676&gt;=$L676+config!$B$19,"Y","N"))</f>
        <v/>
      </c>
      <c r="Q676" s="25">
        <f>IF($C676="","",IF(COUNTIF(campaigns!$A$2:$A$51,$C676)=0,"campaign_id not on campaigns; ",IF(AND($D676&lt;&gt;"",COUNTIFS(approvals!$A$2:$A$251,$C676,approvals!$B$2:$B$251,$D676)=0),"office not on this campaign (approvals tab); ",""))&amp;IF(AND(OR($E676="delivered",$E676="topped_up",$E676="collected"),$D676=""),"office needed; ","")&amp;IF(AND($E676&lt;&gt;"correction",N($G676)&lt;=0),"qty must be above 0; ","")&amp;IF(AND($E676="received",OR($I676="",$H676="")),"log lot and best-by; ","")&amp;IF(AND($P676="N",SUMIFS(inventory!$G$2:$G$801,inventory!$C$2:$C$801,$C676,inventory!$H$2:$H$801,$H676,inventory!$E$2:$E$801,"rejected")&lt;N($G676)),"UNDER "&amp;config!$B$19&amp;" DAYS LEFT ON THE DROP DAY: reject these units; ","")&amp;IF(AND($E676="delivered",COUNTIF(inventory!$R$2:$R$801,$R676)&gt;1),"two delivered rows for this office: use one; ","")&amp;IF(AND($E676="delivered",$J676=""),"who counted?; ",""))</f>
        <v/>
      </c>
      <c r="R676" s="25">
        <f>IF($C676="","",$C676&amp;"|"&amp;$D676&amp;"|"&amp;$E676)</f>
        <v/>
      </c>
    </row>
    <row r="677">
      <c r="A677" s="9" t="n"/>
      <c r="B677" s="33" t="n"/>
      <c r="I677" s="9" t="n"/>
      <c r="L677" s="26">
        <f>IF($C677="","",IFERROR(IF(INDEX(campaigns!$BG$2:$BG$51,MATCH($C677,campaigns!$A$2:$A$51,0))="","",INDEX(campaigns!$BG$2:$BG$51,MATCH($C677,campaigns!$A$2:$A$51,0))),""))</f>
        <v/>
      </c>
      <c r="M677" s="25">
        <f>IF($C677="","",IF(OR($E677="received"),N($G677),IF(OR($E677="rejected",$E677="delivered",$E677="topped_up"),-N($G677),IF(AND(OR($E677="returned_to_brand",$E677="given_to_roster_office",$E677="released_to_office",$E677="disposed"),IF($F677="","reserve",$F677)="reserve"),-N($G677),IF(AND($E677="correction",IF($F677="","reserve",$F677)="reserve"),N($G677),0)))))</f>
        <v/>
      </c>
      <c r="N677" s="25">
        <f>IF($C677="","",IF($E677="rejected",N($G677),IF(AND(OR($E677="returned_to_brand",$E677="given_to_roster_office",$E677="released_to_office",$E677="disposed"),IF($F677="","reserve",$F677)="rejected"),-N($G677),IF(AND($E677="correction",IF($F677="","reserve",$F677)="rejected"),N($G677),0))))</f>
        <v/>
      </c>
      <c r="O677" s="25">
        <f>IF($C677="","",IF($E677="collected",N($G677),IF(AND(OR($E677="returned_to_brand",$E677="given_to_roster_office",$E677="released_to_office",$E677="disposed"),IF($F677="","reserve",$F677)="leftover"),-N($G677),IF(AND($E677="correction",IF($F677="","reserve",$F677)="leftover"),N($G677),0))))</f>
        <v/>
      </c>
      <c r="P677" s="25">
        <f>IF(OR($E677&lt;&gt;"received",$I677="",$L677=""),"",IF($I677&gt;=$L677+config!$B$19,"Y","N"))</f>
        <v/>
      </c>
      <c r="Q677" s="25">
        <f>IF($C677="","",IF(COUNTIF(campaigns!$A$2:$A$51,$C677)=0,"campaign_id not on campaigns; ",IF(AND($D677&lt;&gt;"",COUNTIFS(approvals!$A$2:$A$251,$C677,approvals!$B$2:$B$251,$D677)=0),"office not on this campaign (approvals tab); ",""))&amp;IF(AND(OR($E677="delivered",$E677="topped_up",$E677="collected"),$D677=""),"office needed; ","")&amp;IF(AND($E677&lt;&gt;"correction",N($G677)&lt;=0),"qty must be above 0; ","")&amp;IF(AND($E677="received",OR($I677="",$H677="")),"log lot and best-by; ","")&amp;IF(AND($P677="N",SUMIFS(inventory!$G$2:$G$801,inventory!$C$2:$C$801,$C677,inventory!$H$2:$H$801,$H677,inventory!$E$2:$E$801,"rejected")&lt;N($G677)),"UNDER "&amp;config!$B$19&amp;" DAYS LEFT ON THE DROP DAY: reject these units; ","")&amp;IF(AND($E677="delivered",COUNTIF(inventory!$R$2:$R$801,$R677)&gt;1),"two delivered rows for this office: use one; ","")&amp;IF(AND($E677="delivered",$J677=""),"who counted?; ",""))</f>
        <v/>
      </c>
      <c r="R677" s="25">
        <f>IF($C677="","",$C677&amp;"|"&amp;$D677&amp;"|"&amp;$E677)</f>
        <v/>
      </c>
    </row>
    <row r="678">
      <c r="A678" s="9" t="n"/>
      <c r="B678" s="33" t="n"/>
      <c r="I678" s="9" t="n"/>
      <c r="L678" s="26">
        <f>IF($C678="","",IFERROR(IF(INDEX(campaigns!$BG$2:$BG$51,MATCH($C678,campaigns!$A$2:$A$51,0))="","",INDEX(campaigns!$BG$2:$BG$51,MATCH($C678,campaigns!$A$2:$A$51,0))),""))</f>
        <v/>
      </c>
      <c r="M678" s="25">
        <f>IF($C678="","",IF(OR($E678="received"),N($G678),IF(OR($E678="rejected",$E678="delivered",$E678="topped_up"),-N($G678),IF(AND(OR($E678="returned_to_brand",$E678="given_to_roster_office",$E678="released_to_office",$E678="disposed"),IF($F678="","reserve",$F678)="reserve"),-N($G678),IF(AND($E678="correction",IF($F678="","reserve",$F678)="reserve"),N($G678),0)))))</f>
        <v/>
      </c>
      <c r="N678" s="25">
        <f>IF($C678="","",IF($E678="rejected",N($G678),IF(AND(OR($E678="returned_to_brand",$E678="given_to_roster_office",$E678="released_to_office",$E678="disposed"),IF($F678="","reserve",$F678)="rejected"),-N($G678),IF(AND($E678="correction",IF($F678="","reserve",$F678)="rejected"),N($G678),0))))</f>
        <v/>
      </c>
      <c r="O678" s="25">
        <f>IF($C678="","",IF($E678="collected",N($G678),IF(AND(OR($E678="returned_to_brand",$E678="given_to_roster_office",$E678="released_to_office",$E678="disposed"),IF($F678="","reserve",$F678)="leftover"),-N($G678),IF(AND($E678="correction",IF($F678="","reserve",$F678)="leftover"),N($G678),0))))</f>
        <v/>
      </c>
      <c r="P678" s="25">
        <f>IF(OR($E678&lt;&gt;"received",$I678="",$L678=""),"",IF($I678&gt;=$L678+config!$B$19,"Y","N"))</f>
        <v/>
      </c>
      <c r="Q678" s="25">
        <f>IF($C678="","",IF(COUNTIF(campaigns!$A$2:$A$51,$C678)=0,"campaign_id not on campaigns; ",IF(AND($D678&lt;&gt;"",COUNTIFS(approvals!$A$2:$A$251,$C678,approvals!$B$2:$B$251,$D678)=0),"office not on this campaign (approvals tab); ",""))&amp;IF(AND(OR($E678="delivered",$E678="topped_up",$E678="collected"),$D678=""),"office needed; ","")&amp;IF(AND($E678&lt;&gt;"correction",N($G678)&lt;=0),"qty must be above 0; ","")&amp;IF(AND($E678="received",OR($I678="",$H678="")),"log lot and best-by; ","")&amp;IF(AND($P678="N",SUMIFS(inventory!$G$2:$G$801,inventory!$C$2:$C$801,$C678,inventory!$H$2:$H$801,$H678,inventory!$E$2:$E$801,"rejected")&lt;N($G678)),"UNDER "&amp;config!$B$19&amp;" DAYS LEFT ON THE DROP DAY: reject these units; ","")&amp;IF(AND($E678="delivered",COUNTIF(inventory!$R$2:$R$801,$R678)&gt;1),"two delivered rows for this office: use one; ","")&amp;IF(AND($E678="delivered",$J678=""),"who counted?; ",""))</f>
        <v/>
      </c>
      <c r="R678" s="25">
        <f>IF($C678="","",$C678&amp;"|"&amp;$D678&amp;"|"&amp;$E678)</f>
        <v/>
      </c>
    </row>
    <row r="679">
      <c r="A679" s="9" t="n"/>
      <c r="B679" s="33" t="n"/>
      <c r="I679" s="9" t="n"/>
      <c r="L679" s="26">
        <f>IF($C679="","",IFERROR(IF(INDEX(campaigns!$BG$2:$BG$51,MATCH($C679,campaigns!$A$2:$A$51,0))="","",INDEX(campaigns!$BG$2:$BG$51,MATCH($C679,campaigns!$A$2:$A$51,0))),""))</f>
        <v/>
      </c>
      <c r="M679" s="25">
        <f>IF($C679="","",IF(OR($E679="received"),N($G679),IF(OR($E679="rejected",$E679="delivered",$E679="topped_up"),-N($G679),IF(AND(OR($E679="returned_to_brand",$E679="given_to_roster_office",$E679="released_to_office",$E679="disposed"),IF($F679="","reserve",$F679)="reserve"),-N($G679),IF(AND($E679="correction",IF($F679="","reserve",$F679)="reserve"),N($G679),0)))))</f>
        <v/>
      </c>
      <c r="N679" s="25">
        <f>IF($C679="","",IF($E679="rejected",N($G679),IF(AND(OR($E679="returned_to_brand",$E679="given_to_roster_office",$E679="released_to_office",$E679="disposed"),IF($F679="","reserve",$F679)="rejected"),-N($G679),IF(AND($E679="correction",IF($F679="","reserve",$F679)="rejected"),N($G679),0))))</f>
        <v/>
      </c>
      <c r="O679" s="25">
        <f>IF($C679="","",IF($E679="collected",N($G679),IF(AND(OR($E679="returned_to_brand",$E679="given_to_roster_office",$E679="released_to_office",$E679="disposed"),IF($F679="","reserve",$F679)="leftover"),-N($G679),IF(AND($E679="correction",IF($F679="","reserve",$F679)="leftover"),N($G679),0))))</f>
        <v/>
      </c>
      <c r="P679" s="25">
        <f>IF(OR($E679&lt;&gt;"received",$I679="",$L679=""),"",IF($I679&gt;=$L679+config!$B$19,"Y","N"))</f>
        <v/>
      </c>
      <c r="Q679" s="25">
        <f>IF($C679="","",IF(COUNTIF(campaigns!$A$2:$A$51,$C679)=0,"campaign_id not on campaigns; ",IF(AND($D679&lt;&gt;"",COUNTIFS(approvals!$A$2:$A$251,$C679,approvals!$B$2:$B$251,$D679)=0),"office not on this campaign (approvals tab); ",""))&amp;IF(AND(OR($E679="delivered",$E679="topped_up",$E679="collected"),$D679=""),"office needed; ","")&amp;IF(AND($E679&lt;&gt;"correction",N($G679)&lt;=0),"qty must be above 0; ","")&amp;IF(AND($E679="received",OR($I679="",$H679="")),"log lot and best-by; ","")&amp;IF(AND($P679="N",SUMIFS(inventory!$G$2:$G$801,inventory!$C$2:$C$801,$C679,inventory!$H$2:$H$801,$H679,inventory!$E$2:$E$801,"rejected")&lt;N($G679)),"UNDER "&amp;config!$B$19&amp;" DAYS LEFT ON THE DROP DAY: reject these units; ","")&amp;IF(AND($E679="delivered",COUNTIF(inventory!$R$2:$R$801,$R679)&gt;1),"two delivered rows for this office: use one; ","")&amp;IF(AND($E679="delivered",$J679=""),"who counted?; ",""))</f>
        <v/>
      </c>
      <c r="R679" s="25">
        <f>IF($C679="","",$C679&amp;"|"&amp;$D679&amp;"|"&amp;$E679)</f>
        <v/>
      </c>
    </row>
    <row r="680">
      <c r="A680" s="9" t="n"/>
      <c r="B680" s="33" t="n"/>
      <c r="I680" s="9" t="n"/>
      <c r="L680" s="26">
        <f>IF($C680="","",IFERROR(IF(INDEX(campaigns!$BG$2:$BG$51,MATCH($C680,campaigns!$A$2:$A$51,0))="","",INDEX(campaigns!$BG$2:$BG$51,MATCH($C680,campaigns!$A$2:$A$51,0))),""))</f>
        <v/>
      </c>
      <c r="M680" s="25">
        <f>IF($C680="","",IF(OR($E680="received"),N($G680),IF(OR($E680="rejected",$E680="delivered",$E680="topped_up"),-N($G680),IF(AND(OR($E680="returned_to_brand",$E680="given_to_roster_office",$E680="released_to_office",$E680="disposed"),IF($F680="","reserve",$F680)="reserve"),-N($G680),IF(AND($E680="correction",IF($F680="","reserve",$F680)="reserve"),N($G680),0)))))</f>
        <v/>
      </c>
      <c r="N680" s="25">
        <f>IF($C680="","",IF($E680="rejected",N($G680),IF(AND(OR($E680="returned_to_brand",$E680="given_to_roster_office",$E680="released_to_office",$E680="disposed"),IF($F680="","reserve",$F680)="rejected"),-N($G680),IF(AND($E680="correction",IF($F680="","reserve",$F680)="rejected"),N($G680),0))))</f>
        <v/>
      </c>
      <c r="O680" s="25">
        <f>IF($C680="","",IF($E680="collected",N($G680),IF(AND(OR($E680="returned_to_brand",$E680="given_to_roster_office",$E680="released_to_office",$E680="disposed"),IF($F680="","reserve",$F680)="leftover"),-N($G680),IF(AND($E680="correction",IF($F680="","reserve",$F680)="leftover"),N($G680),0))))</f>
        <v/>
      </c>
      <c r="P680" s="25">
        <f>IF(OR($E680&lt;&gt;"received",$I680="",$L680=""),"",IF($I680&gt;=$L680+config!$B$19,"Y","N"))</f>
        <v/>
      </c>
      <c r="Q680" s="25">
        <f>IF($C680="","",IF(COUNTIF(campaigns!$A$2:$A$51,$C680)=0,"campaign_id not on campaigns; ",IF(AND($D680&lt;&gt;"",COUNTIFS(approvals!$A$2:$A$251,$C680,approvals!$B$2:$B$251,$D680)=0),"office not on this campaign (approvals tab); ",""))&amp;IF(AND(OR($E680="delivered",$E680="topped_up",$E680="collected"),$D680=""),"office needed; ","")&amp;IF(AND($E680&lt;&gt;"correction",N($G680)&lt;=0),"qty must be above 0; ","")&amp;IF(AND($E680="received",OR($I680="",$H680="")),"log lot and best-by; ","")&amp;IF(AND($P680="N",SUMIFS(inventory!$G$2:$G$801,inventory!$C$2:$C$801,$C680,inventory!$H$2:$H$801,$H680,inventory!$E$2:$E$801,"rejected")&lt;N($G680)),"UNDER "&amp;config!$B$19&amp;" DAYS LEFT ON THE DROP DAY: reject these units; ","")&amp;IF(AND($E680="delivered",COUNTIF(inventory!$R$2:$R$801,$R680)&gt;1),"two delivered rows for this office: use one; ","")&amp;IF(AND($E680="delivered",$J680=""),"who counted?; ",""))</f>
        <v/>
      </c>
      <c r="R680" s="25">
        <f>IF($C680="","",$C680&amp;"|"&amp;$D680&amp;"|"&amp;$E680)</f>
        <v/>
      </c>
    </row>
    <row r="681">
      <c r="A681" s="9" t="n"/>
      <c r="B681" s="33" t="n"/>
      <c r="I681" s="9" t="n"/>
      <c r="L681" s="26">
        <f>IF($C681="","",IFERROR(IF(INDEX(campaigns!$BG$2:$BG$51,MATCH($C681,campaigns!$A$2:$A$51,0))="","",INDEX(campaigns!$BG$2:$BG$51,MATCH($C681,campaigns!$A$2:$A$51,0))),""))</f>
        <v/>
      </c>
      <c r="M681" s="25">
        <f>IF($C681="","",IF(OR($E681="received"),N($G681),IF(OR($E681="rejected",$E681="delivered",$E681="topped_up"),-N($G681),IF(AND(OR($E681="returned_to_brand",$E681="given_to_roster_office",$E681="released_to_office",$E681="disposed"),IF($F681="","reserve",$F681)="reserve"),-N($G681),IF(AND($E681="correction",IF($F681="","reserve",$F681)="reserve"),N($G681),0)))))</f>
        <v/>
      </c>
      <c r="N681" s="25">
        <f>IF($C681="","",IF($E681="rejected",N($G681),IF(AND(OR($E681="returned_to_brand",$E681="given_to_roster_office",$E681="released_to_office",$E681="disposed"),IF($F681="","reserve",$F681)="rejected"),-N($G681),IF(AND($E681="correction",IF($F681="","reserve",$F681)="rejected"),N($G681),0))))</f>
        <v/>
      </c>
      <c r="O681" s="25">
        <f>IF($C681="","",IF($E681="collected",N($G681),IF(AND(OR($E681="returned_to_brand",$E681="given_to_roster_office",$E681="released_to_office",$E681="disposed"),IF($F681="","reserve",$F681)="leftover"),-N($G681),IF(AND($E681="correction",IF($F681="","reserve",$F681)="leftover"),N($G681),0))))</f>
        <v/>
      </c>
      <c r="P681" s="25">
        <f>IF(OR($E681&lt;&gt;"received",$I681="",$L681=""),"",IF($I681&gt;=$L681+config!$B$19,"Y","N"))</f>
        <v/>
      </c>
      <c r="Q681" s="25">
        <f>IF($C681="","",IF(COUNTIF(campaigns!$A$2:$A$51,$C681)=0,"campaign_id not on campaigns; ",IF(AND($D681&lt;&gt;"",COUNTIFS(approvals!$A$2:$A$251,$C681,approvals!$B$2:$B$251,$D681)=0),"office not on this campaign (approvals tab); ",""))&amp;IF(AND(OR($E681="delivered",$E681="topped_up",$E681="collected"),$D681=""),"office needed; ","")&amp;IF(AND($E681&lt;&gt;"correction",N($G681)&lt;=0),"qty must be above 0; ","")&amp;IF(AND($E681="received",OR($I681="",$H681="")),"log lot and best-by; ","")&amp;IF(AND($P681="N",SUMIFS(inventory!$G$2:$G$801,inventory!$C$2:$C$801,$C681,inventory!$H$2:$H$801,$H681,inventory!$E$2:$E$801,"rejected")&lt;N($G681)),"UNDER "&amp;config!$B$19&amp;" DAYS LEFT ON THE DROP DAY: reject these units; ","")&amp;IF(AND($E681="delivered",COUNTIF(inventory!$R$2:$R$801,$R681)&gt;1),"two delivered rows for this office: use one; ","")&amp;IF(AND($E681="delivered",$J681=""),"who counted?; ",""))</f>
        <v/>
      </c>
      <c r="R681" s="25">
        <f>IF($C681="","",$C681&amp;"|"&amp;$D681&amp;"|"&amp;$E681)</f>
        <v/>
      </c>
    </row>
    <row r="682">
      <c r="A682" s="9" t="n"/>
      <c r="B682" s="33" t="n"/>
      <c r="I682" s="9" t="n"/>
      <c r="L682" s="26">
        <f>IF($C682="","",IFERROR(IF(INDEX(campaigns!$BG$2:$BG$51,MATCH($C682,campaigns!$A$2:$A$51,0))="","",INDEX(campaigns!$BG$2:$BG$51,MATCH($C682,campaigns!$A$2:$A$51,0))),""))</f>
        <v/>
      </c>
      <c r="M682" s="25">
        <f>IF($C682="","",IF(OR($E682="received"),N($G682),IF(OR($E682="rejected",$E682="delivered",$E682="topped_up"),-N($G682),IF(AND(OR($E682="returned_to_brand",$E682="given_to_roster_office",$E682="released_to_office",$E682="disposed"),IF($F682="","reserve",$F682)="reserve"),-N($G682),IF(AND($E682="correction",IF($F682="","reserve",$F682)="reserve"),N($G682),0)))))</f>
        <v/>
      </c>
      <c r="N682" s="25">
        <f>IF($C682="","",IF($E682="rejected",N($G682),IF(AND(OR($E682="returned_to_brand",$E682="given_to_roster_office",$E682="released_to_office",$E682="disposed"),IF($F682="","reserve",$F682)="rejected"),-N($G682),IF(AND($E682="correction",IF($F682="","reserve",$F682)="rejected"),N($G682),0))))</f>
        <v/>
      </c>
      <c r="O682" s="25">
        <f>IF($C682="","",IF($E682="collected",N($G682),IF(AND(OR($E682="returned_to_brand",$E682="given_to_roster_office",$E682="released_to_office",$E682="disposed"),IF($F682="","reserve",$F682)="leftover"),-N($G682),IF(AND($E682="correction",IF($F682="","reserve",$F682)="leftover"),N($G682),0))))</f>
        <v/>
      </c>
      <c r="P682" s="25">
        <f>IF(OR($E682&lt;&gt;"received",$I682="",$L682=""),"",IF($I682&gt;=$L682+config!$B$19,"Y","N"))</f>
        <v/>
      </c>
      <c r="Q682" s="25">
        <f>IF($C682="","",IF(COUNTIF(campaigns!$A$2:$A$51,$C682)=0,"campaign_id not on campaigns; ",IF(AND($D682&lt;&gt;"",COUNTIFS(approvals!$A$2:$A$251,$C682,approvals!$B$2:$B$251,$D682)=0),"office not on this campaign (approvals tab); ",""))&amp;IF(AND(OR($E682="delivered",$E682="topped_up",$E682="collected"),$D682=""),"office needed; ","")&amp;IF(AND($E682&lt;&gt;"correction",N($G682)&lt;=0),"qty must be above 0; ","")&amp;IF(AND($E682="received",OR($I682="",$H682="")),"log lot and best-by; ","")&amp;IF(AND($P682="N",SUMIFS(inventory!$G$2:$G$801,inventory!$C$2:$C$801,$C682,inventory!$H$2:$H$801,$H682,inventory!$E$2:$E$801,"rejected")&lt;N($G682)),"UNDER "&amp;config!$B$19&amp;" DAYS LEFT ON THE DROP DAY: reject these units; ","")&amp;IF(AND($E682="delivered",COUNTIF(inventory!$R$2:$R$801,$R682)&gt;1),"two delivered rows for this office: use one; ","")&amp;IF(AND($E682="delivered",$J682=""),"who counted?; ",""))</f>
        <v/>
      </c>
      <c r="R682" s="25">
        <f>IF($C682="","",$C682&amp;"|"&amp;$D682&amp;"|"&amp;$E682)</f>
        <v/>
      </c>
    </row>
    <row r="683">
      <c r="A683" s="9" t="n"/>
      <c r="B683" s="33" t="n"/>
      <c r="I683" s="9" t="n"/>
      <c r="L683" s="26">
        <f>IF($C683="","",IFERROR(IF(INDEX(campaigns!$BG$2:$BG$51,MATCH($C683,campaigns!$A$2:$A$51,0))="","",INDEX(campaigns!$BG$2:$BG$51,MATCH($C683,campaigns!$A$2:$A$51,0))),""))</f>
        <v/>
      </c>
      <c r="M683" s="25">
        <f>IF($C683="","",IF(OR($E683="received"),N($G683),IF(OR($E683="rejected",$E683="delivered",$E683="topped_up"),-N($G683),IF(AND(OR($E683="returned_to_brand",$E683="given_to_roster_office",$E683="released_to_office",$E683="disposed"),IF($F683="","reserve",$F683)="reserve"),-N($G683),IF(AND($E683="correction",IF($F683="","reserve",$F683)="reserve"),N($G683),0)))))</f>
        <v/>
      </c>
      <c r="N683" s="25">
        <f>IF($C683="","",IF($E683="rejected",N($G683),IF(AND(OR($E683="returned_to_brand",$E683="given_to_roster_office",$E683="released_to_office",$E683="disposed"),IF($F683="","reserve",$F683)="rejected"),-N($G683),IF(AND($E683="correction",IF($F683="","reserve",$F683)="rejected"),N($G683),0))))</f>
        <v/>
      </c>
      <c r="O683" s="25">
        <f>IF($C683="","",IF($E683="collected",N($G683),IF(AND(OR($E683="returned_to_brand",$E683="given_to_roster_office",$E683="released_to_office",$E683="disposed"),IF($F683="","reserve",$F683)="leftover"),-N($G683),IF(AND($E683="correction",IF($F683="","reserve",$F683)="leftover"),N($G683),0))))</f>
        <v/>
      </c>
      <c r="P683" s="25">
        <f>IF(OR($E683&lt;&gt;"received",$I683="",$L683=""),"",IF($I683&gt;=$L683+config!$B$19,"Y","N"))</f>
        <v/>
      </c>
      <c r="Q683" s="25">
        <f>IF($C683="","",IF(COUNTIF(campaigns!$A$2:$A$51,$C683)=0,"campaign_id not on campaigns; ",IF(AND($D683&lt;&gt;"",COUNTIFS(approvals!$A$2:$A$251,$C683,approvals!$B$2:$B$251,$D683)=0),"office not on this campaign (approvals tab); ",""))&amp;IF(AND(OR($E683="delivered",$E683="topped_up",$E683="collected"),$D683=""),"office needed; ","")&amp;IF(AND($E683&lt;&gt;"correction",N($G683)&lt;=0),"qty must be above 0; ","")&amp;IF(AND($E683="received",OR($I683="",$H683="")),"log lot and best-by; ","")&amp;IF(AND($P683="N",SUMIFS(inventory!$G$2:$G$801,inventory!$C$2:$C$801,$C683,inventory!$H$2:$H$801,$H683,inventory!$E$2:$E$801,"rejected")&lt;N($G683)),"UNDER "&amp;config!$B$19&amp;" DAYS LEFT ON THE DROP DAY: reject these units; ","")&amp;IF(AND($E683="delivered",COUNTIF(inventory!$R$2:$R$801,$R683)&gt;1),"two delivered rows for this office: use one; ","")&amp;IF(AND($E683="delivered",$J683=""),"who counted?; ",""))</f>
        <v/>
      </c>
      <c r="R683" s="25">
        <f>IF($C683="","",$C683&amp;"|"&amp;$D683&amp;"|"&amp;$E683)</f>
        <v/>
      </c>
    </row>
    <row r="684">
      <c r="A684" s="9" t="n"/>
      <c r="B684" s="33" t="n"/>
      <c r="I684" s="9" t="n"/>
      <c r="L684" s="26">
        <f>IF($C684="","",IFERROR(IF(INDEX(campaigns!$BG$2:$BG$51,MATCH($C684,campaigns!$A$2:$A$51,0))="","",INDEX(campaigns!$BG$2:$BG$51,MATCH($C684,campaigns!$A$2:$A$51,0))),""))</f>
        <v/>
      </c>
      <c r="M684" s="25">
        <f>IF($C684="","",IF(OR($E684="received"),N($G684),IF(OR($E684="rejected",$E684="delivered",$E684="topped_up"),-N($G684),IF(AND(OR($E684="returned_to_brand",$E684="given_to_roster_office",$E684="released_to_office",$E684="disposed"),IF($F684="","reserve",$F684)="reserve"),-N($G684),IF(AND($E684="correction",IF($F684="","reserve",$F684)="reserve"),N($G684),0)))))</f>
        <v/>
      </c>
      <c r="N684" s="25">
        <f>IF($C684="","",IF($E684="rejected",N($G684),IF(AND(OR($E684="returned_to_brand",$E684="given_to_roster_office",$E684="released_to_office",$E684="disposed"),IF($F684="","reserve",$F684)="rejected"),-N($G684),IF(AND($E684="correction",IF($F684="","reserve",$F684)="rejected"),N($G684),0))))</f>
        <v/>
      </c>
      <c r="O684" s="25">
        <f>IF($C684="","",IF($E684="collected",N($G684),IF(AND(OR($E684="returned_to_brand",$E684="given_to_roster_office",$E684="released_to_office",$E684="disposed"),IF($F684="","reserve",$F684)="leftover"),-N($G684),IF(AND($E684="correction",IF($F684="","reserve",$F684)="leftover"),N($G684),0))))</f>
        <v/>
      </c>
      <c r="P684" s="25">
        <f>IF(OR($E684&lt;&gt;"received",$I684="",$L684=""),"",IF($I684&gt;=$L684+config!$B$19,"Y","N"))</f>
        <v/>
      </c>
      <c r="Q684" s="25">
        <f>IF($C684="","",IF(COUNTIF(campaigns!$A$2:$A$51,$C684)=0,"campaign_id not on campaigns; ",IF(AND($D684&lt;&gt;"",COUNTIFS(approvals!$A$2:$A$251,$C684,approvals!$B$2:$B$251,$D684)=0),"office not on this campaign (approvals tab); ",""))&amp;IF(AND(OR($E684="delivered",$E684="topped_up",$E684="collected"),$D684=""),"office needed; ","")&amp;IF(AND($E684&lt;&gt;"correction",N($G684)&lt;=0),"qty must be above 0; ","")&amp;IF(AND($E684="received",OR($I684="",$H684="")),"log lot and best-by; ","")&amp;IF(AND($P684="N",SUMIFS(inventory!$G$2:$G$801,inventory!$C$2:$C$801,$C684,inventory!$H$2:$H$801,$H684,inventory!$E$2:$E$801,"rejected")&lt;N($G684)),"UNDER "&amp;config!$B$19&amp;" DAYS LEFT ON THE DROP DAY: reject these units; ","")&amp;IF(AND($E684="delivered",COUNTIF(inventory!$R$2:$R$801,$R684)&gt;1),"two delivered rows for this office: use one; ","")&amp;IF(AND($E684="delivered",$J684=""),"who counted?; ",""))</f>
        <v/>
      </c>
      <c r="R684" s="25">
        <f>IF($C684="","",$C684&amp;"|"&amp;$D684&amp;"|"&amp;$E684)</f>
        <v/>
      </c>
    </row>
    <row r="685">
      <c r="A685" s="9" t="n"/>
      <c r="B685" s="33" t="n"/>
      <c r="I685" s="9" t="n"/>
      <c r="L685" s="26">
        <f>IF($C685="","",IFERROR(IF(INDEX(campaigns!$BG$2:$BG$51,MATCH($C685,campaigns!$A$2:$A$51,0))="","",INDEX(campaigns!$BG$2:$BG$51,MATCH($C685,campaigns!$A$2:$A$51,0))),""))</f>
        <v/>
      </c>
      <c r="M685" s="25">
        <f>IF($C685="","",IF(OR($E685="received"),N($G685),IF(OR($E685="rejected",$E685="delivered",$E685="topped_up"),-N($G685),IF(AND(OR($E685="returned_to_brand",$E685="given_to_roster_office",$E685="released_to_office",$E685="disposed"),IF($F685="","reserve",$F685)="reserve"),-N($G685),IF(AND($E685="correction",IF($F685="","reserve",$F685)="reserve"),N($G685),0)))))</f>
        <v/>
      </c>
      <c r="N685" s="25">
        <f>IF($C685="","",IF($E685="rejected",N($G685),IF(AND(OR($E685="returned_to_brand",$E685="given_to_roster_office",$E685="released_to_office",$E685="disposed"),IF($F685="","reserve",$F685)="rejected"),-N($G685),IF(AND($E685="correction",IF($F685="","reserve",$F685)="rejected"),N($G685),0))))</f>
        <v/>
      </c>
      <c r="O685" s="25">
        <f>IF($C685="","",IF($E685="collected",N($G685),IF(AND(OR($E685="returned_to_brand",$E685="given_to_roster_office",$E685="released_to_office",$E685="disposed"),IF($F685="","reserve",$F685)="leftover"),-N($G685),IF(AND($E685="correction",IF($F685="","reserve",$F685)="leftover"),N($G685),0))))</f>
        <v/>
      </c>
      <c r="P685" s="25">
        <f>IF(OR($E685&lt;&gt;"received",$I685="",$L685=""),"",IF($I685&gt;=$L685+config!$B$19,"Y","N"))</f>
        <v/>
      </c>
      <c r="Q685" s="25">
        <f>IF($C685="","",IF(COUNTIF(campaigns!$A$2:$A$51,$C685)=0,"campaign_id not on campaigns; ",IF(AND($D685&lt;&gt;"",COUNTIFS(approvals!$A$2:$A$251,$C685,approvals!$B$2:$B$251,$D685)=0),"office not on this campaign (approvals tab); ",""))&amp;IF(AND(OR($E685="delivered",$E685="topped_up",$E685="collected"),$D685=""),"office needed; ","")&amp;IF(AND($E685&lt;&gt;"correction",N($G685)&lt;=0),"qty must be above 0; ","")&amp;IF(AND($E685="received",OR($I685="",$H685="")),"log lot and best-by; ","")&amp;IF(AND($P685="N",SUMIFS(inventory!$G$2:$G$801,inventory!$C$2:$C$801,$C685,inventory!$H$2:$H$801,$H685,inventory!$E$2:$E$801,"rejected")&lt;N($G685)),"UNDER "&amp;config!$B$19&amp;" DAYS LEFT ON THE DROP DAY: reject these units; ","")&amp;IF(AND($E685="delivered",COUNTIF(inventory!$R$2:$R$801,$R685)&gt;1),"two delivered rows for this office: use one; ","")&amp;IF(AND($E685="delivered",$J685=""),"who counted?; ",""))</f>
        <v/>
      </c>
      <c r="R685" s="25">
        <f>IF($C685="","",$C685&amp;"|"&amp;$D685&amp;"|"&amp;$E685)</f>
        <v/>
      </c>
    </row>
    <row r="686">
      <c r="A686" s="9" t="n"/>
      <c r="B686" s="33" t="n"/>
      <c r="I686" s="9" t="n"/>
      <c r="L686" s="26">
        <f>IF($C686="","",IFERROR(IF(INDEX(campaigns!$BG$2:$BG$51,MATCH($C686,campaigns!$A$2:$A$51,0))="","",INDEX(campaigns!$BG$2:$BG$51,MATCH($C686,campaigns!$A$2:$A$51,0))),""))</f>
        <v/>
      </c>
      <c r="M686" s="25">
        <f>IF($C686="","",IF(OR($E686="received"),N($G686),IF(OR($E686="rejected",$E686="delivered",$E686="topped_up"),-N($G686),IF(AND(OR($E686="returned_to_brand",$E686="given_to_roster_office",$E686="released_to_office",$E686="disposed"),IF($F686="","reserve",$F686)="reserve"),-N($G686),IF(AND($E686="correction",IF($F686="","reserve",$F686)="reserve"),N($G686),0)))))</f>
        <v/>
      </c>
      <c r="N686" s="25">
        <f>IF($C686="","",IF($E686="rejected",N($G686),IF(AND(OR($E686="returned_to_brand",$E686="given_to_roster_office",$E686="released_to_office",$E686="disposed"),IF($F686="","reserve",$F686)="rejected"),-N($G686),IF(AND($E686="correction",IF($F686="","reserve",$F686)="rejected"),N($G686),0))))</f>
        <v/>
      </c>
      <c r="O686" s="25">
        <f>IF($C686="","",IF($E686="collected",N($G686),IF(AND(OR($E686="returned_to_brand",$E686="given_to_roster_office",$E686="released_to_office",$E686="disposed"),IF($F686="","reserve",$F686)="leftover"),-N($G686),IF(AND($E686="correction",IF($F686="","reserve",$F686)="leftover"),N($G686),0))))</f>
        <v/>
      </c>
      <c r="P686" s="25">
        <f>IF(OR($E686&lt;&gt;"received",$I686="",$L686=""),"",IF($I686&gt;=$L686+config!$B$19,"Y","N"))</f>
        <v/>
      </c>
      <c r="Q686" s="25">
        <f>IF($C686="","",IF(COUNTIF(campaigns!$A$2:$A$51,$C686)=0,"campaign_id not on campaigns; ",IF(AND($D686&lt;&gt;"",COUNTIFS(approvals!$A$2:$A$251,$C686,approvals!$B$2:$B$251,$D686)=0),"office not on this campaign (approvals tab); ",""))&amp;IF(AND(OR($E686="delivered",$E686="topped_up",$E686="collected"),$D686=""),"office needed; ","")&amp;IF(AND($E686&lt;&gt;"correction",N($G686)&lt;=0),"qty must be above 0; ","")&amp;IF(AND($E686="received",OR($I686="",$H686="")),"log lot and best-by; ","")&amp;IF(AND($P686="N",SUMIFS(inventory!$G$2:$G$801,inventory!$C$2:$C$801,$C686,inventory!$H$2:$H$801,$H686,inventory!$E$2:$E$801,"rejected")&lt;N($G686)),"UNDER "&amp;config!$B$19&amp;" DAYS LEFT ON THE DROP DAY: reject these units; ","")&amp;IF(AND($E686="delivered",COUNTIF(inventory!$R$2:$R$801,$R686)&gt;1),"two delivered rows for this office: use one; ","")&amp;IF(AND($E686="delivered",$J686=""),"who counted?; ",""))</f>
        <v/>
      </c>
      <c r="R686" s="25">
        <f>IF($C686="","",$C686&amp;"|"&amp;$D686&amp;"|"&amp;$E686)</f>
        <v/>
      </c>
    </row>
    <row r="687">
      <c r="A687" s="9" t="n"/>
      <c r="B687" s="33" t="n"/>
      <c r="I687" s="9" t="n"/>
      <c r="L687" s="26">
        <f>IF($C687="","",IFERROR(IF(INDEX(campaigns!$BG$2:$BG$51,MATCH($C687,campaigns!$A$2:$A$51,0))="","",INDEX(campaigns!$BG$2:$BG$51,MATCH($C687,campaigns!$A$2:$A$51,0))),""))</f>
        <v/>
      </c>
      <c r="M687" s="25">
        <f>IF($C687="","",IF(OR($E687="received"),N($G687),IF(OR($E687="rejected",$E687="delivered",$E687="topped_up"),-N($G687),IF(AND(OR($E687="returned_to_brand",$E687="given_to_roster_office",$E687="released_to_office",$E687="disposed"),IF($F687="","reserve",$F687)="reserve"),-N($G687),IF(AND($E687="correction",IF($F687="","reserve",$F687)="reserve"),N($G687),0)))))</f>
        <v/>
      </c>
      <c r="N687" s="25">
        <f>IF($C687="","",IF($E687="rejected",N($G687),IF(AND(OR($E687="returned_to_brand",$E687="given_to_roster_office",$E687="released_to_office",$E687="disposed"),IF($F687="","reserve",$F687)="rejected"),-N($G687),IF(AND($E687="correction",IF($F687="","reserve",$F687)="rejected"),N($G687),0))))</f>
        <v/>
      </c>
      <c r="O687" s="25">
        <f>IF($C687="","",IF($E687="collected",N($G687),IF(AND(OR($E687="returned_to_brand",$E687="given_to_roster_office",$E687="released_to_office",$E687="disposed"),IF($F687="","reserve",$F687)="leftover"),-N($G687),IF(AND($E687="correction",IF($F687="","reserve",$F687)="leftover"),N($G687),0))))</f>
        <v/>
      </c>
      <c r="P687" s="25">
        <f>IF(OR($E687&lt;&gt;"received",$I687="",$L687=""),"",IF($I687&gt;=$L687+config!$B$19,"Y","N"))</f>
        <v/>
      </c>
      <c r="Q687" s="25">
        <f>IF($C687="","",IF(COUNTIF(campaigns!$A$2:$A$51,$C687)=0,"campaign_id not on campaigns; ",IF(AND($D687&lt;&gt;"",COUNTIFS(approvals!$A$2:$A$251,$C687,approvals!$B$2:$B$251,$D687)=0),"office not on this campaign (approvals tab); ",""))&amp;IF(AND(OR($E687="delivered",$E687="topped_up",$E687="collected"),$D687=""),"office needed; ","")&amp;IF(AND($E687&lt;&gt;"correction",N($G687)&lt;=0),"qty must be above 0; ","")&amp;IF(AND($E687="received",OR($I687="",$H687="")),"log lot and best-by; ","")&amp;IF(AND($P687="N",SUMIFS(inventory!$G$2:$G$801,inventory!$C$2:$C$801,$C687,inventory!$H$2:$H$801,$H687,inventory!$E$2:$E$801,"rejected")&lt;N($G687)),"UNDER "&amp;config!$B$19&amp;" DAYS LEFT ON THE DROP DAY: reject these units; ","")&amp;IF(AND($E687="delivered",COUNTIF(inventory!$R$2:$R$801,$R687)&gt;1),"two delivered rows for this office: use one; ","")&amp;IF(AND($E687="delivered",$J687=""),"who counted?; ",""))</f>
        <v/>
      </c>
      <c r="R687" s="25">
        <f>IF($C687="","",$C687&amp;"|"&amp;$D687&amp;"|"&amp;$E687)</f>
        <v/>
      </c>
    </row>
    <row r="688">
      <c r="A688" s="9" t="n"/>
      <c r="B688" s="33" t="n"/>
      <c r="I688" s="9" t="n"/>
      <c r="L688" s="26">
        <f>IF($C688="","",IFERROR(IF(INDEX(campaigns!$BG$2:$BG$51,MATCH($C688,campaigns!$A$2:$A$51,0))="","",INDEX(campaigns!$BG$2:$BG$51,MATCH($C688,campaigns!$A$2:$A$51,0))),""))</f>
        <v/>
      </c>
      <c r="M688" s="25">
        <f>IF($C688="","",IF(OR($E688="received"),N($G688),IF(OR($E688="rejected",$E688="delivered",$E688="topped_up"),-N($G688),IF(AND(OR($E688="returned_to_brand",$E688="given_to_roster_office",$E688="released_to_office",$E688="disposed"),IF($F688="","reserve",$F688)="reserve"),-N($G688),IF(AND($E688="correction",IF($F688="","reserve",$F688)="reserve"),N($G688),0)))))</f>
        <v/>
      </c>
      <c r="N688" s="25">
        <f>IF($C688="","",IF($E688="rejected",N($G688),IF(AND(OR($E688="returned_to_brand",$E688="given_to_roster_office",$E688="released_to_office",$E688="disposed"),IF($F688="","reserve",$F688)="rejected"),-N($G688),IF(AND($E688="correction",IF($F688="","reserve",$F688)="rejected"),N($G688),0))))</f>
        <v/>
      </c>
      <c r="O688" s="25">
        <f>IF($C688="","",IF($E688="collected",N($G688),IF(AND(OR($E688="returned_to_brand",$E688="given_to_roster_office",$E688="released_to_office",$E688="disposed"),IF($F688="","reserve",$F688)="leftover"),-N($G688),IF(AND($E688="correction",IF($F688="","reserve",$F688)="leftover"),N($G688),0))))</f>
        <v/>
      </c>
      <c r="P688" s="25">
        <f>IF(OR($E688&lt;&gt;"received",$I688="",$L688=""),"",IF($I688&gt;=$L688+config!$B$19,"Y","N"))</f>
        <v/>
      </c>
      <c r="Q688" s="25">
        <f>IF($C688="","",IF(COUNTIF(campaigns!$A$2:$A$51,$C688)=0,"campaign_id not on campaigns; ",IF(AND($D688&lt;&gt;"",COUNTIFS(approvals!$A$2:$A$251,$C688,approvals!$B$2:$B$251,$D688)=0),"office not on this campaign (approvals tab); ",""))&amp;IF(AND(OR($E688="delivered",$E688="topped_up",$E688="collected"),$D688=""),"office needed; ","")&amp;IF(AND($E688&lt;&gt;"correction",N($G688)&lt;=0),"qty must be above 0; ","")&amp;IF(AND($E688="received",OR($I688="",$H688="")),"log lot and best-by; ","")&amp;IF(AND($P688="N",SUMIFS(inventory!$G$2:$G$801,inventory!$C$2:$C$801,$C688,inventory!$H$2:$H$801,$H688,inventory!$E$2:$E$801,"rejected")&lt;N($G688)),"UNDER "&amp;config!$B$19&amp;" DAYS LEFT ON THE DROP DAY: reject these units; ","")&amp;IF(AND($E688="delivered",COUNTIF(inventory!$R$2:$R$801,$R688)&gt;1),"two delivered rows for this office: use one; ","")&amp;IF(AND($E688="delivered",$J688=""),"who counted?; ",""))</f>
        <v/>
      </c>
      <c r="R688" s="25">
        <f>IF($C688="","",$C688&amp;"|"&amp;$D688&amp;"|"&amp;$E688)</f>
        <v/>
      </c>
    </row>
    <row r="689">
      <c r="A689" s="9" t="n"/>
      <c r="B689" s="33" t="n"/>
      <c r="I689" s="9" t="n"/>
      <c r="L689" s="26">
        <f>IF($C689="","",IFERROR(IF(INDEX(campaigns!$BG$2:$BG$51,MATCH($C689,campaigns!$A$2:$A$51,0))="","",INDEX(campaigns!$BG$2:$BG$51,MATCH($C689,campaigns!$A$2:$A$51,0))),""))</f>
        <v/>
      </c>
      <c r="M689" s="25">
        <f>IF($C689="","",IF(OR($E689="received"),N($G689),IF(OR($E689="rejected",$E689="delivered",$E689="topped_up"),-N($G689),IF(AND(OR($E689="returned_to_brand",$E689="given_to_roster_office",$E689="released_to_office",$E689="disposed"),IF($F689="","reserve",$F689)="reserve"),-N($G689),IF(AND($E689="correction",IF($F689="","reserve",$F689)="reserve"),N($G689),0)))))</f>
        <v/>
      </c>
      <c r="N689" s="25">
        <f>IF($C689="","",IF($E689="rejected",N($G689),IF(AND(OR($E689="returned_to_brand",$E689="given_to_roster_office",$E689="released_to_office",$E689="disposed"),IF($F689="","reserve",$F689)="rejected"),-N($G689),IF(AND($E689="correction",IF($F689="","reserve",$F689)="rejected"),N($G689),0))))</f>
        <v/>
      </c>
      <c r="O689" s="25">
        <f>IF($C689="","",IF($E689="collected",N($G689),IF(AND(OR($E689="returned_to_brand",$E689="given_to_roster_office",$E689="released_to_office",$E689="disposed"),IF($F689="","reserve",$F689)="leftover"),-N($G689),IF(AND($E689="correction",IF($F689="","reserve",$F689)="leftover"),N($G689),0))))</f>
        <v/>
      </c>
      <c r="P689" s="25">
        <f>IF(OR($E689&lt;&gt;"received",$I689="",$L689=""),"",IF($I689&gt;=$L689+config!$B$19,"Y","N"))</f>
        <v/>
      </c>
      <c r="Q689" s="25">
        <f>IF($C689="","",IF(COUNTIF(campaigns!$A$2:$A$51,$C689)=0,"campaign_id not on campaigns; ",IF(AND($D689&lt;&gt;"",COUNTIFS(approvals!$A$2:$A$251,$C689,approvals!$B$2:$B$251,$D689)=0),"office not on this campaign (approvals tab); ",""))&amp;IF(AND(OR($E689="delivered",$E689="topped_up",$E689="collected"),$D689=""),"office needed; ","")&amp;IF(AND($E689&lt;&gt;"correction",N($G689)&lt;=0),"qty must be above 0; ","")&amp;IF(AND($E689="received",OR($I689="",$H689="")),"log lot and best-by; ","")&amp;IF(AND($P689="N",SUMIFS(inventory!$G$2:$G$801,inventory!$C$2:$C$801,$C689,inventory!$H$2:$H$801,$H689,inventory!$E$2:$E$801,"rejected")&lt;N($G689)),"UNDER "&amp;config!$B$19&amp;" DAYS LEFT ON THE DROP DAY: reject these units; ","")&amp;IF(AND($E689="delivered",COUNTIF(inventory!$R$2:$R$801,$R689)&gt;1),"two delivered rows for this office: use one; ","")&amp;IF(AND($E689="delivered",$J689=""),"who counted?; ",""))</f>
        <v/>
      </c>
      <c r="R689" s="25">
        <f>IF($C689="","",$C689&amp;"|"&amp;$D689&amp;"|"&amp;$E689)</f>
        <v/>
      </c>
    </row>
    <row r="690">
      <c r="A690" s="9" t="n"/>
      <c r="B690" s="33" t="n"/>
      <c r="I690" s="9" t="n"/>
      <c r="L690" s="26">
        <f>IF($C690="","",IFERROR(IF(INDEX(campaigns!$BG$2:$BG$51,MATCH($C690,campaigns!$A$2:$A$51,0))="","",INDEX(campaigns!$BG$2:$BG$51,MATCH($C690,campaigns!$A$2:$A$51,0))),""))</f>
        <v/>
      </c>
      <c r="M690" s="25">
        <f>IF($C690="","",IF(OR($E690="received"),N($G690),IF(OR($E690="rejected",$E690="delivered",$E690="topped_up"),-N($G690),IF(AND(OR($E690="returned_to_brand",$E690="given_to_roster_office",$E690="released_to_office",$E690="disposed"),IF($F690="","reserve",$F690)="reserve"),-N($G690),IF(AND($E690="correction",IF($F690="","reserve",$F690)="reserve"),N($G690),0)))))</f>
        <v/>
      </c>
      <c r="N690" s="25">
        <f>IF($C690="","",IF($E690="rejected",N($G690),IF(AND(OR($E690="returned_to_brand",$E690="given_to_roster_office",$E690="released_to_office",$E690="disposed"),IF($F690="","reserve",$F690)="rejected"),-N($G690),IF(AND($E690="correction",IF($F690="","reserve",$F690)="rejected"),N($G690),0))))</f>
        <v/>
      </c>
      <c r="O690" s="25">
        <f>IF($C690="","",IF($E690="collected",N($G690),IF(AND(OR($E690="returned_to_brand",$E690="given_to_roster_office",$E690="released_to_office",$E690="disposed"),IF($F690="","reserve",$F690)="leftover"),-N($G690),IF(AND($E690="correction",IF($F690="","reserve",$F690)="leftover"),N($G690),0))))</f>
        <v/>
      </c>
      <c r="P690" s="25">
        <f>IF(OR($E690&lt;&gt;"received",$I690="",$L690=""),"",IF($I690&gt;=$L690+config!$B$19,"Y","N"))</f>
        <v/>
      </c>
      <c r="Q690" s="25">
        <f>IF($C690="","",IF(COUNTIF(campaigns!$A$2:$A$51,$C690)=0,"campaign_id not on campaigns; ",IF(AND($D690&lt;&gt;"",COUNTIFS(approvals!$A$2:$A$251,$C690,approvals!$B$2:$B$251,$D690)=0),"office not on this campaign (approvals tab); ",""))&amp;IF(AND(OR($E690="delivered",$E690="topped_up",$E690="collected"),$D690=""),"office needed; ","")&amp;IF(AND($E690&lt;&gt;"correction",N($G690)&lt;=0),"qty must be above 0; ","")&amp;IF(AND($E690="received",OR($I690="",$H690="")),"log lot and best-by; ","")&amp;IF(AND($P690="N",SUMIFS(inventory!$G$2:$G$801,inventory!$C$2:$C$801,$C690,inventory!$H$2:$H$801,$H690,inventory!$E$2:$E$801,"rejected")&lt;N($G690)),"UNDER "&amp;config!$B$19&amp;" DAYS LEFT ON THE DROP DAY: reject these units; ","")&amp;IF(AND($E690="delivered",COUNTIF(inventory!$R$2:$R$801,$R690)&gt;1),"two delivered rows for this office: use one; ","")&amp;IF(AND($E690="delivered",$J690=""),"who counted?; ",""))</f>
        <v/>
      </c>
      <c r="R690" s="25">
        <f>IF($C690="","",$C690&amp;"|"&amp;$D690&amp;"|"&amp;$E690)</f>
        <v/>
      </c>
    </row>
    <row r="691">
      <c r="A691" s="9" t="n"/>
      <c r="B691" s="33" t="n"/>
      <c r="I691" s="9" t="n"/>
      <c r="L691" s="26">
        <f>IF($C691="","",IFERROR(IF(INDEX(campaigns!$BG$2:$BG$51,MATCH($C691,campaigns!$A$2:$A$51,0))="","",INDEX(campaigns!$BG$2:$BG$51,MATCH($C691,campaigns!$A$2:$A$51,0))),""))</f>
        <v/>
      </c>
      <c r="M691" s="25">
        <f>IF($C691="","",IF(OR($E691="received"),N($G691),IF(OR($E691="rejected",$E691="delivered",$E691="topped_up"),-N($G691),IF(AND(OR($E691="returned_to_brand",$E691="given_to_roster_office",$E691="released_to_office",$E691="disposed"),IF($F691="","reserve",$F691)="reserve"),-N($G691),IF(AND($E691="correction",IF($F691="","reserve",$F691)="reserve"),N($G691),0)))))</f>
        <v/>
      </c>
      <c r="N691" s="25">
        <f>IF($C691="","",IF($E691="rejected",N($G691),IF(AND(OR($E691="returned_to_brand",$E691="given_to_roster_office",$E691="released_to_office",$E691="disposed"),IF($F691="","reserve",$F691)="rejected"),-N($G691),IF(AND($E691="correction",IF($F691="","reserve",$F691)="rejected"),N($G691),0))))</f>
        <v/>
      </c>
      <c r="O691" s="25">
        <f>IF($C691="","",IF($E691="collected",N($G691),IF(AND(OR($E691="returned_to_brand",$E691="given_to_roster_office",$E691="released_to_office",$E691="disposed"),IF($F691="","reserve",$F691)="leftover"),-N($G691),IF(AND($E691="correction",IF($F691="","reserve",$F691)="leftover"),N($G691),0))))</f>
        <v/>
      </c>
      <c r="P691" s="25">
        <f>IF(OR($E691&lt;&gt;"received",$I691="",$L691=""),"",IF($I691&gt;=$L691+config!$B$19,"Y","N"))</f>
        <v/>
      </c>
      <c r="Q691" s="25">
        <f>IF($C691="","",IF(COUNTIF(campaigns!$A$2:$A$51,$C691)=0,"campaign_id not on campaigns; ",IF(AND($D691&lt;&gt;"",COUNTIFS(approvals!$A$2:$A$251,$C691,approvals!$B$2:$B$251,$D691)=0),"office not on this campaign (approvals tab); ",""))&amp;IF(AND(OR($E691="delivered",$E691="topped_up",$E691="collected"),$D691=""),"office needed; ","")&amp;IF(AND($E691&lt;&gt;"correction",N($G691)&lt;=0),"qty must be above 0; ","")&amp;IF(AND($E691="received",OR($I691="",$H691="")),"log lot and best-by; ","")&amp;IF(AND($P691="N",SUMIFS(inventory!$G$2:$G$801,inventory!$C$2:$C$801,$C691,inventory!$H$2:$H$801,$H691,inventory!$E$2:$E$801,"rejected")&lt;N($G691)),"UNDER "&amp;config!$B$19&amp;" DAYS LEFT ON THE DROP DAY: reject these units; ","")&amp;IF(AND($E691="delivered",COUNTIF(inventory!$R$2:$R$801,$R691)&gt;1),"two delivered rows for this office: use one; ","")&amp;IF(AND($E691="delivered",$J691=""),"who counted?; ",""))</f>
        <v/>
      </c>
      <c r="R691" s="25">
        <f>IF($C691="","",$C691&amp;"|"&amp;$D691&amp;"|"&amp;$E691)</f>
        <v/>
      </c>
    </row>
    <row r="692">
      <c r="A692" s="9" t="n"/>
      <c r="B692" s="33" t="n"/>
      <c r="I692" s="9" t="n"/>
      <c r="L692" s="26">
        <f>IF($C692="","",IFERROR(IF(INDEX(campaigns!$BG$2:$BG$51,MATCH($C692,campaigns!$A$2:$A$51,0))="","",INDEX(campaigns!$BG$2:$BG$51,MATCH($C692,campaigns!$A$2:$A$51,0))),""))</f>
        <v/>
      </c>
      <c r="M692" s="25">
        <f>IF($C692="","",IF(OR($E692="received"),N($G692),IF(OR($E692="rejected",$E692="delivered",$E692="topped_up"),-N($G692),IF(AND(OR($E692="returned_to_brand",$E692="given_to_roster_office",$E692="released_to_office",$E692="disposed"),IF($F692="","reserve",$F692)="reserve"),-N($G692),IF(AND($E692="correction",IF($F692="","reserve",$F692)="reserve"),N($G692),0)))))</f>
        <v/>
      </c>
      <c r="N692" s="25">
        <f>IF($C692="","",IF($E692="rejected",N($G692),IF(AND(OR($E692="returned_to_brand",$E692="given_to_roster_office",$E692="released_to_office",$E692="disposed"),IF($F692="","reserve",$F692)="rejected"),-N($G692),IF(AND($E692="correction",IF($F692="","reserve",$F692)="rejected"),N($G692),0))))</f>
        <v/>
      </c>
      <c r="O692" s="25">
        <f>IF($C692="","",IF($E692="collected",N($G692),IF(AND(OR($E692="returned_to_brand",$E692="given_to_roster_office",$E692="released_to_office",$E692="disposed"),IF($F692="","reserve",$F692)="leftover"),-N($G692),IF(AND($E692="correction",IF($F692="","reserve",$F692)="leftover"),N($G692),0))))</f>
        <v/>
      </c>
      <c r="P692" s="25">
        <f>IF(OR($E692&lt;&gt;"received",$I692="",$L692=""),"",IF($I692&gt;=$L692+config!$B$19,"Y","N"))</f>
        <v/>
      </c>
      <c r="Q692" s="25">
        <f>IF($C692="","",IF(COUNTIF(campaigns!$A$2:$A$51,$C692)=0,"campaign_id not on campaigns; ",IF(AND($D692&lt;&gt;"",COUNTIFS(approvals!$A$2:$A$251,$C692,approvals!$B$2:$B$251,$D692)=0),"office not on this campaign (approvals tab); ",""))&amp;IF(AND(OR($E692="delivered",$E692="topped_up",$E692="collected"),$D692=""),"office needed; ","")&amp;IF(AND($E692&lt;&gt;"correction",N($G692)&lt;=0),"qty must be above 0; ","")&amp;IF(AND($E692="received",OR($I692="",$H692="")),"log lot and best-by; ","")&amp;IF(AND($P692="N",SUMIFS(inventory!$G$2:$G$801,inventory!$C$2:$C$801,$C692,inventory!$H$2:$H$801,$H692,inventory!$E$2:$E$801,"rejected")&lt;N($G692)),"UNDER "&amp;config!$B$19&amp;" DAYS LEFT ON THE DROP DAY: reject these units; ","")&amp;IF(AND($E692="delivered",COUNTIF(inventory!$R$2:$R$801,$R692)&gt;1),"two delivered rows for this office: use one; ","")&amp;IF(AND($E692="delivered",$J692=""),"who counted?; ",""))</f>
        <v/>
      </c>
      <c r="R692" s="25">
        <f>IF($C692="","",$C692&amp;"|"&amp;$D692&amp;"|"&amp;$E692)</f>
        <v/>
      </c>
    </row>
    <row r="693">
      <c r="A693" s="9" t="n"/>
      <c r="B693" s="33" t="n"/>
      <c r="I693" s="9" t="n"/>
      <c r="L693" s="26">
        <f>IF($C693="","",IFERROR(IF(INDEX(campaigns!$BG$2:$BG$51,MATCH($C693,campaigns!$A$2:$A$51,0))="","",INDEX(campaigns!$BG$2:$BG$51,MATCH($C693,campaigns!$A$2:$A$51,0))),""))</f>
        <v/>
      </c>
      <c r="M693" s="25">
        <f>IF($C693="","",IF(OR($E693="received"),N($G693),IF(OR($E693="rejected",$E693="delivered",$E693="topped_up"),-N($G693),IF(AND(OR($E693="returned_to_brand",$E693="given_to_roster_office",$E693="released_to_office",$E693="disposed"),IF($F693="","reserve",$F693)="reserve"),-N($G693),IF(AND($E693="correction",IF($F693="","reserve",$F693)="reserve"),N($G693),0)))))</f>
        <v/>
      </c>
      <c r="N693" s="25">
        <f>IF($C693="","",IF($E693="rejected",N($G693),IF(AND(OR($E693="returned_to_brand",$E693="given_to_roster_office",$E693="released_to_office",$E693="disposed"),IF($F693="","reserve",$F693)="rejected"),-N($G693),IF(AND($E693="correction",IF($F693="","reserve",$F693)="rejected"),N($G693),0))))</f>
        <v/>
      </c>
      <c r="O693" s="25">
        <f>IF($C693="","",IF($E693="collected",N($G693),IF(AND(OR($E693="returned_to_brand",$E693="given_to_roster_office",$E693="released_to_office",$E693="disposed"),IF($F693="","reserve",$F693)="leftover"),-N($G693),IF(AND($E693="correction",IF($F693="","reserve",$F693)="leftover"),N($G693),0))))</f>
        <v/>
      </c>
      <c r="P693" s="25">
        <f>IF(OR($E693&lt;&gt;"received",$I693="",$L693=""),"",IF($I693&gt;=$L693+config!$B$19,"Y","N"))</f>
        <v/>
      </c>
      <c r="Q693" s="25">
        <f>IF($C693="","",IF(COUNTIF(campaigns!$A$2:$A$51,$C693)=0,"campaign_id not on campaigns; ",IF(AND($D693&lt;&gt;"",COUNTIFS(approvals!$A$2:$A$251,$C693,approvals!$B$2:$B$251,$D693)=0),"office not on this campaign (approvals tab); ",""))&amp;IF(AND(OR($E693="delivered",$E693="topped_up",$E693="collected"),$D693=""),"office needed; ","")&amp;IF(AND($E693&lt;&gt;"correction",N($G693)&lt;=0),"qty must be above 0; ","")&amp;IF(AND($E693="received",OR($I693="",$H693="")),"log lot and best-by; ","")&amp;IF(AND($P693="N",SUMIFS(inventory!$G$2:$G$801,inventory!$C$2:$C$801,$C693,inventory!$H$2:$H$801,$H693,inventory!$E$2:$E$801,"rejected")&lt;N($G693)),"UNDER "&amp;config!$B$19&amp;" DAYS LEFT ON THE DROP DAY: reject these units; ","")&amp;IF(AND($E693="delivered",COUNTIF(inventory!$R$2:$R$801,$R693)&gt;1),"two delivered rows for this office: use one; ","")&amp;IF(AND($E693="delivered",$J693=""),"who counted?; ",""))</f>
        <v/>
      </c>
      <c r="R693" s="25">
        <f>IF($C693="","",$C693&amp;"|"&amp;$D693&amp;"|"&amp;$E693)</f>
        <v/>
      </c>
    </row>
    <row r="694">
      <c r="A694" s="9" t="n"/>
      <c r="B694" s="33" t="n"/>
      <c r="I694" s="9" t="n"/>
      <c r="L694" s="26">
        <f>IF($C694="","",IFERROR(IF(INDEX(campaigns!$BG$2:$BG$51,MATCH($C694,campaigns!$A$2:$A$51,0))="","",INDEX(campaigns!$BG$2:$BG$51,MATCH($C694,campaigns!$A$2:$A$51,0))),""))</f>
        <v/>
      </c>
      <c r="M694" s="25">
        <f>IF($C694="","",IF(OR($E694="received"),N($G694),IF(OR($E694="rejected",$E694="delivered",$E694="topped_up"),-N($G694),IF(AND(OR($E694="returned_to_brand",$E694="given_to_roster_office",$E694="released_to_office",$E694="disposed"),IF($F694="","reserve",$F694)="reserve"),-N($G694),IF(AND($E694="correction",IF($F694="","reserve",$F694)="reserve"),N($G694),0)))))</f>
        <v/>
      </c>
      <c r="N694" s="25">
        <f>IF($C694="","",IF($E694="rejected",N($G694),IF(AND(OR($E694="returned_to_brand",$E694="given_to_roster_office",$E694="released_to_office",$E694="disposed"),IF($F694="","reserve",$F694)="rejected"),-N($G694),IF(AND($E694="correction",IF($F694="","reserve",$F694)="rejected"),N($G694),0))))</f>
        <v/>
      </c>
      <c r="O694" s="25">
        <f>IF($C694="","",IF($E694="collected",N($G694),IF(AND(OR($E694="returned_to_brand",$E694="given_to_roster_office",$E694="released_to_office",$E694="disposed"),IF($F694="","reserve",$F694)="leftover"),-N($G694),IF(AND($E694="correction",IF($F694="","reserve",$F694)="leftover"),N($G694),0))))</f>
        <v/>
      </c>
      <c r="P694" s="25">
        <f>IF(OR($E694&lt;&gt;"received",$I694="",$L694=""),"",IF($I694&gt;=$L694+config!$B$19,"Y","N"))</f>
        <v/>
      </c>
      <c r="Q694" s="25">
        <f>IF($C694="","",IF(COUNTIF(campaigns!$A$2:$A$51,$C694)=0,"campaign_id not on campaigns; ",IF(AND($D694&lt;&gt;"",COUNTIFS(approvals!$A$2:$A$251,$C694,approvals!$B$2:$B$251,$D694)=0),"office not on this campaign (approvals tab); ",""))&amp;IF(AND(OR($E694="delivered",$E694="topped_up",$E694="collected"),$D694=""),"office needed; ","")&amp;IF(AND($E694&lt;&gt;"correction",N($G694)&lt;=0),"qty must be above 0; ","")&amp;IF(AND($E694="received",OR($I694="",$H694="")),"log lot and best-by; ","")&amp;IF(AND($P694="N",SUMIFS(inventory!$G$2:$G$801,inventory!$C$2:$C$801,$C694,inventory!$H$2:$H$801,$H694,inventory!$E$2:$E$801,"rejected")&lt;N($G694)),"UNDER "&amp;config!$B$19&amp;" DAYS LEFT ON THE DROP DAY: reject these units; ","")&amp;IF(AND($E694="delivered",COUNTIF(inventory!$R$2:$R$801,$R694)&gt;1),"two delivered rows for this office: use one; ","")&amp;IF(AND($E694="delivered",$J694=""),"who counted?; ",""))</f>
        <v/>
      </c>
      <c r="R694" s="25">
        <f>IF($C694="","",$C694&amp;"|"&amp;$D694&amp;"|"&amp;$E694)</f>
        <v/>
      </c>
    </row>
    <row r="695">
      <c r="A695" s="9" t="n"/>
      <c r="B695" s="33" t="n"/>
      <c r="I695" s="9" t="n"/>
      <c r="L695" s="26">
        <f>IF($C695="","",IFERROR(IF(INDEX(campaigns!$BG$2:$BG$51,MATCH($C695,campaigns!$A$2:$A$51,0))="","",INDEX(campaigns!$BG$2:$BG$51,MATCH($C695,campaigns!$A$2:$A$51,0))),""))</f>
        <v/>
      </c>
      <c r="M695" s="25">
        <f>IF($C695="","",IF(OR($E695="received"),N($G695),IF(OR($E695="rejected",$E695="delivered",$E695="topped_up"),-N($G695),IF(AND(OR($E695="returned_to_brand",$E695="given_to_roster_office",$E695="released_to_office",$E695="disposed"),IF($F695="","reserve",$F695)="reserve"),-N($G695),IF(AND($E695="correction",IF($F695="","reserve",$F695)="reserve"),N($G695),0)))))</f>
        <v/>
      </c>
      <c r="N695" s="25">
        <f>IF($C695="","",IF($E695="rejected",N($G695),IF(AND(OR($E695="returned_to_brand",$E695="given_to_roster_office",$E695="released_to_office",$E695="disposed"),IF($F695="","reserve",$F695)="rejected"),-N($G695),IF(AND($E695="correction",IF($F695="","reserve",$F695)="rejected"),N($G695),0))))</f>
        <v/>
      </c>
      <c r="O695" s="25">
        <f>IF($C695="","",IF($E695="collected",N($G695),IF(AND(OR($E695="returned_to_brand",$E695="given_to_roster_office",$E695="released_to_office",$E695="disposed"),IF($F695="","reserve",$F695)="leftover"),-N($G695),IF(AND($E695="correction",IF($F695="","reserve",$F695)="leftover"),N($G695),0))))</f>
        <v/>
      </c>
      <c r="P695" s="25">
        <f>IF(OR($E695&lt;&gt;"received",$I695="",$L695=""),"",IF($I695&gt;=$L695+config!$B$19,"Y","N"))</f>
        <v/>
      </c>
      <c r="Q695" s="25">
        <f>IF($C695="","",IF(COUNTIF(campaigns!$A$2:$A$51,$C695)=0,"campaign_id not on campaigns; ",IF(AND($D695&lt;&gt;"",COUNTIFS(approvals!$A$2:$A$251,$C695,approvals!$B$2:$B$251,$D695)=0),"office not on this campaign (approvals tab); ",""))&amp;IF(AND(OR($E695="delivered",$E695="topped_up",$E695="collected"),$D695=""),"office needed; ","")&amp;IF(AND($E695&lt;&gt;"correction",N($G695)&lt;=0),"qty must be above 0; ","")&amp;IF(AND($E695="received",OR($I695="",$H695="")),"log lot and best-by; ","")&amp;IF(AND($P695="N",SUMIFS(inventory!$G$2:$G$801,inventory!$C$2:$C$801,$C695,inventory!$H$2:$H$801,$H695,inventory!$E$2:$E$801,"rejected")&lt;N($G695)),"UNDER "&amp;config!$B$19&amp;" DAYS LEFT ON THE DROP DAY: reject these units; ","")&amp;IF(AND($E695="delivered",COUNTIF(inventory!$R$2:$R$801,$R695)&gt;1),"two delivered rows for this office: use one; ","")&amp;IF(AND($E695="delivered",$J695=""),"who counted?; ",""))</f>
        <v/>
      </c>
      <c r="R695" s="25">
        <f>IF($C695="","",$C695&amp;"|"&amp;$D695&amp;"|"&amp;$E695)</f>
        <v/>
      </c>
    </row>
    <row r="696">
      <c r="A696" s="9" t="n"/>
      <c r="B696" s="33" t="n"/>
      <c r="I696" s="9" t="n"/>
      <c r="L696" s="26">
        <f>IF($C696="","",IFERROR(IF(INDEX(campaigns!$BG$2:$BG$51,MATCH($C696,campaigns!$A$2:$A$51,0))="","",INDEX(campaigns!$BG$2:$BG$51,MATCH($C696,campaigns!$A$2:$A$51,0))),""))</f>
        <v/>
      </c>
      <c r="M696" s="25">
        <f>IF($C696="","",IF(OR($E696="received"),N($G696),IF(OR($E696="rejected",$E696="delivered",$E696="topped_up"),-N($G696),IF(AND(OR($E696="returned_to_brand",$E696="given_to_roster_office",$E696="released_to_office",$E696="disposed"),IF($F696="","reserve",$F696)="reserve"),-N($G696),IF(AND($E696="correction",IF($F696="","reserve",$F696)="reserve"),N($G696),0)))))</f>
        <v/>
      </c>
      <c r="N696" s="25">
        <f>IF($C696="","",IF($E696="rejected",N($G696),IF(AND(OR($E696="returned_to_brand",$E696="given_to_roster_office",$E696="released_to_office",$E696="disposed"),IF($F696="","reserve",$F696)="rejected"),-N($G696),IF(AND($E696="correction",IF($F696="","reserve",$F696)="rejected"),N($G696),0))))</f>
        <v/>
      </c>
      <c r="O696" s="25">
        <f>IF($C696="","",IF($E696="collected",N($G696),IF(AND(OR($E696="returned_to_brand",$E696="given_to_roster_office",$E696="released_to_office",$E696="disposed"),IF($F696="","reserve",$F696)="leftover"),-N($G696),IF(AND($E696="correction",IF($F696="","reserve",$F696)="leftover"),N($G696),0))))</f>
        <v/>
      </c>
      <c r="P696" s="25">
        <f>IF(OR($E696&lt;&gt;"received",$I696="",$L696=""),"",IF($I696&gt;=$L696+config!$B$19,"Y","N"))</f>
        <v/>
      </c>
      <c r="Q696" s="25">
        <f>IF($C696="","",IF(COUNTIF(campaigns!$A$2:$A$51,$C696)=0,"campaign_id not on campaigns; ",IF(AND($D696&lt;&gt;"",COUNTIFS(approvals!$A$2:$A$251,$C696,approvals!$B$2:$B$251,$D696)=0),"office not on this campaign (approvals tab); ",""))&amp;IF(AND(OR($E696="delivered",$E696="topped_up",$E696="collected"),$D696=""),"office needed; ","")&amp;IF(AND($E696&lt;&gt;"correction",N($G696)&lt;=0),"qty must be above 0; ","")&amp;IF(AND($E696="received",OR($I696="",$H696="")),"log lot and best-by; ","")&amp;IF(AND($P696="N",SUMIFS(inventory!$G$2:$G$801,inventory!$C$2:$C$801,$C696,inventory!$H$2:$H$801,$H696,inventory!$E$2:$E$801,"rejected")&lt;N($G696)),"UNDER "&amp;config!$B$19&amp;" DAYS LEFT ON THE DROP DAY: reject these units; ","")&amp;IF(AND($E696="delivered",COUNTIF(inventory!$R$2:$R$801,$R696)&gt;1),"two delivered rows for this office: use one; ","")&amp;IF(AND($E696="delivered",$J696=""),"who counted?; ",""))</f>
        <v/>
      </c>
      <c r="R696" s="25">
        <f>IF($C696="","",$C696&amp;"|"&amp;$D696&amp;"|"&amp;$E696)</f>
        <v/>
      </c>
    </row>
    <row r="697">
      <c r="A697" s="9" t="n"/>
      <c r="B697" s="33" t="n"/>
      <c r="I697" s="9" t="n"/>
      <c r="L697" s="26">
        <f>IF($C697="","",IFERROR(IF(INDEX(campaigns!$BG$2:$BG$51,MATCH($C697,campaigns!$A$2:$A$51,0))="","",INDEX(campaigns!$BG$2:$BG$51,MATCH($C697,campaigns!$A$2:$A$51,0))),""))</f>
        <v/>
      </c>
      <c r="M697" s="25">
        <f>IF($C697="","",IF(OR($E697="received"),N($G697),IF(OR($E697="rejected",$E697="delivered",$E697="topped_up"),-N($G697),IF(AND(OR($E697="returned_to_brand",$E697="given_to_roster_office",$E697="released_to_office",$E697="disposed"),IF($F697="","reserve",$F697)="reserve"),-N($G697),IF(AND($E697="correction",IF($F697="","reserve",$F697)="reserve"),N($G697),0)))))</f>
        <v/>
      </c>
      <c r="N697" s="25">
        <f>IF($C697="","",IF($E697="rejected",N($G697),IF(AND(OR($E697="returned_to_brand",$E697="given_to_roster_office",$E697="released_to_office",$E697="disposed"),IF($F697="","reserve",$F697)="rejected"),-N($G697),IF(AND($E697="correction",IF($F697="","reserve",$F697)="rejected"),N($G697),0))))</f>
        <v/>
      </c>
      <c r="O697" s="25">
        <f>IF($C697="","",IF($E697="collected",N($G697),IF(AND(OR($E697="returned_to_brand",$E697="given_to_roster_office",$E697="released_to_office",$E697="disposed"),IF($F697="","reserve",$F697)="leftover"),-N($G697),IF(AND($E697="correction",IF($F697="","reserve",$F697)="leftover"),N($G697),0))))</f>
        <v/>
      </c>
      <c r="P697" s="25">
        <f>IF(OR($E697&lt;&gt;"received",$I697="",$L697=""),"",IF($I697&gt;=$L697+config!$B$19,"Y","N"))</f>
        <v/>
      </c>
      <c r="Q697" s="25">
        <f>IF($C697="","",IF(COUNTIF(campaigns!$A$2:$A$51,$C697)=0,"campaign_id not on campaigns; ",IF(AND($D697&lt;&gt;"",COUNTIFS(approvals!$A$2:$A$251,$C697,approvals!$B$2:$B$251,$D697)=0),"office not on this campaign (approvals tab); ",""))&amp;IF(AND(OR($E697="delivered",$E697="topped_up",$E697="collected"),$D697=""),"office needed; ","")&amp;IF(AND($E697&lt;&gt;"correction",N($G697)&lt;=0),"qty must be above 0; ","")&amp;IF(AND($E697="received",OR($I697="",$H697="")),"log lot and best-by; ","")&amp;IF(AND($P697="N",SUMIFS(inventory!$G$2:$G$801,inventory!$C$2:$C$801,$C697,inventory!$H$2:$H$801,$H697,inventory!$E$2:$E$801,"rejected")&lt;N($G697)),"UNDER "&amp;config!$B$19&amp;" DAYS LEFT ON THE DROP DAY: reject these units; ","")&amp;IF(AND($E697="delivered",COUNTIF(inventory!$R$2:$R$801,$R697)&gt;1),"two delivered rows for this office: use one; ","")&amp;IF(AND($E697="delivered",$J697=""),"who counted?; ",""))</f>
        <v/>
      </c>
      <c r="R697" s="25">
        <f>IF($C697="","",$C697&amp;"|"&amp;$D697&amp;"|"&amp;$E697)</f>
        <v/>
      </c>
    </row>
    <row r="698">
      <c r="A698" s="9" t="n"/>
      <c r="B698" s="33" t="n"/>
      <c r="I698" s="9" t="n"/>
      <c r="L698" s="26">
        <f>IF($C698="","",IFERROR(IF(INDEX(campaigns!$BG$2:$BG$51,MATCH($C698,campaigns!$A$2:$A$51,0))="","",INDEX(campaigns!$BG$2:$BG$51,MATCH($C698,campaigns!$A$2:$A$51,0))),""))</f>
        <v/>
      </c>
      <c r="M698" s="25">
        <f>IF($C698="","",IF(OR($E698="received"),N($G698),IF(OR($E698="rejected",$E698="delivered",$E698="topped_up"),-N($G698),IF(AND(OR($E698="returned_to_brand",$E698="given_to_roster_office",$E698="released_to_office",$E698="disposed"),IF($F698="","reserve",$F698)="reserve"),-N($G698),IF(AND($E698="correction",IF($F698="","reserve",$F698)="reserve"),N($G698),0)))))</f>
        <v/>
      </c>
      <c r="N698" s="25">
        <f>IF($C698="","",IF($E698="rejected",N($G698),IF(AND(OR($E698="returned_to_brand",$E698="given_to_roster_office",$E698="released_to_office",$E698="disposed"),IF($F698="","reserve",$F698)="rejected"),-N($G698),IF(AND($E698="correction",IF($F698="","reserve",$F698)="rejected"),N($G698),0))))</f>
        <v/>
      </c>
      <c r="O698" s="25">
        <f>IF($C698="","",IF($E698="collected",N($G698),IF(AND(OR($E698="returned_to_brand",$E698="given_to_roster_office",$E698="released_to_office",$E698="disposed"),IF($F698="","reserve",$F698)="leftover"),-N($G698),IF(AND($E698="correction",IF($F698="","reserve",$F698)="leftover"),N($G698),0))))</f>
        <v/>
      </c>
      <c r="P698" s="25">
        <f>IF(OR($E698&lt;&gt;"received",$I698="",$L698=""),"",IF($I698&gt;=$L698+config!$B$19,"Y","N"))</f>
        <v/>
      </c>
      <c r="Q698" s="25">
        <f>IF($C698="","",IF(COUNTIF(campaigns!$A$2:$A$51,$C698)=0,"campaign_id not on campaigns; ",IF(AND($D698&lt;&gt;"",COUNTIFS(approvals!$A$2:$A$251,$C698,approvals!$B$2:$B$251,$D698)=0),"office not on this campaign (approvals tab); ",""))&amp;IF(AND(OR($E698="delivered",$E698="topped_up",$E698="collected"),$D698=""),"office needed; ","")&amp;IF(AND($E698&lt;&gt;"correction",N($G698)&lt;=0),"qty must be above 0; ","")&amp;IF(AND($E698="received",OR($I698="",$H698="")),"log lot and best-by; ","")&amp;IF(AND($P698="N",SUMIFS(inventory!$G$2:$G$801,inventory!$C$2:$C$801,$C698,inventory!$H$2:$H$801,$H698,inventory!$E$2:$E$801,"rejected")&lt;N($G698)),"UNDER "&amp;config!$B$19&amp;" DAYS LEFT ON THE DROP DAY: reject these units; ","")&amp;IF(AND($E698="delivered",COUNTIF(inventory!$R$2:$R$801,$R698)&gt;1),"two delivered rows for this office: use one; ","")&amp;IF(AND($E698="delivered",$J698=""),"who counted?; ",""))</f>
        <v/>
      </c>
      <c r="R698" s="25">
        <f>IF($C698="","",$C698&amp;"|"&amp;$D698&amp;"|"&amp;$E698)</f>
        <v/>
      </c>
    </row>
    <row r="699">
      <c r="A699" s="9" t="n"/>
      <c r="B699" s="33" t="n"/>
      <c r="I699" s="9" t="n"/>
      <c r="L699" s="26">
        <f>IF($C699="","",IFERROR(IF(INDEX(campaigns!$BG$2:$BG$51,MATCH($C699,campaigns!$A$2:$A$51,0))="","",INDEX(campaigns!$BG$2:$BG$51,MATCH($C699,campaigns!$A$2:$A$51,0))),""))</f>
        <v/>
      </c>
      <c r="M699" s="25">
        <f>IF($C699="","",IF(OR($E699="received"),N($G699),IF(OR($E699="rejected",$E699="delivered",$E699="topped_up"),-N($G699),IF(AND(OR($E699="returned_to_brand",$E699="given_to_roster_office",$E699="released_to_office",$E699="disposed"),IF($F699="","reserve",$F699)="reserve"),-N($G699),IF(AND($E699="correction",IF($F699="","reserve",$F699)="reserve"),N($G699),0)))))</f>
        <v/>
      </c>
      <c r="N699" s="25">
        <f>IF($C699="","",IF($E699="rejected",N($G699),IF(AND(OR($E699="returned_to_brand",$E699="given_to_roster_office",$E699="released_to_office",$E699="disposed"),IF($F699="","reserve",$F699)="rejected"),-N($G699),IF(AND($E699="correction",IF($F699="","reserve",$F699)="rejected"),N($G699),0))))</f>
        <v/>
      </c>
      <c r="O699" s="25">
        <f>IF($C699="","",IF($E699="collected",N($G699),IF(AND(OR($E699="returned_to_brand",$E699="given_to_roster_office",$E699="released_to_office",$E699="disposed"),IF($F699="","reserve",$F699)="leftover"),-N($G699),IF(AND($E699="correction",IF($F699="","reserve",$F699)="leftover"),N($G699),0))))</f>
        <v/>
      </c>
      <c r="P699" s="25">
        <f>IF(OR($E699&lt;&gt;"received",$I699="",$L699=""),"",IF($I699&gt;=$L699+config!$B$19,"Y","N"))</f>
        <v/>
      </c>
      <c r="Q699" s="25">
        <f>IF($C699="","",IF(COUNTIF(campaigns!$A$2:$A$51,$C699)=0,"campaign_id not on campaigns; ",IF(AND($D699&lt;&gt;"",COUNTIFS(approvals!$A$2:$A$251,$C699,approvals!$B$2:$B$251,$D699)=0),"office not on this campaign (approvals tab); ",""))&amp;IF(AND(OR($E699="delivered",$E699="topped_up",$E699="collected"),$D699=""),"office needed; ","")&amp;IF(AND($E699&lt;&gt;"correction",N($G699)&lt;=0),"qty must be above 0; ","")&amp;IF(AND($E699="received",OR($I699="",$H699="")),"log lot and best-by; ","")&amp;IF(AND($P699="N",SUMIFS(inventory!$G$2:$G$801,inventory!$C$2:$C$801,$C699,inventory!$H$2:$H$801,$H699,inventory!$E$2:$E$801,"rejected")&lt;N($G699)),"UNDER "&amp;config!$B$19&amp;" DAYS LEFT ON THE DROP DAY: reject these units; ","")&amp;IF(AND($E699="delivered",COUNTIF(inventory!$R$2:$R$801,$R699)&gt;1),"two delivered rows for this office: use one; ","")&amp;IF(AND($E699="delivered",$J699=""),"who counted?; ",""))</f>
        <v/>
      </c>
      <c r="R699" s="25">
        <f>IF($C699="","",$C699&amp;"|"&amp;$D699&amp;"|"&amp;$E699)</f>
        <v/>
      </c>
    </row>
    <row r="700">
      <c r="A700" s="9" t="n"/>
      <c r="B700" s="33" t="n"/>
      <c r="I700" s="9" t="n"/>
      <c r="L700" s="26">
        <f>IF($C700="","",IFERROR(IF(INDEX(campaigns!$BG$2:$BG$51,MATCH($C700,campaigns!$A$2:$A$51,0))="","",INDEX(campaigns!$BG$2:$BG$51,MATCH($C700,campaigns!$A$2:$A$51,0))),""))</f>
        <v/>
      </c>
      <c r="M700" s="25">
        <f>IF($C700="","",IF(OR($E700="received"),N($G700),IF(OR($E700="rejected",$E700="delivered",$E700="topped_up"),-N($G700),IF(AND(OR($E700="returned_to_brand",$E700="given_to_roster_office",$E700="released_to_office",$E700="disposed"),IF($F700="","reserve",$F700)="reserve"),-N($G700),IF(AND($E700="correction",IF($F700="","reserve",$F700)="reserve"),N($G700),0)))))</f>
        <v/>
      </c>
      <c r="N700" s="25">
        <f>IF($C700="","",IF($E700="rejected",N($G700),IF(AND(OR($E700="returned_to_brand",$E700="given_to_roster_office",$E700="released_to_office",$E700="disposed"),IF($F700="","reserve",$F700)="rejected"),-N($G700),IF(AND($E700="correction",IF($F700="","reserve",$F700)="rejected"),N($G700),0))))</f>
        <v/>
      </c>
      <c r="O700" s="25">
        <f>IF($C700="","",IF($E700="collected",N($G700),IF(AND(OR($E700="returned_to_brand",$E700="given_to_roster_office",$E700="released_to_office",$E700="disposed"),IF($F700="","reserve",$F700)="leftover"),-N($G700),IF(AND($E700="correction",IF($F700="","reserve",$F700)="leftover"),N($G700),0))))</f>
        <v/>
      </c>
      <c r="P700" s="25">
        <f>IF(OR($E700&lt;&gt;"received",$I700="",$L700=""),"",IF($I700&gt;=$L700+config!$B$19,"Y","N"))</f>
        <v/>
      </c>
      <c r="Q700" s="25">
        <f>IF($C700="","",IF(COUNTIF(campaigns!$A$2:$A$51,$C700)=0,"campaign_id not on campaigns; ",IF(AND($D700&lt;&gt;"",COUNTIFS(approvals!$A$2:$A$251,$C700,approvals!$B$2:$B$251,$D700)=0),"office not on this campaign (approvals tab); ",""))&amp;IF(AND(OR($E700="delivered",$E700="topped_up",$E700="collected"),$D700=""),"office needed; ","")&amp;IF(AND($E700&lt;&gt;"correction",N($G700)&lt;=0),"qty must be above 0; ","")&amp;IF(AND($E700="received",OR($I700="",$H700="")),"log lot and best-by; ","")&amp;IF(AND($P700="N",SUMIFS(inventory!$G$2:$G$801,inventory!$C$2:$C$801,$C700,inventory!$H$2:$H$801,$H700,inventory!$E$2:$E$801,"rejected")&lt;N($G700)),"UNDER "&amp;config!$B$19&amp;" DAYS LEFT ON THE DROP DAY: reject these units; ","")&amp;IF(AND($E700="delivered",COUNTIF(inventory!$R$2:$R$801,$R700)&gt;1),"two delivered rows for this office: use one; ","")&amp;IF(AND($E700="delivered",$J700=""),"who counted?; ",""))</f>
        <v/>
      </c>
      <c r="R700" s="25">
        <f>IF($C700="","",$C700&amp;"|"&amp;$D700&amp;"|"&amp;$E700)</f>
        <v/>
      </c>
    </row>
    <row r="701">
      <c r="A701" s="9" t="n"/>
      <c r="B701" s="33" t="n"/>
      <c r="I701" s="9" t="n"/>
      <c r="L701" s="26">
        <f>IF($C701="","",IFERROR(IF(INDEX(campaigns!$BG$2:$BG$51,MATCH($C701,campaigns!$A$2:$A$51,0))="","",INDEX(campaigns!$BG$2:$BG$51,MATCH($C701,campaigns!$A$2:$A$51,0))),""))</f>
        <v/>
      </c>
      <c r="M701" s="25">
        <f>IF($C701="","",IF(OR($E701="received"),N($G701),IF(OR($E701="rejected",$E701="delivered",$E701="topped_up"),-N($G701),IF(AND(OR($E701="returned_to_brand",$E701="given_to_roster_office",$E701="released_to_office",$E701="disposed"),IF($F701="","reserve",$F701)="reserve"),-N($G701),IF(AND($E701="correction",IF($F701="","reserve",$F701)="reserve"),N($G701),0)))))</f>
        <v/>
      </c>
      <c r="N701" s="25">
        <f>IF($C701="","",IF($E701="rejected",N($G701),IF(AND(OR($E701="returned_to_brand",$E701="given_to_roster_office",$E701="released_to_office",$E701="disposed"),IF($F701="","reserve",$F701)="rejected"),-N($G701),IF(AND($E701="correction",IF($F701="","reserve",$F701)="rejected"),N($G701),0))))</f>
        <v/>
      </c>
      <c r="O701" s="25">
        <f>IF($C701="","",IF($E701="collected",N($G701),IF(AND(OR($E701="returned_to_brand",$E701="given_to_roster_office",$E701="released_to_office",$E701="disposed"),IF($F701="","reserve",$F701)="leftover"),-N($G701),IF(AND($E701="correction",IF($F701="","reserve",$F701)="leftover"),N($G701),0))))</f>
        <v/>
      </c>
      <c r="P701" s="25">
        <f>IF(OR($E701&lt;&gt;"received",$I701="",$L701=""),"",IF($I701&gt;=$L701+config!$B$19,"Y","N"))</f>
        <v/>
      </c>
      <c r="Q701" s="25">
        <f>IF($C701="","",IF(COUNTIF(campaigns!$A$2:$A$51,$C701)=0,"campaign_id not on campaigns; ",IF(AND($D701&lt;&gt;"",COUNTIFS(approvals!$A$2:$A$251,$C701,approvals!$B$2:$B$251,$D701)=0),"office not on this campaign (approvals tab); ",""))&amp;IF(AND(OR($E701="delivered",$E701="topped_up",$E701="collected"),$D701=""),"office needed; ","")&amp;IF(AND($E701&lt;&gt;"correction",N($G701)&lt;=0),"qty must be above 0; ","")&amp;IF(AND($E701="received",OR($I701="",$H701="")),"log lot and best-by; ","")&amp;IF(AND($P701="N",SUMIFS(inventory!$G$2:$G$801,inventory!$C$2:$C$801,$C701,inventory!$H$2:$H$801,$H701,inventory!$E$2:$E$801,"rejected")&lt;N($G701)),"UNDER "&amp;config!$B$19&amp;" DAYS LEFT ON THE DROP DAY: reject these units; ","")&amp;IF(AND($E701="delivered",COUNTIF(inventory!$R$2:$R$801,$R701)&gt;1),"two delivered rows for this office: use one; ","")&amp;IF(AND($E701="delivered",$J701=""),"who counted?; ",""))</f>
        <v/>
      </c>
      <c r="R701" s="25">
        <f>IF($C701="","",$C701&amp;"|"&amp;$D701&amp;"|"&amp;$E701)</f>
        <v/>
      </c>
    </row>
    <row r="702">
      <c r="A702" s="9" t="n"/>
      <c r="B702" s="33" t="n"/>
      <c r="I702" s="9" t="n"/>
      <c r="L702" s="26">
        <f>IF($C702="","",IFERROR(IF(INDEX(campaigns!$BG$2:$BG$51,MATCH($C702,campaigns!$A$2:$A$51,0))="","",INDEX(campaigns!$BG$2:$BG$51,MATCH($C702,campaigns!$A$2:$A$51,0))),""))</f>
        <v/>
      </c>
      <c r="M702" s="25">
        <f>IF($C702="","",IF(OR($E702="received"),N($G702),IF(OR($E702="rejected",$E702="delivered",$E702="topped_up"),-N($G702),IF(AND(OR($E702="returned_to_brand",$E702="given_to_roster_office",$E702="released_to_office",$E702="disposed"),IF($F702="","reserve",$F702)="reserve"),-N($G702),IF(AND($E702="correction",IF($F702="","reserve",$F702)="reserve"),N($G702),0)))))</f>
        <v/>
      </c>
      <c r="N702" s="25">
        <f>IF($C702="","",IF($E702="rejected",N($G702),IF(AND(OR($E702="returned_to_brand",$E702="given_to_roster_office",$E702="released_to_office",$E702="disposed"),IF($F702="","reserve",$F702)="rejected"),-N($G702),IF(AND($E702="correction",IF($F702="","reserve",$F702)="rejected"),N($G702),0))))</f>
        <v/>
      </c>
      <c r="O702" s="25">
        <f>IF($C702="","",IF($E702="collected",N($G702),IF(AND(OR($E702="returned_to_brand",$E702="given_to_roster_office",$E702="released_to_office",$E702="disposed"),IF($F702="","reserve",$F702)="leftover"),-N($G702),IF(AND($E702="correction",IF($F702="","reserve",$F702)="leftover"),N($G702),0))))</f>
        <v/>
      </c>
      <c r="P702" s="25">
        <f>IF(OR($E702&lt;&gt;"received",$I702="",$L702=""),"",IF($I702&gt;=$L702+config!$B$19,"Y","N"))</f>
        <v/>
      </c>
      <c r="Q702" s="25">
        <f>IF($C702="","",IF(COUNTIF(campaigns!$A$2:$A$51,$C702)=0,"campaign_id not on campaigns; ",IF(AND($D702&lt;&gt;"",COUNTIFS(approvals!$A$2:$A$251,$C702,approvals!$B$2:$B$251,$D702)=0),"office not on this campaign (approvals tab); ",""))&amp;IF(AND(OR($E702="delivered",$E702="topped_up",$E702="collected"),$D702=""),"office needed; ","")&amp;IF(AND($E702&lt;&gt;"correction",N($G702)&lt;=0),"qty must be above 0; ","")&amp;IF(AND($E702="received",OR($I702="",$H702="")),"log lot and best-by; ","")&amp;IF(AND($P702="N",SUMIFS(inventory!$G$2:$G$801,inventory!$C$2:$C$801,$C702,inventory!$H$2:$H$801,$H702,inventory!$E$2:$E$801,"rejected")&lt;N($G702)),"UNDER "&amp;config!$B$19&amp;" DAYS LEFT ON THE DROP DAY: reject these units; ","")&amp;IF(AND($E702="delivered",COUNTIF(inventory!$R$2:$R$801,$R702)&gt;1),"two delivered rows for this office: use one; ","")&amp;IF(AND($E702="delivered",$J702=""),"who counted?; ",""))</f>
        <v/>
      </c>
      <c r="R702" s="25">
        <f>IF($C702="","",$C702&amp;"|"&amp;$D702&amp;"|"&amp;$E702)</f>
        <v/>
      </c>
    </row>
    <row r="703">
      <c r="A703" s="9" t="n"/>
      <c r="B703" s="33" t="n"/>
      <c r="I703" s="9" t="n"/>
      <c r="L703" s="26">
        <f>IF($C703="","",IFERROR(IF(INDEX(campaigns!$BG$2:$BG$51,MATCH($C703,campaigns!$A$2:$A$51,0))="","",INDEX(campaigns!$BG$2:$BG$51,MATCH($C703,campaigns!$A$2:$A$51,0))),""))</f>
        <v/>
      </c>
      <c r="M703" s="25">
        <f>IF($C703="","",IF(OR($E703="received"),N($G703),IF(OR($E703="rejected",$E703="delivered",$E703="topped_up"),-N($G703),IF(AND(OR($E703="returned_to_brand",$E703="given_to_roster_office",$E703="released_to_office",$E703="disposed"),IF($F703="","reserve",$F703)="reserve"),-N($G703),IF(AND($E703="correction",IF($F703="","reserve",$F703)="reserve"),N($G703),0)))))</f>
        <v/>
      </c>
      <c r="N703" s="25">
        <f>IF($C703="","",IF($E703="rejected",N($G703),IF(AND(OR($E703="returned_to_brand",$E703="given_to_roster_office",$E703="released_to_office",$E703="disposed"),IF($F703="","reserve",$F703)="rejected"),-N($G703),IF(AND($E703="correction",IF($F703="","reserve",$F703)="rejected"),N($G703),0))))</f>
        <v/>
      </c>
      <c r="O703" s="25">
        <f>IF($C703="","",IF($E703="collected",N($G703),IF(AND(OR($E703="returned_to_brand",$E703="given_to_roster_office",$E703="released_to_office",$E703="disposed"),IF($F703="","reserve",$F703)="leftover"),-N($G703),IF(AND($E703="correction",IF($F703="","reserve",$F703)="leftover"),N($G703),0))))</f>
        <v/>
      </c>
      <c r="P703" s="25">
        <f>IF(OR($E703&lt;&gt;"received",$I703="",$L703=""),"",IF($I703&gt;=$L703+config!$B$19,"Y","N"))</f>
        <v/>
      </c>
      <c r="Q703" s="25">
        <f>IF($C703="","",IF(COUNTIF(campaigns!$A$2:$A$51,$C703)=0,"campaign_id not on campaigns; ",IF(AND($D703&lt;&gt;"",COUNTIFS(approvals!$A$2:$A$251,$C703,approvals!$B$2:$B$251,$D703)=0),"office not on this campaign (approvals tab); ",""))&amp;IF(AND(OR($E703="delivered",$E703="topped_up",$E703="collected"),$D703=""),"office needed; ","")&amp;IF(AND($E703&lt;&gt;"correction",N($G703)&lt;=0),"qty must be above 0; ","")&amp;IF(AND($E703="received",OR($I703="",$H703="")),"log lot and best-by; ","")&amp;IF(AND($P703="N",SUMIFS(inventory!$G$2:$G$801,inventory!$C$2:$C$801,$C703,inventory!$H$2:$H$801,$H703,inventory!$E$2:$E$801,"rejected")&lt;N($G703)),"UNDER "&amp;config!$B$19&amp;" DAYS LEFT ON THE DROP DAY: reject these units; ","")&amp;IF(AND($E703="delivered",COUNTIF(inventory!$R$2:$R$801,$R703)&gt;1),"two delivered rows for this office: use one; ","")&amp;IF(AND($E703="delivered",$J703=""),"who counted?; ",""))</f>
        <v/>
      </c>
      <c r="R703" s="25">
        <f>IF($C703="","",$C703&amp;"|"&amp;$D703&amp;"|"&amp;$E703)</f>
        <v/>
      </c>
    </row>
    <row r="704">
      <c r="A704" s="9" t="n"/>
      <c r="B704" s="33" t="n"/>
      <c r="I704" s="9" t="n"/>
      <c r="L704" s="26">
        <f>IF($C704="","",IFERROR(IF(INDEX(campaigns!$BG$2:$BG$51,MATCH($C704,campaigns!$A$2:$A$51,0))="","",INDEX(campaigns!$BG$2:$BG$51,MATCH($C704,campaigns!$A$2:$A$51,0))),""))</f>
        <v/>
      </c>
      <c r="M704" s="25">
        <f>IF($C704="","",IF(OR($E704="received"),N($G704),IF(OR($E704="rejected",$E704="delivered",$E704="topped_up"),-N($G704),IF(AND(OR($E704="returned_to_brand",$E704="given_to_roster_office",$E704="released_to_office",$E704="disposed"),IF($F704="","reserve",$F704)="reserve"),-N($G704),IF(AND($E704="correction",IF($F704="","reserve",$F704)="reserve"),N($G704),0)))))</f>
        <v/>
      </c>
      <c r="N704" s="25">
        <f>IF($C704="","",IF($E704="rejected",N($G704),IF(AND(OR($E704="returned_to_brand",$E704="given_to_roster_office",$E704="released_to_office",$E704="disposed"),IF($F704="","reserve",$F704)="rejected"),-N($G704),IF(AND($E704="correction",IF($F704="","reserve",$F704)="rejected"),N($G704),0))))</f>
        <v/>
      </c>
      <c r="O704" s="25">
        <f>IF($C704="","",IF($E704="collected",N($G704),IF(AND(OR($E704="returned_to_brand",$E704="given_to_roster_office",$E704="released_to_office",$E704="disposed"),IF($F704="","reserve",$F704)="leftover"),-N($G704),IF(AND($E704="correction",IF($F704="","reserve",$F704)="leftover"),N($G704),0))))</f>
        <v/>
      </c>
      <c r="P704" s="25">
        <f>IF(OR($E704&lt;&gt;"received",$I704="",$L704=""),"",IF($I704&gt;=$L704+config!$B$19,"Y","N"))</f>
        <v/>
      </c>
      <c r="Q704" s="25">
        <f>IF($C704="","",IF(COUNTIF(campaigns!$A$2:$A$51,$C704)=0,"campaign_id not on campaigns; ",IF(AND($D704&lt;&gt;"",COUNTIFS(approvals!$A$2:$A$251,$C704,approvals!$B$2:$B$251,$D704)=0),"office not on this campaign (approvals tab); ",""))&amp;IF(AND(OR($E704="delivered",$E704="topped_up",$E704="collected"),$D704=""),"office needed; ","")&amp;IF(AND($E704&lt;&gt;"correction",N($G704)&lt;=0),"qty must be above 0; ","")&amp;IF(AND($E704="received",OR($I704="",$H704="")),"log lot and best-by; ","")&amp;IF(AND($P704="N",SUMIFS(inventory!$G$2:$G$801,inventory!$C$2:$C$801,$C704,inventory!$H$2:$H$801,$H704,inventory!$E$2:$E$801,"rejected")&lt;N($G704)),"UNDER "&amp;config!$B$19&amp;" DAYS LEFT ON THE DROP DAY: reject these units; ","")&amp;IF(AND($E704="delivered",COUNTIF(inventory!$R$2:$R$801,$R704)&gt;1),"two delivered rows for this office: use one; ","")&amp;IF(AND($E704="delivered",$J704=""),"who counted?; ",""))</f>
        <v/>
      </c>
      <c r="R704" s="25">
        <f>IF($C704="","",$C704&amp;"|"&amp;$D704&amp;"|"&amp;$E704)</f>
        <v/>
      </c>
    </row>
    <row r="705">
      <c r="A705" s="9" t="n"/>
      <c r="B705" s="33" t="n"/>
      <c r="I705" s="9" t="n"/>
      <c r="L705" s="26">
        <f>IF($C705="","",IFERROR(IF(INDEX(campaigns!$BG$2:$BG$51,MATCH($C705,campaigns!$A$2:$A$51,0))="","",INDEX(campaigns!$BG$2:$BG$51,MATCH($C705,campaigns!$A$2:$A$51,0))),""))</f>
        <v/>
      </c>
      <c r="M705" s="25">
        <f>IF($C705="","",IF(OR($E705="received"),N($G705),IF(OR($E705="rejected",$E705="delivered",$E705="topped_up"),-N($G705),IF(AND(OR($E705="returned_to_brand",$E705="given_to_roster_office",$E705="released_to_office",$E705="disposed"),IF($F705="","reserve",$F705)="reserve"),-N($G705),IF(AND($E705="correction",IF($F705="","reserve",$F705)="reserve"),N($G705),0)))))</f>
        <v/>
      </c>
      <c r="N705" s="25">
        <f>IF($C705="","",IF($E705="rejected",N($G705),IF(AND(OR($E705="returned_to_brand",$E705="given_to_roster_office",$E705="released_to_office",$E705="disposed"),IF($F705="","reserve",$F705)="rejected"),-N($G705),IF(AND($E705="correction",IF($F705="","reserve",$F705)="rejected"),N($G705),0))))</f>
        <v/>
      </c>
      <c r="O705" s="25">
        <f>IF($C705="","",IF($E705="collected",N($G705),IF(AND(OR($E705="returned_to_brand",$E705="given_to_roster_office",$E705="released_to_office",$E705="disposed"),IF($F705="","reserve",$F705)="leftover"),-N($G705),IF(AND($E705="correction",IF($F705="","reserve",$F705)="leftover"),N($G705),0))))</f>
        <v/>
      </c>
      <c r="P705" s="25">
        <f>IF(OR($E705&lt;&gt;"received",$I705="",$L705=""),"",IF($I705&gt;=$L705+config!$B$19,"Y","N"))</f>
        <v/>
      </c>
      <c r="Q705" s="25">
        <f>IF($C705="","",IF(COUNTIF(campaigns!$A$2:$A$51,$C705)=0,"campaign_id not on campaigns; ",IF(AND($D705&lt;&gt;"",COUNTIFS(approvals!$A$2:$A$251,$C705,approvals!$B$2:$B$251,$D705)=0),"office not on this campaign (approvals tab); ",""))&amp;IF(AND(OR($E705="delivered",$E705="topped_up",$E705="collected"),$D705=""),"office needed; ","")&amp;IF(AND($E705&lt;&gt;"correction",N($G705)&lt;=0),"qty must be above 0; ","")&amp;IF(AND($E705="received",OR($I705="",$H705="")),"log lot and best-by; ","")&amp;IF(AND($P705="N",SUMIFS(inventory!$G$2:$G$801,inventory!$C$2:$C$801,$C705,inventory!$H$2:$H$801,$H705,inventory!$E$2:$E$801,"rejected")&lt;N($G705)),"UNDER "&amp;config!$B$19&amp;" DAYS LEFT ON THE DROP DAY: reject these units; ","")&amp;IF(AND($E705="delivered",COUNTIF(inventory!$R$2:$R$801,$R705)&gt;1),"two delivered rows for this office: use one; ","")&amp;IF(AND($E705="delivered",$J705=""),"who counted?; ",""))</f>
        <v/>
      </c>
      <c r="R705" s="25">
        <f>IF($C705="","",$C705&amp;"|"&amp;$D705&amp;"|"&amp;$E705)</f>
        <v/>
      </c>
    </row>
    <row r="706">
      <c r="A706" s="9" t="n"/>
      <c r="B706" s="33" t="n"/>
      <c r="I706" s="9" t="n"/>
      <c r="L706" s="26">
        <f>IF($C706="","",IFERROR(IF(INDEX(campaigns!$BG$2:$BG$51,MATCH($C706,campaigns!$A$2:$A$51,0))="","",INDEX(campaigns!$BG$2:$BG$51,MATCH($C706,campaigns!$A$2:$A$51,0))),""))</f>
        <v/>
      </c>
      <c r="M706" s="25">
        <f>IF($C706="","",IF(OR($E706="received"),N($G706),IF(OR($E706="rejected",$E706="delivered",$E706="topped_up"),-N($G706),IF(AND(OR($E706="returned_to_brand",$E706="given_to_roster_office",$E706="released_to_office",$E706="disposed"),IF($F706="","reserve",$F706)="reserve"),-N($G706),IF(AND($E706="correction",IF($F706="","reserve",$F706)="reserve"),N($G706),0)))))</f>
        <v/>
      </c>
      <c r="N706" s="25">
        <f>IF($C706="","",IF($E706="rejected",N($G706),IF(AND(OR($E706="returned_to_brand",$E706="given_to_roster_office",$E706="released_to_office",$E706="disposed"),IF($F706="","reserve",$F706)="rejected"),-N($G706),IF(AND($E706="correction",IF($F706="","reserve",$F706)="rejected"),N($G706),0))))</f>
        <v/>
      </c>
      <c r="O706" s="25">
        <f>IF($C706="","",IF($E706="collected",N($G706),IF(AND(OR($E706="returned_to_brand",$E706="given_to_roster_office",$E706="released_to_office",$E706="disposed"),IF($F706="","reserve",$F706)="leftover"),-N($G706),IF(AND($E706="correction",IF($F706="","reserve",$F706)="leftover"),N($G706),0))))</f>
        <v/>
      </c>
      <c r="P706" s="25">
        <f>IF(OR($E706&lt;&gt;"received",$I706="",$L706=""),"",IF($I706&gt;=$L706+config!$B$19,"Y","N"))</f>
        <v/>
      </c>
      <c r="Q706" s="25">
        <f>IF($C706="","",IF(COUNTIF(campaigns!$A$2:$A$51,$C706)=0,"campaign_id not on campaigns; ",IF(AND($D706&lt;&gt;"",COUNTIFS(approvals!$A$2:$A$251,$C706,approvals!$B$2:$B$251,$D706)=0),"office not on this campaign (approvals tab); ",""))&amp;IF(AND(OR($E706="delivered",$E706="topped_up",$E706="collected"),$D706=""),"office needed; ","")&amp;IF(AND($E706&lt;&gt;"correction",N($G706)&lt;=0),"qty must be above 0; ","")&amp;IF(AND($E706="received",OR($I706="",$H706="")),"log lot and best-by; ","")&amp;IF(AND($P706="N",SUMIFS(inventory!$G$2:$G$801,inventory!$C$2:$C$801,$C706,inventory!$H$2:$H$801,$H706,inventory!$E$2:$E$801,"rejected")&lt;N($G706)),"UNDER "&amp;config!$B$19&amp;" DAYS LEFT ON THE DROP DAY: reject these units; ","")&amp;IF(AND($E706="delivered",COUNTIF(inventory!$R$2:$R$801,$R706)&gt;1),"two delivered rows for this office: use one; ","")&amp;IF(AND($E706="delivered",$J706=""),"who counted?; ",""))</f>
        <v/>
      </c>
      <c r="R706" s="25">
        <f>IF($C706="","",$C706&amp;"|"&amp;$D706&amp;"|"&amp;$E706)</f>
        <v/>
      </c>
    </row>
    <row r="707">
      <c r="A707" s="9" t="n"/>
      <c r="B707" s="33" t="n"/>
      <c r="I707" s="9" t="n"/>
      <c r="L707" s="26">
        <f>IF($C707="","",IFERROR(IF(INDEX(campaigns!$BG$2:$BG$51,MATCH($C707,campaigns!$A$2:$A$51,0))="","",INDEX(campaigns!$BG$2:$BG$51,MATCH($C707,campaigns!$A$2:$A$51,0))),""))</f>
        <v/>
      </c>
      <c r="M707" s="25">
        <f>IF($C707="","",IF(OR($E707="received"),N($G707),IF(OR($E707="rejected",$E707="delivered",$E707="topped_up"),-N($G707),IF(AND(OR($E707="returned_to_brand",$E707="given_to_roster_office",$E707="released_to_office",$E707="disposed"),IF($F707="","reserve",$F707)="reserve"),-N($G707),IF(AND($E707="correction",IF($F707="","reserve",$F707)="reserve"),N($G707),0)))))</f>
        <v/>
      </c>
      <c r="N707" s="25">
        <f>IF($C707="","",IF($E707="rejected",N($G707),IF(AND(OR($E707="returned_to_brand",$E707="given_to_roster_office",$E707="released_to_office",$E707="disposed"),IF($F707="","reserve",$F707)="rejected"),-N($G707),IF(AND($E707="correction",IF($F707="","reserve",$F707)="rejected"),N($G707),0))))</f>
        <v/>
      </c>
      <c r="O707" s="25">
        <f>IF($C707="","",IF($E707="collected",N($G707),IF(AND(OR($E707="returned_to_brand",$E707="given_to_roster_office",$E707="released_to_office",$E707="disposed"),IF($F707="","reserve",$F707)="leftover"),-N($G707),IF(AND($E707="correction",IF($F707="","reserve",$F707)="leftover"),N($G707),0))))</f>
        <v/>
      </c>
      <c r="P707" s="25">
        <f>IF(OR($E707&lt;&gt;"received",$I707="",$L707=""),"",IF($I707&gt;=$L707+config!$B$19,"Y","N"))</f>
        <v/>
      </c>
      <c r="Q707" s="25">
        <f>IF($C707="","",IF(COUNTIF(campaigns!$A$2:$A$51,$C707)=0,"campaign_id not on campaigns; ",IF(AND($D707&lt;&gt;"",COUNTIFS(approvals!$A$2:$A$251,$C707,approvals!$B$2:$B$251,$D707)=0),"office not on this campaign (approvals tab); ",""))&amp;IF(AND(OR($E707="delivered",$E707="topped_up",$E707="collected"),$D707=""),"office needed; ","")&amp;IF(AND($E707&lt;&gt;"correction",N($G707)&lt;=0),"qty must be above 0; ","")&amp;IF(AND($E707="received",OR($I707="",$H707="")),"log lot and best-by; ","")&amp;IF(AND($P707="N",SUMIFS(inventory!$G$2:$G$801,inventory!$C$2:$C$801,$C707,inventory!$H$2:$H$801,$H707,inventory!$E$2:$E$801,"rejected")&lt;N($G707)),"UNDER "&amp;config!$B$19&amp;" DAYS LEFT ON THE DROP DAY: reject these units; ","")&amp;IF(AND($E707="delivered",COUNTIF(inventory!$R$2:$R$801,$R707)&gt;1),"two delivered rows for this office: use one; ","")&amp;IF(AND($E707="delivered",$J707=""),"who counted?; ",""))</f>
        <v/>
      </c>
      <c r="R707" s="25">
        <f>IF($C707="","",$C707&amp;"|"&amp;$D707&amp;"|"&amp;$E707)</f>
        <v/>
      </c>
    </row>
    <row r="708">
      <c r="A708" s="9" t="n"/>
      <c r="B708" s="33" t="n"/>
      <c r="I708" s="9" t="n"/>
      <c r="L708" s="26">
        <f>IF($C708="","",IFERROR(IF(INDEX(campaigns!$BG$2:$BG$51,MATCH($C708,campaigns!$A$2:$A$51,0))="","",INDEX(campaigns!$BG$2:$BG$51,MATCH($C708,campaigns!$A$2:$A$51,0))),""))</f>
        <v/>
      </c>
      <c r="M708" s="25">
        <f>IF($C708="","",IF(OR($E708="received"),N($G708),IF(OR($E708="rejected",$E708="delivered",$E708="topped_up"),-N($G708),IF(AND(OR($E708="returned_to_brand",$E708="given_to_roster_office",$E708="released_to_office",$E708="disposed"),IF($F708="","reserve",$F708)="reserve"),-N($G708),IF(AND($E708="correction",IF($F708="","reserve",$F708)="reserve"),N($G708),0)))))</f>
        <v/>
      </c>
      <c r="N708" s="25">
        <f>IF($C708="","",IF($E708="rejected",N($G708),IF(AND(OR($E708="returned_to_brand",$E708="given_to_roster_office",$E708="released_to_office",$E708="disposed"),IF($F708="","reserve",$F708)="rejected"),-N($G708),IF(AND($E708="correction",IF($F708="","reserve",$F708)="rejected"),N($G708),0))))</f>
        <v/>
      </c>
      <c r="O708" s="25">
        <f>IF($C708="","",IF($E708="collected",N($G708),IF(AND(OR($E708="returned_to_brand",$E708="given_to_roster_office",$E708="released_to_office",$E708="disposed"),IF($F708="","reserve",$F708)="leftover"),-N($G708),IF(AND($E708="correction",IF($F708="","reserve",$F708)="leftover"),N($G708),0))))</f>
        <v/>
      </c>
      <c r="P708" s="25">
        <f>IF(OR($E708&lt;&gt;"received",$I708="",$L708=""),"",IF($I708&gt;=$L708+config!$B$19,"Y","N"))</f>
        <v/>
      </c>
      <c r="Q708" s="25">
        <f>IF($C708="","",IF(COUNTIF(campaigns!$A$2:$A$51,$C708)=0,"campaign_id not on campaigns; ",IF(AND($D708&lt;&gt;"",COUNTIFS(approvals!$A$2:$A$251,$C708,approvals!$B$2:$B$251,$D708)=0),"office not on this campaign (approvals tab); ",""))&amp;IF(AND(OR($E708="delivered",$E708="topped_up",$E708="collected"),$D708=""),"office needed; ","")&amp;IF(AND($E708&lt;&gt;"correction",N($G708)&lt;=0),"qty must be above 0; ","")&amp;IF(AND($E708="received",OR($I708="",$H708="")),"log lot and best-by; ","")&amp;IF(AND($P708="N",SUMIFS(inventory!$G$2:$G$801,inventory!$C$2:$C$801,$C708,inventory!$H$2:$H$801,$H708,inventory!$E$2:$E$801,"rejected")&lt;N($G708)),"UNDER "&amp;config!$B$19&amp;" DAYS LEFT ON THE DROP DAY: reject these units; ","")&amp;IF(AND($E708="delivered",COUNTIF(inventory!$R$2:$R$801,$R708)&gt;1),"two delivered rows for this office: use one; ","")&amp;IF(AND($E708="delivered",$J708=""),"who counted?; ",""))</f>
        <v/>
      </c>
      <c r="R708" s="25">
        <f>IF($C708="","",$C708&amp;"|"&amp;$D708&amp;"|"&amp;$E708)</f>
        <v/>
      </c>
    </row>
    <row r="709">
      <c r="A709" s="9" t="n"/>
      <c r="B709" s="33" t="n"/>
      <c r="I709" s="9" t="n"/>
      <c r="L709" s="26">
        <f>IF($C709="","",IFERROR(IF(INDEX(campaigns!$BG$2:$BG$51,MATCH($C709,campaigns!$A$2:$A$51,0))="","",INDEX(campaigns!$BG$2:$BG$51,MATCH($C709,campaigns!$A$2:$A$51,0))),""))</f>
        <v/>
      </c>
      <c r="M709" s="25">
        <f>IF($C709="","",IF(OR($E709="received"),N($G709),IF(OR($E709="rejected",$E709="delivered",$E709="topped_up"),-N($G709),IF(AND(OR($E709="returned_to_brand",$E709="given_to_roster_office",$E709="released_to_office",$E709="disposed"),IF($F709="","reserve",$F709)="reserve"),-N($G709),IF(AND($E709="correction",IF($F709="","reserve",$F709)="reserve"),N($G709),0)))))</f>
        <v/>
      </c>
      <c r="N709" s="25">
        <f>IF($C709="","",IF($E709="rejected",N($G709),IF(AND(OR($E709="returned_to_brand",$E709="given_to_roster_office",$E709="released_to_office",$E709="disposed"),IF($F709="","reserve",$F709)="rejected"),-N($G709),IF(AND($E709="correction",IF($F709="","reserve",$F709)="rejected"),N($G709),0))))</f>
        <v/>
      </c>
      <c r="O709" s="25">
        <f>IF($C709="","",IF($E709="collected",N($G709),IF(AND(OR($E709="returned_to_brand",$E709="given_to_roster_office",$E709="released_to_office",$E709="disposed"),IF($F709="","reserve",$F709)="leftover"),-N($G709),IF(AND($E709="correction",IF($F709="","reserve",$F709)="leftover"),N($G709),0))))</f>
        <v/>
      </c>
      <c r="P709" s="25">
        <f>IF(OR($E709&lt;&gt;"received",$I709="",$L709=""),"",IF($I709&gt;=$L709+config!$B$19,"Y","N"))</f>
        <v/>
      </c>
      <c r="Q709" s="25">
        <f>IF($C709="","",IF(COUNTIF(campaigns!$A$2:$A$51,$C709)=0,"campaign_id not on campaigns; ",IF(AND($D709&lt;&gt;"",COUNTIFS(approvals!$A$2:$A$251,$C709,approvals!$B$2:$B$251,$D709)=0),"office not on this campaign (approvals tab); ",""))&amp;IF(AND(OR($E709="delivered",$E709="topped_up",$E709="collected"),$D709=""),"office needed; ","")&amp;IF(AND($E709&lt;&gt;"correction",N($G709)&lt;=0),"qty must be above 0; ","")&amp;IF(AND($E709="received",OR($I709="",$H709="")),"log lot and best-by; ","")&amp;IF(AND($P709="N",SUMIFS(inventory!$G$2:$G$801,inventory!$C$2:$C$801,$C709,inventory!$H$2:$H$801,$H709,inventory!$E$2:$E$801,"rejected")&lt;N($G709)),"UNDER "&amp;config!$B$19&amp;" DAYS LEFT ON THE DROP DAY: reject these units; ","")&amp;IF(AND($E709="delivered",COUNTIF(inventory!$R$2:$R$801,$R709)&gt;1),"two delivered rows for this office: use one; ","")&amp;IF(AND($E709="delivered",$J709=""),"who counted?; ",""))</f>
        <v/>
      </c>
      <c r="R709" s="25">
        <f>IF($C709="","",$C709&amp;"|"&amp;$D709&amp;"|"&amp;$E709)</f>
        <v/>
      </c>
    </row>
    <row r="710">
      <c r="A710" s="9" t="n"/>
      <c r="B710" s="33" t="n"/>
      <c r="I710" s="9" t="n"/>
      <c r="L710" s="26">
        <f>IF($C710="","",IFERROR(IF(INDEX(campaigns!$BG$2:$BG$51,MATCH($C710,campaigns!$A$2:$A$51,0))="","",INDEX(campaigns!$BG$2:$BG$51,MATCH($C710,campaigns!$A$2:$A$51,0))),""))</f>
        <v/>
      </c>
      <c r="M710" s="25">
        <f>IF($C710="","",IF(OR($E710="received"),N($G710),IF(OR($E710="rejected",$E710="delivered",$E710="topped_up"),-N($G710),IF(AND(OR($E710="returned_to_brand",$E710="given_to_roster_office",$E710="released_to_office",$E710="disposed"),IF($F710="","reserve",$F710)="reserve"),-N($G710),IF(AND($E710="correction",IF($F710="","reserve",$F710)="reserve"),N($G710),0)))))</f>
        <v/>
      </c>
      <c r="N710" s="25">
        <f>IF($C710="","",IF($E710="rejected",N($G710),IF(AND(OR($E710="returned_to_brand",$E710="given_to_roster_office",$E710="released_to_office",$E710="disposed"),IF($F710="","reserve",$F710)="rejected"),-N($G710),IF(AND($E710="correction",IF($F710="","reserve",$F710)="rejected"),N($G710),0))))</f>
        <v/>
      </c>
      <c r="O710" s="25">
        <f>IF($C710="","",IF($E710="collected",N($G710),IF(AND(OR($E710="returned_to_brand",$E710="given_to_roster_office",$E710="released_to_office",$E710="disposed"),IF($F710="","reserve",$F710)="leftover"),-N($G710),IF(AND($E710="correction",IF($F710="","reserve",$F710)="leftover"),N($G710),0))))</f>
        <v/>
      </c>
      <c r="P710" s="25">
        <f>IF(OR($E710&lt;&gt;"received",$I710="",$L710=""),"",IF($I710&gt;=$L710+config!$B$19,"Y","N"))</f>
        <v/>
      </c>
      <c r="Q710" s="25">
        <f>IF($C710="","",IF(COUNTIF(campaigns!$A$2:$A$51,$C710)=0,"campaign_id not on campaigns; ",IF(AND($D710&lt;&gt;"",COUNTIFS(approvals!$A$2:$A$251,$C710,approvals!$B$2:$B$251,$D710)=0),"office not on this campaign (approvals tab); ",""))&amp;IF(AND(OR($E710="delivered",$E710="topped_up",$E710="collected"),$D710=""),"office needed; ","")&amp;IF(AND($E710&lt;&gt;"correction",N($G710)&lt;=0),"qty must be above 0; ","")&amp;IF(AND($E710="received",OR($I710="",$H710="")),"log lot and best-by; ","")&amp;IF(AND($P710="N",SUMIFS(inventory!$G$2:$G$801,inventory!$C$2:$C$801,$C710,inventory!$H$2:$H$801,$H710,inventory!$E$2:$E$801,"rejected")&lt;N($G710)),"UNDER "&amp;config!$B$19&amp;" DAYS LEFT ON THE DROP DAY: reject these units; ","")&amp;IF(AND($E710="delivered",COUNTIF(inventory!$R$2:$R$801,$R710)&gt;1),"two delivered rows for this office: use one; ","")&amp;IF(AND($E710="delivered",$J710=""),"who counted?; ",""))</f>
        <v/>
      </c>
      <c r="R710" s="25">
        <f>IF($C710="","",$C710&amp;"|"&amp;$D710&amp;"|"&amp;$E710)</f>
        <v/>
      </c>
    </row>
    <row r="711">
      <c r="A711" s="9" t="n"/>
      <c r="B711" s="33" t="n"/>
      <c r="I711" s="9" t="n"/>
      <c r="L711" s="26">
        <f>IF($C711="","",IFERROR(IF(INDEX(campaigns!$BG$2:$BG$51,MATCH($C711,campaigns!$A$2:$A$51,0))="","",INDEX(campaigns!$BG$2:$BG$51,MATCH($C711,campaigns!$A$2:$A$51,0))),""))</f>
        <v/>
      </c>
      <c r="M711" s="25">
        <f>IF($C711="","",IF(OR($E711="received"),N($G711),IF(OR($E711="rejected",$E711="delivered",$E711="topped_up"),-N($G711),IF(AND(OR($E711="returned_to_brand",$E711="given_to_roster_office",$E711="released_to_office",$E711="disposed"),IF($F711="","reserve",$F711)="reserve"),-N($G711),IF(AND($E711="correction",IF($F711="","reserve",$F711)="reserve"),N($G711),0)))))</f>
        <v/>
      </c>
      <c r="N711" s="25">
        <f>IF($C711="","",IF($E711="rejected",N($G711),IF(AND(OR($E711="returned_to_brand",$E711="given_to_roster_office",$E711="released_to_office",$E711="disposed"),IF($F711="","reserve",$F711)="rejected"),-N($G711),IF(AND($E711="correction",IF($F711="","reserve",$F711)="rejected"),N($G711),0))))</f>
        <v/>
      </c>
      <c r="O711" s="25">
        <f>IF($C711="","",IF($E711="collected",N($G711),IF(AND(OR($E711="returned_to_brand",$E711="given_to_roster_office",$E711="released_to_office",$E711="disposed"),IF($F711="","reserve",$F711)="leftover"),-N($G711),IF(AND($E711="correction",IF($F711="","reserve",$F711)="leftover"),N($G711),0))))</f>
        <v/>
      </c>
      <c r="P711" s="25">
        <f>IF(OR($E711&lt;&gt;"received",$I711="",$L711=""),"",IF($I711&gt;=$L711+config!$B$19,"Y","N"))</f>
        <v/>
      </c>
      <c r="Q711" s="25">
        <f>IF($C711="","",IF(COUNTIF(campaigns!$A$2:$A$51,$C711)=0,"campaign_id not on campaigns; ",IF(AND($D711&lt;&gt;"",COUNTIFS(approvals!$A$2:$A$251,$C711,approvals!$B$2:$B$251,$D711)=0),"office not on this campaign (approvals tab); ",""))&amp;IF(AND(OR($E711="delivered",$E711="topped_up",$E711="collected"),$D711=""),"office needed; ","")&amp;IF(AND($E711&lt;&gt;"correction",N($G711)&lt;=0),"qty must be above 0; ","")&amp;IF(AND($E711="received",OR($I711="",$H711="")),"log lot and best-by; ","")&amp;IF(AND($P711="N",SUMIFS(inventory!$G$2:$G$801,inventory!$C$2:$C$801,$C711,inventory!$H$2:$H$801,$H711,inventory!$E$2:$E$801,"rejected")&lt;N($G711)),"UNDER "&amp;config!$B$19&amp;" DAYS LEFT ON THE DROP DAY: reject these units; ","")&amp;IF(AND($E711="delivered",COUNTIF(inventory!$R$2:$R$801,$R711)&gt;1),"two delivered rows for this office: use one; ","")&amp;IF(AND($E711="delivered",$J711=""),"who counted?; ",""))</f>
        <v/>
      </c>
      <c r="R711" s="25">
        <f>IF($C711="","",$C711&amp;"|"&amp;$D711&amp;"|"&amp;$E711)</f>
        <v/>
      </c>
    </row>
    <row r="712">
      <c r="A712" s="9" t="n"/>
      <c r="B712" s="33" t="n"/>
      <c r="I712" s="9" t="n"/>
      <c r="L712" s="26">
        <f>IF($C712="","",IFERROR(IF(INDEX(campaigns!$BG$2:$BG$51,MATCH($C712,campaigns!$A$2:$A$51,0))="","",INDEX(campaigns!$BG$2:$BG$51,MATCH($C712,campaigns!$A$2:$A$51,0))),""))</f>
        <v/>
      </c>
      <c r="M712" s="25">
        <f>IF($C712="","",IF(OR($E712="received"),N($G712),IF(OR($E712="rejected",$E712="delivered",$E712="topped_up"),-N($G712),IF(AND(OR($E712="returned_to_brand",$E712="given_to_roster_office",$E712="released_to_office",$E712="disposed"),IF($F712="","reserve",$F712)="reserve"),-N($G712),IF(AND($E712="correction",IF($F712="","reserve",$F712)="reserve"),N($G712),0)))))</f>
        <v/>
      </c>
      <c r="N712" s="25">
        <f>IF($C712="","",IF($E712="rejected",N($G712),IF(AND(OR($E712="returned_to_brand",$E712="given_to_roster_office",$E712="released_to_office",$E712="disposed"),IF($F712="","reserve",$F712)="rejected"),-N($G712),IF(AND($E712="correction",IF($F712="","reserve",$F712)="rejected"),N($G712),0))))</f>
        <v/>
      </c>
      <c r="O712" s="25">
        <f>IF($C712="","",IF($E712="collected",N($G712),IF(AND(OR($E712="returned_to_brand",$E712="given_to_roster_office",$E712="released_to_office",$E712="disposed"),IF($F712="","reserve",$F712)="leftover"),-N($G712),IF(AND($E712="correction",IF($F712="","reserve",$F712)="leftover"),N($G712),0))))</f>
        <v/>
      </c>
      <c r="P712" s="25">
        <f>IF(OR($E712&lt;&gt;"received",$I712="",$L712=""),"",IF($I712&gt;=$L712+config!$B$19,"Y","N"))</f>
        <v/>
      </c>
      <c r="Q712" s="25">
        <f>IF($C712="","",IF(COUNTIF(campaigns!$A$2:$A$51,$C712)=0,"campaign_id not on campaigns; ",IF(AND($D712&lt;&gt;"",COUNTIFS(approvals!$A$2:$A$251,$C712,approvals!$B$2:$B$251,$D712)=0),"office not on this campaign (approvals tab); ",""))&amp;IF(AND(OR($E712="delivered",$E712="topped_up",$E712="collected"),$D712=""),"office needed; ","")&amp;IF(AND($E712&lt;&gt;"correction",N($G712)&lt;=0),"qty must be above 0; ","")&amp;IF(AND($E712="received",OR($I712="",$H712="")),"log lot and best-by; ","")&amp;IF(AND($P712="N",SUMIFS(inventory!$G$2:$G$801,inventory!$C$2:$C$801,$C712,inventory!$H$2:$H$801,$H712,inventory!$E$2:$E$801,"rejected")&lt;N($G712)),"UNDER "&amp;config!$B$19&amp;" DAYS LEFT ON THE DROP DAY: reject these units; ","")&amp;IF(AND($E712="delivered",COUNTIF(inventory!$R$2:$R$801,$R712)&gt;1),"two delivered rows for this office: use one; ","")&amp;IF(AND($E712="delivered",$J712=""),"who counted?; ",""))</f>
        <v/>
      </c>
      <c r="R712" s="25">
        <f>IF($C712="","",$C712&amp;"|"&amp;$D712&amp;"|"&amp;$E712)</f>
        <v/>
      </c>
    </row>
    <row r="713">
      <c r="A713" s="9" t="n"/>
      <c r="B713" s="33" t="n"/>
      <c r="I713" s="9" t="n"/>
      <c r="L713" s="26">
        <f>IF($C713="","",IFERROR(IF(INDEX(campaigns!$BG$2:$BG$51,MATCH($C713,campaigns!$A$2:$A$51,0))="","",INDEX(campaigns!$BG$2:$BG$51,MATCH($C713,campaigns!$A$2:$A$51,0))),""))</f>
        <v/>
      </c>
      <c r="M713" s="25">
        <f>IF($C713="","",IF(OR($E713="received"),N($G713),IF(OR($E713="rejected",$E713="delivered",$E713="topped_up"),-N($G713),IF(AND(OR($E713="returned_to_brand",$E713="given_to_roster_office",$E713="released_to_office",$E713="disposed"),IF($F713="","reserve",$F713)="reserve"),-N($G713),IF(AND($E713="correction",IF($F713="","reserve",$F713)="reserve"),N($G713),0)))))</f>
        <v/>
      </c>
      <c r="N713" s="25">
        <f>IF($C713="","",IF($E713="rejected",N($G713),IF(AND(OR($E713="returned_to_brand",$E713="given_to_roster_office",$E713="released_to_office",$E713="disposed"),IF($F713="","reserve",$F713)="rejected"),-N($G713),IF(AND($E713="correction",IF($F713="","reserve",$F713)="rejected"),N($G713),0))))</f>
        <v/>
      </c>
      <c r="O713" s="25">
        <f>IF($C713="","",IF($E713="collected",N($G713),IF(AND(OR($E713="returned_to_brand",$E713="given_to_roster_office",$E713="released_to_office",$E713="disposed"),IF($F713="","reserve",$F713)="leftover"),-N($G713),IF(AND($E713="correction",IF($F713="","reserve",$F713)="leftover"),N($G713),0))))</f>
        <v/>
      </c>
      <c r="P713" s="25">
        <f>IF(OR($E713&lt;&gt;"received",$I713="",$L713=""),"",IF($I713&gt;=$L713+config!$B$19,"Y","N"))</f>
        <v/>
      </c>
      <c r="Q713" s="25">
        <f>IF($C713="","",IF(COUNTIF(campaigns!$A$2:$A$51,$C713)=0,"campaign_id not on campaigns; ",IF(AND($D713&lt;&gt;"",COUNTIFS(approvals!$A$2:$A$251,$C713,approvals!$B$2:$B$251,$D713)=0),"office not on this campaign (approvals tab); ",""))&amp;IF(AND(OR($E713="delivered",$E713="topped_up",$E713="collected"),$D713=""),"office needed; ","")&amp;IF(AND($E713&lt;&gt;"correction",N($G713)&lt;=0),"qty must be above 0; ","")&amp;IF(AND($E713="received",OR($I713="",$H713="")),"log lot and best-by; ","")&amp;IF(AND($P713="N",SUMIFS(inventory!$G$2:$G$801,inventory!$C$2:$C$801,$C713,inventory!$H$2:$H$801,$H713,inventory!$E$2:$E$801,"rejected")&lt;N($G713)),"UNDER "&amp;config!$B$19&amp;" DAYS LEFT ON THE DROP DAY: reject these units; ","")&amp;IF(AND($E713="delivered",COUNTIF(inventory!$R$2:$R$801,$R713)&gt;1),"two delivered rows for this office: use one; ","")&amp;IF(AND($E713="delivered",$J713=""),"who counted?; ",""))</f>
        <v/>
      </c>
      <c r="R713" s="25">
        <f>IF($C713="","",$C713&amp;"|"&amp;$D713&amp;"|"&amp;$E713)</f>
        <v/>
      </c>
    </row>
    <row r="714">
      <c r="A714" s="9" t="n"/>
      <c r="B714" s="33" t="n"/>
      <c r="I714" s="9" t="n"/>
      <c r="L714" s="26">
        <f>IF($C714="","",IFERROR(IF(INDEX(campaigns!$BG$2:$BG$51,MATCH($C714,campaigns!$A$2:$A$51,0))="","",INDEX(campaigns!$BG$2:$BG$51,MATCH($C714,campaigns!$A$2:$A$51,0))),""))</f>
        <v/>
      </c>
      <c r="M714" s="25">
        <f>IF($C714="","",IF(OR($E714="received"),N($G714),IF(OR($E714="rejected",$E714="delivered",$E714="topped_up"),-N($G714),IF(AND(OR($E714="returned_to_brand",$E714="given_to_roster_office",$E714="released_to_office",$E714="disposed"),IF($F714="","reserve",$F714)="reserve"),-N($G714),IF(AND($E714="correction",IF($F714="","reserve",$F714)="reserve"),N($G714),0)))))</f>
        <v/>
      </c>
      <c r="N714" s="25">
        <f>IF($C714="","",IF($E714="rejected",N($G714),IF(AND(OR($E714="returned_to_brand",$E714="given_to_roster_office",$E714="released_to_office",$E714="disposed"),IF($F714="","reserve",$F714)="rejected"),-N($G714),IF(AND($E714="correction",IF($F714="","reserve",$F714)="rejected"),N($G714),0))))</f>
        <v/>
      </c>
      <c r="O714" s="25">
        <f>IF($C714="","",IF($E714="collected",N($G714),IF(AND(OR($E714="returned_to_brand",$E714="given_to_roster_office",$E714="released_to_office",$E714="disposed"),IF($F714="","reserve",$F714)="leftover"),-N($G714),IF(AND($E714="correction",IF($F714="","reserve",$F714)="leftover"),N($G714),0))))</f>
        <v/>
      </c>
      <c r="P714" s="25">
        <f>IF(OR($E714&lt;&gt;"received",$I714="",$L714=""),"",IF($I714&gt;=$L714+config!$B$19,"Y","N"))</f>
        <v/>
      </c>
      <c r="Q714" s="25">
        <f>IF($C714="","",IF(COUNTIF(campaigns!$A$2:$A$51,$C714)=0,"campaign_id not on campaigns; ",IF(AND($D714&lt;&gt;"",COUNTIFS(approvals!$A$2:$A$251,$C714,approvals!$B$2:$B$251,$D714)=0),"office not on this campaign (approvals tab); ",""))&amp;IF(AND(OR($E714="delivered",$E714="topped_up",$E714="collected"),$D714=""),"office needed; ","")&amp;IF(AND($E714&lt;&gt;"correction",N($G714)&lt;=0),"qty must be above 0; ","")&amp;IF(AND($E714="received",OR($I714="",$H714="")),"log lot and best-by; ","")&amp;IF(AND($P714="N",SUMIFS(inventory!$G$2:$G$801,inventory!$C$2:$C$801,$C714,inventory!$H$2:$H$801,$H714,inventory!$E$2:$E$801,"rejected")&lt;N($G714)),"UNDER "&amp;config!$B$19&amp;" DAYS LEFT ON THE DROP DAY: reject these units; ","")&amp;IF(AND($E714="delivered",COUNTIF(inventory!$R$2:$R$801,$R714)&gt;1),"two delivered rows for this office: use one; ","")&amp;IF(AND($E714="delivered",$J714=""),"who counted?; ",""))</f>
        <v/>
      </c>
      <c r="R714" s="25">
        <f>IF($C714="","",$C714&amp;"|"&amp;$D714&amp;"|"&amp;$E714)</f>
        <v/>
      </c>
    </row>
    <row r="715">
      <c r="A715" s="9" t="n"/>
      <c r="B715" s="33" t="n"/>
      <c r="I715" s="9" t="n"/>
      <c r="L715" s="26">
        <f>IF($C715="","",IFERROR(IF(INDEX(campaigns!$BG$2:$BG$51,MATCH($C715,campaigns!$A$2:$A$51,0))="","",INDEX(campaigns!$BG$2:$BG$51,MATCH($C715,campaigns!$A$2:$A$51,0))),""))</f>
        <v/>
      </c>
      <c r="M715" s="25">
        <f>IF($C715="","",IF(OR($E715="received"),N($G715),IF(OR($E715="rejected",$E715="delivered",$E715="topped_up"),-N($G715),IF(AND(OR($E715="returned_to_brand",$E715="given_to_roster_office",$E715="released_to_office",$E715="disposed"),IF($F715="","reserve",$F715)="reserve"),-N($G715),IF(AND($E715="correction",IF($F715="","reserve",$F715)="reserve"),N($G715),0)))))</f>
        <v/>
      </c>
      <c r="N715" s="25">
        <f>IF($C715="","",IF($E715="rejected",N($G715),IF(AND(OR($E715="returned_to_brand",$E715="given_to_roster_office",$E715="released_to_office",$E715="disposed"),IF($F715="","reserve",$F715)="rejected"),-N($G715),IF(AND($E715="correction",IF($F715="","reserve",$F715)="rejected"),N($G715),0))))</f>
        <v/>
      </c>
      <c r="O715" s="25">
        <f>IF($C715="","",IF($E715="collected",N($G715),IF(AND(OR($E715="returned_to_brand",$E715="given_to_roster_office",$E715="released_to_office",$E715="disposed"),IF($F715="","reserve",$F715)="leftover"),-N($G715),IF(AND($E715="correction",IF($F715="","reserve",$F715)="leftover"),N($G715),0))))</f>
        <v/>
      </c>
      <c r="P715" s="25">
        <f>IF(OR($E715&lt;&gt;"received",$I715="",$L715=""),"",IF($I715&gt;=$L715+config!$B$19,"Y","N"))</f>
        <v/>
      </c>
      <c r="Q715" s="25">
        <f>IF($C715="","",IF(COUNTIF(campaigns!$A$2:$A$51,$C715)=0,"campaign_id not on campaigns; ",IF(AND($D715&lt;&gt;"",COUNTIFS(approvals!$A$2:$A$251,$C715,approvals!$B$2:$B$251,$D715)=0),"office not on this campaign (approvals tab); ",""))&amp;IF(AND(OR($E715="delivered",$E715="topped_up",$E715="collected"),$D715=""),"office needed; ","")&amp;IF(AND($E715&lt;&gt;"correction",N($G715)&lt;=0),"qty must be above 0; ","")&amp;IF(AND($E715="received",OR($I715="",$H715="")),"log lot and best-by; ","")&amp;IF(AND($P715="N",SUMIFS(inventory!$G$2:$G$801,inventory!$C$2:$C$801,$C715,inventory!$H$2:$H$801,$H715,inventory!$E$2:$E$801,"rejected")&lt;N($G715)),"UNDER "&amp;config!$B$19&amp;" DAYS LEFT ON THE DROP DAY: reject these units; ","")&amp;IF(AND($E715="delivered",COUNTIF(inventory!$R$2:$R$801,$R715)&gt;1),"two delivered rows for this office: use one; ","")&amp;IF(AND($E715="delivered",$J715=""),"who counted?; ",""))</f>
        <v/>
      </c>
      <c r="R715" s="25">
        <f>IF($C715="","",$C715&amp;"|"&amp;$D715&amp;"|"&amp;$E715)</f>
        <v/>
      </c>
    </row>
    <row r="716">
      <c r="A716" s="9" t="n"/>
      <c r="B716" s="33" t="n"/>
      <c r="I716" s="9" t="n"/>
      <c r="L716" s="26">
        <f>IF($C716="","",IFERROR(IF(INDEX(campaigns!$BG$2:$BG$51,MATCH($C716,campaigns!$A$2:$A$51,0))="","",INDEX(campaigns!$BG$2:$BG$51,MATCH($C716,campaigns!$A$2:$A$51,0))),""))</f>
        <v/>
      </c>
      <c r="M716" s="25">
        <f>IF($C716="","",IF(OR($E716="received"),N($G716),IF(OR($E716="rejected",$E716="delivered",$E716="topped_up"),-N($G716),IF(AND(OR($E716="returned_to_brand",$E716="given_to_roster_office",$E716="released_to_office",$E716="disposed"),IF($F716="","reserve",$F716)="reserve"),-N($G716),IF(AND($E716="correction",IF($F716="","reserve",$F716)="reserve"),N($G716),0)))))</f>
        <v/>
      </c>
      <c r="N716" s="25">
        <f>IF($C716="","",IF($E716="rejected",N($G716),IF(AND(OR($E716="returned_to_brand",$E716="given_to_roster_office",$E716="released_to_office",$E716="disposed"),IF($F716="","reserve",$F716)="rejected"),-N($G716),IF(AND($E716="correction",IF($F716="","reserve",$F716)="rejected"),N($G716),0))))</f>
        <v/>
      </c>
      <c r="O716" s="25">
        <f>IF($C716="","",IF($E716="collected",N($G716),IF(AND(OR($E716="returned_to_brand",$E716="given_to_roster_office",$E716="released_to_office",$E716="disposed"),IF($F716="","reserve",$F716)="leftover"),-N($G716),IF(AND($E716="correction",IF($F716="","reserve",$F716)="leftover"),N($G716),0))))</f>
        <v/>
      </c>
      <c r="P716" s="25">
        <f>IF(OR($E716&lt;&gt;"received",$I716="",$L716=""),"",IF($I716&gt;=$L716+config!$B$19,"Y","N"))</f>
        <v/>
      </c>
      <c r="Q716" s="25">
        <f>IF($C716="","",IF(COUNTIF(campaigns!$A$2:$A$51,$C716)=0,"campaign_id not on campaigns; ",IF(AND($D716&lt;&gt;"",COUNTIFS(approvals!$A$2:$A$251,$C716,approvals!$B$2:$B$251,$D716)=0),"office not on this campaign (approvals tab); ",""))&amp;IF(AND(OR($E716="delivered",$E716="topped_up",$E716="collected"),$D716=""),"office needed; ","")&amp;IF(AND($E716&lt;&gt;"correction",N($G716)&lt;=0),"qty must be above 0; ","")&amp;IF(AND($E716="received",OR($I716="",$H716="")),"log lot and best-by; ","")&amp;IF(AND($P716="N",SUMIFS(inventory!$G$2:$G$801,inventory!$C$2:$C$801,$C716,inventory!$H$2:$H$801,$H716,inventory!$E$2:$E$801,"rejected")&lt;N($G716)),"UNDER "&amp;config!$B$19&amp;" DAYS LEFT ON THE DROP DAY: reject these units; ","")&amp;IF(AND($E716="delivered",COUNTIF(inventory!$R$2:$R$801,$R716)&gt;1),"two delivered rows for this office: use one; ","")&amp;IF(AND($E716="delivered",$J716=""),"who counted?; ",""))</f>
        <v/>
      </c>
      <c r="R716" s="25">
        <f>IF($C716="","",$C716&amp;"|"&amp;$D716&amp;"|"&amp;$E716)</f>
        <v/>
      </c>
    </row>
    <row r="717">
      <c r="A717" s="9" t="n"/>
      <c r="B717" s="33" t="n"/>
      <c r="I717" s="9" t="n"/>
      <c r="L717" s="26">
        <f>IF($C717="","",IFERROR(IF(INDEX(campaigns!$BG$2:$BG$51,MATCH($C717,campaigns!$A$2:$A$51,0))="","",INDEX(campaigns!$BG$2:$BG$51,MATCH($C717,campaigns!$A$2:$A$51,0))),""))</f>
        <v/>
      </c>
      <c r="M717" s="25">
        <f>IF($C717="","",IF(OR($E717="received"),N($G717),IF(OR($E717="rejected",$E717="delivered",$E717="topped_up"),-N($G717),IF(AND(OR($E717="returned_to_brand",$E717="given_to_roster_office",$E717="released_to_office",$E717="disposed"),IF($F717="","reserve",$F717)="reserve"),-N($G717),IF(AND($E717="correction",IF($F717="","reserve",$F717)="reserve"),N($G717),0)))))</f>
        <v/>
      </c>
      <c r="N717" s="25">
        <f>IF($C717="","",IF($E717="rejected",N($G717),IF(AND(OR($E717="returned_to_brand",$E717="given_to_roster_office",$E717="released_to_office",$E717="disposed"),IF($F717="","reserve",$F717)="rejected"),-N($G717),IF(AND($E717="correction",IF($F717="","reserve",$F717)="rejected"),N($G717),0))))</f>
        <v/>
      </c>
      <c r="O717" s="25">
        <f>IF($C717="","",IF($E717="collected",N($G717),IF(AND(OR($E717="returned_to_brand",$E717="given_to_roster_office",$E717="released_to_office",$E717="disposed"),IF($F717="","reserve",$F717)="leftover"),-N($G717),IF(AND($E717="correction",IF($F717="","reserve",$F717)="leftover"),N($G717),0))))</f>
        <v/>
      </c>
      <c r="P717" s="25">
        <f>IF(OR($E717&lt;&gt;"received",$I717="",$L717=""),"",IF($I717&gt;=$L717+config!$B$19,"Y","N"))</f>
        <v/>
      </c>
      <c r="Q717" s="25">
        <f>IF($C717="","",IF(COUNTIF(campaigns!$A$2:$A$51,$C717)=0,"campaign_id not on campaigns; ",IF(AND($D717&lt;&gt;"",COUNTIFS(approvals!$A$2:$A$251,$C717,approvals!$B$2:$B$251,$D717)=0),"office not on this campaign (approvals tab); ",""))&amp;IF(AND(OR($E717="delivered",$E717="topped_up",$E717="collected"),$D717=""),"office needed; ","")&amp;IF(AND($E717&lt;&gt;"correction",N($G717)&lt;=0),"qty must be above 0; ","")&amp;IF(AND($E717="received",OR($I717="",$H717="")),"log lot and best-by; ","")&amp;IF(AND($P717="N",SUMIFS(inventory!$G$2:$G$801,inventory!$C$2:$C$801,$C717,inventory!$H$2:$H$801,$H717,inventory!$E$2:$E$801,"rejected")&lt;N($G717)),"UNDER "&amp;config!$B$19&amp;" DAYS LEFT ON THE DROP DAY: reject these units; ","")&amp;IF(AND($E717="delivered",COUNTIF(inventory!$R$2:$R$801,$R717)&gt;1),"two delivered rows for this office: use one; ","")&amp;IF(AND($E717="delivered",$J717=""),"who counted?; ",""))</f>
        <v/>
      </c>
      <c r="R717" s="25">
        <f>IF($C717="","",$C717&amp;"|"&amp;$D717&amp;"|"&amp;$E717)</f>
        <v/>
      </c>
    </row>
    <row r="718">
      <c r="A718" s="9" t="n"/>
      <c r="B718" s="33" t="n"/>
      <c r="I718" s="9" t="n"/>
      <c r="L718" s="26">
        <f>IF($C718="","",IFERROR(IF(INDEX(campaigns!$BG$2:$BG$51,MATCH($C718,campaigns!$A$2:$A$51,0))="","",INDEX(campaigns!$BG$2:$BG$51,MATCH($C718,campaigns!$A$2:$A$51,0))),""))</f>
        <v/>
      </c>
      <c r="M718" s="25">
        <f>IF($C718="","",IF(OR($E718="received"),N($G718),IF(OR($E718="rejected",$E718="delivered",$E718="topped_up"),-N($G718),IF(AND(OR($E718="returned_to_brand",$E718="given_to_roster_office",$E718="released_to_office",$E718="disposed"),IF($F718="","reserve",$F718)="reserve"),-N($G718),IF(AND($E718="correction",IF($F718="","reserve",$F718)="reserve"),N($G718),0)))))</f>
        <v/>
      </c>
      <c r="N718" s="25">
        <f>IF($C718="","",IF($E718="rejected",N($G718),IF(AND(OR($E718="returned_to_brand",$E718="given_to_roster_office",$E718="released_to_office",$E718="disposed"),IF($F718="","reserve",$F718)="rejected"),-N($G718),IF(AND($E718="correction",IF($F718="","reserve",$F718)="rejected"),N($G718),0))))</f>
        <v/>
      </c>
      <c r="O718" s="25">
        <f>IF($C718="","",IF($E718="collected",N($G718),IF(AND(OR($E718="returned_to_brand",$E718="given_to_roster_office",$E718="released_to_office",$E718="disposed"),IF($F718="","reserve",$F718)="leftover"),-N($G718),IF(AND($E718="correction",IF($F718="","reserve",$F718)="leftover"),N($G718),0))))</f>
        <v/>
      </c>
      <c r="P718" s="25">
        <f>IF(OR($E718&lt;&gt;"received",$I718="",$L718=""),"",IF($I718&gt;=$L718+config!$B$19,"Y","N"))</f>
        <v/>
      </c>
      <c r="Q718" s="25">
        <f>IF($C718="","",IF(COUNTIF(campaigns!$A$2:$A$51,$C718)=0,"campaign_id not on campaigns; ",IF(AND($D718&lt;&gt;"",COUNTIFS(approvals!$A$2:$A$251,$C718,approvals!$B$2:$B$251,$D718)=0),"office not on this campaign (approvals tab); ",""))&amp;IF(AND(OR($E718="delivered",$E718="topped_up",$E718="collected"),$D718=""),"office needed; ","")&amp;IF(AND($E718&lt;&gt;"correction",N($G718)&lt;=0),"qty must be above 0; ","")&amp;IF(AND($E718="received",OR($I718="",$H718="")),"log lot and best-by; ","")&amp;IF(AND($P718="N",SUMIFS(inventory!$G$2:$G$801,inventory!$C$2:$C$801,$C718,inventory!$H$2:$H$801,$H718,inventory!$E$2:$E$801,"rejected")&lt;N($G718)),"UNDER "&amp;config!$B$19&amp;" DAYS LEFT ON THE DROP DAY: reject these units; ","")&amp;IF(AND($E718="delivered",COUNTIF(inventory!$R$2:$R$801,$R718)&gt;1),"two delivered rows for this office: use one; ","")&amp;IF(AND($E718="delivered",$J718=""),"who counted?; ",""))</f>
        <v/>
      </c>
      <c r="R718" s="25">
        <f>IF($C718="","",$C718&amp;"|"&amp;$D718&amp;"|"&amp;$E718)</f>
        <v/>
      </c>
    </row>
    <row r="719">
      <c r="A719" s="9" t="n"/>
      <c r="B719" s="33" t="n"/>
      <c r="I719" s="9" t="n"/>
      <c r="L719" s="26">
        <f>IF($C719="","",IFERROR(IF(INDEX(campaigns!$BG$2:$BG$51,MATCH($C719,campaigns!$A$2:$A$51,0))="","",INDEX(campaigns!$BG$2:$BG$51,MATCH($C719,campaigns!$A$2:$A$51,0))),""))</f>
        <v/>
      </c>
      <c r="M719" s="25">
        <f>IF($C719="","",IF(OR($E719="received"),N($G719),IF(OR($E719="rejected",$E719="delivered",$E719="topped_up"),-N($G719),IF(AND(OR($E719="returned_to_brand",$E719="given_to_roster_office",$E719="released_to_office",$E719="disposed"),IF($F719="","reserve",$F719)="reserve"),-N($G719),IF(AND($E719="correction",IF($F719="","reserve",$F719)="reserve"),N($G719),0)))))</f>
        <v/>
      </c>
      <c r="N719" s="25">
        <f>IF($C719="","",IF($E719="rejected",N($G719),IF(AND(OR($E719="returned_to_brand",$E719="given_to_roster_office",$E719="released_to_office",$E719="disposed"),IF($F719="","reserve",$F719)="rejected"),-N($G719),IF(AND($E719="correction",IF($F719="","reserve",$F719)="rejected"),N($G719),0))))</f>
        <v/>
      </c>
      <c r="O719" s="25">
        <f>IF($C719="","",IF($E719="collected",N($G719),IF(AND(OR($E719="returned_to_brand",$E719="given_to_roster_office",$E719="released_to_office",$E719="disposed"),IF($F719="","reserve",$F719)="leftover"),-N($G719),IF(AND($E719="correction",IF($F719="","reserve",$F719)="leftover"),N($G719),0))))</f>
        <v/>
      </c>
      <c r="P719" s="25">
        <f>IF(OR($E719&lt;&gt;"received",$I719="",$L719=""),"",IF($I719&gt;=$L719+config!$B$19,"Y","N"))</f>
        <v/>
      </c>
      <c r="Q719" s="25">
        <f>IF($C719="","",IF(COUNTIF(campaigns!$A$2:$A$51,$C719)=0,"campaign_id not on campaigns; ",IF(AND($D719&lt;&gt;"",COUNTIFS(approvals!$A$2:$A$251,$C719,approvals!$B$2:$B$251,$D719)=0),"office not on this campaign (approvals tab); ",""))&amp;IF(AND(OR($E719="delivered",$E719="topped_up",$E719="collected"),$D719=""),"office needed; ","")&amp;IF(AND($E719&lt;&gt;"correction",N($G719)&lt;=0),"qty must be above 0; ","")&amp;IF(AND($E719="received",OR($I719="",$H719="")),"log lot and best-by; ","")&amp;IF(AND($P719="N",SUMIFS(inventory!$G$2:$G$801,inventory!$C$2:$C$801,$C719,inventory!$H$2:$H$801,$H719,inventory!$E$2:$E$801,"rejected")&lt;N($G719)),"UNDER "&amp;config!$B$19&amp;" DAYS LEFT ON THE DROP DAY: reject these units; ","")&amp;IF(AND($E719="delivered",COUNTIF(inventory!$R$2:$R$801,$R719)&gt;1),"two delivered rows for this office: use one; ","")&amp;IF(AND($E719="delivered",$J719=""),"who counted?; ",""))</f>
        <v/>
      </c>
      <c r="R719" s="25">
        <f>IF($C719="","",$C719&amp;"|"&amp;$D719&amp;"|"&amp;$E719)</f>
        <v/>
      </c>
    </row>
    <row r="720">
      <c r="A720" s="9" t="n"/>
      <c r="B720" s="33" t="n"/>
      <c r="I720" s="9" t="n"/>
      <c r="L720" s="26">
        <f>IF($C720="","",IFERROR(IF(INDEX(campaigns!$BG$2:$BG$51,MATCH($C720,campaigns!$A$2:$A$51,0))="","",INDEX(campaigns!$BG$2:$BG$51,MATCH($C720,campaigns!$A$2:$A$51,0))),""))</f>
        <v/>
      </c>
      <c r="M720" s="25">
        <f>IF($C720="","",IF(OR($E720="received"),N($G720),IF(OR($E720="rejected",$E720="delivered",$E720="topped_up"),-N($G720),IF(AND(OR($E720="returned_to_brand",$E720="given_to_roster_office",$E720="released_to_office",$E720="disposed"),IF($F720="","reserve",$F720)="reserve"),-N($G720),IF(AND($E720="correction",IF($F720="","reserve",$F720)="reserve"),N($G720),0)))))</f>
        <v/>
      </c>
      <c r="N720" s="25">
        <f>IF($C720="","",IF($E720="rejected",N($G720),IF(AND(OR($E720="returned_to_brand",$E720="given_to_roster_office",$E720="released_to_office",$E720="disposed"),IF($F720="","reserve",$F720)="rejected"),-N($G720),IF(AND($E720="correction",IF($F720="","reserve",$F720)="rejected"),N($G720),0))))</f>
        <v/>
      </c>
      <c r="O720" s="25">
        <f>IF($C720="","",IF($E720="collected",N($G720),IF(AND(OR($E720="returned_to_brand",$E720="given_to_roster_office",$E720="released_to_office",$E720="disposed"),IF($F720="","reserve",$F720)="leftover"),-N($G720),IF(AND($E720="correction",IF($F720="","reserve",$F720)="leftover"),N($G720),0))))</f>
        <v/>
      </c>
      <c r="P720" s="25">
        <f>IF(OR($E720&lt;&gt;"received",$I720="",$L720=""),"",IF($I720&gt;=$L720+config!$B$19,"Y","N"))</f>
        <v/>
      </c>
      <c r="Q720" s="25">
        <f>IF($C720="","",IF(COUNTIF(campaigns!$A$2:$A$51,$C720)=0,"campaign_id not on campaigns; ",IF(AND($D720&lt;&gt;"",COUNTIFS(approvals!$A$2:$A$251,$C720,approvals!$B$2:$B$251,$D720)=0),"office not on this campaign (approvals tab); ",""))&amp;IF(AND(OR($E720="delivered",$E720="topped_up",$E720="collected"),$D720=""),"office needed; ","")&amp;IF(AND($E720&lt;&gt;"correction",N($G720)&lt;=0),"qty must be above 0; ","")&amp;IF(AND($E720="received",OR($I720="",$H720="")),"log lot and best-by; ","")&amp;IF(AND($P720="N",SUMIFS(inventory!$G$2:$G$801,inventory!$C$2:$C$801,$C720,inventory!$H$2:$H$801,$H720,inventory!$E$2:$E$801,"rejected")&lt;N($G720)),"UNDER "&amp;config!$B$19&amp;" DAYS LEFT ON THE DROP DAY: reject these units; ","")&amp;IF(AND($E720="delivered",COUNTIF(inventory!$R$2:$R$801,$R720)&gt;1),"two delivered rows for this office: use one; ","")&amp;IF(AND($E720="delivered",$J720=""),"who counted?; ",""))</f>
        <v/>
      </c>
      <c r="R720" s="25">
        <f>IF($C720="","",$C720&amp;"|"&amp;$D720&amp;"|"&amp;$E720)</f>
        <v/>
      </c>
    </row>
    <row r="721">
      <c r="A721" s="9" t="n"/>
      <c r="B721" s="33" t="n"/>
      <c r="I721" s="9" t="n"/>
      <c r="L721" s="26">
        <f>IF($C721="","",IFERROR(IF(INDEX(campaigns!$BG$2:$BG$51,MATCH($C721,campaigns!$A$2:$A$51,0))="","",INDEX(campaigns!$BG$2:$BG$51,MATCH($C721,campaigns!$A$2:$A$51,0))),""))</f>
        <v/>
      </c>
      <c r="M721" s="25">
        <f>IF($C721="","",IF(OR($E721="received"),N($G721),IF(OR($E721="rejected",$E721="delivered",$E721="topped_up"),-N($G721),IF(AND(OR($E721="returned_to_brand",$E721="given_to_roster_office",$E721="released_to_office",$E721="disposed"),IF($F721="","reserve",$F721)="reserve"),-N($G721),IF(AND($E721="correction",IF($F721="","reserve",$F721)="reserve"),N($G721),0)))))</f>
        <v/>
      </c>
      <c r="N721" s="25">
        <f>IF($C721="","",IF($E721="rejected",N($G721),IF(AND(OR($E721="returned_to_brand",$E721="given_to_roster_office",$E721="released_to_office",$E721="disposed"),IF($F721="","reserve",$F721)="rejected"),-N($G721),IF(AND($E721="correction",IF($F721="","reserve",$F721)="rejected"),N($G721),0))))</f>
        <v/>
      </c>
      <c r="O721" s="25">
        <f>IF($C721="","",IF($E721="collected",N($G721),IF(AND(OR($E721="returned_to_brand",$E721="given_to_roster_office",$E721="released_to_office",$E721="disposed"),IF($F721="","reserve",$F721)="leftover"),-N($G721),IF(AND($E721="correction",IF($F721="","reserve",$F721)="leftover"),N($G721),0))))</f>
        <v/>
      </c>
      <c r="P721" s="25">
        <f>IF(OR($E721&lt;&gt;"received",$I721="",$L721=""),"",IF($I721&gt;=$L721+config!$B$19,"Y","N"))</f>
        <v/>
      </c>
      <c r="Q721" s="25">
        <f>IF($C721="","",IF(COUNTIF(campaigns!$A$2:$A$51,$C721)=0,"campaign_id not on campaigns; ",IF(AND($D721&lt;&gt;"",COUNTIFS(approvals!$A$2:$A$251,$C721,approvals!$B$2:$B$251,$D721)=0),"office not on this campaign (approvals tab); ",""))&amp;IF(AND(OR($E721="delivered",$E721="topped_up",$E721="collected"),$D721=""),"office needed; ","")&amp;IF(AND($E721&lt;&gt;"correction",N($G721)&lt;=0),"qty must be above 0; ","")&amp;IF(AND($E721="received",OR($I721="",$H721="")),"log lot and best-by; ","")&amp;IF(AND($P721="N",SUMIFS(inventory!$G$2:$G$801,inventory!$C$2:$C$801,$C721,inventory!$H$2:$H$801,$H721,inventory!$E$2:$E$801,"rejected")&lt;N($G721)),"UNDER "&amp;config!$B$19&amp;" DAYS LEFT ON THE DROP DAY: reject these units; ","")&amp;IF(AND($E721="delivered",COUNTIF(inventory!$R$2:$R$801,$R721)&gt;1),"two delivered rows for this office: use one; ","")&amp;IF(AND($E721="delivered",$J721=""),"who counted?; ",""))</f>
        <v/>
      </c>
      <c r="R721" s="25">
        <f>IF($C721="","",$C721&amp;"|"&amp;$D721&amp;"|"&amp;$E721)</f>
        <v/>
      </c>
    </row>
    <row r="722">
      <c r="A722" s="9" t="n"/>
      <c r="B722" s="33" t="n"/>
      <c r="I722" s="9" t="n"/>
      <c r="L722" s="26">
        <f>IF($C722="","",IFERROR(IF(INDEX(campaigns!$BG$2:$BG$51,MATCH($C722,campaigns!$A$2:$A$51,0))="","",INDEX(campaigns!$BG$2:$BG$51,MATCH($C722,campaigns!$A$2:$A$51,0))),""))</f>
        <v/>
      </c>
      <c r="M722" s="25">
        <f>IF($C722="","",IF(OR($E722="received"),N($G722),IF(OR($E722="rejected",$E722="delivered",$E722="topped_up"),-N($G722),IF(AND(OR($E722="returned_to_brand",$E722="given_to_roster_office",$E722="released_to_office",$E722="disposed"),IF($F722="","reserve",$F722)="reserve"),-N($G722),IF(AND($E722="correction",IF($F722="","reserve",$F722)="reserve"),N($G722),0)))))</f>
        <v/>
      </c>
      <c r="N722" s="25">
        <f>IF($C722="","",IF($E722="rejected",N($G722),IF(AND(OR($E722="returned_to_brand",$E722="given_to_roster_office",$E722="released_to_office",$E722="disposed"),IF($F722="","reserve",$F722)="rejected"),-N($G722),IF(AND($E722="correction",IF($F722="","reserve",$F722)="rejected"),N($G722),0))))</f>
        <v/>
      </c>
      <c r="O722" s="25">
        <f>IF($C722="","",IF($E722="collected",N($G722),IF(AND(OR($E722="returned_to_brand",$E722="given_to_roster_office",$E722="released_to_office",$E722="disposed"),IF($F722="","reserve",$F722)="leftover"),-N($G722),IF(AND($E722="correction",IF($F722="","reserve",$F722)="leftover"),N($G722),0))))</f>
        <v/>
      </c>
      <c r="P722" s="25">
        <f>IF(OR($E722&lt;&gt;"received",$I722="",$L722=""),"",IF($I722&gt;=$L722+config!$B$19,"Y","N"))</f>
        <v/>
      </c>
      <c r="Q722" s="25">
        <f>IF($C722="","",IF(COUNTIF(campaigns!$A$2:$A$51,$C722)=0,"campaign_id not on campaigns; ",IF(AND($D722&lt;&gt;"",COUNTIFS(approvals!$A$2:$A$251,$C722,approvals!$B$2:$B$251,$D722)=0),"office not on this campaign (approvals tab); ",""))&amp;IF(AND(OR($E722="delivered",$E722="topped_up",$E722="collected"),$D722=""),"office needed; ","")&amp;IF(AND($E722&lt;&gt;"correction",N($G722)&lt;=0),"qty must be above 0; ","")&amp;IF(AND($E722="received",OR($I722="",$H722="")),"log lot and best-by; ","")&amp;IF(AND($P722="N",SUMIFS(inventory!$G$2:$G$801,inventory!$C$2:$C$801,$C722,inventory!$H$2:$H$801,$H722,inventory!$E$2:$E$801,"rejected")&lt;N($G722)),"UNDER "&amp;config!$B$19&amp;" DAYS LEFT ON THE DROP DAY: reject these units; ","")&amp;IF(AND($E722="delivered",COUNTIF(inventory!$R$2:$R$801,$R722)&gt;1),"two delivered rows for this office: use one; ","")&amp;IF(AND($E722="delivered",$J722=""),"who counted?; ",""))</f>
        <v/>
      </c>
      <c r="R722" s="25">
        <f>IF($C722="","",$C722&amp;"|"&amp;$D722&amp;"|"&amp;$E722)</f>
        <v/>
      </c>
    </row>
    <row r="723">
      <c r="A723" s="9" t="n"/>
      <c r="B723" s="33" t="n"/>
      <c r="I723" s="9" t="n"/>
      <c r="L723" s="26">
        <f>IF($C723="","",IFERROR(IF(INDEX(campaigns!$BG$2:$BG$51,MATCH($C723,campaigns!$A$2:$A$51,0))="","",INDEX(campaigns!$BG$2:$BG$51,MATCH($C723,campaigns!$A$2:$A$51,0))),""))</f>
        <v/>
      </c>
      <c r="M723" s="25">
        <f>IF($C723="","",IF(OR($E723="received"),N($G723),IF(OR($E723="rejected",$E723="delivered",$E723="topped_up"),-N($G723),IF(AND(OR($E723="returned_to_brand",$E723="given_to_roster_office",$E723="released_to_office",$E723="disposed"),IF($F723="","reserve",$F723)="reserve"),-N($G723),IF(AND($E723="correction",IF($F723="","reserve",$F723)="reserve"),N($G723),0)))))</f>
        <v/>
      </c>
      <c r="N723" s="25">
        <f>IF($C723="","",IF($E723="rejected",N($G723),IF(AND(OR($E723="returned_to_brand",$E723="given_to_roster_office",$E723="released_to_office",$E723="disposed"),IF($F723="","reserve",$F723)="rejected"),-N($G723),IF(AND($E723="correction",IF($F723="","reserve",$F723)="rejected"),N($G723),0))))</f>
        <v/>
      </c>
      <c r="O723" s="25">
        <f>IF($C723="","",IF($E723="collected",N($G723),IF(AND(OR($E723="returned_to_brand",$E723="given_to_roster_office",$E723="released_to_office",$E723="disposed"),IF($F723="","reserve",$F723)="leftover"),-N($G723),IF(AND($E723="correction",IF($F723="","reserve",$F723)="leftover"),N($G723),0))))</f>
        <v/>
      </c>
      <c r="P723" s="25">
        <f>IF(OR($E723&lt;&gt;"received",$I723="",$L723=""),"",IF($I723&gt;=$L723+config!$B$19,"Y","N"))</f>
        <v/>
      </c>
      <c r="Q723" s="25">
        <f>IF($C723="","",IF(COUNTIF(campaigns!$A$2:$A$51,$C723)=0,"campaign_id not on campaigns; ",IF(AND($D723&lt;&gt;"",COUNTIFS(approvals!$A$2:$A$251,$C723,approvals!$B$2:$B$251,$D723)=0),"office not on this campaign (approvals tab); ",""))&amp;IF(AND(OR($E723="delivered",$E723="topped_up",$E723="collected"),$D723=""),"office needed; ","")&amp;IF(AND($E723&lt;&gt;"correction",N($G723)&lt;=0),"qty must be above 0; ","")&amp;IF(AND($E723="received",OR($I723="",$H723="")),"log lot and best-by; ","")&amp;IF(AND($P723="N",SUMIFS(inventory!$G$2:$G$801,inventory!$C$2:$C$801,$C723,inventory!$H$2:$H$801,$H723,inventory!$E$2:$E$801,"rejected")&lt;N($G723)),"UNDER "&amp;config!$B$19&amp;" DAYS LEFT ON THE DROP DAY: reject these units; ","")&amp;IF(AND($E723="delivered",COUNTIF(inventory!$R$2:$R$801,$R723)&gt;1),"two delivered rows for this office: use one; ","")&amp;IF(AND($E723="delivered",$J723=""),"who counted?; ",""))</f>
        <v/>
      </c>
      <c r="R723" s="25">
        <f>IF($C723="","",$C723&amp;"|"&amp;$D723&amp;"|"&amp;$E723)</f>
        <v/>
      </c>
    </row>
    <row r="724">
      <c r="A724" s="9" t="n"/>
      <c r="B724" s="33" t="n"/>
      <c r="I724" s="9" t="n"/>
      <c r="L724" s="26">
        <f>IF($C724="","",IFERROR(IF(INDEX(campaigns!$BG$2:$BG$51,MATCH($C724,campaigns!$A$2:$A$51,0))="","",INDEX(campaigns!$BG$2:$BG$51,MATCH($C724,campaigns!$A$2:$A$51,0))),""))</f>
        <v/>
      </c>
      <c r="M724" s="25">
        <f>IF($C724="","",IF(OR($E724="received"),N($G724),IF(OR($E724="rejected",$E724="delivered",$E724="topped_up"),-N($G724),IF(AND(OR($E724="returned_to_brand",$E724="given_to_roster_office",$E724="released_to_office",$E724="disposed"),IF($F724="","reserve",$F724)="reserve"),-N($G724),IF(AND($E724="correction",IF($F724="","reserve",$F724)="reserve"),N($G724),0)))))</f>
        <v/>
      </c>
      <c r="N724" s="25">
        <f>IF($C724="","",IF($E724="rejected",N($G724),IF(AND(OR($E724="returned_to_brand",$E724="given_to_roster_office",$E724="released_to_office",$E724="disposed"),IF($F724="","reserve",$F724)="rejected"),-N($G724),IF(AND($E724="correction",IF($F724="","reserve",$F724)="rejected"),N($G724),0))))</f>
        <v/>
      </c>
      <c r="O724" s="25">
        <f>IF($C724="","",IF($E724="collected",N($G724),IF(AND(OR($E724="returned_to_brand",$E724="given_to_roster_office",$E724="released_to_office",$E724="disposed"),IF($F724="","reserve",$F724)="leftover"),-N($G724),IF(AND($E724="correction",IF($F724="","reserve",$F724)="leftover"),N($G724),0))))</f>
        <v/>
      </c>
      <c r="P724" s="25">
        <f>IF(OR($E724&lt;&gt;"received",$I724="",$L724=""),"",IF($I724&gt;=$L724+config!$B$19,"Y","N"))</f>
        <v/>
      </c>
      <c r="Q724" s="25">
        <f>IF($C724="","",IF(COUNTIF(campaigns!$A$2:$A$51,$C724)=0,"campaign_id not on campaigns; ",IF(AND($D724&lt;&gt;"",COUNTIFS(approvals!$A$2:$A$251,$C724,approvals!$B$2:$B$251,$D724)=0),"office not on this campaign (approvals tab); ",""))&amp;IF(AND(OR($E724="delivered",$E724="topped_up",$E724="collected"),$D724=""),"office needed; ","")&amp;IF(AND($E724&lt;&gt;"correction",N($G724)&lt;=0),"qty must be above 0; ","")&amp;IF(AND($E724="received",OR($I724="",$H724="")),"log lot and best-by; ","")&amp;IF(AND($P724="N",SUMIFS(inventory!$G$2:$G$801,inventory!$C$2:$C$801,$C724,inventory!$H$2:$H$801,$H724,inventory!$E$2:$E$801,"rejected")&lt;N($G724)),"UNDER "&amp;config!$B$19&amp;" DAYS LEFT ON THE DROP DAY: reject these units; ","")&amp;IF(AND($E724="delivered",COUNTIF(inventory!$R$2:$R$801,$R724)&gt;1),"two delivered rows for this office: use one; ","")&amp;IF(AND($E724="delivered",$J724=""),"who counted?; ",""))</f>
        <v/>
      </c>
      <c r="R724" s="25">
        <f>IF($C724="","",$C724&amp;"|"&amp;$D724&amp;"|"&amp;$E724)</f>
        <v/>
      </c>
    </row>
    <row r="725">
      <c r="A725" s="9" t="n"/>
      <c r="B725" s="33" t="n"/>
      <c r="I725" s="9" t="n"/>
      <c r="L725" s="26">
        <f>IF($C725="","",IFERROR(IF(INDEX(campaigns!$BG$2:$BG$51,MATCH($C725,campaigns!$A$2:$A$51,0))="","",INDEX(campaigns!$BG$2:$BG$51,MATCH($C725,campaigns!$A$2:$A$51,0))),""))</f>
        <v/>
      </c>
      <c r="M725" s="25">
        <f>IF($C725="","",IF(OR($E725="received"),N($G725),IF(OR($E725="rejected",$E725="delivered",$E725="topped_up"),-N($G725),IF(AND(OR($E725="returned_to_brand",$E725="given_to_roster_office",$E725="released_to_office",$E725="disposed"),IF($F725="","reserve",$F725)="reserve"),-N($G725),IF(AND($E725="correction",IF($F725="","reserve",$F725)="reserve"),N($G725),0)))))</f>
        <v/>
      </c>
      <c r="N725" s="25">
        <f>IF($C725="","",IF($E725="rejected",N($G725),IF(AND(OR($E725="returned_to_brand",$E725="given_to_roster_office",$E725="released_to_office",$E725="disposed"),IF($F725="","reserve",$F725)="rejected"),-N($G725),IF(AND($E725="correction",IF($F725="","reserve",$F725)="rejected"),N($G725),0))))</f>
        <v/>
      </c>
      <c r="O725" s="25">
        <f>IF($C725="","",IF($E725="collected",N($G725),IF(AND(OR($E725="returned_to_brand",$E725="given_to_roster_office",$E725="released_to_office",$E725="disposed"),IF($F725="","reserve",$F725)="leftover"),-N($G725),IF(AND($E725="correction",IF($F725="","reserve",$F725)="leftover"),N($G725),0))))</f>
        <v/>
      </c>
      <c r="P725" s="25">
        <f>IF(OR($E725&lt;&gt;"received",$I725="",$L725=""),"",IF($I725&gt;=$L725+config!$B$19,"Y","N"))</f>
        <v/>
      </c>
      <c r="Q725" s="25">
        <f>IF($C725="","",IF(COUNTIF(campaigns!$A$2:$A$51,$C725)=0,"campaign_id not on campaigns; ",IF(AND($D725&lt;&gt;"",COUNTIFS(approvals!$A$2:$A$251,$C725,approvals!$B$2:$B$251,$D725)=0),"office not on this campaign (approvals tab); ",""))&amp;IF(AND(OR($E725="delivered",$E725="topped_up",$E725="collected"),$D725=""),"office needed; ","")&amp;IF(AND($E725&lt;&gt;"correction",N($G725)&lt;=0),"qty must be above 0; ","")&amp;IF(AND($E725="received",OR($I725="",$H725="")),"log lot and best-by; ","")&amp;IF(AND($P725="N",SUMIFS(inventory!$G$2:$G$801,inventory!$C$2:$C$801,$C725,inventory!$H$2:$H$801,$H725,inventory!$E$2:$E$801,"rejected")&lt;N($G725)),"UNDER "&amp;config!$B$19&amp;" DAYS LEFT ON THE DROP DAY: reject these units; ","")&amp;IF(AND($E725="delivered",COUNTIF(inventory!$R$2:$R$801,$R725)&gt;1),"two delivered rows for this office: use one; ","")&amp;IF(AND($E725="delivered",$J725=""),"who counted?; ",""))</f>
        <v/>
      </c>
      <c r="R725" s="25">
        <f>IF($C725="","",$C725&amp;"|"&amp;$D725&amp;"|"&amp;$E725)</f>
        <v/>
      </c>
    </row>
    <row r="726">
      <c r="A726" s="9" t="n"/>
      <c r="B726" s="33" t="n"/>
      <c r="I726" s="9" t="n"/>
      <c r="L726" s="26">
        <f>IF($C726="","",IFERROR(IF(INDEX(campaigns!$BG$2:$BG$51,MATCH($C726,campaigns!$A$2:$A$51,0))="","",INDEX(campaigns!$BG$2:$BG$51,MATCH($C726,campaigns!$A$2:$A$51,0))),""))</f>
        <v/>
      </c>
      <c r="M726" s="25">
        <f>IF($C726="","",IF(OR($E726="received"),N($G726),IF(OR($E726="rejected",$E726="delivered",$E726="topped_up"),-N($G726),IF(AND(OR($E726="returned_to_brand",$E726="given_to_roster_office",$E726="released_to_office",$E726="disposed"),IF($F726="","reserve",$F726)="reserve"),-N($G726),IF(AND($E726="correction",IF($F726="","reserve",$F726)="reserve"),N($G726),0)))))</f>
        <v/>
      </c>
      <c r="N726" s="25">
        <f>IF($C726="","",IF($E726="rejected",N($G726),IF(AND(OR($E726="returned_to_brand",$E726="given_to_roster_office",$E726="released_to_office",$E726="disposed"),IF($F726="","reserve",$F726)="rejected"),-N($G726),IF(AND($E726="correction",IF($F726="","reserve",$F726)="rejected"),N($G726),0))))</f>
        <v/>
      </c>
      <c r="O726" s="25">
        <f>IF($C726="","",IF($E726="collected",N($G726),IF(AND(OR($E726="returned_to_brand",$E726="given_to_roster_office",$E726="released_to_office",$E726="disposed"),IF($F726="","reserve",$F726)="leftover"),-N($G726),IF(AND($E726="correction",IF($F726="","reserve",$F726)="leftover"),N($G726),0))))</f>
        <v/>
      </c>
      <c r="P726" s="25">
        <f>IF(OR($E726&lt;&gt;"received",$I726="",$L726=""),"",IF($I726&gt;=$L726+config!$B$19,"Y","N"))</f>
        <v/>
      </c>
      <c r="Q726" s="25">
        <f>IF($C726="","",IF(COUNTIF(campaigns!$A$2:$A$51,$C726)=0,"campaign_id not on campaigns; ",IF(AND($D726&lt;&gt;"",COUNTIFS(approvals!$A$2:$A$251,$C726,approvals!$B$2:$B$251,$D726)=0),"office not on this campaign (approvals tab); ",""))&amp;IF(AND(OR($E726="delivered",$E726="topped_up",$E726="collected"),$D726=""),"office needed; ","")&amp;IF(AND($E726&lt;&gt;"correction",N($G726)&lt;=0),"qty must be above 0; ","")&amp;IF(AND($E726="received",OR($I726="",$H726="")),"log lot and best-by; ","")&amp;IF(AND($P726="N",SUMIFS(inventory!$G$2:$G$801,inventory!$C$2:$C$801,$C726,inventory!$H$2:$H$801,$H726,inventory!$E$2:$E$801,"rejected")&lt;N($G726)),"UNDER "&amp;config!$B$19&amp;" DAYS LEFT ON THE DROP DAY: reject these units; ","")&amp;IF(AND($E726="delivered",COUNTIF(inventory!$R$2:$R$801,$R726)&gt;1),"two delivered rows for this office: use one; ","")&amp;IF(AND($E726="delivered",$J726=""),"who counted?; ",""))</f>
        <v/>
      </c>
      <c r="R726" s="25">
        <f>IF($C726="","",$C726&amp;"|"&amp;$D726&amp;"|"&amp;$E726)</f>
        <v/>
      </c>
    </row>
    <row r="727">
      <c r="A727" s="9" t="n"/>
      <c r="B727" s="33" t="n"/>
      <c r="I727" s="9" t="n"/>
      <c r="L727" s="26">
        <f>IF($C727="","",IFERROR(IF(INDEX(campaigns!$BG$2:$BG$51,MATCH($C727,campaigns!$A$2:$A$51,0))="","",INDEX(campaigns!$BG$2:$BG$51,MATCH($C727,campaigns!$A$2:$A$51,0))),""))</f>
        <v/>
      </c>
      <c r="M727" s="25">
        <f>IF($C727="","",IF(OR($E727="received"),N($G727),IF(OR($E727="rejected",$E727="delivered",$E727="topped_up"),-N($G727),IF(AND(OR($E727="returned_to_brand",$E727="given_to_roster_office",$E727="released_to_office",$E727="disposed"),IF($F727="","reserve",$F727)="reserve"),-N($G727),IF(AND($E727="correction",IF($F727="","reserve",$F727)="reserve"),N($G727),0)))))</f>
        <v/>
      </c>
      <c r="N727" s="25">
        <f>IF($C727="","",IF($E727="rejected",N($G727),IF(AND(OR($E727="returned_to_brand",$E727="given_to_roster_office",$E727="released_to_office",$E727="disposed"),IF($F727="","reserve",$F727)="rejected"),-N($G727),IF(AND($E727="correction",IF($F727="","reserve",$F727)="rejected"),N($G727),0))))</f>
        <v/>
      </c>
      <c r="O727" s="25">
        <f>IF($C727="","",IF($E727="collected",N($G727),IF(AND(OR($E727="returned_to_brand",$E727="given_to_roster_office",$E727="released_to_office",$E727="disposed"),IF($F727="","reserve",$F727)="leftover"),-N($G727),IF(AND($E727="correction",IF($F727="","reserve",$F727)="leftover"),N($G727),0))))</f>
        <v/>
      </c>
      <c r="P727" s="25">
        <f>IF(OR($E727&lt;&gt;"received",$I727="",$L727=""),"",IF($I727&gt;=$L727+config!$B$19,"Y","N"))</f>
        <v/>
      </c>
      <c r="Q727" s="25">
        <f>IF($C727="","",IF(COUNTIF(campaigns!$A$2:$A$51,$C727)=0,"campaign_id not on campaigns; ",IF(AND($D727&lt;&gt;"",COUNTIFS(approvals!$A$2:$A$251,$C727,approvals!$B$2:$B$251,$D727)=0),"office not on this campaign (approvals tab); ",""))&amp;IF(AND(OR($E727="delivered",$E727="topped_up",$E727="collected"),$D727=""),"office needed; ","")&amp;IF(AND($E727&lt;&gt;"correction",N($G727)&lt;=0),"qty must be above 0; ","")&amp;IF(AND($E727="received",OR($I727="",$H727="")),"log lot and best-by; ","")&amp;IF(AND($P727="N",SUMIFS(inventory!$G$2:$G$801,inventory!$C$2:$C$801,$C727,inventory!$H$2:$H$801,$H727,inventory!$E$2:$E$801,"rejected")&lt;N($G727)),"UNDER "&amp;config!$B$19&amp;" DAYS LEFT ON THE DROP DAY: reject these units; ","")&amp;IF(AND($E727="delivered",COUNTIF(inventory!$R$2:$R$801,$R727)&gt;1),"two delivered rows for this office: use one; ","")&amp;IF(AND($E727="delivered",$J727=""),"who counted?; ",""))</f>
        <v/>
      </c>
      <c r="R727" s="25">
        <f>IF($C727="","",$C727&amp;"|"&amp;$D727&amp;"|"&amp;$E727)</f>
        <v/>
      </c>
    </row>
    <row r="728">
      <c r="A728" s="9" t="n"/>
      <c r="B728" s="33" t="n"/>
      <c r="I728" s="9" t="n"/>
      <c r="L728" s="26">
        <f>IF($C728="","",IFERROR(IF(INDEX(campaigns!$BG$2:$BG$51,MATCH($C728,campaigns!$A$2:$A$51,0))="","",INDEX(campaigns!$BG$2:$BG$51,MATCH($C728,campaigns!$A$2:$A$51,0))),""))</f>
        <v/>
      </c>
      <c r="M728" s="25">
        <f>IF($C728="","",IF(OR($E728="received"),N($G728),IF(OR($E728="rejected",$E728="delivered",$E728="topped_up"),-N($G728),IF(AND(OR($E728="returned_to_brand",$E728="given_to_roster_office",$E728="released_to_office",$E728="disposed"),IF($F728="","reserve",$F728)="reserve"),-N($G728),IF(AND($E728="correction",IF($F728="","reserve",$F728)="reserve"),N($G728),0)))))</f>
        <v/>
      </c>
      <c r="N728" s="25">
        <f>IF($C728="","",IF($E728="rejected",N($G728),IF(AND(OR($E728="returned_to_brand",$E728="given_to_roster_office",$E728="released_to_office",$E728="disposed"),IF($F728="","reserve",$F728)="rejected"),-N($G728),IF(AND($E728="correction",IF($F728="","reserve",$F728)="rejected"),N($G728),0))))</f>
        <v/>
      </c>
      <c r="O728" s="25">
        <f>IF($C728="","",IF($E728="collected",N($G728),IF(AND(OR($E728="returned_to_brand",$E728="given_to_roster_office",$E728="released_to_office",$E728="disposed"),IF($F728="","reserve",$F728)="leftover"),-N($G728),IF(AND($E728="correction",IF($F728="","reserve",$F728)="leftover"),N($G728),0))))</f>
        <v/>
      </c>
      <c r="P728" s="25">
        <f>IF(OR($E728&lt;&gt;"received",$I728="",$L728=""),"",IF($I728&gt;=$L728+config!$B$19,"Y","N"))</f>
        <v/>
      </c>
      <c r="Q728" s="25">
        <f>IF($C728="","",IF(COUNTIF(campaigns!$A$2:$A$51,$C728)=0,"campaign_id not on campaigns; ",IF(AND($D728&lt;&gt;"",COUNTIFS(approvals!$A$2:$A$251,$C728,approvals!$B$2:$B$251,$D728)=0),"office not on this campaign (approvals tab); ",""))&amp;IF(AND(OR($E728="delivered",$E728="topped_up",$E728="collected"),$D728=""),"office needed; ","")&amp;IF(AND($E728&lt;&gt;"correction",N($G728)&lt;=0),"qty must be above 0; ","")&amp;IF(AND($E728="received",OR($I728="",$H728="")),"log lot and best-by; ","")&amp;IF(AND($P728="N",SUMIFS(inventory!$G$2:$G$801,inventory!$C$2:$C$801,$C728,inventory!$H$2:$H$801,$H728,inventory!$E$2:$E$801,"rejected")&lt;N($G728)),"UNDER "&amp;config!$B$19&amp;" DAYS LEFT ON THE DROP DAY: reject these units; ","")&amp;IF(AND($E728="delivered",COUNTIF(inventory!$R$2:$R$801,$R728)&gt;1),"two delivered rows for this office: use one; ","")&amp;IF(AND($E728="delivered",$J728=""),"who counted?; ",""))</f>
        <v/>
      </c>
      <c r="R728" s="25">
        <f>IF($C728="","",$C728&amp;"|"&amp;$D728&amp;"|"&amp;$E728)</f>
        <v/>
      </c>
    </row>
    <row r="729">
      <c r="A729" s="9" t="n"/>
      <c r="B729" s="33" t="n"/>
      <c r="I729" s="9" t="n"/>
      <c r="L729" s="26">
        <f>IF($C729="","",IFERROR(IF(INDEX(campaigns!$BG$2:$BG$51,MATCH($C729,campaigns!$A$2:$A$51,0))="","",INDEX(campaigns!$BG$2:$BG$51,MATCH($C729,campaigns!$A$2:$A$51,0))),""))</f>
        <v/>
      </c>
      <c r="M729" s="25">
        <f>IF($C729="","",IF(OR($E729="received"),N($G729),IF(OR($E729="rejected",$E729="delivered",$E729="topped_up"),-N($G729),IF(AND(OR($E729="returned_to_brand",$E729="given_to_roster_office",$E729="released_to_office",$E729="disposed"),IF($F729="","reserve",$F729)="reserve"),-N($G729),IF(AND($E729="correction",IF($F729="","reserve",$F729)="reserve"),N($G729),0)))))</f>
        <v/>
      </c>
      <c r="N729" s="25">
        <f>IF($C729="","",IF($E729="rejected",N($G729),IF(AND(OR($E729="returned_to_brand",$E729="given_to_roster_office",$E729="released_to_office",$E729="disposed"),IF($F729="","reserve",$F729)="rejected"),-N($G729),IF(AND($E729="correction",IF($F729="","reserve",$F729)="rejected"),N($G729),0))))</f>
        <v/>
      </c>
      <c r="O729" s="25">
        <f>IF($C729="","",IF($E729="collected",N($G729),IF(AND(OR($E729="returned_to_brand",$E729="given_to_roster_office",$E729="released_to_office",$E729="disposed"),IF($F729="","reserve",$F729)="leftover"),-N($G729),IF(AND($E729="correction",IF($F729="","reserve",$F729)="leftover"),N($G729),0))))</f>
        <v/>
      </c>
      <c r="P729" s="25">
        <f>IF(OR($E729&lt;&gt;"received",$I729="",$L729=""),"",IF($I729&gt;=$L729+config!$B$19,"Y","N"))</f>
        <v/>
      </c>
      <c r="Q729" s="25">
        <f>IF($C729="","",IF(COUNTIF(campaigns!$A$2:$A$51,$C729)=0,"campaign_id not on campaigns; ",IF(AND($D729&lt;&gt;"",COUNTIFS(approvals!$A$2:$A$251,$C729,approvals!$B$2:$B$251,$D729)=0),"office not on this campaign (approvals tab); ",""))&amp;IF(AND(OR($E729="delivered",$E729="topped_up",$E729="collected"),$D729=""),"office needed; ","")&amp;IF(AND($E729&lt;&gt;"correction",N($G729)&lt;=0),"qty must be above 0; ","")&amp;IF(AND($E729="received",OR($I729="",$H729="")),"log lot and best-by; ","")&amp;IF(AND($P729="N",SUMIFS(inventory!$G$2:$G$801,inventory!$C$2:$C$801,$C729,inventory!$H$2:$H$801,$H729,inventory!$E$2:$E$801,"rejected")&lt;N($G729)),"UNDER "&amp;config!$B$19&amp;" DAYS LEFT ON THE DROP DAY: reject these units; ","")&amp;IF(AND($E729="delivered",COUNTIF(inventory!$R$2:$R$801,$R729)&gt;1),"two delivered rows for this office: use one; ","")&amp;IF(AND($E729="delivered",$J729=""),"who counted?; ",""))</f>
        <v/>
      </c>
      <c r="R729" s="25">
        <f>IF($C729="","",$C729&amp;"|"&amp;$D729&amp;"|"&amp;$E729)</f>
        <v/>
      </c>
    </row>
    <row r="730">
      <c r="A730" s="9" t="n"/>
      <c r="B730" s="33" t="n"/>
      <c r="I730" s="9" t="n"/>
      <c r="L730" s="26">
        <f>IF($C730="","",IFERROR(IF(INDEX(campaigns!$BG$2:$BG$51,MATCH($C730,campaigns!$A$2:$A$51,0))="","",INDEX(campaigns!$BG$2:$BG$51,MATCH($C730,campaigns!$A$2:$A$51,0))),""))</f>
        <v/>
      </c>
      <c r="M730" s="25">
        <f>IF($C730="","",IF(OR($E730="received"),N($G730),IF(OR($E730="rejected",$E730="delivered",$E730="topped_up"),-N($G730),IF(AND(OR($E730="returned_to_brand",$E730="given_to_roster_office",$E730="released_to_office",$E730="disposed"),IF($F730="","reserve",$F730)="reserve"),-N($G730),IF(AND($E730="correction",IF($F730="","reserve",$F730)="reserve"),N($G730),0)))))</f>
        <v/>
      </c>
      <c r="N730" s="25">
        <f>IF($C730="","",IF($E730="rejected",N($G730),IF(AND(OR($E730="returned_to_brand",$E730="given_to_roster_office",$E730="released_to_office",$E730="disposed"),IF($F730="","reserve",$F730)="rejected"),-N($G730),IF(AND($E730="correction",IF($F730="","reserve",$F730)="rejected"),N($G730),0))))</f>
        <v/>
      </c>
      <c r="O730" s="25">
        <f>IF($C730="","",IF($E730="collected",N($G730),IF(AND(OR($E730="returned_to_brand",$E730="given_to_roster_office",$E730="released_to_office",$E730="disposed"),IF($F730="","reserve",$F730)="leftover"),-N($G730),IF(AND($E730="correction",IF($F730="","reserve",$F730)="leftover"),N($G730),0))))</f>
        <v/>
      </c>
      <c r="P730" s="25">
        <f>IF(OR($E730&lt;&gt;"received",$I730="",$L730=""),"",IF($I730&gt;=$L730+config!$B$19,"Y","N"))</f>
        <v/>
      </c>
      <c r="Q730" s="25">
        <f>IF($C730="","",IF(COUNTIF(campaigns!$A$2:$A$51,$C730)=0,"campaign_id not on campaigns; ",IF(AND($D730&lt;&gt;"",COUNTIFS(approvals!$A$2:$A$251,$C730,approvals!$B$2:$B$251,$D730)=0),"office not on this campaign (approvals tab); ",""))&amp;IF(AND(OR($E730="delivered",$E730="topped_up",$E730="collected"),$D730=""),"office needed; ","")&amp;IF(AND($E730&lt;&gt;"correction",N($G730)&lt;=0),"qty must be above 0; ","")&amp;IF(AND($E730="received",OR($I730="",$H730="")),"log lot and best-by; ","")&amp;IF(AND($P730="N",SUMIFS(inventory!$G$2:$G$801,inventory!$C$2:$C$801,$C730,inventory!$H$2:$H$801,$H730,inventory!$E$2:$E$801,"rejected")&lt;N($G730)),"UNDER "&amp;config!$B$19&amp;" DAYS LEFT ON THE DROP DAY: reject these units; ","")&amp;IF(AND($E730="delivered",COUNTIF(inventory!$R$2:$R$801,$R730)&gt;1),"two delivered rows for this office: use one; ","")&amp;IF(AND($E730="delivered",$J730=""),"who counted?; ",""))</f>
        <v/>
      </c>
      <c r="R730" s="25">
        <f>IF($C730="","",$C730&amp;"|"&amp;$D730&amp;"|"&amp;$E730)</f>
        <v/>
      </c>
    </row>
    <row r="731">
      <c r="A731" s="9" t="n"/>
      <c r="B731" s="33" t="n"/>
      <c r="I731" s="9" t="n"/>
      <c r="L731" s="26">
        <f>IF($C731="","",IFERROR(IF(INDEX(campaigns!$BG$2:$BG$51,MATCH($C731,campaigns!$A$2:$A$51,0))="","",INDEX(campaigns!$BG$2:$BG$51,MATCH($C731,campaigns!$A$2:$A$51,0))),""))</f>
        <v/>
      </c>
      <c r="M731" s="25">
        <f>IF($C731="","",IF(OR($E731="received"),N($G731),IF(OR($E731="rejected",$E731="delivered",$E731="topped_up"),-N($G731),IF(AND(OR($E731="returned_to_brand",$E731="given_to_roster_office",$E731="released_to_office",$E731="disposed"),IF($F731="","reserve",$F731)="reserve"),-N($G731),IF(AND($E731="correction",IF($F731="","reserve",$F731)="reserve"),N($G731),0)))))</f>
        <v/>
      </c>
      <c r="N731" s="25">
        <f>IF($C731="","",IF($E731="rejected",N($G731),IF(AND(OR($E731="returned_to_brand",$E731="given_to_roster_office",$E731="released_to_office",$E731="disposed"),IF($F731="","reserve",$F731)="rejected"),-N($G731),IF(AND($E731="correction",IF($F731="","reserve",$F731)="rejected"),N($G731),0))))</f>
        <v/>
      </c>
      <c r="O731" s="25">
        <f>IF($C731="","",IF($E731="collected",N($G731),IF(AND(OR($E731="returned_to_brand",$E731="given_to_roster_office",$E731="released_to_office",$E731="disposed"),IF($F731="","reserve",$F731)="leftover"),-N($G731),IF(AND($E731="correction",IF($F731="","reserve",$F731)="leftover"),N($G731),0))))</f>
        <v/>
      </c>
      <c r="P731" s="25">
        <f>IF(OR($E731&lt;&gt;"received",$I731="",$L731=""),"",IF($I731&gt;=$L731+config!$B$19,"Y","N"))</f>
        <v/>
      </c>
      <c r="Q731" s="25">
        <f>IF($C731="","",IF(COUNTIF(campaigns!$A$2:$A$51,$C731)=0,"campaign_id not on campaigns; ",IF(AND($D731&lt;&gt;"",COUNTIFS(approvals!$A$2:$A$251,$C731,approvals!$B$2:$B$251,$D731)=0),"office not on this campaign (approvals tab); ",""))&amp;IF(AND(OR($E731="delivered",$E731="topped_up",$E731="collected"),$D731=""),"office needed; ","")&amp;IF(AND($E731&lt;&gt;"correction",N($G731)&lt;=0),"qty must be above 0; ","")&amp;IF(AND($E731="received",OR($I731="",$H731="")),"log lot and best-by; ","")&amp;IF(AND($P731="N",SUMIFS(inventory!$G$2:$G$801,inventory!$C$2:$C$801,$C731,inventory!$H$2:$H$801,$H731,inventory!$E$2:$E$801,"rejected")&lt;N($G731)),"UNDER "&amp;config!$B$19&amp;" DAYS LEFT ON THE DROP DAY: reject these units; ","")&amp;IF(AND($E731="delivered",COUNTIF(inventory!$R$2:$R$801,$R731)&gt;1),"two delivered rows for this office: use one; ","")&amp;IF(AND($E731="delivered",$J731=""),"who counted?; ",""))</f>
        <v/>
      </c>
      <c r="R731" s="25">
        <f>IF($C731="","",$C731&amp;"|"&amp;$D731&amp;"|"&amp;$E731)</f>
        <v/>
      </c>
    </row>
    <row r="732">
      <c r="A732" s="9" t="n"/>
      <c r="B732" s="33" t="n"/>
      <c r="I732" s="9" t="n"/>
      <c r="L732" s="26">
        <f>IF($C732="","",IFERROR(IF(INDEX(campaigns!$BG$2:$BG$51,MATCH($C732,campaigns!$A$2:$A$51,0))="","",INDEX(campaigns!$BG$2:$BG$51,MATCH($C732,campaigns!$A$2:$A$51,0))),""))</f>
        <v/>
      </c>
      <c r="M732" s="25">
        <f>IF($C732="","",IF(OR($E732="received"),N($G732),IF(OR($E732="rejected",$E732="delivered",$E732="topped_up"),-N($G732),IF(AND(OR($E732="returned_to_brand",$E732="given_to_roster_office",$E732="released_to_office",$E732="disposed"),IF($F732="","reserve",$F732)="reserve"),-N($G732),IF(AND($E732="correction",IF($F732="","reserve",$F732)="reserve"),N($G732),0)))))</f>
        <v/>
      </c>
      <c r="N732" s="25">
        <f>IF($C732="","",IF($E732="rejected",N($G732),IF(AND(OR($E732="returned_to_brand",$E732="given_to_roster_office",$E732="released_to_office",$E732="disposed"),IF($F732="","reserve",$F732)="rejected"),-N($G732),IF(AND($E732="correction",IF($F732="","reserve",$F732)="rejected"),N($G732),0))))</f>
        <v/>
      </c>
      <c r="O732" s="25">
        <f>IF($C732="","",IF($E732="collected",N($G732),IF(AND(OR($E732="returned_to_brand",$E732="given_to_roster_office",$E732="released_to_office",$E732="disposed"),IF($F732="","reserve",$F732)="leftover"),-N($G732),IF(AND($E732="correction",IF($F732="","reserve",$F732)="leftover"),N($G732),0))))</f>
        <v/>
      </c>
      <c r="P732" s="25">
        <f>IF(OR($E732&lt;&gt;"received",$I732="",$L732=""),"",IF($I732&gt;=$L732+config!$B$19,"Y","N"))</f>
        <v/>
      </c>
      <c r="Q732" s="25">
        <f>IF($C732="","",IF(COUNTIF(campaigns!$A$2:$A$51,$C732)=0,"campaign_id not on campaigns; ",IF(AND($D732&lt;&gt;"",COUNTIFS(approvals!$A$2:$A$251,$C732,approvals!$B$2:$B$251,$D732)=0),"office not on this campaign (approvals tab); ",""))&amp;IF(AND(OR($E732="delivered",$E732="topped_up",$E732="collected"),$D732=""),"office needed; ","")&amp;IF(AND($E732&lt;&gt;"correction",N($G732)&lt;=0),"qty must be above 0; ","")&amp;IF(AND($E732="received",OR($I732="",$H732="")),"log lot and best-by; ","")&amp;IF(AND($P732="N",SUMIFS(inventory!$G$2:$G$801,inventory!$C$2:$C$801,$C732,inventory!$H$2:$H$801,$H732,inventory!$E$2:$E$801,"rejected")&lt;N($G732)),"UNDER "&amp;config!$B$19&amp;" DAYS LEFT ON THE DROP DAY: reject these units; ","")&amp;IF(AND($E732="delivered",COUNTIF(inventory!$R$2:$R$801,$R732)&gt;1),"two delivered rows for this office: use one; ","")&amp;IF(AND($E732="delivered",$J732=""),"who counted?; ",""))</f>
        <v/>
      </c>
      <c r="R732" s="25">
        <f>IF($C732="","",$C732&amp;"|"&amp;$D732&amp;"|"&amp;$E732)</f>
        <v/>
      </c>
    </row>
    <row r="733">
      <c r="A733" s="9" t="n"/>
      <c r="B733" s="33" t="n"/>
      <c r="I733" s="9" t="n"/>
      <c r="L733" s="26">
        <f>IF($C733="","",IFERROR(IF(INDEX(campaigns!$BG$2:$BG$51,MATCH($C733,campaigns!$A$2:$A$51,0))="","",INDEX(campaigns!$BG$2:$BG$51,MATCH($C733,campaigns!$A$2:$A$51,0))),""))</f>
        <v/>
      </c>
      <c r="M733" s="25">
        <f>IF($C733="","",IF(OR($E733="received"),N($G733),IF(OR($E733="rejected",$E733="delivered",$E733="topped_up"),-N($G733),IF(AND(OR($E733="returned_to_brand",$E733="given_to_roster_office",$E733="released_to_office",$E733="disposed"),IF($F733="","reserve",$F733)="reserve"),-N($G733),IF(AND($E733="correction",IF($F733="","reserve",$F733)="reserve"),N($G733),0)))))</f>
        <v/>
      </c>
      <c r="N733" s="25">
        <f>IF($C733="","",IF($E733="rejected",N($G733),IF(AND(OR($E733="returned_to_brand",$E733="given_to_roster_office",$E733="released_to_office",$E733="disposed"),IF($F733="","reserve",$F733)="rejected"),-N($G733),IF(AND($E733="correction",IF($F733="","reserve",$F733)="rejected"),N($G733),0))))</f>
        <v/>
      </c>
      <c r="O733" s="25">
        <f>IF($C733="","",IF($E733="collected",N($G733),IF(AND(OR($E733="returned_to_brand",$E733="given_to_roster_office",$E733="released_to_office",$E733="disposed"),IF($F733="","reserve",$F733)="leftover"),-N($G733),IF(AND($E733="correction",IF($F733="","reserve",$F733)="leftover"),N($G733),0))))</f>
        <v/>
      </c>
      <c r="P733" s="25">
        <f>IF(OR($E733&lt;&gt;"received",$I733="",$L733=""),"",IF($I733&gt;=$L733+config!$B$19,"Y","N"))</f>
        <v/>
      </c>
      <c r="Q733" s="25">
        <f>IF($C733="","",IF(COUNTIF(campaigns!$A$2:$A$51,$C733)=0,"campaign_id not on campaigns; ",IF(AND($D733&lt;&gt;"",COUNTIFS(approvals!$A$2:$A$251,$C733,approvals!$B$2:$B$251,$D733)=0),"office not on this campaign (approvals tab); ",""))&amp;IF(AND(OR($E733="delivered",$E733="topped_up",$E733="collected"),$D733=""),"office needed; ","")&amp;IF(AND($E733&lt;&gt;"correction",N($G733)&lt;=0),"qty must be above 0; ","")&amp;IF(AND($E733="received",OR($I733="",$H733="")),"log lot and best-by; ","")&amp;IF(AND($P733="N",SUMIFS(inventory!$G$2:$G$801,inventory!$C$2:$C$801,$C733,inventory!$H$2:$H$801,$H733,inventory!$E$2:$E$801,"rejected")&lt;N($G733)),"UNDER "&amp;config!$B$19&amp;" DAYS LEFT ON THE DROP DAY: reject these units; ","")&amp;IF(AND($E733="delivered",COUNTIF(inventory!$R$2:$R$801,$R733)&gt;1),"two delivered rows for this office: use one; ","")&amp;IF(AND($E733="delivered",$J733=""),"who counted?; ",""))</f>
        <v/>
      </c>
      <c r="R733" s="25">
        <f>IF($C733="","",$C733&amp;"|"&amp;$D733&amp;"|"&amp;$E733)</f>
        <v/>
      </c>
    </row>
    <row r="734">
      <c r="A734" s="9" t="n"/>
      <c r="B734" s="33" t="n"/>
      <c r="I734" s="9" t="n"/>
      <c r="L734" s="26">
        <f>IF($C734="","",IFERROR(IF(INDEX(campaigns!$BG$2:$BG$51,MATCH($C734,campaigns!$A$2:$A$51,0))="","",INDEX(campaigns!$BG$2:$BG$51,MATCH($C734,campaigns!$A$2:$A$51,0))),""))</f>
        <v/>
      </c>
      <c r="M734" s="25">
        <f>IF($C734="","",IF(OR($E734="received"),N($G734),IF(OR($E734="rejected",$E734="delivered",$E734="topped_up"),-N($G734),IF(AND(OR($E734="returned_to_brand",$E734="given_to_roster_office",$E734="released_to_office",$E734="disposed"),IF($F734="","reserve",$F734)="reserve"),-N($G734),IF(AND($E734="correction",IF($F734="","reserve",$F734)="reserve"),N($G734),0)))))</f>
        <v/>
      </c>
      <c r="N734" s="25">
        <f>IF($C734="","",IF($E734="rejected",N($G734),IF(AND(OR($E734="returned_to_brand",$E734="given_to_roster_office",$E734="released_to_office",$E734="disposed"),IF($F734="","reserve",$F734)="rejected"),-N($G734),IF(AND($E734="correction",IF($F734="","reserve",$F734)="rejected"),N($G734),0))))</f>
        <v/>
      </c>
      <c r="O734" s="25">
        <f>IF($C734="","",IF($E734="collected",N($G734),IF(AND(OR($E734="returned_to_brand",$E734="given_to_roster_office",$E734="released_to_office",$E734="disposed"),IF($F734="","reserve",$F734)="leftover"),-N($G734),IF(AND($E734="correction",IF($F734="","reserve",$F734)="leftover"),N($G734),0))))</f>
        <v/>
      </c>
      <c r="P734" s="25">
        <f>IF(OR($E734&lt;&gt;"received",$I734="",$L734=""),"",IF($I734&gt;=$L734+config!$B$19,"Y","N"))</f>
        <v/>
      </c>
      <c r="Q734" s="25">
        <f>IF($C734="","",IF(COUNTIF(campaigns!$A$2:$A$51,$C734)=0,"campaign_id not on campaigns; ",IF(AND($D734&lt;&gt;"",COUNTIFS(approvals!$A$2:$A$251,$C734,approvals!$B$2:$B$251,$D734)=0),"office not on this campaign (approvals tab); ",""))&amp;IF(AND(OR($E734="delivered",$E734="topped_up",$E734="collected"),$D734=""),"office needed; ","")&amp;IF(AND($E734&lt;&gt;"correction",N($G734)&lt;=0),"qty must be above 0; ","")&amp;IF(AND($E734="received",OR($I734="",$H734="")),"log lot and best-by; ","")&amp;IF(AND($P734="N",SUMIFS(inventory!$G$2:$G$801,inventory!$C$2:$C$801,$C734,inventory!$H$2:$H$801,$H734,inventory!$E$2:$E$801,"rejected")&lt;N($G734)),"UNDER "&amp;config!$B$19&amp;" DAYS LEFT ON THE DROP DAY: reject these units; ","")&amp;IF(AND($E734="delivered",COUNTIF(inventory!$R$2:$R$801,$R734)&gt;1),"two delivered rows for this office: use one; ","")&amp;IF(AND($E734="delivered",$J734=""),"who counted?; ",""))</f>
        <v/>
      </c>
      <c r="R734" s="25">
        <f>IF($C734="","",$C734&amp;"|"&amp;$D734&amp;"|"&amp;$E734)</f>
        <v/>
      </c>
    </row>
    <row r="735">
      <c r="A735" s="9" t="n"/>
      <c r="B735" s="33" t="n"/>
      <c r="I735" s="9" t="n"/>
      <c r="L735" s="26">
        <f>IF($C735="","",IFERROR(IF(INDEX(campaigns!$BG$2:$BG$51,MATCH($C735,campaigns!$A$2:$A$51,0))="","",INDEX(campaigns!$BG$2:$BG$51,MATCH($C735,campaigns!$A$2:$A$51,0))),""))</f>
        <v/>
      </c>
      <c r="M735" s="25">
        <f>IF($C735="","",IF(OR($E735="received"),N($G735),IF(OR($E735="rejected",$E735="delivered",$E735="topped_up"),-N($G735),IF(AND(OR($E735="returned_to_brand",$E735="given_to_roster_office",$E735="released_to_office",$E735="disposed"),IF($F735="","reserve",$F735)="reserve"),-N($G735),IF(AND($E735="correction",IF($F735="","reserve",$F735)="reserve"),N($G735),0)))))</f>
        <v/>
      </c>
      <c r="N735" s="25">
        <f>IF($C735="","",IF($E735="rejected",N($G735),IF(AND(OR($E735="returned_to_brand",$E735="given_to_roster_office",$E735="released_to_office",$E735="disposed"),IF($F735="","reserve",$F735)="rejected"),-N($G735),IF(AND($E735="correction",IF($F735="","reserve",$F735)="rejected"),N($G735),0))))</f>
        <v/>
      </c>
      <c r="O735" s="25">
        <f>IF($C735="","",IF($E735="collected",N($G735),IF(AND(OR($E735="returned_to_brand",$E735="given_to_roster_office",$E735="released_to_office",$E735="disposed"),IF($F735="","reserve",$F735)="leftover"),-N($G735),IF(AND($E735="correction",IF($F735="","reserve",$F735)="leftover"),N($G735),0))))</f>
        <v/>
      </c>
      <c r="P735" s="25">
        <f>IF(OR($E735&lt;&gt;"received",$I735="",$L735=""),"",IF($I735&gt;=$L735+config!$B$19,"Y","N"))</f>
        <v/>
      </c>
      <c r="Q735" s="25">
        <f>IF($C735="","",IF(COUNTIF(campaigns!$A$2:$A$51,$C735)=0,"campaign_id not on campaigns; ",IF(AND($D735&lt;&gt;"",COUNTIFS(approvals!$A$2:$A$251,$C735,approvals!$B$2:$B$251,$D735)=0),"office not on this campaign (approvals tab); ",""))&amp;IF(AND(OR($E735="delivered",$E735="topped_up",$E735="collected"),$D735=""),"office needed; ","")&amp;IF(AND($E735&lt;&gt;"correction",N($G735)&lt;=0),"qty must be above 0; ","")&amp;IF(AND($E735="received",OR($I735="",$H735="")),"log lot and best-by; ","")&amp;IF(AND($P735="N",SUMIFS(inventory!$G$2:$G$801,inventory!$C$2:$C$801,$C735,inventory!$H$2:$H$801,$H735,inventory!$E$2:$E$801,"rejected")&lt;N($G735)),"UNDER "&amp;config!$B$19&amp;" DAYS LEFT ON THE DROP DAY: reject these units; ","")&amp;IF(AND($E735="delivered",COUNTIF(inventory!$R$2:$R$801,$R735)&gt;1),"two delivered rows for this office: use one; ","")&amp;IF(AND($E735="delivered",$J735=""),"who counted?; ",""))</f>
        <v/>
      </c>
      <c r="R735" s="25">
        <f>IF($C735="","",$C735&amp;"|"&amp;$D735&amp;"|"&amp;$E735)</f>
        <v/>
      </c>
    </row>
    <row r="736">
      <c r="A736" s="9" t="n"/>
      <c r="B736" s="33" t="n"/>
      <c r="I736" s="9" t="n"/>
      <c r="L736" s="26">
        <f>IF($C736="","",IFERROR(IF(INDEX(campaigns!$BG$2:$BG$51,MATCH($C736,campaigns!$A$2:$A$51,0))="","",INDEX(campaigns!$BG$2:$BG$51,MATCH($C736,campaigns!$A$2:$A$51,0))),""))</f>
        <v/>
      </c>
      <c r="M736" s="25">
        <f>IF($C736="","",IF(OR($E736="received"),N($G736),IF(OR($E736="rejected",$E736="delivered",$E736="topped_up"),-N($G736),IF(AND(OR($E736="returned_to_brand",$E736="given_to_roster_office",$E736="released_to_office",$E736="disposed"),IF($F736="","reserve",$F736)="reserve"),-N($G736),IF(AND($E736="correction",IF($F736="","reserve",$F736)="reserve"),N($G736),0)))))</f>
        <v/>
      </c>
      <c r="N736" s="25">
        <f>IF($C736="","",IF($E736="rejected",N($G736),IF(AND(OR($E736="returned_to_brand",$E736="given_to_roster_office",$E736="released_to_office",$E736="disposed"),IF($F736="","reserve",$F736)="rejected"),-N($G736),IF(AND($E736="correction",IF($F736="","reserve",$F736)="rejected"),N($G736),0))))</f>
        <v/>
      </c>
      <c r="O736" s="25">
        <f>IF($C736="","",IF($E736="collected",N($G736),IF(AND(OR($E736="returned_to_brand",$E736="given_to_roster_office",$E736="released_to_office",$E736="disposed"),IF($F736="","reserve",$F736)="leftover"),-N($G736),IF(AND($E736="correction",IF($F736="","reserve",$F736)="leftover"),N($G736),0))))</f>
        <v/>
      </c>
      <c r="P736" s="25">
        <f>IF(OR($E736&lt;&gt;"received",$I736="",$L736=""),"",IF($I736&gt;=$L736+config!$B$19,"Y","N"))</f>
        <v/>
      </c>
      <c r="Q736" s="25">
        <f>IF($C736="","",IF(COUNTIF(campaigns!$A$2:$A$51,$C736)=0,"campaign_id not on campaigns; ",IF(AND($D736&lt;&gt;"",COUNTIFS(approvals!$A$2:$A$251,$C736,approvals!$B$2:$B$251,$D736)=0),"office not on this campaign (approvals tab); ",""))&amp;IF(AND(OR($E736="delivered",$E736="topped_up",$E736="collected"),$D736=""),"office needed; ","")&amp;IF(AND($E736&lt;&gt;"correction",N($G736)&lt;=0),"qty must be above 0; ","")&amp;IF(AND($E736="received",OR($I736="",$H736="")),"log lot and best-by; ","")&amp;IF(AND($P736="N",SUMIFS(inventory!$G$2:$G$801,inventory!$C$2:$C$801,$C736,inventory!$H$2:$H$801,$H736,inventory!$E$2:$E$801,"rejected")&lt;N($G736)),"UNDER "&amp;config!$B$19&amp;" DAYS LEFT ON THE DROP DAY: reject these units; ","")&amp;IF(AND($E736="delivered",COUNTIF(inventory!$R$2:$R$801,$R736)&gt;1),"two delivered rows for this office: use one; ","")&amp;IF(AND($E736="delivered",$J736=""),"who counted?; ",""))</f>
        <v/>
      </c>
      <c r="R736" s="25">
        <f>IF($C736="","",$C736&amp;"|"&amp;$D736&amp;"|"&amp;$E736)</f>
        <v/>
      </c>
    </row>
    <row r="737">
      <c r="A737" s="9" t="n"/>
      <c r="B737" s="33" t="n"/>
      <c r="I737" s="9" t="n"/>
      <c r="L737" s="26">
        <f>IF($C737="","",IFERROR(IF(INDEX(campaigns!$BG$2:$BG$51,MATCH($C737,campaigns!$A$2:$A$51,0))="","",INDEX(campaigns!$BG$2:$BG$51,MATCH($C737,campaigns!$A$2:$A$51,0))),""))</f>
        <v/>
      </c>
      <c r="M737" s="25">
        <f>IF($C737="","",IF(OR($E737="received"),N($G737),IF(OR($E737="rejected",$E737="delivered",$E737="topped_up"),-N($G737),IF(AND(OR($E737="returned_to_brand",$E737="given_to_roster_office",$E737="released_to_office",$E737="disposed"),IF($F737="","reserve",$F737)="reserve"),-N($G737),IF(AND($E737="correction",IF($F737="","reserve",$F737)="reserve"),N($G737),0)))))</f>
        <v/>
      </c>
      <c r="N737" s="25">
        <f>IF($C737="","",IF($E737="rejected",N($G737),IF(AND(OR($E737="returned_to_brand",$E737="given_to_roster_office",$E737="released_to_office",$E737="disposed"),IF($F737="","reserve",$F737)="rejected"),-N($G737),IF(AND($E737="correction",IF($F737="","reserve",$F737)="rejected"),N($G737),0))))</f>
        <v/>
      </c>
      <c r="O737" s="25">
        <f>IF($C737="","",IF($E737="collected",N($G737),IF(AND(OR($E737="returned_to_brand",$E737="given_to_roster_office",$E737="released_to_office",$E737="disposed"),IF($F737="","reserve",$F737)="leftover"),-N($G737),IF(AND($E737="correction",IF($F737="","reserve",$F737)="leftover"),N($G737),0))))</f>
        <v/>
      </c>
      <c r="P737" s="25">
        <f>IF(OR($E737&lt;&gt;"received",$I737="",$L737=""),"",IF($I737&gt;=$L737+config!$B$19,"Y","N"))</f>
        <v/>
      </c>
      <c r="Q737" s="25">
        <f>IF($C737="","",IF(COUNTIF(campaigns!$A$2:$A$51,$C737)=0,"campaign_id not on campaigns; ",IF(AND($D737&lt;&gt;"",COUNTIFS(approvals!$A$2:$A$251,$C737,approvals!$B$2:$B$251,$D737)=0),"office not on this campaign (approvals tab); ",""))&amp;IF(AND(OR($E737="delivered",$E737="topped_up",$E737="collected"),$D737=""),"office needed; ","")&amp;IF(AND($E737&lt;&gt;"correction",N($G737)&lt;=0),"qty must be above 0; ","")&amp;IF(AND($E737="received",OR($I737="",$H737="")),"log lot and best-by; ","")&amp;IF(AND($P737="N",SUMIFS(inventory!$G$2:$G$801,inventory!$C$2:$C$801,$C737,inventory!$H$2:$H$801,$H737,inventory!$E$2:$E$801,"rejected")&lt;N($G737)),"UNDER "&amp;config!$B$19&amp;" DAYS LEFT ON THE DROP DAY: reject these units; ","")&amp;IF(AND($E737="delivered",COUNTIF(inventory!$R$2:$R$801,$R737)&gt;1),"two delivered rows for this office: use one; ","")&amp;IF(AND($E737="delivered",$J737=""),"who counted?; ",""))</f>
        <v/>
      </c>
      <c r="R737" s="25">
        <f>IF($C737="","",$C737&amp;"|"&amp;$D737&amp;"|"&amp;$E737)</f>
        <v/>
      </c>
    </row>
    <row r="738">
      <c r="A738" s="9" t="n"/>
      <c r="B738" s="33" t="n"/>
      <c r="I738" s="9" t="n"/>
      <c r="L738" s="26">
        <f>IF($C738="","",IFERROR(IF(INDEX(campaigns!$BG$2:$BG$51,MATCH($C738,campaigns!$A$2:$A$51,0))="","",INDEX(campaigns!$BG$2:$BG$51,MATCH($C738,campaigns!$A$2:$A$51,0))),""))</f>
        <v/>
      </c>
      <c r="M738" s="25">
        <f>IF($C738="","",IF(OR($E738="received"),N($G738),IF(OR($E738="rejected",$E738="delivered",$E738="topped_up"),-N($G738),IF(AND(OR($E738="returned_to_brand",$E738="given_to_roster_office",$E738="released_to_office",$E738="disposed"),IF($F738="","reserve",$F738)="reserve"),-N($G738),IF(AND($E738="correction",IF($F738="","reserve",$F738)="reserve"),N($G738),0)))))</f>
        <v/>
      </c>
      <c r="N738" s="25">
        <f>IF($C738="","",IF($E738="rejected",N($G738),IF(AND(OR($E738="returned_to_brand",$E738="given_to_roster_office",$E738="released_to_office",$E738="disposed"),IF($F738="","reserve",$F738)="rejected"),-N($G738),IF(AND($E738="correction",IF($F738="","reserve",$F738)="rejected"),N($G738),0))))</f>
        <v/>
      </c>
      <c r="O738" s="25">
        <f>IF($C738="","",IF($E738="collected",N($G738),IF(AND(OR($E738="returned_to_brand",$E738="given_to_roster_office",$E738="released_to_office",$E738="disposed"),IF($F738="","reserve",$F738)="leftover"),-N($G738),IF(AND($E738="correction",IF($F738="","reserve",$F738)="leftover"),N($G738),0))))</f>
        <v/>
      </c>
      <c r="P738" s="25">
        <f>IF(OR($E738&lt;&gt;"received",$I738="",$L738=""),"",IF($I738&gt;=$L738+config!$B$19,"Y","N"))</f>
        <v/>
      </c>
      <c r="Q738" s="25">
        <f>IF($C738="","",IF(COUNTIF(campaigns!$A$2:$A$51,$C738)=0,"campaign_id not on campaigns; ",IF(AND($D738&lt;&gt;"",COUNTIFS(approvals!$A$2:$A$251,$C738,approvals!$B$2:$B$251,$D738)=0),"office not on this campaign (approvals tab); ",""))&amp;IF(AND(OR($E738="delivered",$E738="topped_up",$E738="collected"),$D738=""),"office needed; ","")&amp;IF(AND($E738&lt;&gt;"correction",N($G738)&lt;=0),"qty must be above 0; ","")&amp;IF(AND($E738="received",OR($I738="",$H738="")),"log lot and best-by; ","")&amp;IF(AND($P738="N",SUMIFS(inventory!$G$2:$G$801,inventory!$C$2:$C$801,$C738,inventory!$H$2:$H$801,$H738,inventory!$E$2:$E$801,"rejected")&lt;N($G738)),"UNDER "&amp;config!$B$19&amp;" DAYS LEFT ON THE DROP DAY: reject these units; ","")&amp;IF(AND($E738="delivered",COUNTIF(inventory!$R$2:$R$801,$R738)&gt;1),"two delivered rows for this office: use one; ","")&amp;IF(AND($E738="delivered",$J738=""),"who counted?; ",""))</f>
        <v/>
      </c>
      <c r="R738" s="25">
        <f>IF($C738="","",$C738&amp;"|"&amp;$D738&amp;"|"&amp;$E738)</f>
        <v/>
      </c>
    </row>
    <row r="739">
      <c r="A739" s="9" t="n"/>
      <c r="B739" s="33" t="n"/>
      <c r="I739" s="9" t="n"/>
      <c r="L739" s="26">
        <f>IF($C739="","",IFERROR(IF(INDEX(campaigns!$BG$2:$BG$51,MATCH($C739,campaigns!$A$2:$A$51,0))="","",INDEX(campaigns!$BG$2:$BG$51,MATCH($C739,campaigns!$A$2:$A$51,0))),""))</f>
        <v/>
      </c>
      <c r="M739" s="25">
        <f>IF($C739="","",IF(OR($E739="received"),N($G739),IF(OR($E739="rejected",$E739="delivered",$E739="topped_up"),-N($G739),IF(AND(OR($E739="returned_to_brand",$E739="given_to_roster_office",$E739="released_to_office",$E739="disposed"),IF($F739="","reserve",$F739)="reserve"),-N($G739),IF(AND($E739="correction",IF($F739="","reserve",$F739)="reserve"),N($G739),0)))))</f>
        <v/>
      </c>
      <c r="N739" s="25">
        <f>IF($C739="","",IF($E739="rejected",N($G739),IF(AND(OR($E739="returned_to_brand",$E739="given_to_roster_office",$E739="released_to_office",$E739="disposed"),IF($F739="","reserve",$F739)="rejected"),-N($G739),IF(AND($E739="correction",IF($F739="","reserve",$F739)="rejected"),N($G739),0))))</f>
        <v/>
      </c>
      <c r="O739" s="25">
        <f>IF($C739="","",IF($E739="collected",N($G739),IF(AND(OR($E739="returned_to_brand",$E739="given_to_roster_office",$E739="released_to_office",$E739="disposed"),IF($F739="","reserve",$F739)="leftover"),-N($G739),IF(AND($E739="correction",IF($F739="","reserve",$F739)="leftover"),N($G739),0))))</f>
        <v/>
      </c>
      <c r="P739" s="25">
        <f>IF(OR($E739&lt;&gt;"received",$I739="",$L739=""),"",IF($I739&gt;=$L739+config!$B$19,"Y","N"))</f>
        <v/>
      </c>
      <c r="Q739" s="25">
        <f>IF($C739="","",IF(COUNTIF(campaigns!$A$2:$A$51,$C739)=0,"campaign_id not on campaigns; ",IF(AND($D739&lt;&gt;"",COUNTIFS(approvals!$A$2:$A$251,$C739,approvals!$B$2:$B$251,$D739)=0),"office not on this campaign (approvals tab); ",""))&amp;IF(AND(OR($E739="delivered",$E739="topped_up",$E739="collected"),$D739=""),"office needed; ","")&amp;IF(AND($E739&lt;&gt;"correction",N($G739)&lt;=0),"qty must be above 0; ","")&amp;IF(AND($E739="received",OR($I739="",$H739="")),"log lot and best-by; ","")&amp;IF(AND($P739="N",SUMIFS(inventory!$G$2:$G$801,inventory!$C$2:$C$801,$C739,inventory!$H$2:$H$801,$H739,inventory!$E$2:$E$801,"rejected")&lt;N($G739)),"UNDER "&amp;config!$B$19&amp;" DAYS LEFT ON THE DROP DAY: reject these units; ","")&amp;IF(AND($E739="delivered",COUNTIF(inventory!$R$2:$R$801,$R739)&gt;1),"two delivered rows for this office: use one; ","")&amp;IF(AND($E739="delivered",$J739=""),"who counted?; ",""))</f>
        <v/>
      </c>
      <c r="R739" s="25">
        <f>IF($C739="","",$C739&amp;"|"&amp;$D739&amp;"|"&amp;$E739)</f>
        <v/>
      </c>
    </row>
    <row r="740">
      <c r="A740" s="9" t="n"/>
      <c r="B740" s="33" t="n"/>
      <c r="I740" s="9" t="n"/>
      <c r="L740" s="26">
        <f>IF($C740="","",IFERROR(IF(INDEX(campaigns!$BG$2:$BG$51,MATCH($C740,campaigns!$A$2:$A$51,0))="","",INDEX(campaigns!$BG$2:$BG$51,MATCH($C740,campaigns!$A$2:$A$51,0))),""))</f>
        <v/>
      </c>
      <c r="M740" s="25">
        <f>IF($C740="","",IF(OR($E740="received"),N($G740),IF(OR($E740="rejected",$E740="delivered",$E740="topped_up"),-N($G740),IF(AND(OR($E740="returned_to_brand",$E740="given_to_roster_office",$E740="released_to_office",$E740="disposed"),IF($F740="","reserve",$F740)="reserve"),-N($G740),IF(AND($E740="correction",IF($F740="","reserve",$F740)="reserve"),N($G740),0)))))</f>
        <v/>
      </c>
      <c r="N740" s="25">
        <f>IF($C740="","",IF($E740="rejected",N($G740),IF(AND(OR($E740="returned_to_brand",$E740="given_to_roster_office",$E740="released_to_office",$E740="disposed"),IF($F740="","reserve",$F740)="rejected"),-N($G740),IF(AND($E740="correction",IF($F740="","reserve",$F740)="rejected"),N($G740),0))))</f>
        <v/>
      </c>
      <c r="O740" s="25">
        <f>IF($C740="","",IF($E740="collected",N($G740),IF(AND(OR($E740="returned_to_brand",$E740="given_to_roster_office",$E740="released_to_office",$E740="disposed"),IF($F740="","reserve",$F740)="leftover"),-N($G740),IF(AND($E740="correction",IF($F740="","reserve",$F740)="leftover"),N($G740),0))))</f>
        <v/>
      </c>
      <c r="P740" s="25">
        <f>IF(OR($E740&lt;&gt;"received",$I740="",$L740=""),"",IF($I740&gt;=$L740+config!$B$19,"Y","N"))</f>
        <v/>
      </c>
      <c r="Q740" s="25">
        <f>IF($C740="","",IF(COUNTIF(campaigns!$A$2:$A$51,$C740)=0,"campaign_id not on campaigns; ",IF(AND($D740&lt;&gt;"",COUNTIFS(approvals!$A$2:$A$251,$C740,approvals!$B$2:$B$251,$D740)=0),"office not on this campaign (approvals tab); ",""))&amp;IF(AND(OR($E740="delivered",$E740="topped_up",$E740="collected"),$D740=""),"office needed; ","")&amp;IF(AND($E740&lt;&gt;"correction",N($G740)&lt;=0),"qty must be above 0; ","")&amp;IF(AND($E740="received",OR($I740="",$H740="")),"log lot and best-by; ","")&amp;IF(AND($P740="N",SUMIFS(inventory!$G$2:$G$801,inventory!$C$2:$C$801,$C740,inventory!$H$2:$H$801,$H740,inventory!$E$2:$E$801,"rejected")&lt;N($G740)),"UNDER "&amp;config!$B$19&amp;" DAYS LEFT ON THE DROP DAY: reject these units; ","")&amp;IF(AND($E740="delivered",COUNTIF(inventory!$R$2:$R$801,$R740)&gt;1),"two delivered rows for this office: use one; ","")&amp;IF(AND($E740="delivered",$J740=""),"who counted?; ",""))</f>
        <v/>
      </c>
      <c r="R740" s="25">
        <f>IF($C740="","",$C740&amp;"|"&amp;$D740&amp;"|"&amp;$E740)</f>
        <v/>
      </c>
    </row>
    <row r="741">
      <c r="A741" s="9" t="n"/>
      <c r="B741" s="33" t="n"/>
      <c r="I741" s="9" t="n"/>
      <c r="L741" s="26">
        <f>IF($C741="","",IFERROR(IF(INDEX(campaigns!$BG$2:$BG$51,MATCH($C741,campaigns!$A$2:$A$51,0))="","",INDEX(campaigns!$BG$2:$BG$51,MATCH($C741,campaigns!$A$2:$A$51,0))),""))</f>
        <v/>
      </c>
      <c r="M741" s="25">
        <f>IF($C741="","",IF(OR($E741="received"),N($G741),IF(OR($E741="rejected",$E741="delivered",$E741="topped_up"),-N($G741),IF(AND(OR($E741="returned_to_brand",$E741="given_to_roster_office",$E741="released_to_office",$E741="disposed"),IF($F741="","reserve",$F741)="reserve"),-N($G741),IF(AND($E741="correction",IF($F741="","reserve",$F741)="reserve"),N($G741),0)))))</f>
        <v/>
      </c>
      <c r="N741" s="25">
        <f>IF($C741="","",IF($E741="rejected",N($G741),IF(AND(OR($E741="returned_to_brand",$E741="given_to_roster_office",$E741="released_to_office",$E741="disposed"),IF($F741="","reserve",$F741)="rejected"),-N($G741),IF(AND($E741="correction",IF($F741="","reserve",$F741)="rejected"),N($G741),0))))</f>
        <v/>
      </c>
      <c r="O741" s="25">
        <f>IF($C741="","",IF($E741="collected",N($G741),IF(AND(OR($E741="returned_to_brand",$E741="given_to_roster_office",$E741="released_to_office",$E741="disposed"),IF($F741="","reserve",$F741)="leftover"),-N($G741),IF(AND($E741="correction",IF($F741="","reserve",$F741)="leftover"),N($G741),0))))</f>
        <v/>
      </c>
      <c r="P741" s="25">
        <f>IF(OR($E741&lt;&gt;"received",$I741="",$L741=""),"",IF($I741&gt;=$L741+config!$B$19,"Y","N"))</f>
        <v/>
      </c>
      <c r="Q741" s="25">
        <f>IF($C741="","",IF(COUNTIF(campaigns!$A$2:$A$51,$C741)=0,"campaign_id not on campaigns; ",IF(AND($D741&lt;&gt;"",COUNTIFS(approvals!$A$2:$A$251,$C741,approvals!$B$2:$B$251,$D741)=0),"office not on this campaign (approvals tab); ",""))&amp;IF(AND(OR($E741="delivered",$E741="topped_up",$E741="collected"),$D741=""),"office needed; ","")&amp;IF(AND($E741&lt;&gt;"correction",N($G741)&lt;=0),"qty must be above 0; ","")&amp;IF(AND($E741="received",OR($I741="",$H741="")),"log lot and best-by; ","")&amp;IF(AND($P741="N",SUMIFS(inventory!$G$2:$G$801,inventory!$C$2:$C$801,$C741,inventory!$H$2:$H$801,$H741,inventory!$E$2:$E$801,"rejected")&lt;N($G741)),"UNDER "&amp;config!$B$19&amp;" DAYS LEFT ON THE DROP DAY: reject these units; ","")&amp;IF(AND($E741="delivered",COUNTIF(inventory!$R$2:$R$801,$R741)&gt;1),"two delivered rows for this office: use one; ","")&amp;IF(AND($E741="delivered",$J741=""),"who counted?; ",""))</f>
        <v/>
      </c>
      <c r="R741" s="25">
        <f>IF($C741="","",$C741&amp;"|"&amp;$D741&amp;"|"&amp;$E741)</f>
        <v/>
      </c>
    </row>
    <row r="742">
      <c r="A742" s="9" t="n"/>
      <c r="B742" s="33" t="n"/>
      <c r="I742" s="9" t="n"/>
      <c r="L742" s="26">
        <f>IF($C742="","",IFERROR(IF(INDEX(campaigns!$BG$2:$BG$51,MATCH($C742,campaigns!$A$2:$A$51,0))="","",INDEX(campaigns!$BG$2:$BG$51,MATCH($C742,campaigns!$A$2:$A$51,0))),""))</f>
        <v/>
      </c>
      <c r="M742" s="25">
        <f>IF($C742="","",IF(OR($E742="received"),N($G742),IF(OR($E742="rejected",$E742="delivered",$E742="topped_up"),-N($G742),IF(AND(OR($E742="returned_to_brand",$E742="given_to_roster_office",$E742="released_to_office",$E742="disposed"),IF($F742="","reserve",$F742)="reserve"),-N($G742),IF(AND($E742="correction",IF($F742="","reserve",$F742)="reserve"),N($G742),0)))))</f>
        <v/>
      </c>
      <c r="N742" s="25">
        <f>IF($C742="","",IF($E742="rejected",N($G742),IF(AND(OR($E742="returned_to_brand",$E742="given_to_roster_office",$E742="released_to_office",$E742="disposed"),IF($F742="","reserve",$F742)="rejected"),-N($G742),IF(AND($E742="correction",IF($F742="","reserve",$F742)="rejected"),N($G742),0))))</f>
        <v/>
      </c>
      <c r="O742" s="25">
        <f>IF($C742="","",IF($E742="collected",N($G742),IF(AND(OR($E742="returned_to_brand",$E742="given_to_roster_office",$E742="released_to_office",$E742="disposed"),IF($F742="","reserve",$F742)="leftover"),-N($G742),IF(AND($E742="correction",IF($F742="","reserve",$F742)="leftover"),N($G742),0))))</f>
        <v/>
      </c>
      <c r="P742" s="25">
        <f>IF(OR($E742&lt;&gt;"received",$I742="",$L742=""),"",IF($I742&gt;=$L742+config!$B$19,"Y","N"))</f>
        <v/>
      </c>
      <c r="Q742" s="25">
        <f>IF($C742="","",IF(COUNTIF(campaigns!$A$2:$A$51,$C742)=0,"campaign_id not on campaigns; ",IF(AND($D742&lt;&gt;"",COUNTIFS(approvals!$A$2:$A$251,$C742,approvals!$B$2:$B$251,$D742)=0),"office not on this campaign (approvals tab); ",""))&amp;IF(AND(OR($E742="delivered",$E742="topped_up",$E742="collected"),$D742=""),"office needed; ","")&amp;IF(AND($E742&lt;&gt;"correction",N($G742)&lt;=0),"qty must be above 0; ","")&amp;IF(AND($E742="received",OR($I742="",$H742="")),"log lot and best-by; ","")&amp;IF(AND($P742="N",SUMIFS(inventory!$G$2:$G$801,inventory!$C$2:$C$801,$C742,inventory!$H$2:$H$801,$H742,inventory!$E$2:$E$801,"rejected")&lt;N($G742)),"UNDER "&amp;config!$B$19&amp;" DAYS LEFT ON THE DROP DAY: reject these units; ","")&amp;IF(AND($E742="delivered",COUNTIF(inventory!$R$2:$R$801,$R742)&gt;1),"two delivered rows for this office: use one; ","")&amp;IF(AND($E742="delivered",$J742=""),"who counted?; ",""))</f>
        <v/>
      </c>
      <c r="R742" s="25">
        <f>IF($C742="","",$C742&amp;"|"&amp;$D742&amp;"|"&amp;$E742)</f>
        <v/>
      </c>
    </row>
    <row r="743">
      <c r="A743" s="9" t="n"/>
      <c r="B743" s="33" t="n"/>
      <c r="I743" s="9" t="n"/>
      <c r="L743" s="26">
        <f>IF($C743="","",IFERROR(IF(INDEX(campaigns!$BG$2:$BG$51,MATCH($C743,campaigns!$A$2:$A$51,0))="","",INDEX(campaigns!$BG$2:$BG$51,MATCH($C743,campaigns!$A$2:$A$51,0))),""))</f>
        <v/>
      </c>
      <c r="M743" s="25">
        <f>IF($C743="","",IF(OR($E743="received"),N($G743),IF(OR($E743="rejected",$E743="delivered",$E743="topped_up"),-N($G743),IF(AND(OR($E743="returned_to_brand",$E743="given_to_roster_office",$E743="released_to_office",$E743="disposed"),IF($F743="","reserve",$F743)="reserve"),-N($G743),IF(AND($E743="correction",IF($F743="","reserve",$F743)="reserve"),N($G743),0)))))</f>
        <v/>
      </c>
      <c r="N743" s="25">
        <f>IF($C743="","",IF($E743="rejected",N($G743),IF(AND(OR($E743="returned_to_brand",$E743="given_to_roster_office",$E743="released_to_office",$E743="disposed"),IF($F743="","reserve",$F743)="rejected"),-N($G743),IF(AND($E743="correction",IF($F743="","reserve",$F743)="rejected"),N($G743),0))))</f>
        <v/>
      </c>
      <c r="O743" s="25">
        <f>IF($C743="","",IF($E743="collected",N($G743),IF(AND(OR($E743="returned_to_brand",$E743="given_to_roster_office",$E743="released_to_office",$E743="disposed"),IF($F743="","reserve",$F743)="leftover"),-N($G743),IF(AND($E743="correction",IF($F743="","reserve",$F743)="leftover"),N($G743),0))))</f>
        <v/>
      </c>
      <c r="P743" s="25">
        <f>IF(OR($E743&lt;&gt;"received",$I743="",$L743=""),"",IF($I743&gt;=$L743+config!$B$19,"Y","N"))</f>
        <v/>
      </c>
      <c r="Q743" s="25">
        <f>IF($C743="","",IF(COUNTIF(campaigns!$A$2:$A$51,$C743)=0,"campaign_id not on campaigns; ",IF(AND($D743&lt;&gt;"",COUNTIFS(approvals!$A$2:$A$251,$C743,approvals!$B$2:$B$251,$D743)=0),"office not on this campaign (approvals tab); ",""))&amp;IF(AND(OR($E743="delivered",$E743="topped_up",$E743="collected"),$D743=""),"office needed; ","")&amp;IF(AND($E743&lt;&gt;"correction",N($G743)&lt;=0),"qty must be above 0; ","")&amp;IF(AND($E743="received",OR($I743="",$H743="")),"log lot and best-by; ","")&amp;IF(AND($P743="N",SUMIFS(inventory!$G$2:$G$801,inventory!$C$2:$C$801,$C743,inventory!$H$2:$H$801,$H743,inventory!$E$2:$E$801,"rejected")&lt;N($G743)),"UNDER "&amp;config!$B$19&amp;" DAYS LEFT ON THE DROP DAY: reject these units; ","")&amp;IF(AND($E743="delivered",COUNTIF(inventory!$R$2:$R$801,$R743)&gt;1),"two delivered rows for this office: use one; ","")&amp;IF(AND($E743="delivered",$J743=""),"who counted?; ",""))</f>
        <v/>
      </c>
      <c r="R743" s="25">
        <f>IF($C743="","",$C743&amp;"|"&amp;$D743&amp;"|"&amp;$E743)</f>
        <v/>
      </c>
    </row>
    <row r="744">
      <c r="A744" s="9" t="n"/>
      <c r="B744" s="33" t="n"/>
      <c r="I744" s="9" t="n"/>
      <c r="L744" s="26">
        <f>IF($C744="","",IFERROR(IF(INDEX(campaigns!$BG$2:$BG$51,MATCH($C744,campaigns!$A$2:$A$51,0))="","",INDEX(campaigns!$BG$2:$BG$51,MATCH($C744,campaigns!$A$2:$A$51,0))),""))</f>
        <v/>
      </c>
      <c r="M744" s="25">
        <f>IF($C744="","",IF(OR($E744="received"),N($G744),IF(OR($E744="rejected",$E744="delivered",$E744="topped_up"),-N($G744),IF(AND(OR($E744="returned_to_brand",$E744="given_to_roster_office",$E744="released_to_office",$E744="disposed"),IF($F744="","reserve",$F744)="reserve"),-N($G744),IF(AND($E744="correction",IF($F744="","reserve",$F744)="reserve"),N($G744),0)))))</f>
        <v/>
      </c>
      <c r="N744" s="25">
        <f>IF($C744="","",IF($E744="rejected",N($G744),IF(AND(OR($E744="returned_to_brand",$E744="given_to_roster_office",$E744="released_to_office",$E744="disposed"),IF($F744="","reserve",$F744)="rejected"),-N($G744),IF(AND($E744="correction",IF($F744="","reserve",$F744)="rejected"),N($G744),0))))</f>
        <v/>
      </c>
      <c r="O744" s="25">
        <f>IF($C744="","",IF($E744="collected",N($G744),IF(AND(OR($E744="returned_to_brand",$E744="given_to_roster_office",$E744="released_to_office",$E744="disposed"),IF($F744="","reserve",$F744)="leftover"),-N($G744),IF(AND($E744="correction",IF($F744="","reserve",$F744)="leftover"),N($G744),0))))</f>
        <v/>
      </c>
      <c r="P744" s="25">
        <f>IF(OR($E744&lt;&gt;"received",$I744="",$L744=""),"",IF($I744&gt;=$L744+config!$B$19,"Y","N"))</f>
        <v/>
      </c>
      <c r="Q744" s="25">
        <f>IF($C744="","",IF(COUNTIF(campaigns!$A$2:$A$51,$C744)=0,"campaign_id not on campaigns; ",IF(AND($D744&lt;&gt;"",COUNTIFS(approvals!$A$2:$A$251,$C744,approvals!$B$2:$B$251,$D744)=0),"office not on this campaign (approvals tab); ",""))&amp;IF(AND(OR($E744="delivered",$E744="topped_up",$E744="collected"),$D744=""),"office needed; ","")&amp;IF(AND($E744&lt;&gt;"correction",N($G744)&lt;=0),"qty must be above 0; ","")&amp;IF(AND($E744="received",OR($I744="",$H744="")),"log lot and best-by; ","")&amp;IF(AND($P744="N",SUMIFS(inventory!$G$2:$G$801,inventory!$C$2:$C$801,$C744,inventory!$H$2:$H$801,$H744,inventory!$E$2:$E$801,"rejected")&lt;N($G744)),"UNDER "&amp;config!$B$19&amp;" DAYS LEFT ON THE DROP DAY: reject these units; ","")&amp;IF(AND($E744="delivered",COUNTIF(inventory!$R$2:$R$801,$R744)&gt;1),"two delivered rows for this office: use one; ","")&amp;IF(AND($E744="delivered",$J744=""),"who counted?; ",""))</f>
        <v/>
      </c>
      <c r="R744" s="25">
        <f>IF($C744="","",$C744&amp;"|"&amp;$D744&amp;"|"&amp;$E744)</f>
        <v/>
      </c>
    </row>
    <row r="745">
      <c r="A745" s="9" t="n"/>
      <c r="B745" s="33" t="n"/>
      <c r="I745" s="9" t="n"/>
      <c r="L745" s="26">
        <f>IF($C745="","",IFERROR(IF(INDEX(campaigns!$BG$2:$BG$51,MATCH($C745,campaigns!$A$2:$A$51,0))="","",INDEX(campaigns!$BG$2:$BG$51,MATCH($C745,campaigns!$A$2:$A$51,0))),""))</f>
        <v/>
      </c>
      <c r="M745" s="25">
        <f>IF($C745="","",IF(OR($E745="received"),N($G745),IF(OR($E745="rejected",$E745="delivered",$E745="topped_up"),-N($G745),IF(AND(OR($E745="returned_to_brand",$E745="given_to_roster_office",$E745="released_to_office",$E745="disposed"),IF($F745="","reserve",$F745)="reserve"),-N($G745),IF(AND($E745="correction",IF($F745="","reserve",$F745)="reserve"),N($G745),0)))))</f>
        <v/>
      </c>
      <c r="N745" s="25">
        <f>IF($C745="","",IF($E745="rejected",N($G745),IF(AND(OR($E745="returned_to_brand",$E745="given_to_roster_office",$E745="released_to_office",$E745="disposed"),IF($F745="","reserve",$F745)="rejected"),-N($G745),IF(AND($E745="correction",IF($F745="","reserve",$F745)="rejected"),N($G745),0))))</f>
        <v/>
      </c>
      <c r="O745" s="25">
        <f>IF($C745="","",IF($E745="collected",N($G745),IF(AND(OR($E745="returned_to_brand",$E745="given_to_roster_office",$E745="released_to_office",$E745="disposed"),IF($F745="","reserve",$F745)="leftover"),-N($G745),IF(AND($E745="correction",IF($F745="","reserve",$F745)="leftover"),N($G745),0))))</f>
        <v/>
      </c>
      <c r="P745" s="25">
        <f>IF(OR($E745&lt;&gt;"received",$I745="",$L745=""),"",IF($I745&gt;=$L745+config!$B$19,"Y","N"))</f>
        <v/>
      </c>
      <c r="Q745" s="25">
        <f>IF($C745="","",IF(COUNTIF(campaigns!$A$2:$A$51,$C745)=0,"campaign_id not on campaigns; ",IF(AND($D745&lt;&gt;"",COUNTIFS(approvals!$A$2:$A$251,$C745,approvals!$B$2:$B$251,$D745)=0),"office not on this campaign (approvals tab); ",""))&amp;IF(AND(OR($E745="delivered",$E745="topped_up",$E745="collected"),$D745=""),"office needed; ","")&amp;IF(AND($E745&lt;&gt;"correction",N($G745)&lt;=0),"qty must be above 0; ","")&amp;IF(AND($E745="received",OR($I745="",$H745="")),"log lot and best-by; ","")&amp;IF(AND($P745="N",SUMIFS(inventory!$G$2:$G$801,inventory!$C$2:$C$801,$C745,inventory!$H$2:$H$801,$H745,inventory!$E$2:$E$801,"rejected")&lt;N($G745)),"UNDER "&amp;config!$B$19&amp;" DAYS LEFT ON THE DROP DAY: reject these units; ","")&amp;IF(AND($E745="delivered",COUNTIF(inventory!$R$2:$R$801,$R745)&gt;1),"two delivered rows for this office: use one; ","")&amp;IF(AND($E745="delivered",$J745=""),"who counted?; ",""))</f>
        <v/>
      </c>
      <c r="R745" s="25">
        <f>IF($C745="","",$C745&amp;"|"&amp;$D745&amp;"|"&amp;$E745)</f>
        <v/>
      </c>
    </row>
    <row r="746">
      <c r="A746" s="9" t="n"/>
      <c r="B746" s="33" t="n"/>
      <c r="I746" s="9" t="n"/>
      <c r="L746" s="26">
        <f>IF($C746="","",IFERROR(IF(INDEX(campaigns!$BG$2:$BG$51,MATCH($C746,campaigns!$A$2:$A$51,0))="","",INDEX(campaigns!$BG$2:$BG$51,MATCH($C746,campaigns!$A$2:$A$51,0))),""))</f>
        <v/>
      </c>
      <c r="M746" s="25">
        <f>IF($C746="","",IF(OR($E746="received"),N($G746),IF(OR($E746="rejected",$E746="delivered",$E746="topped_up"),-N($G746),IF(AND(OR($E746="returned_to_brand",$E746="given_to_roster_office",$E746="released_to_office",$E746="disposed"),IF($F746="","reserve",$F746)="reserve"),-N($G746),IF(AND($E746="correction",IF($F746="","reserve",$F746)="reserve"),N($G746),0)))))</f>
        <v/>
      </c>
      <c r="N746" s="25">
        <f>IF($C746="","",IF($E746="rejected",N($G746),IF(AND(OR($E746="returned_to_brand",$E746="given_to_roster_office",$E746="released_to_office",$E746="disposed"),IF($F746="","reserve",$F746)="rejected"),-N($G746),IF(AND($E746="correction",IF($F746="","reserve",$F746)="rejected"),N($G746),0))))</f>
        <v/>
      </c>
      <c r="O746" s="25">
        <f>IF($C746="","",IF($E746="collected",N($G746),IF(AND(OR($E746="returned_to_brand",$E746="given_to_roster_office",$E746="released_to_office",$E746="disposed"),IF($F746="","reserve",$F746)="leftover"),-N($G746),IF(AND($E746="correction",IF($F746="","reserve",$F746)="leftover"),N($G746),0))))</f>
        <v/>
      </c>
      <c r="P746" s="25">
        <f>IF(OR($E746&lt;&gt;"received",$I746="",$L746=""),"",IF($I746&gt;=$L746+config!$B$19,"Y","N"))</f>
        <v/>
      </c>
      <c r="Q746" s="25">
        <f>IF($C746="","",IF(COUNTIF(campaigns!$A$2:$A$51,$C746)=0,"campaign_id not on campaigns; ",IF(AND($D746&lt;&gt;"",COUNTIFS(approvals!$A$2:$A$251,$C746,approvals!$B$2:$B$251,$D746)=0),"office not on this campaign (approvals tab); ",""))&amp;IF(AND(OR($E746="delivered",$E746="topped_up",$E746="collected"),$D746=""),"office needed; ","")&amp;IF(AND($E746&lt;&gt;"correction",N($G746)&lt;=0),"qty must be above 0; ","")&amp;IF(AND($E746="received",OR($I746="",$H746="")),"log lot and best-by; ","")&amp;IF(AND($P746="N",SUMIFS(inventory!$G$2:$G$801,inventory!$C$2:$C$801,$C746,inventory!$H$2:$H$801,$H746,inventory!$E$2:$E$801,"rejected")&lt;N($G746)),"UNDER "&amp;config!$B$19&amp;" DAYS LEFT ON THE DROP DAY: reject these units; ","")&amp;IF(AND($E746="delivered",COUNTIF(inventory!$R$2:$R$801,$R746)&gt;1),"two delivered rows for this office: use one; ","")&amp;IF(AND($E746="delivered",$J746=""),"who counted?; ",""))</f>
        <v/>
      </c>
      <c r="R746" s="25">
        <f>IF($C746="","",$C746&amp;"|"&amp;$D746&amp;"|"&amp;$E746)</f>
        <v/>
      </c>
    </row>
    <row r="747">
      <c r="A747" s="9" t="n"/>
      <c r="B747" s="33" t="n"/>
      <c r="I747" s="9" t="n"/>
      <c r="L747" s="26">
        <f>IF($C747="","",IFERROR(IF(INDEX(campaigns!$BG$2:$BG$51,MATCH($C747,campaigns!$A$2:$A$51,0))="","",INDEX(campaigns!$BG$2:$BG$51,MATCH($C747,campaigns!$A$2:$A$51,0))),""))</f>
        <v/>
      </c>
      <c r="M747" s="25">
        <f>IF($C747="","",IF(OR($E747="received"),N($G747),IF(OR($E747="rejected",$E747="delivered",$E747="topped_up"),-N($G747),IF(AND(OR($E747="returned_to_brand",$E747="given_to_roster_office",$E747="released_to_office",$E747="disposed"),IF($F747="","reserve",$F747)="reserve"),-N($G747),IF(AND($E747="correction",IF($F747="","reserve",$F747)="reserve"),N($G747),0)))))</f>
        <v/>
      </c>
      <c r="N747" s="25">
        <f>IF($C747="","",IF($E747="rejected",N($G747),IF(AND(OR($E747="returned_to_brand",$E747="given_to_roster_office",$E747="released_to_office",$E747="disposed"),IF($F747="","reserve",$F747)="rejected"),-N($G747),IF(AND($E747="correction",IF($F747="","reserve",$F747)="rejected"),N($G747),0))))</f>
        <v/>
      </c>
      <c r="O747" s="25">
        <f>IF($C747="","",IF($E747="collected",N($G747),IF(AND(OR($E747="returned_to_brand",$E747="given_to_roster_office",$E747="released_to_office",$E747="disposed"),IF($F747="","reserve",$F747)="leftover"),-N($G747),IF(AND($E747="correction",IF($F747="","reserve",$F747)="leftover"),N($G747),0))))</f>
        <v/>
      </c>
      <c r="P747" s="25">
        <f>IF(OR($E747&lt;&gt;"received",$I747="",$L747=""),"",IF($I747&gt;=$L747+config!$B$19,"Y","N"))</f>
        <v/>
      </c>
      <c r="Q747" s="25">
        <f>IF($C747="","",IF(COUNTIF(campaigns!$A$2:$A$51,$C747)=0,"campaign_id not on campaigns; ",IF(AND($D747&lt;&gt;"",COUNTIFS(approvals!$A$2:$A$251,$C747,approvals!$B$2:$B$251,$D747)=0),"office not on this campaign (approvals tab); ",""))&amp;IF(AND(OR($E747="delivered",$E747="topped_up",$E747="collected"),$D747=""),"office needed; ","")&amp;IF(AND($E747&lt;&gt;"correction",N($G747)&lt;=0),"qty must be above 0; ","")&amp;IF(AND($E747="received",OR($I747="",$H747="")),"log lot and best-by; ","")&amp;IF(AND($P747="N",SUMIFS(inventory!$G$2:$G$801,inventory!$C$2:$C$801,$C747,inventory!$H$2:$H$801,$H747,inventory!$E$2:$E$801,"rejected")&lt;N($G747)),"UNDER "&amp;config!$B$19&amp;" DAYS LEFT ON THE DROP DAY: reject these units; ","")&amp;IF(AND($E747="delivered",COUNTIF(inventory!$R$2:$R$801,$R747)&gt;1),"two delivered rows for this office: use one; ","")&amp;IF(AND($E747="delivered",$J747=""),"who counted?; ",""))</f>
        <v/>
      </c>
      <c r="R747" s="25">
        <f>IF($C747="","",$C747&amp;"|"&amp;$D747&amp;"|"&amp;$E747)</f>
        <v/>
      </c>
    </row>
    <row r="748">
      <c r="A748" s="9" t="n"/>
      <c r="B748" s="33" t="n"/>
      <c r="I748" s="9" t="n"/>
      <c r="L748" s="26">
        <f>IF($C748="","",IFERROR(IF(INDEX(campaigns!$BG$2:$BG$51,MATCH($C748,campaigns!$A$2:$A$51,0))="","",INDEX(campaigns!$BG$2:$BG$51,MATCH($C748,campaigns!$A$2:$A$51,0))),""))</f>
        <v/>
      </c>
      <c r="M748" s="25">
        <f>IF($C748="","",IF(OR($E748="received"),N($G748),IF(OR($E748="rejected",$E748="delivered",$E748="topped_up"),-N($G748),IF(AND(OR($E748="returned_to_brand",$E748="given_to_roster_office",$E748="released_to_office",$E748="disposed"),IF($F748="","reserve",$F748)="reserve"),-N($G748),IF(AND($E748="correction",IF($F748="","reserve",$F748)="reserve"),N($G748),0)))))</f>
        <v/>
      </c>
      <c r="N748" s="25">
        <f>IF($C748="","",IF($E748="rejected",N($G748),IF(AND(OR($E748="returned_to_brand",$E748="given_to_roster_office",$E748="released_to_office",$E748="disposed"),IF($F748="","reserve",$F748)="rejected"),-N($G748),IF(AND($E748="correction",IF($F748="","reserve",$F748)="rejected"),N($G748),0))))</f>
        <v/>
      </c>
      <c r="O748" s="25">
        <f>IF($C748="","",IF($E748="collected",N($G748),IF(AND(OR($E748="returned_to_brand",$E748="given_to_roster_office",$E748="released_to_office",$E748="disposed"),IF($F748="","reserve",$F748)="leftover"),-N($G748),IF(AND($E748="correction",IF($F748="","reserve",$F748)="leftover"),N($G748),0))))</f>
        <v/>
      </c>
      <c r="P748" s="25">
        <f>IF(OR($E748&lt;&gt;"received",$I748="",$L748=""),"",IF($I748&gt;=$L748+config!$B$19,"Y","N"))</f>
        <v/>
      </c>
      <c r="Q748" s="25">
        <f>IF($C748="","",IF(COUNTIF(campaigns!$A$2:$A$51,$C748)=0,"campaign_id not on campaigns; ",IF(AND($D748&lt;&gt;"",COUNTIFS(approvals!$A$2:$A$251,$C748,approvals!$B$2:$B$251,$D748)=0),"office not on this campaign (approvals tab); ",""))&amp;IF(AND(OR($E748="delivered",$E748="topped_up",$E748="collected"),$D748=""),"office needed; ","")&amp;IF(AND($E748&lt;&gt;"correction",N($G748)&lt;=0),"qty must be above 0; ","")&amp;IF(AND($E748="received",OR($I748="",$H748="")),"log lot and best-by; ","")&amp;IF(AND($P748="N",SUMIFS(inventory!$G$2:$G$801,inventory!$C$2:$C$801,$C748,inventory!$H$2:$H$801,$H748,inventory!$E$2:$E$801,"rejected")&lt;N($G748)),"UNDER "&amp;config!$B$19&amp;" DAYS LEFT ON THE DROP DAY: reject these units; ","")&amp;IF(AND($E748="delivered",COUNTIF(inventory!$R$2:$R$801,$R748)&gt;1),"two delivered rows for this office: use one; ","")&amp;IF(AND($E748="delivered",$J748=""),"who counted?; ",""))</f>
        <v/>
      </c>
      <c r="R748" s="25">
        <f>IF($C748="","",$C748&amp;"|"&amp;$D748&amp;"|"&amp;$E748)</f>
        <v/>
      </c>
    </row>
    <row r="749">
      <c r="A749" s="9" t="n"/>
      <c r="B749" s="33" t="n"/>
      <c r="I749" s="9" t="n"/>
      <c r="L749" s="26">
        <f>IF($C749="","",IFERROR(IF(INDEX(campaigns!$BG$2:$BG$51,MATCH($C749,campaigns!$A$2:$A$51,0))="","",INDEX(campaigns!$BG$2:$BG$51,MATCH($C749,campaigns!$A$2:$A$51,0))),""))</f>
        <v/>
      </c>
      <c r="M749" s="25">
        <f>IF($C749="","",IF(OR($E749="received"),N($G749),IF(OR($E749="rejected",$E749="delivered",$E749="topped_up"),-N($G749),IF(AND(OR($E749="returned_to_brand",$E749="given_to_roster_office",$E749="released_to_office",$E749="disposed"),IF($F749="","reserve",$F749)="reserve"),-N($G749),IF(AND($E749="correction",IF($F749="","reserve",$F749)="reserve"),N($G749),0)))))</f>
        <v/>
      </c>
      <c r="N749" s="25">
        <f>IF($C749="","",IF($E749="rejected",N($G749),IF(AND(OR($E749="returned_to_brand",$E749="given_to_roster_office",$E749="released_to_office",$E749="disposed"),IF($F749="","reserve",$F749)="rejected"),-N($G749),IF(AND($E749="correction",IF($F749="","reserve",$F749)="rejected"),N($G749),0))))</f>
        <v/>
      </c>
      <c r="O749" s="25">
        <f>IF($C749="","",IF($E749="collected",N($G749),IF(AND(OR($E749="returned_to_brand",$E749="given_to_roster_office",$E749="released_to_office",$E749="disposed"),IF($F749="","reserve",$F749)="leftover"),-N($G749),IF(AND($E749="correction",IF($F749="","reserve",$F749)="leftover"),N($G749),0))))</f>
        <v/>
      </c>
      <c r="P749" s="25">
        <f>IF(OR($E749&lt;&gt;"received",$I749="",$L749=""),"",IF($I749&gt;=$L749+config!$B$19,"Y","N"))</f>
        <v/>
      </c>
      <c r="Q749" s="25">
        <f>IF($C749="","",IF(COUNTIF(campaigns!$A$2:$A$51,$C749)=0,"campaign_id not on campaigns; ",IF(AND($D749&lt;&gt;"",COUNTIFS(approvals!$A$2:$A$251,$C749,approvals!$B$2:$B$251,$D749)=0),"office not on this campaign (approvals tab); ",""))&amp;IF(AND(OR($E749="delivered",$E749="topped_up",$E749="collected"),$D749=""),"office needed; ","")&amp;IF(AND($E749&lt;&gt;"correction",N($G749)&lt;=0),"qty must be above 0; ","")&amp;IF(AND($E749="received",OR($I749="",$H749="")),"log lot and best-by; ","")&amp;IF(AND($P749="N",SUMIFS(inventory!$G$2:$G$801,inventory!$C$2:$C$801,$C749,inventory!$H$2:$H$801,$H749,inventory!$E$2:$E$801,"rejected")&lt;N($G749)),"UNDER "&amp;config!$B$19&amp;" DAYS LEFT ON THE DROP DAY: reject these units; ","")&amp;IF(AND($E749="delivered",COUNTIF(inventory!$R$2:$R$801,$R749)&gt;1),"two delivered rows for this office: use one; ","")&amp;IF(AND($E749="delivered",$J749=""),"who counted?; ",""))</f>
        <v/>
      </c>
      <c r="R749" s="25">
        <f>IF($C749="","",$C749&amp;"|"&amp;$D749&amp;"|"&amp;$E749)</f>
        <v/>
      </c>
    </row>
    <row r="750">
      <c r="A750" s="9" t="n"/>
      <c r="B750" s="33" t="n"/>
      <c r="I750" s="9" t="n"/>
      <c r="L750" s="26">
        <f>IF($C750="","",IFERROR(IF(INDEX(campaigns!$BG$2:$BG$51,MATCH($C750,campaigns!$A$2:$A$51,0))="","",INDEX(campaigns!$BG$2:$BG$51,MATCH($C750,campaigns!$A$2:$A$51,0))),""))</f>
        <v/>
      </c>
      <c r="M750" s="25">
        <f>IF($C750="","",IF(OR($E750="received"),N($G750),IF(OR($E750="rejected",$E750="delivered",$E750="topped_up"),-N($G750),IF(AND(OR($E750="returned_to_brand",$E750="given_to_roster_office",$E750="released_to_office",$E750="disposed"),IF($F750="","reserve",$F750)="reserve"),-N($G750),IF(AND($E750="correction",IF($F750="","reserve",$F750)="reserve"),N($G750),0)))))</f>
        <v/>
      </c>
      <c r="N750" s="25">
        <f>IF($C750="","",IF($E750="rejected",N($G750),IF(AND(OR($E750="returned_to_brand",$E750="given_to_roster_office",$E750="released_to_office",$E750="disposed"),IF($F750="","reserve",$F750)="rejected"),-N($G750),IF(AND($E750="correction",IF($F750="","reserve",$F750)="rejected"),N($G750),0))))</f>
        <v/>
      </c>
      <c r="O750" s="25">
        <f>IF($C750="","",IF($E750="collected",N($G750),IF(AND(OR($E750="returned_to_brand",$E750="given_to_roster_office",$E750="released_to_office",$E750="disposed"),IF($F750="","reserve",$F750)="leftover"),-N($G750),IF(AND($E750="correction",IF($F750="","reserve",$F750)="leftover"),N($G750),0))))</f>
        <v/>
      </c>
      <c r="P750" s="25">
        <f>IF(OR($E750&lt;&gt;"received",$I750="",$L750=""),"",IF($I750&gt;=$L750+config!$B$19,"Y","N"))</f>
        <v/>
      </c>
      <c r="Q750" s="25">
        <f>IF($C750="","",IF(COUNTIF(campaigns!$A$2:$A$51,$C750)=0,"campaign_id not on campaigns; ",IF(AND($D750&lt;&gt;"",COUNTIFS(approvals!$A$2:$A$251,$C750,approvals!$B$2:$B$251,$D750)=0),"office not on this campaign (approvals tab); ",""))&amp;IF(AND(OR($E750="delivered",$E750="topped_up",$E750="collected"),$D750=""),"office needed; ","")&amp;IF(AND($E750&lt;&gt;"correction",N($G750)&lt;=0),"qty must be above 0; ","")&amp;IF(AND($E750="received",OR($I750="",$H750="")),"log lot and best-by; ","")&amp;IF(AND($P750="N",SUMIFS(inventory!$G$2:$G$801,inventory!$C$2:$C$801,$C750,inventory!$H$2:$H$801,$H750,inventory!$E$2:$E$801,"rejected")&lt;N($G750)),"UNDER "&amp;config!$B$19&amp;" DAYS LEFT ON THE DROP DAY: reject these units; ","")&amp;IF(AND($E750="delivered",COUNTIF(inventory!$R$2:$R$801,$R750)&gt;1),"two delivered rows for this office: use one; ","")&amp;IF(AND($E750="delivered",$J750=""),"who counted?; ",""))</f>
        <v/>
      </c>
      <c r="R750" s="25">
        <f>IF($C750="","",$C750&amp;"|"&amp;$D750&amp;"|"&amp;$E750)</f>
        <v/>
      </c>
    </row>
    <row r="751">
      <c r="A751" s="9" t="n"/>
      <c r="B751" s="33" t="n"/>
      <c r="I751" s="9" t="n"/>
      <c r="L751" s="26">
        <f>IF($C751="","",IFERROR(IF(INDEX(campaigns!$BG$2:$BG$51,MATCH($C751,campaigns!$A$2:$A$51,0))="","",INDEX(campaigns!$BG$2:$BG$51,MATCH($C751,campaigns!$A$2:$A$51,0))),""))</f>
        <v/>
      </c>
      <c r="M751" s="25">
        <f>IF($C751="","",IF(OR($E751="received"),N($G751),IF(OR($E751="rejected",$E751="delivered",$E751="topped_up"),-N($G751),IF(AND(OR($E751="returned_to_brand",$E751="given_to_roster_office",$E751="released_to_office",$E751="disposed"),IF($F751="","reserve",$F751)="reserve"),-N($G751),IF(AND($E751="correction",IF($F751="","reserve",$F751)="reserve"),N($G751),0)))))</f>
        <v/>
      </c>
      <c r="N751" s="25">
        <f>IF($C751="","",IF($E751="rejected",N($G751),IF(AND(OR($E751="returned_to_brand",$E751="given_to_roster_office",$E751="released_to_office",$E751="disposed"),IF($F751="","reserve",$F751)="rejected"),-N($G751),IF(AND($E751="correction",IF($F751="","reserve",$F751)="rejected"),N($G751),0))))</f>
        <v/>
      </c>
      <c r="O751" s="25">
        <f>IF($C751="","",IF($E751="collected",N($G751),IF(AND(OR($E751="returned_to_brand",$E751="given_to_roster_office",$E751="released_to_office",$E751="disposed"),IF($F751="","reserve",$F751)="leftover"),-N($G751),IF(AND($E751="correction",IF($F751="","reserve",$F751)="leftover"),N($G751),0))))</f>
        <v/>
      </c>
      <c r="P751" s="25">
        <f>IF(OR($E751&lt;&gt;"received",$I751="",$L751=""),"",IF($I751&gt;=$L751+config!$B$19,"Y","N"))</f>
        <v/>
      </c>
      <c r="Q751" s="25">
        <f>IF($C751="","",IF(COUNTIF(campaigns!$A$2:$A$51,$C751)=0,"campaign_id not on campaigns; ",IF(AND($D751&lt;&gt;"",COUNTIFS(approvals!$A$2:$A$251,$C751,approvals!$B$2:$B$251,$D751)=0),"office not on this campaign (approvals tab); ",""))&amp;IF(AND(OR($E751="delivered",$E751="topped_up",$E751="collected"),$D751=""),"office needed; ","")&amp;IF(AND($E751&lt;&gt;"correction",N($G751)&lt;=0),"qty must be above 0; ","")&amp;IF(AND($E751="received",OR($I751="",$H751="")),"log lot and best-by; ","")&amp;IF(AND($P751="N",SUMIFS(inventory!$G$2:$G$801,inventory!$C$2:$C$801,$C751,inventory!$H$2:$H$801,$H751,inventory!$E$2:$E$801,"rejected")&lt;N($G751)),"UNDER "&amp;config!$B$19&amp;" DAYS LEFT ON THE DROP DAY: reject these units; ","")&amp;IF(AND($E751="delivered",COUNTIF(inventory!$R$2:$R$801,$R751)&gt;1),"two delivered rows for this office: use one; ","")&amp;IF(AND($E751="delivered",$J751=""),"who counted?; ",""))</f>
        <v/>
      </c>
      <c r="R751" s="25">
        <f>IF($C751="","",$C751&amp;"|"&amp;$D751&amp;"|"&amp;$E751)</f>
        <v/>
      </c>
    </row>
    <row r="752">
      <c r="A752" s="9" t="n"/>
      <c r="B752" s="33" t="n"/>
      <c r="I752" s="9" t="n"/>
      <c r="L752" s="26">
        <f>IF($C752="","",IFERROR(IF(INDEX(campaigns!$BG$2:$BG$51,MATCH($C752,campaigns!$A$2:$A$51,0))="","",INDEX(campaigns!$BG$2:$BG$51,MATCH($C752,campaigns!$A$2:$A$51,0))),""))</f>
        <v/>
      </c>
      <c r="M752" s="25">
        <f>IF($C752="","",IF(OR($E752="received"),N($G752),IF(OR($E752="rejected",$E752="delivered",$E752="topped_up"),-N($G752),IF(AND(OR($E752="returned_to_brand",$E752="given_to_roster_office",$E752="released_to_office",$E752="disposed"),IF($F752="","reserve",$F752)="reserve"),-N($G752),IF(AND($E752="correction",IF($F752="","reserve",$F752)="reserve"),N($G752),0)))))</f>
        <v/>
      </c>
      <c r="N752" s="25">
        <f>IF($C752="","",IF($E752="rejected",N($G752),IF(AND(OR($E752="returned_to_brand",$E752="given_to_roster_office",$E752="released_to_office",$E752="disposed"),IF($F752="","reserve",$F752)="rejected"),-N($G752),IF(AND($E752="correction",IF($F752="","reserve",$F752)="rejected"),N($G752),0))))</f>
        <v/>
      </c>
      <c r="O752" s="25">
        <f>IF($C752="","",IF($E752="collected",N($G752),IF(AND(OR($E752="returned_to_brand",$E752="given_to_roster_office",$E752="released_to_office",$E752="disposed"),IF($F752="","reserve",$F752)="leftover"),-N($G752),IF(AND($E752="correction",IF($F752="","reserve",$F752)="leftover"),N($G752),0))))</f>
        <v/>
      </c>
      <c r="P752" s="25">
        <f>IF(OR($E752&lt;&gt;"received",$I752="",$L752=""),"",IF($I752&gt;=$L752+config!$B$19,"Y","N"))</f>
        <v/>
      </c>
      <c r="Q752" s="25">
        <f>IF($C752="","",IF(COUNTIF(campaigns!$A$2:$A$51,$C752)=0,"campaign_id not on campaigns; ",IF(AND($D752&lt;&gt;"",COUNTIFS(approvals!$A$2:$A$251,$C752,approvals!$B$2:$B$251,$D752)=0),"office not on this campaign (approvals tab); ",""))&amp;IF(AND(OR($E752="delivered",$E752="topped_up",$E752="collected"),$D752=""),"office needed; ","")&amp;IF(AND($E752&lt;&gt;"correction",N($G752)&lt;=0),"qty must be above 0; ","")&amp;IF(AND($E752="received",OR($I752="",$H752="")),"log lot and best-by; ","")&amp;IF(AND($P752="N",SUMIFS(inventory!$G$2:$G$801,inventory!$C$2:$C$801,$C752,inventory!$H$2:$H$801,$H752,inventory!$E$2:$E$801,"rejected")&lt;N($G752)),"UNDER "&amp;config!$B$19&amp;" DAYS LEFT ON THE DROP DAY: reject these units; ","")&amp;IF(AND($E752="delivered",COUNTIF(inventory!$R$2:$R$801,$R752)&gt;1),"two delivered rows for this office: use one; ","")&amp;IF(AND($E752="delivered",$J752=""),"who counted?; ",""))</f>
        <v/>
      </c>
      <c r="R752" s="25">
        <f>IF($C752="","",$C752&amp;"|"&amp;$D752&amp;"|"&amp;$E752)</f>
        <v/>
      </c>
    </row>
    <row r="753">
      <c r="A753" s="9" t="n"/>
      <c r="B753" s="33" t="n"/>
      <c r="I753" s="9" t="n"/>
      <c r="L753" s="26">
        <f>IF($C753="","",IFERROR(IF(INDEX(campaigns!$BG$2:$BG$51,MATCH($C753,campaigns!$A$2:$A$51,0))="","",INDEX(campaigns!$BG$2:$BG$51,MATCH($C753,campaigns!$A$2:$A$51,0))),""))</f>
        <v/>
      </c>
      <c r="M753" s="25">
        <f>IF($C753="","",IF(OR($E753="received"),N($G753),IF(OR($E753="rejected",$E753="delivered",$E753="topped_up"),-N($G753),IF(AND(OR($E753="returned_to_brand",$E753="given_to_roster_office",$E753="released_to_office",$E753="disposed"),IF($F753="","reserve",$F753)="reserve"),-N($G753),IF(AND($E753="correction",IF($F753="","reserve",$F753)="reserve"),N($G753),0)))))</f>
        <v/>
      </c>
      <c r="N753" s="25">
        <f>IF($C753="","",IF($E753="rejected",N($G753),IF(AND(OR($E753="returned_to_brand",$E753="given_to_roster_office",$E753="released_to_office",$E753="disposed"),IF($F753="","reserve",$F753)="rejected"),-N($G753),IF(AND($E753="correction",IF($F753="","reserve",$F753)="rejected"),N($G753),0))))</f>
        <v/>
      </c>
      <c r="O753" s="25">
        <f>IF($C753="","",IF($E753="collected",N($G753),IF(AND(OR($E753="returned_to_brand",$E753="given_to_roster_office",$E753="released_to_office",$E753="disposed"),IF($F753="","reserve",$F753)="leftover"),-N($G753),IF(AND($E753="correction",IF($F753="","reserve",$F753)="leftover"),N($G753),0))))</f>
        <v/>
      </c>
      <c r="P753" s="25">
        <f>IF(OR($E753&lt;&gt;"received",$I753="",$L753=""),"",IF($I753&gt;=$L753+config!$B$19,"Y","N"))</f>
        <v/>
      </c>
      <c r="Q753" s="25">
        <f>IF($C753="","",IF(COUNTIF(campaigns!$A$2:$A$51,$C753)=0,"campaign_id not on campaigns; ",IF(AND($D753&lt;&gt;"",COUNTIFS(approvals!$A$2:$A$251,$C753,approvals!$B$2:$B$251,$D753)=0),"office not on this campaign (approvals tab); ",""))&amp;IF(AND(OR($E753="delivered",$E753="topped_up",$E753="collected"),$D753=""),"office needed; ","")&amp;IF(AND($E753&lt;&gt;"correction",N($G753)&lt;=0),"qty must be above 0; ","")&amp;IF(AND($E753="received",OR($I753="",$H753="")),"log lot and best-by; ","")&amp;IF(AND($P753="N",SUMIFS(inventory!$G$2:$G$801,inventory!$C$2:$C$801,$C753,inventory!$H$2:$H$801,$H753,inventory!$E$2:$E$801,"rejected")&lt;N($G753)),"UNDER "&amp;config!$B$19&amp;" DAYS LEFT ON THE DROP DAY: reject these units; ","")&amp;IF(AND($E753="delivered",COUNTIF(inventory!$R$2:$R$801,$R753)&gt;1),"two delivered rows for this office: use one; ","")&amp;IF(AND($E753="delivered",$J753=""),"who counted?; ",""))</f>
        <v/>
      </c>
      <c r="R753" s="25">
        <f>IF($C753="","",$C753&amp;"|"&amp;$D753&amp;"|"&amp;$E753)</f>
        <v/>
      </c>
    </row>
    <row r="754">
      <c r="A754" s="9" t="n"/>
      <c r="B754" s="33" t="n"/>
      <c r="I754" s="9" t="n"/>
      <c r="L754" s="26">
        <f>IF($C754="","",IFERROR(IF(INDEX(campaigns!$BG$2:$BG$51,MATCH($C754,campaigns!$A$2:$A$51,0))="","",INDEX(campaigns!$BG$2:$BG$51,MATCH($C754,campaigns!$A$2:$A$51,0))),""))</f>
        <v/>
      </c>
      <c r="M754" s="25">
        <f>IF($C754="","",IF(OR($E754="received"),N($G754),IF(OR($E754="rejected",$E754="delivered",$E754="topped_up"),-N($G754),IF(AND(OR($E754="returned_to_brand",$E754="given_to_roster_office",$E754="released_to_office",$E754="disposed"),IF($F754="","reserve",$F754)="reserve"),-N($G754),IF(AND($E754="correction",IF($F754="","reserve",$F754)="reserve"),N($G754),0)))))</f>
        <v/>
      </c>
      <c r="N754" s="25">
        <f>IF($C754="","",IF($E754="rejected",N($G754),IF(AND(OR($E754="returned_to_brand",$E754="given_to_roster_office",$E754="released_to_office",$E754="disposed"),IF($F754="","reserve",$F754)="rejected"),-N($G754),IF(AND($E754="correction",IF($F754="","reserve",$F754)="rejected"),N($G754),0))))</f>
        <v/>
      </c>
      <c r="O754" s="25">
        <f>IF($C754="","",IF($E754="collected",N($G754),IF(AND(OR($E754="returned_to_brand",$E754="given_to_roster_office",$E754="released_to_office",$E754="disposed"),IF($F754="","reserve",$F754)="leftover"),-N($G754),IF(AND($E754="correction",IF($F754="","reserve",$F754)="leftover"),N($G754),0))))</f>
        <v/>
      </c>
      <c r="P754" s="25">
        <f>IF(OR($E754&lt;&gt;"received",$I754="",$L754=""),"",IF($I754&gt;=$L754+config!$B$19,"Y","N"))</f>
        <v/>
      </c>
      <c r="Q754" s="25">
        <f>IF($C754="","",IF(COUNTIF(campaigns!$A$2:$A$51,$C754)=0,"campaign_id not on campaigns; ",IF(AND($D754&lt;&gt;"",COUNTIFS(approvals!$A$2:$A$251,$C754,approvals!$B$2:$B$251,$D754)=0),"office not on this campaign (approvals tab); ",""))&amp;IF(AND(OR($E754="delivered",$E754="topped_up",$E754="collected"),$D754=""),"office needed; ","")&amp;IF(AND($E754&lt;&gt;"correction",N($G754)&lt;=0),"qty must be above 0; ","")&amp;IF(AND($E754="received",OR($I754="",$H754="")),"log lot and best-by; ","")&amp;IF(AND($P754="N",SUMIFS(inventory!$G$2:$G$801,inventory!$C$2:$C$801,$C754,inventory!$H$2:$H$801,$H754,inventory!$E$2:$E$801,"rejected")&lt;N($G754)),"UNDER "&amp;config!$B$19&amp;" DAYS LEFT ON THE DROP DAY: reject these units; ","")&amp;IF(AND($E754="delivered",COUNTIF(inventory!$R$2:$R$801,$R754)&gt;1),"two delivered rows for this office: use one; ","")&amp;IF(AND($E754="delivered",$J754=""),"who counted?; ",""))</f>
        <v/>
      </c>
      <c r="R754" s="25">
        <f>IF($C754="","",$C754&amp;"|"&amp;$D754&amp;"|"&amp;$E754)</f>
        <v/>
      </c>
    </row>
    <row r="755">
      <c r="A755" s="9" t="n"/>
      <c r="B755" s="33" t="n"/>
      <c r="I755" s="9" t="n"/>
      <c r="L755" s="26">
        <f>IF($C755="","",IFERROR(IF(INDEX(campaigns!$BG$2:$BG$51,MATCH($C755,campaigns!$A$2:$A$51,0))="","",INDEX(campaigns!$BG$2:$BG$51,MATCH($C755,campaigns!$A$2:$A$51,0))),""))</f>
        <v/>
      </c>
      <c r="M755" s="25">
        <f>IF($C755="","",IF(OR($E755="received"),N($G755),IF(OR($E755="rejected",$E755="delivered",$E755="topped_up"),-N($G755),IF(AND(OR($E755="returned_to_brand",$E755="given_to_roster_office",$E755="released_to_office",$E755="disposed"),IF($F755="","reserve",$F755)="reserve"),-N($G755),IF(AND($E755="correction",IF($F755="","reserve",$F755)="reserve"),N($G755),0)))))</f>
        <v/>
      </c>
      <c r="N755" s="25">
        <f>IF($C755="","",IF($E755="rejected",N($G755),IF(AND(OR($E755="returned_to_brand",$E755="given_to_roster_office",$E755="released_to_office",$E755="disposed"),IF($F755="","reserve",$F755)="rejected"),-N($G755),IF(AND($E755="correction",IF($F755="","reserve",$F755)="rejected"),N($G755),0))))</f>
        <v/>
      </c>
      <c r="O755" s="25">
        <f>IF($C755="","",IF($E755="collected",N($G755),IF(AND(OR($E755="returned_to_brand",$E755="given_to_roster_office",$E755="released_to_office",$E755="disposed"),IF($F755="","reserve",$F755)="leftover"),-N($G755),IF(AND($E755="correction",IF($F755="","reserve",$F755)="leftover"),N($G755),0))))</f>
        <v/>
      </c>
      <c r="P755" s="25">
        <f>IF(OR($E755&lt;&gt;"received",$I755="",$L755=""),"",IF($I755&gt;=$L755+config!$B$19,"Y","N"))</f>
        <v/>
      </c>
      <c r="Q755" s="25">
        <f>IF($C755="","",IF(COUNTIF(campaigns!$A$2:$A$51,$C755)=0,"campaign_id not on campaigns; ",IF(AND($D755&lt;&gt;"",COUNTIFS(approvals!$A$2:$A$251,$C755,approvals!$B$2:$B$251,$D755)=0),"office not on this campaign (approvals tab); ",""))&amp;IF(AND(OR($E755="delivered",$E755="topped_up",$E755="collected"),$D755=""),"office needed; ","")&amp;IF(AND($E755&lt;&gt;"correction",N($G755)&lt;=0),"qty must be above 0; ","")&amp;IF(AND($E755="received",OR($I755="",$H755="")),"log lot and best-by; ","")&amp;IF(AND($P755="N",SUMIFS(inventory!$G$2:$G$801,inventory!$C$2:$C$801,$C755,inventory!$H$2:$H$801,$H755,inventory!$E$2:$E$801,"rejected")&lt;N($G755)),"UNDER "&amp;config!$B$19&amp;" DAYS LEFT ON THE DROP DAY: reject these units; ","")&amp;IF(AND($E755="delivered",COUNTIF(inventory!$R$2:$R$801,$R755)&gt;1),"two delivered rows for this office: use one; ","")&amp;IF(AND($E755="delivered",$J755=""),"who counted?; ",""))</f>
        <v/>
      </c>
      <c r="R755" s="25">
        <f>IF($C755="","",$C755&amp;"|"&amp;$D755&amp;"|"&amp;$E755)</f>
        <v/>
      </c>
    </row>
    <row r="756">
      <c r="A756" s="9" t="n"/>
      <c r="B756" s="33" t="n"/>
      <c r="I756" s="9" t="n"/>
      <c r="L756" s="26">
        <f>IF($C756="","",IFERROR(IF(INDEX(campaigns!$BG$2:$BG$51,MATCH($C756,campaigns!$A$2:$A$51,0))="","",INDEX(campaigns!$BG$2:$BG$51,MATCH($C756,campaigns!$A$2:$A$51,0))),""))</f>
        <v/>
      </c>
      <c r="M756" s="25">
        <f>IF($C756="","",IF(OR($E756="received"),N($G756),IF(OR($E756="rejected",$E756="delivered",$E756="topped_up"),-N($G756),IF(AND(OR($E756="returned_to_brand",$E756="given_to_roster_office",$E756="released_to_office",$E756="disposed"),IF($F756="","reserve",$F756)="reserve"),-N($G756),IF(AND($E756="correction",IF($F756="","reserve",$F756)="reserve"),N($G756),0)))))</f>
        <v/>
      </c>
      <c r="N756" s="25">
        <f>IF($C756="","",IF($E756="rejected",N($G756),IF(AND(OR($E756="returned_to_brand",$E756="given_to_roster_office",$E756="released_to_office",$E756="disposed"),IF($F756="","reserve",$F756)="rejected"),-N($G756),IF(AND($E756="correction",IF($F756="","reserve",$F756)="rejected"),N($G756),0))))</f>
        <v/>
      </c>
      <c r="O756" s="25">
        <f>IF($C756="","",IF($E756="collected",N($G756),IF(AND(OR($E756="returned_to_brand",$E756="given_to_roster_office",$E756="released_to_office",$E756="disposed"),IF($F756="","reserve",$F756)="leftover"),-N($G756),IF(AND($E756="correction",IF($F756="","reserve",$F756)="leftover"),N($G756),0))))</f>
        <v/>
      </c>
      <c r="P756" s="25">
        <f>IF(OR($E756&lt;&gt;"received",$I756="",$L756=""),"",IF($I756&gt;=$L756+config!$B$19,"Y","N"))</f>
        <v/>
      </c>
      <c r="Q756" s="25">
        <f>IF($C756="","",IF(COUNTIF(campaigns!$A$2:$A$51,$C756)=0,"campaign_id not on campaigns; ",IF(AND($D756&lt;&gt;"",COUNTIFS(approvals!$A$2:$A$251,$C756,approvals!$B$2:$B$251,$D756)=0),"office not on this campaign (approvals tab); ",""))&amp;IF(AND(OR($E756="delivered",$E756="topped_up",$E756="collected"),$D756=""),"office needed; ","")&amp;IF(AND($E756&lt;&gt;"correction",N($G756)&lt;=0),"qty must be above 0; ","")&amp;IF(AND($E756="received",OR($I756="",$H756="")),"log lot and best-by; ","")&amp;IF(AND($P756="N",SUMIFS(inventory!$G$2:$G$801,inventory!$C$2:$C$801,$C756,inventory!$H$2:$H$801,$H756,inventory!$E$2:$E$801,"rejected")&lt;N($G756)),"UNDER "&amp;config!$B$19&amp;" DAYS LEFT ON THE DROP DAY: reject these units; ","")&amp;IF(AND($E756="delivered",COUNTIF(inventory!$R$2:$R$801,$R756)&gt;1),"two delivered rows for this office: use one; ","")&amp;IF(AND($E756="delivered",$J756=""),"who counted?; ",""))</f>
        <v/>
      </c>
      <c r="R756" s="25">
        <f>IF($C756="","",$C756&amp;"|"&amp;$D756&amp;"|"&amp;$E756)</f>
        <v/>
      </c>
    </row>
    <row r="757">
      <c r="A757" s="9" t="n"/>
      <c r="B757" s="33" t="n"/>
      <c r="I757" s="9" t="n"/>
      <c r="L757" s="26">
        <f>IF($C757="","",IFERROR(IF(INDEX(campaigns!$BG$2:$BG$51,MATCH($C757,campaigns!$A$2:$A$51,0))="","",INDEX(campaigns!$BG$2:$BG$51,MATCH($C757,campaigns!$A$2:$A$51,0))),""))</f>
        <v/>
      </c>
      <c r="M757" s="25">
        <f>IF($C757="","",IF(OR($E757="received"),N($G757),IF(OR($E757="rejected",$E757="delivered",$E757="topped_up"),-N($G757),IF(AND(OR($E757="returned_to_brand",$E757="given_to_roster_office",$E757="released_to_office",$E757="disposed"),IF($F757="","reserve",$F757)="reserve"),-N($G757),IF(AND($E757="correction",IF($F757="","reserve",$F757)="reserve"),N($G757),0)))))</f>
        <v/>
      </c>
      <c r="N757" s="25">
        <f>IF($C757="","",IF($E757="rejected",N($G757),IF(AND(OR($E757="returned_to_brand",$E757="given_to_roster_office",$E757="released_to_office",$E757="disposed"),IF($F757="","reserve",$F757)="rejected"),-N($G757),IF(AND($E757="correction",IF($F757="","reserve",$F757)="rejected"),N($G757),0))))</f>
        <v/>
      </c>
      <c r="O757" s="25">
        <f>IF($C757="","",IF($E757="collected",N($G757),IF(AND(OR($E757="returned_to_brand",$E757="given_to_roster_office",$E757="released_to_office",$E757="disposed"),IF($F757="","reserve",$F757)="leftover"),-N($G757),IF(AND($E757="correction",IF($F757="","reserve",$F757)="leftover"),N($G757),0))))</f>
        <v/>
      </c>
      <c r="P757" s="25">
        <f>IF(OR($E757&lt;&gt;"received",$I757="",$L757=""),"",IF($I757&gt;=$L757+config!$B$19,"Y","N"))</f>
        <v/>
      </c>
      <c r="Q757" s="25">
        <f>IF($C757="","",IF(COUNTIF(campaigns!$A$2:$A$51,$C757)=0,"campaign_id not on campaigns; ",IF(AND($D757&lt;&gt;"",COUNTIFS(approvals!$A$2:$A$251,$C757,approvals!$B$2:$B$251,$D757)=0),"office not on this campaign (approvals tab); ",""))&amp;IF(AND(OR($E757="delivered",$E757="topped_up",$E757="collected"),$D757=""),"office needed; ","")&amp;IF(AND($E757&lt;&gt;"correction",N($G757)&lt;=0),"qty must be above 0; ","")&amp;IF(AND($E757="received",OR($I757="",$H757="")),"log lot and best-by; ","")&amp;IF(AND($P757="N",SUMIFS(inventory!$G$2:$G$801,inventory!$C$2:$C$801,$C757,inventory!$H$2:$H$801,$H757,inventory!$E$2:$E$801,"rejected")&lt;N($G757)),"UNDER "&amp;config!$B$19&amp;" DAYS LEFT ON THE DROP DAY: reject these units; ","")&amp;IF(AND($E757="delivered",COUNTIF(inventory!$R$2:$R$801,$R757)&gt;1),"two delivered rows for this office: use one; ","")&amp;IF(AND($E757="delivered",$J757=""),"who counted?; ",""))</f>
        <v/>
      </c>
      <c r="R757" s="25">
        <f>IF($C757="","",$C757&amp;"|"&amp;$D757&amp;"|"&amp;$E757)</f>
        <v/>
      </c>
    </row>
    <row r="758">
      <c r="A758" s="9" t="n"/>
      <c r="B758" s="33" t="n"/>
      <c r="I758" s="9" t="n"/>
      <c r="L758" s="26">
        <f>IF($C758="","",IFERROR(IF(INDEX(campaigns!$BG$2:$BG$51,MATCH($C758,campaigns!$A$2:$A$51,0))="","",INDEX(campaigns!$BG$2:$BG$51,MATCH($C758,campaigns!$A$2:$A$51,0))),""))</f>
        <v/>
      </c>
      <c r="M758" s="25">
        <f>IF($C758="","",IF(OR($E758="received"),N($G758),IF(OR($E758="rejected",$E758="delivered",$E758="topped_up"),-N($G758),IF(AND(OR($E758="returned_to_brand",$E758="given_to_roster_office",$E758="released_to_office",$E758="disposed"),IF($F758="","reserve",$F758)="reserve"),-N($G758),IF(AND($E758="correction",IF($F758="","reserve",$F758)="reserve"),N($G758),0)))))</f>
        <v/>
      </c>
      <c r="N758" s="25">
        <f>IF($C758="","",IF($E758="rejected",N($G758),IF(AND(OR($E758="returned_to_brand",$E758="given_to_roster_office",$E758="released_to_office",$E758="disposed"),IF($F758="","reserve",$F758)="rejected"),-N($G758),IF(AND($E758="correction",IF($F758="","reserve",$F758)="rejected"),N($G758),0))))</f>
        <v/>
      </c>
      <c r="O758" s="25">
        <f>IF($C758="","",IF($E758="collected",N($G758),IF(AND(OR($E758="returned_to_brand",$E758="given_to_roster_office",$E758="released_to_office",$E758="disposed"),IF($F758="","reserve",$F758)="leftover"),-N($G758),IF(AND($E758="correction",IF($F758="","reserve",$F758)="leftover"),N($G758),0))))</f>
        <v/>
      </c>
      <c r="P758" s="25">
        <f>IF(OR($E758&lt;&gt;"received",$I758="",$L758=""),"",IF($I758&gt;=$L758+config!$B$19,"Y","N"))</f>
        <v/>
      </c>
      <c r="Q758" s="25">
        <f>IF($C758="","",IF(COUNTIF(campaigns!$A$2:$A$51,$C758)=0,"campaign_id not on campaigns; ",IF(AND($D758&lt;&gt;"",COUNTIFS(approvals!$A$2:$A$251,$C758,approvals!$B$2:$B$251,$D758)=0),"office not on this campaign (approvals tab); ",""))&amp;IF(AND(OR($E758="delivered",$E758="topped_up",$E758="collected"),$D758=""),"office needed; ","")&amp;IF(AND($E758&lt;&gt;"correction",N($G758)&lt;=0),"qty must be above 0; ","")&amp;IF(AND($E758="received",OR($I758="",$H758="")),"log lot and best-by; ","")&amp;IF(AND($P758="N",SUMIFS(inventory!$G$2:$G$801,inventory!$C$2:$C$801,$C758,inventory!$H$2:$H$801,$H758,inventory!$E$2:$E$801,"rejected")&lt;N($G758)),"UNDER "&amp;config!$B$19&amp;" DAYS LEFT ON THE DROP DAY: reject these units; ","")&amp;IF(AND($E758="delivered",COUNTIF(inventory!$R$2:$R$801,$R758)&gt;1),"two delivered rows for this office: use one; ","")&amp;IF(AND($E758="delivered",$J758=""),"who counted?; ",""))</f>
        <v/>
      </c>
      <c r="R758" s="25">
        <f>IF($C758="","",$C758&amp;"|"&amp;$D758&amp;"|"&amp;$E758)</f>
        <v/>
      </c>
    </row>
    <row r="759">
      <c r="A759" s="9" t="n"/>
      <c r="B759" s="33" t="n"/>
      <c r="I759" s="9" t="n"/>
      <c r="L759" s="26">
        <f>IF($C759="","",IFERROR(IF(INDEX(campaigns!$BG$2:$BG$51,MATCH($C759,campaigns!$A$2:$A$51,0))="","",INDEX(campaigns!$BG$2:$BG$51,MATCH($C759,campaigns!$A$2:$A$51,0))),""))</f>
        <v/>
      </c>
      <c r="M759" s="25">
        <f>IF($C759="","",IF(OR($E759="received"),N($G759),IF(OR($E759="rejected",$E759="delivered",$E759="topped_up"),-N($G759),IF(AND(OR($E759="returned_to_brand",$E759="given_to_roster_office",$E759="released_to_office",$E759="disposed"),IF($F759="","reserve",$F759)="reserve"),-N($G759),IF(AND($E759="correction",IF($F759="","reserve",$F759)="reserve"),N($G759),0)))))</f>
        <v/>
      </c>
      <c r="N759" s="25">
        <f>IF($C759="","",IF($E759="rejected",N($G759),IF(AND(OR($E759="returned_to_brand",$E759="given_to_roster_office",$E759="released_to_office",$E759="disposed"),IF($F759="","reserve",$F759)="rejected"),-N($G759),IF(AND($E759="correction",IF($F759="","reserve",$F759)="rejected"),N($G759),0))))</f>
        <v/>
      </c>
      <c r="O759" s="25">
        <f>IF($C759="","",IF($E759="collected",N($G759),IF(AND(OR($E759="returned_to_brand",$E759="given_to_roster_office",$E759="released_to_office",$E759="disposed"),IF($F759="","reserve",$F759)="leftover"),-N($G759),IF(AND($E759="correction",IF($F759="","reserve",$F759)="leftover"),N($G759),0))))</f>
        <v/>
      </c>
      <c r="P759" s="25">
        <f>IF(OR($E759&lt;&gt;"received",$I759="",$L759=""),"",IF($I759&gt;=$L759+config!$B$19,"Y","N"))</f>
        <v/>
      </c>
      <c r="Q759" s="25">
        <f>IF($C759="","",IF(COUNTIF(campaigns!$A$2:$A$51,$C759)=0,"campaign_id not on campaigns; ",IF(AND($D759&lt;&gt;"",COUNTIFS(approvals!$A$2:$A$251,$C759,approvals!$B$2:$B$251,$D759)=0),"office not on this campaign (approvals tab); ",""))&amp;IF(AND(OR($E759="delivered",$E759="topped_up",$E759="collected"),$D759=""),"office needed; ","")&amp;IF(AND($E759&lt;&gt;"correction",N($G759)&lt;=0),"qty must be above 0; ","")&amp;IF(AND($E759="received",OR($I759="",$H759="")),"log lot and best-by; ","")&amp;IF(AND($P759="N",SUMIFS(inventory!$G$2:$G$801,inventory!$C$2:$C$801,$C759,inventory!$H$2:$H$801,$H759,inventory!$E$2:$E$801,"rejected")&lt;N($G759)),"UNDER "&amp;config!$B$19&amp;" DAYS LEFT ON THE DROP DAY: reject these units; ","")&amp;IF(AND($E759="delivered",COUNTIF(inventory!$R$2:$R$801,$R759)&gt;1),"two delivered rows for this office: use one; ","")&amp;IF(AND($E759="delivered",$J759=""),"who counted?; ",""))</f>
        <v/>
      </c>
      <c r="R759" s="25">
        <f>IF($C759="","",$C759&amp;"|"&amp;$D759&amp;"|"&amp;$E759)</f>
        <v/>
      </c>
    </row>
    <row r="760">
      <c r="A760" s="9" t="n"/>
      <c r="B760" s="33" t="n"/>
      <c r="I760" s="9" t="n"/>
      <c r="L760" s="26">
        <f>IF($C760="","",IFERROR(IF(INDEX(campaigns!$BG$2:$BG$51,MATCH($C760,campaigns!$A$2:$A$51,0))="","",INDEX(campaigns!$BG$2:$BG$51,MATCH($C760,campaigns!$A$2:$A$51,0))),""))</f>
        <v/>
      </c>
      <c r="M760" s="25">
        <f>IF($C760="","",IF(OR($E760="received"),N($G760),IF(OR($E760="rejected",$E760="delivered",$E760="topped_up"),-N($G760),IF(AND(OR($E760="returned_to_brand",$E760="given_to_roster_office",$E760="released_to_office",$E760="disposed"),IF($F760="","reserve",$F760)="reserve"),-N($G760),IF(AND($E760="correction",IF($F760="","reserve",$F760)="reserve"),N($G760),0)))))</f>
        <v/>
      </c>
      <c r="N760" s="25">
        <f>IF($C760="","",IF($E760="rejected",N($G760),IF(AND(OR($E760="returned_to_brand",$E760="given_to_roster_office",$E760="released_to_office",$E760="disposed"),IF($F760="","reserve",$F760)="rejected"),-N($G760),IF(AND($E760="correction",IF($F760="","reserve",$F760)="rejected"),N($G760),0))))</f>
        <v/>
      </c>
      <c r="O760" s="25">
        <f>IF($C760="","",IF($E760="collected",N($G760),IF(AND(OR($E760="returned_to_brand",$E760="given_to_roster_office",$E760="released_to_office",$E760="disposed"),IF($F760="","reserve",$F760)="leftover"),-N($G760),IF(AND($E760="correction",IF($F760="","reserve",$F760)="leftover"),N($G760),0))))</f>
        <v/>
      </c>
      <c r="P760" s="25">
        <f>IF(OR($E760&lt;&gt;"received",$I760="",$L760=""),"",IF($I760&gt;=$L760+config!$B$19,"Y","N"))</f>
        <v/>
      </c>
      <c r="Q760" s="25">
        <f>IF($C760="","",IF(COUNTIF(campaigns!$A$2:$A$51,$C760)=0,"campaign_id not on campaigns; ",IF(AND($D760&lt;&gt;"",COUNTIFS(approvals!$A$2:$A$251,$C760,approvals!$B$2:$B$251,$D760)=0),"office not on this campaign (approvals tab); ",""))&amp;IF(AND(OR($E760="delivered",$E760="topped_up",$E760="collected"),$D760=""),"office needed; ","")&amp;IF(AND($E760&lt;&gt;"correction",N($G760)&lt;=0),"qty must be above 0; ","")&amp;IF(AND($E760="received",OR($I760="",$H760="")),"log lot and best-by; ","")&amp;IF(AND($P760="N",SUMIFS(inventory!$G$2:$G$801,inventory!$C$2:$C$801,$C760,inventory!$H$2:$H$801,$H760,inventory!$E$2:$E$801,"rejected")&lt;N($G760)),"UNDER "&amp;config!$B$19&amp;" DAYS LEFT ON THE DROP DAY: reject these units; ","")&amp;IF(AND($E760="delivered",COUNTIF(inventory!$R$2:$R$801,$R760)&gt;1),"two delivered rows for this office: use one; ","")&amp;IF(AND($E760="delivered",$J760=""),"who counted?; ",""))</f>
        <v/>
      </c>
      <c r="R760" s="25">
        <f>IF($C760="","",$C760&amp;"|"&amp;$D760&amp;"|"&amp;$E760)</f>
        <v/>
      </c>
    </row>
    <row r="761">
      <c r="A761" s="9" t="n"/>
      <c r="B761" s="33" t="n"/>
      <c r="I761" s="9" t="n"/>
      <c r="L761" s="26">
        <f>IF($C761="","",IFERROR(IF(INDEX(campaigns!$BG$2:$BG$51,MATCH($C761,campaigns!$A$2:$A$51,0))="","",INDEX(campaigns!$BG$2:$BG$51,MATCH($C761,campaigns!$A$2:$A$51,0))),""))</f>
        <v/>
      </c>
      <c r="M761" s="25">
        <f>IF($C761="","",IF(OR($E761="received"),N($G761),IF(OR($E761="rejected",$E761="delivered",$E761="topped_up"),-N($G761),IF(AND(OR($E761="returned_to_brand",$E761="given_to_roster_office",$E761="released_to_office",$E761="disposed"),IF($F761="","reserve",$F761)="reserve"),-N($G761),IF(AND($E761="correction",IF($F761="","reserve",$F761)="reserve"),N($G761),0)))))</f>
        <v/>
      </c>
      <c r="N761" s="25">
        <f>IF($C761="","",IF($E761="rejected",N($G761),IF(AND(OR($E761="returned_to_brand",$E761="given_to_roster_office",$E761="released_to_office",$E761="disposed"),IF($F761="","reserve",$F761)="rejected"),-N($G761),IF(AND($E761="correction",IF($F761="","reserve",$F761)="rejected"),N($G761),0))))</f>
        <v/>
      </c>
      <c r="O761" s="25">
        <f>IF($C761="","",IF($E761="collected",N($G761),IF(AND(OR($E761="returned_to_brand",$E761="given_to_roster_office",$E761="released_to_office",$E761="disposed"),IF($F761="","reserve",$F761)="leftover"),-N($G761),IF(AND($E761="correction",IF($F761="","reserve",$F761)="leftover"),N($G761),0))))</f>
        <v/>
      </c>
      <c r="P761" s="25">
        <f>IF(OR($E761&lt;&gt;"received",$I761="",$L761=""),"",IF($I761&gt;=$L761+config!$B$19,"Y","N"))</f>
        <v/>
      </c>
      <c r="Q761" s="25">
        <f>IF($C761="","",IF(COUNTIF(campaigns!$A$2:$A$51,$C761)=0,"campaign_id not on campaigns; ",IF(AND($D761&lt;&gt;"",COUNTIFS(approvals!$A$2:$A$251,$C761,approvals!$B$2:$B$251,$D761)=0),"office not on this campaign (approvals tab); ",""))&amp;IF(AND(OR($E761="delivered",$E761="topped_up",$E761="collected"),$D761=""),"office needed; ","")&amp;IF(AND($E761&lt;&gt;"correction",N($G761)&lt;=0),"qty must be above 0; ","")&amp;IF(AND($E761="received",OR($I761="",$H761="")),"log lot and best-by; ","")&amp;IF(AND($P761="N",SUMIFS(inventory!$G$2:$G$801,inventory!$C$2:$C$801,$C761,inventory!$H$2:$H$801,$H761,inventory!$E$2:$E$801,"rejected")&lt;N($G761)),"UNDER "&amp;config!$B$19&amp;" DAYS LEFT ON THE DROP DAY: reject these units; ","")&amp;IF(AND($E761="delivered",COUNTIF(inventory!$R$2:$R$801,$R761)&gt;1),"two delivered rows for this office: use one; ","")&amp;IF(AND($E761="delivered",$J761=""),"who counted?; ",""))</f>
        <v/>
      </c>
      <c r="R761" s="25">
        <f>IF($C761="","",$C761&amp;"|"&amp;$D761&amp;"|"&amp;$E761)</f>
        <v/>
      </c>
    </row>
    <row r="762">
      <c r="A762" s="9" t="n"/>
      <c r="B762" s="33" t="n"/>
      <c r="I762" s="9" t="n"/>
      <c r="L762" s="26">
        <f>IF($C762="","",IFERROR(IF(INDEX(campaigns!$BG$2:$BG$51,MATCH($C762,campaigns!$A$2:$A$51,0))="","",INDEX(campaigns!$BG$2:$BG$51,MATCH($C762,campaigns!$A$2:$A$51,0))),""))</f>
        <v/>
      </c>
      <c r="M762" s="25">
        <f>IF($C762="","",IF(OR($E762="received"),N($G762),IF(OR($E762="rejected",$E762="delivered",$E762="topped_up"),-N($G762),IF(AND(OR($E762="returned_to_brand",$E762="given_to_roster_office",$E762="released_to_office",$E762="disposed"),IF($F762="","reserve",$F762)="reserve"),-N($G762),IF(AND($E762="correction",IF($F762="","reserve",$F762)="reserve"),N($G762),0)))))</f>
        <v/>
      </c>
      <c r="N762" s="25">
        <f>IF($C762="","",IF($E762="rejected",N($G762),IF(AND(OR($E762="returned_to_brand",$E762="given_to_roster_office",$E762="released_to_office",$E762="disposed"),IF($F762="","reserve",$F762)="rejected"),-N($G762),IF(AND($E762="correction",IF($F762="","reserve",$F762)="rejected"),N($G762),0))))</f>
        <v/>
      </c>
      <c r="O762" s="25">
        <f>IF($C762="","",IF($E762="collected",N($G762),IF(AND(OR($E762="returned_to_brand",$E762="given_to_roster_office",$E762="released_to_office",$E762="disposed"),IF($F762="","reserve",$F762)="leftover"),-N($G762),IF(AND($E762="correction",IF($F762="","reserve",$F762)="leftover"),N($G762),0))))</f>
        <v/>
      </c>
      <c r="P762" s="25">
        <f>IF(OR($E762&lt;&gt;"received",$I762="",$L762=""),"",IF($I762&gt;=$L762+config!$B$19,"Y","N"))</f>
        <v/>
      </c>
      <c r="Q762" s="25">
        <f>IF($C762="","",IF(COUNTIF(campaigns!$A$2:$A$51,$C762)=0,"campaign_id not on campaigns; ",IF(AND($D762&lt;&gt;"",COUNTIFS(approvals!$A$2:$A$251,$C762,approvals!$B$2:$B$251,$D762)=0),"office not on this campaign (approvals tab); ",""))&amp;IF(AND(OR($E762="delivered",$E762="topped_up",$E762="collected"),$D762=""),"office needed; ","")&amp;IF(AND($E762&lt;&gt;"correction",N($G762)&lt;=0),"qty must be above 0; ","")&amp;IF(AND($E762="received",OR($I762="",$H762="")),"log lot and best-by; ","")&amp;IF(AND($P762="N",SUMIFS(inventory!$G$2:$G$801,inventory!$C$2:$C$801,$C762,inventory!$H$2:$H$801,$H762,inventory!$E$2:$E$801,"rejected")&lt;N($G762)),"UNDER "&amp;config!$B$19&amp;" DAYS LEFT ON THE DROP DAY: reject these units; ","")&amp;IF(AND($E762="delivered",COUNTIF(inventory!$R$2:$R$801,$R762)&gt;1),"two delivered rows for this office: use one; ","")&amp;IF(AND($E762="delivered",$J762=""),"who counted?; ",""))</f>
        <v/>
      </c>
      <c r="R762" s="25">
        <f>IF($C762="","",$C762&amp;"|"&amp;$D762&amp;"|"&amp;$E762)</f>
        <v/>
      </c>
    </row>
    <row r="763">
      <c r="A763" s="9" t="n"/>
      <c r="B763" s="33" t="n"/>
      <c r="I763" s="9" t="n"/>
      <c r="L763" s="26">
        <f>IF($C763="","",IFERROR(IF(INDEX(campaigns!$BG$2:$BG$51,MATCH($C763,campaigns!$A$2:$A$51,0))="","",INDEX(campaigns!$BG$2:$BG$51,MATCH($C763,campaigns!$A$2:$A$51,0))),""))</f>
        <v/>
      </c>
      <c r="M763" s="25">
        <f>IF($C763="","",IF(OR($E763="received"),N($G763),IF(OR($E763="rejected",$E763="delivered",$E763="topped_up"),-N($G763),IF(AND(OR($E763="returned_to_brand",$E763="given_to_roster_office",$E763="released_to_office",$E763="disposed"),IF($F763="","reserve",$F763)="reserve"),-N($G763),IF(AND($E763="correction",IF($F763="","reserve",$F763)="reserve"),N($G763),0)))))</f>
        <v/>
      </c>
      <c r="N763" s="25">
        <f>IF($C763="","",IF($E763="rejected",N($G763),IF(AND(OR($E763="returned_to_brand",$E763="given_to_roster_office",$E763="released_to_office",$E763="disposed"),IF($F763="","reserve",$F763)="rejected"),-N($G763),IF(AND($E763="correction",IF($F763="","reserve",$F763)="rejected"),N($G763),0))))</f>
        <v/>
      </c>
      <c r="O763" s="25">
        <f>IF($C763="","",IF($E763="collected",N($G763),IF(AND(OR($E763="returned_to_brand",$E763="given_to_roster_office",$E763="released_to_office",$E763="disposed"),IF($F763="","reserve",$F763)="leftover"),-N($G763),IF(AND($E763="correction",IF($F763="","reserve",$F763)="leftover"),N($G763),0))))</f>
        <v/>
      </c>
      <c r="P763" s="25">
        <f>IF(OR($E763&lt;&gt;"received",$I763="",$L763=""),"",IF($I763&gt;=$L763+config!$B$19,"Y","N"))</f>
        <v/>
      </c>
      <c r="Q763" s="25">
        <f>IF($C763="","",IF(COUNTIF(campaigns!$A$2:$A$51,$C763)=0,"campaign_id not on campaigns; ",IF(AND($D763&lt;&gt;"",COUNTIFS(approvals!$A$2:$A$251,$C763,approvals!$B$2:$B$251,$D763)=0),"office not on this campaign (approvals tab); ",""))&amp;IF(AND(OR($E763="delivered",$E763="topped_up",$E763="collected"),$D763=""),"office needed; ","")&amp;IF(AND($E763&lt;&gt;"correction",N($G763)&lt;=0),"qty must be above 0; ","")&amp;IF(AND($E763="received",OR($I763="",$H763="")),"log lot and best-by; ","")&amp;IF(AND($P763="N",SUMIFS(inventory!$G$2:$G$801,inventory!$C$2:$C$801,$C763,inventory!$H$2:$H$801,$H763,inventory!$E$2:$E$801,"rejected")&lt;N($G763)),"UNDER "&amp;config!$B$19&amp;" DAYS LEFT ON THE DROP DAY: reject these units; ","")&amp;IF(AND($E763="delivered",COUNTIF(inventory!$R$2:$R$801,$R763)&gt;1),"two delivered rows for this office: use one; ","")&amp;IF(AND($E763="delivered",$J763=""),"who counted?; ",""))</f>
        <v/>
      </c>
      <c r="R763" s="25">
        <f>IF($C763="","",$C763&amp;"|"&amp;$D763&amp;"|"&amp;$E763)</f>
        <v/>
      </c>
    </row>
    <row r="764">
      <c r="A764" s="9" t="n"/>
      <c r="B764" s="33" t="n"/>
      <c r="I764" s="9" t="n"/>
      <c r="L764" s="26">
        <f>IF($C764="","",IFERROR(IF(INDEX(campaigns!$BG$2:$BG$51,MATCH($C764,campaigns!$A$2:$A$51,0))="","",INDEX(campaigns!$BG$2:$BG$51,MATCH($C764,campaigns!$A$2:$A$51,0))),""))</f>
        <v/>
      </c>
      <c r="M764" s="25">
        <f>IF($C764="","",IF(OR($E764="received"),N($G764),IF(OR($E764="rejected",$E764="delivered",$E764="topped_up"),-N($G764),IF(AND(OR($E764="returned_to_brand",$E764="given_to_roster_office",$E764="released_to_office",$E764="disposed"),IF($F764="","reserve",$F764)="reserve"),-N($G764),IF(AND($E764="correction",IF($F764="","reserve",$F764)="reserve"),N($G764),0)))))</f>
        <v/>
      </c>
      <c r="N764" s="25">
        <f>IF($C764="","",IF($E764="rejected",N($G764),IF(AND(OR($E764="returned_to_brand",$E764="given_to_roster_office",$E764="released_to_office",$E764="disposed"),IF($F764="","reserve",$F764)="rejected"),-N($G764),IF(AND($E764="correction",IF($F764="","reserve",$F764)="rejected"),N($G764),0))))</f>
        <v/>
      </c>
      <c r="O764" s="25">
        <f>IF($C764="","",IF($E764="collected",N($G764),IF(AND(OR($E764="returned_to_brand",$E764="given_to_roster_office",$E764="released_to_office",$E764="disposed"),IF($F764="","reserve",$F764)="leftover"),-N($G764),IF(AND($E764="correction",IF($F764="","reserve",$F764)="leftover"),N($G764),0))))</f>
        <v/>
      </c>
      <c r="P764" s="25">
        <f>IF(OR($E764&lt;&gt;"received",$I764="",$L764=""),"",IF($I764&gt;=$L764+config!$B$19,"Y","N"))</f>
        <v/>
      </c>
      <c r="Q764" s="25">
        <f>IF($C764="","",IF(COUNTIF(campaigns!$A$2:$A$51,$C764)=0,"campaign_id not on campaigns; ",IF(AND($D764&lt;&gt;"",COUNTIFS(approvals!$A$2:$A$251,$C764,approvals!$B$2:$B$251,$D764)=0),"office not on this campaign (approvals tab); ",""))&amp;IF(AND(OR($E764="delivered",$E764="topped_up",$E764="collected"),$D764=""),"office needed; ","")&amp;IF(AND($E764&lt;&gt;"correction",N($G764)&lt;=0),"qty must be above 0; ","")&amp;IF(AND($E764="received",OR($I764="",$H764="")),"log lot and best-by; ","")&amp;IF(AND($P764="N",SUMIFS(inventory!$G$2:$G$801,inventory!$C$2:$C$801,$C764,inventory!$H$2:$H$801,$H764,inventory!$E$2:$E$801,"rejected")&lt;N($G764)),"UNDER "&amp;config!$B$19&amp;" DAYS LEFT ON THE DROP DAY: reject these units; ","")&amp;IF(AND($E764="delivered",COUNTIF(inventory!$R$2:$R$801,$R764)&gt;1),"two delivered rows for this office: use one; ","")&amp;IF(AND($E764="delivered",$J764=""),"who counted?; ",""))</f>
        <v/>
      </c>
      <c r="R764" s="25">
        <f>IF($C764="","",$C764&amp;"|"&amp;$D764&amp;"|"&amp;$E764)</f>
        <v/>
      </c>
    </row>
    <row r="765">
      <c r="A765" s="9" t="n"/>
      <c r="B765" s="33" t="n"/>
      <c r="I765" s="9" t="n"/>
      <c r="L765" s="26">
        <f>IF($C765="","",IFERROR(IF(INDEX(campaigns!$BG$2:$BG$51,MATCH($C765,campaigns!$A$2:$A$51,0))="","",INDEX(campaigns!$BG$2:$BG$51,MATCH($C765,campaigns!$A$2:$A$51,0))),""))</f>
        <v/>
      </c>
      <c r="M765" s="25">
        <f>IF($C765="","",IF(OR($E765="received"),N($G765),IF(OR($E765="rejected",$E765="delivered",$E765="topped_up"),-N($G765),IF(AND(OR($E765="returned_to_brand",$E765="given_to_roster_office",$E765="released_to_office",$E765="disposed"),IF($F765="","reserve",$F765)="reserve"),-N($G765),IF(AND($E765="correction",IF($F765="","reserve",$F765)="reserve"),N($G765),0)))))</f>
        <v/>
      </c>
      <c r="N765" s="25">
        <f>IF($C765="","",IF($E765="rejected",N($G765),IF(AND(OR($E765="returned_to_brand",$E765="given_to_roster_office",$E765="released_to_office",$E765="disposed"),IF($F765="","reserve",$F765)="rejected"),-N($G765),IF(AND($E765="correction",IF($F765="","reserve",$F765)="rejected"),N($G765),0))))</f>
        <v/>
      </c>
      <c r="O765" s="25">
        <f>IF($C765="","",IF($E765="collected",N($G765),IF(AND(OR($E765="returned_to_brand",$E765="given_to_roster_office",$E765="released_to_office",$E765="disposed"),IF($F765="","reserve",$F765)="leftover"),-N($G765),IF(AND($E765="correction",IF($F765="","reserve",$F765)="leftover"),N($G765),0))))</f>
        <v/>
      </c>
      <c r="P765" s="25">
        <f>IF(OR($E765&lt;&gt;"received",$I765="",$L765=""),"",IF($I765&gt;=$L765+config!$B$19,"Y","N"))</f>
        <v/>
      </c>
      <c r="Q765" s="25">
        <f>IF($C765="","",IF(COUNTIF(campaigns!$A$2:$A$51,$C765)=0,"campaign_id not on campaigns; ",IF(AND($D765&lt;&gt;"",COUNTIFS(approvals!$A$2:$A$251,$C765,approvals!$B$2:$B$251,$D765)=0),"office not on this campaign (approvals tab); ",""))&amp;IF(AND(OR($E765="delivered",$E765="topped_up",$E765="collected"),$D765=""),"office needed; ","")&amp;IF(AND($E765&lt;&gt;"correction",N($G765)&lt;=0),"qty must be above 0; ","")&amp;IF(AND($E765="received",OR($I765="",$H765="")),"log lot and best-by; ","")&amp;IF(AND($P765="N",SUMIFS(inventory!$G$2:$G$801,inventory!$C$2:$C$801,$C765,inventory!$H$2:$H$801,$H765,inventory!$E$2:$E$801,"rejected")&lt;N($G765)),"UNDER "&amp;config!$B$19&amp;" DAYS LEFT ON THE DROP DAY: reject these units; ","")&amp;IF(AND($E765="delivered",COUNTIF(inventory!$R$2:$R$801,$R765)&gt;1),"two delivered rows for this office: use one; ","")&amp;IF(AND($E765="delivered",$J765=""),"who counted?; ",""))</f>
        <v/>
      </c>
      <c r="R765" s="25">
        <f>IF($C765="","",$C765&amp;"|"&amp;$D765&amp;"|"&amp;$E765)</f>
        <v/>
      </c>
    </row>
    <row r="766">
      <c r="A766" s="9" t="n"/>
      <c r="B766" s="33" t="n"/>
      <c r="I766" s="9" t="n"/>
      <c r="L766" s="26">
        <f>IF($C766="","",IFERROR(IF(INDEX(campaigns!$BG$2:$BG$51,MATCH($C766,campaigns!$A$2:$A$51,0))="","",INDEX(campaigns!$BG$2:$BG$51,MATCH($C766,campaigns!$A$2:$A$51,0))),""))</f>
        <v/>
      </c>
      <c r="M766" s="25">
        <f>IF($C766="","",IF(OR($E766="received"),N($G766),IF(OR($E766="rejected",$E766="delivered",$E766="topped_up"),-N($G766),IF(AND(OR($E766="returned_to_brand",$E766="given_to_roster_office",$E766="released_to_office",$E766="disposed"),IF($F766="","reserve",$F766)="reserve"),-N($G766),IF(AND($E766="correction",IF($F766="","reserve",$F766)="reserve"),N($G766),0)))))</f>
        <v/>
      </c>
      <c r="N766" s="25">
        <f>IF($C766="","",IF($E766="rejected",N($G766),IF(AND(OR($E766="returned_to_brand",$E766="given_to_roster_office",$E766="released_to_office",$E766="disposed"),IF($F766="","reserve",$F766)="rejected"),-N($G766),IF(AND($E766="correction",IF($F766="","reserve",$F766)="rejected"),N($G766),0))))</f>
        <v/>
      </c>
      <c r="O766" s="25">
        <f>IF($C766="","",IF($E766="collected",N($G766),IF(AND(OR($E766="returned_to_brand",$E766="given_to_roster_office",$E766="released_to_office",$E766="disposed"),IF($F766="","reserve",$F766)="leftover"),-N($G766),IF(AND($E766="correction",IF($F766="","reserve",$F766)="leftover"),N($G766),0))))</f>
        <v/>
      </c>
      <c r="P766" s="25">
        <f>IF(OR($E766&lt;&gt;"received",$I766="",$L766=""),"",IF($I766&gt;=$L766+config!$B$19,"Y","N"))</f>
        <v/>
      </c>
      <c r="Q766" s="25">
        <f>IF($C766="","",IF(COUNTIF(campaigns!$A$2:$A$51,$C766)=0,"campaign_id not on campaigns; ",IF(AND($D766&lt;&gt;"",COUNTIFS(approvals!$A$2:$A$251,$C766,approvals!$B$2:$B$251,$D766)=0),"office not on this campaign (approvals tab); ",""))&amp;IF(AND(OR($E766="delivered",$E766="topped_up",$E766="collected"),$D766=""),"office needed; ","")&amp;IF(AND($E766&lt;&gt;"correction",N($G766)&lt;=0),"qty must be above 0; ","")&amp;IF(AND($E766="received",OR($I766="",$H766="")),"log lot and best-by; ","")&amp;IF(AND($P766="N",SUMIFS(inventory!$G$2:$G$801,inventory!$C$2:$C$801,$C766,inventory!$H$2:$H$801,$H766,inventory!$E$2:$E$801,"rejected")&lt;N($G766)),"UNDER "&amp;config!$B$19&amp;" DAYS LEFT ON THE DROP DAY: reject these units; ","")&amp;IF(AND($E766="delivered",COUNTIF(inventory!$R$2:$R$801,$R766)&gt;1),"two delivered rows for this office: use one; ","")&amp;IF(AND($E766="delivered",$J766=""),"who counted?; ",""))</f>
        <v/>
      </c>
      <c r="R766" s="25">
        <f>IF($C766="","",$C766&amp;"|"&amp;$D766&amp;"|"&amp;$E766)</f>
        <v/>
      </c>
    </row>
    <row r="767">
      <c r="A767" s="9" t="n"/>
      <c r="B767" s="33" t="n"/>
      <c r="I767" s="9" t="n"/>
      <c r="L767" s="26">
        <f>IF($C767="","",IFERROR(IF(INDEX(campaigns!$BG$2:$BG$51,MATCH($C767,campaigns!$A$2:$A$51,0))="","",INDEX(campaigns!$BG$2:$BG$51,MATCH($C767,campaigns!$A$2:$A$51,0))),""))</f>
        <v/>
      </c>
      <c r="M767" s="25">
        <f>IF($C767="","",IF(OR($E767="received"),N($G767),IF(OR($E767="rejected",$E767="delivered",$E767="topped_up"),-N($G767),IF(AND(OR($E767="returned_to_brand",$E767="given_to_roster_office",$E767="released_to_office",$E767="disposed"),IF($F767="","reserve",$F767)="reserve"),-N($G767),IF(AND($E767="correction",IF($F767="","reserve",$F767)="reserve"),N($G767),0)))))</f>
        <v/>
      </c>
      <c r="N767" s="25">
        <f>IF($C767="","",IF($E767="rejected",N($G767),IF(AND(OR($E767="returned_to_brand",$E767="given_to_roster_office",$E767="released_to_office",$E767="disposed"),IF($F767="","reserve",$F767)="rejected"),-N($G767),IF(AND($E767="correction",IF($F767="","reserve",$F767)="rejected"),N($G767),0))))</f>
        <v/>
      </c>
      <c r="O767" s="25">
        <f>IF($C767="","",IF($E767="collected",N($G767),IF(AND(OR($E767="returned_to_brand",$E767="given_to_roster_office",$E767="released_to_office",$E767="disposed"),IF($F767="","reserve",$F767)="leftover"),-N($G767),IF(AND($E767="correction",IF($F767="","reserve",$F767)="leftover"),N($G767),0))))</f>
        <v/>
      </c>
      <c r="P767" s="25">
        <f>IF(OR($E767&lt;&gt;"received",$I767="",$L767=""),"",IF($I767&gt;=$L767+config!$B$19,"Y","N"))</f>
        <v/>
      </c>
      <c r="Q767" s="25">
        <f>IF($C767="","",IF(COUNTIF(campaigns!$A$2:$A$51,$C767)=0,"campaign_id not on campaigns; ",IF(AND($D767&lt;&gt;"",COUNTIFS(approvals!$A$2:$A$251,$C767,approvals!$B$2:$B$251,$D767)=0),"office not on this campaign (approvals tab); ",""))&amp;IF(AND(OR($E767="delivered",$E767="topped_up",$E767="collected"),$D767=""),"office needed; ","")&amp;IF(AND($E767&lt;&gt;"correction",N($G767)&lt;=0),"qty must be above 0; ","")&amp;IF(AND($E767="received",OR($I767="",$H767="")),"log lot and best-by; ","")&amp;IF(AND($P767="N",SUMIFS(inventory!$G$2:$G$801,inventory!$C$2:$C$801,$C767,inventory!$H$2:$H$801,$H767,inventory!$E$2:$E$801,"rejected")&lt;N($G767)),"UNDER "&amp;config!$B$19&amp;" DAYS LEFT ON THE DROP DAY: reject these units; ","")&amp;IF(AND($E767="delivered",COUNTIF(inventory!$R$2:$R$801,$R767)&gt;1),"two delivered rows for this office: use one; ","")&amp;IF(AND($E767="delivered",$J767=""),"who counted?; ",""))</f>
        <v/>
      </c>
      <c r="R767" s="25">
        <f>IF($C767="","",$C767&amp;"|"&amp;$D767&amp;"|"&amp;$E767)</f>
        <v/>
      </c>
    </row>
    <row r="768">
      <c r="A768" s="9" t="n"/>
      <c r="B768" s="33" t="n"/>
      <c r="I768" s="9" t="n"/>
      <c r="L768" s="26">
        <f>IF($C768="","",IFERROR(IF(INDEX(campaigns!$BG$2:$BG$51,MATCH($C768,campaigns!$A$2:$A$51,0))="","",INDEX(campaigns!$BG$2:$BG$51,MATCH($C768,campaigns!$A$2:$A$51,0))),""))</f>
        <v/>
      </c>
      <c r="M768" s="25">
        <f>IF($C768="","",IF(OR($E768="received"),N($G768),IF(OR($E768="rejected",$E768="delivered",$E768="topped_up"),-N($G768),IF(AND(OR($E768="returned_to_brand",$E768="given_to_roster_office",$E768="released_to_office",$E768="disposed"),IF($F768="","reserve",$F768)="reserve"),-N($G768),IF(AND($E768="correction",IF($F768="","reserve",$F768)="reserve"),N($G768),0)))))</f>
        <v/>
      </c>
      <c r="N768" s="25">
        <f>IF($C768="","",IF($E768="rejected",N($G768),IF(AND(OR($E768="returned_to_brand",$E768="given_to_roster_office",$E768="released_to_office",$E768="disposed"),IF($F768="","reserve",$F768)="rejected"),-N($G768),IF(AND($E768="correction",IF($F768="","reserve",$F768)="rejected"),N($G768),0))))</f>
        <v/>
      </c>
      <c r="O768" s="25">
        <f>IF($C768="","",IF($E768="collected",N($G768),IF(AND(OR($E768="returned_to_brand",$E768="given_to_roster_office",$E768="released_to_office",$E768="disposed"),IF($F768="","reserve",$F768)="leftover"),-N($G768),IF(AND($E768="correction",IF($F768="","reserve",$F768)="leftover"),N($G768),0))))</f>
        <v/>
      </c>
      <c r="P768" s="25">
        <f>IF(OR($E768&lt;&gt;"received",$I768="",$L768=""),"",IF($I768&gt;=$L768+config!$B$19,"Y","N"))</f>
        <v/>
      </c>
      <c r="Q768" s="25">
        <f>IF($C768="","",IF(COUNTIF(campaigns!$A$2:$A$51,$C768)=0,"campaign_id not on campaigns; ",IF(AND($D768&lt;&gt;"",COUNTIFS(approvals!$A$2:$A$251,$C768,approvals!$B$2:$B$251,$D768)=0),"office not on this campaign (approvals tab); ",""))&amp;IF(AND(OR($E768="delivered",$E768="topped_up",$E768="collected"),$D768=""),"office needed; ","")&amp;IF(AND($E768&lt;&gt;"correction",N($G768)&lt;=0),"qty must be above 0; ","")&amp;IF(AND($E768="received",OR($I768="",$H768="")),"log lot and best-by; ","")&amp;IF(AND($P768="N",SUMIFS(inventory!$G$2:$G$801,inventory!$C$2:$C$801,$C768,inventory!$H$2:$H$801,$H768,inventory!$E$2:$E$801,"rejected")&lt;N($G768)),"UNDER "&amp;config!$B$19&amp;" DAYS LEFT ON THE DROP DAY: reject these units; ","")&amp;IF(AND($E768="delivered",COUNTIF(inventory!$R$2:$R$801,$R768)&gt;1),"two delivered rows for this office: use one; ","")&amp;IF(AND($E768="delivered",$J768=""),"who counted?; ",""))</f>
        <v/>
      </c>
      <c r="R768" s="25">
        <f>IF($C768="","",$C768&amp;"|"&amp;$D768&amp;"|"&amp;$E768)</f>
        <v/>
      </c>
    </row>
    <row r="769">
      <c r="A769" s="9" t="n"/>
      <c r="B769" s="33" t="n"/>
      <c r="I769" s="9" t="n"/>
      <c r="L769" s="26">
        <f>IF($C769="","",IFERROR(IF(INDEX(campaigns!$BG$2:$BG$51,MATCH($C769,campaigns!$A$2:$A$51,0))="","",INDEX(campaigns!$BG$2:$BG$51,MATCH($C769,campaigns!$A$2:$A$51,0))),""))</f>
        <v/>
      </c>
      <c r="M769" s="25">
        <f>IF($C769="","",IF(OR($E769="received"),N($G769),IF(OR($E769="rejected",$E769="delivered",$E769="topped_up"),-N($G769),IF(AND(OR($E769="returned_to_brand",$E769="given_to_roster_office",$E769="released_to_office",$E769="disposed"),IF($F769="","reserve",$F769)="reserve"),-N($G769),IF(AND($E769="correction",IF($F769="","reserve",$F769)="reserve"),N($G769),0)))))</f>
        <v/>
      </c>
      <c r="N769" s="25">
        <f>IF($C769="","",IF($E769="rejected",N($G769),IF(AND(OR($E769="returned_to_brand",$E769="given_to_roster_office",$E769="released_to_office",$E769="disposed"),IF($F769="","reserve",$F769)="rejected"),-N($G769),IF(AND($E769="correction",IF($F769="","reserve",$F769)="rejected"),N($G769),0))))</f>
        <v/>
      </c>
      <c r="O769" s="25">
        <f>IF($C769="","",IF($E769="collected",N($G769),IF(AND(OR($E769="returned_to_brand",$E769="given_to_roster_office",$E769="released_to_office",$E769="disposed"),IF($F769="","reserve",$F769)="leftover"),-N($G769),IF(AND($E769="correction",IF($F769="","reserve",$F769)="leftover"),N($G769),0))))</f>
        <v/>
      </c>
      <c r="P769" s="25">
        <f>IF(OR($E769&lt;&gt;"received",$I769="",$L769=""),"",IF($I769&gt;=$L769+config!$B$19,"Y","N"))</f>
        <v/>
      </c>
      <c r="Q769" s="25">
        <f>IF($C769="","",IF(COUNTIF(campaigns!$A$2:$A$51,$C769)=0,"campaign_id not on campaigns; ",IF(AND($D769&lt;&gt;"",COUNTIFS(approvals!$A$2:$A$251,$C769,approvals!$B$2:$B$251,$D769)=0),"office not on this campaign (approvals tab); ",""))&amp;IF(AND(OR($E769="delivered",$E769="topped_up",$E769="collected"),$D769=""),"office needed; ","")&amp;IF(AND($E769&lt;&gt;"correction",N($G769)&lt;=0),"qty must be above 0; ","")&amp;IF(AND($E769="received",OR($I769="",$H769="")),"log lot and best-by; ","")&amp;IF(AND($P769="N",SUMIFS(inventory!$G$2:$G$801,inventory!$C$2:$C$801,$C769,inventory!$H$2:$H$801,$H769,inventory!$E$2:$E$801,"rejected")&lt;N($G769)),"UNDER "&amp;config!$B$19&amp;" DAYS LEFT ON THE DROP DAY: reject these units; ","")&amp;IF(AND($E769="delivered",COUNTIF(inventory!$R$2:$R$801,$R769)&gt;1),"two delivered rows for this office: use one; ","")&amp;IF(AND($E769="delivered",$J769=""),"who counted?; ",""))</f>
        <v/>
      </c>
      <c r="R769" s="25">
        <f>IF($C769="","",$C769&amp;"|"&amp;$D769&amp;"|"&amp;$E769)</f>
        <v/>
      </c>
    </row>
    <row r="770">
      <c r="A770" s="9" t="n"/>
      <c r="B770" s="33" t="n"/>
      <c r="I770" s="9" t="n"/>
      <c r="L770" s="26">
        <f>IF($C770="","",IFERROR(IF(INDEX(campaigns!$BG$2:$BG$51,MATCH($C770,campaigns!$A$2:$A$51,0))="","",INDEX(campaigns!$BG$2:$BG$51,MATCH($C770,campaigns!$A$2:$A$51,0))),""))</f>
        <v/>
      </c>
      <c r="M770" s="25">
        <f>IF($C770="","",IF(OR($E770="received"),N($G770),IF(OR($E770="rejected",$E770="delivered",$E770="topped_up"),-N($G770),IF(AND(OR($E770="returned_to_brand",$E770="given_to_roster_office",$E770="released_to_office",$E770="disposed"),IF($F770="","reserve",$F770)="reserve"),-N($G770),IF(AND($E770="correction",IF($F770="","reserve",$F770)="reserve"),N($G770),0)))))</f>
        <v/>
      </c>
      <c r="N770" s="25">
        <f>IF($C770="","",IF($E770="rejected",N($G770),IF(AND(OR($E770="returned_to_brand",$E770="given_to_roster_office",$E770="released_to_office",$E770="disposed"),IF($F770="","reserve",$F770)="rejected"),-N($G770),IF(AND($E770="correction",IF($F770="","reserve",$F770)="rejected"),N($G770),0))))</f>
        <v/>
      </c>
      <c r="O770" s="25">
        <f>IF($C770="","",IF($E770="collected",N($G770),IF(AND(OR($E770="returned_to_brand",$E770="given_to_roster_office",$E770="released_to_office",$E770="disposed"),IF($F770="","reserve",$F770)="leftover"),-N($G770),IF(AND($E770="correction",IF($F770="","reserve",$F770)="leftover"),N($G770),0))))</f>
        <v/>
      </c>
      <c r="P770" s="25">
        <f>IF(OR($E770&lt;&gt;"received",$I770="",$L770=""),"",IF($I770&gt;=$L770+config!$B$19,"Y","N"))</f>
        <v/>
      </c>
      <c r="Q770" s="25">
        <f>IF($C770="","",IF(COUNTIF(campaigns!$A$2:$A$51,$C770)=0,"campaign_id not on campaigns; ",IF(AND($D770&lt;&gt;"",COUNTIFS(approvals!$A$2:$A$251,$C770,approvals!$B$2:$B$251,$D770)=0),"office not on this campaign (approvals tab); ",""))&amp;IF(AND(OR($E770="delivered",$E770="topped_up",$E770="collected"),$D770=""),"office needed; ","")&amp;IF(AND($E770&lt;&gt;"correction",N($G770)&lt;=0),"qty must be above 0; ","")&amp;IF(AND($E770="received",OR($I770="",$H770="")),"log lot and best-by; ","")&amp;IF(AND($P770="N",SUMIFS(inventory!$G$2:$G$801,inventory!$C$2:$C$801,$C770,inventory!$H$2:$H$801,$H770,inventory!$E$2:$E$801,"rejected")&lt;N($G770)),"UNDER "&amp;config!$B$19&amp;" DAYS LEFT ON THE DROP DAY: reject these units; ","")&amp;IF(AND($E770="delivered",COUNTIF(inventory!$R$2:$R$801,$R770)&gt;1),"two delivered rows for this office: use one; ","")&amp;IF(AND($E770="delivered",$J770=""),"who counted?; ",""))</f>
        <v/>
      </c>
      <c r="R770" s="25">
        <f>IF($C770="","",$C770&amp;"|"&amp;$D770&amp;"|"&amp;$E770)</f>
        <v/>
      </c>
    </row>
    <row r="771">
      <c r="A771" s="9" t="n"/>
      <c r="B771" s="33" t="n"/>
      <c r="I771" s="9" t="n"/>
      <c r="L771" s="26">
        <f>IF($C771="","",IFERROR(IF(INDEX(campaigns!$BG$2:$BG$51,MATCH($C771,campaigns!$A$2:$A$51,0))="","",INDEX(campaigns!$BG$2:$BG$51,MATCH($C771,campaigns!$A$2:$A$51,0))),""))</f>
        <v/>
      </c>
      <c r="M771" s="25">
        <f>IF($C771="","",IF(OR($E771="received"),N($G771),IF(OR($E771="rejected",$E771="delivered",$E771="topped_up"),-N($G771),IF(AND(OR($E771="returned_to_brand",$E771="given_to_roster_office",$E771="released_to_office",$E771="disposed"),IF($F771="","reserve",$F771)="reserve"),-N($G771),IF(AND($E771="correction",IF($F771="","reserve",$F771)="reserve"),N($G771),0)))))</f>
        <v/>
      </c>
      <c r="N771" s="25">
        <f>IF($C771="","",IF($E771="rejected",N($G771),IF(AND(OR($E771="returned_to_brand",$E771="given_to_roster_office",$E771="released_to_office",$E771="disposed"),IF($F771="","reserve",$F771)="rejected"),-N($G771),IF(AND($E771="correction",IF($F771="","reserve",$F771)="rejected"),N($G771),0))))</f>
        <v/>
      </c>
      <c r="O771" s="25">
        <f>IF($C771="","",IF($E771="collected",N($G771),IF(AND(OR($E771="returned_to_brand",$E771="given_to_roster_office",$E771="released_to_office",$E771="disposed"),IF($F771="","reserve",$F771)="leftover"),-N($G771),IF(AND($E771="correction",IF($F771="","reserve",$F771)="leftover"),N($G771),0))))</f>
        <v/>
      </c>
      <c r="P771" s="25">
        <f>IF(OR($E771&lt;&gt;"received",$I771="",$L771=""),"",IF($I771&gt;=$L771+config!$B$19,"Y","N"))</f>
        <v/>
      </c>
      <c r="Q771" s="25">
        <f>IF($C771="","",IF(COUNTIF(campaigns!$A$2:$A$51,$C771)=0,"campaign_id not on campaigns; ",IF(AND($D771&lt;&gt;"",COUNTIFS(approvals!$A$2:$A$251,$C771,approvals!$B$2:$B$251,$D771)=0),"office not on this campaign (approvals tab); ",""))&amp;IF(AND(OR($E771="delivered",$E771="topped_up",$E771="collected"),$D771=""),"office needed; ","")&amp;IF(AND($E771&lt;&gt;"correction",N($G771)&lt;=0),"qty must be above 0; ","")&amp;IF(AND($E771="received",OR($I771="",$H771="")),"log lot and best-by; ","")&amp;IF(AND($P771="N",SUMIFS(inventory!$G$2:$G$801,inventory!$C$2:$C$801,$C771,inventory!$H$2:$H$801,$H771,inventory!$E$2:$E$801,"rejected")&lt;N($G771)),"UNDER "&amp;config!$B$19&amp;" DAYS LEFT ON THE DROP DAY: reject these units; ","")&amp;IF(AND($E771="delivered",COUNTIF(inventory!$R$2:$R$801,$R771)&gt;1),"two delivered rows for this office: use one; ","")&amp;IF(AND($E771="delivered",$J771=""),"who counted?; ",""))</f>
        <v/>
      </c>
      <c r="R771" s="25">
        <f>IF($C771="","",$C771&amp;"|"&amp;$D771&amp;"|"&amp;$E771)</f>
        <v/>
      </c>
    </row>
    <row r="772">
      <c r="A772" s="9" t="n"/>
      <c r="B772" s="33" t="n"/>
      <c r="I772" s="9" t="n"/>
      <c r="L772" s="26">
        <f>IF($C772="","",IFERROR(IF(INDEX(campaigns!$BG$2:$BG$51,MATCH($C772,campaigns!$A$2:$A$51,0))="","",INDEX(campaigns!$BG$2:$BG$51,MATCH($C772,campaigns!$A$2:$A$51,0))),""))</f>
        <v/>
      </c>
      <c r="M772" s="25">
        <f>IF($C772="","",IF(OR($E772="received"),N($G772),IF(OR($E772="rejected",$E772="delivered",$E772="topped_up"),-N($G772),IF(AND(OR($E772="returned_to_brand",$E772="given_to_roster_office",$E772="released_to_office",$E772="disposed"),IF($F772="","reserve",$F772)="reserve"),-N($G772),IF(AND($E772="correction",IF($F772="","reserve",$F772)="reserve"),N($G772),0)))))</f>
        <v/>
      </c>
      <c r="N772" s="25">
        <f>IF($C772="","",IF($E772="rejected",N($G772),IF(AND(OR($E772="returned_to_brand",$E772="given_to_roster_office",$E772="released_to_office",$E772="disposed"),IF($F772="","reserve",$F772)="rejected"),-N($G772),IF(AND($E772="correction",IF($F772="","reserve",$F772)="rejected"),N($G772),0))))</f>
        <v/>
      </c>
      <c r="O772" s="25">
        <f>IF($C772="","",IF($E772="collected",N($G772),IF(AND(OR($E772="returned_to_brand",$E772="given_to_roster_office",$E772="released_to_office",$E772="disposed"),IF($F772="","reserve",$F772)="leftover"),-N($G772),IF(AND($E772="correction",IF($F772="","reserve",$F772)="leftover"),N($G772),0))))</f>
        <v/>
      </c>
      <c r="P772" s="25">
        <f>IF(OR($E772&lt;&gt;"received",$I772="",$L772=""),"",IF($I772&gt;=$L772+config!$B$19,"Y","N"))</f>
        <v/>
      </c>
      <c r="Q772" s="25">
        <f>IF($C772="","",IF(COUNTIF(campaigns!$A$2:$A$51,$C772)=0,"campaign_id not on campaigns; ",IF(AND($D772&lt;&gt;"",COUNTIFS(approvals!$A$2:$A$251,$C772,approvals!$B$2:$B$251,$D772)=0),"office not on this campaign (approvals tab); ",""))&amp;IF(AND(OR($E772="delivered",$E772="topped_up",$E772="collected"),$D772=""),"office needed; ","")&amp;IF(AND($E772&lt;&gt;"correction",N($G772)&lt;=0),"qty must be above 0; ","")&amp;IF(AND($E772="received",OR($I772="",$H772="")),"log lot and best-by; ","")&amp;IF(AND($P772="N",SUMIFS(inventory!$G$2:$G$801,inventory!$C$2:$C$801,$C772,inventory!$H$2:$H$801,$H772,inventory!$E$2:$E$801,"rejected")&lt;N($G772)),"UNDER "&amp;config!$B$19&amp;" DAYS LEFT ON THE DROP DAY: reject these units; ","")&amp;IF(AND($E772="delivered",COUNTIF(inventory!$R$2:$R$801,$R772)&gt;1),"two delivered rows for this office: use one; ","")&amp;IF(AND($E772="delivered",$J772=""),"who counted?; ",""))</f>
        <v/>
      </c>
      <c r="R772" s="25">
        <f>IF($C772="","",$C772&amp;"|"&amp;$D772&amp;"|"&amp;$E772)</f>
        <v/>
      </c>
    </row>
    <row r="773">
      <c r="A773" s="9" t="n"/>
      <c r="B773" s="33" t="n"/>
      <c r="I773" s="9" t="n"/>
      <c r="L773" s="26">
        <f>IF($C773="","",IFERROR(IF(INDEX(campaigns!$BG$2:$BG$51,MATCH($C773,campaigns!$A$2:$A$51,0))="","",INDEX(campaigns!$BG$2:$BG$51,MATCH($C773,campaigns!$A$2:$A$51,0))),""))</f>
        <v/>
      </c>
      <c r="M773" s="25">
        <f>IF($C773="","",IF(OR($E773="received"),N($G773),IF(OR($E773="rejected",$E773="delivered",$E773="topped_up"),-N($G773),IF(AND(OR($E773="returned_to_brand",$E773="given_to_roster_office",$E773="released_to_office",$E773="disposed"),IF($F773="","reserve",$F773)="reserve"),-N($G773),IF(AND($E773="correction",IF($F773="","reserve",$F773)="reserve"),N($G773),0)))))</f>
        <v/>
      </c>
      <c r="N773" s="25">
        <f>IF($C773="","",IF($E773="rejected",N($G773),IF(AND(OR($E773="returned_to_brand",$E773="given_to_roster_office",$E773="released_to_office",$E773="disposed"),IF($F773="","reserve",$F773)="rejected"),-N($G773),IF(AND($E773="correction",IF($F773="","reserve",$F773)="rejected"),N($G773),0))))</f>
        <v/>
      </c>
      <c r="O773" s="25">
        <f>IF($C773="","",IF($E773="collected",N($G773),IF(AND(OR($E773="returned_to_brand",$E773="given_to_roster_office",$E773="released_to_office",$E773="disposed"),IF($F773="","reserve",$F773)="leftover"),-N($G773),IF(AND($E773="correction",IF($F773="","reserve",$F773)="leftover"),N($G773),0))))</f>
        <v/>
      </c>
      <c r="P773" s="25">
        <f>IF(OR($E773&lt;&gt;"received",$I773="",$L773=""),"",IF($I773&gt;=$L773+config!$B$19,"Y","N"))</f>
        <v/>
      </c>
      <c r="Q773" s="25">
        <f>IF($C773="","",IF(COUNTIF(campaigns!$A$2:$A$51,$C773)=0,"campaign_id not on campaigns; ",IF(AND($D773&lt;&gt;"",COUNTIFS(approvals!$A$2:$A$251,$C773,approvals!$B$2:$B$251,$D773)=0),"office not on this campaign (approvals tab); ",""))&amp;IF(AND(OR($E773="delivered",$E773="topped_up",$E773="collected"),$D773=""),"office needed; ","")&amp;IF(AND($E773&lt;&gt;"correction",N($G773)&lt;=0),"qty must be above 0; ","")&amp;IF(AND($E773="received",OR($I773="",$H773="")),"log lot and best-by; ","")&amp;IF(AND($P773="N",SUMIFS(inventory!$G$2:$G$801,inventory!$C$2:$C$801,$C773,inventory!$H$2:$H$801,$H773,inventory!$E$2:$E$801,"rejected")&lt;N($G773)),"UNDER "&amp;config!$B$19&amp;" DAYS LEFT ON THE DROP DAY: reject these units; ","")&amp;IF(AND($E773="delivered",COUNTIF(inventory!$R$2:$R$801,$R773)&gt;1),"two delivered rows for this office: use one; ","")&amp;IF(AND($E773="delivered",$J773=""),"who counted?; ",""))</f>
        <v/>
      </c>
      <c r="R773" s="25">
        <f>IF($C773="","",$C773&amp;"|"&amp;$D773&amp;"|"&amp;$E773)</f>
        <v/>
      </c>
    </row>
    <row r="774">
      <c r="A774" s="9" t="n"/>
      <c r="B774" s="33" t="n"/>
      <c r="I774" s="9" t="n"/>
      <c r="L774" s="26">
        <f>IF($C774="","",IFERROR(IF(INDEX(campaigns!$BG$2:$BG$51,MATCH($C774,campaigns!$A$2:$A$51,0))="","",INDEX(campaigns!$BG$2:$BG$51,MATCH($C774,campaigns!$A$2:$A$51,0))),""))</f>
        <v/>
      </c>
      <c r="M774" s="25">
        <f>IF($C774="","",IF(OR($E774="received"),N($G774),IF(OR($E774="rejected",$E774="delivered",$E774="topped_up"),-N($G774),IF(AND(OR($E774="returned_to_brand",$E774="given_to_roster_office",$E774="released_to_office",$E774="disposed"),IF($F774="","reserve",$F774)="reserve"),-N($G774),IF(AND($E774="correction",IF($F774="","reserve",$F774)="reserve"),N($G774),0)))))</f>
        <v/>
      </c>
      <c r="N774" s="25">
        <f>IF($C774="","",IF($E774="rejected",N($G774),IF(AND(OR($E774="returned_to_brand",$E774="given_to_roster_office",$E774="released_to_office",$E774="disposed"),IF($F774="","reserve",$F774)="rejected"),-N($G774),IF(AND($E774="correction",IF($F774="","reserve",$F774)="rejected"),N($G774),0))))</f>
        <v/>
      </c>
      <c r="O774" s="25">
        <f>IF($C774="","",IF($E774="collected",N($G774),IF(AND(OR($E774="returned_to_brand",$E774="given_to_roster_office",$E774="released_to_office",$E774="disposed"),IF($F774="","reserve",$F774)="leftover"),-N($G774),IF(AND($E774="correction",IF($F774="","reserve",$F774)="leftover"),N($G774),0))))</f>
        <v/>
      </c>
      <c r="P774" s="25">
        <f>IF(OR($E774&lt;&gt;"received",$I774="",$L774=""),"",IF($I774&gt;=$L774+config!$B$19,"Y","N"))</f>
        <v/>
      </c>
      <c r="Q774" s="25">
        <f>IF($C774="","",IF(COUNTIF(campaigns!$A$2:$A$51,$C774)=0,"campaign_id not on campaigns; ",IF(AND($D774&lt;&gt;"",COUNTIFS(approvals!$A$2:$A$251,$C774,approvals!$B$2:$B$251,$D774)=0),"office not on this campaign (approvals tab); ",""))&amp;IF(AND(OR($E774="delivered",$E774="topped_up",$E774="collected"),$D774=""),"office needed; ","")&amp;IF(AND($E774&lt;&gt;"correction",N($G774)&lt;=0),"qty must be above 0; ","")&amp;IF(AND($E774="received",OR($I774="",$H774="")),"log lot and best-by; ","")&amp;IF(AND($P774="N",SUMIFS(inventory!$G$2:$G$801,inventory!$C$2:$C$801,$C774,inventory!$H$2:$H$801,$H774,inventory!$E$2:$E$801,"rejected")&lt;N($G774)),"UNDER "&amp;config!$B$19&amp;" DAYS LEFT ON THE DROP DAY: reject these units; ","")&amp;IF(AND($E774="delivered",COUNTIF(inventory!$R$2:$R$801,$R774)&gt;1),"two delivered rows for this office: use one; ","")&amp;IF(AND($E774="delivered",$J774=""),"who counted?; ",""))</f>
        <v/>
      </c>
      <c r="R774" s="25">
        <f>IF($C774="","",$C774&amp;"|"&amp;$D774&amp;"|"&amp;$E774)</f>
        <v/>
      </c>
    </row>
    <row r="775">
      <c r="A775" s="9" t="n"/>
      <c r="B775" s="33" t="n"/>
      <c r="I775" s="9" t="n"/>
      <c r="L775" s="26">
        <f>IF($C775="","",IFERROR(IF(INDEX(campaigns!$BG$2:$BG$51,MATCH($C775,campaigns!$A$2:$A$51,0))="","",INDEX(campaigns!$BG$2:$BG$51,MATCH($C775,campaigns!$A$2:$A$51,0))),""))</f>
        <v/>
      </c>
      <c r="M775" s="25">
        <f>IF($C775="","",IF(OR($E775="received"),N($G775),IF(OR($E775="rejected",$E775="delivered",$E775="topped_up"),-N($G775),IF(AND(OR($E775="returned_to_brand",$E775="given_to_roster_office",$E775="released_to_office",$E775="disposed"),IF($F775="","reserve",$F775)="reserve"),-N($G775),IF(AND($E775="correction",IF($F775="","reserve",$F775)="reserve"),N($G775),0)))))</f>
        <v/>
      </c>
      <c r="N775" s="25">
        <f>IF($C775="","",IF($E775="rejected",N($G775),IF(AND(OR($E775="returned_to_brand",$E775="given_to_roster_office",$E775="released_to_office",$E775="disposed"),IF($F775="","reserve",$F775)="rejected"),-N($G775),IF(AND($E775="correction",IF($F775="","reserve",$F775)="rejected"),N($G775),0))))</f>
        <v/>
      </c>
      <c r="O775" s="25">
        <f>IF($C775="","",IF($E775="collected",N($G775),IF(AND(OR($E775="returned_to_brand",$E775="given_to_roster_office",$E775="released_to_office",$E775="disposed"),IF($F775="","reserve",$F775)="leftover"),-N($G775),IF(AND($E775="correction",IF($F775="","reserve",$F775)="leftover"),N($G775),0))))</f>
        <v/>
      </c>
      <c r="P775" s="25">
        <f>IF(OR($E775&lt;&gt;"received",$I775="",$L775=""),"",IF($I775&gt;=$L775+config!$B$19,"Y","N"))</f>
        <v/>
      </c>
      <c r="Q775" s="25">
        <f>IF($C775="","",IF(COUNTIF(campaigns!$A$2:$A$51,$C775)=0,"campaign_id not on campaigns; ",IF(AND($D775&lt;&gt;"",COUNTIFS(approvals!$A$2:$A$251,$C775,approvals!$B$2:$B$251,$D775)=0),"office not on this campaign (approvals tab); ",""))&amp;IF(AND(OR($E775="delivered",$E775="topped_up",$E775="collected"),$D775=""),"office needed; ","")&amp;IF(AND($E775&lt;&gt;"correction",N($G775)&lt;=0),"qty must be above 0; ","")&amp;IF(AND($E775="received",OR($I775="",$H775="")),"log lot and best-by; ","")&amp;IF(AND($P775="N",SUMIFS(inventory!$G$2:$G$801,inventory!$C$2:$C$801,$C775,inventory!$H$2:$H$801,$H775,inventory!$E$2:$E$801,"rejected")&lt;N($G775)),"UNDER "&amp;config!$B$19&amp;" DAYS LEFT ON THE DROP DAY: reject these units; ","")&amp;IF(AND($E775="delivered",COUNTIF(inventory!$R$2:$R$801,$R775)&gt;1),"two delivered rows for this office: use one; ","")&amp;IF(AND($E775="delivered",$J775=""),"who counted?; ",""))</f>
        <v/>
      </c>
      <c r="R775" s="25">
        <f>IF($C775="","",$C775&amp;"|"&amp;$D775&amp;"|"&amp;$E775)</f>
        <v/>
      </c>
    </row>
    <row r="776">
      <c r="A776" s="9" t="n"/>
      <c r="B776" s="33" t="n"/>
      <c r="I776" s="9" t="n"/>
      <c r="L776" s="26">
        <f>IF($C776="","",IFERROR(IF(INDEX(campaigns!$BG$2:$BG$51,MATCH($C776,campaigns!$A$2:$A$51,0))="","",INDEX(campaigns!$BG$2:$BG$51,MATCH($C776,campaigns!$A$2:$A$51,0))),""))</f>
        <v/>
      </c>
      <c r="M776" s="25">
        <f>IF($C776="","",IF(OR($E776="received"),N($G776),IF(OR($E776="rejected",$E776="delivered",$E776="topped_up"),-N($G776),IF(AND(OR($E776="returned_to_brand",$E776="given_to_roster_office",$E776="released_to_office",$E776="disposed"),IF($F776="","reserve",$F776)="reserve"),-N($G776),IF(AND($E776="correction",IF($F776="","reserve",$F776)="reserve"),N($G776),0)))))</f>
        <v/>
      </c>
      <c r="N776" s="25">
        <f>IF($C776="","",IF($E776="rejected",N($G776),IF(AND(OR($E776="returned_to_brand",$E776="given_to_roster_office",$E776="released_to_office",$E776="disposed"),IF($F776="","reserve",$F776)="rejected"),-N($G776),IF(AND($E776="correction",IF($F776="","reserve",$F776)="rejected"),N($G776),0))))</f>
        <v/>
      </c>
      <c r="O776" s="25">
        <f>IF($C776="","",IF($E776="collected",N($G776),IF(AND(OR($E776="returned_to_brand",$E776="given_to_roster_office",$E776="released_to_office",$E776="disposed"),IF($F776="","reserve",$F776)="leftover"),-N($G776),IF(AND($E776="correction",IF($F776="","reserve",$F776)="leftover"),N($G776),0))))</f>
        <v/>
      </c>
      <c r="P776" s="25">
        <f>IF(OR($E776&lt;&gt;"received",$I776="",$L776=""),"",IF($I776&gt;=$L776+config!$B$19,"Y","N"))</f>
        <v/>
      </c>
      <c r="Q776" s="25">
        <f>IF($C776="","",IF(COUNTIF(campaigns!$A$2:$A$51,$C776)=0,"campaign_id not on campaigns; ",IF(AND($D776&lt;&gt;"",COUNTIFS(approvals!$A$2:$A$251,$C776,approvals!$B$2:$B$251,$D776)=0),"office not on this campaign (approvals tab); ",""))&amp;IF(AND(OR($E776="delivered",$E776="topped_up",$E776="collected"),$D776=""),"office needed; ","")&amp;IF(AND($E776&lt;&gt;"correction",N($G776)&lt;=0),"qty must be above 0; ","")&amp;IF(AND($E776="received",OR($I776="",$H776="")),"log lot and best-by; ","")&amp;IF(AND($P776="N",SUMIFS(inventory!$G$2:$G$801,inventory!$C$2:$C$801,$C776,inventory!$H$2:$H$801,$H776,inventory!$E$2:$E$801,"rejected")&lt;N($G776)),"UNDER "&amp;config!$B$19&amp;" DAYS LEFT ON THE DROP DAY: reject these units; ","")&amp;IF(AND($E776="delivered",COUNTIF(inventory!$R$2:$R$801,$R776)&gt;1),"two delivered rows for this office: use one; ","")&amp;IF(AND($E776="delivered",$J776=""),"who counted?; ",""))</f>
        <v/>
      </c>
      <c r="R776" s="25">
        <f>IF($C776="","",$C776&amp;"|"&amp;$D776&amp;"|"&amp;$E776)</f>
        <v/>
      </c>
    </row>
    <row r="777">
      <c r="A777" s="9" t="n"/>
      <c r="B777" s="33" t="n"/>
      <c r="I777" s="9" t="n"/>
      <c r="L777" s="26">
        <f>IF($C777="","",IFERROR(IF(INDEX(campaigns!$BG$2:$BG$51,MATCH($C777,campaigns!$A$2:$A$51,0))="","",INDEX(campaigns!$BG$2:$BG$51,MATCH($C777,campaigns!$A$2:$A$51,0))),""))</f>
        <v/>
      </c>
      <c r="M777" s="25">
        <f>IF($C777="","",IF(OR($E777="received"),N($G777),IF(OR($E777="rejected",$E777="delivered",$E777="topped_up"),-N($G777),IF(AND(OR($E777="returned_to_brand",$E777="given_to_roster_office",$E777="released_to_office",$E777="disposed"),IF($F777="","reserve",$F777)="reserve"),-N($G777),IF(AND($E777="correction",IF($F777="","reserve",$F777)="reserve"),N($G777),0)))))</f>
        <v/>
      </c>
      <c r="N777" s="25">
        <f>IF($C777="","",IF($E777="rejected",N($G777),IF(AND(OR($E777="returned_to_brand",$E777="given_to_roster_office",$E777="released_to_office",$E777="disposed"),IF($F777="","reserve",$F777)="rejected"),-N($G777),IF(AND($E777="correction",IF($F777="","reserve",$F777)="rejected"),N($G777),0))))</f>
        <v/>
      </c>
      <c r="O777" s="25">
        <f>IF($C777="","",IF($E777="collected",N($G777),IF(AND(OR($E777="returned_to_brand",$E777="given_to_roster_office",$E777="released_to_office",$E777="disposed"),IF($F777="","reserve",$F777)="leftover"),-N($G777),IF(AND($E777="correction",IF($F777="","reserve",$F777)="leftover"),N($G777),0))))</f>
        <v/>
      </c>
      <c r="P777" s="25">
        <f>IF(OR($E777&lt;&gt;"received",$I777="",$L777=""),"",IF($I777&gt;=$L777+config!$B$19,"Y","N"))</f>
        <v/>
      </c>
      <c r="Q777" s="25">
        <f>IF($C777="","",IF(COUNTIF(campaigns!$A$2:$A$51,$C777)=0,"campaign_id not on campaigns; ",IF(AND($D777&lt;&gt;"",COUNTIFS(approvals!$A$2:$A$251,$C777,approvals!$B$2:$B$251,$D777)=0),"office not on this campaign (approvals tab); ",""))&amp;IF(AND(OR($E777="delivered",$E777="topped_up",$E777="collected"),$D777=""),"office needed; ","")&amp;IF(AND($E777&lt;&gt;"correction",N($G777)&lt;=0),"qty must be above 0; ","")&amp;IF(AND($E777="received",OR($I777="",$H777="")),"log lot and best-by; ","")&amp;IF(AND($P777="N",SUMIFS(inventory!$G$2:$G$801,inventory!$C$2:$C$801,$C777,inventory!$H$2:$H$801,$H777,inventory!$E$2:$E$801,"rejected")&lt;N($G777)),"UNDER "&amp;config!$B$19&amp;" DAYS LEFT ON THE DROP DAY: reject these units; ","")&amp;IF(AND($E777="delivered",COUNTIF(inventory!$R$2:$R$801,$R777)&gt;1),"two delivered rows for this office: use one; ","")&amp;IF(AND($E777="delivered",$J777=""),"who counted?; ",""))</f>
        <v/>
      </c>
      <c r="R777" s="25">
        <f>IF($C777="","",$C777&amp;"|"&amp;$D777&amp;"|"&amp;$E777)</f>
        <v/>
      </c>
    </row>
    <row r="778">
      <c r="A778" s="9" t="n"/>
      <c r="B778" s="33" t="n"/>
      <c r="I778" s="9" t="n"/>
      <c r="L778" s="26">
        <f>IF($C778="","",IFERROR(IF(INDEX(campaigns!$BG$2:$BG$51,MATCH($C778,campaigns!$A$2:$A$51,0))="","",INDEX(campaigns!$BG$2:$BG$51,MATCH($C778,campaigns!$A$2:$A$51,0))),""))</f>
        <v/>
      </c>
      <c r="M778" s="25">
        <f>IF($C778="","",IF(OR($E778="received"),N($G778),IF(OR($E778="rejected",$E778="delivered",$E778="topped_up"),-N($G778),IF(AND(OR($E778="returned_to_brand",$E778="given_to_roster_office",$E778="released_to_office",$E778="disposed"),IF($F778="","reserve",$F778)="reserve"),-N($G778),IF(AND($E778="correction",IF($F778="","reserve",$F778)="reserve"),N($G778),0)))))</f>
        <v/>
      </c>
      <c r="N778" s="25">
        <f>IF($C778="","",IF($E778="rejected",N($G778),IF(AND(OR($E778="returned_to_brand",$E778="given_to_roster_office",$E778="released_to_office",$E778="disposed"),IF($F778="","reserve",$F778)="rejected"),-N($G778),IF(AND($E778="correction",IF($F778="","reserve",$F778)="rejected"),N($G778),0))))</f>
        <v/>
      </c>
      <c r="O778" s="25">
        <f>IF($C778="","",IF($E778="collected",N($G778),IF(AND(OR($E778="returned_to_brand",$E778="given_to_roster_office",$E778="released_to_office",$E778="disposed"),IF($F778="","reserve",$F778)="leftover"),-N($G778),IF(AND($E778="correction",IF($F778="","reserve",$F778)="leftover"),N($G778),0))))</f>
        <v/>
      </c>
      <c r="P778" s="25">
        <f>IF(OR($E778&lt;&gt;"received",$I778="",$L778=""),"",IF($I778&gt;=$L778+config!$B$19,"Y","N"))</f>
        <v/>
      </c>
      <c r="Q778" s="25">
        <f>IF($C778="","",IF(COUNTIF(campaigns!$A$2:$A$51,$C778)=0,"campaign_id not on campaigns; ",IF(AND($D778&lt;&gt;"",COUNTIFS(approvals!$A$2:$A$251,$C778,approvals!$B$2:$B$251,$D778)=0),"office not on this campaign (approvals tab); ",""))&amp;IF(AND(OR($E778="delivered",$E778="topped_up",$E778="collected"),$D778=""),"office needed; ","")&amp;IF(AND($E778&lt;&gt;"correction",N($G778)&lt;=0),"qty must be above 0; ","")&amp;IF(AND($E778="received",OR($I778="",$H778="")),"log lot and best-by; ","")&amp;IF(AND($P778="N",SUMIFS(inventory!$G$2:$G$801,inventory!$C$2:$C$801,$C778,inventory!$H$2:$H$801,$H778,inventory!$E$2:$E$801,"rejected")&lt;N($G778)),"UNDER "&amp;config!$B$19&amp;" DAYS LEFT ON THE DROP DAY: reject these units; ","")&amp;IF(AND($E778="delivered",COUNTIF(inventory!$R$2:$R$801,$R778)&gt;1),"two delivered rows for this office: use one; ","")&amp;IF(AND($E778="delivered",$J778=""),"who counted?; ",""))</f>
        <v/>
      </c>
      <c r="R778" s="25">
        <f>IF($C778="","",$C778&amp;"|"&amp;$D778&amp;"|"&amp;$E778)</f>
        <v/>
      </c>
    </row>
    <row r="779">
      <c r="A779" s="9" t="n"/>
      <c r="B779" s="33" t="n"/>
      <c r="I779" s="9" t="n"/>
      <c r="L779" s="26">
        <f>IF($C779="","",IFERROR(IF(INDEX(campaigns!$BG$2:$BG$51,MATCH($C779,campaigns!$A$2:$A$51,0))="","",INDEX(campaigns!$BG$2:$BG$51,MATCH($C779,campaigns!$A$2:$A$51,0))),""))</f>
        <v/>
      </c>
      <c r="M779" s="25">
        <f>IF($C779="","",IF(OR($E779="received"),N($G779),IF(OR($E779="rejected",$E779="delivered",$E779="topped_up"),-N($G779),IF(AND(OR($E779="returned_to_brand",$E779="given_to_roster_office",$E779="released_to_office",$E779="disposed"),IF($F779="","reserve",$F779)="reserve"),-N($G779),IF(AND($E779="correction",IF($F779="","reserve",$F779)="reserve"),N($G779),0)))))</f>
        <v/>
      </c>
      <c r="N779" s="25">
        <f>IF($C779="","",IF($E779="rejected",N($G779),IF(AND(OR($E779="returned_to_brand",$E779="given_to_roster_office",$E779="released_to_office",$E779="disposed"),IF($F779="","reserve",$F779)="rejected"),-N($G779),IF(AND($E779="correction",IF($F779="","reserve",$F779)="rejected"),N($G779),0))))</f>
        <v/>
      </c>
      <c r="O779" s="25">
        <f>IF($C779="","",IF($E779="collected",N($G779),IF(AND(OR($E779="returned_to_brand",$E779="given_to_roster_office",$E779="released_to_office",$E779="disposed"),IF($F779="","reserve",$F779)="leftover"),-N($G779),IF(AND($E779="correction",IF($F779="","reserve",$F779)="leftover"),N($G779),0))))</f>
        <v/>
      </c>
      <c r="P779" s="25">
        <f>IF(OR($E779&lt;&gt;"received",$I779="",$L779=""),"",IF($I779&gt;=$L779+config!$B$19,"Y","N"))</f>
        <v/>
      </c>
      <c r="Q779" s="25">
        <f>IF($C779="","",IF(COUNTIF(campaigns!$A$2:$A$51,$C779)=0,"campaign_id not on campaigns; ",IF(AND($D779&lt;&gt;"",COUNTIFS(approvals!$A$2:$A$251,$C779,approvals!$B$2:$B$251,$D779)=0),"office not on this campaign (approvals tab); ",""))&amp;IF(AND(OR($E779="delivered",$E779="topped_up",$E779="collected"),$D779=""),"office needed; ","")&amp;IF(AND($E779&lt;&gt;"correction",N($G779)&lt;=0),"qty must be above 0; ","")&amp;IF(AND($E779="received",OR($I779="",$H779="")),"log lot and best-by; ","")&amp;IF(AND($P779="N",SUMIFS(inventory!$G$2:$G$801,inventory!$C$2:$C$801,$C779,inventory!$H$2:$H$801,$H779,inventory!$E$2:$E$801,"rejected")&lt;N($G779)),"UNDER "&amp;config!$B$19&amp;" DAYS LEFT ON THE DROP DAY: reject these units; ","")&amp;IF(AND($E779="delivered",COUNTIF(inventory!$R$2:$R$801,$R779)&gt;1),"two delivered rows for this office: use one; ","")&amp;IF(AND($E779="delivered",$J779=""),"who counted?; ",""))</f>
        <v/>
      </c>
      <c r="R779" s="25">
        <f>IF($C779="","",$C779&amp;"|"&amp;$D779&amp;"|"&amp;$E779)</f>
        <v/>
      </c>
    </row>
    <row r="780">
      <c r="A780" s="9" t="n"/>
      <c r="B780" s="33" t="n"/>
      <c r="I780" s="9" t="n"/>
      <c r="L780" s="26">
        <f>IF($C780="","",IFERROR(IF(INDEX(campaigns!$BG$2:$BG$51,MATCH($C780,campaigns!$A$2:$A$51,0))="","",INDEX(campaigns!$BG$2:$BG$51,MATCH($C780,campaigns!$A$2:$A$51,0))),""))</f>
        <v/>
      </c>
      <c r="M780" s="25">
        <f>IF($C780="","",IF(OR($E780="received"),N($G780),IF(OR($E780="rejected",$E780="delivered",$E780="topped_up"),-N($G780),IF(AND(OR($E780="returned_to_brand",$E780="given_to_roster_office",$E780="released_to_office",$E780="disposed"),IF($F780="","reserve",$F780)="reserve"),-N($G780),IF(AND($E780="correction",IF($F780="","reserve",$F780)="reserve"),N($G780),0)))))</f>
        <v/>
      </c>
      <c r="N780" s="25">
        <f>IF($C780="","",IF($E780="rejected",N($G780),IF(AND(OR($E780="returned_to_brand",$E780="given_to_roster_office",$E780="released_to_office",$E780="disposed"),IF($F780="","reserve",$F780)="rejected"),-N($G780),IF(AND($E780="correction",IF($F780="","reserve",$F780)="rejected"),N($G780),0))))</f>
        <v/>
      </c>
      <c r="O780" s="25">
        <f>IF($C780="","",IF($E780="collected",N($G780),IF(AND(OR($E780="returned_to_brand",$E780="given_to_roster_office",$E780="released_to_office",$E780="disposed"),IF($F780="","reserve",$F780)="leftover"),-N($G780),IF(AND($E780="correction",IF($F780="","reserve",$F780)="leftover"),N($G780),0))))</f>
        <v/>
      </c>
      <c r="P780" s="25">
        <f>IF(OR($E780&lt;&gt;"received",$I780="",$L780=""),"",IF($I780&gt;=$L780+config!$B$19,"Y","N"))</f>
        <v/>
      </c>
      <c r="Q780" s="25">
        <f>IF($C780="","",IF(COUNTIF(campaigns!$A$2:$A$51,$C780)=0,"campaign_id not on campaigns; ",IF(AND($D780&lt;&gt;"",COUNTIFS(approvals!$A$2:$A$251,$C780,approvals!$B$2:$B$251,$D780)=0),"office not on this campaign (approvals tab); ",""))&amp;IF(AND(OR($E780="delivered",$E780="topped_up",$E780="collected"),$D780=""),"office needed; ","")&amp;IF(AND($E780&lt;&gt;"correction",N($G780)&lt;=0),"qty must be above 0; ","")&amp;IF(AND($E780="received",OR($I780="",$H780="")),"log lot and best-by; ","")&amp;IF(AND($P780="N",SUMIFS(inventory!$G$2:$G$801,inventory!$C$2:$C$801,$C780,inventory!$H$2:$H$801,$H780,inventory!$E$2:$E$801,"rejected")&lt;N($G780)),"UNDER "&amp;config!$B$19&amp;" DAYS LEFT ON THE DROP DAY: reject these units; ","")&amp;IF(AND($E780="delivered",COUNTIF(inventory!$R$2:$R$801,$R780)&gt;1),"two delivered rows for this office: use one; ","")&amp;IF(AND($E780="delivered",$J780=""),"who counted?; ",""))</f>
        <v/>
      </c>
      <c r="R780" s="25">
        <f>IF($C780="","",$C780&amp;"|"&amp;$D780&amp;"|"&amp;$E780)</f>
        <v/>
      </c>
    </row>
    <row r="781">
      <c r="A781" s="9" t="n"/>
      <c r="B781" s="33" t="n"/>
      <c r="I781" s="9" t="n"/>
      <c r="L781" s="26">
        <f>IF($C781="","",IFERROR(IF(INDEX(campaigns!$BG$2:$BG$51,MATCH($C781,campaigns!$A$2:$A$51,0))="","",INDEX(campaigns!$BG$2:$BG$51,MATCH($C781,campaigns!$A$2:$A$51,0))),""))</f>
        <v/>
      </c>
      <c r="M781" s="25">
        <f>IF($C781="","",IF(OR($E781="received"),N($G781),IF(OR($E781="rejected",$E781="delivered",$E781="topped_up"),-N($G781),IF(AND(OR($E781="returned_to_brand",$E781="given_to_roster_office",$E781="released_to_office",$E781="disposed"),IF($F781="","reserve",$F781)="reserve"),-N($G781),IF(AND($E781="correction",IF($F781="","reserve",$F781)="reserve"),N($G781),0)))))</f>
        <v/>
      </c>
      <c r="N781" s="25">
        <f>IF($C781="","",IF($E781="rejected",N($G781),IF(AND(OR($E781="returned_to_brand",$E781="given_to_roster_office",$E781="released_to_office",$E781="disposed"),IF($F781="","reserve",$F781)="rejected"),-N($G781),IF(AND($E781="correction",IF($F781="","reserve",$F781)="rejected"),N($G781),0))))</f>
        <v/>
      </c>
      <c r="O781" s="25">
        <f>IF($C781="","",IF($E781="collected",N($G781),IF(AND(OR($E781="returned_to_brand",$E781="given_to_roster_office",$E781="released_to_office",$E781="disposed"),IF($F781="","reserve",$F781)="leftover"),-N($G781),IF(AND($E781="correction",IF($F781="","reserve",$F781)="leftover"),N($G781),0))))</f>
        <v/>
      </c>
      <c r="P781" s="25">
        <f>IF(OR($E781&lt;&gt;"received",$I781="",$L781=""),"",IF($I781&gt;=$L781+config!$B$19,"Y","N"))</f>
        <v/>
      </c>
      <c r="Q781" s="25">
        <f>IF($C781="","",IF(COUNTIF(campaigns!$A$2:$A$51,$C781)=0,"campaign_id not on campaigns; ",IF(AND($D781&lt;&gt;"",COUNTIFS(approvals!$A$2:$A$251,$C781,approvals!$B$2:$B$251,$D781)=0),"office not on this campaign (approvals tab); ",""))&amp;IF(AND(OR($E781="delivered",$E781="topped_up",$E781="collected"),$D781=""),"office needed; ","")&amp;IF(AND($E781&lt;&gt;"correction",N($G781)&lt;=0),"qty must be above 0; ","")&amp;IF(AND($E781="received",OR($I781="",$H781="")),"log lot and best-by; ","")&amp;IF(AND($P781="N",SUMIFS(inventory!$G$2:$G$801,inventory!$C$2:$C$801,$C781,inventory!$H$2:$H$801,$H781,inventory!$E$2:$E$801,"rejected")&lt;N($G781)),"UNDER "&amp;config!$B$19&amp;" DAYS LEFT ON THE DROP DAY: reject these units; ","")&amp;IF(AND($E781="delivered",COUNTIF(inventory!$R$2:$R$801,$R781)&gt;1),"two delivered rows for this office: use one; ","")&amp;IF(AND($E781="delivered",$J781=""),"who counted?; ",""))</f>
        <v/>
      </c>
      <c r="R781" s="25">
        <f>IF($C781="","",$C781&amp;"|"&amp;$D781&amp;"|"&amp;$E781)</f>
        <v/>
      </c>
    </row>
    <row r="782">
      <c r="A782" s="9" t="n"/>
      <c r="B782" s="33" t="n"/>
      <c r="I782" s="9" t="n"/>
      <c r="L782" s="26">
        <f>IF($C782="","",IFERROR(IF(INDEX(campaigns!$BG$2:$BG$51,MATCH($C782,campaigns!$A$2:$A$51,0))="","",INDEX(campaigns!$BG$2:$BG$51,MATCH($C782,campaigns!$A$2:$A$51,0))),""))</f>
        <v/>
      </c>
      <c r="M782" s="25">
        <f>IF($C782="","",IF(OR($E782="received"),N($G782),IF(OR($E782="rejected",$E782="delivered",$E782="topped_up"),-N($G782),IF(AND(OR($E782="returned_to_brand",$E782="given_to_roster_office",$E782="released_to_office",$E782="disposed"),IF($F782="","reserve",$F782)="reserve"),-N($G782),IF(AND($E782="correction",IF($F782="","reserve",$F782)="reserve"),N($G782),0)))))</f>
        <v/>
      </c>
      <c r="N782" s="25">
        <f>IF($C782="","",IF($E782="rejected",N($G782),IF(AND(OR($E782="returned_to_brand",$E782="given_to_roster_office",$E782="released_to_office",$E782="disposed"),IF($F782="","reserve",$F782)="rejected"),-N($G782),IF(AND($E782="correction",IF($F782="","reserve",$F782)="rejected"),N($G782),0))))</f>
        <v/>
      </c>
      <c r="O782" s="25">
        <f>IF($C782="","",IF($E782="collected",N($G782),IF(AND(OR($E782="returned_to_brand",$E782="given_to_roster_office",$E782="released_to_office",$E782="disposed"),IF($F782="","reserve",$F782)="leftover"),-N($G782),IF(AND($E782="correction",IF($F782="","reserve",$F782)="leftover"),N($G782),0))))</f>
        <v/>
      </c>
      <c r="P782" s="25">
        <f>IF(OR($E782&lt;&gt;"received",$I782="",$L782=""),"",IF($I782&gt;=$L782+config!$B$19,"Y","N"))</f>
        <v/>
      </c>
      <c r="Q782" s="25">
        <f>IF($C782="","",IF(COUNTIF(campaigns!$A$2:$A$51,$C782)=0,"campaign_id not on campaigns; ",IF(AND($D782&lt;&gt;"",COUNTIFS(approvals!$A$2:$A$251,$C782,approvals!$B$2:$B$251,$D782)=0),"office not on this campaign (approvals tab); ",""))&amp;IF(AND(OR($E782="delivered",$E782="topped_up",$E782="collected"),$D782=""),"office needed; ","")&amp;IF(AND($E782&lt;&gt;"correction",N($G782)&lt;=0),"qty must be above 0; ","")&amp;IF(AND($E782="received",OR($I782="",$H782="")),"log lot and best-by; ","")&amp;IF(AND($P782="N",SUMIFS(inventory!$G$2:$G$801,inventory!$C$2:$C$801,$C782,inventory!$H$2:$H$801,$H782,inventory!$E$2:$E$801,"rejected")&lt;N($G782)),"UNDER "&amp;config!$B$19&amp;" DAYS LEFT ON THE DROP DAY: reject these units; ","")&amp;IF(AND($E782="delivered",COUNTIF(inventory!$R$2:$R$801,$R782)&gt;1),"two delivered rows for this office: use one; ","")&amp;IF(AND($E782="delivered",$J782=""),"who counted?; ",""))</f>
        <v/>
      </c>
      <c r="R782" s="25">
        <f>IF($C782="","",$C782&amp;"|"&amp;$D782&amp;"|"&amp;$E782)</f>
        <v/>
      </c>
    </row>
    <row r="783">
      <c r="A783" s="9" t="n"/>
      <c r="B783" s="33" t="n"/>
      <c r="I783" s="9" t="n"/>
      <c r="L783" s="26">
        <f>IF($C783="","",IFERROR(IF(INDEX(campaigns!$BG$2:$BG$51,MATCH($C783,campaigns!$A$2:$A$51,0))="","",INDEX(campaigns!$BG$2:$BG$51,MATCH($C783,campaigns!$A$2:$A$51,0))),""))</f>
        <v/>
      </c>
      <c r="M783" s="25">
        <f>IF($C783="","",IF(OR($E783="received"),N($G783),IF(OR($E783="rejected",$E783="delivered",$E783="topped_up"),-N($G783),IF(AND(OR($E783="returned_to_brand",$E783="given_to_roster_office",$E783="released_to_office",$E783="disposed"),IF($F783="","reserve",$F783)="reserve"),-N($G783),IF(AND($E783="correction",IF($F783="","reserve",$F783)="reserve"),N($G783),0)))))</f>
        <v/>
      </c>
      <c r="N783" s="25">
        <f>IF($C783="","",IF($E783="rejected",N($G783),IF(AND(OR($E783="returned_to_brand",$E783="given_to_roster_office",$E783="released_to_office",$E783="disposed"),IF($F783="","reserve",$F783)="rejected"),-N($G783),IF(AND($E783="correction",IF($F783="","reserve",$F783)="rejected"),N($G783),0))))</f>
        <v/>
      </c>
      <c r="O783" s="25">
        <f>IF($C783="","",IF($E783="collected",N($G783),IF(AND(OR($E783="returned_to_brand",$E783="given_to_roster_office",$E783="released_to_office",$E783="disposed"),IF($F783="","reserve",$F783)="leftover"),-N($G783),IF(AND($E783="correction",IF($F783="","reserve",$F783)="leftover"),N($G783),0))))</f>
        <v/>
      </c>
      <c r="P783" s="25">
        <f>IF(OR($E783&lt;&gt;"received",$I783="",$L783=""),"",IF($I783&gt;=$L783+config!$B$19,"Y","N"))</f>
        <v/>
      </c>
      <c r="Q783" s="25">
        <f>IF($C783="","",IF(COUNTIF(campaigns!$A$2:$A$51,$C783)=0,"campaign_id not on campaigns; ",IF(AND($D783&lt;&gt;"",COUNTIFS(approvals!$A$2:$A$251,$C783,approvals!$B$2:$B$251,$D783)=0),"office not on this campaign (approvals tab); ",""))&amp;IF(AND(OR($E783="delivered",$E783="topped_up",$E783="collected"),$D783=""),"office needed; ","")&amp;IF(AND($E783&lt;&gt;"correction",N($G783)&lt;=0),"qty must be above 0; ","")&amp;IF(AND($E783="received",OR($I783="",$H783="")),"log lot and best-by; ","")&amp;IF(AND($P783="N",SUMIFS(inventory!$G$2:$G$801,inventory!$C$2:$C$801,$C783,inventory!$H$2:$H$801,$H783,inventory!$E$2:$E$801,"rejected")&lt;N($G783)),"UNDER "&amp;config!$B$19&amp;" DAYS LEFT ON THE DROP DAY: reject these units; ","")&amp;IF(AND($E783="delivered",COUNTIF(inventory!$R$2:$R$801,$R783)&gt;1),"two delivered rows for this office: use one; ","")&amp;IF(AND($E783="delivered",$J783=""),"who counted?; ",""))</f>
        <v/>
      </c>
      <c r="R783" s="25">
        <f>IF($C783="","",$C783&amp;"|"&amp;$D783&amp;"|"&amp;$E783)</f>
        <v/>
      </c>
    </row>
    <row r="784">
      <c r="A784" s="9" t="n"/>
      <c r="B784" s="33" t="n"/>
      <c r="I784" s="9" t="n"/>
      <c r="L784" s="26">
        <f>IF($C784="","",IFERROR(IF(INDEX(campaigns!$BG$2:$BG$51,MATCH($C784,campaigns!$A$2:$A$51,0))="","",INDEX(campaigns!$BG$2:$BG$51,MATCH($C784,campaigns!$A$2:$A$51,0))),""))</f>
        <v/>
      </c>
      <c r="M784" s="25">
        <f>IF($C784="","",IF(OR($E784="received"),N($G784),IF(OR($E784="rejected",$E784="delivered",$E784="topped_up"),-N($G784),IF(AND(OR($E784="returned_to_brand",$E784="given_to_roster_office",$E784="released_to_office",$E784="disposed"),IF($F784="","reserve",$F784)="reserve"),-N($G784),IF(AND($E784="correction",IF($F784="","reserve",$F784)="reserve"),N($G784),0)))))</f>
        <v/>
      </c>
      <c r="N784" s="25">
        <f>IF($C784="","",IF($E784="rejected",N($G784),IF(AND(OR($E784="returned_to_brand",$E784="given_to_roster_office",$E784="released_to_office",$E784="disposed"),IF($F784="","reserve",$F784)="rejected"),-N($G784),IF(AND($E784="correction",IF($F784="","reserve",$F784)="rejected"),N($G784),0))))</f>
        <v/>
      </c>
      <c r="O784" s="25">
        <f>IF($C784="","",IF($E784="collected",N($G784),IF(AND(OR($E784="returned_to_brand",$E784="given_to_roster_office",$E784="released_to_office",$E784="disposed"),IF($F784="","reserve",$F784)="leftover"),-N($G784),IF(AND($E784="correction",IF($F784="","reserve",$F784)="leftover"),N($G784),0))))</f>
        <v/>
      </c>
      <c r="P784" s="25">
        <f>IF(OR($E784&lt;&gt;"received",$I784="",$L784=""),"",IF($I784&gt;=$L784+config!$B$19,"Y","N"))</f>
        <v/>
      </c>
      <c r="Q784" s="25">
        <f>IF($C784="","",IF(COUNTIF(campaigns!$A$2:$A$51,$C784)=0,"campaign_id not on campaigns; ",IF(AND($D784&lt;&gt;"",COUNTIFS(approvals!$A$2:$A$251,$C784,approvals!$B$2:$B$251,$D784)=0),"office not on this campaign (approvals tab); ",""))&amp;IF(AND(OR($E784="delivered",$E784="topped_up",$E784="collected"),$D784=""),"office needed; ","")&amp;IF(AND($E784&lt;&gt;"correction",N($G784)&lt;=0),"qty must be above 0; ","")&amp;IF(AND($E784="received",OR($I784="",$H784="")),"log lot and best-by; ","")&amp;IF(AND($P784="N",SUMIFS(inventory!$G$2:$G$801,inventory!$C$2:$C$801,$C784,inventory!$H$2:$H$801,$H784,inventory!$E$2:$E$801,"rejected")&lt;N($G784)),"UNDER "&amp;config!$B$19&amp;" DAYS LEFT ON THE DROP DAY: reject these units; ","")&amp;IF(AND($E784="delivered",COUNTIF(inventory!$R$2:$R$801,$R784)&gt;1),"two delivered rows for this office: use one; ","")&amp;IF(AND($E784="delivered",$J784=""),"who counted?; ",""))</f>
        <v/>
      </c>
      <c r="R784" s="25">
        <f>IF($C784="","",$C784&amp;"|"&amp;$D784&amp;"|"&amp;$E784)</f>
        <v/>
      </c>
    </row>
    <row r="785">
      <c r="A785" s="9" t="n"/>
      <c r="B785" s="33" t="n"/>
      <c r="I785" s="9" t="n"/>
      <c r="L785" s="26">
        <f>IF($C785="","",IFERROR(IF(INDEX(campaigns!$BG$2:$BG$51,MATCH($C785,campaigns!$A$2:$A$51,0))="","",INDEX(campaigns!$BG$2:$BG$51,MATCH($C785,campaigns!$A$2:$A$51,0))),""))</f>
        <v/>
      </c>
      <c r="M785" s="25">
        <f>IF($C785="","",IF(OR($E785="received"),N($G785),IF(OR($E785="rejected",$E785="delivered",$E785="topped_up"),-N($G785),IF(AND(OR($E785="returned_to_brand",$E785="given_to_roster_office",$E785="released_to_office",$E785="disposed"),IF($F785="","reserve",$F785)="reserve"),-N($G785),IF(AND($E785="correction",IF($F785="","reserve",$F785)="reserve"),N($G785),0)))))</f>
        <v/>
      </c>
      <c r="N785" s="25">
        <f>IF($C785="","",IF($E785="rejected",N($G785),IF(AND(OR($E785="returned_to_brand",$E785="given_to_roster_office",$E785="released_to_office",$E785="disposed"),IF($F785="","reserve",$F785)="rejected"),-N($G785),IF(AND($E785="correction",IF($F785="","reserve",$F785)="rejected"),N($G785),0))))</f>
        <v/>
      </c>
      <c r="O785" s="25">
        <f>IF($C785="","",IF($E785="collected",N($G785),IF(AND(OR($E785="returned_to_brand",$E785="given_to_roster_office",$E785="released_to_office",$E785="disposed"),IF($F785="","reserve",$F785)="leftover"),-N($G785),IF(AND($E785="correction",IF($F785="","reserve",$F785)="leftover"),N($G785),0))))</f>
        <v/>
      </c>
      <c r="P785" s="25">
        <f>IF(OR($E785&lt;&gt;"received",$I785="",$L785=""),"",IF($I785&gt;=$L785+config!$B$19,"Y","N"))</f>
        <v/>
      </c>
      <c r="Q785" s="25">
        <f>IF($C785="","",IF(COUNTIF(campaigns!$A$2:$A$51,$C785)=0,"campaign_id not on campaigns; ",IF(AND($D785&lt;&gt;"",COUNTIFS(approvals!$A$2:$A$251,$C785,approvals!$B$2:$B$251,$D785)=0),"office not on this campaign (approvals tab); ",""))&amp;IF(AND(OR($E785="delivered",$E785="topped_up",$E785="collected"),$D785=""),"office needed; ","")&amp;IF(AND($E785&lt;&gt;"correction",N($G785)&lt;=0),"qty must be above 0; ","")&amp;IF(AND($E785="received",OR($I785="",$H785="")),"log lot and best-by; ","")&amp;IF(AND($P785="N",SUMIFS(inventory!$G$2:$G$801,inventory!$C$2:$C$801,$C785,inventory!$H$2:$H$801,$H785,inventory!$E$2:$E$801,"rejected")&lt;N($G785)),"UNDER "&amp;config!$B$19&amp;" DAYS LEFT ON THE DROP DAY: reject these units; ","")&amp;IF(AND($E785="delivered",COUNTIF(inventory!$R$2:$R$801,$R785)&gt;1),"two delivered rows for this office: use one; ","")&amp;IF(AND($E785="delivered",$J785=""),"who counted?; ",""))</f>
        <v/>
      </c>
      <c r="R785" s="25">
        <f>IF($C785="","",$C785&amp;"|"&amp;$D785&amp;"|"&amp;$E785)</f>
        <v/>
      </c>
    </row>
    <row r="786">
      <c r="A786" s="9" t="n"/>
      <c r="B786" s="33" t="n"/>
      <c r="I786" s="9" t="n"/>
      <c r="L786" s="26">
        <f>IF($C786="","",IFERROR(IF(INDEX(campaigns!$BG$2:$BG$51,MATCH($C786,campaigns!$A$2:$A$51,0))="","",INDEX(campaigns!$BG$2:$BG$51,MATCH($C786,campaigns!$A$2:$A$51,0))),""))</f>
        <v/>
      </c>
      <c r="M786" s="25">
        <f>IF($C786="","",IF(OR($E786="received"),N($G786),IF(OR($E786="rejected",$E786="delivered",$E786="topped_up"),-N($G786),IF(AND(OR($E786="returned_to_brand",$E786="given_to_roster_office",$E786="released_to_office",$E786="disposed"),IF($F786="","reserve",$F786)="reserve"),-N($G786),IF(AND($E786="correction",IF($F786="","reserve",$F786)="reserve"),N($G786),0)))))</f>
        <v/>
      </c>
      <c r="N786" s="25">
        <f>IF($C786="","",IF($E786="rejected",N($G786),IF(AND(OR($E786="returned_to_brand",$E786="given_to_roster_office",$E786="released_to_office",$E786="disposed"),IF($F786="","reserve",$F786)="rejected"),-N($G786),IF(AND($E786="correction",IF($F786="","reserve",$F786)="rejected"),N($G786),0))))</f>
        <v/>
      </c>
      <c r="O786" s="25">
        <f>IF($C786="","",IF($E786="collected",N($G786),IF(AND(OR($E786="returned_to_brand",$E786="given_to_roster_office",$E786="released_to_office",$E786="disposed"),IF($F786="","reserve",$F786)="leftover"),-N($G786),IF(AND($E786="correction",IF($F786="","reserve",$F786)="leftover"),N($G786),0))))</f>
        <v/>
      </c>
      <c r="P786" s="25">
        <f>IF(OR($E786&lt;&gt;"received",$I786="",$L786=""),"",IF($I786&gt;=$L786+config!$B$19,"Y","N"))</f>
        <v/>
      </c>
      <c r="Q786" s="25">
        <f>IF($C786="","",IF(COUNTIF(campaigns!$A$2:$A$51,$C786)=0,"campaign_id not on campaigns; ",IF(AND($D786&lt;&gt;"",COUNTIFS(approvals!$A$2:$A$251,$C786,approvals!$B$2:$B$251,$D786)=0),"office not on this campaign (approvals tab); ",""))&amp;IF(AND(OR($E786="delivered",$E786="topped_up",$E786="collected"),$D786=""),"office needed; ","")&amp;IF(AND($E786&lt;&gt;"correction",N($G786)&lt;=0),"qty must be above 0; ","")&amp;IF(AND($E786="received",OR($I786="",$H786="")),"log lot and best-by; ","")&amp;IF(AND($P786="N",SUMIFS(inventory!$G$2:$G$801,inventory!$C$2:$C$801,$C786,inventory!$H$2:$H$801,$H786,inventory!$E$2:$E$801,"rejected")&lt;N($G786)),"UNDER "&amp;config!$B$19&amp;" DAYS LEFT ON THE DROP DAY: reject these units; ","")&amp;IF(AND($E786="delivered",COUNTIF(inventory!$R$2:$R$801,$R786)&gt;1),"two delivered rows for this office: use one; ","")&amp;IF(AND($E786="delivered",$J786=""),"who counted?; ",""))</f>
        <v/>
      </c>
      <c r="R786" s="25">
        <f>IF($C786="","",$C786&amp;"|"&amp;$D786&amp;"|"&amp;$E786)</f>
        <v/>
      </c>
    </row>
    <row r="787">
      <c r="A787" s="9" t="n"/>
      <c r="B787" s="33" t="n"/>
      <c r="I787" s="9" t="n"/>
      <c r="L787" s="26">
        <f>IF($C787="","",IFERROR(IF(INDEX(campaigns!$BG$2:$BG$51,MATCH($C787,campaigns!$A$2:$A$51,0))="","",INDEX(campaigns!$BG$2:$BG$51,MATCH($C787,campaigns!$A$2:$A$51,0))),""))</f>
        <v/>
      </c>
      <c r="M787" s="25">
        <f>IF($C787="","",IF(OR($E787="received"),N($G787),IF(OR($E787="rejected",$E787="delivered",$E787="topped_up"),-N($G787),IF(AND(OR($E787="returned_to_brand",$E787="given_to_roster_office",$E787="released_to_office",$E787="disposed"),IF($F787="","reserve",$F787)="reserve"),-N($G787),IF(AND($E787="correction",IF($F787="","reserve",$F787)="reserve"),N($G787),0)))))</f>
        <v/>
      </c>
      <c r="N787" s="25">
        <f>IF($C787="","",IF($E787="rejected",N($G787),IF(AND(OR($E787="returned_to_brand",$E787="given_to_roster_office",$E787="released_to_office",$E787="disposed"),IF($F787="","reserve",$F787)="rejected"),-N($G787),IF(AND($E787="correction",IF($F787="","reserve",$F787)="rejected"),N($G787),0))))</f>
        <v/>
      </c>
      <c r="O787" s="25">
        <f>IF($C787="","",IF($E787="collected",N($G787),IF(AND(OR($E787="returned_to_brand",$E787="given_to_roster_office",$E787="released_to_office",$E787="disposed"),IF($F787="","reserve",$F787)="leftover"),-N($G787),IF(AND($E787="correction",IF($F787="","reserve",$F787)="leftover"),N($G787),0))))</f>
        <v/>
      </c>
      <c r="P787" s="25">
        <f>IF(OR($E787&lt;&gt;"received",$I787="",$L787=""),"",IF($I787&gt;=$L787+config!$B$19,"Y","N"))</f>
        <v/>
      </c>
      <c r="Q787" s="25">
        <f>IF($C787="","",IF(COUNTIF(campaigns!$A$2:$A$51,$C787)=0,"campaign_id not on campaigns; ",IF(AND($D787&lt;&gt;"",COUNTIFS(approvals!$A$2:$A$251,$C787,approvals!$B$2:$B$251,$D787)=0),"office not on this campaign (approvals tab); ",""))&amp;IF(AND(OR($E787="delivered",$E787="topped_up",$E787="collected"),$D787=""),"office needed; ","")&amp;IF(AND($E787&lt;&gt;"correction",N($G787)&lt;=0),"qty must be above 0; ","")&amp;IF(AND($E787="received",OR($I787="",$H787="")),"log lot and best-by; ","")&amp;IF(AND($P787="N",SUMIFS(inventory!$G$2:$G$801,inventory!$C$2:$C$801,$C787,inventory!$H$2:$H$801,$H787,inventory!$E$2:$E$801,"rejected")&lt;N($G787)),"UNDER "&amp;config!$B$19&amp;" DAYS LEFT ON THE DROP DAY: reject these units; ","")&amp;IF(AND($E787="delivered",COUNTIF(inventory!$R$2:$R$801,$R787)&gt;1),"two delivered rows for this office: use one; ","")&amp;IF(AND($E787="delivered",$J787=""),"who counted?; ",""))</f>
        <v/>
      </c>
      <c r="R787" s="25">
        <f>IF($C787="","",$C787&amp;"|"&amp;$D787&amp;"|"&amp;$E787)</f>
        <v/>
      </c>
    </row>
    <row r="788">
      <c r="A788" s="9" t="n"/>
      <c r="B788" s="33" t="n"/>
      <c r="I788" s="9" t="n"/>
      <c r="L788" s="26">
        <f>IF($C788="","",IFERROR(IF(INDEX(campaigns!$BG$2:$BG$51,MATCH($C788,campaigns!$A$2:$A$51,0))="","",INDEX(campaigns!$BG$2:$BG$51,MATCH($C788,campaigns!$A$2:$A$51,0))),""))</f>
        <v/>
      </c>
      <c r="M788" s="25">
        <f>IF($C788="","",IF(OR($E788="received"),N($G788),IF(OR($E788="rejected",$E788="delivered",$E788="topped_up"),-N($G788),IF(AND(OR($E788="returned_to_brand",$E788="given_to_roster_office",$E788="released_to_office",$E788="disposed"),IF($F788="","reserve",$F788)="reserve"),-N($G788),IF(AND($E788="correction",IF($F788="","reserve",$F788)="reserve"),N($G788),0)))))</f>
        <v/>
      </c>
      <c r="N788" s="25">
        <f>IF($C788="","",IF($E788="rejected",N($G788),IF(AND(OR($E788="returned_to_brand",$E788="given_to_roster_office",$E788="released_to_office",$E788="disposed"),IF($F788="","reserve",$F788)="rejected"),-N($G788),IF(AND($E788="correction",IF($F788="","reserve",$F788)="rejected"),N($G788),0))))</f>
        <v/>
      </c>
      <c r="O788" s="25">
        <f>IF($C788="","",IF($E788="collected",N($G788),IF(AND(OR($E788="returned_to_brand",$E788="given_to_roster_office",$E788="released_to_office",$E788="disposed"),IF($F788="","reserve",$F788)="leftover"),-N($G788),IF(AND($E788="correction",IF($F788="","reserve",$F788)="leftover"),N($G788),0))))</f>
        <v/>
      </c>
      <c r="P788" s="25">
        <f>IF(OR($E788&lt;&gt;"received",$I788="",$L788=""),"",IF($I788&gt;=$L788+config!$B$19,"Y","N"))</f>
        <v/>
      </c>
      <c r="Q788" s="25">
        <f>IF($C788="","",IF(COUNTIF(campaigns!$A$2:$A$51,$C788)=0,"campaign_id not on campaigns; ",IF(AND($D788&lt;&gt;"",COUNTIFS(approvals!$A$2:$A$251,$C788,approvals!$B$2:$B$251,$D788)=0),"office not on this campaign (approvals tab); ",""))&amp;IF(AND(OR($E788="delivered",$E788="topped_up",$E788="collected"),$D788=""),"office needed; ","")&amp;IF(AND($E788&lt;&gt;"correction",N($G788)&lt;=0),"qty must be above 0; ","")&amp;IF(AND($E788="received",OR($I788="",$H788="")),"log lot and best-by; ","")&amp;IF(AND($P788="N",SUMIFS(inventory!$G$2:$G$801,inventory!$C$2:$C$801,$C788,inventory!$H$2:$H$801,$H788,inventory!$E$2:$E$801,"rejected")&lt;N($G788)),"UNDER "&amp;config!$B$19&amp;" DAYS LEFT ON THE DROP DAY: reject these units; ","")&amp;IF(AND($E788="delivered",COUNTIF(inventory!$R$2:$R$801,$R788)&gt;1),"two delivered rows for this office: use one; ","")&amp;IF(AND($E788="delivered",$J788=""),"who counted?; ",""))</f>
        <v/>
      </c>
      <c r="R788" s="25">
        <f>IF($C788="","",$C788&amp;"|"&amp;$D788&amp;"|"&amp;$E788)</f>
        <v/>
      </c>
    </row>
    <row r="789">
      <c r="A789" s="9" t="n"/>
      <c r="B789" s="33" t="n"/>
      <c r="I789" s="9" t="n"/>
      <c r="L789" s="26">
        <f>IF($C789="","",IFERROR(IF(INDEX(campaigns!$BG$2:$BG$51,MATCH($C789,campaigns!$A$2:$A$51,0))="","",INDEX(campaigns!$BG$2:$BG$51,MATCH($C789,campaigns!$A$2:$A$51,0))),""))</f>
        <v/>
      </c>
      <c r="M789" s="25">
        <f>IF($C789="","",IF(OR($E789="received"),N($G789),IF(OR($E789="rejected",$E789="delivered",$E789="topped_up"),-N($G789),IF(AND(OR($E789="returned_to_brand",$E789="given_to_roster_office",$E789="released_to_office",$E789="disposed"),IF($F789="","reserve",$F789)="reserve"),-N($G789),IF(AND($E789="correction",IF($F789="","reserve",$F789)="reserve"),N($G789),0)))))</f>
        <v/>
      </c>
      <c r="N789" s="25">
        <f>IF($C789="","",IF($E789="rejected",N($G789),IF(AND(OR($E789="returned_to_brand",$E789="given_to_roster_office",$E789="released_to_office",$E789="disposed"),IF($F789="","reserve",$F789)="rejected"),-N($G789),IF(AND($E789="correction",IF($F789="","reserve",$F789)="rejected"),N($G789),0))))</f>
        <v/>
      </c>
      <c r="O789" s="25">
        <f>IF($C789="","",IF($E789="collected",N($G789),IF(AND(OR($E789="returned_to_brand",$E789="given_to_roster_office",$E789="released_to_office",$E789="disposed"),IF($F789="","reserve",$F789)="leftover"),-N($G789),IF(AND($E789="correction",IF($F789="","reserve",$F789)="leftover"),N($G789),0))))</f>
        <v/>
      </c>
      <c r="P789" s="25">
        <f>IF(OR($E789&lt;&gt;"received",$I789="",$L789=""),"",IF($I789&gt;=$L789+config!$B$19,"Y","N"))</f>
        <v/>
      </c>
      <c r="Q789" s="25">
        <f>IF($C789="","",IF(COUNTIF(campaigns!$A$2:$A$51,$C789)=0,"campaign_id not on campaigns; ",IF(AND($D789&lt;&gt;"",COUNTIFS(approvals!$A$2:$A$251,$C789,approvals!$B$2:$B$251,$D789)=0),"office not on this campaign (approvals tab); ",""))&amp;IF(AND(OR($E789="delivered",$E789="topped_up",$E789="collected"),$D789=""),"office needed; ","")&amp;IF(AND($E789&lt;&gt;"correction",N($G789)&lt;=0),"qty must be above 0; ","")&amp;IF(AND($E789="received",OR($I789="",$H789="")),"log lot and best-by; ","")&amp;IF(AND($P789="N",SUMIFS(inventory!$G$2:$G$801,inventory!$C$2:$C$801,$C789,inventory!$H$2:$H$801,$H789,inventory!$E$2:$E$801,"rejected")&lt;N($G789)),"UNDER "&amp;config!$B$19&amp;" DAYS LEFT ON THE DROP DAY: reject these units; ","")&amp;IF(AND($E789="delivered",COUNTIF(inventory!$R$2:$R$801,$R789)&gt;1),"two delivered rows for this office: use one; ","")&amp;IF(AND($E789="delivered",$J789=""),"who counted?; ",""))</f>
        <v/>
      </c>
      <c r="R789" s="25">
        <f>IF($C789="","",$C789&amp;"|"&amp;$D789&amp;"|"&amp;$E789)</f>
        <v/>
      </c>
    </row>
    <row r="790">
      <c r="A790" s="9" t="n"/>
      <c r="B790" s="33" t="n"/>
      <c r="I790" s="9" t="n"/>
      <c r="L790" s="26">
        <f>IF($C790="","",IFERROR(IF(INDEX(campaigns!$BG$2:$BG$51,MATCH($C790,campaigns!$A$2:$A$51,0))="","",INDEX(campaigns!$BG$2:$BG$51,MATCH($C790,campaigns!$A$2:$A$51,0))),""))</f>
        <v/>
      </c>
      <c r="M790" s="25">
        <f>IF($C790="","",IF(OR($E790="received"),N($G790),IF(OR($E790="rejected",$E790="delivered",$E790="topped_up"),-N($G790),IF(AND(OR($E790="returned_to_brand",$E790="given_to_roster_office",$E790="released_to_office",$E790="disposed"),IF($F790="","reserve",$F790)="reserve"),-N($G790),IF(AND($E790="correction",IF($F790="","reserve",$F790)="reserve"),N($G790),0)))))</f>
        <v/>
      </c>
      <c r="N790" s="25">
        <f>IF($C790="","",IF($E790="rejected",N($G790),IF(AND(OR($E790="returned_to_brand",$E790="given_to_roster_office",$E790="released_to_office",$E790="disposed"),IF($F790="","reserve",$F790)="rejected"),-N($G790),IF(AND($E790="correction",IF($F790="","reserve",$F790)="rejected"),N($G790),0))))</f>
        <v/>
      </c>
      <c r="O790" s="25">
        <f>IF($C790="","",IF($E790="collected",N($G790),IF(AND(OR($E790="returned_to_brand",$E790="given_to_roster_office",$E790="released_to_office",$E790="disposed"),IF($F790="","reserve",$F790)="leftover"),-N($G790),IF(AND($E790="correction",IF($F790="","reserve",$F790)="leftover"),N($G790),0))))</f>
        <v/>
      </c>
      <c r="P790" s="25">
        <f>IF(OR($E790&lt;&gt;"received",$I790="",$L790=""),"",IF($I790&gt;=$L790+config!$B$19,"Y","N"))</f>
        <v/>
      </c>
      <c r="Q790" s="25">
        <f>IF($C790="","",IF(COUNTIF(campaigns!$A$2:$A$51,$C790)=0,"campaign_id not on campaigns; ",IF(AND($D790&lt;&gt;"",COUNTIFS(approvals!$A$2:$A$251,$C790,approvals!$B$2:$B$251,$D790)=0),"office not on this campaign (approvals tab); ",""))&amp;IF(AND(OR($E790="delivered",$E790="topped_up",$E790="collected"),$D790=""),"office needed; ","")&amp;IF(AND($E790&lt;&gt;"correction",N($G790)&lt;=0),"qty must be above 0; ","")&amp;IF(AND($E790="received",OR($I790="",$H790="")),"log lot and best-by; ","")&amp;IF(AND($P790="N",SUMIFS(inventory!$G$2:$G$801,inventory!$C$2:$C$801,$C790,inventory!$H$2:$H$801,$H790,inventory!$E$2:$E$801,"rejected")&lt;N($G790)),"UNDER "&amp;config!$B$19&amp;" DAYS LEFT ON THE DROP DAY: reject these units; ","")&amp;IF(AND($E790="delivered",COUNTIF(inventory!$R$2:$R$801,$R790)&gt;1),"two delivered rows for this office: use one; ","")&amp;IF(AND($E790="delivered",$J790=""),"who counted?; ",""))</f>
        <v/>
      </c>
      <c r="R790" s="25">
        <f>IF($C790="","",$C790&amp;"|"&amp;$D790&amp;"|"&amp;$E790)</f>
        <v/>
      </c>
    </row>
    <row r="791">
      <c r="A791" s="9" t="n"/>
      <c r="B791" s="33" t="n"/>
      <c r="I791" s="9" t="n"/>
      <c r="L791" s="26">
        <f>IF($C791="","",IFERROR(IF(INDEX(campaigns!$BG$2:$BG$51,MATCH($C791,campaigns!$A$2:$A$51,0))="","",INDEX(campaigns!$BG$2:$BG$51,MATCH($C791,campaigns!$A$2:$A$51,0))),""))</f>
        <v/>
      </c>
      <c r="M791" s="25">
        <f>IF($C791="","",IF(OR($E791="received"),N($G791),IF(OR($E791="rejected",$E791="delivered",$E791="topped_up"),-N($G791),IF(AND(OR($E791="returned_to_brand",$E791="given_to_roster_office",$E791="released_to_office",$E791="disposed"),IF($F791="","reserve",$F791)="reserve"),-N($G791),IF(AND($E791="correction",IF($F791="","reserve",$F791)="reserve"),N($G791),0)))))</f>
        <v/>
      </c>
      <c r="N791" s="25">
        <f>IF($C791="","",IF($E791="rejected",N($G791),IF(AND(OR($E791="returned_to_brand",$E791="given_to_roster_office",$E791="released_to_office",$E791="disposed"),IF($F791="","reserve",$F791)="rejected"),-N($G791),IF(AND($E791="correction",IF($F791="","reserve",$F791)="rejected"),N($G791),0))))</f>
        <v/>
      </c>
      <c r="O791" s="25">
        <f>IF($C791="","",IF($E791="collected",N($G791),IF(AND(OR($E791="returned_to_brand",$E791="given_to_roster_office",$E791="released_to_office",$E791="disposed"),IF($F791="","reserve",$F791)="leftover"),-N($G791),IF(AND($E791="correction",IF($F791="","reserve",$F791)="leftover"),N($G791),0))))</f>
        <v/>
      </c>
      <c r="P791" s="25">
        <f>IF(OR($E791&lt;&gt;"received",$I791="",$L791=""),"",IF($I791&gt;=$L791+config!$B$19,"Y","N"))</f>
        <v/>
      </c>
      <c r="Q791" s="25">
        <f>IF($C791="","",IF(COUNTIF(campaigns!$A$2:$A$51,$C791)=0,"campaign_id not on campaigns; ",IF(AND($D791&lt;&gt;"",COUNTIFS(approvals!$A$2:$A$251,$C791,approvals!$B$2:$B$251,$D791)=0),"office not on this campaign (approvals tab); ",""))&amp;IF(AND(OR($E791="delivered",$E791="topped_up",$E791="collected"),$D791=""),"office needed; ","")&amp;IF(AND($E791&lt;&gt;"correction",N($G791)&lt;=0),"qty must be above 0; ","")&amp;IF(AND($E791="received",OR($I791="",$H791="")),"log lot and best-by; ","")&amp;IF(AND($P791="N",SUMIFS(inventory!$G$2:$G$801,inventory!$C$2:$C$801,$C791,inventory!$H$2:$H$801,$H791,inventory!$E$2:$E$801,"rejected")&lt;N($G791)),"UNDER "&amp;config!$B$19&amp;" DAYS LEFT ON THE DROP DAY: reject these units; ","")&amp;IF(AND($E791="delivered",COUNTIF(inventory!$R$2:$R$801,$R791)&gt;1),"two delivered rows for this office: use one; ","")&amp;IF(AND($E791="delivered",$J791=""),"who counted?; ",""))</f>
        <v/>
      </c>
      <c r="R791" s="25">
        <f>IF($C791="","",$C791&amp;"|"&amp;$D791&amp;"|"&amp;$E791)</f>
        <v/>
      </c>
    </row>
    <row r="792">
      <c r="A792" s="9" t="n"/>
      <c r="B792" s="33" t="n"/>
      <c r="I792" s="9" t="n"/>
      <c r="L792" s="26">
        <f>IF($C792="","",IFERROR(IF(INDEX(campaigns!$BG$2:$BG$51,MATCH($C792,campaigns!$A$2:$A$51,0))="","",INDEX(campaigns!$BG$2:$BG$51,MATCH($C792,campaigns!$A$2:$A$51,0))),""))</f>
        <v/>
      </c>
      <c r="M792" s="25">
        <f>IF($C792="","",IF(OR($E792="received"),N($G792),IF(OR($E792="rejected",$E792="delivered",$E792="topped_up"),-N($G792),IF(AND(OR($E792="returned_to_brand",$E792="given_to_roster_office",$E792="released_to_office",$E792="disposed"),IF($F792="","reserve",$F792)="reserve"),-N($G792),IF(AND($E792="correction",IF($F792="","reserve",$F792)="reserve"),N($G792),0)))))</f>
        <v/>
      </c>
      <c r="N792" s="25">
        <f>IF($C792="","",IF($E792="rejected",N($G792),IF(AND(OR($E792="returned_to_brand",$E792="given_to_roster_office",$E792="released_to_office",$E792="disposed"),IF($F792="","reserve",$F792)="rejected"),-N($G792),IF(AND($E792="correction",IF($F792="","reserve",$F792)="rejected"),N($G792),0))))</f>
        <v/>
      </c>
      <c r="O792" s="25">
        <f>IF($C792="","",IF($E792="collected",N($G792),IF(AND(OR($E792="returned_to_brand",$E792="given_to_roster_office",$E792="released_to_office",$E792="disposed"),IF($F792="","reserve",$F792)="leftover"),-N($G792),IF(AND($E792="correction",IF($F792="","reserve",$F792)="leftover"),N($G792),0))))</f>
        <v/>
      </c>
      <c r="P792" s="25">
        <f>IF(OR($E792&lt;&gt;"received",$I792="",$L792=""),"",IF($I792&gt;=$L792+config!$B$19,"Y","N"))</f>
        <v/>
      </c>
      <c r="Q792" s="25">
        <f>IF($C792="","",IF(COUNTIF(campaigns!$A$2:$A$51,$C792)=0,"campaign_id not on campaigns; ",IF(AND($D792&lt;&gt;"",COUNTIFS(approvals!$A$2:$A$251,$C792,approvals!$B$2:$B$251,$D792)=0),"office not on this campaign (approvals tab); ",""))&amp;IF(AND(OR($E792="delivered",$E792="topped_up",$E792="collected"),$D792=""),"office needed; ","")&amp;IF(AND($E792&lt;&gt;"correction",N($G792)&lt;=0),"qty must be above 0; ","")&amp;IF(AND($E792="received",OR($I792="",$H792="")),"log lot and best-by; ","")&amp;IF(AND($P792="N",SUMIFS(inventory!$G$2:$G$801,inventory!$C$2:$C$801,$C792,inventory!$H$2:$H$801,$H792,inventory!$E$2:$E$801,"rejected")&lt;N($G792)),"UNDER "&amp;config!$B$19&amp;" DAYS LEFT ON THE DROP DAY: reject these units; ","")&amp;IF(AND($E792="delivered",COUNTIF(inventory!$R$2:$R$801,$R792)&gt;1),"two delivered rows for this office: use one; ","")&amp;IF(AND($E792="delivered",$J792=""),"who counted?; ",""))</f>
        <v/>
      </c>
      <c r="R792" s="25">
        <f>IF($C792="","",$C792&amp;"|"&amp;$D792&amp;"|"&amp;$E792)</f>
        <v/>
      </c>
    </row>
    <row r="793">
      <c r="A793" s="9" t="n"/>
      <c r="B793" s="33" t="n"/>
      <c r="I793" s="9" t="n"/>
      <c r="L793" s="26">
        <f>IF($C793="","",IFERROR(IF(INDEX(campaigns!$BG$2:$BG$51,MATCH($C793,campaigns!$A$2:$A$51,0))="","",INDEX(campaigns!$BG$2:$BG$51,MATCH($C793,campaigns!$A$2:$A$51,0))),""))</f>
        <v/>
      </c>
      <c r="M793" s="25">
        <f>IF($C793="","",IF(OR($E793="received"),N($G793),IF(OR($E793="rejected",$E793="delivered",$E793="topped_up"),-N($G793),IF(AND(OR($E793="returned_to_brand",$E793="given_to_roster_office",$E793="released_to_office",$E793="disposed"),IF($F793="","reserve",$F793)="reserve"),-N($G793),IF(AND($E793="correction",IF($F793="","reserve",$F793)="reserve"),N($G793),0)))))</f>
        <v/>
      </c>
      <c r="N793" s="25">
        <f>IF($C793="","",IF($E793="rejected",N($G793),IF(AND(OR($E793="returned_to_brand",$E793="given_to_roster_office",$E793="released_to_office",$E793="disposed"),IF($F793="","reserve",$F793)="rejected"),-N($G793),IF(AND($E793="correction",IF($F793="","reserve",$F793)="rejected"),N($G793),0))))</f>
        <v/>
      </c>
      <c r="O793" s="25">
        <f>IF($C793="","",IF($E793="collected",N($G793),IF(AND(OR($E793="returned_to_brand",$E793="given_to_roster_office",$E793="released_to_office",$E793="disposed"),IF($F793="","reserve",$F793)="leftover"),-N($G793),IF(AND($E793="correction",IF($F793="","reserve",$F793)="leftover"),N($G793),0))))</f>
        <v/>
      </c>
      <c r="P793" s="25">
        <f>IF(OR($E793&lt;&gt;"received",$I793="",$L793=""),"",IF($I793&gt;=$L793+config!$B$19,"Y","N"))</f>
        <v/>
      </c>
      <c r="Q793" s="25">
        <f>IF($C793="","",IF(COUNTIF(campaigns!$A$2:$A$51,$C793)=0,"campaign_id not on campaigns; ",IF(AND($D793&lt;&gt;"",COUNTIFS(approvals!$A$2:$A$251,$C793,approvals!$B$2:$B$251,$D793)=0),"office not on this campaign (approvals tab); ",""))&amp;IF(AND(OR($E793="delivered",$E793="topped_up",$E793="collected"),$D793=""),"office needed; ","")&amp;IF(AND($E793&lt;&gt;"correction",N($G793)&lt;=0),"qty must be above 0; ","")&amp;IF(AND($E793="received",OR($I793="",$H793="")),"log lot and best-by; ","")&amp;IF(AND($P793="N",SUMIFS(inventory!$G$2:$G$801,inventory!$C$2:$C$801,$C793,inventory!$H$2:$H$801,$H793,inventory!$E$2:$E$801,"rejected")&lt;N($G793)),"UNDER "&amp;config!$B$19&amp;" DAYS LEFT ON THE DROP DAY: reject these units; ","")&amp;IF(AND($E793="delivered",COUNTIF(inventory!$R$2:$R$801,$R793)&gt;1),"two delivered rows for this office: use one; ","")&amp;IF(AND($E793="delivered",$J793=""),"who counted?; ",""))</f>
        <v/>
      </c>
      <c r="R793" s="25">
        <f>IF($C793="","",$C793&amp;"|"&amp;$D793&amp;"|"&amp;$E793)</f>
        <v/>
      </c>
    </row>
    <row r="794">
      <c r="A794" s="9" t="n"/>
      <c r="B794" s="33" t="n"/>
      <c r="I794" s="9" t="n"/>
      <c r="L794" s="26">
        <f>IF($C794="","",IFERROR(IF(INDEX(campaigns!$BG$2:$BG$51,MATCH($C794,campaigns!$A$2:$A$51,0))="","",INDEX(campaigns!$BG$2:$BG$51,MATCH($C794,campaigns!$A$2:$A$51,0))),""))</f>
        <v/>
      </c>
      <c r="M794" s="25">
        <f>IF($C794="","",IF(OR($E794="received"),N($G794),IF(OR($E794="rejected",$E794="delivered",$E794="topped_up"),-N($G794),IF(AND(OR($E794="returned_to_brand",$E794="given_to_roster_office",$E794="released_to_office",$E794="disposed"),IF($F794="","reserve",$F794)="reserve"),-N($G794),IF(AND($E794="correction",IF($F794="","reserve",$F794)="reserve"),N($G794),0)))))</f>
        <v/>
      </c>
      <c r="N794" s="25">
        <f>IF($C794="","",IF($E794="rejected",N($G794),IF(AND(OR($E794="returned_to_brand",$E794="given_to_roster_office",$E794="released_to_office",$E794="disposed"),IF($F794="","reserve",$F794)="rejected"),-N($G794),IF(AND($E794="correction",IF($F794="","reserve",$F794)="rejected"),N($G794),0))))</f>
        <v/>
      </c>
      <c r="O794" s="25">
        <f>IF($C794="","",IF($E794="collected",N($G794),IF(AND(OR($E794="returned_to_brand",$E794="given_to_roster_office",$E794="released_to_office",$E794="disposed"),IF($F794="","reserve",$F794)="leftover"),-N($G794),IF(AND($E794="correction",IF($F794="","reserve",$F794)="leftover"),N($G794),0))))</f>
        <v/>
      </c>
      <c r="P794" s="25">
        <f>IF(OR($E794&lt;&gt;"received",$I794="",$L794=""),"",IF($I794&gt;=$L794+config!$B$19,"Y","N"))</f>
        <v/>
      </c>
      <c r="Q794" s="25">
        <f>IF($C794="","",IF(COUNTIF(campaigns!$A$2:$A$51,$C794)=0,"campaign_id not on campaigns; ",IF(AND($D794&lt;&gt;"",COUNTIFS(approvals!$A$2:$A$251,$C794,approvals!$B$2:$B$251,$D794)=0),"office not on this campaign (approvals tab); ",""))&amp;IF(AND(OR($E794="delivered",$E794="topped_up",$E794="collected"),$D794=""),"office needed; ","")&amp;IF(AND($E794&lt;&gt;"correction",N($G794)&lt;=0),"qty must be above 0; ","")&amp;IF(AND($E794="received",OR($I794="",$H794="")),"log lot and best-by; ","")&amp;IF(AND($P794="N",SUMIFS(inventory!$G$2:$G$801,inventory!$C$2:$C$801,$C794,inventory!$H$2:$H$801,$H794,inventory!$E$2:$E$801,"rejected")&lt;N($G794)),"UNDER "&amp;config!$B$19&amp;" DAYS LEFT ON THE DROP DAY: reject these units; ","")&amp;IF(AND($E794="delivered",COUNTIF(inventory!$R$2:$R$801,$R794)&gt;1),"two delivered rows for this office: use one; ","")&amp;IF(AND($E794="delivered",$J794=""),"who counted?; ",""))</f>
        <v/>
      </c>
      <c r="R794" s="25">
        <f>IF($C794="","",$C794&amp;"|"&amp;$D794&amp;"|"&amp;$E794)</f>
        <v/>
      </c>
    </row>
    <row r="795">
      <c r="A795" s="9" t="n"/>
      <c r="B795" s="33" t="n"/>
      <c r="I795" s="9" t="n"/>
      <c r="L795" s="26">
        <f>IF($C795="","",IFERROR(IF(INDEX(campaigns!$BG$2:$BG$51,MATCH($C795,campaigns!$A$2:$A$51,0))="","",INDEX(campaigns!$BG$2:$BG$51,MATCH($C795,campaigns!$A$2:$A$51,0))),""))</f>
        <v/>
      </c>
      <c r="M795" s="25">
        <f>IF($C795="","",IF(OR($E795="received"),N($G795),IF(OR($E795="rejected",$E795="delivered",$E795="topped_up"),-N($G795),IF(AND(OR($E795="returned_to_brand",$E795="given_to_roster_office",$E795="released_to_office",$E795="disposed"),IF($F795="","reserve",$F795)="reserve"),-N($G795),IF(AND($E795="correction",IF($F795="","reserve",$F795)="reserve"),N($G795),0)))))</f>
        <v/>
      </c>
      <c r="N795" s="25">
        <f>IF($C795="","",IF($E795="rejected",N($G795),IF(AND(OR($E795="returned_to_brand",$E795="given_to_roster_office",$E795="released_to_office",$E795="disposed"),IF($F795="","reserve",$F795)="rejected"),-N($G795),IF(AND($E795="correction",IF($F795="","reserve",$F795)="rejected"),N($G795),0))))</f>
        <v/>
      </c>
      <c r="O795" s="25">
        <f>IF($C795="","",IF($E795="collected",N($G795),IF(AND(OR($E795="returned_to_brand",$E795="given_to_roster_office",$E795="released_to_office",$E795="disposed"),IF($F795="","reserve",$F795)="leftover"),-N($G795),IF(AND($E795="correction",IF($F795="","reserve",$F795)="leftover"),N($G795),0))))</f>
        <v/>
      </c>
      <c r="P795" s="25">
        <f>IF(OR($E795&lt;&gt;"received",$I795="",$L795=""),"",IF($I795&gt;=$L795+config!$B$19,"Y","N"))</f>
        <v/>
      </c>
      <c r="Q795" s="25">
        <f>IF($C795="","",IF(COUNTIF(campaigns!$A$2:$A$51,$C795)=0,"campaign_id not on campaigns; ",IF(AND($D795&lt;&gt;"",COUNTIFS(approvals!$A$2:$A$251,$C795,approvals!$B$2:$B$251,$D795)=0),"office not on this campaign (approvals tab); ",""))&amp;IF(AND(OR($E795="delivered",$E795="topped_up",$E795="collected"),$D795=""),"office needed; ","")&amp;IF(AND($E795&lt;&gt;"correction",N($G795)&lt;=0),"qty must be above 0; ","")&amp;IF(AND($E795="received",OR($I795="",$H795="")),"log lot and best-by; ","")&amp;IF(AND($P795="N",SUMIFS(inventory!$G$2:$G$801,inventory!$C$2:$C$801,$C795,inventory!$H$2:$H$801,$H795,inventory!$E$2:$E$801,"rejected")&lt;N($G795)),"UNDER "&amp;config!$B$19&amp;" DAYS LEFT ON THE DROP DAY: reject these units; ","")&amp;IF(AND($E795="delivered",COUNTIF(inventory!$R$2:$R$801,$R795)&gt;1),"two delivered rows for this office: use one; ","")&amp;IF(AND($E795="delivered",$J795=""),"who counted?; ",""))</f>
        <v/>
      </c>
      <c r="R795" s="25">
        <f>IF($C795="","",$C795&amp;"|"&amp;$D795&amp;"|"&amp;$E795)</f>
        <v/>
      </c>
    </row>
    <row r="796">
      <c r="A796" s="9" t="n"/>
      <c r="B796" s="33" t="n"/>
      <c r="I796" s="9" t="n"/>
      <c r="L796" s="26">
        <f>IF($C796="","",IFERROR(IF(INDEX(campaigns!$BG$2:$BG$51,MATCH($C796,campaigns!$A$2:$A$51,0))="","",INDEX(campaigns!$BG$2:$BG$51,MATCH($C796,campaigns!$A$2:$A$51,0))),""))</f>
        <v/>
      </c>
      <c r="M796" s="25">
        <f>IF($C796="","",IF(OR($E796="received"),N($G796),IF(OR($E796="rejected",$E796="delivered",$E796="topped_up"),-N($G796),IF(AND(OR($E796="returned_to_brand",$E796="given_to_roster_office",$E796="released_to_office",$E796="disposed"),IF($F796="","reserve",$F796)="reserve"),-N($G796),IF(AND($E796="correction",IF($F796="","reserve",$F796)="reserve"),N($G796),0)))))</f>
        <v/>
      </c>
      <c r="N796" s="25">
        <f>IF($C796="","",IF($E796="rejected",N($G796),IF(AND(OR($E796="returned_to_brand",$E796="given_to_roster_office",$E796="released_to_office",$E796="disposed"),IF($F796="","reserve",$F796)="rejected"),-N($G796),IF(AND($E796="correction",IF($F796="","reserve",$F796)="rejected"),N($G796),0))))</f>
        <v/>
      </c>
      <c r="O796" s="25">
        <f>IF($C796="","",IF($E796="collected",N($G796),IF(AND(OR($E796="returned_to_brand",$E796="given_to_roster_office",$E796="released_to_office",$E796="disposed"),IF($F796="","reserve",$F796)="leftover"),-N($G796),IF(AND($E796="correction",IF($F796="","reserve",$F796)="leftover"),N($G796),0))))</f>
        <v/>
      </c>
      <c r="P796" s="25">
        <f>IF(OR($E796&lt;&gt;"received",$I796="",$L796=""),"",IF($I796&gt;=$L796+config!$B$19,"Y","N"))</f>
        <v/>
      </c>
      <c r="Q796" s="25">
        <f>IF($C796="","",IF(COUNTIF(campaigns!$A$2:$A$51,$C796)=0,"campaign_id not on campaigns; ",IF(AND($D796&lt;&gt;"",COUNTIFS(approvals!$A$2:$A$251,$C796,approvals!$B$2:$B$251,$D796)=0),"office not on this campaign (approvals tab); ",""))&amp;IF(AND(OR($E796="delivered",$E796="topped_up",$E796="collected"),$D796=""),"office needed; ","")&amp;IF(AND($E796&lt;&gt;"correction",N($G796)&lt;=0),"qty must be above 0; ","")&amp;IF(AND($E796="received",OR($I796="",$H796="")),"log lot and best-by; ","")&amp;IF(AND($P796="N",SUMIFS(inventory!$G$2:$G$801,inventory!$C$2:$C$801,$C796,inventory!$H$2:$H$801,$H796,inventory!$E$2:$E$801,"rejected")&lt;N($G796)),"UNDER "&amp;config!$B$19&amp;" DAYS LEFT ON THE DROP DAY: reject these units; ","")&amp;IF(AND($E796="delivered",COUNTIF(inventory!$R$2:$R$801,$R796)&gt;1),"two delivered rows for this office: use one; ","")&amp;IF(AND($E796="delivered",$J796=""),"who counted?; ",""))</f>
        <v/>
      </c>
      <c r="R796" s="25">
        <f>IF($C796="","",$C796&amp;"|"&amp;$D796&amp;"|"&amp;$E796)</f>
        <v/>
      </c>
    </row>
    <row r="797">
      <c r="A797" s="9" t="n"/>
      <c r="B797" s="33" t="n"/>
      <c r="I797" s="9" t="n"/>
      <c r="L797" s="26">
        <f>IF($C797="","",IFERROR(IF(INDEX(campaigns!$BG$2:$BG$51,MATCH($C797,campaigns!$A$2:$A$51,0))="","",INDEX(campaigns!$BG$2:$BG$51,MATCH($C797,campaigns!$A$2:$A$51,0))),""))</f>
        <v/>
      </c>
      <c r="M797" s="25">
        <f>IF($C797="","",IF(OR($E797="received"),N($G797),IF(OR($E797="rejected",$E797="delivered",$E797="topped_up"),-N($G797),IF(AND(OR($E797="returned_to_brand",$E797="given_to_roster_office",$E797="released_to_office",$E797="disposed"),IF($F797="","reserve",$F797)="reserve"),-N($G797),IF(AND($E797="correction",IF($F797="","reserve",$F797)="reserve"),N($G797),0)))))</f>
        <v/>
      </c>
      <c r="N797" s="25">
        <f>IF($C797="","",IF($E797="rejected",N($G797),IF(AND(OR($E797="returned_to_brand",$E797="given_to_roster_office",$E797="released_to_office",$E797="disposed"),IF($F797="","reserve",$F797)="rejected"),-N($G797),IF(AND($E797="correction",IF($F797="","reserve",$F797)="rejected"),N($G797),0))))</f>
        <v/>
      </c>
      <c r="O797" s="25">
        <f>IF($C797="","",IF($E797="collected",N($G797),IF(AND(OR($E797="returned_to_brand",$E797="given_to_roster_office",$E797="released_to_office",$E797="disposed"),IF($F797="","reserve",$F797)="leftover"),-N($G797),IF(AND($E797="correction",IF($F797="","reserve",$F797)="leftover"),N($G797),0))))</f>
        <v/>
      </c>
      <c r="P797" s="25">
        <f>IF(OR($E797&lt;&gt;"received",$I797="",$L797=""),"",IF($I797&gt;=$L797+config!$B$19,"Y","N"))</f>
        <v/>
      </c>
      <c r="Q797" s="25">
        <f>IF($C797="","",IF(COUNTIF(campaigns!$A$2:$A$51,$C797)=0,"campaign_id not on campaigns; ",IF(AND($D797&lt;&gt;"",COUNTIFS(approvals!$A$2:$A$251,$C797,approvals!$B$2:$B$251,$D797)=0),"office not on this campaign (approvals tab); ",""))&amp;IF(AND(OR($E797="delivered",$E797="topped_up",$E797="collected"),$D797=""),"office needed; ","")&amp;IF(AND($E797&lt;&gt;"correction",N($G797)&lt;=0),"qty must be above 0; ","")&amp;IF(AND($E797="received",OR($I797="",$H797="")),"log lot and best-by; ","")&amp;IF(AND($P797="N",SUMIFS(inventory!$G$2:$G$801,inventory!$C$2:$C$801,$C797,inventory!$H$2:$H$801,$H797,inventory!$E$2:$E$801,"rejected")&lt;N($G797)),"UNDER "&amp;config!$B$19&amp;" DAYS LEFT ON THE DROP DAY: reject these units; ","")&amp;IF(AND($E797="delivered",COUNTIF(inventory!$R$2:$R$801,$R797)&gt;1),"two delivered rows for this office: use one; ","")&amp;IF(AND($E797="delivered",$J797=""),"who counted?; ",""))</f>
        <v/>
      </c>
      <c r="R797" s="25">
        <f>IF($C797="","",$C797&amp;"|"&amp;$D797&amp;"|"&amp;$E797)</f>
        <v/>
      </c>
    </row>
    <row r="798">
      <c r="A798" s="9" t="n"/>
      <c r="B798" s="33" t="n"/>
      <c r="I798" s="9" t="n"/>
      <c r="L798" s="26">
        <f>IF($C798="","",IFERROR(IF(INDEX(campaigns!$BG$2:$BG$51,MATCH($C798,campaigns!$A$2:$A$51,0))="","",INDEX(campaigns!$BG$2:$BG$51,MATCH($C798,campaigns!$A$2:$A$51,0))),""))</f>
        <v/>
      </c>
      <c r="M798" s="25">
        <f>IF($C798="","",IF(OR($E798="received"),N($G798),IF(OR($E798="rejected",$E798="delivered",$E798="topped_up"),-N($G798),IF(AND(OR($E798="returned_to_brand",$E798="given_to_roster_office",$E798="released_to_office",$E798="disposed"),IF($F798="","reserve",$F798)="reserve"),-N($G798),IF(AND($E798="correction",IF($F798="","reserve",$F798)="reserve"),N($G798),0)))))</f>
        <v/>
      </c>
      <c r="N798" s="25">
        <f>IF($C798="","",IF($E798="rejected",N($G798),IF(AND(OR($E798="returned_to_brand",$E798="given_to_roster_office",$E798="released_to_office",$E798="disposed"),IF($F798="","reserve",$F798)="rejected"),-N($G798),IF(AND($E798="correction",IF($F798="","reserve",$F798)="rejected"),N($G798),0))))</f>
        <v/>
      </c>
      <c r="O798" s="25">
        <f>IF($C798="","",IF($E798="collected",N($G798),IF(AND(OR($E798="returned_to_brand",$E798="given_to_roster_office",$E798="released_to_office",$E798="disposed"),IF($F798="","reserve",$F798)="leftover"),-N($G798),IF(AND($E798="correction",IF($F798="","reserve",$F798)="leftover"),N($G798),0))))</f>
        <v/>
      </c>
      <c r="P798" s="25">
        <f>IF(OR($E798&lt;&gt;"received",$I798="",$L798=""),"",IF($I798&gt;=$L798+config!$B$19,"Y","N"))</f>
        <v/>
      </c>
      <c r="Q798" s="25">
        <f>IF($C798="","",IF(COUNTIF(campaigns!$A$2:$A$51,$C798)=0,"campaign_id not on campaigns; ",IF(AND($D798&lt;&gt;"",COUNTIFS(approvals!$A$2:$A$251,$C798,approvals!$B$2:$B$251,$D798)=0),"office not on this campaign (approvals tab); ",""))&amp;IF(AND(OR($E798="delivered",$E798="topped_up",$E798="collected"),$D798=""),"office needed; ","")&amp;IF(AND($E798&lt;&gt;"correction",N($G798)&lt;=0),"qty must be above 0; ","")&amp;IF(AND($E798="received",OR($I798="",$H798="")),"log lot and best-by; ","")&amp;IF(AND($P798="N",SUMIFS(inventory!$G$2:$G$801,inventory!$C$2:$C$801,$C798,inventory!$H$2:$H$801,$H798,inventory!$E$2:$E$801,"rejected")&lt;N($G798)),"UNDER "&amp;config!$B$19&amp;" DAYS LEFT ON THE DROP DAY: reject these units; ","")&amp;IF(AND($E798="delivered",COUNTIF(inventory!$R$2:$R$801,$R798)&gt;1),"two delivered rows for this office: use one; ","")&amp;IF(AND($E798="delivered",$J798=""),"who counted?; ",""))</f>
        <v/>
      </c>
      <c r="R798" s="25">
        <f>IF($C798="","",$C798&amp;"|"&amp;$D798&amp;"|"&amp;$E798)</f>
        <v/>
      </c>
    </row>
    <row r="799">
      <c r="A799" s="9" t="n"/>
      <c r="B799" s="33" t="n"/>
      <c r="I799" s="9" t="n"/>
      <c r="L799" s="26">
        <f>IF($C799="","",IFERROR(IF(INDEX(campaigns!$BG$2:$BG$51,MATCH($C799,campaigns!$A$2:$A$51,0))="","",INDEX(campaigns!$BG$2:$BG$51,MATCH($C799,campaigns!$A$2:$A$51,0))),""))</f>
        <v/>
      </c>
      <c r="M799" s="25">
        <f>IF($C799="","",IF(OR($E799="received"),N($G799),IF(OR($E799="rejected",$E799="delivered",$E799="topped_up"),-N($G799),IF(AND(OR($E799="returned_to_brand",$E799="given_to_roster_office",$E799="released_to_office",$E799="disposed"),IF($F799="","reserve",$F799)="reserve"),-N($G799),IF(AND($E799="correction",IF($F799="","reserve",$F799)="reserve"),N($G799),0)))))</f>
        <v/>
      </c>
      <c r="N799" s="25">
        <f>IF($C799="","",IF($E799="rejected",N($G799),IF(AND(OR($E799="returned_to_brand",$E799="given_to_roster_office",$E799="released_to_office",$E799="disposed"),IF($F799="","reserve",$F799)="rejected"),-N($G799),IF(AND($E799="correction",IF($F799="","reserve",$F799)="rejected"),N($G799),0))))</f>
        <v/>
      </c>
      <c r="O799" s="25">
        <f>IF($C799="","",IF($E799="collected",N($G799),IF(AND(OR($E799="returned_to_brand",$E799="given_to_roster_office",$E799="released_to_office",$E799="disposed"),IF($F799="","reserve",$F799)="leftover"),-N($G799),IF(AND($E799="correction",IF($F799="","reserve",$F799)="leftover"),N($G799),0))))</f>
        <v/>
      </c>
      <c r="P799" s="25">
        <f>IF(OR($E799&lt;&gt;"received",$I799="",$L799=""),"",IF($I799&gt;=$L799+config!$B$19,"Y","N"))</f>
        <v/>
      </c>
      <c r="Q799" s="25">
        <f>IF($C799="","",IF(COUNTIF(campaigns!$A$2:$A$51,$C799)=0,"campaign_id not on campaigns; ",IF(AND($D799&lt;&gt;"",COUNTIFS(approvals!$A$2:$A$251,$C799,approvals!$B$2:$B$251,$D799)=0),"office not on this campaign (approvals tab); ",""))&amp;IF(AND(OR($E799="delivered",$E799="topped_up",$E799="collected"),$D799=""),"office needed; ","")&amp;IF(AND($E799&lt;&gt;"correction",N($G799)&lt;=0),"qty must be above 0; ","")&amp;IF(AND($E799="received",OR($I799="",$H799="")),"log lot and best-by; ","")&amp;IF(AND($P799="N",SUMIFS(inventory!$G$2:$G$801,inventory!$C$2:$C$801,$C799,inventory!$H$2:$H$801,$H799,inventory!$E$2:$E$801,"rejected")&lt;N($G799)),"UNDER "&amp;config!$B$19&amp;" DAYS LEFT ON THE DROP DAY: reject these units; ","")&amp;IF(AND($E799="delivered",COUNTIF(inventory!$R$2:$R$801,$R799)&gt;1),"two delivered rows for this office: use one; ","")&amp;IF(AND($E799="delivered",$J799=""),"who counted?; ",""))</f>
        <v/>
      </c>
      <c r="R799" s="25">
        <f>IF($C799="","",$C799&amp;"|"&amp;$D799&amp;"|"&amp;$E799)</f>
        <v/>
      </c>
    </row>
    <row r="800">
      <c r="A800" s="9" t="n"/>
      <c r="B800" s="33" t="n"/>
      <c r="I800" s="9" t="n"/>
      <c r="L800" s="26">
        <f>IF($C800="","",IFERROR(IF(INDEX(campaigns!$BG$2:$BG$51,MATCH($C800,campaigns!$A$2:$A$51,0))="","",INDEX(campaigns!$BG$2:$BG$51,MATCH($C800,campaigns!$A$2:$A$51,0))),""))</f>
        <v/>
      </c>
      <c r="M800" s="25">
        <f>IF($C800="","",IF(OR($E800="received"),N($G800),IF(OR($E800="rejected",$E800="delivered",$E800="topped_up"),-N($G800),IF(AND(OR($E800="returned_to_brand",$E800="given_to_roster_office",$E800="released_to_office",$E800="disposed"),IF($F800="","reserve",$F800)="reserve"),-N($G800),IF(AND($E800="correction",IF($F800="","reserve",$F800)="reserve"),N($G800),0)))))</f>
        <v/>
      </c>
      <c r="N800" s="25">
        <f>IF($C800="","",IF($E800="rejected",N($G800),IF(AND(OR($E800="returned_to_brand",$E800="given_to_roster_office",$E800="released_to_office",$E800="disposed"),IF($F800="","reserve",$F800)="rejected"),-N($G800),IF(AND($E800="correction",IF($F800="","reserve",$F800)="rejected"),N($G800),0))))</f>
        <v/>
      </c>
      <c r="O800" s="25">
        <f>IF($C800="","",IF($E800="collected",N($G800),IF(AND(OR($E800="returned_to_brand",$E800="given_to_roster_office",$E800="released_to_office",$E800="disposed"),IF($F800="","reserve",$F800)="leftover"),-N($G800),IF(AND($E800="correction",IF($F800="","reserve",$F800)="leftover"),N($G800),0))))</f>
        <v/>
      </c>
      <c r="P800" s="25">
        <f>IF(OR($E800&lt;&gt;"received",$I800="",$L800=""),"",IF($I800&gt;=$L800+config!$B$19,"Y","N"))</f>
        <v/>
      </c>
      <c r="Q800" s="25">
        <f>IF($C800="","",IF(COUNTIF(campaigns!$A$2:$A$51,$C800)=0,"campaign_id not on campaigns; ",IF(AND($D800&lt;&gt;"",COUNTIFS(approvals!$A$2:$A$251,$C800,approvals!$B$2:$B$251,$D800)=0),"office not on this campaign (approvals tab); ",""))&amp;IF(AND(OR($E800="delivered",$E800="topped_up",$E800="collected"),$D800=""),"office needed; ","")&amp;IF(AND($E800&lt;&gt;"correction",N($G800)&lt;=0),"qty must be above 0; ","")&amp;IF(AND($E800="received",OR($I800="",$H800="")),"log lot and best-by; ","")&amp;IF(AND($P800="N",SUMIFS(inventory!$G$2:$G$801,inventory!$C$2:$C$801,$C800,inventory!$H$2:$H$801,$H800,inventory!$E$2:$E$801,"rejected")&lt;N($G800)),"UNDER "&amp;config!$B$19&amp;" DAYS LEFT ON THE DROP DAY: reject these units; ","")&amp;IF(AND($E800="delivered",COUNTIF(inventory!$R$2:$R$801,$R800)&gt;1),"two delivered rows for this office: use one; ","")&amp;IF(AND($E800="delivered",$J800=""),"who counted?; ",""))</f>
        <v/>
      </c>
      <c r="R800" s="25">
        <f>IF($C800="","",$C800&amp;"|"&amp;$D800&amp;"|"&amp;$E800)</f>
        <v/>
      </c>
    </row>
    <row r="801">
      <c r="A801" s="9" t="n"/>
      <c r="B801" s="33" t="n"/>
      <c r="I801" s="9" t="n"/>
      <c r="L801" s="26">
        <f>IF($C801="","",IFERROR(IF(INDEX(campaigns!$BG$2:$BG$51,MATCH($C801,campaigns!$A$2:$A$51,0))="","",INDEX(campaigns!$BG$2:$BG$51,MATCH($C801,campaigns!$A$2:$A$51,0))),""))</f>
        <v/>
      </c>
      <c r="M801" s="25">
        <f>IF($C801="","",IF(OR($E801="received"),N($G801),IF(OR($E801="rejected",$E801="delivered",$E801="topped_up"),-N($G801),IF(AND(OR($E801="returned_to_brand",$E801="given_to_roster_office",$E801="released_to_office",$E801="disposed"),IF($F801="","reserve",$F801)="reserve"),-N($G801),IF(AND($E801="correction",IF($F801="","reserve",$F801)="reserve"),N($G801),0)))))</f>
        <v/>
      </c>
      <c r="N801" s="25">
        <f>IF($C801="","",IF($E801="rejected",N($G801),IF(AND(OR($E801="returned_to_brand",$E801="given_to_roster_office",$E801="released_to_office",$E801="disposed"),IF($F801="","reserve",$F801)="rejected"),-N($G801),IF(AND($E801="correction",IF($F801="","reserve",$F801)="rejected"),N($G801),0))))</f>
        <v/>
      </c>
      <c r="O801" s="25">
        <f>IF($C801="","",IF($E801="collected",N($G801),IF(AND(OR($E801="returned_to_brand",$E801="given_to_roster_office",$E801="released_to_office",$E801="disposed"),IF($F801="","reserve",$F801)="leftover"),-N($G801),IF(AND($E801="correction",IF($F801="","reserve",$F801)="leftover"),N($G801),0))))</f>
        <v/>
      </c>
      <c r="P801" s="25">
        <f>IF(OR($E801&lt;&gt;"received",$I801="",$L801=""),"",IF($I801&gt;=$L801+config!$B$19,"Y","N"))</f>
        <v/>
      </c>
      <c r="Q801" s="25">
        <f>IF($C801="","",IF(COUNTIF(campaigns!$A$2:$A$51,$C801)=0,"campaign_id not on campaigns; ",IF(AND($D801&lt;&gt;"",COUNTIFS(approvals!$A$2:$A$251,$C801,approvals!$B$2:$B$251,$D801)=0),"office not on this campaign (approvals tab); ",""))&amp;IF(AND(OR($E801="delivered",$E801="topped_up",$E801="collected"),$D801=""),"office needed; ","")&amp;IF(AND($E801&lt;&gt;"correction",N($G801)&lt;=0),"qty must be above 0; ","")&amp;IF(AND($E801="received",OR($I801="",$H801="")),"log lot and best-by; ","")&amp;IF(AND($P801="N",SUMIFS(inventory!$G$2:$G$801,inventory!$C$2:$C$801,$C801,inventory!$H$2:$H$801,$H801,inventory!$E$2:$E$801,"rejected")&lt;N($G801)),"UNDER "&amp;config!$B$19&amp;" DAYS LEFT ON THE DROP DAY: reject these units; ","")&amp;IF(AND($E801="delivered",COUNTIF(inventory!$R$2:$R$801,$R801)&gt;1),"two delivered rows for this office: use one; ","")&amp;IF(AND($E801="delivered",$J801=""),"who counted?; ",""))</f>
        <v/>
      </c>
      <c r="R801" s="25">
        <f>IF($C801="","",$C801&amp;"|"&amp;$D801&amp;"|"&amp;$E801)</f>
        <v/>
      </c>
    </row>
  </sheetData>
  <conditionalFormatting sqref="Q2:Q801">
    <cfRule type="expression" priority="1" dxfId="1">
      <formula>LEN(Q2)&gt;0</formula>
    </cfRule>
  </conditionalFormatting>
  <dataValidations count="3">
    <dataValidation sqref="E2:E801" showDropDown="0" showInputMessage="0" showErrorMessage="1" allowBlank="1" errorTitle="Not on the list" error="Pick a value from the list." type="list">
      <formula1>"received,rejected,delivered,topped_up,collected,returned_to_brand,given_to_roster_office,released_to_office,disposed,correction"</formula1>
    </dataValidation>
    <dataValidation sqref="F2:F801" showDropDown="0" showInputMessage="0" showErrorMessage="1" allowBlank="1" errorTitle="Not on the list" error="Pick a value from the list." type="list">
      <formula1>"reserve,rejected,leftover"</formula1>
    </dataValidation>
    <dataValidation sqref="J2:J801" showDropDown="0" showInputMessage="0" showErrorMessage="1" allowBlank="1" errorTitle="Not on the list" error="Pick a value from the list." type="list">
      <formula1>"founder_count,courier_count,office_count,packing_list"</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E2EFDA"/>
    <outlinePr summaryBelow="1" summaryRight="1"/>
    <pageSetUpPr/>
  </sheetPr>
  <dimension ref="A1:K7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14" customWidth="1" min="3" max="3"/>
    <col width="14" customWidth="1" min="4" max="4"/>
    <col width="14" customWidth="1" min="5" max="5"/>
    <col width="6" customWidth="1" min="6" max="6"/>
    <col width="14" customWidth="1" min="7" max="7"/>
    <col width="14" customWidth="1" min="8" max="8"/>
    <col width="24" customWidth="1" min="9" max="9"/>
    <col width="6" customWidth="1" min="10" max="10"/>
    <col width="30" customWidth="1" min="11" max="11"/>
  </cols>
  <sheetData>
    <row r="1">
      <c r="A1" s="23" t="inlineStr">
        <is>
          <t>date</t>
        </is>
      </c>
      <c r="B1" s="23" t="inlineStr">
        <is>
          <t>time</t>
        </is>
      </c>
      <c r="C1" s="23" t="inlineStr">
        <is>
          <t>campaign_id</t>
        </is>
      </c>
      <c r="D1" s="23" t="inlineStr">
        <is>
          <t>office_id</t>
        </is>
      </c>
      <c r="E1" s="23" t="inlineStr">
        <is>
          <t>count_type</t>
        </is>
      </c>
      <c r="F1" s="23" t="inlineStr">
        <is>
          <t>units</t>
        </is>
      </c>
      <c r="G1" s="23" t="inlineStr">
        <is>
          <t>source</t>
        </is>
      </c>
      <c r="H1" s="23" t="inlineStr">
        <is>
          <t>photo_id</t>
        </is>
      </c>
      <c r="I1" s="23" t="inlineStr">
        <is>
          <t>note</t>
        </is>
      </c>
      <c r="J1" s="24" t="inlineStr">
        <is>
          <t>window_day</t>
        </is>
      </c>
      <c r="K1" s="24" t="inlineStr">
        <is>
          <t>checks</t>
        </is>
      </c>
    </row>
    <row r="2">
      <c r="A2" s="9" t="n">
        <v>46399</v>
      </c>
      <c r="B2" s="33" t="n">
        <v>0.3569444444444445</v>
      </c>
      <c r="C2" t="inlineStr">
        <is>
          <t>SAMPLE-CMP-001</t>
        </is>
      </c>
      <c r="D2" t="inlineStr">
        <is>
          <t>SAMPLE-O-001</t>
        </is>
      </c>
      <c r="E2" t="inlineStr">
        <is>
          <t>placed</t>
        </is>
      </c>
      <c r="F2" t="n">
        <v>40</v>
      </c>
      <c r="G2" t="inlineStr">
        <is>
          <t>photo</t>
        </is>
      </c>
      <c r="H2" t="inlineStr">
        <is>
          <t>SAMPLE-PH-0001</t>
        </is>
      </c>
      <c r="J2" s="25">
        <f>IF(OR($C2="",$A2=""),"",IF($A2&lt;IFERROR(IF(INDEX(campaigns!$BG$2:$BG$51,MATCH($C2,campaigns!$A$2:$A$51,0))="","",INDEX(campaigns!$BG$2:$BG$51,MATCH($C2,campaigns!$A$2:$A$51,0))),""),0,NETWORKDAYS(IFERROR(IF(INDEX(campaigns!$BG$2:$BG$51,MATCH($C2,campaigns!$A$2:$A$51,0))="","",INDEX(campaigns!$BG$2:$BG$51,MATCH($C2,campaigns!$A$2:$A$51,0))),""),$A2,calendar!$A$2:$A$80)))</f>
        <v/>
      </c>
      <c r="K2" s="25">
        <f>IF($C2="","",IF(COUNTIF(campaigns!$A$2:$A$51,$C2)=0,"campaign_id not on campaigns; ",IF(AND($D2&lt;&gt;"",COUNTIFS(approvals!$A$2:$A$251,$C2,approvals!$B$2:$B$251,$D2)=0),"office not on this campaign (approvals tab); ",""))&amp;IF(COUNTIFS(counts!$C$2:$C$701,$C2,counts!$D$2:$D$701,$D2,counts!$E$2:$E$701,$E2)&gt;1,"two "&amp;$E2&amp;" counts: keep one; ","")&amp;IF(AND($E2="remaining_day5",N($J2)&lt;5),"day-5 count logged before day 5; ","")&amp;IF(AND($G2="photo",$H2=""),"which photo?; ",""))</f>
        <v/>
      </c>
    </row>
    <row r="3">
      <c r="A3" s="9" t="n">
        <v>46401</v>
      </c>
      <c r="B3" s="33" t="n">
        <v>0.4583333333333333</v>
      </c>
      <c r="C3" t="inlineStr">
        <is>
          <t>SAMPLE-CMP-001</t>
        </is>
      </c>
      <c r="D3" t="inlineStr">
        <is>
          <t>SAMPLE-O-001</t>
        </is>
      </c>
      <c r="E3" t="inlineStr">
        <is>
          <t>remaining_day3</t>
        </is>
      </c>
      <c r="F3" t="n">
        <v>4</v>
      </c>
      <c r="G3" t="inlineStr">
        <is>
          <t>owner_report</t>
        </is>
      </c>
      <c r="J3" s="25">
        <f>IF(OR($C3="",$A3=""),"",IF($A3&lt;IFERROR(IF(INDEX(campaigns!$BG$2:$BG$51,MATCH($C3,campaigns!$A$2:$A$51,0))="","",INDEX(campaigns!$BG$2:$BG$51,MATCH($C3,campaigns!$A$2:$A$51,0))),""),0,NETWORKDAYS(IFERROR(IF(INDEX(campaigns!$BG$2:$BG$51,MATCH($C3,campaigns!$A$2:$A$51,0))="","",INDEX(campaigns!$BG$2:$BG$51,MATCH($C3,campaigns!$A$2:$A$51,0))),""),$A3,calendar!$A$2:$A$80)))</f>
        <v/>
      </c>
      <c r="K3" s="25">
        <f>IF($C3="","",IF(COUNTIF(campaigns!$A$2:$A$51,$C3)=0,"campaign_id not on campaigns; ",IF(AND($D3&lt;&gt;"",COUNTIFS(approvals!$A$2:$A$251,$C3,approvals!$B$2:$B$251,$D3)=0),"office not on this campaign (approvals tab); ",""))&amp;IF(COUNTIFS(counts!$C$2:$C$701,$C3,counts!$D$2:$D$701,$D3,counts!$E$2:$E$701,$E3)&gt;1,"two "&amp;$E3&amp;" counts: keep one; ","")&amp;IF(AND($E3="remaining_day5",N($J3)&lt;5),"day-5 count logged before day 5; ","")&amp;IF(AND($G3="photo",$H3=""),"which photo?; ",""))</f>
        <v/>
      </c>
    </row>
    <row r="4">
      <c r="A4" s="9" t="n">
        <v>46399</v>
      </c>
      <c r="B4" s="33" t="n">
        <v>0.4861111111111111</v>
      </c>
      <c r="C4" t="inlineStr">
        <is>
          <t>SAMPLE-CMP-001</t>
        </is>
      </c>
      <c r="D4" t="inlineStr">
        <is>
          <t>SAMPLE-O-002</t>
        </is>
      </c>
      <c r="E4" t="inlineStr">
        <is>
          <t>placed</t>
        </is>
      </c>
      <c r="F4" t="n">
        <v>38</v>
      </c>
      <c r="G4" t="inlineStr">
        <is>
          <t>photo</t>
        </is>
      </c>
      <c r="H4" t="inlineStr">
        <is>
          <t>SAMPLE-PH-0003</t>
        </is>
      </c>
      <c r="J4" s="25">
        <f>IF(OR($C4="",$A4=""),"",IF($A4&lt;IFERROR(IF(INDEX(campaigns!$BG$2:$BG$51,MATCH($C4,campaigns!$A$2:$A$51,0))="","",INDEX(campaigns!$BG$2:$BG$51,MATCH($C4,campaigns!$A$2:$A$51,0))),""),0,NETWORKDAYS(IFERROR(IF(INDEX(campaigns!$BG$2:$BG$51,MATCH($C4,campaigns!$A$2:$A$51,0))="","",INDEX(campaigns!$BG$2:$BG$51,MATCH($C4,campaigns!$A$2:$A$51,0))),""),$A4,calendar!$A$2:$A$80)))</f>
        <v/>
      </c>
      <c r="K4" s="25">
        <f>IF($C4="","",IF(COUNTIF(campaigns!$A$2:$A$51,$C4)=0,"campaign_id not on campaigns; ",IF(AND($D4&lt;&gt;"",COUNTIFS(approvals!$A$2:$A$251,$C4,approvals!$B$2:$B$251,$D4)=0),"office not on this campaign (approvals tab); ",""))&amp;IF(COUNTIFS(counts!$C$2:$C$701,$C4,counts!$D$2:$D$701,$D4,counts!$E$2:$E$701,$E4)&gt;1,"two "&amp;$E4&amp;" counts: keep one; ","")&amp;IF(AND($E4="remaining_day5",N($J4)&lt;5),"day-5 count logged before day 5; ","")&amp;IF(AND($G4="photo",$H4=""),"which photo?; ",""))</f>
        <v/>
      </c>
    </row>
    <row r="5">
      <c r="A5" s="9" t="n">
        <v>46401</v>
      </c>
      <c r="B5" s="33" t="n">
        <v>0.4583333333333333</v>
      </c>
      <c r="C5" t="inlineStr">
        <is>
          <t>SAMPLE-CMP-001</t>
        </is>
      </c>
      <c r="D5" t="inlineStr">
        <is>
          <t>SAMPLE-O-002</t>
        </is>
      </c>
      <c r="E5" t="inlineStr">
        <is>
          <t>remaining_day3</t>
        </is>
      </c>
      <c r="F5" t="n">
        <v>15</v>
      </c>
      <c r="G5" t="inlineStr">
        <is>
          <t>owner_report</t>
        </is>
      </c>
      <c r="J5" s="25">
        <f>IF(OR($C5="",$A5=""),"",IF($A5&lt;IFERROR(IF(INDEX(campaigns!$BG$2:$BG$51,MATCH($C5,campaigns!$A$2:$A$51,0))="","",INDEX(campaigns!$BG$2:$BG$51,MATCH($C5,campaigns!$A$2:$A$51,0))),""),0,NETWORKDAYS(IFERROR(IF(INDEX(campaigns!$BG$2:$BG$51,MATCH($C5,campaigns!$A$2:$A$51,0))="","",INDEX(campaigns!$BG$2:$BG$51,MATCH($C5,campaigns!$A$2:$A$51,0))),""),$A5,calendar!$A$2:$A$80)))</f>
        <v/>
      </c>
      <c r="K5" s="25">
        <f>IF($C5="","",IF(COUNTIF(campaigns!$A$2:$A$51,$C5)=0,"campaign_id not on campaigns; ",IF(AND($D5&lt;&gt;"",COUNTIFS(approvals!$A$2:$A$251,$C5,approvals!$B$2:$B$251,$D5)=0),"office not on this campaign (approvals tab); ",""))&amp;IF(COUNTIFS(counts!$C$2:$C$701,$C5,counts!$D$2:$D$701,$D5,counts!$E$2:$E$701,$E5)&gt;1,"two "&amp;$E5&amp;" counts: keep one; ","")&amp;IF(AND($E5="remaining_day5",N($J5)&lt;5),"day-5 count logged before day 5; ","")&amp;IF(AND($G5="photo",$H5=""),"which photo?; ",""))</f>
        <v/>
      </c>
    </row>
    <row r="6">
      <c r="A6" s="9" t="n">
        <v>46399</v>
      </c>
      <c r="B6" s="33" t="n">
        <v>0.3819444444444444</v>
      </c>
      <c r="C6" t="inlineStr">
        <is>
          <t>SAMPLE-CMP-001</t>
        </is>
      </c>
      <c r="D6" t="inlineStr">
        <is>
          <t>SAMPLE-O-003</t>
        </is>
      </c>
      <c r="E6" t="inlineStr">
        <is>
          <t>placed</t>
        </is>
      </c>
      <c r="F6" t="n">
        <v>50</v>
      </c>
      <c r="G6" t="inlineStr">
        <is>
          <t>photo</t>
        </is>
      </c>
      <c r="H6" t="inlineStr">
        <is>
          <t>SAMPLE-PH-0005</t>
        </is>
      </c>
      <c r="J6" s="25">
        <f>IF(OR($C6="",$A6=""),"",IF($A6&lt;IFERROR(IF(INDEX(campaigns!$BG$2:$BG$51,MATCH($C6,campaigns!$A$2:$A$51,0))="","",INDEX(campaigns!$BG$2:$BG$51,MATCH($C6,campaigns!$A$2:$A$51,0))),""),0,NETWORKDAYS(IFERROR(IF(INDEX(campaigns!$BG$2:$BG$51,MATCH($C6,campaigns!$A$2:$A$51,0))="","",INDEX(campaigns!$BG$2:$BG$51,MATCH($C6,campaigns!$A$2:$A$51,0))),""),$A6,calendar!$A$2:$A$80)))</f>
        <v/>
      </c>
      <c r="K6" s="25">
        <f>IF($C6="","",IF(COUNTIF(campaigns!$A$2:$A$51,$C6)=0,"campaign_id not on campaigns; ",IF(AND($D6&lt;&gt;"",COUNTIFS(approvals!$A$2:$A$251,$C6,approvals!$B$2:$B$251,$D6)=0),"office not on this campaign (approvals tab); ",""))&amp;IF(COUNTIFS(counts!$C$2:$C$701,$C6,counts!$D$2:$D$701,$D6,counts!$E$2:$E$701,$E6)&gt;1,"two "&amp;$E6&amp;" counts: keep one; ","")&amp;IF(AND($E6="remaining_day5",N($J6)&lt;5),"day-5 count logged before day 5; ","")&amp;IF(AND($G6="photo",$H6=""),"which photo?; ",""))</f>
        <v/>
      </c>
    </row>
    <row r="7">
      <c r="A7" s="9" t="n">
        <v>46401</v>
      </c>
      <c r="B7" s="33" t="n">
        <v>0.4583333333333333</v>
      </c>
      <c r="C7" t="inlineStr">
        <is>
          <t>SAMPLE-CMP-001</t>
        </is>
      </c>
      <c r="D7" t="inlineStr">
        <is>
          <t>SAMPLE-O-003</t>
        </is>
      </c>
      <c r="E7" t="inlineStr">
        <is>
          <t>remaining_day3</t>
        </is>
      </c>
      <c r="F7" t="n">
        <v>18</v>
      </c>
      <c r="G7" t="inlineStr">
        <is>
          <t>owner_report</t>
        </is>
      </c>
      <c r="J7" s="25">
        <f>IF(OR($C7="",$A7=""),"",IF($A7&lt;IFERROR(IF(INDEX(campaigns!$BG$2:$BG$51,MATCH($C7,campaigns!$A$2:$A$51,0))="","",INDEX(campaigns!$BG$2:$BG$51,MATCH($C7,campaigns!$A$2:$A$51,0))),""),0,NETWORKDAYS(IFERROR(IF(INDEX(campaigns!$BG$2:$BG$51,MATCH($C7,campaigns!$A$2:$A$51,0))="","",INDEX(campaigns!$BG$2:$BG$51,MATCH($C7,campaigns!$A$2:$A$51,0))),""),$A7,calendar!$A$2:$A$80)))</f>
        <v/>
      </c>
      <c r="K7" s="25">
        <f>IF($C7="","",IF(COUNTIF(campaigns!$A$2:$A$51,$C7)=0,"campaign_id not on campaigns; ",IF(AND($D7&lt;&gt;"",COUNTIFS(approvals!$A$2:$A$251,$C7,approvals!$B$2:$B$251,$D7)=0),"office not on this campaign (approvals tab); ",""))&amp;IF(COUNTIFS(counts!$C$2:$C$701,$C7,counts!$D$2:$D$701,$D7,counts!$E$2:$E$701,$E7)&gt;1,"two "&amp;$E7&amp;" counts: keep one; ","")&amp;IF(AND($E7="remaining_day5",N($J7)&lt;5),"day-5 count logged before day 5; ","")&amp;IF(AND($G7="photo",$H7=""),"which photo?; ",""))</f>
        <v/>
      </c>
    </row>
    <row r="8">
      <c r="A8" s="9" t="n">
        <v>46401</v>
      </c>
      <c r="B8" s="33" t="n">
        <v>0.40625</v>
      </c>
      <c r="C8" t="inlineStr">
        <is>
          <t>SAMPLE-CMP-001</t>
        </is>
      </c>
      <c r="D8" t="inlineStr">
        <is>
          <t>SAMPLE-O-004</t>
        </is>
      </c>
      <c r="E8" t="inlineStr">
        <is>
          <t>placed</t>
        </is>
      </c>
      <c r="F8" t="n">
        <v>50</v>
      </c>
      <c r="G8" t="inlineStr">
        <is>
          <t>photo</t>
        </is>
      </c>
      <c r="H8" t="inlineStr">
        <is>
          <t>SAMPLE-PH-0007</t>
        </is>
      </c>
      <c r="J8" s="25">
        <f>IF(OR($C8="",$A8=""),"",IF($A8&lt;IFERROR(IF(INDEX(campaigns!$BG$2:$BG$51,MATCH($C8,campaigns!$A$2:$A$51,0))="","",INDEX(campaigns!$BG$2:$BG$51,MATCH($C8,campaigns!$A$2:$A$51,0))),""),0,NETWORKDAYS(IFERROR(IF(INDEX(campaigns!$BG$2:$BG$51,MATCH($C8,campaigns!$A$2:$A$51,0))="","",INDEX(campaigns!$BG$2:$BG$51,MATCH($C8,campaigns!$A$2:$A$51,0))),""),$A8,calendar!$A$2:$A$80)))</f>
        <v/>
      </c>
      <c r="K8" s="25">
        <f>IF($C8="","",IF(COUNTIF(campaigns!$A$2:$A$51,$C8)=0,"campaign_id not on campaigns; ",IF(AND($D8&lt;&gt;"",COUNTIFS(approvals!$A$2:$A$251,$C8,approvals!$B$2:$B$251,$D8)=0),"office not on this campaign (approvals tab); ",""))&amp;IF(COUNTIFS(counts!$C$2:$C$701,$C8,counts!$D$2:$D$701,$D8,counts!$E$2:$E$701,$E8)&gt;1,"two "&amp;$E8&amp;" counts: keep one; ","")&amp;IF(AND($E8="remaining_day5",N($J8)&lt;5),"day-5 count logged before day 5; ","")&amp;IF(AND($G8="photo",$H8=""),"which photo?; ",""))</f>
        <v/>
      </c>
    </row>
    <row r="9">
      <c r="A9" s="9" t="n">
        <v>46401</v>
      </c>
      <c r="B9" s="33" t="n">
        <v>0.4583333333333333</v>
      </c>
      <c r="C9" t="inlineStr">
        <is>
          <t>SAMPLE-CMP-001</t>
        </is>
      </c>
      <c r="D9" t="inlineStr">
        <is>
          <t>SAMPLE-O-004</t>
        </is>
      </c>
      <c r="E9" t="inlineStr">
        <is>
          <t>remaining_day3</t>
        </is>
      </c>
      <c r="F9" t="n">
        <v>41</v>
      </c>
      <c r="G9" t="inlineStr">
        <is>
          <t>owner_report</t>
        </is>
      </c>
      <c r="J9" s="25">
        <f>IF(OR($C9="",$A9=""),"",IF($A9&lt;IFERROR(IF(INDEX(campaigns!$BG$2:$BG$51,MATCH($C9,campaigns!$A$2:$A$51,0))="","",INDEX(campaigns!$BG$2:$BG$51,MATCH($C9,campaigns!$A$2:$A$51,0))),""),0,NETWORKDAYS(IFERROR(IF(INDEX(campaigns!$BG$2:$BG$51,MATCH($C9,campaigns!$A$2:$A$51,0))="","",INDEX(campaigns!$BG$2:$BG$51,MATCH($C9,campaigns!$A$2:$A$51,0))),""),$A9,calendar!$A$2:$A$80)))</f>
        <v/>
      </c>
      <c r="K9" s="25">
        <f>IF($C9="","",IF(COUNTIF(campaigns!$A$2:$A$51,$C9)=0,"campaign_id not on campaigns; ",IF(AND($D9&lt;&gt;"",COUNTIFS(approvals!$A$2:$A$251,$C9,approvals!$B$2:$B$251,$D9)=0),"office not on this campaign (approvals tab); ",""))&amp;IF(COUNTIFS(counts!$C$2:$C$701,$C9,counts!$D$2:$D$701,$D9,counts!$E$2:$E$701,$E9)&gt;1,"two "&amp;$E9&amp;" counts: keep one; ","")&amp;IF(AND($E9="remaining_day5",N($J9)&lt;5),"day-5 count logged before day 5; ","")&amp;IF(AND($G9="photo",$H9=""),"which photo?; ",""))</f>
        <v/>
      </c>
    </row>
    <row r="10">
      <c r="A10" s="9" t="n">
        <v>46399</v>
      </c>
      <c r="B10" s="33" t="n">
        <v>0.5902777777777778</v>
      </c>
      <c r="C10" t="inlineStr">
        <is>
          <t>SAMPLE-CMP-001</t>
        </is>
      </c>
      <c r="D10" t="inlineStr">
        <is>
          <t>SAMPLE-O-005</t>
        </is>
      </c>
      <c r="E10" t="inlineStr">
        <is>
          <t>placed</t>
        </is>
      </c>
      <c r="F10" t="n">
        <v>70</v>
      </c>
      <c r="G10" t="inlineStr">
        <is>
          <t>photo</t>
        </is>
      </c>
      <c r="H10" t="inlineStr">
        <is>
          <t>SAMPLE-PH-0009</t>
        </is>
      </c>
      <c r="J10" s="25">
        <f>IF(OR($C10="",$A10=""),"",IF($A10&lt;IFERROR(IF(INDEX(campaigns!$BG$2:$BG$51,MATCH($C10,campaigns!$A$2:$A$51,0))="","",INDEX(campaigns!$BG$2:$BG$51,MATCH($C10,campaigns!$A$2:$A$51,0))),""),0,NETWORKDAYS(IFERROR(IF(INDEX(campaigns!$BG$2:$BG$51,MATCH($C10,campaigns!$A$2:$A$51,0))="","",INDEX(campaigns!$BG$2:$BG$51,MATCH($C10,campaigns!$A$2:$A$51,0))),""),$A10,calendar!$A$2:$A$80)))</f>
        <v/>
      </c>
      <c r="K10" s="25">
        <f>IF($C10="","",IF(COUNTIF(campaigns!$A$2:$A$51,$C10)=0,"campaign_id not on campaigns; ",IF(AND($D10&lt;&gt;"",COUNTIFS(approvals!$A$2:$A$251,$C10,approvals!$B$2:$B$251,$D10)=0),"office not on this campaign (approvals tab); ",""))&amp;IF(COUNTIFS(counts!$C$2:$C$701,$C10,counts!$D$2:$D$701,$D10,counts!$E$2:$E$701,$E10)&gt;1,"two "&amp;$E10&amp;" counts: keep one; ","")&amp;IF(AND($E10="remaining_day5",N($J10)&lt;5),"day-5 count logged before day 5; ","")&amp;IF(AND($G10="photo",$H10=""),"which photo?; ",""))</f>
        <v/>
      </c>
    </row>
    <row r="11">
      <c r="A11" s="9" t="n">
        <v>46401</v>
      </c>
      <c r="B11" s="33" t="n">
        <v>0.4583333333333333</v>
      </c>
      <c r="C11" t="inlineStr">
        <is>
          <t>SAMPLE-CMP-001</t>
        </is>
      </c>
      <c r="D11" t="inlineStr">
        <is>
          <t>SAMPLE-O-005</t>
        </is>
      </c>
      <c r="E11" t="inlineStr">
        <is>
          <t>remaining_day3</t>
        </is>
      </c>
      <c r="F11" t="n">
        <v>22</v>
      </c>
      <c r="G11" t="inlineStr">
        <is>
          <t>owner_report</t>
        </is>
      </c>
      <c r="J11" s="25">
        <f>IF(OR($C11="",$A11=""),"",IF($A11&lt;IFERROR(IF(INDEX(campaigns!$BG$2:$BG$51,MATCH($C11,campaigns!$A$2:$A$51,0))="","",INDEX(campaigns!$BG$2:$BG$51,MATCH($C11,campaigns!$A$2:$A$51,0))),""),0,NETWORKDAYS(IFERROR(IF(INDEX(campaigns!$BG$2:$BG$51,MATCH($C11,campaigns!$A$2:$A$51,0))="","",INDEX(campaigns!$BG$2:$BG$51,MATCH($C11,campaigns!$A$2:$A$51,0))),""),$A11,calendar!$A$2:$A$80)))</f>
        <v/>
      </c>
      <c r="K11" s="25">
        <f>IF($C11="","",IF(COUNTIF(campaigns!$A$2:$A$51,$C11)=0,"campaign_id not on campaigns; ",IF(AND($D11&lt;&gt;"",COUNTIFS(approvals!$A$2:$A$251,$C11,approvals!$B$2:$B$251,$D11)=0),"office not on this campaign (approvals tab); ",""))&amp;IF(COUNTIFS(counts!$C$2:$C$701,$C11,counts!$D$2:$D$701,$D11,counts!$E$2:$E$701,$E11)&gt;1,"two "&amp;$E11&amp;" counts: keep one; ","")&amp;IF(AND($E11="remaining_day5",N($J11)&lt;5),"day-5 count logged before day 5; ","")&amp;IF(AND($G11="photo",$H11=""),"which photo?; ",""))</f>
        <v/>
      </c>
    </row>
    <row r="12">
      <c r="A12" s="9" t="n">
        <v>46399</v>
      </c>
      <c r="B12" s="33" t="n">
        <v>0.3569444444444445</v>
      </c>
      <c r="C12" t="inlineStr">
        <is>
          <t>SAMPLE-CMP-002</t>
        </is>
      </c>
      <c r="D12" t="inlineStr">
        <is>
          <t>SAMPLE-O-001</t>
        </is>
      </c>
      <c r="E12" t="inlineStr">
        <is>
          <t>placed</t>
        </is>
      </c>
      <c r="F12" t="n">
        <v>40</v>
      </c>
      <c r="G12" t="inlineStr">
        <is>
          <t>photo</t>
        </is>
      </c>
      <c r="H12" t="inlineStr">
        <is>
          <t>SAMPLE-PH-0012</t>
        </is>
      </c>
      <c r="J12" s="25">
        <f>IF(OR($C12="",$A12=""),"",IF($A12&lt;IFERROR(IF(INDEX(campaigns!$BG$2:$BG$51,MATCH($C12,campaigns!$A$2:$A$51,0))="","",INDEX(campaigns!$BG$2:$BG$51,MATCH($C12,campaigns!$A$2:$A$51,0))),""),0,NETWORKDAYS(IFERROR(IF(INDEX(campaigns!$BG$2:$BG$51,MATCH($C12,campaigns!$A$2:$A$51,0))="","",INDEX(campaigns!$BG$2:$BG$51,MATCH($C12,campaigns!$A$2:$A$51,0))),""),$A12,calendar!$A$2:$A$80)))</f>
        <v/>
      </c>
      <c r="K12" s="25">
        <f>IF($C12="","",IF(COUNTIF(campaigns!$A$2:$A$51,$C12)=0,"campaign_id not on campaigns; ",IF(AND($D12&lt;&gt;"",COUNTIFS(approvals!$A$2:$A$251,$C12,approvals!$B$2:$B$251,$D12)=0),"office not on this campaign (approvals tab); ",""))&amp;IF(COUNTIFS(counts!$C$2:$C$701,$C12,counts!$D$2:$D$701,$D12,counts!$E$2:$E$701,$E12)&gt;1,"two "&amp;$E12&amp;" counts: keep one; ","")&amp;IF(AND($E12="remaining_day5",N($J12)&lt;5),"day-5 count logged before day 5; ","")&amp;IF(AND($G12="photo",$H12=""),"which photo?; ",""))</f>
        <v/>
      </c>
    </row>
    <row r="13">
      <c r="A13" s="9" t="n">
        <v>46401</v>
      </c>
      <c r="B13" s="33" t="n">
        <v>0.4583333333333333</v>
      </c>
      <c r="C13" t="inlineStr">
        <is>
          <t>SAMPLE-CMP-002</t>
        </is>
      </c>
      <c r="D13" t="inlineStr">
        <is>
          <t>SAMPLE-O-001</t>
        </is>
      </c>
      <c r="E13" t="inlineStr">
        <is>
          <t>remaining_day3</t>
        </is>
      </c>
      <c r="F13" t="n">
        <v>14</v>
      </c>
      <c r="G13" t="inlineStr">
        <is>
          <t>owner_report</t>
        </is>
      </c>
      <c r="J13" s="25">
        <f>IF(OR($C13="",$A13=""),"",IF($A13&lt;IFERROR(IF(INDEX(campaigns!$BG$2:$BG$51,MATCH($C13,campaigns!$A$2:$A$51,0))="","",INDEX(campaigns!$BG$2:$BG$51,MATCH($C13,campaigns!$A$2:$A$51,0))),""),0,NETWORKDAYS(IFERROR(IF(INDEX(campaigns!$BG$2:$BG$51,MATCH($C13,campaigns!$A$2:$A$51,0))="","",INDEX(campaigns!$BG$2:$BG$51,MATCH($C13,campaigns!$A$2:$A$51,0))),""),$A13,calendar!$A$2:$A$80)))</f>
        <v/>
      </c>
      <c r="K13" s="25">
        <f>IF($C13="","",IF(COUNTIF(campaigns!$A$2:$A$51,$C13)=0,"campaign_id not on campaigns; ",IF(AND($D13&lt;&gt;"",COUNTIFS(approvals!$A$2:$A$251,$C13,approvals!$B$2:$B$251,$D13)=0),"office not on this campaign (approvals tab); ",""))&amp;IF(COUNTIFS(counts!$C$2:$C$701,$C13,counts!$D$2:$D$701,$D13,counts!$E$2:$E$701,$E13)&gt;1,"two "&amp;$E13&amp;" counts: keep one; ","")&amp;IF(AND($E13="remaining_day5",N($J13)&lt;5),"day-5 count logged before day 5; ","")&amp;IF(AND($G13="photo",$H13=""),"which photo?; ",""))</f>
        <v/>
      </c>
    </row>
    <row r="14">
      <c r="A14" s="9" t="n">
        <v>46399</v>
      </c>
      <c r="B14" s="33" t="n">
        <v>0.4861111111111111</v>
      </c>
      <c r="C14" t="inlineStr">
        <is>
          <t>SAMPLE-CMP-002</t>
        </is>
      </c>
      <c r="D14" t="inlineStr">
        <is>
          <t>SAMPLE-O-002</t>
        </is>
      </c>
      <c r="E14" t="inlineStr">
        <is>
          <t>placed</t>
        </is>
      </c>
      <c r="F14" t="n">
        <v>40</v>
      </c>
      <c r="G14" t="inlineStr">
        <is>
          <t>photo</t>
        </is>
      </c>
      <c r="H14" t="inlineStr">
        <is>
          <t>SAMPLE-PH-0014</t>
        </is>
      </c>
      <c r="J14" s="25">
        <f>IF(OR($C14="",$A14=""),"",IF($A14&lt;IFERROR(IF(INDEX(campaigns!$BG$2:$BG$51,MATCH($C14,campaigns!$A$2:$A$51,0))="","",INDEX(campaigns!$BG$2:$BG$51,MATCH($C14,campaigns!$A$2:$A$51,0))),""),0,NETWORKDAYS(IFERROR(IF(INDEX(campaigns!$BG$2:$BG$51,MATCH($C14,campaigns!$A$2:$A$51,0))="","",INDEX(campaigns!$BG$2:$BG$51,MATCH($C14,campaigns!$A$2:$A$51,0))),""),$A14,calendar!$A$2:$A$80)))</f>
        <v/>
      </c>
      <c r="K14" s="25">
        <f>IF($C14="","",IF(COUNTIF(campaigns!$A$2:$A$51,$C14)=0,"campaign_id not on campaigns; ",IF(AND($D14&lt;&gt;"",COUNTIFS(approvals!$A$2:$A$251,$C14,approvals!$B$2:$B$251,$D14)=0),"office not on this campaign (approvals tab); ",""))&amp;IF(COUNTIFS(counts!$C$2:$C$701,$C14,counts!$D$2:$D$701,$D14,counts!$E$2:$E$701,$E14)&gt;1,"two "&amp;$E14&amp;" counts: keep one; ","")&amp;IF(AND($E14="remaining_day5",N($J14)&lt;5),"day-5 count logged before day 5; ","")&amp;IF(AND($G14="photo",$H14=""),"which photo?; ",""))</f>
        <v/>
      </c>
    </row>
    <row r="15">
      <c r="A15" s="9" t="n">
        <v>46401</v>
      </c>
      <c r="B15" s="33" t="n">
        <v>0.4583333333333333</v>
      </c>
      <c r="C15" t="inlineStr">
        <is>
          <t>SAMPLE-CMP-002</t>
        </is>
      </c>
      <c r="D15" t="inlineStr">
        <is>
          <t>SAMPLE-O-002</t>
        </is>
      </c>
      <c r="E15" t="inlineStr">
        <is>
          <t>remaining_day3</t>
        </is>
      </c>
      <c r="F15" t="n">
        <v>16</v>
      </c>
      <c r="G15" t="inlineStr">
        <is>
          <t>owner_report</t>
        </is>
      </c>
      <c r="J15" s="25">
        <f>IF(OR($C15="",$A15=""),"",IF($A15&lt;IFERROR(IF(INDEX(campaigns!$BG$2:$BG$51,MATCH($C15,campaigns!$A$2:$A$51,0))="","",INDEX(campaigns!$BG$2:$BG$51,MATCH($C15,campaigns!$A$2:$A$51,0))),""),0,NETWORKDAYS(IFERROR(IF(INDEX(campaigns!$BG$2:$BG$51,MATCH($C15,campaigns!$A$2:$A$51,0))="","",INDEX(campaigns!$BG$2:$BG$51,MATCH($C15,campaigns!$A$2:$A$51,0))),""),$A15,calendar!$A$2:$A$80)))</f>
        <v/>
      </c>
      <c r="K15" s="25">
        <f>IF($C15="","",IF(COUNTIF(campaigns!$A$2:$A$51,$C15)=0,"campaign_id not on campaigns; ",IF(AND($D15&lt;&gt;"",COUNTIFS(approvals!$A$2:$A$251,$C15,approvals!$B$2:$B$251,$D15)=0),"office not on this campaign (approvals tab); ",""))&amp;IF(COUNTIFS(counts!$C$2:$C$701,$C15,counts!$D$2:$D$701,$D15,counts!$E$2:$E$701,$E15)&gt;1,"two "&amp;$E15&amp;" counts: keep one; ","")&amp;IF(AND($E15="remaining_day5",N($J15)&lt;5),"day-5 count logged before day 5; ","")&amp;IF(AND($G15="photo",$H15=""),"which photo?; ",""))</f>
        <v/>
      </c>
    </row>
    <row r="16">
      <c r="A16" s="9" t="n">
        <v>46399</v>
      </c>
      <c r="B16" s="33" t="n">
        <v>0.3819444444444444</v>
      </c>
      <c r="C16" t="inlineStr">
        <is>
          <t>SAMPLE-CMP-002</t>
        </is>
      </c>
      <c r="D16" t="inlineStr">
        <is>
          <t>SAMPLE-O-003</t>
        </is>
      </c>
      <c r="E16" t="inlineStr">
        <is>
          <t>placed</t>
        </is>
      </c>
      <c r="F16" t="n">
        <v>50</v>
      </c>
      <c r="G16" t="inlineStr">
        <is>
          <t>photo</t>
        </is>
      </c>
      <c r="H16" t="inlineStr">
        <is>
          <t>SAMPLE-PH-0016</t>
        </is>
      </c>
      <c r="J16" s="25">
        <f>IF(OR($C16="",$A16=""),"",IF($A16&lt;IFERROR(IF(INDEX(campaigns!$BG$2:$BG$51,MATCH($C16,campaigns!$A$2:$A$51,0))="","",INDEX(campaigns!$BG$2:$BG$51,MATCH($C16,campaigns!$A$2:$A$51,0))),""),0,NETWORKDAYS(IFERROR(IF(INDEX(campaigns!$BG$2:$BG$51,MATCH($C16,campaigns!$A$2:$A$51,0))="","",INDEX(campaigns!$BG$2:$BG$51,MATCH($C16,campaigns!$A$2:$A$51,0))),""),$A16,calendar!$A$2:$A$80)))</f>
        <v/>
      </c>
      <c r="K16" s="25">
        <f>IF($C16="","",IF(COUNTIF(campaigns!$A$2:$A$51,$C16)=0,"campaign_id not on campaigns; ",IF(AND($D16&lt;&gt;"",COUNTIFS(approvals!$A$2:$A$251,$C16,approvals!$B$2:$B$251,$D16)=0),"office not on this campaign (approvals tab); ",""))&amp;IF(COUNTIFS(counts!$C$2:$C$701,$C16,counts!$D$2:$D$701,$D16,counts!$E$2:$E$701,$E16)&gt;1,"two "&amp;$E16&amp;" counts: keep one; ","")&amp;IF(AND($E16="remaining_day5",N($J16)&lt;5),"day-5 count logged before day 5; ","")&amp;IF(AND($G16="photo",$H16=""),"which photo?; ",""))</f>
        <v/>
      </c>
    </row>
    <row r="17">
      <c r="A17" s="9" t="n">
        <v>46401</v>
      </c>
      <c r="B17" s="33" t="n">
        <v>0.4583333333333333</v>
      </c>
      <c r="C17" t="inlineStr">
        <is>
          <t>SAMPLE-CMP-002</t>
        </is>
      </c>
      <c r="D17" t="inlineStr">
        <is>
          <t>SAMPLE-O-003</t>
        </is>
      </c>
      <c r="E17" t="inlineStr">
        <is>
          <t>remaining_day3</t>
        </is>
      </c>
      <c r="F17" t="n">
        <v>3</v>
      </c>
      <c r="G17" t="inlineStr">
        <is>
          <t>owner_report</t>
        </is>
      </c>
      <c r="J17" s="25">
        <f>IF(OR($C17="",$A17=""),"",IF($A17&lt;IFERROR(IF(INDEX(campaigns!$BG$2:$BG$51,MATCH($C17,campaigns!$A$2:$A$51,0))="","",INDEX(campaigns!$BG$2:$BG$51,MATCH($C17,campaigns!$A$2:$A$51,0))),""),0,NETWORKDAYS(IFERROR(IF(INDEX(campaigns!$BG$2:$BG$51,MATCH($C17,campaigns!$A$2:$A$51,0))="","",INDEX(campaigns!$BG$2:$BG$51,MATCH($C17,campaigns!$A$2:$A$51,0))),""),$A17,calendar!$A$2:$A$80)))</f>
        <v/>
      </c>
      <c r="K17" s="25">
        <f>IF($C17="","",IF(COUNTIF(campaigns!$A$2:$A$51,$C17)=0,"campaign_id not on campaigns; ",IF(AND($D17&lt;&gt;"",COUNTIFS(approvals!$A$2:$A$251,$C17,approvals!$B$2:$B$251,$D17)=0),"office not on this campaign (approvals tab); ",""))&amp;IF(COUNTIFS(counts!$C$2:$C$701,$C17,counts!$D$2:$D$701,$D17,counts!$E$2:$E$701,$E17)&gt;1,"two "&amp;$E17&amp;" counts: keep one; ","")&amp;IF(AND($E17="remaining_day5",N($J17)&lt;5),"day-5 count logged before day 5; ","")&amp;IF(AND($G17="photo",$H17=""),"which photo?; ",""))</f>
        <v/>
      </c>
    </row>
    <row r="18">
      <c r="A18" s="9" t="n">
        <v>46400</v>
      </c>
      <c r="B18" s="33" t="n">
        <v>0.3784722222222222</v>
      </c>
      <c r="C18" t="inlineStr">
        <is>
          <t>SAMPLE-CMP-002</t>
        </is>
      </c>
      <c r="D18" t="inlineStr">
        <is>
          <t>SAMPLE-O-004</t>
        </is>
      </c>
      <c r="E18" t="inlineStr">
        <is>
          <t>placed</t>
        </is>
      </c>
      <c r="F18" t="n">
        <v>50</v>
      </c>
      <c r="G18" t="inlineStr">
        <is>
          <t>photo</t>
        </is>
      </c>
      <c r="H18" t="inlineStr">
        <is>
          <t>SAMPLE-PH-0017</t>
        </is>
      </c>
      <c r="J18" s="25">
        <f>IF(OR($C18="",$A18=""),"",IF($A18&lt;IFERROR(IF(INDEX(campaigns!$BG$2:$BG$51,MATCH($C18,campaigns!$A$2:$A$51,0))="","",INDEX(campaigns!$BG$2:$BG$51,MATCH($C18,campaigns!$A$2:$A$51,0))),""),0,NETWORKDAYS(IFERROR(IF(INDEX(campaigns!$BG$2:$BG$51,MATCH($C18,campaigns!$A$2:$A$51,0))="","",INDEX(campaigns!$BG$2:$BG$51,MATCH($C18,campaigns!$A$2:$A$51,0))),""),$A18,calendar!$A$2:$A$80)))</f>
        <v/>
      </c>
      <c r="K18" s="25">
        <f>IF($C18="","",IF(COUNTIF(campaigns!$A$2:$A$51,$C18)=0,"campaign_id not on campaigns; ",IF(AND($D18&lt;&gt;"",COUNTIFS(approvals!$A$2:$A$251,$C18,approvals!$B$2:$B$251,$D18)=0),"office not on this campaign (approvals tab); ",""))&amp;IF(COUNTIFS(counts!$C$2:$C$701,$C18,counts!$D$2:$D$701,$D18,counts!$E$2:$E$701,$E18)&gt;1,"two "&amp;$E18&amp;" counts: keep one; ","")&amp;IF(AND($E18="remaining_day5",N($J18)&lt;5),"day-5 count logged before day 5; ","")&amp;IF(AND($G18="photo",$H18=""),"which photo?; ",""))</f>
        <v/>
      </c>
    </row>
    <row r="19">
      <c r="A19" s="9" t="n">
        <v>46401</v>
      </c>
      <c r="B19" s="33" t="n">
        <v>0.4583333333333333</v>
      </c>
      <c r="C19" t="inlineStr">
        <is>
          <t>SAMPLE-CMP-002</t>
        </is>
      </c>
      <c r="D19" t="inlineStr">
        <is>
          <t>SAMPLE-O-004</t>
        </is>
      </c>
      <c r="E19" t="inlineStr">
        <is>
          <t>remaining_day3</t>
        </is>
      </c>
      <c r="F19" t="n">
        <v>28</v>
      </c>
      <c r="G19" t="inlineStr">
        <is>
          <t>owner_report</t>
        </is>
      </c>
      <c r="J19" s="25">
        <f>IF(OR($C19="",$A19=""),"",IF($A19&lt;IFERROR(IF(INDEX(campaigns!$BG$2:$BG$51,MATCH($C19,campaigns!$A$2:$A$51,0))="","",INDEX(campaigns!$BG$2:$BG$51,MATCH($C19,campaigns!$A$2:$A$51,0))),""),0,NETWORKDAYS(IFERROR(IF(INDEX(campaigns!$BG$2:$BG$51,MATCH($C19,campaigns!$A$2:$A$51,0))="","",INDEX(campaigns!$BG$2:$BG$51,MATCH($C19,campaigns!$A$2:$A$51,0))),""),$A19,calendar!$A$2:$A$80)))</f>
        <v/>
      </c>
      <c r="K19" s="25">
        <f>IF($C19="","",IF(COUNTIF(campaigns!$A$2:$A$51,$C19)=0,"campaign_id not on campaigns; ",IF(AND($D19&lt;&gt;"",COUNTIFS(approvals!$A$2:$A$251,$C19,approvals!$B$2:$B$251,$D19)=0),"office not on this campaign (approvals tab); ",""))&amp;IF(COUNTIFS(counts!$C$2:$C$701,$C19,counts!$D$2:$D$701,$D19,counts!$E$2:$E$701,$E19)&gt;1,"two "&amp;$E19&amp;" counts: keep one; ","")&amp;IF(AND($E19="remaining_day5",N($J19)&lt;5),"day-5 count logged before day 5; ","")&amp;IF(AND($G19="photo",$H19=""),"which photo?; ",""))</f>
        <v/>
      </c>
    </row>
    <row r="20">
      <c r="A20" s="9" t="n">
        <v>46399</v>
      </c>
      <c r="B20" s="33" t="n">
        <v>0.5902777777777778</v>
      </c>
      <c r="C20" t="inlineStr">
        <is>
          <t>SAMPLE-CMP-002</t>
        </is>
      </c>
      <c r="D20" t="inlineStr">
        <is>
          <t>SAMPLE-O-005</t>
        </is>
      </c>
      <c r="E20" t="inlineStr">
        <is>
          <t>placed</t>
        </is>
      </c>
      <c r="F20" t="n">
        <v>70</v>
      </c>
      <c r="G20" t="inlineStr">
        <is>
          <t>photo</t>
        </is>
      </c>
      <c r="H20" t="inlineStr">
        <is>
          <t>SAMPLE-PH-0019</t>
        </is>
      </c>
      <c r="J20" s="25">
        <f>IF(OR($C20="",$A20=""),"",IF($A20&lt;IFERROR(IF(INDEX(campaigns!$BG$2:$BG$51,MATCH($C20,campaigns!$A$2:$A$51,0))="","",INDEX(campaigns!$BG$2:$BG$51,MATCH($C20,campaigns!$A$2:$A$51,0))),""),0,NETWORKDAYS(IFERROR(IF(INDEX(campaigns!$BG$2:$BG$51,MATCH($C20,campaigns!$A$2:$A$51,0))="","",INDEX(campaigns!$BG$2:$BG$51,MATCH($C20,campaigns!$A$2:$A$51,0))),""),$A20,calendar!$A$2:$A$80)))</f>
        <v/>
      </c>
      <c r="K20" s="25">
        <f>IF($C20="","",IF(COUNTIF(campaigns!$A$2:$A$51,$C20)=0,"campaign_id not on campaigns; ",IF(AND($D20&lt;&gt;"",COUNTIFS(approvals!$A$2:$A$251,$C20,approvals!$B$2:$B$251,$D20)=0),"office not on this campaign (approvals tab); ",""))&amp;IF(COUNTIFS(counts!$C$2:$C$701,$C20,counts!$D$2:$D$701,$D20,counts!$E$2:$E$701,$E20)&gt;1,"two "&amp;$E20&amp;" counts: keep one; ","")&amp;IF(AND($E20="remaining_day5",N($J20)&lt;5),"day-5 count logged before day 5; ","")&amp;IF(AND($G20="photo",$H20=""),"which photo?; ",""))</f>
        <v/>
      </c>
    </row>
    <row r="21">
      <c r="A21" s="9" t="n">
        <v>46401</v>
      </c>
      <c r="B21" s="33" t="n">
        <v>0.4583333333333333</v>
      </c>
      <c r="C21" t="inlineStr">
        <is>
          <t>SAMPLE-CMP-002</t>
        </is>
      </c>
      <c r="D21" t="inlineStr">
        <is>
          <t>SAMPLE-O-005</t>
        </is>
      </c>
      <c r="E21" t="inlineStr">
        <is>
          <t>remaining_day3</t>
        </is>
      </c>
      <c r="F21" t="n">
        <v>25</v>
      </c>
      <c r="G21" t="inlineStr">
        <is>
          <t>owner_report</t>
        </is>
      </c>
      <c r="J21" s="25">
        <f>IF(OR($C21="",$A21=""),"",IF($A21&lt;IFERROR(IF(INDEX(campaigns!$BG$2:$BG$51,MATCH($C21,campaigns!$A$2:$A$51,0))="","",INDEX(campaigns!$BG$2:$BG$51,MATCH($C21,campaigns!$A$2:$A$51,0))),""),0,NETWORKDAYS(IFERROR(IF(INDEX(campaigns!$BG$2:$BG$51,MATCH($C21,campaigns!$A$2:$A$51,0))="","",INDEX(campaigns!$BG$2:$BG$51,MATCH($C21,campaigns!$A$2:$A$51,0))),""),$A21,calendar!$A$2:$A$80)))</f>
        <v/>
      </c>
      <c r="K21" s="25">
        <f>IF($C21="","",IF(COUNTIF(campaigns!$A$2:$A$51,$C21)=0,"campaign_id not on campaigns; ",IF(AND($D21&lt;&gt;"",COUNTIFS(approvals!$A$2:$A$251,$C21,approvals!$B$2:$B$251,$D21)=0),"office not on this campaign (approvals tab); ",""))&amp;IF(COUNTIFS(counts!$C$2:$C$701,$C21,counts!$D$2:$D$701,$D21,counts!$E$2:$E$701,$E21)&gt;1,"two "&amp;$E21&amp;" counts: keep one; ","")&amp;IF(AND($E21="remaining_day5",N($J21)&lt;5),"day-5 count logged before day 5; ","")&amp;IF(AND($G21="photo",$H21=""),"which photo?; ",""))</f>
        <v/>
      </c>
    </row>
    <row r="22">
      <c r="A22" s="9" t="n"/>
      <c r="B22" s="33" t="n"/>
      <c r="J22" s="25">
        <f>IF(OR($C22="",$A22=""),"",IF($A22&lt;IFERROR(IF(INDEX(campaigns!$BG$2:$BG$51,MATCH($C22,campaigns!$A$2:$A$51,0))="","",INDEX(campaigns!$BG$2:$BG$51,MATCH($C22,campaigns!$A$2:$A$51,0))),""),0,NETWORKDAYS(IFERROR(IF(INDEX(campaigns!$BG$2:$BG$51,MATCH($C22,campaigns!$A$2:$A$51,0))="","",INDEX(campaigns!$BG$2:$BG$51,MATCH($C22,campaigns!$A$2:$A$51,0))),""),$A22,calendar!$A$2:$A$80)))</f>
        <v/>
      </c>
      <c r="K22" s="25">
        <f>IF($C22="","",IF(COUNTIF(campaigns!$A$2:$A$51,$C22)=0,"campaign_id not on campaigns; ",IF(AND($D22&lt;&gt;"",COUNTIFS(approvals!$A$2:$A$251,$C22,approvals!$B$2:$B$251,$D22)=0),"office not on this campaign (approvals tab); ",""))&amp;IF(COUNTIFS(counts!$C$2:$C$701,$C22,counts!$D$2:$D$701,$D22,counts!$E$2:$E$701,$E22)&gt;1,"two "&amp;$E22&amp;" counts: keep one; ","")&amp;IF(AND($E22="remaining_day5",N($J22)&lt;5),"day-5 count logged before day 5; ","")&amp;IF(AND($G22="photo",$H22=""),"which photo?; ",""))</f>
        <v/>
      </c>
    </row>
    <row r="23">
      <c r="A23" s="9" t="n"/>
      <c r="B23" s="33" t="n"/>
      <c r="J23" s="25">
        <f>IF(OR($C23="",$A23=""),"",IF($A23&lt;IFERROR(IF(INDEX(campaigns!$BG$2:$BG$51,MATCH($C23,campaigns!$A$2:$A$51,0))="","",INDEX(campaigns!$BG$2:$BG$51,MATCH($C23,campaigns!$A$2:$A$51,0))),""),0,NETWORKDAYS(IFERROR(IF(INDEX(campaigns!$BG$2:$BG$51,MATCH($C23,campaigns!$A$2:$A$51,0))="","",INDEX(campaigns!$BG$2:$BG$51,MATCH($C23,campaigns!$A$2:$A$51,0))),""),$A23,calendar!$A$2:$A$80)))</f>
        <v/>
      </c>
      <c r="K23" s="25">
        <f>IF($C23="","",IF(COUNTIF(campaigns!$A$2:$A$51,$C23)=0,"campaign_id not on campaigns; ",IF(AND($D23&lt;&gt;"",COUNTIFS(approvals!$A$2:$A$251,$C23,approvals!$B$2:$B$251,$D23)=0),"office not on this campaign (approvals tab); ",""))&amp;IF(COUNTIFS(counts!$C$2:$C$701,$C23,counts!$D$2:$D$701,$D23,counts!$E$2:$E$701,$E23)&gt;1,"two "&amp;$E23&amp;" counts: keep one; ","")&amp;IF(AND($E23="remaining_day5",N($J23)&lt;5),"day-5 count logged before day 5; ","")&amp;IF(AND($G23="photo",$H23=""),"which photo?; ",""))</f>
        <v/>
      </c>
    </row>
    <row r="24">
      <c r="A24" s="9" t="n"/>
      <c r="B24" s="33" t="n"/>
      <c r="J24" s="25">
        <f>IF(OR($C24="",$A24=""),"",IF($A24&lt;IFERROR(IF(INDEX(campaigns!$BG$2:$BG$51,MATCH($C24,campaigns!$A$2:$A$51,0))="","",INDEX(campaigns!$BG$2:$BG$51,MATCH($C24,campaigns!$A$2:$A$51,0))),""),0,NETWORKDAYS(IFERROR(IF(INDEX(campaigns!$BG$2:$BG$51,MATCH($C24,campaigns!$A$2:$A$51,0))="","",INDEX(campaigns!$BG$2:$BG$51,MATCH($C24,campaigns!$A$2:$A$51,0))),""),$A24,calendar!$A$2:$A$80)))</f>
        <v/>
      </c>
      <c r="K24" s="25">
        <f>IF($C24="","",IF(COUNTIF(campaigns!$A$2:$A$51,$C24)=0,"campaign_id not on campaigns; ",IF(AND($D24&lt;&gt;"",COUNTIFS(approvals!$A$2:$A$251,$C24,approvals!$B$2:$B$251,$D24)=0),"office not on this campaign (approvals tab); ",""))&amp;IF(COUNTIFS(counts!$C$2:$C$701,$C24,counts!$D$2:$D$701,$D24,counts!$E$2:$E$701,$E24)&gt;1,"two "&amp;$E24&amp;" counts: keep one; ","")&amp;IF(AND($E24="remaining_day5",N($J24)&lt;5),"day-5 count logged before day 5; ","")&amp;IF(AND($G24="photo",$H24=""),"which photo?; ",""))</f>
        <v/>
      </c>
    </row>
    <row r="25">
      <c r="A25" s="9" t="n"/>
      <c r="B25" s="33" t="n"/>
      <c r="J25" s="25">
        <f>IF(OR($C25="",$A25=""),"",IF($A25&lt;IFERROR(IF(INDEX(campaigns!$BG$2:$BG$51,MATCH($C25,campaigns!$A$2:$A$51,0))="","",INDEX(campaigns!$BG$2:$BG$51,MATCH($C25,campaigns!$A$2:$A$51,0))),""),0,NETWORKDAYS(IFERROR(IF(INDEX(campaigns!$BG$2:$BG$51,MATCH($C25,campaigns!$A$2:$A$51,0))="","",INDEX(campaigns!$BG$2:$BG$51,MATCH($C25,campaigns!$A$2:$A$51,0))),""),$A25,calendar!$A$2:$A$80)))</f>
        <v/>
      </c>
      <c r="K25" s="25">
        <f>IF($C25="","",IF(COUNTIF(campaigns!$A$2:$A$51,$C25)=0,"campaign_id not on campaigns; ",IF(AND($D25&lt;&gt;"",COUNTIFS(approvals!$A$2:$A$251,$C25,approvals!$B$2:$B$251,$D25)=0),"office not on this campaign (approvals tab); ",""))&amp;IF(COUNTIFS(counts!$C$2:$C$701,$C25,counts!$D$2:$D$701,$D25,counts!$E$2:$E$701,$E25)&gt;1,"two "&amp;$E25&amp;" counts: keep one; ","")&amp;IF(AND($E25="remaining_day5",N($J25)&lt;5),"day-5 count logged before day 5; ","")&amp;IF(AND($G25="photo",$H25=""),"which photo?; ",""))</f>
        <v/>
      </c>
    </row>
    <row r="26">
      <c r="A26" s="9" t="n"/>
      <c r="B26" s="33" t="n"/>
      <c r="J26" s="25">
        <f>IF(OR($C26="",$A26=""),"",IF($A26&lt;IFERROR(IF(INDEX(campaigns!$BG$2:$BG$51,MATCH($C26,campaigns!$A$2:$A$51,0))="","",INDEX(campaigns!$BG$2:$BG$51,MATCH($C26,campaigns!$A$2:$A$51,0))),""),0,NETWORKDAYS(IFERROR(IF(INDEX(campaigns!$BG$2:$BG$51,MATCH($C26,campaigns!$A$2:$A$51,0))="","",INDEX(campaigns!$BG$2:$BG$51,MATCH($C26,campaigns!$A$2:$A$51,0))),""),$A26,calendar!$A$2:$A$80)))</f>
        <v/>
      </c>
      <c r="K26" s="25">
        <f>IF($C26="","",IF(COUNTIF(campaigns!$A$2:$A$51,$C26)=0,"campaign_id not on campaigns; ",IF(AND($D26&lt;&gt;"",COUNTIFS(approvals!$A$2:$A$251,$C26,approvals!$B$2:$B$251,$D26)=0),"office not on this campaign (approvals tab); ",""))&amp;IF(COUNTIFS(counts!$C$2:$C$701,$C26,counts!$D$2:$D$701,$D26,counts!$E$2:$E$701,$E26)&gt;1,"two "&amp;$E26&amp;" counts: keep one; ","")&amp;IF(AND($E26="remaining_day5",N($J26)&lt;5),"day-5 count logged before day 5; ","")&amp;IF(AND($G26="photo",$H26=""),"which photo?; ",""))</f>
        <v/>
      </c>
    </row>
    <row r="27">
      <c r="A27" s="9" t="n"/>
      <c r="B27" s="33" t="n"/>
      <c r="J27" s="25">
        <f>IF(OR($C27="",$A27=""),"",IF($A27&lt;IFERROR(IF(INDEX(campaigns!$BG$2:$BG$51,MATCH($C27,campaigns!$A$2:$A$51,0))="","",INDEX(campaigns!$BG$2:$BG$51,MATCH($C27,campaigns!$A$2:$A$51,0))),""),0,NETWORKDAYS(IFERROR(IF(INDEX(campaigns!$BG$2:$BG$51,MATCH($C27,campaigns!$A$2:$A$51,0))="","",INDEX(campaigns!$BG$2:$BG$51,MATCH($C27,campaigns!$A$2:$A$51,0))),""),$A27,calendar!$A$2:$A$80)))</f>
        <v/>
      </c>
      <c r="K27" s="25">
        <f>IF($C27="","",IF(COUNTIF(campaigns!$A$2:$A$51,$C27)=0,"campaign_id not on campaigns; ",IF(AND($D27&lt;&gt;"",COUNTIFS(approvals!$A$2:$A$251,$C27,approvals!$B$2:$B$251,$D27)=0),"office not on this campaign (approvals tab); ",""))&amp;IF(COUNTIFS(counts!$C$2:$C$701,$C27,counts!$D$2:$D$701,$D27,counts!$E$2:$E$701,$E27)&gt;1,"two "&amp;$E27&amp;" counts: keep one; ","")&amp;IF(AND($E27="remaining_day5",N($J27)&lt;5),"day-5 count logged before day 5; ","")&amp;IF(AND($G27="photo",$H27=""),"which photo?; ",""))</f>
        <v/>
      </c>
    </row>
    <row r="28">
      <c r="A28" s="9" t="n"/>
      <c r="B28" s="33" t="n"/>
      <c r="J28" s="25">
        <f>IF(OR($C28="",$A28=""),"",IF($A28&lt;IFERROR(IF(INDEX(campaigns!$BG$2:$BG$51,MATCH($C28,campaigns!$A$2:$A$51,0))="","",INDEX(campaigns!$BG$2:$BG$51,MATCH($C28,campaigns!$A$2:$A$51,0))),""),0,NETWORKDAYS(IFERROR(IF(INDEX(campaigns!$BG$2:$BG$51,MATCH($C28,campaigns!$A$2:$A$51,0))="","",INDEX(campaigns!$BG$2:$BG$51,MATCH($C28,campaigns!$A$2:$A$51,0))),""),$A28,calendar!$A$2:$A$80)))</f>
        <v/>
      </c>
      <c r="K28" s="25">
        <f>IF($C28="","",IF(COUNTIF(campaigns!$A$2:$A$51,$C28)=0,"campaign_id not on campaigns; ",IF(AND($D28&lt;&gt;"",COUNTIFS(approvals!$A$2:$A$251,$C28,approvals!$B$2:$B$251,$D28)=0),"office not on this campaign (approvals tab); ",""))&amp;IF(COUNTIFS(counts!$C$2:$C$701,$C28,counts!$D$2:$D$701,$D28,counts!$E$2:$E$701,$E28)&gt;1,"two "&amp;$E28&amp;" counts: keep one; ","")&amp;IF(AND($E28="remaining_day5",N($J28)&lt;5),"day-5 count logged before day 5; ","")&amp;IF(AND($G28="photo",$H28=""),"which photo?; ",""))</f>
        <v/>
      </c>
    </row>
    <row r="29">
      <c r="A29" s="9" t="n"/>
      <c r="B29" s="33" t="n"/>
      <c r="J29" s="25">
        <f>IF(OR($C29="",$A29=""),"",IF($A29&lt;IFERROR(IF(INDEX(campaigns!$BG$2:$BG$51,MATCH($C29,campaigns!$A$2:$A$51,0))="","",INDEX(campaigns!$BG$2:$BG$51,MATCH($C29,campaigns!$A$2:$A$51,0))),""),0,NETWORKDAYS(IFERROR(IF(INDEX(campaigns!$BG$2:$BG$51,MATCH($C29,campaigns!$A$2:$A$51,0))="","",INDEX(campaigns!$BG$2:$BG$51,MATCH($C29,campaigns!$A$2:$A$51,0))),""),$A29,calendar!$A$2:$A$80)))</f>
        <v/>
      </c>
      <c r="K29" s="25">
        <f>IF($C29="","",IF(COUNTIF(campaigns!$A$2:$A$51,$C29)=0,"campaign_id not on campaigns; ",IF(AND($D29&lt;&gt;"",COUNTIFS(approvals!$A$2:$A$251,$C29,approvals!$B$2:$B$251,$D29)=0),"office not on this campaign (approvals tab); ",""))&amp;IF(COUNTIFS(counts!$C$2:$C$701,$C29,counts!$D$2:$D$701,$D29,counts!$E$2:$E$701,$E29)&gt;1,"two "&amp;$E29&amp;" counts: keep one; ","")&amp;IF(AND($E29="remaining_day5",N($J29)&lt;5),"day-5 count logged before day 5; ","")&amp;IF(AND($G29="photo",$H29=""),"which photo?; ",""))</f>
        <v/>
      </c>
    </row>
    <row r="30">
      <c r="A30" s="9" t="n"/>
      <c r="B30" s="33" t="n"/>
      <c r="J30" s="25">
        <f>IF(OR($C30="",$A30=""),"",IF($A30&lt;IFERROR(IF(INDEX(campaigns!$BG$2:$BG$51,MATCH($C30,campaigns!$A$2:$A$51,0))="","",INDEX(campaigns!$BG$2:$BG$51,MATCH($C30,campaigns!$A$2:$A$51,0))),""),0,NETWORKDAYS(IFERROR(IF(INDEX(campaigns!$BG$2:$BG$51,MATCH($C30,campaigns!$A$2:$A$51,0))="","",INDEX(campaigns!$BG$2:$BG$51,MATCH($C30,campaigns!$A$2:$A$51,0))),""),$A30,calendar!$A$2:$A$80)))</f>
        <v/>
      </c>
      <c r="K30" s="25">
        <f>IF($C30="","",IF(COUNTIF(campaigns!$A$2:$A$51,$C30)=0,"campaign_id not on campaigns; ",IF(AND($D30&lt;&gt;"",COUNTIFS(approvals!$A$2:$A$251,$C30,approvals!$B$2:$B$251,$D30)=0),"office not on this campaign (approvals tab); ",""))&amp;IF(COUNTIFS(counts!$C$2:$C$701,$C30,counts!$D$2:$D$701,$D30,counts!$E$2:$E$701,$E30)&gt;1,"two "&amp;$E30&amp;" counts: keep one; ","")&amp;IF(AND($E30="remaining_day5",N($J30)&lt;5),"day-5 count logged before day 5; ","")&amp;IF(AND($G30="photo",$H30=""),"which photo?; ",""))</f>
        <v/>
      </c>
    </row>
    <row r="31">
      <c r="A31" s="9" t="n"/>
      <c r="B31" s="33" t="n"/>
      <c r="J31" s="25">
        <f>IF(OR($C31="",$A31=""),"",IF($A31&lt;IFERROR(IF(INDEX(campaigns!$BG$2:$BG$51,MATCH($C31,campaigns!$A$2:$A$51,0))="","",INDEX(campaigns!$BG$2:$BG$51,MATCH($C31,campaigns!$A$2:$A$51,0))),""),0,NETWORKDAYS(IFERROR(IF(INDEX(campaigns!$BG$2:$BG$51,MATCH($C31,campaigns!$A$2:$A$51,0))="","",INDEX(campaigns!$BG$2:$BG$51,MATCH($C31,campaigns!$A$2:$A$51,0))),""),$A31,calendar!$A$2:$A$80)))</f>
        <v/>
      </c>
      <c r="K31" s="25">
        <f>IF($C31="","",IF(COUNTIF(campaigns!$A$2:$A$51,$C31)=0,"campaign_id not on campaigns; ",IF(AND($D31&lt;&gt;"",COUNTIFS(approvals!$A$2:$A$251,$C31,approvals!$B$2:$B$251,$D31)=0),"office not on this campaign (approvals tab); ",""))&amp;IF(COUNTIFS(counts!$C$2:$C$701,$C31,counts!$D$2:$D$701,$D31,counts!$E$2:$E$701,$E31)&gt;1,"two "&amp;$E31&amp;" counts: keep one; ","")&amp;IF(AND($E31="remaining_day5",N($J31)&lt;5),"day-5 count logged before day 5; ","")&amp;IF(AND($G31="photo",$H31=""),"which photo?; ",""))</f>
        <v/>
      </c>
    </row>
    <row r="32">
      <c r="A32" s="9" t="n"/>
      <c r="B32" s="33" t="n"/>
      <c r="J32" s="25">
        <f>IF(OR($C32="",$A32=""),"",IF($A32&lt;IFERROR(IF(INDEX(campaigns!$BG$2:$BG$51,MATCH($C32,campaigns!$A$2:$A$51,0))="","",INDEX(campaigns!$BG$2:$BG$51,MATCH($C32,campaigns!$A$2:$A$51,0))),""),0,NETWORKDAYS(IFERROR(IF(INDEX(campaigns!$BG$2:$BG$51,MATCH($C32,campaigns!$A$2:$A$51,0))="","",INDEX(campaigns!$BG$2:$BG$51,MATCH($C32,campaigns!$A$2:$A$51,0))),""),$A32,calendar!$A$2:$A$80)))</f>
        <v/>
      </c>
      <c r="K32" s="25">
        <f>IF($C32="","",IF(COUNTIF(campaigns!$A$2:$A$51,$C32)=0,"campaign_id not on campaigns; ",IF(AND($D32&lt;&gt;"",COUNTIFS(approvals!$A$2:$A$251,$C32,approvals!$B$2:$B$251,$D32)=0),"office not on this campaign (approvals tab); ",""))&amp;IF(COUNTIFS(counts!$C$2:$C$701,$C32,counts!$D$2:$D$701,$D32,counts!$E$2:$E$701,$E32)&gt;1,"two "&amp;$E32&amp;" counts: keep one; ","")&amp;IF(AND($E32="remaining_day5",N($J32)&lt;5),"day-5 count logged before day 5; ","")&amp;IF(AND($G32="photo",$H32=""),"which photo?; ",""))</f>
        <v/>
      </c>
    </row>
    <row r="33">
      <c r="A33" s="9" t="n"/>
      <c r="B33" s="33" t="n"/>
      <c r="J33" s="25">
        <f>IF(OR($C33="",$A33=""),"",IF($A33&lt;IFERROR(IF(INDEX(campaigns!$BG$2:$BG$51,MATCH($C33,campaigns!$A$2:$A$51,0))="","",INDEX(campaigns!$BG$2:$BG$51,MATCH($C33,campaigns!$A$2:$A$51,0))),""),0,NETWORKDAYS(IFERROR(IF(INDEX(campaigns!$BG$2:$BG$51,MATCH($C33,campaigns!$A$2:$A$51,0))="","",INDEX(campaigns!$BG$2:$BG$51,MATCH($C33,campaigns!$A$2:$A$51,0))),""),$A33,calendar!$A$2:$A$80)))</f>
        <v/>
      </c>
      <c r="K33" s="25">
        <f>IF($C33="","",IF(COUNTIF(campaigns!$A$2:$A$51,$C33)=0,"campaign_id not on campaigns; ",IF(AND($D33&lt;&gt;"",COUNTIFS(approvals!$A$2:$A$251,$C33,approvals!$B$2:$B$251,$D33)=0),"office not on this campaign (approvals tab); ",""))&amp;IF(COUNTIFS(counts!$C$2:$C$701,$C33,counts!$D$2:$D$701,$D33,counts!$E$2:$E$701,$E33)&gt;1,"two "&amp;$E33&amp;" counts: keep one; ","")&amp;IF(AND($E33="remaining_day5",N($J33)&lt;5),"day-5 count logged before day 5; ","")&amp;IF(AND($G33="photo",$H33=""),"which photo?; ",""))</f>
        <v/>
      </c>
    </row>
    <row r="34">
      <c r="A34" s="9" t="n"/>
      <c r="B34" s="33" t="n"/>
      <c r="J34" s="25">
        <f>IF(OR($C34="",$A34=""),"",IF($A34&lt;IFERROR(IF(INDEX(campaigns!$BG$2:$BG$51,MATCH($C34,campaigns!$A$2:$A$51,0))="","",INDEX(campaigns!$BG$2:$BG$51,MATCH($C34,campaigns!$A$2:$A$51,0))),""),0,NETWORKDAYS(IFERROR(IF(INDEX(campaigns!$BG$2:$BG$51,MATCH($C34,campaigns!$A$2:$A$51,0))="","",INDEX(campaigns!$BG$2:$BG$51,MATCH($C34,campaigns!$A$2:$A$51,0))),""),$A34,calendar!$A$2:$A$80)))</f>
        <v/>
      </c>
      <c r="K34" s="25">
        <f>IF($C34="","",IF(COUNTIF(campaigns!$A$2:$A$51,$C34)=0,"campaign_id not on campaigns; ",IF(AND($D34&lt;&gt;"",COUNTIFS(approvals!$A$2:$A$251,$C34,approvals!$B$2:$B$251,$D34)=0),"office not on this campaign (approvals tab); ",""))&amp;IF(COUNTIFS(counts!$C$2:$C$701,$C34,counts!$D$2:$D$701,$D34,counts!$E$2:$E$701,$E34)&gt;1,"two "&amp;$E34&amp;" counts: keep one; ","")&amp;IF(AND($E34="remaining_day5",N($J34)&lt;5),"day-5 count logged before day 5; ","")&amp;IF(AND($G34="photo",$H34=""),"which photo?; ",""))</f>
        <v/>
      </c>
    </row>
    <row r="35">
      <c r="A35" s="9" t="n"/>
      <c r="B35" s="33" t="n"/>
      <c r="J35" s="25">
        <f>IF(OR($C35="",$A35=""),"",IF($A35&lt;IFERROR(IF(INDEX(campaigns!$BG$2:$BG$51,MATCH($C35,campaigns!$A$2:$A$51,0))="","",INDEX(campaigns!$BG$2:$BG$51,MATCH($C35,campaigns!$A$2:$A$51,0))),""),0,NETWORKDAYS(IFERROR(IF(INDEX(campaigns!$BG$2:$BG$51,MATCH($C35,campaigns!$A$2:$A$51,0))="","",INDEX(campaigns!$BG$2:$BG$51,MATCH($C35,campaigns!$A$2:$A$51,0))),""),$A35,calendar!$A$2:$A$80)))</f>
        <v/>
      </c>
      <c r="K35" s="25">
        <f>IF($C35="","",IF(COUNTIF(campaigns!$A$2:$A$51,$C35)=0,"campaign_id not on campaigns; ",IF(AND($D35&lt;&gt;"",COUNTIFS(approvals!$A$2:$A$251,$C35,approvals!$B$2:$B$251,$D35)=0),"office not on this campaign (approvals tab); ",""))&amp;IF(COUNTIFS(counts!$C$2:$C$701,$C35,counts!$D$2:$D$701,$D35,counts!$E$2:$E$701,$E35)&gt;1,"two "&amp;$E35&amp;" counts: keep one; ","")&amp;IF(AND($E35="remaining_day5",N($J35)&lt;5),"day-5 count logged before day 5; ","")&amp;IF(AND($G35="photo",$H35=""),"which photo?; ",""))</f>
        <v/>
      </c>
    </row>
    <row r="36">
      <c r="A36" s="9" t="n"/>
      <c r="B36" s="33" t="n"/>
      <c r="J36" s="25">
        <f>IF(OR($C36="",$A36=""),"",IF($A36&lt;IFERROR(IF(INDEX(campaigns!$BG$2:$BG$51,MATCH($C36,campaigns!$A$2:$A$51,0))="","",INDEX(campaigns!$BG$2:$BG$51,MATCH($C36,campaigns!$A$2:$A$51,0))),""),0,NETWORKDAYS(IFERROR(IF(INDEX(campaigns!$BG$2:$BG$51,MATCH($C36,campaigns!$A$2:$A$51,0))="","",INDEX(campaigns!$BG$2:$BG$51,MATCH($C36,campaigns!$A$2:$A$51,0))),""),$A36,calendar!$A$2:$A$80)))</f>
        <v/>
      </c>
      <c r="K36" s="25">
        <f>IF($C36="","",IF(COUNTIF(campaigns!$A$2:$A$51,$C36)=0,"campaign_id not on campaigns; ",IF(AND($D36&lt;&gt;"",COUNTIFS(approvals!$A$2:$A$251,$C36,approvals!$B$2:$B$251,$D36)=0),"office not on this campaign (approvals tab); ",""))&amp;IF(COUNTIFS(counts!$C$2:$C$701,$C36,counts!$D$2:$D$701,$D36,counts!$E$2:$E$701,$E36)&gt;1,"two "&amp;$E36&amp;" counts: keep one; ","")&amp;IF(AND($E36="remaining_day5",N($J36)&lt;5),"day-5 count logged before day 5; ","")&amp;IF(AND($G36="photo",$H36=""),"which photo?; ",""))</f>
        <v/>
      </c>
    </row>
    <row r="37">
      <c r="A37" s="9" t="n"/>
      <c r="B37" s="33" t="n"/>
      <c r="J37" s="25">
        <f>IF(OR($C37="",$A37=""),"",IF($A37&lt;IFERROR(IF(INDEX(campaigns!$BG$2:$BG$51,MATCH($C37,campaigns!$A$2:$A$51,0))="","",INDEX(campaigns!$BG$2:$BG$51,MATCH($C37,campaigns!$A$2:$A$51,0))),""),0,NETWORKDAYS(IFERROR(IF(INDEX(campaigns!$BG$2:$BG$51,MATCH($C37,campaigns!$A$2:$A$51,0))="","",INDEX(campaigns!$BG$2:$BG$51,MATCH($C37,campaigns!$A$2:$A$51,0))),""),$A37,calendar!$A$2:$A$80)))</f>
        <v/>
      </c>
      <c r="K37" s="25">
        <f>IF($C37="","",IF(COUNTIF(campaigns!$A$2:$A$51,$C37)=0,"campaign_id not on campaigns; ",IF(AND($D37&lt;&gt;"",COUNTIFS(approvals!$A$2:$A$251,$C37,approvals!$B$2:$B$251,$D37)=0),"office not on this campaign (approvals tab); ",""))&amp;IF(COUNTIFS(counts!$C$2:$C$701,$C37,counts!$D$2:$D$701,$D37,counts!$E$2:$E$701,$E37)&gt;1,"two "&amp;$E37&amp;" counts: keep one; ","")&amp;IF(AND($E37="remaining_day5",N($J37)&lt;5),"day-5 count logged before day 5; ","")&amp;IF(AND($G37="photo",$H37=""),"which photo?; ",""))</f>
        <v/>
      </c>
    </row>
    <row r="38">
      <c r="A38" s="9" t="n"/>
      <c r="B38" s="33" t="n"/>
      <c r="J38" s="25">
        <f>IF(OR($C38="",$A38=""),"",IF($A38&lt;IFERROR(IF(INDEX(campaigns!$BG$2:$BG$51,MATCH($C38,campaigns!$A$2:$A$51,0))="","",INDEX(campaigns!$BG$2:$BG$51,MATCH($C38,campaigns!$A$2:$A$51,0))),""),0,NETWORKDAYS(IFERROR(IF(INDEX(campaigns!$BG$2:$BG$51,MATCH($C38,campaigns!$A$2:$A$51,0))="","",INDEX(campaigns!$BG$2:$BG$51,MATCH($C38,campaigns!$A$2:$A$51,0))),""),$A38,calendar!$A$2:$A$80)))</f>
        <v/>
      </c>
      <c r="K38" s="25">
        <f>IF($C38="","",IF(COUNTIF(campaigns!$A$2:$A$51,$C38)=0,"campaign_id not on campaigns; ",IF(AND($D38&lt;&gt;"",COUNTIFS(approvals!$A$2:$A$251,$C38,approvals!$B$2:$B$251,$D38)=0),"office not on this campaign (approvals tab); ",""))&amp;IF(COUNTIFS(counts!$C$2:$C$701,$C38,counts!$D$2:$D$701,$D38,counts!$E$2:$E$701,$E38)&gt;1,"two "&amp;$E38&amp;" counts: keep one; ","")&amp;IF(AND($E38="remaining_day5",N($J38)&lt;5),"day-5 count logged before day 5; ","")&amp;IF(AND($G38="photo",$H38=""),"which photo?; ",""))</f>
        <v/>
      </c>
    </row>
    <row r="39">
      <c r="A39" s="9" t="n"/>
      <c r="B39" s="33" t="n"/>
      <c r="J39" s="25">
        <f>IF(OR($C39="",$A39=""),"",IF($A39&lt;IFERROR(IF(INDEX(campaigns!$BG$2:$BG$51,MATCH($C39,campaigns!$A$2:$A$51,0))="","",INDEX(campaigns!$BG$2:$BG$51,MATCH($C39,campaigns!$A$2:$A$51,0))),""),0,NETWORKDAYS(IFERROR(IF(INDEX(campaigns!$BG$2:$BG$51,MATCH($C39,campaigns!$A$2:$A$51,0))="","",INDEX(campaigns!$BG$2:$BG$51,MATCH($C39,campaigns!$A$2:$A$51,0))),""),$A39,calendar!$A$2:$A$80)))</f>
        <v/>
      </c>
      <c r="K39" s="25">
        <f>IF($C39="","",IF(COUNTIF(campaigns!$A$2:$A$51,$C39)=0,"campaign_id not on campaigns; ",IF(AND($D39&lt;&gt;"",COUNTIFS(approvals!$A$2:$A$251,$C39,approvals!$B$2:$B$251,$D39)=0),"office not on this campaign (approvals tab); ",""))&amp;IF(COUNTIFS(counts!$C$2:$C$701,$C39,counts!$D$2:$D$701,$D39,counts!$E$2:$E$701,$E39)&gt;1,"two "&amp;$E39&amp;" counts: keep one; ","")&amp;IF(AND($E39="remaining_day5",N($J39)&lt;5),"day-5 count logged before day 5; ","")&amp;IF(AND($G39="photo",$H39=""),"which photo?; ",""))</f>
        <v/>
      </c>
    </row>
    <row r="40">
      <c r="A40" s="9" t="n"/>
      <c r="B40" s="33" t="n"/>
      <c r="J40" s="25">
        <f>IF(OR($C40="",$A40=""),"",IF($A40&lt;IFERROR(IF(INDEX(campaigns!$BG$2:$BG$51,MATCH($C40,campaigns!$A$2:$A$51,0))="","",INDEX(campaigns!$BG$2:$BG$51,MATCH($C40,campaigns!$A$2:$A$51,0))),""),0,NETWORKDAYS(IFERROR(IF(INDEX(campaigns!$BG$2:$BG$51,MATCH($C40,campaigns!$A$2:$A$51,0))="","",INDEX(campaigns!$BG$2:$BG$51,MATCH($C40,campaigns!$A$2:$A$51,0))),""),$A40,calendar!$A$2:$A$80)))</f>
        <v/>
      </c>
      <c r="K40" s="25">
        <f>IF($C40="","",IF(COUNTIF(campaigns!$A$2:$A$51,$C40)=0,"campaign_id not on campaigns; ",IF(AND($D40&lt;&gt;"",COUNTIFS(approvals!$A$2:$A$251,$C40,approvals!$B$2:$B$251,$D40)=0),"office not on this campaign (approvals tab); ",""))&amp;IF(COUNTIFS(counts!$C$2:$C$701,$C40,counts!$D$2:$D$701,$D40,counts!$E$2:$E$701,$E40)&gt;1,"two "&amp;$E40&amp;" counts: keep one; ","")&amp;IF(AND($E40="remaining_day5",N($J40)&lt;5),"day-5 count logged before day 5; ","")&amp;IF(AND($G40="photo",$H40=""),"which photo?; ",""))</f>
        <v/>
      </c>
    </row>
    <row r="41">
      <c r="A41" s="9" t="n"/>
      <c r="B41" s="33" t="n"/>
      <c r="J41" s="25">
        <f>IF(OR($C41="",$A41=""),"",IF($A41&lt;IFERROR(IF(INDEX(campaigns!$BG$2:$BG$51,MATCH($C41,campaigns!$A$2:$A$51,0))="","",INDEX(campaigns!$BG$2:$BG$51,MATCH($C41,campaigns!$A$2:$A$51,0))),""),0,NETWORKDAYS(IFERROR(IF(INDEX(campaigns!$BG$2:$BG$51,MATCH($C41,campaigns!$A$2:$A$51,0))="","",INDEX(campaigns!$BG$2:$BG$51,MATCH($C41,campaigns!$A$2:$A$51,0))),""),$A41,calendar!$A$2:$A$80)))</f>
        <v/>
      </c>
      <c r="K41" s="25">
        <f>IF($C41="","",IF(COUNTIF(campaigns!$A$2:$A$51,$C41)=0,"campaign_id not on campaigns; ",IF(AND($D41&lt;&gt;"",COUNTIFS(approvals!$A$2:$A$251,$C41,approvals!$B$2:$B$251,$D41)=0),"office not on this campaign (approvals tab); ",""))&amp;IF(COUNTIFS(counts!$C$2:$C$701,$C41,counts!$D$2:$D$701,$D41,counts!$E$2:$E$701,$E41)&gt;1,"two "&amp;$E41&amp;" counts: keep one; ","")&amp;IF(AND($E41="remaining_day5",N($J41)&lt;5),"day-5 count logged before day 5; ","")&amp;IF(AND($G41="photo",$H41=""),"which photo?; ",""))</f>
        <v/>
      </c>
    </row>
    <row r="42">
      <c r="A42" s="9" t="n"/>
      <c r="B42" s="33" t="n"/>
      <c r="J42" s="25">
        <f>IF(OR($C42="",$A42=""),"",IF($A42&lt;IFERROR(IF(INDEX(campaigns!$BG$2:$BG$51,MATCH($C42,campaigns!$A$2:$A$51,0))="","",INDEX(campaigns!$BG$2:$BG$51,MATCH($C42,campaigns!$A$2:$A$51,0))),""),0,NETWORKDAYS(IFERROR(IF(INDEX(campaigns!$BG$2:$BG$51,MATCH($C42,campaigns!$A$2:$A$51,0))="","",INDEX(campaigns!$BG$2:$BG$51,MATCH($C42,campaigns!$A$2:$A$51,0))),""),$A42,calendar!$A$2:$A$80)))</f>
        <v/>
      </c>
      <c r="K42" s="25">
        <f>IF($C42="","",IF(COUNTIF(campaigns!$A$2:$A$51,$C42)=0,"campaign_id not on campaigns; ",IF(AND($D42&lt;&gt;"",COUNTIFS(approvals!$A$2:$A$251,$C42,approvals!$B$2:$B$251,$D42)=0),"office not on this campaign (approvals tab); ",""))&amp;IF(COUNTIFS(counts!$C$2:$C$701,$C42,counts!$D$2:$D$701,$D42,counts!$E$2:$E$701,$E42)&gt;1,"two "&amp;$E42&amp;" counts: keep one; ","")&amp;IF(AND($E42="remaining_day5",N($J42)&lt;5),"day-5 count logged before day 5; ","")&amp;IF(AND($G42="photo",$H42=""),"which photo?; ",""))</f>
        <v/>
      </c>
    </row>
    <row r="43">
      <c r="A43" s="9" t="n"/>
      <c r="B43" s="33" t="n"/>
      <c r="J43" s="25">
        <f>IF(OR($C43="",$A43=""),"",IF($A43&lt;IFERROR(IF(INDEX(campaigns!$BG$2:$BG$51,MATCH($C43,campaigns!$A$2:$A$51,0))="","",INDEX(campaigns!$BG$2:$BG$51,MATCH($C43,campaigns!$A$2:$A$51,0))),""),0,NETWORKDAYS(IFERROR(IF(INDEX(campaigns!$BG$2:$BG$51,MATCH($C43,campaigns!$A$2:$A$51,0))="","",INDEX(campaigns!$BG$2:$BG$51,MATCH($C43,campaigns!$A$2:$A$51,0))),""),$A43,calendar!$A$2:$A$80)))</f>
        <v/>
      </c>
      <c r="K43" s="25">
        <f>IF($C43="","",IF(COUNTIF(campaigns!$A$2:$A$51,$C43)=0,"campaign_id not on campaigns; ",IF(AND($D43&lt;&gt;"",COUNTIFS(approvals!$A$2:$A$251,$C43,approvals!$B$2:$B$251,$D43)=0),"office not on this campaign (approvals tab); ",""))&amp;IF(COUNTIFS(counts!$C$2:$C$701,$C43,counts!$D$2:$D$701,$D43,counts!$E$2:$E$701,$E43)&gt;1,"two "&amp;$E43&amp;" counts: keep one; ","")&amp;IF(AND($E43="remaining_day5",N($J43)&lt;5),"day-5 count logged before day 5; ","")&amp;IF(AND($G43="photo",$H43=""),"which photo?; ",""))</f>
        <v/>
      </c>
    </row>
    <row r="44">
      <c r="A44" s="9" t="n"/>
      <c r="B44" s="33" t="n"/>
      <c r="J44" s="25">
        <f>IF(OR($C44="",$A44=""),"",IF($A44&lt;IFERROR(IF(INDEX(campaigns!$BG$2:$BG$51,MATCH($C44,campaigns!$A$2:$A$51,0))="","",INDEX(campaigns!$BG$2:$BG$51,MATCH($C44,campaigns!$A$2:$A$51,0))),""),0,NETWORKDAYS(IFERROR(IF(INDEX(campaigns!$BG$2:$BG$51,MATCH($C44,campaigns!$A$2:$A$51,0))="","",INDEX(campaigns!$BG$2:$BG$51,MATCH($C44,campaigns!$A$2:$A$51,0))),""),$A44,calendar!$A$2:$A$80)))</f>
        <v/>
      </c>
      <c r="K44" s="25">
        <f>IF($C44="","",IF(COUNTIF(campaigns!$A$2:$A$51,$C44)=0,"campaign_id not on campaigns; ",IF(AND($D44&lt;&gt;"",COUNTIFS(approvals!$A$2:$A$251,$C44,approvals!$B$2:$B$251,$D44)=0),"office not on this campaign (approvals tab); ",""))&amp;IF(COUNTIFS(counts!$C$2:$C$701,$C44,counts!$D$2:$D$701,$D44,counts!$E$2:$E$701,$E44)&gt;1,"two "&amp;$E44&amp;" counts: keep one; ","")&amp;IF(AND($E44="remaining_day5",N($J44)&lt;5),"day-5 count logged before day 5; ","")&amp;IF(AND($G44="photo",$H44=""),"which photo?; ",""))</f>
        <v/>
      </c>
    </row>
    <row r="45">
      <c r="A45" s="9" t="n"/>
      <c r="B45" s="33" t="n"/>
      <c r="J45" s="25">
        <f>IF(OR($C45="",$A45=""),"",IF($A45&lt;IFERROR(IF(INDEX(campaigns!$BG$2:$BG$51,MATCH($C45,campaigns!$A$2:$A$51,0))="","",INDEX(campaigns!$BG$2:$BG$51,MATCH($C45,campaigns!$A$2:$A$51,0))),""),0,NETWORKDAYS(IFERROR(IF(INDEX(campaigns!$BG$2:$BG$51,MATCH($C45,campaigns!$A$2:$A$51,0))="","",INDEX(campaigns!$BG$2:$BG$51,MATCH($C45,campaigns!$A$2:$A$51,0))),""),$A45,calendar!$A$2:$A$80)))</f>
        <v/>
      </c>
      <c r="K45" s="25">
        <f>IF($C45="","",IF(COUNTIF(campaigns!$A$2:$A$51,$C45)=0,"campaign_id not on campaigns; ",IF(AND($D45&lt;&gt;"",COUNTIFS(approvals!$A$2:$A$251,$C45,approvals!$B$2:$B$251,$D45)=0),"office not on this campaign (approvals tab); ",""))&amp;IF(COUNTIFS(counts!$C$2:$C$701,$C45,counts!$D$2:$D$701,$D45,counts!$E$2:$E$701,$E45)&gt;1,"two "&amp;$E45&amp;" counts: keep one; ","")&amp;IF(AND($E45="remaining_day5",N($J45)&lt;5),"day-5 count logged before day 5; ","")&amp;IF(AND($G45="photo",$H45=""),"which photo?; ",""))</f>
        <v/>
      </c>
    </row>
    <row r="46">
      <c r="A46" s="9" t="n"/>
      <c r="B46" s="33" t="n"/>
      <c r="J46" s="25">
        <f>IF(OR($C46="",$A46=""),"",IF($A46&lt;IFERROR(IF(INDEX(campaigns!$BG$2:$BG$51,MATCH($C46,campaigns!$A$2:$A$51,0))="","",INDEX(campaigns!$BG$2:$BG$51,MATCH($C46,campaigns!$A$2:$A$51,0))),""),0,NETWORKDAYS(IFERROR(IF(INDEX(campaigns!$BG$2:$BG$51,MATCH($C46,campaigns!$A$2:$A$51,0))="","",INDEX(campaigns!$BG$2:$BG$51,MATCH($C46,campaigns!$A$2:$A$51,0))),""),$A46,calendar!$A$2:$A$80)))</f>
        <v/>
      </c>
      <c r="K46" s="25">
        <f>IF($C46="","",IF(COUNTIF(campaigns!$A$2:$A$51,$C46)=0,"campaign_id not on campaigns; ",IF(AND($D46&lt;&gt;"",COUNTIFS(approvals!$A$2:$A$251,$C46,approvals!$B$2:$B$251,$D46)=0),"office not on this campaign (approvals tab); ",""))&amp;IF(COUNTIFS(counts!$C$2:$C$701,$C46,counts!$D$2:$D$701,$D46,counts!$E$2:$E$701,$E46)&gt;1,"two "&amp;$E46&amp;" counts: keep one; ","")&amp;IF(AND($E46="remaining_day5",N($J46)&lt;5),"day-5 count logged before day 5; ","")&amp;IF(AND($G46="photo",$H46=""),"which photo?; ",""))</f>
        <v/>
      </c>
    </row>
    <row r="47">
      <c r="A47" s="9" t="n"/>
      <c r="B47" s="33" t="n"/>
      <c r="J47" s="25">
        <f>IF(OR($C47="",$A47=""),"",IF($A47&lt;IFERROR(IF(INDEX(campaigns!$BG$2:$BG$51,MATCH($C47,campaigns!$A$2:$A$51,0))="","",INDEX(campaigns!$BG$2:$BG$51,MATCH($C47,campaigns!$A$2:$A$51,0))),""),0,NETWORKDAYS(IFERROR(IF(INDEX(campaigns!$BG$2:$BG$51,MATCH($C47,campaigns!$A$2:$A$51,0))="","",INDEX(campaigns!$BG$2:$BG$51,MATCH($C47,campaigns!$A$2:$A$51,0))),""),$A47,calendar!$A$2:$A$80)))</f>
        <v/>
      </c>
      <c r="K47" s="25">
        <f>IF($C47="","",IF(COUNTIF(campaigns!$A$2:$A$51,$C47)=0,"campaign_id not on campaigns; ",IF(AND($D47&lt;&gt;"",COUNTIFS(approvals!$A$2:$A$251,$C47,approvals!$B$2:$B$251,$D47)=0),"office not on this campaign (approvals tab); ",""))&amp;IF(COUNTIFS(counts!$C$2:$C$701,$C47,counts!$D$2:$D$701,$D47,counts!$E$2:$E$701,$E47)&gt;1,"two "&amp;$E47&amp;" counts: keep one; ","")&amp;IF(AND($E47="remaining_day5",N($J47)&lt;5),"day-5 count logged before day 5; ","")&amp;IF(AND($G47="photo",$H47=""),"which photo?; ",""))</f>
        <v/>
      </c>
    </row>
    <row r="48">
      <c r="A48" s="9" t="n"/>
      <c r="B48" s="33" t="n"/>
      <c r="J48" s="25">
        <f>IF(OR($C48="",$A48=""),"",IF($A48&lt;IFERROR(IF(INDEX(campaigns!$BG$2:$BG$51,MATCH($C48,campaigns!$A$2:$A$51,0))="","",INDEX(campaigns!$BG$2:$BG$51,MATCH($C48,campaigns!$A$2:$A$51,0))),""),0,NETWORKDAYS(IFERROR(IF(INDEX(campaigns!$BG$2:$BG$51,MATCH($C48,campaigns!$A$2:$A$51,0))="","",INDEX(campaigns!$BG$2:$BG$51,MATCH($C48,campaigns!$A$2:$A$51,0))),""),$A48,calendar!$A$2:$A$80)))</f>
        <v/>
      </c>
      <c r="K48" s="25">
        <f>IF($C48="","",IF(COUNTIF(campaigns!$A$2:$A$51,$C48)=0,"campaign_id not on campaigns; ",IF(AND($D48&lt;&gt;"",COUNTIFS(approvals!$A$2:$A$251,$C48,approvals!$B$2:$B$251,$D48)=0),"office not on this campaign (approvals tab); ",""))&amp;IF(COUNTIFS(counts!$C$2:$C$701,$C48,counts!$D$2:$D$701,$D48,counts!$E$2:$E$701,$E48)&gt;1,"two "&amp;$E48&amp;" counts: keep one; ","")&amp;IF(AND($E48="remaining_day5",N($J48)&lt;5),"day-5 count logged before day 5; ","")&amp;IF(AND($G48="photo",$H48=""),"which photo?; ",""))</f>
        <v/>
      </c>
    </row>
    <row r="49">
      <c r="A49" s="9" t="n"/>
      <c r="B49" s="33" t="n"/>
      <c r="J49" s="25">
        <f>IF(OR($C49="",$A49=""),"",IF($A49&lt;IFERROR(IF(INDEX(campaigns!$BG$2:$BG$51,MATCH($C49,campaigns!$A$2:$A$51,0))="","",INDEX(campaigns!$BG$2:$BG$51,MATCH($C49,campaigns!$A$2:$A$51,0))),""),0,NETWORKDAYS(IFERROR(IF(INDEX(campaigns!$BG$2:$BG$51,MATCH($C49,campaigns!$A$2:$A$51,0))="","",INDEX(campaigns!$BG$2:$BG$51,MATCH($C49,campaigns!$A$2:$A$51,0))),""),$A49,calendar!$A$2:$A$80)))</f>
        <v/>
      </c>
      <c r="K49" s="25">
        <f>IF($C49="","",IF(COUNTIF(campaigns!$A$2:$A$51,$C49)=0,"campaign_id not on campaigns; ",IF(AND($D49&lt;&gt;"",COUNTIFS(approvals!$A$2:$A$251,$C49,approvals!$B$2:$B$251,$D49)=0),"office not on this campaign (approvals tab); ",""))&amp;IF(COUNTIFS(counts!$C$2:$C$701,$C49,counts!$D$2:$D$701,$D49,counts!$E$2:$E$701,$E49)&gt;1,"two "&amp;$E49&amp;" counts: keep one; ","")&amp;IF(AND($E49="remaining_day5",N($J49)&lt;5),"day-5 count logged before day 5; ","")&amp;IF(AND($G49="photo",$H49=""),"which photo?; ",""))</f>
        <v/>
      </c>
    </row>
    <row r="50">
      <c r="A50" s="9" t="n"/>
      <c r="B50" s="33" t="n"/>
      <c r="J50" s="25">
        <f>IF(OR($C50="",$A50=""),"",IF($A50&lt;IFERROR(IF(INDEX(campaigns!$BG$2:$BG$51,MATCH($C50,campaigns!$A$2:$A$51,0))="","",INDEX(campaigns!$BG$2:$BG$51,MATCH($C50,campaigns!$A$2:$A$51,0))),""),0,NETWORKDAYS(IFERROR(IF(INDEX(campaigns!$BG$2:$BG$51,MATCH($C50,campaigns!$A$2:$A$51,0))="","",INDEX(campaigns!$BG$2:$BG$51,MATCH($C50,campaigns!$A$2:$A$51,0))),""),$A50,calendar!$A$2:$A$80)))</f>
        <v/>
      </c>
      <c r="K50" s="25">
        <f>IF($C50="","",IF(COUNTIF(campaigns!$A$2:$A$51,$C50)=0,"campaign_id not on campaigns; ",IF(AND($D50&lt;&gt;"",COUNTIFS(approvals!$A$2:$A$251,$C50,approvals!$B$2:$B$251,$D50)=0),"office not on this campaign (approvals tab); ",""))&amp;IF(COUNTIFS(counts!$C$2:$C$701,$C50,counts!$D$2:$D$701,$D50,counts!$E$2:$E$701,$E50)&gt;1,"two "&amp;$E50&amp;" counts: keep one; ","")&amp;IF(AND($E50="remaining_day5",N($J50)&lt;5),"day-5 count logged before day 5; ","")&amp;IF(AND($G50="photo",$H50=""),"which photo?; ",""))</f>
        <v/>
      </c>
    </row>
    <row r="51">
      <c r="A51" s="9" t="n"/>
      <c r="B51" s="33" t="n"/>
      <c r="J51" s="25">
        <f>IF(OR($C51="",$A51=""),"",IF($A51&lt;IFERROR(IF(INDEX(campaigns!$BG$2:$BG$51,MATCH($C51,campaigns!$A$2:$A$51,0))="","",INDEX(campaigns!$BG$2:$BG$51,MATCH($C51,campaigns!$A$2:$A$51,0))),""),0,NETWORKDAYS(IFERROR(IF(INDEX(campaigns!$BG$2:$BG$51,MATCH($C51,campaigns!$A$2:$A$51,0))="","",INDEX(campaigns!$BG$2:$BG$51,MATCH($C51,campaigns!$A$2:$A$51,0))),""),$A51,calendar!$A$2:$A$80)))</f>
        <v/>
      </c>
      <c r="K51" s="25">
        <f>IF($C51="","",IF(COUNTIF(campaigns!$A$2:$A$51,$C51)=0,"campaign_id not on campaigns; ",IF(AND($D51&lt;&gt;"",COUNTIFS(approvals!$A$2:$A$251,$C51,approvals!$B$2:$B$251,$D51)=0),"office not on this campaign (approvals tab); ",""))&amp;IF(COUNTIFS(counts!$C$2:$C$701,$C51,counts!$D$2:$D$701,$D51,counts!$E$2:$E$701,$E51)&gt;1,"two "&amp;$E51&amp;" counts: keep one; ","")&amp;IF(AND($E51="remaining_day5",N($J51)&lt;5),"day-5 count logged before day 5; ","")&amp;IF(AND($G51="photo",$H51=""),"which photo?; ",""))</f>
        <v/>
      </c>
    </row>
    <row r="52">
      <c r="A52" s="9" t="n"/>
      <c r="B52" s="33" t="n"/>
      <c r="J52" s="25">
        <f>IF(OR($C52="",$A52=""),"",IF($A52&lt;IFERROR(IF(INDEX(campaigns!$BG$2:$BG$51,MATCH($C52,campaigns!$A$2:$A$51,0))="","",INDEX(campaigns!$BG$2:$BG$51,MATCH($C52,campaigns!$A$2:$A$51,0))),""),0,NETWORKDAYS(IFERROR(IF(INDEX(campaigns!$BG$2:$BG$51,MATCH($C52,campaigns!$A$2:$A$51,0))="","",INDEX(campaigns!$BG$2:$BG$51,MATCH($C52,campaigns!$A$2:$A$51,0))),""),$A52,calendar!$A$2:$A$80)))</f>
        <v/>
      </c>
      <c r="K52" s="25">
        <f>IF($C52="","",IF(COUNTIF(campaigns!$A$2:$A$51,$C52)=0,"campaign_id not on campaigns; ",IF(AND($D52&lt;&gt;"",COUNTIFS(approvals!$A$2:$A$251,$C52,approvals!$B$2:$B$251,$D52)=0),"office not on this campaign (approvals tab); ",""))&amp;IF(COUNTIFS(counts!$C$2:$C$701,$C52,counts!$D$2:$D$701,$D52,counts!$E$2:$E$701,$E52)&gt;1,"two "&amp;$E52&amp;" counts: keep one; ","")&amp;IF(AND($E52="remaining_day5",N($J52)&lt;5),"day-5 count logged before day 5; ","")&amp;IF(AND($G52="photo",$H52=""),"which photo?; ",""))</f>
        <v/>
      </c>
    </row>
    <row r="53">
      <c r="A53" s="9" t="n"/>
      <c r="B53" s="33" t="n"/>
      <c r="J53" s="25">
        <f>IF(OR($C53="",$A53=""),"",IF($A53&lt;IFERROR(IF(INDEX(campaigns!$BG$2:$BG$51,MATCH($C53,campaigns!$A$2:$A$51,0))="","",INDEX(campaigns!$BG$2:$BG$51,MATCH($C53,campaigns!$A$2:$A$51,0))),""),0,NETWORKDAYS(IFERROR(IF(INDEX(campaigns!$BG$2:$BG$51,MATCH($C53,campaigns!$A$2:$A$51,0))="","",INDEX(campaigns!$BG$2:$BG$51,MATCH($C53,campaigns!$A$2:$A$51,0))),""),$A53,calendar!$A$2:$A$80)))</f>
        <v/>
      </c>
      <c r="K53" s="25">
        <f>IF($C53="","",IF(COUNTIF(campaigns!$A$2:$A$51,$C53)=0,"campaign_id not on campaigns; ",IF(AND($D53&lt;&gt;"",COUNTIFS(approvals!$A$2:$A$251,$C53,approvals!$B$2:$B$251,$D53)=0),"office not on this campaign (approvals tab); ",""))&amp;IF(COUNTIFS(counts!$C$2:$C$701,$C53,counts!$D$2:$D$701,$D53,counts!$E$2:$E$701,$E53)&gt;1,"two "&amp;$E53&amp;" counts: keep one; ","")&amp;IF(AND($E53="remaining_day5",N($J53)&lt;5),"day-5 count logged before day 5; ","")&amp;IF(AND($G53="photo",$H53=""),"which photo?; ",""))</f>
        <v/>
      </c>
    </row>
    <row r="54">
      <c r="A54" s="9" t="n"/>
      <c r="B54" s="33" t="n"/>
      <c r="J54" s="25">
        <f>IF(OR($C54="",$A54=""),"",IF($A54&lt;IFERROR(IF(INDEX(campaigns!$BG$2:$BG$51,MATCH($C54,campaigns!$A$2:$A$51,0))="","",INDEX(campaigns!$BG$2:$BG$51,MATCH($C54,campaigns!$A$2:$A$51,0))),""),0,NETWORKDAYS(IFERROR(IF(INDEX(campaigns!$BG$2:$BG$51,MATCH($C54,campaigns!$A$2:$A$51,0))="","",INDEX(campaigns!$BG$2:$BG$51,MATCH($C54,campaigns!$A$2:$A$51,0))),""),$A54,calendar!$A$2:$A$80)))</f>
        <v/>
      </c>
      <c r="K54" s="25">
        <f>IF($C54="","",IF(COUNTIF(campaigns!$A$2:$A$51,$C54)=0,"campaign_id not on campaigns; ",IF(AND($D54&lt;&gt;"",COUNTIFS(approvals!$A$2:$A$251,$C54,approvals!$B$2:$B$251,$D54)=0),"office not on this campaign (approvals tab); ",""))&amp;IF(COUNTIFS(counts!$C$2:$C$701,$C54,counts!$D$2:$D$701,$D54,counts!$E$2:$E$701,$E54)&gt;1,"two "&amp;$E54&amp;" counts: keep one; ","")&amp;IF(AND($E54="remaining_day5",N($J54)&lt;5),"day-5 count logged before day 5; ","")&amp;IF(AND($G54="photo",$H54=""),"which photo?; ",""))</f>
        <v/>
      </c>
    </row>
    <row r="55">
      <c r="A55" s="9" t="n"/>
      <c r="B55" s="33" t="n"/>
      <c r="J55" s="25">
        <f>IF(OR($C55="",$A55=""),"",IF($A55&lt;IFERROR(IF(INDEX(campaigns!$BG$2:$BG$51,MATCH($C55,campaigns!$A$2:$A$51,0))="","",INDEX(campaigns!$BG$2:$BG$51,MATCH($C55,campaigns!$A$2:$A$51,0))),""),0,NETWORKDAYS(IFERROR(IF(INDEX(campaigns!$BG$2:$BG$51,MATCH($C55,campaigns!$A$2:$A$51,0))="","",INDEX(campaigns!$BG$2:$BG$51,MATCH($C55,campaigns!$A$2:$A$51,0))),""),$A55,calendar!$A$2:$A$80)))</f>
        <v/>
      </c>
      <c r="K55" s="25">
        <f>IF($C55="","",IF(COUNTIF(campaigns!$A$2:$A$51,$C55)=0,"campaign_id not on campaigns; ",IF(AND($D55&lt;&gt;"",COUNTIFS(approvals!$A$2:$A$251,$C55,approvals!$B$2:$B$251,$D55)=0),"office not on this campaign (approvals tab); ",""))&amp;IF(COUNTIFS(counts!$C$2:$C$701,$C55,counts!$D$2:$D$701,$D55,counts!$E$2:$E$701,$E55)&gt;1,"two "&amp;$E55&amp;" counts: keep one; ","")&amp;IF(AND($E55="remaining_day5",N($J55)&lt;5),"day-5 count logged before day 5; ","")&amp;IF(AND($G55="photo",$H55=""),"which photo?; ",""))</f>
        <v/>
      </c>
    </row>
    <row r="56">
      <c r="A56" s="9" t="n"/>
      <c r="B56" s="33" t="n"/>
      <c r="J56" s="25">
        <f>IF(OR($C56="",$A56=""),"",IF($A56&lt;IFERROR(IF(INDEX(campaigns!$BG$2:$BG$51,MATCH($C56,campaigns!$A$2:$A$51,0))="","",INDEX(campaigns!$BG$2:$BG$51,MATCH($C56,campaigns!$A$2:$A$51,0))),""),0,NETWORKDAYS(IFERROR(IF(INDEX(campaigns!$BG$2:$BG$51,MATCH($C56,campaigns!$A$2:$A$51,0))="","",INDEX(campaigns!$BG$2:$BG$51,MATCH($C56,campaigns!$A$2:$A$51,0))),""),$A56,calendar!$A$2:$A$80)))</f>
        <v/>
      </c>
      <c r="K56" s="25">
        <f>IF($C56="","",IF(COUNTIF(campaigns!$A$2:$A$51,$C56)=0,"campaign_id not on campaigns; ",IF(AND($D56&lt;&gt;"",COUNTIFS(approvals!$A$2:$A$251,$C56,approvals!$B$2:$B$251,$D56)=0),"office not on this campaign (approvals tab); ",""))&amp;IF(COUNTIFS(counts!$C$2:$C$701,$C56,counts!$D$2:$D$701,$D56,counts!$E$2:$E$701,$E56)&gt;1,"two "&amp;$E56&amp;" counts: keep one; ","")&amp;IF(AND($E56="remaining_day5",N($J56)&lt;5),"day-5 count logged before day 5; ","")&amp;IF(AND($G56="photo",$H56=""),"which photo?; ",""))</f>
        <v/>
      </c>
    </row>
    <row r="57">
      <c r="A57" s="9" t="n"/>
      <c r="B57" s="33" t="n"/>
      <c r="J57" s="25">
        <f>IF(OR($C57="",$A57=""),"",IF($A57&lt;IFERROR(IF(INDEX(campaigns!$BG$2:$BG$51,MATCH($C57,campaigns!$A$2:$A$51,0))="","",INDEX(campaigns!$BG$2:$BG$51,MATCH($C57,campaigns!$A$2:$A$51,0))),""),0,NETWORKDAYS(IFERROR(IF(INDEX(campaigns!$BG$2:$BG$51,MATCH($C57,campaigns!$A$2:$A$51,0))="","",INDEX(campaigns!$BG$2:$BG$51,MATCH($C57,campaigns!$A$2:$A$51,0))),""),$A57,calendar!$A$2:$A$80)))</f>
        <v/>
      </c>
      <c r="K57" s="25">
        <f>IF($C57="","",IF(COUNTIF(campaigns!$A$2:$A$51,$C57)=0,"campaign_id not on campaigns; ",IF(AND($D57&lt;&gt;"",COUNTIFS(approvals!$A$2:$A$251,$C57,approvals!$B$2:$B$251,$D57)=0),"office not on this campaign (approvals tab); ",""))&amp;IF(COUNTIFS(counts!$C$2:$C$701,$C57,counts!$D$2:$D$701,$D57,counts!$E$2:$E$701,$E57)&gt;1,"two "&amp;$E57&amp;" counts: keep one; ","")&amp;IF(AND($E57="remaining_day5",N($J57)&lt;5),"day-5 count logged before day 5; ","")&amp;IF(AND($G57="photo",$H57=""),"which photo?; ",""))</f>
        <v/>
      </c>
    </row>
    <row r="58">
      <c r="A58" s="9" t="n"/>
      <c r="B58" s="33" t="n"/>
      <c r="J58" s="25">
        <f>IF(OR($C58="",$A58=""),"",IF($A58&lt;IFERROR(IF(INDEX(campaigns!$BG$2:$BG$51,MATCH($C58,campaigns!$A$2:$A$51,0))="","",INDEX(campaigns!$BG$2:$BG$51,MATCH($C58,campaigns!$A$2:$A$51,0))),""),0,NETWORKDAYS(IFERROR(IF(INDEX(campaigns!$BG$2:$BG$51,MATCH($C58,campaigns!$A$2:$A$51,0))="","",INDEX(campaigns!$BG$2:$BG$51,MATCH($C58,campaigns!$A$2:$A$51,0))),""),$A58,calendar!$A$2:$A$80)))</f>
        <v/>
      </c>
      <c r="K58" s="25">
        <f>IF($C58="","",IF(COUNTIF(campaigns!$A$2:$A$51,$C58)=0,"campaign_id not on campaigns; ",IF(AND($D58&lt;&gt;"",COUNTIFS(approvals!$A$2:$A$251,$C58,approvals!$B$2:$B$251,$D58)=0),"office not on this campaign (approvals tab); ",""))&amp;IF(COUNTIFS(counts!$C$2:$C$701,$C58,counts!$D$2:$D$701,$D58,counts!$E$2:$E$701,$E58)&gt;1,"two "&amp;$E58&amp;" counts: keep one; ","")&amp;IF(AND($E58="remaining_day5",N($J58)&lt;5),"day-5 count logged before day 5; ","")&amp;IF(AND($G58="photo",$H58=""),"which photo?; ",""))</f>
        <v/>
      </c>
    </row>
    <row r="59">
      <c r="A59" s="9" t="n"/>
      <c r="B59" s="33" t="n"/>
      <c r="J59" s="25">
        <f>IF(OR($C59="",$A59=""),"",IF($A59&lt;IFERROR(IF(INDEX(campaigns!$BG$2:$BG$51,MATCH($C59,campaigns!$A$2:$A$51,0))="","",INDEX(campaigns!$BG$2:$BG$51,MATCH($C59,campaigns!$A$2:$A$51,0))),""),0,NETWORKDAYS(IFERROR(IF(INDEX(campaigns!$BG$2:$BG$51,MATCH($C59,campaigns!$A$2:$A$51,0))="","",INDEX(campaigns!$BG$2:$BG$51,MATCH($C59,campaigns!$A$2:$A$51,0))),""),$A59,calendar!$A$2:$A$80)))</f>
        <v/>
      </c>
      <c r="K59" s="25">
        <f>IF($C59="","",IF(COUNTIF(campaigns!$A$2:$A$51,$C59)=0,"campaign_id not on campaigns; ",IF(AND($D59&lt;&gt;"",COUNTIFS(approvals!$A$2:$A$251,$C59,approvals!$B$2:$B$251,$D59)=0),"office not on this campaign (approvals tab); ",""))&amp;IF(COUNTIFS(counts!$C$2:$C$701,$C59,counts!$D$2:$D$701,$D59,counts!$E$2:$E$701,$E59)&gt;1,"two "&amp;$E59&amp;" counts: keep one; ","")&amp;IF(AND($E59="remaining_day5",N($J59)&lt;5),"day-5 count logged before day 5; ","")&amp;IF(AND($G59="photo",$H59=""),"which photo?; ",""))</f>
        <v/>
      </c>
    </row>
    <row r="60">
      <c r="A60" s="9" t="n"/>
      <c r="B60" s="33" t="n"/>
      <c r="J60" s="25">
        <f>IF(OR($C60="",$A60=""),"",IF($A60&lt;IFERROR(IF(INDEX(campaigns!$BG$2:$BG$51,MATCH($C60,campaigns!$A$2:$A$51,0))="","",INDEX(campaigns!$BG$2:$BG$51,MATCH($C60,campaigns!$A$2:$A$51,0))),""),0,NETWORKDAYS(IFERROR(IF(INDEX(campaigns!$BG$2:$BG$51,MATCH($C60,campaigns!$A$2:$A$51,0))="","",INDEX(campaigns!$BG$2:$BG$51,MATCH($C60,campaigns!$A$2:$A$51,0))),""),$A60,calendar!$A$2:$A$80)))</f>
        <v/>
      </c>
      <c r="K60" s="25">
        <f>IF($C60="","",IF(COUNTIF(campaigns!$A$2:$A$51,$C60)=0,"campaign_id not on campaigns; ",IF(AND($D60&lt;&gt;"",COUNTIFS(approvals!$A$2:$A$251,$C60,approvals!$B$2:$B$251,$D60)=0),"office not on this campaign (approvals tab); ",""))&amp;IF(COUNTIFS(counts!$C$2:$C$701,$C60,counts!$D$2:$D$701,$D60,counts!$E$2:$E$701,$E60)&gt;1,"two "&amp;$E60&amp;" counts: keep one; ","")&amp;IF(AND($E60="remaining_day5",N($J60)&lt;5),"day-5 count logged before day 5; ","")&amp;IF(AND($G60="photo",$H60=""),"which photo?; ",""))</f>
        <v/>
      </c>
    </row>
    <row r="61">
      <c r="A61" s="9" t="n"/>
      <c r="B61" s="33" t="n"/>
      <c r="J61" s="25">
        <f>IF(OR($C61="",$A61=""),"",IF($A61&lt;IFERROR(IF(INDEX(campaigns!$BG$2:$BG$51,MATCH($C61,campaigns!$A$2:$A$51,0))="","",INDEX(campaigns!$BG$2:$BG$51,MATCH($C61,campaigns!$A$2:$A$51,0))),""),0,NETWORKDAYS(IFERROR(IF(INDEX(campaigns!$BG$2:$BG$51,MATCH($C61,campaigns!$A$2:$A$51,0))="","",INDEX(campaigns!$BG$2:$BG$51,MATCH($C61,campaigns!$A$2:$A$51,0))),""),$A61,calendar!$A$2:$A$80)))</f>
        <v/>
      </c>
      <c r="K61" s="25">
        <f>IF($C61="","",IF(COUNTIF(campaigns!$A$2:$A$51,$C61)=0,"campaign_id not on campaigns; ",IF(AND($D61&lt;&gt;"",COUNTIFS(approvals!$A$2:$A$251,$C61,approvals!$B$2:$B$251,$D61)=0),"office not on this campaign (approvals tab); ",""))&amp;IF(COUNTIFS(counts!$C$2:$C$701,$C61,counts!$D$2:$D$701,$D61,counts!$E$2:$E$701,$E61)&gt;1,"two "&amp;$E61&amp;" counts: keep one; ","")&amp;IF(AND($E61="remaining_day5",N($J61)&lt;5),"day-5 count logged before day 5; ","")&amp;IF(AND($G61="photo",$H61=""),"which photo?; ",""))</f>
        <v/>
      </c>
    </row>
    <row r="62">
      <c r="A62" s="9" t="n"/>
      <c r="B62" s="33" t="n"/>
      <c r="J62" s="25">
        <f>IF(OR($C62="",$A62=""),"",IF($A62&lt;IFERROR(IF(INDEX(campaigns!$BG$2:$BG$51,MATCH($C62,campaigns!$A$2:$A$51,0))="","",INDEX(campaigns!$BG$2:$BG$51,MATCH($C62,campaigns!$A$2:$A$51,0))),""),0,NETWORKDAYS(IFERROR(IF(INDEX(campaigns!$BG$2:$BG$51,MATCH($C62,campaigns!$A$2:$A$51,0))="","",INDEX(campaigns!$BG$2:$BG$51,MATCH($C62,campaigns!$A$2:$A$51,0))),""),$A62,calendar!$A$2:$A$80)))</f>
        <v/>
      </c>
      <c r="K62" s="25">
        <f>IF($C62="","",IF(COUNTIF(campaigns!$A$2:$A$51,$C62)=0,"campaign_id not on campaigns; ",IF(AND($D62&lt;&gt;"",COUNTIFS(approvals!$A$2:$A$251,$C62,approvals!$B$2:$B$251,$D62)=0),"office not on this campaign (approvals tab); ",""))&amp;IF(COUNTIFS(counts!$C$2:$C$701,$C62,counts!$D$2:$D$701,$D62,counts!$E$2:$E$701,$E62)&gt;1,"two "&amp;$E62&amp;" counts: keep one; ","")&amp;IF(AND($E62="remaining_day5",N($J62)&lt;5),"day-5 count logged before day 5; ","")&amp;IF(AND($G62="photo",$H62=""),"which photo?; ",""))</f>
        <v/>
      </c>
    </row>
    <row r="63">
      <c r="A63" s="9" t="n"/>
      <c r="B63" s="33" t="n"/>
      <c r="J63" s="25">
        <f>IF(OR($C63="",$A63=""),"",IF($A63&lt;IFERROR(IF(INDEX(campaigns!$BG$2:$BG$51,MATCH($C63,campaigns!$A$2:$A$51,0))="","",INDEX(campaigns!$BG$2:$BG$51,MATCH($C63,campaigns!$A$2:$A$51,0))),""),0,NETWORKDAYS(IFERROR(IF(INDEX(campaigns!$BG$2:$BG$51,MATCH($C63,campaigns!$A$2:$A$51,0))="","",INDEX(campaigns!$BG$2:$BG$51,MATCH($C63,campaigns!$A$2:$A$51,0))),""),$A63,calendar!$A$2:$A$80)))</f>
        <v/>
      </c>
      <c r="K63" s="25">
        <f>IF($C63="","",IF(COUNTIF(campaigns!$A$2:$A$51,$C63)=0,"campaign_id not on campaigns; ",IF(AND($D63&lt;&gt;"",COUNTIFS(approvals!$A$2:$A$251,$C63,approvals!$B$2:$B$251,$D63)=0),"office not on this campaign (approvals tab); ",""))&amp;IF(COUNTIFS(counts!$C$2:$C$701,$C63,counts!$D$2:$D$701,$D63,counts!$E$2:$E$701,$E63)&gt;1,"two "&amp;$E63&amp;" counts: keep one; ","")&amp;IF(AND($E63="remaining_day5",N($J63)&lt;5),"day-5 count logged before day 5; ","")&amp;IF(AND($G63="photo",$H63=""),"which photo?; ",""))</f>
        <v/>
      </c>
    </row>
    <row r="64">
      <c r="A64" s="9" t="n"/>
      <c r="B64" s="33" t="n"/>
      <c r="J64" s="25">
        <f>IF(OR($C64="",$A64=""),"",IF($A64&lt;IFERROR(IF(INDEX(campaigns!$BG$2:$BG$51,MATCH($C64,campaigns!$A$2:$A$51,0))="","",INDEX(campaigns!$BG$2:$BG$51,MATCH($C64,campaigns!$A$2:$A$51,0))),""),0,NETWORKDAYS(IFERROR(IF(INDEX(campaigns!$BG$2:$BG$51,MATCH($C64,campaigns!$A$2:$A$51,0))="","",INDEX(campaigns!$BG$2:$BG$51,MATCH($C64,campaigns!$A$2:$A$51,0))),""),$A64,calendar!$A$2:$A$80)))</f>
        <v/>
      </c>
      <c r="K64" s="25">
        <f>IF($C64="","",IF(COUNTIF(campaigns!$A$2:$A$51,$C64)=0,"campaign_id not on campaigns; ",IF(AND($D64&lt;&gt;"",COUNTIFS(approvals!$A$2:$A$251,$C64,approvals!$B$2:$B$251,$D64)=0),"office not on this campaign (approvals tab); ",""))&amp;IF(COUNTIFS(counts!$C$2:$C$701,$C64,counts!$D$2:$D$701,$D64,counts!$E$2:$E$701,$E64)&gt;1,"two "&amp;$E64&amp;" counts: keep one; ","")&amp;IF(AND($E64="remaining_day5",N($J64)&lt;5),"day-5 count logged before day 5; ","")&amp;IF(AND($G64="photo",$H64=""),"which photo?; ",""))</f>
        <v/>
      </c>
    </row>
    <row r="65">
      <c r="A65" s="9" t="n"/>
      <c r="B65" s="33" t="n"/>
      <c r="J65" s="25">
        <f>IF(OR($C65="",$A65=""),"",IF($A65&lt;IFERROR(IF(INDEX(campaigns!$BG$2:$BG$51,MATCH($C65,campaigns!$A$2:$A$51,0))="","",INDEX(campaigns!$BG$2:$BG$51,MATCH($C65,campaigns!$A$2:$A$51,0))),""),0,NETWORKDAYS(IFERROR(IF(INDEX(campaigns!$BG$2:$BG$51,MATCH($C65,campaigns!$A$2:$A$51,0))="","",INDEX(campaigns!$BG$2:$BG$51,MATCH($C65,campaigns!$A$2:$A$51,0))),""),$A65,calendar!$A$2:$A$80)))</f>
        <v/>
      </c>
      <c r="K65" s="25">
        <f>IF($C65="","",IF(COUNTIF(campaigns!$A$2:$A$51,$C65)=0,"campaign_id not on campaigns; ",IF(AND($D65&lt;&gt;"",COUNTIFS(approvals!$A$2:$A$251,$C65,approvals!$B$2:$B$251,$D65)=0),"office not on this campaign (approvals tab); ",""))&amp;IF(COUNTIFS(counts!$C$2:$C$701,$C65,counts!$D$2:$D$701,$D65,counts!$E$2:$E$701,$E65)&gt;1,"two "&amp;$E65&amp;" counts: keep one; ","")&amp;IF(AND($E65="remaining_day5",N($J65)&lt;5),"day-5 count logged before day 5; ","")&amp;IF(AND($G65="photo",$H65=""),"which photo?; ",""))</f>
        <v/>
      </c>
    </row>
    <row r="66">
      <c r="A66" s="9" t="n"/>
      <c r="B66" s="33" t="n"/>
      <c r="J66" s="25">
        <f>IF(OR($C66="",$A66=""),"",IF($A66&lt;IFERROR(IF(INDEX(campaigns!$BG$2:$BG$51,MATCH($C66,campaigns!$A$2:$A$51,0))="","",INDEX(campaigns!$BG$2:$BG$51,MATCH($C66,campaigns!$A$2:$A$51,0))),""),0,NETWORKDAYS(IFERROR(IF(INDEX(campaigns!$BG$2:$BG$51,MATCH($C66,campaigns!$A$2:$A$51,0))="","",INDEX(campaigns!$BG$2:$BG$51,MATCH($C66,campaigns!$A$2:$A$51,0))),""),$A66,calendar!$A$2:$A$80)))</f>
        <v/>
      </c>
      <c r="K66" s="25">
        <f>IF($C66="","",IF(COUNTIF(campaigns!$A$2:$A$51,$C66)=0,"campaign_id not on campaigns; ",IF(AND($D66&lt;&gt;"",COUNTIFS(approvals!$A$2:$A$251,$C66,approvals!$B$2:$B$251,$D66)=0),"office not on this campaign (approvals tab); ",""))&amp;IF(COUNTIFS(counts!$C$2:$C$701,$C66,counts!$D$2:$D$701,$D66,counts!$E$2:$E$701,$E66)&gt;1,"two "&amp;$E66&amp;" counts: keep one; ","")&amp;IF(AND($E66="remaining_day5",N($J66)&lt;5),"day-5 count logged before day 5; ","")&amp;IF(AND($G66="photo",$H66=""),"which photo?; ",""))</f>
        <v/>
      </c>
    </row>
    <row r="67">
      <c r="A67" s="9" t="n"/>
      <c r="B67" s="33" t="n"/>
      <c r="J67" s="25">
        <f>IF(OR($C67="",$A67=""),"",IF($A67&lt;IFERROR(IF(INDEX(campaigns!$BG$2:$BG$51,MATCH($C67,campaigns!$A$2:$A$51,0))="","",INDEX(campaigns!$BG$2:$BG$51,MATCH($C67,campaigns!$A$2:$A$51,0))),""),0,NETWORKDAYS(IFERROR(IF(INDEX(campaigns!$BG$2:$BG$51,MATCH($C67,campaigns!$A$2:$A$51,0))="","",INDEX(campaigns!$BG$2:$BG$51,MATCH($C67,campaigns!$A$2:$A$51,0))),""),$A67,calendar!$A$2:$A$80)))</f>
        <v/>
      </c>
      <c r="K67" s="25">
        <f>IF($C67="","",IF(COUNTIF(campaigns!$A$2:$A$51,$C67)=0,"campaign_id not on campaigns; ",IF(AND($D67&lt;&gt;"",COUNTIFS(approvals!$A$2:$A$251,$C67,approvals!$B$2:$B$251,$D67)=0),"office not on this campaign (approvals tab); ",""))&amp;IF(COUNTIFS(counts!$C$2:$C$701,$C67,counts!$D$2:$D$701,$D67,counts!$E$2:$E$701,$E67)&gt;1,"two "&amp;$E67&amp;" counts: keep one; ","")&amp;IF(AND($E67="remaining_day5",N($J67)&lt;5),"day-5 count logged before day 5; ","")&amp;IF(AND($G67="photo",$H67=""),"which photo?; ",""))</f>
        <v/>
      </c>
    </row>
    <row r="68">
      <c r="A68" s="9" t="n"/>
      <c r="B68" s="33" t="n"/>
      <c r="J68" s="25">
        <f>IF(OR($C68="",$A68=""),"",IF($A68&lt;IFERROR(IF(INDEX(campaigns!$BG$2:$BG$51,MATCH($C68,campaigns!$A$2:$A$51,0))="","",INDEX(campaigns!$BG$2:$BG$51,MATCH($C68,campaigns!$A$2:$A$51,0))),""),0,NETWORKDAYS(IFERROR(IF(INDEX(campaigns!$BG$2:$BG$51,MATCH($C68,campaigns!$A$2:$A$51,0))="","",INDEX(campaigns!$BG$2:$BG$51,MATCH($C68,campaigns!$A$2:$A$51,0))),""),$A68,calendar!$A$2:$A$80)))</f>
        <v/>
      </c>
      <c r="K68" s="25">
        <f>IF($C68="","",IF(COUNTIF(campaigns!$A$2:$A$51,$C68)=0,"campaign_id not on campaigns; ",IF(AND($D68&lt;&gt;"",COUNTIFS(approvals!$A$2:$A$251,$C68,approvals!$B$2:$B$251,$D68)=0),"office not on this campaign (approvals tab); ",""))&amp;IF(COUNTIFS(counts!$C$2:$C$701,$C68,counts!$D$2:$D$701,$D68,counts!$E$2:$E$701,$E68)&gt;1,"two "&amp;$E68&amp;" counts: keep one; ","")&amp;IF(AND($E68="remaining_day5",N($J68)&lt;5),"day-5 count logged before day 5; ","")&amp;IF(AND($G68="photo",$H68=""),"which photo?; ",""))</f>
        <v/>
      </c>
    </row>
    <row r="69">
      <c r="A69" s="9" t="n"/>
      <c r="B69" s="33" t="n"/>
      <c r="J69" s="25">
        <f>IF(OR($C69="",$A69=""),"",IF($A69&lt;IFERROR(IF(INDEX(campaigns!$BG$2:$BG$51,MATCH($C69,campaigns!$A$2:$A$51,0))="","",INDEX(campaigns!$BG$2:$BG$51,MATCH($C69,campaigns!$A$2:$A$51,0))),""),0,NETWORKDAYS(IFERROR(IF(INDEX(campaigns!$BG$2:$BG$51,MATCH($C69,campaigns!$A$2:$A$51,0))="","",INDEX(campaigns!$BG$2:$BG$51,MATCH($C69,campaigns!$A$2:$A$51,0))),""),$A69,calendar!$A$2:$A$80)))</f>
        <v/>
      </c>
      <c r="K69" s="25">
        <f>IF($C69="","",IF(COUNTIF(campaigns!$A$2:$A$51,$C69)=0,"campaign_id not on campaigns; ",IF(AND($D69&lt;&gt;"",COUNTIFS(approvals!$A$2:$A$251,$C69,approvals!$B$2:$B$251,$D69)=0),"office not on this campaign (approvals tab); ",""))&amp;IF(COUNTIFS(counts!$C$2:$C$701,$C69,counts!$D$2:$D$701,$D69,counts!$E$2:$E$701,$E69)&gt;1,"two "&amp;$E69&amp;" counts: keep one; ","")&amp;IF(AND($E69="remaining_day5",N($J69)&lt;5),"day-5 count logged before day 5; ","")&amp;IF(AND($G69="photo",$H69=""),"which photo?; ",""))</f>
        <v/>
      </c>
    </row>
    <row r="70">
      <c r="A70" s="9" t="n"/>
      <c r="B70" s="33" t="n"/>
      <c r="J70" s="25">
        <f>IF(OR($C70="",$A70=""),"",IF($A70&lt;IFERROR(IF(INDEX(campaigns!$BG$2:$BG$51,MATCH($C70,campaigns!$A$2:$A$51,0))="","",INDEX(campaigns!$BG$2:$BG$51,MATCH($C70,campaigns!$A$2:$A$51,0))),""),0,NETWORKDAYS(IFERROR(IF(INDEX(campaigns!$BG$2:$BG$51,MATCH($C70,campaigns!$A$2:$A$51,0))="","",INDEX(campaigns!$BG$2:$BG$51,MATCH($C70,campaigns!$A$2:$A$51,0))),""),$A70,calendar!$A$2:$A$80)))</f>
        <v/>
      </c>
      <c r="K70" s="25">
        <f>IF($C70="","",IF(COUNTIF(campaigns!$A$2:$A$51,$C70)=0,"campaign_id not on campaigns; ",IF(AND($D70&lt;&gt;"",COUNTIFS(approvals!$A$2:$A$251,$C70,approvals!$B$2:$B$251,$D70)=0),"office not on this campaign (approvals tab); ",""))&amp;IF(COUNTIFS(counts!$C$2:$C$701,$C70,counts!$D$2:$D$701,$D70,counts!$E$2:$E$701,$E70)&gt;1,"two "&amp;$E70&amp;" counts: keep one; ","")&amp;IF(AND($E70="remaining_day5",N($J70)&lt;5),"day-5 count logged before day 5; ","")&amp;IF(AND($G70="photo",$H70=""),"which photo?; ",""))</f>
        <v/>
      </c>
    </row>
    <row r="71">
      <c r="A71" s="9" t="n"/>
      <c r="B71" s="33" t="n"/>
      <c r="J71" s="25">
        <f>IF(OR($C71="",$A71=""),"",IF($A71&lt;IFERROR(IF(INDEX(campaigns!$BG$2:$BG$51,MATCH($C71,campaigns!$A$2:$A$51,0))="","",INDEX(campaigns!$BG$2:$BG$51,MATCH($C71,campaigns!$A$2:$A$51,0))),""),0,NETWORKDAYS(IFERROR(IF(INDEX(campaigns!$BG$2:$BG$51,MATCH($C71,campaigns!$A$2:$A$51,0))="","",INDEX(campaigns!$BG$2:$BG$51,MATCH($C71,campaigns!$A$2:$A$51,0))),""),$A71,calendar!$A$2:$A$80)))</f>
        <v/>
      </c>
      <c r="K71" s="25">
        <f>IF($C71="","",IF(COUNTIF(campaigns!$A$2:$A$51,$C71)=0,"campaign_id not on campaigns; ",IF(AND($D71&lt;&gt;"",COUNTIFS(approvals!$A$2:$A$251,$C71,approvals!$B$2:$B$251,$D71)=0),"office not on this campaign (approvals tab); ",""))&amp;IF(COUNTIFS(counts!$C$2:$C$701,$C71,counts!$D$2:$D$701,$D71,counts!$E$2:$E$701,$E71)&gt;1,"two "&amp;$E71&amp;" counts: keep one; ","")&amp;IF(AND($E71="remaining_day5",N($J71)&lt;5),"day-5 count logged before day 5; ","")&amp;IF(AND($G71="photo",$H71=""),"which photo?; ",""))</f>
        <v/>
      </c>
    </row>
    <row r="72">
      <c r="A72" s="9" t="n"/>
      <c r="B72" s="33" t="n"/>
      <c r="J72" s="25">
        <f>IF(OR($C72="",$A72=""),"",IF($A72&lt;IFERROR(IF(INDEX(campaigns!$BG$2:$BG$51,MATCH($C72,campaigns!$A$2:$A$51,0))="","",INDEX(campaigns!$BG$2:$BG$51,MATCH($C72,campaigns!$A$2:$A$51,0))),""),0,NETWORKDAYS(IFERROR(IF(INDEX(campaigns!$BG$2:$BG$51,MATCH($C72,campaigns!$A$2:$A$51,0))="","",INDEX(campaigns!$BG$2:$BG$51,MATCH($C72,campaigns!$A$2:$A$51,0))),""),$A72,calendar!$A$2:$A$80)))</f>
        <v/>
      </c>
      <c r="K72" s="25">
        <f>IF($C72="","",IF(COUNTIF(campaigns!$A$2:$A$51,$C72)=0,"campaign_id not on campaigns; ",IF(AND($D72&lt;&gt;"",COUNTIFS(approvals!$A$2:$A$251,$C72,approvals!$B$2:$B$251,$D72)=0),"office not on this campaign (approvals tab); ",""))&amp;IF(COUNTIFS(counts!$C$2:$C$701,$C72,counts!$D$2:$D$701,$D72,counts!$E$2:$E$701,$E72)&gt;1,"two "&amp;$E72&amp;" counts: keep one; ","")&amp;IF(AND($E72="remaining_day5",N($J72)&lt;5),"day-5 count logged before day 5; ","")&amp;IF(AND($G72="photo",$H72=""),"which photo?; ",""))</f>
        <v/>
      </c>
    </row>
    <row r="73">
      <c r="A73" s="9" t="n"/>
      <c r="B73" s="33" t="n"/>
      <c r="J73" s="25">
        <f>IF(OR($C73="",$A73=""),"",IF($A73&lt;IFERROR(IF(INDEX(campaigns!$BG$2:$BG$51,MATCH($C73,campaigns!$A$2:$A$51,0))="","",INDEX(campaigns!$BG$2:$BG$51,MATCH($C73,campaigns!$A$2:$A$51,0))),""),0,NETWORKDAYS(IFERROR(IF(INDEX(campaigns!$BG$2:$BG$51,MATCH($C73,campaigns!$A$2:$A$51,0))="","",INDEX(campaigns!$BG$2:$BG$51,MATCH($C73,campaigns!$A$2:$A$51,0))),""),$A73,calendar!$A$2:$A$80)))</f>
        <v/>
      </c>
      <c r="K73" s="25">
        <f>IF($C73="","",IF(COUNTIF(campaigns!$A$2:$A$51,$C73)=0,"campaign_id not on campaigns; ",IF(AND($D73&lt;&gt;"",COUNTIFS(approvals!$A$2:$A$251,$C73,approvals!$B$2:$B$251,$D73)=0),"office not on this campaign (approvals tab); ",""))&amp;IF(COUNTIFS(counts!$C$2:$C$701,$C73,counts!$D$2:$D$701,$D73,counts!$E$2:$E$701,$E73)&gt;1,"two "&amp;$E73&amp;" counts: keep one; ","")&amp;IF(AND($E73="remaining_day5",N($J73)&lt;5),"day-5 count logged before day 5; ","")&amp;IF(AND($G73="photo",$H73=""),"which photo?; ",""))</f>
        <v/>
      </c>
    </row>
    <row r="74">
      <c r="A74" s="9" t="n"/>
      <c r="B74" s="33" t="n"/>
      <c r="J74" s="25">
        <f>IF(OR($C74="",$A74=""),"",IF($A74&lt;IFERROR(IF(INDEX(campaigns!$BG$2:$BG$51,MATCH($C74,campaigns!$A$2:$A$51,0))="","",INDEX(campaigns!$BG$2:$BG$51,MATCH($C74,campaigns!$A$2:$A$51,0))),""),0,NETWORKDAYS(IFERROR(IF(INDEX(campaigns!$BG$2:$BG$51,MATCH($C74,campaigns!$A$2:$A$51,0))="","",INDEX(campaigns!$BG$2:$BG$51,MATCH($C74,campaigns!$A$2:$A$51,0))),""),$A74,calendar!$A$2:$A$80)))</f>
        <v/>
      </c>
      <c r="K74" s="25">
        <f>IF($C74="","",IF(COUNTIF(campaigns!$A$2:$A$51,$C74)=0,"campaign_id not on campaigns; ",IF(AND($D74&lt;&gt;"",COUNTIFS(approvals!$A$2:$A$251,$C74,approvals!$B$2:$B$251,$D74)=0),"office not on this campaign (approvals tab); ",""))&amp;IF(COUNTIFS(counts!$C$2:$C$701,$C74,counts!$D$2:$D$701,$D74,counts!$E$2:$E$701,$E74)&gt;1,"two "&amp;$E74&amp;" counts: keep one; ","")&amp;IF(AND($E74="remaining_day5",N($J74)&lt;5),"day-5 count logged before day 5; ","")&amp;IF(AND($G74="photo",$H74=""),"which photo?; ",""))</f>
        <v/>
      </c>
    </row>
    <row r="75">
      <c r="A75" s="9" t="n"/>
      <c r="B75" s="33" t="n"/>
      <c r="J75" s="25">
        <f>IF(OR($C75="",$A75=""),"",IF($A75&lt;IFERROR(IF(INDEX(campaigns!$BG$2:$BG$51,MATCH($C75,campaigns!$A$2:$A$51,0))="","",INDEX(campaigns!$BG$2:$BG$51,MATCH($C75,campaigns!$A$2:$A$51,0))),""),0,NETWORKDAYS(IFERROR(IF(INDEX(campaigns!$BG$2:$BG$51,MATCH($C75,campaigns!$A$2:$A$51,0))="","",INDEX(campaigns!$BG$2:$BG$51,MATCH($C75,campaigns!$A$2:$A$51,0))),""),$A75,calendar!$A$2:$A$80)))</f>
        <v/>
      </c>
      <c r="K75" s="25">
        <f>IF($C75="","",IF(COUNTIF(campaigns!$A$2:$A$51,$C75)=0,"campaign_id not on campaigns; ",IF(AND($D75&lt;&gt;"",COUNTIFS(approvals!$A$2:$A$251,$C75,approvals!$B$2:$B$251,$D75)=0),"office not on this campaign (approvals tab); ",""))&amp;IF(COUNTIFS(counts!$C$2:$C$701,$C75,counts!$D$2:$D$701,$D75,counts!$E$2:$E$701,$E75)&gt;1,"two "&amp;$E75&amp;" counts: keep one; ","")&amp;IF(AND($E75="remaining_day5",N($J75)&lt;5),"day-5 count logged before day 5; ","")&amp;IF(AND($G75="photo",$H75=""),"which photo?; ",""))</f>
        <v/>
      </c>
    </row>
    <row r="76">
      <c r="A76" s="9" t="n"/>
      <c r="B76" s="33" t="n"/>
      <c r="J76" s="25">
        <f>IF(OR($C76="",$A76=""),"",IF($A76&lt;IFERROR(IF(INDEX(campaigns!$BG$2:$BG$51,MATCH($C76,campaigns!$A$2:$A$51,0))="","",INDEX(campaigns!$BG$2:$BG$51,MATCH($C76,campaigns!$A$2:$A$51,0))),""),0,NETWORKDAYS(IFERROR(IF(INDEX(campaigns!$BG$2:$BG$51,MATCH($C76,campaigns!$A$2:$A$51,0))="","",INDEX(campaigns!$BG$2:$BG$51,MATCH($C76,campaigns!$A$2:$A$51,0))),""),$A76,calendar!$A$2:$A$80)))</f>
        <v/>
      </c>
      <c r="K76" s="25">
        <f>IF($C76="","",IF(COUNTIF(campaigns!$A$2:$A$51,$C76)=0,"campaign_id not on campaigns; ",IF(AND($D76&lt;&gt;"",COUNTIFS(approvals!$A$2:$A$251,$C76,approvals!$B$2:$B$251,$D76)=0),"office not on this campaign (approvals tab); ",""))&amp;IF(COUNTIFS(counts!$C$2:$C$701,$C76,counts!$D$2:$D$701,$D76,counts!$E$2:$E$701,$E76)&gt;1,"two "&amp;$E76&amp;" counts: keep one; ","")&amp;IF(AND($E76="remaining_day5",N($J76)&lt;5),"day-5 count logged before day 5; ","")&amp;IF(AND($G76="photo",$H76=""),"which photo?; ",""))</f>
        <v/>
      </c>
    </row>
    <row r="77">
      <c r="A77" s="9" t="n"/>
      <c r="B77" s="33" t="n"/>
      <c r="J77" s="25">
        <f>IF(OR($C77="",$A77=""),"",IF($A77&lt;IFERROR(IF(INDEX(campaigns!$BG$2:$BG$51,MATCH($C77,campaigns!$A$2:$A$51,0))="","",INDEX(campaigns!$BG$2:$BG$51,MATCH($C77,campaigns!$A$2:$A$51,0))),""),0,NETWORKDAYS(IFERROR(IF(INDEX(campaigns!$BG$2:$BG$51,MATCH($C77,campaigns!$A$2:$A$51,0))="","",INDEX(campaigns!$BG$2:$BG$51,MATCH($C77,campaigns!$A$2:$A$51,0))),""),$A77,calendar!$A$2:$A$80)))</f>
        <v/>
      </c>
      <c r="K77" s="25">
        <f>IF($C77="","",IF(COUNTIF(campaigns!$A$2:$A$51,$C77)=0,"campaign_id not on campaigns; ",IF(AND($D77&lt;&gt;"",COUNTIFS(approvals!$A$2:$A$251,$C77,approvals!$B$2:$B$251,$D77)=0),"office not on this campaign (approvals tab); ",""))&amp;IF(COUNTIFS(counts!$C$2:$C$701,$C77,counts!$D$2:$D$701,$D77,counts!$E$2:$E$701,$E77)&gt;1,"two "&amp;$E77&amp;" counts: keep one; ","")&amp;IF(AND($E77="remaining_day5",N($J77)&lt;5),"day-5 count logged before day 5; ","")&amp;IF(AND($G77="photo",$H77=""),"which photo?; ",""))</f>
        <v/>
      </c>
    </row>
    <row r="78">
      <c r="A78" s="9" t="n"/>
      <c r="B78" s="33" t="n"/>
      <c r="J78" s="25">
        <f>IF(OR($C78="",$A78=""),"",IF($A78&lt;IFERROR(IF(INDEX(campaigns!$BG$2:$BG$51,MATCH($C78,campaigns!$A$2:$A$51,0))="","",INDEX(campaigns!$BG$2:$BG$51,MATCH($C78,campaigns!$A$2:$A$51,0))),""),0,NETWORKDAYS(IFERROR(IF(INDEX(campaigns!$BG$2:$BG$51,MATCH($C78,campaigns!$A$2:$A$51,0))="","",INDEX(campaigns!$BG$2:$BG$51,MATCH($C78,campaigns!$A$2:$A$51,0))),""),$A78,calendar!$A$2:$A$80)))</f>
        <v/>
      </c>
      <c r="K78" s="25">
        <f>IF($C78="","",IF(COUNTIF(campaigns!$A$2:$A$51,$C78)=0,"campaign_id not on campaigns; ",IF(AND($D78&lt;&gt;"",COUNTIFS(approvals!$A$2:$A$251,$C78,approvals!$B$2:$B$251,$D78)=0),"office not on this campaign (approvals tab); ",""))&amp;IF(COUNTIFS(counts!$C$2:$C$701,$C78,counts!$D$2:$D$701,$D78,counts!$E$2:$E$701,$E78)&gt;1,"two "&amp;$E78&amp;" counts: keep one; ","")&amp;IF(AND($E78="remaining_day5",N($J78)&lt;5),"day-5 count logged before day 5; ","")&amp;IF(AND($G78="photo",$H78=""),"which photo?; ",""))</f>
        <v/>
      </c>
    </row>
    <row r="79">
      <c r="A79" s="9" t="n"/>
      <c r="B79" s="33" t="n"/>
      <c r="J79" s="25">
        <f>IF(OR($C79="",$A79=""),"",IF($A79&lt;IFERROR(IF(INDEX(campaigns!$BG$2:$BG$51,MATCH($C79,campaigns!$A$2:$A$51,0))="","",INDEX(campaigns!$BG$2:$BG$51,MATCH($C79,campaigns!$A$2:$A$51,0))),""),0,NETWORKDAYS(IFERROR(IF(INDEX(campaigns!$BG$2:$BG$51,MATCH($C79,campaigns!$A$2:$A$51,0))="","",INDEX(campaigns!$BG$2:$BG$51,MATCH($C79,campaigns!$A$2:$A$51,0))),""),$A79,calendar!$A$2:$A$80)))</f>
        <v/>
      </c>
      <c r="K79" s="25">
        <f>IF($C79="","",IF(COUNTIF(campaigns!$A$2:$A$51,$C79)=0,"campaign_id not on campaigns; ",IF(AND($D79&lt;&gt;"",COUNTIFS(approvals!$A$2:$A$251,$C79,approvals!$B$2:$B$251,$D79)=0),"office not on this campaign (approvals tab); ",""))&amp;IF(COUNTIFS(counts!$C$2:$C$701,$C79,counts!$D$2:$D$701,$D79,counts!$E$2:$E$701,$E79)&gt;1,"two "&amp;$E79&amp;" counts: keep one; ","")&amp;IF(AND($E79="remaining_day5",N($J79)&lt;5),"day-5 count logged before day 5; ","")&amp;IF(AND($G79="photo",$H79=""),"which photo?; ",""))</f>
        <v/>
      </c>
    </row>
    <row r="80">
      <c r="A80" s="9" t="n"/>
      <c r="B80" s="33" t="n"/>
      <c r="J80" s="25">
        <f>IF(OR($C80="",$A80=""),"",IF($A80&lt;IFERROR(IF(INDEX(campaigns!$BG$2:$BG$51,MATCH($C80,campaigns!$A$2:$A$51,0))="","",INDEX(campaigns!$BG$2:$BG$51,MATCH($C80,campaigns!$A$2:$A$51,0))),""),0,NETWORKDAYS(IFERROR(IF(INDEX(campaigns!$BG$2:$BG$51,MATCH($C80,campaigns!$A$2:$A$51,0))="","",INDEX(campaigns!$BG$2:$BG$51,MATCH($C80,campaigns!$A$2:$A$51,0))),""),$A80,calendar!$A$2:$A$80)))</f>
        <v/>
      </c>
      <c r="K80" s="25">
        <f>IF($C80="","",IF(COUNTIF(campaigns!$A$2:$A$51,$C80)=0,"campaign_id not on campaigns; ",IF(AND($D80&lt;&gt;"",COUNTIFS(approvals!$A$2:$A$251,$C80,approvals!$B$2:$B$251,$D80)=0),"office not on this campaign (approvals tab); ",""))&amp;IF(COUNTIFS(counts!$C$2:$C$701,$C80,counts!$D$2:$D$701,$D80,counts!$E$2:$E$701,$E80)&gt;1,"two "&amp;$E80&amp;" counts: keep one; ","")&amp;IF(AND($E80="remaining_day5",N($J80)&lt;5),"day-5 count logged before day 5; ","")&amp;IF(AND($G80="photo",$H80=""),"which photo?; ",""))</f>
        <v/>
      </c>
    </row>
    <row r="81">
      <c r="A81" s="9" t="n"/>
      <c r="B81" s="33" t="n"/>
      <c r="J81" s="25">
        <f>IF(OR($C81="",$A81=""),"",IF($A81&lt;IFERROR(IF(INDEX(campaigns!$BG$2:$BG$51,MATCH($C81,campaigns!$A$2:$A$51,0))="","",INDEX(campaigns!$BG$2:$BG$51,MATCH($C81,campaigns!$A$2:$A$51,0))),""),0,NETWORKDAYS(IFERROR(IF(INDEX(campaigns!$BG$2:$BG$51,MATCH($C81,campaigns!$A$2:$A$51,0))="","",INDEX(campaigns!$BG$2:$BG$51,MATCH($C81,campaigns!$A$2:$A$51,0))),""),$A81,calendar!$A$2:$A$80)))</f>
        <v/>
      </c>
      <c r="K81" s="25">
        <f>IF($C81="","",IF(COUNTIF(campaigns!$A$2:$A$51,$C81)=0,"campaign_id not on campaigns; ",IF(AND($D81&lt;&gt;"",COUNTIFS(approvals!$A$2:$A$251,$C81,approvals!$B$2:$B$251,$D81)=0),"office not on this campaign (approvals tab); ",""))&amp;IF(COUNTIFS(counts!$C$2:$C$701,$C81,counts!$D$2:$D$701,$D81,counts!$E$2:$E$701,$E81)&gt;1,"two "&amp;$E81&amp;" counts: keep one; ","")&amp;IF(AND($E81="remaining_day5",N($J81)&lt;5),"day-5 count logged before day 5; ","")&amp;IF(AND($G81="photo",$H81=""),"which photo?; ",""))</f>
        <v/>
      </c>
    </row>
    <row r="82">
      <c r="A82" s="9" t="n"/>
      <c r="B82" s="33" t="n"/>
      <c r="J82" s="25">
        <f>IF(OR($C82="",$A82=""),"",IF($A82&lt;IFERROR(IF(INDEX(campaigns!$BG$2:$BG$51,MATCH($C82,campaigns!$A$2:$A$51,0))="","",INDEX(campaigns!$BG$2:$BG$51,MATCH($C82,campaigns!$A$2:$A$51,0))),""),0,NETWORKDAYS(IFERROR(IF(INDEX(campaigns!$BG$2:$BG$51,MATCH($C82,campaigns!$A$2:$A$51,0))="","",INDEX(campaigns!$BG$2:$BG$51,MATCH($C82,campaigns!$A$2:$A$51,0))),""),$A82,calendar!$A$2:$A$80)))</f>
        <v/>
      </c>
      <c r="K82" s="25">
        <f>IF($C82="","",IF(COUNTIF(campaigns!$A$2:$A$51,$C82)=0,"campaign_id not on campaigns; ",IF(AND($D82&lt;&gt;"",COUNTIFS(approvals!$A$2:$A$251,$C82,approvals!$B$2:$B$251,$D82)=0),"office not on this campaign (approvals tab); ",""))&amp;IF(COUNTIFS(counts!$C$2:$C$701,$C82,counts!$D$2:$D$701,$D82,counts!$E$2:$E$701,$E82)&gt;1,"two "&amp;$E82&amp;" counts: keep one; ","")&amp;IF(AND($E82="remaining_day5",N($J82)&lt;5),"day-5 count logged before day 5; ","")&amp;IF(AND($G82="photo",$H82=""),"which photo?; ",""))</f>
        <v/>
      </c>
    </row>
    <row r="83">
      <c r="A83" s="9" t="n"/>
      <c r="B83" s="33" t="n"/>
      <c r="J83" s="25">
        <f>IF(OR($C83="",$A83=""),"",IF($A83&lt;IFERROR(IF(INDEX(campaigns!$BG$2:$BG$51,MATCH($C83,campaigns!$A$2:$A$51,0))="","",INDEX(campaigns!$BG$2:$BG$51,MATCH($C83,campaigns!$A$2:$A$51,0))),""),0,NETWORKDAYS(IFERROR(IF(INDEX(campaigns!$BG$2:$BG$51,MATCH($C83,campaigns!$A$2:$A$51,0))="","",INDEX(campaigns!$BG$2:$BG$51,MATCH($C83,campaigns!$A$2:$A$51,0))),""),$A83,calendar!$A$2:$A$80)))</f>
        <v/>
      </c>
      <c r="K83" s="25">
        <f>IF($C83="","",IF(COUNTIF(campaigns!$A$2:$A$51,$C83)=0,"campaign_id not on campaigns; ",IF(AND($D83&lt;&gt;"",COUNTIFS(approvals!$A$2:$A$251,$C83,approvals!$B$2:$B$251,$D83)=0),"office not on this campaign (approvals tab); ",""))&amp;IF(COUNTIFS(counts!$C$2:$C$701,$C83,counts!$D$2:$D$701,$D83,counts!$E$2:$E$701,$E83)&gt;1,"two "&amp;$E83&amp;" counts: keep one; ","")&amp;IF(AND($E83="remaining_day5",N($J83)&lt;5),"day-5 count logged before day 5; ","")&amp;IF(AND($G83="photo",$H83=""),"which photo?; ",""))</f>
        <v/>
      </c>
    </row>
    <row r="84">
      <c r="A84" s="9" t="n"/>
      <c r="B84" s="33" t="n"/>
      <c r="J84" s="25">
        <f>IF(OR($C84="",$A84=""),"",IF($A84&lt;IFERROR(IF(INDEX(campaigns!$BG$2:$BG$51,MATCH($C84,campaigns!$A$2:$A$51,0))="","",INDEX(campaigns!$BG$2:$BG$51,MATCH($C84,campaigns!$A$2:$A$51,0))),""),0,NETWORKDAYS(IFERROR(IF(INDEX(campaigns!$BG$2:$BG$51,MATCH($C84,campaigns!$A$2:$A$51,0))="","",INDEX(campaigns!$BG$2:$BG$51,MATCH($C84,campaigns!$A$2:$A$51,0))),""),$A84,calendar!$A$2:$A$80)))</f>
        <v/>
      </c>
      <c r="K84" s="25">
        <f>IF($C84="","",IF(COUNTIF(campaigns!$A$2:$A$51,$C84)=0,"campaign_id not on campaigns; ",IF(AND($D84&lt;&gt;"",COUNTIFS(approvals!$A$2:$A$251,$C84,approvals!$B$2:$B$251,$D84)=0),"office not on this campaign (approvals tab); ",""))&amp;IF(COUNTIFS(counts!$C$2:$C$701,$C84,counts!$D$2:$D$701,$D84,counts!$E$2:$E$701,$E84)&gt;1,"two "&amp;$E84&amp;" counts: keep one; ","")&amp;IF(AND($E84="remaining_day5",N($J84)&lt;5),"day-5 count logged before day 5; ","")&amp;IF(AND($G84="photo",$H84=""),"which photo?; ",""))</f>
        <v/>
      </c>
    </row>
    <row r="85">
      <c r="A85" s="9" t="n"/>
      <c r="B85" s="33" t="n"/>
      <c r="J85" s="25">
        <f>IF(OR($C85="",$A85=""),"",IF($A85&lt;IFERROR(IF(INDEX(campaigns!$BG$2:$BG$51,MATCH($C85,campaigns!$A$2:$A$51,0))="","",INDEX(campaigns!$BG$2:$BG$51,MATCH($C85,campaigns!$A$2:$A$51,0))),""),0,NETWORKDAYS(IFERROR(IF(INDEX(campaigns!$BG$2:$BG$51,MATCH($C85,campaigns!$A$2:$A$51,0))="","",INDEX(campaigns!$BG$2:$BG$51,MATCH($C85,campaigns!$A$2:$A$51,0))),""),$A85,calendar!$A$2:$A$80)))</f>
        <v/>
      </c>
      <c r="K85" s="25">
        <f>IF($C85="","",IF(COUNTIF(campaigns!$A$2:$A$51,$C85)=0,"campaign_id not on campaigns; ",IF(AND($D85&lt;&gt;"",COUNTIFS(approvals!$A$2:$A$251,$C85,approvals!$B$2:$B$251,$D85)=0),"office not on this campaign (approvals tab); ",""))&amp;IF(COUNTIFS(counts!$C$2:$C$701,$C85,counts!$D$2:$D$701,$D85,counts!$E$2:$E$701,$E85)&gt;1,"two "&amp;$E85&amp;" counts: keep one; ","")&amp;IF(AND($E85="remaining_day5",N($J85)&lt;5),"day-5 count logged before day 5; ","")&amp;IF(AND($G85="photo",$H85=""),"which photo?; ",""))</f>
        <v/>
      </c>
    </row>
    <row r="86">
      <c r="A86" s="9" t="n"/>
      <c r="B86" s="33" t="n"/>
      <c r="J86" s="25">
        <f>IF(OR($C86="",$A86=""),"",IF($A86&lt;IFERROR(IF(INDEX(campaigns!$BG$2:$BG$51,MATCH($C86,campaigns!$A$2:$A$51,0))="","",INDEX(campaigns!$BG$2:$BG$51,MATCH($C86,campaigns!$A$2:$A$51,0))),""),0,NETWORKDAYS(IFERROR(IF(INDEX(campaigns!$BG$2:$BG$51,MATCH($C86,campaigns!$A$2:$A$51,0))="","",INDEX(campaigns!$BG$2:$BG$51,MATCH($C86,campaigns!$A$2:$A$51,0))),""),$A86,calendar!$A$2:$A$80)))</f>
        <v/>
      </c>
      <c r="K86" s="25">
        <f>IF($C86="","",IF(COUNTIF(campaigns!$A$2:$A$51,$C86)=0,"campaign_id not on campaigns; ",IF(AND($D86&lt;&gt;"",COUNTIFS(approvals!$A$2:$A$251,$C86,approvals!$B$2:$B$251,$D86)=0),"office not on this campaign (approvals tab); ",""))&amp;IF(COUNTIFS(counts!$C$2:$C$701,$C86,counts!$D$2:$D$701,$D86,counts!$E$2:$E$701,$E86)&gt;1,"two "&amp;$E86&amp;" counts: keep one; ","")&amp;IF(AND($E86="remaining_day5",N($J86)&lt;5),"day-5 count logged before day 5; ","")&amp;IF(AND($G86="photo",$H86=""),"which photo?; ",""))</f>
        <v/>
      </c>
    </row>
    <row r="87">
      <c r="A87" s="9" t="n"/>
      <c r="B87" s="33" t="n"/>
      <c r="J87" s="25">
        <f>IF(OR($C87="",$A87=""),"",IF($A87&lt;IFERROR(IF(INDEX(campaigns!$BG$2:$BG$51,MATCH($C87,campaigns!$A$2:$A$51,0))="","",INDEX(campaigns!$BG$2:$BG$51,MATCH($C87,campaigns!$A$2:$A$51,0))),""),0,NETWORKDAYS(IFERROR(IF(INDEX(campaigns!$BG$2:$BG$51,MATCH($C87,campaigns!$A$2:$A$51,0))="","",INDEX(campaigns!$BG$2:$BG$51,MATCH($C87,campaigns!$A$2:$A$51,0))),""),$A87,calendar!$A$2:$A$80)))</f>
        <v/>
      </c>
      <c r="K87" s="25">
        <f>IF($C87="","",IF(COUNTIF(campaigns!$A$2:$A$51,$C87)=0,"campaign_id not on campaigns; ",IF(AND($D87&lt;&gt;"",COUNTIFS(approvals!$A$2:$A$251,$C87,approvals!$B$2:$B$251,$D87)=0),"office not on this campaign (approvals tab); ",""))&amp;IF(COUNTIFS(counts!$C$2:$C$701,$C87,counts!$D$2:$D$701,$D87,counts!$E$2:$E$701,$E87)&gt;1,"two "&amp;$E87&amp;" counts: keep one; ","")&amp;IF(AND($E87="remaining_day5",N($J87)&lt;5),"day-5 count logged before day 5; ","")&amp;IF(AND($G87="photo",$H87=""),"which photo?; ",""))</f>
        <v/>
      </c>
    </row>
    <row r="88">
      <c r="A88" s="9" t="n"/>
      <c r="B88" s="33" t="n"/>
      <c r="J88" s="25">
        <f>IF(OR($C88="",$A88=""),"",IF($A88&lt;IFERROR(IF(INDEX(campaigns!$BG$2:$BG$51,MATCH($C88,campaigns!$A$2:$A$51,0))="","",INDEX(campaigns!$BG$2:$BG$51,MATCH($C88,campaigns!$A$2:$A$51,0))),""),0,NETWORKDAYS(IFERROR(IF(INDEX(campaigns!$BG$2:$BG$51,MATCH($C88,campaigns!$A$2:$A$51,0))="","",INDEX(campaigns!$BG$2:$BG$51,MATCH($C88,campaigns!$A$2:$A$51,0))),""),$A88,calendar!$A$2:$A$80)))</f>
        <v/>
      </c>
      <c r="K88" s="25">
        <f>IF($C88="","",IF(COUNTIF(campaigns!$A$2:$A$51,$C88)=0,"campaign_id not on campaigns; ",IF(AND($D88&lt;&gt;"",COUNTIFS(approvals!$A$2:$A$251,$C88,approvals!$B$2:$B$251,$D88)=0),"office not on this campaign (approvals tab); ",""))&amp;IF(COUNTIFS(counts!$C$2:$C$701,$C88,counts!$D$2:$D$701,$D88,counts!$E$2:$E$701,$E88)&gt;1,"two "&amp;$E88&amp;" counts: keep one; ","")&amp;IF(AND($E88="remaining_day5",N($J88)&lt;5),"day-5 count logged before day 5; ","")&amp;IF(AND($G88="photo",$H88=""),"which photo?; ",""))</f>
        <v/>
      </c>
    </row>
    <row r="89">
      <c r="A89" s="9" t="n"/>
      <c r="B89" s="33" t="n"/>
      <c r="J89" s="25">
        <f>IF(OR($C89="",$A89=""),"",IF($A89&lt;IFERROR(IF(INDEX(campaigns!$BG$2:$BG$51,MATCH($C89,campaigns!$A$2:$A$51,0))="","",INDEX(campaigns!$BG$2:$BG$51,MATCH($C89,campaigns!$A$2:$A$51,0))),""),0,NETWORKDAYS(IFERROR(IF(INDEX(campaigns!$BG$2:$BG$51,MATCH($C89,campaigns!$A$2:$A$51,0))="","",INDEX(campaigns!$BG$2:$BG$51,MATCH($C89,campaigns!$A$2:$A$51,0))),""),$A89,calendar!$A$2:$A$80)))</f>
        <v/>
      </c>
      <c r="K89" s="25">
        <f>IF($C89="","",IF(COUNTIF(campaigns!$A$2:$A$51,$C89)=0,"campaign_id not on campaigns; ",IF(AND($D89&lt;&gt;"",COUNTIFS(approvals!$A$2:$A$251,$C89,approvals!$B$2:$B$251,$D89)=0),"office not on this campaign (approvals tab); ",""))&amp;IF(COUNTIFS(counts!$C$2:$C$701,$C89,counts!$D$2:$D$701,$D89,counts!$E$2:$E$701,$E89)&gt;1,"two "&amp;$E89&amp;" counts: keep one; ","")&amp;IF(AND($E89="remaining_day5",N($J89)&lt;5),"day-5 count logged before day 5; ","")&amp;IF(AND($G89="photo",$H89=""),"which photo?; ",""))</f>
        <v/>
      </c>
    </row>
    <row r="90">
      <c r="A90" s="9" t="n"/>
      <c r="B90" s="33" t="n"/>
      <c r="J90" s="25">
        <f>IF(OR($C90="",$A90=""),"",IF($A90&lt;IFERROR(IF(INDEX(campaigns!$BG$2:$BG$51,MATCH($C90,campaigns!$A$2:$A$51,0))="","",INDEX(campaigns!$BG$2:$BG$51,MATCH($C90,campaigns!$A$2:$A$51,0))),""),0,NETWORKDAYS(IFERROR(IF(INDEX(campaigns!$BG$2:$BG$51,MATCH($C90,campaigns!$A$2:$A$51,0))="","",INDEX(campaigns!$BG$2:$BG$51,MATCH($C90,campaigns!$A$2:$A$51,0))),""),$A90,calendar!$A$2:$A$80)))</f>
        <v/>
      </c>
      <c r="K90" s="25">
        <f>IF($C90="","",IF(COUNTIF(campaigns!$A$2:$A$51,$C90)=0,"campaign_id not on campaigns; ",IF(AND($D90&lt;&gt;"",COUNTIFS(approvals!$A$2:$A$251,$C90,approvals!$B$2:$B$251,$D90)=0),"office not on this campaign (approvals tab); ",""))&amp;IF(COUNTIFS(counts!$C$2:$C$701,$C90,counts!$D$2:$D$701,$D90,counts!$E$2:$E$701,$E90)&gt;1,"two "&amp;$E90&amp;" counts: keep one; ","")&amp;IF(AND($E90="remaining_day5",N($J90)&lt;5),"day-5 count logged before day 5; ","")&amp;IF(AND($G90="photo",$H90=""),"which photo?; ",""))</f>
        <v/>
      </c>
    </row>
    <row r="91">
      <c r="A91" s="9" t="n"/>
      <c r="B91" s="33" t="n"/>
      <c r="J91" s="25">
        <f>IF(OR($C91="",$A91=""),"",IF($A91&lt;IFERROR(IF(INDEX(campaigns!$BG$2:$BG$51,MATCH($C91,campaigns!$A$2:$A$51,0))="","",INDEX(campaigns!$BG$2:$BG$51,MATCH($C91,campaigns!$A$2:$A$51,0))),""),0,NETWORKDAYS(IFERROR(IF(INDEX(campaigns!$BG$2:$BG$51,MATCH($C91,campaigns!$A$2:$A$51,0))="","",INDEX(campaigns!$BG$2:$BG$51,MATCH($C91,campaigns!$A$2:$A$51,0))),""),$A91,calendar!$A$2:$A$80)))</f>
        <v/>
      </c>
      <c r="K91" s="25">
        <f>IF($C91="","",IF(COUNTIF(campaigns!$A$2:$A$51,$C91)=0,"campaign_id not on campaigns; ",IF(AND($D91&lt;&gt;"",COUNTIFS(approvals!$A$2:$A$251,$C91,approvals!$B$2:$B$251,$D91)=0),"office not on this campaign (approvals tab); ",""))&amp;IF(COUNTIFS(counts!$C$2:$C$701,$C91,counts!$D$2:$D$701,$D91,counts!$E$2:$E$701,$E91)&gt;1,"two "&amp;$E91&amp;" counts: keep one; ","")&amp;IF(AND($E91="remaining_day5",N($J91)&lt;5),"day-5 count logged before day 5; ","")&amp;IF(AND($G91="photo",$H91=""),"which photo?; ",""))</f>
        <v/>
      </c>
    </row>
    <row r="92">
      <c r="A92" s="9" t="n"/>
      <c r="B92" s="33" t="n"/>
      <c r="J92" s="25">
        <f>IF(OR($C92="",$A92=""),"",IF($A92&lt;IFERROR(IF(INDEX(campaigns!$BG$2:$BG$51,MATCH($C92,campaigns!$A$2:$A$51,0))="","",INDEX(campaigns!$BG$2:$BG$51,MATCH($C92,campaigns!$A$2:$A$51,0))),""),0,NETWORKDAYS(IFERROR(IF(INDEX(campaigns!$BG$2:$BG$51,MATCH($C92,campaigns!$A$2:$A$51,0))="","",INDEX(campaigns!$BG$2:$BG$51,MATCH($C92,campaigns!$A$2:$A$51,0))),""),$A92,calendar!$A$2:$A$80)))</f>
        <v/>
      </c>
      <c r="K92" s="25">
        <f>IF($C92="","",IF(COUNTIF(campaigns!$A$2:$A$51,$C92)=0,"campaign_id not on campaigns; ",IF(AND($D92&lt;&gt;"",COUNTIFS(approvals!$A$2:$A$251,$C92,approvals!$B$2:$B$251,$D92)=0),"office not on this campaign (approvals tab); ",""))&amp;IF(COUNTIFS(counts!$C$2:$C$701,$C92,counts!$D$2:$D$701,$D92,counts!$E$2:$E$701,$E92)&gt;1,"two "&amp;$E92&amp;" counts: keep one; ","")&amp;IF(AND($E92="remaining_day5",N($J92)&lt;5),"day-5 count logged before day 5; ","")&amp;IF(AND($G92="photo",$H92=""),"which photo?; ",""))</f>
        <v/>
      </c>
    </row>
    <row r="93">
      <c r="A93" s="9" t="n"/>
      <c r="B93" s="33" t="n"/>
      <c r="J93" s="25">
        <f>IF(OR($C93="",$A93=""),"",IF($A93&lt;IFERROR(IF(INDEX(campaigns!$BG$2:$BG$51,MATCH($C93,campaigns!$A$2:$A$51,0))="","",INDEX(campaigns!$BG$2:$BG$51,MATCH($C93,campaigns!$A$2:$A$51,0))),""),0,NETWORKDAYS(IFERROR(IF(INDEX(campaigns!$BG$2:$BG$51,MATCH($C93,campaigns!$A$2:$A$51,0))="","",INDEX(campaigns!$BG$2:$BG$51,MATCH($C93,campaigns!$A$2:$A$51,0))),""),$A93,calendar!$A$2:$A$80)))</f>
        <v/>
      </c>
      <c r="K93" s="25">
        <f>IF($C93="","",IF(COUNTIF(campaigns!$A$2:$A$51,$C93)=0,"campaign_id not on campaigns; ",IF(AND($D93&lt;&gt;"",COUNTIFS(approvals!$A$2:$A$251,$C93,approvals!$B$2:$B$251,$D93)=0),"office not on this campaign (approvals tab); ",""))&amp;IF(COUNTIFS(counts!$C$2:$C$701,$C93,counts!$D$2:$D$701,$D93,counts!$E$2:$E$701,$E93)&gt;1,"two "&amp;$E93&amp;" counts: keep one; ","")&amp;IF(AND($E93="remaining_day5",N($J93)&lt;5),"day-5 count logged before day 5; ","")&amp;IF(AND($G93="photo",$H93=""),"which photo?; ",""))</f>
        <v/>
      </c>
    </row>
    <row r="94">
      <c r="A94" s="9" t="n"/>
      <c r="B94" s="33" t="n"/>
      <c r="J94" s="25">
        <f>IF(OR($C94="",$A94=""),"",IF($A94&lt;IFERROR(IF(INDEX(campaigns!$BG$2:$BG$51,MATCH($C94,campaigns!$A$2:$A$51,0))="","",INDEX(campaigns!$BG$2:$BG$51,MATCH($C94,campaigns!$A$2:$A$51,0))),""),0,NETWORKDAYS(IFERROR(IF(INDEX(campaigns!$BG$2:$BG$51,MATCH($C94,campaigns!$A$2:$A$51,0))="","",INDEX(campaigns!$BG$2:$BG$51,MATCH($C94,campaigns!$A$2:$A$51,0))),""),$A94,calendar!$A$2:$A$80)))</f>
        <v/>
      </c>
      <c r="K94" s="25">
        <f>IF($C94="","",IF(COUNTIF(campaigns!$A$2:$A$51,$C94)=0,"campaign_id not on campaigns; ",IF(AND($D94&lt;&gt;"",COUNTIFS(approvals!$A$2:$A$251,$C94,approvals!$B$2:$B$251,$D94)=0),"office not on this campaign (approvals tab); ",""))&amp;IF(COUNTIFS(counts!$C$2:$C$701,$C94,counts!$D$2:$D$701,$D94,counts!$E$2:$E$701,$E94)&gt;1,"two "&amp;$E94&amp;" counts: keep one; ","")&amp;IF(AND($E94="remaining_day5",N($J94)&lt;5),"day-5 count logged before day 5; ","")&amp;IF(AND($G94="photo",$H94=""),"which photo?; ",""))</f>
        <v/>
      </c>
    </row>
    <row r="95">
      <c r="A95" s="9" t="n"/>
      <c r="B95" s="33" t="n"/>
      <c r="J95" s="25">
        <f>IF(OR($C95="",$A95=""),"",IF($A95&lt;IFERROR(IF(INDEX(campaigns!$BG$2:$BG$51,MATCH($C95,campaigns!$A$2:$A$51,0))="","",INDEX(campaigns!$BG$2:$BG$51,MATCH($C95,campaigns!$A$2:$A$51,0))),""),0,NETWORKDAYS(IFERROR(IF(INDEX(campaigns!$BG$2:$BG$51,MATCH($C95,campaigns!$A$2:$A$51,0))="","",INDEX(campaigns!$BG$2:$BG$51,MATCH($C95,campaigns!$A$2:$A$51,0))),""),$A95,calendar!$A$2:$A$80)))</f>
        <v/>
      </c>
      <c r="K95" s="25">
        <f>IF($C95="","",IF(COUNTIF(campaigns!$A$2:$A$51,$C95)=0,"campaign_id not on campaigns; ",IF(AND($D95&lt;&gt;"",COUNTIFS(approvals!$A$2:$A$251,$C95,approvals!$B$2:$B$251,$D95)=0),"office not on this campaign (approvals tab); ",""))&amp;IF(COUNTIFS(counts!$C$2:$C$701,$C95,counts!$D$2:$D$701,$D95,counts!$E$2:$E$701,$E95)&gt;1,"two "&amp;$E95&amp;" counts: keep one; ","")&amp;IF(AND($E95="remaining_day5",N($J95)&lt;5),"day-5 count logged before day 5; ","")&amp;IF(AND($G95="photo",$H95=""),"which photo?; ",""))</f>
        <v/>
      </c>
    </row>
    <row r="96">
      <c r="A96" s="9" t="n"/>
      <c r="B96" s="33" t="n"/>
      <c r="J96" s="25">
        <f>IF(OR($C96="",$A96=""),"",IF($A96&lt;IFERROR(IF(INDEX(campaigns!$BG$2:$BG$51,MATCH($C96,campaigns!$A$2:$A$51,0))="","",INDEX(campaigns!$BG$2:$BG$51,MATCH($C96,campaigns!$A$2:$A$51,0))),""),0,NETWORKDAYS(IFERROR(IF(INDEX(campaigns!$BG$2:$BG$51,MATCH($C96,campaigns!$A$2:$A$51,0))="","",INDEX(campaigns!$BG$2:$BG$51,MATCH($C96,campaigns!$A$2:$A$51,0))),""),$A96,calendar!$A$2:$A$80)))</f>
        <v/>
      </c>
      <c r="K96" s="25">
        <f>IF($C96="","",IF(COUNTIF(campaigns!$A$2:$A$51,$C96)=0,"campaign_id not on campaigns; ",IF(AND($D96&lt;&gt;"",COUNTIFS(approvals!$A$2:$A$251,$C96,approvals!$B$2:$B$251,$D96)=0),"office not on this campaign (approvals tab); ",""))&amp;IF(COUNTIFS(counts!$C$2:$C$701,$C96,counts!$D$2:$D$701,$D96,counts!$E$2:$E$701,$E96)&gt;1,"two "&amp;$E96&amp;" counts: keep one; ","")&amp;IF(AND($E96="remaining_day5",N($J96)&lt;5),"day-5 count logged before day 5; ","")&amp;IF(AND($G96="photo",$H96=""),"which photo?; ",""))</f>
        <v/>
      </c>
    </row>
    <row r="97">
      <c r="A97" s="9" t="n"/>
      <c r="B97" s="33" t="n"/>
      <c r="J97" s="25">
        <f>IF(OR($C97="",$A97=""),"",IF($A97&lt;IFERROR(IF(INDEX(campaigns!$BG$2:$BG$51,MATCH($C97,campaigns!$A$2:$A$51,0))="","",INDEX(campaigns!$BG$2:$BG$51,MATCH($C97,campaigns!$A$2:$A$51,0))),""),0,NETWORKDAYS(IFERROR(IF(INDEX(campaigns!$BG$2:$BG$51,MATCH($C97,campaigns!$A$2:$A$51,0))="","",INDEX(campaigns!$BG$2:$BG$51,MATCH($C97,campaigns!$A$2:$A$51,0))),""),$A97,calendar!$A$2:$A$80)))</f>
        <v/>
      </c>
      <c r="K97" s="25">
        <f>IF($C97="","",IF(COUNTIF(campaigns!$A$2:$A$51,$C97)=0,"campaign_id not on campaigns; ",IF(AND($D97&lt;&gt;"",COUNTIFS(approvals!$A$2:$A$251,$C97,approvals!$B$2:$B$251,$D97)=0),"office not on this campaign (approvals tab); ",""))&amp;IF(COUNTIFS(counts!$C$2:$C$701,$C97,counts!$D$2:$D$701,$D97,counts!$E$2:$E$701,$E97)&gt;1,"two "&amp;$E97&amp;" counts: keep one; ","")&amp;IF(AND($E97="remaining_day5",N($J97)&lt;5),"day-5 count logged before day 5; ","")&amp;IF(AND($G97="photo",$H97=""),"which photo?; ",""))</f>
        <v/>
      </c>
    </row>
    <row r="98">
      <c r="A98" s="9" t="n"/>
      <c r="B98" s="33" t="n"/>
      <c r="J98" s="25">
        <f>IF(OR($C98="",$A98=""),"",IF($A98&lt;IFERROR(IF(INDEX(campaigns!$BG$2:$BG$51,MATCH($C98,campaigns!$A$2:$A$51,0))="","",INDEX(campaigns!$BG$2:$BG$51,MATCH($C98,campaigns!$A$2:$A$51,0))),""),0,NETWORKDAYS(IFERROR(IF(INDEX(campaigns!$BG$2:$BG$51,MATCH($C98,campaigns!$A$2:$A$51,0))="","",INDEX(campaigns!$BG$2:$BG$51,MATCH($C98,campaigns!$A$2:$A$51,0))),""),$A98,calendar!$A$2:$A$80)))</f>
        <v/>
      </c>
      <c r="K98" s="25">
        <f>IF($C98="","",IF(COUNTIF(campaigns!$A$2:$A$51,$C98)=0,"campaign_id not on campaigns; ",IF(AND($D98&lt;&gt;"",COUNTIFS(approvals!$A$2:$A$251,$C98,approvals!$B$2:$B$251,$D98)=0),"office not on this campaign (approvals tab); ",""))&amp;IF(COUNTIFS(counts!$C$2:$C$701,$C98,counts!$D$2:$D$701,$D98,counts!$E$2:$E$701,$E98)&gt;1,"two "&amp;$E98&amp;" counts: keep one; ","")&amp;IF(AND($E98="remaining_day5",N($J98)&lt;5),"day-5 count logged before day 5; ","")&amp;IF(AND($G98="photo",$H98=""),"which photo?; ",""))</f>
        <v/>
      </c>
    </row>
    <row r="99">
      <c r="A99" s="9" t="n"/>
      <c r="B99" s="33" t="n"/>
      <c r="J99" s="25">
        <f>IF(OR($C99="",$A99=""),"",IF($A99&lt;IFERROR(IF(INDEX(campaigns!$BG$2:$BG$51,MATCH($C99,campaigns!$A$2:$A$51,0))="","",INDEX(campaigns!$BG$2:$BG$51,MATCH($C99,campaigns!$A$2:$A$51,0))),""),0,NETWORKDAYS(IFERROR(IF(INDEX(campaigns!$BG$2:$BG$51,MATCH($C99,campaigns!$A$2:$A$51,0))="","",INDEX(campaigns!$BG$2:$BG$51,MATCH($C99,campaigns!$A$2:$A$51,0))),""),$A99,calendar!$A$2:$A$80)))</f>
        <v/>
      </c>
      <c r="K99" s="25">
        <f>IF($C99="","",IF(COUNTIF(campaigns!$A$2:$A$51,$C99)=0,"campaign_id not on campaigns; ",IF(AND($D99&lt;&gt;"",COUNTIFS(approvals!$A$2:$A$251,$C99,approvals!$B$2:$B$251,$D99)=0),"office not on this campaign (approvals tab); ",""))&amp;IF(COUNTIFS(counts!$C$2:$C$701,$C99,counts!$D$2:$D$701,$D99,counts!$E$2:$E$701,$E99)&gt;1,"two "&amp;$E99&amp;" counts: keep one; ","")&amp;IF(AND($E99="remaining_day5",N($J99)&lt;5),"day-5 count logged before day 5; ","")&amp;IF(AND($G99="photo",$H99=""),"which photo?; ",""))</f>
        <v/>
      </c>
    </row>
    <row r="100">
      <c r="A100" s="9" t="n"/>
      <c r="B100" s="33" t="n"/>
      <c r="J100" s="25">
        <f>IF(OR($C100="",$A100=""),"",IF($A100&lt;IFERROR(IF(INDEX(campaigns!$BG$2:$BG$51,MATCH($C100,campaigns!$A$2:$A$51,0))="","",INDEX(campaigns!$BG$2:$BG$51,MATCH($C100,campaigns!$A$2:$A$51,0))),""),0,NETWORKDAYS(IFERROR(IF(INDEX(campaigns!$BG$2:$BG$51,MATCH($C100,campaigns!$A$2:$A$51,0))="","",INDEX(campaigns!$BG$2:$BG$51,MATCH($C100,campaigns!$A$2:$A$51,0))),""),$A100,calendar!$A$2:$A$80)))</f>
        <v/>
      </c>
      <c r="K100" s="25">
        <f>IF($C100="","",IF(COUNTIF(campaigns!$A$2:$A$51,$C100)=0,"campaign_id not on campaigns; ",IF(AND($D100&lt;&gt;"",COUNTIFS(approvals!$A$2:$A$251,$C100,approvals!$B$2:$B$251,$D100)=0),"office not on this campaign (approvals tab); ",""))&amp;IF(COUNTIFS(counts!$C$2:$C$701,$C100,counts!$D$2:$D$701,$D100,counts!$E$2:$E$701,$E100)&gt;1,"two "&amp;$E100&amp;" counts: keep one; ","")&amp;IF(AND($E100="remaining_day5",N($J100)&lt;5),"day-5 count logged before day 5; ","")&amp;IF(AND($G100="photo",$H100=""),"which photo?; ",""))</f>
        <v/>
      </c>
    </row>
    <row r="101">
      <c r="A101" s="9" t="n"/>
      <c r="B101" s="33" t="n"/>
      <c r="J101" s="25">
        <f>IF(OR($C101="",$A101=""),"",IF($A101&lt;IFERROR(IF(INDEX(campaigns!$BG$2:$BG$51,MATCH($C101,campaigns!$A$2:$A$51,0))="","",INDEX(campaigns!$BG$2:$BG$51,MATCH($C101,campaigns!$A$2:$A$51,0))),""),0,NETWORKDAYS(IFERROR(IF(INDEX(campaigns!$BG$2:$BG$51,MATCH($C101,campaigns!$A$2:$A$51,0))="","",INDEX(campaigns!$BG$2:$BG$51,MATCH($C101,campaigns!$A$2:$A$51,0))),""),$A101,calendar!$A$2:$A$80)))</f>
        <v/>
      </c>
      <c r="K101" s="25">
        <f>IF($C101="","",IF(COUNTIF(campaigns!$A$2:$A$51,$C101)=0,"campaign_id not on campaigns; ",IF(AND($D101&lt;&gt;"",COUNTIFS(approvals!$A$2:$A$251,$C101,approvals!$B$2:$B$251,$D101)=0),"office not on this campaign (approvals tab); ",""))&amp;IF(COUNTIFS(counts!$C$2:$C$701,$C101,counts!$D$2:$D$701,$D101,counts!$E$2:$E$701,$E101)&gt;1,"two "&amp;$E101&amp;" counts: keep one; ","")&amp;IF(AND($E101="remaining_day5",N($J101)&lt;5),"day-5 count logged before day 5; ","")&amp;IF(AND($G101="photo",$H101=""),"which photo?; ",""))</f>
        <v/>
      </c>
    </row>
    <row r="102">
      <c r="A102" s="9" t="n"/>
      <c r="B102" s="33" t="n"/>
      <c r="J102" s="25">
        <f>IF(OR($C102="",$A102=""),"",IF($A102&lt;IFERROR(IF(INDEX(campaigns!$BG$2:$BG$51,MATCH($C102,campaigns!$A$2:$A$51,0))="","",INDEX(campaigns!$BG$2:$BG$51,MATCH($C102,campaigns!$A$2:$A$51,0))),""),0,NETWORKDAYS(IFERROR(IF(INDEX(campaigns!$BG$2:$BG$51,MATCH($C102,campaigns!$A$2:$A$51,0))="","",INDEX(campaigns!$BG$2:$BG$51,MATCH($C102,campaigns!$A$2:$A$51,0))),""),$A102,calendar!$A$2:$A$80)))</f>
        <v/>
      </c>
      <c r="K102" s="25">
        <f>IF($C102="","",IF(COUNTIF(campaigns!$A$2:$A$51,$C102)=0,"campaign_id not on campaigns; ",IF(AND($D102&lt;&gt;"",COUNTIFS(approvals!$A$2:$A$251,$C102,approvals!$B$2:$B$251,$D102)=0),"office not on this campaign (approvals tab); ",""))&amp;IF(COUNTIFS(counts!$C$2:$C$701,$C102,counts!$D$2:$D$701,$D102,counts!$E$2:$E$701,$E102)&gt;1,"two "&amp;$E102&amp;" counts: keep one; ","")&amp;IF(AND($E102="remaining_day5",N($J102)&lt;5),"day-5 count logged before day 5; ","")&amp;IF(AND($G102="photo",$H102=""),"which photo?; ",""))</f>
        <v/>
      </c>
    </row>
    <row r="103">
      <c r="A103" s="9" t="n"/>
      <c r="B103" s="33" t="n"/>
      <c r="J103" s="25">
        <f>IF(OR($C103="",$A103=""),"",IF($A103&lt;IFERROR(IF(INDEX(campaigns!$BG$2:$BG$51,MATCH($C103,campaigns!$A$2:$A$51,0))="","",INDEX(campaigns!$BG$2:$BG$51,MATCH($C103,campaigns!$A$2:$A$51,0))),""),0,NETWORKDAYS(IFERROR(IF(INDEX(campaigns!$BG$2:$BG$51,MATCH($C103,campaigns!$A$2:$A$51,0))="","",INDEX(campaigns!$BG$2:$BG$51,MATCH($C103,campaigns!$A$2:$A$51,0))),""),$A103,calendar!$A$2:$A$80)))</f>
        <v/>
      </c>
      <c r="K103" s="25">
        <f>IF($C103="","",IF(COUNTIF(campaigns!$A$2:$A$51,$C103)=0,"campaign_id not on campaigns; ",IF(AND($D103&lt;&gt;"",COUNTIFS(approvals!$A$2:$A$251,$C103,approvals!$B$2:$B$251,$D103)=0),"office not on this campaign (approvals tab); ",""))&amp;IF(COUNTIFS(counts!$C$2:$C$701,$C103,counts!$D$2:$D$701,$D103,counts!$E$2:$E$701,$E103)&gt;1,"two "&amp;$E103&amp;" counts: keep one; ","")&amp;IF(AND($E103="remaining_day5",N($J103)&lt;5),"day-5 count logged before day 5; ","")&amp;IF(AND($G103="photo",$H103=""),"which photo?; ",""))</f>
        <v/>
      </c>
    </row>
    <row r="104">
      <c r="A104" s="9" t="n"/>
      <c r="B104" s="33" t="n"/>
      <c r="J104" s="25">
        <f>IF(OR($C104="",$A104=""),"",IF($A104&lt;IFERROR(IF(INDEX(campaigns!$BG$2:$BG$51,MATCH($C104,campaigns!$A$2:$A$51,0))="","",INDEX(campaigns!$BG$2:$BG$51,MATCH($C104,campaigns!$A$2:$A$51,0))),""),0,NETWORKDAYS(IFERROR(IF(INDEX(campaigns!$BG$2:$BG$51,MATCH($C104,campaigns!$A$2:$A$51,0))="","",INDEX(campaigns!$BG$2:$BG$51,MATCH($C104,campaigns!$A$2:$A$51,0))),""),$A104,calendar!$A$2:$A$80)))</f>
        <v/>
      </c>
      <c r="K104" s="25">
        <f>IF($C104="","",IF(COUNTIF(campaigns!$A$2:$A$51,$C104)=0,"campaign_id not on campaigns; ",IF(AND($D104&lt;&gt;"",COUNTIFS(approvals!$A$2:$A$251,$C104,approvals!$B$2:$B$251,$D104)=0),"office not on this campaign (approvals tab); ",""))&amp;IF(COUNTIFS(counts!$C$2:$C$701,$C104,counts!$D$2:$D$701,$D104,counts!$E$2:$E$701,$E104)&gt;1,"two "&amp;$E104&amp;" counts: keep one; ","")&amp;IF(AND($E104="remaining_day5",N($J104)&lt;5),"day-5 count logged before day 5; ","")&amp;IF(AND($G104="photo",$H104=""),"which photo?; ",""))</f>
        <v/>
      </c>
    </row>
    <row r="105">
      <c r="A105" s="9" t="n"/>
      <c r="B105" s="33" t="n"/>
      <c r="J105" s="25">
        <f>IF(OR($C105="",$A105=""),"",IF($A105&lt;IFERROR(IF(INDEX(campaigns!$BG$2:$BG$51,MATCH($C105,campaigns!$A$2:$A$51,0))="","",INDEX(campaigns!$BG$2:$BG$51,MATCH($C105,campaigns!$A$2:$A$51,0))),""),0,NETWORKDAYS(IFERROR(IF(INDEX(campaigns!$BG$2:$BG$51,MATCH($C105,campaigns!$A$2:$A$51,0))="","",INDEX(campaigns!$BG$2:$BG$51,MATCH($C105,campaigns!$A$2:$A$51,0))),""),$A105,calendar!$A$2:$A$80)))</f>
        <v/>
      </c>
      <c r="K105" s="25">
        <f>IF($C105="","",IF(COUNTIF(campaigns!$A$2:$A$51,$C105)=0,"campaign_id not on campaigns; ",IF(AND($D105&lt;&gt;"",COUNTIFS(approvals!$A$2:$A$251,$C105,approvals!$B$2:$B$251,$D105)=0),"office not on this campaign (approvals tab); ",""))&amp;IF(COUNTIFS(counts!$C$2:$C$701,$C105,counts!$D$2:$D$701,$D105,counts!$E$2:$E$701,$E105)&gt;1,"two "&amp;$E105&amp;" counts: keep one; ","")&amp;IF(AND($E105="remaining_day5",N($J105)&lt;5),"day-5 count logged before day 5; ","")&amp;IF(AND($G105="photo",$H105=""),"which photo?; ",""))</f>
        <v/>
      </c>
    </row>
    <row r="106">
      <c r="A106" s="9" t="n"/>
      <c r="B106" s="33" t="n"/>
      <c r="J106" s="25">
        <f>IF(OR($C106="",$A106=""),"",IF($A106&lt;IFERROR(IF(INDEX(campaigns!$BG$2:$BG$51,MATCH($C106,campaigns!$A$2:$A$51,0))="","",INDEX(campaigns!$BG$2:$BG$51,MATCH($C106,campaigns!$A$2:$A$51,0))),""),0,NETWORKDAYS(IFERROR(IF(INDEX(campaigns!$BG$2:$BG$51,MATCH($C106,campaigns!$A$2:$A$51,0))="","",INDEX(campaigns!$BG$2:$BG$51,MATCH($C106,campaigns!$A$2:$A$51,0))),""),$A106,calendar!$A$2:$A$80)))</f>
        <v/>
      </c>
      <c r="K106" s="25">
        <f>IF($C106="","",IF(COUNTIF(campaigns!$A$2:$A$51,$C106)=0,"campaign_id not on campaigns; ",IF(AND($D106&lt;&gt;"",COUNTIFS(approvals!$A$2:$A$251,$C106,approvals!$B$2:$B$251,$D106)=0),"office not on this campaign (approvals tab); ",""))&amp;IF(COUNTIFS(counts!$C$2:$C$701,$C106,counts!$D$2:$D$701,$D106,counts!$E$2:$E$701,$E106)&gt;1,"two "&amp;$E106&amp;" counts: keep one; ","")&amp;IF(AND($E106="remaining_day5",N($J106)&lt;5),"day-5 count logged before day 5; ","")&amp;IF(AND($G106="photo",$H106=""),"which photo?; ",""))</f>
        <v/>
      </c>
    </row>
    <row r="107">
      <c r="A107" s="9" t="n"/>
      <c r="B107" s="33" t="n"/>
      <c r="J107" s="25">
        <f>IF(OR($C107="",$A107=""),"",IF($A107&lt;IFERROR(IF(INDEX(campaigns!$BG$2:$BG$51,MATCH($C107,campaigns!$A$2:$A$51,0))="","",INDEX(campaigns!$BG$2:$BG$51,MATCH($C107,campaigns!$A$2:$A$51,0))),""),0,NETWORKDAYS(IFERROR(IF(INDEX(campaigns!$BG$2:$BG$51,MATCH($C107,campaigns!$A$2:$A$51,0))="","",INDEX(campaigns!$BG$2:$BG$51,MATCH($C107,campaigns!$A$2:$A$51,0))),""),$A107,calendar!$A$2:$A$80)))</f>
        <v/>
      </c>
      <c r="K107" s="25">
        <f>IF($C107="","",IF(COUNTIF(campaigns!$A$2:$A$51,$C107)=0,"campaign_id not on campaigns; ",IF(AND($D107&lt;&gt;"",COUNTIFS(approvals!$A$2:$A$251,$C107,approvals!$B$2:$B$251,$D107)=0),"office not on this campaign (approvals tab); ",""))&amp;IF(COUNTIFS(counts!$C$2:$C$701,$C107,counts!$D$2:$D$701,$D107,counts!$E$2:$E$701,$E107)&gt;1,"two "&amp;$E107&amp;" counts: keep one; ","")&amp;IF(AND($E107="remaining_day5",N($J107)&lt;5),"day-5 count logged before day 5; ","")&amp;IF(AND($G107="photo",$H107=""),"which photo?; ",""))</f>
        <v/>
      </c>
    </row>
    <row r="108">
      <c r="A108" s="9" t="n"/>
      <c r="B108" s="33" t="n"/>
      <c r="J108" s="25">
        <f>IF(OR($C108="",$A108=""),"",IF($A108&lt;IFERROR(IF(INDEX(campaigns!$BG$2:$BG$51,MATCH($C108,campaigns!$A$2:$A$51,0))="","",INDEX(campaigns!$BG$2:$BG$51,MATCH($C108,campaigns!$A$2:$A$51,0))),""),0,NETWORKDAYS(IFERROR(IF(INDEX(campaigns!$BG$2:$BG$51,MATCH($C108,campaigns!$A$2:$A$51,0))="","",INDEX(campaigns!$BG$2:$BG$51,MATCH($C108,campaigns!$A$2:$A$51,0))),""),$A108,calendar!$A$2:$A$80)))</f>
        <v/>
      </c>
      <c r="K108" s="25">
        <f>IF($C108="","",IF(COUNTIF(campaigns!$A$2:$A$51,$C108)=0,"campaign_id not on campaigns; ",IF(AND($D108&lt;&gt;"",COUNTIFS(approvals!$A$2:$A$251,$C108,approvals!$B$2:$B$251,$D108)=0),"office not on this campaign (approvals tab); ",""))&amp;IF(COUNTIFS(counts!$C$2:$C$701,$C108,counts!$D$2:$D$701,$D108,counts!$E$2:$E$701,$E108)&gt;1,"two "&amp;$E108&amp;" counts: keep one; ","")&amp;IF(AND($E108="remaining_day5",N($J108)&lt;5),"day-5 count logged before day 5; ","")&amp;IF(AND($G108="photo",$H108=""),"which photo?; ",""))</f>
        <v/>
      </c>
    </row>
    <row r="109">
      <c r="A109" s="9" t="n"/>
      <c r="B109" s="33" t="n"/>
      <c r="J109" s="25">
        <f>IF(OR($C109="",$A109=""),"",IF($A109&lt;IFERROR(IF(INDEX(campaigns!$BG$2:$BG$51,MATCH($C109,campaigns!$A$2:$A$51,0))="","",INDEX(campaigns!$BG$2:$BG$51,MATCH($C109,campaigns!$A$2:$A$51,0))),""),0,NETWORKDAYS(IFERROR(IF(INDEX(campaigns!$BG$2:$BG$51,MATCH($C109,campaigns!$A$2:$A$51,0))="","",INDEX(campaigns!$BG$2:$BG$51,MATCH($C109,campaigns!$A$2:$A$51,0))),""),$A109,calendar!$A$2:$A$80)))</f>
        <v/>
      </c>
      <c r="K109" s="25">
        <f>IF($C109="","",IF(COUNTIF(campaigns!$A$2:$A$51,$C109)=0,"campaign_id not on campaigns; ",IF(AND($D109&lt;&gt;"",COUNTIFS(approvals!$A$2:$A$251,$C109,approvals!$B$2:$B$251,$D109)=0),"office not on this campaign (approvals tab); ",""))&amp;IF(COUNTIFS(counts!$C$2:$C$701,$C109,counts!$D$2:$D$701,$D109,counts!$E$2:$E$701,$E109)&gt;1,"two "&amp;$E109&amp;" counts: keep one; ","")&amp;IF(AND($E109="remaining_day5",N($J109)&lt;5),"day-5 count logged before day 5; ","")&amp;IF(AND($G109="photo",$H109=""),"which photo?; ",""))</f>
        <v/>
      </c>
    </row>
    <row r="110">
      <c r="A110" s="9" t="n"/>
      <c r="B110" s="33" t="n"/>
      <c r="J110" s="25">
        <f>IF(OR($C110="",$A110=""),"",IF($A110&lt;IFERROR(IF(INDEX(campaigns!$BG$2:$BG$51,MATCH($C110,campaigns!$A$2:$A$51,0))="","",INDEX(campaigns!$BG$2:$BG$51,MATCH($C110,campaigns!$A$2:$A$51,0))),""),0,NETWORKDAYS(IFERROR(IF(INDEX(campaigns!$BG$2:$BG$51,MATCH($C110,campaigns!$A$2:$A$51,0))="","",INDEX(campaigns!$BG$2:$BG$51,MATCH($C110,campaigns!$A$2:$A$51,0))),""),$A110,calendar!$A$2:$A$80)))</f>
        <v/>
      </c>
      <c r="K110" s="25">
        <f>IF($C110="","",IF(COUNTIF(campaigns!$A$2:$A$51,$C110)=0,"campaign_id not on campaigns; ",IF(AND($D110&lt;&gt;"",COUNTIFS(approvals!$A$2:$A$251,$C110,approvals!$B$2:$B$251,$D110)=0),"office not on this campaign (approvals tab); ",""))&amp;IF(COUNTIFS(counts!$C$2:$C$701,$C110,counts!$D$2:$D$701,$D110,counts!$E$2:$E$701,$E110)&gt;1,"two "&amp;$E110&amp;" counts: keep one; ","")&amp;IF(AND($E110="remaining_day5",N($J110)&lt;5),"day-5 count logged before day 5; ","")&amp;IF(AND($G110="photo",$H110=""),"which photo?; ",""))</f>
        <v/>
      </c>
    </row>
    <row r="111">
      <c r="A111" s="9" t="n"/>
      <c r="B111" s="33" t="n"/>
      <c r="J111" s="25">
        <f>IF(OR($C111="",$A111=""),"",IF($A111&lt;IFERROR(IF(INDEX(campaigns!$BG$2:$BG$51,MATCH($C111,campaigns!$A$2:$A$51,0))="","",INDEX(campaigns!$BG$2:$BG$51,MATCH($C111,campaigns!$A$2:$A$51,0))),""),0,NETWORKDAYS(IFERROR(IF(INDEX(campaigns!$BG$2:$BG$51,MATCH($C111,campaigns!$A$2:$A$51,0))="","",INDEX(campaigns!$BG$2:$BG$51,MATCH($C111,campaigns!$A$2:$A$51,0))),""),$A111,calendar!$A$2:$A$80)))</f>
        <v/>
      </c>
      <c r="K111" s="25">
        <f>IF($C111="","",IF(COUNTIF(campaigns!$A$2:$A$51,$C111)=0,"campaign_id not on campaigns; ",IF(AND($D111&lt;&gt;"",COUNTIFS(approvals!$A$2:$A$251,$C111,approvals!$B$2:$B$251,$D111)=0),"office not on this campaign (approvals tab); ",""))&amp;IF(COUNTIFS(counts!$C$2:$C$701,$C111,counts!$D$2:$D$701,$D111,counts!$E$2:$E$701,$E111)&gt;1,"two "&amp;$E111&amp;" counts: keep one; ","")&amp;IF(AND($E111="remaining_day5",N($J111)&lt;5),"day-5 count logged before day 5; ","")&amp;IF(AND($G111="photo",$H111=""),"which photo?; ",""))</f>
        <v/>
      </c>
    </row>
    <row r="112">
      <c r="A112" s="9" t="n"/>
      <c r="B112" s="33" t="n"/>
      <c r="J112" s="25">
        <f>IF(OR($C112="",$A112=""),"",IF($A112&lt;IFERROR(IF(INDEX(campaigns!$BG$2:$BG$51,MATCH($C112,campaigns!$A$2:$A$51,0))="","",INDEX(campaigns!$BG$2:$BG$51,MATCH($C112,campaigns!$A$2:$A$51,0))),""),0,NETWORKDAYS(IFERROR(IF(INDEX(campaigns!$BG$2:$BG$51,MATCH($C112,campaigns!$A$2:$A$51,0))="","",INDEX(campaigns!$BG$2:$BG$51,MATCH($C112,campaigns!$A$2:$A$51,0))),""),$A112,calendar!$A$2:$A$80)))</f>
        <v/>
      </c>
      <c r="K112" s="25">
        <f>IF($C112="","",IF(COUNTIF(campaigns!$A$2:$A$51,$C112)=0,"campaign_id not on campaigns; ",IF(AND($D112&lt;&gt;"",COUNTIFS(approvals!$A$2:$A$251,$C112,approvals!$B$2:$B$251,$D112)=0),"office not on this campaign (approvals tab); ",""))&amp;IF(COUNTIFS(counts!$C$2:$C$701,$C112,counts!$D$2:$D$701,$D112,counts!$E$2:$E$701,$E112)&gt;1,"two "&amp;$E112&amp;" counts: keep one; ","")&amp;IF(AND($E112="remaining_day5",N($J112)&lt;5),"day-5 count logged before day 5; ","")&amp;IF(AND($G112="photo",$H112=""),"which photo?; ",""))</f>
        <v/>
      </c>
    </row>
    <row r="113">
      <c r="A113" s="9" t="n"/>
      <c r="B113" s="33" t="n"/>
      <c r="J113" s="25">
        <f>IF(OR($C113="",$A113=""),"",IF($A113&lt;IFERROR(IF(INDEX(campaigns!$BG$2:$BG$51,MATCH($C113,campaigns!$A$2:$A$51,0))="","",INDEX(campaigns!$BG$2:$BG$51,MATCH($C113,campaigns!$A$2:$A$51,0))),""),0,NETWORKDAYS(IFERROR(IF(INDEX(campaigns!$BG$2:$BG$51,MATCH($C113,campaigns!$A$2:$A$51,0))="","",INDEX(campaigns!$BG$2:$BG$51,MATCH($C113,campaigns!$A$2:$A$51,0))),""),$A113,calendar!$A$2:$A$80)))</f>
        <v/>
      </c>
      <c r="K113" s="25">
        <f>IF($C113="","",IF(COUNTIF(campaigns!$A$2:$A$51,$C113)=0,"campaign_id not on campaigns; ",IF(AND($D113&lt;&gt;"",COUNTIFS(approvals!$A$2:$A$251,$C113,approvals!$B$2:$B$251,$D113)=0),"office not on this campaign (approvals tab); ",""))&amp;IF(COUNTIFS(counts!$C$2:$C$701,$C113,counts!$D$2:$D$701,$D113,counts!$E$2:$E$701,$E113)&gt;1,"two "&amp;$E113&amp;" counts: keep one; ","")&amp;IF(AND($E113="remaining_day5",N($J113)&lt;5),"day-5 count logged before day 5; ","")&amp;IF(AND($G113="photo",$H113=""),"which photo?; ",""))</f>
        <v/>
      </c>
    </row>
    <row r="114">
      <c r="A114" s="9" t="n"/>
      <c r="B114" s="33" t="n"/>
      <c r="J114" s="25">
        <f>IF(OR($C114="",$A114=""),"",IF($A114&lt;IFERROR(IF(INDEX(campaigns!$BG$2:$BG$51,MATCH($C114,campaigns!$A$2:$A$51,0))="","",INDEX(campaigns!$BG$2:$BG$51,MATCH($C114,campaigns!$A$2:$A$51,0))),""),0,NETWORKDAYS(IFERROR(IF(INDEX(campaigns!$BG$2:$BG$51,MATCH($C114,campaigns!$A$2:$A$51,0))="","",INDEX(campaigns!$BG$2:$BG$51,MATCH($C114,campaigns!$A$2:$A$51,0))),""),$A114,calendar!$A$2:$A$80)))</f>
        <v/>
      </c>
      <c r="K114" s="25">
        <f>IF($C114="","",IF(COUNTIF(campaigns!$A$2:$A$51,$C114)=0,"campaign_id not on campaigns; ",IF(AND($D114&lt;&gt;"",COUNTIFS(approvals!$A$2:$A$251,$C114,approvals!$B$2:$B$251,$D114)=0),"office not on this campaign (approvals tab); ",""))&amp;IF(COUNTIFS(counts!$C$2:$C$701,$C114,counts!$D$2:$D$701,$D114,counts!$E$2:$E$701,$E114)&gt;1,"two "&amp;$E114&amp;" counts: keep one; ","")&amp;IF(AND($E114="remaining_day5",N($J114)&lt;5),"day-5 count logged before day 5; ","")&amp;IF(AND($G114="photo",$H114=""),"which photo?; ",""))</f>
        <v/>
      </c>
    </row>
    <row r="115">
      <c r="A115" s="9" t="n"/>
      <c r="B115" s="33" t="n"/>
      <c r="J115" s="25">
        <f>IF(OR($C115="",$A115=""),"",IF($A115&lt;IFERROR(IF(INDEX(campaigns!$BG$2:$BG$51,MATCH($C115,campaigns!$A$2:$A$51,0))="","",INDEX(campaigns!$BG$2:$BG$51,MATCH($C115,campaigns!$A$2:$A$51,0))),""),0,NETWORKDAYS(IFERROR(IF(INDEX(campaigns!$BG$2:$BG$51,MATCH($C115,campaigns!$A$2:$A$51,0))="","",INDEX(campaigns!$BG$2:$BG$51,MATCH($C115,campaigns!$A$2:$A$51,0))),""),$A115,calendar!$A$2:$A$80)))</f>
        <v/>
      </c>
      <c r="K115" s="25">
        <f>IF($C115="","",IF(COUNTIF(campaigns!$A$2:$A$51,$C115)=0,"campaign_id not on campaigns; ",IF(AND($D115&lt;&gt;"",COUNTIFS(approvals!$A$2:$A$251,$C115,approvals!$B$2:$B$251,$D115)=0),"office not on this campaign (approvals tab); ",""))&amp;IF(COUNTIFS(counts!$C$2:$C$701,$C115,counts!$D$2:$D$701,$D115,counts!$E$2:$E$701,$E115)&gt;1,"two "&amp;$E115&amp;" counts: keep one; ","")&amp;IF(AND($E115="remaining_day5",N($J115)&lt;5),"day-5 count logged before day 5; ","")&amp;IF(AND($G115="photo",$H115=""),"which photo?; ",""))</f>
        <v/>
      </c>
    </row>
    <row r="116">
      <c r="A116" s="9" t="n"/>
      <c r="B116" s="33" t="n"/>
      <c r="J116" s="25">
        <f>IF(OR($C116="",$A116=""),"",IF($A116&lt;IFERROR(IF(INDEX(campaigns!$BG$2:$BG$51,MATCH($C116,campaigns!$A$2:$A$51,0))="","",INDEX(campaigns!$BG$2:$BG$51,MATCH($C116,campaigns!$A$2:$A$51,0))),""),0,NETWORKDAYS(IFERROR(IF(INDEX(campaigns!$BG$2:$BG$51,MATCH($C116,campaigns!$A$2:$A$51,0))="","",INDEX(campaigns!$BG$2:$BG$51,MATCH($C116,campaigns!$A$2:$A$51,0))),""),$A116,calendar!$A$2:$A$80)))</f>
        <v/>
      </c>
      <c r="K116" s="25">
        <f>IF($C116="","",IF(COUNTIF(campaigns!$A$2:$A$51,$C116)=0,"campaign_id not on campaigns; ",IF(AND($D116&lt;&gt;"",COUNTIFS(approvals!$A$2:$A$251,$C116,approvals!$B$2:$B$251,$D116)=0),"office not on this campaign (approvals tab); ",""))&amp;IF(COUNTIFS(counts!$C$2:$C$701,$C116,counts!$D$2:$D$701,$D116,counts!$E$2:$E$701,$E116)&gt;1,"two "&amp;$E116&amp;" counts: keep one; ","")&amp;IF(AND($E116="remaining_day5",N($J116)&lt;5),"day-5 count logged before day 5; ","")&amp;IF(AND($G116="photo",$H116=""),"which photo?; ",""))</f>
        <v/>
      </c>
    </row>
    <row r="117">
      <c r="A117" s="9" t="n"/>
      <c r="B117" s="33" t="n"/>
      <c r="J117" s="25">
        <f>IF(OR($C117="",$A117=""),"",IF($A117&lt;IFERROR(IF(INDEX(campaigns!$BG$2:$BG$51,MATCH($C117,campaigns!$A$2:$A$51,0))="","",INDEX(campaigns!$BG$2:$BG$51,MATCH($C117,campaigns!$A$2:$A$51,0))),""),0,NETWORKDAYS(IFERROR(IF(INDEX(campaigns!$BG$2:$BG$51,MATCH($C117,campaigns!$A$2:$A$51,0))="","",INDEX(campaigns!$BG$2:$BG$51,MATCH($C117,campaigns!$A$2:$A$51,0))),""),$A117,calendar!$A$2:$A$80)))</f>
        <v/>
      </c>
      <c r="K117" s="25">
        <f>IF($C117="","",IF(COUNTIF(campaigns!$A$2:$A$51,$C117)=0,"campaign_id not on campaigns; ",IF(AND($D117&lt;&gt;"",COUNTIFS(approvals!$A$2:$A$251,$C117,approvals!$B$2:$B$251,$D117)=0),"office not on this campaign (approvals tab); ",""))&amp;IF(COUNTIFS(counts!$C$2:$C$701,$C117,counts!$D$2:$D$701,$D117,counts!$E$2:$E$701,$E117)&gt;1,"two "&amp;$E117&amp;" counts: keep one; ","")&amp;IF(AND($E117="remaining_day5",N($J117)&lt;5),"day-5 count logged before day 5; ","")&amp;IF(AND($G117="photo",$H117=""),"which photo?; ",""))</f>
        <v/>
      </c>
    </row>
    <row r="118">
      <c r="A118" s="9" t="n"/>
      <c r="B118" s="33" t="n"/>
      <c r="J118" s="25">
        <f>IF(OR($C118="",$A118=""),"",IF($A118&lt;IFERROR(IF(INDEX(campaigns!$BG$2:$BG$51,MATCH($C118,campaigns!$A$2:$A$51,0))="","",INDEX(campaigns!$BG$2:$BG$51,MATCH($C118,campaigns!$A$2:$A$51,0))),""),0,NETWORKDAYS(IFERROR(IF(INDEX(campaigns!$BG$2:$BG$51,MATCH($C118,campaigns!$A$2:$A$51,0))="","",INDEX(campaigns!$BG$2:$BG$51,MATCH($C118,campaigns!$A$2:$A$51,0))),""),$A118,calendar!$A$2:$A$80)))</f>
        <v/>
      </c>
      <c r="K118" s="25">
        <f>IF($C118="","",IF(COUNTIF(campaigns!$A$2:$A$51,$C118)=0,"campaign_id not on campaigns; ",IF(AND($D118&lt;&gt;"",COUNTIFS(approvals!$A$2:$A$251,$C118,approvals!$B$2:$B$251,$D118)=0),"office not on this campaign (approvals tab); ",""))&amp;IF(COUNTIFS(counts!$C$2:$C$701,$C118,counts!$D$2:$D$701,$D118,counts!$E$2:$E$701,$E118)&gt;1,"two "&amp;$E118&amp;" counts: keep one; ","")&amp;IF(AND($E118="remaining_day5",N($J118)&lt;5),"day-5 count logged before day 5; ","")&amp;IF(AND($G118="photo",$H118=""),"which photo?; ",""))</f>
        <v/>
      </c>
    </row>
    <row r="119">
      <c r="A119" s="9" t="n"/>
      <c r="B119" s="33" t="n"/>
      <c r="J119" s="25">
        <f>IF(OR($C119="",$A119=""),"",IF($A119&lt;IFERROR(IF(INDEX(campaigns!$BG$2:$BG$51,MATCH($C119,campaigns!$A$2:$A$51,0))="","",INDEX(campaigns!$BG$2:$BG$51,MATCH($C119,campaigns!$A$2:$A$51,0))),""),0,NETWORKDAYS(IFERROR(IF(INDEX(campaigns!$BG$2:$BG$51,MATCH($C119,campaigns!$A$2:$A$51,0))="","",INDEX(campaigns!$BG$2:$BG$51,MATCH($C119,campaigns!$A$2:$A$51,0))),""),$A119,calendar!$A$2:$A$80)))</f>
        <v/>
      </c>
      <c r="K119" s="25">
        <f>IF($C119="","",IF(COUNTIF(campaigns!$A$2:$A$51,$C119)=0,"campaign_id not on campaigns; ",IF(AND($D119&lt;&gt;"",COUNTIFS(approvals!$A$2:$A$251,$C119,approvals!$B$2:$B$251,$D119)=0),"office not on this campaign (approvals tab); ",""))&amp;IF(COUNTIFS(counts!$C$2:$C$701,$C119,counts!$D$2:$D$701,$D119,counts!$E$2:$E$701,$E119)&gt;1,"two "&amp;$E119&amp;" counts: keep one; ","")&amp;IF(AND($E119="remaining_day5",N($J119)&lt;5),"day-5 count logged before day 5; ","")&amp;IF(AND($G119="photo",$H119=""),"which photo?; ",""))</f>
        <v/>
      </c>
    </row>
    <row r="120">
      <c r="A120" s="9" t="n"/>
      <c r="B120" s="33" t="n"/>
      <c r="J120" s="25">
        <f>IF(OR($C120="",$A120=""),"",IF($A120&lt;IFERROR(IF(INDEX(campaigns!$BG$2:$BG$51,MATCH($C120,campaigns!$A$2:$A$51,0))="","",INDEX(campaigns!$BG$2:$BG$51,MATCH($C120,campaigns!$A$2:$A$51,0))),""),0,NETWORKDAYS(IFERROR(IF(INDEX(campaigns!$BG$2:$BG$51,MATCH($C120,campaigns!$A$2:$A$51,0))="","",INDEX(campaigns!$BG$2:$BG$51,MATCH($C120,campaigns!$A$2:$A$51,0))),""),$A120,calendar!$A$2:$A$80)))</f>
        <v/>
      </c>
      <c r="K120" s="25">
        <f>IF($C120="","",IF(COUNTIF(campaigns!$A$2:$A$51,$C120)=0,"campaign_id not on campaigns; ",IF(AND($D120&lt;&gt;"",COUNTIFS(approvals!$A$2:$A$251,$C120,approvals!$B$2:$B$251,$D120)=0),"office not on this campaign (approvals tab); ",""))&amp;IF(COUNTIFS(counts!$C$2:$C$701,$C120,counts!$D$2:$D$701,$D120,counts!$E$2:$E$701,$E120)&gt;1,"two "&amp;$E120&amp;" counts: keep one; ","")&amp;IF(AND($E120="remaining_day5",N($J120)&lt;5),"day-5 count logged before day 5; ","")&amp;IF(AND($G120="photo",$H120=""),"which photo?; ",""))</f>
        <v/>
      </c>
    </row>
    <row r="121">
      <c r="A121" s="9" t="n"/>
      <c r="B121" s="33" t="n"/>
      <c r="J121" s="25">
        <f>IF(OR($C121="",$A121=""),"",IF($A121&lt;IFERROR(IF(INDEX(campaigns!$BG$2:$BG$51,MATCH($C121,campaigns!$A$2:$A$51,0))="","",INDEX(campaigns!$BG$2:$BG$51,MATCH($C121,campaigns!$A$2:$A$51,0))),""),0,NETWORKDAYS(IFERROR(IF(INDEX(campaigns!$BG$2:$BG$51,MATCH($C121,campaigns!$A$2:$A$51,0))="","",INDEX(campaigns!$BG$2:$BG$51,MATCH($C121,campaigns!$A$2:$A$51,0))),""),$A121,calendar!$A$2:$A$80)))</f>
        <v/>
      </c>
      <c r="K121" s="25">
        <f>IF($C121="","",IF(COUNTIF(campaigns!$A$2:$A$51,$C121)=0,"campaign_id not on campaigns; ",IF(AND($D121&lt;&gt;"",COUNTIFS(approvals!$A$2:$A$251,$C121,approvals!$B$2:$B$251,$D121)=0),"office not on this campaign (approvals tab); ",""))&amp;IF(COUNTIFS(counts!$C$2:$C$701,$C121,counts!$D$2:$D$701,$D121,counts!$E$2:$E$701,$E121)&gt;1,"two "&amp;$E121&amp;" counts: keep one; ","")&amp;IF(AND($E121="remaining_day5",N($J121)&lt;5),"day-5 count logged before day 5; ","")&amp;IF(AND($G121="photo",$H121=""),"which photo?; ",""))</f>
        <v/>
      </c>
    </row>
    <row r="122">
      <c r="A122" s="9" t="n"/>
      <c r="B122" s="33" t="n"/>
      <c r="J122" s="25">
        <f>IF(OR($C122="",$A122=""),"",IF($A122&lt;IFERROR(IF(INDEX(campaigns!$BG$2:$BG$51,MATCH($C122,campaigns!$A$2:$A$51,0))="","",INDEX(campaigns!$BG$2:$BG$51,MATCH($C122,campaigns!$A$2:$A$51,0))),""),0,NETWORKDAYS(IFERROR(IF(INDEX(campaigns!$BG$2:$BG$51,MATCH($C122,campaigns!$A$2:$A$51,0))="","",INDEX(campaigns!$BG$2:$BG$51,MATCH($C122,campaigns!$A$2:$A$51,0))),""),$A122,calendar!$A$2:$A$80)))</f>
        <v/>
      </c>
      <c r="K122" s="25">
        <f>IF($C122="","",IF(COUNTIF(campaigns!$A$2:$A$51,$C122)=0,"campaign_id not on campaigns; ",IF(AND($D122&lt;&gt;"",COUNTIFS(approvals!$A$2:$A$251,$C122,approvals!$B$2:$B$251,$D122)=0),"office not on this campaign (approvals tab); ",""))&amp;IF(COUNTIFS(counts!$C$2:$C$701,$C122,counts!$D$2:$D$701,$D122,counts!$E$2:$E$701,$E122)&gt;1,"two "&amp;$E122&amp;" counts: keep one; ","")&amp;IF(AND($E122="remaining_day5",N($J122)&lt;5),"day-5 count logged before day 5; ","")&amp;IF(AND($G122="photo",$H122=""),"which photo?; ",""))</f>
        <v/>
      </c>
    </row>
    <row r="123">
      <c r="A123" s="9" t="n"/>
      <c r="B123" s="33" t="n"/>
      <c r="J123" s="25">
        <f>IF(OR($C123="",$A123=""),"",IF($A123&lt;IFERROR(IF(INDEX(campaigns!$BG$2:$BG$51,MATCH($C123,campaigns!$A$2:$A$51,0))="","",INDEX(campaigns!$BG$2:$BG$51,MATCH($C123,campaigns!$A$2:$A$51,0))),""),0,NETWORKDAYS(IFERROR(IF(INDEX(campaigns!$BG$2:$BG$51,MATCH($C123,campaigns!$A$2:$A$51,0))="","",INDEX(campaigns!$BG$2:$BG$51,MATCH($C123,campaigns!$A$2:$A$51,0))),""),$A123,calendar!$A$2:$A$80)))</f>
        <v/>
      </c>
      <c r="K123" s="25">
        <f>IF($C123="","",IF(COUNTIF(campaigns!$A$2:$A$51,$C123)=0,"campaign_id not on campaigns; ",IF(AND($D123&lt;&gt;"",COUNTIFS(approvals!$A$2:$A$251,$C123,approvals!$B$2:$B$251,$D123)=0),"office not on this campaign (approvals tab); ",""))&amp;IF(COUNTIFS(counts!$C$2:$C$701,$C123,counts!$D$2:$D$701,$D123,counts!$E$2:$E$701,$E123)&gt;1,"two "&amp;$E123&amp;" counts: keep one; ","")&amp;IF(AND($E123="remaining_day5",N($J123)&lt;5),"day-5 count logged before day 5; ","")&amp;IF(AND($G123="photo",$H123=""),"which photo?; ",""))</f>
        <v/>
      </c>
    </row>
    <row r="124">
      <c r="A124" s="9" t="n"/>
      <c r="B124" s="33" t="n"/>
      <c r="J124" s="25">
        <f>IF(OR($C124="",$A124=""),"",IF($A124&lt;IFERROR(IF(INDEX(campaigns!$BG$2:$BG$51,MATCH($C124,campaigns!$A$2:$A$51,0))="","",INDEX(campaigns!$BG$2:$BG$51,MATCH($C124,campaigns!$A$2:$A$51,0))),""),0,NETWORKDAYS(IFERROR(IF(INDEX(campaigns!$BG$2:$BG$51,MATCH($C124,campaigns!$A$2:$A$51,0))="","",INDEX(campaigns!$BG$2:$BG$51,MATCH($C124,campaigns!$A$2:$A$51,0))),""),$A124,calendar!$A$2:$A$80)))</f>
        <v/>
      </c>
      <c r="K124" s="25">
        <f>IF($C124="","",IF(COUNTIF(campaigns!$A$2:$A$51,$C124)=0,"campaign_id not on campaigns; ",IF(AND($D124&lt;&gt;"",COUNTIFS(approvals!$A$2:$A$251,$C124,approvals!$B$2:$B$251,$D124)=0),"office not on this campaign (approvals tab); ",""))&amp;IF(COUNTIFS(counts!$C$2:$C$701,$C124,counts!$D$2:$D$701,$D124,counts!$E$2:$E$701,$E124)&gt;1,"two "&amp;$E124&amp;" counts: keep one; ","")&amp;IF(AND($E124="remaining_day5",N($J124)&lt;5),"day-5 count logged before day 5; ","")&amp;IF(AND($G124="photo",$H124=""),"which photo?; ",""))</f>
        <v/>
      </c>
    </row>
    <row r="125">
      <c r="A125" s="9" t="n"/>
      <c r="B125" s="33" t="n"/>
      <c r="J125" s="25">
        <f>IF(OR($C125="",$A125=""),"",IF($A125&lt;IFERROR(IF(INDEX(campaigns!$BG$2:$BG$51,MATCH($C125,campaigns!$A$2:$A$51,0))="","",INDEX(campaigns!$BG$2:$BG$51,MATCH($C125,campaigns!$A$2:$A$51,0))),""),0,NETWORKDAYS(IFERROR(IF(INDEX(campaigns!$BG$2:$BG$51,MATCH($C125,campaigns!$A$2:$A$51,0))="","",INDEX(campaigns!$BG$2:$BG$51,MATCH($C125,campaigns!$A$2:$A$51,0))),""),$A125,calendar!$A$2:$A$80)))</f>
        <v/>
      </c>
      <c r="K125" s="25">
        <f>IF($C125="","",IF(COUNTIF(campaigns!$A$2:$A$51,$C125)=0,"campaign_id not on campaigns; ",IF(AND($D125&lt;&gt;"",COUNTIFS(approvals!$A$2:$A$251,$C125,approvals!$B$2:$B$251,$D125)=0),"office not on this campaign (approvals tab); ",""))&amp;IF(COUNTIFS(counts!$C$2:$C$701,$C125,counts!$D$2:$D$701,$D125,counts!$E$2:$E$701,$E125)&gt;1,"two "&amp;$E125&amp;" counts: keep one; ","")&amp;IF(AND($E125="remaining_day5",N($J125)&lt;5),"day-5 count logged before day 5; ","")&amp;IF(AND($G125="photo",$H125=""),"which photo?; ",""))</f>
        <v/>
      </c>
    </row>
    <row r="126">
      <c r="A126" s="9" t="n"/>
      <c r="B126" s="33" t="n"/>
      <c r="J126" s="25">
        <f>IF(OR($C126="",$A126=""),"",IF($A126&lt;IFERROR(IF(INDEX(campaigns!$BG$2:$BG$51,MATCH($C126,campaigns!$A$2:$A$51,0))="","",INDEX(campaigns!$BG$2:$BG$51,MATCH($C126,campaigns!$A$2:$A$51,0))),""),0,NETWORKDAYS(IFERROR(IF(INDEX(campaigns!$BG$2:$BG$51,MATCH($C126,campaigns!$A$2:$A$51,0))="","",INDEX(campaigns!$BG$2:$BG$51,MATCH($C126,campaigns!$A$2:$A$51,0))),""),$A126,calendar!$A$2:$A$80)))</f>
        <v/>
      </c>
      <c r="K126" s="25">
        <f>IF($C126="","",IF(COUNTIF(campaigns!$A$2:$A$51,$C126)=0,"campaign_id not on campaigns; ",IF(AND($D126&lt;&gt;"",COUNTIFS(approvals!$A$2:$A$251,$C126,approvals!$B$2:$B$251,$D126)=0),"office not on this campaign (approvals tab); ",""))&amp;IF(COUNTIFS(counts!$C$2:$C$701,$C126,counts!$D$2:$D$701,$D126,counts!$E$2:$E$701,$E126)&gt;1,"two "&amp;$E126&amp;" counts: keep one; ","")&amp;IF(AND($E126="remaining_day5",N($J126)&lt;5),"day-5 count logged before day 5; ","")&amp;IF(AND($G126="photo",$H126=""),"which photo?; ",""))</f>
        <v/>
      </c>
    </row>
    <row r="127">
      <c r="A127" s="9" t="n"/>
      <c r="B127" s="33" t="n"/>
      <c r="J127" s="25">
        <f>IF(OR($C127="",$A127=""),"",IF($A127&lt;IFERROR(IF(INDEX(campaigns!$BG$2:$BG$51,MATCH($C127,campaigns!$A$2:$A$51,0))="","",INDEX(campaigns!$BG$2:$BG$51,MATCH($C127,campaigns!$A$2:$A$51,0))),""),0,NETWORKDAYS(IFERROR(IF(INDEX(campaigns!$BG$2:$BG$51,MATCH($C127,campaigns!$A$2:$A$51,0))="","",INDEX(campaigns!$BG$2:$BG$51,MATCH($C127,campaigns!$A$2:$A$51,0))),""),$A127,calendar!$A$2:$A$80)))</f>
        <v/>
      </c>
      <c r="K127" s="25">
        <f>IF($C127="","",IF(COUNTIF(campaigns!$A$2:$A$51,$C127)=0,"campaign_id not on campaigns; ",IF(AND($D127&lt;&gt;"",COUNTIFS(approvals!$A$2:$A$251,$C127,approvals!$B$2:$B$251,$D127)=0),"office not on this campaign (approvals tab); ",""))&amp;IF(COUNTIFS(counts!$C$2:$C$701,$C127,counts!$D$2:$D$701,$D127,counts!$E$2:$E$701,$E127)&gt;1,"two "&amp;$E127&amp;" counts: keep one; ","")&amp;IF(AND($E127="remaining_day5",N($J127)&lt;5),"day-5 count logged before day 5; ","")&amp;IF(AND($G127="photo",$H127=""),"which photo?; ",""))</f>
        <v/>
      </c>
    </row>
    <row r="128">
      <c r="A128" s="9" t="n"/>
      <c r="B128" s="33" t="n"/>
      <c r="J128" s="25">
        <f>IF(OR($C128="",$A128=""),"",IF($A128&lt;IFERROR(IF(INDEX(campaigns!$BG$2:$BG$51,MATCH($C128,campaigns!$A$2:$A$51,0))="","",INDEX(campaigns!$BG$2:$BG$51,MATCH($C128,campaigns!$A$2:$A$51,0))),""),0,NETWORKDAYS(IFERROR(IF(INDEX(campaigns!$BG$2:$BG$51,MATCH($C128,campaigns!$A$2:$A$51,0))="","",INDEX(campaigns!$BG$2:$BG$51,MATCH($C128,campaigns!$A$2:$A$51,0))),""),$A128,calendar!$A$2:$A$80)))</f>
        <v/>
      </c>
      <c r="K128" s="25">
        <f>IF($C128="","",IF(COUNTIF(campaigns!$A$2:$A$51,$C128)=0,"campaign_id not on campaigns; ",IF(AND($D128&lt;&gt;"",COUNTIFS(approvals!$A$2:$A$251,$C128,approvals!$B$2:$B$251,$D128)=0),"office not on this campaign (approvals tab); ",""))&amp;IF(COUNTIFS(counts!$C$2:$C$701,$C128,counts!$D$2:$D$701,$D128,counts!$E$2:$E$701,$E128)&gt;1,"two "&amp;$E128&amp;" counts: keep one; ","")&amp;IF(AND($E128="remaining_day5",N($J128)&lt;5),"day-5 count logged before day 5; ","")&amp;IF(AND($G128="photo",$H128=""),"which photo?; ",""))</f>
        <v/>
      </c>
    </row>
    <row r="129">
      <c r="A129" s="9" t="n"/>
      <c r="B129" s="33" t="n"/>
      <c r="J129" s="25">
        <f>IF(OR($C129="",$A129=""),"",IF($A129&lt;IFERROR(IF(INDEX(campaigns!$BG$2:$BG$51,MATCH($C129,campaigns!$A$2:$A$51,0))="","",INDEX(campaigns!$BG$2:$BG$51,MATCH($C129,campaigns!$A$2:$A$51,0))),""),0,NETWORKDAYS(IFERROR(IF(INDEX(campaigns!$BG$2:$BG$51,MATCH($C129,campaigns!$A$2:$A$51,0))="","",INDEX(campaigns!$BG$2:$BG$51,MATCH($C129,campaigns!$A$2:$A$51,0))),""),$A129,calendar!$A$2:$A$80)))</f>
        <v/>
      </c>
      <c r="K129" s="25">
        <f>IF($C129="","",IF(COUNTIF(campaigns!$A$2:$A$51,$C129)=0,"campaign_id not on campaigns; ",IF(AND($D129&lt;&gt;"",COUNTIFS(approvals!$A$2:$A$251,$C129,approvals!$B$2:$B$251,$D129)=0),"office not on this campaign (approvals tab); ",""))&amp;IF(COUNTIFS(counts!$C$2:$C$701,$C129,counts!$D$2:$D$701,$D129,counts!$E$2:$E$701,$E129)&gt;1,"two "&amp;$E129&amp;" counts: keep one; ","")&amp;IF(AND($E129="remaining_day5",N($J129)&lt;5),"day-5 count logged before day 5; ","")&amp;IF(AND($G129="photo",$H129=""),"which photo?; ",""))</f>
        <v/>
      </c>
    </row>
    <row r="130">
      <c r="A130" s="9" t="n"/>
      <c r="B130" s="33" t="n"/>
      <c r="J130" s="25">
        <f>IF(OR($C130="",$A130=""),"",IF($A130&lt;IFERROR(IF(INDEX(campaigns!$BG$2:$BG$51,MATCH($C130,campaigns!$A$2:$A$51,0))="","",INDEX(campaigns!$BG$2:$BG$51,MATCH($C130,campaigns!$A$2:$A$51,0))),""),0,NETWORKDAYS(IFERROR(IF(INDEX(campaigns!$BG$2:$BG$51,MATCH($C130,campaigns!$A$2:$A$51,0))="","",INDEX(campaigns!$BG$2:$BG$51,MATCH($C130,campaigns!$A$2:$A$51,0))),""),$A130,calendar!$A$2:$A$80)))</f>
        <v/>
      </c>
      <c r="K130" s="25">
        <f>IF($C130="","",IF(COUNTIF(campaigns!$A$2:$A$51,$C130)=0,"campaign_id not on campaigns; ",IF(AND($D130&lt;&gt;"",COUNTIFS(approvals!$A$2:$A$251,$C130,approvals!$B$2:$B$251,$D130)=0),"office not on this campaign (approvals tab); ",""))&amp;IF(COUNTIFS(counts!$C$2:$C$701,$C130,counts!$D$2:$D$701,$D130,counts!$E$2:$E$701,$E130)&gt;1,"two "&amp;$E130&amp;" counts: keep one; ","")&amp;IF(AND($E130="remaining_day5",N($J130)&lt;5),"day-5 count logged before day 5; ","")&amp;IF(AND($G130="photo",$H130=""),"which photo?; ",""))</f>
        <v/>
      </c>
    </row>
    <row r="131">
      <c r="A131" s="9" t="n"/>
      <c r="B131" s="33" t="n"/>
      <c r="J131" s="25">
        <f>IF(OR($C131="",$A131=""),"",IF($A131&lt;IFERROR(IF(INDEX(campaigns!$BG$2:$BG$51,MATCH($C131,campaigns!$A$2:$A$51,0))="","",INDEX(campaigns!$BG$2:$BG$51,MATCH($C131,campaigns!$A$2:$A$51,0))),""),0,NETWORKDAYS(IFERROR(IF(INDEX(campaigns!$BG$2:$BG$51,MATCH($C131,campaigns!$A$2:$A$51,0))="","",INDEX(campaigns!$BG$2:$BG$51,MATCH($C131,campaigns!$A$2:$A$51,0))),""),$A131,calendar!$A$2:$A$80)))</f>
        <v/>
      </c>
      <c r="K131" s="25">
        <f>IF($C131="","",IF(COUNTIF(campaigns!$A$2:$A$51,$C131)=0,"campaign_id not on campaigns; ",IF(AND($D131&lt;&gt;"",COUNTIFS(approvals!$A$2:$A$251,$C131,approvals!$B$2:$B$251,$D131)=0),"office not on this campaign (approvals tab); ",""))&amp;IF(COUNTIFS(counts!$C$2:$C$701,$C131,counts!$D$2:$D$701,$D131,counts!$E$2:$E$701,$E131)&gt;1,"two "&amp;$E131&amp;" counts: keep one; ","")&amp;IF(AND($E131="remaining_day5",N($J131)&lt;5),"day-5 count logged before day 5; ","")&amp;IF(AND($G131="photo",$H131=""),"which photo?; ",""))</f>
        <v/>
      </c>
    </row>
    <row r="132">
      <c r="A132" s="9" t="n"/>
      <c r="B132" s="33" t="n"/>
      <c r="J132" s="25">
        <f>IF(OR($C132="",$A132=""),"",IF($A132&lt;IFERROR(IF(INDEX(campaigns!$BG$2:$BG$51,MATCH($C132,campaigns!$A$2:$A$51,0))="","",INDEX(campaigns!$BG$2:$BG$51,MATCH($C132,campaigns!$A$2:$A$51,0))),""),0,NETWORKDAYS(IFERROR(IF(INDEX(campaigns!$BG$2:$BG$51,MATCH($C132,campaigns!$A$2:$A$51,0))="","",INDEX(campaigns!$BG$2:$BG$51,MATCH($C132,campaigns!$A$2:$A$51,0))),""),$A132,calendar!$A$2:$A$80)))</f>
        <v/>
      </c>
      <c r="K132" s="25">
        <f>IF($C132="","",IF(COUNTIF(campaigns!$A$2:$A$51,$C132)=0,"campaign_id not on campaigns; ",IF(AND($D132&lt;&gt;"",COUNTIFS(approvals!$A$2:$A$251,$C132,approvals!$B$2:$B$251,$D132)=0),"office not on this campaign (approvals tab); ",""))&amp;IF(COUNTIFS(counts!$C$2:$C$701,$C132,counts!$D$2:$D$701,$D132,counts!$E$2:$E$701,$E132)&gt;1,"two "&amp;$E132&amp;" counts: keep one; ","")&amp;IF(AND($E132="remaining_day5",N($J132)&lt;5),"day-5 count logged before day 5; ","")&amp;IF(AND($G132="photo",$H132=""),"which photo?; ",""))</f>
        <v/>
      </c>
    </row>
    <row r="133">
      <c r="A133" s="9" t="n"/>
      <c r="B133" s="33" t="n"/>
      <c r="J133" s="25">
        <f>IF(OR($C133="",$A133=""),"",IF($A133&lt;IFERROR(IF(INDEX(campaigns!$BG$2:$BG$51,MATCH($C133,campaigns!$A$2:$A$51,0))="","",INDEX(campaigns!$BG$2:$BG$51,MATCH($C133,campaigns!$A$2:$A$51,0))),""),0,NETWORKDAYS(IFERROR(IF(INDEX(campaigns!$BG$2:$BG$51,MATCH($C133,campaigns!$A$2:$A$51,0))="","",INDEX(campaigns!$BG$2:$BG$51,MATCH($C133,campaigns!$A$2:$A$51,0))),""),$A133,calendar!$A$2:$A$80)))</f>
        <v/>
      </c>
      <c r="K133" s="25">
        <f>IF($C133="","",IF(COUNTIF(campaigns!$A$2:$A$51,$C133)=0,"campaign_id not on campaigns; ",IF(AND($D133&lt;&gt;"",COUNTIFS(approvals!$A$2:$A$251,$C133,approvals!$B$2:$B$251,$D133)=0),"office not on this campaign (approvals tab); ",""))&amp;IF(COUNTIFS(counts!$C$2:$C$701,$C133,counts!$D$2:$D$701,$D133,counts!$E$2:$E$701,$E133)&gt;1,"two "&amp;$E133&amp;" counts: keep one; ","")&amp;IF(AND($E133="remaining_day5",N($J133)&lt;5),"day-5 count logged before day 5; ","")&amp;IF(AND($G133="photo",$H133=""),"which photo?; ",""))</f>
        <v/>
      </c>
    </row>
    <row r="134">
      <c r="A134" s="9" t="n"/>
      <c r="B134" s="33" t="n"/>
      <c r="J134" s="25">
        <f>IF(OR($C134="",$A134=""),"",IF($A134&lt;IFERROR(IF(INDEX(campaigns!$BG$2:$BG$51,MATCH($C134,campaigns!$A$2:$A$51,0))="","",INDEX(campaigns!$BG$2:$BG$51,MATCH($C134,campaigns!$A$2:$A$51,0))),""),0,NETWORKDAYS(IFERROR(IF(INDEX(campaigns!$BG$2:$BG$51,MATCH($C134,campaigns!$A$2:$A$51,0))="","",INDEX(campaigns!$BG$2:$BG$51,MATCH($C134,campaigns!$A$2:$A$51,0))),""),$A134,calendar!$A$2:$A$80)))</f>
        <v/>
      </c>
      <c r="K134" s="25">
        <f>IF($C134="","",IF(COUNTIF(campaigns!$A$2:$A$51,$C134)=0,"campaign_id not on campaigns; ",IF(AND($D134&lt;&gt;"",COUNTIFS(approvals!$A$2:$A$251,$C134,approvals!$B$2:$B$251,$D134)=0),"office not on this campaign (approvals tab); ",""))&amp;IF(COUNTIFS(counts!$C$2:$C$701,$C134,counts!$D$2:$D$701,$D134,counts!$E$2:$E$701,$E134)&gt;1,"two "&amp;$E134&amp;" counts: keep one; ","")&amp;IF(AND($E134="remaining_day5",N($J134)&lt;5),"day-5 count logged before day 5; ","")&amp;IF(AND($G134="photo",$H134=""),"which photo?; ",""))</f>
        <v/>
      </c>
    </row>
    <row r="135">
      <c r="A135" s="9" t="n"/>
      <c r="B135" s="33" t="n"/>
      <c r="J135" s="25">
        <f>IF(OR($C135="",$A135=""),"",IF($A135&lt;IFERROR(IF(INDEX(campaigns!$BG$2:$BG$51,MATCH($C135,campaigns!$A$2:$A$51,0))="","",INDEX(campaigns!$BG$2:$BG$51,MATCH($C135,campaigns!$A$2:$A$51,0))),""),0,NETWORKDAYS(IFERROR(IF(INDEX(campaigns!$BG$2:$BG$51,MATCH($C135,campaigns!$A$2:$A$51,0))="","",INDEX(campaigns!$BG$2:$BG$51,MATCH($C135,campaigns!$A$2:$A$51,0))),""),$A135,calendar!$A$2:$A$80)))</f>
        <v/>
      </c>
      <c r="K135" s="25">
        <f>IF($C135="","",IF(COUNTIF(campaigns!$A$2:$A$51,$C135)=0,"campaign_id not on campaigns; ",IF(AND($D135&lt;&gt;"",COUNTIFS(approvals!$A$2:$A$251,$C135,approvals!$B$2:$B$251,$D135)=0),"office not on this campaign (approvals tab); ",""))&amp;IF(COUNTIFS(counts!$C$2:$C$701,$C135,counts!$D$2:$D$701,$D135,counts!$E$2:$E$701,$E135)&gt;1,"two "&amp;$E135&amp;" counts: keep one; ","")&amp;IF(AND($E135="remaining_day5",N($J135)&lt;5),"day-5 count logged before day 5; ","")&amp;IF(AND($G135="photo",$H135=""),"which photo?; ",""))</f>
        <v/>
      </c>
    </row>
    <row r="136">
      <c r="A136" s="9" t="n"/>
      <c r="B136" s="33" t="n"/>
      <c r="J136" s="25">
        <f>IF(OR($C136="",$A136=""),"",IF($A136&lt;IFERROR(IF(INDEX(campaigns!$BG$2:$BG$51,MATCH($C136,campaigns!$A$2:$A$51,0))="","",INDEX(campaigns!$BG$2:$BG$51,MATCH($C136,campaigns!$A$2:$A$51,0))),""),0,NETWORKDAYS(IFERROR(IF(INDEX(campaigns!$BG$2:$BG$51,MATCH($C136,campaigns!$A$2:$A$51,0))="","",INDEX(campaigns!$BG$2:$BG$51,MATCH($C136,campaigns!$A$2:$A$51,0))),""),$A136,calendar!$A$2:$A$80)))</f>
        <v/>
      </c>
      <c r="K136" s="25">
        <f>IF($C136="","",IF(COUNTIF(campaigns!$A$2:$A$51,$C136)=0,"campaign_id not on campaigns; ",IF(AND($D136&lt;&gt;"",COUNTIFS(approvals!$A$2:$A$251,$C136,approvals!$B$2:$B$251,$D136)=0),"office not on this campaign (approvals tab); ",""))&amp;IF(COUNTIFS(counts!$C$2:$C$701,$C136,counts!$D$2:$D$701,$D136,counts!$E$2:$E$701,$E136)&gt;1,"two "&amp;$E136&amp;" counts: keep one; ","")&amp;IF(AND($E136="remaining_day5",N($J136)&lt;5),"day-5 count logged before day 5; ","")&amp;IF(AND($G136="photo",$H136=""),"which photo?; ",""))</f>
        <v/>
      </c>
    </row>
    <row r="137">
      <c r="A137" s="9" t="n"/>
      <c r="B137" s="33" t="n"/>
      <c r="J137" s="25">
        <f>IF(OR($C137="",$A137=""),"",IF($A137&lt;IFERROR(IF(INDEX(campaigns!$BG$2:$BG$51,MATCH($C137,campaigns!$A$2:$A$51,0))="","",INDEX(campaigns!$BG$2:$BG$51,MATCH($C137,campaigns!$A$2:$A$51,0))),""),0,NETWORKDAYS(IFERROR(IF(INDEX(campaigns!$BG$2:$BG$51,MATCH($C137,campaigns!$A$2:$A$51,0))="","",INDEX(campaigns!$BG$2:$BG$51,MATCH($C137,campaigns!$A$2:$A$51,0))),""),$A137,calendar!$A$2:$A$80)))</f>
        <v/>
      </c>
      <c r="K137" s="25">
        <f>IF($C137="","",IF(COUNTIF(campaigns!$A$2:$A$51,$C137)=0,"campaign_id not on campaigns; ",IF(AND($D137&lt;&gt;"",COUNTIFS(approvals!$A$2:$A$251,$C137,approvals!$B$2:$B$251,$D137)=0),"office not on this campaign (approvals tab); ",""))&amp;IF(COUNTIFS(counts!$C$2:$C$701,$C137,counts!$D$2:$D$701,$D137,counts!$E$2:$E$701,$E137)&gt;1,"two "&amp;$E137&amp;" counts: keep one; ","")&amp;IF(AND($E137="remaining_day5",N($J137)&lt;5),"day-5 count logged before day 5; ","")&amp;IF(AND($G137="photo",$H137=""),"which photo?; ",""))</f>
        <v/>
      </c>
    </row>
    <row r="138">
      <c r="A138" s="9" t="n"/>
      <c r="B138" s="33" t="n"/>
      <c r="J138" s="25">
        <f>IF(OR($C138="",$A138=""),"",IF($A138&lt;IFERROR(IF(INDEX(campaigns!$BG$2:$BG$51,MATCH($C138,campaigns!$A$2:$A$51,0))="","",INDEX(campaigns!$BG$2:$BG$51,MATCH($C138,campaigns!$A$2:$A$51,0))),""),0,NETWORKDAYS(IFERROR(IF(INDEX(campaigns!$BG$2:$BG$51,MATCH($C138,campaigns!$A$2:$A$51,0))="","",INDEX(campaigns!$BG$2:$BG$51,MATCH($C138,campaigns!$A$2:$A$51,0))),""),$A138,calendar!$A$2:$A$80)))</f>
        <v/>
      </c>
      <c r="K138" s="25">
        <f>IF($C138="","",IF(COUNTIF(campaigns!$A$2:$A$51,$C138)=0,"campaign_id not on campaigns; ",IF(AND($D138&lt;&gt;"",COUNTIFS(approvals!$A$2:$A$251,$C138,approvals!$B$2:$B$251,$D138)=0),"office not on this campaign (approvals tab); ",""))&amp;IF(COUNTIFS(counts!$C$2:$C$701,$C138,counts!$D$2:$D$701,$D138,counts!$E$2:$E$701,$E138)&gt;1,"two "&amp;$E138&amp;" counts: keep one; ","")&amp;IF(AND($E138="remaining_day5",N($J138)&lt;5),"day-5 count logged before day 5; ","")&amp;IF(AND($G138="photo",$H138=""),"which photo?; ",""))</f>
        <v/>
      </c>
    </row>
    <row r="139">
      <c r="A139" s="9" t="n"/>
      <c r="B139" s="33" t="n"/>
      <c r="J139" s="25">
        <f>IF(OR($C139="",$A139=""),"",IF($A139&lt;IFERROR(IF(INDEX(campaigns!$BG$2:$BG$51,MATCH($C139,campaigns!$A$2:$A$51,0))="","",INDEX(campaigns!$BG$2:$BG$51,MATCH($C139,campaigns!$A$2:$A$51,0))),""),0,NETWORKDAYS(IFERROR(IF(INDEX(campaigns!$BG$2:$BG$51,MATCH($C139,campaigns!$A$2:$A$51,0))="","",INDEX(campaigns!$BG$2:$BG$51,MATCH($C139,campaigns!$A$2:$A$51,0))),""),$A139,calendar!$A$2:$A$80)))</f>
        <v/>
      </c>
      <c r="K139" s="25">
        <f>IF($C139="","",IF(COUNTIF(campaigns!$A$2:$A$51,$C139)=0,"campaign_id not on campaigns; ",IF(AND($D139&lt;&gt;"",COUNTIFS(approvals!$A$2:$A$251,$C139,approvals!$B$2:$B$251,$D139)=0),"office not on this campaign (approvals tab); ",""))&amp;IF(COUNTIFS(counts!$C$2:$C$701,$C139,counts!$D$2:$D$701,$D139,counts!$E$2:$E$701,$E139)&gt;1,"two "&amp;$E139&amp;" counts: keep one; ","")&amp;IF(AND($E139="remaining_day5",N($J139)&lt;5),"day-5 count logged before day 5; ","")&amp;IF(AND($G139="photo",$H139=""),"which photo?; ",""))</f>
        <v/>
      </c>
    </row>
    <row r="140">
      <c r="A140" s="9" t="n"/>
      <c r="B140" s="33" t="n"/>
      <c r="J140" s="25">
        <f>IF(OR($C140="",$A140=""),"",IF($A140&lt;IFERROR(IF(INDEX(campaigns!$BG$2:$BG$51,MATCH($C140,campaigns!$A$2:$A$51,0))="","",INDEX(campaigns!$BG$2:$BG$51,MATCH($C140,campaigns!$A$2:$A$51,0))),""),0,NETWORKDAYS(IFERROR(IF(INDEX(campaigns!$BG$2:$BG$51,MATCH($C140,campaigns!$A$2:$A$51,0))="","",INDEX(campaigns!$BG$2:$BG$51,MATCH($C140,campaigns!$A$2:$A$51,0))),""),$A140,calendar!$A$2:$A$80)))</f>
        <v/>
      </c>
      <c r="K140" s="25">
        <f>IF($C140="","",IF(COUNTIF(campaigns!$A$2:$A$51,$C140)=0,"campaign_id not on campaigns; ",IF(AND($D140&lt;&gt;"",COUNTIFS(approvals!$A$2:$A$251,$C140,approvals!$B$2:$B$251,$D140)=0),"office not on this campaign (approvals tab); ",""))&amp;IF(COUNTIFS(counts!$C$2:$C$701,$C140,counts!$D$2:$D$701,$D140,counts!$E$2:$E$701,$E140)&gt;1,"two "&amp;$E140&amp;" counts: keep one; ","")&amp;IF(AND($E140="remaining_day5",N($J140)&lt;5),"day-5 count logged before day 5; ","")&amp;IF(AND($G140="photo",$H140=""),"which photo?; ",""))</f>
        <v/>
      </c>
    </row>
    <row r="141">
      <c r="A141" s="9" t="n"/>
      <c r="B141" s="33" t="n"/>
      <c r="J141" s="25">
        <f>IF(OR($C141="",$A141=""),"",IF($A141&lt;IFERROR(IF(INDEX(campaigns!$BG$2:$BG$51,MATCH($C141,campaigns!$A$2:$A$51,0))="","",INDEX(campaigns!$BG$2:$BG$51,MATCH($C141,campaigns!$A$2:$A$51,0))),""),0,NETWORKDAYS(IFERROR(IF(INDEX(campaigns!$BG$2:$BG$51,MATCH($C141,campaigns!$A$2:$A$51,0))="","",INDEX(campaigns!$BG$2:$BG$51,MATCH($C141,campaigns!$A$2:$A$51,0))),""),$A141,calendar!$A$2:$A$80)))</f>
        <v/>
      </c>
      <c r="K141" s="25">
        <f>IF($C141="","",IF(COUNTIF(campaigns!$A$2:$A$51,$C141)=0,"campaign_id not on campaigns; ",IF(AND($D141&lt;&gt;"",COUNTIFS(approvals!$A$2:$A$251,$C141,approvals!$B$2:$B$251,$D141)=0),"office not on this campaign (approvals tab); ",""))&amp;IF(COUNTIFS(counts!$C$2:$C$701,$C141,counts!$D$2:$D$701,$D141,counts!$E$2:$E$701,$E141)&gt;1,"two "&amp;$E141&amp;" counts: keep one; ","")&amp;IF(AND($E141="remaining_day5",N($J141)&lt;5),"day-5 count logged before day 5; ","")&amp;IF(AND($G141="photo",$H141=""),"which photo?; ",""))</f>
        <v/>
      </c>
    </row>
    <row r="142">
      <c r="A142" s="9" t="n"/>
      <c r="B142" s="33" t="n"/>
      <c r="J142" s="25">
        <f>IF(OR($C142="",$A142=""),"",IF($A142&lt;IFERROR(IF(INDEX(campaigns!$BG$2:$BG$51,MATCH($C142,campaigns!$A$2:$A$51,0))="","",INDEX(campaigns!$BG$2:$BG$51,MATCH($C142,campaigns!$A$2:$A$51,0))),""),0,NETWORKDAYS(IFERROR(IF(INDEX(campaigns!$BG$2:$BG$51,MATCH($C142,campaigns!$A$2:$A$51,0))="","",INDEX(campaigns!$BG$2:$BG$51,MATCH($C142,campaigns!$A$2:$A$51,0))),""),$A142,calendar!$A$2:$A$80)))</f>
        <v/>
      </c>
      <c r="K142" s="25">
        <f>IF($C142="","",IF(COUNTIF(campaigns!$A$2:$A$51,$C142)=0,"campaign_id not on campaigns; ",IF(AND($D142&lt;&gt;"",COUNTIFS(approvals!$A$2:$A$251,$C142,approvals!$B$2:$B$251,$D142)=0),"office not on this campaign (approvals tab); ",""))&amp;IF(COUNTIFS(counts!$C$2:$C$701,$C142,counts!$D$2:$D$701,$D142,counts!$E$2:$E$701,$E142)&gt;1,"two "&amp;$E142&amp;" counts: keep one; ","")&amp;IF(AND($E142="remaining_day5",N($J142)&lt;5),"day-5 count logged before day 5; ","")&amp;IF(AND($G142="photo",$H142=""),"which photo?; ",""))</f>
        <v/>
      </c>
    </row>
    <row r="143">
      <c r="A143" s="9" t="n"/>
      <c r="B143" s="33" t="n"/>
      <c r="J143" s="25">
        <f>IF(OR($C143="",$A143=""),"",IF($A143&lt;IFERROR(IF(INDEX(campaigns!$BG$2:$BG$51,MATCH($C143,campaigns!$A$2:$A$51,0))="","",INDEX(campaigns!$BG$2:$BG$51,MATCH($C143,campaigns!$A$2:$A$51,0))),""),0,NETWORKDAYS(IFERROR(IF(INDEX(campaigns!$BG$2:$BG$51,MATCH($C143,campaigns!$A$2:$A$51,0))="","",INDEX(campaigns!$BG$2:$BG$51,MATCH($C143,campaigns!$A$2:$A$51,0))),""),$A143,calendar!$A$2:$A$80)))</f>
        <v/>
      </c>
      <c r="K143" s="25">
        <f>IF($C143="","",IF(COUNTIF(campaigns!$A$2:$A$51,$C143)=0,"campaign_id not on campaigns; ",IF(AND($D143&lt;&gt;"",COUNTIFS(approvals!$A$2:$A$251,$C143,approvals!$B$2:$B$251,$D143)=0),"office not on this campaign (approvals tab); ",""))&amp;IF(COUNTIFS(counts!$C$2:$C$701,$C143,counts!$D$2:$D$701,$D143,counts!$E$2:$E$701,$E143)&gt;1,"two "&amp;$E143&amp;" counts: keep one; ","")&amp;IF(AND($E143="remaining_day5",N($J143)&lt;5),"day-5 count logged before day 5; ","")&amp;IF(AND($G143="photo",$H143=""),"which photo?; ",""))</f>
        <v/>
      </c>
    </row>
    <row r="144">
      <c r="A144" s="9" t="n"/>
      <c r="B144" s="33" t="n"/>
      <c r="J144" s="25">
        <f>IF(OR($C144="",$A144=""),"",IF($A144&lt;IFERROR(IF(INDEX(campaigns!$BG$2:$BG$51,MATCH($C144,campaigns!$A$2:$A$51,0))="","",INDEX(campaigns!$BG$2:$BG$51,MATCH($C144,campaigns!$A$2:$A$51,0))),""),0,NETWORKDAYS(IFERROR(IF(INDEX(campaigns!$BG$2:$BG$51,MATCH($C144,campaigns!$A$2:$A$51,0))="","",INDEX(campaigns!$BG$2:$BG$51,MATCH($C144,campaigns!$A$2:$A$51,0))),""),$A144,calendar!$A$2:$A$80)))</f>
        <v/>
      </c>
      <c r="K144" s="25">
        <f>IF($C144="","",IF(COUNTIF(campaigns!$A$2:$A$51,$C144)=0,"campaign_id not on campaigns; ",IF(AND($D144&lt;&gt;"",COUNTIFS(approvals!$A$2:$A$251,$C144,approvals!$B$2:$B$251,$D144)=0),"office not on this campaign (approvals tab); ",""))&amp;IF(COUNTIFS(counts!$C$2:$C$701,$C144,counts!$D$2:$D$701,$D144,counts!$E$2:$E$701,$E144)&gt;1,"two "&amp;$E144&amp;" counts: keep one; ","")&amp;IF(AND($E144="remaining_day5",N($J144)&lt;5),"day-5 count logged before day 5; ","")&amp;IF(AND($G144="photo",$H144=""),"which photo?; ",""))</f>
        <v/>
      </c>
    </row>
    <row r="145">
      <c r="A145" s="9" t="n"/>
      <c r="B145" s="33" t="n"/>
      <c r="J145" s="25">
        <f>IF(OR($C145="",$A145=""),"",IF($A145&lt;IFERROR(IF(INDEX(campaigns!$BG$2:$BG$51,MATCH($C145,campaigns!$A$2:$A$51,0))="","",INDEX(campaigns!$BG$2:$BG$51,MATCH($C145,campaigns!$A$2:$A$51,0))),""),0,NETWORKDAYS(IFERROR(IF(INDEX(campaigns!$BG$2:$BG$51,MATCH($C145,campaigns!$A$2:$A$51,0))="","",INDEX(campaigns!$BG$2:$BG$51,MATCH($C145,campaigns!$A$2:$A$51,0))),""),$A145,calendar!$A$2:$A$80)))</f>
        <v/>
      </c>
      <c r="K145" s="25">
        <f>IF($C145="","",IF(COUNTIF(campaigns!$A$2:$A$51,$C145)=0,"campaign_id not on campaigns; ",IF(AND($D145&lt;&gt;"",COUNTIFS(approvals!$A$2:$A$251,$C145,approvals!$B$2:$B$251,$D145)=0),"office not on this campaign (approvals tab); ",""))&amp;IF(COUNTIFS(counts!$C$2:$C$701,$C145,counts!$D$2:$D$701,$D145,counts!$E$2:$E$701,$E145)&gt;1,"two "&amp;$E145&amp;" counts: keep one; ","")&amp;IF(AND($E145="remaining_day5",N($J145)&lt;5),"day-5 count logged before day 5; ","")&amp;IF(AND($G145="photo",$H145=""),"which photo?; ",""))</f>
        <v/>
      </c>
    </row>
    <row r="146">
      <c r="A146" s="9" t="n"/>
      <c r="B146" s="33" t="n"/>
      <c r="J146" s="25">
        <f>IF(OR($C146="",$A146=""),"",IF($A146&lt;IFERROR(IF(INDEX(campaigns!$BG$2:$BG$51,MATCH($C146,campaigns!$A$2:$A$51,0))="","",INDEX(campaigns!$BG$2:$BG$51,MATCH($C146,campaigns!$A$2:$A$51,0))),""),0,NETWORKDAYS(IFERROR(IF(INDEX(campaigns!$BG$2:$BG$51,MATCH($C146,campaigns!$A$2:$A$51,0))="","",INDEX(campaigns!$BG$2:$BG$51,MATCH($C146,campaigns!$A$2:$A$51,0))),""),$A146,calendar!$A$2:$A$80)))</f>
        <v/>
      </c>
      <c r="K146" s="25">
        <f>IF($C146="","",IF(COUNTIF(campaigns!$A$2:$A$51,$C146)=0,"campaign_id not on campaigns; ",IF(AND($D146&lt;&gt;"",COUNTIFS(approvals!$A$2:$A$251,$C146,approvals!$B$2:$B$251,$D146)=0),"office not on this campaign (approvals tab); ",""))&amp;IF(COUNTIFS(counts!$C$2:$C$701,$C146,counts!$D$2:$D$701,$D146,counts!$E$2:$E$701,$E146)&gt;1,"two "&amp;$E146&amp;" counts: keep one; ","")&amp;IF(AND($E146="remaining_day5",N($J146)&lt;5),"day-5 count logged before day 5; ","")&amp;IF(AND($G146="photo",$H146=""),"which photo?; ",""))</f>
        <v/>
      </c>
    </row>
    <row r="147">
      <c r="A147" s="9" t="n"/>
      <c r="B147" s="33" t="n"/>
      <c r="J147" s="25">
        <f>IF(OR($C147="",$A147=""),"",IF($A147&lt;IFERROR(IF(INDEX(campaigns!$BG$2:$BG$51,MATCH($C147,campaigns!$A$2:$A$51,0))="","",INDEX(campaigns!$BG$2:$BG$51,MATCH($C147,campaigns!$A$2:$A$51,0))),""),0,NETWORKDAYS(IFERROR(IF(INDEX(campaigns!$BG$2:$BG$51,MATCH($C147,campaigns!$A$2:$A$51,0))="","",INDEX(campaigns!$BG$2:$BG$51,MATCH($C147,campaigns!$A$2:$A$51,0))),""),$A147,calendar!$A$2:$A$80)))</f>
        <v/>
      </c>
      <c r="K147" s="25">
        <f>IF($C147="","",IF(COUNTIF(campaigns!$A$2:$A$51,$C147)=0,"campaign_id not on campaigns; ",IF(AND($D147&lt;&gt;"",COUNTIFS(approvals!$A$2:$A$251,$C147,approvals!$B$2:$B$251,$D147)=0),"office not on this campaign (approvals tab); ",""))&amp;IF(COUNTIFS(counts!$C$2:$C$701,$C147,counts!$D$2:$D$701,$D147,counts!$E$2:$E$701,$E147)&gt;1,"two "&amp;$E147&amp;" counts: keep one; ","")&amp;IF(AND($E147="remaining_day5",N($J147)&lt;5),"day-5 count logged before day 5; ","")&amp;IF(AND($G147="photo",$H147=""),"which photo?; ",""))</f>
        <v/>
      </c>
    </row>
    <row r="148">
      <c r="A148" s="9" t="n"/>
      <c r="B148" s="33" t="n"/>
      <c r="J148" s="25">
        <f>IF(OR($C148="",$A148=""),"",IF($A148&lt;IFERROR(IF(INDEX(campaigns!$BG$2:$BG$51,MATCH($C148,campaigns!$A$2:$A$51,0))="","",INDEX(campaigns!$BG$2:$BG$51,MATCH($C148,campaigns!$A$2:$A$51,0))),""),0,NETWORKDAYS(IFERROR(IF(INDEX(campaigns!$BG$2:$BG$51,MATCH($C148,campaigns!$A$2:$A$51,0))="","",INDEX(campaigns!$BG$2:$BG$51,MATCH($C148,campaigns!$A$2:$A$51,0))),""),$A148,calendar!$A$2:$A$80)))</f>
        <v/>
      </c>
      <c r="K148" s="25">
        <f>IF($C148="","",IF(COUNTIF(campaigns!$A$2:$A$51,$C148)=0,"campaign_id not on campaigns; ",IF(AND($D148&lt;&gt;"",COUNTIFS(approvals!$A$2:$A$251,$C148,approvals!$B$2:$B$251,$D148)=0),"office not on this campaign (approvals tab); ",""))&amp;IF(COUNTIFS(counts!$C$2:$C$701,$C148,counts!$D$2:$D$701,$D148,counts!$E$2:$E$701,$E148)&gt;1,"two "&amp;$E148&amp;" counts: keep one; ","")&amp;IF(AND($E148="remaining_day5",N($J148)&lt;5),"day-5 count logged before day 5; ","")&amp;IF(AND($G148="photo",$H148=""),"which photo?; ",""))</f>
        <v/>
      </c>
    </row>
    <row r="149">
      <c r="A149" s="9" t="n"/>
      <c r="B149" s="33" t="n"/>
      <c r="J149" s="25">
        <f>IF(OR($C149="",$A149=""),"",IF($A149&lt;IFERROR(IF(INDEX(campaigns!$BG$2:$BG$51,MATCH($C149,campaigns!$A$2:$A$51,0))="","",INDEX(campaigns!$BG$2:$BG$51,MATCH($C149,campaigns!$A$2:$A$51,0))),""),0,NETWORKDAYS(IFERROR(IF(INDEX(campaigns!$BG$2:$BG$51,MATCH($C149,campaigns!$A$2:$A$51,0))="","",INDEX(campaigns!$BG$2:$BG$51,MATCH($C149,campaigns!$A$2:$A$51,0))),""),$A149,calendar!$A$2:$A$80)))</f>
        <v/>
      </c>
      <c r="K149" s="25">
        <f>IF($C149="","",IF(COUNTIF(campaigns!$A$2:$A$51,$C149)=0,"campaign_id not on campaigns; ",IF(AND($D149&lt;&gt;"",COUNTIFS(approvals!$A$2:$A$251,$C149,approvals!$B$2:$B$251,$D149)=0),"office not on this campaign (approvals tab); ",""))&amp;IF(COUNTIFS(counts!$C$2:$C$701,$C149,counts!$D$2:$D$701,$D149,counts!$E$2:$E$701,$E149)&gt;1,"two "&amp;$E149&amp;" counts: keep one; ","")&amp;IF(AND($E149="remaining_day5",N($J149)&lt;5),"day-5 count logged before day 5; ","")&amp;IF(AND($G149="photo",$H149=""),"which photo?; ",""))</f>
        <v/>
      </c>
    </row>
    <row r="150">
      <c r="A150" s="9" t="n"/>
      <c r="B150" s="33" t="n"/>
      <c r="J150" s="25">
        <f>IF(OR($C150="",$A150=""),"",IF($A150&lt;IFERROR(IF(INDEX(campaigns!$BG$2:$BG$51,MATCH($C150,campaigns!$A$2:$A$51,0))="","",INDEX(campaigns!$BG$2:$BG$51,MATCH($C150,campaigns!$A$2:$A$51,0))),""),0,NETWORKDAYS(IFERROR(IF(INDEX(campaigns!$BG$2:$BG$51,MATCH($C150,campaigns!$A$2:$A$51,0))="","",INDEX(campaigns!$BG$2:$BG$51,MATCH($C150,campaigns!$A$2:$A$51,0))),""),$A150,calendar!$A$2:$A$80)))</f>
        <v/>
      </c>
      <c r="K150" s="25">
        <f>IF($C150="","",IF(COUNTIF(campaigns!$A$2:$A$51,$C150)=0,"campaign_id not on campaigns; ",IF(AND($D150&lt;&gt;"",COUNTIFS(approvals!$A$2:$A$251,$C150,approvals!$B$2:$B$251,$D150)=0),"office not on this campaign (approvals tab); ",""))&amp;IF(COUNTIFS(counts!$C$2:$C$701,$C150,counts!$D$2:$D$701,$D150,counts!$E$2:$E$701,$E150)&gt;1,"two "&amp;$E150&amp;" counts: keep one; ","")&amp;IF(AND($E150="remaining_day5",N($J150)&lt;5),"day-5 count logged before day 5; ","")&amp;IF(AND($G150="photo",$H150=""),"which photo?; ",""))</f>
        <v/>
      </c>
    </row>
    <row r="151">
      <c r="A151" s="9" t="n"/>
      <c r="B151" s="33" t="n"/>
      <c r="J151" s="25">
        <f>IF(OR($C151="",$A151=""),"",IF($A151&lt;IFERROR(IF(INDEX(campaigns!$BG$2:$BG$51,MATCH($C151,campaigns!$A$2:$A$51,0))="","",INDEX(campaigns!$BG$2:$BG$51,MATCH($C151,campaigns!$A$2:$A$51,0))),""),0,NETWORKDAYS(IFERROR(IF(INDEX(campaigns!$BG$2:$BG$51,MATCH($C151,campaigns!$A$2:$A$51,0))="","",INDEX(campaigns!$BG$2:$BG$51,MATCH($C151,campaigns!$A$2:$A$51,0))),""),$A151,calendar!$A$2:$A$80)))</f>
        <v/>
      </c>
      <c r="K151" s="25">
        <f>IF($C151="","",IF(COUNTIF(campaigns!$A$2:$A$51,$C151)=0,"campaign_id not on campaigns; ",IF(AND($D151&lt;&gt;"",COUNTIFS(approvals!$A$2:$A$251,$C151,approvals!$B$2:$B$251,$D151)=0),"office not on this campaign (approvals tab); ",""))&amp;IF(COUNTIFS(counts!$C$2:$C$701,$C151,counts!$D$2:$D$701,$D151,counts!$E$2:$E$701,$E151)&gt;1,"two "&amp;$E151&amp;" counts: keep one; ","")&amp;IF(AND($E151="remaining_day5",N($J151)&lt;5),"day-5 count logged before day 5; ","")&amp;IF(AND($G151="photo",$H151=""),"which photo?; ",""))</f>
        <v/>
      </c>
    </row>
    <row r="152">
      <c r="A152" s="9" t="n"/>
      <c r="B152" s="33" t="n"/>
      <c r="J152" s="25">
        <f>IF(OR($C152="",$A152=""),"",IF($A152&lt;IFERROR(IF(INDEX(campaigns!$BG$2:$BG$51,MATCH($C152,campaigns!$A$2:$A$51,0))="","",INDEX(campaigns!$BG$2:$BG$51,MATCH($C152,campaigns!$A$2:$A$51,0))),""),0,NETWORKDAYS(IFERROR(IF(INDEX(campaigns!$BG$2:$BG$51,MATCH($C152,campaigns!$A$2:$A$51,0))="","",INDEX(campaigns!$BG$2:$BG$51,MATCH($C152,campaigns!$A$2:$A$51,0))),""),$A152,calendar!$A$2:$A$80)))</f>
        <v/>
      </c>
      <c r="K152" s="25">
        <f>IF($C152="","",IF(COUNTIF(campaigns!$A$2:$A$51,$C152)=0,"campaign_id not on campaigns; ",IF(AND($D152&lt;&gt;"",COUNTIFS(approvals!$A$2:$A$251,$C152,approvals!$B$2:$B$251,$D152)=0),"office not on this campaign (approvals tab); ",""))&amp;IF(COUNTIFS(counts!$C$2:$C$701,$C152,counts!$D$2:$D$701,$D152,counts!$E$2:$E$701,$E152)&gt;1,"two "&amp;$E152&amp;" counts: keep one; ","")&amp;IF(AND($E152="remaining_day5",N($J152)&lt;5),"day-5 count logged before day 5; ","")&amp;IF(AND($G152="photo",$H152=""),"which photo?; ",""))</f>
        <v/>
      </c>
    </row>
    <row r="153">
      <c r="A153" s="9" t="n"/>
      <c r="B153" s="33" t="n"/>
      <c r="J153" s="25">
        <f>IF(OR($C153="",$A153=""),"",IF($A153&lt;IFERROR(IF(INDEX(campaigns!$BG$2:$BG$51,MATCH($C153,campaigns!$A$2:$A$51,0))="","",INDEX(campaigns!$BG$2:$BG$51,MATCH($C153,campaigns!$A$2:$A$51,0))),""),0,NETWORKDAYS(IFERROR(IF(INDEX(campaigns!$BG$2:$BG$51,MATCH($C153,campaigns!$A$2:$A$51,0))="","",INDEX(campaigns!$BG$2:$BG$51,MATCH($C153,campaigns!$A$2:$A$51,0))),""),$A153,calendar!$A$2:$A$80)))</f>
        <v/>
      </c>
      <c r="K153" s="25">
        <f>IF($C153="","",IF(COUNTIF(campaigns!$A$2:$A$51,$C153)=0,"campaign_id not on campaigns; ",IF(AND($D153&lt;&gt;"",COUNTIFS(approvals!$A$2:$A$251,$C153,approvals!$B$2:$B$251,$D153)=0),"office not on this campaign (approvals tab); ",""))&amp;IF(COUNTIFS(counts!$C$2:$C$701,$C153,counts!$D$2:$D$701,$D153,counts!$E$2:$E$701,$E153)&gt;1,"two "&amp;$E153&amp;" counts: keep one; ","")&amp;IF(AND($E153="remaining_day5",N($J153)&lt;5),"day-5 count logged before day 5; ","")&amp;IF(AND($G153="photo",$H153=""),"which photo?; ",""))</f>
        <v/>
      </c>
    </row>
    <row r="154">
      <c r="A154" s="9" t="n"/>
      <c r="B154" s="33" t="n"/>
      <c r="J154" s="25">
        <f>IF(OR($C154="",$A154=""),"",IF($A154&lt;IFERROR(IF(INDEX(campaigns!$BG$2:$BG$51,MATCH($C154,campaigns!$A$2:$A$51,0))="","",INDEX(campaigns!$BG$2:$BG$51,MATCH($C154,campaigns!$A$2:$A$51,0))),""),0,NETWORKDAYS(IFERROR(IF(INDEX(campaigns!$BG$2:$BG$51,MATCH($C154,campaigns!$A$2:$A$51,0))="","",INDEX(campaigns!$BG$2:$BG$51,MATCH($C154,campaigns!$A$2:$A$51,0))),""),$A154,calendar!$A$2:$A$80)))</f>
        <v/>
      </c>
      <c r="K154" s="25">
        <f>IF($C154="","",IF(COUNTIF(campaigns!$A$2:$A$51,$C154)=0,"campaign_id not on campaigns; ",IF(AND($D154&lt;&gt;"",COUNTIFS(approvals!$A$2:$A$251,$C154,approvals!$B$2:$B$251,$D154)=0),"office not on this campaign (approvals tab); ",""))&amp;IF(COUNTIFS(counts!$C$2:$C$701,$C154,counts!$D$2:$D$701,$D154,counts!$E$2:$E$701,$E154)&gt;1,"two "&amp;$E154&amp;" counts: keep one; ","")&amp;IF(AND($E154="remaining_day5",N($J154)&lt;5),"day-5 count logged before day 5; ","")&amp;IF(AND($G154="photo",$H154=""),"which photo?; ",""))</f>
        <v/>
      </c>
    </row>
    <row r="155">
      <c r="A155" s="9" t="n"/>
      <c r="B155" s="33" t="n"/>
      <c r="J155" s="25">
        <f>IF(OR($C155="",$A155=""),"",IF($A155&lt;IFERROR(IF(INDEX(campaigns!$BG$2:$BG$51,MATCH($C155,campaigns!$A$2:$A$51,0))="","",INDEX(campaigns!$BG$2:$BG$51,MATCH($C155,campaigns!$A$2:$A$51,0))),""),0,NETWORKDAYS(IFERROR(IF(INDEX(campaigns!$BG$2:$BG$51,MATCH($C155,campaigns!$A$2:$A$51,0))="","",INDEX(campaigns!$BG$2:$BG$51,MATCH($C155,campaigns!$A$2:$A$51,0))),""),$A155,calendar!$A$2:$A$80)))</f>
        <v/>
      </c>
      <c r="K155" s="25">
        <f>IF($C155="","",IF(COUNTIF(campaigns!$A$2:$A$51,$C155)=0,"campaign_id not on campaigns; ",IF(AND($D155&lt;&gt;"",COUNTIFS(approvals!$A$2:$A$251,$C155,approvals!$B$2:$B$251,$D155)=0),"office not on this campaign (approvals tab); ",""))&amp;IF(COUNTIFS(counts!$C$2:$C$701,$C155,counts!$D$2:$D$701,$D155,counts!$E$2:$E$701,$E155)&gt;1,"two "&amp;$E155&amp;" counts: keep one; ","")&amp;IF(AND($E155="remaining_day5",N($J155)&lt;5),"day-5 count logged before day 5; ","")&amp;IF(AND($G155="photo",$H155=""),"which photo?; ",""))</f>
        <v/>
      </c>
    </row>
    <row r="156">
      <c r="A156" s="9" t="n"/>
      <c r="B156" s="33" t="n"/>
      <c r="J156" s="25">
        <f>IF(OR($C156="",$A156=""),"",IF($A156&lt;IFERROR(IF(INDEX(campaigns!$BG$2:$BG$51,MATCH($C156,campaigns!$A$2:$A$51,0))="","",INDEX(campaigns!$BG$2:$BG$51,MATCH($C156,campaigns!$A$2:$A$51,0))),""),0,NETWORKDAYS(IFERROR(IF(INDEX(campaigns!$BG$2:$BG$51,MATCH($C156,campaigns!$A$2:$A$51,0))="","",INDEX(campaigns!$BG$2:$BG$51,MATCH($C156,campaigns!$A$2:$A$51,0))),""),$A156,calendar!$A$2:$A$80)))</f>
        <v/>
      </c>
      <c r="K156" s="25">
        <f>IF($C156="","",IF(COUNTIF(campaigns!$A$2:$A$51,$C156)=0,"campaign_id not on campaigns; ",IF(AND($D156&lt;&gt;"",COUNTIFS(approvals!$A$2:$A$251,$C156,approvals!$B$2:$B$251,$D156)=0),"office not on this campaign (approvals tab); ",""))&amp;IF(COUNTIFS(counts!$C$2:$C$701,$C156,counts!$D$2:$D$701,$D156,counts!$E$2:$E$701,$E156)&gt;1,"two "&amp;$E156&amp;" counts: keep one; ","")&amp;IF(AND($E156="remaining_day5",N($J156)&lt;5),"day-5 count logged before day 5; ","")&amp;IF(AND($G156="photo",$H156=""),"which photo?; ",""))</f>
        <v/>
      </c>
    </row>
    <row r="157">
      <c r="A157" s="9" t="n"/>
      <c r="B157" s="33" t="n"/>
      <c r="J157" s="25">
        <f>IF(OR($C157="",$A157=""),"",IF($A157&lt;IFERROR(IF(INDEX(campaigns!$BG$2:$BG$51,MATCH($C157,campaigns!$A$2:$A$51,0))="","",INDEX(campaigns!$BG$2:$BG$51,MATCH($C157,campaigns!$A$2:$A$51,0))),""),0,NETWORKDAYS(IFERROR(IF(INDEX(campaigns!$BG$2:$BG$51,MATCH($C157,campaigns!$A$2:$A$51,0))="","",INDEX(campaigns!$BG$2:$BG$51,MATCH($C157,campaigns!$A$2:$A$51,0))),""),$A157,calendar!$A$2:$A$80)))</f>
        <v/>
      </c>
      <c r="K157" s="25">
        <f>IF($C157="","",IF(COUNTIF(campaigns!$A$2:$A$51,$C157)=0,"campaign_id not on campaigns; ",IF(AND($D157&lt;&gt;"",COUNTIFS(approvals!$A$2:$A$251,$C157,approvals!$B$2:$B$251,$D157)=0),"office not on this campaign (approvals tab); ",""))&amp;IF(COUNTIFS(counts!$C$2:$C$701,$C157,counts!$D$2:$D$701,$D157,counts!$E$2:$E$701,$E157)&gt;1,"two "&amp;$E157&amp;" counts: keep one; ","")&amp;IF(AND($E157="remaining_day5",N($J157)&lt;5),"day-5 count logged before day 5; ","")&amp;IF(AND($G157="photo",$H157=""),"which photo?; ",""))</f>
        <v/>
      </c>
    </row>
    <row r="158">
      <c r="A158" s="9" t="n"/>
      <c r="B158" s="33" t="n"/>
      <c r="J158" s="25">
        <f>IF(OR($C158="",$A158=""),"",IF($A158&lt;IFERROR(IF(INDEX(campaigns!$BG$2:$BG$51,MATCH($C158,campaigns!$A$2:$A$51,0))="","",INDEX(campaigns!$BG$2:$BG$51,MATCH($C158,campaigns!$A$2:$A$51,0))),""),0,NETWORKDAYS(IFERROR(IF(INDEX(campaigns!$BG$2:$BG$51,MATCH($C158,campaigns!$A$2:$A$51,0))="","",INDEX(campaigns!$BG$2:$BG$51,MATCH($C158,campaigns!$A$2:$A$51,0))),""),$A158,calendar!$A$2:$A$80)))</f>
        <v/>
      </c>
      <c r="K158" s="25">
        <f>IF($C158="","",IF(COUNTIF(campaigns!$A$2:$A$51,$C158)=0,"campaign_id not on campaigns; ",IF(AND($D158&lt;&gt;"",COUNTIFS(approvals!$A$2:$A$251,$C158,approvals!$B$2:$B$251,$D158)=0),"office not on this campaign (approvals tab); ",""))&amp;IF(COUNTIFS(counts!$C$2:$C$701,$C158,counts!$D$2:$D$701,$D158,counts!$E$2:$E$701,$E158)&gt;1,"two "&amp;$E158&amp;" counts: keep one; ","")&amp;IF(AND($E158="remaining_day5",N($J158)&lt;5),"day-5 count logged before day 5; ","")&amp;IF(AND($G158="photo",$H158=""),"which photo?; ",""))</f>
        <v/>
      </c>
    </row>
    <row r="159">
      <c r="A159" s="9" t="n"/>
      <c r="B159" s="33" t="n"/>
      <c r="J159" s="25">
        <f>IF(OR($C159="",$A159=""),"",IF($A159&lt;IFERROR(IF(INDEX(campaigns!$BG$2:$BG$51,MATCH($C159,campaigns!$A$2:$A$51,0))="","",INDEX(campaigns!$BG$2:$BG$51,MATCH($C159,campaigns!$A$2:$A$51,0))),""),0,NETWORKDAYS(IFERROR(IF(INDEX(campaigns!$BG$2:$BG$51,MATCH($C159,campaigns!$A$2:$A$51,0))="","",INDEX(campaigns!$BG$2:$BG$51,MATCH($C159,campaigns!$A$2:$A$51,0))),""),$A159,calendar!$A$2:$A$80)))</f>
        <v/>
      </c>
      <c r="K159" s="25">
        <f>IF($C159="","",IF(COUNTIF(campaigns!$A$2:$A$51,$C159)=0,"campaign_id not on campaigns; ",IF(AND($D159&lt;&gt;"",COUNTIFS(approvals!$A$2:$A$251,$C159,approvals!$B$2:$B$251,$D159)=0),"office not on this campaign (approvals tab); ",""))&amp;IF(COUNTIFS(counts!$C$2:$C$701,$C159,counts!$D$2:$D$701,$D159,counts!$E$2:$E$701,$E159)&gt;1,"two "&amp;$E159&amp;" counts: keep one; ","")&amp;IF(AND($E159="remaining_day5",N($J159)&lt;5),"day-5 count logged before day 5; ","")&amp;IF(AND($G159="photo",$H159=""),"which photo?; ",""))</f>
        <v/>
      </c>
    </row>
    <row r="160">
      <c r="A160" s="9" t="n"/>
      <c r="B160" s="33" t="n"/>
      <c r="J160" s="25">
        <f>IF(OR($C160="",$A160=""),"",IF($A160&lt;IFERROR(IF(INDEX(campaigns!$BG$2:$BG$51,MATCH($C160,campaigns!$A$2:$A$51,0))="","",INDEX(campaigns!$BG$2:$BG$51,MATCH($C160,campaigns!$A$2:$A$51,0))),""),0,NETWORKDAYS(IFERROR(IF(INDEX(campaigns!$BG$2:$BG$51,MATCH($C160,campaigns!$A$2:$A$51,0))="","",INDEX(campaigns!$BG$2:$BG$51,MATCH($C160,campaigns!$A$2:$A$51,0))),""),$A160,calendar!$A$2:$A$80)))</f>
        <v/>
      </c>
      <c r="K160" s="25">
        <f>IF($C160="","",IF(COUNTIF(campaigns!$A$2:$A$51,$C160)=0,"campaign_id not on campaigns; ",IF(AND($D160&lt;&gt;"",COUNTIFS(approvals!$A$2:$A$251,$C160,approvals!$B$2:$B$251,$D160)=0),"office not on this campaign (approvals tab); ",""))&amp;IF(COUNTIFS(counts!$C$2:$C$701,$C160,counts!$D$2:$D$701,$D160,counts!$E$2:$E$701,$E160)&gt;1,"two "&amp;$E160&amp;" counts: keep one; ","")&amp;IF(AND($E160="remaining_day5",N($J160)&lt;5),"day-5 count logged before day 5; ","")&amp;IF(AND($G160="photo",$H160=""),"which photo?; ",""))</f>
        <v/>
      </c>
    </row>
    <row r="161">
      <c r="A161" s="9" t="n"/>
      <c r="B161" s="33" t="n"/>
      <c r="J161" s="25">
        <f>IF(OR($C161="",$A161=""),"",IF($A161&lt;IFERROR(IF(INDEX(campaigns!$BG$2:$BG$51,MATCH($C161,campaigns!$A$2:$A$51,0))="","",INDEX(campaigns!$BG$2:$BG$51,MATCH($C161,campaigns!$A$2:$A$51,0))),""),0,NETWORKDAYS(IFERROR(IF(INDEX(campaigns!$BG$2:$BG$51,MATCH($C161,campaigns!$A$2:$A$51,0))="","",INDEX(campaigns!$BG$2:$BG$51,MATCH($C161,campaigns!$A$2:$A$51,0))),""),$A161,calendar!$A$2:$A$80)))</f>
        <v/>
      </c>
      <c r="K161" s="25">
        <f>IF($C161="","",IF(COUNTIF(campaigns!$A$2:$A$51,$C161)=0,"campaign_id not on campaigns; ",IF(AND($D161&lt;&gt;"",COUNTIFS(approvals!$A$2:$A$251,$C161,approvals!$B$2:$B$251,$D161)=0),"office not on this campaign (approvals tab); ",""))&amp;IF(COUNTIFS(counts!$C$2:$C$701,$C161,counts!$D$2:$D$701,$D161,counts!$E$2:$E$701,$E161)&gt;1,"two "&amp;$E161&amp;" counts: keep one; ","")&amp;IF(AND($E161="remaining_day5",N($J161)&lt;5),"day-5 count logged before day 5; ","")&amp;IF(AND($G161="photo",$H161=""),"which photo?; ",""))</f>
        <v/>
      </c>
    </row>
    <row r="162">
      <c r="A162" s="9" t="n"/>
      <c r="B162" s="33" t="n"/>
      <c r="J162" s="25">
        <f>IF(OR($C162="",$A162=""),"",IF($A162&lt;IFERROR(IF(INDEX(campaigns!$BG$2:$BG$51,MATCH($C162,campaigns!$A$2:$A$51,0))="","",INDEX(campaigns!$BG$2:$BG$51,MATCH($C162,campaigns!$A$2:$A$51,0))),""),0,NETWORKDAYS(IFERROR(IF(INDEX(campaigns!$BG$2:$BG$51,MATCH($C162,campaigns!$A$2:$A$51,0))="","",INDEX(campaigns!$BG$2:$BG$51,MATCH($C162,campaigns!$A$2:$A$51,0))),""),$A162,calendar!$A$2:$A$80)))</f>
        <v/>
      </c>
      <c r="K162" s="25">
        <f>IF($C162="","",IF(COUNTIF(campaigns!$A$2:$A$51,$C162)=0,"campaign_id not on campaigns; ",IF(AND($D162&lt;&gt;"",COUNTIFS(approvals!$A$2:$A$251,$C162,approvals!$B$2:$B$251,$D162)=0),"office not on this campaign (approvals tab); ",""))&amp;IF(COUNTIFS(counts!$C$2:$C$701,$C162,counts!$D$2:$D$701,$D162,counts!$E$2:$E$701,$E162)&gt;1,"two "&amp;$E162&amp;" counts: keep one; ","")&amp;IF(AND($E162="remaining_day5",N($J162)&lt;5),"day-5 count logged before day 5; ","")&amp;IF(AND($G162="photo",$H162=""),"which photo?; ",""))</f>
        <v/>
      </c>
    </row>
    <row r="163">
      <c r="A163" s="9" t="n"/>
      <c r="B163" s="33" t="n"/>
      <c r="J163" s="25">
        <f>IF(OR($C163="",$A163=""),"",IF($A163&lt;IFERROR(IF(INDEX(campaigns!$BG$2:$BG$51,MATCH($C163,campaigns!$A$2:$A$51,0))="","",INDEX(campaigns!$BG$2:$BG$51,MATCH($C163,campaigns!$A$2:$A$51,0))),""),0,NETWORKDAYS(IFERROR(IF(INDEX(campaigns!$BG$2:$BG$51,MATCH($C163,campaigns!$A$2:$A$51,0))="","",INDEX(campaigns!$BG$2:$BG$51,MATCH($C163,campaigns!$A$2:$A$51,0))),""),$A163,calendar!$A$2:$A$80)))</f>
        <v/>
      </c>
      <c r="K163" s="25">
        <f>IF($C163="","",IF(COUNTIF(campaigns!$A$2:$A$51,$C163)=0,"campaign_id not on campaigns; ",IF(AND($D163&lt;&gt;"",COUNTIFS(approvals!$A$2:$A$251,$C163,approvals!$B$2:$B$251,$D163)=0),"office not on this campaign (approvals tab); ",""))&amp;IF(COUNTIFS(counts!$C$2:$C$701,$C163,counts!$D$2:$D$701,$D163,counts!$E$2:$E$701,$E163)&gt;1,"two "&amp;$E163&amp;" counts: keep one; ","")&amp;IF(AND($E163="remaining_day5",N($J163)&lt;5),"day-5 count logged before day 5; ","")&amp;IF(AND($G163="photo",$H163=""),"which photo?; ",""))</f>
        <v/>
      </c>
    </row>
    <row r="164">
      <c r="A164" s="9" t="n"/>
      <c r="B164" s="33" t="n"/>
      <c r="J164" s="25">
        <f>IF(OR($C164="",$A164=""),"",IF($A164&lt;IFERROR(IF(INDEX(campaigns!$BG$2:$BG$51,MATCH($C164,campaigns!$A$2:$A$51,0))="","",INDEX(campaigns!$BG$2:$BG$51,MATCH($C164,campaigns!$A$2:$A$51,0))),""),0,NETWORKDAYS(IFERROR(IF(INDEX(campaigns!$BG$2:$BG$51,MATCH($C164,campaigns!$A$2:$A$51,0))="","",INDEX(campaigns!$BG$2:$BG$51,MATCH($C164,campaigns!$A$2:$A$51,0))),""),$A164,calendar!$A$2:$A$80)))</f>
        <v/>
      </c>
      <c r="K164" s="25">
        <f>IF($C164="","",IF(COUNTIF(campaigns!$A$2:$A$51,$C164)=0,"campaign_id not on campaigns; ",IF(AND($D164&lt;&gt;"",COUNTIFS(approvals!$A$2:$A$251,$C164,approvals!$B$2:$B$251,$D164)=0),"office not on this campaign (approvals tab); ",""))&amp;IF(COUNTIFS(counts!$C$2:$C$701,$C164,counts!$D$2:$D$701,$D164,counts!$E$2:$E$701,$E164)&gt;1,"two "&amp;$E164&amp;" counts: keep one; ","")&amp;IF(AND($E164="remaining_day5",N($J164)&lt;5),"day-5 count logged before day 5; ","")&amp;IF(AND($G164="photo",$H164=""),"which photo?; ",""))</f>
        <v/>
      </c>
    </row>
    <row r="165">
      <c r="A165" s="9" t="n"/>
      <c r="B165" s="33" t="n"/>
      <c r="J165" s="25">
        <f>IF(OR($C165="",$A165=""),"",IF($A165&lt;IFERROR(IF(INDEX(campaigns!$BG$2:$BG$51,MATCH($C165,campaigns!$A$2:$A$51,0))="","",INDEX(campaigns!$BG$2:$BG$51,MATCH($C165,campaigns!$A$2:$A$51,0))),""),0,NETWORKDAYS(IFERROR(IF(INDEX(campaigns!$BG$2:$BG$51,MATCH($C165,campaigns!$A$2:$A$51,0))="","",INDEX(campaigns!$BG$2:$BG$51,MATCH($C165,campaigns!$A$2:$A$51,0))),""),$A165,calendar!$A$2:$A$80)))</f>
        <v/>
      </c>
      <c r="K165" s="25">
        <f>IF($C165="","",IF(COUNTIF(campaigns!$A$2:$A$51,$C165)=0,"campaign_id not on campaigns; ",IF(AND($D165&lt;&gt;"",COUNTIFS(approvals!$A$2:$A$251,$C165,approvals!$B$2:$B$251,$D165)=0),"office not on this campaign (approvals tab); ",""))&amp;IF(COUNTIFS(counts!$C$2:$C$701,$C165,counts!$D$2:$D$701,$D165,counts!$E$2:$E$701,$E165)&gt;1,"two "&amp;$E165&amp;" counts: keep one; ","")&amp;IF(AND($E165="remaining_day5",N($J165)&lt;5),"day-5 count logged before day 5; ","")&amp;IF(AND($G165="photo",$H165=""),"which photo?; ",""))</f>
        <v/>
      </c>
    </row>
    <row r="166">
      <c r="A166" s="9" t="n"/>
      <c r="B166" s="33" t="n"/>
      <c r="J166" s="25">
        <f>IF(OR($C166="",$A166=""),"",IF($A166&lt;IFERROR(IF(INDEX(campaigns!$BG$2:$BG$51,MATCH($C166,campaigns!$A$2:$A$51,0))="","",INDEX(campaigns!$BG$2:$BG$51,MATCH($C166,campaigns!$A$2:$A$51,0))),""),0,NETWORKDAYS(IFERROR(IF(INDEX(campaigns!$BG$2:$BG$51,MATCH($C166,campaigns!$A$2:$A$51,0))="","",INDEX(campaigns!$BG$2:$BG$51,MATCH($C166,campaigns!$A$2:$A$51,0))),""),$A166,calendar!$A$2:$A$80)))</f>
        <v/>
      </c>
      <c r="K166" s="25">
        <f>IF($C166="","",IF(COUNTIF(campaigns!$A$2:$A$51,$C166)=0,"campaign_id not on campaigns; ",IF(AND($D166&lt;&gt;"",COUNTIFS(approvals!$A$2:$A$251,$C166,approvals!$B$2:$B$251,$D166)=0),"office not on this campaign (approvals tab); ",""))&amp;IF(COUNTIFS(counts!$C$2:$C$701,$C166,counts!$D$2:$D$701,$D166,counts!$E$2:$E$701,$E166)&gt;1,"two "&amp;$E166&amp;" counts: keep one; ","")&amp;IF(AND($E166="remaining_day5",N($J166)&lt;5),"day-5 count logged before day 5; ","")&amp;IF(AND($G166="photo",$H166=""),"which photo?; ",""))</f>
        <v/>
      </c>
    </row>
    <row r="167">
      <c r="A167" s="9" t="n"/>
      <c r="B167" s="33" t="n"/>
      <c r="J167" s="25">
        <f>IF(OR($C167="",$A167=""),"",IF($A167&lt;IFERROR(IF(INDEX(campaigns!$BG$2:$BG$51,MATCH($C167,campaigns!$A$2:$A$51,0))="","",INDEX(campaigns!$BG$2:$BG$51,MATCH($C167,campaigns!$A$2:$A$51,0))),""),0,NETWORKDAYS(IFERROR(IF(INDEX(campaigns!$BG$2:$BG$51,MATCH($C167,campaigns!$A$2:$A$51,0))="","",INDEX(campaigns!$BG$2:$BG$51,MATCH($C167,campaigns!$A$2:$A$51,0))),""),$A167,calendar!$A$2:$A$80)))</f>
        <v/>
      </c>
      <c r="K167" s="25">
        <f>IF($C167="","",IF(COUNTIF(campaigns!$A$2:$A$51,$C167)=0,"campaign_id not on campaigns; ",IF(AND($D167&lt;&gt;"",COUNTIFS(approvals!$A$2:$A$251,$C167,approvals!$B$2:$B$251,$D167)=0),"office not on this campaign (approvals tab); ",""))&amp;IF(COUNTIFS(counts!$C$2:$C$701,$C167,counts!$D$2:$D$701,$D167,counts!$E$2:$E$701,$E167)&gt;1,"two "&amp;$E167&amp;" counts: keep one; ","")&amp;IF(AND($E167="remaining_day5",N($J167)&lt;5),"day-5 count logged before day 5; ","")&amp;IF(AND($G167="photo",$H167=""),"which photo?; ",""))</f>
        <v/>
      </c>
    </row>
    <row r="168">
      <c r="A168" s="9" t="n"/>
      <c r="B168" s="33" t="n"/>
      <c r="J168" s="25">
        <f>IF(OR($C168="",$A168=""),"",IF($A168&lt;IFERROR(IF(INDEX(campaigns!$BG$2:$BG$51,MATCH($C168,campaigns!$A$2:$A$51,0))="","",INDEX(campaigns!$BG$2:$BG$51,MATCH($C168,campaigns!$A$2:$A$51,0))),""),0,NETWORKDAYS(IFERROR(IF(INDEX(campaigns!$BG$2:$BG$51,MATCH($C168,campaigns!$A$2:$A$51,0))="","",INDEX(campaigns!$BG$2:$BG$51,MATCH($C168,campaigns!$A$2:$A$51,0))),""),$A168,calendar!$A$2:$A$80)))</f>
        <v/>
      </c>
      <c r="K168" s="25">
        <f>IF($C168="","",IF(COUNTIF(campaigns!$A$2:$A$51,$C168)=0,"campaign_id not on campaigns; ",IF(AND($D168&lt;&gt;"",COUNTIFS(approvals!$A$2:$A$251,$C168,approvals!$B$2:$B$251,$D168)=0),"office not on this campaign (approvals tab); ",""))&amp;IF(COUNTIFS(counts!$C$2:$C$701,$C168,counts!$D$2:$D$701,$D168,counts!$E$2:$E$701,$E168)&gt;1,"two "&amp;$E168&amp;" counts: keep one; ","")&amp;IF(AND($E168="remaining_day5",N($J168)&lt;5),"day-5 count logged before day 5; ","")&amp;IF(AND($G168="photo",$H168=""),"which photo?; ",""))</f>
        <v/>
      </c>
    </row>
    <row r="169">
      <c r="A169" s="9" t="n"/>
      <c r="B169" s="33" t="n"/>
      <c r="J169" s="25">
        <f>IF(OR($C169="",$A169=""),"",IF($A169&lt;IFERROR(IF(INDEX(campaigns!$BG$2:$BG$51,MATCH($C169,campaigns!$A$2:$A$51,0))="","",INDEX(campaigns!$BG$2:$BG$51,MATCH($C169,campaigns!$A$2:$A$51,0))),""),0,NETWORKDAYS(IFERROR(IF(INDEX(campaigns!$BG$2:$BG$51,MATCH($C169,campaigns!$A$2:$A$51,0))="","",INDEX(campaigns!$BG$2:$BG$51,MATCH($C169,campaigns!$A$2:$A$51,0))),""),$A169,calendar!$A$2:$A$80)))</f>
        <v/>
      </c>
      <c r="K169" s="25">
        <f>IF($C169="","",IF(COUNTIF(campaigns!$A$2:$A$51,$C169)=0,"campaign_id not on campaigns; ",IF(AND($D169&lt;&gt;"",COUNTIFS(approvals!$A$2:$A$251,$C169,approvals!$B$2:$B$251,$D169)=0),"office not on this campaign (approvals tab); ",""))&amp;IF(COUNTIFS(counts!$C$2:$C$701,$C169,counts!$D$2:$D$701,$D169,counts!$E$2:$E$701,$E169)&gt;1,"two "&amp;$E169&amp;" counts: keep one; ","")&amp;IF(AND($E169="remaining_day5",N($J169)&lt;5),"day-5 count logged before day 5; ","")&amp;IF(AND($G169="photo",$H169=""),"which photo?; ",""))</f>
        <v/>
      </c>
    </row>
    <row r="170">
      <c r="A170" s="9" t="n"/>
      <c r="B170" s="33" t="n"/>
      <c r="J170" s="25">
        <f>IF(OR($C170="",$A170=""),"",IF($A170&lt;IFERROR(IF(INDEX(campaigns!$BG$2:$BG$51,MATCH($C170,campaigns!$A$2:$A$51,0))="","",INDEX(campaigns!$BG$2:$BG$51,MATCH($C170,campaigns!$A$2:$A$51,0))),""),0,NETWORKDAYS(IFERROR(IF(INDEX(campaigns!$BG$2:$BG$51,MATCH($C170,campaigns!$A$2:$A$51,0))="","",INDEX(campaigns!$BG$2:$BG$51,MATCH($C170,campaigns!$A$2:$A$51,0))),""),$A170,calendar!$A$2:$A$80)))</f>
        <v/>
      </c>
      <c r="K170" s="25">
        <f>IF($C170="","",IF(COUNTIF(campaigns!$A$2:$A$51,$C170)=0,"campaign_id not on campaigns; ",IF(AND($D170&lt;&gt;"",COUNTIFS(approvals!$A$2:$A$251,$C170,approvals!$B$2:$B$251,$D170)=0),"office not on this campaign (approvals tab); ",""))&amp;IF(COUNTIFS(counts!$C$2:$C$701,$C170,counts!$D$2:$D$701,$D170,counts!$E$2:$E$701,$E170)&gt;1,"two "&amp;$E170&amp;" counts: keep one; ","")&amp;IF(AND($E170="remaining_day5",N($J170)&lt;5),"day-5 count logged before day 5; ","")&amp;IF(AND($G170="photo",$H170=""),"which photo?; ",""))</f>
        <v/>
      </c>
    </row>
    <row r="171">
      <c r="A171" s="9" t="n"/>
      <c r="B171" s="33" t="n"/>
      <c r="J171" s="25">
        <f>IF(OR($C171="",$A171=""),"",IF($A171&lt;IFERROR(IF(INDEX(campaigns!$BG$2:$BG$51,MATCH($C171,campaigns!$A$2:$A$51,0))="","",INDEX(campaigns!$BG$2:$BG$51,MATCH($C171,campaigns!$A$2:$A$51,0))),""),0,NETWORKDAYS(IFERROR(IF(INDEX(campaigns!$BG$2:$BG$51,MATCH($C171,campaigns!$A$2:$A$51,0))="","",INDEX(campaigns!$BG$2:$BG$51,MATCH($C171,campaigns!$A$2:$A$51,0))),""),$A171,calendar!$A$2:$A$80)))</f>
        <v/>
      </c>
      <c r="K171" s="25">
        <f>IF($C171="","",IF(COUNTIF(campaigns!$A$2:$A$51,$C171)=0,"campaign_id not on campaigns; ",IF(AND($D171&lt;&gt;"",COUNTIFS(approvals!$A$2:$A$251,$C171,approvals!$B$2:$B$251,$D171)=0),"office not on this campaign (approvals tab); ",""))&amp;IF(COUNTIFS(counts!$C$2:$C$701,$C171,counts!$D$2:$D$701,$D171,counts!$E$2:$E$701,$E171)&gt;1,"two "&amp;$E171&amp;" counts: keep one; ","")&amp;IF(AND($E171="remaining_day5",N($J171)&lt;5),"day-5 count logged before day 5; ","")&amp;IF(AND($G171="photo",$H171=""),"which photo?; ",""))</f>
        <v/>
      </c>
    </row>
    <row r="172">
      <c r="A172" s="9" t="n"/>
      <c r="B172" s="33" t="n"/>
      <c r="J172" s="25">
        <f>IF(OR($C172="",$A172=""),"",IF($A172&lt;IFERROR(IF(INDEX(campaigns!$BG$2:$BG$51,MATCH($C172,campaigns!$A$2:$A$51,0))="","",INDEX(campaigns!$BG$2:$BG$51,MATCH($C172,campaigns!$A$2:$A$51,0))),""),0,NETWORKDAYS(IFERROR(IF(INDEX(campaigns!$BG$2:$BG$51,MATCH($C172,campaigns!$A$2:$A$51,0))="","",INDEX(campaigns!$BG$2:$BG$51,MATCH($C172,campaigns!$A$2:$A$51,0))),""),$A172,calendar!$A$2:$A$80)))</f>
        <v/>
      </c>
      <c r="K172" s="25">
        <f>IF($C172="","",IF(COUNTIF(campaigns!$A$2:$A$51,$C172)=0,"campaign_id not on campaigns; ",IF(AND($D172&lt;&gt;"",COUNTIFS(approvals!$A$2:$A$251,$C172,approvals!$B$2:$B$251,$D172)=0),"office not on this campaign (approvals tab); ",""))&amp;IF(COUNTIFS(counts!$C$2:$C$701,$C172,counts!$D$2:$D$701,$D172,counts!$E$2:$E$701,$E172)&gt;1,"two "&amp;$E172&amp;" counts: keep one; ","")&amp;IF(AND($E172="remaining_day5",N($J172)&lt;5),"day-5 count logged before day 5; ","")&amp;IF(AND($G172="photo",$H172=""),"which photo?; ",""))</f>
        <v/>
      </c>
    </row>
    <row r="173">
      <c r="A173" s="9" t="n"/>
      <c r="B173" s="33" t="n"/>
      <c r="J173" s="25">
        <f>IF(OR($C173="",$A173=""),"",IF($A173&lt;IFERROR(IF(INDEX(campaigns!$BG$2:$BG$51,MATCH($C173,campaigns!$A$2:$A$51,0))="","",INDEX(campaigns!$BG$2:$BG$51,MATCH($C173,campaigns!$A$2:$A$51,0))),""),0,NETWORKDAYS(IFERROR(IF(INDEX(campaigns!$BG$2:$BG$51,MATCH($C173,campaigns!$A$2:$A$51,0))="","",INDEX(campaigns!$BG$2:$BG$51,MATCH($C173,campaigns!$A$2:$A$51,0))),""),$A173,calendar!$A$2:$A$80)))</f>
        <v/>
      </c>
      <c r="K173" s="25">
        <f>IF($C173="","",IF(COUNTIF(campaigns!$A$2:$A$51,$C173)=0,"campaign_id not on campaigns; ",IF(AND($D173&lt;&gt;"",COUNTIFS(approvals!$A$2:$A$251,$C173,approvals!$B$2:$B$251,$D173)=0),"office not on this campaign (approvals tab); ",""))&amp;IF(COUNTIFS(counts!$C$2:$C$701,$C173,counts!$D$2:$D$701,$D173,counts!$E$2:$E$701,$E173)&gt;1,"two "&amp;$E173&amp;" counts: keep one; ","")&amp;IF(AND($E173="remaining_day5",N($J173)&lt;5),"day-5 count logged before day 5; ","")&amp;IF(AND($G173="photo",$H173=""),"which photo?; ",""))</f>
        <v/>
      </c>
    </row>
    <row r="174">
      <c r="A174" s="9" t="n"/>
      <c r="B174" s="33" t="n"/>
      <c r="J174" s="25">
        <f>IF(OR($C174="",$A174=""),"",IF($A174&lt;IFERROR(IF(INDEX(campaigns!$BG$2:$BG$51,MATCH($C174,campaigns!$A$2:$A$51,0))="","",INDEX(campaigns!$BG$2:$BG$51,MATCH($C174,campaigns!$A$2:$A$51,0))),""),0,NETWORKDAYS(IFERROR(IF(INDEX(campaigns!$BG$2:$BG$51,MATCH($C174,campaigns!$A$2:$A$51,0))="","",INDEX(campaigns!$BG$2:$BG$51,MATCH($C174,campaigns!$A$2:$A$51,0))),""),$A174,calendar!$A$2:$A$80)))</f>
        <v/>
      </c>
      <c r="K174" s="25">
        <f>IF($C174="","",IF(COUNTIF(campaigns!$A$2:$A$51,$C174)=0,"campaign_id not on campaigns; ",IF(AND($D174&lt;&gt;"",COUNTIFS(approvals!$A$2:$A$251,$C174,approvals!$B$2:$B$251,$D174)=0),"office not on this campaign (approvals tab); ",""))&amp;IF(COUNTIFS(counts!$C$2:$C$701,$C174,counts!$D$2:$D$701,$D174,counts!$E$2:$E$701,$E174)&gt;1,"two "&amp;$E174&amp;" counts: keep one; ","")&amp;IF(AND($E174="remaining_day5",N($J174)&lt;5),"day-5 count logged before day 5; ","")&amp;IF(AND($G174="photo",$H174=""),"which photo?; ",""))</f>
        <v/>
      </c>
    </row>
    <row r="175">
      <c r="A175" s="9" t="n"/>
      <c r="B175" s="33" t="n"/>
      <c r="J175" s="25">
        <f>IF(OR($C175="",$A175=""),"",IF($A175&lt;IFERROR(IF(INDEX(campaigns!$BG$2:$BG$51,MATCH($C175,campaigns!$A$2:$A$51,0))="","",INDEX(campaigns!$BG$2:$BG$51,MATCH($C175,campaigns!$A$2:$A$51,0))),""),0,NETWORKDAYS(IFERROR(IF(INDEX(campaigns!$BG$2:$BG$51,MATCH($C175,campaigns!$A$2:$A$51,0))="","",INDEX(campaigns!$BG$2:$BG$51,MATCH($C175,campaigns!$A$2:$A$51,0))),""),$A175,calendar!$A$2:$A$80)))</f>
        <v/>
      </c>
      <c r="K175" s="25">
        <f>IF($C175="","",IF(COUNTIF(campaigns!$A$2:$A$51,$C175)=0,"campaign_id not on campaigns; ",IF(AND($D175&lt;&gt;"",COUNTIFS(approvals!$A$2:$A$251,$C175,approvals!$B$2:$B$251,$D175)=0),"office not on this campaign (approvals tab); ",""))&amp;IF(COUNTIFS(counts!$C$2:$C$701,$C175,counts!$D$2:$D$701,$D175,counts!$E$2:$E$701,$E175)&gt;1,"two "&amp;$E175&amp;" counts: keep one; ","")&amp;IF(AND($E175="remaining_day5",N($J175)&lt;5),"day-5 count logged before day 5; ","")&amp;IF(AND($G175="photo",$H175=""),"which photo?; ",""))</f>
        <v/>
      </c>
    </row>
    <row r="176">
      <c r="A176" s="9" t="n"/>
      <c r="B176" s="33" t="n"/>
      <c r="J176" s="25">
        <f>IF(OR($C176="",$A176=""),"",IF($A176&lt;IFERROR(IF(INDEX(campaigns!$BG$2:$BG$51,MATCH($C176,campaigns!$A$2:$A$51,0))="","",INDEX(campaigns!$BG$2:$BG$51,MATCH($C176,campaigns!$A$2:$A$51,0))),""),0,NETWORKDAYS(IFERROR(IF(INDEX(campaigns!$BG$2:$BG$51,MATCH($C176,campaigns!$A$2:$A$51,0))="","",INDEX(campaigns!$BG$2:$BG$51,MATCH($C176,campaigns!$A$2:$A$51,0))),""),$A176,calendar!$A$2:$A$80)))</f>
        <v/>
      </c>
      <c r="K176" s="25">
        <f>IF($C176="","",IF(COUNTIF(campaigns!$A$2:$A$51,$C176)=0,"campaign_id not on campaigns; ",IF(AND($D176&lt;&gt;"",COUNTIFS(approvals!$A$2:$A$251,$C176,approvals!$B$2:$B$251,$D176)=0),"office not on this campaign (approvals tab); ",""))&amp;IF(COUNTIFS(counts!$C$2:$C$701,$C176,counts!$D$2:$D$701,$D176,counts!$E$2:$E$701,$E176)&gt;1,"two "&amp;$E176&amp;" counts: keep one; ","")&amp;IF(AND($E176="remaining_day5",N($J176)&lt;5),"day-5 count logged before day 5; ","")&amp;IF(AND($G176="photo",$H176=""),"which photo?; ",""))</f>
        <v/>
      </c>
    </row>
    <row r="177">
      <c r="A177" s="9" t="n"/>
      <c r="B177" s="33" t="n"/>
      <c r="J177" s="25">
        <f>IF(OR($C177="",$A177=""),"",IF($A177&lt;IFERROR(IF(INDEX(campaigns!$BG$2:$BG$51,MATCH($C177,campaigns!$A$2:$A$51,0))="","",INDEX(campaigns!$BG$2:$BG$51,MATCH($C177,campaigns!$A$2:$A$51,0))),""),0,NETWORKDAYS(IFERROR(IF(INDEX(campaigns!$BG$2:$BG$51,MATCH($C177,campaigns!$A$2:$A$51,0))="","",INDEX(campaigns!$BG$2:$BG$51,MATCH($C177,campaigns!$A$2:$A$51,0))),""),$A177,calendar!$A$2:$A$80)))</f>
        <v/>
      </c>
      <c r="K177" s="25">
        <f>IF($C177="","",IF(COUNTIF(campaigns!$A$2:$A$51,$C177)=0,"campaign_id not on campaigns; ",IF(AND($D177&lt;&gt;"",COUNTIFS(approvals!$A$2:$A$251,$C177,approvals!$B$2:$B$251,$D177)=0),"office not on this campaign (approvals tab); ",""))&amp;IF(COUNTIFS(counts!$C$2:$C$701,$C177,counts!$D$2:$D$701,$D177,counts!$E$2:$E$701,$E177)&gt;1,"two "&amp;$E177&amp;" counts: keep one; ","")&amp;IF(AND($E177="remaining_day5",N($J177)&lt;5),"day-5 count logged before day 5; ","")&amp;IF(AND($G177="photo",$H177=""),"which photo?; ",""))</f>
        <v/>
      </c>
    </row>
    <row r="178">
      <c r="A178" s="9" t="n"/>
      <c r="B178" s="33" t="n"/>
      <c r="J178" s="25">
        <f>IF(OR($C178="",$A178=""),"",IF($A178&lt;IFERROR(IF(INDEX(campaigns!$BG$2:$BG$51,MATCH($C178,campaigns!$A$2:$A$51,0))="","",INDEX(campaigns!$BG$2:$BG$51,MATCH($C178,campaigns!$A$2:$A$51,0))),""),0,NETWORKDAYS(IFERROR(IF(INDEX(campaigns!$BG$2:$BG$51,MATCH($C178,campaigns!$A$2:$A$51,0))="","",INDEX(campaigns!$BG$2:$BG$51,MATCH($C178,campaigns!$A$2:$A$51,0))),""),$A178,calendar!$A$2:$A$80)))</f>
        <v/>
      </c>
      <c r="K178" s="25">
        <f>IF($C178="","",IF(COUNTIF(campaigns!$A$2:$A$51,$C178)=0,"campaign_id not on campaigns; ",IF(AND($D178&lt;&gt;"",COUNTIFS(approvals!$A$2:$A$251,$C178,approvals!$B$2:$B$251,$D178)=0),"office not on this campaign (approvals tab); ",""))&amp;IF(COUNTIFS(counts!$C$2:$C$701,$C178,counts!$D$2:$D$701,$D178,counts!$E$2:$E$701,$E178)&gt;1,"two "&amp;$E178&amp;" counts: keep one; ","")&amp;IF(AND($E178="remaining_day5",N($J178)&lt;5),"day-5 count logged before day 5; ","")&amp;IF(AND($G178="photo",$H178=""),"which photo?; ",""))</f>
        <v/>
      </c>
    </row>
    <row r="179">
      <c r="A179" s="9" t="n"/>
      <c r="B179" s="33" t="n"/>
      <c r="J179" s="25">
        <f>IF(OR($C179="",$A179=""),"",IF($A179&lt;IFERROR(IF(INDEX(campaigns!$BG$2:$BG$51,MATCH($C179,campaigns!$A$2:$A$51,0))="","",INDEX(campaigns!$BG$2:$BG$51,MATCH($C179,campaigns!$A$2:$A$51,0))),""),0,NETWORKDAYS(IFERROR(IF(INDEX(campaigns!$BG$2:$BG$51,MATCH($C179,campaigns!$A$2:$A$51,0))="","",INDEX(campaigns!$BG$2:$BG$51,MATCH($C179,campaigns!$A$2:$A$51,0))),""),$A179,calendar!$A$2:$A$80)))</f>
        <v/>
      </c>
      <c r="K179" s="25">
        <f>IF($C179="","",IF(COUNTIF(campaigns!$A$2:$A$51,$C179)=0,"campaign_id not on campaigns; ",IF(AND($D179&lt;&gt;"",COUNTIFS(approvals!$A$2:$A$251,$C179,approvals!$B$2:$B$251,$D179)=0),"office not on this campaign (approvals tab); ",""))&amp;IF(COUNTIFS(counts!$C$2:$C$701,$C179,counts!$D$2:$D$701,$D179,counts!$E$2:$E$701,$E179)&gt;1,"two "&amp;$E179&amp;" counts: keep one; ","")&amp;IF(AND($E179="remaining_day5",N($J179)&lt;5),"day-5 count logged before day 5; ","")&amp;IF(AND($G179="photo",$H179=""),"which photo?; ",""))</f>
        <v/>
      </c>
    </row>
    <row r="180">
      <c r="A180" s="9" t="n"/>
      <c r="B180" s="33" t="n"/>
      <c r="J180" s="25">
        <f>IF(OR($C180="",$A180=""),"",IF($A180&lt;IFERROR(IF(INDEX(campaigns!$BG$2:$BG$51,MATCH($C180,campaigns!$A$2:$A$51,0))="","",INDEX(campaigns!$BG$2:$BG$51,MATCH($C180,campaigns!$A$2:$A$51,0))),""),0,NETWORKDAYS(IFERROR(IF(INDEX(campaigns!$BG$2:$BG$51,MATCH($C180,campaigns!$A$2:$A$51,0))="","",INDEX(campaigns!$BG$2:$BG$51,MATCH($C180,campaigns!$A$2:$A$51,0))),""),$A180,calendar!$A$2:$A$80)))</f>
        <v/>
      </c>
      <c r="K180" s="25">
        <f>IF($C180="","",IF(COUNTIF(campaigns!$A$2:$A$51,$C180)=0,"campaign_id not on campaigns; ",IF(AND($D180&lt;&gt;"",COUNTIFS(approvals!$A$2:$A$251,$C180,approvals!$B$2:$B$251,$D180)=0),"office not on this campaign (approvals tab); ",""))&amp;IF(COUNTIFS(counts!$C$2:$C$701,$C180,counts!$D$2:$D$701,$D180,counts!$E$2:$E$701,$E180)&gt;1,"two "&amp;$E180&amp;" counts: keep one; ","")&amp;IF(AND($E180="remaining_day5",N($J180)&lt;5),"day-5 count logged before day 5; ","")&amp;IF(AND($G180="photo",$H180=""),"which photo?; ",""))</f>
        <v/>
      </c>
    </row>
    <row r="181">
      <c r="A181" s="9" t="n"/>
      <c r="B181" s="33" t="n"/>
      <c r="J181" s="25">
        <f>IF(OR($C181="",$A181=""),"",IF($A181&lt;IFERROR(IF(INDEX(campaigns!$BG$2:$BG$51,MATCH($C181,campaigns!$A$2:$A$51,0))="","",INDEX(campaigns!$BG$2:$BG$51,MATCH($C181,campaigns!$A$2:$A$51,0))),""),0,NETWORKDAYS(IFERROR(IF(INDEX(campaigns!$BG$2:$BG$51,MATCH($C181,campaigns!$A$2:$A$51,0))="","",INDEX(campaigns!$BG$2:$BG$51,MATCH($C181,campaigns!$A$2:$A$51,0))),""),$A181,calendar!$A$2:$A$80)))</f>
        <v/>
      </c>
      <c r="K181" s="25">
        <f>IF($C181="","",IF(COUNTIF(campaigns!$A$2:$A$51,$C181)=0,"campaign_id not on campaigns; ",IF(AND($D181&lt;&gt;"",COUNTIFS(approvals!$A$2:$A$251,$C181,approvals!$B$2:$B$251,$D181)=0),"office not on this campaign (approvals tab); ",""))&amp;IF(COUNTIFS(counts!$C$2:$C$701,$C181,counts!$D$2:$D$701,$D181,counts!$E$2:$E$701,$E181)&gt;1,"two "&amp;$E181&amp;" counts: keep one; ","")&amp;IF(AND($E181="remaining_day5",N($J181)&lt;5),"day-5 count logged before day 5; ","")&amp;IF(AND($G181="photo",$H181=""),"which photo?; ",""))</f>
        <v/>
      </c>
    </row>
    <row r="182">
      <c r="A182" s="9" t="n"/>
      <c r="B182" s="33" t="n"/>
      <c r="J182" s="25">
        <f>IF(OR($C182="",$A182=""),"",IF($A182&lt;IFERROR(IF(INDEX(campaigns!$BG$2:$BG$51,MATCH($C182,campaigns!$A$2:$A$51,0))="","",INDEX(campaigns!$BG$2:$BG$51,MATCH($C182,campaigns!$A$2:$A$51,0))),""),0,NETWORKDAYS(IFERROR(IF(INDEX(campaigns!$BG$2:$BG$51,MATCH($C182,campaigns!$A$2:$A$51,0))="","",INDEX(campaigns!$BG$2:$BG$51,MATCH($C182,campaigns!$A$2:$A$51,0))),""),$A182,calendar!$A$2:$A$80)))</f>
        <v/>
      </c>
      <c r="K182" s="25">
        <f>IF($C182="","",IF(COUNTIF(campaigns!$A$2:$A$51,$C182)=0,"campaign_id not on campaigns; ",IF(AND($D182&lt;&gt;"",COUNTIFS(approvals!$A$2:$A$251,$C182,approvals!$B$2:$B$251,$D182)=0),"office not on this campaign (approvals tab); ",""))&amp;IF(COUNTIFS(counts!$C$2:$C$701,$C182,counts!$D$2:$D$701,$D182,counts!$E$2:$E$701,$E182)&gt;1,"two "&amp;$E182&amp;" counts: keep one; ","")&amp;IF(AND($E182="remaining_day5",N($J182)&lt;5),"day-5 count logged before day 5; ","")&amp;IF(AND($G182="photo",$H182=""),"which photo?; ",""))</f>
        <v/>
      </c>
    </row>
    <row r="183">
      <c r="A183" s="9" t="n"/>
      <c r="B183" s="33" t="n"/>
      <c r="J183" s="25">
        <f>IF(OR($C183="",$A183=""),"",IF($A183&lt;IFERROR(IF(INDEX(campaigns!$BG$2:$BG$51,MATCH($C183,campaigns!$A$2:$A$51,0))="","",INDEX(campaigns!$BG$2:$BG$51,MATCH($C183,campaigns!$A$2:$A$51,0))),""),0,NETWORKDAYS(IFERROR(IF(INDEX(campaigns!$BG$2:$BG$51,MATCH($C183,campaigns!$A$2:$A$51,0))="","",INDEX(campaigns!$BG$2:$BG$51,MATCH($C183,campaigns!$A$2:$A$51,0))),""),$A183,calendar!$A$2:$A$80)))</f>
        <v/>
      </c>
      <c r="K183" s="25">
        <f>IF($C183="","",IF(COUNTIF(campaigns!$A$2:$A$51,$C183)=0,"campaign_id not on campaigns; ",IF(AND($D183&lt;&gt;"",COUNTIFS(approvals!$A$2:$A$251,$C183,approvals!$B$2:$B$251,$D183)=0),"office not on this campaign (approvals tab); ",""))&amp;IF(COUNTIFS(counts!$C$2:$C$701,$C183,counts!$D$2:$D$701,$D183,counts!$E$2:$E$701,$E183)&gt;1,"two "&amp;$E183&amp;" counts: keep one; ","")&amp;IF(AND($E183="remaining_day5",N($J183)&lt;5),"day-5 count logged before day 5; ","")&amp;IF(AND($G183="photo",$H183=""),"which photo?; ",""))</f>
        <v/>
      </c>
    </row>
    <row r="184">
      <c r="A184" s="9" t="n"/>
      <c r="B184" s="33" t="n"/>
      <c r="J184" s="25">
        <f>IF(OR($C184="",$A184=""),"",IF($A184&lt;IFERROR(IF(INDEX(campaigns!$BG$2:$BG$51,MATCH($C184,campaigns!$A$2:$A$51,0))="","",INDEX(campaigns!$BG$2:$BG$51,MATCH($C184,campaigns!$A$2:$A$51,0))),""),0,NETWORKDAYS(IFERROR(IF(INDEX(campaigns!$BG$2:$BG$51,MATCH($C184,campaigns!$A$2:$A$51,0))="","",INDEX(campaigns!$BG$2:$BG$51,MATCH($C184,campaigns!$A$2:$A$51,0))),""),$A184,calendar!$A$2:$A$80)))</f>
        <v/>
      </c>
      <c r="K184" s="25">
        <f>IF($C184="","",IF(COUNTIF(campaigns!$A$2:$A$51,$C184)=0,"campaign_id not on campaigns; ",IF(AND($D184&lt;&gt;"",COUNTIFS(approvals!$A$2:$A$251,$C184,approvals!$B$2:$B$251,$D184)=0),"office not on this campaign (approvals tab); ",""))&amp;IF(COUNTIFS(counts!$C$2:$C$701,$C184,counts!$D$2:$D$701,$D184,counts!$E$2:$E$701,$E184)&gt;1,"two "&amp;$E184&amp;" counts: keep one; ","")&amp;IF(AND($E184="remaining_day5",N($J184)&lt;5),"day-5 count logged before day 5; ","")&amp;IF(AND($G184="photo",$H184=""),"which photo?; ",""))</f>
        <v/>
      </c>
    </row>
    <row r="185">
      <c r="A185" s="9" t="n"/>
      <c r="B185" s="33" t="n"/>
      <c r="J185" s="25">
        <f>IF(OR($C185="",$A185=""),"",IF($A185&lt;IFERROR(IF(INDEX(campaigns!$BG$2:$BG$51,MATCH($C185,campaigns!$A$2:$A$51,0))="","",INDEX(campaigns!$BG$2:$BG$51,MATCH($C185,campaigns!$A$2:$A$51,0))),""),0,NETWORKDAYS(IFERROR(IF(INDEX(campaigns!$BG$2:$BG$51,MATCH($C185,campaigns!$A$2:$A$51,0))="","",INDEX(campaigns!$BG$2:$BG$51,MATCH($C185,campaigns!$A$2:$A$51,0))),""),$A185,calendar!$A$2:$A$80)))</f>
        <v/>
      </c>
      <c r="K185" s="25">
        <f>IF($C185="","",IF(COUNTIF(campaigns!$A$2:$A$51,$C185)=0,"campaign_id not on campaigns; ",IF(AND($D185&lt;&gt;"",COUNTIFS(approvals!$A$2:$A$251,$C185,approvals!$B$2:$B$251,$D185)=0),"office not on this campaign (approvals tab); ",""))&amp;IF(COUNTIFS(counts!$C$2:$C$701,$C185,counts!$D$2:$D$701,$D185,counts!$E$2:$E$701,$E185)&gt;1,"two "&amp;$E185&amp;" counts: keep one; ","")&amp;IF(AND($E185="remaining_day5",N($J185)&lt;5),"day-5 count logged before day 5; ","")&amp;IF(AND($G185="photo",$H185=""),"which photo?; ",""))</f>
        <v/>
      </c>
    </row>
    <row r="186">
      <c r="A186" s="9" t="n"/>
      <c r="B186" s="33" t="n"/>
      <c r="J186" s="25">
        <f>IF(OR($C186="",$A186=""),"",IF($A186&lt;IFERROR(IF(INDEX(campaigns!$BG$2:$BG$51,MATCH($C186,campaigns!$A$2:$A$51,0))="","",INDEX(campaigns!$BG$2:$BG$51,MATCH($C186,campaigns!$A$2:$A$51,0))),""),0,NETWORKDAYS(IFERROR(IF(INDEX(campaigns!$BG$2:$BG$51,MATCH($C186,campaigns!$A$2:$A$51,0))="","",INDEX(campaigns!$BG$2:$BG$51,MATCH($C186,campaigns!$A$2:$A$51,0))),""),$A186,calendar!$A$2:$A$80)))</f>
        <v/>
      </c>
      <c r="K186" s="25">
        <f>IF($C186="","",IF(COUNTIF(campaigns!$A$2:$A$51,$C186)=0,"campaign_id not on campaigns; ",IF(AND($D186&lt;&gt;"",COUNTIFS(approvals!$A$2:$A$251,$C186,approvals!$B$2:$B$251,$D186)=0),"office not on this campaign (approvals tab); ",""))&amp;IF(COUNTIFS(counts!$C$2:$C$701,$C186,counts!$D$2:$D$701,$D186,counts!$E$2:$E$701,$E186)&gt;1,"two "&amp;$E186&amp;" counts: keep one; ","")&amp;IF(AND($E186="remaining_day5",N($J186)&lt;5),"day-5 count logged before day 5; ","")&amp;IF(AND($G186="photo",$H186=""),"which photo?; ",""))</f>
        <v/>
      </c>
    </row>
    <row r="187">
      <c r="A187" s="9" t="n"/>
      <c r="B187" s="33" t="n"/>
      <c r="J187" s="25">
        <f>IF(OR($C187="",$A187=""),"",IF($A187&lt;IFERROR(IF(INDEX(campaigns!$BG$2:$BG$51,MATCH($C187,campaigns!$A$2:$A$51,0))="","",INDEX(campaigns!$BG$2:$BG$51,MATCH($C187,campaigns!$A$2:$A$51,0))),""),0,NETWORKDAYS(IFERROR(IF(INDEX(campaigns!$BG$2:$BG$51,MATCH($C187,campaigns!$A$2:$A$51,0))="","",INDEX(campaigns!$BG$2:$BG$51,MATCH($C187,campaigns!$A$2:$A$51,0))),""),$A187,calendar!$A$2:$A$80)))</f>
        <v/>
      </c>
      <c r="K187" s="25">
        <f>IF($C187="","",IF(COUNTIF(campaigns!$A$2:$A$51,$C187)=0,"campaign_id not on campaigns; ",IF(AND($D187&lt;&gt;"",COUNTIFS(approvals!$A$2:$A$251,$C187,approvals!$B$2:$B$251,$D187)=0),"office not on this campaign (approvals tab); ",""))&amp;IF(COUNTIFS(counts!$C$2:$C$701,$C187,counts!$D$2:$D$701,$D187,counts!$E$2:$E$701,$E187)&gt;1,"two "&amp;$E187&amp;" counts: keep one; ","")&amp;IF(AND($E187="remaining_day5",N($J187)&lt;5),"day-5 count logged before day 5; ","")&amp;IF(AND($G187="photo",$H187=""),"which photo?; ",""))</f>
        <v/>
      </c>
    </row>
    <row r="188">
      <c r="A188" s="9" t="n"/>
      <c r="B188" s="33" t="n"/>
      <c r="J188" s="25">
        <f>IF(OR($C188="",$A188=""),"",IF($A188&lt;IFERROR(IF(INDEX(campaigns!$BG$2:$BG$51,MATCH($C188,campaigns!$A$2:$A$51,0))="","",INDEX(campaigns!$BG$2:$BG$51,MATCH($C188,campaigns!$A$2:$A$51,0))),""),0,NETWORKDAYS(IFERROR(IF(INDEX(campaigns!$BG$2:$BG$51,MATCH($C188,campaigns!$A$2:$A$51,0))="","",INDEX(campaigns!$BG$2:$BG$51,MATCH($C188,campaigns!$A$2:$A$51,0))),""),$A188,calendar!$A$2:$A$80)))</f>
        <v/>
      </c>
      <c r="K188" s="25">
        <f>IF($C188="","",IF(COUNTIF(campaigns!$A$2:$A$51,$C188)=0,"campaign_id not on campaigns; ",IF(AND($D188&lt;&gt;"",COUNTIFS(approvals!$A$2:$A$251,$C188,approvals!$B$2:$B$251,$D188)=0),"office not on this campaign (approvals tab); ",""))&amp;IF(COUNTIFS(counts!$C$2:$C$701,$C188,counts!$D$2:$D$701,$D188,counts!$E$2:$E$701,$E188)&gt;1,"two "&amp;$E188&amp;" counts: keep one; ","")&amp;IF(AND($E188="remaining_day5",N($J188)&lt;5),"day-5 count logged before day 5; ","")&amp;IF(AND($G188="photo",$H188=""),"which photo?; ",""))</f>
        <v/>
      </c>
    </row>
    <row r="189">
      <c r="A189" s="9" t="n"/>
      <c r="B189" s="33" t="n"/>
      <c r="J189" s="25">
        <f>IF(OR($C189="",$A189=""),"",IF($A189&lt;IFERROR(IF(INDEX(campaigns!$BG$2:$BG$51,MATCH($C189,campaigns!$A$2:$A$51,0))="","",INDEX(campaigns!$BG$2:$BG$51,MATCH($C189,campaigns!$A$2:$A$51,0))),""),0,NETWORKDAYS(IFERROR(IF(INDEX(campaigns!$BG$2:$BG$51,MATCH($C189,campaigns!$A$2:$A$51,0))="","",INDEX(campaigns!$BG$2:$BG$51,MATCH($C189,campaigns!$A$2:$A$51,0))),""),$A189,calendar!$A$2:$A$80)))</f>
        <v/>
      </c>
      <c r="K189" s="25">
        <f>IF($C189="","",IF(COUNTIF(campaigns!$A$2:$A$51,$C189)=0,"campaign_id not on campaigns; ",IF(AND($D189&lt;&gt;"",COUNTIFS(approvals!$A$2:$A$251,$C189,approvals!$B$2:$B$251,$D189)=0),"office not on this campaign (approvals tab); ",""))&amp;IF(COUNTIFS(counts!$C$2:$C$701,$C189,counts!$D$2:$D$701,$D189,counts!$E$2:$E$701,$E189)&gt;1,"two "&amp;$E189&amp;" counts: keep one; ","")&amp;IF(AND($E189="remaining_day5",N($J189)&lt;5),"day-5 count logged before day 5; ","")&amp;IF(AND($G189="photo",$H189=""),"which photo?; ",""))</f>
        <v/>
      </c>
    </row>
    <row r="190">
      <c r="A190" s="9" t="n"/>
      <c r="B190" s="33" t="n"/>
      <c r="J190" s="25">
        <f>IF(OR($C190="",$A190=""),"",IF($A190&lt;IFERROR(IF(INDEX(campaigns!$BG$2:$BG$51,MATCH($C190,campaigns!$A$2:$A$51,0))="","",INDEX(campaigns!$BG$2:$BG$51,MATCH($C190,campaigns!$A$2:$A$51,0))),""),0,NETWORKDAYS(IFERROR(IF(INDEX(campaigns!$BG$2:$BG$51,MATCH($C190,campaigns!$A$2:$A$51,0))="","",INDEX(campaigns!$BG$2:$BG$51,MATCH($C190,campaigns!$A$2:$A$51,0))),""),$A190,calendar!$A$2:$A$80)))</f>
        <v/>
      </c>
      <c r="K190" s="25">
        <f>IF($C190="","",IF(COUNTIF(campaigns!$A$2:$A$51,$C190)=0,"campaign_id not on campaigns; ",IF(AND($D190&lt;&gt;"",COUNTIFS(approvals!$A$2:$A$251,$C190,approvals!$B$2:$B$251,$D190)=0),"office not on this campaign (approvals tab); ",""))&amp;IF(COUNTIFS(counts!$C$2:$C$701,$C190,counts!$D$2:$D$701,$D190,counts!$E$2:$E$701,$E190)&gt;1,"two "&amp;$E190&amp;" counts: keep one; ","")&amp;IF(AND($E190="remaining_day5",N($J190)&lt;5),"day-5 count logged before day 5; ","")&amp;IF(AND($G190="photo",$H190=""),"which photo?; ",""))</f>
        <v/>
      </c>
    </row>
    <row r="191">
      <c r="A191" s="9" t="n"/>
      <c r="B191" s="33" t="n"/>
      <c r="J191" s="25">
        <f>IF(OR($C191="",$A191=""),"",IF($A191&lt;IFERROR(IF(INDEX(campaigns!$BG$2:$BG$51,MATCH($C191,campaigns!$A$2:$A$51,0))="","",INDEX(campaigns!$BG$2:$BG$51,MATCH($C191,campaigns!$A$2:$A$51,0))),""),0,NETWORKDAYS(IFERROR(IF(INDEX(campaigns!$BG$2:$BG$51,MATCH($C191,campaigns!$A$2:$A$51,0))="","",INDEX(campaigns!$BG$2:$BG$51,MATCH($C191,campaigns!$A$2:$A$51,0))),""),$A191,calendar!$A$2:$A$80)))</f>
        <v/>
      </c>
      <c r="K191" s="25">
        <f>IF($C191="","",IF(COUNTIF(campaigns!$A$2:$A$51,$C191)=0,"campaign_id not on campaigns; ",IF(AND($D191&lt;&gt;"",COUNTIFS(approvals!$A$2:$A$251,$C191,approvals!$B$2:$B$251,$D191)=0),"office not on this campaign (approvals tab); ",""))&amp;IF(COUNTIFS(counts!$C$2:$C$701,$C191,counts!$D$2:$D$701,$D191,counts!$E$2:$E$701,$E191)&gt;1,"two "&amp;$E191&amp;" counts: keep one; ","")&amp;IF(AND($E191="remaining_day5",N($J191)&lt;5),"day-5 count logged before day 5; ","")&amp;IF(AND($G191="photo",$H191=""),"which photo?; ",""))</f>
        <v/>
      </c>
    </row>
    <row r="192">
      <c r="A192" s="9" t="n"/>
      <c r="B192" s="33" t="n"/>
      <c r="J192" s="25">
        <f>IF(OR($C192="",$A192=""),"",IF($A192&lt;IFERROR(IF(INDEX(campaigns!$BG$2:$BG$51,MATCH($C192,campaigns!$A$2:$A$51,0))="","",INDEX(campaigns!$BG$2:$BG$51,MATCH($C192,campaigns!$A$2:$A$51,0))),""),0,NETWORKDAYS(IFERROR(IF(INDEX(campaigns!$BG$2:$BG$51,MATCH($C192,campaigns!$A$2:$A$51,0))="","",INDEX(campaigns!$BG$2:$BG$51,MATCH($C192,campaigns!$A$2:$A$51,0))),""),$A192,calendar!$A$2:$A$80)))</f>
        <v/>
      </c>
      <c r="K192" s="25">
        <f>IF($C192="","",IF(COUNTIF(campaigns!$A$2:$A$51,$C192)=0,"campaign_id not on campaigns; ",IF(AND($D192&lt;&gt;"",COUNTIFS(approvals!$A$2:$A$251,$C192,approvals!$B$2:$B$251,$D192)=0),"office not on this campaign (approvals tab); ",""))&amp;IF(COUNTIFS(counts!$C$2:$C$701,$C192,counts!$D$2:$D$701,$D192,counts!$E$2:$E$701,$E192)&gt;1,"two "&amp;$E192&amp;" counts: keep one; ","")&amp;IF(AND($E192="remaining_day5",N($J192)&lt;5),"day-5 count logged before day 5; ","")&amp;IF(AND($G192="photo",$H192=""),"which photo?; ",""))</f>
        <v/>
      </c>
    </row>
    <row r="193">
      <c r="A193" s="9" t="n"/>
      <c r="B193" s="33" t="n"/>
      <c r="J193" s="25">
        <f>IF(OR($C193="",$A193=""),"",IF($A193&lt;IFERROR(IF(INDEX(campaigns!$BG$2:$BG$51,MATCH($C193,campaigns!$A$2:$A$51,0))="","",INDEX(campaigns!$BG$2:$BG$51,MATCH($C193,campaigns!$A$2:$A$51,0))),""),0,NETWORKDAYS(IFERROR(IF(INDEX(campaigns!$BG$2:$BG$51,MATCH($C193,campaigns!$A$2:$A$51,0))="","",INDEX(campaigns!$BG$2:$BG$51,MATCH($C193,campaigns!$A$2:$A$51,0))),""),$A193,calendar!$A$2:$A$80)))</f>
        <v/>
      </c>
      <c r="K193" s="25">
        <f>IF($C193="","",IF(COUNTIF(campaigns!$A$2:$A$51,$C193)=0,"campaign_id not on campaigns; ",IF(AND($D193&lt;&gt;"",COUNTIFS(approvals!$A$2:$A$251,$C193,approvals!$B$2:$B$251,$D193)=0),"office not on this campaign (approvals tab); ",""))&amp;IF(COUNTIFS(counts!$C$2:$C$701,$C193,counts!$D$2:$D$701,$D193,counts!$E$2:$E$701,$E193)&gt;1,"two "&amp;$E193&amp;" counts: keep one; ","")&amp;IF(AND($E193="remaining_day5",N($J193)&lt;5),"day-5 count logged before day 5; ","")&amp;IF(AND($G193="photo",$H193=""),"which photo?; ",""))</f>
        <v/>
      </c>
    </row>
    <row r="194">
      <c r="A194" s="9" t="n"/>
      <c r="B194" s="33" t="n"/>
      <c r="J194" s="25">
        <f>IF(OR($C194="",$A194=""),"",IF($A194&lt;IFERROR(IF(INDEX(campaigns!$BG$2:$BG$51,MATCH($C194,campaigns!$A$2:$A$51,0))="","",INDEX(campaigns!$BG$2:$BG$51,MATCH($C194,campaigns!$A$2:$A$51,0))),""),0,NETWORKDAYS(IFERROR(IF(INDEX(campaigns!$BG$2:$BG$51,MATCH($C194,campaigns!$A$2:$A$51,0))="","",INDEX(campaigns!$BG$2:$BG$51,MATCH($C194,campaigns!$A$2:$A$51,0))),""),$A194,calendar!$A$2:$A$80)))</f>
        <v/>
      </c>
      <c r="K194" s="25">
        <f>IF($C194="","",IF(COUNTIF(campaigns!$A$2:$A$51,$C194)=0,"campaign_id not on campaigns; ",IF(AND($D194&lt;&gt;"",COUNTIFS(approvals!$A$2:$A$251,$C194,approvals!$B$2:$B$251,$D194)=0),"office not on this campaign (approvals tab); ",""))&amp;IF(COUNTIFS(counts!$C$2:$C$701,$C194,counts!$D$2:$D$701,$D194,counts!$E$2:$E$701,$E194)&gt;1,"two "&amp;$E194&amp;" counts: keep one; ","")&amp;IF(AND($E194="remaining_day5",N($J194)&lt;5),"day-5 count logged before day 5; ","")&amp;IF(AND($G194="photo",$H194=""),"which photo?; ",""))</f>
        <v/>
      </c>
    </row>
    <row r="195">
      <c r="A195" s="9" t="n"/>
      <c r="B195" s="33" t="n"/>
      <c r="J195" s="25">
        <f>IF(OR($C195="",$A195=""),"",IF($A195&lt;IFERROR(IF(INDEX(campaigns!$BG$2:$BG$51,MATCH($C195,campaigns!$A$2:$A$51,0))="","",INDEX(campaigns!$BG$2:$BG$51,MATCH($C195,campaigns!$A$2:$A$51,0))),""),0,NETWORKDAYS(IFERROR(IF(INDEX(campaigns!$BG$2:$BG$51,MATCH($C195,campaigns!$A$2:$A$51,0))="","",INDEX(campaigns!$BG$2:$BG$51,MATCH($C195,campaigns!$A$2:$A$51,0))),""),$A195,calendar!$A$2:$A$80)))</f>
        <v/>
      </c>
      <c r="K195" s="25">
        <f>IF($C195="","",IF(COUNTIF(campaigns!$A$2:$A$51,$C195)=0,"campaign_id not on campaigns; ",IF(AND($D195&lt;&gt;"",COUNTIFS(approvals!$A$2:$A$251,$C195,approvals!$B$2:$B$251,$D195)=0),"office not on this campaign (approvals tab); ",""))&amp;IF(COUNTIFS(counts!$C$2:$C$701,$C195,counts!$D$2:$D$701,$D195,counts!$E$2:$E$701,$E195)&gt;1,"two "&amp;$E195&amp;" counts: keep one; ","")&amp;IF(AND($E195="remaining_day5",N($J195)&lt;5),"day-5 count logged before day 5; ","")&amp;IF(AND($G195="photo",$H195=""),"which photo?; ",""))</f>
        <v/>
      </c>
    </row>
    <row r="196">
      <c r="A196" s="9" t="n"/>
      <c r="B196" s="33" t="n"/>
      <c r="J196" s="25">
        <f>IF(OR($C196="",$A196=""),"",IF($A196&lt;IFERROR(IF(INDEX(campaigns!$BG$2:$BG$51,MATCH($C196,campaigns!$A$2:$A$51,0))="","",INDEX(campaigns!$BG$2:$BG$51,MATCH($C196,campaigns!$A$2:$A$51,0))),""),0,NETWORKDAYS(IFERROR(IF(INDEX(campaigns!$BG$2:$BG$51,MATCH($C196,campaigns!$A$2:$A$51,0))="","",INDEX(campaigns!$BG$2:$BG$51,MATCH($C196,campaigns!$A$2:$A$51,0))),""),$A196,calendar!$A$2:$A$80)))</f>
        <v/>
      </c>
      <c r="K196" s="25">
        <f>IF($C196="","",IF(COUNTIF(campaigns!$A$2:$A$51,$C196)=0,"campaign_id not on campaigns; ",IF(AND($D196&lt;&gt;"",COUNTIFS(approvals!$A$2:$A$251,$C196,approvals!$B$2:$B$251,$D196)=0),"office not on this campaign (approvals tab); ",""))&amp;IF(COUNTIFS(counts!$C$2:$C$701,$C196,counts!$D$2:$D$701,$D196,counts!$E$2:$E$701,$E196)&gt;1,"two "&amp;$E196&amp;" counts: keep one; ","")&amp;IF(AND($E196="remaining_day5",N($J196)&lt;5),"day-5 count logged before day 5; ","")&amp;IF(AND($G196="photo",$H196=""),"which photo?; ",""))</f>
        <v/>
      </c>
    </row>
    <row r="197">
      <c r="A197" s="9" t="n"/>
      <c r="B197" s="33" t="n"/>
      <c r="J197" s="25">
        <f>IF(OR($C197="",$A197=""),"",IF($A197&lt;IFERROR(IF(INDEX(campaigns!$BG$2:$BG$51,MATCH($C197,campaigns!$A$2:$A$51,0))="","",INDEX(campaigns!$BG$2:$BG$51,MATCH($C197,campaigns!$A$2:$A$51,0))),""),0,NETWORKDAYS(IFERROR(IF(INDEX(campaigns!$BG$2:$BG$51,MATCH($C197,campaigns!$A$2:$A$51,0))="","",INDEX(campaigns!$BG$2:$BG$51,MATCH($C197,campaigns!$A$2:$A$51,0))),""),$A197,calendar!$A$2:$A$80)))</f>
        <v/>
      </c>
      <c r="K197" s="25">
        <f>IF($C197="","",IF(COUNTIF(campaigns!$A$2:$A$51,$C197)=0,"campaign_id not on campaigns; ",IF(AND($D197&lt;&gt;"",COUNTIFS(approvals!$A$2:$A$251,$C197,approvals!$B$2:$B$251,$D197)=0),"office not on this campaign (approvals tab); ",""))&amp;IF(COUNTIFS(counts!$C$2:$C$701,$C197,counts!$D$2:$D$701,$D197,counts!$E$2:$E$701,$E197)&gt;1,"two "&amp;$E197&amp;" counts: keep one; ","")&amp;IF(AND($E197="remaining_day5",N($J197)&lt;5),"day-5 count logged before day 5; ","")&amp;IF(AND($G197="photo",$H197=""),"which photo?; ",""))</f>
        <v/>
      </c>
    </row>
    <row r="198">
      <c r="A198" s="9" t="n"/>
      <c r="B198" s="33" t="n"/>
      <c r="J198" s="25">
        <f>IF(OR($C198="",$A198=""),"",IF($A198&lt;IFERROR(IF(INDEX(campaigns!$BG$2:$BG$51,MATCH($C198,campaigns!$A$2:$A$51,0))="","",INDEX(campaigns!$BG$2:$BG$51,MATCH($C198,campaigns!$A$2:$A$51,0))),""),0,NETWORKDAYS(IFERROR(IF(INDEX(campaigns!$BG$2:$BG$51,MATCH($C198,campaigns!$A$2:$A$51,0))="","",INDEX(campaigns!$BG$2:$BG$51,MATCH($C198,campaigns!$A$2:$A$51,0))),""),$A198,calendar!$A$2:$A$80)))</f>
        <v/>
      </c>
      <c r="K198" s="25">
        <f>IF($C198="","",IF(COUNTIF(campaigns!$A$2:$A$51,$C198)=0,"campaign_id not on campaigns; ",IF(AND($D198&lt;&gt;"",COUNTIFS(approvals!$A$2:$A$251,$C198,approvals!$B$2:$B$251,$D198)=0),"office not on this campaign (approvals tab); ",""))&amp;IF(COUNTIFS(counts!$C$2:$C$701,$C198,counts!$D$2:$D$701,$D198,counts!$E$2:$E$701,$E198)&gt;1,"two "&amp;$E198&amp;" counts: keep one; ","")&amp;IF(AND($E198="remaining_day5",N($J198)&lt;5),"day-5 count logged before day 5; ","")&amp;IF(AND($G198="photo",$H198=""),"which photo?; ",""))</f>
        <v/>
      </c>
    </row>
    <row r="199">
      <c r="A199" s="9" t="n"/>
      <c r="B199" s="33" t="n"/>
      <c r="J199" s="25">
        <f>IF(OR($C199="",$A199=""),"",IF($A199&lt;IFERROR(IF(INDEX(campaigns!$BG$2:$BG$51,MATCH($C199,campaigns!$A$2:$A$51,0))="","",INDEX(campaigns!$BG$2:$BG$51,MATCH($C199,campaigns!$A$2:$A$51,0))),""),0,NETWORKDAYS(IFERROR(IF(INDEX(campaigns!$BG$2:$BG$51,MATCH($C199,campaigns!$A$2:$A$51,0))="","",INDEX(campaigns!$BG$2:$BG$51,MATCH($C199,campaigns!$A$2:$A$51,0))),""),$A199,calendar!$A$2:$A$80)))</f>
        <v/>
      </c>
      <c r="K199" s="25">
        <f>IF($C199="","",IF(COUNTIF(campaigns!$A$2:$A$51,$C199)=0,"campaign_id not on campaigns; ",IF(AND($D199&lt;&gt;"",COUNTIFS(approvals!$A$2:$A$251,$C199,approvals!$B$2:$B$251,$D199)=0),"office not on this campaign (approvals tab); ",""))&amp;IF(COUNTIFS(counts!$C$2:$C$701,$C199,counts!$D$2:$D$701,$D199,counts!$E$2:$E$701,$E199)&gt;1,"two "&amp;$E199&amp;" counts: keep one; ","")&amp;IF(AND($E199="remaining_day5",N($J199)&lt;5),"day-5 count logged before day 5; ","")&amp;IF(AND($G199="photo",$H199=""),"which photo?; ",""))</f>
        <v/>
      </c>
    </row>
    <row r="200">
      <c r="A200" s="9" t="n"/>
      <c r="B200" s="33" t="n"/>
      <c r="J200" s="25">
        <f>IF(OR($C200="",$A200=""),"",IF($A200&lt;IFERROR(IF(INDEX(campaigns!$BG$2:$BG$51,MATCH($C200,campaigns!$A$2:$A$51,0))="","",INDEX(campaigns!$BG$2:$BG$51,MATCH($C200,campaigns!$A$2:$A$51,0))),""),0,NETWORKDAYS(IFERROR(IF(INDEX(campaigns!$BG$2:$BG$51,MATCH($C200,campaigns!$A$2:$A$51,0))="","",INDEX(campaigns!$BG$2:$BG$51,MATCH($C200,campaigns!$A$2:$A$51,0))),""),$A200,calendar!$A$2:$A$80)))</f>
        <v/>
      </c>
      <c r="K200" s="25">
        <f>IF($C200="","",IF(COUNTIF(campaigns!$A$2:$A$51,$C200)=0,"campaign_id not on campaigns; ",IF(AND($D200&lt;&gt;"",COUNTIFS(approvals!$A$2:$A$251,$C200,approvals!$B$2:$B$251,$D200)=0),"office not on this campaign (approvals tab); ",""))&amp;IF(COUNTIFS(counts!$C$2:$C$701,$C200,counts!$D$2:$D$701,$D200,counts!$E$2:$E$701,$E200)&gt;1,"two "&amp;$E200&amp;" counts: keep one; ","")&amp;IF(AND($E200="remaining_day5",N($J200)&lt;5),"day-5 count logged before day 5; ","")&amp;IF(AND($G200="photo",$H200=""),"which photo?; ",""))</f>
        <v/>
      </c>
    </row>
    <row r="201">
      <c r="A201" s="9" t="n"/>
      <c r="B201" s="33" t="n"/>
      <c r="J201" s="25">
        <f>IF(OR($C201="",$A201=""),"",IF($A201&lt;IFERROR(IF(INDEX(campaigns!$BG$2:$BG$51,MATCH($C201,campaigns!$A$2:$A$51,0))="","",INDEX(campaigns!$BG$2:$BG$51,MATCH($C201,campaigns!$A$2:$A$51,0))),""),0,NETWORKDAYS(IFERROR(IF(INDEX(campaigns!$BG$2:$BG$51,MATCH($C201,campaigns!$A$2:$A$51,0))="","",INDEX(campaigns!$BG$2:$BG$51,MATCH($C201,campaigns!$A$2:$A$51,0))),""),$A201,calendar!$A$2:$A$80)))</f>
        <v/>
      </c>
      <c r="K201" s="25">
        <f>IF($C201="","",IF(COUNTIF(campaigns!$A$2:$A$51,$C201)=0,"campaign_id not on campaigns; ",IF(AND($D201&lt;&gt;"",COUNTIFS(approvals!$A$2:$A$251,$C201,approvals!$B$2:$B$251,$D201)=0),"office not on this campaign (approvals tab); ",""))&amp;IF(COUNTIFS(counts!$C$2:$C$701,$C201,counts!$D$2:$D$701,$D201,counts!$E$2:$E$701,$E201)&gt;1,"two "&amp;$E201&amp;" counts: keep one; ","")&amp;IF(AND($E201="remaining_day5",N($J201)&lt;5),"day-5 count logged before day 5; ","")&amp;IF(AND($G201="photo",$H201=""),"which photo?; ",""))</f>
        <v/>
      </c>
    </row>
    <row r="202">
      <c r="A202" s="9" t="n"/>
      <c r="B202" s="33" t="n"/>
      <c r="J202" s="25">
        <f>IF(OR($C202="",$A202=""),"",IF($A202&lt;IFERROR(IF(INDEX(campaigns!$BG$2:$BG$51,MATCH($C202,campaigns!$A$2:$A$51,0))="","",INDEX(campaigns!$BG$2:$BG$51,MATCH($C202,campaigns!$A$2:$A$51,0))),""),0,NETWORKDAYS(IFERROR(IF(INDEX(campaigns!$BG$2:$BG$51,MATCH($C202,campaigns!$A$2:$A$51,0))="","",INDEX(campaigns!$BG$2:$BG$51,MATCH($C202,campaigns!$A$2:$A$51,0))),""),$A202,calendar!$A$2:$A$80)))</f>
        <v/>
      </c>
      <c r="K202" s="25">
        <f>IF($C202="","",IF(COUNTIF(campaigns!$A$2:$A$51,$C202)=0,"campaign_id not on campaigns; ",IF(AND($D202&lt;&gt;"",COUNTIFS(approvals!$A$2:$A$251,$C202,approvals!$B$2:$B$251,$D202)=0),"office not on this campaign (approvals tab); ",""))&amp;IF(COUNTIFS(counts!$C$2:$C$701,$C202,counts!$D$2:$D$701,$D202,counts!$E$2:$E$701,$E202)&gt;1,"two "&amp;$E202&amp;" counts: keep one; ","")&amp;IF(AND($E202="remaining_day5",N($J202)&lt;5),"day-5 count logged before day 5; ","")&amp;IF(AND($G202="photo",$H202=""),"which photo?; ",""))</f>
        <v/>
      </c>
    </row>
    <row r="203">
      <c r="A203" s="9" t="n"/>
      <c r="B203" s="33" t="n"/>
      <c r="J203" s="25">
        <f>IF(OR($C203="",$A203=""),"",IF($A203&lt;IFERROR(IF(INDEX(campaigns!$BG$2:$BG$51,MATCH($C203,campaigns!$A$2:$A$51,0))="","",INDEX(campaigns!$BG$2:$BG$51,MATCH($C203,campaigns!$A$2:$A$51,0))),""),0,NETWORKDAYS(IFERROR(IF(INDEX(campaigns!$BG$2:$BG$51,MATCH($C203,campaigns!$A$2:$A$51,0))="","",INDEX(campaigns!$BG$2:$BG$51,MATCH($C203,campaigns!$A$2:$A$51,0))),""),$A203,calendar!$A$2:$A$80)))</f>
        <v/>
      </c>
      <c r="K203" s="25">
        <f>IF($C203="","",IF(COUNTIF(campaigns!$A$2:$A$51,$C203)=0,"campaign_id not on campaigns; ",IF(AND($D203&lt;&gt;"",COUNTIFS(approvals!$A$2:$A$251,$C203,approvals!$B$2:$B$251,$D203)=0),"office not on this campaign (approvals tab); ",""))&amp;IF(COUNTIFS(counts!$C$2:$C$701,$C203,counts!$D$2:$D$701,$D203,counts!$E$2:$E$701,$E203)&gt;1,"two "&amp;$E203&amp;" counts: keep one; ","")&amp;IF(AND($E203="remaining_day5",N($J203)&lt;5),"day-5 count logged before day 5; ","")&amp;IF(AND($G203="photo",$H203=""),"which photo?; ",""))</f>
        <v/>
      </c>
    </row>
    <row r="204">
      <c r="A204" s="9" t="n"/>
      <c r="B204" s="33" t="n"/>
      <c r="J204" s="25">
        <f>IF(OR($C204="",$A204=""),"",IF($A204&lt;IFERROR(IF(INDEX(campaigns!$BG$2:$BG$51,MATCH($C204,campaigns!$A$2:$A$51,0))="","",INDEX(campaigns!$BG$2:$BG$51,MATCH($C204,campaigns!$A$2:$A$51,0))),""),0,NETWORKDAYS(IFERROR(IF(INDEX(campaigns!$BG$2:$BG$51,MATCH($C204,campaigns!$A$2:$A$51,0))="","",INDEX(campaigns!$BG$2:$BG$51,MATCH($C204,campaigns!$A$2:$A$51,0))),""),$A204,calendar!$A$2:$A$80)))</f>
        <v/>
      </c>
      <c r="K204" s="25">
        <f>IF($C204="","",IF(COUNTIF(campaigns!$A$2:$A$51,$C204)=0,"campaign_id not on campaigns; ",IF(AND($D204&lt;&gt;"",COUNTIFS(approvals!$A$2:$A$251,$C204,approvals!$B$2:$B$251,$D204)=0),"office not on this campaign (approvals tab); ",""))&amp;IF(COUNTIFS(counts!$C$2:$C$701,$C204,counts!$D$2:$D$701,$D204,counts!$E$2:$E$701,$E204)&gt;1,"two "&amp;$E204&amp;" counts: keep one; ","")&amp;IF(AND($E204="remaining_day5",N($J204)&lt;5),"day-5 count logged before day 5; ","")&amp;IF(AND($G204="photo",$H204=""),"which photo?; ",""))</f>
        <v/>
      </c>
    </row>
    <row r="205">
      <c r="A205" s="9" t="n"/>
      <c r="B205" s="33" t="n"/>
      <c r="J205" s="25">
        <f>IF(OR($C205="",$A205=""),"",IF($A205&lt;IFERROR(IF(INDEX(campaigns!$BG$2:$BG$51,MATCH($C205,campaigns!$A$2:$A$51,0))="","",INDEX(campaigns!$BG$2:$BG$51,MATCH($C205,campaigns!$A$2:$A$51,0))),""),0,NETWORKDAYS(IFERROR(IF(INDEX(campaigns!$BG$2:$BG$51,MATCH($C205,campaigns!$A$2:$A$51,0))="","",INDEX(campaigns!$BG$2:$BG$51,MATCH($C205,campaigns!$A$2:$A$51,0))),""),$A205,calendar!$A$2:$A$80)))</f>
        <v/>
      </c>
      <c r="K205" s="25">
        <f>IF($C205="","",IF(COUNTIF(campaigns!$A$2:$A$51,$C205)=0,"campaign_id not on campaigns; ",IF(AND($D205&lt;&gt;"",COUNTIFS(approvals!$A$2:$A$251,$C205,approvals!$B$2:$B$251,$D205)=0),"office not on this campaign (approvals tab); ",""))&amp;IF(COUNTIFS(counts!$C$2:$C$701,$C205,counts!$D$2:$D$701,$D205,counts!$E$2:$E$701,$E205)&gt;1,"two "&amp;$E205&amp;" counts: keep one; ","")&amp;IF(AND($E205="remaining_day5",N($J205)&lt;5),"day-5 count logged before day 5; ","")&amp;IF(AND($G205="photo",$H205=""),"which photo?; ",""))</f>
        <v/>
      </c>
    </row>
    <row r="206">
      <c r="A206" s="9" t="n"/>
      <c r="B206" s="33" t="n"/>
      <c r="J206" s="25">
        <f>IF(OR($C206="",$A206=""),"",IF($A206&lt;IFERROR(IF(INDEX(campaigns!$BG$2:$BG$51,MATCH($C206,campaigns!$A$2:$A$51,0))="","",INDEX(campaigns!$BG$2:$BG$51,MATCH($C206,campaigns!$A$2:$A$51,0))),""),0,NETWORKDAYS(IFERROR(IF(INDEX(campaigns!$BG$2:$BG$51,MATCH($C206,campaigns!$A$2:$A$51,0))="","",INDEX(campaigns!$BG$2:$BG$51,MATCH($C206,campaigns!$A$2:$A$51,0))),""),$A206,calendar!$A$2:$A$80)))</f>
        <v/>
      </c>
      <c r="K206" s="25">
        <f>IF($C206="","",IF(COUNTIF(campaigns!$A$2:$A$51,$C206)=0,"campaign_id not on campaigns; ",IF(AND($D206&lt;&gt;"",COUNTIFS(approvals!$A$2:$A$251,$C206,approvals!$B$2:$B$251,$D206)=0),"office not on this campaign (approvals tab); ",""))&amp;IF(COUNTIFS(counts!$C$2:$C$701,$C206,counts!$D$2:$D$701,$D206,counts!$E$2:$E$701,$E206)&gt;1,"two "&amp;$E206&amp;" counts: keep one; ","")&amp;IF(AND($E206="remaining_day5",N($J206)&lt;5),"day-5 count logged before day 5; ","")&amp;IF(AND($G206="photo",$H206=""),"which photo?; ",""))</f>
        <v/>
      </c>
    </row>
    <row r="207">
      <c r="A207" s="9" t="n"/>
      <c r="B207" s="33" t="n"/>
      <c r="J207" s="25">
        <f>IF(OR($C207="",$A207=""),"",IF($A207&lt;IFERROR(IF(INDEX(campaigns!$BG$2:$BG$51,MATCH($C207,campaigns!$A$2:$A$51,0))="","",INDEX(campaigns!$BG$2:$BG$51,MATCH($C207,campaigns!$A$2:$A$51,0))),""),0,NETWORKDAYS(IFERROR(IF(INDEX(campaigns!$BG$2:$BG$51,MATCH($C207,campaigns!$A$2:$A$51,0))="","",INDEX(campaigns!$BG$2:$BG$51,MATCH($C207,campaigns!$A$2:$A$51,0))),""),$A207,calendar!$A$2:$A$80)))</f>
        <v/>
      </c>
      <c r="K207" s="25">
        <f>IF($C207="","",IF(COUNTIF(campaigns!$A$2:$A$51,$C207)=0,"campaign_id not on campaigns; ",IF(AND($D207&lt;&gt;"",COUNTIFS(approvals!$A$2:$A$251,$C207,approvals!$B$2:$B$251,$D207)=0),"office not on this campaign (approvals tab); ",""))&amp;IF(COUNTIFS(counts!$C$2:$C$701,$C207,counts!$D$2:$D$701,$D207,counts!$E$2:$E$701,$E207)&gt;1,"two "&amp;$E207&amp;" counts: keep one; ","")&amp;IF(AND($E207="remaining_day5",N($J207)&lt;5),"day-5 count logged before day 5; ","")&amp;IF(AND($G207="photo",$H207=""),"which photo?; ",""))</f>
        <v/>
      </c>
    </row>
    <row r="208">
      <c r="A208" s="9" t="n"/>
      <c r="B208" s="33" t="n"/>
      <c r="J208" s="25">
        <f>IF(OR($C208="",$A208=""),"",IF($A208&lt;IFERROR(IF(INDEX(campaigns!$BG$2:$BG$51,MATCH($C208,campaigns!$A$2:$A$51,0))="","",INDEX(campaigns!$BG$2:$BG$51,MATCH($C208,campaigns!$A$2:$A$51,0))),""),0,NETWORKDAYS(IFERROR(IF(INDEX(campaigns!$BG$2:$BG$51,MATCH($C208,campaigns!$A$2:$A$51,0))="","",INDEX(campaigns!$BG$2:$BG$51,MATCH($C208,campaigns!$A$2:$A$51,0))),""),$A208,calendar!$A$2:$A$80)))</f>
        <v/>
      </c>
      <c r="K208" s="25">
        <f>IF($C208="","",IF(COUNTIF(campaigns!$A$2:$A$51,$C208)=0,"campaign_id not on campaigns; ",IF(AND($D208&lt;&gt;"",COUNTIFS(approvals!$A$2:$A$251,$C208,approvals!$B$2:$B$251,$D208)=0),"office not on this campaign (approvals tab); ",""))&amp;IF(COUNTIFS(counts!$C$2:$C$701,$C208,counts!$D$2:$D$701,$D208,counts!$E$2:$E$701,$E208)&gt;1,"two "&amp;$E208&amp;" counts: keep one; ","")&amp;IF(AND($E208="remaining_day5",N($J208)&lt;5),"day-5 count logged before day 5; ","")&amp;IF(AND($G208="photo",$H208=""),"which photo?; ",""))</f>
        <v/>
      </c>
    </row>
    <row r="209">
      <c r="A209" s="9" t="n"/>
      <c r="B209" s="33" t="n"/>
      <c r="J209" s="25">
        <f>IF(OR($C209="",$A209=""),"",IF($A209&lt;IFERROR(IF(INDEX(campaigns!$BG$2:$BG$51,MATCH($C209,campaigns!$A$2:$A$51,0))="","",INDEX(campaigns!$BG$2:$BG$51,MATCH($C209,campaigns!$A$2:$A$51,0))),""),0,NETWORKDAYS(IFERROR(IF(INDEX(campaigns!$BG$2:$BG$51,MATCH($C209,campaigns!$A$2:$A$51,0))="","",INDEX(campaigns!$BG$2:$BG$51,MATCH($C209,campaigns!$A$2:$A$51,0))),""),$A209,calendar!$A$2:$A$80)))</f>
        <v/>
      </c>
      <c r="K209" s="25">
        <f>IF($C209="","",IF(COUNTIF(campaigns!$A$2:$A$51,$C209)=0,"campaign_id not on campaigns; ",IF(AND($D209&lt;&gt;"",COUNTIFS(approvals!$A$2:$A$251,$C209,approvals!$B$2:$B$251,$D209)=0),"office not on this campaign (approvals tab); ",""))&amp;IF(COUNTIFS(counts!$C$2:$C$701,$C209,counts!$D$2:$D$701,$D209,counts!$E$2:$E$701,$E209)&gt;1,"two "&amp;$E209&amp;" counts: keep one; ","")&amp;IF(AND($E209="remaining_day5",N($J209)&lt;5),"day-5 count logged before day 5; ","")&amp;IF(AND($G209="photo",$H209=""),"which photo?; ",""))</f>
        <v/>
      </c>
    </row>
    <row r="210">
      <c r="A210" s="9" t="n"/>
      <c r="B210" s="33" t="n"/>
      <c r="J210" s="25">
        <f>IF(OR($C210="",$A210=""),"",IF($A210&lt;IFERROR(IF(INDEX(campaigns!$BG$2:$BG$51,MATCH($C210,campaigns!$A$2:$A$51,0))="","",INDEX(campaigns!$BG$2:$BG$51,MATCH($C210,campaigns!$A$2:$A$51,0))),""),0,NETWORKDAYS(IFERROR(IF(INDEX(campaigns!$BG$2:$BG$51,MATCH($C210,campaigns!$A$2:$A$51,0))="","",INDEX(campaigns!$BG$2:$BG$51,MATCH($C210,campaigns!$A$2:$A$51,0))),""),$A210,calendar!$A$2:$A$80)))</f>
        <v/>
      </c>
      <c r="K210" s="25">
        <f>IF($C210="","",IF(COUNTIF(campaigns!$A$2:$A$51,$C210)=0,"campaign_id not on campaigns; ",IF(AND($D210&lt;&gt;"",COUNTIFS(approvals!$A$2:$A$251,$C210,approvals!$B$2:$B$251,$D210)=0),"office not on this campaign (approvals tab); ",""))&amp;IF(COUNTIFS(counts!$C$2:$C$701,$C210,counts!$D$2:$D$701,$D210,counts!$E$2:$E$701,$E210)&gt;1,"two "&amp;$E210&amp;" counts: keep one; ","")&amp;IF(AND($E210="remaining_day5",N($J210)&lt;5),"day-5 count logged before day 5; ","")&amp;IF(AND($G210="photo",$H210=""),"which photo?; ",""))</f>
        <v/>
      </c>
    </row>
    <row r="211">
      <c r="A211" s="9" t="n"/>
      <c r="B211" s="33" t="n"/>
      <c r="J211" s="25">
        <f>IF(OR($C211="",$A211=""),"",IF($A211&lt;IFERROR(IF(INDEX(campaigns!$BG$2:$BG$51,MATCH($C211,campaigns!$A$2:$A$51,0))="","",INDEX(campaigns!$BG$2:$BG$51,MATCH($C211,campaigns!$A$2:$A$51,0))),""),0,NETWORKDAYS(IFERROR(IF(INDEX(campaigns!$BG$2:$BG$51,MATCH($C211,campaigns!$A$2:$A$51,0))="","",INDEX(campaigns!$BG$2:$BG$51,MATCH($C211,campaigns!$A$2:$A$51,0))),""),$A211,calendar!$A$2:$A$80)))</f>
        <v/>
      </c>
      <c r="K211" s="25">
        <f>IF($C211="","",IF(COUNTIF(campaigns!$A$2:$A$51,$C211)=0,"campaign_id not on campaigns; ",IF(AND($D211&lt;&gt;"",COUNTIFS(approvals!$A$2:$A$251,$C211,approvals!$B$2:$B$251,$D211)=0),"office not on this campaign (approvals tab); ",""))&amp;IF(COUNTIFS(counts!$C$2:$C$701,$C211,counts!$D$2:$D$701,$D211,counts!$E$2:$E$701,$E211)&gt;1,"two "&amp;$E211&amp;" counts: keep one; ","")&amp;IF(AND($E211="remaining_day5",N($J211)&lt;5),"day-5 count logged before day 5; ","")&amp;IF(AND($G211="photo",$H211=""),"which photo?; ",""))</f>
        <v/>
      </c>
    </row>
    <row r="212">
      <c r="A212" s="9" t="n"/>
      <c r="B212" s="33" t="n"/>
      <c r="J212" s="25">
        <f>IF(OR($C212="",$A212=""),"",IF($A212&lt;IFERROR(IF(INDEX(campaigns!$BG$2:$BG$51,MATCH($C212,campaigns!$A$2:$A$51,0))="","",INDEX(campaigns!$BG$2:$BG$51,MATCH($C212,campaigns!$A$2:$A$51,0))),""),0,NETWORKDAYS(IFERROR(IF(INDEX(campaigns!$BG$2:$BG$51,MATCH($C212,campaigns!$A$2:$A$51,0))="","",INDEX(campaigns!$BG$2:$BG$51,MATCH($C212,campaigns!$A$2:$A$51,0))),""),$A212,calendar!$A$2:$A$80)))</f>
        <v/>
      </c>
      <c r="K212" s="25">
        <f>IF($C212="","",IF(COUNTIF(campaigns!$A$2:$A$51,$C212)=0,"campaign_id not on campaigns; ",IF(AND($D212&lt;&gt;"",COUNTIFS(approvals!$A$2:$A$251,$C212,approvals!$B$2:$B$251,$D212)=0),"office not on this campaign (approvals tab); ",""))&amp;IF(COUNTIFS(counts!$C$2:$C$701,$C212,counts!$D$2:$D$701,$D212,counts!$E$2:$E$701,$E212)&gt;1,"two "&amp;$E212&amp;" counts: keep one; ","")&amp;IF(AND($E212="remaining_day5",N($J212)&lt;5),"day-5 count logged before day 5; ","")&amp;IF(AND($G212="photo",$H212=""),"which photo?; ",""))</f>
        <v/>
      </c>
    </row>
    <row r="213">
      <c r="A213" s="9" t="n"/>
      <c r="B213" s="33" t="n"/>
      <c r="J213" s="25">
        <f>IF(OR($C213="",$A213=""),"",IF($A213&lt;IFERROR(IF(INDEX(campaigns!$BG$2:$BG$51,MATCH($C213,campaigns!$A$2:$A$51,0))="","",INDEX(campaigns!$BG$2:$BG$51,MATCH($C213,campaigns!$A$2:$A$51,0))),""),0,NETWORKDAYS(IFERROR(IF(INDEX(campaigns!$BG$2:$BG$51,MATCH($C213,campaigns!$A$2:$A$51,0))="","",INDEX(campaigns!$BG$2:$BG$51,MATCH($C213,campaigns!$A$2:$A$51,0))),""),$A213,calendar!$A$2:$A$80)))</f>
        <v/>
      </c>
      <c r="K213" s="25">
        <f>IF($C213="","",IF(COUNTIF(campaigns!$A$2:$A$51,$C213)=0,"campaign_id not on campaigns; ",IF(AND($D213&lt;&gt;"",COUNTIFS(approvals!$A$2:$A$251,$C213,approvals!$B$2:$B$251,$D213)=0),"office not on this campaign (approvals tab); ",""))&amp;IF(COUNTIFS(counts!$C$2:$C$701,$C213,counts!$D$2:$D$701,$D213,counts!$E$2:$E$701,$E213)&gt;1,"two "&amp;$E213&amp;" counts: keep one; ","")&amp;IF(AND($E213="remaining_day5",N($J213)&lt;5),"day-5 count logged before day 5; ","")&amp;IF(AND($G213="photo",$H213=""),"which photo?; ",""))</f>
        <v/>
      </c>
    </row>
    <row r="214">
      <c r="A214" s="9" t="n"/>
      <c r="B214" s="33" t="n"/>
      <c r="J214" s="25">
        <f>IF(OR($C214="",$A214=""),"",IF($A214&lt;IFERROR(IF(INDEX(campaigns!$BG$2:$BG$51,MATCH($C214,campaigns!$A$2:$A$51,0))="","",INDEX(campaigns!$BG$2:$BG$51,MATCH($C214,campaigns!$A$2:$A$51,0))),""),0,NETWORKDAYS(IFERROR(IF(INDEX(campaigns!$BG$2:$BG$51,MATCH($C214,campaigns!$A$2:$A$51,0))="","",INDEX(campaigns!$BG$2:$BG$51,MATCH($C214,campaigns!$A$2:$A$51,0))),""),$A214,calendar!$A$2:$A$80)))</f>
        <v/>
      </c>
      <c r="K214" s="25">
        <f>IF($C214="","",IF(COUNTIF(campaigns!$A$2:$A$51,$C214)=0,"campaign_id not on campaigns; ",IF(AND($D214&lt;&gt;"",COUNTIFS(approvals!$A$2:$A$251,$C214,approvals!$B$2:$B$251,$D214)=0),"office not on this campaign (approvals tab); ",""))&amp;IF(COUNTIFS(counts!$C$2:$C$701,$C214,counts!$D$2:$D$701,$D214,counts!$E$2:$E$701,$E214)&gt;1,"two "&amp;$E214&amp;" counts: keep one; ","")&amp;IF(AND($E214="remaining_day5",N($J214)&lt;5),"day-5 count logged before day 5; ","")&amp;IF(AND($G214="photo",$H214=""),"which photo?; ",""))</f>
        <v/>
      </c>
    </row>
    <row r="215">
      <c r="A215" s="9" t="n"/>
      <c r="B215" s="33" t="n"/>
      <c r="J215" s="25">
        <f>IF(OR($C215="",$A215=""),"",IF($A215&lt;IFERROR(IF(INDEX(campaigns!$BG$2:$BG$51,MATCH($C215,campaigns!$A$2:$A$51,0))="","",INDEX(campaigns!$BG$2:$BG$51,MATCH($C215,campaigns!$A$2:$A$51,0))),""),0,NETWORKDAYS(IFERROR(IF(INDEX(campaigns!$BG$2:$BG$51,MATCH($C215,campaigns!$A$2:$A$51,0))="","",INDEX(campaigns!$BG$2:$BG$51,MATCH($C215,campaigns!$A$2:$A$51,0))),""),$A215,calendar!$A$2:$A$80)))</f>
        <v/>
      </c>
      <c r="K215" s="25">
        <f>IF($C215="","",IF(COUNTIF(campaigns!$A$2:$A$51,$C215)=0,"campaign_id not on campaigns; ",IF(AND($D215&lt;&gt;"",COUNTIFS(approvals!$A$2:$A$251,$C215,approvals!$B$2:$B$251,$D215)=0),"office not on this campaign (approvals tab); ",""))&amp;IF(COUNTIFS(counts!$C$2:$C$701,$C215,counts!$D$2:$D$701,$D215,counts!$E$2:$E$701,$E215)&gt;1,"two "&amp;$E215&amp;" counts: keep one; ","")&amp;IF(AND($E215="remaining_day5",N($J215)&lt;5),"day-5 count logged before day 5; ","")&amp;IF(AND($G215="photo",$H215=""),"which photo?; ",""))</f>
        <v/>
      </c>
    </row>
    <row r="216">
      <c r="A216" s="9" t="n"/>
      <c r="B216" s="33" t="n"/>
      <c r="J216" s="25">
        <f>IF(OR($C216="",$A216=""),"",IF($A216&lt;IFERROR(IF(INDEX(campaigns!$BG$2:$BG$51,MATCH($C216,campaigns!$A$2:$A$51,0))="","",INDEX(campaigns!$BG$2:$BG$51,MATCH($C216,campaigns!$A$2:$A$51,0))),""),0,NETWORKDAYS(IFERROR(IF(INDEX(campaigns!$BG$2:$BG$51,MATCH($C216,campaigns!$A$2:$A$51,0))="","",INDEX(campaigns!$BG$2:$BG$51,MATCH($C216,campaigns!$A$2:$A$51,0))),""),$A216,calendar!$A$2:$A$80)))</f>
        <v/>
      </c>
      <c r="K216" s="25">
        <f>IF($C216="","",IF(COUNTIF(campaigns!$A$2:$A$51,$C216)=0,"campaign_id not on campaigns; ",IF(AND($D216&lt;&gt;"",COUNTIFS(approvals!$A$2:$A$251,$C216,approvals!$B$2:$B$251,$D216)=0),"office not on this campaign (approvals tab); ",""))&amp;IF(COUNTIFS(counts!$C$2:$C$701,$C216,counts!$D$2:$D$701,$D216,counts!$E$2:$E$701,$E216)&gt;1,"two "&amp;$E216&amp;" counts: keep one; ","")&amp;IF(AND($E216="remaining_day5",N($J216)&lt;5),"day-5 count logged before day 5; ","")&amp;IF(AND($G216="photo",$H216=""),"which photo?; ",""))</f>
        <v/>
      </c>
    </row>
    <row r="217">
      <c r="A217" s="9" t="n"/>
      <c r="B217" s="33" t="n"/>
      <c r="J217" s="25">
        <f>IF(OR($C217="",$A217=""),"",IF($A217&lt;IFERROR(IF(INDEX(campaigns!$BG$2:$BG$51,MATCH($C217,campaigns!$A$2:$A$51,0))="","",INDEX(campaigns!$BG$2:$BG$51,MATCH($C217,campaigns!$A$2:$A$51,0))),""),0,NETWORKDAYS(IFERROR(IF(INDEX(campaigns!$BG$2:$BG$51,MATCH($C217,campaigns!$A$2:$A$51,0))="","",INDEX(campaigns!$BG$2:$BG$51,MATCH($C217,campaigns!$A$2:$A$51,0))),""),$A217,calendar!$A$2:$A$80)))</f>
        <v/>
      </c>
      <c r="K217" s="25">
        <f>IF($C217="","",IF(COUNTIF(campaigns!$A$2:$A$51,$C217)=0,"campaign_id not on campaigns; ",IF(AND($D217&lt;&gt;"",COUNTIFS(approvals!$A$2:$A$251,$C217,approvals!$B$2:$B$251,$D217)=0),"office not on this campaign (approvals tab); ",""))&amp;IF(COUNTIFS(counts!$C$2:$C$701,$C217,counts!$D$2:$D$701,$D217,counts!$E$2:$E$701,$E217)&gt;1,"two "&amp;$E217&amp;" counts: keep one; ","")&amp;IF(AND($E217="remaining_day5",N($J217)&lt;5),"day-5 count logged before day 5; ","")&amp;IF(AND($G217="photo",$H217=""),"which photo?; ",""))</f>
        <v/>
      </c>
    </row>
    <row r="218">
      <c r="A218" s="9" t="n"/>
      <c r="B218" s="33" t="n"/>
      <c r="J218" s="25">
        <f>IF(OR($C218="",$A218=""),"",IF($A218&lt;IFERROR(IF(INDEX(campaigns!$BG$2:$BG$51,MATCH($C218,campaigns!$A$2:$A$51,0))="","",INDEX(campaigns!$BG$2:$BG$51,MATCH($C218,campaigns!$A$2:$A$51,0))),""),0,NETWORKDAYS(IFERROR(IF(INDEX(campaigns!$BG$2:$BG$51,MATCH($C218,campaigns!$A$2:$A$51,0))="","",INDEX(campaigns!$BG$2:$BG$51,MATCH($C218,campaigns!$A$2:$A$51,0))),""),$A218,calendar!$A$2:$A$80)))</f>
        <v/>
      </c>
      <c r="K218" s="25">
        <f>IF($C218="","",IF(COUNTIF(campaigns!$A$2:$A$51,$C218)=0,"campaign_id not on campaigns; ",IF(AND($D218&lt;&gt;"",COUNTIFS(approvals!$A$2:$A$251,$C218,approvals!$B$2:$B$251,$D218)=0),"office not on this campaign (approvals tab); ",""))&amp;IF(COUNTIFS(counts!$C$2:$C$701,$C218,counts!$D$2:$D$701,$D218,counts!$E$2:$E$701,$E218)&gt;1,"two "&amp;$E218&amp;" counts: keep one; ","")&amp;IF(AND($E218="remaining_day5",N($J218)&lt;5),"day-5 count logged before day 5; ","")&amp;IF(AND($G218="photo",$H218=""),"which photo?; ",""))</f>
        <v/>
      </c>
    </row>
    <row r="219">
      <c r="A219" s="9" t="n"/>
      <c r="B219" s="33" t="n"/>
      <c r="J219" s="25">
        <f>IF(OR($C219="",$A219=""),"",IF($A219&lt;IFERROR(IF(INDEX(campaigns!$BG$2:$BG$51,MATCH($C219,campaigns!$A$2:$A$51,0))="","",INDEX(campaigns!$BG$2:$BG$51,MATCH($C219,campaigns!$A$2:$A$51,0))),""),0,NETWORKDAYS(IFERROR(IF(INDEX(campaigns!$BG$2:$BG$51,MATCH($C219,campaigns!$A$2:$A$51,0))="","",INDEX(campaigns!$BG$2:$BG$51,MATCH($C219,campaigns!$A$2:$A$51,0))),""),$A219,calendar!$A$2:$A$80)))</f>
        <v/>
      </c>
      <c r="K219" s="25">
        <f>IF($C219="","",IF(COUNTIF(campaigns!$A$2:$A$51,$C219)=0,"campaign_id not on campaigns; ",IF(AND($D219&lt;&gt;"",COUNTIFS(approvals!$A$2:$A$251,$C219,approvals!$B$2:$B$251,$D219)=0),"office not on this campaign (approvals tab); ",""))&amp;IF(COUNTIFS(counts!$C$2:$C$701,$C219,counts!$D$2:$D$701,$D219,counts!$E$2:$E$701,$E219)&gt;1,"two "&amp;$E219&amp;" counts: keep one; ","")&amp;IF(AND($E219="remaining_day5",N($J219)&lt;5),"day-5 count logged before day 5; ","")&amp;IF(AND($G219="photo",$H219=""),"which photo?; ",""))</f>
        <v/>
      </c>
    </row>
    <row r="220">
      <c r="A220" s="9" t="n"/>
      <c r="B220" s="33" t="n"/>
      <c r="J220" s="25">
        <f>IF(OR($C220="",$A220=""),"",IF($A220&lt;IFERROR(IF(INDEX(campaigns!$BG$2:$BG$51,MATCH($C220,campaigns!$A$2:$A$51,0))="","",INDEX(campaigns!$BG$2:$BG$51,MATCH($C220,campaigns!$A$2:$A$51,0))),""),0,NETWORKDAYS(IFERROR(IF(INDEX(campaigns!$BG$2:$BG$51,MATCH($C220,campaigns!$A$2:$A$51,0))="","",INDEX(campaigns!$BG$2:$BG$51,MATCH($C220,campaigns!$A$2:$A$51,0))),""),$A220,calendar!$A$2:$A$80)))</f>
        <v/>
      </c>
      <c r="K220" s="25">
        <f>IF($C220="","",IF(COUNTIF(campaigns!$A$2:$A$51,$C220)=0,"campaign_id not on campaigns; ",IF(AND($D220&lt;&gt;"",COUNTIFS(approvals!$A$2:$A$251,$C220,approvals!$B$2:$B$251,$D220)=0),"office not on this campaign (approvals tab); ",""))&amp;IF(COUNTIFS(counts!$C$2:$C$701,$C220,counts!$D$2:$D$701,$D220,counts!$E$2:$E$701,$E220)&gt;1,"two "&amp;$E220&amp;" counts: keep one; ","")&amp;IF(AND($E220="remaining_day5",N($J220)&lt;5),"day-5 count logged before day 5; ","")&amp;IF(AND($G220="photo",$H220=""),"which photo?; ",""))</f>
        <v/>
      </c>
    </row>
    <row r="221">
      <c r="A221" s="9" t="n"/>
      <c r="B221" s="33" t="n"/>
      <c r="J221" s="25">
        <f>IF(OR($C221="",$A221=""),"",IF($A221&lt;IFERROR(IF(INDEX(campaigns!$BG$2:$BG$51,MATCH($C221,campaigns!$A$2:$A$51,0))="","",INDEX(campaigns!$BG$2:$BG$51,MATCH($C221,campaigns!$A$2:$A$51,0))),""),0,NETWORKDAYS(IFERROR(IF(INDEX(campaigns!$BG$2:$BG$51,MATCH($C221,campaigns!$A$2:$A$51,0))="","",INDEX(campaigns!$BG$2:$BG$51,MATCH($C221,campaigns!$A$2:$A$51,0))),""),$A221,calendar!$A$2:$A$80)))</f>
        <v/>
      </c>
      <c r="K221" s="25">
        <f>IF($C221="","",IF(COUNTIF(campaigns!$A$2:$A$51,$C221)=0,"campaign_id not on campaigns; ",IF(AND($D221&lt;&gt;"",COUNTIFS(approvals!$A$2:$A$251,$C221,approvals!$B$2:$B$251,$D221)=0),"office not on this campaign (approvals tab); ",""))&amp;IF(COUNTIFS(counts!$C$2:$C$701,$C221,counts!$D$2:$D$701,$D221,counts!$E$2:$E$701,$E221)&gt;1,"two "&amp;$E221&amp;" counts: keep one; ","")&amp;IF(AND($E221="remaining_day5",N($J221)&lt;5),"day-5 count logged before day 5; ","")&amp;IF(AND($G221="photo",$H221=""),"which photo?; ",""))</f>
        <v/>
      </c>
    </row>
    <row r="222">
      <c r="A222" s="9" t="n"/>
      <c r="B222" s="33" t="n"/>
      <c r="J222" s="25">
        <f>IF(OR($C222="",$A222=""),"",IF($A222&lt;IFERROR(IF(INDEX(campaigns!$BG$2:$BG$51,MATCH($C222,campaigns!$A$2:$A$51,0))="","",INDEX(campaigns!$BG$2:$BG$51,MATCH($C222,campaigns!$A$2:$A$51,0))),""),0,NETWORKDAYS(IFERROR(IF(INDEX(campaigns!$BG$2:$BG$51,MATCH($C222,campaigns!$A$2:$A$51,0))="","",INDEX(campaigns!$BG$2:$BG$51,MATCH($C222,campaigns!$A$2:$A$51,0))),""),$A222,calendar!$A$2:$A$80)))</f>
        <v/>
      </c>
      <c r="K222" s="25">
        <f>IF($C222="","",IF(COUNTIF(campaigns!$A$2:$A$51,$C222)=0,"campaign_id not on campaigns; ",IF(AND($D222&lt;&gt;"",COUNTIFS(approvals!$A$2:$A$251,$C222,approvals!$B$2:$B$251,$D222)=0),"office not on this campaign (approvals tab); ",""))&amp;IF(COUNTIFS(counts!$C$2:$C$701,$C222,counts!$D$2:$D$701,$D222,counts!$E$2:$E$701,$E222)&gt;1,"two "&amp;$E222&amp;" counts: keep one; ","")&amp;IF(AND($E222="remaining_day5",N($J222)&lt;5),"day-5 count logged before day 5; ","")&amp;IF(AND($G222="photo",$H222=""),"which photo?; ",""))</f>
        <v/>
      </c>
    </row>
    <row r="223">
      <c r="A223" s="9" t="n"/>
      <c r="B223" s="33" t="n"/>
      <c r="J223" s="25">
        <f>IF(OR($C223="",$A223=""),"",IF($A223&lt;IFERROR(IF(INDEX(campaigns!$BG$2:$BG$51,MATCH($C223,campaigns!$A$2:$A$51,0))="","",INDEX(campaigns!$BG$2:$BG$51,MATCH($C223,campaigns!$A$2:$A$51,0))),""),0,NETWORKDAYS(IFERROR(IF(INDEX(campaigns!$BG$2:$BG$51,MATCH($C223,campaigns!$A$2:$A$51,0))="","",INDEX(campaigns!$BG$2:$BG$51,MATCH($C223,campaigns!$A$2:$A$51,0))),""),$A223,calendar!$A$2:$A$80)))</f>
        <v/>
      </c>
      <c r="K223" s="25">
        <f>IF($C223="","",IF(COUNTIF(campaigns!$A$2:$A$51,$C223)=0,"campaign_id not on campaigns; ",IF(AND($D223&lt;&gt;"",COUNTIFS(approvals!$A$2:$A$251,$C223,approvals!$B$2:$B$251,$D223)=0),"office not on this campaign (approvals tab); ",""))&amp;IF(COUNTIFS(counts!$C$2:$C$701,$C223,counts!$D$2:$D$701,$D223,counts!$E$2:$E$701,$E223)&gt;1,"two "&amp;$E223&amp;" counts: keep one; ","")&amp;IF(AND($E223="remaining_day5",N($J223)&lt;5),"day-5 count logged before day 5; ","")&amp;IF(AND($G223="photo",$H223=""),"which photo?; ",""))</f>
        <v/>
      </c>
    </row>
    <row r="224">
      <c r="A224" s="9" t="n"/>
      <c r="B224" s="33" t="n"/>
      <c r="J224" s="25">
        <f>IF(OR($C224="",$A224=""),"",IF($A224&lt;IFERROR(IF(INDEX(campaigns!$BG$2:$BG$51,MATCH($C224,campaigns!$A$2:$A$51,0))="","",INDEX(campaigns!$BG$2:$BG$51,MATCH($C224,campaigns!$A$2:$A$51,0))),""),0,NETWORKDAYS(IFERROR(IF(INDEX(campaigns!$BG$2:$BG$51,MATCH($C224,campaigns!$A$2:$A$51,0))="","",INDEX(campaigns!$BG$2:$BG$51,MATCH($C224,campaigns!$A$2:$A$51,0))),""),$A224,calendar!$A$2:$A$80)))</f>
        <v/>
      </c>
      <c r="K224" s="25">
        <f>IF($C224="","",IF(COUNTIF(campaigns!$A$2:$A$51,$C224)=0,"campaign_id not on campaigns; ",IF(AND($D224&lt;&gt;"",COUNTIFS(approvals!$A$2:$A$251,$C224,approvals!$B$2:$B$251,$D224)=0),"office not on this campaign (approvals tab); ",""))&amp;IF(COUNTIFS(counts!$C$2:$C$701,$C224,counts!$D$2:$D$701,$D224,counts!$E$2:$E$701,$E224)&gt;1,"two "&amp;$E224&amp;" counts: keep one; ","")&amp;IF(AND($E224="remaining_day5",N($J224)&lt;5),"day-5 count logged before day 5; ","")&amp;IF(AND($G224="photo",$H224=""),"which photo?; ",""))</f>
        <v/>
      </c>
    </row>
    <row r="225">
      <c r="A225" s="9" t="n"/>
      <c r="B225" s="33" t="n"/>
      <c r="J225" s="25">
        <f>IF(OR($C225="",$A225=""),"",IF($A225&lt;IFERROR(IF(INDEX(campaigns!$BG$2:$BG$51,MATCH($C225,campaigns!$A$2:$A$51,0))="","",INDEX(campaigns!$BG$2:$BG$51,MATCH($C225,campaigns!$A$2:$A$51,0))),""),0,NETWORKDAYS(IFERROR(IF(INDEX(campaigns!$BG$2:$BG$51,MATCH($C225,campaigns!$A$2:$A$51,0))="","",INDEX(campaigns!$BG$2:$BG$51,MATCH($C225,campaigns!$A$2:$A$51,0))),""),$A225,calendar!$A$2:$A$80)))</f>
        <v/>
      </c>
      <c r="K225" s="25">
        <f>IF($C225="","",IF(COUNTIF(campaigns!$A$2:$A$51,$C225)=0,"campaign_id not on campaigns; ",IF(AND($D225&lt;&gt;"",COUNTIFS(approvals!$A$2:$A$251,$C225,approvals!$B$2:$B$251,$D225)=0),"office not on this campaign (approvals tab); ",""))&amp;IF(COUNTIFS(counts!$C$2:$C$701,$C225,counts!$D$2:$D$701,$D225,counts!$E$2:$E$701,$E225)&gt;1,"two "&amp;$E225&amp;" counts: keep one; ","")&amp;IF(AND($E225="remaining_day5",N($J225)&lt;5),"day-5 count logged before day 5; ","")&amp;IF(AND($G225="photo",$H225=""),"which photo?; ",""))</f>
        <v/>
      </c>
    </row>
    <row r="226">
      <c r="A226" s="9" t="n"/>
      <c r="B226" s="33" t="n"/>
      <c r="J226" s="25">
        <f>IF(OR($C226="",$A226=""),"",IF($A226&lt;IFERROR(IF(INDEX(campaigns!$BG$2:$BG$51,MATCH($C226,campaigns!$A$2:$A$51,0))="","",INDEX(campaigns!$BG$2:$BG$51,MATCH($C226,campaigns!$A$2:$A$51,0))),""),0,NETWORKDAYS(IFERROR(IF(INDEX(campaigns!$BG$2:$BG$51,MATCH($C226,campaigns!$A$2:$A$51,0))="","",INDEX(campaigns!$BG$2:$BG$51,MATCH($C226,campaigns!$A$2:$A$51,0))),""),$A226,calendar!$A$2:$A$80)))</f>
        <v/>
      </c>
      <c r="K226" s="25">
        <f>IF($C226="","",IF(COUNTIF(campaigns!$A$2:$A$51,$C226)=0,"campaign_id not on campaigns; ",IF(AND($D226&lt;&gt;"",COUNTIFS(approvals!$A$2:$A$251,$C226,approvals!$B$2:$B$251,$D226)=0),"office not on this campaign (approvals tab); ",""))&amp;IF(COUNTIFS(counts!$C$2:$C$701,$C226,counts!$D$2:$D$701,$D226,counts!$E$2:$E$701,$E226)&gt;1,"two "&amp;$E226&amp;" counts: keep one; ","")&amp;IF(AND($E226="remaining_day5",N($J226)&lt;5),"day-5 count logged before day 5; ","")&amp;IF(AND($G226="photo",$H226=""),"which photo?; ",""))</f>
        <v/>
      </c>
    </row>
    <row r="227">
      <c r="A227" s="9" t="n"/>
      <c r="B227" s="33" t="n"/>
      <c r="J227" s="25">
        <f>IF(OR($C227="",$A227=""),"",IF($A227&lt;IFERROR(IF(INDEX(campaigns!$BG$2:$BG$51,MATCH($C227,campaigns!$A$2:$A$51,0))="","",INDEX(campaigns!$BG$2:$BG$51,MATCH($C227,campaigns!$A$2:$A$51,0))),""),0,NETWORKDAYS(IFERROR(IF(INDEX(campaigns!$BG$2:$BG$51,MATCH($C227,campaigns!$A$2:$A$51,0))="","",INDEX(campaigns!$BG$2:$BG$51,MATCH($C227,campaigns!$A$2:$A$51,0))),""),$A227,calendar!$A$2:$A$80)))</f>
        <v/>
      </c>
      <c r="K227" s="25">
        <f>IF($C227="","",IF(COUNTIF(campaigns!$A$2:$A$51,$C227)=0,"campaign_id not on campaigns; ",IF(AND($D227&lt;&gt;"",COUNTIFS(approvals!$A$2:$A$251,$C227,approvals!$B$2:$B$251,$D227)=0),"office not on this campaign (approvals tab); ",""))&amp;IF(COUNTIFS(counts!$C$2:$C$701,$C227,counts!$D$2:$D$701,$D227,counts!$E$2:$E$701,$E227)&gt;1,"two "&amp;$E227&amp;" counts: keep one; ","")&amp;IF(AND($E227="remaining_day5",N($J227)&lt;5),"day-5 count logged before day 5; ","")&amp;IF(AND($G227="photo",$H227=""),"which photo?; ",""))</f>
        <v/>
      </c>
    </row>
    <row r="228">
      <c r="A228" s="9" t="n"/>
      <c r="B228" s="33" t="n"/>
      <c r="J228" s="25">
        <f>IF(OR($C228="",$A228=""),"",IF($A228&lt;IFERROR(IF(INDEX(campaigns!$BG$2:$BG$51,MATCH($C228,campaigns!$A$2:$A$51,0))="","",INDEX(campaigns!$BG$2:$BG$51,MATCH($C228,campaigns!$A$2:$A$51,0))),""),0,NETWORKDAYS(IFERROR(IF(INDEX(campaigns!$BG$2:$BG$51,MATCH($C228,campaigns!$A$2:$A$51,0))="","",INDEX(campaigns!$BG$2:$BG$51,MATCH($C228,campaigns!$A$2:$A$51,0))),""),$A228,calendar!$A$2:$A$80)))</f>
        <v/>
      </c>
      <c r="K228" s="25">
        <f>IF($C228="","",IF(COUNTIF(campaigns!$A$2:$A$51,$C228)=0,"campaign_id not on campaigns; ",IF(AND($D228&lt;&gt;"",COUNTIFS(approvals!$A$2:$A$251,$C228,approvals!$B$2:$B$251,$D228)=0),"office not on this campaign (approvals tab); ",""))&amp;IF(COUNTIFS(counts!$C$2:$C$701,$C228,counts!$D$2:$D$701,$D228,counts!$E$2:$E$701,$E228)&gt;1,"two "&amp;$E228&amp;" counts: keep one; ","")&amp;IF(AND($E228="remaining_day5",N($J228)&lt;5),"day-5 count logged before day 5; ","")&amp;IF(AND($G228="photo",$H228=""),"which photo?; ",""))</f>
        <v/>
      </c>
    </row>
    <row r="229">
      <c r="A229" s="9" t="n"/>
      <c r="B229" s="33" t="n"/>
      <c r="J229" s="25">
        <f>IF(OR($C229="",$A229=""),"",IF($A229&lt;IFERROR(IF(INDEX(campaigns!$BG$2:$BG$51,MATCH($C229,campaigns!$A$2:$A$51,0))="","",INDEX(campaigns!$BG$2:$BG$51,MATCH($C229,campaigns!$A$2:$A$51,0))),""),0,NETWORKDAYS(IFERROR(IF(INDEX(campaigns!$BG$2:$BG$51,MATCH($C229,campaigns!$A$2:$A$51,0))="","",INDEX(campaigns!$BG$2:$BG$51,MATCH($C229,campaigns!$A$2:$A$51,0))),""),$A229,calendar!$A$2:$A$80)))</f>
        <v/>
      </c>
      <c r="K229" s="25">
        <f>IF($C229="","",IF(COUNTIF(campaigns!$A$2:$A$51,$C229)=0,"campaign_id not on campaigns; ",IF(AND($D229&lt;&gt;"",COUNTIFS(approvals!$A$2:$A$251,$C229,approvals!$B$2:$B$251,$D229)=0),"office not on this campaign (approvals tab); ",""))&amp;IF(COUNTIFS(counts!$C$2:$C$701,$C229,counts!$D$2:$D$701,$D229,counts!$E$2:$E$701,$E229)&gt;1,"two "&amp;$E229&amp;" counts: keep one; ","")&amp;IF(AND($E229="remaining_day5",N($J229)&lt;5),"day-5 count logged before day 5; ","")&amp;IF(AND($G229="photo",$H229=""),"which photo?; ",""))</f>
        <v/>
      </c>
    </row>
    <row r="230">
      <c r="A230" s="9" t="n"/>
      <c r="B230" s="33" t="n"/>
      <c r="J230" s="25">
        <f>IF(OR($C230="",$A230=""),"",IF($A230&lt;IFERROR(IF(INDEX(campaigns!$BG$2:$BG$51,MATCH($C230,campaigns!$A$2:$A$51,0))="","",INDEX(campaigns!$BG$2:$BG$51,MATCH($C230,campaigns!$A$2:$A$51,0))),""),0,NETWORKDAYS(IFERROR(IF(INDEX(campaigns!$BG$2:$BG$51,MATCH($C230,campaigns!$A$2:$A$51,0))="","",INDEX(campaigns!$BG$2:$BG$51,MATCH($C230,campaigns!$A$2:$A$51,0))),""),$A230,calendar!$A$2:$A$80)))</f>
        <v/>
      </c>
      <c r="K230" s="25">
        <f>IF($C230="","",IF(COUNTIF(campaigns!$A$2:$A$51,$C230)=0,"campaign_id not on campaigns; ",IF(AND($D230&lt;&gt;"",COUNTIFS(approvals!$A$2:$A$251,$C230,approvals!$B$2:$B$251,$D230)=0),"office not on this campaign (approvals tab); ",""))&amp;IF(COUNTIFS(counts!$C$2:$C$701,$C230,counts!$D$2:$D$701,$D230,counts!$E$2:$E$701,$E230)&gt;1,"two "&amp;$E230&amp;" counts: keep one; ","")&amp;IF(AND($E230="remaining_day5",N($J230)&lt;5),"day-5 count logged before day 5; ","")&amp;IF(AND($G230="photo",$H230=""),"which photo?; ",""))</f>
        <v/>
      </c>
    </row>
    <row r="231">
      <c r="A231" s="9" t="n"/>
      <c r="B231" s="33" t="n"/>
      <c r="J231" s="25">
        <f>IF(OR($C231="",$A231=""),"",IF($A231&lt;IFERROR(IF(INDEX(campaigns!$BG$2:$BG$51,MATCH($C231,campaigns!$A$2:$A$51,0))="","",INDEX(campaigns!$BG$2:$BG$51,MATCH($C231,campaigns!$A$2:$A$51,0))),""),0,NETWORKDAYS(IFERROR(IF(INDEX(campaigns!$BG$2:$BG$51,MATCH($C231,campaigns!$A$2:$A$51,0))="","",INDEX(campaigns!$BG$2:$BG$51,MATCH($C231,campaigns!$A$2:$A$51,0))),""),$A231,calendar!$A$2:$A$80)))</f>
        <v/>
      </c>
      <c r="K231" s="25">
        <f>IF($C231="","",IF(COUNTIF(campaigns!$A$2:$A$51,$C231)=0,"campaign_id not on campaigns; ",IF(AND($D231&lt;&gt;"",COUNTIFS(approvals!$A$2:$A$251,$C231,approvals!$B$2:$B$251,$D231)=0),"office not on this campaign (approvals tab); ",""))&amp;IF(COUNTIFS(counts!$C$2:$C$701,$C231,counts!$D$2:$D$701,$D231,counts!$E$2:$E$701,$E231)&gt;1,"two "&amp;$E231&amp;" counts: keep one; ","")&amp;IF(AND($E231="remaining_day5",N($J231)&lt;5),"day-5 count logged before day 5; ","")&amp;IF(AND($G231="photo",$H231=""),"which photo?; ",""))</f>
        <v/>
      </c>
    </row>
    <row r="232">
      <c r="A232" s="9" t="n"/>
      <c r="B232" s="33" t="n"/>
      <c r="J232" s="25">
        <f>IF(OR($C232="",$A232=""),"",IF($A232&lt;IFERROR(IF(INDEX(campaigns!$BG$2:$BG$51,MATCH($C232,campaigns!$A$2:$A$51,0))="","",INDEX(campaigns!$BG$2:$BG$51,MATCH($C232,campaigns!$A$2:$A$51,0))),""),0,NETWORKDAYS(IFERROR(IF(INDEX(campaigns!$BG$2:$BG$51,MATCH($C232,campaigns!$A$2:$A$51,0))="","",INDEX(campaigns!$BG$2:$BG$51,MATCH($C232,campaigns!$A$2:$A$51,0))),""),$A232,calendar!$A$2:$A$80)))</f>
        <v/>
      </c>
      <c r="K232" s="25">
        <f>IF($C232="","",IF(COUNTIF(campaigns!$A$2:$A$51,$C232)=0,"campaign_id not on campaigns; ",IF(AND($D232&lt;&gt;"",COUNTIFS(approvals!$A$2:$A$251,$C232,approvals!$B$2:$B$251,$D232)=0),"office not on this campaign (approvals tab); ",""))&amp;IF(COUNTIFS(counts!$C$2:$C$701,$C232,counts!$D$2:$D$701,$D232,counts!$E$2:$E$701,$E232)&gt;1,"two "&amp;$E232&amp;" counts: keep one; ","")&amp;IF(AND($E232="remaining_day5",N($J232)&lt;5),"day-5 count logged before day 5; ","")&amp;IF(AND($G232="photo",$H232=""),"which photo?; ",""))</f>
        <v/>
      </c>
    </row>
    <row r="233">
      <c r="A233" s="9" t="n"/>
      <c r="B233" s="33" t="n"/>
      <c r="J233" s="25">
        <f>IF(OR($C233="",$A233=""),"",IF($A233&lt;IFERROR(IF(INDEX(campaigns!$BG$2:$BG$51,MATCH($C233,campaigns!$A$2:$A$51,0))="","",INDEX(campaigns!$BG$2:$BG$51,MATCH($C233,campaigns!$A$2:$A$51,0))),""),0,NETWORKDAYS(IFERROR(IF(INDEX(campaigns!$BG$2:$BG$51,MATCH($C233,campaigns!$A$2:$A$51,0))="","",INDEX(campaigns!$BG$2:$BG$51,MATCH($C233,campaigns!$A$2:$A$51,0))),""),$A233,calendar!$A$2:$A$80)))</f>
        <v/>
      </c>
      <c r="K233" s="25">
        <f>IF($C233="","",IF(COUNTIF(campaigns!$A$2:$A$51,$C233)=0,"campaign_id not on campaigns; ",IF(AND($D233&lt;&gt;"",COUNTIFS(approvals!$A$2:$A$251,$C233,approvals!$B$2:$B$251,$D233)=0),"office not on this campaign (approvals tab); ",""))&amp;IF(COUNTIFS(counts!$C$2:$C$701,$C233,counts!$D$2:$D$701,$D233,counts!$E$2:$E$701,$E233)&gt;1,"two "&amp;$E233&amp;" counts: keep one; ","")&amp;IF(AND($E233="remaining_day5",N($J233)&lt;5),"day-5 count logged before day 5; ","")&amp;IF(AND($G233="photo",$H233=""),"which photo?; ",""))</f>
        <v/>
      </c>
    </row>
    <row r="234">
      <c r="A234" s="9" t="n"/>
      <c r="B234" s="33" t="n"/>
      <c r="J234" s="25">
        <f>IF(OR($C234="",$A234=""),"",IF($A234&lt;IFERROR(IF(INDEX(campaigns!$BG$2:$BG$51,MATCH($C234,campaigns!$A$2:$A$51,0))="","",INDEX(campaigns!$BG$2:$BG$51,MATCH($C234,campaigns!$A$2:$A$51,0))),""),0,NETWORKDAYS(IFERROR(IF(INDEX(campaigns!$BG$2:$BG$51,MATCH($C234,campaigns!$A$2:$A$51,0))="","",INDEX(campaigns!$BG$2:$BG$51,MATCH($C234,campaigns!$A$2:$A$51,0))),""),$A234,calendar!$A$2:$A$80)))</f>
        <v/>
      </c>
      <c r="K234" s="25">
        <f>IF($C234="","",IF(COUNTIF(campaigns!$A$2:$A$51,$C234)=0,"campaign_id not on campaigns; ",IF(AND($D234&lt;&gt;"",COUNTIFS(approvals!$A$2:$A$251,$C234,approvals!$B$2:$B$251,$D234)=0),"office not on this campaign (approvals tab); ",""))&amp;IF(COUNTIFS(counts!$C$2:$C$701,$C234,counts!$D$2:$D$701,$D234,counts!$E$2:$E$701,$E234)&gt;1,"two "&amp;$E234&amp;" counts: keep one; ","")&amp;IF(AND($E234="remaining_day5",N($J234)&lt;5),"day-5 count logged before day 5; ","")&amp;IF(AND($G234="photo",$H234=""),"which photo?; ",""))</f>
        <v/>
      </c>
    </row>
    <row r="235">
      <c r="A235" s="9" t="n"/>
      <c r="B235" s="33" t="n"/>
      <c r="J235" s="25">
        <f>IF(OR($C235="",$A235=""),"",IF($A235&lt;IFERROR(IF(INDEX(campaigns!$BG$2:$BG$51,MATCH($C235,campaigns!$A$2:$A$51,0))="","",INDEX(campaigns!$BG$2:$BG$51,MATCH($C235,campaigns!$A$2:$A$51,0))),""),0,NETWORKDAYS(IFERROR(IF(INDEX(campaigns!$BG$2:$BG$51,MATCH($C235,campaigns!$A$2:$A$51,0))="","",INDEX(campaigns!$BG$2:$BG$51,MATCH($C235,campaigns!$A$2:$A$51,0))),""),$A235,calendar!$A$2:$A$80)))</f>
        <v/>
      </c>
      <c r="K235" s="25">
        <f>IF($C235="","",IF(COUNTIF(campaigns!$A$2:$A$51,$C235)=0,"campaign_id not on campaigns; ",IF(AND($D235&lt;&gt;"",COUNTIFS(approvals!$A$2:$A$251,$C235,approvals!$B$2:$B$251,$D235)=0),"office not on this campaign (approvals tab); ",""))&amp;IF(COUNTIFS(counts!$C$2:$C$701,$C235,counts!$D$2:$D$701,$D235,counts!$E$2:$E$701,$E235)&gt;1,"two "&amp;$E235&amp;" counts: keep one; ","")&amp;IF(AND($E235="remaining_day5",N($J235)&lt;5),"day-5 count logged before day 5; ","")&amp;IF(AND($G235="photo",$H235=""),"which photo?; ",""))</f>
        <v/>
      </c>
    </row>
    <row r="236">
      <c r="A236" s="9" t="n"/>
      <c r="B236" s="33" t="n"/>
      <c r="J236" s="25">
        <f>IF(OR($C236="",$A236=""),"",IF($A236&lt;IFERROR(IF(INDEX(campaigns!$BG$2:$BG$51,MATCH($C236,campaigns!$A$2:$A$51,0))="","",INDEX(campaigns!$BG$2:$BG$51,MATCH($C236,campaigns!$A$2:$A$51,0))),""),0,NETWORKDAYS(IFERROR(IF(INDEX(campaigns!$BG$2:$BG$51,MATCH($C236,campaigns!$A$2:$A$51,0))="","",INDEX(campaigns!$BG$2:$BG$51,MATCH($C236,campaigns!$A$2:$A$51,0))),""),$A236,calendar!$A$2:$A$80)))</f>
        <v/>
      </c>
      <c r="K236" s="25">
        <f>IF($C236="","",IF(COUNTIF(campaigns!$A$2:$A$51,$C236)=0,"campaign_id not on campaigns; ",IF(AND($D236&lt;&gt;"",COUNTIFS(approvals!$A$2:$A$251,$C236,approvals!$B$2:$B$251,$D236)=0),"office not on this campaign (approvals tab); ",""))&amp;IF(COUNTIFS(counts!$C$2:$C$701,$C236,counts!$D$2:$D$701,$D236,counts!$E$2:$E$701,$E236)&gt;1,"two "&amp;$E236&amp;" counts: keep one; ","")&amp;IF(AND($E236="remaining_day5",N($J236)&lt;5),"day-5 count logged before day 5; ","")&amp;IF(AND($G236="photo",$H236=""),"which photo?; ",""))</f>
        <v/>
      </c>
    </row>
    <row r="237">
      <c r="A237" s="9" t="n"/>
      <c r="B237" s="33" t="n"/>
      <c r="J237" s="25">
        <f>IF(OR($C237="",$A237=""),"",IF($A237&lt;IFERROR(IF(INDEX(campaigns!$BG$2:$BG$51,MATCH($C237,campaigns!$A$2:$A$51,0))="","",INDEX(campaigns!$BG$2:$BG$51,MATCH($C237,campaigns!$A$2:$A$51,0))),""),0,NETWORKDAYS(IFERROR(IF(INDEX(campaigns!$BG$2:$BG$51,MATCH($C237,campaigns!$A$2:$A$51,0))="","",INDEX(campaigns!$BG$2:$BG$51,MATCH($C237,campaigns!$A$2:$A$51,0))),""),$A237,calendar!$A$2:$A$80)))</f>
        <v/>
      </c>
      <c r="K237" s="25">
        <f>IF($C237="","",IF(COUNTIF(campaigns!$A$2:$A$51,$C237)=0,"campaign_id not on campaigns; ",IF(AND($D237&lt;&gt;"",COUNTIFS(approvals!$A$2:$A$251,$C237,approvals!$B$2:$B$251,$D237)=0),"office not on this campaign (approvals tab); ",""))&amp;IF(COUNTIFS(counts!$C$2:$C$701,$C237,counts!$D$2:$D$701,$D237,counts!$E$2:$E$701,$E237)&gt;1,"two "&amp;$E237&amp;" counts: keep one; ","")&amp;IF(AND($E237="remaining_day5",N($J237)&lt;5),"day-5 count logged before day 5; ","")&amp;IF(AND($G237="photo",$H237=""),"which photo?; ",""))</f>
        <v/>
      </c>
    </row>
    <row r="238">
      <c r="A238" s="9" t="n"/>
      <c r="B238" s="33" t="n"/>
      <c r="J238" s="25">
        <f>IF(OR($C238="",$A238=""),"",IF($A238&lt;IFERROR(IF(INDEX(campaigns!$BG$2:$BG$51,MATCH($C238,campaigns!$A$2:$A$51,0))="","",INDEX(campaigns!$BG$2:$BG$51,MATCH($C238,campaigns!$A$2:$A$51,0))),""),0,NETWORKDAYS(IFERROR(IF(INDEX(campaigns!$BG$2:$BG$51,MATCH($C238,campaigns!$A$2:$A$51,0))="","",INDEX(campaigns!$BG$2:$BG$51,MATCH($C238,campaigns!$A$2:$A$51,0))),""),$A238,calendar!$A$2:$A$80)))</f>
        <v/>
      </c>
      <c r="K238" s="25">
        <f>IF($C238="","",IF(COUNTIF(campaigns!$A$2:$A$51,$C238)=0,"campaign_id not on campaigns; ",IF(AND($D238&lt;&gt;"",COUNTIFS(approvals!$A$2:$A$251,$C238,approvals!$B$2:$B$251,$D238)=0),"office not on this campaign (approvals tab); ",""))&amp;IF(COUNTIFS(counts!$C$2:$C$701,$C238,counts!$D$2:$D$701,$D238,counts!$E$2:$E$701,$E238)&gt;1,"two "&amp;$E238&amp;" counts: keep one; ","")&amp;IF(AND($E238="remaining_day5",N($J238)&lt;5),"day-5 count logged before day 5; ","")&amp;IF(AND($G238="photo",$H238=""),"which photo?; ",""))</f>
        <v/>
      </c>
    </row>
    <row r="239">
      <c r="A239" s="9" t="n"/>
      <c r="B239" s="33" t="n"/>
      <c r="J239" s="25">
        <f>IF(OR($C239="",$A239=""),"",IF($A239&lt;IFERROR(IF(INDEX(campaigns!$BG$2:$BG$51,MATCH($C239,campaigns!$A$2:$A$51,0))="","",INDEX(campaigns!$BG$2:$BG$51,MATCH($C239,campaigns!$A$2:$A$51,0))),""),0,NETWORKDAYS(IFERROR(IF(INDEX(campaigns!$BG$2:$BG$51,MATCH($C239,campaigns!$A$2:$A$51,0))="","",INDEX(campaigns!$BG$2:$BG$51,MATCH($C239,campaigns!$A$2:$A$51,0))),""),$A239,calendar!$A$2:$A$80)))</f>
        <v/>
      </c>
      <c r="K239" s="25">
        <f>IF($C239="","",IF(COUNTIF(campaigns!$A$2:$A$51,$C239)=0,"campaign_id not on campaigns; ",IF(AND($D239&lt;&gt;"",COUNTIFS(approvals!$A$2:$A$251,$C239,approvals!$B$2:$B$251,$D239)=0),"office not on this campaign (approvals tab); ",""))&amp;IF(COUNTIFS(counts!$C$2:$C$701,$C239,counts!$D$2:$D$701,$D239,counts!$E$2:$E$701,$E239)&gt;1,"two "&amp;$E239&amp;" counts: keep one; ","")&amp;IF(AND($E239="remaining_day5",N($J239)&lt;5),"day-5 count logged before day 5; ","")&amp;IF(AND($G239="photo",$H239=""),"which photo?; ",""))</f>
        <v/>
      </c>
    </row>
    <row r="240">
      <c r="A240" s="9" t="n"/>
      <c r="B240" s="33" t="n"/>
      <c r="J240" s="25">
        <f>IF(OR($C240="",$A240=""),"",IF($A240&lt;IFERROR(IF(INDEX(campaigns!$BG$2:$BG$51,MATCH($C240,campaigns!$A$2:$A$51,0))="","",INDEX(campaigns!$BG$2:$BG$51,MATCH($C240,campaigns!$A$2:$A$51,0))),""),0,NETWORKDAYS(IFERROR(IF(INDEX(campaigns!$BG$2:$BG$51,MATCH($C240,campaigns!$A$2:$A$51,0))="","",INDEX(campaigns!$BG$2:$BG$51,MATCH($C240,campaigns!$A$2:$A$51,0))),""),$A240,calendar!$A$2:$A$80)))</f>
        <v/>
      </c>
      <c r="K240" s="25">
        <f>IF($C240="","",IF(COUNTIF(campaigns!$A$2:$A$51,$C240)=0,"campaign_id not on campaigns; ",IF(AND($D240&lt;&gt;"",COUNTIFS(approvals!$A$2:$A$251,$C240,approvals!$B$2:$B$251,$D240)=0),"office not on this campaign (approvals tab); ",""))&amp;IF(COUNTIFS(counts!$C$2:$C$701,$C240,counts!$D$2:$D$701,$D240,counts!$E$2:$E$701,$E240)&gt;1,"two "&amp;$E240&amp;" counts: keep one; ","")&amp;IF(AND($E240="remaining_day5",N($J240)&lt;5),"day-5 count logged before day 5; ","")&amp;IF(AND($G240="photo",$H240=""),"which photo?; ",""))</f>
        <v/>
      </c>
    </row>
    <row r="241">
      <c r="A241" s="9" t="n"/>
      <c r="B241" s="33" t="n"/>
      <c r="J241" s="25">
        <f>IF(OR($C241="",$A241=""),"",IF($A241&lt;IFERROR(IF(INDEX(campaigns!$BG$2:$BG$51,MATCH($C241,campaigns!$A$2:$A$51,0))="","",INDEX(campaigns!$BG$2:$BG$51,MATCH($C241,campaigns!$A$2:$A$51,0))),""),0,NETWORKDAYS(IFERROR(IF(INDEX(campaigns!$BG$2:$BG$51,MATCH($C241,campaigns!$A$2:$A$51,0))="","",INDEX(campaigns!$BG$2:$BG$51,MATCH($C241,campaigns!$A$2:$A$51,0))),""),$A241,calendar!$A$2:$A$80)))</f>
        <v/>
      </c>
      <c r="K241" s="25">
        <f>IF($C241="","",IF(COUNTIF(campaigns!$A$2:$A$51,$C241)=0,"campaign_id not on campaigns; ",IF(AND($D241&lt;&gt;"",COUNTIFS(approvals!$A$2:$A$251,$C241,approvals!$B$2:$B$251,$D241)=0),"office not on this campaign (approvals tab); ",""))&amp;IF(COUNTIFS(counts!$C$2:$C$701,$C241,counts!$D$2:$D$701,$D241,counts!$E$2:$E$701,$E241)&gt;1,"two "&amp;$E241&amp;" counts: keep one; ","")&amp;IF(AND($E241="remaining_day5",N($J241)&lt;5),"day-5 count logged before day 5; ","")&amp;IF(AND($G241="photo",$H241=""),"which photo?; ",""))</f>
        <v/>
      </c>
    </row>
    <row r="242">
      <c r="A242" s="9" t="n"/>
      <c r="B242" s="33" t="n"/>
      <c r="J242" s="25">
        <f>IF(OR($C242="",$A242=""),"",IF($A242&lt;IFERROR(IF(INDEX(campaigns!$BG$2:$BG$51,MATCH($C242,campaigns!$A$2:$A$51,0))="","",INDEX(campaigns!$BG$2:$BG$51,MATCH($C242,campaigns!$A$2:$A$51,0))),""),0,NETWORKDAYS(IFERROR(IF(INDEX(campaigns!$BG$2:$BG$51,MATCH($C242,campaigns!$A$2:$A$51,0))="","",INDEX(campaigns!$BG$2:$BG$51,MATCH($C242,campaigns!$A$2:$A$51,0))),""),$A242,calendar!$A$2:$A$80)))</f>
        <v/>
      </c>
      <c r="K242" s="25">
        <f>IF($C242="","",IF(COUNTIF(campaigns!$A$2:$A$51,$C242)=0,"campaign_id not on campaigns; ",IF(AND($D242&lt;&gt;"",COUNTIFS(approvals!$A$2:$A$251,$C242,approvals!$B$2:$B$251,$D242)=0),"office not on this campaign (approvals tab); ",""))&amp;IF(COUNTIFS(counts!$C$2:$C$701,$C242,counts!$D$2:$D$701,$D242,counts!$E$2:$E$701,$E242)&gt;1,"two "&amp;$E242&amp;" counts: keep one; ","")&amp;IF(AND($E242="remaining_day5",N($J242)&lt;5),"day-5 count logged before day 5; ","")&amp;IF(AND($G242="photo",$H242=""),"which photo?; ",""))</f>
        <v/>
      </c>
    </row>
    <row r="243">
      <c r="A243" s="9" t="n"/>
      <c r="B243" s="33" t="n"/>
      <c r="J243" s="25">
        <f>IF(OR($C243="",$A243=""),"",IF($A243&lt;IFERROR(IF(INDEX(campaigns!$BG$2:$BG$51,MATCH($C243,campaigns!$A$2:$A$51,0))="","",INDEX(campaigns!$BG$2:$BG$51,MATCH($C243,campaigns!$A$2:$A$51,0))),""),0,NETWORKDAYS(IFERROR(IF(INDEX(campaigns!$BG$2:$BG$51,MATCH($C243,campaigns!$A$2:$A$51,0))="","",INDEX(campaigns!$BG$2:$BG$51,MATCH($C243,campaigns!$A$2:$A$51,0))),""),$A243,calendar!$A$2:$A$80)))</f>
        <v/>
      </c>
      <c r="K243" s="25">
        <f>IF($C243="","",IF(COUNTIF(campaigns!$A$2:$A$51,$C243)=0,"campaign_id not on campaigns; ",IF(AND($D243&lt;&gt;"",COUNTIFS(approvals!$A$2:$A$251,$C243,approvals!$B$2:$B$251,$D243)=0),"office not on this campaign (approvals tab); ",""))&amp;IF(COUNTIFS(counts!$C$2:$C$701,$C243,counts!$D$2:$D$701,$D243,counts!$E$2:$E$701,$E243)&gt;1,"two "&amp;$E243&amp;" counts: keep one; ","")&amp;IF(AND($E243="remaining_day5",N($J243)&lt;5),"day-5 count logged before day 5; ","")&amp;IF(AND($G243="photo",$H243=""),"which photo?; ",""))</f>
        <v/>
      </c>
    </row>
    <row r="244">
      <c r="A244" s="9" t="n"/>
      <c r="B244" s="33" t="n"/>
      <c r="J244" s="25">
        <f>IF(OR($C244="",$A244=""),"",IF($A244&lt;IFERROR(IF(INDEX(campaigns!$BG$2:$BG$51,MATCH($C244,campaigns!$A$2:$A$51,0))="","",INDEX(campaigns!$BG$2:$BG$51,MATCH($C244,campaigns!$A$2:$A$51,0))),""),0,NETWORKDAYS(IFERROR(IF(INDEX(campaigns!$BG$2:$BG$51,MATCH($C244,campaigns!$A$2:$A$51,0))="","",INDEX(campaigns!$BG$2:$BG$51,MATCH($C244,campaigns!$A$2:$A$51,0))),""),$A244,calendar!$A$2:$A$80)))</f>
        <v/>
      </c>
      <c r="K244" s="25">
        <f>IF($C244="","",IF(COUNTIF(campaigns!$A$2:$A$51,$C244)=0,"campaign_id not on campaigns; ",IF(AND($D244&lt;&gt;"",COUNTIFS(approvals!$A$2:$A$251,$C244,approvals!$B$2:$B$251,$D244)=0),"office not on this campaign (approvals tab); ",""))&amp;IF(COUNTIFS(counts!$C$2:$C$701,$C244,counts!$D$2:$D$701,$D244,counts!$E$2:$E$701,$E244)&gt;1,"two "&amp;$E244&amp;" counts: keep one; ","")&amp;IF(AND($E244="remaining_day5",N($J244)&lt;5),"day-5 count logged before day 5; ","")&amp;IF(AND($G244="photo",$H244=""),"which photo?; ",""))</f>
        <v/>
      </c>
    </row>
    <row r="245">
      <c r="A245" s="9" t="n"/>
      <c r="B245" s="33" t="n"/>
      <c r="J245" s="25">
        <f>IF(OR($C245="",$A245=""),"",IF($A245&lt;IFERROR(IF(INDEX(campaigns!$BG$2:$BG$51,MATCH($C245,campaigns!$A$2:$A$51,0))="","",INDEX(campaigns!$BG$2:$BG$51,MATCH($C245,campaigns!$A$2:$A$51,0))),""),0,NETWORKDAYS(IFERROR(IF(INDEX(campaigns!$BG$2:$BG$51,MATCH($C245,campaigns!$A$2:$A$51,0))="","",INDEX(campaigns!$BG$2:$BG$51,MATCH($C245,campaigns!$A$2:$A$51,0))),""),$A245,calendar!$A$2:$A$80)))</f>
        <v/>
      </c>
      <c r="K245" s="25">
        <f>IF($C245="","",IF(COUNTIF(campaigns!$A$2:$A$51,$C245)=0,"campaign_id not on campaigns; ",IF(AND($D245&lt;&gt;"",COUNTIFS(approvals!$A$2:$A$251,$C245,approvals!$B$2:$B$251,$D245)=0),"office not on this campaign (approvals tab); ",""))&amp;IF(COUNTIFS(counts!$C$2:$C$701,$C245,counts!$D$2:$D$701,$D245,counts!$E$2:$E$701,$E245)&gt;1,"two "&amp;$E245&amp;" counts: keep one; ","")&amp;IF(AND($E245="remaining_day5",N($J245)&lt;5),"day-5 count logged before day 5; ","")&amp;IF(AND($G245="photo",$H245=""),"which photo?; ",""))</f>
        <v/>
      </c>
    </row>
    <row r="246">
      <c r="A246" s="9" t="n"/>
      <c r="B246" s="33" t="n"/>
      <c r="J246" s="25">
        <f>IF(OR($C246="",$A246=""),"",IF($A246&lt;IFERROR(IF(INDEX(campaigns!$BG$2:$BG$51,MATCH($C246,campaigns!$A$2:$A$51,0))="","",INDEX(campaigns!$BG$2:$BG$51,MATCH($C246,campaigns!$A$2:$A$51,0))),""),0,NETWORKDAYS(IFERROR(IF(INDEX(campaigns!$BG$2:$BG$51,MATCH($C246,campaigns!$A$2:$A$51,0))="","",INDEX(campaigns!$BG$2:$BG$51,MATCH($C246,campaigns!$A$2:$A$51,0))),""),$A246,calendar!$A$2:$A$80)))</f>
        <v/>
      </c>
      <c r="K246" s="25">
        <f>IF($C246="","",IF(COUNTIF(campaigns!$A$2:$A$51,$C246)=0,"campaign_id not on campaigns; ",IF(AND($D246&lt;&gt;"",COUNTIFS(approvals!$A$2:$A$251,$C246,approvals!$B$2:$B$251,$D246)=0),"office not on this campaign (approvals tab); ",""))&amp;IF(COUNTIFS(counts!$C$2:$C$701,$C246,counts!$D$2:$D$701,$D246,counts!$E$2:$E$701,$E246)&gt;1,"two "&amp;$E246&amp;" counts: keep one; ","")&amp;IF(AND($E246="remaining_day5",N($J246)&lt;5),"day-5 count logged before day 5; ","")&amp;IF(AND($G246="photo",$H246=""),"which photo?; ",""))</f>
        <v/>
      </c>
    </row>
    <row r="247">
      <c r="A247" s="9" t="n"/>
      <c r="B247" s="33" t="n"/>
      <c r="J247" s="25">
        <f>IF(OR($C247="",$A247=""),"",IF($A247&lt;IFERROR(IF(INDEX(campaigns!$BG$2:$BG$51,MATCH($C247,campaigns!$A$2:$A$51,0))="","",INDEX(campaigns!$BG$2:$BG$51,MATCH($C247,campaigns!$A$2:$A$51,0))),""),0,NETWORKDAYS(IFERROR(IF(INDEX(campaigns!$BG$2:$BG$51,MATCH($C247,campaigns!$A$2:$A$51,0))="","",INDEX(campaigns!$BG$2:$BG$51,MATCH($C247,campaigns!$A$2:$A$51,0))),""),$A247,calendar!$A$2:$A$80)))</f>
        <v/>
      </c>
      <c r="K247" s="25">
        <f>IF($C247="","",IF(COUNTIF(campaigns!$A$2:$A$51,$C247)=0,"campaign_id not on campaigns; ",IF(AND($D247&lt;&gt;"",COUNTIFS(approvals!$A$2:$A$251,$C247,approvals!$B$2:$B$251,$D247)=0),"office not on this campaign (approvals tab); ",""))&amp;IF(COUNTIFS(counts!$C$2:$C$701,$C247,counts!$D$2:$D$701,$D247,counts!$E$2:$E$701,$E247)&gt;1,"two "&amp;$E247&amp;" counts: keep one; ","")&amp;IF(AND($E247="remaining_day5",N($J247)&lt;5),"day-5 count logged before day 5; ","")&amp;IF(AND($G247="photo",$H247=""),"which photo?; ",""))</f>
        <v/>
      </c>
    </row>
    <row r="248">
      <c r="A248" s="9" t="n"/>
      <c r="B248" s="33" t="n"/>
      <c r="J248" s="25">
        <f>IF(OR($C248="",$A248=""),"",IF($A248&lt;IFERROR(IF(INDEX(campaigns!$BG$2:$BG$51,MATCH($C248,campaigns!$A$2:$A$51,0))="","",INDEX(campaigns!$BG$2:$BG$51,MATCH($C248,campaigns!$A$2:$A$51,0))),""),0,NETWORKDAYS(IFERROR(IF(INDEX(campaigns!$BG$2:$BG$51,MATCH($C248,campaigns!$A$2:$A$51,0))="","",INDEX(campaigns!$BG$2:$BG$51,MATCH($C248,campaigns!$A$2:$A$51,0))),""),$A248,calendar!$A$2:$A$80)))</f>
        <v/>
      </c>
      <c r="K248" s="25">
        <f>IF($C248="","",IF(COUNTIF(campaigns!$A$2:$A$51,$C248)=0,"campaign_id not on campaigns; ",IF(AND($D248&lt;&gt;"",COUNTIFS(approvals!$A$2:$A$251,$C248,approvals!$B$2:$B$251,$D248)=0),"office not on this campaign (approvals tab); ",""))&amp;IF(COUNTIFS(counts!$C$2:$C$701,$C248,counts!$D$2:$D$701,$D248,counts!$E$2:$E$701,$E248)&gt;1,"two "&amp;$E248&amp;" counts: keep one; ","")&amp;IF(AND($E248="remaining_day5",N($J248)&lt;5),"day-5 count logged before day 5; ","")&amp;IF(AND($G248="photo",$H248=""),"which photo?; ",""))</f>
        <v/>
      </c>
    </row>
    <row r="249">
      <c r="A249" s="9" t="n"/>
      <c r="B249" s="33" t="n"/>
      <c r="J249" s="25">
        <f>IF(OR($C249="",$A249=""),"",IF($A249&lt;IFERROR(IF(INDEX(campaigns!$BG$2:$BG$51,MATCH($C249,campaigns!$A$2:$A$51,0))="","",INDEX(campaigns!$BG$2:$BG$51,MATCH($C249,campaigns!$A$2:$A$51,0))),""),0,NETWORKDAYS(IFERROR(IF(INDEX(campaigns!$BG$2:$BG$51,MATCH($C249,campaigns!$A$2:$A$51,0))="","",INDEX(campaigns!$BG$2:$BG$51,MATCH($C249,campaigns!$A$2:$A$51,0))),""),$A249,calendar!$A$2:$A$80)))</f>
        <v/>
      </c>
      <c r="K249" s="25">
        <f>IF($C249="","",IF(COUNTIF(campaigns!$A$2:$A$51,$C249)=0,"campaign_id not on campaigns; ",IF(AND($D249&lt;&gt;"",COUNTIFS(approvals!$A$2:$A$251,$C249,approvals!$B$2:$B$251,$D249)=0),"office not on this campaign (approvals tab); ",""))&amp;IF(COUNTIFS(counts!$C$2:$C$701,$C249,counts!$D$2:$D$701,$D249,counts!$E$2:$E$701,$E249)&gt;1,"two "&amp;$E249&amp;" counts: keep one; ","")&amp;IF(AND($E249="remaining_day5",N($J249)&lt;5),"day-5 count logged before day 5; ","")&amp;IF(AND($G249="photo",$H249=""),"which photo?; ",""))</f>
        <v/>
      </c>
    </row>
    <row r="250">
      <c r="A250" s="9" t="n"/>
      <c r="B250" s="33" t="n"/>
      <c r="J250" s="25">
        <f>IF(OR($C250="",$A250=""),"",IF($A250&lt;IFERROR(IF(INDEX(campaigns!$BG$2:$BG$51,MATCH($C250,campaigns!$A$2:$A$51,0))="","",INDEX(campaigns!$BG$2:$BG$51,MATCH($C250,campaigns!$A$2:$A$51,0))),""),0,NETWORKDAYS(IFERROR(IF(INDEX(campaigns!$BG$2:$BG$51,MATCH($C250,campaigns!$A$2:$A$51,0))="","",INDEX(campaigns!$BG$2:$BG$51,MATCH($C250,campaigns!$A$2:$A$51,0))),""),$A250,calendar!$A$2:$A$80)))</f>
        <v/>
      </c>
      <c r="K250" s="25">
        <f>IF($C250="","",IF(COUNTIF(campaigns!$A$2:$A$51,$C250)=0,"campaign_id not on campaigns; ",IF(AND($D250&lt;&gt;"",COUNTIFS(approvals!$A$2:$A$251,$C250,approvals!$B$2:$B$251,$D250)=0),"office not on this campaign (approvals tab); ",""))&amp;IF(COUNTIFS(counts!$C$2:$C$701,$C250,counts!$D$2:$D$701,$D250,counts!$E$2:$E$701,$E250)&gt;1,"two "&amp;$E250&amp;" counts: keep one; ","")&amp;IF(AND($E250="remaining_day5",N($J250)&lt;5),"day-5 count logged before day 5; ","")&amp;IF(AND($G250="photo",$H250=""),"which photo?; ",""))</f>
        <v/>
      </c>
    </row>
    <row r="251">
      <c r="A251" s="9" t="n"/>
      <c r="B251" s="33" t="n"/>
      <c r="J251" s="25">
        <f>IF(OR($C251="",$A251=""),"",IF($A251&lt;IFERROR(IF(INDEX(campaigns!$BG$2:$BG$51,MATCH($C251,campaigns!$A$2:$A$51,0))="","",INDEX(campaigns!$BG$2:$BG$51,MATCH($C251,campaigns!$A$2:$A$51,0))),""),0,NETWORKDAYS(IFERROR(IF(INDEX(campaigns!$BG$2:$BG$51,MATCH($C251,campaigns!$A$2:$A$51,0))="","",INDEX(campaigns!$BG$2:$BG$51,MATCH($C251,campaigns!$A$2:$A$51,0))),""),$A251,calendar!$A$2:$A$80)))</f>
        <v/>
      </c>
      <c r="K251" s="25">
        <f>IF($C251="","",IF(COUNTIF(campaigns!$A$2:$A$51,$C251)=0,"campaign_id not on campaigns; ",IF(AND($D251&lt;&gt;"",COUNTIFS(approvals!$A$2:$A$251,$C251,approvals!$B$2:$B$251,$D251)=0),"office not on this campaign (approvals tab); ",""))&amp;IF(COUNTIFS(counts!$C$2:$C$701,$C251,counts!$D$2:$D$701,$D251,counts!$E$2:$E$701,$E251)&gt;1,"two "&amp;$E251&amp;" counts: keep one; ","")&amp;IF(AND($E251="remaining_day5",N($J251)&lt;5),"day-5 count logged before day 5; ","")&amp;IF(AND($G251="photo",$H251=""),"which photo?; ",""))</f>
        <v/>
      </c>
    </row>
    <row r="252">
      <c r="A252" s="9" t="n"/>
      <c r="B252" s="33" t="n"/>
      <c r="J252" s="25">
        <f>IF(OR($C252="",$A252=""),"",IF($A252&lt;IFERROR(IF(INDEX(campaigns!$BG$2:$BG$51,MATCH($C252,campaigns!$A$2:$A$51,0))="","",INDEX(campaigns!$BG$2:$BG$51,MATCH($C252,campaigns!$A$2:$A$51,0))),""),0,NETWORKDAYS(IFERROR(IF(INDEX(campaigns!$BG$2:$BG$51,MATCH($C252,campaigns!$A$2:$A$51,0))="","",INDEX(campaigns!$BG$2:$BG$51,MATCH($C252,campaigns!$A$2:$A$51,0))),""),$A252,calendar!$A$2:$A$80)))</f>
        <v/>
      </c>
      <c r="K252" s="25">
        <f>IF($C252="","",IF(COUNTIF(campaigns!$A$2:$A$51,$C252)=0,"campaign_id not on campaigns; ",IF(AND($D252&lt;&gt;"",COUNTIFS(approvals!$A$2:$A$251,$C252,approvals!$B$2:$B$251,$D252)=0),"office not on this campaign (approvals tab); ",""))&amp;IF(COUNTIFS(counts!$C$2:$C$701,$C252,counts!$D$2:$D$701,$D252,counts!$E$2:$E$701,$E252)&gt;1,"two "&amp;$E252&amp;" counts: keep one; ","")&amp;IF(AND($E252="remaining_day5",N($J252)&lt;5),"day-5 count logged before day 5; ","")&amp;IF(AND($G252="photo",$H252=""),"which photo?; ",""))</f>
        <v/>
      </c>
    </row>
    <row r="253">
      <c r="A253" s="9" t="n"/>
      <c r="B253" s="33" t="n"/>
      <c r="J253" s="25">
        <f>IF(OR($C253="",$A253=""),"",IF($A253&lt;IFERROR(IF(INDEX(campaigns!$BG$2:$BG$51,MATCH($C253,campaigns!$A$2:$A$51,0))="","",INDEX(campaigns!$BG$2:$BG$51,MATCH($C253,campaigns!$A$2:$A$51,0))),""),0,NETWORKDAYS(IFERROR(IF(INDEX(campaigns!$BG$2:$BG$51,MATCH($C253,campaigns!$A$2:$A$51,0))="","",INDEX(campaigns!$BG$2:$BG$51,MATCH($C253,campaigns!$A$2:$A$51,0))),""),$A253,calendar!$A$2:$A$80)))</f>
        <v/>
      </c>
      <c r="K253" s="25">
        <f>IF($C253="","",IF(COUNTIF(campaigns!$A$2:$A$51,$C253)=0,"campaign_id not on campaigns; ",IF(AND($D253&lt;&gt;"",COUNTIFS(approvals!$A$2:$A$251,$C253,approvals!$B$2:$B$251,$D253)=0),"office not on this campaign (approvals tab); ",""))&amp;IF(COUNTIFS(counts!$C$2:$C$701,$C253,counts!$D$2:$D$701,$D253,counts!$E$2:$E$701,$E253)&gt;1,"two "&amp;$E253&amp;" counts: keep one; ","")&amp;IF(AND($E253="remaining_day5",N($J253)&lt;5),"day-5 count logged before day 5; ","")&amp;IF(AND($G253="photo",$H253=""),"which photo?; ",""))</f>
        <v/>
      </c>
    </row>
    <row r="254">
      <c r="A254" s="9" t="n"/>
      <c r="B254" s="33" t="n"/>
      <c r="J254" s="25">
        <f>IF(OR($C254="",$A254=""),"",IF($A254&lt;IFERROR(IF(INDEX(campaigns!$BG$2:$BG$51,MATCH($C254,campaigns!$A$2:$A$51,0))="","",INDEX(campaigns!$BG$2:$BG$51,MATCH($C254,campaigns!$A$2:$A$51,0))),""),0,NETWORKDAYS(IFERROR(IF(INDEX(campaigns!$BG$2:$BG$51,MATCH($C254,campaigns!$A$2:$A$51,0))="","",INDEX(campaigns!$BG$2:$BG$51,MATCH($C254,campaigns!$A$2:$A$51,0))),""),$A254,calendar!$A$2:$A$80)))</f>
        <v/>
      </c>
      <c r="K254" s="25">
        <f>IF($C254="","",IF(COUNTIF(campaigns!$A$2:$A$51,$C254)=0,"campaign_id not on campaigns; ",IF(AND($D254&lt;&gt;"",COUNTIFS(approvals!$A$2:$A$251,$C254,approvals!$B$2:$B$251,$D254)=0),"office not on this campaign (approvals tab); ",""))&amp;IF(COUNTIFS(counts!$C$2:$C$701,$C254,counts!$D$2:$D$701,$D254,counts!$E$2:$E$701,$E254)&gt;1,"two "&amp;$E254&amp;" counts: keep one; ","")&amp;IF(AND($E254="remaining_day5",N($J254)&lt;5),"day-5 count logged before day 5; ","")&amp;IF(AND($G254="photo",$H254=""),"which photo?; ",""))</f>
        <v/>
      </c>
    </row>
    <row r="255">
      <c r="A255" s="9" t="n"/>
      <c r="B255" s="33" t="n"/>
      <c r="J255" s="25">
        <f>IF(OR($C255="",$A255=""),"",IF($A255&lt;IFERROR(IF(INDEX(campaigns!$BG$2:$BG$51,MATCH($C255,campaigns!$A$2:$A$51,0))="","",INDEX(campaigns!$BG$2:$BG$51,MATCH($C255,campaigns!$A$2:$A$51,0))),""),0,NETWORKDAYS(IFERROR(IF(INDEX(campaigns!$BG$2:$BG$51,MATCH($C255,campaigns!$A$2:$A$51,0))="","",INDEX(campaigns!$BG$2:$BG$51,MATCH($C255,campaigns!$A$2:$A$51,0))),""),$A255,calendar!$A$2:$A$80)))</f>
        <v/>
      </c>
      <c r="K255" s="25">
        <f>IF($C255="","",IF(COUNTIF(campaigns!$A$2:$A$51,$C255)=0,"campaign_id not on campaigns; ",IF(AND($D255&lt;&gt;"",COUNTIFS(approvals!$A$2:$A$251,$C255,approvals!$B$2:$B$251,$D255)=0),"office not on this campaign (approvals tab); ",""))&amp;IF(COUNTIFS(counts!$C$2:$C$701,$C255,counts!$D$2:$D$701,$D255,counts!$E$2:$E$701,$E255)&gt;1,"two "&amp;$E255&amp;" counts: keep one; ","")&amp;IF(AND($E255="remaining_day5",N($J255)&lt;5),"day-5 count logged before day 5; ","")&amp;IF(AND($G255="photo",$H255=""),"which photo?; ",""))</f>
        <v/>
      </c>
    </row>
    <row r="256">
      <c r="A256" s="9" t="n"/>
      <c r="B256" s="33" t="n"/>
      <c r="J256" s="25">
        <f>IF(OR($C256="",$A256=""),"",IF($A256&lt;IFERROR(IF(INDEX(campaigns!$BG$2:$BG$51,MATCH($C256,campaigns!$A$2:$A$51,0))="","",INDEX(campaigns!$BG$2:$BG$51,MATCH($C256,campaigns!$A$2:$A$51,0))),""),0,NETWORKDAYS(IFERROR(IF(INDEX(campaigns!$BG$2:$BG$51,MATCH($C256,campaigns!$A$2:$A$51,0))="","",INDEX(campaigns!$BG$2:$BG$51,MATCH($C256,campaigns!$A$2:$A$51,0))),""),$A256,calendar!$A$2:$A$80)))</f>
        <v/>
      </c>
      <c r="K256" s="25">
        <f>IF($C256="","",IF(COUNTIF(campaigns!$A$2:$A$51,$C256)=0,"campaign_id not on campaigns; ",IF(AND($D256&lt;&gt;"",COUNTIFS(approvals!$A$2:$A$251,$C256,approvals!$B$2:$B$251,$D256)=0),"office not on this campaign (approvals tab); ",""))&amp;IF(COUNTIFS(counts!$C$2:$C$701,$C256,counts!$D$2:$D$701,$D256,counts!$E$2:$E$701,$E256)&gt;1,"two "&amp;$E256&amp;" counts: keep one; ","")&amp;IF(AND($E256="remaining_day5",N($J256)&lt;5),"day-5 count logged before day 5; ","")&amp;IF(AND($G256="photo",$H256=""),"which photo?; ",""))</f>
        <v/>
      </c>
    </row>
    <row r="257">
      <c r="A257" s="9" t="n"/>
      <c r="B257" s="33" t="n"/>
      <c r="J257" s="25">
        <f>IF(OR($C257="",$A257=""),"",IF($A257&lt;IFERROR(IF(INDEX(campaigns!$BG$2:$BG$51,MATCH($C257,campaigns!$A$2:$A$51,0))="","",INDEX(campaigns!$BG$2:$BG$51,MATCH($C257,campaigns!$A$2:$A$51,0))),""),0,NETWORKDAYS(IFERROR(IF(INDEX(campaigns!$BG$2:$BG$51,MATCH($C257,campaigns!$A$2:$A$51,0))="","",INDEX(campaigns!$BG$2:$BG$51,MATCH($C257,campaigns!$A$2:$A$51,0))),""),$A257,calendar!$A$2:$A$80)))</f>
        <v/>
      </c>
      <c r="K257" s="25">
        <f>IF($C257="","",IF(COUNTIF(campaigns!$A$2:$A$51,$C257)=0,"campaign_id not on campaigns; ",IF(AND($D257&lt;&gt;"",COUNTIFS(approvals!$A$2:$A$251,$C257,approvals!$B$2:$B$251,$D257)=0),"office not on this campaign (approvals tab); ",""))&amp;IF(COUNTIFS(counts!$C$2:$C$701,$C257,counts!$D$2:$D$701,$D257,counts!$E$2:$E$701,$E257)&gt;1,"two "&amp;$E257&amp;" counts: keep one; ","")&amp;IF(AND($E257="remaining_day5",N($J257)&lt;5),"day-5 count logged before day 5; ","")&amp;IF(AND($G257="photo",$H257=""),"which photo?; ",""))</f>
        <v/>
      </c>
    </row>
    <row r="258">
      <c r="A258" s="9" t="n"/>
      <c r="B258" s="33" t="n"/>
      <c r="J258" s="25">
        <f>IF(OR($C258="",$A258=""),"",IF($A258&lt;IFERROR(IF(INDEX(campaigns!$BG$2:$BG$51,MATCH($C258,campaigns!$A$2:$A$51,0))="","",INDEX(campaigns!$BG$2:$BG$51,MATCH($C258,campaigns!$A$2:$A$51,0))),""),0,NETWORKDAYS(IFERROR(IF(INDEX(campaigns!$BG$2:$BG$51,MATCH($C258,campaigns!$A$2:$A$51,0))="","",INDEX(campaigns!$BG$2:$BG$51,MATCH($C258,campaigns!$A$2:$A$51,0))),""),$A258,calendar!$A$2:$A$80)))</f>
        <v/>
      </c>
      <c r="K258" s="25">
        <f>IF($C258="","",IF(COUNTIF(campaigns!$A$2:$A$51,$C258)=0,"campaign_id not on campaigns; ",IF(AND($D258&lt;&gt;"",COUNTIFS(approvals!$A$2:$A$251,$C258,approvals!$B$2:$B$251,$D258)=0),"office not on this campaign (approvals tab); ",""))&amp;IF(COUNTIFS(counts!$C$2:$C$701,$C258,counts!$D$2:$D$701,$D258,counts!$E$2:$E$701,$E258)&gt;1,"two "&amp;$E258&amp;" counts: keep one; ","")&amp;IF(AND($E258="remaining_day5",N($J258)&lt;5),"day-5 count logged before day 5; ","")&amp;IF(AND($G258="photo",$H258=""),"which photo?; ",""))</f>
        <v/>
      </c>
    </row>
    <row r="259">
      <c r="A259" s="9" t="n"/>
      <c r="B259" s="33" t="n"/>
      <c r="J259" s="25">
        <f>IF(OR($C259="",$A259=""),"",IF($A259&lt;IFERROR(IF(INDEX(campaigns!$BG$2:$BG$51,MATCH($C259,campaigns!$A$2:$A$51,0))="","",INDEX(campaigns!$BG$2:$BG$51,MATCH($C259,campaigns!$A$2:$A$51,0))),""),0,NETWORKDAYS(IFERROR(IF(INDEX(campaigns!$BG$2:$BG$51,MATCH($C259,campaigns!$A$2:$A$51,0))="","",INDEX(campaigns!$BG$2:$BG$51,MATCH($C259,campaigns!$A$2:$A$51,0))),""),$A259,calendar!$A$2:$A$80)))</f>
        <v/>
      </c>
      <c r="K259" s="25">
        <f>IF($C259="","",IF(COUNTIF(campaigns!$A$2:$A$51,$C259)=0,"campaign_id not on campaigns; ",IF(AND($D259&lt;&gt;"",COUNTIFS(approvals!$A$2:$A$251,$C259,approvals!$B$2:$B$251,$D259)=0),"office not on this campaign (approvals tab); ",""))&amp;IF(COUNTIFS(counts!$C$2:$C$701,$C259,counts!$D$2:$D$701,$D259,counts!$E$2:$E$701,$E259)&gt;1,"two "&amp;$E259&amp;" counts: keep one; ","")&amp;IF(AND($E259="remaining_day5",N($J259)&lt;5),"day-5 count logged before day 5; ","")&amp;IF(AND($G259="photo",$H259=""),"which photo?; ",""))</f>
        <v/>
      </c>
    </row>
    <row r="260">
      <c r="A260" s="9" t="n"/>
      <c r="B260" s="33" t="n"/>
      <c r="J260" s="25">
        <f>IF(OR($C260="",$A260=""),"",IF($A260&lt;IFERROR(IF(INDEX(campaigns!$BG$2:$BG$51,MATCH($C260,campaigns!$A$2:$A$51,0))="","",INDEX(campaigns!$BG$2:$BG$51,MATCH($C260,campaigns!$A$2:$A$51,0))),""),0,NETWORKDAYS(IFERROR(IF(INDEX(campaigns!$BG$2:$BG$51,MATCH($C260,campaigns!$A$2:$A$51,0))="","",INDEX(campaigns!$BG$2:$BG$51,MATCH($C260,campaigns!$A$2:$A$51,0))),""),$A260,calendar!$A$2:$A$80)))</f>
        <v/>
      </c>
      <c r="K260" s="25">
        <f>IF($C260="","",IF(COUNTIF(campaigns!$A$2:$A$51,$C260)=0,"campaign_id not on campaigns; ",IF(AND($D260&lt;&gt;"",COUNTIFS(approvals!$A$2:$A$251,$C260,approvals!$B$2:$B$251,$D260)=0),"office not on this campaign (approvals tab); ",""))&amp;IF(COUNTIFS(counts!$C$2:$C$701,$C260,counts!$D$2:$D$701,$D260,counts!$E$2:$E$701,$E260)&gt;1,"two "&amp;$E260&amp;" counts: keep one; ","")&amp;IF(AND($E260="remaining_day5",N($J260)&lt;5),"day-5 count logged before day 5; ","")&amp;IF(AND($G260="photo",$H260=""),"which photo?; ",""))</f>
        <v/>
      </c>
    </row>
    <row r="261">
      <c r="A261" s="9" t="n"/>
      <c r="B261" s="33" t="n"/>
      <c r="J261" s="25">
        <f>IF(OR($C261="",$A261=""),"",IF($A261&lt;IFERROR(IF(INDEX(campaigns!$BG$2:$BG$51,MATCH($C261,campaigns!$A$2:$A$51,0))="","",INDEX(campaigns!$BG$2:$BG$51,MATCH($C261,campaigns!$A$2:$A$51,0))),""),0,NETWORKDAYS(IFERROR(IF(INDEX(campaigns!$BG$2:$BG$51,MATCH($C261,campaigns!$A$2:$A$51,0))="","",INDEX(campaigns!$BG$2:$BG$51,MATCH($C261,campaigns!$A$2:$A$51,0))),""),$A261,calendar!$A$2:$A$80)))</f>
        <v/>
      </c>
      <c r="K261" s="25">
        <f>IF($C261="","",IF(COUNTIF(campaigns!$A$2:$A$51,$C261)=0,"campaign_id not on campaigns; ",IF(AND($D261&lt;&gt;"",COUNTIFS(approvals!$A$2:$A$251,$C261,approvals!$B$2:$B$251,$D261)=0),"office not on this campaign (approvals tab); ",""))&amp;IF(COUNTIFS(counts!$C$2:$C$701,$C261,counts!$D$2:$D$701,$D261,counts!$E$2:$E$701,$E261)&gt;1,"two "&amp;$E261&amp;" counts: keep one; ","")&amp;IF(AND($E261="remaining_day5",N($J261)&lt;5),"day-5 count logged before day 5; ","")&amp;IF(AND($G261="photo",$H261=""),"which photo?; ",""))</f>
        <v/>
      </c>
    </row>
    <row r="262">
      <c r="A262" s="9" t="n"/>
      <c r="B262" s="33" t="n"/>
      <c r="J262" s="25">
        <f>IF(OR($C262="",$A262=""),"",IF($A262&lt;IFERROR(IF(INDEX(campaigns!$BG$2:$BG$51,MATCH($C262,campaigns!$A$2:$A$51,0))="","",INDEX(campaigns!$BG$2:$BG$51,MATCH($C262,campaigns!$A$2:$A$51,0))),""),0,NETWORKDAYS(IFERROR(IF(INDEX(campaigns!$BG$2:$BG$51,MATCH($C262,campaigns!$A$2:$A$51,0))="","",INDEX(campaigns!$BG$2:$BG$51,MATCH($C262,campaigns!$A$2:$A$51,0))),""),$A262,calendar!$A$2:$A$80)))</f>
        <v/>
      </c>
      <c r="K262" s="25">
        <f>IF($C262="","",IF(COUNTIF(campaigns!$A$2:$A$51,$C262)=0,"campaign_id not on campaigns; ",IF(AND($D262&lt;&gt;"",COUNTIFS(approvals!$A$2:$A$251,$C262,approvals!$B$2:$B$251,$D262)=0),"office not on this campaign (approvals tab); ",""))&amp;IF(COUNTIFS(counts!$C$2:$C$701,$C262,counts!$D$2:$D$701,$D262,counts!$E$2:$E$701,$E262)&gt;1,"two "&amp;$E262&amp;" counts: keep one; ","")&amp;IF(AND($E262="remaining_day5",N($J262)&lt;5),"day-5 count logged before day 5; ","")&amp;IF(AND($G262="photo",$H262=""),"which photo?; ",""))</f>
        <v/>
      </c>
    </row>
    <row r="263">
      <c r="A263" s="9" t="n"/>
      <c r="B263" s="33" t="n"/>
      <c r="J263" s="25">
        <f>IF(OR($C263="",$A263=""),"",IF($A263&lt;IFERROR(IF(INDEX(campaigns!$BG$2:$BG$51,MATCH($C263,campaigns!$A$2:$A$51,0))="","",INDEX(campaigns!$BG$2:$BG$51,MATCH($C263,campaigns!$A$2:$A$51,0))),""),0,NETWORKDAYS(IFERROR(IF(INDEX(campaigns!$BG$2:$BG$51,MATCH($C263,campaigns!$A$2:$A$51,0))="","",INDEX(campaigns!$BG$2:$BG$51,MATCH($C263,campaigns!$A$2:$A$51,0))),""),$A263,calendar!$A$2:$A$80)))</f>
        <v/>
      </c>
      <c r="K263" s="25">
        <f>IF($C263="","",IF(COUNTIF(campaigns!$A$2:$A$51,$C263)=0,"campaign_id not on campaigns; ",IF(AND($D263&lt;&gt;"",COUNTIFS(approvals!$A$2:$A$251,$C263,approvals!$B$2:$B$251,$D263)=0),"office not on this campaign (approvals tab); ",""))&amp;IF(COUNTIFS(counts!$C$2:$C$701,$C263,counts!$D$2:$D$701,$D263,counts!$E$2:$E$701,$E263)&gt;1,"two "&amp;$E263&amp;" counts: keep one; ","")&amp;IF(AND($E263="remaining_day5",N($J263)&lt;5),"day-5 count logged before day 5; ","")&amp;IF(AND($G263="photo",$H263=""),"which photo?; ",""))</f>
        <v/>
      </c>
    </row>
    <row r="264">
      <c r="A264" s="9" t="n"/>
      <c r="B264" s="33" t="n"/>
      <c r="J264" s="25">
        <f>IF(OR($C264="",$A264=""),"",IF($A264&lt;IFERROR(IF(INDEX(campaigns!$BG$2:$BG$51,MATCH($C264,campaigns!$A$2:$A$51,0))="","",INDEX(campaigns!$BG$2:$BG$51,MATCH($C264,campaigns!$A$2:$A$51,0))),""),0,NETWORKDAYS(IFERROR(IF(INDEX(campaigns!$BG$2:$BG$51,MATCH($C264,campaigns!$A$2:$A$51,0))="","",INDEX(campaigns!$BG$2:$BG$51,MATCH($C264,campaigns!$A$2:$A$51,0))),""),$A264,calendar!$A$2:$A$80)))</f>
        <v/>
      </c>
      <c r="K264" s="25">
        <f>IF($C264="","",IF(COUNTIF(campaigns!$A$2:$A$51,$C264)=0,"campaign_id not on campaigns; ",IF(AND($D264&lt;&gt;"",COUNTIFS(approvals!$A$2:$A$251,$C264,approvals!$B$2:$B$251,$D264)=0),"office not on this campaign (approvals tab); ",""))&amp;IF(COUNTIFS(counts!$C$2:$C$701,$C264,counts!$D$2:$D$701,$D264,counts!$E$2:$E$701,$E264)&gt;1,"two "&amp;$E264&amp;" counts: keep one; ","")&amp;IF(AND($E264="remaining_day5",N($J264)&lt;5),"day-5 count logged before day 5; ","")&amp;IF(AND($G264="photo",$H264=""),"which photo?; ",""))</f>
        <v/>
      </c>
    </row>
    <row r="265">
      <c r="A265" s="9" t="n"/>
      <c r="B265" s="33" t="n"/>
      <c r="J265" s="25">
        <f>IF(OR($C265="",$A265=""),"",IF($A265&lt;IFERROR(IF(INDEX(campaigns!$BG$2:$BG$51,MATCH($C265,campaigns!$A$2:$A$51,0))="","",INDEX(campaigns!$BG$2:$BG$51,MATCH($C265,campaigns!$A$2:$A$51,0))),""),0,NETWORKDAYS(IFERROR(IF(INDEX(campaigns!$BG$2:$BG$51,MATCH($C265,campaigns!$A$2:$A$51,0))="","",INDEX(campaigns!$BG$2:$BG$51,MATCH($C265,campaigns!$A$2:$A$51,0))),""),$A265,calendar!$A$2:$A$80)))</f>
        <v/>
      </c>
      <c r="K265" s="25">
        <f>IF($C265="","",IF(COUNTIF(campaigns!$A$2:$A$51,$C265)=0,"campaign_id not on campaigns; ",IF(AND($D265&lt;&gt;"",COUNTIFS(approvals!$A$2:$A$251,$C265,approvals!$B$2:$B$251,$D265)=0),"office not on this campaign (approvals tab); ",""))&amp;IF(COUNTIFS(counts!$C$2:$C$701,$C265,counts!$D$2:$D$701,$D265,counts!$E$2:$E$701,$E265)&gt;1,"two "&amp;$E265&amp;" counts: keep one; ","")&amp;IF(AND($E265="remaining_day5",N($J265)&lt;5),"day-5 count logged before day 5; ","")&amp;IF(AND($G265="photo",$H265=""),"which photo?; ",""))</f>
        <v/>
      </c>
    </row>
    <row r="266">
      <c r="A266" s="9" t="n"/>
      <c r="B266" s="33" t="n"/>
      <c r="J266" s="25">
        <f>IF(OR($C266="",$A266=""),"",IF($A266&lt;IFERROR(IF(INDEX(campaigns!$BG$2:$BG$51,MATCH($C266,campaigns!$A$2:$A$51,0))="","",INDEX(campaigns!$BG$2:$BG$51,MATCH($C266,campaigns!$A$2:$A$51,0))),""),0,NETWORKDAYS(IFERROR(IF(INDEX(campaigns!$BG$2:$BG$51,MATCH($C266,campaigns!$A$2:$A$51,0))="","",INDEX(campaigns!$BG$2:$BG$51,MATCH($C266,campaigns!$A$2:$A$51,0))),""),$A266,calendar!$A$2:$A$80)))</f>
        <v/>
      </c>
      <c r="K266" s="25">
        <f>IF($C266="","",IF(COUNTIF(campaigns!$A$2:$A$51,$C266)=0,"campaign_id not on campaigns; ",IF(AND($D266&lt;&gt;"",COUNTIFS(approvals!$A$2:$A$251,$C266,approvals!$B$2:$B$251,$D266)=0),"office not on this campaign (approvals tab); ",""))&amp;IF(COUNTIFS(counts!$C$2:$C$701,$C266,counts!$D$2:$D$701,$D266,counts!$E$2:$E$701,$E266)&gt;1,"two "&amp;$E266&amp;" counts: keep one; ","")&amp;IF(AND($E266="remaining_day5",N($J266)&lt;5),"day-5 count logged before day 5; ","")&amp;IF(AND($G266="photo",$H266=""),"which photo?; ",""))</f>
        <v/>
      </c>
    </row>
    <row r="267">
      <c r="A267" s="9" t="n"/>
      <c r="B267" s="33" t="n"/>
      <c r="J267" s="25">
        <f>IF(OR($C267="",$A267=""),"",IF($A267&lt;IFERROR(IF(INDEX(campaigns!$BG$2:$BG$51,MATCH($C267,campaigns!$A$2:$A$51,0))="","",INDEX(campaigns!$BG$2:$BG$51,MATCH($C267,campaigns!$A$2:$A$51,0))),""),0,NETWORKDAYS(IFERROR(IF(INDEX(campaigns!$BG$2:$BG$51,MATCH($C267,campaigns!$A$2:$A$51,0))="","",INDEX(campaigns!$BG$2:$BG$51,MATCH($C267,campaigns!$A$2:$A$51,0))),""),$A267,calendar!$A$2:$A$80)))</f>
        <v/>
      </c>
      <c r="K267" s="25">
        <f>IF($C267="","",IF(COUNTIF(campaigns!$A$2:$A$51,$C267)=0,"campaign_id not on campaigns; ",IF(AND($D267&lt;&gt;"",COUNTIFS(approvals!$A$2:$A$251,$C267,approvals!$B$2:$B$251,$D267)=0),"office not on this campaign (approvals tab); ",""))&amp;IF(COUNTIFS(counts!$C$2:$C$701,$C267,counts!$D$2:$D$701,$D267,counts!$E$2:$E$701,$E267)&gt;1,"two "&amp;$E267&amp;" counts: keep one; ","")&amp;IF(AND($E267="remaining_day5",N($J267)&lt;5),"day-5 count logged before day 5; ","")&amp;IF(AND($G267="photo",$H267=""),"which photo?; ",""))</f>
        <v/>
      </c>
    </row>
    <row r="268">
      <c r="A268" s="9" t="n"/>
      <c r="B268" s="33" t="n"/>
      <c r="J268" s="25">
        <f>IF(OR($C268="",$A268=""),"",IF($A268&lt;IFERROR(IF(INDEX(campaigns!$BG$2:$BG$51,MATCH($C268,campaigns!$A$2:$A$51,0))="","",INDEX(campaigns!$BG$2:$BG$51,MATCH($C268,campaigns!$A$2:$A$51,0))),""),0,NETWORKDAYS(IFERROR(IF(INDEX(campaigns!$BG$2:$BG$51,MATCH($C268,campaigns!$A$2:$A$51,0))="","",INDEX(campaigns!$BG$2:$BG$51,MATCH($C268,campaigns!$A$2:$A$51,0))),""),$A268,calendar!$A$2:$A$80)))</f>
        <v/>
      </c>
      <c r="K268" s="25">
        <f>IF($C268="","",IF(COUNTIF(campaigns!$A$2:$A$51,$C268)=0,"campaign_id not on campaigns; ",IF(AND($D268&lt;&gt;"",COUNTIFS(approvals!$A$2:$A$251,$C268,approvals!$B$2:$B$251,$D268)=0),"office not on this campaign (approvals tab); ",""))&amp;IF(COUNTIFS(counts!$C$2:$C$701,$C268,counts!$D$2:$D$701,$D268,counts!$E$2:$E$701,$E268)&gt;1,"two "&amp;$E268&amp;" counts: keep one; ","")&amp;IF(AND($E268="remaining_day5",N($J268)&lt;5),"day-5 count logged before day 5; ","")&amp;IF(AND($G268="photo",$H268=""),"which photo?; ",""))</f>
        <v/>
      </c>
    </row>
    <row r="269">
      <c r="A269" s="9" t="n"/>
      <c r="B269" s="33" t="n"/>
      <c r="J269" s="25">
        <f>IF(OR($C269="",$A269=""),"",IF($A269&lt;IFERROR(IF(INDEX(campaigns!$BG$2:$BG$51,MATCH($C269,campaigns!$A$2:$A$51,0))="","",INDEX(campaigns!$BG$2:$BG$51,MATCH($C269,campaigns!$A$2:$A$51,0))),""),0,NETWORKDAYS(IFERROR(IF(INDEX(campaigns!$BG$2:$BG$51,MATCH($C269,campaigns!$A$2:$A$51,0))="","",INDEX(campaigns!$BG$2:$BG$51,MATCH($C269,campaigns!$A$2:$A$51,0))),""),$A269,calendar!$A$2:$A$80)))</f>
        <v/>
      </c>
      <c r="K269" s="25">
        <f>IF($C269="","",IF(COUNTIF(campaigns!$A$2:$A$51,$C269)=0,"campaign_id not on campaigns; ",IF(AND($D269&lt;&gt;"",COUNTIFS(approvals!$A$2:$A$251,$C269,approvals!$B$2:$B$251,$D269)=0),"office not on this campaign (approvals tab); ",""))&amp;IF(COUNTIFS(counts!$C$2:$C$701,$C269,counts!$D$2:$D$701,$D269,counts!$E$2:$E$701,$E269)&gt;1,"two "&amp;$E269&amp;" counts: keep one; ","")&amp;IF(AND($E269="remaining_day5",N($J269)&lt;5),"day-5 count logged before day 5; ","")&amp;IF(AND($G269="photo",$H269=""),"which photo?; ",""))</f>
        <v/>
      </c>
    </row>
    <row r="270">
      <c r="A270" s="9" t="n"/>
      <c r="B270" s="33" t="n"/>
      <c r="J270" s="25">
        <f>IF(OR($C270="",$A270=""),"",IF($A270&lt;IFERROR(IF(INDEX(campaigns!$BG$2:$BG$51,MATCH($C270,campaigns!$A$2:$A$51,0))="","",INDEX(campaigns!$BG$2:$BG$51,MATCH($C270,campaigns!$A$2:$A$51,0))),""),0,NETWORKDAYS(IFERROR(IF(INDEX(campaigns!$BG$2:$BG$51,MATCH($C270,campaigns!$A$2:$A$51,0))="","",INDEX(campaigns!$BG$2:$BG$51,MATCH($C270,campaigns!$A$2:$A$51,0))),""),$A270,calendar!$A$2:$A$80)))</f>
        <v/>
      </c>
      <c r="K270" s="25">
        <f>IF($C270="","",IF(COUNTIF(campaigns!$A$2:$A$51,$C270)=0,"campaign_id not on campaigns; ",IF(AND($D270&lt;&gt;"",COUNTIFS(approvals!$A$2:$A$251,$C270,approvals!$B$2:$B$251,$D270)=0),"office not on this campaign (approvals tab); ",""))&amp;IF(COUNTIFS(counts!$C$2:$C$701,$C270,counts!$D$2:$D$701,$D270,counts!$E$2:$E$701,$E270)&gt;1,"two "&amp;$E270&amp;" counts: keep one; ","")&amp;IF(AND($E270="remaining_day5",N($J270)&lt;5),"day-5 count logged before day 5; ","")&amp;IF(AND($G270="photo",$H270=""),"which photo?; ",""))</f>
        <v/>
      </c>
    </row>
    <row r="271">
      <c r="A271" s="9" t="n"/>
      <c r="B271" s="33" t="n"/>
      <c r="J271" s="25">
        <f>IF(OR($C271="",$A271=""),"",IF($A271&lt;IFERROR(IF(INDEX(campaigns!$BG$2:$BG$51,MATCH($C271,campaigns!$A$2:$A$51,0))="","",INDEX(campaigns!$BG$2:$BG$51,MATCH($C271,campaigns!$A$2:$A$51,0))),""),0,NETWORKDAYS(IFERROR(IF(INDEX(campaigns!$BG$2:$BG$51,MATCH($C271,campaigns!$A$2:$A$51,0))="","",INDEX(campaigns!$BG$2:$BG$51,MATCH($C271,campaigns!$A$2:$A$51,0))),""),$A271,calendar!$A$2:$A$80)))</f>
        <v/>
      </c>
      <c r="K271" s="25">
        <f>IF($C271="","",IF(COUNTIF(campaigns!$A$2:$A$51,$C271)=0,"campaign_id not on campaigns; ",IF(AND($D271&lt;&gt;"",COUNTIFS(approvals!$A$2:$A$251,$C271,approvals!$B$2:$B$251,$D271)=0),"office not on this campaign (approvals tab); ",""))&amp;IF(COUNTIFS(counts!$C$2:$C$701,$C271,counts!$D$2:$D$701,$D271,counts!$E$2:$E$701,$E271)&gt;1,"two "&amp;$E271&amp;" counts: keep one; ","")&amp;IF(AND($E271="remaining_day5",N($J271)&lt;5),"day-5 count logged before day 5; ","")&amp;IF(AND($G271="photo",$H271=""),"which photo?; ",""))</f>
        <v/>
      </c>
    </row>
    <row r="272">
      <c r="A272" s="9" t="n"/>
      <c r="B272" s="33" t="n"/>
      <c r="J272" s="25">
        <f>IF(OR($C272="",$A272=""),"",IF($A272&lt;IFERROR(IF(INDEX(campaigns!$BG$2:$BG$51,MATCH($C272,campaigns!$A$2:$A$51,0))="","",INDEX(campaigns!$BG$2:$BG$51,MATCH($C272,campaigns!$A$2:$A$51,0))),""),0,NETWORKDAYS(IFERROR(IF(INDEX(campaigns!$BG$2:$BG$51,MATCH($C272,campaigns!$A$2:$A$51,0))="","",INDEX(campaigns!$BG$2:$BG$51,MATCH($C272,campaigns!$A$2:$A$51,0))),""),$A272,calendar!$A$2:$A$80)))</f>
        <v/>
      </c>
      <c r="K272" s="25">
        <f>IF($C272="","",IF(COUNTIF(campaigns!$A$2:$A$51,$C272)=0,"campaign_id not on campaigns; ",IF(AND($D272&lt;&gt;"",COUNTIFS(approvals!$A$2:$A$251,$C272,approvals!$B$2:$B$251,$D272)=0),"office not on this campaign (approvals tab); ",""))&amp;IF(COUNTIFS(counts!$C$2:$C$701,$C272,counts!$D$2:$D$701,$D272,counts!$E$2:$E$701,$E272)&gt;1,"two "&amp;$E272&amp;" counts: keep one; ","")&amp;IF(AND($E272="remaining_day5",N($J272)&lt;5),"day-5 count logged before day 5; ","")&amp;IF(AND($G272="photo",$H272=""),"which photo?; ",""))</f>
        <v/>
      </c>
    </row>
    <row r="273">
      <c r="A273" s="9" t="n"/>
      <c r="B273" s="33" t="n"/>
      <c r="J273" s="25">
        <f>IF(OR($C273="",$A273=""),"",IF($A273&lt;IFERROR(IF(INDEX(campaigns!$BG$2:$BG$51,MATCH($C273,campaigns!$A$2:$A$51,0))="","",INDEX(campaigns!$BG$2:$BG$51,MATCH($C273,campaigns!$A$2:$A$51,0))),""),0,NETWORKDAYS(IFERROR(IF(INDEX(campaigns!$BG$2:$BG$51,MATCH($C273,campaigns!$A$2:$A$51,0))="","",INDEX(campaigns!$BG$2:$BG$51,MATCH($C273,campaigns!$A$2:$A$51,0))),""),$A273,calendar!$A$2:$A$80)))</f>
        <v/>
      </c>
      <c r="K273" s="25">
        <f>IF($C273="","",IF(COUNTIF(campaigns!$A$2:$A$51,$C273)=0,"campaign_id not on campaigns; ",IF(AND($D273&lt;&gt;"",COUNTIFS(approvals!$A$2:$A$251,$C273,approvals!$B$2:$B$251,$D273)=0),"office not on this campaign (approvals tab); ",""))&amp;IF(COUNTIFS(counts!$C$2:$C$701,$C273,counts!$D$2:$D$701,$D273,counts!$E$2:$E$701,$E273)&gt;1,"two "&amp;$E273&amp;" counts: keep one; ","")&amp;IF(AND($E273="remaining_day5",N($J273)&lt;5),"day-5 count logged before day 5; ","")&amp;IF(AND($G273="photo",$H273=""),"which photo?; ",""))</f>
        <v/>
      </c>
    </row>
    <row r="274">
      <c r="A274" s="9" t="n"/>
      <c r="B274" s="33" t="n"/>
      <c r="J274" s="25">
        <f>IF(OR($C274="",$A274=""),"",IF($A274&lt;IFERROR(IF(INDEX(campaigns!$BG$2:$BG$51,MATCH($C274,campaigns!$A$2:$A$51,0))="","",INDEX(campaigns!$BG$2:$BG$51,MATCH($C274,campaigns!$A$2:$A$51,0))),""),0,NETWORKDAYS(IFERROR(IF(INDEX(campaigns!$BG$2:$BG$51,MATCH($C274,campaigns!$A$2:$A$51,0))="","",INDEX(campaigns!$BG$2:$BG$51,MATCH($C274,campaigns!$A$2:$A$51,0))),""),$A274,calendar!$A$2:$A$80)))</f>
        <v/>
      </c>
      <c r="K274" s="25">
        <f>IF($C274="","",IF(COUNTIF(campaigns!$A$2:$A$51,$C274)=0,"campaign_id not on campaigns; ",IF(AND($D274&lt;&gt;"",COUNTIFS(approvals!$A$2:$A$251,$C274,approvals!$B$2:$B$251,$D274)=0),"office not on this campaign (approvals tab); ",""))&amp;IF(COUNTIFS(counts!$C$2:$C$701,$C274,counts!$D$2:$D$701,$D274,counts!$E$2:$E$701,$E274)&gt;1,"two "&amp;$E274&amp;" counts: keep one; ","")&amp;IF(AND($E274="remaining_day5",N($J274)&lt;5),"day-5 count logged before day 5; ","")&amp;IF(AND($G274="photo",$H274=""),"which photo?; ",""))</f>
        <v/>
      </c>
    </row>
    <row r="275">
      <c r="A275" s="9" t="n"/>
      <c r="B275" s="33" t="n"/>
      <c r="J275" s="25">
        <f>IF(OR($C275="",$A275=""),"",IF($A275&lt;IFERROR(IF(INDEX(campaigns!$BG$2:$BG$51,MATCH($C275,campaigns!$A$2:$A$51,0))="","",INDEX(campaigns!$BG$2:$BG$51,MATCH($C275,campaigns!$A$2:$A$51,0))),""),0,NETWORKDAYS(IFERROR(IF(INDEX(campaigns!$BG$2:$BG$51,MATCH($C275,campaigns!$A$2:$A$51,0))="","",INDEX(campaigns!$BG$2:$BG$51,MATCH($C275,campaigns!$A$2:$A$51,0))),""),$A275,calendar!$A$2:$A$80)))</f>
        <v/>
      </c>
      <c r="K275" s="25">
        <f>IF($C275="","",IF(COUNTIF(campaigns!$A$2:$A$51,$C275)=0,"campaign_id not on campaigns; ",IF(AND($D275&lt;&gt;"",COUNTIFS(approvals!$A$2:$A$251,$C275,approvals!$B$2:$B$251,$D275)=0),"office not on this campaign (approvals tab); ",""))&amp;IF(COUNTIFS(counts!$C$2:$C$701,$C275,counts!$D$2:$D$701,$D275,counts!$E$2:$E$701,$E275)&gt;1,"two "&amp;$E275&amp;" counts: keep one; ","")&amp;IF(AND($E275="remaining_day5",N($J275)&lt;5),"day-5 count logged before day 5; ","")&amp;IF(AND($G275="photo",$H275=""),"which photo?; ",""))</f>
        <v/>
      </c>
    </row>
    <row r="276">
      <c r="A276" s="9" t="n"/>
      <c r="B276" s="33" t="n"/>
      <c r="J276" s="25">
        <f>IF(OR($C276="",$A276=""),"",IF($A276&lt;IFERROR(IF(INDEX(campaigns!$BG$2:$BG$51,MATCH($C276,campaigns!$A$2:$A$51,0))="","",INDEX(campaigns!$BG$2:$BG$51,MATCH($C276,campaigns!$A$2:$A$51,0))),""),0,NETWORKDAYS(IFERROR(IF(INDEX(campaigns!$BG$2:$BG$51,MATCH($C276,campaigns!$A$2:$A$51,0))="","",INDEX(campaigns!$BG$2:$BG$51,MATCH($C276,campaigns!$A$2:$A$51,0))),""),$A276,calendar!$A$2:$A$80)))</f>
        <v/>
      </c>
      <c r="K276" s="25">
        <f>IF($C276="","",IF(COUNTIF(campaigns!$A$2:$A$51,$C276)=0,"campaign_id not on campaigns; ",IF(AND($D276&lt;&gt;"",COUNTIFS(approvals!$A$2:$A$251,$C276,approvals!$B$2:$B$251,$D276)=0),"office not on this campaign (approvals tab); ",""))&amp;IF(COUNTIFS(counts!$C$2:$C$701,$C276,counts!$D$2:$D$701,$D276,counts!$E$2:$E$701,$E276)&gt;1,"two "&amp;$E276&amp;" counts: keep one; ","")&amp;IF(AND($E276="remaining_day5",N($J276)&lt;5),"day-5 count logged before day 5; ","")&amp;IF(AND($G276="photo",$H276=""),"which photo?; ",""))</f>
        <v/>
      </c>
    </row>
    <row r="277">
      <c r="A277" s="9" t="n"/>
      <c r="B277" s="33" t="n"/>
      <c r="J277" s="25">
        <f>IF(OR($C277="",$A277=""),"",IF($A277&lt;IFERROR(IF(INDEX(campaigns!$BG$2:$BG$51,MATCH($C277,campaigns!$A$2:$A$51,0))="","",INDEX(campaigns!$BG$2:$BG$51,MATCH($C277,campaigns!$A$2:$A$51,0))),""),0,NETWORKDAYS(IFERROR(IF(INDEX(campaigns!$BG$2:$BG$51,MATCH($C277,campaigns!$A$2:$A$51,0))="","",INDEX(campaigns!$BG$2:$BG$51,MATCH($C277,campaigns!$A$2:$A$51,0))),""),$A277,calendar!$A$2:$A$80)))</f>
        <v/>
      </c>
      <c r="K277" s="25">
        <f>IF($C277="","",IF(COUNTIF(campaigns!$A$2:$A$51,$C277)=0,"campaign_id not on campaigns; ",IF(AND($D277&lt;&gt;"",COUNTIFS(approvals!$A$2:$A$251,$C277,approvals!$B$2:$B$251,$D277)=0),"office not on this campaign (approvals tab); ",""))&amp;IF(COUNTIFS(counts!$C$2:$C$701,$C277,counts!$D$2:$D$701,$D277,counts!$E$2:$E$701,$E277)&gt;1,"two "&amp;$E277&amp;" counts: keep one; ","")&amp;IF(AND($E277="remaining_day5",N($J277)&lt;5),"day-5 count logged before day 5; ","")&amp;IF(AND($G277="photo",$H277=""),"which photo?; ",""))</f>
        <v/>
      </c>
    </row>
    <row r="278">
      <c r="A278" s="9" t="n"/>
      <c r="B278" s="33" t="n"/>
      <c r="J278" s="25">
        <f>IF(OR($C278="",$A278=""),"",IF($A278&lt;IFERROR(IF(INDEX(campaigns!$BG$2:$BG$51,MATCH($C278,campaigns!$A$2:$A$51,0))="","",INDEX(campaigns!$BG$2:$BG$51,MATCH($C278,campaigns!$A$2:$A$51,0))),""),0,NETWORKDAYS(IFERROR(IF(INDEX(campaigns!$BG$2:$BG$51,MATCH($C278,campaigns!$A$2:$A$51,0))="","",INDEX(campaigns!$BG$2:$BG$51,MATCH($C278,campaigns!$A$2:$A$51,0))),""),$A278,calendar!$A$2:$A$80)))</f>
        <v/>
      </c>
      <c r="K278" s="25">
        <f>IF($C278="","",IF(COUNTIF(campaigns!$A$2:$A$51,$C278)=0,"campaign_id not on campaigns; ",IF(AND($D278&lt;&gt;"",COUNTIFS(approvals!$A$2:$A$251,$C278,approvals!$B$2:$B$251,$D278)=0),"office not on this campaign (approvals tab); ",""))&amp;IF(COUNTIFS(counts!$C$2:$C$701,$C278,counts!$D$2:$D$701,$D278,counts!$E$2:$E$701,$E278)&gt;1,"two "&amp;$E278&amp;" counts: keep one; ","")&amp;IF(AND($E278="remaining_day5",N($J278)&lt;5),"day-5 count logged before day 5; ","")&amp;IF(AND($G278="photo",$H278=""),"which photo?; ",""))</f>
        <v/>
      </c>
    </row>
    <row r="279">
      <c r="A279" s="9" t="n"/>
      <c r="B279" s="33" t="n"/>
      <c r="J279" s="25">
        <f>IF(OR($C279="",$A279=""),"",IF($A279&lt;IFERROR(IF(INDEX(campaigns!$BG$2:$BG$51,MATCH($C279,campaigns!$A$2:$A$51,0))="","",INDEX(campaigns!$BG$2:$BG$51,MATCH($C279,campaigns!$A$2:$A$51,0))),""),0,NETWORKDAYS(IFERROR(IF(INDEX(campaigns!$BG$2:$BG$51,MATCH($C279,campaigns!$A$2:$A$51,0))="","",INDEX(campaigns!$BG$2:$BG$51,MATCH($C279,campaigns!$A$2:$A$51,0))),""),$A279,calendar!$A$2:$A$80)))</f>
        <v/>
      </c>
      <c r="K279" s="25">
        <f>IF($C279="","",IF(COUNTIF(campaigns!$A$2:$A$51,$C279)=0,"campaign_id not on campaigns; ",IF(AND($D279&lt;&gt;"",COUNTIFS(approvals!$A$2:$A$251,$C279,approvals!$B$2:$B$251,$D279)=0),"office not on this campaign (approvals tab); ",""))&amp;IF(COUNTIFS(counts!$C$2:$C$701,$C279,counts!$D$2:$D$701,$D279,counts!$E$2:$E$701,$E279)&gt;1,"two "&amp;$E279&amp;" counts: keep one; ","")&amp;IF(AND($E279="remaining_day5",N($J279)&lt;5),"day-5 count logged before day 5; ","")&amp;IF(AND($G279="photo",$H279=""),"which photo?; ",""))</f>
        <v/>
      </c>
    </row>
    <row r="280">
      <c r="A280" s="9" t="n"/>
      <c r="B280" s="33" t="n"/>
      <c r="J280" s="25">
        <f>IF(OR($C280="",$A280=""),"",IF($A280&lt;IFERROR(IF(INDEX(campaigns!$BG$2:$BG$51,MATCH($C280,campaigns!$A$2:$A$51,0))="","",INDEX(campaigns!$BG$2:$BG$51,MATCH($C280,campaigns!$A$2:$A$51,0))),""),0,NETWORKDAYS(IFERROR(IF(INDEX(campaigns!$BG$2:$BG$51,MATCH($C280,campaigns!$A$2:$A$51,0))="","",INDEX(campaigns!$BG$2:$BG$51,MATCH($C280,campaigns!$A$2:$A$51,0))),""),$A280,calendar!$A$2:$A$80)))</f>
        <v/>
      </c>
      <c r="K280" s="25">
        <f>IF($C280="","",IF(COUNTIF(campaigns!$A$2:$A$51,$C280)=0,"campaign_id not on campaigns; ",IF(AND($D280&lt;&gt;"",COUNTIFS(approvals!$A$2:$A$251,$C280,approvals!$B$2:$B$251,$D280)=0),"office not on this campaign (approvals tab); ",""))&amp;IF(COUNTIFS(counts!$C$2:$C$701,$C280,counts!$D$2:$D$701,$D280,counts!$E$2:$E$701,$E280)&gt;1,"two "&amp;$E280&amp;" counts: keep one; ","")&amp;IF(AND($E280="remaining_day5",N($J280)&lt;5),"day-5 count logged before day 5; ","")&amp;IF(AND($G280="photo",$H280=""),"which photo?; ",""))</f>
        <v/>
      </c>
    </row>
    <row r="281">
      <c r="A281" s="9" t="n"/>
      <c r="B281" s="33" t="n"/>
      <c r="J281" s="25">
        <f>IF(OR($C281="",$A281=""),"",IF($A281&lt;IFERROR(IF(INDEX(campaigns!$BG$2:$BG$51,MATCH($C281,campaigns!$A$2:$A$51,0))="","",INDEX(campaigns!$BG$2:$BG$51,MATCH($C281,campaigns!$A$2:$A$51,0))),""),0,NETWORKDAYS(IFERROR(IF(INDEX(campaigns!$BG$2:$BG$51,MATCH($C281,campaigns!$A$2:$A$51,0))="","",INDEX(campaigns!$BG$2:$BG$51,MATCH($C281,campaigns!$A$2:$A$51,0))),""),$A281,calendar!$A$2:$A$80)))</f>
        <v/>
      </c>
      <c r="K281" s="25">
        <f>IF($C281="","",IF(COUNTIF(campaigns!$A$2:$A$51,$C281)=0,"campaign_id not on campaigns; ",IF(AND($D281&lt;&gt;"",COUNTIFS(approvals!$A$2:$A$251,$C281,approvals!$B$2:$B$251,$D281)=0),"office not on this campaign (approvals tab); ",""))&amp;IF(COUNTIFS(counts!$C$2:$C$701,$C281,counts!$D$2:$D$701,$D281,counts!$E$2:$E$701,$E281)&gt;1,"two "&amp;$E281&amp;" counts: keep one; ","")&amp;IF(AND($E281="remaining_day5",N($J281)&lt;5),"day-5 count logged before day 5; ","")&amp;IF(AND($G281="photo",$H281=""),"which photo?; ",""))</f>
        <v/>
      </c>
    </row>
    <row r="282">
      <c r="A282" s="9" t="n"/>
      <c r="B282" s="33" t="n"/>
      <c r="J282" s="25">
        <f>IF(OR($C282="",$A282=""),"",IF($A282&lt;IFERROR(IF(INDEX(campaigns!$BG$2:$BG$51,MATCH($C282,campaigns!$A$2:$A$51,0))="","",INDEX(campaigns!$BG$2:$BG$51,MATCH($C282,campaigns!$A$2:$A$51,0))),""),0,NETWORKDAYS(IFERROR(IF(INDEX(campaigns!$BG$2:$BG$51,MATCH($C282,campaigns!$A$2:$A$51,0))="","",INDEX(campaigns!$BG$2:$BG$51,MATCH($C282,campaigns!$A$2:$A$51,0))),""),$A282,calendar!$A$2:$A$80)))</f>
        <v/>
      </c>
      <c r="K282" s="25">
        <f>IF($C282="","",IF(COUNTIF(campaigns!$A$2:$A$51,$C282)=0,"campaign_id not on campaigns; ",IF(AND($D282&lt;&gt;"",COUNTIFS(approvals!$A$2:$A$251,$C282,approvals!$B$2:$B$251,$D282)=0),"office not on this campaign (approvals tab); ",""))&amp;IF(COUNTIFS(counts!$C$2:$C$701,$C282,counts!$D$2:$D$701,$D282,counts!$E$2:$E$701,$E282)&gt;1,"two "&amp;$E282&amp;" counts: keep one; ","")&amp;IF(AND($E282="remaining_day5",N($J282)&lt;5),"day-5 count logged before day 5; ","")&amp;IF(AND($G282="photo",$H282=""),"which photo?; ",""))</f>
        <v/>
      </c>
    </row>
    <row r="283">
      <c r="A283" s="9" t="n"/>
      <c r="B283" s="33" t="n"/>
      <c r="J283" s="25">
        <f>IF(OR($C283="",$A283=""),"",IF($A283&lt;IFERROR(IF(INDEX(campaigns!$BG$2:$BG$51,MATCH($C283,campaigns!$A$2:$A$51,0))="","",INDEX(campaigns!$BG$2:$BG$51,MATCH($C283,campaigns!$A$2:$A$51,0))),""),0,NETWORKDAYS(IFERROR(IF(INDEX(campaigns!$BG$2:$BG$51,MATCH($C283,campaigns!$A$2:$A$51,0))="","",INDEX(campaigns!$BG$2:$BG$51,MATCH($C283,campaigns!$A$2:$A$51,0))),""),$A283,calendar!$A$2:$A$80)))</f>
        <v/>
      </c>
      <c r="K283" s="25">
        <f>IF($C283="","",IF(COUNTIF(campaigns!$A$2:$A$51,$C283)=0,"campaign_id not on campaigns; ",IF(AND($D283&lt;&gt;"",COUNTIFS(approvals!$A$2:$A$251,$C283,approvals!$B$2:$B$251,$D283)=0),"office not on this campaign (approvals tab); ",""))&amp;IF(COUNTIFS(counts!$C$2:$C$701,$C283,counts!$D$2:$D$701,$D283,counts!$E$2:$E$701,$E283)&gt;1,"two "&amp;$E283&amp;" counts: keep one; ","")&amp;IF(AND($E283="remaining_day5",N($J283)&lt;5),"day-5 count logged before day 5; ","")&amp;IF(AND($G283="photo",$H283=""),"which photo?; ",""))</f>
        <v/>
      </c>
    </row>
    <row r="284">
      <c r="A284" s="9" t="n"/>
      <c r="B284" s="33" t="n"/>
      <c r="J284" s="25">
        <f>IF(OR($C284="",$A284=""),"",IF($A284&lt;IFERROR(IF(INDEX(campaigns!$BG$2:$BG$51,MATCH($C284,campaigns!$A$2:$A$51,0))="","",INDEX(campaigns!$BG$2:$BG$51,MATCH($C284,campaigns!$A$2:$A$51,0))),""),0,NETWORKDAYS(IFERROR(IF(INDEX(campaigns!$BG$2:$BG$51,MATCH($C284,campaigns!$A$2:$A$51,0))="","",INDEX(campaigns!$BG$2:$BG$51,MATCH($C284,campaigns!$A$2:$A$51,0))),""),$A284,calendar!$A$2:$A$80)))</f>
        <v/>
      </c>
      <c r="K284" s="25">
        <f>IF($C284="","",IF(COUNTIF(campaigns!$A$2:$A$51,$C284)=0,"campaign_id not on campaigns; ",IF(AND($D284&lt;&gt;"",COUNTIFS(approvals!$A$2:$A$251,$C284,approvals!$B$2:$B$251,$D284)=0),"office not on this campaign (approvals tab); ",""))&amp;IF(COUNTIFS(counts!$C$2:$C$701,$C284,counts!$D$2:$D$701,$D284,counts!$E$2:$E$701,$E284)&gt;1,"two "&amp;$E284&amp;" counts: keep one; ","")&amp;IF(AND($E284="remaining_day5",N($J284)&lt;5),"day-5 count logged before day 5; ","")&amp;IF(AND($G284="photo",$H284=""),"which photo?; ",""))</f>
        <v/>
      </c>
    </row>
    <row r="285">
      <c r="A285" s="9" t="n"/>
      <c r="B285" s="33" t="n"/>
      <c r="J285" s="25">
        <f>IF(OR($C285="",$A285=""),"",IF($A285&lt;IFERROR(IF(INDEX(campaigns!$BG$2:$BG$51,MATCH($C285,campaigns!$A$2:$A$51,0))="","",INDEX(campaigns!$BG$2:$BG$51,MATCH($C285,campaigns!$A$2:$A$51,0))),""),0,NETWORKDAYS(IFERROR(IF(INDEX(campaigns!$BG$2:$BG$51,MATCH($C285,campaigns!$A$2:$A$51,0))="","",INDEX(campaigns!$BG$2:$BG$51,MATCH($C285,campaigns!$A$2:$A$51,0))),""),$A285,calendar!$A$2:$A$80)))</f>
        <v/>
      </c>
      <c r="K285" s="25">
        <f>IF($C285="","",IF(COUNTIF(campaigns!$A$2:$A$51,$C285)=0,"campaign_id not on campaigns; ",IF(AND($D285&lt;&gt;"",COUNTIFS(approvals!$A$2:$A$251,$C285,approvals!$B$2:$B$251,$D285)=0),"office not on this campaign (approvals tab); ",""))&amp;IF(COUNTIFS(counts!$C$2:$C$701,$C285,counts!$D$2:$D$701,$D285,counts!$E$2:$E$701,$E285)&gt;1,"two "&amp;$E285&amp;" counts: keep one; ","")&amp;IF(AND($E285="remaining_day5",N($J285)&lt;5),"day-5 count logged before day 5; ","")&amp;IF(AND($G285="photo",$H285=""),"which photo?; ",""))</f>
        <v/>
      </c>
    </row>
    <row r="286">
      <c r="A286" s="9" t="n"/>
      <c r="B286" s="33" t="n"/>
      <c r="J286" s="25">
        <f>IF(OR($C286="",$A286=""),"",IF($A286&lt;IFERROR(IF(INDEX(campaigns!$BG$2:$BG$51,MATCH($C286,campaigns!$A$2:$A$51,0))="","",INDEX(campaigns!$BG$2:$BG$51,MATCH($C286,campaigns!$A$2:$A$51,0))),""),0,NETWORKDAYS(IFERROR(IF(INDEX(campaigns!$BG$2:$BG$51,MATCH($C286,campaigns!$A$2:$A$51,0))="","",INDEX(campaigns!$BG$2:$BG$51,MATCH($C286,campaigns!$A$2:$A$51,0))),""),$A286,calendar!$A$2:$A$80)))</f>
        <v/>
      </c>
      <c r="K286" s="25">
        <f>IF($C286="","",IF(COUNTIF(campaigns!$A$2:$A$51,$C286)=0,"campaign_id not on campaigns; ",IF(AND($D286&lt;&gt;"",COUNTIFS(approvals!$A$2:$A$251,$C286,approvals!$B$2:$B$251,$D286)=0),"office not on this campaign (approvals tab); ",""))&amp;IF(COUNTIFS(counts!$C$2:$C$701,$C286,counts!$D$2:$D$701,$D286,counts!$E$2:$E$701,$E286)&gt;1,"two "&amp;$E286&amp;" counts: keep one; ","")&amp;IF(AND($E286="remaining_day5",N($J286)&lt;5),"day-5 count logged before day 5; ","")&amp;IF(AND($G286="photo",$H286=""),"which photo?; ",""))</f>
        <v/>
      </c>
    </row>
    <row r="287">
      <c r="A287" s="9" t="n"/>
      <c r="B287" s="33" t="n"/>
      <c r="J287" s="25">
        <f>IF(OR($C287="",$A287=""),"",IF($A287&lt;IFERROR(IF(INDEX(campaigns!$BG$2:$BG$51,MATCH($C287,campaigns!$A$2:$A$51,0))="","",INDEX(campaigns!$BG$2:$BG$51,MATCH($C287,campaigns!$A$2:$A$51,0))),""),0,NETWORKDAYS(IFERROR(IF(INDEX(campaigns!$BG$2:$BG$51,MATCH($C287,campaigns!$A$2:$A$51,0))="","",INDEX(campaigns!$BG$2:$BG$51,MATCH($C287,campaigns!$A$2:$A$51,0))),""),$A287,calendar!$A$2:$A$80)))</f>
        <v/>
      </c>
      <c r="K287" s="25">
        <f>IF($C287="","",IF(COUNTIF(campaigns!$A$2:$A$51,$C287)=0,"campaign_id not on campaigns; ",IF(AND($D287&lt;&gt;"",COUNTIFS(approvals!$A$2:$A$251,$C287,approvals!$B$2:$B$251,$D287)=0),"office not on this campaign (approvals tab); ",""))&amp;IF(COUNTIFS(counts!$C$2:$C$701,$C287,counts!$D$2:$D$701,$D287,counts!$E$2:$E$701,$E287)&gt;1,"two "&amp;$E287&amp;" counts: keep one; ","")&amp;IF(AND($E287="remaining_day5",N($J287)&lt;5),"day-5 count logged before day 5; ","")&amp;IF(AND($G287="photo",$H287=""),"which photo?; ",""))</f>
        <v/>
      </c>
    </row>
    <row r="288">
      <c r="A288" s="9" t="n"/>
      <c r="B288" s="33" t="n"/>
      <c r="J288" s="25">
        <f>IF(OR($C288="",$A288=""),"",IF($A288&lt;IFERROR(IF(INDEX(campaigns!$BG$2:$BG$51,MATCH($C288,campaigns!$A$2:$A$51,0))="","",INDEX(campaigns!$BG$2:$BG$51,MATCH($C288,campaigns!$A$2:$A$51,0))),""),0,NETWORKDAYS(IFERROR(IF(INDEX(campaigns!$BG$2:$BG$51,MATCH($C288,campaigns!$A$2:$A$51,0))="","",INDEX(campaigns!$BG$2:$BG$51,MATCH($C288,campaigns!$A$2:$A$51,0))),""),$A288,calendar!$A$2:$A$80)))</f>
        <v/>
      </c>
      <c r="K288" s="25">
        <f>IF($C288="","",IF(COUNTIF(campaigns!$A$2:$A$51,$C288)=0,"campaign_id not on campaigns; ",IF(AND($D288&lt;&gt;"",COUNTIFS(approvals!$A$2:$A$251,$C288,approvals!$B$2:$B$251,$D288)=0),"office not on this campaign (approvals tab); ",""))&amp;IF(COUNTIFS(counts!$C$2:$C$701,$C288,counts!$D$2:$D$701,$D288,counts!$E$2:$E$701,$E288)&gt;1,"two "&amp;$E288&amp;" counts: keep one; ","")&amp;IF(AND($E288="remaining_day5",N($J288)&lt;5),"day-5 count logged before day 5; ","")&amp;IF(AND($G288="photo",$H288=""),"which photo?; ",""))</f>
        <v/>
      </c>
    </row>
    <row r="289">
      <c r="A289" s="9" t="n"/>
      <c r="B289" s="33" t="n"/>
      <c r="J289" s="25">
        <f>IF(OR($C289="",$A289=""),"",IF($A289&lt;IFERROR(IF(INDEX(campaigns!$BG$2:$BG$51,MATCH($C289,campaigns!$A$2:$A$51,0))="","",INDEX(campaigns!$BG$2:$BG$51,MATCH($C289,campaigns!$A$2:$A$51,0))),""),0,NETWORKDAYS(IFERROR(IF(INDEX(campaigns!$BG$2:$BG$51,MATCH($C289,campaigns!$A$2:$A$51,0))="","",INDEX(campaigns!$BG$2:$BG$51,MATCH($C289,campaigns!$A$2:$A$51,0))),""),$A289,calendar!$A$2:$A$80)))</f>
        <v/>
      </c>
      <c r="K289" s="25">
        <f>IF($C289="","",IF(COUNTIF(campaigns!$A$2:$A$51,$C289)=0,"campaign_id not on campaigns; ",IF(AND($D289&lt;&gt;"",COUNTIFS(approvals!$A$2:$A$251,$C289,approvals!$B$2:$B$251,$D289)=0),"office not on this campaign (approvals tab); ",""))&amp;IF(COUNTIFS(counts!$C$2:$C$701,$C289,counts!$D$2:$D$701,$D289,counts!$E$2:$E$701,$E289)&gt;1,"two "&amp;$E289&amp;" counts: keep one; ","")&amp;IF(AND($E289="remaining_day5",N($J289)&lt;5),"day-5 count logged before day 5; ","")&amp;IF(AND($G289="photo",$H289=""),"which photo?; ",""))</f>
        <v/>
      </c>
    </row>
    <row r="290">
      <c r="A290" s="9" t="n"/>
      <c r="B290" s="33" t="n"/>
      <c r="J290" s="25">
        <f>IF(OR($C290="",$A290=""),"",IF($A290&lt;IFERROR(IF(INDEX(campaigns!$BG$2:$BG$51,MATCH($C290,campaigns!$A$2:$A$51,0))="","",INDEX(campaigns!$BG$2:$BG$51,MATCH($C290,campaigns!$A$2:$A$51,0))),""),0,NETWORKDAYS(IFERROR(IF(INDEX(campaigns!$BG$2:$BG$51,MATCH($C290,campaigns!$A$2:$A$51,0))="","",INDEX(campaigns!$BG$2:$BG$51,MATCH($C290,campaigns!$A$2:$A$51,0))),""),$A290,calendar!$A$2:$A$80)))</f>
        <v/>
      </c>
      <c r="K290" s="25">
        <f>IF($C290="","",IF(COUNTIF(campaigns!$A$2:$A$51,$C290)=0,"campaign_id not on campaigns; ",IF(AND($D290&lt;&gt;"",COUNTIFS(approvals!$A$2:$A$251,$C290,approvals!$B$2:$B$251,$D290)=0),"office not on this campaign (approvals tab); ",""))&amp;IF(COUNTIFS(counts!$C$2:$C$701,$C290,counts!$D$2:$D$701,$D290,counts!$E$2:$E$701,$E290)&gt;1,"two "&amp;$E290&amp;" counts: keep one; ","")&amp;IF(AND($E290="remaining_day5",N($J290)&lt;5),"day-5 count logged before day 5; ","")&amp;IF(AND($G290="photo",$H290=""),"which photo?; ",""))</f>
        <v/>
      </c>
    </row>
    <row r="291">
      <c r="A291" s="9" t="n"/>
      <c r="B291" s="33" t="n"/>
      <c r="J291" s="25">
        <f>IF(OR($C291="",$A291=""),"",IF($A291&lt;IFERROR(IF(INDEX(campaigns!$BG$2:$BG$51,MATCH($C291,campaigns!$A$2:$A$51,0))="","",INDEX(campaigns!$BG$2:$BG$51,MATCH($C291,campaigns!$A$2:$A$51,0))),""),0,NETWORKDAYS(IFERROR(IF(INDEX(campaigns!$BG$2:$BG$51,MATCH($C291,campaigns!$A$2:$A$51,0))="","",INDEX(campaigns!$BG$2:$BG$51,MATCH($C291,campaigns!$A$2:$A$51,0))),""),$A291,calendar!$A$2:$A$80)))</f>
        <v/>
      </c>
      <c r="K291" s="25">
        <f>IF($C291="","",IF(COUNTIF(campaigns!$A$2:$A$51,$C291)=0,"campaign_id not on campaigns; ",IF(AND($D291&lt;&gt;"",COUNTIFS(approvals!$A$2:$A$251,$C291,approvals!$B$2:$B$251,$D291)=0),"office not on this campaign (approvals tab); ",""))&amp;IF(COUNTIFS(counts!$C$2:$C$701,$C291,counts!$D$2:$D$701,$D291,counts!$E$2:$E$701,$E291)&gt;1,"two "&amp;$E291&amp;" counts: keep one; ","")&amp;IF(AND($E291="remaining_day5",N($J291)&lt;5),"day-5 count logged before day 5; ","")&amp;IF(AND($G291="photo",$H291=""),"which photo?; ",""))</f>
        <v/>
      </c>
    </row>
    <row r="292">
      <c r="A292" s="9" t="n"/>
      <c r="B292" s="33" t="n"/>
      <c r="J292" s="25">
        <f>IF(OR($C292="",$A292=""),"",IF($A292&lt;IFERROR(IF(INDEX(campaigns!$BG$2:$BG$51,MATCH($C292,campaigns!$A$2:$A$51,0))="","",INDEX(campaigns!$BG$2:$BG$51,MATCH($C292,campaigns!$A$2:$A$51,0))),""),0,NETWORKDAYS(IFERROR(IF(INDEX(campaigns!$BG$2:$BG$51,MATCH($C292,campaigns!$A$2:$A$51,0))="","",INDEX(campaigns!$BG$2:$BG$51,MATCH($C292,campaigns!$A$2:$A$51,0))),""),$A292,calendar!$A$2:$A$80)))</f>
        <v/>
      </c>
      <c r="K292" s="25">
        <f>IF($C292="","",IF(COUNTIF(campaigns!$A$2:$A$51,$C292)=0,"campaign_id not on campaigns; ",IF(AND($D292&lt;&gt;"",COUNTIFS(approvals!$A$2:$A$251,$C292,approvals!$B$2:$B$251,$D292)=0),"office not on this campaign (approvals tab); ",""))&amp;IF(COUNTIFS(counts!$C$2:$C$701,$C292,counts!$D$2:$D$701,$D292,counts!$E$2:$E$701,$E292)&gt;1,"two "&amp;$E292&amp;" counts: keep one; ","")&amp;IF(AND($E292="remaining_day5",N($J292)&lt;5),"day-5 count logged before day 5; ","")&amp;IF(AND($G292="photo",$H292=""),"which photo?; ",""))</f>
        <v/>
      </c>
    </row>
    <row r="293">
      <c r="A293" s="9" t="n"/>
      <c r="B293" s="33" t="n"/>
      <c r="J293" s="25">
        <f>IF(OR($C293="",$A293=""),"",IF($A293&lt;IFERROR(IF(INDEX(campaigns!$BG$2:$BG$51,MATCH($C293,campaigns!$A$2:$A$51,0))="","",INDEX(campaigns!$BG$2:$BG$51,MATCH($C293,campaigns!$A$2:$A$51,0))),""),0,NETWORKDAYS(IFERROR(IF(INDEX(campaigns!$BG$2:$BG$51,MATCH($C293,campaigns!$A$2:$A$51,0))="","",INDEX(campaigns!$BG$2:$BG$51,MATCH($C293,campaigns!$A$2:$A$51,0))),""),$A293,calendar!$A$2:$A$80)))</f>
        <v/>
      </c>
      <c r="K293" s="25">
        <f>IF($C293="","",IF(COUNTIF(campaigns!$A$2:$A$51,$C293)=0,"campaign_id not on campaigns; ",IF(AND($D293&lt;&gt;"",COUNTIFS(approvals!$A$2:$A$251,$C293,approvals!$B$2:$B$251,$D293)=0),"office not on this campaign (approvals tab); ",""))&amp;IF(COUNTIFS(counts!$C$2:$C$701,$C293,counts!$D$2:$D$701,$D293,counts!$E$2:$E$701,$E293)&gt;1,"two "&amp;$E293&amp;" counts: keep one; ","")&amp;IF(AND($E293="remaining_day5",N($J293)&lt;5),"day-5 count logged before day 5; ","")&amp;IF(AND($G293="photo",$H293=""),"which photo?; ",""))</f>
        <v/>
      </c>
    </row>
    <row r="294">
      <c r="A294" s="9" t="n"/>
      <c r="B294" s="33" t="n"/>
      <c r="J294" s="25">
        <f>IF(OR($C294="",$A294=""),"",IF($A294&lt;IFERROR(IF(INDEX(campaigns!$BG$2:$BG$51,MATCH($C294,campaigns!$A$2:$A$51,0))="","",INDEX(campaigns!$BG$2:$BG$51,MATCH($C294,campaigns!$A$2:$A$51,0))),""),0,NETWORKDAYS(IFERROR(IF(INDEX(campaigns!$BG$2:$BG$51,MATCH($C294,campaigns!$A$2:$A$51,0))="","",INDEX(campaigns!$BG$2:$BG$51,MATCH($C294,campaigns!$A$2:$A$51,0))),""),$A294,calendar!$A$2:$A$80)))</f>
        <v/>
      </c>
      <c r="K294" s="25">
        <f>IF($C294="","",IF(COUNTIF(campaigns!$A$2:$A$51,$C294)=0,"campaign_id not on campaigns; ",IF(AND($D294&lt;&gt;"",COUNTIFS(approvals!$A$2:$A$251,$C294,approvals!$B$2:$B$251,$D294)=0),"office not on this campaign (approvals tab); ",""))&amp;IF(COUNTIFS(counts!$C$2:$C$701,$C294,counts!$D$2:$D$701,$D294,counts!$E$2:$E$701,$E294)&gt;1,"two "&amp;$E294&amp;" counts: keep one; ","")&amp;IF(AND($E294="remaining_day5",N($J294)&lt;5),"day-5 count logged before day 5; ","")&amp;IF(AND($G294="photo",$H294=""),"which photo?; ",""))</f>
        <v/>
      </c>
    </row>
    <row r="295">
      <c r="A295" s="9" t="n"/>
      <c r="B295" s="33" t="n"/>
      <c r="J295" s="25">
        <f>IF(OR($C295="",$A295=""),"",IF($A295&lt;IFERROR(IF(INDEX(campaigns!$BG$2:$BG$51,MATCH($C295,campaigns!$A$2:$A$51,0))="","",INDEX(campaigns!$BG$2:$BG$51,MATCH($C295,campaigns!$A$2:$A$51,0))),""),0,NETWORKDAYS(IFERROR(IF(INDEX(campaigns!$BG$2:$BG$51,MATCH($C295,campaigns!$A$2:$A$51,0))="","",INDEX(campaigns!$BG$2:$BG$51,MATCH($C295,campaigns!$A$2:$A$51,0))),""),$A295,calendar!$A$2:$A$80)))</f>
        <v/>
      </c>
      <c r="K295" s="25">
        <f>IF($C295="","",IF(COUNTIF(campaigns!$A$2:$A$51,$C295)=0,"campaign_id not on campaigns; ",IF(AND($D295&lt;&gt;"",COUNTIFS(approvals!$A$2:$A$251,$C295,approvals!$B$2:$B$251,$D295)=0),"office not on this campaign (approvals tab); ",""))&amp;IF(COUNTIFS(counts!$C$2:$C$701,$C295,counts!$D$2:$D$701,$D295,counts!$E$2:$E$701,$E295)&gt;1,"two "&amp;$E295&amp;" counts: keep one; ","")&amp;IF(AND($E295="remaining_day5",N($J295)&lt;5),"day-5 count logged before day 5; ","")&amp;IF(AND($G295="photo",$H295=""),"which photo?; ",""))</f>
        <v/>
      </c>
    </row>
    <row r="296">
      <c r="A296" s="9" t="n"/>
      <c r="B296" s="33" t="n"/>
      <c r="J296" s="25">
        <f>IF(OR($C296="",$A296=""),"",IF($A296&lt;IFERROR(IF(INDEX(campaigns!$BG$2:$BG$51,MATCH($C296,campaigns!$A$2:$A$51,0))="","",INDEX(campaigns!$BG$2:$BG$51,MATCH($C296,campaigns!$A$2:$A$51,0))),""),0,NETWORKDAYS(IFERROR(IF(INDEX(campaigns!$BG$2:$BG$51,MATCH($C296,campaigns!$A$2:$A$51,0))="","",INDEX(campaigns!$BG$2:$BG$51,MATCH($C296,campaigns!$A$2:$A$51,0))),""),$A296,calendar!$A$2:$A$80)))</f>
        <v/>
      </c>
      <c r="K296" s="25">
        <f>IF($C296="","",IF(COUNTIF(campaigns!$A$2:$A$51,$C296)=0,"campaign_id not on campaigns; ",IF(AND($D296&lt;&gt;"",COUNTIFS(approvals!$A$2:$A$251,$C296,approvals!$B$2:$B$251,$D296)=0),"office not on this campaign (approvals tab); ",""))&amp;IF(COUNTIFS(counts!$C$2:$C$701,$C296,counts!$D$2:$D$701,$D296,counts!$E$2:$E$701,$E296)&gt;1,"two "&amp;$E296&amp;" counts: keep one; ","")&amp;IF(AND($E296="remaining_day5",N($J296)&lt;5),"day-5 count logged before day 5; ","")&amp;IF(AND($G296="photo",$H296=""),"which photo?; ",""))</f>
        <v/>
      </c>
    </row>
    <row r="297">
      <c r="A297" s="9" t="n"/>
      <c r="B297" s="33" t="n"/>
      <c r="J297" s="25">
        <f>IF(OR($C297="",$A297=""),"",IF($A297&lt;IFERROR(IF(INDEX(campaigns!$BG$2:$BG$51,MATCH($C297,campaigns!$A$2:$A$51,0))="","",INDEX(campaigns!$BG$2:$BG$51,MATCH($C297,campaigns!$A$2:$A$51,0))),""),0,NETWORKDAYS(IFERROR(IF(INDEX(campaigns!$BG$2:$BG$51,MATCH($C297,campaigns!$A$2:$A$51,0))="","",INDEX(campaigns!$BG$2:$BG$51,MATCH($C297,campaigns!$A$2:$A$51,0))),""),$A297,calendar!$A$2:$A$80)))</f>
        <v/>
      </c>
      <c r="K297" s="25">
        <f>IF($C297="","",IF(COUNTIF(campaigns!$A$2:$A$51,$C297)=0,"campaign_id not on campaigns; ",IF(AND($D297&lt;&gt;"",COUNTIFS(approvals!$A$2:$A$251,$C297,approvals!$B$2:$B$251,$D297)=0),"office not on this campaign (approvals tab); ",""))&amp;IF(COUNTIFS(counts!$C$2:$C$701,$C297,counts!$D$2:$D$701,$D297,counts!$E$2:$E$701,$E297)&gt;1,"two "&amp;$E297&amp;" counts: keep one; ","")&amp;IF(AND($E297="remaining_day5",N($J297)&lt;5),"day-5 count logged before day 5; ","")&amp;IF(AND($G297="photo",$H297=""),"which photo?; ",""))</f>
        <v/>
      </c>
    </row>
    <row r="298">
      <c r="A298" s="9" t="n"/>
      <c r="B298" s="33" t="n"/>
      <c r="J298" s="25">
        <f>IF(OR($C298="",$A298=""),"",IF($A298&lt;IFERROR(IF(INDEX(campaigns!$BG$2:$BG$51,MATCH($C298,campaigns!$A$2:$A$51,0))="","",INDEX(campaigns!$BG$2:$BG$51,MATCH($C298,campaigns!$A$2:$A$51,0))),""),0,NETWORKDAYS(IFERROR(IF(INDEX(campaigns!$BG$2:$BG$51,MATCH($C298,campaigns!$A$2:$A$51,0))="","",INDEX(campaigns!$BG$2:$BG$51,MATCH($C298,campaigns!$A$2:$A$51,0))),""),$A298,calendar!$A$2:$A$80)))</f>
        <v/>
      </c>
      <c r="K298" s="25">
        <f>IF($C298="","",IF(COUNTIF(campaigns!$A$2:$A$51,$C298)=0,"campaign_id not on campaigns; ",IF(AND($D298&lt;&gt;"",COUNTIFS(approvals!$A$2:$A$251,$C298,approvals!$B$2:$B$251,$D298)=0),"office not on this campaign (approvals tab); ",""))&amp;IF(COUNTIFS(counts!$C$2:$C$701,$C298,counts!$D$2:$D$701,$D298,counts!$E$2:$E$701,$E298)&gt;1,"two "&amp;$E298&amp;" counts: keep one; ","")&amp;IF(AND($E298="remaining_day5",N($J298)&lt;5),"day-5 count logged before day 5; ","")&amp;IF(AND($G298="photo",$H298=""),"which photo?; ",""))</f>
        <v/>
      </c>
    </row>
    <row r="299">
      <c r="A299" s="9" t="n"/>
      <c r="B299" s="33" t="n"/>
      <c r="J299" s="25">
        <f>IF(OR($C299="",$A299=""),"",IF($A299&lt;IFERROR(IF(INDEX(campaigns!$BG$2:$BG$51,MATCH($C299,campaigns!$A$2:$A$51,0))="","",INDEX(campaigns!$BG$2:$BG$51,MATCH($C299,campaigns!$A$2:$A$51,0))),""),0,NETWORKDAYS(IFERROR(IF(INDEX(campaigns!$BG$2:$BG$51,MATCH($C299,campaigns!$A$2:$A$51,0))="","",INDEX(campaigns!$BG$2:$BG$51,MATCH($C299,campaigns!$A$2:$A$51,0))),""),$A299,calendar!$A$2:$A$80)))</f>
        <v/>
      </c>
      <c r="K299" s="25">
        <f>IF($C299="","",IF(COUNTIF(campaigns!$A$2:$A$51,$C299)=0,"campaign_id not on campaigns; ",IF(AND($D299&lt;&gt;"",COUNTIFS(approvals!$A$2:$A$251,$C299,approvals!$B$2:$B$251,$D299)=0),"office not on this campaign (approvals tab); ",""))&amp;IF(COUNTIFS(counts!$C$2:$C$701,$C299,counts!$D$2:$D$701,$D299,counts!$E$2:$E$701,$E299)&gt;1,"two "&amp;$E299&amp;" counts: keep one; ","")&amp;IF(AND($E299="remaining_day5",N($J299)&lt;5),"day-5 count logged before day 5; ","")&amp;IF(AND($G299="photo",$H299=""),"which photo?; ",""))</f>
        <v/>
      </c>
    </row>
    <row r="300">
      <c r="A300" s="9" t="n"/>
      <c r="B300" s="33" t="n"/>
      <c r="J300" s="25">
        <f>IF(OR($C300="",$A300=""),"",IF($A300&lt;IFERROR(IF(INDEX(campaigns!$BG$2:$BG$51,MATCH($C300,campaigns!$A$2:$A$51,0))="","",INDEX(campaigns!$BG$2:$BG$51,MATCH($C300,campaigns!$A$2:$A$51,0))),""),0,NETWORKDAYS(IFERROR(IF(INDEX(campaigns!$BG$2:$BG$51,MATCH($C300,campaigns!$A$2:$A$51,0))="","",INDEX(campaigns!$BG$2:$BG$51,MATCH($C300,campaigns!$A$2:$A$51,0))),""),$A300,calendar!$A$2:$A$80)))</f>
        <v/>
      </c>
      <c r="K300" s="25">
        <f>IF($C300="","",IF(COUNTIF(campaigns!$A$2:$A$51,$C300)=0,"campaign_id not on campaigns; ",IF(AND($D300&lt;&gt;"",COUNTIFS(approvals!$A$2:$A$251,$C300,approvals!$B$2:$B$251,$D300)=0),"office not on this campaign (approvals tab); ",""))&amp;IF(COUNTIFS(counts!$C$2:$C$701,$C300,counts!$D$2:$D$701,$D300,counts!$E$2:$E$701,$E300)&gt;1,"two "&amp;$E300&amp;" counts: keep one; ","")&amp;IF(AND($E300="remaining_day5",N($J300)&lt;5),"day-5 count logged before day 5; ","")&amp;IF(AND($G300="photo",$H300=""),"which photo?; ",""))</f>
        <v/>
      </c>
    </row>
    <row r="301">
      <c r="A301" s="9" t="n"/>
      <c r="B301" s="33" t="n"/>
      <c r="J301" s="25">
        <f>IF(OR($C301="",$A301=""),"",IF($A301&lt;IFERROR(IF(INDEX(campaigns!$BG$2:$BG$51,MATCH($C301,campaigns!$A$2:$A$51,0))="","",INDEX(campaigns!$BG$2:$BG$51,MATCH($C301,campaigns!$A$2:$A$51,0))),""),0,NETWORKDAYS(IFERROR(IF(INDEX(campaigns!$BG$2:$BG$51,MATCH($C301,campaigns!$A$2:$A$51,0))="","",INDEX(campaigns!$BG$2:$BG$51,MATCH($C301,campaigns!$A$2:$A$51,0))),""),$A301,calendar!$A$2:$A$80)))</f>
        <v/>
      </c>
      <c r="K301" s="25">
        <f>IF($C301="","",IF(COUNTIF(campaigns!$A$2:$A$51,$C301)=0,"campaign_id not on campaigns; ",IF(AND($D301&lt;&gt;"",COUNTIFS(approvals!$A$2:$A$251,$C301,approvals!$B$2:$B$251,$D301)=0),"office not on this campaign (approvals tab); ",""))&amp;IF(COUNTIFS(counts!$C$2:$C$701,$C301,counts!$D$2:$D$701,$D301,counts!$E$2:$E$701,$E301)&gt;1,"two "&amp;$E301&amp;" counts: keep one; ","")&amp;IF(AND($E301="remaining_day5",N($J301)&lt;5),"day-5 count logged before day 5; ","")&amp;IF(AND($G301="photo",$H301=""),"which photo?; ",""))</f>
        <v/>
      </c>
    </row>
    <row r="302">
      <c r="A302" s="9" t="n"/>
      <c r="B302" s="33" t="n"/>
      <c r="J302" s="25">
        <f>IF(OR($C302="",$A302=""),"",IF($A302&lt;IFERROR(IF(INDEX(campaigns!$BG$2:$BG$51,MATCH($C302,campaigns!$A$2:$A$51,0))="","",INDEX(campaigns!$BG$2:$BG$51,MATCH($C302,campaigns!$A$2:$A$51,0))),""),0,NETWORKDAYS(IFERROR(IF(INDEX(campaigns!$BG$2:$BG$51,MATCH($C302,campaigns!$A$2:$A$51,0))="","",INDEX(campaigns!$BG$2:$BG$51,MATCH($C302,campaigns!$A$2:$A$51,0))),""),$A302,calendar!$A$2:$A$80)))</f>
        <v/>
      </c>
      <c r="K302" s="25">
        <f>IF($C302="","",IF(COUNTIF(campaigns!$A$2:$A$51,$C302)=0,"campaign_id not on campaigns; ",IF(AND($D302&lt;&gt;"",COUNTIFS(approvals!$A$2:$A$251,$C302,approvals!$B$2:$B$251,$D302)=0),"office not on this campaign (approvals tab); ",""))&amp;IF(COUNTIFS(counts!$C$2:$C$701,$C302,counts!$D$2:$D$701,$D302,counts!$E$2:$E$701,$E302)&gt;1,"two "&amp;$E302&amp;" counts: keep one; ","")&amp;IF(AND($E302="remaining_day5",N($J302)&lt;5),"day-5 count logged before day 5; ","")&amp;IF(AND($G302="photo",$H302=""),"which photo?; ",""))</f>
        <v/>
      </c>
    </row>
    <row r="303">
      <c r="A303" s="9" t="n"/>
      <c r="B303" s="33" t="n"/>
      <c r="J303" s="25">
        <f>IF(OR($C303="",$A303=""),"",IF($A303&lt;IFERROR(IF(INDEX(campaigns!$BG$2:$BG$51,MATCH($C303,campaigns!$A$2:$A$51,0))="","",INDEX(campaigns!$BG$2:$BG$51,MATCH($C303,campaigns!$A$2:$A$51,0))),""),0,NETWORKDAYS(IFERROR(IF(INDEX(campaigns!$BG$2:$BG$51,MATCH($C303,campaigns!$A$2:$A$51,0))="","",INDEX(campaigns!$BG$2:$BG$51,MATCH($C303,campaigns!$A$2:$A$51,0))),""),$A303,calendar!$A$2:$A$80)))</f>
        <v/>
      </c>
      <c r="K303" s="25">
        <f>IF($C303="","",IF(COUNTIF(campaigns!$A$2:$A$51,$C303)=0,"campaign_id not on campaigns; ",IF(AND($D303&lt;&gt;"",COUNTIFS(approvals!$A$2:$A$251,$C303,approvals!$B$2:$B$251,$D303)=0),"office not on this campaign (approvals tab); ",""))&amp;IF(COUNTIFS(counts!$C$2:$C$701,$C303,counts!$D$2:$D$701,$D303,counts!$E$2:$E$701,$E303)&gt;1,"two "&amp;$E303&amp;" counts: keep one; ","")&amp;IF(AND($E303="remaining_day5",N($J303)&lt;5),"day-5 count logged before day 5; ","")&amp;IF(AND($G303="photo",$H303=""),"which photo?; ",""))</f>
        <v/>
      </c>
    </row>
    <row r="304">
      <c r="A304" s="9" t="n"/>
      <c r="B304" s="33" t="n"/>
      <c r="J304" s="25">
        <f>IF(OR($C304="",$A304=""),"",IF($A304&lt;IFERROR(IF(INDEX(campaigns!$BG$2:$BG$51,MATCH($C304,campaigns!$A$2:$A$51,0))="","",INDEX(campaigns!$BG$2:$BG$51,MATCH($C304,campaigns!$A$2:$A$51,0))),""),0,NETWORKDAYS(IFERROR(IF(INDEX(campaigns!$BG$2:$BG$51,MATCH($C304,campaigns!$A$2:$A$51,0))="","",INDEX(campaigns!$BG$2:$BG$51,MATCH($C304,campaigns!$A$2:$A$51,0))),""),$A304,calendar!$A$2:$A$80)))</f>
        <v/>
      </c>
      <c r="K304" s="25">
        <f>IF($C304="","",IF(COUNTIF(campaigns!$A$2:$A$51,$C304)=0,"campaign_id not on campaigns; ",IF(AND($D304&lt;&gt;"",COUNTIFS(approvals!$A$2:$A$251,$C304,approvals!$B$2:$B$251,$D304)=0),"office not on this campaign (approvals tab); ",""))&amp;IF(COUNTIFS(counts!$C$2:$C$701,$C304,counts!$D$2:$D$701,$D304,counts!$E$2:$E$701,$E304)&gt;1,"two "&amp;$E304&amp;" counts: keep one; ","")&amp;IF(AND($E304="remaining_day5",N($J304)&lt;5),"day-5 count logged before day 5; ","")&amp;IF(AND($G304="photo",$H304=""),"which photo?; ",""))</f>
        <v/>
      </c>
    </row>
    <row r="305">
      <c r="A305" s="9" t="n"/>
      <c r="B305" s="33" t="n"/>
      <c r="J305" s="25">
        <f>IF(OR($C305="",$A305=""),"",IF($A305&lt;IFERROR(IF(INDEX(campaigns!$BG$2:$BG$51,MATCH($C305,campaigns!$A$2:$A$51,0))="","",INDEX(campaigns!$BG$2:$BG$51,MATCH($C305,campaigns!$A$2:$A$51,0))),""),0,NETWORKDAYS(IFERROR(IF(INDEX(campaigns!$BG$2:$BG$51,MATCH($C305,campaigns!$A$2:$A$51,0))="","",INDEX(campaigns!$BG$2:$BG$51,MATCH($C305,campaigns!$A$2:$A$51,0))),""),$A305,calendar!$A$2:$A$80)))</f>
        <v/>
      </c>
      <c r="K305" s="25">
        <f>IF($C305="","",IF(COUNTIF(campaigns!$A$2:$A$51,$C305)=0,"campaign_id not on campaigns; ",IF(AND($D305&lt;&gt;"",COUNTIFS(approvals!$A$2:$A$251,$C305,approvals!$B$2:$B$251,$D305)=0),"office not on this campaign (approvals tab); ",""))&amp;IF(COUNTIFS(counts!$C$2:$C$701,$C305,counts!$D$2:$D$701,$D305,counts!$E$2:$E$701,$E305)&gt;1,"two "&amp;$E305&amp;" counts: keep one; ","")&amp;IF(AND($E305="remaining_day5",N($J305)&lt;5),"day-5 count logged before day 5; ","")&amp;IF(AND($G305="photo",$H305=""),"which photo?; ",""))</f>
        <v/>
      </c>
    </row>
    <row r="306">
      <c r="A306" s="9" t="n"/>
      <c r="B306" s="33" t="n"/>
      <c r="J306" s="25">
        <f>IF(OR($C306="",$A306=""),"",IF($A306&lt;IFERROR(IF(INDEX(campaigns!$BG$2:$BG$51,MATCH($C306,campaigns!$A$2:$A$51,0))="","",INDEX(campaigns!$BG$2:$BG$51,MATCH($C306,campaigns!$A$2:$A$51,0))),""),0,NETWORKDAYS(IFERROR(IF(INDEX(campaigns!$BG$2:$BG$51,MATCH($C306,campaigns!$A$2:$A$51,0))="","",INDEX(campaigns!$BG$2:$BG$51,MATCH($C306,campaigns!$A$2:$A$51,0))),""),$A306,calendar!$A$2:$A$80)))</f>
        <v/>
      </c>
      <c r="K306" s="25">
        <f>IF($C306="","",IF(COUNTIF(campaigns!$A$2:$A$51,$C306)=0,"campaign_id not on campaigns; ",IF(AND($D306&lt;&gt;"",COUNTIFS(approvals!$A$2:$A$251,$C306,approvals!$B$2:$B$251,$D306)=0),"office not on this campaign (approvals tab); ",""))&amp;IF(COUNTIFS(counts!$C$2:$C$701,$C306,counts!$D$2:$D$701,$D306,counts!$E$2:$E$701,$E306)&gt;1,"two "&amp;$E306&amp;" counts: keep one; ","")&amp;IF(AND($E306="remaining_day5",N($J306)&lt;5),"day-5 count logged before day 5; ","")&amp;IF(AND($G306="photo",$H306=""),"which photo?; ",""))</f>
        <v/>
      </c>
    </row>
    <row r="307">
      <c r="A307" s="9" t="n"/>
      <c r="B307" s="33" t="n"/>
      <c r="J307" s="25">
        <f>IF(OR($C307="",$A307=""),"",IF($A307&lt;IFERROR(IF(INDEX(campaigns!$BG$2:$BG$51,MATCH($C307,campaigns!$A$2:$A$51,0))="","",INDEX(campaigns!$BG$2:$BG$51,MATCH($C307,campaigns!$A$2:$A$51,0))),""),0,NETWORKDAYS(IFERROR(IF(INDEX(campaigns!$BG$2:$BG$51,MATCH($C307,campaigns!$A$2:$A$51,0))="","",INDEX(campaigns!$BG$2:$BG$51,MATCH($C307,campaigns!$A$2:$A$51,0))),""),$A307,calendar!$A$2:$A$80)))</f>
        <v/>
      </c>
      <c r="K307" s="25">
        <f>IF($C307="","",IF(COUNTIF(campaigns!$A$2:$A$51,$C307)=0,"campaign_id not on campaigns; ",IF(AND($D307&lt;&gt;"",COUNTIFS(approvals!$A$2:$A$251,$C307,approvals!$B$2:$B$251,$D307)=0),"office not on this campaign (approvals tab); ",""))&amp;IF(COUNTIFS(counts!$C$2:$C$701,$C307,counts!$D$2:$D$701,$D307,counts!$E$2:$E$701,$E307)&gt;1,"two "&amp;$E307&amp;" counts: keep one; ","")&amp;IF(AND($E307="remaining_day5",N($J307)&lt;5),"day-5 count logged before day 5; ","")&amp;IF(AND($G307="photo",$H307=""),"which photo?; ",""))</f>
        <v/>
      </c>
    </row>
    <row r="308">
      <c r="A308" s="9" t="n"/>
      <c r="B308" s="33" t="n"/>
      <c r="J308" s="25">
        <f>IF(OR($C308="",$A308=""),"",IF($A308&lt;IFERROR(IF(INDEX(campaigns!$BG$2:$BG$51,MATCH($C308,campaigns!$A$2:$A$51,0))="","",INDEX(campaigns!$BG$2:$BG$51,MATCH($C308,campaigns!$A$2:$A$51,0))),""),0,NETWORKDAYS(IFERROR(IF(INDEX(campaigns!$BG$2:$BG$51,MATCH($C308,campaigns!$A$2:$A$51,0))="","",INDEX(campaigns!$BG$2:$BG$51,MATCH($C308,campaigns!$A$2:$A$51,0))),""),$A308,calendar!$A$2:$A$80)))</f>
        <v/>
      </c>
      <c r="K308" s="25">
        <f>IF($C308="","",IF(COUNTIF(campaigns!$A$2:$A$51,$C308)=0,"campaign_id not on campaigns; ",IF(AND($D308&lt;&gt;"",COUNTIFS(approvals!$A$2:$A$251,$C308,approvals!$B$2:$B$251,$D308)=0),"office not on this campaign (approvals tab); ",""))&amp;IF(COUNTIFS(counts!$C$2:$C$701,$C308,counts!$D$2:$D$701,$D308,counts!$E$2:$E$701,$E308)&gt;1,"two "&amp;$E308&amp;" counts: keep one; ","")&amp;IF(AND($E308="remaining_day5",N($J308)&lt;5),"day-5 count logged before day 5; ","")&amp;IF(AND($G308="photo",$H308=""),"which photo?; ",""))</f>
        <v/>
      </c>
    </row>
    <row r="309">
      <c r="A309" s="9" t="n"/>
      <c r="B309" s="33" t="n"/>
      <c r="J309" s="25">
        <f>IF(OR($C309="",$A309=""),"",IF($A309&lt;IFERROR(IF(INDEX(campaigns!$BG$2:$BG$51,MATCH($C309,campaigns!$A$2:$A$51,0))="","",INDEX(campaigns!$BG$2:$BG$51,MATCH($C309,campaigns!$A$2:$A$51,0))),""),0,NETWORKDAYS(IFERROR(IF(INDEX(campaigns!$BG$2:$BG$51,MATCH($C309,campaigns!$A$2:$A$51,0))="","",INDEX(campaigns!$BG$2:$BG$51,MATCH($C309,campaigns!$A$2:$A$51,0))),""),$A309,calendar!$A$2:$A$80)))</f>
        <v/>
      </c>
      <c r="K309" s="25">
        <f>IF($C309="","",IF(COUNTIF(campaigns!$A$2:$A$51,$C309)=0,"campaign_id not on campaigns; ",IF(AND($D309&lt;&gt;"",COUNTIFS(approvals!$A$2:$A$251,$C309,approvals!$B$2:$B$251,$D309)=0),"office not on this campaign (approvals tab); ",""))&amp;IF(COUNTIFS(counts!$C$2:$C$701,$C309,counts!$D$2:$D$701,$D309,counts!$E$2:$E$701,$E309)&gt;1,"two "&amp;$E309&amp;" counts: keep one; ","")&amp;IF(AND($E309="remaining_day5",N($J309)&lt;5),"day-5 count logged before day 5; ","")&amp;IF(AND($G309="photo",$H309=""),"which photo?; ",""))</f>
        <v/>
      </c>
    </row>
    <row r="310">
      <c r="A310" s="9" t="n"/>
      <c r="B310" s="33" t="n"/>
      <c r="J310" s="25">
        <f>IF(OR($C310="",$A310=""),"",IF($A310&lt;IFERROR(IF(INDEX(campaigns!$BG$2:$BG$51,MATCH($C310,campaigns!$A$2:$A$51,0))="","",INDEX(campaigns!$BG$2:$BG$51,MATCH($C310,campaigns!$A$2:$A$51,0))),""),0,NETWORKDAYS(IFERROR(IF(INDEX(campaigns!$BG$2:$BG$51,MATCH($C310,campaigns!$A$2:$A$51,0))="","",INDEX(campaigns!$BG$2:$BG$51,MATCH($C310,campaigns!$A$2:$A$51,0))),""),$A310,calendar!$A$2:$A$80)))</f>
        <v/>
      </c>
      <c r="K310" s="25">
        <f>IF($C310="","",IF(COUNTIF(campaigns!$A$2:$A$51,$C310)=0,"campaign_id not on campaigns; ",IF(AND($D310&lt;&gt;"",COUNTIFS(approvals!$A$2:$A$251,$C310,approvals!$B$2:$B$251,$D310)=0),"office not on this campaign (approvals tab); ",""))&amp;IF(COUNTIFS(counts!$C$2:$C$701,$C310,counts!$D$2:$D$701,$D310,counts!$E$2:$E$701,$E310)&gt;1,"two "&amp;$E310&amp;" counts: keep one; ","")&amp;IF(AND($E310="remaining_day5",N($J310)&lt;5),"day-5 count logged before day 5; ","")&amp;IF(AND($G310="photo",$H310=""),"which photo?; ",""))</f>
        <v/>
      </c>
    </row>
    <row r="311">
      <c r="A311" s="9" t="n"/>
      <c r="B311" s="33" t="n"/>
      <c r="J311" s="25">
        <f>IF(OR($C311="",$A311=""),"",IF($A311&lt;IFERROR(IF(INDEX(campaigns!$BG$2:$BG$51,MATCH($C311,campaigns!$A$2:$A$51,0))="","",INDEX(campaigns!$BG$2:$BG$51,MATCH($C311,campaigns!$A$2:$A$51,0))),""),0,NETWORKDAYS(IFERROR(IF(INDEX(campaigns!$BG$2:$BG$51,MATCH($C311,campaigns!$A$2:$A$51,0))="","",INDEX(campaigns!$BG$2:$BG$51,MATCH($C311,campaigns!$A$2:$A$51,0))),""),$A311,calendar!$A$2:$A$80)))</f>
        <v/>
      </c>
      <c r="K311" s="25">
        <f>IF($C311="","",IF(COUNTIF(campaigns!$A$2:$A$51,$C311)=0,"campaign_id not on campaigns; ",IF(AND($D311&lt;&gt;"",COUNTIFS(approvals!$A$2:$A$251,$C311,approvals!$B$2:$B$251,$D311)=0),"office not on this campaign (approvals tab); ",""))&amp;IF(COUNTIFS(counts!$C$2:$C$701,$C311,counts!$D$2:$D$701,$D311,counts!$E$2:$E$701,$E311)&gt;1,"two "&amp;$E311&amp;" counts: keep one; ","")&amp;IF(AND($E311="remaining_day5",N($J311)&lt;5),"day-5 count logged before day 5; ","")&amp;IF(AND($G311="photo",$H311=""),"which photo?; ",""))</f>
        <v/>
      </c>
    </row>
    <row r="312">
      <c r="A312" s="9" t="n"/>
      <c r="B312" s="33" t="n"/>
      <c r="J312" s="25">
        <f>IF(OR($C312="",$A312=""),"",IF($A312&lt;IFERROR(IF(INDEX(campaigns!$BG$2:$BG$51,MATCH($C312,campaigns!$A$2:$A$51,0))="","",INDEX(campaigns!$BG$2:$BG$51,MATCH($C312,campaigns!$A$2:$A$51,0))),""),0,NETWORKDAYS(IFERROR(IF(INDEX(campaigns!$BG$2:$BG$51,MATCH($C312,campaigns!$A$2:$A$51,0))="","",INDEX(campaigns!$BG$2:$BG$51,MATCH($C312,campaigns!$A$2:$A$51,0))),""),$A312,calendar!$A$2:$A$80)))</f>
        <v/>
      </c>
      <c r="K312" s="25">
        <f>IF($C312="","",IF(COUNTIF(campaigns!$A$2:$A$51,$C312)=0,"campaign_id not on campaigns; ",IF(AND($D312&lt;&gt;"",COUNTIFS(approvals!$A$2:$A$251,$C312,approvals!$B$2:$B$251,$D312)=0),"office not on this campaign (approvals tab); ",""))&amp;IF(COUNTIFS(counts!$C$2:$C$701,$C312,counts!$D$2:$D$701,$D312,counts!$E$2:$E$701,$E312)&gt;1,"two "&amp;$E312&amp;" counts: keep one; ","")&amp;IF(AND($E312="remaining_day5",N($J312)&lt;5),"day-5 count logged before day 5; ","")&amp;IF(AND($G312="photo",$H312=""),"which photo?; ",""))</f>
        <v/>
      </c>
    </row>
    <row r="313">
      <c r="A313" s="9" t="n"/>
      <c r="B313" s="33" t="n"/>
      <c r="J313" s="25">
        <f>IF(OR($C313="",$A313=""),"",IF($A313&lt;IFERROR(IF(INDEX(campaigns!$BG$2:$BG$51,MATCH($C313,campaigns!$A$2:$A$51,0))="","",INDEX(campaigns!$BG$2:$BG$51,MATCH($C313,campaigns!$A$2:$A$51,0))),""),0,NETWORKDAYS(IFERROR(IF(INDEX(campaigns!$BG$2:$BG$51,MATCH($C313,campaigns!$A$2:$A$51,0))="","",INDEX(campaigns!$BG$2:$BG$51,MATCH($C313,campaigns!$A$2:$A$51,0))),""),$A313,calendar!$A$2:$A$80)))</f>
        <v/>
      </c>
      <c r="K313" s="25">
        <f>IF($C313="","",IF(COUNTIF(campaigns!$A$2:$A$51,$C313)=0,"campaign_id not on campaigns; ",IF(AND($D313&lt;&gt;"",COUNTIFS(approvals!$A$2:$A$251,$C313,approvals!$B$2:$B$251,$D313)=0),"office not on this campaign (approvals tab); ",""))&amp;IF(COUNTIFS(counts!$C$2:$C$701,$C313,counts!$D$2:$D$701,$D313,counts!$E$2:$E$701,$E313)&gt;1,"two "&amp;$E313&amp;" counts: keep one; ","")&amp;IF(AND($E313="remaining_day5",N($J313)&lt;5),"day-5 count logged before day 5; ","")&amp;IF(AND($G313="photo",$H313=""),"which photo?; ",""))</f>
        <v/>
      </c>
    </row>
    <row r="314">
      <c r="A314" s="9" t="n"/>
      <c r="B314" s="33" t="n"/>
      <c r="J314" s="25">
        <f>IF(OR($C314="",$A314=""),"",IF($A314&lt;IFERROR(IF(INDEX(campaigns!$BG$2:$BG$51,MATCH($C314,campaigns!$A$2:$A$51,0))="","",INDEX(campaigns!$BG$2:$BG$51,MATCH($C314,campaigns!$A$2:$A$51,0))),""),0,NETWORKDAYS(IFERROR(IF(INDEX(campaigns!$BG$2:$BG$51,MATCH($C314,campaigns!$A$2:$A$51,0))="","",INDEX(campaigns!$BG$2:$BG$51,MATCH($C314,campaigns!$A$2:$A$51,0))),""),$A314,calendar!$A$2:$A$80)))</f>
        <v/>
      </c>
      <c r="K314" s="25">
        <f>IF($C314="","",IF(COUNTIF(campaigns!$A$2:$A$51,$C314)=0,"campaign_id not on campaigns; ",IF(AND($D314&lt;&gt;"",COUNTIFS(approvals!$A$2:$A$251,$C314,approvals!$B$2:$B$251,$D314)=0),"office not on this campaign (approvals tab); ",""))&amp;IF(COUNTIFS(counts!$C$2:$C$701,$C314,counts!$D$2:$D$701,$D314,counts!$E$2:$E$701,$E314)&gt;1,"two "&amp;$E314&amp;" counts: keep one; ","")&amp;IF(AND($E314="remaining_day5",N($J314)&lt;5),"day-5 count logged before day 5; ","")&amp;IF(AND($G314="photo",$H314=""),"which photo?; ",""))</f>
        <v/>
      </c>
    </row>
    <row r="315">
      <c r="A315" s="9" t="n"/>
      <c r="B315" s="33" t="n"/>
      <c r="J315" s="25">
        <f>IF(OR($C315="",$A315=""),"",IF($A315&lt;IFERROR(IF(INDEX(campaigns!$BG$2:$BG$51,MATCH($C315,campaigns!$A$2:$A$51,0))="","",INDEX(campaigns!$BG$2:$BG$51,MATCH($C315,campaigns!$A$2:$A$51,0))),""),0,NETWORKDAYS(IFERROR(IF(INDEX(campaigns!$BG$2:$BG$51,MATCH($C315,campaigns!$A$2:$A$51,0))="","",INDEX(campaigns!$BG$2:$BG$51,MATCH($C315,campaigns!$A$2:$A$51,0))),""),$A315,calendar!$A$2:$A$80)))</f>
        <v/>
      </c>
      <c r="K315" s="25">
        <f>IF($C315="","",IF(COUNTIF(campaigns!$A$2:$A$51,$C315)=0,"campaign_id not on campaigns; ",IF(AND($D315&lt;&gt;"",COUNTIFS(approvals!$A$2:$A$251,$C315,approvals!$B$2:$B$251,$D315)=0),"office not on this campaign (approvals tab); ",""))&amp;IF(COUNTIFS(counts!$C$2:$C$701,$C315,counts!$D$2:$D$701,$D315,counts!$E$2:$E$701,$E315)&gt;1,"two "&amp;$E315&amp;" counts: keep one; ","")&amp;IF(AND($E315="remaining_day5",N($J315)&lt;5),"day-5 count logged before day 5; ","")&amp;IF(AND($G315="photo",$H315=""),"which photo?; ",""))</f>
        <v/>
      </c>
    </row>
    <row r="316">
      <c r="A316" s="9" t="n"/>
      <c r="B316" s="33" t="n"/>
      <c r="J316" s="25">
        <f>IF(OR($C316="",$A316=""),"",IF($A316&lt;IFERROR(IF(INDEX(campaigns!$BG$2:$BG$51,MATCH($C316,campaigns!$A$2:$A$51,0))="","",INDEX(campaigns!$BG$2:$BG$51,MATCH($C316,campaigns!$A$2:$A$51,0))),""),0,NETWORKDAYS(IFERROR(IF(INDEX(campaigns!$BG$2:$BG$51,MATCH($C316,campaigns!$A$2:$A$51,0))="","",INDEX(campaigns!$BG$2:$BG$51,MATCH($C316,campaigns!$A$2:$A$51,0))),""),$A316,calendar!$A$2:$A$80)))</f>
        <v/>
      </c>
      <c r="K316" s="25">
        <f>IF($C316="","",IF(COUNTIF(campaigns!$A$2:$A$51,$C316)=0,"campaign_id not on campaigns; ",IF(AND($D316&lt;&gt;"",COUNTIFS(approvals!$A$2:$A$251,$C316,approvals!$B$2:$B$251,$D316)=0),"office not on this campaign (approvals tab); ",""))&amp;IF(COUNTIFS(counts!$C$2:$C$701,$C316,counts!$D$2:$D$701,$D316,counts!$E$2:$E$701,$E316)&gt;1,"two "&amp;$E316&amp;" counts: keep one; ","")&amp;IF(AND($E316="remaining_day5",N($J316)&lt;5),"day-5 count logged before day 5; ","")&amp;IF(AND($G316="photo",$H316=""),"which photo?; ",""))</f>
        <v/>
      </c>
    </row>
    <row r="317">
      <c r="A317" s="9" t="n"/>
      <c r="B317" s="33" t="n"/>
      <c r="J317" s="25">
        <f>IF(OR($C317="",$A317=""),"",IF($A317&lt;IFERROR(IF(INDEX(campaigns!$BG$2:$BG$51,MATCH($C317,campaigns!$A$2:$A$51,0))="","",INDEX(campaigns!$BG$2:$BG$51,MATCH($C317,campaigns!$A$2:$A$51,0))),""),0,NETWORKDAYS(IFERROR(IF(INDEX(campaigns!$BG$2:$BG$51,MATCH($C317,campaigns!$A$2:$A$51,0))="","",INDEX(campaigns!$BG$2:$BG$51,MATCH($C317,campaigns!$A$2:$A$51,0))),""),$A317,calendar!$A$2:$A$80)))</f>
        <v/>
      </c>
      <c r="K317" s="25">
        <f>IF($C317="","",IF(COUNTIF(campaigns!$A$2:$A$51,$C317)=0,"campaign_id not on campaigns; ",IF(AND($D317&lt;&gt;"",COUNTIFS(approvals!$A$2:$A$251,$C317,approvals!$B$2:$B$251,$D317)=0),"office not on this campaign (approvals tab); ",""))&amp;IF(COUNTIFS(counts!$C$2:$C$701,$C317,counts!$D$2:$D$701,$D317,counts!$E$2:$E$701,$E317)&gt;1,"two "&amp;$E317&amp;" counts: keep one; ","")&amp;IF(AND($E317="remaining_day5",N($J317)&lt;5),"day-5 count logged before day 5; ","")&amp;IF(AND($G317="photo",$H317=""),"which photo?; ",""))</f>
        <v/>
      </c>
    </row>
    <row r="318">
      <c r="A318" s="9" t="n"/>
      <c r="B318" s="33" t="n"/>
      <c r="J318" s="25">
        <f>IF(OR($C318="",$A318=""),"",IF($A318&lt;IFERROR(IF(INDEX(campaigns!$BG$2:$BG$51,MATCH($C318,campaigns!$A$2:$A$51,0))="","",INDEX(campaigns!$BG$2:$BG$51,MATCH($C318,campaigns!$A$2:$A$51,0))),""),0,NETWORKDAYS(IFERROR(IF(INDEX(campaigns!$BG$2:$BG$51,MATCH($C318,campaigns!$A$2:$A$51,0))="","",INDEX(campaigns!$BG$2:$BG$51,MATCH($C318,campaigns!$A$2:$A$51,0))),""),$A318,calendar!$A$2:$A$80)))</f>
        <v/>
      </c>
      <c r="K318" s="25">
        <f>IF($C318="","",IF(COUNTIF(campaigns!$A$2:$A$51,$C318)=0,"campaign_id not on campaigns; ",IF(AND($D318&lt;&gt;"",COUNTIFS(approvals!$A$2:$A$251,$C318,approvals!$B$2:$B$251,$D318)=0),"office not on this campaign (approvals tab); ",""))&amp;IF(COUNTIFS(counts!$C$2:$C$701,$C318,counts!$D$2:$D$701,$D318,counts!$E$2:$E$701,$E318)&gt;1,"two "&amp;$E318&amp;" counts: keep one; ","")&amp;IF(AND($E318="remaining_day5",N($J318)&lt;5),"day-5 count logged before day 5; ","")&amp;IF(AND($G318="photo",$H318=""),"which photo?; ",""))</f>
        <v/>
      </c>
    </row>
    <row r="319">
      <c r="A319" s="9" t="n"/>
      <c r="B319" s="33" t="n"/>
      <c r="J319" s="25">
        <f>IF(OR($C319="",$A319=""),"",IF($A319&lt;IFERROR(IF(INDEX(campaigns!$BG$2:$BG$51,MATCH($C319,campaigns!$A$2:$A$51,0))="","",INDEX(campaigns!$BG$2:$BG$51,MATCH($C319,campaigns!$A$2:$A$51,0))),""),0,NETWORKDAYS(IFERROR(IF(INDEX(campaigns!$BG$2:$BG$51,MATCH($C319,campaigns!$A$2:$A$51,0))="","",INDEX(campaigns!$BG$2:$BG$51,MATCH($C319,campaigns!$A$2:$A$51,0))),""),$A319,calendar!$A$2:$A$80)))</f>
        <v/>
      </c>
      <c r="K319" s="25">
        <f>IF($C319="","",IF(COUNTIF(campaigns!$A$2:$A$51,$C319)=0,"campaign_id not on campaigns; ",IF(AND($D319&lt;&gt;"",COUNTIFS(approvals!$A$2:$A$251,$C319,approvals!$B$2:$B$251,$D319)=0),"office not on this campaign (approvals tab); ",""))&amp;IF(COUNTIFS(counts!$C$2:$C$701,$C319,counts!$D$2:$D$701,$D319,counts!$E$2:$E$701,$E319)&gt;1,"two "&amp;$E319&amp;" counts: keep one; ","")&amp;IF(AND($E319="remaining_day5",N($J319)&lt;5),"day-5 count logged before day 5; ","")&amp;IF(AND($G319="photo",$H319=""),"which photo?; ",""))</f>
        <v/>
      </c>
    </row>
    <row r="320">
      <c r="A320" s="9" t="n"/>
      <c r="B320" s="33" t="n"/>
      <c r="J320" s="25">
        <f>IF(OR($C320="",$A320=""),"",IF($A320&lt;IFERROR(IF(INDEX(campaigns!$BG$2:$BG$51,MATCH($C320,campaigns!$A$2:$A$51,0))="","",INDEX(campaigns!$BG$2:$BG$51,MATCH($C320,campaigns!$A$2:$A$51,0))),""),0,NETWORKDAYS(IFERROR(IF(INDEX(campaigns!$BG$2:$BG$51,MATCH($C320,campaigns!$A$2:$A$51,0))="","",INDEX(campaigns!$BG$2:$BG$51,MATCH($C320,campaigns!$A$2:$A$51,0))),""),$A320,calendar!$A$2:$A$80)))</f>
        <v/>
      </c>
      <c r="K320" s="25">
        <f>IF($C320="","",IF(COUNTIF(campaigns!$A$2:$A$51,$C320)=0,"campaign_id not on campaigns; ",IF(AND($D320&lt;&gt;"",COUNTIFS(approvals!$A$2:$A$251,$C320,approvals!$B$2:$B$251,$D320)=0),"office not on this campaign (approvals tab); ",""))&amp;IF(COUNTIFS(counts!$C$2:$C$701,$C320,counts!$D$2:$D$701,$D320,counts!$E$2:$E$701,$E320)&gt;1,"two "&amp;$E320&amp;" counts: keep one; ","")&amp;IF(AND($E320="remaining_day5",N($J320)&lt;5),"day-5 count logged before day 5; ","")&amp;IF(AND($G320="photo",$H320=""),"which photo?; ",""))</f>
        <v/>
      </c>
    </row>
    <row r="321">
      <c r="A321" s="9" t="n"/>
      <c r="B321" s="33" t="n"/>
      <c r="J321" s="25">
        <f>IF(OR($C321="",$A321=""),"",IF($A321&lt;IFERROR(IF(INDEX(campaigns!$BG$2:$BG$51,MATCH($C321,campaigns!$A$2:$A$51,0))="","",INDEX(campaigns!$BG$2:$BG$51,MATCH($C321,campaigns!$A$2:$A$51,0))),""),0,NETWORKDAYS(IFERROR(IF(INDEX(campaigns!$BG$2:$BG$51,MATCH($C321,campaigns!$A$2:$A$51,0))="","",INDEX(campaigns!$BG$2:$BG$51,MATCH($C321,campaigns!$A$2:$A$51,0))),""),$A321,calendar!$A$2:$A$80)))</f>
        <v/>
      </c>
      <c r="K321" s="25">
        <f>IF($C321="","",IF(COUNTIF(campaigns!$A$2:$A$51,$C321)=0,"campaign_id not on campaigns; ",IF(AND($D321&lt;&gt;"",COUNTIFS(approvals!$A$2:$A$251,$C321,approvals!$B$2:$B$251,$D321)=0),"office not on this campaign (approvals tab); ",""))&amp;IF(COUNTIFS(counts!$C$2:$C$701,$C321,counts!$D$2:$D$701,$D321,counts!$E$2:$E$701,$E321)&gt;1,"two "&amp;$E321&amp;" counts: keep one; ","")&amp;IF(AND($E321="remaining_day5",N($J321)&lt;5),"day-5 count logged before day 5; ","")&amp;IF(AND($G321="photo",$H321=""),"which photo?; ",""))</f>
        <v/>
      </c>
    </row>
    <row r="322">
      <c r="A322" s="9" t="n"/>
      <c r="B322" s="33" t="n"/>
      <c r="J322" s="25">
        <f>IF(OR($C322="",$A322=""),"",IF($A322&lt;IFERROR(IF(INDEX(campaigns!$BG$2:$BG$51,MATCH($C322,campaigns!$A$2:$A$51,0))="","",INDEX(campaigns!$BG$2:$BG$51,MATCH($C322,campaigns!$A$2:$A$51,0))),""),0,NETWORKDAYS(IFERROR(IF(INDEX(campaigns!$BG$2:$BG$51,MATCH($C322,campaigns!$A$2:$A$51,0))="","",INDEX(campaigns!$BG$2:$BG$51,MATCH($C322,campaigns!$A$2:$A$51,0))),""),$A322,calendar!$A$2:$A$80)))</f>
        <v/>
      </c>
      <c r="K322" s="25">
        <f>IF($C322="","",IF(COUNTIF(campaigns!$A$2:$A$51,$C322)=0,"campaign_id not on campaigns; ",IF(AND($D322&lt;&gt;"",COUNTIFS(approvals!$A$2:$A$251,$C322,approvals!$B$2:$B$251,$D322)=0),"office not on this campaign (approvals tab); ",""))&amp;IF(COUNTIFS(counts!$C$2:$C$701,$C322,counts!$D$2:$D$701,$D322,counts!$E$2:$E$701,$E322)&gt;1,"two "&amp;$E322&amp;" counts: keep one; ","")&amp;IF(AND($E322="remaining_day5",N($J322)&lt;5),"day-5 count logged before day 5; ","")&amp;IF(AND($G322="photo",$H322=""),"which photo?; ",""))</f>
        <v/>
      </c>
    </row>
    <row r="323">
      <c r="A323" s="9" t="n"/>
      <c r="B323" s="33" t="n"/>
      <c r="J323" s="25">
        <f>IF(OR($C323="",$A323=""),"",IF($A323&lt;IFERROR(IF(INDEX(campaigns!$BG$2:$BG$51,MATCH($C323,campaigns!$A$2:$A$51,0))="","",INDEX(campaigns!$BG$2:$BG$51,MATCH($C323,campaigns!$A$2:$A$51,0))),""),0,NETWORKDAYS(IFERROR(IF(INDEX(campaigns!$BG$2:$BG$51,MATCH($C323,campaigns!$A$2:$A$51,0))="","",INDEX(campaigns!$BG$2:$BG$51,MATCH($C323,campaigns!$A$2:$A$51,0))),""),$A323,calendar!$A$2:$A$80)))</f>
        <v/>
      </c>
      <c r="K323" s="25">
        <f>IF($C323="","",IF(COUNTIF(campaigns!$A$2:$A$51,$C323)=0,"campaign_id not on campaigns; ",IF(AND($D323&lt;&gt;"",COUNTIFS(approvals!$A$2:$A$251,$C323,approvals!$B$2:$B$251,$D323)=0),"office not on this campaign (approvals tab); ",""))&amp;IF(COUNTIFS(counts!$C$2:$C$701,$C323,counts!$D$2:$D$701,$D323,counts!$E$2:$E$701,$E323)&gt;1,"two "&amp;$E323&amp;" counts: keep one; ","")&amp;IF(AND($E323="remaining_day5",N($J323)&lt;5),"day-5 count logged before day 5; ","")&amp;IF(AND($G323="photo",$H323=""),"which photo?; ",""))</f>
        <v/>
      </c>
    </row>
    <row r="324">
      <c r="A324" s="9" t="n"/>
      <c r="B324" s="33" t="n"/>
      <c r="J324" s="25">
        <f>IF(OR($C324="",$A324=""),"",IF($A324&lt;IFERROR(IF(INDEX(campaigns!$BG$2:$BG$51,MATCH($C324,campaigns!$A$2:$A$51,0))="","",INDEX(campaigns!$BG$2:$BG$51,MATCH($C324,campaigns!$A$2:$A$51,0))),""),0,NETWORKDAYS(IFERROR(IF(INDEX(campaigns!$BG$2:$BG$51,MATCH($C324,campaigns!$A$2:$A$51,0))="","",INDEX(campaigns!$BG$2:$BG$51,MATCH($C324,campaigns!$A$2:$A$51,0))),""),$A324,calendar!$A$2:$A$80)))</f>
        <v/>
      </c>
      <c r="K324" s="25">
        <f>IF($C324="","",IF(COUNTIF(campaigns!$A$2:$A$51,$C324)=0,"campaign_id not on campaigns; ",IF(AND($D324&lt;&gt;"",COUNTIFS(approvals!$A$2:$A$251,$C324,approvals!$B$2:$B$251,$D324)=0),"office not on this campaign (approvals tab); ",""))&amp;IF(COUNTIFS(counts!$C$2:$C$701,$C324,counts!$D$2:$D$701,$D324,counts!$E$2:$E$701,$E324)&gt;1,"two "&amp;$E324&amp;" counts: keep one; ","")&amp;IF(AND($E324="remaining_day5",N($J324)&lt;5),"day-5 count logged before day 5; ","")&amp;IF(AND($G324="photo",$H324=""),"which photo?; ",""))</f>
        <v/>
      </c>
    </row>
    <row r="325">
      <c r="A325" s="9" t="n"/>
      <c r="B325" s="33" t="n"/>
      <c r="J325" s="25">
        <f>IF(OR($C325="",$A325=""),"",IF($A325&lt;IFERROR(IF(INDEX(campaigns!$BG$2:$BG$51,MATCH($C325,campaigns!$A$2:$A$51,0))="","",INDEX(campaigns!$BG$2:$BG$51,MATCH($C325,campaigns!$A$2:$A$51,0))),""),0,NETWORKDAYS(IFERROR(IF(INDEX(campaigns!$BG$2:$BG$51,MATCH($C325,campaigns!$A$2:$A$51,0))="","",INDEX(campaigns!$BG$2:$BG$51,MATCH($C325,campaigns!$A$2:$A$51,0))),""),$A325,calendar!$A$2:$A$80)))</f>
        <v/>
      </c>
      <c r="K325" s="25">
        <f>IF($C325="","",IF(COUNTIF(campaigns!$A$2:$A$51,$C325)=0,"campaign_id not on campaigns; ",IF(AND($D325&lt;&gt;"",COUNTIFS(approvals!$A$2:$A$251,$C325,approvals!$B$2:$B$251,$D325)=0),"office not on this campaign (approvals tab); ",""))&amp;IF(COUNTIFS(counts!$C$2:$C$701,$C325,counts!$D$2:$D$701,$D325,counts!$E$2:$E$701,$E325)&gt;1,"two "&amp;$E325&amp;" counts: keep one; ","")&amp;IF(AND($E325="remaining_day5",N($J325)&lt;5),"day-5 count logged before day 5; ","")&amp;IF(AND($G325="photo",$H325=""),"which photo?; ",""))</f>
        <v/>
      </c>
    </row>
    <row r="326">
      <c r="A326" s="9" t="n"/>
      <c r="B326" s="33" t="n"/>
      <c r="J326" s="25">
        <f>IF(OR($C326="",$A326=""),"",IF($A326&lt;IFERROR(IF(INDEX(campaigns!$BG$2:$BG$51,MATCH($C326,campaigns!$A$2:$A$51,0))="","",INDEX(campaigns!$BG$2:$BG$51,MATCH($C326,campaigns!$A$2:$A$51,0))),""),0,NETWORKDAYS(IFERROR(IF(INDEX(campaigns!$BG$2:$BG$51,MATCH($C326,campaigns!$A$2:$A$51,0))="","",INDEX(campaigns!$BG$2:$BG$51,MATCH($C326,campaigns!$A$2:$A$51,0))),""),$A326,calendar!$A$2:$A$80)))</f>
        <v/>
      </c>
      <c r="K326" s="25">
        <f>IF($C326="","",IF(COUNTIF(campaigns!$A$2:$A$51,$C326)=0,"campaign_id not on campaigns; ",IF(AND($D326&lt;&gt;"",COUNTIFS(approvals!$A$2:$A$251,$C326,approvals!$B$2:$B$251,$D326)=0),"office not on this campaign (approvals tab); ",""))&amp;IF(COUNTIFS(counts!$C$2:$C$701,$C326,counts!$D$2:$D$701,$D326,counts!$E$2:$E$701,$E326)&gt;1,"two "&amp;$E326&amp;" counts: keep one; ","")&amp;IF(AND($E326="remaining_day5",N($J326)&lt;5),"day-5 count logged before day 5; ","")&amp;IF(AND($G326="photo",$H326=""),"which photo?; ",""))</f>
        <v/>
      </c>
    </row>
    <row r="327">
      <c r="A327" s="9" t="n"/>
      <c r="B327" s="33" t="n"/>
      <c r="J327" s="25">
        <f>IF(OR($C327="",$A327=""),"",IF($A327&lt;IFERROR(IF(INDEX(campaigns!$BG$2:$BG$51,MATCH($C327,campaigns!$A$2:$A$51,0))="","",INDEX(campaigns!$BG$2:$BG$51,MATCH($C327,campaigns!$A$2:$A$51,0))),""),0,NETWORKDAYS(IFERROR(IF(INDEX(campaigns!$BG$2:$BG$51,MATCH($C327,campaigns!$A$2:$A$51,0))="","",INDEX(campaigns!$BG$2:$BG$51,MATCH($C327,campaigns!$A$2:$A$51,0))),""),$A327,calendar!$A$2:$A$80)))</f>
        <v/>
      </c>
      <c r="K327" s="25">
        <f>IF($C327="","",IF(COUNTIF(campaigns!$A$2:$A$51,$C327)=0,"campaign_id not on campaigns; ",IF(AND($D327&lt;&gt;"",COUNTIFS(approvals!$A$2:$A$251,$C327,approvals!$B$2:$B$251,$D327)=0),"office not on this campaign (approvals tab); ",""))&amp;IF(COUNTIFS(counts!$C$2:$C$701,$C327,counts!$D$2:$D$701,$D327,counts!$E$2:$E$701,$E327)&gt;1,"two "&amp;$E327&amp;" counts: keep one; ","")&amp;IF(AND($E327="remaining_day5",N($J327)&lt;5),"day-5 count logged before day 5; ","")&amp;IF(AND($G327="photo",$H327=""),"which photo?; ",""))</f>
        <v/>
      </c>
    </row>
    <row r="328">
      <c r="A328" s="9" t="n"/>
      <c r="B328" s="33" t="n"/>
      <c r="J328" s="25">
        <f>IF(OR($C328="",$A328=""),"",IF($A328&lt;IFERROR(IF(INDEX(campaigns!$BG$2:$BG$51,MATCH($C328,campaigns!$A$2:$A$51,0))="","",INDEX(campaigns!$BG$2:$BG$51,MATCH($C328,campaigns!$A$2:$A$51,0))),""),0,NETWORKDAYS(IFERROR(IF(INDEX(campaigns!$BG$2:$BG$51,MATCH($C328,campaigns!$A$2:$A$51,0))="","",INDEX(campaigns!$BG$2:$BG$51,MATCH($C328,campaigns!$A$2:$A$51,0))),""),$A328,calendar!$A$2:$A$80)))</f>
        <v/>
      </c>
      <c r="K328" s="25">
        <f>IF($C328="","",IF(COUNTIF(campaigns!$A$2:$A$51,$C328)=0,"campaign_id not on campaigns; ",IF(AND($D328&lt;&gt;"",COUNTIFS(approvals!$A$2:$A$251,$C328,approvals!$B$2:$B$251,$D328)=0),"office not on this campaign (approvals tab); ",""))&amp;IF(COUNTIFS(counts!$C$2:$C$701,$C328,counts!$D$2:$D$701,$D328,counts!$E$2:$E$701,$E328)&gt;1,"two "&amp;$E328&amp;" counts: keep one; ","")&amp;IF(AND($E328="remaining_day5",N($J328)&lt;5),"day-5 count logged before day 5; ","")&amp;IF(AND($G328="photo",$H328=""),"which photo?; ",""))</f>
        <v/>
      </c>
    </row>
    <row r="329">
      <c r="A329" s="9" t="n"/>
      <c r="B329" s="33" t="n"/>
      <c r="J329" s="25">
        <f>IF(OR($C329="",$A329=""),"",IF($A329&lt;IFERROR(IF(INDEX(campaigns!$BG$2:$BG$51,MATCH($C329,campaigns!$A$2:$A$51,0))="","",INDEX(campaigns!$BG$2:$BG$51,MATCH($C329,campaigns!$A$2:$A$51,0))),""),0,NETWORKDAYS(IFERROR(IF(INDEX(campaigns!$BG$2:$BG$51,MATCH($C329,campaigns!$A$2:$A$51,0))="","",INDEX(campaigns!$BG$2:$BG$51,MATCH($C329,campaigns!$A$2:$A$51,0))),""),$A329,calendar!$A$2:$A$80)))</f>
        <v/>
      </c>
      <c r="K329" s="25">
        <f>IF($C329="","",IF(COUNTIF(campaigns!$A$2:$A$51,$C329)=0,"campaign_id not on campaigns; ",IF(AND($D329&lt;&gt;"",COUNTIFS(approvals!$A$2:$A$251,$C329,approvals!$B$2:$B$251,$D329)=0),"office not on this campaign (approvals tab); ",""))&amp;IF(COUNTIFS(counts!$C$2:$C$701,$C329,counts!$D$2:$D$701,$D329,counts!$E$2:$E$701,$E329)&gt;1,"two "&amp;$E329&amp;" counts: keep one; ","")&amp;IF(AND($E329="remaining_day5",N($J329)&lt;5),"day-5 count logged before day 5; ","")&amp;IF(AND($G329="photo",$H329=""),"which photo?; ",""))</f>
        <v/>
      </c>
    </row>
    <row r="330">
      <c r="A330" s="9" t="n"/>
      <c r="B330" s="33" t="n"/>
      <c r="J330" s="25">
        <f>IF(OR($C330="",$A330=""),"",IF($A330&lt;IFERROR(IF(INDEX(campaigns!$BG$2:$BG$51,MATCH($C330,campaigns!$A$2:$A$51,0))="","",INDEX(campaigns!$BG$2:$BG$51,MATCH($C330,campaigns!$A$2:$A$51,0))),""),0,NETWORKDAYS(IFERROR(IF(INDEX(campaigns!$BG$2:$BG$51,MATCH($C330,campaigns!$A$2:$A$51,0))="","",INDEX(campaigns!$BG$2:$BG$51,MATCH($C330,campaigns!$A$2:$A$51,0))),""),$A330,calendar!$A$2:$A$80)))</f>
        <v/>
      </c>
      <c r="K330" s="25">
        <f>IF($C330="","",IF(COUNTIF(campaigns!$A$2:$A$51,$C330)=0,"campaign_id not on campaigns; ",IF(AND($D330&lt;&gt;"",COUNTIFS(approvals!$A$2:$A$251,$C330,approvals!$B$2:$B$251,$D330)=0),"office not on this campaign (approvals tab); ",""))&amp;IF(COUNTIFS(counts!$C$2:$C$701,$C330,counts!$D$2:$D$701,$D330,counts!$E$2:$E$701,$E330)&gt;1,"two "&amp;$E330&amp;" counts: keep one; ","")&amp;IF(AND($E330="remaining_day5",N($J330)&lt;5),"day-5 count logged before day 5; ","")&amp;IF(AND($G330="photo",$H330=""),"which photo?; ",""))</f>
        <v/>
      </c>
    </row>
    <row r="331">
      <c r="A331" s="9" t="n"/>
      <c r="B331" s="33" t="n"/>
      <c r="J331" s="25">
        <f>IF(OR($C331="",$A331=""),"",IF($A331&lt;IFERROR(IF(INDEX(campaigns!$BG$2:$BG$51,MATCH($C331,campaigns!$A$2:$A$51,0))="","",INDEX(campaigns!$BG$2:$BG$51,MATCH($C331,campaigns!$A$2:$A$51,0))),""),0,NETWORKDAYS(IFERROR(IF(INDEX(campaigns!$BG$2:$BG$51,MATCH($C331,campaigns!$A$2:$A$51,0))="","",INDEX(campaigns!$BG$2:$BG$51,MATCH($C331,campaigns!$A$2:$A$51,0))),""),$A331,calendar!$A$2:$A$80)))</f>
        <v/>
      </c>
      <c r="K331" s="25">
        <f>IF($C331="","",IF(COUNTIF(campaigns!$A$2:$A$51,$C331)=0,"campaign_id not on campaigns; ",IF(AND($D331&lt;&gt;"",COUNTIFS(approvals!$A$2:$A$251,$C331,approvals!$B$2:$B$251,$D331)=0),"office not on this campaign (approvals tab); ",""))&amp;IF(COUNTIFS(counts!$C$2:$C$701,$C331,counts!$D$2:$D$701,$D331,counts!$E$2:$E$701,$E331)&gt;1,"two "&amp;$E331&amp;" counts: keep one; ","")&amp;IF(AND($E331="remaining_day5",N($J331)&lt;5),"day-5 count logged before day 5; ","")&amp;IF(AND($G331="photo",$H331=""),"which photo?; ",""))</f>
        <v/>
      </c>
    </row>
    <row r="332">
      <c r="A332" s="9" t="n"/>
      <c r="B332" s="33" t="n"/>
      <c r="J332" s="25">
        <f>IF(OR($C332="",$A332=""),"",IF($A332&lt;IFERROR(IF(INDEX(campaigns!$BG$2:$BG$51,MATCH($C332,campaigns!$A$2:$A$51,0))="","",INDEX(campaigns!$BG$2:$BG$51,MATCH($C332,campaigns!$A$2:$A$51,0))),""),0,NETWORKDAYS(IFERROR(IF(INDEX(campaigns!$BG$2:$BG$51,MATCH($C332,campaigns!$A$2:$A$51,0))="","",INDEX(campaigns!$BG$2:$BG$51,MATCH($C332,campaigns!$A$2:$A$51,0))),""),$A332,calendar!$A$2:$A$80)))</f>
        <v/>
      </c>
      <c r="K332" s="25">
        <f>IF($C332="","",IF(COUNTIF(campaigns!$A$2:$A$51,$C332)=0,"campaign_id not on campaigns; ",IF(AND($D332&lt;&gt;"",COUNTIFS(approvals!$A$2:$A$251,$C332,approvals!$B$2:$B$251,$D332)=0),"office not on this campaign (approvals tab); ",""))&amp;IF(COUNTIFS(counts!$C$2:$C$701,$C332,counts!$D$2:$D$701,$D332,counts!$E$2:$E$701,$E332)&gt;1,"two "&amp;$E332&amp;" counts: keep one; ","")&amp;IF(AND($E332="remaining_day5",N($J332)&lt;5),"day-5 count logged before day 5; ","")&amp;IF(AND($G332="photo",$H332=""),"which photo?; ",""))</f>
        <v/>
      </c>
    </row>
    <row r="333">
      <c r="A333" s="9" t="n"/>
      <c r="B333" s="33" t="n"/>
      <c r="J333" s="25">
        <f>IF(OR($C333="",$A333=""),"",IF($A333&lt;IFERROR(IF(INDEX(campaigns!$BG$2:$BG$51,MATCH($C333,campaigns!$A$2:$A$51,0))="","",INDEX(campaigns!$BG$2:$BG$51,MATCH($C333,campaigns!$A$2:$A$51,0))),""),0,NETWORKDAYS(IFERROR(IF(INDEX(campaigns!$BG$2:$BG$51,MATCH($C333,campaigns!$A$2:$A$51,0))="","",INDEX(campaigns!$BG$2:$BG$51,MATCH($C333,campaigns!$A$2:$A$51,0))),""),$A333,calendar!$A$2:$A$80)))</f>
        <v/>
      </c>
      <c r="K333" s="25">
        <f>IF($C333="","",IF(COUNTIF(campaigns!$A$2:$A$51,$C333)=0,"campaign_id not on campaigns; ",IF(AND($D333&lt;&gt;"",COUNTIFS(approvals!$A$2:$A$251,$C333,approvals!$B$2:$B$251,$D333)=0),"office not on this campaign (approvals tab); ",""))&amp;IF(COUNTIFS(counts!$C$2:$C$701,$C333,counts!$D$2:$D$701,$D333,counts!$E$2:$E$701,$E333)&gt;1,"two "&amp;$E333&amp;" counts: keep one; ","")&amp;IF(AND($E333="remaining_day5",N($J333)&lt;5),"day-5 count logged before day 5; ","")&amp;IF(AND($G333="photo",$H333=""),"which photo?; ",""))</f>
        <v/>
      </c>
    </row>
    <row r="334">
      <c r="A334" s="9" t="n"/>
      <c r="B334" s="33" t="n"/>
      <c r="J334" s="25">
        <f>IF(OR($C334="",$A334=""),"",IF($A334&lt;IFERROR(IF(INDEX(campaigns!$BG$2:$BG$51,MATCH($C334,campaigns!$A$2:$A$51,0))="","",INDEX(campaigns!$BG$2:$BG$51,MATCH($C334,campaigns!$A$2:$A$51,0))),""),0,NETWORKDAYS(IFERROR(IF(INDEX(campaigns!$BG$2:$BG$51,MATCH($C334,campaigns!$A$2:$A$51,0))="","",INDEX(campaigns!$BG$2:$BG$51,MATCH($C334,campaigns!$A$2:$A$51,0))),""),$A334,calendar!$A$2:$A$80)))</f>
        <v/>
      </c>
      <c r="K334" s="25">
        <f>IF($C334="","",IF(COUNTIF(campaigns!$A$2:$A$51,$C334)=0,"campaign_id not on campaigns; ",IF(AND($D334&lt;&gt;"",COUNTIFS(approvals!$A$2:$A$251,$C334,approvals!$B$2:$B$251,$D334)=0),"office not on this campaign (approvals tab); ",""))&amp;IF(COUNTIFS(counts!$C$2:$C$701,$C334,counts!$D$2:$D$701,$D334,counts!$E$2:$E$701,$E334)&gt;1,"two "&amp;$E334&amp;" counts: keep one; ","")&amp;IF(AND($E334="remaining_day5",N($J334)&lt;5),"day-5 count logged before day 5; ","")&amp;IF(AND($G334="photo",$H334=""),"which photo?; ",""))</f>
        <v/>
      </c>
    </row>
    <row r="335">
      <c r="A335" s="9" t="n"/>
      <c r="B335" s="33" t="n"/>
      <c r="J335" s="25">
        <f>IF(OR($C335="",$A335=""),"",IF($A335&lt;IFERROR(IF(INDEX(campaigns!$BG$2:$BG$51,MATCH($C335,campaigns!$A$2:$A$51,0))="","",INDEX(campaigns!$BG$2:$BG$51,MATCH($C335,campaigns!$A$2:$A$51,0))),""),0,NETWORKDAYS(IFERROR(IF(INDEX(campaigns!$BG$2:$BG$51,MATCH($C335,campaigns!$A$2:$A$51,0))="","",INDEX(campaigns!$BG$2:$BG$51,MATCH($C335,campaigns!$A$2:$A$51,0))),""),$A335,calendar!$A$2:$A$80)))</f>
        <v/>
      </c>
      <c r="K335" s="25">
        <f>IF($C335="","",IF(COUNTIF(campaigns!$A$2:$A$51,$C335)=0,"campaign_id not on campaigns; ",IF(AND($D335&lt;&gt;"",COUNTIFS(approvals!$A$2:$A$251,$C335,approvals!$B$2:$B$251,$D335)=0),"office not on this campaign (approvals tab); ",""))&amp;IF(COUNTIFS(counts!$C$2:$C$701,$C335,counts!$D$2:$D$701,$D335,counts!$E$2:$E$701,$E335)&gt;1,"two "&amp;$E335&amp;" counts: keep one; ","")&amp;IF(AND($E335="remaining_day5",N($J335)&lt;5),"day-5 count logged before day 5; ","")&amp;IF(AND($G335="photo",$H335=""),"which photo?; ",""))</f>
        <v/>
      </c>
    </row>
    <row r="336">
      <c r="A336" s="9" t="n"/>
      <c r="B336" s="33" t="n"/>
      <c r="J336" s="25">
        <f>IF(OR($C336="",$A336=""),"",IF($A336&lt;IFERROR(IF(INDEX(campaigns!$BG$2:$BG$51,MATCH($C336,campaigns!$A$2:$A$51,0))="","",INDEX(campaigns!$BG$2:$BG$51,MATCH($C336,campaigns!$A$2:$A$51,0))),""),0,NETWORKDAYS(IFERROR(IF(INDEX(campaigns!$BG$2:$BG$51,MATCH($C336,campaigns!$A$2:$A$51,0))="","",INDEX(campaigns!$BG$2:$BG$51,MATCH($C336,campaigns!$A$2:$A$51,0))),""),$A336,calendar!$A$2:$A$80)))</f>
        <v/>
      </c>
      <c r="K336" s="25">
        <f>IF($C336="","",IF(COUNTIF(campaigns!$A$2:$A$51,$C336)=0,"campaign_id not on campaigns; ",IF(AND($D336&lt;&gt;"",COUNTIFS(approvals!$A$2:$A$251,$C336,approvals!$B$2:$B$251,$D336)=0),"office not on this campaign (approvals tab); ",""))&amp;IF(COUNTIFS(counts!$C$2:$C$701,$C336,counts!$D$2:$D$701,$D336,counts!$E$2:$E$701,$E336)&gt;1,"two "&amp;$E336&amp;" counts: keep one; ","")&amp;IF(AND($E336="remaining_day5",N($J336)&lt;5),"day-5 count logged before day 5; ","")&amp;IF(AND($G336="photo",$H336=""),"which photo?; ",""))</f>
        <v/>
      </c>
    </row>
    <row r="337">
      <c r="A337" s="9" t="n"/>
      <c r="B337" s="33" t="n"/>
      <c r="J337" s="25">
        <f>IF(OR($C337="",$A337=""),"",IF($A337&lt;IFERROR(IF(INDEX(campaigns!$BG$2:$BG$51,MATCH($C337,campaigns!$A$2:$A$51,0))="","",INDEX(campaigns!$BG$2:$BG$51,MATCH($C337,campaigns!$A$2:$A$51,0))),""),0,NETWORKDAYS(IFERROR(IF(INDEX(campaigns!$BG$2:$BG$51,MATCH($C337,campaigns!$A$2:$A$51,0))="","",INDEX(campaigns!$BG$2:$BG$51,MATCH($C337,campaigns!$A$2:$A$51,0))),""),$A337,calendar!$A$2:$A$80)))</f>
        <v/>
      </c>
      <c r="K337" s="25">
        <f>IF($C337="","",IF(COUNTIF(campaigns!$A$2:$A$51,$C337)=0,"campaign_id not on campaigns; ",IF(AND($D337&lt;&gt;"",COUNTIFS(approvals!$A$2:$A$251,$C337,approvals!$B$2:$B$251,$D337)=0),"office not on this campaign (approvals tab); ",""))&amp;IF(COUNTIFS(counts!$C$2:$C$701,$C337,counts!$D$2:$D$701,$D337,counts!$E$2:$E$701,$E337)&gt;1,"two "&amp;$E337&amp;" counts: keep one; ","")&amp;IF(AND($E337="remaining_day5",N($J337)&lt;5),"day-5 count logged before day 5; ","")&amp;IF(AND($G337="photo",$H337=""),"which photo?; ",""))</f>
        <v/>
      </c>
    </row>
    <row r="338">
      <c r="A338" s="9" t="n"/>
      <c r="B338" s="33" t="n"/>
      <c r="J338" s="25">
        <f>IF(OR($C338="",$A338=""),"",IF($A338&lt;IFERROR(IF(INDEX(campaigns!$BG$2:$BG$51,MATCH($C338,campaigns!$A$2:$A$51,0))="","",INDEX(campaigns!$BG$2:$BG$51,MATCH($C338,campaigns!$A$2:$A$51,0))),""),0,NETWORKDAYS(IFERROR(IF(INDEX(campaigns!$BG$2:$BG$51,MATCH($C338,campaigns!$A$2:$A$51,0))="","",INDEX(campaigns!$BG$2:$BG$51,MATCH($C338,campaigns!$A$2:$A$51,0))),""),$A338,calendar!$A$2:$A$80)))</f>
        <v/>
      </c>
      <c r="K338" s="25">
        <f>IF($C338="","",IF(COUNTIF(campaigns!$A$2:$A$51,$C338)=0,"campaign_id not on campaigns; ",IF(AND($D338&lt;&gt;"",COUNTIFS(approvals!$A$2:$A$251,$C338,approvals!$B$2:$B$251,$D338)=0),"office not on this campaign (approvals tab); ",""))&amp;IF(COUNTIFS(counts!$C$2:$C$701,$C338,counts!$D$2:$D$701,$D338,counts!$E$2:$E$701,$E338)&gt;1,"two "&amp;$E338&amp;" counts: keep one; ","")&amp;IF(AND($E338="remaining_day5",N($J338)&lt;5),"day-5 count logged before day 5; ","")&amp;IF(AND($G338="photo",$H338=""),"which photo?; ",""))</f>
        <v/>
      </c>
    </row>
    <row r="339">
      <c r="A339" s="9" t="n"/>
      <c r="B339" s="33" t="n"/>
      <c r="J339" s="25">
        <f>IF(OR($C339="",$A339=""),"",IF($A339&lt;IFERROR(IF(INDEX(campaigns!$BG$2:$BG$51,MATCH($C339,campaigns!$A$2:$A$51,0))="","",INDEX(campaigns!$BG$2:$BG$51,MATCH($C339,campaigns!$A$2:$A$51,0))),""),0,NETWORKDAYS(IFERROR(IF(INDEX(campaigns!$BG$2:$BG$51,MATCH($C339,campaigns!$A$2:$A$51,0))="","",INDEX(campaigns!$BG$2:$BG$51,MATCH($C339,campaigns!$A$2:$A$51,0))),""),$A339,calendar!$A$2:$A$80)))</f>
        <v/>
      </c>
      <c r="K339" s="25">
        <f>IF($C339="","",IF(COUNTIF(campaigns!$A$2:$A$51,$C339)=0,"campaign_id not on campaigns; ",IF(AND($D339&lt;&gt;"",COUNTIFS(approvals!$A$2:$A$251,$C339,approvals!$B$2:$B$251,$D339)=0),"office not on this campaign (approvals tab); ",""))&amp;IF(COUNTIFS(counts!$C$2:$C$701,$C339,counts!$D$2:$D$701,$D339,counts!$E$2:$E$701,$E339)&gt;1,"two "&amp;$E339&amp;" counts: keep one; ","")&amp;IF(AND($E339="remaining_day5",N($J339)&lt;5),"day-5 count logged before day 5; ","")&amp;IF(AND($G339="photo",$H339=""),"which photo?; ",""))</f>
        <v/>
      </c>
    </row>
    <row r="340">
      <c r="A340" s="9" t="n"/>
      <c r="B340" s="33" t="n"/>
      <c r="J340" s="25">
        <f>IF(OR($C340="",$A340=""),"",IF($A340&lt;IFERROR(IF(INDEX(campaigns!$BG$2:$BG$51,MATCH($C340,campaigns!$A$2:$A$51,0))="","",INDEX(campaigns!$BG$2:$BG$51,MATCH($C340,campaigns!$A$2:$A$51,0))),""),0,NETWORKDAYS(IFERROR(IF(INDEX(campaigns!$BG$2:$BG$51,MATCH($C340,campaigns!$A$2:$A$51,0))="","",INDEX(campaigns!$BG$2:$BG$51,MATCH($C340,campaigns!$A$2:$A$51,0))),""),$A340,calendar!$A$2:$A$80)))</f>
        <v/>
      </c>
      <c r="K340" s="25">
        <f>IF($C340="","",IF(COUNTIF(campaigns!$A$2:$A$51,$C340)=0,"campaign_id not on campaigns; ",IF(AND($D340&lt;&gt;"",COUNTIFS(approvals!$A$2:$A$251,$C340,approvals!$B$2:$B$251,$D340)=0),"office not on this campaign (approvals tab); ",""))&amp;IF(COUNTIFS(counts!$C$2:$C$701,$C340,counts!$D$2:$D$701,$D340,counts!$E$2:$E$701,$E340)&gt;1,"two "&amp;$E340&amp;" counts: keep one; ","")&amp;IF(AND($E340="remaining_day5",N($J340)&lt;5),"day-5 count logged before day 5; ","")&amp;IF(AND($G340="photo",$H340=""),"which photo?; ",""))</f>
        <v/>
      </c>
    </row>
    <row r="341">
      <c r="A341" s="9" t="n"/>
      <c r="B341" s="33" t="n"/>
      <c r="J341" s="25">
        <f>IF(OR($C341="",$A341=""),"",IF($A341&lt;IFERROR(IF(INDEX(campaigns!$BG$2:$BG$51,MATCH($C341,campaigns!$A$2:$A$51,0))="","",INDEX(campaigns!$BG$2:$BG$51,MATCH($C341,campaigns!$A$2:$A$51,0))),""),0,NETWORKDAYS(IFERROR(IF(INDEX(campaigns!$BG$2:$BG$51,MATCH($C341,campaigns!$A$2:$A$51,0))="","",INDEX(campaigns!$BG$2:$BG$51,MATCH($C341,campaigns!$A$2:$A$51,0))),""),$A341,calendar!$A$2:$A$80)))</f>
        <v/>
      </c>
      <c r="K341" s="25">
        <f>IF($C341="","",IF(COUNTIF(campaigns!$A$2:$A$51,$C341)=0,"campaign_id not on campaigns; ",IF(AND($D341&lt;&gt;"",COUNTIFS(approvals!$A$2:$A$251,$C341,approvals!$B$2:$B$251,$D341)=0),"office not on this campaign (approvals tab); ",""))&amp;IF(COUNTIFS(counts!$C$2:$C$701,$C341,counts!$D$2:$D$701,$D341,counts!$E$2:$E$701,$E341)&gt;1,"two "&amp;$E341&amp;" counts: keep one; ","")&amp;IF(AND($E341="remaining_day5",N($J341)&lt;5),"day-5 count logged before day 5; ","")&amp;IF(AND($G341="photo",$H341=""),"which photo?; ",""))</f>
        <v/>
      </c>
    </row>
    <row r="342">
      <c r="A342" s="9" t="n"/>
      <c r="B342" s="33" t="n"/>
      <c r="J342" s="25">
        <f>IF(OR($C342="",$A342=""),"",IF($A342&lt;IFERROR(IF(INDEX(campaigns!$BG$2:$BG$51,MATCH($C342,campaigns!$A$2:$A$51,0))="","",INDEX(campaigns!$BG$2:$BG$51,MATCH($C342,campaigns!$A$2:$A$51,0))),""),0,NETWORKDAYS(IFERROR(IF(INDEX(campaigns!$BG$2:$BG$51,MATCH($C342,campaigns!$A$2:$A$51,0))="","",INDEX(campaigns!$BG$2:$BG$51,MATCH($C342,campaigns!$A$2:$A$51,0))),""),$A342,calendar!$A$2:$A$80)))</f>
        <v/>
      </c>
      <c r="K342" s="25">
        <f>IF($C342="","",IF(COUNTIF(campaigns!$A$2:$A$51,$C342)=0,"campaign_id not on campaigns; ",IF(AND($D342&lt;&gt;"",COUNTIFS(approvals!$A$2:$A$251,$C342,approvals!$B$2:$B$251,$D342)=0),"office not on this campaign (approvals tab); ",""))&amp;IF(COUNTIFS(counts!$C$2:$C$701,$C342,counts!$D$2:$D$701,$D342,counts!$E$2:$E$701,$E342)&gt;1,"two "&amp;$E342&amp;" counts: keep one; ","")&amp;IF(AND($E342="remaining_day5",N($J342)&lt;5),"day-5 count logged before day 5; ","")&amp;IF(AND($G342="photo",$H342=""),"which photo?; ",""))</f>
        <v/>
      </c>
    </row>
    <row r="343">
      <c r="A343" s="9" t="n"/>
      <c r="B343" s="33" t="n"/>
      <c r="J343" s="25">
        <f>IF(OR($C343="",$A343=""),"",IF($A343&lt;IFERROR(IF(INDEX(campaigns!$BG$2:$BG$51,MATCH($C343,campaigns!$A$2:$A$51,0))="","",INDEX(campaigns!$BG$2:$BG$51,MATCH($C343,campaigns!$A$2:$A$51,0))),""),0,NETWORKDAYS(IFERROR(IF(INDEX(campaigns!$BG$2:$BG$51,MATCH($C343,campaigns!$A$2:$A$51,0))="","",INDEX(campaigns!$BG$2:$BG$51,MATCH($C343,campaigns!$A$2:$A$51,0))),""),$A343,calendar!$A$2:$A$80)))</f>
        <v/>
      </c>
      <c r="K343" s="25">
        <f>IF($C343="","",IF(COUNTIF(campaigns!$A$2:$A$51,$C343)=0,"campaign_id not on campaigns; ",IF(AND($D343&lt;&gt;"",COUNTIFS(approvals!$A$2:$A$251,$C343,approvals!$B$2:$B$251,$D343)=0),"office not on this campaign (approvals tab); ",""))&amp;IF(COUNTIFS(counts!$C$2:$C$701,$C343,counts!$D$2:$D$701,$D343,counts!$E$2:$E$701,$E343)&gt;1,"two "&amp;$E343&amp;" counts: keep one; ","")&amp;IF(AND($E343="remaining_day5",N($J343)&lt;5),"day-5 count logged before day 5; ","")&amp;IF(AND($G343="photo",$H343=""),"which photo?; ",""))</f>
        <v/>
      </c>
    </row>
    <row r="344">
      <c r="A344" s="9" t="n"/>
      <c r="B344" s="33" t="n"/>
      <c r="J344" s="25">
        <f>IF(OR($C344="",$A344=""),"",IF($A344&lt;IFERROR(IF(INDEX(campaigns!$BG$2:$BG$51,MATCH($C344,campaigns!$A$2:$A$51,0))="","",INDEX(campaigns!$BG$2:$BG$51,MATCH($C344,campaigns!$A$2:$A$51,0))),""),0,NETWORKDAYS(IFERROR(IF(INDEX(campaigns!$BG$2:$BG$51,MATCH($C344,campaigns!$A$2:$A$51,0))="","",INDEX(campaigns!$BG$2:$BG$51,MATCH($C344,campaigns!$A$2:$A$51,0))),""),$A344,calendar!$A$2:$A$80)))</f>
        <v/>
      </c>
      <c r="K344" s="25">
        <f>IF($C344="","",IF(COUNTIF(campaigns!$A$2:$A$51,$C344)=0,"campaign_id not on campaigns; ",IF(AND($D344&lt;&gt;"",COUNTIFS(approvals!$A$2:$A$251,$C344,approvals!$B$2:$B$251,$D344)=0),"office not on this campaign (approvals tab); ",""))&amp;IF(COUNTIFS(counts!$C$2:$C$701,$C344,counts!$D$2:$D$701,$D344,counts!$E$2:$E$701,$E344)&gt;1,"two "&amp;$E344&amp;" counts: keep one; ","")&amp;IF(AND($E344="remaining_day5",N($J344)&lt;5),"day-5 count logged before day 5; ","")&amp;IF(AND($G344="photo",$H344=""),"which photo?; ",""))</f>
        <v/>
      </c>
    </row>
    <row r="345">
      <c r="A345" s="9" t="n"/>
      <c r="B345" s="33" t="n"/>
      <c r="J345" s="25">
        <f>IF(OR($C345="",$A345=""),"",IF($A345&lt;IFERROR(IF(INDEX(campaigns!$BG$2:$BG$51,MATCH($C345,campaigns!$A$2:$A$51,0))="","",INDEX(campaigns!$BG$2:$BG$51,MATCH($C345,campaigns!$A$2:$A$51,0))),""),0,NETWORKDAYS(IFERROR(IF(INDEX(campaigns!$BG$2:$BG$51,MATCH($C345,campaigns!$A$2:$A$51,0))="","",INDEX(campaigns!$BG$2:$BG$51,MATCH($C345,campaigns!$A$2:$A$51,0))),""),$A345,calendar!$A$2:$A$80)))</f>
        <v/>
      </c>
      <c r="K345" s="25">
        <f>IF($C345="","",IF(COUNTIF(campaigns!$A$2:$A$51,$C345)=0,"campaign_id not on campaigns; ",IF(AND($D345&lt;&gt;"",COUNTIFS(approvals!$A$2:$A$251,$C345,approvals!$B$2:$B$251,$D345)=0),"office not on this campaign (approvals tab); ",""))&amp;IF(COUNTIFS(counts!$C$2:$C$701,$C345,counts!$D$2:$D$701,$D345,counts!$E$2:$E$701,$E345)&gt;1,"two "&amp;$E345&amp;" counts: keep one; ","")&amp;IF(AND($E345="remaining_day5",N($J345)&lt;5),"day-5 count logged before day 5; ","")&amp;IF(AND($G345="photo",$H345=""),"which photo?; ",""))</f>
        <v/>
      </c>
    </row>
    <row r="346">
      <c r="A346" s="9" t="n"/>
      <c r="B346" s="33" t="n"/>
      <c r="J346" s="25">
        <f>IF(OR($C346="",$A346=""),"",IF($A346&lt;IFERROR(IF(INDEX(campaigns!$BG$2:$BG$51,MATCH($C346,campaigns!$A$2:$A$51,0))="","",INDEX(campaigns!$BG$2:$BG$51,MATCH($C346,campaigns!$A$2:$A$51,0))),""),0,NETWORKDAYS(IFERROR(IF(INDEX(campaigns!$BG$2:$BG$51,MATCH($C346,campaigns!$A$2:$A$51,0))="","",INDEX(campaigns!$BG$2:$BG$51,MATCH($C346,campaigns!$A$2:$A$51,0))),""),$A346,calendar!$A$2:$A$80)))</f>
        <v/>
      </c>
      <c r="K346" s="25">
        <f>IF($C346="","",IF(COUNTIF(campaigns!$A$2:$A$51,$C346)=0,"campaign_id not on campaigns; ",IF(AND($D346&lt;&gt;"",COUNTIFS(approvals!$A$2:$A$251,$C346,approvals!$B$2:$B$251,$D346)=0),"office not on this campaign (approvals tab); ",""))&amp;IF(COUNTIFS(counts!$C$2:$C$701,$C346,counts!$D$2:$D$701,$D346,counts!$E$2:$E$701,$E346)&gt;1,"two "&amp;$E346&amp;" counts: keep one; ","")&amp;IF(AND($E346="remaining_day5",N($J346)&lt;5),"day-5 count logged before day 5; ","")&amp;IF(AND($G346="photo",$H346=""),"which photo?; ",""))</f>
        <v/>
      </c>
    </row>
    <row r="347">
      <c r="A347" s="9" t="n"/>
      <c r="B347" s="33" t="n"/>
      <c r="J347" s="25">
        <f>IF(OR($C347="",$A347=""),"",IF($A347&lt;IFERROR(IF(INDEX(campaigns!$BG$2:$BG$51,MATCH($C347,campaigns!$A$2:$A$51,0))="","",INDEX(campaigns!$BG$2:$BG$51,MATCH($C347,campaigns!$A$2:$A$51,0))),""),0,NETWORKDAYS(IFERROR(IF(INDEX(campaigns!$BG$2:$BG$51,MATCH($C347,campaigns!$A$2:$A$51,0))="","",INDEX(campaigns!$BG$2:$BG$51,MATCH($C347,campaigns!$A$2:$A$51,0))),""),$A347,calendar!$A$2:$A$80)))</f>
        <v/>
      </c>
      <c r="K347" s="25">
        <f>IF($C347="","",IF(COUNTIF(campaigns!$A$2:$A$51,$C347)=0,"campaign_id not on campaigns; ",IF(AND($D347&lt;&gt;"",COUNTIFS(approvals!$A$2:$A$251,$C347,approvals!$B$2:$B$251,$D347)=0),"office not on this campaign (approvals tab); ",""))&amp;IF(COUNTIFS(counts!$C$2:$C$701,$C347,counts!$D$2:$D$701,$D347,counts!$E$2:$E$701,$E347)&gt;1,"two "&amp;$E347&amp;" counts: keep one; ","")&amp;IF(AND($E347="remaining_day5",N($J347)&lt;5),"day-5 count logged before day 5; ","")&amp;IF(AND($G347="photo",$H347=""),"which photo?; ",""))</f>
        <v/>
      </c>
    </row>
    <row r="348">
      <c r="A348" s="9" t="n"/>
      <c r="B348" s="33" t="n"/>
      <c r="J348" s="25">
        <f>IF(OR($C348="",$A348=""),"",IF($A348&lt;IFERROR(IF(INDEX(campaigns!$BG$2:$BG$51,MATCH($C348,campaigns!$A$2:$A$51,0))="","",INDEX(campaigns!$BG$2:$BG$51,MATCH($C348,campaigns!$A$2:$A$51,0))),""),0,NETWORKDAYS(IFERROR(IF(INDEX(campaigns!$BG$2:$BG$51,MATCH($C348,campaigns!$A$2:$A$51,0))="","",INDEX(campaigns!$BG$2:$BG$51,MATCH($C348,campaigns!$A$2:$A$51,0))),""),$A348,calendar!$A$2:$A$80)))</f>
        <v/>
      </c>
      <c r="K348" s="25">
        <f>IF($C348="","",IF(COUNTIF(campaigns!$A$2:$A$51,$C348)=0,"campaign_id not on campaigns; ",IF(AND($D348&lt;&gt;"",COUNTIFS(approvals!$A$2:$A$251,$C348,approvals!$B$2:$B$251,$D348)=0),"office not on this campaign (approvals tab); ",""))&amp;IF(COUNTIFS(counts!$C$2:$C$701,$C348,counts!$D$2:$D$701,$D348,counts!$E$2:$E$701,$E348)&gt;1,"two "&amp;$E348&amp;" counts: keep one; ","")&amp;IF(AND($E348="remaining_day5",N($J348)&lt;5),"day-5 count logged before day 5; ","")&amp;IF(AND($G348="photo",$H348=""),"which photo?; ",""))</f>
        <v/>
      </c>
    </row>
    <row r="349">
      <c r="A349" s="9" t="n"/>
      <c r="B349" s="33" t="n"/>
      <c r="J349" s="25">
        <f>IF(OR($C349="",$A349=""),"",IF($A349&lt;IFERROR(IF(INDEX(campaigns!$BG$2:$BG$51,MATCH($C349,campaigns!$A$2:$A$51,0))="","",INDEX(campaigns!$BG$2:$BG$51,MATCH($C349,campaigns!$A$2:$A$51,0))),""),0,NETWORKDAYS(IFERROR(IF(INDEX(campaigns!$BG$2:$BG$51,MATCH($C349,campaigns!$A$2:$A$51,0))="","",INDEX(campaigns!$BG$2:$BG$51,MATCH($C349,campaigns!$A$2:$A$51,0))),""),$A349,calendar!$A$2:$A$80)))</f>
        <v/>
      </c>
      <c r="K349" s="25">
        <f>IF($C349="","",IF(COUNTIF(campaigns!$A$2:$A$51,$C349)=0,"campaign_id not on campaigns; ",IF(AND($D349&lt;&gt;"",COUNTIFS(approvals!$A$2:$A$251,$C349,approvals!$B$2:$B$251,$D349)=0),"office not on this campaign (approvals tab); ",""))&amp;IF(COUNTIFS(counts!$C$2:$C$701,$C349,counts!$D$2:$D$701,$D349,counts!$E$2:$E$701,$E349)&gt;1,"two "&amp;$E349&amp;" counts: keep one; ","")&amp;IF(AND($E349="remaining_day5",N($J349)&lt;5),"day-5 count logged before day 5; ","")&amp;IF(AND($G349="photo",$H349=""),"which photo?; ",""))</f>
        <v/>
      </c>
    </row>
    <row r="350">
      <c r="A350" s="9" t="n"/>
      <c r="B350" s="33" t="n"/>
      <c r="J350" s="25">
        <f>IF(OR($C350="",$A350=""),"",IF($A350&lt;IFERROR(IF(INDEX(campaigns!$BG$2:$BG$51,MATCH($C350,campaigns!$A$2:$A$51,0))="","",INDEX(campaigns!$BG$2:$BG$51,MATCH($C350,campaigns!$A$2:$A$51,0))),""),0,NETWORKDAYS(IFERROR(IF(INDEX(campaigns!$BG$2:$BG$51,MATCH($C350,campaigns!$A$2:$A$51,0))="","",INDEX(campaigns!$BG$2:$BG$51,MATCH($C350,campaigns!$A$2:$A$51,0))),""),$A350,calendar!$A$2:$A$80)))</f>
        <v/>
      </c>
      <c r="K350" s="25">
        <f>IF($C350="","",IF(COUNTIF(campaigns!$A$2:$A$51,$C350)=0,"campaign_id not on campaigns; ",IF(AND($D350&lt;&gt;"",COUNTIFS(approvals!$A$2:$A$251,$C350,approvals!$B$2:$B$251,$D350)=0),"office not on this campaign (approvals tab); ",""))&amp;IF(COUNTIFS(counts!$C$2:$C$701,$C350,counts!$D$2:$D$701,$D350,counts!$E$2:$E$701,$E350)&gt;1,"two "&amp;$E350&amp;" counts: keep one; ","")&amp;IF(AND($E350="remaining_day5",N($J350)&lt;5),"day-5 count logged before day 5; ","")&amp;IF(AND($G350="photo",$H350=""),"which photo?; ",""))</f>
        <v/>
      </c>
    </row>
    <row r="351">
      <c r="A351" s="9" t="n"/>
      <c r="B351" s="33" t="n"/>
      <c r="J351" s="25">
        <f>IF(OR($C351="",$A351=""),"",IF($A351&lt;IFERROR(IF(INDEX(campaigns!$BG$2:$BG$51,MATCH($C351,campaigns!$A$2:$A$51,0))="","",INDEX(campaigns!$BG$2:$BG$51,MATCH($C351,campaigns!$A$2:$A$51,0))),""),0,NETWORKDAYS(IFERROR(IF(INDEX(campaigns!$BG$2:$BG$51,MATCH($C351,campaigns!$A$2:$A$51,0))="","",INDEX(campaigns!$BG$2:$BG$51,MATCH($C351,campaigns!$A$2:$A$51,0))),""),$A351,calendar!$A$2:$A$80)))</f>
        <v/>
      </c>
      <c r="K351" s="25">
        <f>IF($C351="","",IF(COUNTIF(campaigns!$A$2:$A$51,$C351)=0,"campaign_id not on campaigns; ",IF(AND($D351&lt;&gt;"",COUNTIFS(approvals!$A$2:$A$251,$C351,approvals!$B$2:$B$251,$D351)=0),"office not on this campaign (approvals tab); ",""))&amp;IF(COUNTIFS(counts!$C$2:$C$701,$C351,counts!$D$2:$D$701,$D351,counts!$E$2:$E$701,$E351)&gt;1,"two "&amp;$E351&amp;" counts: keep one; ","")&amp;IF(AND($E351="remaining_day5",N($J351)&lt;5),"day-5 count logged before day 5; ","")&amp;IF(AND($G351="photo",$H351=""),"which photo?; ",""))</f>
        <v/>
      </c>
    </row>
    <row r="352">
      <c r="A352" s="9" t="n"/>
      <c r="B352" s="33" t="n"/>
      <c r="J352" s="25">
        <f>IF(OR($C352="",$A352=""),"",IF($A352&lt;IFERROR(IF(INDEX(campaigns!$BG$2:$BG$51,MATCH($C352,campaigns!$A$2:$A$51,0))="","",INDEX(campaigns!$BG$2:$BG$51,MATCH($C352,campaigns!$A$2:$A$51,0))),""),0,NETWORKDAYS(IFERROR(IF(INDEX(campaigns!$BG$2:$BG$51,MATCH($C352,campaigns!$A$2:$A$51,0))="","",INDEX(campaigns!$BG$2:$BG$51,MATCH($C352,campaigns!$A$2:$A$51,0))),""),$A352,calendar!$A$2:$A$80)))</f>
        <v/>
      </c>
      <c r="K352" s="25">
        <f>IF($C352="","",IF(COUNTIF(campaigns!$A$2:$A$51,$C352)=0,"campaign_id not on campaigns; ",IF(AND($D352&lt;&gt;"",COUNTIFS(approvals!$A$2:$A$251,$C352,approvals!$B$2:$B$251,$D352)=0),"office not on this campaign (approvals tab); ",""))&amp;IF(COUNTIFS(counts!$C$2:$C$701,$C352,counts!$D$2:$D$701,$D352,counts!$E$2:$E$701,$E352)&gt;1,"two "&amp;$E352&amp;" counts: keep one; ","")&amp;IF(AND($E352="remaining_day5",N($J352)&lt;5),"day-5 count logged before day 5; ","")&amp;IF(AND($G352="photo",$H352=""),"which photo?; ",""))</f>
        <v/>
      </c>
    </row>
    <row r="353">
      <c r="A353" s="9" t="n"/>
      <c r="B353" s="33" t="n"/>
      <c r="J353" s="25">
        <f>IF(OR($C353="",$A353=""),"",IF($A353&lt;IFERROR(IF(INDEX(campaigns!$BG$2:$BG$51,MATCH($C353,campaigns!$A$2:$A$51,0))="","",INDEX(campaigns!$BG$2:$BG$51,MATCH($C353,campaigns!$A$2:$A$51,0))),""),0,NETWORKDAYS(IFERROR(IF(INDEX(campaigns!$BG$2:$BG$51,MATCH($C353,campaigns!$A$2:$A$51,0))="","",INDEX(campaigns!$BG$2:$BG$51,MATCH($C353,campaigns!$A$2:$A$51,0))),""),$A353,calendar!$A$2:$A$80)))</f>
        <v/>
      </c>
      <c r="K353" s="25">
        <f>IF($C353="","",IF(COUNTIF(campaigns!$A$2:$A$51,$C353)=0,"campaign_id not on campaigns; ",IF(AND($D353&lt;&gt;"",COUNTIFS(approvals!$A$2:$A$251,$C353,approvals!$B$2:$B$251,$D353)=0),"office not on this campaign (approvals tab); ",""))&amp;IF(COUNTIFS(counts!$C$2:$C$701,$C353,counts!$D$2:$D$701,$D353,counts!$E$2:$E$701,$E353)&gt;1,"two "&amp;$E353&amp;" counts: keep one; ","")&amp;IF(AND($E353="remaining_day5",N($J353)&lt;5),"day-5 count logged before day 5; ","")&amp;IF(AND($G353="photo",$H353=""),"which photo?; ",""))</f>
        <v/>
      </c>
    </row>
    <row r="354">
      <c r="A354" s="9" t="n"/>
      <c r="B354" s="33" t="n"/>
      <c r="J354" s="25">
        <f>IF(OR($C354="",$A354=""),"",IF($A354&lt;IFERROR(IF(INDEX(campaigns!$BG$2:$BG$51,MATCH($C354,campaigns!$A$2:$A$51,0))="","",INDEX(campaigns!$BG$2:$BG$51,MATCH($C354,campaigns!$A$2:$A$51,0))),""),0,NETWORKDAYS(IFERROR(IF(INDEX(campaigns!$BG$2:$BG$51,MATCH($C354,campaigns!$A$2:$A$51,0))="","",INDEX(campaigns!$BG$2:$BG$51,MATCH($C354,campaigns!$A$2:$A$51,0))),""),$A354,calendar!$A$2:$A$80)))</f>
        <v/>
      </c>
      <c r="K354" s="25">
        <f>IF($C354="","",IF(COUNTIF(campaigns!$A$2:$A$51,$C354)=0,"campaign_id not on campaigns; ",IF(AND($D354&lt;&gt;"",COUNTIFS(approvals!$A$2:$A$251,$C354,approvals!$B$2:$B$251,$D354)=0),"office not on this campaign (approvals tab); ",""))&amp;IF(COUNTIFS(counts!$C$2:$C$701,$C354,counts!$D$2:$D$701,$D354,counts!$E$2:$E$701,$E354)&gt;1,"two "&amp;$E354&amp;" counts: keep one; ","")&amp;IF(AND($E354="remaining_day5",N($J354)&lt;5),"day-5 count logged before day 5; ","")&amp;IF(AND($G354="photo",$H354=""),"which photo?; ",""))</f>
        <v/>
      </c>
    </row>
    <row r="355">
      <c r="A355" s="9" t="n"/>
      <c r="B355" s="33" t="n"/>
      <c r="J355" s="25">
        <f>IF(OR($C355="",$A355=""),"",IF($A355&lt;IFERROR(IF(INDEX(campaigns!$BG$2:$BG$51,MATCH($C355,campaigns!$A$2:$A$51,0))="","",INDEX(campaigns!$BG$2:$BG$51,MATCH($C355,campaigns!$A$2:$A$51,0))),""),0,NETWORKDAYS(IFERROR(IF(INDEX(campaigns!$BG$2:$BG$51,MATCH($C355,campaigns!$A$2:$A$51,0))="","",INDEX(campaigns!$BG$2:$BG$51,MATCH($C355,campaigns!$A$2:$A$51,0))),""),$A355,calendar!$A$2:$A$80)))</f>
        <v/>
      </c>
      <c r="K355" s="25">
        <f>IF($C355="","",IF(COUNTIF(campaigns!$A$2:$A$51,$C355)=0,"campaign_id not on campaigns; ",IF(AND($D355&lt;&gt;"",COUNTIFS(approvals!$A$2:$A$251,$C355,approvals!$B$2:$B$251,$D355)=0),"office not on this campaign (approvals tab); ",""))&amp;IF(COUNTIFS(counts!$C$2:$C$701,$C355,counts!$D$2:$D$701,$D355,counts!$E$2:$E$701,$E355)&gt;1,"two "&amp;$E355&amp;" counts: keep one; ","")&amp;IF(AND($E355="remaining_day5",N($J355)&lt;5),"day-5 count logged before day 5; ","")&amp;IF(AND($G355="photo",$H355=""),"which photo?; ",""))</f>
        <v/>
      </c>
    </row>
    <row r="356">
      <c r="A356" s="9" t="n"/>
      <c r="B356" s="33" t="n"/>
      <c r="J356" s="25">
        <f>IF(OR($C356="",$A356=""),"",IF($A356&lt;IFERROR(IF(INDEX(campaigns!$BG$2:$BG$51,MATCH($C356,campaigns!$A$2:$A$51,0))="","",INDEX(campaigns!$BG$2:$BG$51,MATCH($C356,campaigns!$A$2:$A$51,0))),""),0,NETWORKDAYS(IFERROR(IF(INDEX(campaigns!$BG$2:$BG$51,MATCH($C356,campaigns!$A$2:$A$51,0))="","",INDEX(campaigns!$BG$2:$BG$51,MATCH($C356,campaigns!$A$2:$A$51,0))),""),$A356,calendar!$A$2:$A$80)))</f>
        <v/>
      </c>
      <c r="K356" s="25">
        <f>IF($C356="","",IF(COUNTIF(campaigns!$A$2:$A$51,$C356)=0,"campaign_id not on campaigns; ",IF(AND($D356&lt;&gt;"",COUNTIFS(approvals!$A$2:$A$251,$C356,approvals!$B$2:$B$251,$D356)=0),"office not on this campaign (approvals tab); ",""))&amp;IF(COUNTIFS(counts!$C$2:$C$701,$C356,counts!$D$2:$D$701,$D356,counts!$E$2:$E$701,$E356)&gt;1,"two "&amp;$E356&amp;" counts: keep one; ","")&amp;IF(AND($E356="remaining_day5",N($J356)&lt;5),"day-5 count logged before day 5; ","")&amp;IF(AND($G356="photo",$H356=""),"which photo?; ",""))</f>
        <v/>
      </c>
    </row>
    <row r="357">
      <c r="A357" s="9" t="n"/>
      <c r="B357" s="33" t="n"/>
      <c r="J357" s="25">
        <f>IF(OR($C357="",$A357=""),"",IF($A357&lt;IFERROR(IF(INDEX(campaigns!$BG$2:$BG$51,MATCH($C357,campaigns!$A$2:$A$51,0))="","",INDEX(campaigns!$BG$2:$BG$51,MATCH($C357,campaigns!$A$2:$A$51,0))),""),0,NETWORKDAYS(IFERROR(IF(INDEX(campaigns!$BG$2:$BG$51,MATCH($C357,campaigns!$A$2:$A$51,0))="","",INDEX(campaigns!$BG$2:$BG$51,MATCH($C357,campaigns!$A$2:$A$51,0))),""),$A357,calendar!$A$2:$A$80)))</f>
        <v/>
      </c>
      <c r="K357" s="25">
        <f>IF($C357="","",IF(COUNTIF(campaigns!$A$2:$A$51,$C357)=0,"campaign_id not on campaigns; ",IF(AND($D357&lt;&gt;"",COUNTIFS(approvals!$A$2:$A$251,$C357,approvals!$B$2:$B$251,$D357)=0),"office not on this campaign (approvals tab); ",""))&amp;IF(COUNTIFS(counts!$C$2:$C$701,$C357,counts!$D$2:$D$701,$D357,counts!$E$2:$E$701,$E357)&gt;1,"two "&amp;$E357&amp;" counts: keep one; ","")&amp;IF(AND($E357="remaining_day5",N($J357)&lt;5),"day-5 count logged before day 5; ","")&amp;IF(AND($G357="photo",$H357=""),"which photo?; ",""))</f>
        <v/>
      </c>
    </row>
    <row r="358">
      <c r="A358" s="9" t="n"/>
      <c r="B358" s="33" t="n"/>
      <c r="J358" s="25">
        <f>IF(OR($C358="",$A358=""),"",IF($A358&lt;IFERROR(IF(INDEX(campaigns!$BG$2:$BG$51,MATCH($C358,campaigns!$A$2:$A$51,0))="","",INDEX(campaigns!$BG$2:$BG$51,MATCH($C358,campaigns!$A$2:$A$51,0))),""),0,NETWORKDAYS(IFERROR(IF(INDEX(campaigns!$BG$2:$BG$51,MATCH($C358,campaigns!$A$2:$A$51,0))="","",INDEX(campaigns!$BG$2:$BG$51,MATCH($C358,campaigns!$A$2:$A$51,0))),""),$A358,calendar!$A$2:$A$80)))</f>
        <v/>
      </c>
      <c r="K358" s="25">
        <f>IF($C358="","",IF(COUNTIF(campaigns!$A$2:$A$51,$C358)=0,"campaign_id not on campaigns; ",IF(AND($D358&lt;&gt;"",COUNTIFS(approvals!$A$2:$A$251,$C358,approvals!$B$2:$B$251,$D358)=0),"office not on this campaign (approvals tab); ",""))&amp;IF(COUNTIFS(counts!$C$2:$C$701,$C358,counts!$D$2:$D$701,$D358,counts!$E$2:$E$701,$E358)&gt;1,"two "&amp;$E358&amp;" counts: keep one; ","")&amp;IF(AND($E358="remaining_day5",N($J358)&lt;5),"day-5 count logged before day 5; ","")&amp;IF(AND($G358="photo",$H358=""),"which photo?; ",""))</f>
        <v/>
      </c>
    </row>
    <row r="359">
      <c r="A359" s="9" t="n"/>
      <c r="B359" s="33" t="n"/>
      <c r="J359" s="25">
        <f>IF(OR($C359="",$A359=""),"",IF($A359&lt;IFERROR(IF(INDEX(campaigns!$BG$2:$BG$51,MATCH($C359,campaigns!$A$2:$A$51,0))="","",INDEX(campaigns!$BG$2:$BG$51,MATCH($C359,campaigns!$A$2:$A$51,0))),""),0,NETWORKDAYS(IFERROR(IF(INDEX(campaigns!$BG$2:$BG$51,MATCH($C359,campaigns!$A$2:$A$51,0))="","",INDEX(campaigns!$BG$2:$BG$51,MATCH($C359,campaigns!$A$2:$A$51,0))),""),$A359,calendar!$A$2:$A$80)))</f>
        <v/>
      </c>
      <c r="K359" s="25">
        <f>IF($C359="","",IF(COUNTIF(campaigns!$A$2:$A$51,$C359)=0,"campaign_id not on campaigns; ",IF(AND($D359&lt;&gt;"",COUNTIFS(approvals!$A$2:$A$251,$C359,approvals!$B$2:$B$251,$D359)=0),"office not on this campaign (approvals tab); ",""))&amp;IF(COUNTIFS(counts!$C$2:$C$701,$C359,counts!$D$2:$D$701,$D359,counts!$E$2:$E$701,$E359)&gt;1,"two "&amp;$E359&amp;" counts: keep one; ","")&amp;IF(AND($E359="remaining_day5",N($J359)&lt;5),"day-5 count logged before day 5; ","")&amp;IF(AND($G359="photo",$H359=""),"which photo?; ",""))</f>
        <v/>
      </c>
    </row>
    <row r="360">
      <c r="A360" s="9" t="n"/>
      <c r="B360" s="33" t="n"/>
      <c r="J360" s="25">
        <f>IF(OR($C360="",$A360=""),"",IF($A360&lt;IFERROR(IF(INDEX(campaigns!$BG$2:$BG$51,MATCH($C360,campaigns!$A$2:$A$51,0))="","",INDEX(campaigns!$BG$2:$BG$51,MATCH($C360,campaigns!$A$2:$A$51,0))),""),0,NETWORKDAYS(IFERROR(IF(INDEX(campaigns!$BG$2:$BG$51,MATCH($C360,campaigns!$A$2:$A$51,0))="","",INDEX(campaigns!$BG$2:$BG$51,MATCH($C360,campaigns!$A$2:$A$51,0))),""),$A360,calendar!$A$2:$A$80)))</f>
        <v/>
      </c>
      <c r="K360" s="25">
        <f>IF($C360="","",IF(COUNTIF(campaigns!$A$2:$A$51,$C360)=0,"campaign_id not on campaigns; ",IF(AND($D360&lt;&gt;"",COUNTIFS(approvals!$A$2:$A$251,$C360,approvals!$B$2:$B$251,$D360)=0),"office not on this campaign (approvals tab); ",""))&amp;IF(COUNTIFS(counts!$C$2:$C$701,$C360,counts!$D$2:$D$701,$D360,counts!$E$2:$E$701,$E360)&gt;1,"two "&amp;$E360&amp;" counts: keep one; ","")&amp;IF(AND($E360="remaining_day5",N($J360)&lt;5),"day-5 count logged before day 5; ","")&amp;IF(AND($G360="photo",$H360=""),"which photo?; ",""))</f>
        <v/>
      </c>
    </row>
    <row r="361">
      <c r="A361" s="9" t="n"/>
      <c r="B361" s="33" t="n"/>
      <c r="J361" s="25">
        <f>IF(OR($C361="",$A361=""),"",IF($A361&lt;IFERROR(IF(INDEX(campaigns!$BG$2:$BG$51,MATCH($C361,campaigns!$A$2:$A$51,0))="","",INDEX(campaigns!$BG$2:$BG$51,MATCH($C361,campaigns!$A$2:$A$51,0))),""),0,NETWORKDAYS(IFERROR(IF(INDEX(campaigns!$BG$2:$BG$51,MATCH($C361,campaigns!$A$2:$A$51,0))="","",INDEX(campaigns!$BG$2:$BG$51,MATCH($C361,campaigns!$A$2:$A$51,0))),""),$A361,calendar!$A$2:$A$80)))</f>
        <v/>
      </c>
      <c r="K361" s="25">
        <f>IF($C361="","",IF(COUNTIF(campaigns!$A$2:$A$51,$C361)=0,"campaign_id not on campaigns; ",IF(AND($D361&lt;&gt;"",COUNTIFS(approvals!$A$2:$A$251,$C361,approvals!$B$2:$B$251,$D361)=0),"office not on this campaign (approvals tab); ",""))&amp;IF(COUNTIFS(counts!$C$2:$C$701,$C361,counts!$D$2:$D$701,$D361,counts!$E$2:$E$701,$E361)&gt;1,"two "&amp;$E361&amp;" counts: keep one; ","")&amp;IF(AND($E361="remaining_day5",N($J361)&lt;5),"day-5 count logged before day 5; ","")&amp;IF(AND($G361="photo",$H361=""),"which photo?; ",""))</f>
        <v/>
      </c>
    </row>
    <row r="362">
      <c r="A362" s="9" t="n"/>
      <c r="B362" s="33" t="n"/>
      <c r="J362" s="25">
        <f>IF(OR($C362="",$A362=""),"",IF($A362&lt;IFERROR(IF(INDEX(campaigns!$BG$2:$BG$51,MATCH($C362,campaigns!$A$2:$A$51,0))="","",INDEX(campaigns!$BG$2:$BG$51,MATCH($C362,campaigns!$A$2:$A$51,0))),""),0,NETWORKDAYS(IFERROR(IF(INDEX(campaigns!$BG$2:$BG$51,MATCH($C362,campaigns!$A$2:$A$51,0))="","",INDEX(campaigns!$BG$2:$BG$51,MATCH($C362,campaigns!$A$2:$A$51,0))),""),$A362,calendar!$A$2:$A$80)))</f>
        <v/>
      </c>
      <c r="K362" s="25">
        <f>IF($C362="","",IF(COUNTIF(campaigns!$A$2:$A$51,$C362)=0,"campaign_id not on campaigns; ",IF(AND($D362&lt;&gt;"",COUNTIFS(approvals!$A$2:$A$251,$C362,approvals!$B$2:$B$251,$D362)=0),"office not on this campaign (approvals tab); ",""))&amp;IF(COUNTIFS(counts!$C$2:$C$701,$C362,counts!$D$2:$D$701,$D362,counts!$E$2:$E$701,$E362)&gt;1,"two "&amp;$E362&amp;" counts: keep one; ","")&amp;IF(AND($E362="remaining_day5",N($J362)&lt;5),"day-5 count logged before day 5; ","")&amp;IF(AND($G362="photo",$H362=""),"which photo?; ",""))</f>
        <v/>
      </c>
    </row>
    <row r="363">
      <c r="A363" s="9" t="n"/>
      <c r="B363" s="33" t="n"/>
      <c r="J363" s="25">
        <f>IF(OR($C363="",$A363=""),"",IF($A363&lt;IFERROR(IF(INDEX(campaigns!$BG$2:$BG$51,MATCH($C363,campaigns!$A$2:$A$51,0))="","",INDEX(campaigns!$BG$2:$BG$51,MATCH($C363,campaigns!$A$2:$A$51,0))),""),0,NETWORKDAYS(IFERROR(IF(INDEX(campaigns!$BG$2:$BG$51,MATCH($C363,campaigns!$A$2:$A$51,0))="","",INDEX(campaigns!$BG$2:$BG$51,MATCH($C363,campaigns!$A$2:$A$51,0))),""),$A363,calendar!$A$2:$A$80)))</f>
        <v/>
      </c>
      <c r="K363" s="25">
        <f>IF($C363="","",IF(COUNTIF(campaigns!$A$2:$A$51,$C363)=0,"campaign_id not on campaigns; ",IF(AND($D363&lt;&gt;"",COUNTIFS(approvals!$A$2:$A$251,$C363,approvals!$B$2:$B$251,$D363)=0),"office not on this campaign (approvals tab); ",""))&amp;IF(COUNTIFS(counts!$C$2:$C$701,$C363,counts!$D$2:$D$701,$D363,counts!$E$2:$E$701,$E363)&gt;1,"two "&amp;$E363&amp;" counts: keep one; ","")&amp;IF(AND($E363="remaining_day5",N($J363)&lt;5),"day-5 count logged before day 5; ","")&amp;IF(AND($G363="photo",$H363=""),"which photo?; ",""))</f>
        <v/>
      </c>
    </row>
    <row r="364">
      <c r="A364" s="9" t="n"/>
      <c r="B364" s="33" t="n"/>
      <c r="J364" s="25">
        <f>IF(OR($C364="",$A364=""),"",IF($A364&lt;IFERROR(IF(INDEX(campaigns!$BG$2:$BG$51,MATCH($C364,campaigns!$A$2:$A$51,0))="","",INDEX(campaigns!$BG$2:$BG$51,MATCH($C364,campaigns!$A$2:$A$51,0))),""),0,NETWORKDAYS(IFERROR(IF(INDEX(campaigns!$BG$2:$BG$51,MATCH($C364,campaigns!$A$2:$A$51,0))="","",INDEX(campaigns!$BG$2:$BG$51,MATCH($C364,campaigns!$A$2:$A$51,0))),""),$A364,calendar!$A$2:$A$80)))</f>
        <v/>
      </c>
      <c r="K364" s="25">
        <f>IF($C364="","",IF(COUNTIF(campaigns!$A$2:$A$51,$C364)=0,"campaign_id not on campaigns; ",IF(AND($D364&lt;&gt;"",COUNTIFS(approvals!$A$2:$A$251,$C364,approvals!$B$2:$B$251,$D364)=0),"office not on this campaign (approvals tab); ",""))&amp;IF(COUNTIFS(counts!$C$2:$C$701,$C364,counts!$D$2:$D$701,$D364,counts!$E$2:$E$701,$E364)&gt;1,"two "&amp;$E364&amp;" counts: keep one; ","")&amp;IF(AND($E364="remaining_day5",N($J364)&lt;5),"day-5 count logged before day 5; ","")&amp;IF(AND($G364="photo",$H364=""),"which photo?; ",""))</f>
        <v/>
      </c>
    </row>
    <row r="365">
      <c r="A365" s="9" t="n"/>
      <c r="B365" s="33" t="n"/>
      <c r="J365" s="25">
        <f>IF(OR($C365="",$A365=""),"",IF($A365&lt;IFERROR(IF(INDEX(campaigns!$BG$2:$BG$51,MATCH($C365,campaigns!$A$2:$A$51,0))="","",INDEX(campaigns!$BG$2:$BG$51,MATCH($C365,campaigns!$A$2:$A$51,0))),""),0,NETWORKDAYS(IFERROR(IF(INDEX(campaigns!$BG$2:$BG$51,MATCH($C365,campaigns!$A$2:$A$51,0))="","",INDEX(campaigns!$BG$2:$BG$51,MATCH($C365,campaigns!$A$2:$A$51,0))),""),$A365,calendar!$A$2:$A$80)))</f>
        <v/>
      </c>
      <c r="K365" s="25">
        <f>IF($C365="","",IF(COUNTIF(campaigns!$A$2:$A$51,$C365)=0,"campaign_id not on campaigns; ",IF(AND($D365&lt;&gt;"",COUNTIFS(approvals!$A$2:$A$251,$C365,approvals!$B$2:$B$251,$D365)=0),"office not on this campaign (approvals tab); ",""))&amp;IF(COUNTIFS(counts!$C$2:$C$701,$C365,counts!$D$2:$D$701,$D365,counts!$E$2:$E$701,$E365)&gt;1,"two "&amp;$E365&amp;" counts: keep one; ","")&amp;IF(AND($E365="remaining_day5",N($J365)&lt;5),"day-5 count logged before day 5; ","")&amp;IF(AND($G365="photo",$H365=""),"which photo?; ",""))</f>
        <v/>
      </c>
    </row>
    <row r="366">
      <c r="A366" s="9" t="n"/>
      <c r="B366" s="33" t="n"/>
      <c r="J366" s="25">
        <f>IF(OR($C366="",$A366=""),"",IF($A366&lt;IFERROR(IF(INDEX(campaigns!$BG$2:$BG$51,MATCH($C366,campaigns!$A$2:$A$51,0))="","",INDEX(campaigns!$BG$2:$BG$51,MATCH($C366,campaigns!$A$2:$A$51,0))),""),0,NETWORKDAYS(IFERROR(IF(INDEX(campaigns!$BG$2:$BG$51,MATCH($C366,campaigns!$A$2:$A$51,0))="","",INDEX(campaigns!$BG$2:$BG$51,MATCH($C366,campaigns!$A$2:$A$51,0))),""),$A366,calendar!$A$2:$A$80)))</f>
        <v/>
      </c>
      <c r="K366" s="25">
        <f>IF($C366="","",IF(COUNTIF(campaigns!$A$2:$A$51,$C366)=0,"campaign_id not on campaigns; ",IF(AND($D366&lt;&gt;"",COUNTIFS(approvals!$A$2:$A$251,$C366,approvals!$B$2:$B$251,$D366)=0),"office not on this campaign (approvals tab); ",""))&amp;IF(COUNTIFS(counts!$C$2:$C$701,$C366,counts!$D$2:$D$701,$D366,counts!$E$2:$E$701,$E366)&gt;1,"two "&amp;$E366&amp;" counts: keep one; ","")&amp;IF(AND($E366="remaining_day5",N($J366)&lt;5),"day-5 count logged before day 5; ","")&amp;IF(AND($G366="photo",$H366=""),"which photo?; ",""))</f>
        <v/>
      </c>
    </row>
    <row r="367">
      <c r="A367" s="9" t="n"/>
      <c r="B367" s="33" t="n"/>
      <c r="J367" s="25">
        <f>IF(OR($C367="",$A367=""),"",IF($A367&lt;IFERROR(IF(INDEX(campaigns!$BG$2:$BG$51,MATCH($C367,campaigns!$A$2:$A$51,0))="","",INDEX(campaigns!$BG$2:$BG$51,MATCH($C367,campaigns!$A$2:$A$51,0))),""),0,NETWORKDAYS(IFERROR(IF(INDEX(campaigns!$BG$2:$BG$51,MATCH($C367,campaigns!$A$2:$A$51,0))="","",INDEX(campaigns!$BG$2:$BG$51,MATCH($C367,campaigns!$A$2:$A$51,0))),""),$A367,calendar!$A$2:$A$80)))</f>
        <v/>
      </c>
      <c r="K367" s="25">
        <f>IF($C367="","",IF(COUNTIF(campaigns!$A$2:$A$51,$C367)=0,"campaign_id not on campaigns; ",IF(AND($D367&lt;&gt;"",COUNTIFS(approvals!$A$2:$A$251,$C367,approvals!$B$2:$B$251,$D367)=0),"office not on this campaign (approvals tab); ",""))&amp;IF(COUNTIFS(counts!$C$2:$C$701,$C367,counts!$D$2:$D$701,$D367,counts!$E$2:$E$701,$E367)&gt;1,"two "&amp;$E367&amp;" counts: keep one; ","")&amp;IF(AND($E367="remaining_day5",N($J367)&lt;5),"day-5 count logged before day 5; ","")&amp;IF(AND($G367="photo",$H367=""),"which photo?; ",""))</f>
        <v/>
      </c>
    </row>
    <row r="368">
      <c r="A368" s="9" t="n"/>
      <c r="B368" s="33" t="n"/>
      <c r="J368" s="25">
        <f>IF(OR($C368="",$A368=""),"",IF($A368&lt;IFERROR(IF(INDEX(campaigns!$BG$2:$BG$51,MATCH($C368,campaigns!$A$2:$A$51,0))="","",INDEX(campaigns!$BG$2:$BG$51,MATCH($C368,campaigns!$A$2:$A$51,0))),""),0,NETWORKDAYS(IFERROR(IF(INDEX(campaigns!$BG$2:$BG$51,MATCH($C368,campaigns!$A$2:$A$51,0))="","",INDEX(campaigns!$BG$2:$BG$51,MATCH($C368,campaigns!$A$2:$A$51,0))),""),$A368,calendar!$A$2:$A$80)))</f>
        <v/>
      </c>
      <c r="K368" s="25">
        <f>IF($C368="","",IF(COUNTIF(campaigns!$A$2:$A$51,$C368)=0,"campaign_id not on campaigns; ",IF(AND($D368&lt;&gt;"",COUNTIFS(approvals!$A$2:$A$251,$C368,approvals!$B$2:$B$251,$D368)=0),"office not on this campaign (approvals tab); ",""))&amp;IF(COUNTIFS(counts!$C$2:$C$701,$C368,counts!$D$2:$D$701,$D368,counts!$E$2:$E$701,$E368)&gt;1,"two "&amp;$E368&amp;" counts: keep one; ","")&amp;IF(AND($E368="remaining_day5",N($J368)&lt;5),"day-5 count logged before day 5; ","")&amp;IF(AND($G368="photo",$H368=""),"which photo?; ",""))</f>
        <v/>
      </c>
    </row>
    <row r="369">
      <c r="A369" s="9" t="n"/>
      <c r="B369" s="33" t="n"/>
      <c r="J369" s="25">
        <f>IF(OR($C369="",$A369=""),"",IF($A369&lt;IFERROR(IF(INDEX(campaigns!$BG$2:$BG$51,MATCH($C369,campaigns!$A$2:$A$51,0))="","",INDEX(campaigns!$BG$2:$BG$51,MATCH($C369,campaigns!$A$2:$A$51,0))),""),0,NETWORKDAYS(IFERROR(IF(INDEX(campaigns!$BG$2:$BG$51,MATCH($C369,campaigns!$A$2:$A$51,0))="","",INDEX(campaigns!$BG$2:$BG$51,MATCH($C369,campaigns!$A$2:$A$51,0))),""),$A369,calendar!$A$2:$A$80)))</f>
        <v/>
      </c>
      <c r="K369" s="25">
        <f>IF($C369="","",IF(COUNTIF(campaigns!$A$2:$A$51,$C369)=0,"campaign_id not on campaigns; ",IF(AND($D369&lt;&gt;"",COUNTIFS(approvals!$A$2:$A$251,$C369,approvals!$B$2:$B$251,$D369)=0),"office not on this campaign (approvals tab); ",""))&amp;IF(COUNTIFS(counts!$C$2:$C$701,$C369,counts!$D$2:$D$701,$D369,counts!$E$2:$E$701,$E369)&gt;1,"two "&amp;$E369&amp;" counts: keep one; ","")&amp;IF(AND($E369="remaining_day5",N($J369)&lt;5),"day-5 count logged before day 5; ","")&amp;IF(AND($G369="photo",$H369=""),"which photo?; ",""))</f>
        <v/>
      </c>
    </row>
    <row r="370">
      <c r="A370" s="9" t="n"/>
      <c r="B370" s="33" t="n"/>
      <c r="J370" s="25">
        <f>IF(OR($C370="",$A370=""),"",IF($A370&lt;IFERROR(IF(INDEX(campaigns!$BG$2:$BG$51,MATCH($C370,campaigns!$A$2:$A$51,0))="","",INDEX(campaigns!$BG$2:$BG$51,MATCH($C370,campaigns!$A$2:$A$51,0))),""),0,NETWORKDAYS(IFERROR(IF(INDEX(campaigns!$BG$2:$BG$51,MATCH($C370,campaigns!$A$2:$A$51,0))="","",INDEX(campaigns!$BG$2:$BG$51,MATCH($C370,campaigns!$A$2:$A$51,0))),""),$A370,calendar!$A$2:$A$80)))</f>
        <v/>
      </c>
      <c r="K370" s="25">
        <f>IF($C370="","",IF(COUNTIF(campaigns!$A$2:$A$51,$C370)=0,"campaign_id not on campaigns; ",IF(AND($D370&lt;&gt;"",COUNTIFS(approvals!$A$2:$A$251,$C370,approvals!$B$2:$B$251,$D370)=0),"office not on this campaign (approvals tab); ",""))&amp;IF(COUNTIFS(counts!$C$2:$C$701,$C370,counts!$D$2:$D$701,$D370,counts!$E$2:$E$701,$E370)&gt;1,"two "&amp;$E370&amp;" counts: keep one; ","")&amp;IF(AND($E370="remaining_day5",N($J370)&lt;5),"day-5 count logged before day 5; ","")&amp;IF(AND($G370="photo",$H370=""),"which photo?; ",""))</f>
        <v/>
      </c>
    </row>
    <row r="371">
      <c r="A371" s="9" t="n"/>
      <c r="B371" s="33" t="n"/>
      <c r="J371" s="25">
        <f>IF(OR($C371="",$A371=""),"",IF($A371&lt;IFERROR(IF(INDEX(campaigns!$BG$2:$BG$51,MATCH($C371,campaigns!$A$2:$A$51,0))="","",INDEX(campaigns!$BG$2:$BG$51,MATCH($C371,campaigns!$A$2:$A$51,0))),""),0,NETWORKDAYS(IFERROR(IF(INDEX(campaigns!$BG$2:$BG$51,MATCH($C371,campaigns!$A$2:$A$51,0))="","",INDEX(campaigns!$BG$2:$BG$51,MATCH($C371,campaigns!$A$2:$A$51,0))),""),$A371,calendar!$A$2:$A$80)))</f>
        <v/>
      </c>
      <c r="K371" s="25">
        <f>IF($C371="","",IF(COUNTIF(campaigns!$A$2:$A$51,$C371)=0,"campaign_id not on campaigns; ",IF(AND($D371&lt;&gt;"",COUNTIFS(approvals!$A$2:$A$251,$C371,approvals!$B$2:$B$251,$D371)=0),"office not on this campaign (approvals tab); ",""))&amp;IF(COUNTIFS(counts!$C$2:$C$701,$C371,counts!$D$2:$D$701,$D371,counts!$E$2:$E$701,$E371)&gt;1,"two "&amp;$E371&amp;" counts: keep one; ","")&amp;IF(AND($E371="remaining_day5",N($J371)&lt;5),"day-5 count logged before day 5; ","")&amp;IF(AND($G371="photo",$H371=""),"which photo?; ",""))</f>
        <v/>
      </c>
    </row>
    <row r="372">
      <c r="A372" s="9" t="n"/>
      <c r="B372" s="33" t="n"/>
      <c r="J372" s="25">
        <f>IF(OR($C372="",$A372=""),"",IF($A372&lt;IFERROR(IF(INDEX(campaigns!$BG$2:$BG$51,MATCH($C372,campaigns!$A$2:$A$51,0))="","",INDEX(campaigns!$BG$2:$BG$51,MATCH($C372,campaigns!$A$2:$A$51,0))),""),0,NETWORKDAYS(IFERROR(IF(INDEX(campaigns!$BG$2:$BG$51,MATCH($C372,campaigns!$A$2:$A$51,0))="","",INDEX(campaigns!$BG$2:$BG$51,MATCH($C372,campaigns!$A$2:$A$51,0))),""),$A372,calendar!$A$2:$A$80)))</f>
        <v/>
      </c>
      <c r="K372" s="25">
        <f>IF($C372="","",IF(COUNTIF(campaigns!$A$2:$A$51,$C372)=0,"campaign_id not on campaigns; ",IF(AND($D372&lt;&gt;"",COUNTIFS(approvals!$A$2:$A$251,$C372,approvals!$B$2:$B$251,$D372)=0),"office not on this campaign (approvals tab); ",""))&amp;IF(COUNTIFS(counts!$C$2:$C$701,$C372,counts!$D$2:$D$701,$D372,counts!$E$2:$E$701,$E372)&gt;1,"two "&amp;$E372&amp;" counts: keep one; ","")&amp;IF(AND($E372="remaining_day5",N($J372)&lt;5),"day-5 count logged before day 5; ","")&amp;IF(AND($G372="photo",$H372=""),"which photo?; ",""))</f>
        <v/>
      </c>
    </row>
    <row r="373">
      <c r="A373" s="9" t="n"/>
      <c r="B373" s="33" t="n"/>
      <c r="J373" s="25">
        <f>IF(OR($C373="",$A373=""),"",IF($A373&lt;IFERROR(IF(INDEX(campaigns!$BG$2:$BG$51,MATCH($C373,campaigns!$A$2:$A$51,0))="","",INDEX(campaigns!$BG$2:$BG$51,MATCH($C373,campaigns!$A$2:$A$51,0))),""),0,NETWORKDAYS(IFERROR(IF(INDEX(campaigns!$BG$2:$BG$51,MATCH($C373,campaigns!$A$2:$A$51,0))="","",INDEX(campaigns!$BG$2:$BG$51,MATCH($C373,campaigns!$A$2:$A$51,0))),""),$A373,calendar!$A$2:$A$80)))</f>
        <v/>
      </c>
      <c r="K373" s="25">
        <f>IF($C373="","",IF(COUNTIF(campaigns!$A$2:$A$51,$C373)=0,"campaign_id not on campaigns; ",IF(AND($D373&lt;&gt;"",COUNTIFS(approvals!$A$2:$A$251,$C373,approvals!$B$2:$B$251,$D373)=0),"office not on this campaign (approvals tab); ",""))&amp;IF(COUNTIFS(counts!$C$2:$C$701,$C373,counts!$D$2:$D$701,$D373,counts!$E$2:$E$701,$E373)&gt;1,"two "&amp;$E373&amp;" counts: keep one; ","")&amp;IF(AND($E373="remaining_day5",N($J373)&lt;5),"day-5 count logged before day 5; ","")&amp;IF(AND($G373="photo",$H373=""),"which photo?; ",""))</f>
        <v/>
      </c>
    </row>
    <row r="374">
      <c r="A374" s="9" t="n"/>
      <c r="B374" s="33" t="n"/>
      <c r="J374" s="25">
        <f>IF(OR($C374="",$A374=""),"",IF($A374&lt;IFERROR(IF(INDEX(campaigns!$BG$2:$BG$51,MATCH($C374,campaigns!$A$2:$A$51,0))="","",INDEX(campaigns!$BG$2:$BG$51,MATCH($C374,campaigns!$A$2:$A$51,0))),""),0,NETWORKDAYS(IFERROR(IF(INDEX(campaigns!$BG$2:$BG$51,MATCH($C374,campaigns!$A$2:$A$51,0))="","",INDEX(campaigns!$BG$2:$BG$51,MATCH($C374,campaigns!$A$2:$A$51,0))),""),$A374,calendar!$A$2:$A$80)))</f>
        <v/>
      </c>
      <c r="K374" s="25">
        <f>IF($C374="","",IF(COUNTIF(campaigns!$A$2:$A$51,$C374)=0,"campaign_id not on campaigns; ",IF(AND($D374&lt;&gt;"",COUNTIFS(approvals!$A$2:$A$251,$C374,approvals!$B$2:$B$251,$D374)=0),"office not on this campaign (approvals tab); ",""))&amp;IF(COUNTIFS(counts!$C$2:$C$701,$C374,counts!$D$2:$D$701,$D374,counts!$E$2:$E$701,$E374)&gt;1,"two "&amp;$E374&amp;" counts: keep one; ","")&amp;IF(AND($E374="remaining_day5",N($J374)&lt;5),"day-5 count logged before day 5; ","")&amp;IF(AND($G374="photo",$H374=""),"which photo?; ",""))</f>
        <v/>
      </c>
    </row>
    <row r="375">
      <c r="A375" s="9" t="n"/>
      <c r="B375" s="33" t="n"/>
      <c r="J375" s="25">
        <f>IF(OR($C375="",$A375=""),"",IF($A375&lt;IFERROR(IF(INDEX(campaigns!$BG$2:$BG$51,MATCH($C375,campaigns!$A$2:$A$51,0))="","",INDEX(campaigns!$BG$2:$BG$51,MATCH($C375,campaigns!$A$2:$A$51,0))),""),0,NETWORKDAYS(IFERROR(IF(INDEX(campaigns!$BG$2:$BG$51,MATCH($C375,campaigns!$A$2:$A$51,0))="","",INDEX(campaigns!$BG$2:$BG$51,MATCH($C375,campaigns!$A$2:$A$51,0))),""),$A375,calendar!$A$2:$A$80)))</f>
        <v/>
      </c>
      <c r="K375" s="25">
        <f>IF($C375="","",IF(COUNTIF(campaigns!$A$2:$A$51,$C375)=0,"campaign_id not on campaigns; ",IF(AND($D375&lt;&gt;"",COUNTIFS(approvals!$A$2:$A$251,$C375,approvals!$B$2:$B$251,$D375)=0),"office not on this campaign (approvals tab); ",""))&amp;IF(COUNTIFS(counts!$C$2:$C$701,$C375,counts!$D$2:$D$701,$D375,counts!$E$2:$E$701,$E375)&gt;1,"two "&amp;$E375&amp;" counts: keep one; ","")&amp;IF(AND($E375="remaining_day5",N($J375)&lt;5),"day-5 count logged before day 5; ","")&amp;IF(AND($G375="photo",$H375=""),"which photo?; ",""))</f>
        <v/>
      </c>
    </row>
    <row r="376">
      <c r="A376" s="9" t="n"/>
      <c r="B376" s="33" t="n"/>
      <c r="J376" s="25">
        <f>IF(OR($C376="",$A376=""),"",IF($A376&lt;IFERROR(IF(INDEX(campaigns!$BG$2:$BG$51,MATCH($C376,campaigns!$A$2:$A$51,0))="","",INDEX(campaigns!$BG$2:$BG$51,MATCH($C376,campaigns!$A$2:$A$51,0))),""),0,NETWORKDAYS(IFERROR(IF(INDEX(campaigns!$BG$2:$BG$51,MATCH($C376,campaigns!$A$2:$A$51,0))="","",INDEX(campaigns!$BG$2:$BG$51,MATCH($C376,campaigns!$A$2:$A$51,0))),""),$A376,calendar!$A$2:$A$80)))</f>
        <v/>
      </c>
      <c r="K376" s="25">
        <f>IF($C376="","",IF(COUNTIF(campaigns!$A$2:$A$51,$C376)=0,"campaign_id not on campaigns; ",IF(AND($D376&lt;&gt;"",COUNTIFS(approvals!$A$2:$A$251,$C376,approvals!$B$2:$B$251,$D376)=0),"office not on this campaign (approvals tab); ",""))&amp;IF(COUNTIFS(counts!$C$2:$C$701,$C376,counts!$D$2:$D$701,$D376,counts!$E$2:$E$701,$E376)&gt;1,"two "&amp;$E376&amp;" counts: keep one; ","")&amp;IF(AND($E376="remaining_day5",N($J376)&lt;5),"day-5 count logged before day 5; ","")&amp;IF(AND($G376="photo",$H376=""),"which photo?; ",""))</f>
        <v/>
      </c>
    </row>
    <row r="377">
      <c r="A377" s="9" t="n"/>
      <c r="B377" s="33" t="n"/>
      <c r="J377" s="25">
        <f>IF(OR($C377="",$A377=""),"",IF($A377&lt;IFERROR(IF(INDEX(campaigns!$BG$2:$BG$51,MATCH($C377,campaigns!$A$2:$A$51,0))="","",INDEX(campaigns!$BG$2:$BG$51,MATCH($C377,campaigns!$A$2:$A$51,0))),""),0,NETWORKDAYS(IFERROR(IF(INDEX(campaigns!$BG$2:$BG$51,MATCH($C377,campaigns!$A$2:$A$51,0))="","",INDEX(campaigns!$BG$2:$BG$51,MATCH($C377,campaigns!$A$2:$A$51,0))),""),$A377,calendar!$A$2:$A$80)))</f>
        <v/>
      </c>
      <c r="K377" s="25">
        <f>IF($C377="","",IF(COUNTIF(campaigns!$A$2:$A$51,$C377)=0,"campaign_id not on campaigns; ",IF(AND($D377&lt;&gt;"",COUNTIFS(approvals!$A$2:$A$251,$C377,approvals!$B$2:$B$251,$D377)=0),"office not on this campaign (approvals tab); ",""))&amp;IF(COUNTIFS(counts!$C$2:$C$701,$C377,counts!$D$2:$D$701,$D377,counts!$E$2:$E$701,$E377)&gt;1,"two "&amp;$E377&amp;" counts: keep one; ","")&amp;IF(AND($E377="remaining_day5",N($J377)&lt;5),"day-5 count logged before day 5; ","")&amp;IF(AND($G377="photo",$H377=""),"which photo?; ",""))</f>
        <v/>
      </c>
    </row>
    <row r="378">
      <c r="A378" s="9" t="n"/>
      <c r="B378" s="33" t="n"/>
      <c r="J378" s="25">
        <f>IF(OR($C378="",$A378=""),"",IF($A378&lt;IFERROR(IF(INDEX(campaigns!$BG$2:$BG$51,MATCH($C378,campaigns!$A$2:$A$51,0))="","",INDEX(campaigns!$BG$2:$BG$51,MATCH($C378,campaigns!$A$2:$A$51,0))),""),0,NETWORKDAYS(IFERROR(IF(INDEX(campaigns!$BG$2:$BG$51,MATCH($C378,campaigns!$A$2:$A$51,0))="","",INDEX(campaigns!$BG$2:$BG$51,MATCH($C378,campaigns!$A$2:$A$51,0))),""),$A378,calendar!$A$2:$A$80)))</f>
        <v/>
      </c>
      <c r="K378" s="25">
        <f>IF($C378="","",IF(COUNTIF(campaigns!$A$2:$A$51,$C378)=0,"campaign_id not on campaigns; ",IF(AND($D378&lt;&gt;"",COUNTIFS(approvals!$A$2:$A$251,$C378,approvals!$B$2:$B$251,$D378)=0),"office not on this campaign (approvals tab); ",""))&amp;IF(COUNTIFS(counts!$C$2:$C$701,$C378,counts!$D$2:$D$701,$D378,counts!$E$2:$E$701,$E378)&gt;1,"two "&amp;$E378&amp;" counts: keep one; ","")&amp;IF(AND($E378="remaining_day5",N($J378)&lt;5),"day-5 count logged before day 5; ","")&amp;IF(AND($G378="photo",$H378=""),"which photo?; ",""))</f>
        <v/>
      </c>
    </row>
    <row r="379">
      <c r="A379" s="9" t="n"/>
      <c r="B379" s="33" t="n"/>
      <c r="J379" s="25">
        <f>IF(OR($C379="",$A379=""),"",IF($A379&lt;IFERROR(IF(INDEX(campaigns!$BG$2:$BG$51,MATCH($C379,campaigns!$A$2:$A$51,0))="","",INDEX(campaigns!$BG$2:$BG$51,MATCH($C379,campaigns!$A$2:$A$51,0))),""),0,NETWORKDAYS(IFERROR(IF(INDEX(campaigns!$BG$2:$BG$51,MATCH($C379,campaigns!$A$2:$A$51,0))="","",INDEX(campaigns!$BG$2:$BG$51,MATCH($C379,campaigns!$A$2:$A$51,0))),""),$A379,calendar!$A$2:$A$80)))</f>
        <v/>
      </c>
      <c r="K379" s="25">
        <f>IF($C379="","",IF(COUNTIF(campaigns!$A$2:$A$51,$C379)=0,"campaign_id not on campaigns; ",IF(AND($D379&lt;&gt;"",COUNTIFS(approvals!$A$2:$A$251,$C379,approvals!$B$2:$B$251,$D379)=0),"office not on this campaign (approvals tab); ",""))&amp;IF(COUNTIFS(counts!$C$2:$C$701,$C379,counts!$D$2:$D$701,$D379,counts!$E$2:$E$701,$E379)&gt;1,"two "&amp;$E379&amp;" counts: keep one; ","")&amp;IF(AND($E379="remaining_day5",N($J379)&lt;5),"day-5 count logged before day 5; ","")&amp;IF(AND($G379="photo",$H379=""),"which photo?; ",""))</f>
        <v/>
      </c>
    </row>
    <row r="380">
      <c r="A380" s="9" t="n"/>
      <c r="B380" s="33" t="n"/>
      <c r="J380" s="25">
        <f>IF(OR($C380="",$A380=""),"",IF($A380&lt;IFERROR(IF(INDEX(campaigns!$BG$2:$BG$51,MATCH($C380,campaigns!$A$2:$A$51,0))="","",INDEX(campaigns!$BG$2:$BG$51,MATCH($C380,campaigns!$A$2:$A$51,0))),""),0,NETWORKDAYS(IFERROR(IF(INDEX(campaigns!$BG$2:$BG$51,MATCH($C380,campaigns!$A$2:$A$51,0))="","",INDEX(campaigns!$BG$2:$BG$51,MATCH($C380,campaigns!$A$2:$A$51,0))),""),$A380,calendar!$A$2:$A$80)))</f>
        <v/>
      </c>
      <c r="K380" s="25">
        <f>IF($C380="","",IF(COUNTIF(campaigns!$A$2:$A$51,$C380)=0,"campaign_id not on campaigns; ",IF(AND($D380&lt;&gt;"",COUNTIFS(approvals!$A$2:$A$251,$C380,approvals!$B$2:$B$251,$D380)=0),"office not on this campaign (approvals tab); ",""))&amp;IF(COUNTIFS(counts!$C$2:$C$701,$C380,counts!$D$2:$D$701,$D380,counts!$E$2:$E$701,$E380)&gt;1,"two "&amp;$E380&amp;" counts: keep one; ","")&amp;IF(AND($E380="remaining_day5",N($J380)&lt;5),"day-5 count logged before day 5; ","")&amp;IF(AND($G380="photo",$H380=""),"which photo?; ",""))</f>
        <v/>
      </c>
    </row>
    <row r="381">
      <c r="A381" s="9" t="n"/>
      <c r="B381" s="33" t="n"/>
      <c r="J381" s="25">
        <f>IF(OR($C381="",$A381=""),"",IF($A381&lt;IFERROR(IF(INDEX(campaigns!$BG$2:$BG$51,MATCH($C381,campaigns!$A$2:$A$51,0))="","",INDEX(campaigns!$BG$2:$BG$51,MATCH($C381,campaigns!$A$2:$A$51,0))),""),0,NETWORKDAYS(IFERROR(IF(INDEX(campaigns!$BG$2:$BG$51,MATCH($C381,campaigns!$A$2:$A$51,0))="","",INDEX(campaigns!$BG$2:$BG$51,MATCH($C381,campaigns!$A$2:$A$51,0))),""),$A381,calendar!$A$2:$A$80)))</f>
        <v/>
      </c>
      <c r="K381" s="25">
        <f>IF($C381="","",IF(COUNTIF(campaigns!$A$2:$A$51,$C381)=0,"campaign_id not on campaigns; ",IF(AND($D381&lt;&gt;"",COUNTIFS(approvals!$A$2:$A$251,$C381,approvals!$B$2:$B$251,$D381)=0),"office not on this campaign (approvals tab); ",""))&amp;IF(COUNTIFS(counts!$C$2:$C$701,$C381,counts!$D$2:$D$701,$D381,counts!$E$2:$E$701,$E381)&gt;1,"two "&amp;$E381&amp;" counts: keep one; ","")&amp;IF(AND($E381="remaining_day5",N($J381)&lt;5),"day-5 count logged before day 5; ","")&amp;IF(AND($G381="photo",$H381=""),"which photo?; ",""))</f>
        <v/>
      </c>
    </row>
    <row r="382">
      <c r="A382" s="9" t="n"/>
      <c r="B382" s="33" t="n"/>
      <c r="J382" s="25">
        <f>IF(OR($C382="",$A382=""),"",IF($A382&lt;IFERROR(IF(INDEX(campaigns!$BG$2:$BG$51,MATCH($C382,campaigns!$A$2:$A$51,0))="","",INDEX(campaigns!$BG$2:$BG$51,MATCH($C382,campaigns!$A$2:$A$51,0))),""),0,NETWORKDAYS(IFERROR(IF(INDEX(campaigns!$BG$2:$BG$51,MATCH($C382,campaigns!$A$2:$A$51,0))="","",INDEX(campaigns!$BG$2:$BG$51,MATCH($C382,campaigns!$A$2:$A$51,0))),""),$A382,calendar!$A$2:$A$80)))</f>
        <v/>
      </c>
      <c r="K382" s="25">
        <f>IF($C382="","",IF(COUNTIF(campaigns!$A$2:$A$51,$C382)=0,"campaign_id not on campaigns; ",IF(AND($D382&lt;&gt;"",COUNTIFS(approvals!$A$2:$A$251,$C382,approvals!$B$2:$B$251,$D382)=0),"office not on this campaign (approvals tab); ",""))&amp;IF(COUNTIFS(counts!$C$2:$C$701,$C382,counts!$D$2:$D$701,$D382,counts!$E$2:$E$701,$E382)&gt;1,"two "&amp;$E382&amp;" counts: keep one; ","")&amp;IF(AND($E382="remaining_day5",N($J382)&lt;5),"day-5 count logged before day 5; ","")&amp;IF(AND($G382="photo",$H382=""),"which photo?; ",""))</f>
        <v/>
      </c>
    </row>
    <row r="383">
      <c r="A383" s="9" t="n"/>
      <c r="B383" s="33" t="n"/>
      <c r="J383" s="25">
        <f>IF(OR($C383="",$A383=""),"",IF($A383&lt;IFERROR(IF(INDEX(campaigns!$BG$2:$BG$51,MATCH($C383,campaigns!$A$2:$A$51,0))="","",INDEX(campaigns!$BG$2:$BG$51,MATCH($C383,campaigns!$A$2:$A$51,0))),""),0,NETWORKDAYS(IFERROR(IF(INDEX(campaigns!$BG$2:$BG$51,MATCH($C383,campaigns!$A$2:$A$51,0))="","",INDEX(campaigns!$BG$2:$BG$51,MATCH($C383,campaigns!$A$2:$A$51,0))),""),$A383,calendar!$A$2:$A$80)))</f>
        <v/>
      </c>
      <c r="K383" s="25">
        <f>IF($C383="","",IF(COUNTIF(campaigns!$A$2:$A$51,$C383)=0,"campaign_id not on campaigns; ",IF(AND($D383&lt;&gt;"",COUNTIFS(approvals!$A$2:$A$251,$C383,approvals!$B$2:$B$251,$D383)=0),"office not on this campaign (approvals tab); ",""))&amp;IF(COUNTIFS(counts!$C$2:$C$701,$C383,counts!$D$2:$D$701,$D383,counts!$E$2:$E$701,$E383)&gt;1,"two "&amp;$E383&amp;" counts: keep one; ","")&amp;IF(AND($E383="remaining_day5",N($J383)&lt;5),"day-5 count logged before day 5; ","")&amp;IF(AND($G383="photo",$H383=""),"which photo?; ",""))</f>
        <v/>
      </c>
    </row>
    <row r="384">
      <c r="A384" s="9" t="n"/>
      <c r="B384" s="33" t="n"/>
      <c r="J384" s="25">
        <f>IF(OR($C384="",$A384=""),"",IF($A384&lt;IFERROR(IF(INDEX(campaigns!$BG$2:$BG$51,MATCH($C384,campaigns!$A$2:$A$51,0))="","",INDEX(campaigns!$BG$2:$BG$51,MATCH($C384,campaigns!$A$2:$A$51,0))),""),0,NETWORKDAYS(IFERROR(IF(INDEX(campaigns!$BG$2:$BG$51,MATCH($C384,campaigns!$A$2:$A$51,0))="","",INDEX(campaigns!$BG$2:$BG$51,MATCH($C384,campaigns!$A$2:$A$51,0))),""),$A384,calendar!$A$2:$A$80)))</f>
        <v/>
      </c>
      <c r="K384" s="25">
        <f>IF($C384="","",IF(COUNTIF(campaigns!$A$2:$A$51,$C384)=0,"campaign_id not on campaigns; ",IF(AND($D384&lt;&gt;"",COUNTIFS(approvals!$A$2:$A$251,$C384,approvals!$B$2:$B$251,$D384)=0),"office not on this campaign (approvals tab); ",""))&amp;IF(COUNTIFS(counts!$C$2:$C$701,$C384,counts!$D$2:$D$701,$D384,counts!$E$2:$E$701,$E384)&gt;1,"two "&amp;$E384&amp;" counts: keep one; ","")&amp;IF(AND($E384="remaining_day5",N($J384)&lt;5),"day-5 count logged before day 5; ","")&amp;IF(AND($G384="photo",$H384=""),"which photo?; ",""))</f>
        <v/>
      </c>
    </row>
    <row r="385">
      <c r="A385" s="9" t="n"/>
      <c r="B385" s="33" t="n"/>
      <c r="J385" s="25">
        <f>IF(OR($C385="",$A385=""),"",IF($A385&lt;IFERROR(IF(INDEX(campaigns!$BG$2:$BG$51,MATCH($C385,campaigns!$A$2:$A$51,0))="","",INDEX(campaigns!$BG$2:$BG$51,MATCH($C385,campaigns!$A$2:$A$51,0))),""),0,NETWORKDAYS(IFERROR(IF(INDEX(campaigns!$BG$2:$BG$51,MATCH($C385,campaigns!$A$2:$A$51,0))="","",INDEX(campaigns!$BG$2:$BG$51,MATCH($C385,campaigns!$A$2:$A$51,0))),""),$A385,calendar!$A$2:$A$80)))</f>
        <v/>
      </c>
      <c r="K385" s="25">
        <f>IF($C385="","",IF(COUNTIF(campaigns!$A$2:$A$51,$C385)=0,"campaign_id not on campaigns; ",IF(AND($D385&lt;&gt;"",COUNTIFS(approvals!$A$2:$A$251,$C385,approvals!$B$2:$B$251,$D385)=0),"office not on this campaign (approvals tab); ",""))&amp;IF(COUNTIFS(counts!$C$2:$C$701,$C385,counts!$D$2:$D$701,$D385,counts!$E$2:$E$701,$E385)&gt;1,"two "&amp;$E385&amp;" counts: keep one; ","")&amp;IF(AND($E385="remaining_day5",N($J385)&lt;5),"day-5 count logged before day 5; ","")&amp;IF(AND($G385="photo",$H385=""),"which photo?; ",""))</f>
        <v/>
      </c>
    </row>
    <row r="386">
      <c r="A386" s="9" t="n"/>
      <c r="B386" s="33" t="n"/>
      <c r="J386" s="25">
        <f>IF(OR($C386="",$A386=""),"",IF($A386&lt;IFERROR(IF(INDEX(campaigns!$BG$2:$BG$51,MATCH($C386,campaigns!$A$2:$A$51,0))="","",INDEX(campaigns!$BG$2:$BG$51,MATCH($C386,campaigns!$A$2:$A$51,0))),""),0,NETWORKDAYS(IFERROR(IF(INDEX(campaigns!$BG$2:$BG$51,MATCH($C386,campaigns!$A$2:$A$51,0))="","",INDEX(campaigns!$BG$2:$BG$51,MATCH($C386,campaigns!$A$2:$A$51,0))),""),$A386,calendar!$A$2:$A$80)))</f>
        <v/>
      </c>
      <c r="K386" s="25">
        <f>IF($C386="","",IF(COUNTIF(campaigns!$A$2:$A$51,$C386)=0,"campaign_id not on campaigns; ",IF(AND($D386&lt;&gt;"",COUNTIFS(approvals!$A$2:$A$251,$C386,approvals!$B$2:$B$251,$D386)=0),"office not on this campaign (approvals tab); ",""))&amp;IF(COUNTIFS(counts!$C$2:$C$701,$C386,counts!$D$2:$D$701,$D386,counts!$E$2:$E$701,$E386)&gt;1,"two "&amp;$E386&amp;" counts: keep one; ","")&amp;IF(AND($E386="remaining_day5",N($J386)&lt;5),"day-5 count logged before day 5; ","")&amp;IF(AND($G386="photo",$H386=""),"which photo?; ",""))</f>
        <v/>
      </c>
    </row>
    <row r="387">
      <c r="A387" s="9" t="n"/>
      <c r="B387" s="33" t="n"/>
      <c r="J387" s="25">
        <f>IF(OR($C387="",$A387=""),"",IF($A387&lt;IFERROR(IF(INDEX(campaigns!$BG$2:$BG$51,MATCH($C387,campaigns!$A$2:$A$51,0))="","",INDEX(campaigns!$BG$2:$BG$51,MATCH($C387,campaigns!$A$2:$A$51,0))),""),0,NETWORKDAYS(IFERROR(IF(INDEX(campaigns!$BG$2:$BG$51,MATCH($C387,campaigns!$A$2:$A$51,0))="","",INDEX(campaigns!$BG$2:$BG$51,MATCH($C387,campaigns!$A$2:$A$51,0))),""),$A387,calendar!$A$2:$A$80)))</f>
        <v/>
      </c>
      <c r="K387" s="25">
        <f>IF($C387="","",IF(COUNTIF(campaigns!$A$2:$A$51,$C387)=0,"campaign_id not on campaigns; ",IF(AND($D387&lt;&gt;"",COUNTIFS(approvals!$A$2:$A$251,$C387,approvals!$B$2:$B$251,$D387)=0),"office not on this campaign (approvals tab); ",""))&amp;IF(COUNTIFS(counts!$C$2:$C$701,$C387,counts!$D$2:$D$701,$D387,counts!$E$2:$E$701,$E387)&gt;1,"two "&amp;$E387&amp;" counts: keep one; ","")&amp;IF(AND($E387="remaining_day5",N($J387)&lt;5),"day-5 count logged before day 5; ","")&amp;IF(AND($G387="photo",$H387=""),"which photo?; ",""))</f>
        <v/>
      </c>
    </row>
    <row r="388">
      <c r="A388" s="9" t="n"/>
      <c r="B388" s="33" t="n"/>
      <c r="J388" s="25">
        <f>IF(OR($C388="",$A388=""),"",IF($A388&lt;IFERROR(IF(INDEX(campaigns!$BG$2:$BG$51,MATCH($C388,campaigns!$A$2:$A$51,0))="","",INDEX(campaigns!$BG$2:$BG$51,MATCH($C388,campaigns!$A$2:$A$51,0))),""),0,NETWORKDAYS(IFERROR(IF(INDEX(campaigns!$BG$2:$BG$51,MATCH($C388,campaigns!$A$2:$A$51,0))="","",INDEX(campaigns!$BG$2:$BG$51,MATCH($C388,campaigns!$A$2:$A$51,0))),""),$A388,calendar!$A$2:$A$80)))</f>
        <v/>
      </c>
      <c r="K388" s="25">
        <f>IF($C388="","",IF(COUNTIF(campaigns!$A$2:$A$51,$C388)=0,"campaign_id not on campaigns; ",IF(AND($D388&lt;&gt;"",COUNTIFS(approvals!$A$2:$A$251,$C388,approvals!$B$2:$B$251,$D388)=0),"office not on this campaign (approvals tab); ",""))&amp;IF(COUNTIFS(counts!$C$2:$C$701,$C388,counts!$D$2:$D$701,$D388,counts!$E$2:$E$701,$E388)&gt;1,"two "&amp;$E388&amp;" counts: keep one; ","")&amp;IF(AND($E388="remaining_day5",N($J388)&lt;5),"day-5 count logged before day 5; ","")&amp;IF(AND($G388="photo",$H388=""),"which photo?; ",""))</f>
        <v/>
      </c>
    </row>
    <row r="389">
      <c r="A389" s="9" t="n"/>
      <c r="B389" s="33" t="n"/>
      <c r="J389" s="25">
        <f>IF(OR($C389="",$A389=""),"",IF($A389&lt;IFERROR(IF(INDEX(campaigns!$BG$2:$BG$51,MATCH($C389,campaigns!$A$2:$A$51,0))="","",INDEX(campaigns!$BG$2:$BG$51,MATCH($C389,campaigns!$A$2:$A$51,0))),""),0,NETWORKDAYS(IFERROR(IF(INDEX(campaigns!$BG$2:$BG$51,MATCH($C389,campaigns!$A$2:$A$51,0))="","",INDEX(campaigns!$BG$2:$BG$51,MATCH($C389,campaigns!$A$2:$A$51,0))),""),$A389,calendar!$A$2:$A$80)))</f>
        <v/>
      </c>
      <c r="K389" s="25">
        <f>IF($C389="","",IF(COUNTIF(campaigns!$A$2:$A$51,$C389)=0,"campaign_id not on campaigns; ",IF(AND($D389&lt;&gt;"",COUNTIFS(approvals!$A$2:$A$251,$C389,approvals!$B$2:$B$251,$D389)=0),"office not on this campaign (approvals tab); ",""))&amp;IF(COUNTIFS(counts!$C$2:$C$701,$C389,counts!$D$2:$D$701,$D389,counts!$E$2:$E$701,$E389)&gt;1,"two "&amp;$E389&amp;" counts: keep one; ","")&amp;IF(AND($E389="remaining_day5",N($J389)&lt;5),"day-5 count logged before day 5; ","")&amp;IF(AND($G389="photo",$H389=""),"which photo?; ",""))</f>
        <v/>
      </c>
    </row>
    <row r="390">
      <c r="A390" s="9" t="n"/>
      <c r="B390" s="33" t="n"/>
      <c r="J390" s="25">
        <f>IF(OR($C390="",$A390=""),"",IF($A390&lt;IFERROR(IF(INDEX(campaigns!$BG$2:$BG$51,MATCH($C390,campaigns!$A$2:$A$51,0))="","",INDEX(campaigns!$BG$2:$BG$51,MATCH($C390,campaigns!$A$2:$A$51,0))),""),0,NETWORKDAYS(IFERROR(IF(INDEX(campaigns!$BG$2:$BG$51,MATCH($C390,campaigns!$A$2:$A$51,0))="","",INDEX(campaigns!$BG$2:$BG$51,MATCH($C390,campaigns!$A$2:$A$51,0))),""),$A390,calendar!$A$2:$A$80)))</f>
        <v/>
      </c>
      <c r="K390" s="25">
        <f>IF($C390="","",IF(COUNTIF(campaigns!$A$2:$A$51,$C390)=0,"campaign_id not on campaigns; ",IF(AND($D390&lt;&gt;"",COUNTIFS(approvals!$A$2:$A$251,$C390,approvals!$B$2:$B$251,$D390)=0),"office not on this campaign (approvals tab); ",""))&amp;IF(COUNTIFS(counts!$C$2:$C$701,$C390,counts!$D$2:$D$701,$D390,counts!$E$2:$E$701,$E390)&gt;1,"two "&amp;$E390&amp;" counts: keep one; ","")&amp;IF(AND($E390="remaining_day5",N($J390)&lt;5),"day-5 count logged before day 5; ","")&amp;IF(AND($G390="photo",$H390=""),"which photo?; ",""))</f>
        <v/>
      </c>
    </row>
    <row r="391">
      <c r="A391" s="9" t="n"/>
      <c r="B391" s="33" t="n"/>
      <c r="J391" s="25">
        <f>IF(OR($C391="",$A391=""),"",IF($A391&lt;IFERROR(IF(INDEX(campaigns!$BG$2:$BG$51,MATCH($C391,campaigns!$A$2:$A$51,0))="","",INDEX(campaigns!$BG$2:$BG$51,MATCH($C391,campaigns!$A$2:$A$51,0))),""),0,NETWORKDAYS(IFERROR(IF(INDEX(campaigns!$BG$2:$BG$51,MATCH($C391,campaigns!$A$2:$A$51,0))="","",INDEX(campaigns!$BG$2:$BG$51,MATCH($C391,campaigns!$A$2:$A$51,0))),""),$A391,calendar!$A$2:$A$80)))</f>
        <v/>
      </c>
      <c r="K391" s="25">
        <f>IF($C391="","",IF(COUNTIF(campaigns!$A$2:$A$51,$C391)=0,"campaign_id not on campaigns; ",IF(AND($D391&lt;&gt;"",COUNTIFS(approvals!$A$2:$A$251,$C391,approvals!$B$2:$B$251,$D391)=0),"office not on this campaign (approvals tab); ",""))&amp;IF(COUNTIFS(counts!$C$2:$C$701,$C391,counts!$D$2:$D$701,$D391,counts!$E$2:$E$701,$E391)&gt;1,"two "&amp;$E391&amp;" counts: keep one; ","")&amp;IF(AND($E391="remaining_day5",N($J391)&lt;5),"day-5 count logged before day 5; ","")&amp;IF(AND($G391="photo",$H391=""),"which photo?; ",""))</f>
        <v/>
      </c>
    </row>
    <row r="392">
      <c r="A392" s="9" t="n"/>
      <c r="B392" s="33" t="n"/>
      <c r="J392" s="25">
        <f>IF(OR($C392="",$A392=""),"",IF($A392&lt;IFERROR(IF(INDEX(campaigns!$BG$2:$BG$51,MATCH($C392,campaigns!$A$2:$A$51,0))="","",INDEX(campaigns!$BG$2:$BG$51,MATCH($C392,campaigns!$A$2:$A$51,0))),""),0,NETWORKDAYS(IFERROR(IF(INDEX(campaigns!$BG$2:$BG$51,MATCH($C392,campaigns!$A$2:$A$51,0))="","",INDEX(campaigns!$BG$2:$BG$51,MATCH($C392,campaigns!$A$2:$A$51,0))),""),$A392,calendar!$A$2:$A$80)))</f>
        <v/>
      </c>
      <c r="K392" s="25">
        <f>IF($C392="","",IF(COUNTIF(campaigns!$A$2:$A$51,$C392)=0,"campaign_id not on campaigns; ",IF(AND($D392&lt;&gt;"",COUNTIFS(approvals!$A$2:$A$251,$C392,approvals!$B$2:$B$251,$D392)=0),"office not on this campaign (approvals tab); ",""))&amp;IF(COUNTIFS(counts!$C$2:$C$701,$C392,counts!$D$2:$D$701,$D392,counts!$E$2:$E$701,$E392)&gt;1,"two "&amp;$E392&amp;" counts: keep one; ","")&amp;IF(AND($E392="remaining_day5",N($J392)&lt;5),"day-5 count logged before day 5; ","")&amp;IF(AND($G392="photo",$H392=""),"which photo?; ",""))</f>
        <v/>
      </c>
    </row>
    <row r="393">
      <c r="A393" s="9" t="n"/>
      <c r="B393" s="33" t="n"/>
      <c r="J393" s="25">
        <f>IF(OR($C393="",$A393=""),"",IF($A393&lt;IFERROR(IF(INDEX(campaigns!$BG$2:$BG$51,MATCH($C393,campaigns!$A$2:$A$51,0))="","",INDEX(campaigns!$BG$2:$BG$51,MATCH($C393,campaigns!$A$2:$A$51,0))),""),0,NETWORKDAYS(IFERROR(IF(INDEX(campaigns!$BG$2:$BG$51,MATCH($C393,campaigns!$A$2:$A$51,0))="","",INDEX(campaigns!$BG$2:$BG$51,MATCH($C393,campaigns!$A$2:$A$51,0))),""),$A393,calendar!$A$2:$A$80)))</f>
        <v/>
      </c>
      <c r="K393" s="25">
        <f>IF($C393="","",IF(COUNTIF(campaigns!$A$2:$A$51,$C393)=0,"campaign_id not on campaigns; ",IF(AND($D393&lt;&gt;"",COUNTIFS(approvals!$A$2:$A$251,$C393,approvals!$B$2:$B$251,$D393)=0),"office not on this campaign (approvals tab); ",""))&amp;IF(COUNTIFS(counts!$C$2:$C$701,$C393,counts!$D$2:$D$701,$D393,counts!$E$2:$E$701,$E393)&gt;1,"two "&amp;$E393&amp;" counts: keep one; ","")&amp;IF(AND($E393="remaining_day5",N($J393)&lt;5),"day-5 count logged before day 5; ","")&amp;IF(AND($G393="photo",$H393=""),"which photo?; ",""))</f>
        <v/>
      </c>
    </row>
    <row r="394">
      <c r="A394" s="9" t="n"/>
      <c r="B394" s="33" t="n"/>
      <c r="J394" s="25">
        <f>IF(OR($C394="",$A394=""),"",IF($A394&lt;IFERROR(IF(INDEX(campaigns!$BG$2:$BG$51,MATCH($C394,campaigns!$A$2:$A$51,0))="","",INDEX(campaigns!$BG$2:$BG$51,MATCH($C394,campaigns!$A$2:$A$51,0))),""),0,NETWORKDAYS(IFERROR(IF(INDEX(campaigns!$BG$2:$BG$51,MATCH($C394,campaigns!$A$2:$A$51,0))="","",INDEX(campaigns!$BG$2:$BG$51,MATCH($C394,campaigns!$A$2:$A$51,0))),""),$A394,calendar!$A$2:$A$80)))</f>
        <v/>
      </c>
      <c r="K394" s="25">
        <f>IF($C394="","",IF(COUNTIF(campaigns!$A$2:$A$51,$C394)=0,"campaign_id not on campaigns; ",IF(AND($D394&lt;&gt;"",COUNTIFS(approvals!$A$2:$A$251,$C394,approvals!$B$2:$B$251,$D394)=0),"office not on this campaign (approvals tab); ",""))&amp;IF(COUNTIFS(counts!$C$2:$C$701,$C394,counts!$D$2:$D$701,$D394,counts!$E$2:$E$701,$E394)&gt;1,"two "&amp;$E394&amp;" counts: keep one; ","")&amp;IF(AND($E394="remaining_day5",N($J394)&lt;5),"day-5 count logged before day 5; ","")&amp;IF(AND($G394="photo",$H394=""),"which photo?; ",""))</f>
        <v/>
      </c>
    </row>
    <row r="395">
      <c r="A395" s="9" t="n"/>
      <c r="B395" s="33" t="n"/>
      <c r="J395" s="25">
        <f>IF(OR($C395="",$A395=""),"",IF($A395&lt;IFERROR(IF(INDEX(campaigns!$BG$2:$BG$51,MATCH($C395,campaigns!$A$2:$A$51,0))="","",INDEX(campaigns!$BG$2:$BG$51,MATCH($C395,campaigns!$A$2:$A$51,0))),""),0,NETWORKDAYS(IFERROR(IF(INDEX(campaigns!$BG$2:$BG$51,MATCH($C395,campaigns!$A$2:$A$51,0))="","",INDEX(campaigns!$BG$2:$BG$51,MATCH($C395,campaigns!$A$2:$A$51,0))),""),$A395,calendar!$A$2:$A$80)))</f>
        <v/>
      </c>
      <c r="K395" s="25">
        <f>IF($C395="","",IF(COUNTIF(campaigns!$A$2:$A$51,$C395)=0,"campaign_id not on campaigns; ",IF(AND($D395&lt;&gt;"",COUNTIFS(approvals!$A$2:$A$251,$C395,approvals!$B$2:$B$251,$D395)=0),"office not on this campaign (approvals tab); ",""))&amp;IF(COUNTIFS(counts!$C$2:$C$701,$C395,counts!$D$2:$D$701,$D395,counts!$E$2:$E$701,$E395)&gt;1,"two "&amp;$E395&amp;" counts: keep one; ","")&amp;IF(AND($E395="remaining_day5",N($J395)&lt;5),"day-5 count logged before day 5; ","")&amp;IF(AND($G395="photo",$H395=""),"which photo?; ",""))</f>
        <v/>
      </c>
    </row>
    <row r="396">
      <c r="A396" s="9" t="n"/>
      <c r="B396" s="33" t="n"/>
      <c r="J396" s="25">
        <f>IF(OR($C396="",$A396=""),"",IF($A396&lt;IFERROR(IF(INDEX(campaigns!$BG$2:$BG$51,MATCH($C396,campaigns!$A$2:$A$51,0))="","",INDEX(campaigns!$BG$2:$BG$51,MATCH($C396,campaigns!$A$2:$A$51,0))),""),0,NETWORKDAYS(IFERROR(IF(INDEX(campaigns!$BG$2:$BG$51,MATCH($C396,campaigns!$A$2:$A$51,0))="","",INDEX(campaigns!$BG$2:$BG$51,MATCH($C396,campaigns!$A$2:$A$51,0))),""),$A396,calendar!$A$2:$A$80)))</f>
        <v/>
      </c>
      <c r="K396" s="25">
        <f>IF($C396="","",IF(COUNTIF(campaigns!$A$2:$A$51,$C396)=0,"campaign_id not on campaigns; ",IF(AND($D396&lt;&gt;"",COUNTIFS(approvals!$A$2:$A$251,$C396,approvals!$B$2:$B$251,$D396)=0),"office not on this campaign (approvals tab); ",""))&amp;IF(COUNTIFS(counts!$C$2:$C$701,$C396,counts!$D$2:$D$701,$D396,counts!$E$2:$E$701,$E396)&gt;1,"two "&amp;$E396&amp;" counts: keep one; ","")&amp;IF(AND($E396="remaining_day5",N($J396)&lt;5),"day-5 count logged before day 5; ","")&amp;IF(AND($G396="photo",$H396=""),"which photo?; ",""))</f>
        <v/>
      </c>
    </row>
    <row r="397">
      <c r="A397" s="9" t="n"/>
      <c r="B397" s="33" t="n"/>
      <c r="J397" s="25">
        <f>IF(OR($C397="",$A397=""),"",IF($A397&lt;IFERROR(IF(INDEX(campaigns!$BG$2:$BG$51,MATCH($C397,campaigns!$A$2:$A$51,0))="","",INDEX(campaigns!$BG$2:$BG$51,MATCH($C397,campaigns!$A$2:$A$51,0))),""),0,NETWORKDAYS(IFERROR(IF(INDEX(campaigns!$BG$2:$BG$51,MATCH($C397,campaigns!$A$2:$A$51,0))="","",INDEX(campaigns!$BG$2:$BG$51,MATCH($C397,campaigns!$A$2:$A$51,0))),""),$A397,calendar!$A$2:$A$80)))</f>
        <v/>
      </c>
      <c r="K397" s="25">
        <f>IF($C397="","",IF(COUNTIF(campaigns!$A$2:$A$51,$C397)=0,"campaign_id not on campaigns; ",IF(AND($D397&lt;&gt;"",COUNTIFS(approvals!$A$2:$A$251,$C397,approvals!$B$2:$B$251,$D397)=0),"office not on this campaign (approvals tab); ",""))&amp;IF(COUNTIFS(counts!$C$2:$C$701,$C397,counts!$D$2:$D$701,$D397,counts!$E$2:$E$701,$E397)&gt;1,"two "&amp;$E397&amp;" counts: keep one; ","")&amp;IF(AND($E397="remaining_day5",N($J397)&lt;5),"day-5 count logged before day 5; ","")&amp;IF(AND($G397="photo",$H397=""),"which photo?; ",""))</f>
        <v/>
      </c>
    </row>
    <row r="398">
      <c r="A398" s="9" t="n"/>
      <c r="B398" s="33" t="n"/>
      <c r="J398" s="25">
        <f>IF(OR($C398="",$A398=""),"",IF($A398&lt;IFERROR(IF(INDEX(campaigns!$BG$2:$BG$51,MATCH($C398,campaigns!$A$2:$A$51,0))="","",INDEX(campaigns!$BG$2:$BG$51,MATCH($C398,campaigns!$A$2:$A$51,0))),""),0,NETWORKDAYS(IFERROR(IF(INDEX(campaigns!$BG$2:$BG$51,MATCH($C398,campaigns!$A$2:$A$51,0))="","",INDEX(campaigns!$BG$2:$BG$51,MATCH($C398,campaigns!$A$2:$A$51,0))),""),$A398,calendar!$A$2:$A$80)))</f>
        <v/>
      </c>
      <c r="K398" s="25">
        <f>IF($C398="","",IF(COUNTIF(campaigns!$A$2:$A$51,$C398)=0,"campaign_id not on campaigns; ",IF(AND($D398&lt;&gt;"",COUNTIFS(approvals!$A$2:$A$251,$C398,approvals!$B$2:$B$251,$D398)=0),"office not on this campaign (approvals tab); ",""))&amp;IF(COUNTIFS(counts!$C$2:$C$701,$C398,counts!$D$2:$D$701,$D398,counts!$E$2:$E$701,$E398)&gt;1,"two "&amp;$E398&amp;" counts: keep one; ","")&amp;IF(AND($E398="remaining_day5",N($J398)&lt;5),"day-5 count logged before day 5; ","")&amp;IF(AND($G398="photo",$H398=""),"which photo?; ",""))</f>
        <v/>
      </c>
    </row>
    <row r="399">
      <c r="A399" s="9" t="n"/>
      <c r="B399" s="33" t="n"/>
      <c r="J399" s="25">
        <f>IF(OR($C399="",$A399=""),"",IF($A399&lt;IFERROR(IF(INDEX(campaigns!$BG$2:$BG$51,MATCH($C399,campaigns!$A$2:$A$51,0))="","",INDEX(campaigns!$BG$2:$BG$51,MATCH($C399,campaigns!$A$2:$A$51,0))),""),0,NETWORKDAYS(IFERROR(IF(INDEX(campaigns!$BG$2:$BG$51,MATCH($C399,campaigns!$A$2:$A$51,0))="","",INDEX(campaigns!$BG$2:$BG$51,MATCH($C399,campaigns!$A$2:$A$51,0))),""),$A399,calendar!$A$2:$A$80)))</f>
        <v/>
      </c>
      <c r="K399" s="25">
        <f>IF($C399="","",IF(COUNTIF(campaigns!$A$2:$A$51,$C399)=0,"campaign_id not on campaigns; ",IF(AND($D399&lt;&gt;"",COUNTIFS(approvals!$A$2:$A$251,$C399,approvals!$B$2:$B$251,$D399)=0),"office not on this campaign (approvals tab); ",""))&amp;IF(COUNTIFS(counts!$C$2:$C$701,$C399,counts!$D$2:$D$701,$D399,counts!$E$2:$E$701,$E399)&gt;1,"two "&amp;$E399&amp;" counts: keep one; ","")&amp;IF(AND($E399="remaining_day5",N($J399)&lt;5),"day-5 count logged before day 5; ","")&amp;IF(AND($G399="photo",$H399=""),"which photo?; ",""))</f>
        <v/>
      </c>
    </row>
    <row r="400">
      <c r="A400" s="9" t="n"/>
      <c r="B400" s="33" t="n"/>
      <c r="J400" s="25">
        <f>IF(OR($C400="",$A400=""),"",IF($A400&lt;IFERROR(IF(INDEX(campaigns!$BG$2:$BG$51,MATCH($C400,campaigns!$A$2:$A$51,0))="","",INDEX(campaigns!$BG$2:$BG$51,MATCH($C400,campaigns!$A$2:$A$51,0))),""),0,NETWORKDAYS(IFERROR(IF(INDEX(campaigns!$BG$2:$BG$51,MATCH($C400,campaigns!$A$2:$A$51,0))="","",INDEX(campaigns!$BG$2:$BG$51,MATCH($C400,campaigns!$A$2:$A$51,0))),""),$A400,calendar!$A$2:$A$80)))</f>
        <v/>
      </c>
      <c r="K400" s="25">
        <f>IF($C400="","",IF(COUNTIF(campaigns!$A$2:$A$51,$C400)=0,"campaign_id not on campaigns; ",IF(AND($D400&lt;&gt;"",COUNTIFS(approvals!$A$2:$A$251,$C400,approvals!$B$2:$B$251,$D400)=0),"office not on this campaign (approvals tab); ",""))&amp;IF(COUNTIFS(counts!$C$2:$C$701,$C400,counts!$D$2:$D$701,$D400,counts!$E$2:$E$701,$E400)&gt;1,"two "&amp;$E400&amp;" counts: keep one; ","")&amp;IF(AND($E400="remaining_day5",N($J400)&lt;5),"day-5 count logged before day 5; ","")&amp;IF(AND($G400="photo",$H400=""),"which photo?; ",""))</f>
        <v/>
      </c>
    </row>
    <row r="401">
      <c r="A401" s="9" t="n"/>
      <c r="B401" s="33" t="n"/>
      <c r="J401" s="25">
        <f>IF(OR($C401="",$A401=""),"",IF($A401&lt;IFERROR(IF(INDEX(campaigns!$BG$2:$BG$51,MATCH($C401,campaigns!$A$2:$A$51,0))="","",INDEX(campaigns!$BG$2:$BG$51,MATCH($C401,campaigns!$A$2:$A$51,0))),""),0,NETWORKDAYS(IFERROR(IF(INDEX(campaigns!$BG$2:$BG$51,MATCH($C401,campaigns!$A$2:$A$51,0))="","",INDEX(campaigns!$BG$2:$BG$51,MATCH($C401,campaigns!$A$2:$A$51,0))),""),$A401,calendar!$A$2:$A$80)))</f>
        <v/>
      </c>
      <c r="K401" s="25">
        <f>IF($C401="","",IF(COUNTIF(campaigns!$A$2:$A$51,$C401)=0,"campaign_id not on campaigns; ",IF(AND($D401&lt;&gt;"",COUNTIFS(approvals!$A$2:$A$251,$C401,approvals!$B$2:$B$251,$D401)=0),"office not on this campaign (approvals tab); ",""))&amp;IF(COUNTIFS(counts!$C$2:$C$701,$C401,counts!$D$2:$D$701,$D401,counts!$E$2:$E$701,$E401)&gt;1,"two "&amp;$E401&amp;" counts: keep one; ","")&amp;IF(AND($E401="remaining_day5",N($J401)&lt;5),"day-5 count logged before day 5; ","")&amp;IF(AND($G401="photo",$H401=""),"which photo?; ",""))</f>
        <v/>
      </c>
    </row>
    <row r="402">
      <c r="A402" s="9" t="n"/>
      <c r="B402" s="33" t="n"/>
      <c r="J402" s="25">
        <f>IF(OR($C402="",$A402=""),"",IF($A402&lt;IFERROR(IF(INDEX(campaigns!$BG$2:$BG$51,MATCH($C402,campaigns!$A$2:$A$51,0))="","",INDEX(campaigns!$BG$2:$BG$51,MATCH($C402,campaigns!$A$2:$A$51,0))),""),0,NETWORKDAYS(IFERROR(IF(INDEX(campaigns!$BG$2:$BG$51,MATCH($C402,campaigns!$A$2:$A$51,0))="","",INDEX(campaigns!$BG$2:$BG$51,MATCH($C402,campaigns!$A$2:$A$51,0))),""),$A402,calendar!$A$2:$A$80)))</f>
        <v/>
      </c>
      <c r="K402" s="25">
        <f>IF($C402="","",IF(COUNTIF(campaigns!$A$2:$A$51,$C402)=0,"campaign_id not on campaigns; ",IF(AND($D402&lt;&gt;"",COUNTIFS(approvals!$A$2:$A$251,$C402,approvals!$B$2:$B$251,$D402)=0),"office not on this campaign (approvals tab); ",""))&amp;IF(COUNTIFS(counts!$C$2:$C$701,$C402,counts!$D$2:$D$701,$D402,counts!$E$2:$E$701,$E402)&gt;1,"two "&amp;$E402&amp;" counts: keep one; ","")&amp;IF(AND($E402="remaining_day5",N($J402)&lt;5),"day-5 count logged before day 5; ","")&amp;IF(AND($G402="photo",$H402=""),"which photo?; ",""))</f>
        <v/>
      </c>
    </row>
    <row r="403">
      <c r="A403" s="9" t="n"/>
      <c r="B403" s="33" t="n"/>
      <c r="J403" s="25">
        <f>IF(OR($C403="",$A403=""),"",IF($A403&lt;IFERROR(IF(INDEX(campaigns!$BG$2:$BG$51,MATCH($C403,campaigns!$A$2:$A$51,0))="","",INDEX(campaigns!$BG$2:$BG$51,MATCH($C403,campaigns!$A$2:$A$51,0))),""),0,NETWORKDAYS(IFERROR(IF(INDEX(campaigns!$BG$2:$BG$51,MATCH($C403,campaigns!$A$2:$A$51,0))="","",INDEX(campaigns!$BG$2:$BG$51,MATCH($C403,campaigns!$A$2:$A$51,0))),""),$A403,calendar!$A$2:$A$80)))</f>
        <v/>
      </c>
      <c r="K403" s="25">
        <f>IF($C403="","",IF(COUNTIF(campaigns!$A$2:$A$51,$C403)=0,"campaign_id not on campaigns; ",IF(AND($D403&lt;&gt;"",COUNTIFS(approvals!$A$2:$A$251,$C403,approvals!$B$2:$B$251,$D403)=0),"office not on this campaign (approvals tab); ",""))&amp;IF(COUNTIFS(counts!$C$2:$C$701,$C403,counts!$D$2:$D$701,$D403,counts!$E$2:$E$701,$E403)&gt;1,"two "&amp;$E403&amp;" counts: keep one; ","")&amp;IF(AND($E403="remaining_day5",N($J403)&lt;5),"day-5 count logged before day 5; ","")&amp;IF(AND($G403="photo",$H403=""),"which photo?; ",""))</f>
        <v/>
      </c>
    </row>
    <row r="404">
      <c r="A404" s="9" t="n"/>
      <c r="B404" s="33" t="n"/>
      <c r="J404" s="25">
        <f>IF(OR($C404="",$A404=""),"",IF($A404&lt;IFERROR(IF(INDEX(campaigns!$BG$2:$BG$51,MATCH($C404,campaigns!$A$2:$A$51,0))="","",INDEX(campaigns!$BG$2:$BG$51,MATCH($C404,campaigns!$A$2:$A$51,0))),""),0,NETWORKDAYS(IFERROR(IF(INDEX(campaigns!$BG$2:$BG$51,MATCH($C404,campaigns!$A$2:$A$51,0))="","",INDEX(campaigns!$BG$2:$BG$51,MATCH($C404,campaigns!$A$2:$A$51,0))),""),$A404,calendar!$A$2:$A$80)))</f>
        <v/>
      </c>
      <c r="K404" s="25">
        <f>IF($C404="","",IF(COUNTIF(campaigns!$A$2:$A$51,$C404)=0,"campaign_id not on campaigns; ",IF(AND($D404&lt;&gt;"",COUNTIFS(approvals!$A$2:$A$251,$C404,approvals!$B$2:$B$251,$D404)=0),"office not on this campaign (approvals tab); ",""))&amp;IF(COUNTIFS(counts!$C$2:$C$701,$C404,counts!$D$2:$D$701,$D404,counts!$E$2:$E$701,$E404)&gt;1,"two "&amp;$E404&amp;" counts: keep one; ","")&amp;IF(AND($E404="remaining_day5",N($J404)&lt;5),"day-5 count logged before day 5; ","")&amp;IF(AND($G404="photo",$H404=""),"which photo?; ",""))</f>
        <v/>
      </c>
    </row>
    <row r="405">
      <c r="A405" s="9" t="n"/>
      <c r="B405" s="33" t="n"/>
      <c r="J405" s="25">
        <f>IF(OR($C405="",$A405=""),"",IF($A405&lt;IFERROR(IF(INDEX(campaigns!$BG$2:$BG$51,MATCH($C405,campaigns!$A$2:$A$51,0))="","",INDEX(campaigns!$BG$2:$BG$51,MATCH($C405,campaigns!$A$2:$A$51,0))),""),0,NETWORKDAYS(IFERROR(IF(INDEX(campaigns!$BG$2:$BG$51,MATCH($C405,campaigns!$A$2:$A$51,0))="","",INDEX(campaigns!$BG$2:$BG$51,MATCH($C405,campaigns!$A$2:$A$51,0))),""),$A405,calendar!$A$2:$A$80)))</f>
        <v/>
      </c>
      <c r="K405" s="25">
        <f>IF($C405="","",IF(COUNTIF(campaigns!$A$2:$A$51,$C405)=0,"campaign_id not on campaigns; ",IF(AND($D405&lt;&gt;"",COUNTIFS(approvals!$A$2:$A$251,$C405,approvals!$B$2:$B$251,$D405)=0),"office not on this campaign (approvals tab); ",""))&amp;IF(COUNTIFS(counts!$C$2:$C$701,$C405,counts!$D$2:$D$701,$D405,counts!$E$2:$E$701,$E405)&gt;1,"two "&amp;$E405&amp;" counts: keep one; ","")&amp;IF(AND($E405="remaining_day5",N($J405)&lt;5),"day-5 count logged before day 5; ","")&amp;IF(AND($G405="photo",$H405=""),"which photo?; ",""))</f>
        <v/>
      </c>
    </row>
    <row r="406">
      <c r="A406" s="9" t="n"/>
      <c r="B406" s="33" t="n"/>
      <c r="J406" s="25">
        <f>IF(OR($C406="",$A406=""),"",IF($A406&lt;IFERROR(IF(INDEX(campaigns!$BG$2:$BG$51,MATCH($C406,campaigns!$A$2:$A$51,0))="","",INDEX(campaigns!$BG$2:$BG$51,MATCH($C406,campaigns!$A$2:$A$51,0))),""),0,NETWORKDAYS(IFERROR(IF(INDEX(campaigns!$BG$2:$BG$51,MATCH($C406,campaigns!$A$2:$A$51,0))="","",INDEX(campaigns!$BG$2:$BG$51,MATCH($C406,campaigns!$A$2:$A$51,0))),""),$A406,calendar!$A$2:$A$80)))</f>
        <v/>
      </c>
      <c r="K406" s="25">
        <f>IF($C406="","",IF(COUNTIF(campaigns!$A$2:$A$51,$C406)=0,"campaign_id not on campaigns; ",IF(AND($D406&lt;&gt;"",COUNTIFS(approvals!$A$2:$A$251,$C406,approvals!$B$2:$B$251,$D406)=0),"office not on this campaign (approvals tab); ",""))&amp;IF(COUNTIFS(counts!$C$2:$C$701,$C406,counts!$D$2:$D$701,$D406,counts!$E$2:$E$701,$E406)&gt;1,"two "&amp;$E406&amp;" counts: keep one; ","")&amp;IF(AND($E406="remaining_day5",N($J406)&lt;5),"day-5 count logged before day 5; ","")&amp;IF(AND($G406="photo",$H406=""),"which photo?; ",""))</f>
        <v/>
      </c>
    </row>
    <row r="407">
      <c r="A407" s="9" t="n"/>
      <c r="B407" s="33" t="n"/>
      <c r="J407" s="25">
        <f>IF(OR($C407="",$A407=""),"",IF($A407&lt;IFERROR(IF(INDEX(campaigns!$BG$2:$BG$51,MATCH($C407,campaigns!$A$2:$A$51,0))="","",INDEX(campaigns!$BG$2:$BG$51,MATCH($C407,campaigns!$A$2:$A$51,0))),""),0,NETWORKDAYS(IFERROR(IF(INDEX(campaigns!$BG$2:$BG$51,MATCH($C407,campaigns!$A$2:$A$51,0))="","",INDEX(campaigns!$BG$2:$BG$51,MATCH($C407,campaigns!$A$2:$A$51,0))),""),$A407,calendar!$A$2:$A$80)))</f>
        <v/>
      </c>
      <c r="K407" s="25">
        <f>IF($C407="","",IF(COUNTIF(campaigns!$A$2:$A$51,$C407)=0,"campaign_id not on campaigns; ",IF(AND($D407&lt;&gt;"",COUNTIFS(approvals!$A$2:$A$251,$C407,approvals!$B$2:$B$251,$D407)=0),"office not on this campaign (approvals tab); ",""))&amp;IF(COUNTIFS(counts!$C$2:$C$701,$C407,counts!$D$2:$D$701,$D407,counts!$E$2:$E$701,$E407)&gt;1,"two "&amp;$E407&amp;" counts: keep one; ","")&amp;IF(AND($E407="remaining_day5",N($J407)&lt;5),"day-5 count logged before day 5; ","")&amp;IF(AND($G407="photo",$H407=""),"which photo?; ",""))</f>
        <v/>
      </c>
    </row>
    <row r="408">
      <c r="A408" s="9" t="n"/>
      <c r="B408" s="33" t="n"/>
      <c r="J408" s="25">
        <f>IF(OR($C408="",$A408=""),"",IF($A408&lt;IFERROR(IF(INDEX(campaigns!$BG$2:$BG$51,MATCH($C408,campaigns!$A$2:$A$51,0))="","",INDEX(campaigns!$BG$2:$BG$51,MATCH($C408,campaigns!$A$2:$A$51,0))),""),0,NETWORKDAYS(IFERROR(IF(INDEX(campaigns!$BG$2:$BG$51,MATCH($C408,campaigns!$A$2:$A$51,0))="","",INDEX(campaigns!$BG$2:$BG$51,MATCH($C408,campaigns!$A$2:$A$51,0))),""),$A408,calendar!$A$2:$A$80)))</f>
        <v/>
      </c>
      <c r="K408" s="25">
        <f>IF($C408="","",IF(COUNTIF(campaigns!$A$2:$A$51,$C408)=0,"campaign_id not on campaigns; ",IF(AND($D408&lt;&gt;"",COUNTIFS(approvals!$A$2:$A$251,$C408,approvals!$B$2:$B$251,$D408)=0),"office not on this campaign (approvals tab); ",""))&amp;IF(COUNTIFS(counts!$C$2:$C$701,$C408,counts!$D$2:$D$701,$D408,counts!$E$2:$E$701,$E408)&gt;1,"two "&amp;$E408&amp;" counts: keep one; ","")&amp;IF(AND($E408="remaining_day5",N($J408)&lt;5),"day-5 count logged before day 5; ","")&amp;IF(AND($G408="photo",$H408=""),"which photo?; ",""))</f>
        <v/>
      </c>
    </row>
    <row r="409">
      <c r="A409" s="9" t="n"/>
      <c r="B409" s="33" t="n"/>
      <c r="J409" s="25">
        <f>IF(OR($C409="",$A409=""),"",IF($A409&lt;IFERROR(IF(INDEX(campaigns!$BG$2:$BG$51,MATCH($C409,campaigns!$A$2:$A$51,0))="","",INDEX(campaigns!$BG$2:$BG$51,MATCH($C409,campaigns!$A$2:$A$51,0))),""),0,NETWORKDAYS(IFERROR(IF(INDEX(campaigns!$BG$2:$BG$51,MATCH($C409,campaigns!$A$2:$A$51,0))="","",INDEX(campaigns!$BG$2:$BG$51,MATCH($C409,campaigns!$A$2:$A$51,0))),""),$A409,calendar!$A$2:$A$80)))</f>
        <v/>
      </c>
      <c r="K409" s="25">
        <f>IF($C409="","",IF(COUNTIF(campaigns!$A$2:$A$51,$C409)=0,"campaign_id not on campaigns; ",IF(AND($D409&lt;&gt;"",COUNTIFS(approvals!$A$2:$A$251,$C409,approvals!$B$2:$B$251,$D409)=0),"office not on this campaign (approvals tab); ",""))&amp;IF(COUNTIFS(counts!$C$2:$C$701,$C409,counts!$D$2:$D$701,$D409,counts!$E$2:$E$701,$E409)&gt;1,"two "&amp;$E409&amp;" counts: keep one; ","")&amp;IF(AND($E409="remaining_day5",N($J409)&lt;5),"day-5 count logged before day 5; ","")&amp;IF(AND($G409="photo",$H409=""),"which photo?; ",""))</f>
        <v/>
      </c>
    </row>
    <row r="410">
      <c r="A410" s="9" t="n"/>
      <c r="B410" s="33" t="n"/>
      <c r="J410" s="25">
        <f>IF(OR($C410="",$A410=""),"",IF($A410&lt;IFERROR(IF(INDEX(campaigns!$BG$2:$BG$51,MATCH($C410,campaigns!$A$2:$A$51,0))="","",INDEX(campaigns!$BG$2:$BG$51,MATCH($C410,campaigns!$A$2:$A$51,0))),""),0,NETWORKDAYS(IFERROR(IF(INDEX(campaigns!$BG$2:$BG$51,MATCH($C410,campaigns!$A$2:$A$51,0))="","",INDEX(campaigns!$BG$2:$BG$51,MATCH($C410,campaigns!$A$2:$A$51,0))),""),$A410,calendar!$A$2:$A$80)))</f>
        <v/>
      </c>
      <c r="K410" s="25">
        <f>IF($C410="","",IF(COUNTIF(campaigns!$A$2:$A$51,$C410)=0,"campaign_id not on campaigns; ",IF(AND($D410&lt;&gt;"",COUNTIFS(approvals!$A$2:$A$251,$C410,approvals!$B$2:$B$251,$D410)=0),"office not on this campaign (approvals tab); ",""))&amp;IF(COUNTIFS(counts!$C$2:$C$701,$C410,counts!$D$2:$D$701,$D410,counts!$E$2:$E$701,$E410)&gt;1,"two "&amp;$E410&amp;" counts: keep one; ","")&amp;IF(AND($E410="remaining_day5",N($J410)&lt;5),"day-5 count logged before day 5; ","")&amp;IF(AND($G410="photo",$H410=""),"which photo?; ",""))</f>
        <v/>
      </c>
    </row>
    <row r="411">
      <c r="A411" s="9" t="n"/>
      <c r="B411" s="33" t="n"/>
      <c r="J411" s="25">
        <f>IF(OR($C411="",$A411=""),"",IF($A411&lt;IFERROR(IF(INDEX(campaigns!$BG$2:$BG$51,MATCH($C411,campaigns!$A$2:$A$51,0))="","",INDEX(campaigns!$BG$2:$BG$51,MATCH($C411,campaigns!$A$2:$A$51,0))),""),0,NETWORKDAYS(IFERROR(IF(INDEX(campaigns!$BG$2:$BG$51,MATCH($C411,campaigns!$A$2:$A$51,0))="","",INDEX(campaigns!$BG$2:$BG$51,MATCH($C411,campaigns!$A$2:$A$51,0))),""),$A411,calendar!$A$2:$A$80)))</f>
        <v/>
      </c>
      <c r="K411" s="25">
        <f>IF($C411="","",IF(COUNTIF(campaigns!$A$2:$A$51,$C411)=0,"campaign_id not on campaigns; ",IF(AND($D411&lt;&gt;"",COUNTIFS(approvals!$A$2:$A$251,$C411,approvals!$B$2:$B$251,$D411)=0),"office not on this campaign (approvals tab); ",""))&amp;IF(COUNTIFS(counts!$C$2:$C$701,$C411,counts!$D$2:$D$701,$D411,counts!$E$2:$E$701,$E411)&gt;1,"two "&amp;$E411&amp;" counts: keep one; ","")&amp;IF(AND($E411="remaining_day5",N($J411)&lt;5),"day-5 count logged before day 5; ","")&amp;IF(AND($G411="photo",$H411=""),"which photo?; ",""))</f>
        <v/>
      </c>
    </row>
    <row r="412">
      <c r="A412" s="9" t="n"/>
      <c r="B412" s="33" t="n"/>
      <c r="J412" s="25">
        <f>IF(OR($C412="",$A412=""),"",IF($A412&lt;IFERROR(IF(INDEX(campaigns!$BG$2:$BG$51,MATCH($C412,campaigns!$A$2:$A$51,0))="","",INDEX(campaigns!$BG$2:$BG$51,MATCH($C412,campaigns!$A$2:$A$51,0))),""),0,NETWORKDAYS(IFERROR(IF(INDEX(campaigns!$BG$2:$BG$51,MATCH($C412,campaigns!$A$2:$A$51,0))="","",INDEX(campaigns!$BG$2:$BG$51,MATCH($C412,campaigns!$A$2:$A$51,0))),""),$A412,calendar!$A$2:$A$80)))</f>
        <v/>
      </c>
      <c r="K412" s="25">
        <f>IF($C412="","",IF(COUNTIF(campaigns!$A$2:$A$51,$C412)=0,"campaign_id not on campaigns; ",IF(AND($D412&lt;&gt;"",COUNTIFS(approvals!$A$2:$A$251,$C412,approvals!$B$2:$B$251,$D412)=0),"office not on this campaign (approvals tab); ",""))&amp;IF(COUNTIFS(counts!$C$2:$C$701,$C412,counts!$D$2:$D$701,$D412,counts!$E$2:$E$701,$E412)&gt;1,"two "&amp;$E412&amp;" counts: keep one; ","")&amp;IF(AND($E412="remaining_day5",N($J412)&lt;5),"day-5 count logged before day 5; ","")&amp;IF(AND($G412="photo",$H412=""),"which photo?; ",""))</f>
        <v/>
      </c>
    </row>
    <row r="413">
      <c r="A413" s="9" t="n"/>
      <c r="B413" s="33" t="n"/>
      <c r="J413" s="25">
        <f>IF(OR($C413="",$A413=""),"",IF($A413&lt;IFERROR(IF(INDEX(campaigns!$BG$2:$BG$51,MATCH($C413,campaigns!$A$2:$A$51,0))="","",INDEX(campaigns!$BG$2:$BG$51,MATCH($C413,campaigns!$A$2:$A$51,0))),""),0,NETWORKDAYS(IFERROR(IF(INDEX(campaigns!$BG$2:$BG$51,MATCH($C413,campaigns!$A$2:$A$51,0))="","",INDEX(campaigns!$BG$2:$BG$51,MATCH($C413,campaigns!$A$2:$A$51,0))),""),$A413,calendar!$A$2:$A$80)))</f>
        <v/>
      </c>
      <c r="K413" s="25">
        <f>IF($C413="","",IF(COUNTIF(campaigns!$A$2:$A$51,$C413)=0,"campaign_id not on campaigns; ",IF(AND($D413&lt;&gt;"",COUNTIFS(approvals!$A$2:$A$251,$C413,approvals!$B$2:$B$251,$D413)=0),"office not on this campaign (approvals tab); ",""))&amp;IF(COUNTIFS(counts!$C$2:$C$701,$C413,counts!$D$2:$D$701,$D413,counts!$E$2:$E$701,$E413)&gt;1,"two "&amp;$E413&amp;" counts: keep one; ","")&amp;IF(AND($E413="remaining_day5",N($J413)&lt;5),"day-5 count logged before day 5; ","")&amp;IF(AND($G413="photo",$H413=""),"which photo?; ",""))</f>
        <v/>
      </c>
    </row>
    <row r="414">
      <c r="A414" s="9" t="n"/>
      <c r="B414" s="33" t="n"/>
      <c r="J414" s="25">
        <f>IF(OR($C414="",$A414=""),"",IF($A414&lt;IFERROR(IF(INDEX(campaigns!$BG$2:$BG$51,MATCH($C414,campaigns!$A$2:$A$51,0))="","",INDEX(campaigns!$BG$2:$BG$51,MATCH($C414,campaigns!$A$2:$A$51,0))),""),0,NETWORKDAYS(IFERROR(IF(INDEX(campaigns!$BG$2:$BG$51,MATCH($C414,campaigns!$A$2:$A$51,0))="","",INDEX(campaigns!$BG$2:$BG$51,MATCH($C414,campaigns!$A$2:$A$51,0))),""),$A414,calendar!$A$2:$A$80)))</f>
        <v/>
      </c>
      <c r="K414" s="25">
        <f>IF($C414="","",IF(COUNTIF(campaigns!$A$2:$A$51,$C414)=0,"campaign_id not on campaigns; ",IF(AND($D414&lt;&gt;"",COUNTIFS(approvals!$A$2:$A$251,$C414,approvals!$B$2:$B$251,$D414)=0),"office not on this campaign (approvals tab); ",""))&amp;IF(COUNTIFS(counts!$C$2:$C$701,$C414,counts!$D$2:$D$701,$D414,counts!$E$2:$E$701,$E414)&gt;1,"two "&amp;$E414&amp;" counts: keep one; ","")&amp;IF(AND($E414="remaining_day5",N($J414)&lt;5),"day-5 count logged before day 5; ","")&amp;IF(AND($G414="photo",$H414=""),"which photo?; ",""))</f>
        <v/>
      </c>
    </row>
    <row r="415">
      <c r="A415" s="9" t="n"/>
      <c r="B415" s="33" t="n"/>
      <c r="J415" s="25">
        <f>IF(OR($C415="",$A415=""),"",IF($A415&lt;IFERROR(IF(INDEX(campaigns!$BG$2:$BG$51,MATCH($C415,campaigns!$A$2:$A$51,0))="","",INDEX(campaigns!$BG$2:$BG$51,MATCH($C415,campaigns!$A$2:$A$51,0))),""),0,NETWORKDAYS(IFERROR(IF(INDEX(campaigns!$BG$2:$BG$51,MATCH($C415,campaigns!$A$2:$A$51,0))="","",INDEX(campaigns!$BG$2:$BG$51,MATCH($C415,campaigns!$A$2:$A$51,0))),""),$A415,calendar!$A$2:$A$80)))</f>
        <v/>
      </c>
      <c r="K415" s="25">
        <f>IF($C415="","",IF(COUNTIF(campaigns!$A$2:$A$51,$C415)=0,"campaign_id not on campaigns; ",IF(AND($D415&lt;&gt;"",COUNTIFS(approvals!$A$2:$A$251,$C415,approvals!$B$2:$B$251,$D415)=0),"office not on this campaign (approvals tab); ",""))&amp;IF(COUNTIFS(counts!$C$2:$C$701,$C415,counts!$D$2:$D$701,$D415,counts!$E$2:$E$701,$E415)&gt;1,"two "&amp;$E415&amp;" counts: keep one; ","")&amp;IF(AND($E415="remaining_day5",N($J415)&lt;5),"day-5 count logged before day 5; ","")&amp;IF(AND($G415="photo",$H415=""),"which photo?; ",""))</f>
        <v/>
      </c>
    </row>
    <row r="416">
      <c r="A416" s="9" t="n"/>
      <c r="B416" s="33" t="n"/>
      <c r="J416" s="25">
        <f>IF(OR($C416="",$A416=""),"",IF($A416&lt;IFERROR(IF(INDEX(campaigns!$BG$2:$BG$51,MATCH($C416,campaigns!$A$2:$A$51,0))="","",INDEX(campaigns!$BG$2:$BG$51,MATCH($C416,campaigns!$A$2:$A$51,0))),""),0,NETWORKDAYS(IFERROR(IF(INDEX(campaigns!$BG$2:$BG$51,MATCH($C416,campaigns!$A$2:$A$51,0))="","",INDEX(campaigns!$BG$2:$BG$51,MATCH($C416,campaigns!$A$2:$A$51,0))),""),$A416,calendar!$A$2:$A$80)))</f>
        <v/>
      </c>
      <c r="K416" s="25">
        <f>IF($C416="","",IF(COUNTIF(campaigns!$A$2:$A$51,$C416)=0,"campaign_id not on campaigns; ",IF(AND($D416&lt;&gt;"",COUNTIFS(approvals!$A$2:$A$251,$C416,approvals!$B$2:$B$251,$D416)=0),"office not on this campaign (approvals tab); ",""))&amp;IF(COUNTIFS(counts!$C$2:$C$701,$C416,counts!$D$2:$D$701,$D416,counts!$E$2:$E$701,$E416)&gt;1,"two "&amp;$E416&amp;" counts: keep one; ","")&amp;IF(AND($E416="remaining_day5",N($J416)&lt;5),"day-5 count logged before day 5; ","")&amp;IF(AND($G416="photo",$H416=""),"which photo?; ",""))</f>
        <v/>
      </c>
    </row>
    <row r="417">
      <c r="A417" s="9" t="n"/>
      <c r="B417" s="33" t="n"/>
      <c r="J417" s="25">
        <f>IF(OR($C417="",$A417=""),"",IF($A417&lt;IFERROR(IF(INDEX(campaigns!$BG$2:$BG$51,MATCH($C417,campaigns!$A$2:$A$51,0))="","",INDEX(campaigns!$BG$2:$BG$51,MATCH($C417,campaigns!$A$2:$A$51,0))),""),0,NETWORKDAYS(IFERROR(IF(INDEX(campaigns!$BG$2:$BG$51,MATCH($C417,campaigns!$A$2:$A$51,0))="","",INDEX(campaigns!$BG$2:$BG$51,MATCH($C417,campaigns!$A$2:$A$51,0))),""),$A417,calendar!$A$2:$A$80)))</f>
        <v/>
      </c>
      <c r="K417" s="25">
        <f>IF($C417="","",IF(COUNTIF(campaigns!$A$2:$A$51,$C417)=0,"campaign_id not on campaigns; ",IF(AND($D417&lt;&gt;"",COUNTIFS(approvals!$A$2:$A$251,$C417,approvals!$B$2:$B$251,$D417)=0),"office not on this campaign (approvals tab); ",""))&amp;IF(COUNTIFS(counts!$C$2:$C$701,$C417,counts!$D$2:$D$701,$D417,counts!$E$2:$E$701,$E417)&gt;1,"two "&amp;$E417&amp;" counts: keep one; ","")&amp;IF(AND($E417="remaining_day5",N($J417)&lt;5),"day-5 count logged before day 5; ","")&amp;IF(AND($G417="photo",$H417=""),"which photo?; ",""))</f>
        <v/>
      </c>
    </row>
    <row r="418">
      <c r="A418" s="9" t="n"/>
      <c r="B418" s="33" t="n"/>
      <c r="J418" s="25">
        <f>IF(OR($C418="",$A418=""),"",IF($A418&lt;IFERROR(IF(INDEX(campaigns!$BG$2:$BG$51,MATCH($C418,campaigns!$A$2:$A$51,0))="","",INDEX(campaigns!$BG$2:$BG$51,MATCH($C418,campaigns!$A$2:$A$51,0))),""),0,NETWORKDAYS(IFERROR(IF(INDEX(campaigns!$BG$2:$BG$51,MATCH($C418,campaigns!$A$2:$A$51,0))="","",INDEX(campaigns!$BG$2:$BG$51,MATCH($C418,campaigns!$A$2:$A$51,0))),""),$A418,calendar!$A$2:$A$80)))</f>
        <v/>
      </c>
      <c r="K418" s="25">
        <f>IF($C418="","",IF(COUNTIF(campaigns!$A$2:$A$51,$C418)=0,"campaign_id not on campaigns; ",IF(AND($D418&lt;&gt;"",COUNTIFS(approvals!$A$2:$A$251,$C418,approvals!$B$2:$B$251,$D418)=0),"office not on this campaign (approvals tab); ",""))&amp;IF(COUNTIFS(counts!$C$2:$C$701,$C418,counts!$D$2:$D$701,$D418,counts!$E$2:$E$701,$E418)&gt;1,"two "&amp;$E418&amp;" counts: keep one; ","")&amp;IF(AND($E418="remaining_day5",N($J418)&lt;5),"day-5 count logged before day 5; ","")&amp;IF(AND($G418="photo",$H418=""),"which photo?; ",""))</f>
        <v/>
      </c>
    </row>
    <row r="419">
      <c r="A419" s="9" t="n"/>
      <c r="B419" s="33" t="n"/>
      <c r="J419" s="25">
        <f>IF(OR($C419="",$A419=""),"",IF($A419&lt;IFERROR(IF(INDEX(campaigns!$BG$2:$BG$51,MATCH($C419,campaigns!$A$2:$A$51,0))="","",INDEX(campaigns!$BG$2:$BG$51,MATCH($C419,campaigns!$A$2:$A$51,0))),""),0,NETWORKDAYS(IFERROR(IF(INDEX(campaigns!$BG$2:$BG$51,MATCH($C419,campaigns!$A$2:$A$51,0))="","",INDEX(campaigns!$BG$2:$BG$51,MATCH($C419,campaigns!$A$2:$A$51,0))),""),$A419,calendar!$A$2:$A$80)))</f>
        <v/>
      </c>
      <c r="K419" s="25">
        <f>IF($C419="","",IF(COUNTIF(campaigns!$A$2:$A$51,$C419)=0,"campaign_id not on campaigns; ",IF(AND($D419&lt;&gt;"",COUNTIFS(approvals!$A$2:$A$251,$C419,approvals!$B$2:$B$251,$D419)=0),"office not on this campaign (approvals tab); ",""))&amp;IF(COUNTIFS(counts!$C$2:$C$701,$C419,counts!$D$2:$D$701,$D419,counts!$E$2:$E$701,$E419)&gt;1,"two "&amp;$E419&amp;" counts: keep one; ","")&amp;IF(AND($E419="remaining_day5",N($J419)&lt;5),"day-5 count logged before day 5; ","")&amp;IF(AND($G419="photo",$H419=""),"which photo?; ",""))</f>
        <v/>
      </c>
    </row>
    <row r="420">
      <c r="A420" s="9" t="n"/>
      <c r="B420" s="33" t="n"/>
      <c r="J420" s="25">
        <f>IF(OR($C420="",$A420=""),"",IF($A420&lt;IFERROR(IF(INDEX(campaigns!$BG$2:$BG$51,MATCH($C420,campaigns!$A$2:$A$51,0))="","",INDEX(campaigns!$BG$2:$BG$51,MATCH($C420,campaigns!$A$2:$A$51,0))),""),0,NETWORKDAYS(IFERROR(IF(INDEX(campaigns!$BG$2:$BG$51,MATCH($C420,campaigns!$A$2:$A$51,0))="","",INDEX(campaigns!$BG$2:$BG$51,MATCH($C420,campaigns!$A$2:$A$51,0))),""),$A420,calendar!$A$2:$A$80)))</f>
        <v/>
      </c>
      <c r="K420" s="25">
        <f>IF($C420="","",IF(COUNTIF(campaigns!$A$2:$A$51,$C420)=0,"campaign_id not on campaigns; ",IF(AND($D420&lt;&gt;"",COUNTIFS(approvals!$A$2:$A$251,$C420,approvals!$B$2:$B$251,$D420)=0),"office not on this campaign (approvals tab); ",""))&amp;IF(COUNTIFS(counts!$C$2:$C$701,$C420,counts!$D$2:$D$701,$D420,counts!$E$2:$E$701,$E420)&gt;1,"two "&amp;$E420&amp;" counts: keep one; ","")&amp;IF(AND($E420="remaining_day5",N($J420)&lt;5),"day-5 count logged before day 5; ","")&amp;IF(AND($G420="photo",$H420=""),"which photo?; ",""))</f>
        <v/>
      </c>
    </row>
    <row r="421">
      <c r="A421" s="9" t="n"/>
      <c r="B421" s="33" t="n"/>
      <c r="J421" s="25">
        <f>IF(OR($C421="",$A421=""),"",IF($A421&lt;IFERROR(IF(INDEX(campaigns!$BG$2:$BG$51,MATCH($C421,campaigns!$A$2:$A$51,0))="","",INDEX(campaigns!$BG$2:$BG$51,MATCH($C421,campaigns!$A$2:$A$51,0))),""),0,NETWORKDAYS(IFERROR(IF(INDEX(campaigns!$BG$2:$BG$51,MATCH($C421,campaigns!$A$2:$A$51,0))="","",INDEX(campaigns!$BG$2:$BG$51,MATCH($C421,campaigns!$A$2:$A$51,0))),""),$A421,calendar!$A$2:$A$80)))</f>
        <v/>
      </c>
      <c r="K421" s="25">
        <f>IF($C421="","",IF(COUNTIF(campaigns!$A$2:$A$51,$C421)=0,"campaign_id not on campaigns; ",IF(AND($D421&lt;&gt;"",COUNTIFS(approvals!$A$2:$A$251,$C421,approvals!$B$2:$B$251,$D421)=0),"office not on this campaign (approvals tab); ",""))&amp;IF(COUNTIFS(counts!$C$2:$C$701,$C421,counts!$D$2:$D$701,$D421,counts!$E$2:$E$701,$E421)&gt;1,"two "&amp;$E421&amp;" counts: keep one; ","")&amp;IF(AND($E421="remaining_day5",N($J421)&lt;5),"day-5 count logged before day 5; ","")&amp;IF(AND($G421="photo",$H421=""),"which photo?; ",""))</f>
        <v/>
      </c>
    </row>
    <row r="422">
      <c r="A422" s="9" t="n"/>
      <c r="B422" s="33" t="n"/>
      <c r="J422" s="25">
        <f>IF(OR($C422="",$A422=""),"",IF($A422&lt;IFERROR(IF(INDEX(campaigns!$BG$2:$BG$51,MATCH($C422,campaigns!$A$2:$A$51,0))="","",INDEX(campaigns!$BG$2:$BG$51,MATCH($C422,campaigns!$A$2:$A$51,0))),""),0,NETWORKDAYS(IFERROR(IF(INDEX(campaigns!$BG$2:$BG$51,MATCH($C422,campaigns!$A$2:$A$51,0))="","",INDEX(campaigns!$BG$2:$BG$51,MATCH($C422,campaigns!$A$2:$A$51,0))),""),$A422,calendar!$A$2:$A$80)))</f>
        <v/>
      </c>
      <c r="K422" s="25">
        <f>IF($C422="","",IF(COUNTIF(campaigns!$A$2:$A$51,$C422)=0,"campaign_id not on campaigns; ",IF(AND($D422&lt;&gt;"",COUNTIFS(approvals!$A$2:$A$251,$C422,approvals!$B$2:$B$251,$D422)=0),"office not on this campaign (approvals tab); ",""))&amp;IF(COUNTIFS(counts!$C$2:$C$701,$C422,counts!$D$2:$D$701,$D422,counts!$E$2:$E$701,$E422)&gt;1,"two "&amp;$E422&amp;" counts: keep one; ","")&amp;IF(AND($E422="remaining_day5",N($J422)&lt;5),"day-5 count logged before day 5; ","")&amp;IF(AND($G422="photo",$H422=""),"which photo?; ",""))</f>
        <v/>
      </c>
    </row>
    <row r="423">
      <c r="A423" s="9" t="n"/>
      <c r="B423" s="33" t="n"/>
      <c r="J423" s="25">
        <f>IF(OR($C423="",$A423=""),"",IF($A423&lt;IFERROR(IF(INDEX(campaigns!$BG$2:$BG$51,MATCH($C423,campaigns!$A$2:$A$51,0))="","",INDEX(campaigns!$BG$2:$BG$51,MATCH($C423,campaigns!$A$2:$A$51,0))),""),0,NETWORKDAYS(IFERROR(IF(INDEX(campaigns!$BG$2:$BG$51,MATCH($C423,campaigns!$A$2:$A$51,0))="","",INDEX(campaigns!$BG$2:$BG$51,MATCH($C423,campaigns!$A$2:$A$51,0))),""),$A423,calendar!$A$2:$A$80)))</f>
        <v/>
      </c>
      <c r="K423" s="25">
        <f>IF($C423="","",IF(COUNTIF(campaigns!$A$2:$A$51,$C423)=0,"campaign_id not on campaigns; ",IF(AND($D423&lt;&gt;"",COUNTIFS(approvals!$A$2:$A$251,$C423,approvals!$B$2:$B$251,$D423)=0),"office not on this campaign (approvals tab); ",""))&amp;IF(COUNTIFS(counts!$C$2:$C$701,$C423,counts!$D$2:$D$701,$D423,counts!$E$2:$E$701,$E423)&gt;1,"two "&amp;$E423&amp;" counts: keep one; ","")&amp;IF(AND($E423="remaining_day5",N($J423)&lt;5),"day-5 count logged before day 5; ","")&amp;IF(AND($G423="photo",$H423=""),"which photo?; ",""))</f>
        <v/>
      </c>
    </row>
    <row r="424">
      <c r="A424" s="9" t="n"/>
      <c r="B424" s="33" t="n"/>
      <c r="J424" s="25">
        <f>IF(OR($C424="",$A424=""),"",IF($A424&lt;IFERROR(IF(INDEX(campaigns!$BG$2:$BG$51,MATCH($C424,campaigns!$A$2:$A$51,0))="","",INDEX(campaigns!$BG$2:$BG$51,MATCH($C424,campaigns!$A$2:$A$51,0))),""),0,NETWORKDAYS(IFERROR(IF(INDEX(campaigns!$BG$2:$BG$51,MATCH($C424,campaigns!$A$2:$A$51,0))="","",INDEX(campaigns!$BG$2:$BG$51,MATCH($C424,campaigns!$A$2:$A$51,0))),""),$A424,calendar!$A$2:$A$80)))</f>
        <v/>
      </c>
      <c r="K424" s="25">
        <f>IF($C424="","",IF(COUNTIF(campaigns!$A$2:$A$51,$C424)=0,"campaign_id not on campaigns; ",IF(AND($D424&lt;&gt;"",COUNTIFS(approvals!$A$2:$A$251,$C424,approvals!$B$2:$B$251,$D424)=0),"office not on this campaign (approvals tab); ",""))&amp;IF(COUNTIFS(counts!$C$2:$C$701,$C424,counts!$D$2:$D$701,$D424,counts!$E$2:$E$701,$E424)&gt;1,"two "&amp;$E424&amp;" counts: keep one; ","")&amp;IF(AND($E424="remaining_day5",N($J424)&lt;5),"day-5 count logged before day 5; ","")&amp;IF(AND($G424="photo",$H424=""),"which photo?; ",""))</f>
        <v/>
      </c>
    </row>
    <row r="425">
      <c r="A425" s="9" t="n"/>
      <c r="B425" s="33" t="n"/>
      <c r="J425" s="25">
        <f>IF(OR($C425="",$A425=""),"",IF($A425&lt;IFERROR(IF(INDEX(campaigns!$BG$2:$BG$51,MATCH($C425,campaigns!$A$2:$A$51,0))="","",INDEX(campaigns!$BG$2:$BG$51,MATCH($C425,campaigns!$A$2:$A$51,0))),""),0,NETWORKDAYS(IFERROR(IF(INDEX(campaigns!$BG$2:$BG$51,MATCH($C425,campaigns!$A$2:$A$51,0))="","",INDEX(campaigns!$BG$2:$BG$51,MATCH($C425,campaigns!$A$2:$A$51,0))),""),$A425,calendar!$A$2:$A$80)))</f>
        <v/>
      </c>
      <c r="K425" s="25">
        <f>IF($C425="","",IF(COUNTIF(campaigns!$A$2:$A$51,$C425)=0,"campaign_id not on campaigns; ",IF(AND($D425&lt;&gt;"",COUNTIFS(approvals!$A$2:$A$251,$C425,approvals!$B$2:$B$251,$D425)=0),"office not on this campaign (approvals tab); ",""))&amp;IF(COUNTIFS(counts!$C$2:$C$701,$C425,counts!$D$2:$D$701,$D425,counts!$E$2:$E$701,$E425)&gt;1,"two "&amp;$E425&amp;" counts: keep one; ","")&amp;IF(AND($E425="remaining_day5",N($J425)&lt;5),"day-5 count logged before day 5; ","")&amp;IF(AND($G425="photo",$H425=""),"which photo?; ",""))</f>
        <v/>
      </c>
    </row>
    <row r="426">
      <c r="A426" s="9" t="n"/>
      <c r="B426" s="33" t="n"/>
      <c r="J426" s="25">
        <f>IF(OR($C426="",$A426=""),"",IF($A426&lt;IFERROR(IF(INDEX(campaigns!$BG$2:$BG$51,MATCH($C426,campaigns!$A$2:$A$51,0))="","",INDEX(campaigns!$BG$2:$BG$51,MATCH($C426,campaigns!$A$2:$A$51,0))),""),0,NETWORKDAYS(IFERROR(IF(INDEX(campaigns!$BG$2:$BG$51,MATCH($C426,campaigns!$A$2:$A$51,0))="","",INDEX(campaigns!$BG$2:$BG$51,MATCH($C426,campaigns!$A$2:$A$51,0))),""),$A426,calendar!$A$2:$A$80)))</f>
        <v/>
      </c>
      <c r="K426" s="25">
        <f>IF($C426="","",IF(COUNTIF(campaigns!$A$2:$A$51,$C426)=0,"campaign_id not on campaigns; ",IF(AND($D426&lt;&gt;"",COUNTIFS(approvals!$A$2:$A$251,$C426,approvals!$B$2:$B$251,$D426)=0),"office not on this campaign (approvals tab); ",""))&amp;IF(COUNTIFS(counts!$C$2:$C$701,$C426,counts!$D$2:$D$701,$D426,counts!$E$2:$E$701,$E426)&gt;1,"two "&amp;$E426&amp;" counts: keep one; ","")&amp;IF(AND($E426="remaining_day5",N($J426)&lt;5),"day-5 count logged before day 5; ","")&amp;IF(AND($G426="photo",$H426=""),"which photo?; ",""))</f>
        <v/>
      </c>
    </row>
    <row r="427">
      <c r="A427" s="9" t="n"/>
      <c r="B427" s="33" t="n"/>
      <c r="J427" s="25">
        <f>IF(OR($C427="",$A427=""),"",IF($A427&lt;IFERROR(IF(INDEX(campaigns!$BG$2:$BG$51,MATCH($C427,campaigns!$A$2:$A$51,0))="","",INDEX(campaigns!$BG$2:$BG$51,MATCH($C427,campaigns!$A$2:$A$51,0))),""),0,NETWORKDAYS(IFERROR(IF(INDEX(campaigns!$BG$2:$BG$51,MATCH($C427,campaigns!$A$2:$A$51,0))="","",INDEX(campaigns!$BG$2:$BG$51,MATCH($C427,campaigns!$A$2:$A$51,0))),""),$A427,calendar!$A$2:$A$80)))</f>
        <v/>
      </c>
      <c r="K427" s="25">
        <f>IF($C427="","",IF(COUNTIF(campaigns!$A$2:$A$51,$C427)=0,"campaign_id not on campaigns; ",IF(AND($D427&lt;&gt;"",COUNTIFS(approvals!$A$2:$A$251,$C427,approvals!$B$2:$B$251,$D427)=0),"office not on this campaign (approvals tab); ",""))&amp;IF(COUNTIFS(counts!$C$2:$C$701,$C427,counts!$D$2:$D$701,$D427,counts!$E$2:$E$701,$E427)&gt;1,"two "&amp;$E427&amp;" counts: keep one; ","")&amp;IF(AND($E427="remaining_day5",N($J427)&lt;5),"day-5 count logged before day 5; ","")&amp;IF(AND($G427="photo",$H427=""),"which photo?; ",""))</f>
        <v/>
      </c>
    </row>
    <row r="428">
      <c r="A428" s="9" t="n"/>
      <c r="B428" s="33" t="n"/>
      <c r="J428" s="25">
        <f>IF(OR($C428="",$A428=""),"",IF($A428&lt;IFERROR(IF(INDEX(campaigns!$BG$2:$BG$51,MATCH($C428,campaigns!$A$2:$A$51,0))="","",INDEX(campaigns!$BG$2:$BG$51,MATCH($C428,campaigns!$A$2:$A$51,0))),""),0,NETWORKDAYS(IFERROR(IF(INDEX(campaigns!$BG$2:$BG$51,MATCH($C428,campaigns!$A$2:$A$51,0))="","",INDEX(campaigns!$BG$2:$BG$51,MATCH($C428,campaigns!$A$2:$A$51,0))),""),$A428,calendar!$A$2:$A$80)))</f>
        <v/>
      </c>
      <c r="K428" s="25">
        <f>IF($C428="","",IF(COUNTIF(campaigns!$A$2:$A$51,$C428)=0,"campaign_id not on campaigns; ",IF(AND($D428&lt;&gt;"",COUNTIFS(approvals!$A$2:$A$251,$C428,approvals!$B$2:$B$251,$D428)=0),"office not on this campaign (approvals tab); ",""))&amp;IF(COUNTIFS(counts!$C$2:$C$701,$C428,counts!$D$2:$D$701,$D428,counts!$E$2:$E$701,$E428)&gt;1,"two "&amp;$E428&amp;" counts: keep one; ","")&amp;IF(AND($E428="remaining_day5",N($J428)&lt;5),"day-5 count logged before day 5; ","")&amp;IF(AND($G428="photo",$H428=""),"which photo?; ",""))</f>
        <v/>
      </c>
    </row>
    <row r="429">
      <c r="A429" s="9" t="n"/>
      <c r="B429" s="33" t="n"/>
      <c r="J429" s="25">
        <f>IF(OR($C429="",$A429=""),"",IF($A429&lt;IFERROR(IF(INDEX(campaigns!$BG$2:$BG$51,MATCH($C429,campaigns!$A$2:$A$51,0))="","",INDEX(campaigns!$BG$2:$BG$51,MATCH($C429,campaigns!$A$2:$A$51,0))),""),0,NETWORKDAYS(IFERROR(IF(INDEX(campaigns!$BG$2:$BG$51,MATCH($C429,campaigns!$A$2:$A$51,0))="","",INDEX(campaigns!$BG$2:$BG$51,MATCH($C429,campaigns!$A$2:$A$51,0))),""),$A429,calendar!$A$2:$A$80)))</f>
        <v/>
      </c>
      <c r="K429" s="25">
        <f>IF($C429="","",IF(COUNTIF(campaigns!$A$2:$A$51,$C429)=0,"campaign_id not on campaigns; ",IF(AND($D429&lt;&gt;"",COUNTIFS(approvals!$A$2:$A$251,$C429,approvals!$B$2:$B$251,$D429)=0),"office not on this campaign (approvals tab); ",""))&amp;IF(COUNTIFS(counts!$C$2:$C$701,$C429,counts!$D$2:$D$701,$D429,counts!$E$2:$E$701,$E429)&gt;1,"two "&amp;$E429&amp;" counts: keep one; ","")&amp;IF(AND($E429="remaining_day5",N($J429)&lt;5),"day-5 count logged before day 5; ","")&amp;IF(AND($G429="photo",$H429=""),"which photo?; ",""))</f>
        <v/>
      </c>
    </row>
    <row r="430">
      <c r="A430" s="9" t="n"/>
      <c r="B430" s="33" t="n"/>
      <c r="J430" s="25">
        <f>IF(OR($C430="",$A430=""),"",IF($A430&lt;IFERROR(IF(INDEX(campaigns!$BG$2:$BG$51,MATCH($C430,campaigns!$A$2:$A$51,0))="","",INDEX(campaigns!$BG$2:$BG$51,MATCH($C430,campaigns!$A$2:$A$51,0))),""),0,NETWORKDAYS(IFERROR(IF(INDEX(campaigns!$BG$2:$BG$51,MATCH($C430,campaigns!$A$2:$A$51,0))="","",INDEX(campaigns!$BG$2:$BG$51,MATCH($C430,campaigns!$A$2:$A$51,0))),""),$A430,calendar!$A$2:$A$80)))</f>
        <v/>
      </c>
      <c r="K430" s="25">
        <f>IF($C430="","",IF(COUNTIF(campaigns!$A$2:$A$51,$C430)=0,"campaign_id not on campaigns; ",IF(AND($D430&lt;&gt;"",COUNTIFS(approvals!$A$2:$A$251,$C430,approvals!$B$2:$B$251,$D430)=0),"office not on this campaign (approvals tab); ",""))&amp;IF(COUNTIFS(counts!$C$2:$C$701,$C430,counts!$D$2:$D$701,$D430,counts!$E$2:$E$701,$E430)&gt;1,"two "&amp;$E430&amp;" counts: keep one; ","")&amp;IF(AND($E430="remaining_day5",N($J430)&lt;5),"day-5 count logged before day 5; ","")&amp;IF(AND($G430="photo",$H430=""),"which photo?; ",""))</f>
        <v/>
      </c>
    </row>
    <row r="431">
      <c r="A431" s="9" t="n"/>
      <c r="B431" s="33" t="n"/>
      <c r="J431" s="25">
        <f>IF(OR($C431="",$A431=""),"",IF($A431&lt;IFERROR(IF(INDEX(campaigns!$BG$2:$BG$51,MATCH($C431,campaigns!$A$2:$A$51,0))="","",INDEX(campaigns!$BG$2:$BG$51,MATCH($C431,campaigns!$A$2:$A$51,0))),""),0,NETWORKDAYS(IFERROR(IF(INDEX(campaigns!$BG$2:$BG$51,MATCH($C431,campaigns!$A$2:$A$51,0))="","",INDEX(campaigns!$BG$2:$BG$51,MATCH($C431,campaigns!$A$2:$A$51,0))),""),$A431,calendar!$A$2:$A$80)))</f>
        <v/>
      </c>
      <c r="K431" s="25">
        <f>IF($C431="","",IF(COUNTIF(campaigns!$A$2:$A$51,$C431)=0,"campaign_id not on campaigns; ",IF(AND($D431&lt;&gt;"",COUNTIFS(approvals!$A$2:$A$251,$C431,approvals!$B$2:$B$251,$D431)=0),"office not on this campaign (approvals tab); ",""))&amp;IF(COUNTIFS(counts!$C$2:$C$701,$C431,counts!$D$2:$D$701,$D431,counts!$E$2:$E$701,$E431)&gt;1,"two "&amp;$E431&amp;" counts: keep one; ","")&amp;IF(AND($E431="remaining_day5",N($J431)&lt;5),"day-5 count logged before day 5; ","")&amp;IF(AND($G431="photo",$H431=""),"which photo?; ",""))</f>
        <v/>
      </c>
    </row>
    <row r="432">
      <c r="A432" s="9" t="n"/>
      <c r="B432" s="33" t="n"/>
      <c r="J432" s="25">
        <f>IF(OR($C432="",$A432=""),"",IF($A432&lt;IFERROR(IF(INDEX(campaigns!$BG$2:$BG$51,MATCH($C432,campaigns!$A$2:$A$51,0))="","",INDEX(campaigns!$BG$2:$BG$51,MATCH($C432,campaigns!$A$2:$A$51,0))),""),0,NETWORKDAYS(IFERROR(IF(INDEX(campaigns!$BG$2:$BG$51,MATCH($C432,campaigns!$A$2:$A$51,0))="","",INDEX(campaigns!$BG$2:$BG$51,MATCH($C432,campaigns!$A$2:$A$51,0))),""),$A432,calendar!$A$2:$A$80)))</f>
        <v/>
      </c>
      <c r="K432" s="25">
        <f>IF($C432="","",IF(COUNTIF(campaigns!$A$2:$A$51,$C432)=0,"campaign_id not on campaigns; ",IF(AND($D432&lt;&gt;"",COUNTIFS(approvals!$A$2:$A$251,$C432,approvals!$B$2:$B$251,$D432)=0),"office not on this campaign (approvals tab); ",""))&amp;IF(COUNTIFS(counts!$C$2:$C$701,$C432,counts!$D$2:$D$701,$D432,counts!$E$2:$E$701,$E432)&gt;1,"two "&amp;$E432&amp;" counts: keep one; ","")&amp;IF(AND($E432="remaining_day5",N($J432)&lt;5),"day-5 count logged before day 5; ","")&amp;IF(AND($G432="photo",$H432=""),"which photo?; ",""))</f>
        <v/>
      </c>
    </row>
    <row r="433">
      <c r="A433" s="9" t="n"/>
      <c r="B433" s="33" t="n"/>
      <c r="J433" s="25">
        <f>IF(OR($C433="",$A433=""),"",IF($A433&lt;IFERROR(IF(INDEX(campaigns!$BG$2:$BG$51,MATCH($C433,campaigns!$A$2:$A$51,0))="","",INDEX(campaigns!$BG$2:$BG$51,MATCH($C433,campaigns!$A$2:$A$51,0))),""),0,NETWORKDAYS(IFERROR(IF(INDEX(campaigns!$BG$2:$BG$51,MATCH($C433,campaigns!$A$2:$A$51,0))="","",INDEX(campaigns!$BG$2:$BG$51,MATCH($C433,campaigns!$A$2:$A$51,0))),""),$A433,calendar!$A$2:$A$80)))</f>
        <v/>
      </c>
      <c r="K433" s="25">
        <f>IF($C433="","",IF(COUNTIF(campaigns!$A$2:$A$51,$C433)=0,"campaign_id not on campaigns; ",IF(AND($D433&lt;&gt;"",COUNTIFS(approvals!$A$2:$A$251,$C433,approvals!$B$2:$B$251,$D433)=0),"office not on this campaign (approvals tab); ",""))&amp;IF(COUNTIFS(counts!$C$2:$C$701,$C433,counts!$D$2:$D$701,$D433,counts!$E$2:$E$701,$E433)&gt;1,"two "&amp;$E433&amp;" counts: keep one; ","")&amp;IF(AND($E433="remaining_day5",N($J433)&lt;5),"day-5 count logged before day 5; ","")&amp;IF(AND($G433="photo",$H433=""),"which photo?; ",""))</f>
        <v/>
      </c>
    </row>
    <row r="434">
      <c r="A434" s="9" t="n"/>
      <c r="B434" s="33" t="n"/>
      <c r="J434" s="25">
        <f>IF(OR($C434="",$A434=""),"",IF($A434&lt;IFERROR(IF(INDEX(campaigns!$BG$2:$BG$51,MATCH($C434,campaigns!$A$2:$A$51,0))="","",INDEX(campaigns!$BG$2:$BG$51,MATCH($C434,campaigns!$A$2:$A$51,0))),""),0,NETWORKDAYS(IFERROR(IF(INDEX(campaigns!$BG$2:$BG$51,MATCH($C434,campaigns!$A$2:$A$51,0))="","",INDEX(campaigns!$BG$2:$BG$51,MATCH($C434,campaigns!$A$2:$A$51,0))),""),$A434,calendar!$A$2:$A$80)))</f>
        <v/>
      </c>
      <c r="K434" s="25">
        <f>IF($C434="","",IF(COUNTIF(campaigns!$A$2:$A$51,$C434)=0,"campaign_id not on campaigns; ",IF(AND($D434&lt;&gt;"",COUNTIFS(approvals!$A$2:$A$251,$C434,approvals!$B$2:$B$251,$D434)=0),"office not on this campaign (approvals tab); ",""))&amp;IF(COUNTIFS(counts!$C$2:$C$701,$C434,counts!$D$2:$D$701,$D434,counts!$E$2:$E$701,$E434)&gt;1,"two "&amp;$E434&amp;" counts: keep one; ","")&amp;IF(AND($E434="remaining_day5",N($J434)&lt;5),"day-5 count logged before day 5; ","")&amp;IF(AND($G434="photo",$H434=""),"which photo?; ",""))</f>
        <v/>
      </c>
    </row>
    <row r="435">
      <c r="A435" s="9" t="n"/>
      <c r="B435" s="33" t="n"/>
      <c r="J435" s="25">
        <f>IF(OR($C435="",$A435=""),"",IF($A435&lt;IFERROR(IF(INDEX(campaigns!$BG$2:$BG$51,MATCH($C435,campaigns!$A$2:$A$51,0))="","",INDEX(campaigns!$BG$2:$BG$51,MATCH($C435,campaigns!$A$2:$A$51,0))),""),0,NETWORKDAYS(IFERROR(IF(INDEX(campaigns!$BG$2:$BG$51,MATCH($C435,campaigns!$A$2:$A$51,0))="","",INDEX(campaigns!$BG$2:$BG$51,MATCH($C435,campaigns!$A$2:$A$51,0))),""),$A435,calendar!$A$2:$A$80)))</f>
        <v/>
      </c>
      <c r="K435" s="25">
        <f>IF($C435="","",IF(COUNTIF(campaigns!$A$2:$A$51,$C435)=0,"campaign_id not on campaigns; ",IF(AND($D435&lt;&gt;"",COUNTIFS(approvals!$A$2:$A$251,$C435,approvals!$B$2:$B$251,$D435)=0),"office not on this campaign (approvals tab); ",""))&amp;IF(COUNTIFS(counts!$C$2:$C$701,$C435,counts!$D$2:$D$701,$D435,counts!$E$2:$E$701,$E435)&gt;1,"two "&amp;$E435&amp;" counts: keep one; ","")&amp;IF(AND($E435="remaining_day5",N($J435)&lt;5),"day-5 count logged before day 5; ","")&amp;IF(AND($G435="photo",$H435=""),"which photo?; ",""))</f>
        <v/>
      </c>
    </row>
    <row r="436">
      <c r="A436" s="9" t="n"/>
      <c r="B436" s="33" t="n"/>
      <c r="J436" s="25">
        <f>IF(OR($C436="",$A436=""),"",IF($A436&lt;IFERROR(IF(INDEX(campaigns!$BG$2:$BG$51,MATCH($C436,campaigns!$A$2:$A$51,0))="","",INDEX(campaigns!$BG$2:$BG$51,MATCH($C436,campaigns!$A$2:$A$51,0))),""),0,NETWORKDAYS(IFERROR(IF(INDEX(campaigns!$BG$2:$BG$51,MATCH($C436,campaigns!$A$2:$A$51,0))="","",INDEX(campaigns!$BG$2:$BG$51,MATCH($C436,campaigns!$A$2:$A$51,0))),""),$A436,calendar!$A$2:$A$80)))</f>
        <v/>
      </c>
      <c r="K436" s="25">
        <f>IF($C436="","",IF(COUNTIF(campaigns!$A$2:$A$51,$C436)=0,"campaign_id not on campaigns; ",IF(AND($D436&lt;&gt;"",COUNTIFS(approvals!$A$2:$A$251,$C436,approvals!$B$2:$B$251,$D436)=0),"office not on this campaign (approvals tab); ",""))&amp;IF(COUNTIFS(counts!$C$2:$C$701,$C436,counts!$D$2:$D$701,$D436,counts!$E$2:$E$701,$E436)&gt;1,"two "&amp;$E436&amp;" counts: keep one; ","")&amp;IF(AND($E436="remaining_day5",N($J436)&lt;5),"day-5 count logged before day 5; ","")&amp;IF(AND($G436="photo",$H436=""),"which photo?; ",""))</f>
        <v/>
      </c>
    </row>
    <row r="437">
      <c r="A437" s="9" t="n"/>
      <c r="B437" s="33" t="n"/>
      <c r="J437" s="25">
        <f>IF(OR($C437="",$A437=""),"",IF($A437&lt;IFERROR(IF(INDEX(campaigns!$BG$2:$BG$51,MATCH($C437,campaigns!$A$2:$A$51,0))="","",INDEX(campaigns!$BG$2:$BG$51,MATCH($C437,campaigns!$A$2:$A$51,0))),""),0,NETWORKDAYS(IFERROR(IF(INDEX(campaigns!$BG$2:$BG$51,MATCH($C437,campaigns!$A$2:$A$51,0))="","",INDEX(campaigns!$BG$2:$BG$51,MATCH($C437,campaigns!$A$2:$A$51,0))),""),$A437,calendar!$A$2:$A$80)))</f>
        <v/>
      </c>
      <c r="K437" s="25">
        <f>IF($C437="","",IF(COUNTIF(campaigns!$A$2:$A$51,$C437)=0,"campaign_id not on campaigns; ",IF(AND($D437&lt;&gt;"",COUNTIFS(approvals!$A$2:$A$251,$C437,approvals!$B$2:$B$251,$D437)=0),"office not on this campaign (approvals tab); ",""))&amp;IF(COUNTIFS(counts!$C$2:$C$701,$C437,counts!$D$2:$D$701,$D437,counts!$E$2:$E$701,$E437)&gt;1,"two "&amp;$E437&amp;" counts: keep one; ","")&amp;IF(AND($E437="remaining_day5",N($J437)&lt;5),"day-5 count logged before day 5; ","")&amp;IF(AND($G437="photo",$H437=""),"which photo?; ",""))</f>
        <v/>
      </c>
    </row>
    <row r="438">
      <c r="A438" s="9" t="n"/>
      <c r="B438" s="33" t="n"/>
      <c r="J438" s="25">
        <f>IF(OR($C438="",$A438=""),"",IF($A438&lt;IFERROR(IF(INDEX(campaigns!$BG$2:$BG$51,MATCH($C438,campaigns!$A$2:$A$51,0))="","",INDEX(campaigns!$BG$2:$BG$51,MATCH($C438,campaigns!$A$2:$A$51,0))),""),0,NETWORKDAYS(IFERROR(IF(INDEX(campaigns!$BG$2:$BG$51,MATCH($C438,campaigns!$A$2:$A$51,0))="","",INDEX(campaigns!$BG$2:$BG$51,MATCH($C438,campaigns!$A$2:$A$51,0))),""),$A438,calendar!$A$2:$A$80)))</f>
        <v/>
      </c>
      <c r="K438" s="25">
        <f>IF($C438="","",IF(COUNTIF(campaigns!$A$2:$A$51,$C438)=0,"campaign_id not on campaigns; ",IF(AND($D438&lt;&gt;"",COUNTIFS(approvals!$A$2:$A$251,$C438,approvals!$B$2:$B$251,$D438)=0),"office not on this campaign (approvals tab); ",""))&amp;IF(COUNTIFS(counts!$C$2:$C$701,$C438,counts!$D$2:$D$701,$D438,counts!$E$2:$E$701,$E438)&gt;1,"two "&amp;$E438&amp;" counts: keep one; ","")&amp;IF(AND($E438="remaining_day5",N($J438)&lt;5),"day-5 count logged before day 5; ","")&amp;IF(AND($G438="photo",$H438=""),"which photo?; ",""))</f>
        <v/>
      </c>
    </row>
    <row r="439">
      <c r="A439" s="9" t="n"/>
      <c r="B439" s="33" t="n"/>
      <c r="J439" s="25">
        <f>IF(OR($C439="",$A439=""),"",IF($A439&lt;IFERROR(IF(INDEX(campaigns!$BG$2:$BG$51,MATCH($C439,campaigns!$A$2:$A$51,0))="","",INDEX(campaigns!$BG$2:$BG$51,MATCH($C439,campaigns!$A$2:$A$51,0))),""),0,NETWORKDAYS(IFERROR(IF(INDEX(campaigns!$BG$2:$BG$51,MATCH($C439,campaigns!$A$2:$A$51,0))="","",INDEX(campaigns!$BG$2:$BG$51,MATCH($C439,campaigns!$A$2:$A$51,0))),""),$A439,calendar!$A$2:$A$80)))</f>
        <v/>
      </c>
      <c r="K439" s="25">
        <f>IF($C439="","",IF(COUNTIF(campaigns!$A$2:$A$51,$C439)=0,"campaign_id not on campaigns; ",IF(AND($D439&lt;&gt;"",COUNTIFS(approvals!$A$2:$A$251,$C439,approvals!$B$2:$B$251,$D439)=0),"office not on this campaign (approvals tab); ",""))&amp;IF(COUNTIFS(counts!$C$2:$C$701,$C439,counts!$D$2:$D$701,$D439,counts!$E$2:$E$701,$E439)&gt;1,"two "&amp;$E439&amp;" counts: keep one; ","")&amp;IF(AND($E439="remaining_day5",N($J439)&lt;5),"day-5 count logged before day 5; ","")&amp;IF(AND($G439="photo",$H439=""),"which photo?; ",""))</f>
        <v/>
      </c>
    </row>
    <row r="440">
      <c r="A440" s="9" t="n"/>
      <c r="B440" s="33" t="n"/>
      <c r="J440" s="25">
        <f>IF(OR($C440="",$A440=""),"",IF($A440&lt;IFERROR(IF(INDEX(campaigns!$BG$2:$BG$51,MATCH($C440,campaigns!$A$2:$A$51,0))="","",INDEX(campaigns!$BG$2:$BG$51,MATCH($C440,campaigns!$A$2:$A$51,0))),""),0,NETWORKDAYS(IFERROR(IF(INDEX(campaigns!$BG$2:$BG$51,MATCH($C440,campaigns!$A$2:$A$51,0))="","",INDEX(campaigns!$BG$2:$BG$51,MATCH($C440,campaigns!$A$2:$A$51,0))),""),$A440,calendar!$A$2:$A$80)))</f>
        <v/>
      </c>
      <c r="K440" s="25">
        <f>IF($C440="","",IF(COUNTIF(campaigns!$A$2:$A$51,$C440)=0,"campaign_id not on campaigns; ",IF(AND($D440&lt;&gt;"",COUNTIFS(approvals!$A$2:$A$251,$C440,approvals!$B$2:$B$251,$D440)=0),"office not on this campaign (approvals tab); ",""))&amp;IF(COUNTIFS(counts!$C$2:$C$701,$C440,counts!$D$2:$D$701,$D440,counts!$E$2:$E$701,$E440)&gt;1,"two "&amp;$E440&amp;" counts: keep one; ","")&amp;IF(AND($E440="remaining_day5",N($J440)&lt;5),"day-5 count logged before day 5; ","")&amp;IF(AND($G440="photo",$H440=""),"which photo?; ",""))</f>
        <v/>
      </c>
    </row>
    <row r="441">
      <c r="A441" s="9" t="n"/>
      <c r="B441" s="33" t="n"/>
      <c r="J441" s="25">
        <f>IF(OR($C441="",$A441=""),"",IF($A441&lt;IFERROR(IF(INDEX(campaigns!$BG$2:$BG$51,MATCH($C441,campaigns!$A$2:$A$51,0))="","",INDEX(campaigns!$BG$2:$BG$51,MATCH($C441,campaigns!$A$2:$A$51,0))),""),0,NETWORKDAYS(IFERROR(IF(INDEX(campaigns!$BG$2:$BG$51,MATCH($C441,campaigns!$A$2:$A$51,0))="","",INDEX(campaigns!$BG$2:$BG$51,MATCH($C441,campaigns!$A$2:$A$51,0))),""),$A441,calendar!$A$2:$A$80)))</f>
        <v/>
      </c>
      <c r="K441" s="25">
        <f>IF($C441="","",IF(COUNTIF(campaigns!$A$2:$A$51,$C441)=0,"campaign_id not on campaigns; ",IF(AND($D441&lt;&gt;"",COUNTIFS(approvals!$A$2:$A$251,$C441,approvals!$B$2:$B$251,$D441)=0),"office not on this campaign (approvals tab); ",""))&amp;IF(COUNTIFS(counts!$C$2:$C$701,$C441,counts!$D$2:$D$701,$D441,counts!$E$2:$E$701,$E441)&gt;1,"two "&amp;$E441&amp;" counts: keep one; ","")&amp;IF(AND($E441="remaining_day5",N($J441)&lt;5),"day-5 count logged before day 5; ","")&amp;IF(AND($G441="photo",$H441=""),"which photo?; ",""))</f>
        <v/>
      </c>
    </row>
    <row r="442">
      <c r="A442" s="9" t="n"/>
      <c r="B442" s="33" t="n"/>
      <c r="J442" s="25">
        <f>IF(OR($C442="",$A442=""),"",IF($A442&lt;IFERROR(IF(INDEX(campaigns!$BG$2:$BG$51,MATCH($C442,campaigns!$A$2:$A$51,0))="","",INDEX(campaigns!$BG$2:$BG$51,MATCH($C442,campaigns!$A$2:$A$51,0))),""),0,NETWORKDAYS(IFERROR(IF(INDEX(campaigns!$BG$2:$BG$51,MATCH($C442,campaigns!$A$2:$A$51,0))="","",INDEX(campaigns!$BG$2:$BG$51,MATCH($C442,campaigns!$A$2:$A$51,0))),""),$A442,calendar!$A$2:$A$80)))</f>
        <v/>
      </c>
      <c r="K442" s="25">
        <f>IF($C442="","",IF(COUNTIF(campaigns!$A$2:$A$51,$C442)=0,"campaign_id not on campaigns; ",IF(AND($D442&lt;&gt;"",COUNTIFS(approvals!$A$2:$A$251,$C442,approvals!$B$2:$B$251,$D442)=0),"office not on this campaign (approvals tab); ",""))&amp;IF(COUNTIFS(counts!$C$2:$C$701,$C442,counts!$D$2:$D$701,$D442,counts!$E$2:$E$701,$E442)&gt;1,"two "&amp;$E442&amp;" counts: keep one; ","")&amp;IF(AND($E442="remaining_day5",N($J442)&lt;5),"day-5 count logged before day 5; ","")&amp;IF(AND($G442="photo",$H442=""),"which photo?; ",""))</f>
        <v/>
      </c>
    </row>
    <row r="443">
      <c r="A443" s="9" t="n"/>
      <c r="B443" s="33" t="n"/>
      <c r="J443" s="25">
        <f>IF(OR($C443="",$A443=""),"",IF($A443&lt;IFERROR(IF(INDEX(campaigns!$BG$2:$BG$51,MATCH($C443,campaigns!$A$2:$A$51,0))="","",INDEX(campaigns!$BG$2:$BG$51,MATCH($C443,campaigns!$A$2:$A$51,0))),""),0,NETWORKDAYS(IFERROR(IF(INDEX(campaigns!$BG$2:$BG$51,MATCH($C443,campaigns!$A$2:$A$51,0))="","",INDEX(campaigns!$BG$2:$BG$51,MATCH($C443,campaigns!$A$2:$A$51,0))),""),$A443,calendar!$A$2:$A$80)))</f>
        <v/>
      </c>
      <c r="K443" s="25">
        <f>IF($C443="","",IF(COUNTIF(campaigns!$A$2:$A$51,$C443)=0,"campaign_id not on campaigns; ",IF(AND($D443&lt;&gt;"",COUNTIFS(approvals!$A$2:$A$251,$C443,approvals!$B$2:$B$251,$D443)=0),"office not on this campaign (approvals tab); ",""))&amp;IF(COUNTIFS(counts!$C$2:$C$701,$C443,counts!$D$2:$D$701,$D443,counts!$E$2:$E$701,$E443)&gt;1,"two "&amp;$E443&amp;" counts: keep one; ","")&amp;IF(AND($E443="remaining_day5",N($J443)&lt;5),"day-5 count logged before day 5; ","")&amp;IF(AND($G443="photo",$H443=""),"which photo?; ",""))</f>
        <v/>
      </c>
    </row>
    <row r="444">
      <c r="A444" s="9" t="n"/>
      <c r="B444" s="33" t="n"/>
      <c r="J444" s="25">
        <f>IF(OR($C444="",$A444=""),"",IF($A444&lt;IFERROR(IF(INDEX(campaigns!$BG$2:$BG$51,MATCH($C444,campaigns!$A$2:$A$51,0))="","",INDEX(campaigns!$BG$2:$BG$51,MATCH($C444,campaigns!$A$2:$A$51,0))),""),0,NETWORKDAYS(IFERROR(IF(INDEX(campaigns!$BG$2:$BG$51,MATCH($C444,campaigns!$A$2:$A$51,0))="","",INDEX(campaigns!$BG$2:$BG$51,MATCH($C444,campaigns!$A$2:$A$51,0))),""),$A444,calendar!$A$2:$A$80)))</f>
        <v/>
      </c>
      <c r="K444" s="25">
        <f>IF($C444="","",IF(COUNTIF(campaigns!$A$2:$A$51,$C444)=0,"campaign_id not on campaigns; ",IF(AND($D444&lt;&gt;"",COUNTIFS(approvals!$A$2:$A$251,$C444,approvals!$B$2:$B$251,$D444)=0),"office not on this campaign (approvals tab); ",""))&amp;IF(COUNTIFS(counts!$C$2:$C$701,$C444,counts!$D$2:$D$701,$D444,counts!$E$2:$E$701,$E444)&gt;1,"two "&amp;$E444&amp;" counts: keep one; ","")&amp;IF(AND($E444="remaining_day5",N($J444)&lt;5),"day-5 count logged before day 5; ","")&amp;IF(AND($G444="photo",$H444=""),"which photo?; ",""))</f>
        <v/>
      </c>
    </row>
    <row r="445">
      <c r="A445" s="9" t="n"/>
      <c r="B445" s="33" t="n"/>
      <c r="J445" s="25">
        <f>IF(OR($C445="",$A445=""),"",IF($A445&lt;IFERROR(IF(INDEX(campaigns!$BG$2:$BG$51,MATCH($C445,campaigns!$A$2:$A$51,0))="","",INDEX(campaigns!$BG$2:$BG$51,MATCH($C445,campaigns!$A$2:$A$51,0))),""),0,NETWORKDAYS(IFERROR(IF(INDEX(campaigns!$BG$2:$BG$51,MATCH($C445,campaigns!$A$2:$A$51,0))="","",INDEX(campaigns!$BG$2:$BG$51,MATCH($C445,campaigns!$A$2:$A$51,0))),""),$A445,calendar!$A$2:$A$80)))</f>
        <v/>
      </c>
      <c r="K445" s="25">
        <f>IF($C445="","",IF(COUNTIF(campaigns!$A$2:$A$51,$C445)=0,"campaign_id not on campaigns; ",IF(AND($D445&lt;&gt;"",COUNTIFS(approvals!$A$2:$A$251,$C445,approvals!$B$2:$B$251,$D445)=0),"office not on this campaign (approvals tab); ",""))&amp;IF(COUNTIFS(counts!$C$2:$C$701,$C445,counts!$D$2:$D$701,$D445,counts!$E$2:$E$701,$E445)&gt;1,"two "&amp;$E445&amp;" counts: keep one; ","")&amp;IF(AND($E445="remaining_day5",N($J445)&lt;5),"day-5 count logged before day 5; ","")&amp;IF(AND($G445="photo",$H445=""),"which photo?; ",""))</f>
        <v/>
      </c>
    </row>
    <row r="446">
      <c r="A446" s="9" t="n"/>
      <c r="B446" s="33" t="n"/>
      <c r="J446" s="25">
        <f>IF(OR($C446="",$A446=""),"",IF($A446&lt;IFERROR(IF(INDEX(campaigns!$BG$2:$BG$51,MATCH($C446,campaigns!$A$2:$A$51,0))="","",INDEX(campaigns!$BG$2:$BG$51,MATCH($C446,campaigns!$A$2:$A$51,0))),""),0,NETWORKDAYS(IFERROR(IF(INDEX(campaigns!$BG$2:$BG$51,MATCH($C446,campaigns!$A$2:$A$51,0))="","",INDEX(campaigns!$BG$2:$BG$51,MATCH($C446,campaigns!$A$2:$A$51,0))),""),$A446,calendar!$A$2:$A$80)))</f>
        <v/>
      </c>
      <c r="K446" s="25">
        <f>IF($C446="","",IF(COUNTIF(campaigns!$A$2:$A$51,$C446)=0,"campaign_id not on campaigns; ",IF(AND($D446&lt;&gt;"",COUNTIFS(approvals!$A$2:$A$251,$C446,approvals!$B$2:$B$251,$D446)=0),"office not on this campaign (approvals tab); ",""))&amp;IF(COUNTIFS(counts!$C$2:$C$701,$C446,counts!$D$2:$D$701,$D446,counts!$E$2:$E$701,$E446)&gt;1,"two "&amp;$E446&amp;" counts: keep one; ","")&amp;IF(AND($E446="remaining_day5",N($J446)&lt;5),"day-5 count logged before day 5; ","")&amp;IF(AND($G446="photo",$H446=""),"which photo?; ",""))</f>
        <v/>
      </c>
    </row>
    <row r="447">
      <c r="A447" s="9" t="n"/>
      <c r="B447" s="33" t="n"/>
      <c r="J447" s="25">
        <f>IF(OR($C447="",$A447=""),"",IF($A447&lt;IFERROR(IF(INDEX(campaigns!$BG$2:$BG$51,MATCH($C447,campaigns!$A$2:$A$51,0))="","",INDEX(campaigns!$BG$2:$BG$51,MATCH($C447,campaigns!$A$2:$A$51,0))),""),0,NETWORKDAYS(IFERROR(IF(INDEX(campaigns!$BG$2:$BG$51,MATCH($C447,campaigns!$A$2:$A$51,0))="","",INDEX(campaigns!$BG$2:$BG$51,MATCH($C447,campaigns!$A$2:$A$51,0))),""),$A447,calendar!$A$2:$A$80)))</f>
        <v/>
      </c>
      <c r="K447" s="25">
        <f>IF($C447="","",IF(COUNTIF(campaigns!$A$2:$A$51,$C447)=0,"campaign_id not on campaigns; ",IF(AND($D447&lt;&gt;"",COUNTIFS(approvals!$A$2:$A$251,$C447,approvals!$B$2:$B$251,$D447)=0),"office not on this campaign (approvals tab); ",""))&amp;IF(COUNTIFS(counts!$C$2:$C$701,$C447,counts!$D$2:$D$701,$D447,counts!$E$2:$E$701,$E447)&gt;1,"two "&amp;$E447&amp;" counts: keep one; ","")&amp;IF(AND($E447="remaining_day5",N($J447)&lt;5),"day-5 count logged before day 5; ","")&amp;IF(AND($G447="photo",$H447=""),"which photo?; ",""))</f>
        <v/>
      </c>
    </row>
    <row r="448">
      <c r="A448" s="9" t="n"/>
      <c r="B448" s="33" t="n"/>
      <c r="J448" s="25">
        <f>IF(OR($C448="",$A448=""),"",IF($A448&lt;IFERROR(IF(INDEX(campaigns!$BG$2:$BG$51,MATCH($C448,campaigns!$A$2:$A$51,0))="","",INDEX(campaigns!$BG$2:$BG$51,MATCH($C448,campaigns!$A$2:$A$51,0))),""),0,NETWORKDAYS(IFERROR(IF(INDEX(campaigns!$BG$2:$BG$51,MATCH($C448,campaigns!$A$2:$A$51,0))="","",INDEX(campaigns!$BG$2:$BG$51,MATCH($C448,campaigns!$A$2:$A$51,0))),""),$A448,calendar!$A$2:$A$80)))</f>
        <v/>
      </c>
      <c r="K448" s="25">
        <f>IF($C448="","",IF(COUNTIF(campaigns!$A$2:$A$51,$C448)=0,"campaign_id not on campaigns; ",IF(AND($D448&lt;&gt;"",COUNTIFS(approvals!$A$2:$A$251,$C448,approvals!$B$2:$B$251,$D448)=0),"office not on this campaign (approvals tab); ",""))&amp;IF(COUNTIFS(counts!$C$2:$C$701,$C448,counts!$D$2:$D$701,$D448,counts!$E$2:$E$701,$E448)&gt;1,"two "&amp;$E448&amp;" counts: keep one; ","")&amp;IF(AND($E448="remaining_day5",N($J448)&lt;5),"day-5 count logged before day 5; ","")&amp;IF(AND($G448="photo",$H448=""),"which photo?; ",""))</f>
        <v/>
      </c>
    </row>
    <row r="449">
      <c r="A449" s="9" t="n"/>
      <c r="B449" s="33" t="n"/>
      <c r="J449" s="25">
        <f>IF(OR($C449="",$A449=""),"",IF($A449&lt;IFERROR(IF(INDEX(campaigns!$BG$2:$BG$51,MATCH($C449,campaigns!$A$2:$A$51,0))="","",INDEX(campaigns!$BG$2:$BG$51,MATCH($C449,campaigns!$A$2:$A$51,0))),""),0,NETWORKDAYS(IFERROR(IF(INDEX(campaigns!$BG$2:$BG$51,MATCH($C449,campaigns!$A$2:$A$51,0))="","",INDEX(campaigns!$BG$2:$BG$51,MATCH($C449,campaigns!$A$2:$A$51,0))),""),$A449,calendar!$A$2:$A$80)))</f>
        <v/>
      </c>
      <c r="K449" s="25">
        <f>IF($C449="","",IF(COUNTIF(campaigns!$A$2:$A$51,$C449)=0,"campaign_id not on campaigns; ",IF(AND($D449&lt;&gt;"",COUNTIFS(approvals!$A$2:$A$251,$C449,approvals!$B$2:$B$251,$D449)=0),"office not on this campaign (approvals tab); ",""))&amp;IF(COUNTIFS(counts!$C$2:$C$701,$C449,counts!$D$2:$D$701,$D449,counts!$E$2:$E$701,$E449)&gt;1,"two "&amp;$E449&amp;" counts: keep one; ","")&amp;IF(AND($E449="remaining_day5",N($J449)&lt;5),"day-5 count logged before day 5; ","")&amp;IF(AND($G449="photo",$H449=""),"which photo?; ",""))</f>
        <v/>
      </c>
    </row>
    <row r="450">
      <c r="A450" s="9" t="n"/>
      <c r="B450" s="33" t="n"/>
      <c r="J450" s="25">
        <f>IF(OR($C450="",$A450=""),"",IF($A450&lt;IFERROR(IF(INDEX(campaigns!$BG$2:$BG$51,MATCH($C450,campaigns!$A$2:$A$51,0))="","",INDEX(campaigns!$BG$2:$BG$51,MATCH($C450,campaigns!$A$2:$A$51,0))),""),0,NETWORKDAYS(IFERROR(IF(INDEX(campaigns!$BG$2:$BG$51,MATCH($C450,campaigns!$A$2:$A$51,0))="","",INDEX(campaigns!$BG$2:$BG$51,MATCH($C450,campaigns!$A$2:$A$51,0))),""),$A450,calendar!$A$2:$A$80)))</f>
        <v/>
      </c>
      <c r="K450" s="25">
        <f>IF($C450="","",IF(COUNTIF(campaigns!$A$2:$A$51,$C450)=0,"campaign_id not on campaigns; ",IF(AND($D450&lt;&gt;"",COUNTIFS(approvals!$A$2:$A$251,$C450,approvals!$B$2:$B$251,$D450)=0),"office not on this campaign (approvals tab); ",""))&amp;IF(COUNTIFS(counts!$C$2:$C$701,$C450,counts!$D$2:$D$701,$D450,counts!$E$2:$E$701,$E450)&gt;1,"two "&amp;$E450&amp;" counts: keep one; ","")&amp;IF(AND($E450="remaining_day5",N($J450)&lt;5),"day-5 count logged before day 5; ","")&amp;IF(AND($G450="photo",$H450=""),"which photo?; ",""))</f>
        <v/>
      </c>
    </row>
    <row r="451">
      <c r="A451" s="9" t="n"/>
      <c r="B451" s="33" t="n"/>
      <c r="J451" s="25">
        <f>IF(OR($C451="",$A451=""),"",IF($A451&lt;IFERROR(IF(INDEX(campaigns!$BG$2:$BG$51,MATCH($C451,campaigns!$A$2:$A$51,0))="","",INDEX(campaigns!$BG$2:$BG$51,MATCH($C451,campaigns!$A$2:$A$51,0))),""),0,NETWORKDAYS(IFERROR(IF(INDEX(campaigns!$BG$2:$BG$51,MATCH($C451,campaigns!$A$2:$A$51,0))="","",INDEX(campaigns!$BG$2:$BG$51,MATCH($C451,campaigns!$A$2:$A$51,0))),""),$A451,calendar!$A$2:$A$80)))</f>
        <v/>
      </c>
      <c r="K451" s="25">
        <f>IF($C451="","",IF(COUNTIF(campaigns!$A$2:$A$51,$C451)=0,"campaign_id not on campaigns; ",IF(AND($D451&lt;&gt;"",COUNTIFS(approvals!$A$2:$A$251,$C451,approvals!$B$2:$B$251,$D451)=0),"office not on this campaign (approvals tab); ",""))&amp;IF(COUNTIFS(counts!$C$2:$C$701,$C451,counts!$D$2:$D$701,$D451,counts!$E$2:$E$701,$E451)&gt;1,"two "&amp;$E451&amp;" counts: keep one; ","")&amp;IF(AND($E451="remaining_day5",N($J451)&lt;5),"day-5 count logged before day 5; ","")&amp;IF(AND($G451="photo",$H451=""),"which photo?; ",""))</f>
        <v/>
      </c>
    </row>
    <row r="452">
      <c r="A452" s="9" t="n"/>
      <c r="B452" s="33" t="n"/>
      <c r="J452" s="25">
        <f>IF(OR($C452="",$A452=""),"",IF($A452&lt;IFERROR(IF(INDEX(campaigns!$BG$2:$BG$51,MATCH($C452,campaigns!$A$2:$A$51,0))="","",INDEX(campaigns!$BG$2:$BG$51,MATCH($C452,campaigns!$A$2:$A$51,0))),""),0,NETWORKDAYS(IFERROR(IF(INDEX(campaigns!$BG$2:$BG$51,MATCH($C452,campaigns!$A$2:$A$51,0))="","",INDEX(campaigns!$BG$2:$BG$51,MATCH($C452,campaigns!$A$2:$A$51,0))),""),$A452,calendar!$A$2:$A$80)))</f>
        <v/>
      </c>
      <c r="K452" s="25">
        <f>IF($C452="","",IF(COUNTIF(campaigns!$A$2:$A$51,$C452)=0,"campaign_id not on campaigns; ",IF(AND($D452&lt;&gt;"",COUNTIFS(approvals!$A$2:$A$251,$C452,approvals!$B$2:$B$251,$D452)=0),"office not on this campaign (approvals tab); ",""))&amp;IF(COUNTIFS(counts!$C$2:$C$701,$C452,counts!$D$2:$D$701,$D452,counts!$E$2:$E$701,$E452)&gt;1,"two "&amp;$E452&amp;" counts: keep one; ","")&amp;IF(AND($E452="remaining_day5",N($J452)&lt;5),"day-5 count logged before day 5; ","")&amp;IF(AND($G452="photo",$H452=""),"which photo?; ",""))</f>
        <v/>
      </c>
    </row>
    <row r="453">
      <c r="A453" s="9" t="n"/>
      <c r="B453" s="33" t="n"/>
      <c r="J453" s="25">
        <f>IF(OR($C453="",$A453=""),"",IF($A453&lt;IFERROR(IF(INDEX(campaigns!$BG$2:$BG$51,MATCH($C453,campaigns!$A$2:$A$51,0))="","",INDEX(campaigns!$BG$2:$BG$51,MATCH($C453,campaigns!$A$2:$A$51,0))),""),0,NETWORKDAYS(IFERROR(IF(INDEX(campaigns!$BG$2:$BG$51,MATCH($C453,campaigns!$A$2:$A$51,0))="","",INDEX(campaigns!$BG$2:$BG$51,MATCH($C453,campaigns!$A$2:$A$51,0))),""),$A453,calendar!$A$2:$A$80)))</f>
        <v/>
      </c>
      <c r="K453" s="25">
        <f>IF($C453="","",IF(COUNTIF(campaigns!$A$2:$A$51,$C453)=0,"campaign_id not on campaigns; ",IF(AND($D453&lt;&gt;"",COUNTIFS(approvals!$A$2:$A$251,$C453,approvals!$B$2:$B$251,$D453)=0),"office not on this campaign (approvals tab); ",""))&amp;IF(COUNTIFS(counts!$C$2:$C$701,$C453,counts!$D$2:$D$701,$D453,counts!$E$2:$E$701,$E453)&gt;1,"two "&amp;$E453&amp;" counts: keep one; ","")&amp;IF(AND($E453="remaining_day5",N($J453)&lt;5),"day-5 count logged before day 5; ","")&amp;IF(AND($G453="photo",$H453=""),"which photo?; ",""))</f>
        <v/>
      </c>
    </row>
    <row r="454">
      <c r="A454" s="9" t="n"/>
      <c r="B454" s="33" t="n"/>
      <c r="J454" s="25">
        <f>IF(OR($C454="",$A454=""),"",IF($A454&lt;IFERROR(IF(INDEX(campaigns!$BG$2:$BG$51,MATCH($C454,campaigns!$A$2:$A$51,0))="","",INDEX(campaigns!$BG$2:$BG$51,MATCH($C454,campaigns!$A$2:$A$51,0))),""),0,NETWORKDAYS(IFERROR(IF(INDEX(campaigns!$BG$2:$BG$51,MATCH($C454,campaigns!$A$2:$A$51,0))="","",INDEX(campaigns!$BG$2:$BG$51,MATCH($C454,campaigns!$A$2:$A$51,0))),""),$A454,calendar!$A$2:$A$80)))</f>
        <v/>
      </c>
      <c r="K454" s="25">
        <f>IF($C454="","",IF(COUNTIF(campaigns!$A$2:$A$51,$C454)=0,"campaign_id not on campaigns; ",IF(AND($D454&lt;&gt;"",COUNTIFS(approvals!$A$2:$A$251,$C454,approvals!$B$2:$B$251,$D454)=0),"office not on this campaign (approvals tab); ",""))&amp;IF(COUNTIFS(counts!$C$2:$C$701,$C454,counts!$D$2:$D$701,$D454,counts!$E$2:$E$701,$E454)&gt;1,"two "&amp;$E454&amp;" counts: keep one; ","")&amp;IF(AND($E454="remaining_day5",N($J454)&lt;5),"day-5 count logged before day 5; ","")&amp;IF(AND($G454="photo",$H454=""),"which photo?; ",""))</f>
        <v/>
      </c>
    </row>
    <row r="455">
      <c r="A455" s="9" t="n"/>
      <c r="B455" s="33" t="n"/>
      <c r="J455" s="25">
        <f>IF(OR($C455="",$A455=""),"",IF($A455&lt;IFERROR(IF(INDEX(campaigns!$BG$2:$BG$51,MATCH($C455,campaigns!$A$2:$A$51,0))="","",INDEX(campaigns!$BG$2:$BG$51,MATCH($C455,campaigns!$A$2:$A$51,0))),""),0,NETWORKDAYS(IFERROR(IF(INDEX(campaigns!$BG$2:$BG$51,MATCH($C455,campaigns!$A$2:$A$51,0))="","",INDEX(campaigns!$BG$2:$BG$51,MATCH($C455,campaigns!$A$2:$A$51,0))),""),$A455,calendar!$A$2:$A$80)))</f>
        <v/>
      </c>
      <c r="K455" s="25">
        <f>IF($C455="","",IF(COUNTIF(campaigns!$A$2:$A$51,$C455)=0,"campaign_id not on campaigns; ",IF(AND($D455&lt;&gt;"",COUNTIFS(approvals!$A$2:$A$251,$C455,approvals!$B$2:$B$251,$D455)=0),"office not on this campaign (approvals tab); ",""))&amp;IF(COUNTIFS(counts!$C$2:$C$701,$C455,counts!$D$2:$D$701,$D455,counts!$E$2:$E$701,$E455)&gt;1,"two "&amp;$E455&amp;" counts: keep one; ","")&amp;IF(AND($E455="remaining_day5",N($J455)&lt;5),"day-5 count logged before day 5; ","")&amp;IF(AND($G455="photo",$H455=""),"which photo?; ",""))</f>
        <v/>
      </c>
    </row>
    <row r="456">
      <c r="A456" s="9" t="n"/>
      <c r="B456" s="33" t="n"/>
      <c r="J456" s="25">
        <f>IF(OR($C456="",$A456=""),"",IF($A456&lt;IFERROR(IF(INDEX(campaigns!$BG$2:$BG$51,MATCH($C456,campaigns!$A$2:$A$51,0))="","",INDEX(campaigns!$BG$2:$BG$51,MATCH($C456,campaigns!$A$2:$A$51,0))),""),0,NETWORKDAYS(IFERROR(IF(INDEX(campaigns!$BG$2:$BG$51,MATCH($C456,campaigns!$A$2:$A$51,0))="","",INDEX(campaigns!$BG$2:$BG$51,MATCH($C456,campaigns!$A$2:$A$51,0))),""),$A456,calendar!$A$2:$A$80)))</f>
        <v/>
      </c>
      <c r="K456" s="25">
        <f>IF($C456="","",IF(COUNTIF(campaigns!$A$2:$A$51,$C456)=0,"campaign_id not on campaigns; ",IF(AND($D456&lt;&gt;"",COUNTIFS(approvals!$A$2:$A$251,$C456,approvals!$B$2:$B$251,$D456)=0),"office not on this campaign (approvals tab); ",""))&amp;IF(COUNTIFS(counts!$C$2:$C$701,$C456,counts!$D$2:$D$701,$D456,counts!$E$2:$E$701,$E456)&gt;1,"two "&amp;$E456&amp;" counts: keep one; ","")&amp;IF(AND($E456="remaining_day5",N($J456)&lt;5),"day-5 count logged before day 5; ","")&amp;IF(AND($G456="photo",$H456=""),"which photo?; ",""))</f>
        <v/>
      </c>
    </row>
    <row r="457">
      <c r="A457" s="9" t="n"/>
      <c r="B457" s="33" t="n"/>
      <c r="J457" s="25">
        <f>IF(OR($C457="",$A457=""),"",IF($A457&lt;IFERROR(IF(INDEX(campaigns!$BG$2:$BG$51,MATCH($C457,campaigns!$A$2:$A$51,0))="","",INDEX(campaigns!$BG$2:$BG$51,MATCH($C457,campaigns!$A$2:$A$51,0))),""),0,NETWORKDAYS(IFERROR(IF(INDEX(campaigns!$BG$2:$BG$51,MATCH($C457,campaigns!$A$2:$A$51,0))="","",INDEX(campaigns!$BG$2:$BG$51,MATCH($C457,campaigns!$A$2:$A$51,0))),""),$A457,calendar!$A$2:$A$80)))</f>
        <v/>
      </c>
      <c r="K457" s="25">
        <f>IF($C457="","",IF(COUNTIF(campaigns!$A$2:$A$51,$C457)=0,"campaign_id not on campaigns; ",IF(AND($D457&lt;&gt;"",COUNTIFS(approvals!$A$2:$A$251,$C457,approvals!$B$2:$B$251,$D457)=0),"office not on this campaign (approvals tab); ",""))&amp;IF(COUNTIFS(counts!$C$2:$C$701,$C457,counts!$D$2:$D$701,$D457,counts!$E$2:$E$701,$E457)&gt;1,"two "&amp;$E457&amp;" counts: keep one; ","")&amp;IF(AND($E457="remaining_day5",N($J457)&lt;5),"day-5 count logged before day 5; ","")&amp;IF(AND($G457="photo",$H457=""),"which photo?; ",""))</f>
        <v/>
      </c>
    </row>
    <row r="458">
      <c r="A458" s="9" t="n"/>
      <c r="B458" s="33" t="n"/>
      <c r="J458" s="25">
        <f>IF(OR($C458="",$A458=""),"",IF($A458&lt;IFERROR(IF(INDEX(campaigns!$BG$2:$BG$51,MATCH($C458,campaigns!$A$2:$A$51,0))="","",INDEX(campaigns!$BG$2:$BG$51,MATCH($C458,campaigns!$A$2:$A$51,0))),""),0,NETWORKDAYS(IFERROR(IF(INDEX(campaigns!$BG$2:$BG$51,MATCH($C458,campaigns!$A$2:$A$51,0))="","",INDEX(campaigns!$BG$2:$BG$51,MATCH($C458,campaigns!$A$2:$A$51,0))),""),$A458,calendar!$A$2:$A$80)))</f>
        <v/>
      </c>
      <c r="K458" s="25">
        <f>IF($C458="","",IF(COUNTIF(campaigns!$A$2:$A$51,$C458)=0,"campaign_id not on campaigns; ",IF(AND($D458&lt;&gt;"",COUNTIFS(approvals!$A$2:$A$251,$C458,approvals!$B$2:$B$251,$D458)=0),"office not on this campaign (approvals tab); ",""))&amp;IF(COUNTIFS(counts!$C$2:$C$701,$C458,counts!$D$2:$D$701,$D458,counts!$E$2:$E$701,$E458)&gt;1,"two "&amp;$E458&amp;" counts: keep one; ","")&amp;IF(AND($E458="remaining_day5",N($J458)&lt;5),"day-5 count logged before day 5; ","")&amp;IF(AND($G458="photo",$H458=""),"which photo?; ",""))</f>
        <v/>
      </c>
    </row>
    <row r="459">
      <c r="A459" s="9" t="n"/>
      <c r="B459" s="33" t="n"/>
      <c r="J459" s="25">
        <f>IF(OR($C459="",$A459=""),"",IF($A459&lt;IFERROR(IF(INDEX(campaigns!$BG$2:$BG$51,MATCH($C459,campaigns!$A$2:$A$51,0))="","",INDEX(campaigns!$BG$2:$BG$51,MATCH($C459,campaigns!$A$2:$A$51,0))),""),0,NETWORKDAYS(IFERROR(IF(INDEX(campaigns!$BG$2:$BG$51,MATCH($C459,campaigns!$A$2:$A$51,0))="","",INDEX(campaigns!$BG$2:$BG$51,MATCH($C459,campaigns!$A$2:$A$51,0))),""),$A459,calendar!$A$2:$A$80)))</f>
        <v/>
      </c>
      <c r="K459" s="25">
        <f>IF($C459="","",IF(COUNTIF(campaigns!$A$2:$A$51,$C459)=0,"campaign_id not on campaigns; ",IF(AND($D459&lt;&gt;"",COUNTIFS(approvals!$A$2:$A$251,$C459,approvals!$B$2:$B$251,$D459)=0),"office not on this campaign (approvals tab); ",""))&amp;IF(COUNTIFS(counts!$C$2:$C$701,$C459,counts!$D$2:$D$701,$D459,counts!$E$2:$E$701,$E459)&gt;1,"two "&amp;$E459&amp;" counts: keep one; ","")&amp;IF(AND($E459="remaining_day5",N($J459)&lt;5),"day-5 count logged before day 5; ","")&amp;IF(AND($G459="photo",$H459=""),"which photo?; ",""))</f>
        <v/>
      </c>
    </row>
    <row r="460">
      <c r="A460" s="9" t="n"/>
      <c r="B460" s="33" t="n"/>
      <c r="J460" s="25">
        <f>IF(OR($C460="",$A460=""),"",IF($A460&lt;IFERROR(IF(INDEX(campaigns!$BG$2:$BG$51,MATCH($C460,campaigns!$A$2:$A$51,0))="","",INDEX(campaigns!$BG$2:$BG$51,MATCH($C460,campaigns!$A$2:$A$51,0))),""),0,NETWORKDAYS(IFERROR(IF(INDEX(campaigns!$BG$2:$BG$51,MATCH($C460,campaigns!$A$2:$A$51,0))="","",INDEX(campaigns!$BG$2:$BG$51,MATCH($C460,campaigns!$A$2:$A$51,0))),""),$A460,calendar!$A$2:$A$80)))</f>
        <v/>
      </c>
      <c r="K460" s="25">
        <f>IF($C460="","",IF(COUNTIF(campaigns!$A$2:$A$51,$C460)=0,"campaign_id not on campaigns; ",IF(AND($D460&lt;&gt;"",COUNTIFS(approvals!$A$2:$A$251,$C460,approvals!$B$2:$B$251,$D460)=0),"office not on this campaign (approvals tab); ",""))&amp;IF(COUNTIFS(counts!$C$2:$C$701,$C460,counts!$D$2:$D$701,$D460,counts!$E$2:$E$701,$E460)&gt;1,"two "&amp;$E460&amp;" counts: keep one; ","")&amp;IF(AND($E460="remaining_day5",N($J460)&lt;5),"day-5 count logged before day 5; ","")&amp;IF(AND($G460="photo",$H460=""),"which photo?; ",""))</f>
        <v/>
      </c>
    </row>
    <row r="461">
      <c r="A461" s="9" t="n"/>
      <c r="B461" s="33" t="n"/>
      <c r="J461" s="25">
        <f>IF(OR($C461="",$A461=""),"",IF($A461&lt;IFERROR(IF(INDEX(campaigns!$BG$2:$BG$51,MATCH($C461,campaigns!$A$2:$A$51,0))="","",INDEX(campaigns!$BG$2:$BG$51,MATCH($C461,campaigns!$A$2:$A$51,0))),""),0,NETWORKDAYS(IFERROR(IF(INDEX(campaigns!$BG$2:$BG$51,MATCH($C461,campaigns!$A$2:$A$51,0))="","",INDEX(campaigns!$BG$2:$BG$51,MATCH($C461,campaigns!$A$2:$A$51,0))),""),$A461,calendar!$A$2:$A$80)))</f>
        <v/>
      </c>
      <c r="K461" s="25">
        <f>IF($C461="","",IF(COUNTIF(campaigns!$A$2:$A$51,$C461)=0,"campaign_id not on campaigns; ",IF(AND($D461&lt;&gt;"",COUNTIFS(approvals!$A$2:$A$251,$C461,approvals!$B$2:$B$251,$D461)=0),"office not on this campaign (approvals tab); ",""))&amp;IF(COUNTIFS(counts!$C$2:$C$701,$C461,counts!$D$2:$D$701,$D461,counts!$E$2:$E$701,$E461)&gt;1,"two "&amp;$E461&amp;" counts: keep one; ","")&amp;IF(AND($E461="remaining_day5",N($J461)&lt;5),"day-5 count logged before day 5; ","")&amp;IF(AND($G461="photo",$H461=""),"which photo?; ",""))</f>
        <v/>
      </c>
    </row>
    <row r="462">
      <c r="A462" s="9" t="n"/>
      <c r="B462" s="33" t="n"/>
      <c r="J462" s="25">
        <f>IF(OR($C462="",$A462=""),"",IF($A462&lt;IFERROR(IF(INDEX(campaigns!$BG$2:$BG$51,MATCH($C462,campaigns!$A$2:$A$51,0))="","",INDEX(campaigns!$BG$2:$BG$51,MATCH($C462,campaigns!$A$2:$A$51,0))),""),0,NETWORKDAYS(IFERROR(IF(INDEX(campaigns!$BG$2:$BG$51,MATCH($C462,campaigns!$A$2:$A$51,0))="","",INDEX(campaigns!$BG$2:$BG$51,MATCH($C462,campaigns!$A$2:$A$51,0))),""),$A462,calendar!$A$2:$A$80)))</f>
        <v/>
      </c>
      <c r="K462" s="25">
        <f>IF($C462="","",IF(COUNTIF(campaigns!$A$2:$A$51,$C462)=0,"campaign_id not on campaigns; ",IF(AND($D462&lt;&gt;"",COUNTIFS(approvals!$A$2:$A$251,$C462,approvals!$B$2:$B$251,$D462)=0),"office not on this campaign (approvals tab); ",""))&amp;IF(COUNTIFS(counts!$C$2:$C$701,$C462,counts!$D$2:$D$701,$D462,counts!$E$2:$E$701,$E462)&gt;1,"two "&amp;$E462&amp;" counts: keep one; ","")&amp;IF(AND($E462="remaining_day5",N($J462)&lt;5),"day-5 count logged before day 5; ","")&amp;IF(AND($G462="photo",$H462=""),"which photo?; ",""))</f>
        <v/>
      </c>
    </row>
    <row r="463">
      <c r="A463" s="9" t="n"/>
      <c r="B463" s="33" t="n"/>
      <c r="J463" s="25">
        <f>IF(OR($C463="",$A463=""),"",IF($A463&lt;IFERROR(IF(INDEX(campaigns!$BG$2:$BG$51,MATCH($C463,campaigns!$A$2:$A$51,0))="","",INDEX(campaigns!$BG$2:$BG$51,MATCH($C463,campaigns!$A$2:$A$51,0))),""),0,NETWORKDAYS(IFERROR(IF(INDEX(campaigns!$BG$2:$BG$51,MATCH($C463,campaigns!$A$2:$A$51,0))="","",INDEX(campaigns!$BG$2:$BG$51,MATCH($C463,campaigns!$A$2:$A$51,0))),""),$A463,calendar!$A$2:$A$80)))</f>
        <v/>
      </c>
      <c r="K463" s="25">
        <f>IF($C463="","",IF(COUNTIF(campaigns!$A$2:$A$51,$C463)=0,"campaign_id not on campaigns; ",IF(AND($D463&lt;&gt;"",COUNTIFS(approvals!$A$2:$A$251,$C463,approvals!$B$2:$B$251,$D463)=0),"office not on this campaign (approvals tab); ",""))&amp;IF(COUNTIFS(counts!$C$2:$C$701,$C463,counts!$D$2:$D$701,$D463,counts!$E$2:$E$701,$E463)&gt;1,"two "&amp;$E463&amp;" counts: keep one; ","")&amp;IF(AND($E463="remaining_day5",N($J463)&lt;5),"day-5 count logged before day 5; ","")&amp;IF(AND($G463="photo",$H463=""),"which photo?; ",""))</f>
        <v/>
      </c>
    </row>
    <row r="464">
      <c r="A464" s="9" t="n"/>
      <c r="B464" s="33" t="n"/>
      <c r="J464" s="25">
        <f>IF(OR($C464="",$A464=""),"",IF($A464&lt;IFERROR(IF(INDEX(campaigns!$BG$2:$BG$51,MATCH($C464,campaigns!$A$2:$A$51,0))="","",INDEX(campaigns!$BG$2:$BG$51,MATCH($C464,campaigns!$A$2:$A$51,0))),""),0,NETWORKDAYS(IFERROR(IF(INDEX(campaigns!$BG$2:$BG$51,MATCH($C464,campaigns!$A$2:$A$51,0))="","",INDEX(campaigns!$BG$2:$BG$51,MATCH($C464,campaigns!$A$2:$A$51,0))),""),$A464,calendar!$A$2:$A$80)))</f>
        <v/>
      </c>
      <c r="K464" s="25">
        <f>IF($C464="","",IF(COUNTIF(campaigns!$A$2:$A$51,$C464)=0,"campaign_id not on campaigns; ",IF(AND($D464&lt;&gt;"",COUNTIFS(approvals!$A$2:$A$251,$C464,approvals!$B$2:$B$251,$D464)=0),"office not on this campaign (approvals tab); ",""))&amp;IF(COUNTIFS(counts!$C$2:$C$701,$C464,counts!$D$2:$D$701,$D464,counts!$E$2:$E$701,$E464)&gt;1,"two "&amp;$E464&amp;" counts: keep one; ","")&amp;IF(AND($E464="remaining_day5",N($J464)&lt;5),"day-5 count logged before day 5; ","")&amp;IF(AND($G464="photo",$H464=""),"which photo?; ",""))</f>
        <v/>
      </c>
    </row>
    <row r="465">
      <c r="A465" s="9" t="n"/>
      <c r="B465" s="33" t="n"/>
      <c r="J465" s="25">
        <f>IF(OR($C465="",$A465=""),"",IF($A465&lt;IFERROR(IF(INDEX(campaigns!$BG$2:$BG$51,MATCH($C465,campaigns!$A$2:$A$51,0))="","",INDEX(campaigns!$BG$2:$BG$51,MATCH($C465,campaigns!$A$2:$A$51,0))),""),0,NETWORKDAYS(IFERROR(IF(INDEX(campaigns!$BG$2:$BG$51,MATCH($C465,campaigns!$A$2:$A$51,0))="","",INDEX(campaigns!$BG$2:$BG$51,MATCH($C465,campaigns!$A$2:$A$51,0))),""),$A465,calendar!$A$2:$A$80)))</f>
        <v/>
      </c>
      <c r="K465" s="25">
        <f>IF($C465="","",IF(COUNTIF(campaigns!$A$2:$A$51,$C465)=0,"campaign_id not on campaigns; ",IF(AND($D465&lt;&gt;"",COUNTIFS(approvals!$A$2:$A$251,$C465,approvals!$B$2:$B$251,$D465)=0),"office not on this campaign (approvals tab); ",""))&amp;IF(COUNTIFS(counts!$C$2:$C$701,$C465,counts!$D$2:$D$701,$D465,counts!$E$2:$E$701,$E465)&gt;1,"two "&amp;$E465&amp;" counts: keep one; ","")&amp;IF(AND($E465="remaining_day5",N($J465)&lt;5),"day-5 count logged before day 5; ","")&amp;IF(AND($G465="photo",$H465=""),"which photo?; ",""))</f>
        <v/>
      </c>
    </row>
    <row r="466">
      <c r="A466" s="9" t="n"/>
      <c r="B466" s="33" t="n"/>
      <c r="J466" s="25">
        <f>IF(OR($C466="",$A466=""),"",IF($A466&lt;IFERROR(IF(INDEX(campaigns!$BG$2:$BG$51,MATCH($C466,campaigns!$A$2:$A$51,0))="","",INDEX(campaigns!$BG$2:$BG$51,MATCH($C466,campaigns!$A$2:$A$51,0))),""),0,NETWORKDAYS(IFERROR(IF(INDEX(campaigns!$BG$2:$BG$51,MATCH($C466,campaigns!$A$2:$A$51,0))="","",INDEX(campaigns!$BG$2:$BG$51,MATCH($C466,campaigns!$A$2:$A$51,0))),""),$A466,calendar!$A$2:$A$80)))</f>
        <v/>
      </c>
      <c r="K466" s="25">
        <f>IF($C466="","",IF(COUNTIF(campaigns!$A$2:$A$51,$C466)=0,"campaign_id not on campaigns; ",IF(AND($D466&lt;&gt;"",COUNTIFS(approvals!$A$2:$A$251,$C466,approvals!$B$2:$B$251,$D466)=0),"office not on this campaign (approvals tab); ",""))&amp;IF(COUNTIFS(counts!$C$2:$C$701,$C466,counts!$D$2:$D$701,$D466,counts!$E$2:$E$701,$E466)&gt;1,"two "&amp;$E466&amp;" counts: keep one; ","")&amp;IF(AND($E466="remaining_day5",N($J466)&lt;5),"day-5 count logged before day 5; ","")&amp;IF(AND($G466="photo",$H466=""),"which photo?; ",""))</f>
        <v/>
      </c>
    </row>
    <row r="467">
      <c r="A467" s="9" t="n"/>
      <c r="B467" s="33" t="n"/>
      <c r="J467" s="25">
        <f>IF(OR($C467="",$A467=""),"",IF($A467&lt;IFERROR(IF(INDEX(campaigns!$BG$2:$BG$51,MATCH($C467,campaigns!$A$2:$A$51,0))="","",INDEX(campaigns!$BG$2:$BG$51,MATCH($C467,campaigns!$A$2:$A$51,0))),""),0,NETWORKDAYS(IFERROR(IF(INDEX(campaigns!$BG$2:$BG$51,MATCH($C467,campaigns!$A$2:$A$51,0))="","",INDEX(campaigns!$BG$2:$BG$51,MATCH($C467,campaigns!$A$2:$A$51,0))),""),$A467,calendar!$A$2:$A$80)))</f>
        <v/>
      </c>
      <c r="K467" s="25">
        <f>IF($C467="","",IF(COUNTIF(campaigns!$A$2:$A$51,$C467)=0,"campaign_id not on campaigns; ",IF(AND($D467&lt;&gt;"",COUNTIFS(approvals!$A$2:$A$251,$C467,approvals!$B$2:$B$251,$D467)=0),"office not on this campaign (approvals tab); ",""))&amp;IF(COUNTIFS(counts!$C$2:$C$701,$C467,counts!$D$2:$D$701,$D467,counts!$E$2:$E$701,$E467)&gt;1,"two "&amp;$E467&amp;" counts: keep one; ","")&amp;IF(AND($E467="remaining_day5",N($J467)&lt;5),"day-5 count logged before day 5; ","")&amp;IF(AND($G467="photo",$H467=""),"which photo?; ",""))</f>
        <v/>
      </c>
    </row>
    <row r="468">
      <c r="A468" s="9" t="n"/>
      <c r="B468" s="33" t="n"/>
      <c r="J468" s="25">
        <f>IF(OR($C468="",$A468=""),"",IF($A468&lt;IFERROR(IF(INDEX(campaigns!$BG$2:$BG$51,MATCH($C468,campaigns!$A$2:$A$51,0))="","",INDEX(campaigns!$BG$2:$BG$51,MATCH($C468,campaigns!$A$2:$A$51,0))),""),0,NETWORKDAYS(IFERROR(IF(INDEX(campaigns!$BG$2:$BG$51,MATCH($C468,campaigns!$A$2:$A$51,0))="","",INDEX(campaigns!$BG$2:$BG$51,MATCH($C468,campaigns!$A$2:$A$51,0))),""),$A468,calendar!$A$2:$A$80)))</f>
        <v/>
      </c>
      <c r="K468" s="25">
        <f>IF($C468="","",IF(COUNTIF(campaigns!$A$2:$A$51,$C468)=0,"campaign_id not on campaigns; ",IF(AND($D468&lt;&gt;"",COUNTIFS(approvals!$A$2:$A$251,$C468,approvals!$B$2:$B$251,$D468)=0),"office not on this campaign (approvals tab); ",""))&amp;IF(COUNTIFS(counts!$C$2:$C$701,$C468,counts!$D$2:$D$701,$D468,counts!$E$2:$E$701,$E468)&gt;1,"two "&amp;$E468&amp;" counts: keep one; ","")&amp;IF(AND($E468="remaining_day5",N($J468)&lt;5),"day-5 count logged before day 5; ","")&amp;IF(AND($G468="photo",$H468=""),"which photo?; ",""))</f>
        <v/>
      </c>
    </row>
    <row r="469">
      <c r="A469" s="9" t="n"/>
      <c r="B469" s="33" t="n"/>
      <c r="J469" s="25">
        <f>IF(OR($C469="",$A469=""),"",IF($A469&lt;IFERROR(IF(INDEX(campaigns!$BG$2:$BG$51,MATCH($C469,campaigns!$A$2:$A$51,0))="","",INDEX(campaigns!$BG$2:$BG$51,MATCH($C469,campaigns!$A$2:$A$51,0))),""),0,NETWORKDAYS(IFERROR(IF(INDEX(campaigns!$BG$2:$BG$51,MATCH($C469,campaigns!$A$2:$A$51,0))="","",INDEX(campaigns!$BG$2:$BG$51,MATCH($C469,campaigns!$A$2:$A$51,0))),""),$A469,calendar!$A$2:$A$80)))</f>
        <v/>
      </c>
      <c r="K469" s="25">
        <f>IF($C469="","",IF(COUNTIF(campaigns!$A$2:$A$51,$C469)=0,"campaign_id not on campaigns; ",IF(AND($D469&lt;&gt;"",COUNTIFS(approvals!$A$2:$A$251,$C469,approvals!$B$2:$B$251,$D469)=0),"office not on this campaign (approvals tab); ",""))&amp;IF(COUNTIFS(counts!$C$2:$C$701,$C469,counts!$D$2:$D$701,$D469,counts!$E$2:$E$701,$E469)&gt;1,"two "&amp;$E469&amp;" counts: keep one; ","")&amp;IF(AND($E469="remaining_day5",N($J469)&lt;5),"day-5 count logged before day 5; ","")&amp;IF(AND($G469="photo",$H469=""),"which photo?; ",""))</f>
        <v/>
      </c>
    </row>
    <row r="470">
      <c r="A470" s="9" t="n"/>
      <c r="B470" s="33" t="n"/>
      <c r="J470" s="25">
        <f>IF(OR($C470="",$A470=""),"",IF($A470&lt;IFERROR(IF(INDEX(campaigns!$BG$2:$BG$51,MATCH($C470,campaigns!$A$2:$A$51,0))="","",INDEX(campaigns!$BG$2:$BG$51,MATCH($C470,campaigns!$A$2:$A$51,0))),""),0,NETWORKDAYS(IFERROR(IF(INDEX(campaigns!$BG$2:$BG$51,MATCH($C470,campaigns!$A$2:$A$51,0))="","",INDEX(campaigns!$BG$2:$BG$51,MATCH($C470,campaigns!$A$2:$A$51,0))),""),$A470,calendar!$A$2:$A$80)))</f>
        <v/>
      </c>
      <c r="K470" s="25">
        <f>IF($C470="","",IF(COUNTIF(campaigns!$A$2:$A$51,$C470)=0,"campaign_id not on campaigns; ",IF(AND($D470&lt;&gt;"",COUNTIFS(approvals!$A$2:$A$251,$C470,approvals!$B$2:$B$251,$D470)=0),"office not on this campaign (approvals tab); ",""))&amp;IF(COUNTIFS(counts!$C$2:$C$701,$C470,counts!$D$2:$D$701,$D470,counts!$E$2:$E$701,$E470)&gt;1,"two "&amp;$E470&amp;" counts: keep one; ","")&amp;IF(AND($E470="remaining_day5",N($J470)&lt;5),"day-5 count logged before day 5; ","")&amp;IF(AND($G470="photo",$H470=""),"which photo?; ",""))</f>
        <v/>
      </c>
    </row>
    <row r="471">
      <c r="A471" s="9" t="n"/>
      <c r="B471" s="33" t="n"/>
      <c r="J471" s="25">
        <f>IF(OR($C471="",$A471=""),"",IF($A471&lt;IFERROR(IF(INDEX(campaigns!$BG$2:$BG$51,MATCH($C471,campaigns!$A$2:$A$51,0))="","",INDEX(campaigns!$BG$2:$BG$51,MATCH($C471,campaigns!$A$2:$A$51,0))),""),0,NETWORKDAYS(IFERROR(IF(INDEX(campaigns!$BG$2:$BG$51,MATCH($C471,campaigns!$A$2:$A$51,0))="","",INDEX(campaigns!$BG$2:$BG$51,MATCH($C471,campaigns!$A$2:$A$51,0))),""),$A471,calendar!$A$2:$A$80)))</f>
        <v/>
      </c>
      <c r="K471" s="25">
        <f>IF($C471="","",IF(COUNTIF(campaigns!$A$2:$A$51,$C471)=0,"campaign_id not on campaigns; ",IF(AND($D471&lt;&gt;"",COUNTIFS(approvals!$A$2:$A$251,$C471,approvals!$B$2:$B$251,$D471)=0),"office not on this campaign (approvals tab); ",""))&amp;IF(COUNTIFS(counts!$C$2:$C$701,$C471,counts!$D$2:$D$701,$D471,counts!$E$2:$E$701,$E471)&gt;1,"two "&amp;$E471&amp;" counts: keep one; ","")&amp;IF(AND($E471="remaining_day5",N($J471)&lt;5),"day-5 count logged before day 5; ","")&amp;IF(AND($G471="photo",$H471=""),"which photo?; ",""))</f>
        <v/>
      </c>
    </row>
    <row r="472">
      <c r="A472" s="9" t="n"/>
      <c r="B472" s="33" t="n"/>
      <c r="J472" s="25">
        <f>IF(OR($C472="",$A472=""),"",IF($A472&lt;IFERROR(IF(INDEX(campaigns!$BG$2:$BG$51,MATCH($C472,campaigns!$A$2:$A$51,0))="","",INDEX(campaigns!$BG$2:$BG$51,MATCH($C472,campaigns!$A$2:$A$51,0))),""),0,NETWORKDAYS(IFERROR(IF(INDEX(campaigns!$BG$2:$BG$51,MATCH($C472,campaigns!$A$2:$A$51,0))="","",INDEX(campaigns!$BG$2:$BG$51,MATCH($C472,campaigns!$A$2:$A$51,0))),""),$A472,calendar!$A$2:$A$80)))</f>
        <v/>
      </c>
      <c r="K472" s="25">
        <f>IF($C472="","",IF(COUNTIF(campaigns!$A$2:$A$51,$C472)=0,"campaign_id not on campaigns; ",IF(AND($D472&lt;&gt;"",COUNTIFS(approvals!$A$2:$A$251,$C472,approvals!$B$2:$B$251,$D472)=0),"office not on this campaign (approvals tab); ",""))&amp;IF(COUNTIFS(counts!$C$2:$C$701,$C472,counts!$D$2:$D$701,$D472,counts!$E$2:$E$701,$E472)&gt;1,"two "&amp;$E472&amp;" counts: keep one; ","")&amp;IF(AND($E472="remaining_day5",N($J472)&lt;5),"day-5 count logged before day 5; ","")&amp;IF(AND($G472="photo",$H472=""),"which photo?; ",""))</f>
        <v/>
      </c>
    </row>
    <row r="473">
      <c r="A473" s="9" t="n"/>
      <c r="B473" s="33" t="n"/>
      <c r="J473" s="25">
        <f>IF(OR($C473="",$A473=""),"",IF($A473&lt;IFERROR(IF(INDEX(campaigns!$BG$2:$BG$51,MATCH($C473,campaigns!$A$2:$A$51,0))="","",INDEX(campaigns!$BG$2:$BG$51,MATCH($C473,campaigns!$A$2:$A$51,0))),""),0,NETWORKDAYS(IFERROR(IF(INDEX(campaigns!$BG$2:$BG$51,MATCH($C473,campaigns!$A$2:$A$51,0))="","",INDEX(campaigns!$BG$2:$BG$51,MATCH($C473,campaigns!$A$2:$A$51,0))),""),$A473,calendar!$A$2:$A$80)))</f>
        <v/>
      </c>
      <c r="K473" s="25">
        <f>IF($C473="","",IF(COUNTIF(campaigns!$A$2:$A$51,$C473)=0,"campaign_id not on campaigns; ",IF(AND($D473&lt;&gt;"",COUNTIFS(approvals!$A$2:$A$251,$C473,approvals!$B$2:$B$251,$D473)=0),"office not on this campaign (approvals tab); ",""))&amp;IF(COUNTIFS(counts!$C$2:$C$701,$C473,counts!$D$2:$D$701,$D473,counts!$E$2:$E$701,$E473)&gt;1,"two "&amp;$E473&amp;" counts: keep one; ","")&amp;IF(AND($E473="remaining_day5",N($J473)&lt;5),"day-5 count logged before day 5; ","")&amp;IF(AND($G473="photo",$H473=""),"which photo?; ",""))</f>
        <v/>
      </c>
    </row>
    <row r="474">
      <c r="A474" s="9" t="n"/>
      <c r="B474" s="33" t="n"/>
      <c r="J474" s="25">
        <f>IF(OR($C474="",$A474=""),"",IF($A474&lt;IFERROR(IF(INDEX(campaigns!$BG$2:$BG$51,MATCH($C474,campaigns!$A$2:$A$51,0))="","",INDEX(campaigns!$BG$2:$BG$51,MATCH($C474,campaigns!$A$2:$A$51,0))),""),0,NETWORKDAYS(IFERROR(IF(INDEX(campaigns!$BG$2:$BG$51,MATCH($C474,campaigns!$A$2:$A$51,0))="","",INDEX(campaigns!$BG$2:$BG$51,MATCH($C474,campaigns!$A$2:$A$51,0))),""),$A474,calendar!$A$2:$A$80)))</f>
        <v/>
      </c>
      <c r="K474" s="25">
        <f>IF($C474="","",IF(COUNTIF(campaigns!$A$2:$A$51,$C474)=0,"campaign_id not on campaigns; ",IF(AND($D474&lt;&gt;"",COUNTIFS(approvals!$A$2:$A$251,$C474,approvals!$B$2:$B$251,$D474)=0),"office not on this campaign (approvals tab); ",""))&amp;IF(COUNTIFS(counts!$C$2:$C$701,$C474,counts!$D$2:$D$701,$D474,counts!$E$2:$E$701,$E474)&gt;1,"two "&amp;$E474&amp;" counts: keep one; ","")&amp;IF(AND($E474="remaining_day5",N($J474)&lt;5),"day-5 count logged before day 5; ","")&amp;IF(AND($G474="photo",$H474=""),"which photo?; ",""))</f>
        <v/>
      </c>
    </row>
    <row r="475">
      <c r="A475" s="9" t="n"/>
      <c r="B475" s="33" t="n"/>
      <c r="J475" s="25">
        <f>IF(OR($C475="",$A475=""),"",IF($A475&lt;IFERROR(IF(INDEX(campaigns!$BG$2:$BG$51,MATCH($C475,campaigns!$A$2:$A$51,0))="","",INDEX(campaigns!$BG$2:$BG$51,MATCH($C475,campaigns!$A$2:$A$51,0))),""),0,NETWORKDAYS(IFERROR(IF(INDEX(campaigns!$BG$2:$BG$51,MATCH($C475,campaigns!$A$2:$A$51,0))="","",INDEX(campaigns!$BG$2:$BG$51,MATCH($C475,campaigns!$A$2:$A$51,0))),""),$A475,calendar!$A$2:$A$80)))</f>
        <v/>
      </c>
      <c r="K475" s="25">
        <f>IF($C475="","",IF(COUNTIF(campaigns!$A$2:$A$51,$C475)=0,"campaign_id not on campaigns; ",IF(AND($D475&lt;&gt;"",COUNTIFS(approvals!$A$2:$A$251,$C475,approvals!$B$2:$B$251,$D475)=0),"office not on this campaign (approvals tab); ",""))&amp;IF(COUNTIFS(counts!$C$2:$C$701,$C475,counts!$D$2:$D$701,$D475,counts!$E$2:$E$701,$E475)&gt;1,"two "&amp;$E475&amp;" counts: keep one; ","")&amp;IF(AND($E475="remaining_day5",N($J475)&lt;5),"day-5 count logged before day 5; ","")&amp;IF(AND($G475="photo",$H475=""),"which photo?; ",""))</f>
        <v/>
      </c>
    </row>
    <row r="476">
      <c r="A476" s="9" t="n"/>
      <c r="B476" s="33" t="n"/>
      <c r="J476" s="25">
        <f>IF(OR($C476="",$A476=""),"",IF($A476&lt;IFERROR(IF(INDEX(campaigns!$BG$2:$BG$51,MATCH($C476,campaigns!$A$2:$A$51,0))="","",INDEX(campaigns!$BG$2:$BG$51,MATCH($C476,campaigns!$A$2:$A$51,0))),""),0,NETWORKDAYS(IFERROR(IF(INDEX(campaigns!$BG$2:$BG$51,MATCH($C476,campaigns!$A$2:$A$51,0))="","",INDEX(campaigns!$BG$2:$BG$51,MATCH($C476,campaigns!$A$2:$A$51,0))),""),$A476,calendar!$A$2:$A$80)))</f>
        <v/>
      </c>
      <c r="K476" s="25">
        <f>IF($C476="","",IF(COUNTIF(campaigns!$A$2:$A$51,$C476)=0,"campaign_id not on campaigns; ",IF(AND($D476&lt;&gt;"",COUNTIFS(approvals!$A$2:$A$251,$C476,approvals!$B$2:$B$251,$D476)=0),"office not on this campaign (approvals tab); ",""))&amp;IF(COUNTIFS(counts!$C$2:$C$701,$C476,counts!$D$2:$D$701,$D476,counts!$E$2:$E$701,$E476)&gt;1,"two "&amp;$E476&amp;" counts: keep one; ","")&amp;IF(AND($E476="remaining_day5",N($J476)&lt;5),"day-5 count logged before day 5; ","")&amp;IF(AND($G476="photo",$H476=""),"which photo?; ",""))</f>
        <v/>
      </c>
    </row>
    <row r="477">
      <c r="A477" s="9" t="n"/>
      <c r="B477" s="33" t="n"/>
      <c r="J477" s="25">
        <f>IF(OR($C477="",$A477=""),"",IF($A477&lt;IFERROR(IF(INDEX(campaigns!$BG$2:$BG$51,MATCH($C477,campaigns!$A$2:$A$51,0))="","",INDEX(campaigns!$BG$2:$BG$51,MATCH($C477,campaigns!$A$2:$A$51,0))),""),0,NETWORKDAYS(IFERROR(IF(INDEX(campaigns!$BG$2:$BG$51,MATCH($C477,campaigns!$A$2:$A$51,0))="","",INDEX(campaigns!$BG$2:$BG$51,MATCH($C477,campaigns!$A$2:$A$51,0))),""),$A477,calendar!$A$2:$A$80)))</f>
        <v/>
      </c>
      <c r="K477" s="25">
        <f>IF($C477="","",IF(COUNTIF(campaigns!$A$2:$A$51,$C477)=0,"campaign_id not on campaigns; ",IF(AND($D477&lt;&gt;"",COUNTIFS(approvals!$A$2:$A$251,$C477,approvals!$B$2:$B$251,$D477)=0),"office not on this campaign (approvals tab); ",""))&amp;IF(COUNTIFS(counts!$C$2:$C$701,$C477,counts!$D$2:$D$701,$D477,counts!$E$2:$E$701,$E477)&gt;1,"two "&amp;$E477&amp;" counts: keep one; ","")&amp;IF(AND($E477="remaining_day5",N($J477)&lt;5),"day-5 count logged before day 5; ","")&amp;IF(AND($G477="photo",$H477=""),"which photo?; ",""))</f>
        <v/>
      </c>
    </row>
    <row r="478">
      <c r="A478" s="9" t="n"/>
      <c r="B478" s="33" t="n"/>
      <c r="J478" s="25">
        <f>IF(OR($C478="",$A478=""),"",IF($A478&lt;IFERROR(IF(INDEX(campaigns!$BG$2:$BG$51,MATCH($C478,campaigns!$A$2:$A$51,0))="","",INDEX(campaigns!$BG$2:$BG$51,MATCH($C478,campaigns!$A$2:$A$51,0))),""),0,NETWORKDAYS(IFERROR(IF(INDEX(campaigns!$BG$2:$BG$51,MATCH($C478,campaigns!$A$2:$A$51,0))="","",INDEX(campaigns!$BG$2:$BG$51,MATCH($C478,campaigns!$A$2:$A$51,0))),""),$A478,calendar!$A$2:$A$80)))</f>
        <v/>
      </c>
      <c r="K478" s="25">
        <f>IF($C478="","",IF(COUNTIF(campaigns!$A$2:$A$51,$C478)=0,"campaign_id not on campaigns; ",IF(AND($D478&lt;&gt;"",COUNTIFS(approvals!$A$2:$A$251,$C478,approvals!$B$2:$B$251,$D478)=0),"office not on this campaign (approvals tab); ",""))&amp;IF(COUNTIFS(counts!$C$2:$C$701,$C478,counts!$D$2:$D$701,$D478,counts!$E$2:$E$701,$E478)&gt;1,"two "&amp;$E478&amp;" counts: keep one; ","")&amp;IF(AND($E478="remaining_day5",N($J478)&lt;5),"day-5 count logged before day 5; ","")&amp;IF(AND($G478="photo",$H478=""),"which photo?; ",""))</f>
        <v/>
      </c>
    </row>
    <row r="479">
      <c r="A479" s="9" t="n"/>
      <c r="B479" s="33" t="n"/>
      <c r="J479" s="25">
        <f>IF(OR($C479="",$A479=""),"",IF($A479&lt;IFERROR(IF(INDEX(campaigns!$BG$2:$BG$51,MATCH($C479,campaigns!$A$2:$A$51,0))="","",INDEX(campaigns!$BG$2:$BG$51,MATCH($C479,campaigns!$A$2:$A$51,0))),""),0,NETWORKDAYS(IFERROR(IF(INDEX(campaigns!$BG$2:$BG$51,MATCH($C479,campaigns!$A$2:$A$51,0))="","",INDEX(campaigns!$BG$2:$BG$51,MATCH($C479,campaigns!$A$2:$A$51,0))),""),$A479,calendar!$A$2:$A$80)))</f>
        <v/>
      </c>
      <c r="K479" s="25">
        <f>IF($C479="","",IF(COUNTIF(campaigns!$A$2:$A$51,$C479)=0,"campaign_id not on campaigns; ",IF(AND($D479&lt;&gt;"",COUNTIFS(approvals!$A$2:$A$251,$C479,approvals!$B$2:$B$251,$D479)=0),"office not on this campaign (approvals tab); ",""))&amp;IF(COUNTIFS(counts!$C$2:$C$701,$C479,counts!$D$2:$D$701,$D479,counts!$E$2:$E$701,$E479)&gt;1,"two "&amp;$E479&amp;" counts: keep one; ","")&amp;IF(AND($E479="remaining_day5",N($J479)&lt;5),"day-5 count logged before day 5; ","")&amp;IF(AND($G479="photo",$H479=""),"which photo?; ",""))</f>
        <v/>
      </c>
    </row>
    <row r="480">
      <c r="A480" s="9" t="n"/>
      <c r="B480" s="33" t="n"/>
      <c r="J480" s="25">
        <f>IF(OR($C480="",$A480=""),"",IF($A480&lt;IFERROR(IF(INDEX(campaigns!$BG$2:$BG$51,MATCH($C480,campaigns!$A$2:$A$51,0))="","",INDEX(campaigns!$BG$2:$BG$51,MATCH($C480,campaigns!$A$2:$A$51,0))),""),0,NETWORKDAYS(IFERROR(IF(INDEX(campaigns!$BG$2:$BG$51,MATCH($C480,campaigns!$A$2:$A$51,0))="","",INDEX(campaigns!$BG$2:$BG$51,MATCH($C480,campaigns!$A$2:$A$51,0))),""),$A480,calendar!$A$2:$A$80)))</f>
        <v/>
      </c>
      <c r="K480" s="25">
        <f>IF($C480="","",IF(COUNTIF(campaigns!$A$2:$A$51,$C480)=0,"campaign_id not on campaigns; ",IF(AND($D480&lt;&gt;"",COUNTIFS(approvals!$A$2:$A$251,$C480,approvals!$B$2:$B$251,$D480)=0),"office not on this campaign (approvals tab); ",""))&amp;IF(COUNTIFS(counts!$C$2:$C$701,$C480,counts!$D$2:$D$701,$D480,counts!$E$2:$E$701,$E480)&gt;1,"two "&amp;$E480&amp;" counts: keep one; ","")&amp;IF(AND($E480="remaining_day5",N($J480)&lt;5),"day-5 count logged before day 5; ","")&amp;IF(AND($G480="photo",$H480=""),"which photo?; ",""))</f>
        <v/>
      </c>
    </row>
    <row r="481">
      <c r="A481" s="9" t="n"/>
      <c r="B481" s="33" t="n"/>
      <c r="J481" s="25">
        <f>IF(OR($C481="",$A481=""),"",IF($A481&lt;IFERROR(IF(INDEX(campaigns!$BG$2:$BG$51,MATCH($C481,campaigns!$A$2:$A$51,0))="","",INDEX(campaigns!$BG$2:$BG$51,MATCH($C481,campaigns!$A$2:$A$51,0))),""),0,NETWORKDAYS(IFERROR(IF(INDEX(campaigns!$BG$2:$BG$51,MATCH($C481,campaigns!$A$2:$A$51,0))="","",INDEX(campaigns!$BG$2:$BG$51,MATCH($C481,campaigns!$A$2:$A$51,0))),""),$A481,calendar!$A$2:$A$80)))</f>
        <v/>
      </c>
      <c r="K481" s="25">
        <f>IF($C481="","",IF(COUNTIF(campaigns!$A$2:$A$51,$C481)=0,"campaign_id not on campaigns; ",IF(AND($D481&lt;&gt;"",COUNTIFS(approvals!$A$2:$A$251,$C481,approvals!$B$2:$B$251,$D481)=0),"office not on this campaign (approvals tab); ",""))&amp;IF(COUNTIFS(counts!$C$2:$C$701,$C481,counts!$D$2:$D$701,$D481,counts!$E$2:$E$701,$E481)&gt;1,"two "&amp;$E481&amp;" counts: keep one; ","")&amp;IF(AND($E481="remaining_day5",N($J481)&lt;5),"day-5 count logged before day 5; ","")&amp;IF(AND($G481="photo",$H481=""),"which photo?; ",""))</f>
        <v/>
      </c>
    </row>
    <row r="482">
      <c r="A482" s="9" t="n"/>
      <c r="B482" s="33" t="n"/>
      <c r="J482" s="25">
        <f>IF(OR($C482="",$A482=""),"",IF($A482&lt;IFERROR(IF(INDEX(campaigns!$BG$2:$BG$51,MATCH($C482,campaigns!$A$2:$A$51,0))="","",INDEX(campaigns!$BG$2:$BG$51,MATCH($C482,campaigns!$A$2:$A$51,0))),""),0,NETWORKDAYS(IFERROR(IF(INDEX(campaigns!$BG$2:$BG$51,MATCH($C482,campaigns!$A$2:$A$51,0))="","",INDEX(campaigns!$BG$2:$BG$51,MATCH($C482,campaigns!$A$2:$A$51,0))),""),$A482,calendar!$A$2:$A$80)))</f>
        <v/>
      </c>
      <c r="K482" s="25">
        <f>IF($C482="","",IF(COUNTIF(campaigns!$A$2:$A$51,$C482)=0,"campaign_id not on campaigns; ",IF(AND($D482&lt;&gt;"",COUNTIFS(approvals!$A$2:$A$251,$C482,approvals!$B$2:$B$251,$D482)=0),"office not on this campaign (approvals tab); ",""))&amp;IF(COUNTIFS(counts!$C$2:$C$701,$C482,counts!$D$2:$D$701,$D482,counts!$E$2:$E$701,$E482)&gt;1,"two "&amp;$E482&amp;" counts: keep one; ","")&amp;IF(AND($E482="remaining_day5",N($J482)&lt;5),"day-5 count logged before day 5; ","")&amp;IF(AND($G482="photo",$H482=""),"which photo?; ",""))</f>
        <v/>
      </c>
    </row>
    <row r="483">
      <c r="A483" s="9" t="n"/>
      <c r="B483" s="33" t="n"/>
      <c r="J483" s="25">
        <f>IF(OR($C483="",$A483=""),"",IF($A483&lt;IFERROR(IF(INDEX(campaigns!$BG$2:$BG$51,MATCH($C483,campaigns!$A$2:$A$51,0))="","",INDEX(campaigns!$BG$2:$BG$51,MATCH($C483,campaigns!$A$2:$A$51,0))),""),0,NETWORKDAYS(IFERROR(IF(INDEX(campaigns!$BG$2:$BG$51,MATCH($C483,campaigns!$A$2:$A$51,0))="","",INDEX(campaigns!$BG$2:$BG$51,MATCH($C483,campaigns!$A$2:$A$51,0))),""),$A483,calendar!$A$2:$A$80)))</f>
        <v/>
      </c>
      <c r="K483" s="25">
        <f>IF($C483="","",IF(COUNTIF(campaigns!$A$2:$A$51,$C483)=0,"campaign_id not on campaigns; ",IF(AND($D483&lt;&gt;"",COUNTIFS(approvals!$A$2:$A$251,$C483,approvals!$B$2:$B$251,$D483)=0),"office not on this campaign (approvals tab); ",""))&amp;IF(COUNTIFS(counts!$C$2:$C$701,$C483,counts!$D$2:$D$701,$D483,counts!$E$2:$E$701,$E483)&gt;1,"two "&amp;$E483&amp;" counts: keep one; ","")&amp;IF(AND($E483="remaining_day5",N($J483)&lt;5),"day-5 count logged before day 5; ","")&amp;IF(AND($G483="photo",$H483=""),"which photo?; ",""))</f>
        <v/>
      </c>
    </row>
    <row r="484">
      <c r="A484" s="9" t="n"/>
      <c r="B484" s="33" t="n"/>
      <c r="J484" s="25">
        <f>IF(OR($C484="",$A484=""),"",IF($A484&lt;IFERROR(IF(INDEX(campaigns!$BG$2:$BG$51,MATCH($C484,campaigns!$A$2:$A$51,0))="","",INDEX(campaigns!$BG$2:$BG$51,MATCH($C484,campaigns!$A$2:$A$51,0))),""),0,NETWORKDAYS(IFERROR(IF(INDEX(campaigns!$BG$2:$BG$51,MATCH($C484,campaigns!$A$2:$A$51,0))="","",INDEX(campaigns!$BG$2:$BG$51,MATCH($C484,campaigns!$A$2:$A$51,0))),""),$A484,calendar!$A$2:$A$80)))</f>
        <v/>
      </c>
      <c r="K484" s="25">
        <f>IF($C484="","",IF(COUNTIF(campaigns!$A$2:$A$51,$C484)=0,"campaign_id not on campaigns; ",IF(AND($D484&lt;&gt;"",COUNTIFS(approvals!$A$2:$A$251,$C484,approvals!$B$2:$B$251,$D484)=0),"office not on this campaign (approvals tab); ",""))&amp;IF(COUNTIFS(counts!$C$2:$C$701,$C484,counts!$D$2:$D$701,$D484,counts!$E$2:$E$701,$E484)&gt;1,"two "&amp;$E484&amp;" counts: keep one; ","")&amp;IF(AND($E484="remaining_day5",N($J484)&lt;5),"day-5 count logged before day 5; ","")&amp;IF(AND($G484="photo",$H484=""),"which photo?; ",""))</f>
        <v/>
      </c>
    </row>
    <row r="485">
      <c r="A485" s="9" t="n"/>
      <c r="B485" s="33" t="n"/>
      <c r="J485" s="25">
        <f>IF(OR($C485="",$A485=""),"",IF($A485&lt;IFERROR(IF(INDEX(campaigns!$BG$2:$BG$51,MATCH($C485,campaigns!$A$2:$A$51,0))="","",INDEX(campaigns!$BG$2:$BG$51,MATCH($C485,campaigns!$A$2:$A$51,0))),""),0,NETWORKDAYS(IFERROR(IF(INDEX(campaigns!$BG$2:$BG$51,MATCH($C485,campaigns!$A$2:$A$51,0))="","",INDEX(campaigns!$BG$2:$BG$51,MATCH($C485,campaigns!$A$2:$A$51,0))),""),$A485,calendar!$A$2:$A$80)))</f>
        <v/>
      </c>
      <c r="K485" s="25">
        <f>IF($C485="","",IF(COUNTIF(campaigns!$A$2:$A$51,$C485)=0,"campaign_id not on campaigns; ",IF(AND($D485&lt;&gt;"",COUNTIFS(approvals!$A$2:$A$251,$C485,approvals!$B$2:$B$251,$D485)=0),"office not on this campaign (approvals tab); ",""))&amp;IF(COUNTIFS(counts!$C$2:$C$701,$C485,counts!$D$2:$D$701,$D485,counts!$E$2:$E$701,$E485)&gt;1,"two "&amp;$E485&amp;" counts: keep one; ","")&amp;IF(AND($E485="remaining_day5",N($J485)&lt;5),"day-5 count logged before day 5; ","")&amp;IF(AND($G485="photo",$H485=""),"which photo?; ",""))</f>
        <v/>
      </c>
    </row>
    <row r="486">
      <c r="A486" s="9" t="n"/>
      <c r="B486" s="33" t="n"/>
      <c r="J486" s="25">
        <f>IF(OR($C486="",$A486=""),"",IF($A486&lt;IFERROR(IF(INDEX(campaigns!$BG$2:$BG$51,MATCH($C486,campaigns!$A$2:$A$51,0))="","",INDEX(campaigns!$BG$2:$BG$51,MATCH($C486,campaigns!$A$2:$A$51,0))),""),0,NETWORKDAYS(IFERROR(IF(INDEX(campaigns!$BG$2:$BG$51,MATCH($C486,campaigns!$A$2:$A$51,0))="","",INDEX(campaigns!$BG$2:$BG$51,MATCH($C486,campaigns!$A$2:$A$51,0))),""),$A486,calendar!$A$2:$A$80)))</f>
        <v/>
      </c>
      <c r="K486" s="25">
        <f>IF($C486="","",IF(COUNTIF(campaigns!$A$2:$A$51,$C486)=0,"campaign_id not on campaigns; ",IF(AND($D486&lt;&gt;"",COUNTIFS(approvals!$A$2:$A$251,$C486,approvals!$B$2:$B$251,$D486)=0),"office not on this campaign (approvals tab); ",""))&amp;IF(COUNTIFS(counts!$C$2:$C$701,$C486,counts!$D$2:$D$701,$D486,counts!$E$2:$E$701,$E486)&gt;1,"two "&amp;$E486&amp;" counts: keep one; ","")&amp;IF(AND($E486="remaining_day5",N($J486)&lt;5),"day-5 count logged before day 5; ","")&amp;IF(AND($G486="photo",$H486=""),"which photo?; ",""))</f>
        <v/>
      </c>
    </row>
    <row r="487">
      <c r="A487" s="9" t="n"/>
      <c r="B487" s="33" t="n"/>
      <c r="J487" s="25">
        <f>IF(OR($C487="",$A487=""),"",IF($A487&lt;IFERROR(IF(INDEX(campaigns!$BG$2:$BG$51,MATCH($C487,campaigns!$A$2:$A$51,0))="","",INDEX(campaigns!$BG$2:$BG$51,MATCH($C487,campaigns!$A$2:$A$51,0))),""),0,NETWORKDAYS(IFERROR(IF(INDEX(campaigns!$BG$2:$BG$51,MATCH($C487,campaigns!$A$2:$A$51,0))="","",INDEX(campaigns!$BG$2:$BG$51,MATCH($C487,campaigns!$A$2:$A$51,0))),""),$A487,calendar!$A$2:$A$80)))</f>
        <v/>
      </c>
      <c r="K487" s="25">
        <f>IF($C487="","",IF(COUNTIF(campaigns!$A$2:$A$51,$C487)=0,"campaign_id not on campaigns; ",IF(AND($D487&lt;&gt;"",COUNTIFS(approvals!$A$2:$A$251,$C487,approvals!$B$2:$B$251,$D487)=0),"office not on this campaign (approvals tab); ",""))&amp;IF(COUNTIFS(counts!$C$2:$C$701,$C487,counts!$D$2:$D$701,$D487,counts!$E$2:$E$701,$E487)&gt;1,"two "&amp;$E487&amp;" counts: keep one; ","")&amp;IF(AND($E487="remaining_day5",N($J487)&lt;5),"day-5 count logged before day 5; ","")&amp;IF(AND($G487="photo",$H487=""),"which photo?; ",""))</f>
        <v/>
      </c>
    </row>
    <row r="488">
      <c r="A488" s="9" t="n"/>
      <c r="B488" s="33" t="n"/>
      <c r="J488" s="25">
        <f>IF(OR($C488="",$A488=""),"",IF($A488&lt;IFERROR(IF(INDEX(campaigns!$BG$2:$BG$51,MATCH($C488,campaigns!$A$2:$A$51,0))="","",INDEX(campaigns!$BG$2:$BG$51,MATCH($C488,campaigns!$A$2:$A$51,0))),""),0,NETWORKDAYS(IFERROR(IF(INDEX(campaigns!$BG$2:$BG$51,MATCH($C488,campaigns!$A$2:$A$51,0))="","",INDEX(campaigns!$BG$2:$BG$51,MATCH($C488,campaigns!$A$2:$A$51,0))),""),$A488,calendar!$A$2:$A$80)))</f>
        <v/>
      </c>
      <c r="K488" s="25">
        <f>IF($C488="","",IF(COUNTIF(campaigns!$A$2:$A$51,$C488)=0,"campaign_id not on campaigns; ",IF(AND($D488&lt;&gt;"",COUNTIFS(approvals!$A$2:$A$251,$C488,approvals!$B$2:$B$251,$D488)=0),"office not on this campaign (approvals tab); ",""))&amp;IF(COUNTIFS(counts!$C$2:$C$701,$C488,counts!$D$2:$D$701,$D488,counts!$E$2:$E$701,$E488)&gt;1,"two "&amp;$E488&amp;" counts: keep one; ","")&amp;IF(AND($E488="remaining_day5",N($J488)&lt;5),"day-5 count logged before day 5; ","")&amp;IF(AND($G488="photo",$H488=""),"which photo?; ",""))</f>
        <v/>
      </c>
    </row>
    <row r="489">
      <c r="A489" s="9" t="n"/>
      <c r="B489" s="33" t="n"/>
      <c r="J489" s="25">
        <f>IF(OR($C489="",$A489=""),"",IF($A489&lt;IFERROR(IF(INDEX(campaigns!$BG$2:$BG$51,MATCH($C489,campaigns!$A$2:$A$51,0))="","",INDEX(campaigns!$BG$2:$BG$51,MATCH($C489,campaigns!$A$2:$A$51,0))),""),0,NETWORKDAYS(IFERROR(IF(INDEX(campaigns!$BG$2:$BG$51,MATCH($C489,campaigns!$A$2:$A$51,0))="","",INDEX(campaigns!$BG$2:$BG$51,MATCH($C489,campaigns!$A$2:$A$51,0))),""),$A489,calendar!$A$2:$A$80)))</f>
        <v/>
      </c>
      <c r="K489" s="25">
        <f>IF($C489="","",IF(COUNTIF(campaigns!$A$2:$A$51,$C489)=0,"campaign_id not on campaigns; ",IF(AND($D489&lt;&gt;"",COUNTIFS(approvals!$A$2:$A$251,$C489,approvals!$B$2:$B$251,$D489)=0),"office not on this campaign (approvals tab); ",""))&amp;IF(COUNTIFS(counts!$C$2:$C$701,$C489,counts!$D$2:$D$701,$D489,counts!$E$2:$E$701,$E489)&gt;1,"two "&amp;$E489&amp;" counts: keep one; ","")&amp;IF(AND($E489="remaining_day5",N($J489)&lt;5),"day-5 count logged before day 5; ","")&amp;IF(AND($G489="photo",$H489=""),"which photo?; ",""))</f>
        <v/>
      </c>
    </row>
    <row r="490">
      <c r="A490" s="9" t="n"/>
      <c r="B490" s="33" t="n"/>
      <c r="J490" s="25">
        <f>IF(OR($C490="",$A490=""),"",IF($A490&lt;IFERROR(IF(INDEX(campaigns!$BG$2:$BG$51,MATCH($C490,campaigns!$A$2:$A$51,0))="","",INDEX(campaigns!$BG$2:$BG$51,MATCH($C490,campaigns!$A$2:$A$51,0))),""),0,NETWORKDAYS(IFERROR(IF(INDEX(campaigns!$BG$2:$BG$51,MATCH($C490,campaigns!$A$2:$A$51,0))="","",INDEX(campaigns!$BG$2:$BG$51,MATCH($C490,campaigns!$A$2:$A$51,0))),""),$A490,calendar!$A$2:$A$80)))</f>
        <v/>
      </c>
      <c r="K490" s="25">
        <f>IF($C490="","",IF(COUNTIF(campaigns!$A$2:$A$51,$C490)=0,"campaign_id not on campaigns; ",IF(AND($D490&lt;&gt;"",COUNTIFS(approvals!$A$2:$A$251,$C490,approvals!$B$2:$B$251,$D490)=0),"office not on this campaign (approvals tab); ",""))&amp;IF(COUNTIFS(counts!$C$2:$C$701,$C490,counts!$D$2:$D$701,$D490,counts!$E$2:$E$701,$E490)&gt;1,"two "&amp;$E490&amp;" counts: keep one; ","")&amp;IF(AND($E490="remaining_day5",N($J490)&lt;5),"day-5 count logged before day 5; ","")&amp;IF(AND($G490="photo",$H490=""),"which photo?; ",""))</f>
        <v/>
      </c>
    </row>
    <row r="491">
      <c r="A491" s="9" t="n"/>
      <c r="B491" s="33" t="n"/>
      <c r="J491" s="25">
        <f>IF(OR($C491="",$A491=""),"",IF($A491&lt;IFERROR(IF(INDEX(campaigns!$BG$2:$BG$51,MATCH($C491,campaigns!$A$2:$A$51,0))="","",INDEX(campaigns!$BG$2:$BG$51,MATCH($C491,campaigns!$A$2:$A$51,0))),""),0,NETWORKDAYS(IFERROR(IF(INDEX(campaigns!$BG$2:$BG$51,MATCH($C491,campaigns!$A$2:$A$51,0))="","",INDEX(campaigns!$BG$2:$BG$51,MATCH($C491,campaigns!$A$2:$A$51,0))),""),$A491,calendar!$A$2:$A$80)))</f>
        <v/>
      </c>
      <c r="K491" s="25">
        <f>IF($C491="","",IF(COUNTIF(campaigns!$A$2:$A$51,$C491)=0,"campaign_id not on campaigns; ",IF(AND($D491&lt;&gt;"",COUNTIFS(approvals!$A$2:$A$251,$C491,approvals!$B$2:$B$251,$D491)=0),"office not on this campaign (approvals tab); ",""))&amp;IF(COUNTIFS(counts!$C$2:$C$701,$C491,counts!$D$2:$D$701,$D491,counts!$E$2:$E$701,$E491)&gt;1,"two "&amp;$E491&amp;" counts: keep one; ","")&amp;IF(AND($E491="remaining_day5",N($J491)&lt;5),"day-5 count logged before day 5; ","")&amp;IF(AND($G491="photo",$H491=""),"which photo?; ",""))</f>
        <v/>
      </c>
    </row>
    <row r="492">
      <c r="A492" s="9" t="n"/>
      <c r="B492" s="33" t="n"/>
      <c r="J492" s="25">
        <f>IF(OR($C492="",$A492=""),"",IF($A492&lt;IFERROR(IF(INDEX(campaigns!$BG$2:$BG$51,MATCH($C492,campaigns!$A$2:$A$51,0))="","",INDEX(campaigns!$BG$2:$BG$51,MATCH($C492,campaigns!$A$2:$A$51,0))),""),0,NETWORKDAYS(IFERROR(IF(INDEX(campaigns!$BG$2:$BG$51,MATCH($C492,campaigns!$A$2:$A$51,0))="","",INDEX(campaigns!$BG$2:$BG$51,MATCH($C492,campaigns!$A$2:$A$51,0))),""),$A492,calendar!$A$2:$A$80)))</f>
        <v/>
      </c>
      <c r="K492" s="25">
        <f>IF($C492="","",IF(COUNTIF(campaigns!$A$2:$A$51,$C492)=0,"campaign_id not on campaigns; ",IF(AND($D492&lt;&gt;"",COUNTIFS(approvals!$A$2:$A$251,$C492,approvals!$B$2:$B$251,$D492)=0),"office not on this campaign (approvals tab); ",""))&amp;IF(COUNTIFS(counts!$C$2:$C$701,$C492,counts!$D$2:$D$701,$D492,counts!$E$2:$E$701,$E492)&gt;1,"two "&amp;$E492&amp;" counts: keep one; ","")&amp;IF(AND($E492="remaining_day5",N($J492)&lt;5),"day-5 count logged before day 5; ","")&amp;IF(AND($G492="photo",$H492=""),"which photo?; ",""))</f>
        <v/>
      </c>
    </row>
    <row r="493">
      <c r="A493" s="9" t="n"/>
      <c r="B493" s="33" t="n"/>
      <c r="J493" s="25">
        <f>IF(OR($C493="",$A493=""),"",IF($A493&lt;IFERROR(IF(INDEX(campaigns!$BG$2:$BG$51,MATCH($C493,campaigns!$A$2:$A$51,0))="","",INDEX(campaigns!$BG$2:$BG$51,MATCH($C493,campaigns!$A$2:$A$51,0))),""),0,NETWORKDAYS(IFERROR(IF(INDEX(campaigns!$BG$2:$BG$51,MATCH($C493,campaigns!$A$2:$A$51,0))="","",INDEX(campaigns!$BG$2:$BG$51,MATCH($C493,campaigns!$A$2:$A$51,0))),""),$A493,calendar!$A$2:$A$80)))</f>
        <v/>
      </c>
      <c r="K493" s="25">
        <f>IF($C493="","",IF(COUNTIF(campaigns!$A$2:$A$51,$C493)=0,"campaign_id not on campaigns; ",IF(AND($D493&lt;&gt;"",COUNTIFS(approvals!$A$2:$A$251,$C493,approvals!$B$2:$B$251,$D493)=0),"office not on this campaign (approvals tab); ",""))&amp;IF(COUNTIFS(counts!$C$2:$C$701,$C493,counts!$D$2:$D$701,$D493,counts!$E$2:$E$701,$E493)&gt;1,"two "&amp;$E493&amp;" counts: keep one; ","")&amp;IF(AND($E493="remaining_day5",N($J493)&lt;5),"day-5 count logged before day 5; ","")&amp;IF(AND($G493="photo",$H493=""),"which photo?; ",""))</f>
        <v/>
      </c>
    </row>
    <row r="494">
      <c r="A494" s="9" t="n"/>
      <c r="B494" s="33" t="n"/>
      <c r="J494" s="25">
        <f>IF(OR($C494="",$A494=""),"",IF($A494&lt;IFERROR(IF(INDEX(campaigns!$BG$2:$BG$51,MATCH($C494,campaigns!$A$2:$A$51,0))="","",INDEX(campaigns!$BG$2:$BG$51,MATCH($C494,campaigns!$A$2:$A$51,0))),""),0,NETWORKDAYS(IFERROR(IF(INDEX(campaigns!$BG$2:$BG$51,MATCH($C494,campaigns!$A$2:$A$51,0))="","",INDEX(campaigns!$BG$2:$BG$51,MATCH($C494,campaigns!$A$2:$A$51,0))),""),$A494,calendar!$A$2:$A$80)))</f>
        <v/>
      </c>
      <c r="K494" s="25">
        <f>IF($C494="","",IF(COUNTIF(campaigns!$A$2:$A$51,$C494)=0,"campaign_id not on campaigns; ",IF(AND($D494&lt;&gt;"",COUNTIFS(approvals!$A$2:$A$251,$C494,approvals!$B$2:$B$251,$D494)=0),"office not on this campaign (approvals tab); ",""))&amp;IF(COUNTIFS(counts!$C$2:$C$701,$C494,counts!$D$2:$D$701,$D494,counts!$E$2:$E$701,$E494)&gt;1,"two "&amp;$E494&amp;" counts: keep one; ","")&amp;IF(AND($E494="remaining_day5",N($J494)&lt;5),"day-5 count logged before day 5; ","")&amp;IF(AND($G494="photo",$H494=""),"which photo?; ",""))</f>
        <v/>
      </c>
    </row>
    <row r="495">
      <c r="A495" s="9" t="n"/>
      <c r="B495" s="33" t="n"/>
      <c r="J495" s="25">
        <f>IF(OR($C495="",$A495=""),"",IF($A495&lt;IFERROR(IF(INDEX(campaigns!$BG$2:$BG$51,MATCH($C495,campaigns!$A$2:$A$51,0))="","",INDEX(campaigns!$BG$2:$BG$51,MATCH($C495,campaigns!$A$2:$A$51,0))),""),0,NETWORKDAYS(IFERROR(IF(INDEX(campaigns!$BG$2:$BG$51,MATCH($C495,campaigns!$A$2:$A$51,0))="","",INDEX(campaigns!$BG$2:$BG$51,MATCH($C495,campaigns!$A$2:$A$51,0))),""),$A495,calendar!$A$2:$A$80)))</f>
        <v/>
      </c>
      <c r="K495" s="25">
        <f>IF($C495="","",IF(COUNTIF(campaigns!$A$2:$A$51,$C495)=0,"campaign_id not on campaigns; ",IF(AND($D495&lt;&gt;"",COUNTIFS(approvals!$A$2:$A$251,$C495,approvals!$B$2:$B$251,$D495)=0),"office not on this campaign (approvals tab); ",""))&amp;IF(COUNTIFS(counts!$C$2:$C$701,$C495,counts!$D$2:$D$701,$D495,counts!$E$2:$E$701,$E495)&gt;1,"two "&amp;$E495&amp;" counts: keep one; ","")&amp;IF(AND($E495="remaining_day5",N($J495)&lt;5),"day-5 count logged before day 5; ","")&amp;IF(AND($G495="photo",$H495=""),"which photo?; ",""))</f>
        <v/>
      </c>
    </row>
    <row r="496">
      <c r="A496" s="9" t="n"/>
      <c r="B496" s="33" t="n"/>
      <c r="J496" s="25">
        <f>IF(OR($C496="",$A496=""),"",IF($A496&lt;IFERROR(IF(INDEX(campaigns!$BG$2:$BG$51,MATCH($C496,campaigns!$A$2:$A$51,0))="","",INDEX(campaigns!$BG$2:$BG$51,MATCH($C496,campaigns!$A$2:$A$51,0))),""),0,NETWORKDAYS(IFERROR(IF(INDEX(campaigns!$BG$2:$BG$51,MATCH($C496,campaigns!$A$2:$A$51,0))="","",INDEX(campaigns!$BG$2:$BG$51,MATCH($C496,campaigns!$A$2:$A$51,0))),""),$A496,calendar!$A$2:$A$80)))</f>
        <v/>
      </c>
      <c r="K496" s="25">
        <f>IF($C496="","",IF(COUNTIF(campaigns!$A$2:$A$51,$C496)=0,"campaign_id not on campaigns; ",IF(AND($D496&lt;&gt;"",COUNTIFS(approvals!$A$2:$A$251,$C496,approvals!$B$2:$B$251,$D496)=0),"office not on this campaign (approvals tab); ",""))&amp;IF(COUNTIFS(counts!$C$2:$C$701,$C496,counts!$D$2:$D$701,$D496,counts!$E$2:$E$701,$E496)&gt;1,"two "&amp;$E496&amp;" counts: keep one; ","")&amp;IF(AND($E496="remaining_day5",N($J496)&lt;5),"day-5 count logged before day 5; ","")&amp;IF(AND($G496="photo",$H496=""),"which photo?; ",""))</f>
        <v/>
      </c>
    </row>
    <row r="497">
      <c r="A497" s="9" t="n"/>
      <c r="B497" s="33" t="n"/>
      <c r="J497" s="25">
        <f>IF(OR($C497="",$A497=""),"",IF($A497&lt;IFERROR(IF(INDEX(campaigns!$BG$2:$BG$51,MATCH($C497,campaigns!$A$2:$A$51,0))="","",INDEX(campaigns!$BG$2:$BG$51,MATCH($C497,campaigns!$A$2:$A$51,0))),""),0,NETWORKDAYS(IFERROR(IF(INDEX(campaigns!$BG$2:$BG$51,MATCH($C497,campaigns!$A$2:$A$51,0))="","",INDEX(campaigns!$BG$2:$BG$51,MATCH($C497,campaigns!$A$2:$A$51,0))),""),$A497,calendar!$A$2:$A$80)))</f>
        <v/>
      </c>
      <c r="K497" s="25">
        <f>IF($C497="","",IF(COUNTIF(campaigns!$A$2:$A$51,$C497)=0,"campaign_id not on campaigns; ",IF(AND($D497&lt;&gt;"",COUNTIFS(approvals!$A$2:$A$251,$C497,approvals!$B$2:$B$251,$D497)=0),"office not on this campaign (approvals tab); ",""))&amp;IF(COUNTIFS(counts!$C$2:$C$701,$C497,counts!$D$2:$D$701,$D497,counts!$E$2:$E$701,$E497)&gt;1,"two "&amp;$E497&amp;" counts: keep one; ","")&amp;IF(AND($E497="remaining_day5",N($J497)&lt;5),"day-5 count logged before day 5; ","")&amp;IF(AND($G497="photo",$H497=""),"which photo?; ",""))</f>
        <v/>
      </c>
    </row>
    <row r="498">
      <c r="A498" s="9" t="n"/>
      <c r="B498" s="33" t="n"/>
      <c r="J498" s="25">
        <f>IF(OR($C498="",$A498=""),"",IF($A498&lt;IFERROR(IF(INDEX(campaigns!$BG$2:$BG$51,MATCH($C498,campaigns!$A$2:$A$51,0))="","",INDEX(campaigns!$BG$2:$BG$51,MATCH($C498,campaigns!$A$2:$A$51,0))),""),0,NETWORKDAYS(IFERROR(IF(INDEX(campaigns!$BG$2:$BG$51,MATCH($C498,campaigns!$A$2:$A$51,0))="","",INDEX(campaigns!$BG$2:$BG$51,MATCH($C498,campaigns!$A$2:$A$51,0))),""),$A498,calendar!$A$2:$A$80)))</f>
        <v/>
      </c>
      <c r="K498" s="25">
        <f>IF($C498="","",IF(COUNTIF(campaigns!$A$2:$A$51,$C498)=0,"campaign_id not on campaigns; ",IF(AND($D498&lt;&gt;"",COUNTIFS(approvals!$A$2:$A$251,$C498,approvals!$B$2:$B$251,$D498)=0),"office not on this campaign (approvals tab); ",""))&amp;IF(COUNTIFS(counts!$C$2:$C$701,$C498,counts!$D$2:$D$701,$D498,counts!$E$2:$E$701,$E498)&gt;1,"two "&amp;$E498&amp;" counts: keep one; ","")&amp;IF(AND($E498="remaining_day5",N($J498)&lt;5),"day-5 count logged before day 5; ","")&amp;IF(AND($G498="photo",$H498=""),"which photo?; ",""))</f>
        <v/>
      </c>
    </row>
    <row r="499">
      <c r="A499" s="9" t="n"/>
      <c r="B499" s="33" t="n"/>
      <c r="J499" s="25">
        <f>IF(OR($C499="",$A499=""),"",IF($A499&lt;IFERROR(IF(INDEX(campaigns!$BG$2:$BG$51,MATCH($C499,campaigns!$A$2:$A$51,0))="","",INDEX(campaigns!$BG$2:$BG$51,MATCH($C499,campaigns!$A$2:$A$51,0))),""),0,NETWORKDAYS(IFERROR(IF(INDEX(campaigns!$BG$2:$BG$51,MATCH($C499,campaigns!$A$2:$A$51,0))="","",INDEX(campaigns!$BG$2:$BG$51,MATCH($C499,campaigns!$A$2:$A$51,0))),""),$A499,calendar!$A$2:$A$80)))</f>
        <v/>
      </c>
      <c r="K499" s="25">
        <f>IF($C499="","",IF(COUNTIF(campaigns!$A$2:$A$51,$C499)=0,"campaign_id not on campaigns; ",IF(AND($D499&lt;&gt;"",COUNTIFS(approvals!$A$2:$A$251,$C499,approvals!$B$2:$B$251,$D499)=0),"office not on this campaign (approvals tab); ",""))&amp;IF(COUNTIFS(counts!$C$2:$C$701,$C499,counts!$D$2:$D$701,$D499,counts!$E$2:$E$701,$E499)&gt;1,"two "&amp;$E499&amp;" counts: keep one; ","")&amp;IF(AND($E499="remaining_day5",N($J499)&lt;5),"day-5 count logged before day 5; ","")&amp;IF(AND($G499="photo",$H499=""),"which photo?; ",""))</f>
        <v/>
      </c>
    </row>
    <row r="500">
      <c r="A500" s="9" t="n"/>
      <c r="B500" s="33" t="n"/>
      <c r="J500" s="25">
        <f>IF(OR($C500="",$A500=""),"",IF($A500&lt;IFERROR(IF(INDEX(campaigns!$BG$2:$BG$51,MATCH($C500,campaigns!$A$2:$A$51,0))="","",INDEX(campaigns!$BG$2:$BG$51,MATCH($C500,campaigns!$A$2:$A$51,0))),""),0,NETWORKDAYS(IFERROR(IF(INDEX(campaigns!$BG$2:$BG$51,MATCH($C500,campaigns!$A$2:$A$51,0))="","",INDEX(campaigns!$BG$2:$BG$51,MATCH($C500,campaigns!$A$2:$A$51,0))),""),$A500,calendar!$A$2:$A$80)))</f>
        <v/>
      </c>
      <c r="K500" s="25">
        <f>IF($C500="","",IF(COUNTIF(campaigns!$A$2:$A$51,$C500)=0,"campaign_id not on campaigns; ",IF(AND($D500&lt;&gt;"",COUNTIFS(approvals!$A$2:$A$251,$C500,approvals!$B$2:$B$251,$D500)=0),"office not on this campaign (approvals tab); ",""))&amp;IF(COUNTIFS(counts!$C$2:$C$701,$C500,counts!$D$2:$D$701,$D500,counts!$E$2:$E$701,$E500)&gt;1,"two "&amp;$E500&amp;" counts: keep one; ","")&amp;IF(AND($E500="remaining_day5",N($J500)&lt;5),"day-5 count logged before day 5; ","")&amp;IF(AND($G500="photo",$H500=""),"which photo?; ",""))</f>
        <v/>
      </c>
    </row>
    <row r="501">
      <c r="A501" s="9" t="n"/>
      <c r="B501" s="33" t="n"/>
      <c r="J501" s="25">
        <f>IF(OR($C501="",$A501=""),"",IF($A501&lt;IFERROR(IF(INDEX(campaigns!$BG$2:$BG$51,MATCH($C501,campaigns!$A$2:$A$51,0))="","",INDEX(campaigns!$BG$2:$BG$51,MATCH($C501,campaigns!$A$2:$A$51,0))),""),0,NETWORKDAYS(IFERROR(IF(INDEX(campaigns!$BG$2:$BG$51,MATCH($C501,campaigns!$A$2:$A$51,0))="","",INDEX(campaigns!$BG$2:$BG$51,MATCH($C501,campaigns!$A$2:$A$51,0))),""),$A501,calendar!$A$2:$A$80)))</f>
        <v/>
      </c>
      <c r="K501" s="25">
        <f>IF($C501="","",IF(COUNTIF(campaigns!$A$2:$A$51,$C501)=0,"campaign_id not on campaigns; ",IF(AND($D501&lt;&gt;"",COUNTIFS(approvals!$A$2:$A$251,$C501,approvals!$B$2:$B$251,$D501)=0),"office not on this campaign (approvals tab); ",""))&amp;IF(COUNTIFS(counts!$C$2:$C$701,$C501,counts!$D$2:$D$701,$D501,counts!$E$2:$E$701,$E501)&gt;1,"two "&amp;$E501&amp;" counts: keep one; ","")&amp;IF(AND($E501="remaining_day5",N($J501)&lt;5),"day-5 count logged before day 5; ","")&amp;IF(AND($G501="photo",$H501=""),"which photo?; ",""))</f>
        <v/>
      </c>
    </row>
    <row r="502">
      <c r="A502" s="9" t="n"/>
      <c r="B502" s="33" t="n"/>
      <c r="J502" s="25">
        <f>IF(OR($C502="",$A502=""),"",IF($A502&lt;IFERROR(IF(INDEX(campaigns!$BG$2:$BG$51,MATCH($C502,campaigns!$A$2:$A$51,0))="","",INDEX(campaigns!$BG$2:$BG$51,MATCH($C502,campaigns!$A$2:$A$51,0))),""),0,NETWORKDAYS(IFERROR(IF(INDEX(campaigns!$BG$2:$BG$51,MATCH($C502,campaigns!$A$2:$A$51,0))="","",INDEX(campaigns!$BG$2:$BG$51,MATCH($C502,campaigns!$A$2:$A$51,0))),""),$A502,calendar!$A$2:$A$80)))</f>
        <v/>
      </c>
      <c r="K502" s="25">
        <f>IF($C502="","",IF(COUNTIF(campaigns!$A$2:$A$51,$C502)=0,"campaign_id not on campaigns; ",IF(AND($D502&lt;&gt;"",COUNTIFS(approvals!$A$2:$A$251,$C502,approvals!$B$2:$B$251,$D502)=0),"office not on this campaign (approvals tab); ",""))&amp;IF(COUNTIFS(counts!$C$2:$C$701,$C502,counts!$D$2:$D$701,$D502,counts!$E$2:$E$701,$E502)&gt;1,"two "&amp;$E502&amp;" counts: keep one; ","")&amp;IF(AND($E502="remaining_day5",N($J502)&lt;5),"day-5 count logged before day 5; ","")&amp;IF(AND($G502="photo",$H502=""),"which photo?; ",""))</f>
        <v/>
      </c>
    </row>
    <row r="503">
      <c r="A503" s="9" t="n"/>
      <c r="B503" s="33" t="n"/>
      <c r="J503" s="25">
        <f>IF(OR($C503="",$A503=""),"",IF($A503&lt;IFERROR(IF(INDEX(campaigns!$BG$2:$BG$51,MATCH($C503,campaigns!$A$2:$A$51,0))="","",INDEX(campaigns!$BG$2:$BG$51,MATCH($C503,campaigns!$A$2:$A$51,0))),""),0,NETWORKDAYS(IFERROR(IF(INDEX(campaigns!$BG$2:$BG$51,MATCH($C503,campaigns!$A$2:$A$51,0))="","",INDEX(campaigns!$BG$2:$BG$51,MATCH($C503,campaigns!$A$2:$A$51,0))),""),$A503,calendar!$A$2:$A$80)))</f>
        <v/>
      </c>
      <c r="K503" s="25">
        <f>IF($C503="","",IF(COUNTIF(campaigns!$A$2:$A$51,$C503)=0,"campaign_id not on campaigns; ",IF(AND($D503&lt;&gt;"",COUNTIFS(approvals!$A$2:$A$251,$C503,approvals!$B$2:$B$251,$D503)=0),"office not on this campaign (approvals tab); ",""))&amp;IF(COUNTIFS(counts!$C$2:$C$701,$C503,counts!$D$2:$D$701,$D503,counts!$E$2:$E$701,$E503)&gt;1,"two "&amp;$E503&amp;" counts: keep one; ","")&amp;IF(AND($E503="remaining_day5",N($J503)&lt;5),"day-5 count logged before day 5; ","")&amp;IF(AND($G503="photo",$H503=""),"which photo?; ",""))</f>
        <v/>
      </c>
    </row>
    <row r="504">
      <c r="A504" s="9" t="n"/>
      <c r="B504" s="33" t="n"/>
      <c r="J504" s="25">
        <f>IF(OR($C504="",$A504=""),"",IF($A504&lt;IFERROR(IF(INDEX(campaigns!$BG$2:$BG$51,MATCH($C504,campaigns!$A$2:$A$51,0))="","",INDEX(campaigns!$BG$2:$BG$51,MATCH($C504,campaigns!$A$2:$A$51,0))),""),0,NETWORKDAYS(IFERROR(IF(INDEX(campaigns!$BG$2:$BG$51,MATCH($C504,campaigns!$A$2:$A$51,0))="","",INDEX(campaigns!$BG$2:$BG$51,MATCH($C504,campaigns!$A$2:$A$51,0))),""),$A504,calendar!$A$2:$A$80)))</f>
        <v/>
      </c>
      <c r="K504" s="25">
        <f>IF($C504="","",IF(COUNTIF(campaigns!$A$2:$A$51,$C504)=0,"campaign_id not on campaigns; ",IF(AND($D504&lt;&gt;"",COUNTIFS(approvals!$A$2:$A$251,$C504,approvals!$B$2:$B$251,$D504)=0),"office not on this campaign (approvals tab); ",""))&amp;IF(COUNTIFS(counts!$C$2:$C$701,$C504,counts!$D$2:$D$701,$D504,counts!$E$2:$E$701,$E504)&gt;1,"two "&amp;$E504&amp;" counts: keep one; ","")&amp;IF(AND($E504="remaining_day5",N($J504)&lt;5),"day-5 count logged before day 5; ","")&amp;IF(AND($G504="photo",$H504=""),"which photo?; ",""))</f>
        <v/>
      </c>
    </row>
    <row r="505">
      <c r="A505" s="9" t="n"/>
      <c r="B505" s="33" t="n"/>
      <c r="J505" s="25">
        <f>IF(OR($C505="",$A505=""),"",IF($A505&lt;IFERROR(IF(INDEX(campaigns!$BG$2:$BG$51,MATCH($C505,campaigns!$A$2:$A$51,0))="","",INDEX(campaigns!$BG$2:$BG$51,MATCH($C505,campaigns!$A$2:$A$51,0))),""),0,NETWORKDAYS(IFERROR(IF(INDEX(campaigns!$BG$2:$BG$51,MATCH($C505,campaigns!$A$2:$A$51,0))="","",INDEX(campaigns!$BG$2:$BG$51,MATCH($C505,campaigns!$A$2:$A$51,0))),""),$A505,calendar!$A$2:$A$80)))</f>
        <v/>
      </c>
      <c r="K505" s="25">
        <f>IF($C505="","",IF(COUNTIF(campaigns!$A$2:$A$51,$C505)=0,"campaign_id not on campaigns; ",IF(AND($D505&lt;&gt;"",COUNTIFS(approvals!$A$2:$A$251,$C505,approvals!$B$2:$B$251,$D505)=0),"office not on this campaign (approvals tab); ",""))&amp;IF(COUNTIFS(counts!$C$2:$C$701,$C505,counts!$D$2:$D$701,$D505,counts!$E$2:$E$701,$E505)&gt;1,"two "&amp;$E505&amp;" counts: keep one; ","")&amp;IF(AND($E505="remaining_day5",N($J505)&lt;5),"day-5 count logged before day 5; ","")&amp;IF(AND($G505="photo",$H505=""),"which photo?; ",""))</f>
        <v/>
      </c>
    </row>
    <row r="506">
      <c r="A506" s="9" t="n"/>
      <c r="B506" s="33" t="n"/>
      <c r="J506" s="25">
        <f>IF(OR($C506="",$A506=""),"",IF($A506&lt;IFERROR(IF(INDEX(campaigns!$BG$2:$BG$51,MATCH($C506,campaigns!$A$2:$A$51,0))="","",INDEX(campaigns!$BG$2:$BG$51,MATCH($C506,campaigns!$A$2:$A$51,0))),""),0,NETWORKDAYS(IFERROR(IF(INDEX(campaigns!$BG$2:$BG$51,MATCH($C506,campaigns!$A$2:$A$51,0))="","",INDEX(campaigns!$BG$2:$BG$51,MATCH($C506,campaigns!$A$2:$A$51,0))),""),$A506,calendar!$A$2:$A$80)))</f>
        <v/>
      </c>
      <c r="K506" s="25">
        <f>IF($C506="","",IF(COUNTIF(campaigns!$A$2:$A$51,$C506)=0,"campaign_id not on campaigns; ",IF(AND($D506&lt;&gt;"",COUNTIFS(approvals!$A$2:$A$251,$C506,approvals!$B$2:$B$251,$D506)=0),"office not on this campaign (approvals tab); ",""))&amp;IF(COUNTIFS(counts!$C$2:$C$701,$C506,counts!$D$2:$D$701,$D506,counts!$E$2:$E$701,$E506)&gt;1,"two "&amp;$E506&amp;" counts: keep one; ","")&amp;IF(AND($E506="remaining_day5",N($J506)&lt;5),"day-5 count logged before day 5; ","")&amp;IF(AND($G506="photo",$H506=""),"which photo?; ",""))</f>
        <v/>
      </c>
    </row>
    <row r="507">
      <c r="A507" s="9" t="n"/>
      <c r="B507" s="33" t="n"/>
      <c r="J507" s="25">
        <f>IF(OR($C507="",$A507=""),"",IF($A507&lt;IFERROR(IF(INDEX(campaigns!$BG$2:$BG$51,MATCH($C507,campaigns!$A$2:$A$51,0))="","",INDEX(campaigns!$BG$2:$BG$51,MATCH($C507,campaigns!$A$2:$A$51,0))),""),0,NETWORKDAYS(IFERROR(IF(INDEX(campaigns!$BG$2:$BG$51,MATCH($C507,campaigns!$A$2:$A$51,0))="","",INDEX(campaigns!$BG$2:$BG$51,MATCH($C507,campaigns!$A$2:$A$51,0))),""),$A507,calendar!$A$2:$A$80)))</f>
        <v/>
      </c>
      <c r="K507" s="25">
        <f>IF($C507="","",IF(COUNTIF(campaigns!$A$2:$A$51,$C507)=0,"campaign_id not on campaigns; ",IF(AND($D507&lt;&gt;"",COUNTIFS(approvals!$A$2:$A$251,$C507,approvals!$B$2:$B$251,$D507)=0),"office not on this campaign (approvals tab); ",""))&amp;IF(COUNTIFS(counts!$C$2:$C$701,$C507,counts!$D$2:$D$701,$D507,counts!$E$2:$E$701,$E507)&gt;1,"two "&amp;$E507&amp;" counts: keep one; ","")&amp;IF(AND($E507="remaining_day5",N($J507)&lt;5),"day-5 count logged before day 5; ","")&amp;IF(AND($G507="photo",$H507=""),"which photo?; ",""))</f>
        <v/>
      </c>
    </row>
    <row r="508">
      <c r="A508" s="9" t="n"/>
      <c r="B508" s="33" t="n"/>
      <c r="J508" s="25">
        <f>IF(OR($C508="",$A508=""),"",IF($A508&lt;IFERROR(IF(INDEX(campaigns!$BG$2:$BG$51,MATCH($C508,campaigns!$A$2:$A$51,0))="","",INDEX(campaigns!$BG$2:$BG$51,MATCH($C508,campaigns!$A$2:$A$51,0))),""),0,NETWORKDAYS(IFERROR(IF(INDEX(campaigns!$BG$2:$BG$51,MATCH($C508,campaigns!$A$2:$A$51,0))="","",INDEX(campaigns!$BG$2:$BG$51,MATCH($C508,campaigns!$A$2:$A$51,0))),""),$A508,calendar!$A$2:$A$80)))</f>
        <v/>
      </c>
      <c r="K508" s="25">
        <f>IF($C508="","",IF(COUNTIF(campaigns!$A$2:$A$51,$C508)=0,"campaign_id not on campaigns; ",IF(AND($D508&lt;&gt;"",COUNTIFS(approvals!$A$2:$A$251,$C508,approvals!$B$2:$B$251,$D508)=0),"office not on this campaign (approvals tab); ",""))&amp;IF(COUNTIFS(counts!$C$2:$C$701,$C508,counts!$D$2:$D$701,$D508,counts!$E$2:$E$701,$E508)&gt;1,"two "&amp;$E508&amp;" counts: keep one; ","")&amp;IF(AND($E508="remaining_day5",N($J508)&lt;5),"day-5 count logged before day 5; ","")&amp;IF(AND($G508="photo",$H508=""),"which photo?; ",""))</f>
        <v/>
      </c>
    </row>
    <row r="509">
      <c r="A509" s="9" t="n"/>
      <c r="B509" s="33" t="n"/>
      <c r="J509" s="25">
        <f>IF(OR($C509="",$A509=""),"",IF($A509&lt;IFERROR(IF(INDEX(campaigns!$BG$2:$BG$51,MATCH($C509,campaigns!$A$2:$A$51,0))="","",INDEX(campaigns!$BG$2:$BG$51,MATCH($C509,campaigns!$A$2:$A$51,0))),""),0,NETWORKDAYS(IFERROR(IF(INDEX(campaigns!$BG$2:$BG$51,MATCH($C509,campaigns!$A$2:$A$51,0))="","",INDEX(campaigns!$BG$2:$BG$51,MATCH($C509,campaigns!$A$2:$A$51,0))),""),$A509,calendar!$A$2:$A$80)))</f>
        <v/>
      </c>
      <c r="K509" s="25">
        <f>IF($C509="","",IF(COUNTIF(campaigns!$A$2:$A$51,$C509)=0,"campaign_id not on campaigns; ",IF(AND($D509&lt;&gt;"",COUNTIFS(approvals!$A$2:$A$251,$C509,approvals!$B$2:$B$251,$D509)=0),"office not on this campaign (approvals tab); ",""))&amp;IF(COUNTIFS(counts!$C$2:$C$701,$C509,counts!$D$2:$D$701,$D509,counts!$E$2:$E$701,$E509)&gt;1,"two "&amp;$E509&amp;" counts: keep one; ","")&amp;IF(AND($E509="remaining_day5",N($J509)&lt;5),"day-5 count logged before day 5; ","")&amp;IF(AND($G509="photo",$H509=""),"which photo?; ",""))</f>
        <v/>
      </c>
    </row>
    <row r="510">
      <c r="A510" s="9" t="n"/>
      <c r="B510" s="33" t="n"/>
      <c r="J510" s="25">
        <f>IF(OR($C510="",$A510=""),"",IF($A510&lt;IFERROR(IF(INDEX(campaigns!$BG$2:$BG$51,MATCH($C510,campaigns!$A$2:$A$51,0))="","",INDEX(campaigns!$BG$2:$BG$51,MATCH($C510,campaigns!$A$2:$A$51,0))),""),0,NETWORKDAYS(IFERROR(IF(INDEX(campaigns!$BG$2:$BG$51,MATCH($C510,campaigns!$A$2:$A$51,0))="","",INDEX(campaigns!$BG$2:$BG$51,MATCH($C510,campaigns!$A$2:$A$51,0))),""),$A510,calendar!$A$2:$A$80)))</f>
        <v/>
      </c>
      <c r="K510" s="25">
        <f>IF($C510="","",IF(COUNTIF(campaigns!$A$2:$A$51,$C510)=0,"campaign_id not on campaigns; ",IF(AND($D510&lt;&gt;"",COUNTIFS(approvals!$A$2:$A$251,$C510,approvals!$B$2:$B$251,$D510)=0),"office not on this campaign (approvals tab); ",""))&amp;IF(COUNTIFS(counts!$C$2:$C$701,$C510,counts!$D$2:$D$701,$D510,counts!$E$2:$E$701,$E510)&gt;1,"two "&amp;$E510&amp;" counts: keep one; ","")&amp;IF(AND($E510="remaining_day5",N($J510)&lt;5),"day-5 count logged before day 5; ","")&amp;IF(AND($G510="photo",$H510=""),"which photo?; ",""))</f>
        <v/>
      </c>
    </row>
    <row r="511">
      <c r="A511" s="9" t="n"/>
      <c r="B511" s="33" t="n"/>
      <c r="J511" s="25">
        <f>IF(OR($C511="",$A511=""),"",IF($A511&lt;IFERROR(IF(INDEX(campaigns!$BG$2:$BG$51,MATCH($C511,campaigns!$A$2:$A$51,0))="","",INDEX(campaigns!$BG$2:$BG$51,MATCH($C511,campaigns!$A$2:$A$51,0))),""),0,NETWORKDAYS(IFERROR(IF(INDEX(campaigns!$BG$2:$BG$51,MATCH($C511,campaigns!$A$2:$A$51,0))="","",INDEX(campaigns!$BG$2:$BG$51,MATCH($C511,campaigns!$A$2:$A$51,0))),""),$A511,calendar!$A$2:$A$80)))</f>
        <v/>
      </c>
      <c r="K511" s="25">
        <f>IF($C511="","",IF(COUNTIF(campaigns!$A$2:$A$51,$C511)=0,"campaign_id not on campaigns; ",IF(AND($D511&lt;&gt;"",COUNTIFS(approvals!$A$2:$A$251,$C511,approvals!$B$2:$B$251,$D511)=0),"office not on this campaign (approvals tab); ",""))&amp;IF(COUNTIFS(counts!$C$2:$C$701,$C511,counts!$D$2:$D$701,$D511,counts!$E$2:$E$701,$E511)&gt;1,"two "&amp;$E511&amp;" counts: keep one; ","")&amp;IF(AND($E511="remaining_day5",N($J511)&lt;5),"day-5 count logged before day 5; ","")&amp;IF(AND($G511="photo",$H511=""),"which photo?; ",""))</f>
        <v/>
      </c>
    </row>
    <row r="512">
      <c r="A512" s="9" t="n"/>
      <c r="B512" s="33" t="n"/>
      <c r="J512" s="25">
        <f>IF(OR($C512="",$A512=""),"",IF($A512&lt;IFERROR(IF(INDEX(campaigns!$BG$2:$BG$51,MATCH($C512,campaigns!$A$2:$A$51,0))="","",INDEX(campaigns!$BG$2:$BG$51,MATCH($C512,campaigns!$A$2:$A$51,0))),""),0,NETWORKDAYS(IFERROR(IF(INDEX(campaigns!$BG$2:$BG$51,MATCH($C512,campaigns!$A$2:$A$51,0))="","",INDEX(campaigns!$BG$2:$BG$51,MATCH($C512,campaigns!$A$2:$A$51,0))),""),$A512,calendar!$A$2:$A$80)))</f>
        <v/>
      </c>
      <c r="K512" s="25">
        <f>IF($C512="","",IF(COUNTIF(campaigns!$A$2:$A$51,$C512)=0,"campaign_id not on campaigns; ",IF(AND($D512&lt;&gt;"",COUNTIFS(approvals!$A$2:$A$251,$C512,approvals!$B$2:$B$251,$D512)=0),"office not on this campaign (approvals tab); ",""))&amp;IF(COUNTIFS(counts!$C$2:$C$701,$C512,counts!$D$2:$D$701,$D512,counts!$E$2:$E$701,$E512)&gt;1,"two "&amp;$E512&amp;" counts: keep one; ","")&amp;IF(AND($E512="remaining_day5",N($J512)&lt;5),"day-5 count logged before day 5; ","")&amp;IF(AND($G512="photo",$H512=""),"which photo?; ",""))</f>
        <v/>
      </c>
    </row>
    <row r="513">
      <c r="A513" s="9" t="n"/>
      <c r="B513" s="33" t="n"/>
      <c r="J513" s="25">
        <f>IF(OR($C513="",$A513=""),"",IF($A513&lt;IFERROR(IF(INDEX(campaigns!$BG$2:$BG$51,MATCH($C513,campaigns!$A$2:$A$51,0))="","",INDEX(campaigns!$BG$2:$BG$51,MATCH($C513,campaigns!$A$2:$A$51,0))),""),0,NETWORKDAYS(IFERROR(IF(INDEX(campaigns!$BG$2:$BG$51,MATCH($C513,campaigns!$A$2:$A$51,0))="","",INDEX(campaigns!$BG$2:$BG$51,MATCH($C513,campaigns!$A$2:$A$51,0))),""),$A513,calendar!$A$2:$A$80)))</f>
        <v/>
      </c>
      <c r="K513" s="25">
        <f>IF($C513="","",IF(COUNTIF(campaigns!$A$2:$A$51,$C513)=0,"campaign_id not on campaigns; ",IF(AND($D513&lt;&gt;"",COUNTIFS(approvals!$A$2:$A$251,$C513,approvals!$B$2:$B$251,$D513)=0),"office not on this campaign (approvals tab); ",""))&amp;IF(COUNTIFS(counts!$C$2:$C$701,$C513,counts!$D$2:$D$701,$D513,counts!$E$2:$E$701,$E513)&gt;1,"two "&amp;$E513&amp;" counts: keep one; ","")&amp;IF(AND($E513="remaining_day5",N($J513)&lt;5),"day-5 count logged before day 5; ","")&amp;IF(AND($G513="photo",$H513=""),"which photo?; ",""))</f>
        <v/>
      </c>
    </row>
    <row r="514">
      <c r="A514" s="9" t="n"/>
      <c r="B514" s="33" t="n"/>
      <c r="J514" s="25">
        <f>IF(OR($C514="",$A514=""),"",IF($A514&lt;IFERROR(IF(INDEX(campaigns!$BG$2:$BG$51,MATCH($C514,campaigns!$A$2:$A$51,0))="","",INDEX(campaigns!$BG$2:$BG$51,MATCH($C514,campaigns!$A$2:$A$51,0))),""),0,NETWORKDAYS(IFERROR(IF(INDEX(campaigns!$BG$2:$BG$51,MATCH($C514,campaigns!$A$2:$A$51,0))="","",INDEX(campaigns!$BG$2:$BG$51,MATCH($C514,campaigns!$A$2:$A$51,0))),""),$A514,calendar!$A$2:$A$80)))</f>
        <v/>
      </c>
      <c r="K514" s="25">
        <f>IF($C514="","",IF(COUNTIF(campaigns!$A$2:$A$51,$C514)=0,"campaign_id not on campaigns; ",IF(AND($D514&lt;&gt;"",COUNTIFS(approvals!$A$2:$A$251,$C514,approvals!$B$2:$B$251,$D514)=0),"office not on this campaign (approvals tab); ",""))&amp;IF(COUNTIFS(counts!$C$2:$C$701,$C514,counts!$D$2:$D$701,$D514,counts!$E$2:$E$701,$E514)&gt;1,"two "&amp;$E514&amp;" counts: keep one; ","")&amp;IF(AND($E514="remaining_day5",N($J514)&lt;5),"day-5 count logged before day 5; ","")&amp;IF(AND($G514="photo",$H514=""),"which photo?; ",""))</f>
        <v/>
      </c>
    </row>
    <row r="515">
      <c r="A515" s="9" t="n"/>
      <c r="B515" s="33" t="n"/>
      <c r="J515" s="25">
        <f>IF(OR($C515="",$A515=""),"",IF($A515&lt;IFERROR(IF(INDEX(campaigns!$BG$2:$BG$51,MATCH($C515,campaigns!$A$2:$A$51,0))="","",INDEX(campaigns!$BG$2:$BG$51,MATCH($C515,campaigns!$A$2:$A$51,0))),""),0,NETWORKDAYS(IFERROR(IF(INDEX(campaigns!$BG$2:$BG$51,MATCH($C515,campaigns!$A$2:$A$51,0))="","",INDEX(campaigns!$BG$2:$BG$51,MATCH($C515,campaigns!$A$2:$A$51,0))),""),$A515,calendar!$A$2:$A$80)))</f>
        <v/>
      </c>
      <c r="K515" s="25">
        <f>IF($C515="","",IF(COUNTIF(campaigns!$A$2:$A$51,$C515)=0,"campaign_id not on campaigns; ",IF(AND($D515&lt;&gt;"",COUNTIFS(approvals!$A$2:$A$251,$C515,approvals!$B$2:$B$251,$D515)=0),"office not on this campaign (approvals tab); ",""))&amp;IF(COUNTIFS(counts!$C$2:$C$701,$C515,counts!$D$2:$D$701,$D515,counts!$E$2:$E$701,$E515)&gt;1,"two "&amp;$E515&amp;" counts: keep one; ","")&amp;IF(AND($E515="remaining_day5",N($J515)&lt;5),"day-5 count logged before day 5; ","")&amp;IF(AND($G515="photo",$H515=""),"which photo?; ",""))</f>
        <v/>
      </c>
    </row>
    <row r="516">
      <c r="A516" s="9" t="n"/>
      <c r="B516" s="33" t="n"/>
      <c r="J516" s="25">
        <f>IF(OR($C516="",$A516=""),"",IF($A516&lt;IFERROR(IF(INDEX(campaigns!$BG$2:$BG$51,MATCH($C516,campaigns!$A$2:$A$51,0))="","",INDEX(campaigns!$BG$2:$BG$51,MATCH($C516,campaigns!$A$2:$A$51,0))),""),0,NETWORKDAYS(IFERROR(IF(INDEX(campaigns!$BG$2:$BG$51,MATCH($C516,campaigns!$A$2:$A$51,0))="","",INDEX(campaigns!$BG$2:$BG$51,MATCH($C516,campaigns!$A$2:$A$51,0))),""),$A516,calendar!$A$2:$A$80)))</f>
        <v/>
      </c>
      <c r="K516" s="25">
        <f>IF($C516="","",IF(COUNTIF(campaigns!$A$2:$A$51,$C516)=0,"campaign_id not on campaigns; ",IF(AND($D516&lt;&gt;"",COUNTIFS(approvals!$A$2:$A$251,$C516,approvals!$B$2:$B$251,$D516)=0),"office not on this campaign (approvals tab); ",""))&amp;IF(COUNTIFS(counts!$C$2:$C$701,$C516,counts!$D$2:$D$701,$D516,counts!$E$2:$E$701,$E516)&gt;1,"two "&amp;$E516&amp;" counts: keep one; ","")&amp;IF(AND($E516="remaining_day5",N($J516)&lt;5),"day-5 count logged before day 5; ","")&amp;IF(AND($G516="photo",$H516=""),"which photo?; ",""))</f>
        <v/>
      </c>
    </row>
    <row r="517">
      <c r="A517" s="9" t="n"/>
      <c r="B517" s="33" t="n"/>
      <c r="J517" s="25">
        <f>IF(OR($C517="",$A517=""),"",IF($A517&lt;IFERROR(IF(INDEX(campaigns!$BG$2:$BG$51,MATCH($C517,campaigns!$A$2:$A$51,0))="","",INDEX(campaigns!$BG$2:$BG$51,MATCH($C517,campaigns!$A$2:$A$51,0))),""),0,NETWORKDAYS(IFERROR(IF(INDEX(campaigns!$BG$2:$BG$51,MATCH($C517,campaigns!$A$2:$A$51,0))="","",INDEX(campaigns!$BG$2:$BG$51,MATCH($C517,campaigns!$A$2:$A$51,0))),""),$A517,calendar!$A$2:$A$80)))</f>
        <v/>
      </c>
      <c r="K517" s="25">
        <f>IF($C517="","",IF(COUNTIF(campaigns!$A$2:$A$51,$C517)=0,"campaign_id not on campaigns; ",IF(AND($D517&lt;&gt;"",COUNTIFS(approvals!$A$2:$A$251,$C517,approvals!$B$2:$B$251,$D517)=0),"office not on this campaign (approvals tab); ",""))&amp;IF(COUNTIFS(counts!$C$2:$C$701,$C517,counts!$D$2:$D$701,$D517,counts!$E$2:$E$701,$E517)&gt;1,"two "&amp;$E517&amp;" counts: keep one; ","")&amp;IF(AND($E517="remaining_day5",N($J517)&lt;5),"day-5 count logged before day 5; ","")&amp;IF(AND($G517="photo",$H517=""),"which photo?; ",""))</f>
        <v/>
      </c>
    </row>
    <row r="518">
      <c r="A518" s="9" t="n"/>
      <c r="B518" s="33" t="n"/>
      <c r="J518" s="25">
        <f>IF(OR($C518="",$A518=""),"",IF($A518&lt;IFERROR(IF(INDEX(campaigns!$BG$2:$BG$51,MATCH($C518,campaigns!$A$2:$A$51,0))="","",INDEX(campaigns!$BG$2:$BG$51,MATCH($C518,campaigns!$A$2:$A$51,0))),""),0,NETWORKDAYS(IFERROR(IF(INDEX(campaigns!$BG$2:$BG$51,MATCH($C518,campaigns!$A$2:$A$51,0))="","",INDEX(campaigns!$BG$2:$BG$51,MATCH($C518,campaigns!$A$2:$A$51,0))),""),$A518,calendar!$A$2:$A$80)))</f>
        <v/>
      </c>
      <c r="K518" s="25">
        <f>IF($C518="","",IF(COUNTIF(campaigns!$A$2:$A$51,$C518)=0,"campaign_id not on campaigns; ",IF(AND($D518&lt;&gt;"",COUNTIFS(approvals!$A$2:$A$251,$C518,approvals!$B$2:$B$251,$D518)=0),"office not on this campaign (approvals tab); ",""))&amp;IF(COUNTIFS(counts!$C$2:$C$701,$C518,counts!$D$2:$D$701,$D518,counts!$E$2:$E$701,$E518)&gt;1,"two "&amp;$E518&amp;" counts: keep one; ","")&amp;IF(AND($E518="remaining_day5",N($J518)&lt;5),"day-5 count logged before day 5; ","")&amp;IF(AND($G518="photo",$H518=""),"which photo?; ",""))</f>
        <v/>
      </c>
    </row>
    <row r="519">
      <c r="A519" s="9" t="n"/>
      <c r="B519" s="33" t="n"/>
      <c r="J519" s="25">
        <f>IF(OR($C519="",$A519=""),"",IF($A519&lt;IFERROR(IF(INDEX(campaigns!$BG$2:$BG$51,MATCH($C519,campaigns!$A$2:$A$51,0))="","",INDEX(campaigns!$BG$2:$BG$51,MATCH($C519,campaigns!$A$2:$A$51,0))),""),0,NETWORKDAYS(IFERROR(IF(INDEX(campaigns!$BG$2:$BG$51,MATCH($C519,campaigns!$A$2:$A$51,0))="","",INDEX(campaigns!$BG$2:$BG$51,MATCH($C519,campaigns!$A$2:$A$51,0))),""),$A519,calendar!$A$2:$A$80)))</f>
        <v/>
      </c>
      <c r="K519" s="25">
        <f>IF($C519="","",IF(COUNTIF(campaigns!$A$2:$A$51,$C519)=0,"campaign_id not on campaigns; ",IF(AND($D519&lt;&gt;"",COUNTIFS(approvals!$A$2:$A$251,$C519,approvals!$B$2:$B$251,$D519)=0),"office not on this campaign (approvals tab); ",""))&amp;IF(COUNTIFS(counts!$C$2:$C$701,$C519,counts!$D$2:$D$701,$D519,counts!$E$2:$E$701,$E519)&gt;1,"two "&amp;$E519&amp;" counts: keep one; ","")&amp;IF(AND($E519="remaining_day5",N($J519)&lt;5),"day-5 count logged before day 5; ","")&amp;IF(AND($G519="photo",$H519=""),"which photo?; ",""))</f>
        <v/>
      </c>
    </row>
    <row r="520">
      <c r="A520" s="9" t="n"/>
      <c r="B520" s="33" t="n"/>
      <c r="J520" s="25">
        <f>IF(OR($C520="",$A520=""),"",IF($A520&lt;IFERROR(IF(INDEX(campaigns!$BG$2:$BG$51,MATCH($C520,campaigns!$A$2:$A$51,0))="","",INDEX(campaigns!$BG$2:$BG$51,MATCH($C520,campaigns!$A$2:$A$51,0))),""),0,NETWORKDAYS(IFERROR(IF(INDEX(campaigns!$BG$2:$BG$51,MATCH($C520,campaigns!$A$2:$A$51,0))="","",INDEX(campaigns!$BG$2:$BG$51,MATCH($C520,campaigns!$A$2:$A$51,0))),""),$A520,calendar!$A$2:$A$80)))</f>
        <v/>
      </c>
      <c r="K520" s="25">
        <f>IF($C520="","",IF(COUNTIF(campaigns!$A$2:$A$51,$C520)=0,"campaign_id not on campaigns; ",IF(AND($D520&lt;&gt;"",COUNTIFS(approvals!$A$2:$A$251,$C520,approvals!$B$2:$B$251,$D520)=0),"office not on this campaign (approvals tab); ",""))&amp;IF(COUNTIFS(counts!$C$2:$C$701,$C520,counts!$D$2:$D$701,$D520,counts!$E$2:$E$701,$E520)&gt;1,"two "&amp;$E520&amp;" counts: keep one; ","")&amp;IF(AND($E520="remaining_day5",N($J520)&lt;5),"day-5 count logged before day 5; ","")&amp;IF(AND($G520="photo",$H520=""),"which photo?; ",""))</f>
        <v/>
      </c>
    </row>
    <row r="521">
      <c r="A521" s="9" t="n"/>
      <c r="B521" s="33" t="n"/>
      <c r="J521" s="25">
        <f>IF(OR($C521="",$A521=""),"",IF($A521&lt;IFERROR(IF(INDEX(campaigns!$BG$2:$BG$51,MATCH($C521,campaigns!$A$2:$A$51,0))="","",INDEX(campaigns!$BG$2:$BG$51,MATCH($C521,campaigns!$A$2:$A$51,0))),""),0,NETWORKDAYS(IFERROR(IF(INDEX(campaigns!$BG$2:$BG$51,MATCH($C521,campaigns!$A$2:$A$51,0))="","",INDEX(campaigns!$BG$2:$BG$51,MATCH($C521,campaigns!$A$2:$A$51,0))),""),$A521,calendar!$A$2:$A$80)))</f>
        <v/>
      </c>
      <c r="K521" s="25">
        <f>IF($C521="","",IF(COUNTIF(campaigns!$A$2:$A$51,$C521)=0,"campaign_id not on campaigns; ",IF(AND($D521&lt;&gt;"",COUNTIFS(approvals!$A$2:$A$251,$C521,approvals!$B$2:$B$251,$D521)=0),"office not on this campaign (approvals tab); ",""))&amp;IF(COUNTIFS(counts!$C$2:$C$701,$C521,counts!$D$2:$D$701,$D521,counts!$E$2:$E$701,$E521)&gt;1,"two "&amp;$E521&amp;" counts: keep one; ","")&amp;IF(AND($E521="remaining_day5",N($J521)&lt;5),"day-5 count logged before day 5; ","")&amp;IF(AND($G521="photo",$H521=""),"which photo?; ",""))</f>
        <v/>
      </c>
    </row>
    <row r="522">
      <c r="A522" s="9" t="n"/>
      <c r="B522" s="33" t="n"/>
      <c r="J522" s="25">
        <f>IF(OR($C522="",$A522=""),"",IF($A522&lt;IFERROR(IF(INDEX(campaigns!$BG$2:$BG$51,MATCH($C522,campaigns!$A$2:$A$51,0))="","",INDEX(campaigns!$BG$2:$BG$51,MATCH($C522,campaigns!$A$2:$A$51,0))),""),0,NETWORKDAYS(IFERROR(IF(INDEX(campaigns!$BG$2:$BG$51,MATCH($C522,campaigns!$A$2:$A$51,0))="","",INDEX(campaigns!$BG$2:$BG$51,MATCH($C522,campaigns!$A$2:$A$51,0))),""),$A522,calendar!$A$2:$A$80)))</f>
        <v/>
      </c>
      <c r="K522" s="25">
        <f>IF($C522="","",IF(COUNTIF(campaigns!$A$2:$A$51,$C522)=0,"campaign_id not on campaigns; ",IF(AND($D522&lt;&gt;"",COUNTIFS(approvals!$A$2:$A$251,$C522,approvals!$B$2:$B$251,$D522)=0),"office not on this campaign (approvals tab); ",""))&amp;IF(COUNTIFS(counts!$C$2:$C$701,$C522,counts!$D$2:$D$701,$D522,counts!$E$2:$E$701,$E522)&gt;1,"two "&amp;$E522&amp;" counts: keep one; ","")&amp;IF(AND($E522="remaining_day5",N($J522)&lt;5),"day-5 count logged before day 5; ","")&amp;IF(AND($G522="photo",$H522=""),"which photo?; ",""))</f>
        <v/>
      </c>
    </row>
    <row r="523">
      <c r="A523" s="9" t="n"/>
      <c r="B523" s="33" t="n"/>
      <c r="J523" s="25">
        <f>IF(OR($C523="",$A523=""),"",IF($A523&lt;IFERROR(IF(INDEX(campaigns!$BG$2:$BG$51,MATCH($C523,campaigns!$A$2:$A$51,0))="","",INDEX(campaigns!$BG$2:$BG$51,MATCH($C523,campaigns!$A$2:$A$51,0))),""),0,NETWORKDAYS(IFERROR(IF(INDEX(campaigns!$BG$2:$BG$51,MATCH($C523,campaigns!$A$2:$A$51,0))="","",INDEX(campaigns!$BG$2:$BG$51,MATCH($C523,campaigns!$A$2:$A$51,0))),""),$A523,calendar!$A$2:$A$80)))</f>
        <v/>
      </c>
      <c r="K523" s="25">
        <f>IF($C523="","",IF(COUNTIF(campaigns!$A$2:$A$51,$C523)=0,"campaign_id not on campaigns; ",IF(AND($D523&lt;&gt;"",COUNTIFS(approvals!$A$2:$A$251,$C523,approvals!$B$2:$B$251,$D523)=0),"office not on this campaign (approvals tab); ",""))&amp;IF(COUNTIFS(counts!$C$2:$C$701,$C523,counts!$D$2:$D$701,$D523,counts!$E$2:$E$701,$E523)&gt;1,"two "&amp;$E523&amp;" counts: keep one; ","")&amp;IF(AND($E523="remaining_day5",N($J523)&lt;5),"day-5 count logged before day 5; ","")&amp;IF(AND($G523="photo",$H523=""),"which photo?; ",""))</f>
        <v/>
      </c>
    </row>
    <row r="524">
      <c r="A524" s="9" t="n"/>
      <c r="B524" s="33" t="n"/>
      <c r="J524" s="25">
        <f>IF(OR($C524="",$A524=""),"",IF($A524&lt;IFERROR(IF(INDEX(campaigns!$BG$2:$BG$51,MATCH($C524,campaigns!$A$2:$A$51,0))="","",INDEX(campaigns!$BG$2:$BG$51,MATCH($C524,campaigns!$A$2:$A$51,0))),""),0,NETWORKDAYS(IFERROR(IF(INDEX(campaigns!$BG$2:$BG$51,MATCH($C524,campaigns!$A$2:$A$51,0))="","",INDEX(campaigns!$BG$2:$BG$51,MATCH($C524,campaigns!$A$2:$A$51,0))),""),$A524,calendar!$A$2:$A$80)))</f>
        <v/>
      </c>
      <c r="K524" s="25">
        <f>IF($C524="","",IF(COUNTIF(campaigns!$A$2:$A$51,$C524)=0,"campaign_id not on campaigns; ",IF(AND($D524&lt;&gt;"",COUNTIFS(approvals!$A$2:$A$251,$C524,approvals!$B$2:$B$251,$D524)=0),"office not on this campaign (approvals tab); ",""))&amp;IF(COUNTIFS(counts!$C$2:$C$701,$C524,counts!$D$2:$D$701,$D524,counts!$E$2:$E$701,$E524)&gt;1,"two "&amp;$E524&amp;" counts: keep one; ","")&amp;IF(AND($E524="remaining_day5",N($J524)&lt;5),"day-5 count logged before day 5; ","")&amp;IF(AND($G524="photo",$H524=""),"which photo?; ",""))</f>
        <v/>
      </c>
    </row>
    <row r="525">
      <c r="A525" s="9" t="n"/>
      <c r="B525" s="33" t="n"/>
      <c r="J525" s="25">
        <f>IF(OR($C525="",$A525=""),"",IF($A525&lt;IFERROR(IF(INDEX(campaigns!$BG$2:$BG$51,MATCH($C525,campaigns!$A$2:$A$51,0))="","",INDEX(campaigns!$BG$2:$BG$51,MATCH($C525,campaigns!$A$2:$A$51,0))),""),0,NETWORKDAYS(IFERROR(IF(INDEX(campaigns!$BG$2:$BG$51,MATCH($C525,campaigns!$A$2:$A$51,0))="","",INDEX(campaigns!$BG$2:$BG$51,MATCH($C525,campaigns!$A$2:$A$51,0))),""),$A525,calendar!$A$2:$A$80)))</f>
        <v/>
      </c>
      <c r="K525" s="25">
        <f>IF($C525="","",IF(COUNTIF(campaigns!$A$2:$A$51,$C525)=0,"campaign_id not on campaigns; ",IF(AND($D525&lt;&gt;"",COUNTIFS(approvals!$A$2:$A$251,$C525,approvals!$B$2:$B$251,$D525)=0),"office not on this campaign (approvals tab); ",""))&amp;IF(COUNTIFS(counts!$C$2:$C$701,$C525,counts!$D$2:$D$701,$D525,counts!$E$2:$E$701,$E525)&gt;1,"two "&amp;$E525&amp;" counts: keep one; ","")&amp;IF(AND($E525="remaining_day5",N($J525)&lt;5),"day-5 count logged before day 5; ","")&amp;IF(AND($G525="photo",$H525=""),"which photo?; ",""))</f>
        <v/>
      </c>
    </row>
    <row r="526">
      <c r="A526" s="9" t="n"/>
      <c r="B526" s="33" t="n"/>
      <c r="J526" s="25">
        <f>IF(OR($C526="",$A526=""),"",IF($A526&lt;IFERROR(IF(INDEX(campaigns!$BG$2:$BG$51,MATCH($C526,campaigns!$A$2:$A$51,0))="","",INDEX(campaigns!$BG$2:$BG$51,MATCH($C526,campaigns!$A$2:$A$51,0))),""),0,NETWORKDAYS(IFERROR(IF(INDEX(campaigns!$BG$2:$BG$51,MATCH($C526,campaigns!$A$2:$A$51,0))="","",INDEX(campaigns!$BG$2:$BG$51,MATCH($C526,campaigns!$A$2:$A$51,0))),""),$A526,calendar!$A$2:$A$80)))</f>
        <v/>
      </c>
      <c r="K526" s="25">
        <f>IF($C526="","",IF(COUNTIF(campaigns!$A$2:$A$51,$C526)=0,"campaign_id not on campaigns; ",IF(AND($D526&lt;&gt;"",COUNTIFS(approvals!$A$2:$A$251,$C526,approvals!$B$2:$B$251,$D526)=0),"office not on this campaign (approvals tab); ",""))&amp;IF(COUNTIFS(counts!$C$2:$C$701,$C526,counts!$D$2:$D$701,$D526,counts!$E$2:$E$701,$E526)&gt;1,"two "&amp;$E526&amp;" counts: keep one; ","")&amp;IF(AND($E526="remaining_day5",N($J526)&lt;5),"day-5 count logged before day 5; ","")&amp;IF(AND($G526="photo",$H526=""),"which photo?; ",""))</f>
        <v/>
      </c>
    </row>
    <row r="527">
      <c r="A527" s="9" t="n"/>
      <c r="B527" s="33" t="n"/>
      <c r="J527" s="25">
        <f>IF(OR($C527="",$A527=""),"",IF($A527&lt;IFERROR(IF(INDEX(campaigns!$BG$2:$BG$51,MATCH($C527,campaigns!$A$2:$A$51,0))="","",INDEX(campaigns!$BG$2:$BG$51,MATCH($C527,campaigns!$A$2:$A$51,0))),""),0,NETWORKDAYS(IFERROR(IF(INDEX(campaigns!$BG$2:$BG$51,MATCH($C527,campaigns!$A$2:$A$51,0))="","",INDEX(campaigns!$BG$2:$BG$51,MATCH($C527,campaigns!$A$2:$A$51,0))),""),$A527,calendar!$A$2:$A$80)))</f>
        <v/>
      </c>
      <c r="K527" s="25">
        <f>IF($C527="","",IF(COUNTIF(campaigns!$A$2:$A$51,$C527)=0,"campaign_id not on campaigns; ",IF(AND($D527&lt;&gt;"",COUNTIFS(approvals!$A$2:$A$251,$C527,approvals!$B$2:$B$251,$D527)=0),"office not on this campaign (approvals tab); ",""))&amp;IF(COUNTIFS(counts!$C$2:$C$701,$C527,counts!$D$2:$D$701,$D527,counts!$E$2:$E$701,$E527)&gt;1,"two "&amp;$E527&amp;" counts: keep one; ","")&amp;IF(AND($E527="remaining_day5",N($J527)&lt;5),"day-5 count logged before day 5; ","")&amp;IF(AND($G527="photo",$H527=""),"which photo?; ",""))</f>
        <v/>
      </c>
    </row>
    <row r="528">
      <c r="A528" s="9" t="n"/>
      <c r="B528" s="33" t="n"/>
      <c r="J528" s="25">
        <f>IF(OR($C528="",$A528=""),"",IF($A528&lt;IFERROR(IF(INDEX(campaigns!$BG$2:$BG$51,MATCH($C528,campaigns!$A$2:$A$51,0))="","",INDEX(campaigns!$BG$2:$BG$51,MATCH($C528,campaigns!$A$2:$A$51,0))),""),0,NETWORKDAYS(IFERROR(IF(INDEX(campaigns!$BG$2:$BG$51,MATCH($C528,campaigns!$A$2:$A$51,0))="","",INDEX(campaigns!$BG$2:$BG$51,MATCH($C528,campaigns!$A$2:$A$51,0))),""),$A528,calendar!$A$2:$A$80)))</f>
        <v/>
      </c>
      <c r="K528" s="25">
        <f>IF($C528="","",IF(COUNTIF(campaigns!$A$2:$A$51,$C528)=0,"campaign_id not on campaigns; ",IF(AND($D528&lt;&gt;"",COUNTIFS(approvals!$A$2:$A$251,$C528,approvals!$B$2:$B$251,$D528)=0),"office not on this campaign (approvals tab); ",""))&amp;IF(COUNTIFS(counts!$C$2:$C$701,$C528,counts!$D$2:$D$701,$D528,counts!$E$2:$E$701,$E528)&gt;1,"two "&amp;$E528&amp;" counts: keep one; ","")&amp;IF(AND($E528="remaining_day5",N($J528)&lt;5),"day-5 count logged before day 5; ","")&amp;IF(AND($G528="photo",$H528=""),"which photo?; ",""))</f>
        <v/>
      </c>
    </row>
    <row r="529">
      <c r="A529" s="9" t="n"/>
      <c r="B529" s="33" t="n"/>
      <c r="J529" s="25">
        <f>IF(OR($C529="",$A529=""),"",IF($A529&lt;IFERROR(IF(INDEX(campaigns!$BG$2:$BG$51,MATCH($C529,campaigns!$A$2:$A$51,0))="","",INDEX(campaigns!$BG$2:$BG$51,MATCH($C529,campaigns!$A$2:$A$51,0))),""),0,NETWORKDAYS(IFERROR(IF(INDEX(campaigns!$BG$2:$BG$51,MATCH($C529,campaigns!$A$2:$A$51,0))="","",INDEX(campaigns!$BG$2:$BG$51,MATCH($C529,campaigns!$A$2:$A$51,0))),""),$A529,calendar!$A$2:$A$80)))</f>
        <v/>
      </c>
      <c r="K529" s="25">
        <f>IF($C529="","",IF(COUNTIF(campaigns!$A$2:$A$51,$C529)=0,"campaign_id not on campaigns; ",IF(AND($D529&lt;&gt;"",COUNTIFS(approvals!$A$2:$A$251,$C529,approvals!$B$2:$B$251,$D529)=0),"office not on this campaign (approvals tab); ",""))&amp;IF(COUNTIFS(counts!$C$2:$C$701,$C529,counts!$D$2:$D$701,$D529,counts!$E$2:$E$701,$E529)&gt;1,"two "&amp;$E529&amp;" counts: keep one; ","")&amp;IF(AND($E529="remaining_day5",N($J529)&lt;5),"day-5 count logged before day 5; ","")&amp;IF(AND($G529="photo",$H529=""),"which photo?; ",""))</f>
        <v/>
      </c>
    </row>
    <row r="530">
      <c r="A530" s="9" t="n"/>
      <c r="B530" s="33" t="n"/>
      <c r="J530" s="25">
        <f>IF(OR($C530="",$A530=""),"",IF($A530&lt;IFERROR(IF(INDEX(campaigns!$BG$2:$BG$51,MATCH($C530,campaigns!$A$2:$A$51,0))="","",INDEX(campaigns!$BG$2:$BG$51,MATCH($C530,campaigns!$A$2:$A$51,0))),""),0,NETWORKDAYS(IFERROR(IF(INDEX(campaigns!$BG$2:$BG$51,MATCH($C530,campaigns!$A$2:$A$51,0))="","",INDEX(campaigns!$BG$2:$BG$51,MATCH($C530,campaigns!$A$2:$A$51,0))),""),$A530,calendar!$A$2:$A$80)))</f>
        <v/>
      </c>
      <c r="K530" s="25">
        <f>IF($C530="","",IF(COUNTIF(campaigns!$A$2:$A$51,$C530)=0,"campaign_id not on campaigns; ",IF(AND($D530&lt;&gt;"",COUNTIFS(approvals!$A$2:$A$251,$C530,approvals!$B$2:$B$251,$D530)=0),"office not on this campaign (approvals tab); ",""))&amp;IF(COUNTIFS(counts!$C$2:$C$701,$C530,counts!$D$2:$D$701,$D530,counts!$E$2:$E$701,$E530)&gt;1,"two "&amp;$E530&amp;" counts: keep one; ","")&amp;IF(AND($E530="remaining_day5",N($J530)&lt;5),"day-5 count logged before day 5; ","")&amp;IF(AND($G530="photo",$H530=""),"which photo?; ",""))</f>
        <v/>
      </c>
    </row>
    <row r="531">
      <c r="A531" s="9" t="n"/>
      <c r="B531" s="33" t="n"/>
      <c r="J531" s="25">
        <f>IF(OR($C531="",$A531=""),"",IF($A531&lt;IFERROR(IF(INDEX(campaigns!$BG$2:$BG$51,MATCH($C531,campaigns!$A$2:$A$51,0))="","",INDEX(campaigns!$BG$2:$BG$51,MATCH($C531,campaigns!$A$2:$A$51,0))),""),0,NETWORKDAYS(IFERROR(IF(INDEX(campaigns!$BG$2:$BG$51,MATCH($C531,campaigns!$A$2:$A$51,0))="","",INDEX(campaigns!$BG$2:$BG$51,MATCH($C531,campaigns!$A$2:$A$51,0))),""),$A531,calendar!$A$2:$A$80)))</f>
        <v/>
      </c>
      <c r="K531" s="25">
        <f>IF($C531="","",IF(COUNTIF(campaigns!$A$2:$A$51,$C531)=0,"campaign_id not on campaigns; ",IF(AND($D531&lt;&gt;"",COUNTIFS(approvals!$A$2:$A$251,$C531,approvals!$B$2:$B$251,$D531)=0),"office not on this campaign (approvals tab); ",""))&amp;IF(COUNTIFS(counts!$C$2:$C$701,$C531,counts!$D$2:$D$701,$D531,counts!$E$2:$E$701,$E531)&gt;1,"two "&amp;$E531&amp;" counts: keep one; ","")&amp;IF(AND($E531="remaining_day5",N($J531)&lt;5),"day-5 count logged before day 5; ","")&amp;IF(AND($G531="photo",$H531=""),"which photo?; ",""))</f>
        <v/>
      </c>
    </row>
    <row r="532">
      <c r="A532" s="9" t="n"/>
      <c r="B532" s="33" t="n"/>
      <c r="J532" s="25">
        <f>IF(OR($C532="",$A532=""),"",IF($A532&lt;IFERROR(IF(INDEX(campaigns!$BG$2:$BG$51,MATCH($C532,campaigns!$A$2:$A$51,0))="","",INDEX(campaigns!$BG$2:$BG$51,MATCH($C532,campaigns!$A$2:$A$51,0))),""),0,NETWORKDAYS(IFERROR(IF(INDEX(campaigns!$BG$2:$BG$51,MATCH($C532,campaigns!$A$2:$A$51,0))="","",INDEX(campaigns!$BG$2:$BG$51,MATCH($C532,campaigns!$A$2:$A$51,0))),""),$A532,calendar!$A$2:$A$80)))</f>
        <v/>
      </c>
      <c r="K532" s="25">
        <f>IF($C532="","",IF(COUNTIF(campaigns!$A$2:$A$51,$C532)=0,"campaign_id not on campaigns; ",IF(AND($D532&lt;&gt;"",COUNTIFS(approvals!$A$2:$A$251,$C532,approvals!$B$2:$B$251,$D532)=0),"office not on this campaign (approvals tab); ",""))&amp;IF(COUNTIFS(counts!$C$2:$C$701,$C532,counts!$D$2:$D$701,$D532,counts!$E$2:$E$701,$E532)&gt;1,"two "&amp;$E532&amp;" counts: keep one; ","")&amp;IF(AND($E532="remaining_day5",N($J532)&lt;5),"day-5 count logged before day 5; ","")&amp;IF(AND($G532="photo",$H532=""),"which photo?; ",""))</f>
        <v/>
      </c>
    </row>
    <row r="533">
      <c r="A533" s="9" t="n"/>
      <c r="B533" s="33" t="n"/>
      <c r="J533" s="25">
        <f>IF(OR($C533="",$A533=""),"",IF($A533&lt;IFERROR(IF(INDEX(campaigns!$BG$2:$BG$51,MATCH($C533,campaigns!$A$2:$A$51,0))="","",INDEX(campaigns!$BG$2:$BG$51,MATCH($C533,campaigns!$A$2:$A$51,0))),""),0,NETWORKDAYS(IFERROR(IF(INDEX(campaigns!$BG$2:$BG$51,MATCH($C533,campaigns!$A$2:$A$51,0))="","",INDEX(campaigns!$BG$2:$BG$51,MATCH($C533,campaigns!$A$2:$A$51,0))),""),$A533,calendar!$A$2:$A$80)))</f>
        <v/>
      </c>
      <c r="K533" s="25">
        <f>IF($C533="","",IF(COUNTIF(campaigns!$A$2:$A$51,$C533)=0,"campaign_id not on campaigns; ",IF(AND($D533&lt;&gt;"",COUNTIFS(approvals!$A$2:$A$251,$C533,approvals!$B$2:$B$251,$D533)=0),"office not on this campaign (approvals tab); ",""))&amp;IF(COUNTIFS(counts!$C$2:$C$701,$C533,counts!$D$2:$D$701,$D533,counts!$E$2:$E$701,$E533)&gt;1,"two "&amp;$E533&amp;" counts: keep one; ","")&amp;IF(AND($E533="remaining_day5",N($J533)&lt;5),"day-5 count logged before day 5; ","")&amp;IF(AND($G533="photo",$H533=""),"which photo?; ",""))</f>
        <v/>
      </c>
    </row>
    <row r="534">
      <c r="A534" s="9" t="n"/>
      <c r="B534" s="33" t="n"/>
      <c r="J534" s="25">
        <f>IF(OR($C534="",$A534=""),"",IF($A534&lt;IFERROR(IF(INDEX(campaigns!$BG$2:$BG$51,MATCH($C534,campaigns!$A$2:$A$51,0))="","",INDEX(campaigns!$BG$2:$BG$51,MATCH($C534,campaigns!$A$2:$A$51,0))),""),0,NETWORKDAYS(IFERROR(IF(INDEX(campaigns!$BG$2:$BG$51,MATCH($C534,campaigns!$A$2:$A$51,0))="","",INDEX(campaigns!$BG$2:$BG$51,MATCH($C534,campaigns!$A$2:$A$51,0))),""),$A534,calendar!$A$2:$A$80)))</f>
        <v/>
      </c>
      <c r="K534" s="25">
        <f>IF($C534="","",IF(COUNTIF(campaigns!$A$2:$A$51,$C534)=0,"campaign_id not on campaigns; ",IF(AND($D534&lt;&gt;"",COUNTIFS(approvals!$A$2:$A$251,$C534,approvals!$B$2:$B$251,$D534)=0),"office not on this campaign (approvals tab); ",""))&amp;IF(COUNTIFS(counts!$C$2:$C$701,$C534,counts!$D$2:$D$701,$D534,counts!$E$2:$E$701,$E534)&gt;1,"two "&amp;$E534&amp;" counts: keep one; ","")&amp;IF(AND($E534="remaining_day5",N($J534)&lt;5),"day-5 count logged before day 5; ","")&amp;IF(AND($G534="photo",$H534=""),"which photo?; ",""))</f>
        <v/>
      </c>
    </row>
    <row r="535">
      <c r="A535" s="9" t="n"/>
      <c r="B535" s="33" t="n"/>
      <c r="J535" s="25">
        <f>IF(OR($C535="",$A535=""),"",IF($A535&lt;IFERROR(IF(INDEX(campaigns!$BG$2:$BG$51,MATCH($C535,campaigns!$A$2:$A$51,0))="","",INDEX(campaigns!$BG$2:$BG$51,MATCH($C535,campaigns!$A$2:$A$51,0))),""),0,NETWORKDAYS(IFERROR(IF(INDEX(campaigns!$BG$2:$BG$51,MATCH($C535,campaigns!$A$2:$A$51,0))="","",INDEX(campaigns!$BG$2:$BG$51,MATCH($C535,campaigns!$A$2:$A$51,0))),""),$A535,calendar!$A$2:$A$80)))</f>
        <v/>
      </c>
      <c r="K535" s="25">
        <f>IF($C535="","",IF(COUNTIF(campaigns!$A$2:$A$51,$C535)=0,"campaign_id not on campaigns; ",IF(AND($D535&lt;&gt;"",COUNTIFS(approvals!$A$2:$A$251,$C535,approvals!$B$2:$B$251,$D535)=0),"office not on this campaign (approvals tab); ",""))&amp;IF(COUNTIFS(counts!$C$2:$C$701,$C535,counts!$D$2:$D$701,$D535,counts!$E$2:$E$701,$E535)&gt;1,"two "&amp;$E535&amp;" counts: keep one; ","")&amp;IF(AND($E535="remaining_day5",N($J535)&lt;5),"day-5 count logged before day 5; ","")&amp;IF(AND($G535="photo",$H535=""),"which photo?; ",""))</f>
        <v/>
      </c>
    </row>
    <row r="536">
      <c r="A536" s="9" t="n"/>
      <c r="B536" s="33" t="n"/>
      <c r="J536" s="25">
        <f>IF(OR($C536="",$A536=""),"",IF($A536&lt;IFERROR(IF(INDEX(campaigns!$BG$2:$BG$51,MATCH($C536,campaigns!$A$2:$A$51,0))="","",INDEX(campaigns!$BG$2:$BG$51,MATCH($C536,campaigns!$A$2:$A$51,0))),""),0,NETWORKDAYS(IFERROR(IF(INDEX(campaigns!$BG$2:$BG$51,MATCH($C536,campaigns!$A$2:$A$51,0))="","",INDEX(campaigns!$BG$2:$BG$51,MATCH($C536,campaigns!$A$2:$A$51,0))),""),$A536,calendar!$A$2:$A$80)))</f>
        <v/>
      </c>
      <c r="K536" s="25">
        <f>IF($C536="","",IF(COUNTIF(campaigns!$A$2:$A$51,$C536)=0,"campaign_id not on campaigns; ",IF(AND($D536&lt;&gt;"",COUNTIFS(approvals!$A$2:$A$251,$C536,approvals!$B$2:$B$251,$D536)=0),"office not on this campaign (approvals tab); ",""))&amp;IF(COUNTIFS(counts!$C$2:$C$701,$C536,counts!$D$2:$D$701,$D536,counts!$E$2:$E$701,$E536)&gt;1,"two "&amp;$E536&amp;" counts: keep one; ","")&amp;IF(AND($E536="remaining_day5",N($J536)&lt;5),"day-5 count logged before day 5; ","")&amp;IF(AND($G536="photo",$H536=""),"which photo?; ",""))</f>
        <v/>
      </c>
    </row>
    <row r="537">
      <c r="A537" s="9" t="n"/>
      <c r="B537" s="33" t="n"/>
      <c r="J537" s="25">
        <f>IF(OR($C537="",$A537=""),"",IF($A537&lt;IFERROR(IF(INDEX(campaigns!$BG$2:$BG$51,MATCH($C537,campaigns!$A$2:$A$51,0))="","",INDEX(campaigns!$BG$2:$BG$51,MATCH($C537,campaigns!$A$2:$A$51,0))),""),0,NETWORKDAYS(IFERROR(IF(INDEX(campaigns!$BG$2:$BG$51,MATCH($C537,campaigns!$A$2:$A$51,0))="","",INDEX(campaigns!$BG$2:$BG$51,MATCH($C537,campaigns!$A$2:$A$51,0))),""),$A537,calendar!$A$2:$A$80)))</f>
        <v/>
      </c>
      <c r="K537" s="25">
        <f>IF($C537="","",IF(COUNTIF(campaigns!$A$2:$A$51,$C537)=0,"campaign_id not on campaigns; ",IF(AND($D537&lt;&gt;"",COUNTIFS(approvals!$A$2:$A$251,$C537,approvals!$B$2:$B$251,$D537)=0),"office not on this campaign (approvals tab); ",""))&amp;IF(COUNTIFS(counts!$C$2:$C$701,$C537,counts!$D$2:$D$701,$D537,counts!$E$2:$E$701,$E537)&gt;1,"two "&amp;$E537&amp;" counts: keep one; ","")&amp;IF(AND($E537="remaining_day5",N($J537)&lt;5),"day-5 count logged before day 5; ","")&amp;IF(AND($G537="photo",$H537=""),"which photo?; ",""))</f>
        <v/>
      </c>
    </row>
    <row r="538">
      <c r="A538" s="9" t="n"/>
      <c r="B538" s="33" t="n"/>
      <c r="J538" s="25">
        <f>IF(OR($C538="",$A538=""),"",IF($A538&lt;IFERROR(IF(INDEX(campaigns!$BG$2:$BG$51,MATCH($C538,campaigns!$A$2:$A$51,0))="","",INDEX(campaigns!$BG$2:$BG$51,MATCH($C538,campaigns!$A$2:$A$51,0))),""),0,NETWORKDAYS(IFERROR(IF(INDEX(campaigns!$BG$2:$BG$51,MATCH($C538,campaigns!$A$2:$A$51,0))="","",INDEX(campaigns!$BG$2:$BG$51,MATCH($C538,campaigns!$A$2:$A$51,0))),""),$A538,calendar!$A$2:$A$80)))</f>
        <v/>
      </c>
      <c r="K538" s="25">
        <f>IF($C538="","",IF(COUNTIF(campaigns!$A$2:$A$51,$C538)=0,"campaign_id not on campaigns; ",IF(AND($D538&lt;&gt;"",COUNTIFS(approvals!$A$2:$A$251,$C538,approvals!$B$2:$B$251,$D538)=0),"office not on this campaign (approvals tab); ",""))&amp;IF(COUNTIFS(counts!$C$2:$C$701,$C538,counts!$D$2:$D$701,$D538,counts!$E$2:$E$701,$E538)&gt;1,"two "&amp;$E538&amp;" counts: keep one; ","")&amp;IF(AND($E538="remaining_day5",N($J538)&lt;5),"day-5 count logged before day 5; ","")&amp;IF(AND($G538="photo",$H538=""),"which photo?; ",""))</f>
        <v/>
      </c>
    </row>
    <row r="539">
      <c r="A539" s="9" t="n"/>
      <c r="B539" s="33" t="n"/>
      <c r="J539" s="25">
        <f>IF(OR($C539="",$A539=""),"",IF($A539&lt;IFERROR(IF(INDEX(campaigns!$BG$2:$BG$51,MATCH($C539,campaigns!$A$2:$A$51,0))="","",INDEX(campaigns!$BG$2:$BG$51,MATCH($C539,campaigns!$A$2:$A$51,0))),""),0,NETWORKDAYS(IFERROR(IF(INDEX(campaigns!$BG$2:$BG$51,MATCH($C539,campaigns!$A$2:$A$51,0))="","",INDEX(campaigns!$BG$2:$BG$51,MATCH($C539,campaigns!$A$2:$A$51,0))),""),$A539,calendar!$A$2:$A$80)))</f>
        <v/>
      </c>
      <c r="K539" s="25">
        <f>IF($C539="","",IF(COUNTIF(campaigns!$A$2:$A$51,$C539)=0,"campaign_id not on campaigns; ",IF(AND($D539&lt;&gt;"",COUNTIFS(approvals!$A$2:$A$251,$C539,approvals!$B$2:$B$251,$D539)=0),"office not on this campaign (approvals tab); ",""))&amp;IF(COUNTIFS(counts!$C$2:$C$701,$C539,counts!$D$2:$D$701,$D539,counts!$E$2:$E$701,$E539)&gt;1,"two "&amp;$E539&amp;" counts: keep one; ","")&amp;IF(AND($E539="remaining_day5",N($J539)&lt;5),"day-5 count logged before day 5; ","")&amp;IF(AND($G539="photo",$H539=""),"which photo?; ",""))</f>
        <v/>
      </c>
    </row>
    <row r="540">
      <c r="A540" s="9" t="n"/>
      <c r="B540" s="33" t="n"/>
      <c r="J540" s="25">
        <f>IF(OR($C540="",$A540=""),"",IF($A540&lt;IFERROR(IF(INDEX(campaigns!$BG$2:$BG$51,MATCH($C540,campaigns!$A$2:$A$51,0))="","",INDEX(campaigns!$BG$2:$BG$51,MATCH($C540,campaigns!$A$2:$A$51,0))),""),0,NETWORKDAYS(IFERROR(IF(INDEX(campaigns!$BG$2:$BG$51,MATCH($C540,campaigns!$A$2:$A$51,0))="","",INDEX(campaigns!$BG$2:$BG$51,MATCH($C540,campaigns!$A$2:$A$51,0))),""),$A540,calendar!$A$2:$A$80)))</f>
        <v/>
      </c>
      <c r="K540" s="25">
        <f>IF($C540="","",IF(COUNTIF(campaigns!$A$2:$A$51,$C540)=0,"campaign_id not on campaigns; ",IF(AND($D540&lt;&gt;"",COUNTIFS(approvals!$A$2:$A$251,$C540,approvals!$B$2:$B$251,$D540)=0),"office not on this campaign (approvals tab); ",""))&amp;IF(COUNTIFS(counts!$C$2:$C$701,$C540,counts!$D$2:$D$701,$D540,counts!$E$2:$E$701,$E540)&gt;1,"two "&amp;$E540&amp;" counts: keep one; ","")&amp;IF(AND($E540="remaining_day5",N($J540)&lt;5),"day-5 count logged before day 5; ","")&amp;IF(AND($G540="photo",$H540=""),"which photo?; ",""))</f>
        <v/>
      </c>
    </row>
    <row r="541">
      <c r="A541" s="9" t="n"/>
      <c r="B541" s="33" t="n"/>
      <c r="J541" s="25">
        <f>IF(OR($C541="",$A541=""),"",IF($A541&lt;IFERROR(IF(INDEX(campaigns!$BG$2:$BG$51,MATCH($C541,campaigns!$A$2:$A$51,0))="","",INDEX(campaigns!$BG$2:$BG$51,MATCH($C541,campaigns!$A$2:$A$51,0))),""),0,NETWORKDAYS(IFERROR(IF(INDEX(campaigns!$BG$2:$BG$51,MATCH($C541,campaigns!$A$2:$A$51,0))="","",INDEX(campaigns!$BG$2:$BG$51,MATCH($C541,campaigns!$A$2:$A$51,0))),""),$A541,calendar!$A$2:$A$80)))</f>
        <v/>
      </c>
      <c r="K541" s="25">
        <f>IF($C541="","",IF(COUNTIF(campaigns!$A$2:$A$51,$C541)=0,"campaign_id not on campaigns; ",IF(AND($D541&lt;&gt;"",COUNTIFS(approvals!$A$2:$A$251,$C541,approvals!$B$2:$B$251,$D541)=0),"office not on this campaign (approvals tab); ",""))&amp;IF(COUNTIFS(counts!$C$2:$C$701,$C541,counts!$D$2:$D$701,$D541,counts!$E$2:$E$701,$E541)&gt;1,"two "&amp;$E541&amp;" counts: keep one; ","")&amp;IF(AND($E541="remaining_day5",N($J541)&lt;5),"day-5 count logged before day 5; ","")&amp;IF(AND($G541="photo",$H541=""),"which photo?; ",""))</f>
        <v/>
      </c>
    </row>
    <row r="542">
      <c r="A542" s="9" t="n"/>
      <c r="B542" s="33" t="n"/>
      <c r="J542" s="25">
        <f>IF(OR($C542="",$A542=""),"",IF($A542&lt;IFERROR(IF(INDEX(campaigns!$BG$2:$BG$51,MATCH($C542,campaigns!$A$2:$A$51,0))="","",INDEX(campaigns!$BG$2:$BG$51,MATCH($C542,campaigns!$A$2:$A$51,0))),""),0,NETWORKDAYS(IFERROR(IF(INDEX(campaigns!$BG$2:$BG$51,MATCH($C542,campaigns!$A$2:$A$51,0))="","",INDEX(campaigns!$BG$2:$BG$51,MATCH($C542,campaigns!$A$2:$A$51,0))),""),$A542,calendar!$A$2:$A$80)))</f>
        <v/>
      </c>
      <c r="K542" s="25">
        <f>IF($C542="","",IF(COUNTIF(campaigns!$A$2:$A$51,$C542)=0,"campaign_id not on campaigns; ",IF(AND($D542&lt;&gt;"",COUNTIFS(approvals!$A$2:$A$251,$C542,approvals!$B$2:$B$251,$D542)=0),"office not on this campaign (approvals tab); ",""))&amp;IF(COUNTIFS(counts!$C$2:$C$701,$C542,counts!$D$2:$D$701,$D542,counts!$E$2:$E$701,$E542)&gt;1,"two "&amp;$E542&amp;" counts: keep one; ","")&amp;IF(AND($E542="remaining_day5",N($J542)&lt;5),"day-5 count logged before day 5; ","")&amp;IF(AND($G542="photo",$H542=""),"which photo?; ",""))</f>
        <v/>
      </c>
    </row>
    <row r="543">
      <c r="A543" s="9" t="n"/>
      <c r="B543" s="33" t="n"/>
      <c r="J543" s="25">
        <f>IF(OR($C543="",$A543=""),"",IF($A543&lt;IFERROR(IF(INDEX(campaigns!$BG$2:$BG$51,MATCH($C543,campaigns!$A$2:$A$51,0))="","",INDEX(campaigns!$BG$2:$BG$51,MATCH($C543,campaigns!$A$2:$A$51,0))),""),0,NETWORKDAYS(IFERROR(IF(INDEX(campaigns!$BG$2:$BG$51,MATCH($C543,campaigns!$A$2:$A$51,0))="","",INDEX(campaigns!$BG$2:$BG$51,MATCH($C543,campaigns!$A$2:$A$51,0))),""),$A543,calendar!$A$2:$A$80)))</f>
        <v/>
      </c>
      <c r="K543" s="25">
        <f>IF($C543="","",IF(COUNTIF(campaigns!$A$2:$A$51,$C543)=0,"campaign_id not on campaigns; ",IF(AND($D543&lt;&gt;"",COUNTIFS(approvals!$A$2:$A$251,$C543,approvals!$B$2:$B$251,$D543)=0),"office not on this campaign (approvals tab); ",""))&amp;IF(COUNTIFS(counts!$C$2:$C$701,$C543,counts!$D$2:$D$701,$D543,counts!$E$2:$E$701,$E543)&gt;1,"two "&amp;$E543&amp;" counts: keep one; ","")&amp;IF(AND($E543="remaining_day5",N($J543)&lt;5),"day-5 count logged before day 5; ","")&amp;IF(AND($G543="photo",$H543=""),"which photo?; ",""))</f>
        <v/>
      </c>
    </row>
    <row r="544">
      <c r="A544" s="9" t="n"/>
      <c r="B544" s="33" t="n"/>
      <c r="J544" s="25">
        <f>IF(OR($C544="",$A544=""),"",IF($A544&lt;IFERROR(IF(INDEX(campaigns!$BG$2:$BG$51,MATCH($C544,campaigns!$A$2:$A$51,0))="","",INDEX(campaigns!$BG$2:$BG$51,MATCH($C544,campaigns!$A$2:$A$51,0))),""),0,NETWORKDAYS(IFERROR(IF(INDEX(campaigns!$BG$2:$BG$51,MATCH($C544,campaigns!$A$2:$A$51,0))="","",INDEX(campaigns!$BG$2:$BG$51,MATCH($C544,campaigns!$A$2:$A$51,0))),""),$A544,calendar!$A$2:$A$80)))</f>
        <v/>
      </c>
      <c r="K544" s="25">
        <f>IF($C544="","",IF(COUNTIF(campaigns!$A$2:$A$51,$C544)=0,"campaign_id not on campaigns; ",IF(AND($D544&lt;&gt;"",COUNTIFS(approvals!$A$2:$A$251,$C544,approvals!$B$2:$B$251,$D544)=0),"office not on this campaign (approvals tab); ",""))&amp;IF(COUNTIFS(counts!$C$2:$C$701,$C544,counts!$D$2:$D$701,$D544,counts!$E$2:$E$701,$E544)&gt;1,"two "&amp;$E544&amp;" counts: keep one; ","")&amp;IF(AND($E544="remaining_day5",N($J544)&lt;5),"day-5 count logged before day 5; ","")&amp;IF(AND($G544="photo",$H544=""),"which photo?; ",""))</f>
        <v/>
      </c>
    </row>
    <row r="545">
      <c r="A545" s="9" t="n"/>
      <c r="B545" s="33" t="n"/>
      <c r="J545" s="25">
        <f>IF(OR($C545="",$A545=""),"",IF($A545&lt;IFERROR(IF(INDEX(campaigns!$BG$2:$BG$51,MATCH($C545,campaigns!$A$2:$A$51,0))="","",INDEX(campaigns!$BG$2:$BG$51,MATCH($C545,campaigns!$A$2:$A$51,0))),""),0,NETWORKDAYS(IFERROR(IF(INDEX(campaigns!$BG$2:$BG$51,MATCH($C545,campaigns!$A$2:$A$51,0))="","",INDEX(campaigns!$BG$2:$BG$51,MATCH($C545,campaigns!$A$2:$A$51,0))),""),$A545,calendar!$A$2:$A$80)))</f>
        <v/>
      </c>
      <c r="K545" s="25">
        <f>IF($C545="","",IF(COUNTIF(campaigns!$A$2:$A$51,$C545)=0,"campaign_id not on campaigns; ",IF(AND($D545&lt;&gt;"",COUNTIFS(approvals!$A$2:$A$251,$C545,approvals!$B$2:$B$251,$D545)=0),"office not on this campaign (approvals tab); ",""))&amp;IF(COUNTIFS(counts!$C$2:$C$701,$C545,counts!$D$2:$D$701,$D545,counts!$E$2:$E$701,$E545)&gt;1,"two "&amp;$E545&amp;" counts: keep one; ","")&amp;IF(AND($E545="remaining_day5",N($J545)&lt;5),"day-5 count logged before day 5; ","")&amp;IF(AND($G545="photo",$H545=""),"which photo?; ",""))</f>
        <v/>
      </c>
    </row>
    <row r="546">
      <c r="A546" s="9" t="n"/>
      <c r="B546" s="33" t="n"/>
      <c r="J546" s="25">
        <f>IF(OR($C546="",$A546=""),"",IF($A546&lt;IFERROR(IF(INDEX(campaigns!$BG$2:$BG$51,MATCH($C546,campaigns!$A$2:$A$51,0))="","",INDEX(campaigns!$BG$2:$BG$51,MATCH($C546,campaigns!$A$2:$A$51,0))),""),0,NETWORKDAYS(IFERROR(IF(INDEX(campaigns!$BG$2:$BG$51,MATCH($C546,campaigns!$A$2:$A$51,0))="","",INDEX(campaigns!$BG$2:$BG$51,MATCH($C546,campaigns!$A$2:$A$51,0))),""),$A546,calendar!$A$2:$A$80)))</f>
        <v/>
      </c>
      <c r="K546" s="25">
        <f>IF($C546="","",IF(COUNTIF(campaigns!$A$2:$A$51,$C546)=0,"campaign_id not on campaigns; ",IF(AND($D546&lt;&gt;"",COUNTIFS(approvals!$A$2:$A$251,$C546,approvals!$B$2:$B$251,$D546)=0),"office not on this campaign (approvals tab); ",""))&amp;IF(COUNTIFS(counts!$C$2:$C$701,$C546,counts!$D$2:$D$701,$D546,counts!$E$2:$E$701,$E546)&gt;1,"two "&amp;$E546&amp;" counts: keep one; ","")&amp;IF(AND($E546="remaining_day5",N($J546)&lt;5),"day-5 count logged before day 5; ","")&amp;IF(AND($G546="photo",$H546=""),"which photo?; ",""))</f>
        <v/>
      </c>
    </row>
    <row r="547">
      <c r="A547" s="9" t="n"/>
      <c r="B547" s="33" t="n"/>
      <c r="J547" s="25">
        <f>IF(OR($C547="",$A547=""),"",IF($A547&lt;IFERROR(IF(INDEX(campaigns!$BG$2:$BG$51,MATCH($C547,campaigns!$A$2:$A$51,0))="","",INDEX(campaigns!$BG$2:$BG$51,MATCH($C547,campaigns!$A$2:$A$51,0))),""),0,NETWORKDAYS(IFERROR(IF(INDEX(campaigns!$BG$2:$BG$51,MATCH($C547,campaigns!$A$2:$A$51,0))="","",INDEX(campaigns!$BG$2:$BG$51,MATCH($C547,campaigns!$A$2:$A$51,0))),""),$A547,calendar!$A$2:$A$80)))</f>
        <v/>
      </c>
      <c r="K547" s="25">
        <f>IF($C547="","",IF(COUNTIF(campaigns!$A$2:$A$51,$C547)=0,"campaign_id not on campaigns; ",IF(AND($D547&lt;&gt;"",COUNTIFS(approvals!$A$2:$A$251,$C547,approvals!$B$2:$B$251,$D547)=0),"office not on this campaign (approvals tab); ",""))&amp;IF(COUNTIFS(counts!$C$2:$C$701,$C547,counts!$D$2:$D$701,$D547,counts!$E$2:$E$701,$E547)&gt;1,"two "&amp;$E547&amp;" counts: keep one; ","")&amp;IF(AND($E547="remaining_day5",N($J547)&lt;5),"day-5 count logged before day 5; ","")&amp;IF(AND($G547="photo",$H547=""),"which photo?; ",""))</f>
        <v/>
      </c>
    </row>
    <row r="548">
      <c r="A548" s="9" t="n"/>
      <c r="B548" s="33" t="n"/>
      <c r="J548" s="25">
        <f>IF(OR($C548="",$A548=""),"",IF($A548&lt;IFERROR(IF(INDEX(campaigns!$BG$2:$BG$51,MATCH($C548,campaigns!$A$2:$A$51,0))="","",INDEX(campaigns!$BG$2:$BG$51,MATCH($C548,campaigns!$A$2:$A$51,0))),""),0,NETWORKDAYS(IFERROR(IF(INDEX(campaigns!$BG$2:$BG$51,MATCH($C548,campaigns!$A$2:$A$51,0))="","",INDEX(campaigns!$BG$2:$BG$51,MATCH($C548,campaigns!$A$2:$A$51,0))),""),$A548,calendar!$A$2:$A$80)))</f>
        <v/>
      </c>
      <c r="K548" s="25">
        <f>IF($C548="","",IF(COUNTIF(campaigns!$A$2:$A$51,$C548)=0,"campaign_id not on campaigns; ",IF(AND($D548&lt;&gt;"",COUNTIFS(approvals!$A$2:$A$251,$C548,approvals!$B$2:$B$251,$D548)=0),"office not on this campaign (approvals tab); ",""))&amp;IF(COUNTIFS(counts!$C$2:$C$701,$C548,counts!$D$2:$D$701,$D548,counts!$E$2:$E$701,$E548)&gt;1,"two "&amp;$E548&amp;" counts: keep one; ","")&amp;IF(AND($E548="remaining_day5",N($J548)&lt;5),"day-5 count logged before day 5; ","")&amp;IF(AND($G548="photo",$H548=""),"which photo?; ",""))</f>
        <v/>
      </c>
    </row>
    <row r="549">
      <c r="A549" s="9" t="n"/>
      <c r="B549" s="33" t="n"/>
      <c r="J549" s="25">
        <f>IF(OR($C549="",$A549=""),"",IF($A549&lt;IFERROR(IF(INDEX(campaigns!$BG$2:$BG$51,MATCH($C549,campaigns!$A$2:$A$51,0))="","",INDEX(campaigns!$BG$2:$BG$51,MATCH($C549,campaigns!$A$2:$A$51,0))),""),0,NETWORKDAYS(IFERROR(IF(INDEX(campaigns!$BG$2:$BG$51,MATCH($C549,campaigns!$A$2:$A$51,0))="","",INDEX(campaigns!$BG$2:$BG$51,MATCH($C549,campaigns!$A$2:$A$51,0))),""),$A549,calendar!$A$2:$A$80)))</f>
        <v/>
      </c>
      <c r="K549" s="25">
        <f>IF($C549="","",IF(COUNTIF(campaigns!$A$2:$A$51,$C549)=0,"campaign_id not on campaigns; ",IF(AND($D549&lt;&gt;"",COUNTIFS(approvals!$A$2:$A$251,$C549,approvals!$B$2:$B$251,$D549)=0),"office not on this campaign (approvals tab); ",""))&amp;IF(COUNTIFS(counts!$C$2:$C$701,$C549,counts!$D$2:$D$701,$D549,counts!$E$2:$E$701,$E549)&gt;1,"two "&amp;$E549&amp;" counts: keep one; ","")&amp;IF(AND($E549="remaining_day5",N($J549)&lt;5),"day-5 count logged before day 5; ","")&amp;IF(AND($G549="photo",$H549=""),"which photo?; ",""))</f>
        <v/>
      </c>
    </row>
    <row r="550">
      <c r="A550" s="9" t="n"/>
      <c r="B550" s="33" t="n"/>
      <c r="J550" s="25">
        <f>IF(OR($C550="",$A550=""),"",IF($A550&lt;IFERROR(IF(INDEX(campaigns!$BG$2:$BG$51,MATCH($C550,campaigns!$A$2:$A$51,0))="","",INDEX(campaigns!$BG$2:$BG$51,MATCH($C550,campaigns!$A$2:$A$51,0))),""),0,NETWORKDAYS(IFERROR(IF(INDEX(campaigns!$BG$2:$BG$51,MATCH($C550,campaigns!$A$2:$A$51,0))="","",INDEX(campaigns!$BG$2:$BG$51,MATCH($C550,campaigns!$A$2:$A$51,0))),""),$A550,calendar!$A$2:$A$80)))</f>
        <v/>
      </c>
      <c r="K550" s="25">
        <f>IF($C550="","",IF(COUNTIF(campaigns!$A$2:$A$51,$C550)=0,"campaign_id not on campaigns; ",IF(AND($D550&lt;&gt;"",COUNTIFS(approvals!$A$2:$A$251,$C550,approvals!$B$2:$B$251,$D550)=0),"office not on this campaign (approvals tab); ",""))&amp;IF(COUNTIFS(counts!$C$2:$C$701,$C550,counts!$D$2:$D$701,$D550,counts!$E$2:$E$701,$E550)&gt;1,"two "&amp;$E550&amp;" counts: keep one; ","")&amp;IF(AND($E550="remaining_day5",N($J550)&lt;5),"day-5 count logged before day 5; ","")&amp;IF(AND($G550="photo",$H550=""),"which photo?; ",""))</f>
        <v/>
      </c>
    </row>
    <row r="551">
      <c r="A551" s="9" t="n"/>
      <c r="B551" s="33" t="n"/>
      <c r="J551" s="25">
        <f>IF(OR($C551="",$A551=""),"",IF($A551&lt;IFERROR(IF(INDEX(campaigns!$BG$2:$BG$51,MATCH($C551,campaigns!$A$2:$A$51,0))="","",INDEX(campaigns!$BG$2:$BG$51,MATCH($C551,campaigns!$A$2:$A$51,0))),""),0,NETWORKDAYS(IFERROR(IF(INDEX(campaigns!$BG$2:$BG$51,MATCH($C551,campaigns!$A$2:$A$51,0))="","",INDEX(campaigns!$BG$2:$BG$51,MATCH($C551,campaigns!$A$2:$A$51,0))),""),$A551,calendar!$A$2:$A$80)))</f>
        <v/>
      </c>
      <c r="K551" s="25">
        <f>IF($C551="","",IF(COUNTIF(campaigns!$A$2:$A$51,$C551)=0,"campaign_id not on campaigns; ",IF(AND($D551&lt;&gt;"",COUNTIFS(approvals!$A$2:$A$251,$C551,approvals!$B$2:$B$251,$D551)=0),"office not on this campaign (approvals tab); ",""))&amp;IF(COUNTIFS(counts!$C$2:$C$701,$C551,counts!$D$2:$D$701,$D551,counts!$E$2:$E$701,$E551)&gt;1,"two "&amp;$E551&amp;" counts: keep one; ","")&amp;IF(AND($E551="remaining_day5",N($J551)&lt;5),"day-5 count logged before day 5; ","")&amp;IF(AND($G551="photo",$H551=""),"which photo?; ",""))</f>
        <v/>
      </c>
    </row>
    <row r="552">
      <c r="A552" s="9" t="n"/>
      <c r="B552" s="33" t="n"/>
      <c r="J552" s="25">
        <f>IF(OR($C552="",$A552=""),"",IF($A552&lt;IFERROR(IF(INDEX(campaigns!$BG$2:$BG$51,MATCH($C552,campaigns!$A$2:$A$51,0))="","",INDEX(campaigns!$BG$2:$BG$51,MATCH($C552,campaigns!$A$2:$A$51,0))),""),0,NETWORKDAYS(IFERROR(IF(INDEX(campaigns!$BG$2:$BG$51,MATCH($C552,campaigns!$A$2:$A$51,0))="","",INDEX(campaigns!$BG$2:$BG$51,MATCH($C552,campaigns!$A$2:$A$51,0))),""),$A552,calendar!$A$2:$A$80)))</f>
        <v/>
      </c>
      <c r="K552" s="25">
        <f>IF($C552="","",IF(COUNTIF(campaigns!$A$2:$A$51,$C552)=0,"campaign_id not on campaigns; ",IF(AND($D552&lt;&gt;"",COUNTIFS(approvals!$A$2:$A$251,$C552,approvals!$B$2:$B$251,$D552)=0),"office not on this campaign (approvals tab); ",""))&amp;IF(COUNTIFS(counts!$C$2:$C$701,$C552,counts!$D$2:$D$701,$D552,counts!$E$2:$E$701,$E552)&gt;1,"two "&amp;$E552&amp;" counts: keep one; ","")&amp;IF(AND($E552="remaining_day5",N($J552)&lt;5),"day-5 count logged before day 5; ","")&amp;IF(AND($G552="photo",$H552=""),"which photo?; ",""))</f>
        <v/>
      </c>
    </row>
    <row r="553">
      <c r="A553" s="9" t="n"/>
      <c r="B553" s="33" t="n"/>
      <c r="J553" s="25">
        <f>IF(OR($C553="",$A553=""),"",IF($A553&lt;IFERROR(IF(INDEX(campaigns!$BG$2:$BG$51,MATCH($C553,campaigns!$A$2:$A$51,0))="","",INDEX(campaigns!$BG$2:$BG$51,MATCH($C553,campaigns!$A$2:$A$51,0))),""),0,NETWORKDAYS(IFERROR(IF(INDEX(campaigns!$BG$2:$BG$51,MATCH($C553,campaigns!$A$2:$A$51,0))="","",INDEX(campaigns!$BG$2:$BG$51,MATCH($C553,campaigns!$A$2:$A$51,0))),""),$A553,calendar!$A$2:$A$80)))</f>
        <v/>
      </c>
      <c r="K553" s="25">
        <f>IF($C553="","",IF(COUNTIF(campaigns!$A$2:$A$51,$C553)=0,"campaign_id not on campaigns; ",IF(AND($D553&lt;&gt;"",COUNTIFS(approvals!$A$2:$A$251,$C553,approvals!$B$2:$B$251,$D553)=0),"office not on this campaign (approvals tab); ",""))&amp;IF(COUNTIFS(counts!$C$2:$C$701,$C553,counts!$D$2:$D$701,$D553,counts!$E$2:$E$701,$E553)&gt;1,"two "&amp;$E553&amp;" counts: keep one; ","")&amp;IF(AND($E553="remaining_day5",N($J553)&lt;5),"day-5 count logged before day 5; ","")&amp;IF(AND($G553="photo",$H553=""),"which photo?; ",""))</f>
        <v/>
      </c>
    </row>
    <row r="554">
      <c r="A554" s="9" t="n"/>
      <c r="B554" s="33" t="n"/>
      <c r="J554" s="25">
        <f>IF(OR($C554="",$A554=""),"",IF($A554&lt;IFERROR(IF(INDEX(campaigns!$BG$2:$BG$51,MATCH($C554,campaigns!$A$2:$A$51,0))="","",INDEX(campaigns!$BG$2:$BG$51,MATCH($C554,campaigns!$A$2:$A$51,0))),""),0,NETWORKDAYS(IFERROR(IF(INDEX(campaigns!$BG$2:$BG$51,MATCH($C554,campaigns!$A$2:$A$51,0))="","",INDEX(campaigns!$BG$2:$BG$51,MATCH($C554,campaigns!$A$2:$A$51,0))),""),$A554,calendar!$A$2:$A$80)))</f>
        <v/>
      </c>
      <c r="K554" s="25">
        <f>IF($C554="","",IF(COUNTIF(campaigns!$A$2:$A$51,$C554)=0,"campaign_id not on campaigns; ",IF(AND($D554&lt;&gt;"",COUNTIFS(approvals!$A$2:$A$251,$C554,approvals!$B$2:$B$251,$D554)=0),"office not on this campaign (approvals tab); ",""))&amp;IF(COUNTIFS(counts!$C$2:$C$701,$C554,counts!$D$2:$D$701,$D554,counts!$E$2:$E$701,$E554)&gt;1,"two "&amp;$E554&amp;" counts: keep one; ","")&amp;IF(AND($E554="remaining_day5",N($J554)&lt;5),"day-5 count logged before day 5; ","")&amp;IF(AND($G554="photo",$H554=""),"which photo?; ",""))</f>
        <v/>
      </c>
    </row>
    <row r="555">
      <c r="A555" s="9" t="n"/>
      <c r="B555" s="33" t="n"/>
      <c r="J555" s="25">
        <f>IF(OR($C555="",$A555=""),"",IF($A555&lt;IFERROR(IF(INDEX(campaigns!$BG$2:$BG$51,MATCH($C555,campaigns!$A$2:$A$51,0))="","",INDEX(campaigns!$BG$2:$BG$51,MATCH($C555,campaigns!$A$2:$A$51,0))),""),0,NETWORKDAYS(IFERROR(IF(INDEX(campaigns!$BG$2:$BG$51,MATCH($C555,campaigns!$A$2:$A$51,0))="","",INDEX(campaigns!$BG$2:$BG$51,MATCH($C555,campaigns!$A$2:$A$51,0))),""),$A555,calendar!$A$2:$A$80)))</f>
        <v/>
      </c>
      <c r="K555" s="25">
        <f>IF($C555="","",IF(COUNTIF(campaigns!$A$2:$A$51,$C555)=0,"campaign_id not on campaigns; ",IF(AND($D555&lt;&gt;"",COUNTIFS(approvals!$A$2:$A$251,$C555,approvals!$B$2:$B$251,$D555)=0),"office not on this campaign (approvals tab); ",""))&amp;IF(COUNTIFS(counts!$C$2:$C$701,$C555,counts!$D$2:$D$701,$D555,counts!$E$2:$E$701,$E555)&gt;1,"two "&amp;$E555&amp;" counts: keep one; ","")&amp;IF(AND($E555="remaining_day5",N($J555)&lt;5),"day-5 count logged before day 5; ","")&amp;IF(AND($G555="photo",$H555=""),"which photo?; ",""))</f>
        <v/>
      </c>
    </row>
    <row r="556">
      <c r="A556" s="9" t="n"/>
      <c r="B556" s="33" t="n"/>
      <c r="J556" s="25">
        <f>IF(OR($C556="",$A556=""),"",IF($A556&lt;IFERROR(IF(INDEX(campaigns!$BG$2:$BG$51,MATCH($C556,campaigns!$A$2:$A$51,0))="","",INDEX(campaigns!$BG$2:$BG$51,MATCH($C556,campaigns!$A$2:$A$51,0))),""),0,NETWORKDAYS(IFERROR(IF(INDEX(campaigns!$BG$2:$BG$51,MATCH($C556,campaigns!$A$2:$A$51,0))="","",INDEX(campaigns!$BG$2:$BG$51,MATCH($C556,campaigns!$A$2:$A$51,0))),""),$A556,calendar!$A$2:$A$80)))</f>
        <v/>
      </c>
      <c r="K556" s="25">
        <f>IF($C556="","",IF(COUNTIF(campaigns!$A$2:$A$51,$C556)=0,"campaign_id not on campaigns; ",IF(AND($D556&lt;&gt;"",COUNTIFS(approvals!$A$2:$A$251,$C556,approvals!$B$2:$B$251,$D556)=0),"office not on this campaign (approvals tab); ",""))&amp;IF(COUNTIFS(counts!$C$2:$C$701,$C556,counts!$D$2:$D$701,$D556,counts!$E$2:$E$701,$E556)&gt;1,"two "&amp;$E556&amp;" counts: keep one; ","")&amp;IF(AND($E556="remaining_day5",N($J556)&lt;5),"day-5 count logged before day 5; ","")&amp;IF(AND($G556="photo",$H556=""),"which photo?; ",""))</f>
        <v/>
      </c>
    </row>
    <row r="557">
      <c r="A557" s="9" t="n"/>
      <c r="B557" s="33" t="n"/>
      <c r="J557" s="25">
        <f>IF(OR($C557="",$A557=""),"",IF($A557&lt;IFERROR(IF(INDEX(campaigns!$BG$2:$BG$51,MATCH($C557,campaigns!$A$2:$A$51,0))="","",INDEX(campaigns!$BG$2:$BG$51,MATCH($C557,campaigns!$A$2:$A$51,0))),""),0,NETWORKDAYS(IFERROR(IF(INDEX(campaigns!$BG$2:$BG$51,MATCH($C557,campaigns!$A$2:$A$51,0))="","",INDEX(campaigns!$BG$2:$BG$51,MATCH($C557,campaigns!$A$2:$A$51,0))),""),$A557,calendar!$A$2:$A$80)))</f>
        <v/>
      </c>
      <c r="K557" s="25">
        <f>IF($C557="","",IF(COUNTIF(campaigns!$A$2:$A$51,$C557)=0,"campaign_id not on campaigns; ",IF(AND($D557&lt;&gt;"",COUNTIFS(approvals!$A$2:$A$251,$C557,approvals!$B$2:$B$251,$D557)=0),"office not on this campaign (approvals tab); ",""))&amp;IF(COUNTIFS(counts!$C$2:$C$701,$C557,counts!$D$2:$D$701,$D557,counts!$E$2:$E$701,$E557)&gt;1,"two "&amp;$E557&amp;" counts: keep one; ","")&amp;IF(AND($E557="remaining_day5",N($J557)&lt;5),"day-5 count logged before day 5; ","")&amp;IF(AND($G557="photo",$H557=""),"which photo?; ",""))</f>
        <v/>
      </c>
    </row>
    <row r="558">
      <c r="A558" s="9" t="n"/>
      <c r="B558" s="33" t="n"/>
      <c r="J558" s="25">
        <f>IF(OR($C558="",$A558=""),"",IF($A558&lt;IFERROR(IF(INDEX(campaigns!$BG$2:$BG$51,MATCH($C558,campaigns!$A$2:$A$51,0))="","",INDEX(campaigns!$BG$2:$BG$51,MATCH($C558,campaigns!$A$2:$A$51,0))),""),0,NETWORKDAYS(IFERROR(IF(INDEX(campaigns!$BG$2:$BG$51,MATCH($C558,campaigns!$A$2:$A$51,0))="","",INDEX(campaigns!$BG$2:$BG$51,MATCH($C558,campaigns!$A$2:$A$51,0))),""),$A558,calendar!$A$2:$A$80)))</f>
        <v/>
      </c>
      <c r="K558" s="25">
        <f>IF($C558="","",IF(COUNTIF(campaigns!$A$2:$A$51,$C558)=0,"campaign_id not on campaigns; ",IF(AND($D558&lt;&gt;"",COUNTIFS(approvals!$A$2:$A$251,$C558,approvals!$B$2:$B$251,$D558)=0),"office not on this campaign (approvals tab); ",""))&amp;IF(COUNTIFS(counts!$C$2:$C$701,$C558,counts!$D$2:$D$701,$D558,counts!$E$2:$E$701,$E558)&gt;1,"two "&amp;$E558&amp;" counts: keep one; ","")&amp;IF(AND($E558="remaining_day5",N($J558)&lt;5),"day-5 count logged before day 5; ","")&amp;IF(AND($G558="photo",$H558=""),"which photo?; ",""))</f>
        <v/>
      </c>
    </row>
    <row r="559">
      <c r="A559" s="9" t="n"/>
      <c r="B559" s="33" t="n"/>
      <c r="J559" s="25">
        <f>IF(OR($C559="",$A559=""),"",IF($A559&lt;IFERROR(IF(INDEX(campaigns!$BG$2:$BG$51,MATCH($C559,campaigns!$A$2:$A$51,0))="","",INDEX(campaigns!$BG$2:$BG$51,MATCH($C559,campaigns!$A$2:$A$51,0))),""),0,NETWORKDAYS(IFERROR(IF(INDEX(campaigns!$BG$2:$BG$51,MATCH($C559,campaigns!$A$2:$A$51,0))="","",INDEX(campaigns!$BG$2:$BG$51,MATCH($C559,campaigns!$A$2:$A$51,0))),""),$A559,calendar!$A$2:$A$80)))</f>
        <v/>
      </c>
      <c r="K559" s="25">
        <f>IF($C559="","",IF(COUNTIF(campaigns!$A$2:$A$51,$C559)=0,"campaign_id not on campaigns; ",IF(AND($D559&lt;&gt;"",COUNTIFS(approvals!$A$2:$A$251,$C559,approvals!$B$2:$B$251,$D559)=0),"office not on this campaign (approvals tab); ",""))&amp;IF(COUNTIFS(counts!$C$2:$C$701,$C559,counts!$D$2:$D$701,$D559,counts!$E$2:$E$701,$E559)&gt;1,"two "&amp;$E559&amp;" counts: keep one; ","")&amp;IF(AND($E559="remaining_day5",N($J559)&lt;5),"day-5 count logged before day 5; ","")&amp;IF(AND($G559="photo",$H559=""),"which photo?; ",""))</f>
        <v/>
      </c>
    </row>
    <row r="560">
      <c r="A560" s="9" t="n"/>
      <c r="B560" s="33" t="n"/>
      <c r="J560" s="25">
        <f>IF(OR($C560="",$A560=""),"",IF($A560&lt;IFERROR(IF(INDEX(campaigns!$BG$2:$BG$51,MATCH($C560,campaigns!$A$2:$A$51,0))="","",INDEX(campaigns!$BG$2:$BG$51,MATCH($C560,campaigns!$A$2:$A$51,0))),""),0,NETWORKDAYS(IFERROR(IF(INDEX(campaigns!$BG$2:$BG$51,MATCH($C560,campaigns!$A$2:$A$51,0))="","",INDEX(campaigns!$BG$2:$BG$51,MATCH($C560,campaigns!$A$2:$A$51,0))),""),$A560,calendar!$A$2:$A$80)))</f>
        <v/>
      </c>
      <c r="K560" s="25">
        <f>IF($C560="","",IF(COUNTIF(campaigns!$A$2:$A$51,$C560)=0,"campaign_id not on campaigns; ",IF(AND($D560&lt;&gt;"",COUNTIFS(approvals!$A$2:$A$251,$C560,approvals!$B$2:$B$251,$D560)=0),"office not on this campaign (approvals tab); ",""))&amp;IF(COUNTIFS(counts!$C$2:$C$701,$C560,counts!$D$2:$D$701,$D560,counts!$E$2:$E$701,$E560)&gt;1,"two "&amp;$E560&amp;" counts: keep one; ","")&amp;IF(AND($E560="remaining_day5",N($J560)&lt;5),"day-5 count logged before day 5; ","")&amp;IF(AND($G560="photo",$H560=""),"which photo?; ",""))</f>
        <v/>
      </c>
    </row>
    <row r="561">
      <c r="A561" s="9" t="n"/>
      <c r="B561" s="33" t="n"/>
      <c r="J561" s="25">
        <f>IF(OR($C561="",$A561=""),"",IF($A561&lt;IFERROR(IF(INDEX(campaigns!$BG$2:$BG$51,MATCH($C561,campaigns!$A$2:$A$51,0))="","",INDEX(campaigns!$BG$2:$BG$51,MATCH($C561,campaigns!$A$2:$A$51,0))),""),0,NETWORKDAYS(IFERROR(IF(INDEX(campaigns!$BG$2:$BG$51,MATCH($C561,campaigns!$A$2:$A$51,0))="","",INDEX(campaigns!$BG$2:$BG$51,MATCH($C561,campaigns!$A$2:$A$51,0))),""),$A561,calendar!$A$2:$A$80)))</f>
        <v/>
      </c>
      <c r="K561" s="25">
        <f>IF($C561="","",IF(COUNTIF(campaigns!$A$2:$A$51,$C561)=0,"campaign_id not on campaigns; ",IF(AND($D561&lt;&gt;"",COUNTIFS(approvals!$A$2:$A$251,$C561,approvals!$B$2:$B$251,$D561)=0),"office not on this campaign (approvals tab); ",""))&amp;IF(COUNTIFS(counts!$C$2:$C$701,$C561,counts!$D$2:$D$701,$D561,counts!$E$2:$E$701,$E561)&gt;1,"two "&amp;$E561&amp;" counts: keep one; ","")&amp;IF(AND($E561="remaining_day5",N($J561)&lt;5),"day-5 count logged before day 5; ","")&amp;IF(AND($G561="photo",$H561=""),"which photo?; ",""))</f>
        <v/>
      </c>
    </row>
    <row r="562">
      <c r="A562" s="9" t="n"/>
      <c r="B562" s="33" t="n"/>
      <c r="J562" s="25">
        <f>IF(OR($C562="",$A562=""),"",IF($A562&lt;IFERROR(IF(INDEX(campaigns!$BG$2:$BG$51,MATCH($C562,campaigns!$A$2:$A$51,0))="","",INDEX(campaigns!$BG$2:$BG$51,MATCH($C562,campaigns!$A$2:$A$51,0))),""),0,NETWORKDAYS(IFERROR(IF(INDEX(campaigns!$BG$2:$BG$51,MATCH($C562,campaigns!$A$2:$A$51,0))="","",INDEX(campaigns!$BG$2:$BG$51,MATCH($C562,campaigns!$A$2:$A$51,0))),""),$A562,calendar!$A$2:$A$80)))</f>
        <v/>
      </c>
      <c r="K562" s="25">
        <f>IF($C562="","",IF(COUNTIF(campaigns!$A$2:$A$51,$C562)=0,"campaign_id not on campaigns; ",IF(AND($D562&lt;&gt;"",COUNTIFS(approvals!$A$2:$A$251,$C562,approvals!$B$2:$B$251,$D562)=0),"office not on this campaign (approvals tab); ",""))&amp;IF(COUNTIFS(counts!$C$2:$C$701,$C562,counts!$D$2:$D$701,$D562,counts!$E$2:$E$701,$E562)&gt;1,"two "&amp;$E562&amp;" counts: keep one; ","")&amp;IF(AND($E562="remaining_day5",N($J562)&lt;5),"day-5 count logged before day 5; ","")&amp;IF(AND($G562="photo",$H562=""),"which photo?; ",""))</f>
        <v/>
      </c>
    </row>
    <row r="563">
      <c r="A563" s="9" t="n"/>
      <c r="B563" s="33" t="n"/>
      <c r="J563" s="25">
        <f>IF(OR($C563="",$A563=""),"",IF($A563&lt;IFERROR(IF(INDEX(campaigns!$BG$2:$BG$51,MATCH($C563,campaigns!$A$2:$A$51,0))="","",INDEX(campaigns!$BG$2:$BG$51,MATCH($C563,campaigns!$A$2:$A$51,0))),""),0,NETWORKDAYS(IFERROR(IF(INDEX(campaigns!$BG$2:$BG$51,MATCH($C563,campaigns!$A$2:$A$51,0))="","",INDEX(campaigns!$BG$2:$BG$51,MATCH($C563,campaigns!$A$2:$A$51,0))),""),$A563,calendar!$A$2:$A$80)))</f>
        <v/>
      </c>
      <c r="K563" s="25">
        <f>IF($C563="","",IF(COUNTIF(campaigns!$A$2:$A$51,$C563)=0,"campaign_id not on campaigns; ",IF(AND($D563&lt;&gt;"",COUNTIFS(approvals!$A$2:$A$251,$C563,approvals!$B$2:$B$251,$D563)=0),"office not on this campaign (approvals tab); ",""))&amp;IF(COUNTIFS(counts!$C$2:$C$701,$C563,counts!$D$2:$D$701,$D563,counts!$E$2:$E$701,$E563)&gt;1,"two "&amp;$E563&amp;" counts: keep one; ","")&amp;IF(AND($E563="remaining_day5",N($J563)&lt;5),"day-5 count logged before day 5; ","")&amp;IF(AND($G563="photo",$H563=""),"which photo?; ",""))</f>
        <v/>
      </c>
    </row>
    <row r="564">
      <c r="A564" s="9" t="n"/>
      <c r="B564" s="33" t="n"/>
      <c r="J564" s="25">
        <f>IF(OR($C564="",$A564=""),"",IF($A564&lt;IFERROR(IF(INDEX(campaigns!$BG$2:$BG$51,MATCH($C564,campaigns!$A$2:$A$51,0))="","",INDEX(campaigns!$BG$2:$BG$51,MATCH($C564,campaigns!$A$2:$A$51,0))),""),0,NETWORKDAYS(IFERROR(IF(INDEX(campaigns!$BG$2:$BG$51,MATCH($C564,campaigns!$A$2:$A$51,0))="","",INDEX(campaigns!$BG$2:$BG$51,MATCH($C564,campaigns!$A$2:$A$51,0))),""),$A564,calendar!$A$2:$A$80)))</f>
        <v/>
      </c>
      <c r="K564" s="25">
        <f>IF($C564="","",IF(COUNTIF(campaigns!$A$2:$A$51,$C564)=0,"campaign_id not on campaigns; ",IF(AND($D564&lt;&gt;"",COUNTIFS(approvals!$A$2:$A$251,$C564,approvals!$B$2:$B$251,$D564)=0),"office not on this campaign (approvals tab); ",""))&amp;IF(COUNTIFS(counts!$C$2:$C$701,$C564,counts!$D$2:$D$701,$D564,counts!$E$2:$E$701,$E564)&gt;1,"two "&amp;$E564&amp;" counts: keep one; ","")&amp;IF(AND($E564="remaining_day5",N($J564)&lt;5),"day-5 count logged before day 5; ","")&amp;IF(AND($G564="photo",$H564=""),"which photo?; ",""))</f>
        <v/>
      </c>
    </row>
    <row r="565">
      <c r="A565" s="9" t="n"/>
      <c r="B565" s="33" t="n"/>
      <c r="J565" s="25">
        <f>IF(OR($C565="",$A565=""),"",IF($A565&lt;IFERROR(IF(INDEX(campaigns!$BG$2:$BG$51,MATCH($C565,campaigns!$A$2:$A$51,0))="","",INDEX(campaigns!$BG$2:$BG$51,MATCH($C565,campaigns!$A$2:$A$51,0))),""),0,NETWORKDAYS(IFERROR(IF(INDEX(campaigns!$BG$2:$BG$51,MATCH($C565,campaigns!$A$2:$A$51,0))="","",INDEX(campaigns!$BG$2:$BG$51,MATCH($C565,campaigns!$A$2:$A$51,0))),""),$A565,calendar!$A$2:$A$80)))</f>
        <v/>
      </c>
      <c r="K565" s="25">
        <f>IF($C565="","",IF(COUNTIF(campaigns!$A$2:$A$51,$C565)=0,"campaign_id not on campaigns; ",IF(AND($D565&lt;&gt;"",COUNTIFS(approvals!$A$2:$A$251,$C565,approvals!$B$2:$B$251,$D565)=0),"office not on this campaign (approvals tab); ",""))&amp;IF(COUNTIFS(counts!$C$2:$C$701,$C565,counts!$D$2:$D$701,$D565,counts!$E$2:$E$701,$E565)&gt;1,"two "&amp;$E565&amp;" counts: keep one; ","")&amp;IF(AND($E565="remaining_day5",N($J565)&lt;5),"day-5 count logged before day 5; ","")&amp;IF(AND($G565="photo",$H565=""),"which photo?; ",""))</f>
        <v/>
      </c>
    </row>
    <row r="566">
      <c r="A566" s="9" t="n"/>
      <c r="B566" s="33" t="n"/>
      <c r="J566" s="25">
        <f>IF(OR($C566="",$A566=""),"",IF($A566&lt;IFERROR(IF(INDEX(campaigns!$BG$2:$BG$51,MATCH($C566,campaigns!$A$2:$A$51,0))="","",INDEX(campaigns!$BG$2:$BG$51,MATCH($C566,campaigns!$A$2:$A$51,0))),""),0,NETWORKDAYS(IFERROR(IF(INDEX(campaigns!$BG$2:$BG$51,MATCH($C566,campaigns!$A$2:$A$51,0))="","",INDEX(campaigns!$BG$2:$BG$51,MATCH($C566,campaigns!$A$2:$A$51,0))),""),$A566,calendar!$A$2:$A$80)))</f>
        <v/>
      </c>
      <c r="K566" s="25">
        <f>IF($C566="","",IF(COUNTIF(campaigns!$A$2:$A$51,$C566)=0,"campaign_id not on campaigns; ",IF(AND($D566&lt;&gt;"",COUNTIFS(approvals!$A$2:$A$251,$C566,approvals!$B$2:$B$251,$D566)=0),"office not on this campaign (approvals tab); ",""))&amp;IF(COUNTIFS(counts!$C$2:$C$701,$C566,counts!$D$2:$D$701,$D566,counts!$E$2:$E$701,$E566)&gt;1,"two "&amp;$E566&amp;" counts: keep one; ","")&amp;IF(AND($E566="remaining_day5",N($J566)&lt;5),"day-5 count logged before day 5; ","")&amp;IF(AND($G566="photo",$H566=""),"which photo?; ",""))</f>
        <v/>
      </c>
    </row>
    <row r="567">
      <c r="A567" s="9" t="n"/>
      <c r="B567" s="33" t="n"/>
      <c r="J567" s="25">
        <f>IF(OR($C567="",$A567=""),"",IF($A567&lt;IFERROR(IF(INDEX(campaigns!$BG$2:$BG$51,MATCH($C567,campaigns!$A$2:$A$51,0))="","",INDEX(campaigns!$BG$2:$BG$51,MATCH($C567,campaigns!$A$2:$A$51,0))),""),0,NETWORKDAYS(IFERROR(IF(INDEX(campaigns!$BG$2:$BG$51,MATCH($C567,campaigns!$A$2:$A$51,0))="","",INDEX(campaigns!$BG$2:$BG$51,MATCH($C567,campaigns!$A$2:$A$51,0))),""),$A567,calendar!$A$2:$A$80)))</f>
        <v/>
      </c>
      <c r="K567" s="25">
        <f>IF($C567="","",IF(COUNTIF(campaigns!$A$2:$A$51,$C567)=0,"campaign_id not on campaigns; ",IF(AND($D567&lt;&gt;"",COUNTIFS(approvals!$A$2:$A$251,$C567,approvals!$B$2:$B$251,$D567)=0),"office not on this campaign (approvals tab); ",""))&amp;IF(COUNTIFS(counts!$C$2:$C$701,$C567,counts!$D$2:$D$701,$D567,counts!$E$2:$E$701,$E567)&gt;1,"two "&amp;$E567&amp;" counts: keep one; ","")&amp;IF(AND($E567="remaining_day5",N($J567)&lt;5),"day-5 count logged before day 5; ","")&amp;IF(AND($G567="photo",$H567=""),"which photo?; ",""))</f>
        <v/>
      </c>
    </row>
    <row r="568">
      <c r="A568" s="9" t="n"/>
      <c r="B568" s="33" t="n"/>
      <c r="J568" s="25">
        <f>IF(OR($C568="",$A568=""),"",IF($A568&lt;IFERROR(IF(INDEX(campaigns!$BG$2:$BG$51,MATCH($C568,campaigns!$A$2:$A$51,0))="","",INDEX(campaigns!$BG$2:$BG$51,MATCH($C568,campaigns!$A$2:$A$51,0))),""),0,NETWORKDAYS(IFERROR(IF(INDEX(campaigns!$BG$2:$BG$51,MATCH($C568,campaigns!$A$2:$A$51,0))="","",INDEX(campaigns!$BG$2:$BG$51,MATCH($C568,campaigns!$A$2:$A$51,0))),""),$A568,calendar!$A$2:$A$80)))</f>
        <v/>
      </c>
      <c r="K568" s="25">
        <f>IF($C568="","",IF(COUNTIF(campaigns!$A$2:$A$51,$C568)=0,"campaign_id not on campaigns; ",IF(AND($D568&lt;&gt;"",COUNTIFS(approvals!$A$2:$A$251,$C568,approvals!$B$2:$B$251,$D568)=0),"office not on this campaign (approvals tab); ",""))&amp;IF(COUNTIFS(counts!$C$2:$C$701,$C568,counts!$D$2:$D$701,$D568,counts!$E$2:$E$701,$E568)&gt;1,"two "&amp;$E568&amp;" counts: keep one; ","")&amp;IF(AND($E568="remaining_day5",N($J568)&lt;5),"day-5 count logged before day 5; ","")&amp;IF(AND($G568="photo",$H568=""),"which photo?; ",""))</f>
        <v/>
      </c>
    </row>
    <row r="569">
      <c r="A569" s="9" t="n"/>
      <c r="B569" s="33" t="n"/>
      <c r="J569" s="25">
        <f>IF(OR($C569="",$A569=""),"",IF($A569&lt;IFERROR(IF(INDEX(campaigns!$BG$2:$BG$51,MATCH($C569,campaigns!$A$2:$A$51,0))="","",INDEX(campaigns!$BG$2:$BG$51,MATCH($C569,campaigns!$A$2:$A$51,0))),""),0,NETWORKDAYS(IFERROR(IF(INDEX(campaigns!$BG$2:$BG$51,MATCH($C569,campaigns!$A$2:$A$51,0))="","",INDEX(campaigns!$BG$2:$BG$51,MATCH($C569,campaigns!$A$2:$A$51,0))),""),$A569,calendar!$A$2:$A$80)))</f>
        <v/>
      </c>
      <c r="K569" s="25">
        <f>IF($C569="","",IF(COUNTIF(campaigns!$A$2:$A$51,$C569)=0,"campaign_id not on campaigns; ",IF(AND($D569&lt;&gt;"",COUNTIFS(approvals!$A$2:$A$251,$C569,approvals!$B$2:$B$251,$D569)=0),"office not on this campaign (approvals tab); ",""))&amp;IF(COUNTIFS(counts!$C$2:$C$701,$C569,counts!$D$2:$D$701,$D569,counts!$E$2:$E$701,$E569)&gt;1,"two "&amp;$E569&amp;" counts: keep one; ","")&amp;IF(AND($E569="remaining_day5",N($J569)&lt;5),"day-5 count logged before day 5; ","")&amp;IF(AND($G569="photo",$H569=""),"which photo?; ",""))</f>
        <v/>
      </c>
    </row>
    <row r="570">
      <c r="A570" s="9" t="n"/>
      <c r="B570" s="33" t="n"/>
      <c r="J570" s="25">
        <f>IF(OR($C570="",$A570=""),"",IF($A570&lt;IFERROR(IF(INDEX(campaigns!$BG$2:$BG$51,MATCH($C570,campaigns!$A$2:$A$51,0))="","",INDEX(campaigns!$BG$2:$BG$51,MATCH($C570,campaigns!$A$2:$A$51,0))),""),0,NETWORKDAYS(IFERROR(IF(INDEX(campaigns!$BG$2:$BG$51,MATCH($C570,campaigns!$A$2:$A$51,0))="","",INDEX(campaigns!$BG$2:$BG$51,MATCH($C570,campaigns!$A$2:$A$51,0))),""),$A570,calendar!$A$2:$A$80)))</f>
        <v/>
      </c>
      <c r="K570" s="25">
        <f>IF($C570="","",IF(COUNTIF(campaigns!$A$2:$A$51,$C570)=0,"campaign_id not on campaigns; ",IF(AND($D570&lt;&gt;"",COUNTIFS(approvals!$A$2:$A$251,$C570,approvals!$B$2:$B$251,$D570)=0),"office not on this campaign (approvals tab); ",""))&amp;IF(COUNTIFS(counts!$C$2:$C$701,$C570,counts!$D$2:$D$701,$D570,counts!$E$2:$E$701,$E570)&gt;1,"two "&amp;$E570&amp;" counts: keep one; ","")&amp;IF(AND($E570="remaining_day5",N($J570)&lt;5),"day-5 count logged before day 5; ","")&amp;IF(AND($G570="photo",$H570=""),"which photo?; ",""))</f>
        <v/>
      </c>
    </row>
    <row r="571">
      <c r="A571" s="9" t="n"/>
      <c r="B571" s="33" t="n"/>
      <c r="J571" s="25">
        <f>IF(OR($C571="",$A571=""),"",IF($A571&lt;IFERROR(IF(INDEX(campaigns!$BG$2:$BG$51,MATCH($C571,campaigns!$A$2:$A$51,0))="","",INDEX(campaigns!$BG$2:$BG$51,MATCH($C571,campaigns!$A$2:$A$51,0))),""),0,NETWORKDAYS(IFERROR(IF(INDEX(campaigns!$BG$2:$BG$51,MATCH($C571,campaigns!$A$2:$A$51,0))="","",INDEX(campaigns!$BG$2:$BG$51,MATCH($C571,campaigns!$A$2:$A$51,0))),""),$A571,calendar!$A$2:$A$80)))</f>
        <v/>
      </c>
      <c r="K571" s="25">
        <f>IF($C571="","",IF(COUNTIF(campaigns!$A$2:$A$51,$C571)=0,"campaign_id not on campaigns; ",IF(AND($D571&lt;&gt;"",COUNTIFS(approvals!$A$2:$A$251,$C571,approvals!$B$2:$B$251,$D571)=0),"office not on this campaign (approvals tab); ",""))&amp;IF(COUNTIFS(counts!$C$2:$C$701,$C571,counts!$D$2:$D$701,$D571,counts!$E$2:$E$701,$E571)&gt;1,"two "&amp;$E571&amp;" counts: keep one; ","")&amp;IF(AND($E571="remaining_day5",N($J571)&lt;5),"day-5 count logged before day 5; ","")&amp;IF(AND($G571="photo",$H571=""),"which photo?; ",""))</f>
        <v/>
      </c>
    </row>
    <row r="572">
      <c r="A572" s="9" t="n"/>
      <c r="B572" s="33" t="n"/>
      <c r="J572" s="25">
        <f>IF(OR($C572="",$A572=""),"",IF($A572&lt;IFERROR(IF(INDEX(campaigns!$BG$2:$BG$51,MATCH($C572,campaigns!$A$2:$A$51,0))="","",INDEX(campaigns!$BG$2:$BG$51,MATCH($C572,campaigns!$A$2:$A$51,0))),""),0,NETWORKDAYS(IFERROR(IF(INDEX(campaigns!$BG$2:$BG$51,MATCH($C572,campaigns!$A$2:$A$51,0))="","",INDEX(campaigns!$BG$2:$BG$51,MATCH($C572,campaigns!$A$2:$A$51,0))),""),$A572,calendar!$A$2:$A$80)))</f>
        <v/>
      </c>
      <c r="K572" s="25">
        <f>IF($C572="","",IF(COUNTIF(campaigns!$A$2:$A$51,$C572)=0,"campaign_id not on campaigns; ",IF(AND($D572&lt;&gt;"",COUNTIFS(approvals!$A$2:$A$251,$C572,approvals!$B$2:$B$251,$D572)=0),"office not on this campaign (approvals tab); ",""))&amp;IF(COUNTIFS(counts!$C$2:$C$701,$C572,counts!$D$2:$D$701,$D572,counts!$E$2:$E$701,$E572)&gt;1,"two "&amp;$E572&amp;" counts: keep one; ","")&amp;IF(AND($E572="remaining_day5",N($J572)&lt;5),"day-5 count logged before day 5; ","")&amp;IF(AND($G572="photo",$H572=""),"which photo?; ",""))</f>
        <v/>
      </c>
    </row>
    <row r="573">
      <c r="A573" s="9" t="n"/>
      <c r="B573" s="33" t="n"/>
      <c r="J573" s="25">
        <f>IF(OR($C573="",$A573=""),"",IF($A573&lt;IFERROR(IF(INDEX(campaigns!$BG$2:$BG$51,MATCH($C573,campaigns!$A$2:$A$51,0))="","",INDEX(campaigns!$BG$2:$BG$51,MATCH($C573,campaigns!$A$2:$A$51,0))),""),0,NETWORKDAYS(IFERROR(IF(INDEX(campaigns!$BG$2:$BG$51,MATCH($C573,campaigns!$A$2:$A$51,0))="","",INDEX(campaigns!$BG$2:$BG$51,MATCH($C573,campaigns!$A$2:$A$51,0))),""),$A573,calendar!$A$2:$A$80)))</f>
        <v/>
      </c>
      <c r="K573" s="25">
        <f>IF($C573="","",IF(COUNTIF(campaigns!$A$2:$A$51,$C573)=0,"campaign_id not on campaigns; ",IF(AND($D573&lt;&gt;"",COUNTIFS(approvals!$A$2:$A$251,$C573,approvals!$B$2:$B$251,$D573)=0),"office not on this campaign (approvals tab); ",""))&amp;IF(COUNTIFS(counts!$C$2:$C$701,$C573,counts!$D$2:$D$701,$D573,counts!$E$2:$E$701,$E573)&gt;1,"two "&amp;$E573&amp;" counts: keep one; ","")&amp;IF(AND($E573="remaining_day5",N($J573)&lt;5),"day-5 count logged before day 5; ","")&amp;IF(AND($G573="photo",$H573=""),"which photo?; ",""))</f>
        <v/>
      </c>
    </row>
    <row r="574">
      <c r="A574" s="9" t="n"/>
      <c r="B574" s="33" t="n"/>
      <c r="J574" s="25">
        <f>IF(OR($C574="",$A574=""),"",IF($A574&lt;IFERROR(IF(INDEX(campaigns!$BG$2:$BG$51,MATCH($C574,campaigns!$A$2:$A$51,0))="","",INDEX(campaigns!$BG$2:$BG$51,MATCH($C574,campaigns!$A$2:$A$51,0))),""),0,NETWORKDAYS(IFERROR(IF(INDEX(campaigns!$BG$2:$BG$51,MATCH($C574,campaigns!$A$2:$A$51,0))="","",INDEX(campaigns!$BG$2:$BG$51,MATCH($C574,campaigns!$A$2:$A$51,0))),""),$A574,calendar!$A$2:$A$80)))</f>
        <v/>
      </c>
      <c r="K574" s="25">
        <f>IF($C574="","",IF(COUNTIF(campaigns!$A$2:$A$51,$C574)=0,"campaign_id not on campaigns; ",IF(AND($D574&lt;&gt;"",COUNTIFS(approvals!$A$2:$A$251,$C574,approvals!$B$2:$B$251,$D574)=0),"office not on this campaign (approvals tab); ",""))&amp;IF(COUNTIFS(counts!$C$2:$C$701,$C574,counts!$D$2:$D$701,$D574,counts!$E$2:$E$701,$E574)&gt;1,"two "&amp;$E574&amp;" counts: keep one; ","")&amp;IF(AND($E574="remaining_day5",N($J574)&lt;5),"day-5 count logged before day 5; ","")&amp;IF(AND($G574="photo",$H574=""),"which photo?; ",""))</f>
        <v/>
      </c>
    </row>
    <row r="575">
      <c r="A575" s="9" t="n"/>
      <c r="B575" s="33" t="n"/>
      <c r="J575" s="25">
        <f>IF(OR($C575="",$A575=""),"",IF($A575&lt;IFERROR(IF(INDEX(campaigns!$BG$2:$BG$51,MATCH($C575,campaigns!$A$2:$A$51,0))="","",INDEX(campaigns!$BG$2:$BG$51,MATCH($C575,campaigns!$A$2:$A$51,0))),""),0,NETWORKDAYS(IFERROR(IF(INDEX(campaigns!$BG$2:$BG$51,MATCH($C575,campaigns!$A$2:$A$51,0))="","",INDEX(campaigns!$BG$2:$BG$51,MATCH($C575,campaigns!$A$2:$A$51,0))),""),$A575,calendar!$A$2:$A$80)))</f>
        <v/>
      </c>
      <c r="K575" s="25">
        <f>IF($C575="","",IF(COUNTIF(campaigns!$A$2:$A$51,$C575)=0,"campaign_id not on campaigns; ",IF(AND($D575&lt;&gt;"",COUNTIFS(approvals!$A$2:$A$251,$C575,approvals!$B$2:$B$251,$D575)=0),"office not on this campaign (approvals tab); ",""))&amp;IF(COUNTIFS(counts!$C$2:$C$701,$C575,counts!$D$2:$D$701,$D575,counts!$E$2:$E$701,$E575)&gt;1,"two "&amp;$E575&amp;" counts: keep one; ","")&amp;IF(AND($E575="remaining_day5",N($J575)&lt;5),"day-5 count logged before day 5; ","")&amp;IF(AND($G575="photo",$H575=""),"which photo?; ",""))</f>
        <v/>
      </c>
    </row>
    <row r="576">
      <c r="A576" s="9" t="n"/>
      <c r="B576" s="33" t="n"/>
      <c r="J576" s="25">
        <f>IF(OR($C576="",$A576=""),"",IF($A576&lt;IFERROR(IF(INDEX(campaigns!$BG$2:$BG$51,MATCH($C576,campaigns!$A$2:$A$51,0))="","",INDEX(campaigns!$BG$2:$BG$51,MATCH($C576,campaigns!$A$2:$A$51,0))),""),0,NETWORKDAYS(IFERROR(IF(INDEX(campaigns!$BG$2:$BG$51,MATCH($C576,campaigns!$A$2:$A$51,0))="","",INDEX(campaigns!$BG$2:$BG$51,MATCH($C576,campaigns!$A$2:$A$51,0))),""),$A576,calendar!$A$2:$A$80)))</f>
        <v/>
      </c>
      <c r="K576" s="25">
        <f>IF($C576="","",IF(COUNTIF(campaigns!$A$2:$A$51,$C576)=0,"campaign_id not on campaigns; ",IF(AND($D576&lt;&gt;"",COUNTIFS(approvals!$A$2:$A$251,$C576,approvals!$B$2:$B$251,$D576)=0),"office not on this campaign (approvals tab); ",""))&amp;IF(COUNTIFS(counts!$C$2:$C$701,$C576,counts!$D$2:$D$701,$D576,counts!$E$2:$E$701,$E576)&gt;1,"two "&amp;$E576&amp;" counts: keep one; ","")&amp;IF(AND($E576="remaining_day5",N($J576)&lt;5),"day-5 count logged before day 5; ","")&amp;IF(AND($G576="photo",$H576=""),"which photo?; ",""))</f>
        <v/>
      </c>
    </row>
    <row r="577">
      <c r="A577" s="9" t="n"/>
      <c r="B577" s="33" t="n"/>
      <c r="J577" s="25">
        <f>IF(OR($C577="",$A577=""),"",IF($A577&lt;IFERROR(IF(INDEX(campaigns!$BG$2:$BG$51,MATCH($C577,campaigns!$A$2:$A$51,0))="","",INDEX(campaigns!$BG$2:$BG$51,MATCH($C577,campaigns!$A$2:$A$51,0))),""),0,NETWORKDAYS(IFERROR(IF(INDEX(campaigns!$BG$2:$BG$51,MATCH($C577,campaigns!$A$2:$A$51,0))="","",INDEX(campaigns!$BG$2:$BG$51,MATCH($C577,campaigns!$A$2:$A$51,0))),""),$A577,calendar!$A$2:$A$80)))</f>
        <v/>
      </c>
      <c r="K577" s="25">
        <f>IF($C577="","",IF(COUNTIF(campaigns!$A$2:$A$51,$C577)=0,"campaign_id not on campaigns; ",IF(AND($D577&lt;&gt;"",COUNTIFS(approvals!$A$2:$A$251,$C577,approvals!$B$2:$B$251,$D577)=0),"office not on this campaign (approvals tab); ",""))&amp;IF(COUNTIFS(counts!$C$2:$C$701,$C577,counts!$D$2:$D$701,$D577,counts!$E$2:$E$701,$E577)&gt;1,"two "&amp;$E577&amp;" counts: keep one; ","")&amp;IF(AND($E577="remaining_day5",N($J577)&lt;5),"day-5 count logged before day 5; ","")&amp;IF(AND($G577="photo",$H577=""),"which photo?; ",""))</f>
        <v/>
      </c>
    </row>
    <row r="578">
      <c r="A578" s="9" t="n"/>
      <c r="B578" s="33" t="n"/>
      <c r="J578" s="25">
        <f>IF(OR($C578="",$A578=""),"",IF($A578&lt;IFERROR(IF(INDEX(campaigns!$BG$2:$BG$51,MATCH($C578,campaigns!$A$2:$A$51,0))="","",INDEX(campaigns!$BG$2:$BG$51,MATCH($C578,campaigns!$A$2:$A$51,0))),""),0,NETWORKDAYS(IFERROR(IF(INDEX(campaigns!$BG$2:$BG$51,MATCH($C578,campaigns!$A$2:$A$51,0))="","",INDEX(campaigns!$BG$2:$BG$51,MATCH($C578,campaigns!$A$2:$A$51,0))),""),$A578,calendar!$A$2:$A$80)))</f>
        <v/>
      </c>
      <c r="K578" s="25">
        <f>IF($C578="","",IF(COUNTIF(campaigns!$A$2:$A$51,$C578)=0,"campaign_id not on campaigns; ",IF(AND($D578&lt;&gt;"",COUNTIFS(approvals!$A$2:$A$251,$C578,approvals!$B$2:$B$251,$D578)=0),"office not on this campaign (approvals tab); ",""))&amp;IF(COUNTIFS(counts!$C$2:$C$701,$C578,counts!$D$2:$D$701,$D578,counts!$E$2:$E$701,$E578)&gt;1,"two "&amp;$E578&amp;" counts: keep one; ","")&amp;IF(AND($E578="remaining_day5",N($J578)&lt;5),"day-5 count logged before day 5; ","")&amp;IF(AND($G578="photo",$H578=""),"which photo?; ",""))</f>
        <v/>
      </c>
    </row>
    <row r="579">
      <c r="A579" s="9" t="n"/>
      <c r="B579" s="33" t="n"/>
      <c r="J579" s="25">
        <f>IF(OR($C579="",$A579=""),"",IF($A579&lt;IFERROR(IF(INDEX(campaigns!$BG$2:$BG$51,MATCH($C579,campaigns!$A$2:$A$51,0))="","",INDEX(campaigns!$BG$2:$BG$51,MATCH($C579,campaigns!$A$2:$A$51,0))),""),0,NETWORKDAYS(IFERROR(IF(INDEX(campaigns!$BG$2:$BG$51,MATCH($C579,campaigns!$A$2:$A$51,0))="","",INDEX(campaigns!$BG$2:$BG$51,MATCH($C579,campaigns!$A$2:$A$51,0))),""),$A579,calendar!$A$2:$A$80)))</f>
        <v/>
      </c>
      <c r="K579" s="25">
        <f>IF($C579="","",IF(COUNTIF(campaigns!$A$2:$A$51,$C579)=0,"campaign_id not on campaigns; ",IF(AND($D579&lt;&gt;"",COUNTIFS(approvals!$A$2:$A$251,$C579,approvals!$B$2:$B$251,$D579)=0),"office not on this campaign (approvals tab); ",""))&amp;IF(COUNTIFS(counts!$C$2:$C$701,$C579,counts!$D$2:$D$701,$D579,counts!$E$2:$E$701,$E579)&gt;1,"two "&amp;$E579&amp;" counts: keep one; ","")&amp;IF(AND($E579="remaining_day5",N($J579)&lt;5),"day-5 count logged before day 5; ","")&amp;IF(AND($G579="photo",$H579=""),"which photo?; ",""))</f>
        <v/>
      </c>
    </row>
    <row r="580">
      <c r="A580" s="9" t="n"/>
      <c r="B580" s="33" t="n"/>
      <c r="J580" s="25">
        <f>IF(OR($C580="",$A580=""),"",IF($A580&lt;IFERROR(IF(INDEX(campaigns!$BG$2:$BG$51,MATCH($C580,campaigns!$A$2:$A$51,0))="","",INDEX(campaigns!$BG$2:$BG$51,MATCH($C580,campaigns!$A$2:$A$51,0))),""),0,NETWORKDAYS(IFERROR(IF(INDEX(campaigns!$BG$2:$BG$51,MATCH($C580,campaigns!$A$2:$A$51,0))="","",INDEX(campaigns!$BG$2:$BG$51,MATCH($C580,campaigns!$A$2:$A$51,0))),""),$A580,calendar!$A$2:$A$80)))</f>
        <v/>
      </c>
      <c r="K580" s="25">
        <f>IF($C580="","",IF(COUNTIF(campaigns!$A$2:$A$51,$C580)=0,"campaign_id not on campaigns; ",IF(AND($D580&lt;&gt;"",COUNTIFS(approvals!$A$2:$A$251,$C580,approvals!$B$2:$B$251,$D580)=0),"office not on this campaign (approvals tab); ",""))&amp;IF(COUNTIFS(counts!$C$2:$C$701,$C580,counts!$D$2:$D$701,$D580,counts!$E$2:$E$701,$E580)&gt;1,"two "&amp;$E580&amp;" counts: keep one; ","")&amp;IF(AND($E580="remaining_day5",N($J580)&lt;5),"day-5 count logged before day 5; ","")&amp;IF(AND($G580="photo",$H580=""),"which photo?; ",""))</f>
        <v/>
      </c>
    </row>
    <row r="581">
      <c r="A581" s="9" t="n"/>
      <c r="B581" s="33" t="n"/>
      <c r="J581" s="25">
        <f>IF(OR($C581="",$A581=""),"",IF($A581&lt;IFERROR(IF(INDEX(campaigns!$BG$2:$BG$51,MATCH($C581,campaigns!$A$2:$A$51,0))="","",INDEX(campaigns!$BG$2:$BG$51,MATCH($C581,campaigns!$A$2:$A$51,0))),""),0,NETWORKDAYS(IFERROR(IF(INDEX(campaigns!$BG$2:$BG$51,MATCH($C581,campaigns!$A$2:$A$51,0))="","",INDEX(campaigns!$BG$2:$BG$51,MATCH($C581,campaigns!$A$2:$A$51,0))),""),$A581,calendar!$A$2:$A$80)))</f>
        <v/>
      </c>
      <c r="K581" s="25">
        <f>IF($C581="","",IF(COUNTIF(campaigns!$A$2:$A$51,$C581)=0,"campaign_id not on campaigns; ",IF(AND($D581&lt;&gt;"",COUNTIFS(approvals!$A$2:$A$251,$C581,approvals!$B$2:$B$251,$D581)=0),"office not on this campaign (approvals tab); ",""))&amp;IF(COUNTIFS(counts!$C$2:$C$701,$C581,counts!$D$2:$D$701,$D581,counts!$E$2:$E$701,$E581)&gt;1,"two "&amp;$E581&amp;" counts: keep one; ","")&amp;IF(AND($E581="remaining_day5",N($J581)&lt;5),"day-5 count logged before day 5; ","")&amp;IF(AND($G581="photo",$H581=""),"which photo?; ",""))</f>
        <v/>
      </c>
    </row>
    <row r="582">
      <c r="A582" s="9" t="n"/>
      <c r="B582" s="33" t="n"/>
      <c r="J582" s="25">
        <f>IF(OR($C582="",$A582=""),"",IF($A582&lt;IFERROR(IF(INDEX(campaigns!$BG$2:$BG$51,MATCH($C582,campaigns!$A$2:$A$51,0))="","",INDEX(campaigns!$BG$2:$BG$51,MATCH($C582,campaigns!$A$2:$A$51,0))),""),0,NETWORKDAYS(IFERROR(IF(INDEX(campaigns!$BG$2:$BG$51,MATCH($C582,campaigns!$A$2:$A$51,0))="","",INDEX(campaigns!$BG$2:$BG$51,MATCH($C582,campaigns!$A$2:$A$51,0))),""),$A582,calendar!$A$2:$A$80)))</f>
        <v/>
      </c>
      <c r="K582" s="25">
        <f>IF($C582="","",IF(COUNTIF(campaigns!$A$2:$A$51,$C582)=0,"campaign_id not on campaigns; ",IF(AND($D582&lt;&gt;"",COUNTIFS(approvals!$A$2:$A$251,$C582,approvals!$B$2:$B$251,$D582)=0),"office not on this campaign (approvals tab); ",""))&amp;IF(COUNTIFS(counts!$C$2:$C$701,$C582,counts!$D$2:$D$701,$D582,counts!$E$2:$E$701,$E582)&gt;1,"two "&amp;$E582&amp;" counts: keep one; ","")&amp;IF(AND($E582="remaining_day5",N($J582)&lt;5),"day-5 count logged before day 5; ","")&amp;IF(AND($G582="photo",$H582=""),"which photo?; ",""))</f>
        <v/>
      </c>
    </row>
    <row r="583">
      <c r="A583" s="9" t="n"/>
      <c r="B583" s="33" t="n"/>
      <c r="J583" s="25">
        <f>IF(OR($C583="",$A583=""),"",IF($A583&lt;IFERROR(IF(INDEX(campaigns!$BG$2:$BG$51,MATCH($C583,campaigns!$A$2:$A$51,0))="","",INDEX(campaigns!$BG$2:$BG$51,MATCH($C583,campaigns!$A$2:$A$51,0))),""),0,NETWORKDAYS(IFERROR(IF(INDEX(campaigns!$BG$2:$BG$51,MATCH($C583,campaigns!$A$2:$A$51,0))="","",INDEX(campaigns!$BG$2:$BG$51,MATCH($C583,campaigns!$A$2:$A$51,0))),""),$A583,calendar!$A$2:$A$80)))</f>
        <v/>
      </c>
      <c r="K583" s="25">
        <f>IF($C583="","",IF(COUNTIF(campaigns!$A$2:$A$51,$C583)=0,"campaign_id not on campaigns; ",IF(AND($D583&lt;&gt;"",COUNTIFS(approvals!$A$2:$A$251,$C583,approvals!$B$2:$B$251,$D583)=0),"office not on this campaign (approvals tab); ",""))&amp;IF(COUNTIFS(counts!$C$2:$C$701,$C583,counts!$D$2:$D$701,$D583,counts!$E$2:$E$701,$E583)&gt;1,"two "&amp;$E583&amp;" counts: keep one; ","")&amp;IF(AND($E583="remaining_day5",N($J583)&lt;5),"day-5 count logged before day 5; ","")&amp;IF(AND($G583="photo",$H583=""),"which photo?; ",""))</f>
        <v/>
      </c>
    </row>
    <row r="584">
      <c r="A584" s="9" t="n"/>
      <c r="B584" s="33" t="n"/>
      <c r="J584" s="25">
        <f>IF(OR($C584="",$A584=""),"",IF($A584&lt;IFERROR(IF(INDEX(campaigns!$BG$2:$BG$51,MATCH($C584,campaigns!$A$2:$A$51,0))="","",INDEX(campaigns!$BG$2:$BG$51,MATCH($C584,campaigns!$A$2:$A$51,0))),""),0,NETWORKDAYS(IFERROR(IF(INDEX(campaigns!$BG$2:$BG$51,MATCH($C584,campaigns!$A$2:$A$51,0))="","",INDEX(campaigns!$BG$2:$BG$51,MATCH($C584,campaigns!$A$2:$A$51,0))),""),$A584,calendar!$A$2:$A$80)))</f>
        <v/>
      </c>
      <c r="K584" s="25">
        <f>IF($C584="","",IF(COUNTIF(campaigns!$A$2:$A$51,$C584)=0,"campaign_id not on campaigns; ",IF(AND($D584&lt;&gt;"",COUNTIFS(approvals!$A$2:$A$251,$C584,approvals!$B$2:$B$251,$D584)=0),"office not on this campaign (approvals tab); ",""))&amp;IF(COUNTIFS(counts!$C$2:$C$701,$C584,counts!$D$2:$D$701,$D584,counts!$E$2:$E$701,$E584)&gt;1,"two "&amp;$E584&amp;" counts: keep one; ","")&amp;IF(AND($E584="remaining_day5",N($J584)&lt;5),"day-5 count logged before day 5; ","")&amp;IF(AND($G584="photo",$H584=""),"which photo?; ",""))</f>
        <v/>
      </c>
    </row>
    <row r="585">
      <c r="A585" s="9" t="n"/>
      <c r="B585" s="33" t="n"/>
      <c r="J585" s="25">
        <f>IF(OR($C585="",$A585=""),"",IF($A585&lt;IFERROR(IF(INDEX(campaigns!$BG$2:$BG$51,MATCH($C585,campaigns!$A$2:$A$51,0))="","",INDEX(campaigns!$BG$2:$BG$51,MATCH($C585,campaigns!$A$2:$A$51,0))),""),0,NETWORKDAYS(IFERROR(IF(INDEX(campaigns!$BG$2:$BG$51,MATCH($C585,campaigns!$A$2:$A$51,0))="","",INDEX(campaigns!$BG$2:$BG$51,MATCH($C585,campaigns!$A$2:$A$51,0))),""),$A585,calendar!$A$2:$A$80)))</f>
        <v/>
      </c>
      <c r="K585" s="25">
        <f>IF($C585="","",IF(COUNTIF(campaigns!$A$2:$A$51,$C585)=0,"campaign_id not on campaigns; ",IF(AND($D585&lt;&gt;"",COUNTIFS(approvals!$A$2:$A$251,$C585,approvals!$B$2:$B$251,$D585)=0),"office not on this campaign (approvals tab); ",""))&amp;IF(COUNTIFS(counts!$C$2:$C$701,$C585,counts!$D$2:$D$701,$D585,counts!$E$2:$E$701,$E585)&gt;1,"two "&amp;$E585&amp;" counts: keep one; ","")&amp;IF(AND($E585="remaining_day5",N($J585)&lt;5),"day-5 count logged before day 5; ","")&amp;IF(AND($G585="photo",$H585=""),"which photo?; ",""))</f>
        <v/>
      </c>
    </row>
    <row r="586">
      <c r="A586" s="9" t="n"/>
      <c r="B586" s="33" t="n"/>
      <c r="J586" s="25">
        <f>IF(OR($C586="",$A586=""),"",IF($A586&lt;IFERROR(IF(INDEX(campaigns!$BG$2:$BG$51,MATCH($C586,campaigns!$A$2:$A$51,0))="","",INDEX(campaigns!$BG$2:$BG$51,MATCH($C586,campaigns!$A$2:$A$51,0))),""),0,NETWORKDAYS(IFERROR(IF(INDEX(campaigns!$BG$2:$BG$51,MATCH($C586,campaigns!$A$2:$A$51,0))="","",INDEX(campaigns!$BG$2:$BG$51,MATCH($C586,campaigns!$A$2:$A$51,0))),""),$A586,calendar!$A$2:$A$80)))</f>
        <v/>
      </c>
      <c r="K586" s="25">
        <f>IF($C586="","",IF(COUNTIF(campaigns!$A$2:$A$51,$C586)=0,"campaign_id not on campaigns; ",IF(AND($D586&lt;&gt;"",COUNTIFS(approvals!$A$2:$A$251,$C586,approvals!$B$2:$B$251,$D586)=0),"office not on this campaign (approvals tab); ",""))&amp;IF(COUNTIFS(counts!$C$2:$C$701,$C586,counts!$D$2:$D$701,$D586,counts!$E$2:$E$701,$E586)&gt;1,"two "&amp;$E586&amp;" counts: keep one; ","")&amp;IF(AND($E586="remaining_day5",N($J586)&lt;5),"day-5 count logged before day 5; ","")&amp;IF(AND($G586="photo",$H586=""),"which photo?; ",""))</f>
        <v/>
      </c>
    </row>
    <row r="587">
      <c r="A587" s="9" t="n"/>
      <c r="B587" s="33" t="n"/>
      <c r="J587" s="25">
        <f>IF(OR($C587="",$A587=""),"",IF($A587&lt;IFERROR(IF(INDEX(campaigns!$BG$2:$BG$51,MATCH($C587,campaigns!$A$2:$A$51,0))="","",INDEX(campaigns!$BG$2:$BG$51,MATCH($C587,campaigns!$A$2:$A$51,0))),""),0,NETWORKDAYS(IFERROR(IF(INDEX(campaigns!$BG$2:$BG$51,MATCH($C587,campaigns!$A$2:$A$51,0))="","",INDEX(campaigns!$BG$2:$BG$51,MATCH($C587,campaigns!$A$2:$A$51,0))),""),$A587,calendar!$A$2:$A$80)))</f>
        <v/>
      </c>
      <c r="K587" s="25">
        <f>IF($C587="","",IF(COUNTIF(campaigns!$A$2:$A$51,$C587)=0,"campaign_id not on campaigns; ",IF(AND($D587&lt;&gt;"",COUNTIFS(approvals!$A$2:$A$251,$C587,approvals!$B$2:$B$251,$D587)=0),"office not on this campaign (approvals tab); ",""))&amp;IF(COUNTIFS(counts!$C$2:$C$701,$C587,counts!$D$2:$D$701,$D587,counts!$E$2:$E$701,$E587)&gt;1,"two "&amp;$E587&amp;" counts: keep one; ","")&amp;IF(AND($E587="remaining_day5",N($J587)&lt;5),"day-5 count logged before day 5; ","")&amp;IF(AND($G587="photo",$H587=""),"which photo?; ",""))</f>
        <v/>
      </c>
    </row>
    <row r="588">
      <c r="A588" s="9" t="n"/>
      <c r="B588" s="33" t="n"/>
      <c r="J588" s="25">
        <f>IF(OR($C588="",$A588=""),"",IF($A588&lt;IFERROR(IF(INDEX(campaigns!$BG$2:$BG$51,MATCH($C588,campaigns!$A$2:$A$51,0))="","",INDEX(campaigns!$BG$2:$BG$51,MATCH($C588,campaigns!$A$2:$A$51,0))),""),0,NETWORKDAYS(IFERROR(IF(INDEX(campaigns!$BG$2:$BG$51,MATCH($C588,campaigns!$A$2:$A$51,0))="","",INDEX(campaigns!$BG$2:$BG$51,MATCH($C588,campaigns!$A$2:$A$51,0))),""),$A588,calendar!$A$2:$A$80)))</f>
        <v/>
      </c>
      <c r="K588" s="25">
        <f>IF($C588="","",IF(COUNTIF(campaigns!$A$2:$A$51,$C588)=0,"campaign_id not on campaigns; ",IF(AND($D588&lt;&gt;"",COUNTIFS(approvals!$A$2:$A$251,$C588,approvals!$B$2:$B$251,$D588)=0),"office not on this campaign (approvals tab); ",""))&amp;IF(COUNTIFS(counts!$C$2:$C$701,$C588,counts!$D$2:$D$701,$D588,counts!$E$2:$E$701,$E588)&gt;1,"two "&amp;$E588&amp;" counts: keep one; ","")&amp;IF(AND($E588="remaining_day5",N($J588)&lt;5),"day-5 count logged before day 5; ","")&amp;IF(AND($G588="photo",$H588=""),"which photo?; ",""))</f>
        <v/>
      </c>
    </row>
    <row r="589">
      <c r="A589" s="9" t="n"/>
      <c r="B589" s="33" t="n"/>
      <c r="J589" s="25">
        <f>IF(OR($C589="",$A589=""),"",IF($A589&lt;IFERROR(IF(INDEX(campaigns!$BG$2:$BG$51,MATCH($C589,campaigns!$A$2:$A$51,0))="","",INDEX(campaigns!$BG$2:$BG$51,MATCH($C589,campaigns!$A$2:$A$51,0))),""),0,NETWORKDAYS(IFERROR(IF(INDEX(campaigns!$BG$2:$BG$51,MATCH($C589,campaigns!$A$2:$A$51,0))="","",INDEX(campaigns!$BG$2:$BG$51,MATCH($C589,campaigns!$A$2:$A$51,0))),""),$A589,calendar!$A$2:$A$80)))</f>
        <v/>
      </c>
      <c r="K589" s="25">
        <f>IF($C589="","",IF(COUNTIF(campaigns!$A$2:$A$51,$C589)=0,"campaign_id not on campaigns; ",IF(AND($D589&lt;&gt;"",COUNTIFS(approvals!$A$2:$A$251,$C589,approvals!$B$2:$B$251,$D589)=0),"office not on this campaign (approvals tab); ",""))&amp;IF(COUNTIFS(counts!$C$2:$C$701,$C589,counts!$D$2:$D$701,$D589,counts!$E$2:$E$701,$E589)&gt;1,"two "&amp;$E589&amp;" counts: keep one; ","")&amp;IF(AND($E589="remaining_day5",N($J589)&lt;5),"day-5 count logged before day 5; ","")&amp;IF(AND($G589="photo",$H589=""),"which photo?; ",""))</f>
        <v/>
      </c>
    </row>
    <row r="590">
      <c r="A590" s="9" t="n"/>
      <c r="B590" s="33" t="n"/>
      <c r="J590" s="25">
        <f>IF(OR($C590="",$A590=""),"",IF($A590&lt;IFERROR(IF(INDEX(campaigns!$BG$2:$BG$51,MATCH($C590,campaigns!$A$2:$A$51,0))="","",INDEX(campaigns!$BG$2:$BG$51,MATCH($C590,campaigns!$A$2:$A$51,0))),""),0,NETWORKDAYS(IFERROR(IF(INDEX(campaigns!$BG$2:$BG$51,MATCH($C590,campaigns!$A$2:$A$51,0))="","",INDEX(campaigns!$BG$2:$BG$51,MATCH($C590,campaigns!$A$2:$A$51,0))),""),$A590,calendar!$A$2:$A$80)))</f>
        <v/>
      </c>
      <c r="K590" s="25">
        <f>IF($C590="","",IF(COUNTIF(campaigns!$A$2:$A$51,$C590)=0,"campaign_id not on campaigns; ",IF(AND($D590&lt;&gt;"",COUNTIFS(approvals!$A$2:$A$251,$C590,approvals!$B$2:$B$251,$D590)=0),"office not on this campaign (approvals tab); ",""))&amp;IF(COUNTIFS(counts!$C$2:$C$701,$C590,counts!$D$2:$D$701,$D590,counts!$E$2:$E$701,$E590)&gt;1,"two "&amp;$E590&amp;" counts: keep one; ","")&amp;IF(AND($E590="remaining_day5",N($J590)&lt;5),"day-5 count logged before day 5; ","")&amp;IF(AND($G590="photo",$H590=""),"which photo?; ",""))</f>
        <v/>
      </c>
    </row>
    <row r="591">
      <c r="A591" s="9" t="n"/>
      <c r="B591" s="33" t="n"/>
      <c r="J591" s="25">
        <f>IF(OR($C591="",$A591=""),"",IF($A591&lt;IFERROR(IF(INDEX(campaigns!$BG$2:$BG$51,MATCH($C591,campaigns!$A$2:$A$51,0))="","",INDEX(campaigns!$BG$2:$BG$51,MATCH($C591,campaigns!$A$2:$A$51,0))),""),0,NETWORKDAYS(IFERROR(IF(INDEX(campaigns!$BG$2:$BG$51,MATCH($C591,campaigns!$A$2:$A$51,0))="","",INDEX(campaigns!$BG$2:$BG$51,MATCH($C591,campaigns!$A$2:$A$51,0))),""),$A591,calendar!$A$2:$A$80)))</f>
        <v/>
      </c>
      <c r="K591" s="25">
        <f>IF($C591="","",IF(COUNTIF(campaigns!$A$2:$A$51,$C591)=0,"campaign_id not on campaigns; ",IF(AND($D591&lt;&gt;"",COUNTIFS(approvals!$A$2:$A$251,$C591,approvals!$B$2:$B$251,$D591)=0),"office not on this campaign (approvals tab); ",""))&amp;IF(COUNTIFS(counts!$C$2:$C$701,$C591,counts!$D$2:$D$701,$D591,counts!$E$2:$E$701,$E591)&gt;1,"two "&amp;$E591&amp;" counts: keep one; ","")&amp;IF(AND($E591="remaining_day5",N($J591)&lt;5),"day-5 count logged before day 5; ","")&amp;IF(AND($G591="photo",$H591=""),"which photo?; ",""))</f>
        <v/>
      </c>
    </row>
    <row r="592">
      <c r="A592" s="9" t="n"/>
      <c r="B592" s="33" t="n"/>
      <c r="J592" s="25">
        <f>IF(OR($C592="",$A592=""),"",IF($A592&lt;IFERROR(IF(INDEX(campaigns!$BG$2:$BG$51,MATCH($C592,campaigns!$A$2:$A$51,0))="","",INDEX(campaigns!$BG$2:$BG$51,MATCH($C592,campaigns!$A$2:$A$51,0))),""),0,NETWORKDAYS(IFERROR(IF(INDEX(campaigns!$BG$2:$BG$51,MATCH($C592,campaigns!$A$2:$A$51,0))="","",INDEX(campaigns!$BG$2:$BG$51,MATCH($C592,campaigns!$A$2:$A$51,0))),""),$A592,calendar!$A$2:$A$80)))</f>
        <v/>
      </c>
      <c r="K592" s="25">
        <f>IF($C592="","",IF(COUNTIF(campaigns!$A$2:$A$51,$C592)=0,"campaign_id not on campaigns; ",IF(AND($D592&lt;&gt;"",COUNTIFS(approvals!$A$2:$A$251,$C592,approvals!$B$2:$B$251,$D592)=0),"office not on this campaign (approvals tab); ",""))&amp;IF(COUNTIFS(counts!$C$2:$C$701,$C592,counts!$D$2:$D$701,$D592,counts!$E$2:$E$701,$E592)&gt;1,"two "&amp;$E592&amp;" counts: keep one; ","")&amp;IF(AND($E592="remaining_day5",N($J592)&lt;5),"day-5 count logged before day 5; ","")&amp;IF(AND($G592="photo",$H592=""),"which photo?; ",""))</f>
        <v/>
      </c>
    </row>
    <row r="593">
      <c r="A593" s="9" t="n"/>
      <c r="B593" s="33" t="n"/>
      <c r="J593" s="25">
        <f>IF(OR($C593="",$A593=""),"",IF($A593&lt;IFERROR(IF(INDEX(campaigns!$BG$2:$BG$51,MATCH($C593,campaigns!$A$2:$A$51,0))="","",INDEX(campaigns!$BG$2:$BG$51,MATCH($C593,campaigns!$A$2:$A$51,0))),""),0,NETWORKDAYS(IFERROR(IF(INDEX(campaigns!$BG$2:$BG$51,MATCH($C593,campaigns!$A$2:$A$51,0))="","",INDEX(campaigns!$BG$2:$BG$51,MATCH($C593,campaigns!$A$2:$A$51,0))),""),$A593,calendar!$A$2:$A$80)))</f>
        <v/>
      </c>
      <c r="K593" s="25">
        <f>IF($C593="","",IF(COUNTIF(campaigns!$A$2:$A$51,$C593)=0,"campaign_id not on campaigns; ",IF(AND($D593&lt;&gt;"",COUNTIFS(approvals!$A$2:$A$251,$C593,approvals!$B$2:$B$251,$D593)=0),"office not on this campaign (approvals tab); ",""))&amp;IF(COUNTIFS(counts!$C$2:$C$701,$C593,counts!$D$2:$D$701,$D593,counts!$E$2:$E$701,$E593)&gt;1,"two "&amp;$E593&amp;" counts: keep one; ","")&amp;IF(AND($E593="remaining_day5",N($J593)&lt;5),"day-5 count logged before day 5; ","")&amp;IF(AND($G593="photo",$H593=""),"which photo?; ",""))</f>
        <v/>
      </c>
    </row>
    <row r="594">
      <c r="A594" s="9" t="n"/>
      <c r="B594" s="33" t="n"/>
      <c r="J594" s="25">
        <f>IF(OR($C594="",$A594=""),"",IF($A594&lt;IFERROR(IF(INDEX(campaigns!$BG$2:$BG$51,MATCH($C594,campaigns!$A$2:$A$51,0))="","",INDEX(campaigns!$BG$2:$BG$51,MATCH($C594,campaigns!$A$2:$A$51,0))),""),0,NETWORKDAYS(IFERROR(IF(INDEX(campaigns!$BG$2:$BG$51,MATCH($C594,campaigns!$A$2:$A$51,0))="","",INDEX(campaigns!$BG$2:$BG$51,MATCH($C594,campaigns!$A$2:$A$51,0))),""),$A594,calendar!$A$2:$A$80)))</f>
        <v/>
      </c>
      <c r="K594" s="25">
        <f>IF($C594="","",IF(COUNTIF(campaigns!$A$2:$A$51,$C594)=0,"campaign_id not on campaigns; ",IF(AND($D594&lt;&gt;"",COUNTIFS(approvals!$A$2:$A$251,$C594,approvals!$B$2:$B$251,$D594)=0),"office not on this campaign (approvals tab); ",""))&amp;IF(COUNTIFS(counts!$C$2:$C$701,$C594,counts!$D$2:$D$701,$D594,counts!$E$2:$E$701,$E594)&gt;1,"two "&amp;$E594&amp;" counts: keep one; ","")&amp;IF(AND($E594="remaining_day5",N($J594)&lt;5),"day-5 count logged before day 5; ","")&amp;IF(AND($G594="photo",$H594=""),"which photo?; ",""))</f>
        <v/>
      </c>
    </row>
    <row r="595">
      <c r="A595" s="9" t="n"/>
      <c r="B595" s="33" t="n"/>
      <c r="J595" s="25">
        <f>IF(OR($C595="",$A595=""),"",IF($A595&lt;IFERROR(IF(INDEX(campaigns!$BG$2:$BG$51,MATCH($C595,campaigns!$A$2:$A$51,0))="","",INDEX(campaigns!$BG$2:$BG$51,MATCH($C595,campaigns!$A$2:$A$51,0))),""),0,NETWORKDAYS(IFERROR(IF(INDEX(campaigns!$BG$2:$BG$51,MATCH($C595,campaigns!$A$2:$A$51,0))="","",INDEX(campaigns!$BG$2:$BG$51,MATCH($C595,campaigns!$A$2:$A$51,0))),""),$A595,calendar!$A$2:$A$80)))</f>
        <v/>
      </c>
      <c r="K595" s="25">
        <f>IF($C595="","",IF(COUNTIF(campaigns!$A$2:$A$51,$C595)=0,"campaign_id not on campaigns; ",IF(AND($D595&lt;&gt;"",COUNTIFS(approvals!$A$2:$A$251,$C595,approvals!$B$2:$B$251,$D595)=0),"office not on this campaign (approvals tab); ",""))&amp;IF(COUNTIFS(counts!$C$2:$C$701,$C595,counts!$D$2:$D$701,$D595,counts!$E$2:$E$701,$E595)&gt;1,"two "&amp;$E595&amp;" counts: keep one; ","")&amp;IF(AND($E595="remaining_day5",N($J595)&lt;5),"day-5 count logged before day 5; ","")&amp;IF(AND($G595="photo",$H595=""),"which photo?; ",""))</f>
        <v/>
      </c>
    </row>
    <row r="596">
      <c r="A596" s="9" t="n"/>
      <c r="B596" s="33" t="n"/>
      <c r="J596" s="25">
        <f>IF(OR($C596="",$A596=""),"",IF($A596&lt;IFERROR(IF(INDEX(campaigns!$BG$2:$BG$51,MATCH($C596,campaigns!$A$2:$A$51,0))="","",INDEX(campaigns!$BG$2:$BG$51,MATCH($C596,campaigns!$A$2:$A$51,0))),""),0,NETWORKDAYS(IFERROR(IF(INDEX(campaigns!$BG$2:$BG$51,MATCH($C596,campaigns!$A$2:$A$51,0))="","",INDEX(campaigns!$BG$2:$BG$51,MATCH($C596,campaigns!$A$2:$A$51,0))),""),$A596,calendar!$A$2:$A$80)))</f>
        <v/>
      </c>
      <c r="K596" s="25">
        <f>IF($C596="","",IF(COUNTIF(campaigns!$A$2:$A$51,$C596)=0,"campaign_id not on campaigns; ",IF(AND($D596&lt;&gt;"",COUNTIFS(approvals!$A$2:$A$251,$C596,approvals!$B$2:$B$251,$D596)=0),"office not on this campaign (approvals tab); ",""))&amp;IF(COUNTIFS(counts!$C$2:$C$701,$C596,counts!$D$2:$D$701,$D596,counts!$E$2:$E$701,$E596)&gt;1,"two "&amp;$E596&amp;" counts: keep one; ","")&amp;IF(AND($E596="remaining_day5",N($J596)&lt;5),"day-5 count logged before day 5; ","")&amp;IF(AND($G596="photo",$H596=""),"which photo?; ",""))</f>
        <v/>
      </c>
    </row>
    <row r="597">
      <c r="A597" s="9" t="n"/>
      <c r="B597" s="33" t="n"/>
      <c r="J597" s="25">
        <f>IF(OR($C597="",$A597=""),"",IF($A597&lt;IFERROR(IF(INDEX(campaigns!$BG$2:$BG$51,MATCH($C597,campaigns!$A$2:$A$51,0))="","",INDEX(campaigns!$BG$2:$BG$51,MATCH($C597,campaigns!$A$2:$A$51,0))),""),0,NETWORKDAYS(IFERROR(IF(INDEX(campaigns!$BG$2:$BG$51,MATCH($C597,campaigns!$A$2:$A$51,0))="","",INDEX(campaigns!$BG$2:$BG$51,MATCH($C597,campaigns!$A$2:$A$51,0))),""),$A597,calendar!$A$2:$A$80)))</f>
        <v/>
      </c>
      <c r="K597" s="25">
        <f>IF($C597="","",IF(COUNTIF(campaigns!$A$2:$A$51,$C597)=0,"campaign_id not on campaigns; ",IF(AND($D597&lt;&gt;"",COUNTIFS(approvals!$A$2:$A$251,$C597,approvals!$B$2:$B$251,$D597)=0),"office not on this campaign (approvals tab); ",""))&amp;IF(COUNTIFS(counts!$C$2:$C$701,$C597,counts!$D$2:$D$701,$D597,counts!$E$2:$E$701,$E597)&gt;1,"two "&amp;$E597&amp;" counts: keep one; ","")&amp;IF(AND($E597="remaining_day5",N($J597)&lt;5),"day-5 count logged before day 5; ","")&amp;IF(AND($G597="photo",$H597=""),"which photo?; ",""))</f>
        <v/>
      </c>
    </row>
    <row r="598">
      <c r="A598" s="9" t="n"/>
      <c r="B598" s="33" t="n"/>
      <c r="J598" s="25">
        <f>IF(OR($C598="",$A598=""),"",IF($A598&lt;IFERROR(IF(INDEX(campaigns!$BG$2:$BG$51,MATCH($C598,campaigns!$A$2:$A$51,0))="","",INDEX(campaigns!$BG$2:$BG$51,MATCH($C598,campaigns!$A$2:$A$51,0))),""),0,NETWORKDAYS(IFERROR(IF(INDEX(campaigns!$BG$2:$BG$51,MATCH($C598,campaigns!$A$2:$A$51,0))="","",INDEX(campaigns!$BG$2:$BG$51,MATCH($C598,campaigns!$A$2:$A$51,0))),""),$A598,calendar!$A$2:$A$80)))</f>
        <v/>
      </c>
      <c r="K598" s="25">
        <f>IF($C598="","",IF(COUNTIF(campaigns!$A$2:$A$51,$C598)=0,"campaign_id not on campaigns; ",IF(AND($D598&lt;&gt;"",COUNTIFS(approvals!$A$2:$A$251,$C598,approvals!$B$2:$B$251,$D598)=0),"office not on this campaign (approvals tab); ",""))&amp;IF(COUNTIFS(counts!$C$2:$C$701,$C598,counts!$D$2:$D$701,$D598,counts!$E$2:$E$701,$E598)&gt;1,"two "&amp;$E598&amp;" counts: keep one; ","")&amp;IF(AND($E598="remaining_day5",N($J598)&lt;5),"day-5 count logged before day 5; ","")&amp;IF(AND($G598="photo",$H598=""),"which photo?; ",""))</f>
        <v/>
      </c>
    </row>
    <row r="599">
      <c r="A599" s="9" t="n"/>
      <c r="B599" s="33" t="n"/>
      <c r="J599" s="25">
        <f>IF(OR($C599="",$A599=""),"",IF($A599&lt;IFERROR(IF(INDEX(campaigns!$BG$2:$BG$51,MATCH($C599,campaigns!$A$2:$A$51,0))="","",INDEX(campaigns!$BG$2:$BG$51,MATCH($C599,campaigns!$A$2:$A$51,0))),""),0,NETWORKDAYS(IFERROR(IF(INDEX(campaigns!$BG$2:$BG$51,MATCH($C599,campaigns!$A$2:$A$51,0))="","",INDEX(campaigns!$BG$2:$BG$51,MATCH($C599,campaigns!$A$2:$A$51,0))),""),$A599,calendar!$A$2:$A$80)))</f>
        <v/>
      </c>
      <c r="K599" s="25">
        <f>IF($C599="","",IF(COUNTIF(campaigns!$A$2:$A$51,$C599)=0,"campaign_id not on campaigns; ",IF(AND($D599&lt;&gt;"",COUNTIFS(approvals!$A$2:$A$251,$C599,approvals!$B$2:$B$251,$D599)=0),"office not on this campaign (approvals tab); ",""))&amp;IF(COUNTIFS(counts!$C$2:$C$701,$C599,counts!$D$2:$D$701,$D599,counts!$E$2:$E$701,$E599)&gt;1,"two "&amp;$E599&amp;" counts: keep one; ","")&amp;IF(AND($E599="remaining_day5",N($J599)&lt;5),"day-5 count logged before day 5; ","")&amp;IF(AND($G599="photo",$H599=""),"which photo?; ",""))</f>
        <v/>
      </c>
    </row>
    <row r="600">
      <c r="A600" s="9" t="n"/>
      <c r="B600" s="33" t="n"/>
      <c r="J600" s="25">
        <f>IF(OR($C600="",$A600=""),"",IF($A600&lt;IFERROR(IF(INDEX(campaigns!$BG$2:$BG$51,MATCH($C600,campaigns!$A$2:$A$51,0))="","",INDEX(campaigns!$BG$2:$BG$51,MATCH($C600,campaigns!$A$2:$A$51,0))),""),0,NETWORKDAYS(IFERROR(IF(INDEX(campaigns!$BG$2:$BG$51,MATCH($C600,campaigns!$A$2:$A$51,0))="","",INDEX(campaigns!$BG$2:$BG$51,MATCH($C600,campaigns!$A$2:$A$51,0))),""),$A600,calendar!$A$2:$A$80)))</f>
        <v/>
      </c>
      <c r="K600" s="25">
        <f>IF($C600="","",IF(COUNTIF(campaigns!$A$2:$A$51,$C600)=0,"campaign_id not on campaigns; ",IF(AND($D600&lt;&gt;"",COUNTIFS(approvals!$A$2:$A$251,$C600,approvals!$B$2:$B$251,$D600)=0),"office not on this campaign (approvals tab); ",""))&amp;IF(COUNTIFS(counts!$C$2:$C$701,$C600,counts!$D$2:$D$701,$D600,counts!$E$2:$E$701,$E600)&gt;1,"two "&amp;$E600&amp;" counts: keep one; ","")&amp;IF(AND($E600="remaining_day5",N($J600)&lt;5),"day-5 count logged before day 5; ","")&amp;IF(AND($G600="photo",$H600=""),"which photo?; ",""))</f>
        <v/>
      </c>
    </row>
    <row r="601">
      <c r="A601" s="9" t="n"/>
      <c r="B601" s="33" t="n"/>
      <c r="J601" s="25">
        <f>IF(OR($C601="",$A601=""),"",IF($A601&lt;IFERROR(IF(INDEX(campaigns!$BG$2:$BG$51,MATCH($C601,campaigns!$A$2:$A$51,0))="","",INDEX(campaigns!$BG$2:$BG$51,MATCH($C601,campaigns!$A$2:$A$51,0))),""),0,NETWORKDAYS(IFERROR(IF(INDEX(campaigns!$BG$2:$BG$51,MATCH($C601,campaigns!$A$2:$A$51,0))="","",INDEX(campaigns!$BG$2:$BG$51,MATCH($C601,campaigns!$A$2:$A$51,0))),""),$A601,calendar!$A$2:$A$80)))</f>
        <v/>
      </c>
      <c r="K601" s="25">
        <f>IF($C601="","",IF(COUNTIF(campaigns!$A$2:$A$51,$C601)=0,"campaign_id not on campaigns; ",IF(AND($D601&lt;&gt;"",COUNTIFS(approvals!$A$2:$A$251,$C601,approvals!$B$2:$B$251,$D601)=0),"office not on this campaign (approvals tab); ",""))&amp;IF(COUNTIFS(counts!$C$2:$C$701,$C601,counts!$D$2:$D$701,$D601,counts!$E$2:$E$701,$E601)&gt;1,"two "&amp;$E601&amp;" counts: keep one; ","")&amp;IF(AND($E601="remaining_day5",N($J601)&lt;5),"day-5 count logged before day 5; ","")&amp;IF(AND($G601="photo",$H601=""),"which photo?; ",""))</f>
        <v/>
      </c>
    </row>
    <row r="602">
      <c r="A602" s="9" t="n"/>
      <c r="B602" s="33" t="n"/>
      <c r="J602" s="25">
        <f>IF(OR($C602="",$A602=""),"",IF($A602&lt;IFERROR(IF(INDEX(campaigns!$BG$2:$BG$51,MATCH($C602,campaigns!$A$2:$A$51,0))="","",INDEX(campaigns!$BG$2:$BG$51,MATCH($C602,campaigns!$A$2:$A$51,0))),""),0,NETWORKDAYS(IFERROR(IF(INDEX(campaigns!$BG$2:$BG$51,MATCH($C602,campaigns!$A$2:$A$51,0))="","",INDEX(campaigns!$BG$2:$BG$51,MATCH($C602,campaigns!$A$2:$A$51,0))),""),$A602,calendar!$A$2:$A$80)))</f>
        <v/>
      </c>
      <c r="K602" s="25">
        <f>IF($C602="","",IF(COUNTIF(campaigns!$A$2:$A$51,$C602)=0,"campaign_id not on campaigns; ",IF(AND($D602&lt;&gt;"",COUNTIFS(approvals!$A$2:$A$251,$C602,approvals!$B$2:$B$251,$D602)=0),"office not on this campaign (approvals tab); ",""))&amp;IF(COUNTIFS(counts!$C$2:$C$701,$C602,counts!$D$2:$D$701,$D602,counts!$E$2:$E$701,$E602)&gt;1,"two "&amp;$E602&amp;" counts: keep one; ","")&amp;IF(AND($E602="remaining_day5",N($J602)&lt;5),"day-5 count logged before day 5; ","")&amp;IF(AND($G602="photo",$H602=""),"which photo?; ",""))</f>
        <v/>
      </c>
    </row>
    <row r="603">
      <c r="A603" s="9" t="n"/>
      <c r="B603" s="33" t="n"/>
      <c r="J603" s="25">
        <f>IF(OR($C603="",$A603=""),"",IF($A603&lt;IFERROR(IF(INDEX(campaigns!$BG$2:$BG$51,MATCH($C603,campaigns!$A$2:$A$51,0))="","",INDEX(campaigns!$BG$2:$BG$51,MATCH($C603,campaigns!$A$2:$A$51,0))),""),0,NETWORKDAYS(IFERROR(IF(INDEX(campaigns!$BG$2:$BG$51,MATCH($C603,campaigns!$A$2:$A$51,0))="","",INDEX(campaigns!$BG$2:$BG$51,MATCH($C603,campaigns!$A$2:$A$51,0))),""),$A603,calendar!$A$2:$A$80)))</f>
        <v/>
      </c>
      <c r="K603" s="25">
        <f>IF($C603="","",IF(COUNTIF(campaigns!$A$2:$A$51,$C603)=0,"campaign_id not on campaigns; ",IF(AND($D603&lt;&gt;"",COUNTIFS(approvals!$A$2:$A$251,$C603,approvals!$B$2:$B$251,$D603)=0),"office not on this campaign (approvals tab); ",""))&amp;IF(COUNTIFS(counts!$C$2:$C$701,$C603,counts!$D$2:$D$701,$D603,counts!$E$2:$E$701,$E603)&gt;1,"two "&amp;$E603&amp;" counts: keep one; ","")&amp;IF(AND($E603="remaining_day5",N($J603)&lt;5),"day-5 count logged before day 5; ","")&amp;IF(AND($G603="photo",$H603=""),"which photo?; ",""))</f>
        <v/>
      </c>
    </row>
    <row r="604">
      <c r="A604" s="9" t="n"/>
      <c r="B604" s="33" t="n"/>
      <c r="J604" s="25">
        <f>IF(OR($C604="",$A604=""),"",IF($A604&lt;IFERROR(IF(INDEX(campaigns!$BG$2:$BG$51,MATCH($C604,campaigns!$A$2:$A$51,0))="","",INDEX(campaigns!$BG$2:$BG$51,MATCH($C604,campaigns!$A$2:$A$51,0))),""),0,NETWORKDAYS(IFERROR(IF(INDEX(campaigns!$BG$2:$BG$51,MATCH($C604,campaigns!$A$2:$A$51,0))="","",INDEX(campaigns!$BG$2:$BG$51,MATCH($C604,campaigns!$A$2:$A$51,0))),""),$A604,calendar!$A$2:$A$80)))</f>
        <v/>
      </c>
      <c r="K604" s="25">
        <f>IF($C604="","",IF(COUNTIF(campaigns!$A$2:$A$51,$C604)=0,"campaign_id not on campaigns; ",IF(AND($D604&lt;&gt;"",COUNTIFS(approvals!$A$2:$A$251,$C604,approvals!$B$2:$B$251,$D604)=0),"office not on this campaign (approvals tab); ",""))&amp;IF(COUNTIFS(counts!$C$2:$C$701,$C604,counts!$D$2:$D$701,$D604,counts!$E$2:$E$701,$E604)&gt;1,"two "&amp;$E604&amp;" counts: keep one; ","")&amp;IF(AND($E604="remaining_day5",N($J604)&lt;5),"day-5 count logged before day 5; ","")&amp;IF(AND($G604="photo",$H604=""),"which photo?; ",""))</f>
        <v/>
      </c>
    </row>
    <row r="605">
      <c r="A605" s="9" t="n"/>
      <c r="B605" s="33" t="n"/>
      <c r="J605" s="25">
        <f>IF(OR($C605="",$A605=""),"",IF($A605&lt;IFERROR(IF(INDEX(campaigns!$BG$2:$BG$51,MATCH($C605,campaigns!$A$2:$A$51,0))="","",INDEX(campaigns!$BG$2:$BG$51,MATCH($C605,campaigns!$A$2:$A$51,0))),""),0,NETWORKDAYS(IFERROR(IF(INDEX(campaigns!$BG$2:$BG$51,MATCH($C605,campaigns!$A$2:$A$51,0))="","",INDEX(campaigns!$BG$2:$BG$51,MATCH($C605,campaigns!$A$2:$A$51,0))),""),$A605,calendar!$A$2:$A$80)))</f>
        <v/>
      </c>
      <c r="K605" s="25">
        <f>IF($C605="","",IF(COUNTIF(campaigns!$A$2:$A$51,$C605)=0,"campaign_id not on campaigns; ",IF(AND($D605&lt;&gt;"",COUNTIFS(approvals!$A$2:$A$251,$C605,approvals!$B$2:$B$251,$D605)=0),"office not on this campaign (approvals tab); ",""))&amp;IF(COUNTIFS(counts!$C$2:$C$701,$C605,counts!$D$2:$D$701,$D605,counts!$E$2:$E$701,$E605)&gt;1,"two "&amp;$E605&amp;" counts: keep one; ","")&amp;IF(AND($E605="remaining_day5",N($J605)&lt;5),"day-5 count logged before day 5; ","")&amp;IF(AND($G605="photo",$H605=""),"which photo?; ",""))</f>
        <v/>
      </c>
    </row>
    <row r="606">
      <c r="A606" s="9" t="n"/>
      <c r="B606" s="33" t="n"/>
      <c r="J606" s="25">
        <f>IF(OR($C606="",$A606=""),"",IF($A606&lt;IFERROR(IF(INDEX(campaigns!$BG$2:$BG$51,MATCH($C606,campaigns!$A$2:$A$51,0))="","",INDEX(campaigns!$BG$2:$BG$51,MATCH($C606,campaigns!$A$2:$A$51,0))),""),0,NETWORKDAYS(IFERROR(IF(INDEX(campaigns!$BG$2:$BG$51,MATCH($C606,campaigns!$A$2:$A$51,0))="","",INDEX(campaigns!$BG$2:$BG$51,MATCH($C606,campaigns!$A$2:$A$51,0))),""),$A606,calendar!$A$2:$A$80)))</f>
        <v/>
      </c>
      <c r="K606" s="25">
        <f>IF($C606="","",IF(COUNTIF(campaigns!$A$2:$A$51,$C606)=0,"campaign_id not on campaigns; ",IF(AND($D606&lt;&gt;"",COUNTIFS(approvals!$A$2:$A$251,$C606,approvals!$B$2:$B$251,$D606)=0),"office not on this campaign (approvals tab); ",""))&amp;IF(COUNTIFS(counts!$C$2:$C$701,$C606,counts!$D$2:$D$701,$D606,counts!$E$2:$E$701,$E606)&gt;1,"two "&amp;$E606&amp;" counts: keep one; ","")&amp;IF(AND($E606="remaining_day5",N($J606)&lt;5),"day-5 count logged before day 5; ","")&amp;IF(AND($G606="photo",$H606=""),"which photo?; ",""))</f>
        <v/>
      </c>
    </row>
    <row r="607">
      <c r="A607" s="9" t="n"/>
      <c r="B607" s="33" t="n"/>
      <c r="J607" s="25">
        <f>IF(OR($C607="",$A607=""),"",IF($A607&lt;IFERROR(IF(INDEX(campaigns!$BG$2:$BG$51,MATCH($C607,campaigns!$A$2:$A$51,0))="","",INDEX(campaigns!$BG$2:$BG$51,MATCH($C607,campaigns!$A$2:$A$51,0))),""),0,NETWORKDAYS(IFERROR(IF(INDEX(campaigns!$BG$2:$BG$51,MATCH($C607,campaigns!$A$2:$A$51,0))="","",INDEX(campaigns!$BG$2:$BG$51,MATCH($C607,campaigns!$A$2:$A$51,0))),""),$A607,calendar!$A$2:$A$80)))</f>
        <v/>
      </c>
      <c r="K607" s="25">
        <f>IF($C607="","",IF(COUNTIF(campaigns!$A$2:$A$51,$C607)=0,"campaign_id not on campaigns; ",IF(AND($D607&lt;&gt;"",COUNTIFS(approvals!$A$2:$A$251,$C607,approvals!$B$2:$B$251,$D607)=0),"office not on this campaign (approvals tab); ",""))&amp;IF(COUNTIFS(counts!$C$2:$C$701,$C607,counts!$D$2:$D$701,$D607,counts!$E$2:$E$701,$E607)&gt;1,"two "&amp;$E607&amp;" counts: keep one; ","")&amp;IF(AND($E607="remaining_day5",N($J607)&lt;5),"day-5 count logged before day 5; ","")&amp;IF(AND($G607="photo",$H607=""),"which photo?; ",""))</f>
        <v/>
      </c>
    </row>
    <row r="608">
      <c r="A608" s="9" t="n"/>
      <c r="B608" s="33" t="n"/>
      <c r="J608" s="25">
        <f>IF(OR($C608="",$A608=""),"",IF($A608&lt;IFERROR(IF(INDEX(campaigns!$BG$2:$BG$51,MATCH($C608,campaigns!$A$2:$A$51,0))="","",INDEX(campaigns!$BG$2:$BG$51,MATCH($C608,campaigns!$A$2:$A$51,0))),""),0,NETWORKDAYS(IFERROR(IF(INDEX(campaigns!$BG$2:$BG$51,MATCH($C608,campaigns!$A$2:$A$51,0))="","",INDEX(campaigns!$BG$2:$BG$51,MATCH($C608,campaigns!$A$2:$A$51,0))),""),$A608,calendar!$A$2:$A$80)))</f>
        <v/>
      </c>
      <c r="K608" s="25">
        <f>IF($C608="","",IF(COUNTIF(campaigns!$A$2:$A$51,$C608)=0,"campaign_id not on campaigns; ",IF(AND($D608&lt;&gt;"",COUNTIFS(approvals!$A$2:$A$251,$C608,approvals!$B$2:$B$251,$D608)=0),"office not on this campaign (approvals tab); ",""))&amp;IF(COUNTIFS(counts!$C$2:$C$701,$C608,counts!$D$2:$D$701,$D608,counts!$E$2:$E$701,$E608)&gt;1,"two "&amp;$E608&amp;" counts: keep one; ","")&amp;IF(AND($E608="remaining_day5",N($J608)&lt;5),"day-5 count logged before day 5; ","")&amp;IF(AND($G608="photo",$H608=""),"which photo?; ",""))</f>
        <v/>
      </c>
    </row>
    <row r="609">
      <c r="A609" s="9" t="n"/>
      <c r="B609" s="33" t="n"/>
      <c r="J609" s="25">
        <f>IF(OR($C609="",$A609=""),"",IF($A609&lt;IFERROR(IF(INDEX(campaigns!$BG$2:$BG$51,MATCH($C609,campaigns!$A$2:$A$51,0))="","",INDEX(campaigns!$BG$2:$BG$51,MATCH($C609,campaigns!$A$2:$A$51,0))),""),0,NETWORKDAYS(IFERROR(IF(INDEX(campaigns!$BG$2:$BG$51,MATCH($C609,campaigns!$A$2:$A$51,0))="","",INDEX(campaigns!$BG$2:$BG$51,MATCH($C609,campaigns!$A$2:$A$51,0))),""),$A609,calendar!$A$2:$A$80)))</f>
        <v/>
      </c>
      <c r="K609" s="25">
        <f>IF($C609="","",IF(COUNTIF(campaigns!$A$2:$A$51,$C609)=0,"campaign_id not on campaigns; ",IF(AND($D609&lt;&gt;"",COUNTIFS(approvals!$A$2:$A$251,$C609,approvals!$B$2:$B$251,$D609)=0),"office not on this campaign (approvals tab); ",""))&amp;IF(COUNTIFS(counts!$C$2:$C$701,$C609,counts!$D$2:$D$701,$D609,counts!$E$2:$E$701,$E609)&gt;1,"two "&amp;$E609&amp;" counts: keep one; ","")&amp;IF(AND($E609="remaining_day5",N($J609)&lt;5),"day-5 count logged before day 5; ","")&amp;IF(AND($G609="photo",$H609=""),"which photo?; ",""))</f>
        <v/>
      </c>
    </row>
    <row r="610">
      <c r="A610" s="9" t="n"/>
      <c r="B610" s="33" t="n"/>
      <c r="J610" s="25">
        <f>IF(OR($C610="",$A610=""),"",IF($A610&lt;IFERROR(IF(INDEX(campaigns!$BG$2:$BG$51,MATCH($C610,campaigns!$A$2:$A$51,0))="","",INDEX(campaigns!$BG$2:$BG$51,MATCH($C610,campaigns!$A$2:$A$51,0))),""),0,NETWORKDAYS(IFERROR(IF(INDEX(campaigns!$BG$2:$BG$51,MATCH($C610,campaigns!$A$2:$A$51,0))="","",INDEX(campaigns!$BG$2:$BG$51,MATCH($C610,campaigns!$A$2:$A$51,0))),""),$A610,calendar!$A$2:$A$80)))</f>
        <v/>
      </c>
      <c r="K610" s="25">
        <f>IF($C610="","",IF(COUNTIF(campaigns!$A$2:$A$51,$C610)=0,"campaign_id not on campaigns; ",IF(AND($D610&lt;&gt;"",COUNTIFS(approvals!$A$2:$A$251,$C610,approvals!$B$2:$B$251,$D610)=0),"office not on this campaign (approvals tab); ",""))&amp;IF(COUNTIFS(counts!$C$2:$C$701,$C610,counts!$D$2:$D$701,$D610,counts!$E$2:$E$701,$E610)&gt;1,"two "&amp;$E610&amp;" counts: keep one; ","")&amp;IF(AND($E610="remaining_day5",N($J610)&lt;5),"day-5 count logged before day 5; ","")&amp;IF(AND($G610="photo",$H610=""),"which photo?; ",""))</f>
        <v/>
      </c>
    </row>
    <row r="611">
      <c r="A611" s="9" t="n"/>
      <c r="B611" s="33" t="n"/>
      <c r="J611" s="25">
        <f>IF(OR($C611="",$A611=""),"",IF($A611&lt;IFERROR(IF(INDEX(campaigns!$BG$2:$BG$51,MATCH($C611,campaigns!$A$2:$A$51,0))="","",INDEX(campaigns!$BG$2:$BG$51,MATCH($C611,campaigns!$A$2:$A$51,0))),""),0,NETWORKDAYS(IFERROR(IF(INDEX(campaigns!$BG$2:$BG$51,MATCH($C611,campaigns!$A$2:$A$51,0))="","",INDEX(campaigns!$BG$2:$BG$51,MATCH($C611,campaigns!$A$2:$A$51,0))),""),$A611,calendar!$A$2:$A$80)))</f>
        <v/>
      </c>
      <c r="K611" s="25">
        <f>IF($C611="","",IF(COUNTIF(campaigns!$A$2:$A$51,$C611)=0,"campaign_id not on campaigns; ",IF(AND($D611&lt;&gt;"",COUNTIFS(approvals!$A$2:$A$251,$C611,approvals!$B$2:$B$251,$D611)=0),"office not on this campaign (approvals tab); ",""))&amp;IF(COUNTIFS(counts!$C$2:$C$701,$C611,counts!$D$2:$D$701,$D611,counts!$E$2:$E$701,$E611)&gt;1,"two "&amp;$E611&amp;" counts: keep one; ","")&amp;IF(AND($E611="remaining_day5",N($J611)&lt;5),"day-5 count logged before day 5; ","")&amp;IF(AND($G611="photo",$H611=""),"which photo?; ",""))</f>
        <v/>
      </c>
    </row>
    <row r="612">
      <c r="A612" s="9" t="n"/>
      <c r="B612" s="33" t="n"/>
      <c r="J612" s="25">
        <f>IF(OR($C612="",$A612=""),"",IF($A612&lt;IFERROR(IF(INDEX(campaigns!$BG$2:$BG$51,MATCH($C612,campaigns!$A$2:$A$51,0))="","",INDEX(campaigns!$BG$2:$BG$51,MATCH($C612,campaigns!$A$2:$A$51,0))),""),0,NETWORKDAYS(IFERROR(IF(INDEX(campaigns!$BG$2:$BG$51,MATCH($C612,campaigns!$A$2:$A$51,0))="","",INDEX(campaigns!$BG$2:$BG$51,MATCH($C612,campaigns!$A$2:$A$51,0))),""),$A612,calendar!$A$2:$A$80)))</f>
        <v/>
      </c>
      <c r="K612" s="25">
        <f>IF($C612="","",IF(COUNTIF(campaigns!$A$2:$A$51,$C612)=0,"campaign_id not on campaigns; ",IF(AND($D612&lt;&gt;"",COUNTIFS(approvals!$A$2:$A$251,$C612,approvals!$B$2:$B$251,$D612)=0),"office not on this campaign (approvals tab); ",""))&amp;IF(COUNTIFS(counts!$C$2:$C$701,$C612,counts!$D$2:$D$701,$D612,counts!$E$2:$E$701,$E612)&gt;1,"two "&amp;$E612&amp;" counts: keep one; ","")&amp;IF(AND($E612="remaining_day5",N($J612)&lt;5),"day-5 count logged before day 5; ","")&amp;IF(AND($G612="photo",$H612=""),"which photo?; ",""))</f>
        <v/>
      </c>
    </row>
    <row r="613">
      <c r="A613" s="9" t="n"/>
      <c r="B613" s="33" t="n"/>
      <c r="J613" s="25">
        <f>IF(OR($C613="",$A613=""),"",IF($A613&lt;IFERROR(IF(INDEX(campaigns!$BG$2:$BG$51,MATCH($C613,campaigns!$A$2:$A$51,0))="","",INDEX(campaigns!$BG$2:$BG$51,MATCH($C613,campaigns!$A$2:$A$51,0))),""),0,NETWORKDAYS(IFERROR(IF(INDEX(campaigns!$BG$2:$BG$51,MATCH($C613,campaigns!$A$2:$A$51,0))="","",INDEX(campaigns!$BG$2:$BG$51,MATCH($C613,campaigns!$A$2:$A$51,0))),""),$A613,calendar!$A$2:$A$80)))</f>
        <v/>
      </c>
      <c r="K613" s="25">
        <f>IF($C613="","",IF(COUNTIF(campaigns!$A$2:$A$51,$C613)=0,"campaign_id not on campaigns; ",IF(AND($D613&lt;&gt;"",COUNTIFS(approvals!$A$2:$A$251,$C613,approvals!$B$2:$B$251,$D613)=0),"office not on this campaign (approvals tab); ",""))&amp;IF(COUNTIFS(counts!$C$2:$C$701,$C613,counts!$D$2:$D$701,$D613,counts!$E$2:$E$701,$E613)&gt;1,"two "&amp;$E613&amp;" counts: keep one; ","")&amp;IF(AND($E613="remaining_day5",N($J613)&lt;5),"day-5 count logged before day 5; ","")&amp;IF(AND($G613="photo",$H613=""),"which photo?; ",""))</f>
        <v/>
      </c>
    </row>
    <row r="614">
      <c r="A614" s="9" t="n"/>
      <c r="B614" s="33" t="n"/>
      <c r="J614" s="25">
        <f>IF(OR($C614="",$A614=""),"",IF($A614&lt;IFERROR(IF(INDEX(campaigns!$BG$2:$BG$51,MATCH($C614,campaigns!$A$2:$A$51,0))="","",INDEX(campaigns!$BG$2:$BG$51,MATCH($C614,campaigns!$A$2:$A$51,0))),""),0,NETWORKDAYS(IFERROR(IF(INDEX(campaigns!$BG$2:$BG$51,MATCH($C614,campaigns!$A$2:$A$51,0))="","",INDEX(campaigns!$BG$2:$BG$51,MATCH($C614,campaigns!$A$2:$A$51,0))),""),$A614,calendar!$A$2:$A$80)))</f>
        <v/>
      </c>
      <c r="K614" s="25">
        <f>IF($C614="","",IF(COUNTIF(campaigns!$A$2:$A$51,$C614)=0,"campaign_id not on campaigns; ",IF(AND($D614&lt;&gt;"",COUNTIFS(approvals!$A$2:$A$251,$C614,approvals!$B$2:$B$251,$D614)=0),"office not on this campaign (approvals tab); ",""))&amp;IF(COUNTIFS(counts!$C$2:$C$701,$C614,counts!$D$2:$D$701,$D614,counts!$E$2:$E$701,$E614)&gt;1,"two "&amp;$E614&amp;" counts: keep one; ","")&amp;IF(AND($E614="remaining_day5",N($J614)&lt;5),"day-5 count logged before day 5; ","")&amp;IF(AND($G614="photo",$H614=""),"which photo?; ",""))</f>
        <v/>
      </c>
    </row>
    <row r="615">
      <c r="A615" s="9" t="n"/>
      <c r="B615" s="33" t="n"/>
      <c r="J615" s="25">
        <f>IF(OR($C615="",$A615=""),"",IF($A615&lt;IFERROR(IF(INDEX(campaigns!$BG$2:$BG$51,MATCH($C615,campaigns!$A$2:$A$51,0))="","",INDEX(campaigns!$BG$2:$BG$51,MATCH($C615,campaigns!$A$2:$A$51,0))),""),0,NETWORKDAYS(IFERROR(IF(INDEX(campaigns!$BG$2:$BG$51,MATCH($C615,campaigns!$A$2:$A$51,0))="","",INDEX(campaigns!$BG$2:$BG$51,MATCH($C615,campaigns!$A$2:$A$51,0))),""),$A615,calendar!$A$2:$A$80)))</f>
        <v/>
      </c>
      <c r="K615" s="25">
        <f>IF($C615="","",IF(COUNTIF(campaigns!$A$2:$A$51,$C615)=0,"campaign_id not on campaigns; ",IF(AND($D615&lt;&gt;"",COUNTIFS(approvals!$A$2:$A$251,$C615,approvals!$B$2:$B$251,$D615)=0),"office not on this campaign (approvals tab); ",""))&amp;IF(COUNTIFS(counts!$C$2:$C$701,$C615,counts!$D$2:$D$701,$D615,counts!$E$2:$E$701,$E615)&gt;1,"two "&amp;$E615&amp;" counts: keep one; ","")&amp;IF(AND($E615="remaining_day5",N($J615)&lt;5),"day-5 count logged before day 5; ","")&amp;IF(AND($G615="photo",$H615=""),"which photo?; ",""))</f>
        <v/>
      </c>
    </row>
    <row r="616">
      <c r="A616" s="9" t="n"/>
      <c r="B616" s="33" t="n"/>
      <c r="J616" s="25">
        <f>IF(OR($C616="",$A616=""),"",IF($A616&lt;IFERROR(IF(INDEX(campaigns!$BG$2:$BG$51,MATCH($C616,campaigns!$A$2:$A$51,0))="","",INDEX(campaigns!$BG$2:$BG$51,MATCH($C616,campaigns!$A$2:$A$51,0))),""),0,NETWORKDAYS(IFERROR(IF(INDEX(campaigns!$BG$2:$BG$51,MATCH($C616,campaigns!$A$2:$A$51,0))="","",INDEX(campaigns!$BG$2:$BG$51,MATCH($C616,campaigns!$A$2:$A$51,0))),""),$A616,calendar!$A$2:$A$80)))</f>
        <v/>
      </c>
      <c r="K616" s="25">
        <f>IF($C616="","",IF(COUNTIF(campaigns!$A$2:$A$51,$C616)=0,"campaign_id not on campaigns; ",IF(AND($D616&lt;&gt;"",COUNTIFS(approvals!$A$2:$A$251,$C616,approvals!$B$2:$B$251,$D616)=0),"office not on this campaign (approvals tab); ",""))&amp;IF(COUNTIFS(counts!$C$2:$C$701,$C616,counts!$D$2:$D$701,$D616,counts!$E$2:$E$701,$E616)&gt;1,"two "&amp;$E616&amp;" counts: keep one; ","")&amp;IF(AND($E616="remaining_day5",N($J616)&lt;5),"day-5 count logged before day 5; ","")&amp;IF(AND($G616="photo",$H616=""),"which photo?; ",""))</f>
        <v/>
      </c>
    </row>
    <row r="617">
      <c r="A617" s="9" t="n"/>
      <c r="B617" s="33" t="n"/>
      <c r="J617" s="25">
        <f>IF(OR($C617="",$A617=""),"",IF($A617&lt;IFERROR(IF(INDEX(campaigns!$BG$2:$BG$51,MATCH($C617,campaigns!$A$2:$A$51,0))="","",INDEX(campaigns!$BG$2:$BG$51,MATCH($C617,campaigns!$A$2:$A$51,0))),""),0,NETWORKDAYS(IFERROR(IF(INDEX(campaigns!$BG$2:$BG$51,MATCH($C617,campaigns!$A$2:$A$51,0))="","",INDEX(campaigns!$BG$2:$BG$51,MATCH($C617,campaigns!$A$2:$A$51,0))),""),$A617,calendar!$A$2:$A$80)))</f>
        <v/>
      </c>
      <c r="K617" s="25">
        <f>IF($C617="","",IF(COUNTIF(campaigns!$A$2:$A$51,$C617)=0,"campaign_id not on campaigns; ",IF(AND($D617&lt;&gt;"",COUNTIFS(approvals!$A$2:$A$251,$C617,approvals!$B$2:$B$251,$D617)=0),"office not on this campaign (approvals tab); ",""))&amp;IF(COUNTIFS(counts!$C$2:$C$701,$C617,counts!$D$2:$D$701,$D617,counts!$E$2:$E$701,$E617)&gt;1,"two "&amp;$E617&amp;" counts: keep one; ","")&amp;IF(AND($E617="remaining_day5",N($J617)&lt;5),"day-5 count logged before day 5; ","")&amp;IF(AND($G617="photo",$H617=""),"which photo?; ",""))</f>
        <v/>
      </c>
    </row>
    <row r="618">
      <c r="A618" s="9" t="n"/>
      <c r="B618" s="33" t="n"/>
      <c r="J618" s="25">
        <f>IF(OR($C618="",$A618=""),"",IF($A618&lt;IFERROR(IF(INDEX(campaigns!$BG$2:$BG$51,MATCH($C618,campaigns!$A$2:$A$51,0))="","",INDEX(campaigns!$BG$2:$BG$51,MATCH($C618,campaigns!$A$2:$A$51,0))),""),0,NETWORKDAYS(IFERROR(IF(INDEX(campaigns!$BG$2:$BG$51,MATCH($C618,campaigns!$A$2:$A$51,0))="","",INDEX(campaigns!$BG$2:$BG$51,MATCH($C618,campaigns!$A$2:$A$51,0))),""),$A618,calendar!$A$2:$A$80)))</f>
        <v/>
      </c>
      <c r="K618" s="25">
        <f>IF($C618="","",IF(COUNTIF(campaigns!$A$2:$A$51,$C618)=0,"campaign_id not on campaigns; ",IF(AND($D618&lt;&gt;"",COUNTIFS(approvals!$A$2:$A$251,$C618,approvals!$B$2:$B$251,$D618)=0),"office not on this campaign (approvals tab); ",""))&amp;IF(COUNTIFS(counts!$C$2:$C$701,$C618,counts!$D$2:$D$701,$D618,counts!$E$2:$E$701,$E618)&gt;1,"two "&amp;$E618&amp;" counts: keep one; ","")&amp;IF(AND($E618="remaining_day5",N($J618)&lt;5),"day-5 count logged before day 5; ","")&amp;IF(AND($G618="photo",$H618=""),"which photo?; ",""))</f>
        <v/>
      </c>
    </row>
    <row r="619">
      <c r="A619" s="9" t="n"/>
      <c r="B619" s="33" t="n"/>
      <c r="J619" s="25">
        <f>IF(OR($C619="",$A619=""),"",IF($A619&lt;IFERROR(IF(INDEX(campaigns!$BG$2:$BG$51,MATCH($C619,campaigns!$A$2:$A$51,0))="","",INDEX(campaigns!$BG$2:$BG$51,MATCH($C619,campaigns!$A$2:$A$51,0))),""),0,NETWORKDAYS(IFERROR(IF(INDEX(campaigns!$BG$2:$BG$51,MATCH($C619,campaigns!$A$2:$A$51,0))="","",INDEX(campaigns!$BG$2:$BG$51,MATCH($C619,campaigns!$A$2:$A$51,0))),""),$A619,calendar!$A$2:$A$80)))</f>
        <v/>
      </c>
      <c r="K619" s="25">
        <f>IF($C619="","",IF(COUNTIF(campaigns!$A$2:$A$51,$C619)=0,"campaign_id not on campaigns; ",IF(AND($D619&lt;&gt;"",COUNTIFS(approvals!$A$2:$A$251,$C619,approvals!$B$2:$B$251,$D619)=0),"office not on this campaign (approvals tab); ",""))&amp;IF(COUNTIFS(counts!$C$2:$C$701,$C619,counts!$D$2:$D$701,$D619,counts!$E$2:$E$701,$E619)&gt;1,"two "&amp;$E619&amp;" counts: keep one; ","")&amp;IF(AND($E619="remaining_day5",N($J619)&lt;5),"day-5 count logged before day 5; ","")&amp;IF(AND($G619="photo",$H619=""),"which photo?; ",""))</f>
        <v/>
      </c>
    </row>
    <row r="620">
      <c r="A620" s="9" t="n"/>
      <c r="B620" s="33" t="n"/>
      <c r="J620" s="25">
        <f>IF(OR($C620="",$A620=""),"",IF($A620&lt;IFERROR(IF(INDEX(campaigns!$BG$2:$BG$51,MATCH($C620,campaigns!$A$2:$A$51,0))="","",INDEX(campaigns!$BG$2:$BG$51,MATCH($C620,campaigns!$A$2:$A$51,0))),""),0,NETWORKDAYS(IFERROR(IF(INDEX(campaigns!$BG$2:$BG$51,MATCH($C620,campaigns!$A$2:$A$51,0))="","",INDEX(campaigns!$BG$2:$BG$51,MATCH($C620,campaigns!$A$2:$A$51,0))),""),$A620,calendar!$A$2:$A$80)))</f>
        <v/>
      </c>
      <c r="K620" s="25">
        <f>IF($C620="","",IF(COUNTIF(campaigns!$A$2:$A$51,$C620)=0,"campaign_id not on campaigns; ",IF(AND($D620&lt;&gt;"",COUNTIFS(approvals!$A$2:$A$251,$C620,approvals!$B$2:$B$251,$D620)=0),"office not on this campaign (approvals tab); ",""))&amp;IF(COUNTIFS(counts!$C$2:$C$701,$C620,counts!$D$2:$D$701,$D620,counts!$E$2:$E$701,$E620)&gt;1,"two "&amp;$E620&amp;" counts: keep one; ","")&amp;IF(AND($E620="remaining_day5",N($J620)&lt;5),"day-5 count logged before day 5; ","")&amp;IF(AND($G620="photo",$H620=""),"which photo?; ",""))</f>
        <v/>
      </c>
    </row>
    <row r="621">
      <c r="A621" s="9" t="n"/>
      <c r="B621" s="33" t="n"/>
      <c r="J621" s="25">
        <f>IF(OR($C621="",$A621=""),"",IF($A621&lt;IFERROR(IF(INDEX(campaigns!$BG$2:$BG$51,MATCH($C621,campaigns!$A$2:$A$51,0))="","",INDEX(campaigns!$BG$2:$BG$51,MATCH($C621,campaigns!$A$2:$A$51,0))),""),0,NETWORKDAYS(IFERROR(IF(INDEX(campaigns!$BG$2:$BG$51,MATCH($C621,campaigns!$A$2:$A$51,0))="","",INDEX(campaigns!$BG$2:$BG$51,MATCH($C621,campaigns!$A$2:$A$51,0))),""),$A621,calendar!$A$2:$A$80)))</f>
        <v/>
      </c>
      <c r="K621" s="25">
        <f>IF($C621="","",IF(COUNTIF(campaigns!$A$2:$A$51,$C621)=0,"campaign_id not on campaigns; ",IF(AND($D621&lt;&gt;"",COUNTIFS(approvals!$A$2:$A$251,$C621,approvals!$B$2:$B$251,$D621)=0),"office not on this campaign (approvals tab); ",""))&amp;IF(COUNTIFS(counts!$C$2:$C$701,$C621,counts!$D$2:$D$701,$D621,counts!$E$2:$E$701,$E621)&gt;1,"two "&amp;$E621&amp;" counts: keep one; ","")&amp;IF(AND($E621="remaining_day5",N($J621)&lt;5),"day-5 count logged before day 5; ","")&amp;IF(AND($G621="photo",$H621=""),"which photo?; ",""))</f>
        <v/>
      </c>
    </row>
    <row r="622">
      <c r="A622" s="9" t="n"/>
      <c r="B622" s="33" t="n"/>
      <c r="J622" s="25">
        <f>IF(OR($C622="",$A622=""),"",IF($A622&lt;IFERROR(IF(INDEX(campaigns!$BG$2:$BG$51,MATCH($C622,campaigns!$A$2:$A$51,0))="","",INDEX(campaigns!$BG$2:$BG$51,MATCH($C622,campaigns!$A$2:$A$51,0))),""),0,NETWORKDAYS(IFERROR(IF(INDEX(campaigns!$BG$2:$BG$51,MATCH($C622,campaigns!$A$2:$A$51,0))="","",INDEX(campaigns!$BG$2:$BG$51,MATCH($C622,campaigns!$A$2:$A$51,0))),""),$A622,calendar!$A$2:$A$80)))</f>
        <v/>
      </c>
      <c r="K622" s="25">
        <f>IF($C622="","",IF(COUNTIF(campaigns!$A$2:$A$51,$C622)=0,"campaign_id not on campaigns; ",IF(AND($D622&lt;&gt;"",COUNTIFS(approvals!$A$2:$A$251,$C622,approvals!$B$2:$B$251,$D622)=0),"office not on this campaign (approvals tab); ",""))&amp;IF(COUNTIFS(counts!$C$2:$C$701,$C622,counts!$D$2:$D$701,$D622,counts!$E$2:$E$701,$E622)&gt;1,"two "&amp;$E622&amp;" counts: keep one; ","")&amp;IF(AND($E622="remaining_day5",N($J622)&lt;5),"day-5 count logged before day 5; ","")&amp;IF(AND($G622="photo",$H622=""),"which photo?; ",""))</f>
        <v/>
      </c>
    </row>
    <row r="623">
      <c r="A623" s="9" t="n"/>
      <c r="B623" s="33" t="n"/>
      <c r="J623" s="25">
        <f>IF(OR($C623="",$A623=""),"",IF($A623&lt;IFERROR(IF(INDEX(campaigns!$BG$2:$BG$51,MATCH($C623,campaigns!$A$2:$A$51,0))="","",INDEX(campaigns!$BG$2:$BG$51,MATCH($C623,campaigns!$A$2:$A$51,0))),""),0,NETWORKDAYS(IFERROR(IF(INDEX(campaigns!$BG$2:$BG$51,MATCH($C623,campaigns!$A$2:$A$51,0))="","",INDEX(campaigns!$BG$2:$BG$51,MATCH($C623,campaigns!$A$2:$A$51,0))),""),$A623,calendar!$A$2:$A$80)))</f>
        <v/>
      </c>
      <c r="K623" s="25">
        <f>IF($C623="","",IF(COUNTIF(campaigns!$A$2:$A$51,$C623)=0,"campaign_id not on campaigns; ",IF(AND($D623&lt;&gt;"",COUNTIFS(approvals!$A$2:$A$251,$C623,approvals!$B$2:$B$251,$D623)=0),"office not on this campaign (approvals tab); ",""))&amp;IF(COUNTIFS(counts!$C$2:$C$701,$C623,counts!$D$2:$D$701,$D623,counts!$E$2:$E$701,$E623)&gt;1,"two "&amp;$E623&amp;" counts: keep one; ","")&amp;IF(AND($E623="remaining_day5",N($J623)&lt;5),"day-5 count logged before day 5; ","")&amp;IF(AND($G623="photo",$H623=""),"which photo?; ",""))</f>
        <v/>
      </c>
    </row>
    <row r="624">
      <c r="A624" s="9" t="n"/>
      <c r="B624" s="33" t="n"/>
      <c r="J624" s="25">
        <f>IF(OR($C624="",$A624=""),"",IF($A624&lt;IFERROR(IF(INDEX(campaigns!$BG$2:$BG$51,MATCH($C624,campaigns!$A$2:$A$51,0))="","",INDEX(campaigns!$BG$2:$BG$51,MATCH($C624,campaigns!$A$2:$A$51,0))),""),0,NETWORKDAYS(IFERROR(IF(INDEX(campaigns!$BG$2:$BG$51,MATCH($C624,campaigns!$A$2:$A$51,0))="","",INDEX(campaigns!$BG$2:$BG$51,MATCH($C624,campaigns!$A$2:$A$51,0))),""),$A624,calendar!$A$2:$A$80)))</f>
        <v/>
      </c>
      <c r="K624" s="25">
        <f>IF($C624="","",IF(COUNTIF(campaigns!$A$2:$A$51,$C624)=0,"campaign_id not on campaigns; ",IF(AND($D624&lt;&gt;"",COUNTIFS(approvals!$A$2:$A$251,$C624,approvals!$B$2:$B$251,$D624)=0),"office not on this campaign (approvals tab); ",""))&amp;IF(COUNTIFS(counts!$C$2:$C$701,$C624,counts!$D$2:$D$701,$D624,counts!$E$2:$E$701,$E624)&gt;1,"two "&amp;$E624&amp;" counts: keep one; ","")&amp;IF(AND($E624="remaining_day5",N($J624)&lt;5),"day-5 count logged before day 5; ","")&amp;IF(AND($G624="photo",$H624=""),"which photo?; ",""))</f>
        <v/>
      </c>
    </row>
    <row r="625">
      <c r="A625" s="9" t="n"/>
      <c r="B625" s="33" t="n"/>
      <c r="J625" s="25">
        <f>IF(OR($C625="",$A625=""),"",IF($A625&lt;IFERROR(IF(INDEX(campaigns!$BG$2:$BG$51,MATCH($C625,campaigns!$A$2:$A$51,0))="","",INDEX(campaigns!$BG$2:$BG$51,MATCH($C625,campaigns!$A$2:$A$51,0))),""),0,NETWORKDAYS(IFERROR(IF(INDEX(campaigns!$BG$2:$BG$51,MATCH($C625,campaigns!$A$2:$A$51,0))="","",INDEX(campaigns!$BG$2:$BG$51,MATCH($C625,campaigns!$A$2:$A$51,0))),""),$A625,calendar!$A$2:$A$80)))</f>
        <v/>
      </c>
      <c r="K625" s="25">
        <f>IF($C625="","",IF(COUNTIF(campaigns!$A$2:$A$51,$C625)=0,"campaign_id not on campaigns; ",IF(AND($D625&lt;&gt;"",COUNTIFS(approvals!$A$2:$A$251,$C625,approvals!$B$2:$B$251,$D625)=0),"office not on this campaign (approvals tab); ",""))&amp;IF(COUNTIFS(counts!$C$2:$C$701,$C625,counts!$D$2:$D$701,$D625,counts!$E$2:$E$701,$E625)&gt;1,"two "&amp;$E625&amp;" counts: keep one; ","")&amp;IF(AND($E625="remaining_day5",N($J625)&lt;5),"day-5 count logged before day 5; ","")&amp;IF(AND($G625="photo",$H625=""),"which photo?; ",""))</f>
        <v/>
      </c>
    </row>
    <row r="626">
      <c r="A626" s="9" t="n"/>
      <c r="B626" s="33" t="n"/>
      <c r="J626" s="25">
        <f>IF(OR($C626="",$A626=""),"",IF($A626&lt;IFERROR(IF(INDEX(campaigns!$BG$2:$BG$51,MATCH($C626,campaigns!$A$2:$A$51,0))="","",INDEX(campaigns!$BG$2:$BG$51,MATCH($C626,campaigns!$A$2:$A$51,0))),""),0,NETWORKDAYS(IFERROR(IF(INDEX(campaigns!$BG$2:$BG$51,MATCH($C626,campaigns!$A$2:$A$51,0))="","",INDEX(campaigns!$BG$2:$BG$51,MATCH($C626,campaigns!$A$2:$A$51,0))),""),$A626,calendar!$A$2:$A$80)))</f>
        <v/>
      </c>
      <c r="K626" s="25">
        <f>IF($C626="","",IF(COUNTIF(campaigns!$A$2:$A$51,$C626)=0,"campaign_id not on campaigns; ",IF(AND($D626&lt;&gt;"",COUNTIFS(approvals!$A$2:$A$251,$C626,approvals!$B$2:$B$251,$D626)=0),"office not on this campaign (approvals tab); ",""))&amp;IF(COUNTIFS(counts!$C$2:$C$701,$C626,counts!$D$2:$D$701,$D626,counts!$E$2:$E$701,$E626)&gt;1,"two "&amp;$E626&amp;" counts: keep one; ","")&amp;IF(AND($E626="remaining_day5",N($J626)&lt;5),"day-5 count logged before day 5; ","")&amp;IF(AND($G626="photo",$H626=""),"which photo?; ",""))</f>
        <v/>
      </c>
    </row>
    <row r="627">
      <c r="A627" s="9" t="n"/>
      <c r="B627" s="33" t="n"/>
      <c r="J627" s="25">
        <f>IF(OR($C627="",$A627=""),"",IF($A627&lt;IFERROR(IF(INDEX(campaigns!$BG$2:$BG$51,MATCH($C627,campaigns!$A$2:$A$51,0))="","",INDEX(campaigns!$BG$2:$BG$51,MATCH($C627,campaigns!$A$2:$A$51,0))),""),0,NETWORKDAYS(IFERROR(IF(INDEX(campaigns!$BG$2:$BG$51,MATCH($C627,campaigns!$A$2:$A$51,0))="","",INDEX(campaigns!$BG$2:$BG$51,MATCH($C627,campaigns!$A$2:$A$51,0))),""),$A627,calendar!$A$2:$A$80)))</f>
        <v/>
      </c>
      <c r="K627" s="25">
        <f>IF($C627="","",IF(COUNTIF(campaigns!$A$2:$A$51,$C627)=0,"campaign_id not on campaigns; ",IF(AND($D627&lt;&gt;"",COUNTIFS(approvals!$A$2:$A$251,$C627,approvals!$B$2:$B$251,$D627)=0),"office not on this campaign (approvals tab); ",""))&amp;IF(COUNTIFS(counts!$C$2:$C$701,$C627,counts!$D$2:$D$701,$D627,counts!$E$2:$E$701,$E627)&gt;1,"two "&amp;$E627&amp;" counts: keep one; ","")&amp;IF(AND($E627="remaining_day5",N($J627)&lt;5),"day-5 count logged before day 5; ","")&amp;IF(AND($G627="photo",$H627=""),"which photo?; ",""))</f>
        <v/>
      </c>
    </row>
    <row r="628">
      <c r="A628" s="9" t="n"/>
      <c r="B628" s="33" t="n"/>
      <c r="J628" s="25">
        <f>IF(OR($C628="",$A628=""),"",IF($A628&lt;IFERROR(IF(INDEX(campaigns!$BG$2:$BG$51,MATCH($C628,campaigns!$A$2:$A$51,0))="","",INDEX(campaigns!$BG$2:$BG$51,MATCH($C628,campaigns!$A$2:$A$51,0))),""),0,NETWORKDAYS(IFERROR(IF(INDEX(campaigns!$BG$2:$BG$51,MATCH($C628,campaigns!$A$2:$A$51,0))="","",INDEX(campaigns!$BG$2:$BG$51,MATCH($C628,campaigns!$A$2:$A$51,0))),""),$A628,calendar!$A$2:$A$80)))</f>
        <v/>
      </c>
      <c r="K628" s="25">
        <f>IF($C628="","",IF(COUNTIF(campaigns!$A$2:$A$51,$C628)=0,"campaign_id not on campaigns; ",IF(AND($D628&lt;&gt;"",COUNTIFS(approvals!$A$2:$A$251,$C628,approvals!$B$2:$B$251,$D628)=0),"office not on this campaign (approvals tab); ",""))&amp;IF(COUNTIFS(counts!$C$2:$C$701,$C628,counts!$D$2:$D$701,$D628,counts!$E$2:$E$701,$E628)&gt;1,"two "&amp;$E628&amp;" counts: keep one; ","")&amp;IF(AND($E628="remaining_day5",N($J628)&lt;5),"day-5 count logged before day 5; ","")&amp;IF(AND($G628="photo",$H628=""),"which photo?; ",""))</f>
        <v/>
      </c>
    </row>
    <row r="629">
      <c r="A629" s="9" t="n"/>
      <c r="B629" s="33" t="n"/>
      <c r="J629" s="25">
        <f>IF(OR($C629="",$A629=""),"",IF($A629&lt;IFERROR(IF(INDEX(campaigns!$BG$2:$BG$51,MATCH($C629,campaigns!$A$2:$A$51,0))="","",INDEX(campaigns!$BG$2:$BG$51,MATCH($C629,campaigns!$A$2:$A$51,0))),""),0,NETWORKDAYS(IFERROR(IF(INDEX(campaigns!$BG$2:$BG$51,MATCH($C629,campaigns!$A$2:$A$51,0))="","",INDEX(campaigns!$BG$2:$BG$51,MATCH($C629,campaigns!$A$2:$A$51,0))),""),$A629,calendar!$A$2:$A$80)))</f>
        <v/>
      </c>
      <c r="K629" s="25">
        <f>IF($C629="","",IF(COUNTIF(campaigns!$A$2:$A$51,$C629)=0,"campaign_id not on campaigns; ",IF(AND($D629&lt;&gt;"",COUNTIFS(approvals!$A$2:$A$251,$C629,approvals!$B$2:$B$251,$D629)=0),"office not on this campaign (approvals tab); ",""))&amp;IF(COUNTIFS(counts!$C$2:$C$701,$C629,counts!$D$2:$D$701,$D629,counts!$E$2:$E$701,$E629)&gt;1,"two "&amp;$E629&amp;" counts: keep one; ","")&amp;IF(AND($E629="remaining_day5",N($J629)&lt;5),"day-5 count logged before day 5; ","")&amp;IF(AND($G629="photo",$H629=""),"which photo?; ",""))</f>
        <v/>
      </c>
    </row>
    <row r="630">
      <c r="A630" s="9" t="n"/>
      <c r="B630" s="33" t="n"/>
      <c r="J630" s="25">
        <f>IF(OR($C630="",$A630=""),"",IF($A630&lt;IFERROR(IF(INDEX(campaigns!$BG$2:$BG$51,MATCH($C630,campaigns!$A$2:$A$51,0))="","",INDEX(campaigns!$BG$2:$BG$51,MATCH($C630,campaigns!$A$2:$A$51,0))),""),0,NETWORKDAYS(IFERROR(IF(INDEX(campaigns!$BG$2:$BG$51,MATCH($C630,campaigns!$A$2:$A$51,0))="","",INDEX(campaigns!$BG$2:$BG$51,MATCH($C630,campaigns!$A$2:$A$51,0))),""),$A630,calendar!$A$2:$A$80)))</f>
        <v/>
      </c>
      <c r="K630" s="25">
        <f>IF($C630="","",IF(COUNTIF(campaigns!$A$2:$A$51,$C630)=0,"campaign_id not on campaigns; ",IF(AND($D630&lt;&gt;"",COUNTIFS(approvals!$A$2:$A$251,$C630,approvals!$B$2:$B$251,$D630)=0),"office not on this campaign (approvals tab); ",""))&amp;IF(COUNTIFS(counts!$C$2:$C$701,$C630,counts!$D$2:$D$701,$D630,counts!$E$2:$E$701,$E630)&gt;1,"two "&amp;$E630&amp;" counts: keep one; ","")&amp;IF(AND($E630="remaining_day5",N($J630)&lt;5),"day-5 count logged before day 5; ","")&amp;IF(AND($G630="photo",$H630=""),"which photo?; ",""))</f>
        <v/>
      </c>
    </row>
    <row r="631">
      <c r="A631" s="9" t="n"/>
      <c r="B631" s="33" t="n"/>
      <c r="J631" s="25">
        <f>IF(OR($C631="",$A631=""),"",IF($A631&lt;IFERROR(IF(INDEX(campaigns!$BG$2:$BG$51,MATCH($C631,campaigns!$A$2:$A$51,0))="","",INDEX(campaigns!$BG$2:$BG$51,MATCH($C631,campaigns!$A$2:$A$51,0))),""),0,NETWORKDAYS(IFERROR(IF(INDEX(campaigns!$BG$2:$BG$51,MATCH($C631,campaigns!$A$2:$A$51,0))="","",INDEX(campaigns!$BG$2:$BG$51,MATCH($C631,campaigns!$A$2:$A$51,0))),""),$A631,calendar!$A$2:$A$80)))</f>
        <v/>
      </c>
      <c r="K631" s="25">
        <f>IF($C631="","",IF(COUNTIF(campaigns!$A$2:$A$51,$C631)=0,"campaign_id not on campaigns; ",IF(AND($D631&lt;&gt;"",COUNTIFS(approvals!$A$2:$A$251,$C631,approvals!$B$2:$B$251,$D631)=0),"office not on this campaign (approvals tab); ",""))&amp;IF(COUNTIFS(counts!$C$2:$C$701,$C631,counts!$D$2:$D$701,$D631,counts!$E$2:$E$701,$E631)&gt;1,"two "&amp;$E631&amp;" counts: keep one; ","")&amp;IF(AND($E631="remaining_day5",N($J631)&lt;5),"day-5 count logged before day 5; ","")&amp;IF(AND($G631="photo",$H631=""),"which photo?; ",""))</f>
        <v/>
      </c>
    </row>
    <row r="632">
      <c r="A632" s="9" t="n"/>
      <c r="B632" s="33" t="n"/>
      <c r="J632" s="25">
        <f>IF(OR($C632="",$A632=""),"",IF($A632&lt;IFERROR(IF(INDEX(campaigns!$BG$2:$BG$51,MATCH($C632,campaigns!$A$2:$A$51,0))="","",INDEX(campaigns!$BG$2:$BG$51,MATCH($C632,campaigns!$A$2:$A$51,0))),""),0,NETWORKDAYS(IFERROR(IF(INDEX(campaigns!$BG$2:$BG$51,MATCH($C632,campaigns!$A$2:$A$51,0))="","",INDEX(campaigns!$BG$2:$BG$51,MATCH($C632,campaigns!$A$2:$A$51,0))),""),$A632,calendar!$A$2:$A$80)))</f>
        <v/>
      </c>
      <c r="K632" s="25">
        <f>IF($C632="","",IF(COUNTIF(campaigns!$A$2:$A$51,$C632)=0,"campaign_id not on campaigns; ",IF(AND($D632&lt;&gt;"",COUNTIFS(approvals!$A$2:$A$251,$C632,approvals!$B$2:$B$251,$D632)=0),"office not on this campaign (approvals tab); ",""))&amp;IF(COUNTIFS(counts!$C$2:$C$701,$C632,counts!$D$2:$D$701,$D632,counts!$E$2:$E$701,$E632)&gt;1,"two "&amp;$E632&amp;" counts: keep one; ","")&amp;IF(AND($E632="remaining_day5",N($J632)&lt;5),"day-5 count logged before day 5; ","")&amp;IF(AND($G632="photo",$H632=""),"which photo?; ",""))</f>
        <v/>
      </c>
    </row>
    <row r="633">
      <c r="A633" s="9" t="n"/>
      <c r="B633" s="33" t="n"/>
      <c r="J633" s="25">
        <f>IF(OR($C633="",$A633=""),"",IF($A633&lt;IFERROR(IF(INDEX(campaigns!$BG$2:$BG$51,MATCH($C633,campaigns!$A$2:$A$51,0))="","",INDEX(campaigns!$BG$2:$BG$51,MATCH($C633,campaigns!$A$2:$A$51,0))),""),0,NETWORKDAYS(IFERROR(IF(INDEX(campaigns!$BG$2:$BG$51,MATCH($C633,campaigns!$A$2:$A$51,0))="","",INDEX(campaigns!$BG$2:$BG$51,MATCH($C633,campaigns!$A$2:$A$51,0))),""),$A633,calendar!$A$2:$A$80)))</f>
        <v/>
      </c>
      <c r="K633" s="25">
        <f>IF($C633="","",IF(COUNTIF(campaigns!$A$2:$A$51,$C633)=0,"campaign_id not on campaigns; ",IF(AND($D633&lt;&gt;"",COUNTIFS(approvals!$A$2:$A$251,$C633,approvals!$B$2:$B$251,$D633)=0),"office not on this campaign (approvals tab); ",""))&amp;IF(COUNTIFS(counts!$C$2:$C$701,$C633,counts!$D$2:$D$701,$D633,counts!$E$2:$E$701,$E633)&gt;1,"two "&amp;$E633&amp;" counts: keep one; ","")&amp;IF(AND($E633="remaining_day5",N($J633)&lt;5),"day-5 count logged before day 5; ","")&amp;IF(AND($G633="photo",$H633=""),"which photo?; ",""))</f>
        <v/>
      </c>
    </row>
    <row r="634">
      <c r="A634" s="9" t="n"/>
      <c r="B634" s="33" t="n"/>
      <c r="J634" s="25">
        <f>IF(OR($C634="",$A634=""),"",IF($A634&lt;IFERROR(IF(INDEX(campaigns!$BG$2:$BG$51,MATCH($C634,campaigns!$A$2:$A$51,0))="","",INDEX(campaigns!$BG$2:$BG$51,MATCH($C634,campaigns!$A$2:$A$51,0))),""),0,NETWORKDAYS(IFERROR(IF(INDEX(campaigns!$BG$2:$BG$51,MATCH($C634,campaigns!$A$2:$A$51,0))="","",INDEX(campaigns!$BG$2:$BG$51,MATCH($C634,campaigns!$A$2:$A$51,0))),""),$A634,calendar!$A$2:$A$80)))</f>
        <v/>
      </c>
      <c r="K634" s="25">
        <f>IF($C634="","",IF(COUNTIF(campaigns!$A$2:$A$51,$C634)=0,"campaign_id not on campaigns; ",IF(AND($D634&lt;&gt;"",COUNTIFS(approvals!$A$2:$A$251,$C634,approvals!$B$2:$B$251,$D634)=0),"office not on this campaign (approvals tab); ",""))&amp;IF(COUNTIFS(counts!$C$2:$C$701,$C634,counts!$D$2:$D$701,$D634,counts!$E$2:$E$701,$E634)&gt;1,"two "&amp;$E634&amp;" counts: keep one; ","")&amp;IF(AND($E634="remaining_day5",N($J634)&lt;5),"day-5 count logged before day 5; ","")&amp;IF(AND($G634="photo",$H634=""),"which photo?; ",""))</f>
        <v/>
      </c>
    </row>
    <row r="635">
      <c r="A635" s="9" t="n"/>
      <c r="B635" s="33" t="n"/>
      <c r="J635" s="25">
        <f>IF(OR($C635="",$A635=""),"",IF($A635&lt;IFERROR(IF(INDEX(campaigns!$BG$2:$BG$51,MATCH($C635,campaigns!$A$2:$A$51,0))="","",INDEX(campaigns!$BG$2:$BG$51,MATCH($C635,campaigns!$A$2:$A$51,0))),""),0,NETWORKDAYS(IFERROR(IF(INDEX(campaigns!$BG$2:$BG$51,MATCH($C635,campaigns!$A$2:$A$51,0))="","",INDEX(campaigns!$BG$2:$BG$51,MATCH($C635,campaigns!$A$2:$A$51,0))),""),$A635,calendar!$A$2:$A$80)))</f>
        <v/>
      </c>
      <c r="K635" s="25">
        <f>IF($C635="","",IF(COUNTIF(campaigns!$A$2:$A$51,$C635)=0,"campaign_id not on campaigns; ",IF(AND($D635&lt;&gt;"",COUNTIFS(approvals!$A$2:$A$251,$C635,approvals!$B$2:$B$251,$D635)=0),"office not on this campaign (approvals tab); ",""))&amp;IF(COUNTIFS(counts!$C$2:$C$701,$C635,counts!$D$2:$D$701,$D635,counts!$E$2:$E$701,$E635)&gt;1,"two "&amp;$E635&amp;" counts: keep one; ","")&amp;IF(AND($E635="remaining_day5",N($J635)&lt;5),"day-5 count logged before day 5; ","")&amp;IF(AND($G635="photo",$H635=""),"which photo?; ",""))</f>
        <v/>
      </c>
    </row>
    <row r="636">
      <c r="A636" s="9" t="n"/>
      <c r="B636" s="33" t="n"/>
      <c r="J636" s="25">
        <f>IF(OR($C636="",$A636=""),"",IF($A636&lt;IFERROR(IF(INDEX(campaigns!$BG$2:$BG$51,MATCH($C636,campaigns!$A$2:$A$51,0))="","",INDEX(campaigns!$BG$2:$BG$51,MATCH($C636,campaigns!$A$2:$A$51,0))),""),0,NETWORKDAYS(IFERROR(IF(INDEX(campaigns!$BG$2:$BG$51,MATCH($C636,campaigns!$A$2:$A$51,0))="","",INDEX(campaigns!$BG$2:$BG$51,MATCH($C636,campaigns!$A$2:$A$51,0))),""),$A636,calendar!$A$2:$A$80)))</f>
        <v/>
      </c>
      <c r="K636" s="25">
        <f>IF($C636="","",IF(COUNTIF(campaigns!$A$2:$A$51,$C636)=0,"campaign_id not on campaigns; ",IF(AND($D636&lt;&gt;"",COUNTIFS(approvals!$A$2:$A$251,$C636,approvals!$B$2:$B$251,$D636)=0),"office not on this campaign (approvals tab); ",""))&amp;IF(COUNTIFS(counts!$C$2:$C$701,$C636,counts!$D$2:$D$701,$D636,counts!$E$2:$E$701,$E636)&gt;1,"two "&amp;$E636&amp;" counts: keep one; ","")&amp;IF(AND($E636="remaining_day5",N($J636)&lt;5),"day-5 count logged before day 5; ","")&amp;IF(AND($G636="photo",$H636=""),"which photo?; ",""))</f>
        <v/>
      </c>
    </row>
    <row r="637">
      <c r="A637" s="9" t="n"/>
      <c r="B637" s="33" t="n"/>
      <c r="J637" s="25">
        <f>IF(OR($C637="",$A637=""),"",IF($A637&lt;IFERROR(IF(INDEX(campaigns!$BG$2:$BG$51,MATCH($C637,campaigns!$A$2:$A$51,0))="","",INDEX(campaigns!$BG$2:$BG$51,MATCH($C637,campaigns!$A$2:$A$51,0))),""),0,NETWORKDAYS(IFERROR(IF(INDEX(campaigns!$BG$2:$BG$51,MATCH($C637,campaigns!$A$2:$A$51,0))="","",INDEX(campaigns!$BG$2:$BG$51,MATCH($C637,campaigns!$A$2:$A$51,0))),""),$A637,calendar!$A$2:$A$80)))</f>
        <v/>
      </c>
      <c r="K637" s="25">
        <f>IF($C637="","",IF(COUNTIF(campaigns!$A$2:$A$51,$C637)=0,"campaign_id not on campaigns; ",IF(AND($D637&lt;&gt;"",COUNTIFS(approvals!$A$2:$A$251,$C637,approvals!$B$2:$B$251,$D637)=0),"office not on this campaign (approvals tab); ",""))&amp;IF(COUNTIFS(counts!$C$2:$C$701,$C637,counts!$D$2:$D$701,$D637,counts!$E$2:$E$701,$E637)&gt;1,"two "&amp;$E637&amp;" counts: keep one; ","")&amp;IF(AND($E637="remaining_day5",N($J637)&lt;5),"day-5 count logged before day 5; ","")&amp;IF(AND($G637="photo",$H637=""),"which photo?; ",""))</f>
        <v/>
      </c>
    </row>
    <row r="638">
      <c r="A638" s="9" t="n"/>
      <c r="B638" s="33" t="n"/>
      <c r="J638" s="25">
        <f>IF(OR($C638="",$A638=""),"",IF($A638&lt;IFERROR(IF(INDEX(campaigns!$BG$2:$BG$51,MATCH($C638,campaigns!$A$2:$A$51,0))="","",INDEX(campaigns!$BG$2:$BG$51,MATCH($C638,campaigns!$A$2:$A$51,0))),""),0,NETWORKDAYS(IFERROR(IF(INDEX(campaigns!$BG$2:$BG$51,MATCH($C638,campaigns!$A$2:$A$51,0))="","",INDEX(campaigns!$BG$2:$BG$51,MATCH($C638,campaigns!$A$2:$A$51,0))),""),$A638,calendar!$A$2:$A$80)))</f>
        <v/>
      </c>
      <c r="K638" s="25">
        <f>IF($C638="","",IF(COUNTIF(campaigns!$A$2:$A$51,$C638)=0,"campaign_id not on campaigns; ",IF(AND($D638&lt;&gt;"",COUNTIFS(approvals!$A$2:$A$251,$C638,approvals!$B$2:$B$251,$D638)=0),"office not on this campaign (approvals tab); ",""))&amp;IF(COUNTIFS(counts!$C$2:$C$701,$C638,counts!$D$2:$D$701,$D638,counts!$E$2:$E$701,$E638)&gt;1,"two "&amp;$E638&amp;" counts: keep one; ","")&amp;IF(AND($E638="remaining_day5",N($J638)&lt;5),"day-5 count logged before day 5; ","")&amp;IF(AND($G638="photo",$H638=""),"which photo?; ",""))</f>
        <v/>
      </c>
    </row>
    <row r="639">
      <c r="A639" s="9" t="n"/>
      <c r="B639" s="33" t="n"/>
      <c r="J639" s="25">
        <f>IF(OR($C639="",$A639=""),"",IF($A639&lt;IFERROR(IF(INDEX(campaigns!$BG$2:$BG$51,MATCH($C639,campaigns!$A$2:$A$51,0))="","",INDEX(campaigns!$BG$2:$BG$51,MATCH($C639,campaigns!$A$2:$A$51,0))),""),0,NETWORKDAYS(IFERROR(IF(INDEX(campaigns!$BG$2:$BG$51,MATCH($C639,campaigns!$A$2:$A$51,0))="","",INDEX(campaigns!$BG$2:$BG$51,MATCH($C639,campaigns!$A$2:$A$51,0))),""),$A639,calendar!$A$2:$A$80)))</f>
        <v/>
      </c>
      <c r="K639" s="25">
        <f>IF($C639="","",IF(COUNTIF(campaigns!$A$2:$A$51,$C639)=0,"campaign_id not on campaigns; ",IF(AND($D639&lt;&gt;"",COUNTIFS(approvals!$A$2:$A$251,$C639,approvals!$B$2:$B$251,$D639)=0),"office not on this campaign (approvals tab); ",""))&amp;IF(COUNTIFS(counts!$C$2:$C$701,$C639,counts!$D$2:$D$701,$D639,counts!$E$2:$E$701,$E639)&gt;1,"two "&amp;$E639&amp;" counts: keep one; ","")&amp;IF(AND($E639="remaining_day5",N($J639)&lt;5),"day-5 count logged before day 5; ","")&amp;IF(AND($G639="photo",$H639=""),"which photo?; ",""))</f>
        <v/>
      </c>
    </row>
    <row r="640">
      <c r="A640" s="9" t="n"/>
      <c r="B640" s="33" t="n"/>
      <c r="J640" s="25">
        <f>IF(OR($C640="",$A640=""),"",IF($A640&lt;IFERROR(IF(INDEX(campaigns!$BG$2:$BG$51,MATCH($C640,campaigns!$A$2:$A$51,0))="","",INDEX(campaigns!$BG$2:$BG$51,MATCH($C640,campaigns!$A$2:$A$51,0))),""),0,NETWORKDAYS(IFERROR(IF(INDEX(campaigns!$BG$2:$BG$51,MATCH($C640,campaigns!$A$2:$A$51,0))="","",INDEX(campaigns!$BG$2:$BG$51,MATCH($C640,campaigns!$A$2:$A$51,0))),""),$A640,calendar!$A$2:$A$80)))</f>
        <v/>
      </c>
      <c r="K640" s="25">
        <f>IF($C640="","",IF(COUNTIF(campaigns!$A$2:$A$51,$C640)=0,"campaign_id not on campaigns; ",IF(AND($D640&lt;&gt;"",COUNTIFS(approvals!$A$2:$A$251,$C640,approvals!$B$2:$B$251,$D640)=0),"office not on this campaign (approvals tab); ",""))&amp;IF(COUNTIFS(counts!$C$2:$C$701,$C640,counts!$D$2:$D$701,$D640,counts!$E$2:$E$701,$E640)&gt;1,"two "&amp;$E640&amp;" counts: keep one; ","")&amp;IF(AND($E640="remaining_day5",N($J640)&lt;5),"day-5 count logged before day 5; ","")&amp;IF(AND($G640="photo",$H640=""),"which photo?; ",""))</f>
        <v/>
      </c>
    </row>
    <row r="641">
      <c r="A641" s="9" t="n"/>
      <c r="B641" s="33" t="n"/>
      <c r="J641" s="25">
        <f>IF(OR($C641="",$A641=""),"",IF($A641&lt;IFERROR(IF(INDEX(campaigns!$BG$2:$BG$51,MATCH($C641,campaigns!$A$2:$A$51,0))="","",INDEX(campaigns!$BG$2:$BG$51,MATCH($C641,campaigns!$A$2:$A$51,0))),""),0,NETWORKDAYS(IFERROR(IF(INDEX(campaigns!$BG$2:$BG$51,MATCH($C641,campaigns!$A$2:$A$51,0))="","",INDEX(campaigns!$BG$2:$BG$51,MATCH($C641,campaigns!$A$2:$A$51,0))),""),$A641,calendar!$A$2:$A$80)))</f>
        <v/>
      </c>
      <c r="K641" s="25">
        <f>IF($C641="","",IF(COUNTIF(campaigns!$A$2:$A$51,$C641)=0,"campaign_id not on campaigns; ",IF(AND($D641&lt;&gt;"",COUNTIFS(approvals!$A$2:$A$251,$C641,approvals!$B$2:$B$251,$D641)=0),"office not on this campaign (approvals tab); ",""))&amp;IF(COUNTIFS(counts!$C$2:$C$701,$C641,counts!$D$2:$D$701,$D641,counts!$E$2:$E$701,$E641)&gt;1,"two "&amp;$E641&amp;" counts: keep one; ","")&amp;IF(AND($E641="remaining_day5",N($J641)&lt;5),"day-5 count logged before day 5; ","")&amp;IF(AND($G641="photo",$H641=""),"which photo?; ",""))</f>
        <v/>
      </c>
    </row>
    <row r="642">
      <c r="A642" s="9" t="n"/>
      <c r="B642" s="33" t="n"/>
      <c r="J642" s="25">
        <f>IF(OR($C642="",$A642=""),"",IF($A642&lt;IFERROR(IF(INDEX(campaigns!$BG$2:$BG$51,MATCH($C642,campaigns!$A$2:$A$51,0))="","",INDEX(campaigns!$BG$2:$BG$51,MATCH($C642,campaigns!$A$2:$A$51,0))),""),0,NETWORKDAYS(IFERROR(IF(INDEX(campaigns!$BG$2:$BG$51,MATCH($C642,campaigns!$A$2:$A$51,0))="","",INDEX(campaigns!$BG$2:$BG$51,MATCH($C642,campaigns!$A$2:$A$51,0))),""),$A642,calendar!$A$2:$A$80)))</f>
        <v/>
      </c>
      <c r="K642" s="25">
        <f>IF($C642="","",IF(COUNTIF(campaigns!$A$2:$A$51,$C642)=0,"campaign_id not on campaigns; ",IF(AND($D642&lt;&gt;"",COUNTIFS(approvals!$A$2:$A$251,$C642,approvals!$B$2:$B$251,$D642)=0),"office not on this campaign (approvals tab); ",""))&amp;IF(COUNTIFS(counts!$C$2:$C$701,$C642,counts!$D$2:$D$701,$D642,counts!$E$2:$E$701,$E642)&gt;1,"two "&amp;$E642&amp;" counts: keep one; ","")&amp;IF(AND($E642="remaining_day5",N($J642)&lt;5),"day-5 count logged before day 5; ","")&amp;IF(AND($G642="photo",$H642=""),"which photo?; ",""))</f>
        <v/>
      </c>
    </row>
    <row r="643">
      <c r="A643" s="9" t="n"/>
      <c r="B643" s="33" t="n"/>
      <c r="J643" s="25">
        <f>IF(OR($C643="",$A643=""),"",IF($A643&lt;IFERROR(IF(INDEX(campaigns!$BG$2:$BG$51,MATCH($C643,campaigns!$A$2:$A$51,0))="","",INDEX(campaigns!$BG$2:$BG$51,MATCH($C643,campaigns!$A$2:$A$51,0))),""),0,NETWORKDAYS(IFERROR(IF(INDEX(campaigns!$BG$2:$BG$51,MATCH($C643,campaigns!$A$2:$A$51,0))="","",INDEX(campaigns!$BG$2:$BG$51,MATCH($C643,campaigns!$A$2:$A$51,0))),""),$A643,calendar!$A$2:$A$80)))</f>
        <v/>
      </c>
      <c r="K643" s="25">
        <f>IF($C643="","",IF(COUNTIF(campaigns!$A$2:$A$51,$C643)=0,"campaign_id not on campaigns; ",IF(AND($D643&lt;&gt;"",COUNTIFS(approvals!$A$2:$A$251,$C643,approvals!$B$2:$B$251,$D643)=0),"office not on this campaign (approvals tab); ",""))&amp;IF(COUNTIFS(counts!$C$2:$C$701,$C643,counts!$D$2:$D$701,$D643,counts!$E$2:$E$701,$E643)&gt;1,"two "&amp;$E643&amp;" counts: keep one; ","")&amp;IF(AND($E643="remaining_day5",N($J643)&lt;5),"day-5 count logged before day 5; ","")&amp;IF(AND($G643="photo",$H643=""),"which photo?; ",""))</f>
        <v/>
      </c>
    </row>
    <row r="644">
      <c r="A644" s="9" t="n"/>
      <c r="B644" s="33" t="n"/>
      <c r="J644" s="25">
        <f>IF(OR($C644="",$A644=""),"",IF($A644&lt;IFERROR(IF(INDEX(campaigns!$BG$2:$BG$51,MATCH($C644,campaigns!$A$2:$A$51,0))="","",INDEX(campaigns!$BG$2:$BG$51,MATCH($C644,campaigns!$A$2:$A$51,0))),""),0,NETWORKDAYS(IFERROR(IF(INDEX(campaigns!$BG$2:$BG$51,MATCH($C644,campaigns!$A$2:$A$51,0))="","",INDEX(campaigns!$BG$2:$BG$51,MATCH($C644,campaigns!$A$2:$A$51,0))),""),$A644,calendar!$A$2:$A$80)))</f>
        <v/>
      </c>
      <c r="K644" s="25">
        <f>IF($C644="","",IF(COUNTIF(campaigns!$A$2:$A$51,$C644)=0,"campaign_id not on campaigns; ",IF(AND($D644&lt;&gt;"",COUNTIFS(approvals!$A$2:$A$251,$C644,approvals!$B$2:$B$251,$D644)=0),"office not on this campaign (approvals tab); ",""))&amp;IF(COUNTIFS(counts!$C$2:$C$701,$C644,counts!$D$2:$D$701,$D644,counts!$E$2:$E$701,$E644)&gt;1,"two "&amp;$E644&amp;" counts: keep one; ","")&amp;IF(AND($E644="remaining_day5",N($J644)&lt;5),"day-5 count logged before day 5; ","")&amp;IF(AND($G644="photo",$H644=""),"which photo?; ",""))</f>
        <v/>
      </c>
    </row>
    <row r="645">
      <c r="A645" s="9" t="n"/>
      <c r="B645" s="33" t="n"/>
      <c r="J645" s="25">
        <f>IF(OR($C645="",$A645=""),"",IF($A645&lt;IFERROR(IF(INDEX(campaigns!$BG$2:$BG$51,MATCH($C645,campaigns!$A$2:$A$51,0))="","",INDEX(campaigns!$BG$2:$BG$51,MATCH($C645,campaigns!$A$2:$A$51,0))),""),0,NETWORKDAYS(IFERROR(IF(INDEX(campaigns!$BG$2:$BG$51,MATCH($C645,campaigns!$A$2:$A$51,0))="","",INDEX(campaigns!$BG$2:$BG$51,MATCH($C645,campaigns!$A$2:$A$51,0))),""),$A645,calendar!$A$2:$A$80)))</f>
        <v/>
      </c>
      <c r="K645" s="25">
        <f>IF($C645="","",IF(COUNTIF(campaigns!$A$2:$A$51,$C645)=0,"campaign_id not on campaigns; ",IF(AND($D645&lt;&gt;"",COUNTIFS(approvals!$A$2:$A$251,$C645,approvals!$B$2:$B$251,$D645)=0),"office not on this campaign (approvals tab); ",""))&amp;IF(COUNTIFS(counts!$C$2:$C$701,$C645,counts!$D$2:$D$701,$D645,counts!$E$2:$E$701,$E645)&gt;1,"two "&amp;$E645&amp;" counts: keep one; ","")&amp;IF(AND($E645="remaining_day5",N($J645)&lt;5),"day-5 count logged before day 5; ","")&amp;IF(AND($G645="photo",$H645=""),"which photo?; ",""))</f>
        <v/>
      </c>
    </row>
    <row r="646">
      <c r="A646" s="9" t="n"/>
      <c r="B646" s="33" t="n"/>
      <c r="J646" s="25">
        <f>IF(OR($C646="",$A646=""),"",IF($A646&lt;IFERROR(IF(INDEX(campaigns!$BG$2:$BG$51,MATCH($C646,campaigns!$A$2:$A$51,0))="","",INDEX(campaigns!$BG$2:$BG$51,MATCH($C646,campaigns!$A$2:$A$51,0))),""),0,NETWORKDAYS(IFERROR(IF(INDEX(campaigns!$BG$2:$BG$51,MATCH($C646,campaigns!$A$2:$A$51,0))="","",INDEX(campaigns!$BG$2:$BG$51,MATCH($C646,campaigns!$A$2:$A$51,0))),""),$A646,calendar!$A$2:$A$80)))</f>
        <v/>
      </c>
      <c r="K646" s="25">
        <f>IF($C646="","",IF(COUNTIF(campaigns!$A$2:$A$51,$C646)=0,"campaign_id not on campaigns; ",IF(AND($D646&lt;&gt;"",COUNTIFS(approvals!$A$2:$A$251,$C646,approvals!$B$2:$B$251,$D646)=0),"office not on this campaign (approvals tab); ",""))&amp;IF(COUNTIFS(counts!$C$2:$C$701,$C646,counts!$D$2:$D$701,$D646,counts!$E$2:$E$701,$E646)&gt;1,"two "&amp;$E646&amp;" counts: keep one; ","")&amp;IF(AND($E646="remaining_day5",N($J646)&lt;5),"day-5 count logged before day 5; ","")&amp;IF(AND($G646="photo",$H646=""),"which photo?; ",""))</f>
        <v/>
      </c>
    </row>
    <row r="647">
      <c r="A647" s="9" t="n"/>
      <c r="B647" s="33" t="n"/>
      <c r="J647" s="25">
        <f>IF(OR($C647="",$A647=""),"",IF($A647&lt;IFERROR(IF(INDEX(campaigns!$BG$2:$BG$51,MATCH($C647,campaigns!$A$2:$A$51,0))="","",INDEX(campaigns!$BG$2:$BG$51,MATCH($C647,campaigns!$A$2:$A$51,0))),""),0,NETWORKDAYS(IFERROR(IF(INDEX(campaigns!$BG$2:$BG$51,MATCH($C647,campaigns!$A$2:$A$51,0))="","",INDEX(campaigns!$BG$2:$BG$51,MATCH($C647,campaigns!$A$2:$A$51,0))),""),$A647,calendar!$A$2:$A$80)))</f>
        <v/>
      </c>
      <c r="K647" s="25">
        <f>IF($C647="","",IF(COUNTIF(campaigns!$A$2:$A$51,$C647)=0,"campaign_id not on campaigns; ",IF(AND($D647&lt;&gt;"",COUNTIFS(approvals!$A$2:$A$251,$C647,approvals!$B$2:$B$251,$D647)=0),"office not on this campaign (approvals tab); ",""))&amp;IF(COUNTIFS(counts!$C$2:$C$701,$C647,counts!$D$2:$D$701,$D647,counts!$E$2:$E$701,$E647)&gt;1,"two "&amp;$E647&amp;" counts: keep one; ","")&amp;IF(AND($E647="remaining_day5",N($J647)&lt;5),"day-5 count logged before day 5; ","")&amp;IF(AND($G647="photo",$H647=""),"which photo?; ",""))</f>
        <v/>
      </c>
    </row>
    <row r="648">
      <c r="A648" s="9" t="n"/>
      <c r="B648" s="33" t="n"/>
      <c r="J648" s="25">
        <f>IF(OR($C648="",$A648=""),"",IF($A648&lt;IFERROR(IF(INDEX(campaigns!$BG$2:$BG$51,MATCH($C648,campaigns!$A$2:$A$51,0))="","",INDEX(campaigns!$BG$2:$BG$51,MATCH($C648,campaigns!$A$2:$A$51,0))),""),0,NETWORKDAYS(IFERROR(IF(INDEX(campaigns!$BG$2:$BG$51,MATCH($C648,campaigns!$A$2:$A$51,0))="","",INDEX(campaigns!$BG$2:$BG$51,MATCH($C648,campaigns!$A$2:$A$51,0))),""),$A648,calendar!$A$2:$A$80)))</f>
        <v/>
      </c>
      <c r="K648" s="25">
        <f>IF($C648="","",IF(COUNTIF(campaigns!$A$2:$A$51,$C648)=0,"campaign_id not on campaigns; ",IF(AND($D648&lt;&gt;"",COUNTIFS(approvals!$A$2:$A$251,$C648,approvals!$B$2:$B$251,$D648)=0),"office not on this campaign (approvals tab); ",""))&amp;IF(COUNTIFS(counts!$C$2:$C$701,$C648,counts!$D$2:$D$701,$D648,counts!$E$2:$E$701,$E648)&gt;1,"two "&amp;$E648&amp;" counts: keep one; ","")&amp;IF(AND($E648="remaining_day5",N($J648)&lt;5),"day-5 count logged before day 5; ","")&amp;IF(AND($G648="photo",$H648=""),"which photo?; ",""))</f>
        <v/>
      </c>
    </row>
    <row r="649">
      <c r="A649" s="9" t="n"/>
      <c r="B649" s="33" t="n"/>
      <c r="J649" s="25">
        <f>IF(OR($C649="",$A649=""),"",IF($A649&lt;IFERROR(IF(INDEX(campaigns!$BG$2:$BG$51,MATCH($C649,campaigns!$A$2:$A$51,0))="","",INDEX(campaigns!$BG$2:$BG$51,MATCH($C649,campaigns!$A$2:$A$51,0))),""),0,NETWORKDAYS(IFERROR(IF(INDEX(campaigns!$BG$2:$BG$51,MATCH($C649,campaigns!$A$2:$A$51,0))="","",INDEX(campaigns!$BG$2:$BG$51,MATCH($C649,campaigns!$A$2:$A$51,0))),""),$A649,calendar!$A$2:$A$80)))</f>
        <v/>
      </c>
      <c r="K649" s="25">
        <f>IF($C649="","",IF(COUNTIF(campaigns!$A$2:$A$51,$C649)=0,"campaign_id not on campaigns; ",IF(AND($D649&lt;&gt;"",COUNTIFS(approvals!$A$2:$A$251,$C649,approvals!$B$2:$B$251,$D649)=0),"office not on this campaign (approvals tab); ",""))&amp;IF(COUNTIFS(counts!$C$2:$C$701,$C649,counts!$D$2:$D$701,$D649,counts!$E$2:$E$701,$E649)&gt;1,"two "&amp;$E649&amp;" counts: keep one; ","")&amp;IF(AND($E649="remaining_day5",N($J649)&lt;5),"day-5 count logged before day 5; ","")&amp;IF(AND($G649="photo",$H649=""),"which photo?; ",""))</f>
        <v/>
      </c>
    </row>
    <row r="650">
      <c r="A650" s="9" t="n"/>
      <c r="B650" s="33" t="n"/>
      <c r="J650" s="25">
        <f>IF(OR($C650="",$A650=""),"",IF($A650&lt;IFERROR(IF(INDEX(campaigns!$BG$2:$BG$51,MATCH($C650,campaigns!$A$2:$A$51,0))="","",INDEX(campaigns!$BG$2:$BG$51,MATCH($C650,campaigns!$A$2:$A$51,0))),""),0,NETWORKDAYS(IFERROR(IF(INDEX(campaigns!$BG$2:$BG$51,MATCH($C650,campaigns!$A$2:$A$51,0))="","",INDEX(campaigns!$BG$2:$BG$51,MATCH($C650,campaigns!$A$2:$A$51,0))),""),$A650,calendar!$A$2:$A$80)))</f>
        <v/>
      </c>
      <c r="K650" s="25">
        <f>IF($C650="","",IF(COUNTIF(campaigns!$A$2:$A$51,$C650)=0,"campaign_id not on campaigns; ",IF(AND($D650&lt;&gt;"",COUNTIFS(approvals!$A$2:$A$251,$C650,approvals!$B$2:$B$251,$D650)=0),"office not on this campaign (approvals tab); ",""))&amp;IF(COUNTIFS(counts!$C$2:$C$701,$C650,counts!$D$2:$D$701,$D650,counts!$E$2:$E$701,$E650)&gt;1,"two "&amp;$E650&amp;" counts: keep one; ","")&amp;IF(AND($E650="remaining_day5",N($J650)&lt;5),"day-5 count logged before day 5; ","")&amp;IF(AND($G650="photo",$H650=""),"which photo?; ",""))</f>
        <v/>
      </c>
    </row>
    <row r="651">
      <c r="A651" s="9" t="n"/>
      <c r="B651" s="33" t="n"/>
      <c r="J651" s="25">
        <f>IF(OR($C651="",$A651=""),"",IF($A651&lt;IFERROR(IF(INDEX(campaigns!$BG$2:$BG$51,MATCH($C651,campaigns!$A$2:$A$51,0))="","",INDEX(campaigns!$BG$2:$BG$51,MATCH($C651,campaigns!$A$2:$A$51,0))),""),0,NETWORKDAYS(IFERROR(IF(INDEX(campaigns!$BG$2:$BG$51,MATCH($C651,campaigns!$A$2:$A$51,0))="","",INDEX(campaigns!$BG$2:$BG$51,MATCH($C651,campaigns!$A$2:$A$51,0))),""),$A651,calendar!$A$2:$A$80)))</f>
        <v/>
      </c>
      <c r="K651" s="25">
        <f>IF($C651="","",IF(COUNTIF(campaigns!$A$2:$A$51,$C651)=0,"campaign_id not on campaigns; ",IF(AND($D651&lt;&gt;"",COUNTIFS(approvals!$A$2:$A$251,$C651,approvals!$B$2:$B$251,$D651)=0),"office not on this campaign (approvals tab); ",""))&amp;IF(COUNTIFS(counts!$C$2:$C$701,$C651,counts!$D$2:$D$701,$D651,counts!$E$2:$E$701,$E651)&gt;1,"two "&amp;$E651&amp;" counts: keep one; ","")&amp;IF(AND($E651="remaining_day5",N($J651)&lt;5),"day-5 count logged before day 5; ","")&amp;IF(AND($G651="photo",$H651=""),"which photo?; ",""))</f>
        <v/>
      </c>
    </row>
    <row r="652">
      <c r="A652" s="9" t="n"/>
      <c r="B652" s="33" t="n"/>
      <c r="J652" s="25">
        <f>IF(OR($C652="",$A652=""),"",IF($A652&lt;IFERROR(IF(INDEX(campaigns!$BG$2:$BG$51,MATCH($C652,campaigns!$A$2:$A$51,0))="","",INDEX(campaigns!$BG$2:$BG$51,MATCH($C652,campaigns!$A$2:$A$51,0))),""),0,NETWORKDAYS(IFERROR(IF(INDEX(campaigns!$BG$2:$BG$51,MATCH($C652,campaigns!$A$2:$A$51,0))="","",INDEX(campaigns!$BG$2:$BG$51,MATCH($C652,campaigns!$A$2:$A$51,0))),""),$A652,calendar!$A$2:$A$80)))</f>
        <v/>
      </c>
      <c r="K652" s="25">
        <f>IF($C652="","",IF(COUNTIF(campaigns!$A$2:$A$51,$C652)=0,"campaign_id not on campaigns; ",IF(AND($D652&lt;&gt;"",COUNTIFS(approvals!$A$2:$A$251,$C652,approvals!$B$2:$B$251,$D652)=0),"office not on this campaign (approvals tab); ",""))&amp;IF(COUNTIFS(counts!$C$2:$C$701,$C652,counts!$D$2:$D$701,$D652,counts!$E$2:$E$701,$E652)&gt;1,"two "&amp;$E652&amp;" counts: keep one; ","")&amp;IF(AND($E652="remaining_day5",N($J652)&lt;5),"day-5 count logged before day 5; ","")&amp;IF(AND($G652="photo",$H652=""),"which photo?; ",""))</f>
        <v/>
      </c>
    </row>
    <row r="653">
      <c r="A653" s="9" t="n"/>
      <c r="B653" s="33" t="n"/>
      <c r="J653" s="25">
        <f>IF(OR($C653="",$A653=""),"",IF($A653&lt;IFERROR(IF(INDEX(campaigns!$BG$2:$BG$51,MATCH($C653,campaigns!$A$2:$A$51,0))="","",INDEX(campaigns!$BG$2:$BG$51,MATCH($C653,campaigns!$A$2:$A$51,0))),""),0,NETWORKDAYS(IFERROR(IF(INDEX(campaigns!$BG$2:$BG$51,MATCH($C653,campaigns!$A$2:$A$51,0))="","",INDEX(campaigns!$BG$2:$BG$51,MATCH($C653,campaigns!$A$2:$A$51,0))),""),$A653,calendar!$A$2:$A$80)))</f>
        <v/>
      </c>
      <c r="K653" s="25">
        <f>IF($C653="","",IF(COUNTIF(campaigns!$A$2:$A$51,$C653)=0,"campaign_id not on campaigns; ",IF(AND($D653&lt;&gt;"",COUNTIFS(approvals!$A$2:$A$251,$C653,approvals!$B$2:$B$251,$D653)=0),"office not on this campaign (approvals tab); ",""))&amp;IF(COUNTIFS(counts!$C$2:$C$701,$C653,counts!$D$2:$D$701,$D653,counts!$E$2:$E$701,$E653)&gt;1,"two "&amp;$E653&amp;" counts: keep one; ","")&amp;IF(AND($E653="remaining_day5",N($J653)&lt;5),"day-5 count logged before day 5; ","")&amp;IF(AND($G653="photo",$H653=""),"which photo?; ",""))</f>
        <v/>
      </c>
    </row>
    <row r="654">
      <c r="A654" s="9" t="n"/>
      <c r="B654" s="33" t="n"/>
      <c r="J654" s="25">
        <f>IF(OR($C654="",$A654=""),"",IF($A654&lt;IFERROR(IF(INDEX(campaigns!$BG$2:$BG$51,MATCH($C654,campaigns!$A$2:$A$51,0))="","",INDEX(campaigns!$BG$2:$BG$51,MATCH($C654,campaigns!$A$2:$A$51,0))),""),0,NETWORKDAYS(IFERROR(IF(INDEX(campaigns!$BG$2:$BG$51,MATCH($C654,campaigns!$A$2:$A$51,0))="","",INDEX(campaigns!$BG$2:$BG$51,MATCH($C654,campaigns!$A$2:$A$51,0))),""),$A654,calendar!$A$2:$A$80)))</f>
        <v/>
      </c>
      <c r="K654" s="25">
        <f>IF($C654="","",IF(COUNTIF(campaigns!$A$2:$A$51,$C654)=0,"campaign_id not on campaigns; ",IF(AND($D654&lt;&gt;"",COUNTIFS(approvals!$A$2:$A$251,$C654,approvals!$B$2:$B$251,$D654)=0),"office not on this campaign (approvals tab); ",""))&amp;IF(COUNTIFS(counts!$C$2:$C$701,$C654,counts!$D$2:$D$701,$D654,counts!$E$2:$E$701,$E654)&gt;1,"two "&amp;$E654&amp;" counts: keep one; ","")&amp;IF(AND($E654="remaining_day5",N($J654)&lt;5),"day-5 count logged before day 5; ","")&amp;IF(AND($G654="photo",$H654=""),"which photo?; ",""))</f>
        <v/>
      </c>
    </row>
    <row r="655">
      <c r="A655" s="9" t="n"/>
      <c r="B655" s="33" t="n"/>
      <c r="J655" s="25">
        <f>IF(OR($C655="",$A655=""),"",IF($A655&lt;IFERROR(IF(INDEX(campaigns!$BG$2:$BG$51,MATCH($C655,campaigns!$A$2:$A$51,0))="","",INDEX(campaigns!$BG$2:$BG$51,MATCH($C655,campaigns!$A$2:$A$51,0))),""),0,NETWORKDAYS(IFERROR(IF(INDEX(campaigns!$BG$2:$BG$51,MATCH($C655,campaigns!$A$2:$A$51,0))="","",INDEX(campaigns!$BG$2:$BG$51,MATCH($C655,campaigns!$A$2:$A$51,0))),""),$A655,calendar!$A$2:$A$80)))</f>
        <v/>
      </c>
      <c r="K655" s="25">
        <f>IF($C655="","",IF(COUNTIF(campaigns!$A$2:$A$51,$C655)=0,"campaign_id not on campaigns; ",IF(AND($D655&lt;&gt;"",COUNTIFS(approvals!$A$2:$A$251,$C655,approvals!$B$2:$B$251,$D655)=0),"office not on this campaign (approvals tab); ",""))&amp;IF(COUNTIFS(counts!$C$2:$C$701,$C655,counts!$D$2:$D$701,$D655,counts!$E$2:$E$701,$E655)&gt;1,"two "&amp;$E655&amp;" counts: keep one; ","")&amp;IF(AND($E655="remaining_day5",N($J655)&lt;5),"day-5 count logged before day 5; ","")&amp;IF(AND($G655="photo",$H655=""),"which photo?; ",""))</f>
        <v/>
      </c>
    </row>
    <row r="656">
      <c r="A656" s="9" t="n"/>
      <c r="B656" s="33" t="n"/>
      <c r="J656" s="25">
        <f>IF(OR($C656="",$A656=""),"",IF($A656&lt;IFERROR(IF(INDEX(campaigns!$BG$2:$BG$51,MATCH($C656,campaigns!$A$2:$A$51,0))="","",INDEX(campaigns!$BG$2:$BG$51,MATCH($C656,campaigns!$A$2:$A$51,0))),""),0,NETWORKDAYS(IFERROR(IF(INDEX(campaigns!$BG$2:$BG$51,MATCH($C656,campaigns!$A$2:$A$51,0))="","",INDEX(campaigns!$BG$2:$BG$51,MATCH($C656,campaigns!$A$2:$A$51,0))),""),$A656,calendar!$A$2:$A$80)))</f>
        <v/>
      </c>
      <c r="K656" s="25">
        <f>IF($C656="","",IF(COUNTIF(campaigns!$A$2:$A$51,$C656)=0,"campaign_id not on campaigns; ",IF(AND($D656&lt;&gt;"",COUNTIFS(approvals!$A$2:$A$251,$C656,approvals!$B$2:$B$251,$D656)=0),"office not on this campaign (approvals tab); ",""))&amp;IF(COUNTIFS(counts!$C$2:$C$701,$C656,counts!$D$2:$D$701,$D656,counts!$E$2:$E$701,$E656)&gt;1,"two "&amp;$E656&amp;" counts: keep one; ","")&amp;IF(AND($E656="remaining_day5",N($J656)&lt;5),"day-5 count logged before day 5; ","")&amp;IF(AND($G656="photo",$H656=""),"which photo?; ",""))</f>
        <v/>
      </c>
    </row>
    <row r="657">
      <c r="A657" s="9" t="n"/>
      <c r="B657" s="33" t="n"/>
      <c r="J657" s="25">
        <f>IF(OR($C657="",$A657=""),"",IF($A657&lt;IFERROR(IF(INDEX(campaigns!$BG$2:$BG$51,MATCH($C657,campaigns!$A$2:$A$51,0))="","",INDEX(campaigns!$BG$2:$BG$51,MATCH($C657,campaigns!$A$2:$A$51,0))),""),0,NETWORKDAYS(IFERROR(IF(INDEX(campaigns!$BG$2:$BG$51,MATCH($C657,campaigns!$A$2:$A$51,0))="","",INDEX(campaigns!$BG$2:$BG$51,MATCH($C657,campaigns!$A$2:$A$51,0))),""),$A657,calendar!$A$2:$A$80)))</f>
        <v/>
      </c>
      <c r="K657" s="25">
        <f>IF($C657="","",IF(COUNTIF(campaigns!$A$2:$A$51,$C657)=0,"campaign_id not on campaigns; ",IF(AND($D657&lt;&gt;"",COUNTIFS(approvals!$A$2:$A$251,$C657,approvals!$B$2:$B$251,$D657)=0),"office not on this campaign (approvals tab); ",""))&amp;IF(COUNTIFS(counts!$C$2:$C$701,$C657,counts!$D$2:$D$701,$D657,counts!$E$2:$E$701,$E657)&gt;1,"two "&amp;$E657&amp;" counts: keep one; ","")&amp;IF(AND($E657="remaining_day5",N($J657)&lt;5),"day-5 count logged before day 5; ","")&amp;IF(AND($G657="photo",$H657=""),"which photo?; ",""))</f>
        <v/>
      </c>
    </row>
    <row r="658">
      <c r="A658" s="9" t="n"/>
      <c r="B658" s="33" t="n"/>
      <c r="J658" s="25">
        <f>IF(OR($C658="",$A658=""),"",IF($A658&lt;IFERROR(IF(INDEX(campaigns!$BG$2:$BG$51,MATCH($C658,campaigns!$A$2:$A$51,0))="","",INDEX(campaigns!$BG$2:$BG$51,MATCH($C658,campaigns!$A$2:$A$51,0))),""),0,NETWORKDAYS(IFERROR(IF(INDEX(campaigns!$BG$2:$BG$51,MATCH($C658,campaigns!$A$2:$A$51,0))="","",INDEX(campaigns!$BG$2:$BG$51,MATCH($C658,campaigns!$A$2:$A$51,0))),""),$A658,calendar!$A$2:$A$80)))</f>
        <v/>
      </c>
      <c r="K658" s="25">
        <f>IF($C658="","",IF(COUNTIF(campaigns!$A$2:$A$51,$C658)=0,"campaign_id not on campaigns; ",IF(AND($D658&lt;&gt;"",COUNTIFS(approvals!$A$2:$A$251,$C658,approvals!$B$2:$B$251,$D658)=0),"office not on this campaign (approvals tab); ",""))&amp;IF(COUNTIFS(counts!$C$2:$C$701,$C658,counts!$D$2:$D$701,$D658,counts!$E$2:$E$701,$E658)&gt;1,"two "&amp;$E658&amp;" counts: keep one; ","")&amp;IF(AND($E658="remaining_day5",N($J658)&lt;5),"day-5 count logged before day 5; ","")&amp;IF(AND($G658="photo",$H658=""),"which photo?; ",""))</f>
        <v/>
      </c>
    </row>
    <row r="659">
      <c r="A659" s="9" t="n"/>
      <c r="B659" s="33" t="n"/>
      <c r="J659" s="25">
        <f>IF(OR($C659="",$A659=""),"",IF($A659&lt;IFERROR(IF(INDEX(campaigns!$BG$2:$BG$51,MATCH($C659,campaigns!$A$2:$A$51,0))="","",INDEX(campaigns!$BG$2:$BG$51,MATCH($C659,campaigns!$A$2:$A$51,0))),""),0,NETWORKDAYS(IFERROR(IF(INDEX(campaigns!$BG$2:$BG$51,MATCH($C659,campaigns!$A$2:$A$51,0))="","",INDEX(campaigns!$BG$2:$BG$51,MATCH($C659,campaigns!$A$2:$A$51,0))),""),$A659,calendar!$A$2:$A$80)))</f>
        <v/>
      </c>
      <c r="K659" s="25">
        <f>IF($C659="","",IF(COUNTIF(campaigns!$A$2:$A$51,$C659)=0,"campaign_id not on campaigns; ",IF(AND($D659&lt;&gt;"",COUNTIFS(approvals!$A$2:$A$251,$C659,approvals!$B$2:$B$251,$D659)=0),"office not on this campaign (approvals tab); ",""))&amp;IF(COUNTIFS(counts!$C$2:$C$701,$C659,counts!$D$2:$D$701,$D659,counts!$E$2:$E$701,$E659)&gt;1,"two "&amp;$E659&amp;" counts: keep one; ","")&amp;IF(AND($E659="remaining_day5",N($J659)&lt;5),"day-5 count logged before day 5; ","")&amp;IF(AND($G659="photo",$H659=""),"which photo?; ",""))</f>
        <v/>
      </c>
    </row>
    <row r="660">
      <c r="A660" s="9" t="n"/>
      <c r="B660" s="33" t="n"/>
      <c r="J660" s="25">
        <f>IF(OR($C660="",$A660=""),"",IF($A660&lt;IFERROR(IF(INDEX(campaigns!$BG$2:$BG$51,MATCH($C660,campaigns!$A$2:$A$51,0))="","",INDEX(campaigns!$BG$2:$BG$51,MATCH($C660,campaigns!$A$2:$A$51,0))),""),0,NETWORKDAYS(IFERROR(IF(INDEX(campaigns!$BG$2:$BG$51,MATCH($C660,campaigns!$A$2:$A$51,0))="","",INDEX(campaigns!$BG$2:$BG$51,MATCH($C660,campaigns!$A$2:$A$51,0))),""),$A660,calendar!$A$2:$A$80)))</f>
        <v/>
      </c>
      <c r="K660" s="25">
        <f>IF($C660="","",IF(COUNTIF(campaigns!$A$2:$A$51,$C660)=0,"campaign_id not on campaigns; ",IF(AND($D660&lt;&gt;"",COUNTIFS(approvals!$A$2:$A$251,$C660,approvals!$B$2:$B$251,$D660)=0),"office not on this campaign (approvals tab); ",""))&amp;IF(COUNTIFS(counts!$C$2:$C$701,$C660,counts!$D$2:$D$701,$D660,counts!$E$2:$E$701,$E660)&gt;1,"two "&amp;$E660&amp;" counts: keep one; ","")&amp;IF(AND($E660="remaining_day5",N($J660)&lt;5),"day-5 count logged before day 5; ","")&amp;IF(AND($G660="photo",$H660=""),"which photo?; ",""))</f>
        <v/>
      </c>
    </row>
    <row r="661">
      <c r="A661" s="9" t="n"/>
      <c r="B661" s="33" t="n"/>
      <c r="J661" s="25">
        <f>IF(OR($C661="",$A661=""),"",IF($A661&lt;IFERROR(IF(INDEX(campaigns!$BG$2:$BG$51,MATCH($C661,campaigns!$A$2:$A$51,0))="","",INDEX(campaigns!$BG$2:$BG$51,MATCH($C661,campaigns!$A$2:$A$51,0))),""),0,NETWORKDAYS(IFERROR(IF(INDEX(campaigns!$BG$2:$BG$51,MATCH($C661,campaigns!$A$2:$A$51,0))="","",INDEX(campaigns!$BG$2:$BG$51,MATCH($C661,campaigns!$A$2:$A$51,0))),""),$A661,calendar!$A$2:$A$80)))</f>
        <v/>
      </c>
      <c r="K661" s="25">
        <f>IF($C661="","",IF(COUNTIF(campaigns!$A$2:$A$51,$C661)=0,"campaign_id not on campaigns; ",IF(AND($D661&lt;&gt;"",COUNTIFS(approvals!$A$2:$A$251,$C661,approvals!$B$2:$B$251,$D661)=0),"office not on this campaign (approvals tab); ",""))&amp;IF(COUNTIFS(counts!$C$2:$C$701,$C661,counts!$D$2:$D$701,$D661,counts!$E$2:$E$701,$E661)&gt;1,"two "&amp;$E661&amp;" counts: keep one; ","")&amp;IF(AND($E661="remaining_day5",N($J661)&lt;5),"day-5 count logged before day 5; ","")&amp;IF(AND($G661="photo",$H661=""),"which photo?; ",""))</f>
        <v/>
      </c>
    </row>
    <row r="662">
      <c r="A662" s="9" t="n"/>
      <c r="B662" s="33" t="n"/>
      <c r="J662" s="25">
        <f>IF(OR($C662="",$A662=""),"",IF($A662&lt;IFERROR(IF(INDEX(campaigns!$BG$2:$BG$51,MATCH($C662,campaigns!$A$2:$A$51,0))="","",INDEX(campaigns!$BG$2:$BG$51,MATCH($C662,campaigns!$A$2:$A$51,0))),""),0,NETWORKDAYS(IFERROR(IF(INDEX(campaigns!$BG$2:$BG$51,MATCH($C662,campaigns!$A$2:$A$51,0))="","",INDEX(campaigns!$BG$2:$BG$51,MATCH($C662,campaigns!$A$2:$A$51,0))),""),$A662,calendar!$A$2:$A$80)))</f>
        <v/>
      </c>
      <c r="K662" s="25">
        <f>IF($C662="","",IF(COUNTIF(campaigns!$A$2:$A$51,$C662)=0,"campaign_id not on campaigns; ",IF(AND($D662&lt;&gt;"",COUNTIFS(approvals!$A$2:$A$251,$C662,approvals!$B$2:$B$251,$D662)=0),"office not on this campaign (approvals tab); ",""))&amp;IF(COUNTIFS(counts!$C$2:$C$701,$C662,counts!$D$2:$D$701,$D662,counts!$E$2:$E$701,$E662)&gt;1,"two "&amp;$E662&amp;" counts: keep one; ","")&amp;IF(AND($E662="remaining_day5",N($J662)&lt;5),"day-5 count logged before day 5; ","")&amp;IF(AND($G662="photo",$H662=""),"which photo?; ",""))</f>
        <v/>
      </c>
    </row>
    <row r="663">
      <c r="A663" s="9" t="n"/>
      <c r="B663" s="33" t="n"/>
      <c r="J663" s="25">
        <f>IF(OR($C663="",$A663=""),"",IF($A663&lt;IFERROR(IF(INDEX(campaigns!$BG$2:$BG$51,MATCH($C663,campaigns!$A$2:$A$51,0))="","",INDEX(campaigns!$BG$2:$BG$51,MATCH($C663,campaigns!$A$2:$A$51,0))),""),0,NETWORKDAYS(IFERROR(IF(INDEX(campaigns!$BG$2:$BG$51,MATCH($C663,campaigns!$A$2:$A$51,0))="","",INDEX(campaigns!$BG$2:$BG$51,MATCH($C663,campaigns!$A$2:$A$51,0))),""),$A663,calendar!$A$2:$A$80)))</f>
        <v/>
      </c>
      <c r="K663" s="25">
        <f>IF($C663="","",IF(COUNTIF(campaigns!$A$2:$A$51,$C663)=0,"campaign_id not on campaigns; ",IF(AND($D663&lt;&gt;"",COUNTIFS(approvals!$A$2:$A$251,$C663,approvals!$B$2:$B$251,$D663)=0),"office not on this campaign (approvals tab); ",""))&amp;IF(COUNTIFS(counts!$C$2:$C$701,$C663,counts!$D$2:$D$701,$D663,counts!$E$2:$E$701,$E663)&gt;1,"two "&amp;$E663&amp;" counts: keep one; ","")&amp;IF(AND($E663="remaining_day5",N($J663)&lt;5),"day-5 count logged before day 5; ","")&amp;IF(AND($G663="photo",$H663=""),"which photo?; ",""))</f>
        <v/>
      </c>
    </row>
    <row r="664">
      <c r="A664" s="9" t="n"/>
      <c r="B664" s="33" t="n"/>
      <c r="J664" s="25">
        <f>IF(OR($C664="",$A664=""),"",IF($A664&lt;IFERROR(IF(INDEX(campaigns!$BG$2:$BG$51,MATCH($C664,campaigns!$A$2:$A$51,0))="","",INDEX(campaigns!$BG$2:$BG$51,MATCH($C664,campaigns!$A$2:$A$51,0))),""),0,NETWORKDAYS(IFERROR(IF(INDEX(campaigns!$BG$2:$BG$51,MATCH($C664,campaigns!$A$2:$A$51,0))="","",INDEX(campaigns!$BG$2:$BG$51,MATCH($C664,campaigns!$A$2:$A$51,0))),""),$A664,calendar!$A$2:$A$80)))</f>
        <v/>
      </c>
      <c r="K664" s="25">
        <f>IF($C664="","",IF(COUNTIF(campaigns!$A$2:$A$51,$C664)=0,"campaign_id not on campaigns; ",IF(AND($D664&lt;&gt;"",COUNTIFS(approvals!$A$2:$A$251,$C664,approvals!$B$2:$B$251,$D664)=0),"office not on this campaign (approvals tab); ",""))&amp;IF(COUNTIFS(counts!$C$2:$C$701,$C664,counts!$D$2:$D$701,$D664,counts!$E$2:$E$701,$E664)&gt;1,"two "&amp;$E664&amp;" counts: keep one; ","")&amp;IF(AND($E664="remaining_day5",N($J664)&lt;5),"day-5 count logged before day 5; ","")&amp;IF(AND($G664="photo",$H664=""),"which photo?; ",""))</f>
        <v/>
      </c>
    </row>
    <row r="665">
      <c r="A665" s="9" t="n"/>
      <c r="B665" s="33" t="n"/>
      <c r="J665" s="25">
        <f>IF(OR($C665="",$A665=""),"",IF($A665&lt;IFERROR(IF(INDEX(campaigns!$BG$2:$BG$51,MATCH($C665,campaigns!$A$2:$A$51,0))="","",INDEX(campaigns!$BG$2:$BG$51,MATCH($C665,campaigns!$A$2:$A$51,0))),""),0,NETWORKDAYS(IFERROR(IF(INDEX(campaigns!$BG$2:$BG$51,MATCH($C665,campaigns!$A$2:$A$51,0))="","",INDEX(campaigns!$BG$2:$BG$51,MATCH($C665,campaigns!$A$2:$A$51,0))),""),$A665,calendar!$A$2:$A$80)))</f>
        <v/>
      </c>
      <c r="K665" s="25">
        <f>IF($C665="","",IF(COUNTIF(campaigns!$A$2:$A$51,$C665)=0,"campaign_id not on campaigns; ",IF(AND($D665&lt;&gt;"",COUNTIFS(approvals!$A$2:$A$251,$C665,approvals!$B$2:$B$251,$D665)=0),"office not on this campaign (approvals tab); ",""))&amp;IF(COUNTIFS(counts!$C$2:$C$701,$C665,counts!$D$2:$D$701,$D665,counts!$E$2:$E$701,$E665)&gt;1,"two "&amp;$E665&amp;" counts: keep one; ","")&amp;IF(AND($E665="remaining_day5",N($J665)&lt;5),"day-5 count logged before day 5; ","")&amp;IF(AND($G665="photo",$H665=""),"which photo?; ",""))</f>
        <v/>
      </c>
    </row>
    <row r="666">
      <c r="A666" s="9" t="n"/>
      <c r="B666" s="33" t="n"/>
      <c r="J666" s="25">
        <f>IF(OR($C666="",$A666=""),"",IF($A666&lt;IFERROR(IF(INDEX(campaigns!$BG$2:$BG$51,MATCH($C666,campaigns!$A$2:$A$51,0))="","",INDEX(campaigns!$BG$2:$BG$51,MATCH($C666,campaigns!$A$2:$A$51,0))),""),0,NETWORKDAYS(IFERROR(IF(INDEX(campaigns!$BG$2:$BG$51,MATCH($C666,campaigns!$A$2:$A$51,0))="","",INDEX(campaigns!$BG$2:$BG$51,MATCH($C666,campaigns!$A$2:$A$51,0))),""),$A666,calendar!$A$2:$A$80)))</f>
        <v/>
      </c>
      <c r="K666" s="25">
        <f>IF($C666="","",IF(COUNTIF(campaigns!$A$2:$A$51,$C666)=0,"campaign_id not on campaigns; ",IF(AND($D666&lt;&gt;"",COUNTIFS(approvals!$A$2:$A$251,$C666,approvals!$B$2:$B$251,$D666)=0),"office not on this campaign (approvals tab); ",""))&amp;IF(COUNTIFS(counts!$C$2:$C$701,$C666,counts!$D$2:$D$701,$D666,counts!$E$2:$E$701,$E666)&gt;1,"two "&amp;$E666&amp;" counts: keep one; ","")&amp;IF(AND($E666="remaining_day5",N($J666)&lt;5),"day-5 count logged before day 5; ","")&amp;IF(AND($G666="photo",$H666=""),"which photo?; ",""))</f>
        <v/>
      </c>
    </row>
    <row r="667">
      <c r="A667" s="9" t="n"/>
      <c r="B667" s="33" t="n"/>
      <c r="J667" s="25">
        <f>IF(OR($C667="",$A667=""),"",IF($A667&lt;IFERROR(IF(INDEX(campaigns!$BG$2:$BG$51,MATCH($C667,campaigns!$A$2:$A$51,0))="","",INDEX(campaigns!$BG$2:$BG$51,MATCH($C667,campaigns!$A$2:$A$51,0))),""),0,NETWORKDAYS(IFERROR(IF(INDEX(campaigns!$BG$2:$BG$51,MATCH($C667,campaigns!$A$2:$A$51,0))="","",INDEX(campaigns!$BG$2:$BG$51,MATCH($C667,campaigns!$A$2:$A$51,0))),""),$A667,calendar!$A$2:$A$80)))</f>
        <v/>
      </c>
      <c r="K667" s="25">
        <f>IF($C667="","",IF(COUNTIF(campaigns!$A$2:$A$51,$C667)=0,"campaign_id not on campaigns; ",IF(AND($D667&lt;&gt;"",COUNTIFS(approvals!$A$2:$A$251,$C667,approvals!$B$2:$B$251,$D667)=0),"office not on this campaign (approvals tab); ",""))&amp;IF(COUNTIFS(counts!$C$2:$C$701,$C667,counts!$D$2:$D$701,$D667,counts!$E$2:$E$701,$E667)&gt;1,"two "&amp;$E667&amp;" counts: keep one; ","")&amp;IF(AND($E667="remaining_day5",N($J667)&lt;5),"day-5 count logged before day 5; ","")&amp;IF(AND($G667="photo",$H667=""),"which photo?; ",""))</f>
        <v/>
      </c>
    </row>
    <row r="668">
      <c r="A668" s="9" t="n"/>
      <c r="B668" s="33" t="n"/>
      <c r="J668" s="25">
        <f>IF(OR($C668="",$A668=""),"",IF($A668&lt;IFERROR(IF(INDEX(campaigns!$BG$2:$BG$51,MATCH($C668,campaigns!$A$2:$A$51,0))="","",INDEX(campaigns!$BG$2:$BG$51,MATCH($C668,campaigns!$A$2:$A$51,0))),""),0,NETWORKDAYS(IFERROR(IF(INDEX(campaigns!$BG$2:$BG$51,MATCH($C668,campaigns!$A$2:$A$51,0))="","",INDEX(campaigns!$BG$2:$BG$51,MATCH($C668,campaigns!$A$2:$A$51,0))),""),$A668,calendar!$A$2:$A$80)))</f>
        <v/>
      </c>
      <c r="K668" s="25">
        <f>IF($C668="","",IF(COUNTIF(campaigns!$A$2:$A$51,$C668)=0,"campaign_id not on campaigns; ",IF(AND($D668&lt;&gt;"",COUNTIFS(approvals!$A$2:$A$251,$C668,approvals!$B$2:$B$251,$D668)=0),"office not on this campaign (approvals tab); ",""))&amp;IF(COUNTIFS(counts!$C$2:$C$701,$C668,counts!$D$2:$D$701,$D668,counts!$E$2:$E$701,$E668)&gt;1,"two "&amp;$E668&amp;" counts: keep one; ","")&amp;IF(AND($E668="remaining_day5",N($J668)&lt;5),"day-5 count logged before day 5; ","")&amp;IF(AND($G668="photo",$H668=""),"which photo?; ",""))</f>
        <v/>
      </c>
    </row>
    <row r="669">
      <c r="A669" s="9" t="n"/>
      <c r="B669" s="33" t="n"/>
      <c r="J669" s="25">
        <f>IF(OR($C669="",$A669=""),"",IF($A669&lt;IFERROR(IF(INDEX(campaigns!$BG$2:$BG$51,MATCH($C669,campaigns!$A$2:$A$51,0))="","",INDEX(campaigns!$BG$2:$BG$51,MATCH($C669,campaigns!$A$2:$A$51,0))),""),0,NETWORKDAYS(IFERROR(IF(INDEX(campaigns!$BG$2:$BG$51,MATCH($C669,campaigns!$A$2:$A$51,0))="","",INDEX(campaigns!$BG$2:$BG$51,MATCH($C669,campaigns!$A$2:$A$51,0))),""),$A669,calendar!$A$2:$A$80)))</f>
        <v/>
      </c>
      <c r="K669" s="25">
        <f>IF($C669="","",IF(COUNTIF(campaigns!$A$2:$A$51,$C669)=0,"campaign_id not on campaigns; ",IF(AND($D669&lt;&gt;"",COUNTIFS(approvals!$A$2:$A$251,$C669,approvals!$B$2:$B$251,$D669)=0),"office not on this campaign (approvals tab); ",""))&amp;IF(COUNTIFS(counts!$C$2:$C$701,$C669,counts!$D$2:$D$701,$D669,counts!$E$2:$E$701,$E669)&gt;1,"two "&amp;$E669&amp;" counts: keep one; ","")&amp;IF(AND($E669="remaining_day5",N($J669)&lt;5),"day-5 count logged before day 5; ","")&amp;IF(AND($G669="photo",$H669=""),"which photo?; ",""))</f>
        <v/>
      </c>
    </row>
    <row r="670">
      <c r="A670" s="9" t="n"/>
      <c r="B670" s="33" t="n"/>
      <c r="J670" s="25">
        <f>IF(OR($C670="",$A670=""),"",IF($A670&lt;IFERROR(IF(INDEX(campaigns!$BG$2:$BG$51,MATCH($C670,campaigns!$A$2:$A$51,0))="","",INDEX(campaigns!$BG$2:$BG$51,MATCH($C670,campaigns!$A$2:$A$51,0))),""),0,NETWORKDAYS(IFERROR(IF(INDEX(campaigns!$BG$2:$BG$51,MATCH($C670,campaigns!$A$2:$A$51,0))="","",INDEX(campaigns!$BG$2:$BG$51,MATCH($C670,campaigns!$A$2:$A$51,0))),""),$A670,calendar!$A$2:$A$80)))</f>
        <v/>
      </c>
      <c r="K670" s="25">
        <f>IF($C670="","",IF(COUNTIF(campaigns!$A$2:$A$51,$C670)=0,"campaign_id not on campaigns; ",IF(AND($D670&lt;&gt;"",COUNTIFS(approvals!$A$2:$A$251,$C670,approvals!$B$2:$B$251,$D670)=0),"office not on this campaign (approvals tab); ",""))&amp;IF(COUNTIFS(counts!$C$2:$C$701,$C670,counts!$D$2:$D$701,$D670,counts!$E$2:$E$701,$E670)&gt;1,"two "&amp;$E670&amp;" counts: keep one; ","")&amp;IF(AND($E670="remaining_day5",N($J670)&lt;5),"day-5 count logged before day 5; ","")&amp;IF(AND($G670="photo",$H670=""),"which photo?; ",""))</f>
        <v/>
      </c>
    </row>
    <row r="671">
      <c r="A671" s="9" t="n"/>
      <c r="B671" s="33" t="n"/>
      <c r="J671" s="25">
        <f>IF(OR($C671="",$A671=""),"",IF($A671&lt;IFERROR(IF(INDEX(campaigns!$BG$2:$BG$51,MATCH($C671,campaigns!$A$2:$A$51,0))="","",INDEX(campaigns!$BG$2:$BG$51,MATCH($C671,campaigns!$A$2:$A$51,0))),""),0,NETWORKDAYS(IFERROR(IF(INDEX(campaigns!$BG$2:$BG$51,MATCH($C671,campaigns!$A$2:$A$51,0))="","",INDEX(campaigns!$BG$2:$BG$51,MATCH($C671,campaigns!$A$2:$A$51,0))),""),$A671,calendar!$A$2:$A$80)))</f>
        <v/>
      </c>
      <c r="K671" s="25">
        <f>IF($C671="","",IF(COUNTIF(campaigns!$A$2:$A$51,$C671)=0,"campaign_id not on campaigns; ",IF(AND($D671&lt;&gt;"",COUNTIFS(approvals!$A$2:$A$251,$C671,approvals!$B$2:$B$251,$D671)=0),"office not on this campaign (approvals tab); ",""))&amp;IF(COUNTIFS(counts!$C$2:$C$701,$C671,counts!$D$2:$D$701,$D671,counts!$E$2:$E$701,$E671)&gt;1,"two "&amp;$E671&amp;" counts: keep one; ","")&amp;IF(AND($E671="remaining_day5",N($J671)&lt;5),"day-5 count logged before day 5; ","")&amp;IF(AND($G671="photo",$H671=""),"which photo?; ",""))</f>
        <v/>
      </c>
    </row>
    <row r="672">
      <c r="A672" s="9" t="n"/>
      <c r="B672" s="33" t="n"/>
      <c r="J672" s="25">
        <f>IF(OR($C672="",$A672=""),"",IF($A672&lt;IFERROR(IF(INDEX(campaigns!$BG$2:$BG$51,MATCH($C672,campaigns!$A$2:$A$51,0))="","",INDEX(campaigns!$BG$2:$BG$51,MATCH($C672,campaigns!$A$2:$A$51,0))),""),0,NETWORKDAYS(IFERROR(IF(INDEX(campaigns!$BG$2:$BG$51,MATCH($C672,campaigns!$A$2:$A$51,0))="","",INDEX(campaigns!$BG$2:$BG$51,MATCH($C672,campaigns!$A$2:$A$51,0))),""),$A672,calendar!$A$2:$A$80)))</f>
        <v/>
      </c>
      <c r="K672" s="25">
        <f>IF($C672="","",IF(COUNTIF(campaigns!$A$2:$A$51,$C672)=0,"campaign_id not on campaigns; ",IF(AND($D672&lt;&gt;"",COUNTIFS(approvals!$A$2:$A$251,$C672,approvals!$B$2:$B$251,$D672)=0),"office not on this campaign (approvals tab); ",""))&amp;IF(COUNTIFS(counts!$C$2:$C$701,$C672,counts!$D$2:$D$701,$D672,counts!$E$2:$E$701,$E672)&gt;1,"two "&amp;$E672&amp;" counts: keep one; ","")&amp;IF(AND($E672="remaining_day5",N($J672)&lt;5),"day-5 count logged before day 5; ","")&amp;IF(AND($G672="photo",$H672=""),"which photo?; ",""))</f>
        <v/>
      </c>
    </row>
    <row r="673">
      <c r="A673" s="9" t="n"/>
      <c r="B673" s="33" t="n"/>
      <c r="J673" s="25">
        <f>IF(OR($C673="",$A673=""),"",IF($A673&lt;IFERROR(IF(INDEX(campaigns!$BG$2:$BG$51,MATCH($C673,campaigns!$A$2:$A$51,0))="","",INDEX(campaigns!$BG$2:$BG$51,MATCH($C673,campaigns!$A$2:$A$51,0))),""),0,NETWORKDAYS(IFERROR(IF(INDEX(campaigns!$BG$2:$BG$51,MATCH($C673,campaigns!$A$2:$A$51,0))="","",INDEX(campaigns!$BG$2:$BG$51,MATCH($C673,campaigns!$A$2:$A$51,0))),""),$A673,calendar!$A$2:$A$80)))</f>
        <v/>
      </c>
      <c r="K673" s="25">
        <f>IF($C673="","",IF(COUNTIF(campaigns!$A$2:$A$51,$C673)=0,"campaign_id not on campaigns; ",IF(AND($D673&lt;&gt;"",COUNTIFS(approvals!$A$2:$A$251,$C673,approvals!$B$2:$B$251,$D673)=0),"office not on this campaign (approvals tab); ",""))&amp;IF(COUNTIFS(counts!$C$2:$C$701,$C673,counts!$D$2:$D$701,$D673,counts!$E$2:$E$701,$E673)&gt;1,"two "&amp;$E673&amp;" counts: keep one; ","")&amp;IF(AND($E673="remaining_day5",N($J673)&lt;5),"day-5 count logged before day 5; ","")&amp;IF(AND($G673="photo",$H673=""),"which photo?; ",""))</f>
        <v/>
      </c>
    </row>
    <row r="674">
      <c r="A674" s="9" t="n"/>
      <c r="B674" s="33" t="n"/>
      <c r="J674" s="25">
        <f>IF(OR($C674="",$A674=""),"",IF($A674&lt;IFERROR(IF(INDEX(campaigns!$BG$2:$BG$51,MATCH($C674,campaigns!$A$2:$A$51,0))="","",INDEX(campaigns!$BG$2:$BG$51,MATCH($C674,campaigns!$A$2:$A$51,0))),""),0,NETWORKDAYS(IFERROR(IF(INDEX(campaigns!$BG$2:$BG$51,MATCH($C674,campaigns!$A$2:$A$51,0))="","",INDEX(campaigns!$BG$2:$BG$51,MATCH($C674,campaigns!$A$2:$A$51,0))),""),$A674,calendar!$A$2:$A$80)))</f>
        <v/>
      </c>
      <c r="K674" s="25">
        <f>IF($C674="","",IF(COUNTIF(campaigns!$A$2:$A$51,$C674)=0,"campaign_id not on campaigns; ",IF(AND($D674&lt;&gt;"",COUNTIFS(approvals!$A$2:$A$251,$C674,approvals!$B$2:$B$251,$D674)=0),"office not on this campaign (approvals tab); ",""))&amp;IF(COUNTIFS(counts!$C$2:$C$701,$C674,counts!$D$2:$D$701,$D674,counts!$E$2:$E$701,$E674)&gt;1,"two "&amp;$E674&amp;" counts: keep one; ","")&amp;IF(AND($E674="remaining_day5",N($J674)&lt;5),"day-5 count logged before day 5; ","")&amp;IF(AND($G674="photo",$H674=""),"which photo?; ",""))</f>
        <v/>
      </c>
    </row>
    <row r="675">
      <c r="A675" s="9" t="n"/>
      <c r="B675" s="33" t="n"/>
      <c r="J675" s="25">
        <f>IF(OR($C675="",$A675=""),"",IF($A675&lt;IFERROR(IF(INDEX(campaigns!$BG$2:$BG$51,MATCH($C675,campaigns!$A$2:$A$51,0))="","",INDEX(campaigns!$BG$2:$BG$51,MATCH($C675,campaigns!$A$2:$A$51,0))),""),0,NETWORKDAYS(IFERROR(IF(INDEX(campaigns!$BG$2:$BG$51,MATCH($C675,campaigns!$A$2:$A$51,0))="","",INDEX(campaigns!$BG$2:$BG$51,MATCH($C675,campaigns!$A$2:$A$51,0))),""),$A675,calendar!$A$2:$A$80)))</f>
        <v/>
      </c>
      <c r="K675" s="25">
        <f>IF($C675="","",IF(COUNTIF(campaigns!$A$2:$A$51,$C675)=0,"campaign_id not on campaigns; ",IF(AND($D675&lt;&gt;"",COUNTIFS(approvals!$A$2:$A$251,$C675,approvals!$B$2:$B$251,$D675)=0),"office not on this campaign (approvals tab); ",""))&amp;IF(COUNTIFS(counts!$C$2:$C$701,$C675,counts!$D$2:$D$701,$D675,counts!$E$2:$E$701,$E675)&gt;1,"two "&amp;$E675&amp;" counts: keep one; ","")&amp;IF(AND($E675="remaining_day5",N($J675)&lt;5),"day-5 count logged before day 5; ","")&amp;IF(AND($G675="photo",$H675=""),"which photo?; ",""))</f>
        <v/>
      </c>
    </row>
    <row r="676">
      <c r="A676" s="9" t="n"/>
      <c r="B676" s="33" t="n"/>
      <c r="J676" s="25">
        <f>IF(OR($C676="",$A676=""),"",IF($A676&lt;IFERROR(IF(INDEX(campaigns!$BG$2:$BG$51,MATCH($C676,campaigns!$A$2:$A$51,0))="","",INDEX(campaigns!$BG$2:$BG$51,MATCH($C676,campaigns!$A$2:$A$51,0))),""),0,NETWORKDAYS(IFERROR(IF(INDEX(campaigns!$BG$2:$BG$51,MATCH($C676,campaigns!$A$2:$A$51,0))="","",INDEX(campaigns!$BG$2:$BG$51,MATCH($C676,campaigns!$A$2:$A$51,0))),""),$A676,calendar!$A$2:$A$80)))</f>
        <v/>
      </c>
      <c r="K676" s="25">
        <f>IF($C676="","",IF(COUNTIF(campaigns!$A$2:$A$51,$C676)=0,"campaign_id not on campaigns; ",IF(AND($D676&lt;&gt;"",COUNTIFS(approvals!$A$2:$A$251,$C676,approvals!$B$2:$B$251,$D676)=0),"office not on this campaign (approvals tab); ",""))&amp;IF(COUNTIFS(counts!$C$2:$C$701,$C676,counts!$D$2:$D$701,$D676,counts!$E$2:$E$701,$E676)&gt;1,"two "&amp;$E676&amp;" counts: keep one; ","")&amp;IF(AND($E676="remaining_day5",N($J676)&lt;5),"day-5 count logged before day 5; ","")&amp;IF(AND($G676="photo",$H676=""),"which photo?; ",""))</f>
        <v/>
      </c>
    </row>
    <row r="677">
      <c r="A677" s="9" t="n"/>
      <c r="B677" s="33" t="n"/>
      <c r="J677" s="25">
        <f>IF(OR($C677="",$A677=""),"",IF($A677&lt;IFERROR(IF(INDEX(campaigns!$BG$2:$BG$51,MATCH($C677,campaigns!$A$2:$A$51,0))="","",INDEX(campaigns!$BG$2:$BG$51,MATCH($C677,campaigns!$A$2:$A$51,0))),""),0,NETWORKDAYS(IFERROR(IF(INDEX(campaigns!$BG$2:$BG$51,MATCH($C677,campaigns!$A$2:$A$51,0))="","",INDEX(campaigns!$BG$2:$BG$51,MATCH($C677,campaigns!$A$2:$A$51,0))),""),$A677,calendar!$A$2:$A$80)))</f>
        <v/>
      </c>
      <c r="K677" s="25">
        <f>IF($C677="","",IF(COUNTIF(campaigns!$A$2:$A$51,$C677)=0,"campaign_id not on campaigns; ",IF(AND($D677&lt;&gt;"",COUNTIFS(approvals!$A$2:$A$251,$C677,approvals!$B$2:$B$251,$D677)=0),"office not on this campaign (approvals tab); ",""))&amp;IF(COUNTIFS(counts!$C$2:$C$701,$C677,counts!$D$2:$D$701,$D677,counts!$E$2:$E$701,$E677)&gt;1,"two "&amp;$E677&amp;" counts: keep one; ","")&amp;IF(AND($E677="remaining_day5",N($J677)&lt;5),"day-5 count logged before day 5; ","")&amp;IF(AND($G677="photo",$H677=""),"which photo?; ",""))</f>
        <v/>
      </c>
    </row>
    <row r="678">
      <c r="A678" s="9" t="n"/>
      <c r="B678" s="33" t="n"/>
      <c r="J678" s="25">
        <f>IF(OR($C678="",$A678=""),"",IF($A678&lt;IFERROR(IF(INDEX(campaigns!$BG$2:$BG$51,MATCH($C678,campaigns!$A$2:$A$51,0))="","",INDEX(campaigns!$BG$2:$BG$51,MATCH($C678,campaigns!$A$2:$A$51,0))),""),0,NETWORKDAYS(IFERROR(IF(INDEX(campaigns!$BG$2:$BG$51,MATCH($C678,campaigns!$A$2:$A$51,0))="","",INDEX(campaigns!$BG$2:$BG$51,MATCH($C678,campaigns!$A$2:$A$51,0))),""),$A678,calendar!$A$2:$A$80)))</f>
        <v/>
      </c>
      <c r="K678" s="25">
        <f>IF($C678="","",IF(COUNTIF(campaigns!$A$2:$A$51,$C678)=0,"campaign_id not on campaigns; ",IF(AND($D678&lt;&gt;"",COUNTIFS(approvals!$A$2:$A$251,$C678,approvals!$B$2:$B$251,$D678)=0),"office not on this campaign (approvals tab); ",""))&amp;IF(COUNTIFS(counts!$C$2:$C$701,$C678,counts!$D$2:$D$701,$D678,counts!$E$2:$E$701,$E678)&gt;1,"two "&amp;$E678&amp;" counts: keep one; ","")&amp;IF(AND($E678="remaining_day5",N($J678)&lt;5),"day-5 count logged before day 5; ","")&amp;IF(AND($G678="photo",$H678=""),"which photo?; ",""))</f>
        <v/>
      </c>
    </row>
    <row r="679">
      <c r="A679" s="9" t="n"/>
      <c r="B679" s="33" t="n"/>
      <c r="J679" s="25">
        <f>IF(OR($C679="",$A679=""),"",IF($A679&lt;IFERROR(IF(INDEX(campaigns!$BG$2:$BG$51,MATCH($C679,campaigns!$A$2:$A$51,0))="","",INDEX(campaigns!$BG$2:$BG$51,MATCH($C679,campaigns!$A$2:$A$51,0))),""),0,NETWORKDAYS(IFERROR(IF(INDEX(campaigns!$BG$2:$BG$51,MATCH($C679,campaigns!$A$2:$A$51,0))="","",INDEX(campaigns!$BG$2:$BG$51,MATCH($C679,campaigns!$A$2:$A$51,0))),""),$A679,calendar!$A$2:$A$80)))</f>
        <v/>
      </c>
      <c r="K679" s="25">
        <f>IF($C679="","",IF(COUNTIF(campaigns!$A$2:$A$51,$C679)=0,"campaign_id not on campaigns; ",IF(AND($D679&lt;&gt;"",COUNTIFS(approvals!$A$2:$A$251,$C679,approvals!$B$2:$B$251,$D679)=0),"office not on this campaign (approvals tab); ",""))&amp;IF(COUNTIFS(counts!$C$2:$C$701,$C679,counts!$D$2:$D$701,$D679,counts!$E$2:$E$701,$E679)&gt;1,"two "&amp;$E679&amp;" counts: keep one; ","")&amp;IF(AND($E679="remaining_day5",N($J679)&lt;5),"day-5 count logged before day 5; ","")&amp;IF(AND($G679="photo",$H679=""),"which photo?; ",""))</f>
        <v/>
      </c>
    </row>
    <row r="680">
      <c r="A680" s="9" t="n"/>
      <c r="B680" s="33" t="n"/>
      <c r="J680" s="25">
        <f>IF(OR($C680="",$A680=""),"",IF($A680&lt;IFERROR(IF(INDEX(campaigns!$BG$2:$BG$51,MATCH($C680,campaigns!$A$2:$A$51,0))="","",INDEX(campaigns!$BG$2:$BG$51,MATCH($C680,campaigns!$A$2:$A$51,0))),""),0,NETWORKDAYS(IFERROR(IF(INDEX(campaigns!$BG$2:$BG$51,MATCH($C680,campaigns!$A$2:$A$51,0))="","",INDEX(campaigns!$BG$2:$BG$51,MATCH($C680,campaigns!$A$2:$A$51,0))),""),$A680,calendar!$A$2:$A$80)))</f>
        <v/>
      </c>
      <c r="K680" s="25">
        <f>IF($C680="","",IF(COUNTIF(campaigns!$A$2:$A$51,$C680)=0,"campaign_id not on campaigns; ",IF(AND($D680&lt;&gt;"",COUNTIFS(approvals!$A$2:$A$251,$C680,approvals!$B$2:$B$251,$D680)=0),"office not on this campaign (approvals tab); ",""))&amp;IF(COUNTIFS(counts!$C$2:$C$701,$C680,counts!$D$2:$D$701,$D680,counts!$E$2:$E$701,$E680)&gt;1,"two "&amp;$E680&amp;" counts: keep one; ","")&amp;IF(AND($E680="remaining_day5",N($J680)&lt;5),"day-5 count logged before day 5; ","")&amp;IF(AND($G680="photo",$H680=""),"which photo?; ",""))</f>
        <v/>
      </c>
    </row>
    <row r="681">
      <c r="A681" s="9" t="n"/>
      <c r="B681" s="33" t="n"/>
      <c r="J681" s="25">
        <f>IF(OR($C681="",$A681=""),"",IF($A681&lt;IFERROR(IF(INDEX(campaigns!$BG$2:$BG$51,MATCH($C681,campaigns!$A$2:$A$51,0))="","",INDEX(campaigns!$BG$2:$BG$51,MATCH($C681,campaigns!$A$2:$A$51,0))),""),0,NETWORKDAYS(IFERROR(IF(INDEX(campaigns!$BG$2:$BG$51,MATCH($C681,campaigns!$A$2:$A$51,0))="","",INDEX(campaigns!$BG$2:$BG$51,MATCH($C681,campaigns!$A$2:$A$51,0))),""),$A681,calendar!$A$2:$A$80)))</f>
        <v/>
      </c>
      <c r="K681" s="25">
        <f>IF($C681="","",IF(COUNTIF(campaigns!$A$2:$A$51,$C681)=0,"campaign_id not on campaigns; ",IF(AND($D681&lt;&gt;"",COUNTIFS(approvals!$A$2:$A$251,$C681,approvals!$B$2:$B$251,$D681)=0),"office not on this campaign (approvals tab); ",""))&amp;IF(COUNTIFS(counts!$C$2:$C$701,$C681,counts!$D$2:$D$701,$D681,counts!$E$2:$E$701,$E681)&gt;1,"two "&amp;$E681&amp;" counts: keep one; ","")&amp;IF(AND($E681="remaining_day5",N($J681)&lt;5),"day-5 count logged before day 5; ","")&amp;IF(AND($G681="photo",$H681=""),"which photo?; ",""))</f>
        <v/>
      </c>
    </row>
    <row r="682">
      <c r="A682" s="9" t="n"/>
      <c r="B682" s="33" t="n"/>
      <c r="J682" s="25">
        <f>IF(OR($C682="",$A682=""),"",IF($A682&lt;IFERROR(IF(INDEX(campaigns!$BG$2:$BG$51,MATCH($C682,campaigns!$A$2:$A$51,0))="","",INDEX(campaigns!$BG$2:$BG$51,MATCH($C682,campaigns!$A$2:$A$51,0))),""),0,NETWORKDAYS(IFERROR(IF(INDEX(campaigns!$BG$2:$BG$51,MATCH($C682,campaigns!$A$2:$A$51,0))="","",INDEX(campaigns!$BG$2:$BG$51,MATCH($C682,campaigns!$A$2:$A$51,0))),""),$A682,calendar!$A$2:$A$80)))</f>
        <v/>
      </c>
      <c r="K682" s="25">
        <f>IF($C682="","",IF(COUNTIF(campaigns!$A$2:$A$51,$C682)=0,"campaign_id not on campaigns; ",IF(AND($D682&lt;&gt;"",COUNTIFS(approvals!$A$2:$A$251,$C682,approvals!$B$2:$B$251,$D682)=0),"office not on this campaign (approvals tab); ",""))&amp;IF(COUNTIFS(counts!$C$2:$C$701,$C682,counts!$D$2:$D$701,$D682,counts!$E$2:$E$701,$E682)&gt;1,"two "&amp;$E682&amp;" counts: keep one; ","")&amp;IF(AND($E682="remaining_day5",N($J682)&lt;5),"day-5 count logged before day 5; ","")&amp;IF(AND($G682="photo",$H682=""),"which photo?; ",""))</f>
        <v/>
      </c>
    </row>
    <row r="683">
      <c r="A683" s="9" t="n"/>
      <c r="B683" s="33" t="n"/>
      <c r="J683" s="25">
        <f>IF(OR($C683="",$A683=""),"",IF($A683&lt;IFERROR(IF(INDEX(campaigns!$BG$2:$BG$51,MATCH($C683,campaigns!$A$2:$A$51,0))="","",INDEX(campaigns!$BG$2:$BG$51,MATCH($C683,campaigns!$A$2:$A$51,0))),""),0,NETWORKDAYS(IFERROR(IF(INDEX(campaigns!$BG$2:$BG$51,MATCH($C683,campaigns!$A$2:$A$51,0))="","",INDEX(campaigns!$BG$2:$BG$51,MATCH($C683,campaigns!$A$2:$A$51,0))),""),$A683,calendar!$A$2:$A$80)))</f>
        <v/>
      </c>
      <c r="K683" s="25">
        <f>IF($C683="","",IF(COUNTIF(campaigns!$A$2:$A$51,$C683)=0,"campaign_id not on campaigns; ",IF(AND($D683&lt;&gt;"",COUNTIFS(approvals!$A$2:$A$251,$C683,approvals!$B$2:$B$251,$D683)=0),"office not on this campaign (approvals tab); ",""))&amp;IF(COUNTIFS(counts!$C$2:$C$701,$C683,counts!$D$2:$D$701,$D683,counts!$E$2:$E$701,$E683)&gt;1,"two "&amp;$E683&amp;" counts: keep one; ","")&amp;IF(AND($E683="remaining_day5",N($J683)&lt;5),"day-5 count logged before day 5; ","")&amp;IF(AND($G683="photo",$H683=""),"which photo?; ",""))</f>
        <v/>
      </c>
    </row>
    <row r="684">
      <c r="A684" s="9" t="n"/>
      <c r="B684" s="33" t="n"/>
      <c r="J684" s="25">
        <f>IF(OR($C684="",$A684=""),"",IF($A684&lt;IFERROR(IF(INDEX(campaigns!$BG$2:$BG$51,MATCH($C684,campaigns!$A$2:$A$51,0))="","",INDEX(campaigns!$BG$2:$BG$51,MATCH($C684,campaigns!$A$2:$A$51,0))),""),0,NETWORKDAYS(IFERROR(IF(INDEX(campaigns!$BG$2:$BG$51,MATCH($C684,campaigns!$A$2:$A$51,0))="","",INDEX(campaigns!$BG$2:$BG$51,MATCH($C684,campaigns!$A$2:$A$51,0))),""),$A684,calendar!$A$2:$A$80)))</f>
        <v/>
      </c>
      <c r="K684" s="25">
        <f>IF($C684="","",IF(COUNTIF(campaigns!$A$2:$A$51,$C684)=0,"campaign_id not on campaigns; ",IF(AND($D684&lt;&gt;"",COUNTIFS(approvals!$A$2:$A$251,$C684,approvals!$B$2:$B$251,$D684)=0),"office not on this campaign (approvals tab); ",""))&amp;IF(COUNTIFS(counts!$C$2:$C$701,$C684,counts!$D$2:$D$701,$D684,counts!$E$2:$E$701,$E684)&gt;1,"two "&amp;$E684&amp;" counts: keep one; ","")&amp;IF(AND($E684="remaining_day5",N($J684)&lt;5),"day-5 count logged before day 5; ","")&amp;IF(AND($G684="photo",$H684=""),"which photo?; ",""))</f>
        <v/>
      </c>
    </row>
    <row r="685">
      <c r="A685" s="9" t="n"/>
      <c r="B685" s="33" t="n"/>
      <c r="J685" s="25">
        <f>IF(OR($C685="",$A685=""),"",IF($A685&lt;IFERROR(IF(INDEX(campaigns!$BG$2:$BG$51,MATCH($C685,campaigns!$A$2:$A$51,0))="","",INDEX(campaigns!$BG$2:$BG$51,MATCH($C685,campaigns!$A$2:$A$51,0))),""),0,NETWORKDAYS(IFERROR(IF(INDEX(campaigns!$BG$2:$BG$51,MATCH($C685,campaigns!$A$2:$A$51,0))="","",INDEX(campaigns!$BG$2:$BG$51,MATCH($C685,campaigns!$A$2:$A$51,0))),""),$A685,calendar!$A$2:$A$80)))</f>
        <v/>
      </c>
      <c r="K685" s="25">
        <f>IF($C685="","",IF(COUNTIF(campaigns!$A$2:$A$51,$C685)=0,"campaign_id not on campaigns; ",IF(AND($D685&lt;&gt;"",COUNTIFS(approvals!$A$2:$A$251,$C685,approvals!$B$2:$B$251,$D685)=0),"office not on this campaign (approvals tab); ",""))&amp;IF(COUNTIFS(counts!$C$2:$C$701,$C685,counts!$D$2:$D$701,$D685,counts!$E$2:$E$701,$E685)&gt;1,"two "&amp;$E685&amp;" counts: keep one; ","")&amp;IF(AND($E685="remaining_day5",N($J685)&lt;5),"day-5 count logged before day 5; ","")&amp;IF(AND($G685="photo",$H685=""),"which photo?; ",""))</f>
        <v/>
      </c>
    </row>
    <row r="686">
      <c r="A686" s="9" t="n"/>
      <c r="B686" s="33" t="n"/>
      <c r="J686" s="25">
        <f>IF(OR($C686="",$A686=""),"",IF($A686&lt;IFERROR(IF(INDEX(campaigns!$BG$2:$BG$51,MATCH($C686,campaigns!$A$2:$A$51,0))="","",INDEX(campaigns!$BG$2:$BG$51,MATCH($C686,campaigns!$A$2:$A$51,0))),""),0,NETWORKDAYS(IFERROR(IF(INDEX(campaigns!$BG$2:$BG$51,MATCH($C686,campaigns!$A$2:$A$51,0))="","",INDEX(campaigns!$BG$2:$BG$51,MATCH($C686,campaigns!$A$2:$A$51,0))),""),$A686,calendar!$A$2:$A$80)))</f>
        <v/>
      </c>
      <c r="K686" s="25">
        <f>IF($C686="","",IF(COUNTIF(campaigns!$A$2:$A$51,$C686)=0,"campaign_id not on campaigns; ",IF(AND($D686&lt;&gt;"",COUNTIFS(approvals!$A$2:$A$251,$C686,approvals!$B$2:$B$251,$D686)=0),"office not on this campaign (approvals tab); ",""))&amp;IF(COUNTIFS(counts!$C$2:$C$701,$C686,counts!$D$2:$D$701,$D686,counts!$E$2:$E$701,$E686)&gt;1,"two "&amp;$E686&amp;" counts: keep one; ","")&amp;IF(AND($E686="remaining_day5",N($J686)&lt;5),"day-5 count logged before day 5; ","")&amp;IF(AND($G686="photo",$H686=""),"which photo?; ",""))</f>
        <v/>
      </c>
    </row>
    <row r="687">
      <c r="A687" s="9" t="n"/>
      <c r="B687" s="33" t="n"/>
      <c r="J687" s="25">
        <f>IF(OR($C687="",$A687=""),"",IF($A687&lt;IFERROR(IF(INDEX(campaigns!$BG$2:$BG$51,MATCH($C687,campaigns!$A$2:$A$51,0))="","",INDEX(campaigns!$BG$2:$BG$51,MATCH($C687,campaigns!$A$2:$A$51,0))),""),0,NETWORKDAYS(IFERROR(IF(INDEX(campaigns!$BG$2:$BG$51,MATCH($C687,campaigns!$A$2:$A$51,0))="","",INDEX(campaigns!$BG$2:$BG$51,MATCH($C687,campaigns!$A$2:$A$51,0))),""),$A687,calendar!$A$2:$A$80)))</f>
        <v/>
      </c>
      <c r="K687" s="25">
        <f>IF($C687="","",IF(COUNTIF(campaigns!$A$2:$A$51,$C687)=0,"campaign_id not on campaigns; ",IF(AND($D687&lt;&gt;"",COUNTIFS(approvals!$A$2:$A$251,$C687,approvals!$B$2:$B$251,$D687)=0),"office not on this campaign (approvals tab); ",""))&amp;IF(COUNTIFS(counts!$C$2:$C$701,$C687,counts!$D$2:$D$701,$D687,counts!$E$2:$E$701,$E687)&gt;1,"two "&amp;$E687&amp;" counts: keep one; ","")&amp;IF(AND($E687="remaining_day5",N($J687)&lt;5),"day-5 count logged before day 5; ","")&amp;IF(AND($G687="photo",$H687=""),"which photo?; ",""))</f>
        <v/>
      </c>
    </row>
    <row r="688">
      <c r="A688" s="9" t="n"/>
      <c r="B688" s="33" t="n"/>
      <c r="J688" s="25">
        <f>IF(OR($C688="",$A688=""),"",IF($A688&lt;IFERROR(IF(INDEX(campaigns!$BG$2:$BG$51,MATCH($C688,campaigns!$A$2:$A$51,0))="","",INDEX(campaigns!$BG$2:$BG$51,MATCH($C688,campaigns!$A$2:$A$51,0))),""),0,NETWORKDAYS(IFERROR(IF(INDEX(campaigns!$BG$2:$BG$51,MATCH($C688,campaigns!$A$2:$A$51,0))="","",INDEX(campaigns!$BG$2:$BG$51,MATCH($C688,campaigns!$A$2:$A$51,0))),""),$A688,calendar!$A$2:$A$80)))</f>
        <v/>
      </c>
      <c r="K688" s="25">
        <f>IF($C688="","",IF(COUNTIF(campaigns!$A$2:$A$51,$C688)=0,"campaign_id not on campaigns; ",IF(AND($D688&lt;&gt;"",COUNTIFS(approvals!$A$2:$A$251,$C688,approvals!$B$2:$B$251,$D688)=0),"office not on this campaign (approvals tab); ",""))&amp;IF(COUNTIFS(counts!$C$2:$C$701,$C688,counts!$D$2:$D$701,$D688,counts!$E$2:$E$701,$E688)&gt;1,"two "&amp;$E688&amp;" counts: keep one; ","")&amp;IF(AND($E688="remaining_day5",N($J688)&lt;5),"day-5 count logged before day 5; ","")&amp;IF(AND($G688="photo",$H688=""),"which photo?; ",""))</f>
        <v/>
      </c>
    </row>
    <row r="689">
      <c r="A689" s="9" t="n"/>
      <c r="B689" s="33" t="n"/>
      <c r="J689" s="25">
        <f>IF(OR($C689="",$A689=""),"",IF($A689&lt;IFERROR(IF(INDEX(campaigns!$BG$2:$BG$51,MATCH($C689,campaigns!$A$2:$A$51,0))="","",INDEX(campaigns!$BG$2:$BG$51,MATCH($C689,campaigns!$A$2:$A$51,0))),""),0,NETWORKDAYS(IFERROR(IF(INDEX(campaigns!$BG$2:$BG$51,MATCH($C689,campaigns!$A$2:$A$51,0))="","",INDEX(campaigns!$BG$2:$BG$51,MATCH($C689,campaigns!$A$2:$A$51,0))),""),$A689,calendar!$A$2:$A$80)))</f>
        <v/>
      </c>
      <c r="K689" s="25">
        <f>IF($C689="","",IF(COUNTIF(campaigns!$A$2:$A$51,$C689)=0,"campaign_id not on campaigns; ",IF(AND($D689&lt;&gt;"",COUNTIFS(approvals!$A$2:$A$251,$C689,approvals!$B$2:$B$251,$D689)=0),"office not on this campaign (approvals tab); ",""))&amp;IF(COUNTIFS(counts!$C$2:$C$701,$C689,counts!$D$2:$D$701,$D689,counts!$E$2:$E$701,$E689)&gt;1,"two "&amp;$E689&amp;" counts: keep one; ","")&amp;IF(AND($E689="remaining_day5",N($J689)&lt;5),"day-5 count logged before day 5; ","")&amp;IF(AND($G689="photo",$H689=""),"which photo?; ",""))</f>
        <v/>
      </c>
    </row>
    <row r="690">
      <c r="A690" s="9" t="n"/>
      <c r="B690" s="33" t="n"/>
      <c r="J690" s="25">
        <f>IF(OR($C690="",$A690=""),"",IF($A690&lt;IFERROR(IF(INDEX(campaigns!$BG$2:$BG$51,MATCH($C690,campaigns!$A$2:$A$51,0))="","",INDEX(campaigns!$BG$2:$BG$51,MATCH($C690,campaigns!$A$2:$A$51,0))),""),0,NETWORKDAYS(IFERROR(IF(INDEX(campaigns!$BG$2:$BG$51,MATCH($C690,campaigns!$A$2:$A$51,0))="","",INDEX(campaigns!$BG$2:$BG$51,MATCH($C690,campaigns!$A$2:$A$51,0))),""),$A690,calendar!$A$2:$A$80)))</f>
        <v/>
      </c>
      <c r="K690" s="25">
        <f>IF($C690="","",IF(COUNTIF(campaigns!$A$2:$A$51,$C690)=0,"campaign_id not on campaigns; ",IF(AND($D690&lt;&gt;"",COUNTIFS(approvals!$A$2:$A$251,$C690,approvals!$B$2:$B$251,$D690)=0),"office not on this campaign (approvals tab); ",""))&amp;IF(COUNTIFS(counts!$C$2:$C$701,$C690,counts!$D$2:$D$701,$D690,counts!$E$2:$E$701,$E690)&gt;1,"two "&amp;$E690&amp;" counts: keep one; ","")&amp;IF(AND($E690="remaining_day5",N($J690)&lt;5),"day-5 count logged before day 5; ","")&amp;IF(AND($G690="photo",$H690=""),"which photo?; ",""))</f>
        <v/>
      </c>
    </row>
    <row r="691">
      <c r="A691" s="9" t="n"/>
      <c r="B691" s="33" t="n"/>
      <c r="J691" s="25">
        <f>IF(OR($C691="",$A691=""),"",IF($A691&lt;IFERROR(IF(INDEX(campaigns!$BG$2:$BG$51,MATCH($C691,campaigns!$A$2:$A$51,0))="","",INDEX(campaigns!$BG$2:$BG$51,MATCH($C691,campaigns!$A$2:$A$51,0))),""),0,NETWORKDAYS(IFERROR(IF(INDEX(campaigns!$BG$2:$BG$51,MATCH($C691,campaigns!$A$2:$A$51,0))="","",INDEX(campaigns!$BG$2:$BG$51,MATCH($C691,campaigns!$A$2:$A$51,0))),""),$A691,calendar!$A$2:$A$80)))</f>
        <v/>
      </c>
      <c r="K691" s="25">
        <f>IF($C691="","",IF(COUNTIF(campaigns!$A$2:$A$51,$C691)=0,"campaign_id not on campaigns; ",IF(AND($D691&lt;&gt;"",COUNTIFS(approvals!$A$2:$A$251,$C691,approvals!$B$2:$B$251,$D691)=0),"office not on this campaign (approvals tab); ",""))&amp;IF(COUNTIFS(counts!$C$2:$C$701,$C691,counts!$D$2:$D$701,$D691,counts!$E$2:$E$701,$E691)&gt;1,"two "&amp;$E691&amp;" counts: keep one; ","")&amp;IF(AND($E691="remaining_day5",N($J691)&lt;5),"day-5 count logged before day 5; ","")&amp;IF(AND($G691="photo",$H691=""),"which photo?; ",""))</f>
        <v/>
      </c>
    </row>
    <row r="692">
      <c r="A692" s="9" t="n"/>
      <c r="B692" s="33" t="n"/>
      <c r="J692" s="25">
        <f>IF(OR($C692="",$A692=""),"",IF($A692&lt;IFERROR(IF(INDEX(campaigns!$BG$2:$BG$51,MATCH($C692,campaigns!$A$2:$A$51,0))="","",INDEX(campaigns!$BG$2:$BG$51,MATCH($C692,campaigns!$A$2:$A$51,0))),""),0,NETWORKDAYS(IFERROR(IF(INDEX(campaigns!$BG$2:$BG$51,MATCH($C692,campaigns!$A$2:$A$51,0))="","",INDEX(campaigns!$BG$2:$BG$51,MATCH($C692,campaigns!$A$2:$A$51,0))),""),$A692,calendar!$A$2:$A$80)))</f>
        <v/>
      </c>
      <c r="K692" s="25">
        <f>IF($C692="","",IF(COUNTIF(campaigns!$A$2:$A$51,$C692)=0,"campaign_id not on campaigns; ",IF(AND($D692&lt;&gt;"",COUNTIFS(approvals!$A$2:$A$251,$C692,approvals!$B$2:$B$251,$D692)=0),"office not on this campaign (approvals tab); ",""))&amp;IF(COUNTIFS(counts!$C$2:$C$701,$C692,counts!$D$2:$D$701,$D692,counts!$E$2:$E$701,$E692)&gt;1,"two "&amp;$E692&amp;" counts: keep one; ","")&amp;IF(AND($E692="remaining_day5",N($J692)&lt;5),"day-5 count logged before day 5; ","")&amp;IF(AND($G692="photo",$H692=""),"which photo?; ",""))</f>
        <v/>
      </c>
    </row>
    <row r="693">
      <c r="A693" s="9" t="n"/>
      <c r="B693" s="33" t="n"/>
      <c r="J693" s="25">
        <f>IF(OR($C693="",$A693=""),"",IF($A693&lt;IFERROR(IF(INDEX(campaigns!$BG$2:$BG$51,MATCH($C693,campaigns!$A$2:$A$51,0))="","",INDEX(campaigns!$BG$2:$BG$51,MATCH($C693,campaigns!$A$2:$A$51,0))),""),0,NETWORKDAYS(IFERROR(IF(INDEX(campaigns!$BG$2:$BG$51,MATCH($C693,campaigns!$A$2:$A$51,0))="","",INDEX(campaigns!$BG$2:$BG$51,MATCH($C693,campaigns!$A$2:$A$51,0))),""),$A693,calendar!$A$2:$A$80)))</f>
        <v/>
      </c>
      <c r="K693" s="25">
        <f>IF($C693="","",IF(COUNTIF(campaigns!$A$2:$A$51,$C693)=0,"campaign_id not on campaigns; ",IF(AND($D693&lt;&gt;"",COUNTIFS(approvals!$A$2:$A$251,$C693,approvals!$B$2:$B$251,$D693)=0),"office not on this campaign (approvals tab); ",""))&amp;IF(COUNTIFS(counts!$C$2:$C$701,$C693,counts!$D$2:$D$701,$D693,counts!$E$2:$E$701,$E693)&gt;1,"two "&amp;$E693&amp;" counts: keep one; ","")&amp;IF(AND($E693="remaining_day5",N($J693)&lt;5),"day-5 count logged before day 5; ","")&amp;IF(AND($G693="photo",$H693=""),"which photo?; ",""))</f>
        <v/>
      </c>
    </row>
    <row r="694">
      <c r="A694" s="9" t="n"/>
      <c r="B694" s="33" t="n"/>
      <c r="J694" s="25">
        <f>IF(OR($C694="",$A694=""),"",IF($A694&lt;IFERROR(IF(INDEX(campaigns!$BG$2:$BG$51,MATCH($C694,campaigns!$A$2:$A$51,0))="","",INDEX(campaigns!$BG$2:$BG$51,MATCH($C694,campaigns!$A$2:$A$51,0))),""),0,NETWORKDAYS(IFERROR(IF(INDEX(campaigns!$BG$2:$BG$51,MATCH($C694,campaigns!$A$2:$A$51,0))="","",INDEX(campaigns!$BG$2:$BG$51,MATCH($C694,campaigns!$A$2:$A$51,0))),""),$A694,calendar!$A$2:$A$80)))</f>
        <v/>
      </c>
      <c r="K694" s="25">
        <f>IF($C694="","",IF(COUNTIF(campaigns!$A$2:$A$51,$C694)=0,"campaign_id not on campaigns; ",IF(AND($D694&lt;&gt;"",COUNTIFS(approvals!$A$2:$A$251,$C694,approvals!$B$2:$B$251,$D694)=0),"office not on this campaign (approvals tab); ",""))&amp;IF(COUNTIFS(counts!$C$2:$C$701,$C694,counts!$D$2:$D$701,$D694,counts!$E$2:$E$701,$E694)&gt;1,"two "&amp;$E694&amp;" counts: keep one; ","")&amp;IF(AND($E694="remaining_day5",N($J694)&lt;5),"day-5 count logged before day 5; ","")&amp;IF(AND($G694="photo",$H694=""),"which photo?; ",""))</f>
        <v/>
      </c>
    </row>
    <row r="695">
      <c r="A695" s="9" t="n"/>
      <c r="B695" s="33" t="n"/>
      <c r="J695" s="25">
        <f>IF(OR($C695="",$A695=""),"",IF($A695&lt;IFERROR(IF(INDEX(campaigns!$BG$2:$BG$51,MATCH($C695,campaigns!$A$2:$A$51,0))="","",INDEX(campaigns!$BG$2:$BG$51,MATCH($C695,campaigns!$A$2:$A$51,0))),""),0,NETWORKDAYS(IFERROR(IF(INDEX(campaigns!$BG$2:$BG$51,MATCH($C695,campaigns!$A$2:$A$51,0))="","",INDEX(campaigns!$BG$2:$BG$51,MATCH($C695,campaigns!$A$2:$A$51,0))),""),$A695,calendar!$A$2:$A$80)))</f>
        <v/>
      </c>
      <c r="K695" s="25">
        <f>IF($C695="","",IF(COUNTIF(campaigns!$A$2:$A$51,$C695)=0,"campaign_id not on campaigns; ",IF(AND($D695&lt;&gt;"",COUNTIFS(approvals!$A$2:$A$251,$C695,approvals!$B$2:$B$251,$D695)=0),"office not on this campaign (approvals tab); ",""))&amp;IF(COUNTIFS(counts!$C$2:$C$701,$C695,counts!$D$2:$D$701,$D695,counts!$E$2:$E$701,$E695)&gt;1,"two "&amp;$E695&amp;" counts: keep one; ","")&amp;IF(AND($E695="remaining_day5",N($J695)&lt;5),"day-5 count logged before day 5; ","")&amp;IF(AND($G695="photo",$H695=""),"which photo?; ",""))</f>
        <v/>
      </c>
    </row>
    <row r="696">
      <c r="A696" s="9" t="n"/>
      <c r="B696" s="33" t="n"/>
      <c r="J696" s="25">
        <f>IF(OR($C696="",$A696=""),"",IF($A696&lt;IFERROR(IF(INDEX(campaigns!$BG$2:$BG$51,MATCH($C696,campaigns!$A$2:$A$51,0))="","",INDEX(campaigns!$BG$2:$BG$51,MATCH($C696,campaigns!$A$2:$A$51,0))),""),0,NETWORKDAYS(IFERROR(IF(INDEX(campaigns!$BG$2:$BG$51,MATCH($C696,campaigns!$A$2:$A$51,0))="","",INDEX(campaigns!$BG$2:$BG$51,MATCH($C696,campaigns!$A$2:$A$51,0))),""),$A696,calendar!$A$2:$A$80)))</f>
        <v/>
      </c>
      <c r="K696" s="25">
        <f>IF($C696="","",IF(COUNTIF(campaigns!$A$2:$A$51,$C696)=0,"campaign_id not on campaigns; ",IF(AND($D696&lt;&gt;"",COUNTIFS(approvals!$A$2:$A$251,$C696,approvals!$B$2:$B$251,$D696)=0),"office not on this campaign (approvals tab); ",""))&amp;IF(COUNTIFS(counts!$C$2:$C$701,$C696,counts!$D$2:$D$701,$D696,counts!$E$2:$E$701,$E696)&gt;1,"two "&amp;$E696&amp;" counts: keep one; ","")&amp;IF(AND($E696="remaining_day5",N($J696)&lt;5),"day-5 count logged before day 5; ","")&amp;IF(AND($G696="photo",$H696=""),"which photo?; ",""))</f>
        <v/>
      </c>
    </row>
    <row r="697">
      <c r="A697" s="9" t="n"/>
      <c r="B697" s="33" t="n"/>
      <c r="J697" s="25">
        <f>IF(OR($C697="",$A697=""),"",IF($A697&lt;IFERROR(IF(INDEX(campaigns!$BG$2:$BG$51,MATCH($C697,campaigns!$A$2:$A$51,0))="","",INDEX(campaigns!$BG$2:$BG$51,MATCH($C697,campaigns!$A$2:$A$51,0))),""),0,NETWORKDAYS(IFERROR(IF(INDEX(campaigns!$BG$2:$BG$51,MATCH($C697,campaigns!$A$2:$A$51,0))="","",INDEX(campaigns!$BG$2:$BG$51,MATCH($C697,campaigns!$A$2:$A$51,0))),""),$A697,calendar!$A$2:$A$80)))</f>
        <v/>
      </c>
      <c r="K697" s="25">
        <f>IF($C697="","",IF(COUNTIF(campaigns!$A$2:$A$51,$C697)=0,"campaign_id not on campaigns; ",IF(AND($D697&lt;&gt;"",COUNTIFS(approvals!$A$2:$A$251,$C697,approvals!$B$2:$B$251,$D697)=0),"office not on this campaign (approvals tab); ",""))&amp;IF(COUNTIFS(counts!$C$2:$C$701,$C697,counts!$D$2:$D$701,$D697,counts!$E$2:$E$701,$E697)&gt;1,"two "&amp;$E697&amp;" counts: keep one; ","")&amp;IF(AND($E697="remaining_day5",N($J697)&lt;5),"day-5 count logged before day 5; ","")&amp;IF(AND($G697="photo",$H697=""),"which photo?; ",""))</f>
        <v/>
      </c>
    </row>
    <row r="698">
      <c r="A698" s="9" t="n"/>
      <c r="B698" s="33" t="n"/>
      <c r="J698" s="25">
        <f>IF(OR($C698="",$A698=""),"",IF($A698&lt;IFERROR(IF(INDEX(campaigns!$BG$2:$BG$51,MATCH($C698,campaigns!$A$2:$A$51,0))="","",INDEX(campaigns!$BG$2:$BG$51,MATCH($C698,campaigns!$A$2:$A$51,0))),""),0,NETWORKDAYS(IFERROR(IF(INDEX(campaigns!$BG$2:$BG$51,MATCH($C698,campaigns!$A$2:$A$51,0))="","",INDEX(campaigns!$BG$2:$BG$51,MATCH($C698,campaigns!$A$2:$A$51,0))),""),$A698,calendar!$A$2:$A$80)))</f>
        <v/>
      </c>
      <c r="K698" s="25">
        <f>IF($C698="","",IF(COUNTIF(campaigns!$A$2:$A$51,$C698)=0,"campaign_id not on campaigns; ",IF(AND($D698&lt;&gt;"",COUNTIFS(approvals!$A$2:$A$251,$C698,approvals!$B$2:$B$251,$D698)=0),"office not on this campaign (approvals tab); ",""))&amp;IF(COUNTIFS(counts!$C$2:$C$701,$C698,counts!$D$2:$D$701,$D698,counts!$E$2:$E$701,$E698)&gt;1,"two "&amp;$E698&amp;" counts: keep one; ","")&amp;IF(AND($E698="remaining_day5",N($J698)&lt;5),"day-5 count logged before day 5; ","")&amp;IF(AND($G698="photo",$H698=""),"which photo?; ",""))</f>
        <v/>
      </c>
    </row>
    <row r="699">
      <c r="A699" s="9" t="n"/>
      <c r="B699" s="33" t="n"/>
      <c r="J699" s="25">
        <f>IF(OR($C699="",$A699=""),"",IF($A699&lt;IFERROR(IF(INDEX(campaigns!$BG$2:$BG$51,MATCH($C699,campaigns!$A$2:$A$51,0))="","",INDEX(campaigns!$BG$2:$BG$51,MATCH($C699,campaigns!$A$2:$A$51,0))),""),0,NETWORKDAYS(IFERROR(IF(INDEX(campaigns!$BG$2:$BG$51,MATCH($C699,campaigns!$A$2:$A$51,0))="","",INDEX(campaigns!$BG$2:$BG$51,MATCH($C699,campaigns!$A$2:$A$51,0))),""),$A699,calendar!$A$2:$A$80)))</f>
        <v/>
      </c>
      <c r="K699" s="25">
        <f>IF($C699="","",IF(COUNTIF(campaigns!$A$2:$A$51,$C699)=0,"campaign_id not on campaigns; ",IF(AND($D699&lt;&gt;"",COUNTIFS(approvals!$A$2:$A$251,$C699,approvals!$B$2:$B$251,$D699)=0),"office not on this campaign (approvals tab); ",""))&amp;IF(COUNTIFS(counts!$C$2:$C$701,$C699,counts!$D$2:$D$701,$D699,counts!$E$2:$E$701,$E699)&gt;1,"two "&amp;$E699&amp;" counts: keep one; ","")&amp;IF(AND($E699="remaining_day5",N($J699)&lt;5),"day-5 count logged before day 5; ","")&amp;IF(AND($G699="photo",$H699=""),"which photo?; ",""))</f>
        <v/>
      </c>
    </row>
    <row r="700">
      <c r="A700" s="9" t="n"/>
      <c r="B700" s="33" t="n"/>
      <c r="J700" s="25">
        <f>IF(OR($C700="",$A700=""),"",IF($A700&lt;IFERROR(IF(INDEX(campaigns!$BG$2:$BG$51,MATCH($C700,campaigns!$A$2:$A$51,0))="","",INDEX(campaigns!$BG$2:$BG$51,MATCH($C700,campaigns!$A$2:$A$51,0))),""),0,NETWORKDAYS(IFERROR(IF(INDEX(campaigns!$BG$2:$BG$51,MATCH($C700,campaigns!$A$2:$A$51,0))="","",INDEX(campaigns!$BG$2:$BG$51,MATCH($C700,campaigns!$A$2:$A$51,0))),""),$A700,calendar!$A$2:$A$80)))</f>
        <v/>
      </c>
      <c r="K700" s="25">
        <f>IF($C700="","",IF(COUNTIF(campaigns!$A$2:$A$51,$C700)=0,"campaign_id not on campaigns; ",IF(AND($D700&lt;&gt;"",COUNTIFS(approvals!$A$2:$A$251,$C700,approvals!$B$2:$B$251,$D700)=0),"office not on this campaign (approvals tab); ",""))&amp;IF(COUNTIFS(counts!$C$2:$C$701,$C700,counts!$D$2:$D$701,$D700,counts!$E$2:$E$701,$E700)&gt;1,"two "&amp;$E700&amp;" counts: keep one; ","")&amp;IF(AND($E700="remaining_day5",N($J700)&lt;5),"day-5 count logged before day 5; ","")&amp;IF(AND($G700="photo",$H700=""),"which photo?; ",""))</f>
        <v/>
      </c>
    </row>
    <row r="701">
      <c r="A701" s="9" t="n"/>
      <c r="B701" s="33" t="n"/>
      <c r="J701" s="25">
        <f>IF(OR($C701="",$A701=""),"",IF($A701&lt;IFERROR(IF(INDEX(campaigns!$BG$2:$BG$51,MATCH($C701,campaigns!$A$2:$A$51,0))="","",INDEX(campaigns!$BG$2:$BG$51,MATCH($C701,campaigns!$A$2:$A$51,0))),""),0,NETWORKDAYS(IFERROR(IF(INDEX(campaigns!$BG$2:$BG$51,MATCH($C701,campaigns!$A$2:$A$51,0))="","",INDEX(campaigns!$BG$2:$BG$51,MATCH($C701,campaigns!$A$2:$A$51,0))),""),$A701,calendar!$A$2:$A$80)))</f>
        <v/>
      </c>
      <c r="K701" s="25">
        <f>IF($C701="","",IF(COUNTIF(campaigns!$A$2:$A$51,$C701)=0,"campaign_id not on campaigns; ",IF(AND($D701&lt;&gt;"",COUNTIFS(approvals!$A$2:$A$251,$C701,approvals!$B$2:$B$251,$D701)=0),"office not on this campaign (approvals tab); ",""))&amp;IF(COUNTIFS(counts!$C$2:$C$701,$C701,counts!$D$2:$D$701,$D701,counts!$E$2:$E$701,$E701)&gt;1,"two "&amp;$E701&amp;" counts: keep one; ","")&amp;IF(AND($E701="remaining_day5",N($J701)&lt;5),"day-5 count logged before day 5; ","")&amp;IF(AND($G701="photo",$H701=""),"which photo?; ",""))</f>
        <v/>
      </c>
    </row>
  </sheetData>
  <conditionalFormatting sqref="K2:K701">
    <cfRule type="expression" priority="1" dxfId="1">
      <formula>LEN(K2)&gt;0</formula>
    </cfRule>
  </conditionalFormatting>
  <dataValidations count="2">
    <dataValidation sqref="E2:E701" showDropDown="0" showInputMessage="0" showErrorMessage="1" allowBlank="1" errorTitle="Not on the list" error="Pick a value from the list." type="list">
      <formula1>"placed,remaining_day3,remaining_day5"</formula1>
    </dataValidation>
    <dataValidation sqref="G2:G701" showDropDown="0" showInputMessage="0" showErrorMessage="1" allowBlank="1" errorTitle="Not on the list" error="Pick a value from the list." type="list">
      <formula1>"photo,owner_report,founder_count"</formula1>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tabColor rgb="00E2EFDA"/>
    <outlinePr summaryBelow="1" summaryRight="1"/>
    <pageSetUpPr/>
  </sheetPr>
  <dimension ref="A1:S7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8" customWidth="1" min="6" max="6"/>
    <col width="14" customWidth="1" min="7" max="7"/>
    <col width="30" customWidth="1" min="8" max="8"/>
    <col width="14" customWidth="1" min="9" max="9"/>
    <col width="14" customWidth="1" min="10" max="10"/>
    <col width="14" customWidth="1" min="11" max="11"/>
    <col width="20" customWidth="1" min="12" max="12"/>
    <col width="14" customWidth="1" min="13" max="13"/>
    <col width="6" customWidth="1" min="14" max="14"/>
    <col width="7" customWidth="1" min="15" max="15"/>
    <col width="34" customWidth="1" min="16" max="16"/>
    <col width="30" customWidth="1" min="17" max="17"/>
    <col width="20" customWidth="1" min="18" max="18"/>
    <col width="24" customWidth="1" min="19" max="19"/>
  </cols>
  <sheetData>
    <row r="1">
      <c r="A1" s="23" t="inlineStr">
        <is>
          <t>photo_id</t>
        </is>
      </c>
      <c r="B1" s="23" t="inlineStr">
        <is>
          <t>campaign_id</t>
        </is>
      </c>
      <c r="C1" s="23" t="inlineStr">
        <is>
          <t>office_id</t>
        </is>
      </c>
      <c r="D1" s="23" t="inlineStr">
        <is>
          <t>photo_type</t>
        </is>
      </c>
      <c r="E1" s="23" t="inlineStr">
        <is>
          <t>taken_date</t>
        </is>
      </c>
      <c r="F1" s="23" t="inlineStr">
        <is>
          <t>taken_time</t>
        </is>
      </c>
      <c r="G1" s="23" t="inlineStr">
        <is>
          <t>source</t>
        </is>
      </c>
      <c r="H1" s="23" t="inlineStr">
        <is>
          <t>file_name</t>
        </is>
      </c>
      <c r="I1" s="23" t="inlineStr">
        <is>
          <t>received_date</t>
        </is>
      </c>
      <c r="J1" s="23" t="inlineStr">
        <is>
          <t>card_visible</t>
        </is>
      </c>
      <c r="K1" s="23" t="inlineStr">
        <is>
          <t>no_people_or_screens</t>
        </is>
      </c>
      <c r="L1" s="23" t="inlineStr">
        <is>
          <t>note</t>
        </is>
      </c>
      <c r="M1" s="24" t="inlineStr">
        <is>
          <t>drop_date</t>
        </is>
      </c>
      <c r="N1" s="24" t="inlineStr">
        <is>
          <t>window_day</t>
        </is>
      </c>
      <c r="O1" s="24" t="inlineStr">
        <is>
          <t>usable</t>
        </is>
      </c>
      <c r="P1" s="24" t="inlineStr">
        <is>
          <t>expected_file_name</t>
        </is>
      </c>
      <c r="Q1" s="24" t="inlineStr">
        <is>
          <t>checks</t>
        </is>
      </c>
      <c r="R1" s="24" t="inlineStr">
        <is>
          <t>key</t>
        </is>
      </c>
      <c r="S1" s="24" t="inlineStr">
        <is>
          <t>key2</t>
        </is>
      </c>
    </row>
    <row r="2">
      <c r="A2" t="inlineStr">
        <is>
          <t>SAMPLE-PH-0001</t>
        </is>
      </c>
      <c r="B2" t="inlineStr">
        <is>
          <t>SAMPLE-CMP-001</t>
        </is>
      </c>
      <c r="C2" t="inlineStr">
        <is>
          <t>SAMPLE-O-001</t>
        </is>
      </c>
      <c r="D2" t="inlineStr">
        <is>
          <t>placement</t>
        </is>
      </c>
      <c r="E2" s="9" t="n">
        <v>46399</v>
      </c>
      <c r="F2" s="33" t="n">
        <v>0.3569444444444445</v>
      </c>
      <c r="G2" t="inlineStr">
        <is>
          <t>founder</t>
        </is>
      </c>
      <c r="H2" t="inlineStr">
        <is>
          <t>SAMPLE-CMP-001_SAMPLE-O-001_placement_2027-01-12.jpg</t>
        </is>
      </c>
      <c r="I2" s="9" t="n">
        <v>46399</v>
      </c>
      <c r="J2" t="inlineStr">
        <is>
          <t>Y</t>
        </is>
      </c>
      <c r="K2" t="inlineStr">
        <is>
          <t>Y</t>
        </is>
      </c>
      <c r="M2" s="26">
        <f>IF($B2="","",IFERROR(IF(INDEX(campaigns!$BG$2:$BG$51,MATCH($B2,campaigns!$A$2:$A$51,0))="","",INDEX(campaigns!$BG$2:$BG$51,MATCH($B2,campaigns!$A$2:$A$51,0))),""))</f>
        <v/>
      </c>
      <c r="N2" s="25">
        <f>IF(OR($B2="",$E2="",$M2=""),"",IF($E2&lt;$M2,0,NETWORKDAYS($M2,$E2,calendar!$A$2:$A$80)))</f>
        <v/>
      </c>
      <c r="O2" s="25">
        <f>IF($B2="","",IF(AND($K2="Y",OR($D2="later",$J2="Y")),"Y","N"))</f>
        <v/>
      </c>
      <c r="P2" s="25">
        <f>IF(OR($B2="",$E2=""),"",$B2&amp;"_"&amp;$C2&amp;"_"&amp;$D2&amp;"_"&amp;TEXT($E2,"yyyy-mm-dd")&amp;".jpg")</f>
        <v/>
      </c>
      <c r="Q2" s="25">
        <f>IF($B2="","",IF(COUNTIF(campaigns!$A$2:$A$51,$B2)=0,"campaign_id not on campaigns; ",IF(AND($C2&lt;&gt;"",COUNTIFS(approvals!$A$2:$A$251,$B2,approvals!$B$2:$B$251,$C2)=0),"office not on this campaign (approvals tab); ",""))&amp;IF($E2="","taken date missing; ","")&amp;IF(AND($H2&lt;&gt;"",$H2&lt;&gt;$P2),"file name differs from the convention; ","")&amp;IF(AND($D2="placement",$O2="Y",COUNTIF(photos!$R$2:$R$701,$R2)&gt;1),"two usable placement photos: mark one N; ","")&amp;IF($K2&lt;&gt;"Y","info: not usable (a person, screen or whiteboard may show): never used, delete the file; ","")&amp;IF(AND($D2="placement",$J2&lt;&gt;"Y"),"info: not usable as a placement photo (no card); ","")&amp;IF(AND($D2="placement",N($N2)&gt;2),"info: placed after the first business day; ","")&amp;IF(AND($D2="later",$N2&lt;&gt;"",OR(N($N2)&lt;3,N($N2)&gt;5)),"info: later photo outside day 3 to 5; ",""))</f>
        <v/>
      </c>
      <c r="R2" s="25">
        <f>IF($B2="","",$B2&amp;"|"&amp;$C2&amp;"|"&amp;$D2&amp;"|"&amp;$O2)</f>
        <v/>
      </c>
      <c r="S2" s="25">
        <f>IF($B2="","",$R2&amp;"|"&amp;N($E2))</f>
        <v/>
      </c>
    </row>
    <row r="3">
      <c r="A3" t="inlineStr">
        <is>
          <t>SAMPLE-PH-0003</t>
        </is>
      </c>
      <c r="B3" t="inlineStr">
        <is>
          <t>SAMPLE-CMP-001</t>
        </is>
      </c>
      <c r="C3" t="inlineStr">
        <is>
          <t>SAMPLE-O-002</t>
        </is>
      </c>
      <c r="D3" t="inlineStr">
        <is>
          <t>placement</t>
        </is>
      </c>
      <c r="E3" s="9" t="n">
        <v>46399</v>
      </c>
      <c r="F3" s="33" t="n">
        <v>0.4861111111111111</v>
      </c>
      <c r="G3" t="inlineStr">
        <is>
          <t>office</t>
        </is>
      </c>
      <c r="H3" t="inlineStr">
        <is>
          <t>SAMPLE-CMP-001_SAMPLE-O-002_placement_2027-01-12.jpg</t>
        </is>
      </c>
      <c r="I3" s="9" t="n">
        <v>46399</v>
      </c>
      <c r="J3" t="inlineStr">
        <is>
          <t>Y</t>
        </is>
      </c>
      <c r="K3" t="inlineStr">
        <is>
          <t>Y</t>
        </is>
      </c>
      <c r="M3" s="26">
        <f>IF($B3="","",IFERROR(IF(INDEX(campaigns!$BG$2:$BG$51,MATCH($B3,campaigns!$A$2:$A$51,0))="","",INDEX(campaigns!$BG$2:$BG$51,MATCH($B3,campaigns!$A$2:$A$51,0))),""))</f>
        <v/>
      </c>
      <c r="N3" s="25">
        <f>IF(OR($B3="",$E3="",$M3=""),"",IF($E3&lt;$M3,0,NETWORKDAYS($M3,$E3,calendar!$A$2:$A$80)))</f>
        <v/>
      </c>
      <c r="O3" s="25">
        <f>IF($B3="","",IF(AND($K3="Y",OR($D3="later",$J3="Y")),"Y","N"))</f>
        <v/>
      </c>
      <c r="P3" s="25">
        <f>IF(OR($B3="",$E3=""),"",$B3&amp;"_"&amp;$C3&amp;"_"&amp;$D3&amp;"_"&amp;TEXT($E3,"yyyy-mm-dd")&amp;".jpg")</f>
        <v/>
      </c>
      <c r="Q3" s="25">
        <f>IF($B3="","",IF(COUNTIF(campaigns!$A$2:$A$51,$B3)=0,"campaign_id not on campaigns; ",IF(AND($C3&lt;&gt;"",COUNTIFS(approvals!$A$2:$A$251,$B3,approvals!$B$2:$B$251,$C3)=0),"office not on this campaign (approvals tab); ",""))&amp;IF($E3="","taken date missing; ","")&amp;IF(AND($H3&lt;&gt;"",$H3&lt;&gt;$P3),"file name differs from the convention; ","")&amp;IF(AND($D3="placement",$O3="Y",COUNTIF(photos!$R$2:$R$701,$R3)&gt;1),"two usable placement photos: mark one N; ","")&amp;IF($K3&lt;&gt;"Y","info: not usable (a person, screen or whiteboard may show): never used, delete the file; ","")&amp;IF(AND($D3="placement",$J3&lt;&gt;"Y"),"info: not usable as a placement photo (no card); ","")&amp;IF(AND($D3="placement",N($N3)&gt;2),"info: placed after the first business day; ","")&amp;IF(AND($D3="later",$N3&lt;&gt;"",OR(N($N3)&lt;3,N($N3)&gt;5)),"info: later photo outside day 3 to 5; ",""))</f>
        <v/>
      </c>
      <c r="R3" s="25">
        <f>IF($B3="","",$B3&amp;"|"&amp;$C3&amp;"|"&amp;$D3&amp;"|"&amp;$O3)</f>
        <v/>
      </c>
      <c r="S3" s="25">
        <f>IF($B3="","",$R3&amp;"|"&amp;N($E3))</f>
        <v/>
      </c>
    </row>
    <row r="4">
      <c r="A4" t="inlineStr">
        <is>
          <t>SAMPLE-PH-0005</t>
        </is>
      </c>
      <c r="B4" t="inlineStr">
        <is>
          <t>SAMPLE-CMP-001</t>
        </is>
      </c>
      <c r="C4" t="inlineStr">
        <is>
          <t>SAMPLE-O-003</t>
        </is>
      </c>
      <c r="D4" t="inlineStr">
        <is>
          <t>placement</t>
        </is>
      </c>
      <c r="E4" s="9" t="n">
        <v>46399</v>
      </c>
      <c r="F4" s="33" t="n">
        <v>0.3819444444444444</v>
      </c>
      <c r="G4" t="inlineStr">
        <is>
          <t>founder</t>
        </is>
      </c>
      <c r="H4" t="inlineStr">
        <is>
          <t>SAMPLE-CMP-001_SAMPLE-O-003_placement_2027-01-12.jpg</t>
        </is>
      </c>
      <c r="I4" s="9" t="n">
        <v>46399</v>
      </c>
      <c r="J4" t="inlineStr">
        <is>
          <t>Y</t>
        </is>
      </c>
      <c r="K4" t="inlineStr">
        <is>
          <t>Y</t>
        </is>
      </c>
      <c r="M4" s="26">
        <f>IF($B4="","",IFERROR(IF(INDEX(campaigns!$BG$2:$BG$51,MATCH($B4,campaigns!$A$2:$A$51,0))="","",INDEX(campaigns!$BG$2:$BG$51,MATCH($B4,campaigns!$A$2:$A$51,0))),""))</f>
        <v/>
      </c>
      <c r="N4" s="25">
        <f>IF(OR($B4="",$E4="",$M4=""),"",IF($E4&lt;$M4,0,NETWORKDAYS($M4,$E4,calendar!$A$2:$A$80)))</f>
        <v/>
      </c>
      <c r="O4" s="25">
        <f>IF($B4="","",IF(AND($K4="Y",OR($D4="later",$J4="Y")),"Y","N"))</f>
        <v/>
      </c>
      <c r="P4" s="25">
        <f>IF(OR($B4="",$E4=""),"",$B4&amp;"_"&amp;$C4&amp;"_"&amp;$D4&amp;"_"&amp;TEXT($E4,"yyyy-mm-dd")&amp;".jpg")</f>
        <v/>
      </c>
      <c r="Q4" s="25">
        <f>IF($B4="","",IF(COUNTIF(campaigns!$A$2:$A$51,$B4)=0,"campaign_id not on campaigns; ",IF(AND($C4&lt;&gt;"",COUNTIFS(approvals!$A$2:$A$251,$B4,approvals!$B$2:$B$251,$C4)=0),"office not on this campaign (approvals tab); ",""))&amp;IF($E4="","taken date missing; ","")&amp;IF(AND($H4&lt;&gt;"",$H4&lt;&gt;$P4),"file name differs from the convention; ","")&amp;IF(AND($D4="placement",$O4="Y",COUNTIF(photos!$R$2:$R$701,$R4)&gt;1),"two usable placement photos: mark one N; ","")&amp;IF($K4&lt;&gt;"Y","info: not usable (a person, screen or whiteboard may show): never used, delete the file; ","")&amp;IF(AND($D4="placement",$J4&lt;&gt;"Y"),"info: not usable as a placement photo (no card); ","")&amp;IF(AND($D4="placement",N($N4)&gt;2),"info: placed after the first business day; ","")&amp;IF(AND($D4="later",$N4&lt;&gt;"",OR(N($N4)&lt;3,N($N4)&gt;5)),"info: later photo outside day 3 to 5; ",""))</f>
        <v/>
      </c>
      <c r="R4" s="25">
        <f>IF($B4="","",$B4&amp;"|"&amp;$C4&amp;"|"&amp;$D4&amp;"|"&amp;$O4)</f>
        <v/>
      </c>
      <c r="S4" s="25">
        <f>IF($B4="","",$R4&amp;"|"&amp;N($E4))</f>
        <v/>
      </c>
    </row>
    <row r="5">
      <c r="A5" t="inlineStr">
        <is>
          <t>SAMPLE-PH-0007</t>
        </is>
      </c>
      <c r="B5" t="inlineStr">
        <is>
          <t>SAMPLE-CMP-001</t>
        </is>
      </c>
      <c r="C5" t="inlineStr">
        <is>
          <t>SAMPLE-O-004</t>
        </is>
      </c>
      <c r="D5" t="inlineStr">
        <is>
          <t>placement</t>
        </is>
      </c>
      <c r="E5" s="9" t="n">
        <v>46401</v>
      </c>
      <c r="F5" s="33" t="n">
        <v>0.40625</v>
      </c>
      <c r="G5" t="inlineStr">
        <is>
          <t>office</t>
        </is>
      </c>
      <c r="H5" t="inlineStr">
        <is>
          <t>SAMPLE-CMP-001_SAMPLE-O-004_placement_2027-01-14.jpg</t>
        </is>
      </c>
      <c r="I5" s="9" t="n">
        <v>46401</v>
      </c>
      <c r="J5" t="inlineStr">
        <is>
          <t>Y</t>
        </is>
      </c>
      <c r="K5" t="inlineStr">
        <is>
          <t>Y</t>
        </is>
      </c>
      <c r="M5" s="26">
        <f>IF($B5="","",IFERROR(IF(INDEX(campaigns!$BG$2:$BG$51,MATCH($B5,campaigns!$A$2:$A$51,0))="","",INDEX(campaigns!$BG$2:$BG$51,MATCH($B5,campaigns!$A$2:$A$51,0))),""))</f>
        <v/>
      </c>
      <c r="N5" s="25">
        <f>IF(OR($B5="",$E5="",$M5=""),"",IF($E5&lt;$M5,0,NETWORKDAYS($M5,$E5,calendar!$A$2:$A$80)))</f>
        <v/>
      </c>
      <c r="O5" s="25">
        <f>IF($B5="","",IF(AND($K5="Y",OR($D5="later",$J5="Y")),"Y","N"))</f>
        <v/>
      </c>
      <c r="P5" s="25">
        <f>IF(OR($B5="",$E5=""),"",$B5&amp;"_"&amp;$C5&amp;"_"&amp;$D5&amp;"_"&amp;TEXT($E5,"yyyy-mm-dd")&amp;".jpg")</f>
        <v/>
      </c>
      <c r="Q5" s="25">
        <f>IF($B5="","",IF(COUNTIF(campaigns!$A$2:$A$51,$B5)=0,"campaign_id not on campaigns; ",IF(AND($C5&lt;&gt;"",COUNTIFS(approvals!$A$2:$A$251,$B5,approvals!$B$2:$B$251,$C5)=0),"office not on this campaign (approvals tab); ",""))&amp;IF($E5="","taken date missing; ","")&amp;IF(AND($H5&lt;&gt;"",$H5&lt;&gt;$P5),"file name differs from the convention; ","")&amp;IF(AND($D5="placement",$O5="Y",COUNTIF(photos!$R$2:$R$701,$R5)&gt;1),"two usable placement photos: mark one N; ","")&amp;IF($K5&lt;&gt;"Y","info: not usable (a person, screen or whiteboard may show): never used, delete the file; ","")&amp;IF(AND($D5="placement",$J5&lt;&gt;"Y"),"info: not usable as a placement photo (no card); ","")&amp;IF(AND($D5="placement",N($N5)&gt;2),"info: placed after the first business day; ","")&amp;IF(AND($D5="later",$N5&lt;&gt;"",OR(N($N5)&lt;3,N($N5)&gt;5)),"info: later photo outside day 3 to 5; ",""))</f>
        <v/>
      </c>
      <c r="R5" s="25">
        <f>IF($B5="","",$B5&amp;"|"&amp;$C5&amp;"|"&amp;$D5&amp;"|"&amp;$O5)</f>
        <v/>
      </c>
      <c r="S5" s="25">
        <f>IF($B5="","",$R5&amp;"|"&amp;N($E5))</f>
        <v/>
      </c>
    </row>
    <row r="6">
      <c r="A6" t="inlineStr">
        <is>
          <t>SAMPLE-PH-0009</t>
        </is>
      </c>
      <c r="B6" t="inlineStr">
        <is>
          <t>SAMPLE-CMP-001</t>
        </is>
      </c>
      <c r="C6" t="inlineStr">
        <is>
          <t>SAMPLE-O-005</t>
        </is>
      </c>
      <c r="D6" t="inlineStr">
        <is>
          <t>placement</t>
        </is>
      </c>
      <c r="E6" s="9" t="n">
        <v>46399</v>
      </c>
      <c r="F6" s="33" t="n">
        <v>0.5902777777777778</v>
      </c>
      <c r="G6" t="inlineStr">
        <is>
          <t>office</t>
        </is>
      </c>
      <c r="H6" t="inlineStr">
        <is>
          <t>SAMPLE-CMP-001_SAMPLE-O-005_placement_2027-01-12.jpg</t>
        </is>
      </c>
      <c r="I6" s="9" t="n">
        <v>46399</v>
      </c>
      <c r="J6" t="inlineStr">
        <is>
          <t>Y</t>
        </is>
      </c>
      <c r="K6" t="inlineStr">
        <is>
          <t>Y</t>
        </is>
      </c>
      <c r="M6" s="26">
        <f>IF($B6="","",IFERROR(IF(INDEX(campaigns!$BG$2:$BG$51,MATCH($B6,campaigns!$A$2:$A$51,0))="","",INDEX(campaigns!$BG$2:$BG$51,MATCH($B6,campaigns!$A$2:$A$51,0))),""))</f>
        <v/>
      </c>
      <c r="N6" s="25">
        <f>IF(OR($B6="",$E6="",$M6=""),"",IF($E6&lt;$M6,0,NETWORKDAYS($M6,$E6,calendar!$A$2:$A$80)))</f>
        <v/>
      </c>
      <c r="O6" s="25">
        <f>IF($B6="","",IF(AND($K6="Y",OR($D6="later",$J6="Y")),"Y","N"))</f>
        <v/>
      </c>
      <c r="P6" s="25">
        <f>IF(OR($B6="",$E6=""),"",$B6&amp;"_"&amp;$C6&amp;"_"&amp;$D6&amp;"_"&amp;TEXT($E6,"yyyy-mm-dd")&amp;".jpg")</f>
        <v/>
      </c>
      <c r="Q6" s="25">
        <f>IF($B6="","",IF(COUNTIF(campaigns!$A$2:$A$51,$B6)=0,"campaign_id not on campaigns; ",IF(AND($C6&lt;&gt;"",COUNTIFS(approvals!$A$2:$A$251,$B6,approvals!$B$2:$B$251,$C6)=0),"office not on this campaign (approvals tab); ",""))&amp;IF($E6="","taken date missing; ","")&amp;IF(AND($H6&lt;&gt;"",$H6&lt;&gt;$P6),"file name differs from the convention; ","")&amp;IF(AND($D6="placement",$O6="Y",COUNTIF(photos!$R$2:$R$701,$R6)&gt;1),"two usable placement photos: mark one N; ","")&amp;IF($K6&lt;&gt;"Y","info: not usable (a person, screen or whiteboard may show): never used, delete the file; ","")&amp;IF(AND($D6="placement",$J6&lt;&gt;"Y"),"info: not usable as a placement photo (no card); ","")&amp;IF(AND($D6="placement",N($N6)&gt;2),"info: placed after the first business day; ","")&amp;IF(AND($D6="later",$N6&lt;&gt;"",OR(N($N6)&lt;3,N($N6)&gt;5)),"info: later photo outside day 3 to 5; ",""))</f>
        <v/>
      </c>
      <c r="R6" s="25">
        <f>IF($B6="","",$B6&amp;"|"&amp;$C6&amp;"|"&amp;$D6&amp;"|"&amp;$O6)</f>
        <v/>
      </c>
      <c r="S6" s="25">
        <f>IF($B6="","",$R6&amp;"|"&amp;N($E6))</f>
        <v/>
      </c>
    </row>
    <row r="7">
      <c r="A7" t="inlineStr">
        <is>
          <t>SAMPLE-PH-0012</t>
        </is>
      </c>
      <c r="B7" t="inlineStr">
        <is>
          <t>SAMPLE-CMP-002</t>
        </is>
      </c>
      <c r="C7" t="inlineStr">
        <is>
          <t>SAMPLE-O-001</t>
        </is>
      </c>
      <c r="D7" t="inlineStr">
        <is>
          <t>placement</t>
        </is>
      </c>
      <c r="E7" s="9" t="n">
        <v>46399</v>
      </c>
      <c r="F7" s="33" t="n">
        <v>0.3569444444444445</v>
      </c>
      <c r="G7" t="inlineStr">
        <is>
          <t>founder</t>
        </is>
      </c>
      <c r="H7" t="inlineStr">
        <is>
          <t>SAMPLE-CMP-002_SAMPLE-O-001_placement_2027-01-12.jpg</t>
        </is>
      </c>
      <c r="I7" s="9" t="n">
        <v>46399</v>
      </c>
      <c r="J7" t="inlineStr">
        <is>
          <t>Y</t>
        </is>
      </c>
      <c r="K7" t="inlineStr">
        <is>
          <t>Y</t>
        </is>
      </c>
      <c r="M7" s="26">
        <f>IF($B7="","",IFERROR(IF(INDEX(campaigns!$BG$2:$BG$51,MATCH($B7,campaigns!$A$2:$A$51,0))="","",INDEX(campaigns!$BG$2:$BG$51,MATCH($B7,campaigns!$A$2:$A$51,0))),""))</f>
        <v/>
      </c>
      <c r="N7" s="25">
        <f>IF(OR($B7="",$E7="",$M7=""),"",IF($E7&lt;$M7,0,NETWORKDAYS($M7,$E7,calendar!$A$2:$A$80)))</f>
        <v/>
      </c>
      <c r="O7" s="25">
        <f>IF($B7="","",IF(AND($K7="Y",OR($D7="later",$J7="Y")),"Y","N"))</f>
        <v/>
      </c>
      <c r="P7" s="25">
        <f>IF(OR($B7="",$E7=""),"",$B7&amp;"_"&amp;$C7&amp;"_"&amp;$D7&amp;"_"&amp;TEXT($E7,"yyyy-mm-dd")&amp;".jpg")</f>
        <v/>
      </c>
      <c r="Q7" s="25">
        <f>IF($B7="","",IF(COUNTIF(campaigns!$A$2:$A$51,$B7)=0,"campaign_id not on campaigns; ",IF(AND($C7&lt;&gt;"",COUNTIFS(approvals!$A$2:$A$251,$B7,approvals!$B$2:$B$251,$C7)=0),"office not on this campaign (approvals tab); ",""))&amp;IF($E7="","taken date missing; ","")&amp;IF(AND($H7&lt;&gt;"",$H7&lt;&gt;$P7),"file name differs from the convention; ","")&amp;IF(AND($D7="placement",$O7="Y",COUNTIF(photos!$R$2:$R$701,$R7)&gt;1),"two usable placement photos: mark one N; ","")&amp;IF($K7&lt;&gt;"Y","info: not usable (a person, screen or whiteboard may show): never used, delete the file; ","")&amp;IF(AND($D7="placement",$J7&lt;&gt;"Y"),"info: not usable as a placement photo (no card); ","")&amp;IF(AND($D7="placement",N($N7)&gt;2),"info: placed after the first business day; ","")&amp;IF(AND($D7="later",$N7&lt;&gt;"",OR(N($N7)&lt;3,N($N7)&gt;5)),"info: later photo outside day 3 to 5; ",""))</f>
        <v/>
      </c>
      <c r="R7" s="25">
        <f>IF($B7="","",$B7&amp;"|"&amp;$C7&amp;"|"&amp;$D7&amp;"|"&amp;$O7)</f>
        <v/>
      </c>
      <c r="S7" s="25">
        <f>IF($B7="","",$R7&amp;"|"&amp;N($E7))</f>
        <v/>
      </c>
    </row>
    <row r="8">
      <c r="A8" t="inlineStr">
        <is>
          <t>SAMPLE-PH-0014</t>
        </is>
      </c>
      <c r="B8" t="inlineStr">
        <is>
          <t>SAMPLE-CMP-002</t>
        </is>
      </c>
      <c r="C8" t="inlineStr">
        <is>
          <t>SAMPLE-O-002</t>
        </is>
      </c>
      <c r="D8" t="inlineStr">
        <is>
          <t>placement</t>
        </is>
      </c>
      <c r="E8" s="9" t="n">
        <v>46399</v>
      </c>
      <c r="F8" s="33" t="n">
        <v>0.4861111111111111</v>
      </c>
      <c r="G8" t="inlineStr">
        <is>
          <t>office</t>
        </is>
      </c>
      <c r="H8" t="inlineStr">
        <is>
          <t>SAMPLE-CMP-002_SAMPLE-O-002_placement_2027-01-12.jpg</t>
        </is>
      </c>
      <c r="I8" s="9" t="n">
        <v>46399</v>
      </c>
      <c r="J8" t="inlineStr">
        <is>
          <t>Y</t>
        </is>
      </c>
      <c r="K8" t="inlineStr">
        <is>
          <t>Y</t>
        </is>
      </c>
      <c r="M8" s="26">
        <f>IF($B8="","",IFERROR(IF(INDEX(campaigns!$BG$2:$BG$51,MATCH($B8,campaigns!$A$2:$A$51,0))="","",INDEX(campaigns!$BG$2:$BG$51,MATCH($B8,campaigns!$A$2:$A$51,0))),""))</f>
        <v/>
      </c>
      <c r="N8" s="25">
        <f>IF(OR($B8="",$E8="",$M8=""),"",IF($E8&lt;$M8,0,NETWORKDAYS($M8,$E8,calendar!$A$2:$A$80)))</f>
        <v/>
      </c>
      <c r="O8" s="25">
        <f>IF($B8="","",IF(AND($K8="Y",OR($D8="later",$J8="Y")),"Y","N"))</f>
        <v/>
      </c>
      <c r="P8" s="25">
        <f>IF(OR($B8="",$E8=""),"",$B8&amp;"_"&amp;$C8&amp;"_"&amp;$D8&amp;"_"&amp;TEXT($E8,"yyyy-mm-dd")&amp;".jpg")</f>
        <v/>
      </c>
      <c r="Q8" s="25">
        <f>IF($B8="","",IF(COUNTIF(campaigns!$A$2:$A$51,$B8)=0,"campaign_id not on campaigns; ",IF(AND($C8&lt;&gt;"",COUNTIFS(approvals!$A$2:$A$251,$B8,approvals!$B$2:$B$251,$C8)=0),"office not on this campaign (approvals tab); ",""))&amp;IF($E8="","taken date missing; ","")&amp;IF(AND($H8&lt;&gt;"",$H8&lt;&gt;$P8),"file name differs from the convention; ","")&amp;IF(AND($D8="placement",$O8="Y",COUNTIF(photos!$R$2:$R$701,$R8)&gt;1),"two usable placement photos: mark one N; ","")&amp;IF($K8&lt;&gt;"Y","info: not usable (a person, screen or whiteboard may show): never used, delete the file; ","")&amp;IF(AND($D8="placement",$J8&lt;&gt;"Y"),"info: not usable as a placement photo (no card); ","")&amp;IF(AND($D8="placement",N($N8)&gt;2),"info: placed after the first business day; ","")&amp;IF(AND($D8="later",$N8&lt;&gt;"",OR(N($N8)&lt;3,N($N8)&gt;5)),"info: later photo outside day 3 to 5; ",""))</f>
        <v/>
      </c>
      <c r="R8" s="25">
        <f>IF($B8="","",$B8&amp;"|"&amp;$C8&amp;"|"&amp;$D8&amp;"|"&amp;$O8)</f>
        <v/>
      </c>
      <c r="S8" s="25">
        <f>IF($B8="","",$R8&amp;"|"&amp;N($E8))</f>
        <v/>
      </c>
    </row>
    <row r="9">
      <c r="A9" t="inlineStr">
        <is>
          <t>SAMPLE-PH-0015</t>
        </is>
      </c>
      <c r="B9" t="inlineStr">
        <is>
          <t>SAMPLE-CMP-002</t>
        </is>
      </c>
      <c r="C9" t="inlineStr">
        <is>
          <t>SAMPLE-O-002</t>
        </is>
      </c>
      <c r="D9" t="inlineStr">
        <is>
          <t>later</t>
        </is>
      </c>
      <c r="E9" s="9" t="n">
        <v>46401</v>
      </c>
      <c r="F9" s="33" t="n">
        <v>0.6388888888888888</v>
      </c>
      <c r="G9" t="inlineStr">
        <is>
          <t>office</t>
        </is>
      </c>
      <c r="H9" t="inlineStr">
        <is>
          <t>SAMPLE-CMP-002_SAMPLE-O-002_later_2027-01-14.jpg</t>
        </is>
      </c>
      <c r="I9" s="9" t="n">
        <v>46401</v>
      </c>
      <c r="J9" t="inlineStr">
        <is>
          <t>Y</t>
        </is>
      </c>
      <c r="K9" t="inlineStr">
        <is>
          <t>Y</t>
        </is>
      </c>
      <c r="M9" s="26">
        <f>IF($B9="","",IFERROR(IF(INDEX(campaigns!$BG$2:$BG$51,MATCH($B9,campaigns!$A$2:$A$51,0))="","",INDEX(campaigns!$BG$2:$BG$51,MATCH($B9,campaigns!$A$2:$A$51,0))),""))</f>
        <v/>
      </c>
      <c r="N9" s="25">
        <f>IF(OR($B9="",$E9="",$M9=""),"",IF($E9&lt;$M9,0,NETWORKDAYS($M9,$E9,calendar!$A$2:$A$80)))</f>
        <v/>
      </c>
      <c r="O9" s="25">
        <f>IF($B9="","",IF(AND($K9="Y",OR($D9="later",$J9="Y")),"Y","N"))</f>
        <v/>
      </c>
      <c r="P9" s="25">
        <f>IF(OR($B9="",$E9=""),"",$B9&amp;"_"&amp;$C9&amp;"_"&amp;$D9&amp;"_"&amp;TEXT($E9,"yyyy-mm-dd")&amp;".jpg")</f>
        <v/>
      </c>
      <c r="Q9" s="25">
        <f>IF($B9="","",IF(COUNTIF(campaigns!$A$2:$A$51,$B9)=0,"campaign_id not on campaigns; ",IF(AND($C9&lt;&gt;"",COUNTIFS(approvals!$A$2:$A$251,$B9,approvals!$B$2:$B$251,$C9)=0),"office not on this campaign (approvals tab); ",""))&amp;IF($E9="","taken date missing; ","")&amp;IF(AND($H9&lt;&gt;"",$H9&lt;&gt;$P9),"file name differs from the convention; ","")&amp;IF(AND($D9="placement",$O9="Y",COUNTIF(photos!$R$2:$R$701,$R9)&gt;1),"two usable placement photos: mark one N; ","")&amp;IF($K9&lt;&gt;"Y","info: not usable (a person, screen or whiteboard may show): never used, delete the file; ","")&amp;IF(AND($D9="placement",$J9&lt;&gt;"Y"),"info: not usable as a placement photo (no card); ","")&amp;IF(AND($D9="placement",N($N9)&gt;2),"info: placed after the first business day; ","")&amp;IF(AND($D9="later",$N9&lt;&gt;"",OR(N($N9)&lt;3,N($N9)&gt;5)),"info: later photo outside day 3 to 5; ",""))</f>
        <v/>
      </c>
      <c r="R9" s="25">
        <f>IF($B9="","",$B9&amp;"|"&amp;$C9&amp;"|"&amp;$D9&amp;"|"&amp;$O9)</f>
        <v/>
      </c>
      <c r="S9" s="25">
        <f>IF($B9="","",$R9&amp;"|"&amp;N($E9))</f>
        <v/>
      </c>
    </row>
    <row r="10">
      <c r="A10" t="inlineStr">
        <is>
          <t>SAMPLE-PH-0016</t>
        </is>
      </c>
      <c r="B10" t="inlineStr">
        <is>
          <t>SAMPLE-CMP-002</t>
        </is>
      </c>
      <c r="C10" t="inlineStr">
        <is>
          <t>SAMPLE-O-003</t>
        </is>
      </c>
      <c r="D10" t="inlineStr">
        <is>
          <t>placement</t>
        </is>
      </c>
      <c r="E10" s="9" t="n">
        <v>46399</v>
      </c>
      <c r="F10" s="33" t="n">
        <v>0.3819444444444444</v>
      </c>
      <c r="G10" t="inlineStr">
        <is>
          <t>founder</t>
        </is>
      </c>
      <c r="H10" t="inlineStr">
        <is>
          <t>SAMPLE-CMP-002_SAMPLE-O-003_placement_2027-01-12.jpg</t>
        </is>
      </c>
      <c r="I10" s="9" t="n">
        <v>46399</v>
      </c>
      <c r="J10" t="inlineStr">
        <is>
          <t>Y</t>
        </is>
      </c>
      <c r="K10" t="inlineStr">
        <is>
          <t>Y</t>
        </is>
      </c>
      <c r="M10" s="26">
        <f>IF($B10="","",IFERROR(IF(INDEX(campaigns!$BG$2:$BG$51,MATCH($B10,campaigns!$A$2:$A$51,0))="","",INDEX(campaigns!$BG$2:$BG$51,MATCH($B10,campaigns!$A$2:$A$51,0))),""))</f>
        <v/>
      </c>
      <c r="N10" s="25">
        <f>IF(OR($B10="",$E10="",$M10=""),"",IF($E10&lt;$M10,0,NETWORKDAYS($M10,$E10,calendar!$A$2:$A$80)))</f>
        <v/>
      </c>
      <c r="O10" s="25">
        <f>IF($B10="","",IF(AND($K10="Y",OR($D10="later",$J10="Y")),"Y","N"))</f>
        <v/>
      </c>
      <c r="P10" s="25">
        <f>IF(OR($B10="",$E10=""),"",$B10&amp;"_"&amp;$C10&amp;"_"&amp;$D10&amp;"_"&amp;TEXT($E10,"yyyy-mm-dd")&amp;".jpg")</f>
        <v/>
      </c>
      <c r="Q10" s="25">
        <f>IF($B10="","",IF(COUNTIF(campaigns!$A$2:$A$51,$B10)=0,"campaign_id not on campaigns; ",IF(AND($C10&lt;&gt;"",COUNTIFS(approvals!$A$2:$A$251,$B10,approvals!$B$2:$B$251,$C10)=0),"office not on this campaign (approvals tab); ",""))&amp;IF($E10="","taken date missing; ","")&amp;IF(AND($H10&lt;&gt;"",$H10&lt;&gt;$P10),"file name differs from the convention; ","")&amp;IF(AND($D10="placement",$O10="Y",COUNTIF(photos!$R$2:$R$701,$R10)&gt;1),"two usable placement photos: mark one N; ","")&amp;IF($K10&lt;&gt;"Y","info: not usable (a person, screen or whiteboard may show): never used, delete the file; ","")&amp;IF(AND($D10="placement",$J10&lt;&gt;"Y"),"info: not usable as a placement photo (no card); ","")&amp;IF(AND($D10="placement",N($N10)&gt;2),"info: placed after the first business day; ","")&amp;IF(AND($D10="later",$N10&lt;&gt;"",OR(N($N10)&lt;3,N($N10)&gt;5)),"info: later photo outside day 3 to 5; ",""))</f>
        <v/>
      </c>
      <c r="R10" s="25">
        <f>IF($B10="","",$B10&amp;"|"&amp;$C10&amp;"|"&amp;$D10&amp;"|"&amp;$O10)</f>
        <v/>
      </c>
      <c r="S10" s="25">
        <f>IF($B10="","",$R10&amp;"|"&amp;N($E10))</f>
        <v/>
      </c>
    </row>
    <row r="11">
      <c r="A11" t="inlineStr">
        <is>
          <t>SAMPLE-PH-0017</t>
        </is>
      </c>
      <c r="B11" t="inlineStr">
        <is>
          <t>SAMPLE-CMP-002</t>
        </is>
      </c>
      <c r="C11" t="inlineStr">
        <is>
          <t>SAMPLE-O-004</t>
        </is>
      </c>
      <c r="D11" t="inlineStr">
        <is>
          <t>placement</t>
        </is>
      </c>
      <c r="E11" s="9" t="n">
        <v>46400</v>
      </c>
      <c r="F11" s="33" t="n">
        <v>0.3784722222222222</v>
      </c>
      <c r="G11" t="inlineStr">
        <is>
          <t>office</t>
        </is>
      </c>
      <c r="H11" t="inlineStr">
        <is>
          <t>SAMPLE-CMP-002_SAMPLE-O-004_placement_2027-01-13.jpg</t>
        </is>
      </c>
      <c r="I11" s="9" t="n">
        <v>46400</v>
      </c>
      <c r="J11" t="inlineStr">
        <is>
          <t>Y</t>
        </is>
      </c>
      <c r="K11" t="inlineStr">
        <is>
          <t>Y</t>
        </is>
      </c>
      <c r="M11" s="26">
        <f>IF($B11="","",IFERROR(IF(INDEX(campaigns!$BG$2:$BG$51,MATCH($B11,campaigns!$A$2:$A$51,0))="","",INDEX(campaigns!$BG$2:$BG$51,MATCH($B11,campaigns!$A$2:$A$51,0))),""))</f>
        <v/>
      </c>
      <c r="N11" s="25">
        <f>IF(OR($B11="",$E11="",$M11=""),"",IF($E11&lt;$M11,0,NETWORKDAYS($M11,$E11,calendar!$A$2:$A$80)))</f>
        <v/>
      </c>
      <c r="O11" s="25">
        <f>IF($B11="","",IF(AND($K11="Y",OR($D11="later",$J11="Y")),"Y","N"))</f>
        <v/>
      </c>
      <c r="P11" s="25">
        <f>IF(OR($B11="",$E11=""),"",$B11&amp;"_"&amp;$C11&amp;"_"&amp;$D11&amp;"_"&amp;TEXT($E11,"yyyy-mm-dd")&amp;".jpg")</f>
        <v/>
      </c>
      <c r="Q11" s="25">
        <f>IF($B11="","",IF(COUNTIF(campaigns!$A$2:$A$51,$B11)=0,"campaign_id not on campaigns; ",IF(AND($C11&lt;&gt;"",COUNTIFS(approvals!$A$2:$A$251,$B11,approvals!$B$2:$B$251,$C11)=0),"office not on this campaign (approvals tab); ",""))&amp;IF($E11="","taken date missing; ","")&amp;IF(AND($H11&lt;&gt;"",$H11&lt;&gt;$P11),"file name differs from the convention; ","")&amp;IF(AND($D11="placement",$O11="Y",COUNTIF(photos!$R$2:$R$701,$R11)&gt;1),"two usable placement photos: mark one N; ","")&amp;IF($K11&lt;&gt;"Y","info: not usable (a person, screen or whiteboard may show): never used, delete the file; ","")&amp;IF(AND($D11="placement",$J11&lt;&gt;"Y"),"info: not usable as a placement photo (no card); ","")&amp;IF(AND($D11="placement",N($N11)&gt;2),"info: placed after the first business day; ","")&amp;IF(AND($D11="later",$N11&lt;&gt;"",OR(N($N11)&lt;3,N($N11)&gt;5)),"info: later photo outside day 3 to 5; ",""))</f>
        <v/>
      </c>
      <c r="R11" s="25">
        <f>IF($B11="","",$B11&amp;"|"&amp;$C11&amp;"|"&amp;$D11&amp;"|"&amp;$O11)</f>
        <v/>
      </c>
      <c r="S11" s="25">
        <f>IF($B11="","",$R11&amp;"|"&amp;N($E11))</f>
        <v/>
      </c>
    </row>
    <row r="12">
      <c r="A12" t="inlineStr">
        <is>
          <t>SAMPLE-PH-0019</t>
        </is>
      </c>
      <c r="B12" t="inlineStr">
        <is>
          <t>SAMPLE-CMP-002</t>
        </is>
      </c>
      <c r="C12" t="inlineStr">
        <is>
          <t>SAMPLE-O-005</t>
        </is>
      </c>
      <c r="D12" t="inlineStr">
        <is>
          <t>placement</t>
        </is>
      </c>
      <c r="E12" s="9" t="n">
        <v>46399</v>
      </c>
      <c r="F12" s="33" t="n">
        <v>0.5902777777777778</v>
      </c>
      <c r="G12" t="inlineStr">
        <is>
          <t>office</t>
        </is>
      </c>
      <c r="H12" t="inlineStr">
        <is>
          <t>SAMPLE-CMP-002_SAMPLE-O-005_placement_2027-01-12.jpg</t>
        </is>
      </c>
      <c r="I12" s="9" t="n">
        <v>46399</v>
      </c>
      <c r="J12" t="inlineStr">
        <is>
          <t>Y</t>
        </is>
      </c>
      <c r="K12" t="inlineStr">
        <is>
          <t>Y</t>
        </is>
      </c>
      <c r="M12" s="26">
        <f>IF($B12="","",IFERROR(IF(INDEX(campaigns!$BG$2:$BG$51,MATCH($B12,campaigns!$A$2:$A$51,0))="","",INDEX(campaigns!$BG$2:$BG$51,MATCH($B12,campaigns!$A$2:$A$51,0))),""))</f>
        <v/>
      </c>
      <c r="N12" s="25">
        <f>IF(OR($B12="",$E12="",$M12=""),"",IF($E12&lt;$M12,0,NETWORKDAYS($M12,$E12,calendar!$A$2:$A$80)))</f>
        <v/>
      </c>
      <c r="O12" s="25">
        <f>IF($B12="","",IF(AND($K12="Y",OR($D12="later",$J12="Y")),"Y","N"))</f>
        <v/>
      </c>
      <c r="P12" s="25">
        <f>IF(OR($B12="",$E12=""),"",$B12&amp;"_"&amp;$C12&amp;"_"&amp;$D12&amp;"_"&amp;TEXT($E12,"yyyy-mm-dd")&amp;".jpg")</f>
        <v/>
      </c>
      <c r="Q12" s="25">
        <f>IF($B12="","",IF(COUNTIF(campaigns!$A$2:$A$51,$B12)=0,"campaign_id not on campaigns; ",IF(AND($C12&lt;&gt;"",COUNTIFS(approvals!$A$2:$A$251,$B12,approvals!$B$2:$B$251,$C12)=0),"office not on this campaign (approvals tab); ",""))&amp;IF($E12="","taken date missing; ","")&amp;IF(AND($H12&lt;&gt;"",$H12&lt;&gt;$P12),"file name differs from the convention; ","")&amp;IF(AND($D12="placement",$O12="Y",COUNTIF(photos!$R$2:$R$701,$R12)&gt;1),"two usable placement photos: mark one N; ","")&amp;IF($K12&lt;&gt;"Y","info: not usable (a person, screen or whiteboard may show): never used, delete the file; ","")&amp;IF(AND($D12="placement",$J12&lt;&gt;"Y"),"info: not usable as a placement photo (no card); ","")&amp;IF(AND($D12="placement",N($N12)&gt;2),"info: placed after the first business day; ","")&amp;IF(AND($D12="later",$N12&lt;&gt;"",OR(N($N12)&lt;3,N($N12)&gt;5)),"info: later photo outside day 3 to 5; ",""))</f>
        <v/>
      </c>
      <c r="R12" s="25">
        <f>IF($B12="","",$B12&amp;"|"&amp;$C12&amp;"|"&amp;$D12&amp;"|"&amp;$O12)</f>
        <v/>
      </c>
      <c r="S12" s="25">
        <f>IF($B12="","",$R12&amp;"|"&amp;N($E12))</f>
        <v/>
      </c>
    </row>
    <row r="13">
      <c r="E13" s="9" t="n"/>
      <c r="F13" s="33" t="n"/>
      <c r="I13" s="9" t="n"/>
      <c r="M13" s="26">
        <f>IF($B13="","",IFERROR(IF(INDEX(campaigns!$BG$2:$BG$51,MATCH($B13,campaigns!$A$2:$A$51,0))="","",INDEX(campaigns!$BG$2:$BG$51,MATCH($B13,campaigns!$A$2:$A$51,0))),""))</f>
        <v/>
      </c>
      <c r="N13" s="25">
        <f>IF(OR($B13="",$E13="",$M13=""),"",IF($E13&lt;$M13,0,NETWORKDAYS($M13,$E13,calendar!$A$2:$A$80)))</f>
        <v/>
      </c>
      <c r="O13" s="25">
        <f>IF($B13="","",IF(AND($K13="Y",OR($D13="later",$J13="Y")),"Y","N"))</f>
        <v/>
      </c>
      <c r="P13" s="25">
        <f>IF(OR($B13="",$E13=""),"",$B13&amp;"_"&amp;$C13&amp;"_"&amp;$D13&amp;"_"&amp;TEXT($E13,"yyyy-mm-dd")&amp;".jpg")</f>
        <v/>
      </c>
      <c r="Q13" s="25">
        <f>IF($B13="","",IF(COUNTIF(campaigns!$A$2:$A$51,$B13)=0,"campaign_id not on campaigns; ",IF(AND($C13&lt;&gt;"",COUNTIFS(approvals!$A$2:$A$251,$B13,approvals!$B$2:$B$251,$C13)=0),"office not on this campaign (approvals tab); ",""))&amp;IF($E13="","taken date missing; ","")&amp;IF(AND($H13&lt;&gt;"",$H13&lt;&gt;$P13),"file name differs from the convention; ","")&amp;IF(AND($D13="placement",$O13="Y",COUNTIF(photos!$R$2:$R$701,$R13)&gt;1),"two usable placement photos: mark one N; ","")&amp;IF($K13&lt;&gt;"Y","info: not usable (a person, screen or whiteboard may show): never used, delete the file; ","")&amp;IF(AND($D13="placement",$J13&lt;&gt;"Y"),"info: not usable as a placement photo (no card); ","")&amp;IF(AND($D13="placement",N($N13)&gt;2),"info: placed after the first business day; ","")&amp;IF(AND($D13="later",$N13&lt;&gt;"",OR(N($N13)&lt;3,N($N13)&gt;5)),"info: later photo outside day 3 to 5; ",""))</f>
        <v/>
      </c>
      <c r="R13" s="25">
        <f>IF($B13="","",$B13&amp;"|"&amp;$C13&amp;"|"&amp;$D13&amp;"|"&amp;$O13)</f>
        <v/>
      </c>
      <c r="S13" s="25">
        <f>IF($B13="","",$R13&amp;"|"&amp;N($E13))</f>
        <v/>
      </c>
    </row>
    <row r="14">
      <c r="E14" s="9" t="n"/>
      <c r="F14" s="33" t="n"/>
      <c r="I14" s="9" t="n"/>
      <c r="M14" s="26">
        <f>IF($B14="","",IFERROR(IF(INDEX(campaigns!$BG$2:$BG$51,MATCH($B14,campaigns!$A$2:$A$51,0))="","",INDEX(campaigns!$BG$2:$BG$51,MATCH($B14,campaigns!$A$2:$A$51,0))),""))</f>
        <v/>
      </c>
      <c r="N14" s="25">
        <f>IF(OR($B14="",$E14="",$M14=""),"",IF($E14&lt;$M14,0,NETWORKDAYS($M14,$E14,calendar!$A$2:$A$80)))</f>
        <v/>
      </c>
      <c r="O14" s="25">
        <f>IF($B14="","",IF(AND($K14="Y",OR($D14="later",$J14="Y")),"Y","N"))</f>
        <v/>
      </c>
      <c r="P14" s="25">
        <f>IF(OR($B14="",$E14=""),"",$B14&amp;"_"&amp;$C14&amp;"_"&amp;$D14&amp;"_"&amp;TEXT($E14,"yyyy-mm-dd")&amp;".jpg")</f>
        <v/>
      </c>
      <c r="Q14" s="25">
        <f>IF($B14="","",IF(COUNTIF(campaigns!$A$2:$A$51,$B14)=0,"campaign_id not on campaigns; ",IF(AND($C14&lt;&gt;"",COUNTIFS(approvals!$A$2:$A$251,$B14,approvals!$B$2:$B$251,$C14)=0),"office not on this campaign (approvals tab); ",""))&amp;IF($E14="","taken date missing; ","")&amp;IF(AND($H14&lt;&gt;"",$H14&lt;&gt;$P14),"file name differs from the convention; ","")&amp;IF(AND($D14="placement",$O14="Y",COUNTIF(photos!$R$2:$R$701,$R14)&gt;1),"two usable placement photos: mark one N; ","")&amp;IF($K14&lt;&gt;"Y","info: not usable (a person, screen or whiteboard may show): never used, delete the file; ","")&amp;IF(AND($D14="placement",$J14&lt;&gt;"Y"),"info: not usable as a placement photo (no card); ","")&amp;IF(AND($D14="placement",N($N14)&gt;2),"info: placed after the first business day; ","")&amp;IF(AND($D14="later",$N14&lt;&gt;"",OR(N($N14)&lt;3,N($N14)&gt;5)),"info: later photo outside day 3 to 5; ",""))</f>
        <v/>
      </c>
      <c r="R14" s="25">
        <f>IF($B14="","",$B14&amp;"|"&amp;$C14&amp;"|"&amp;$D14&amp;"|"&amp;$O14)</f>
        <v/>
      </c>
      <c r="S14" s="25">
        <f>IF($B14="","",$R14&amp;"|"&amp;N($E14))</f>
        <v/>
      </c>
    </row>
    <row r="15">
      <c r="E15" s="9" t="n"/>
      <c r="F15" s="33" t="n"/>
      <c r="I15" s="9" t="n"/>
      <c r="M15" s="26">
        <f>IF($B15="","",IFERROR(IF(INDEX(campaigns!$BG$2:$BG$51,MATCH($B15,campaigns!$A$2:$A$51,0))="","",INDEX(campaigns!$BG$2:$BG$51,MATCH($B15,campaigns!$A$2:$A$51,0))),""))</f>
        <v/>
      </c>
      <c r="N15" s="25">
        <f>IF(OR($B15="",$E15="",$M15=""),"",IF($E15&lt;$M15,0,NETWORKDAYS($M15,$E15,calendar!$A$2:$A$80)))</f>
        <v/>
      </c>
      <c r="O15" s="25">
        <f>IF($B15="","",IF(AND($K15="Y",OR($D15="later",$J15="Y")),"Y","N"))</f>
        <v/>
      </c>
      <c r="P15" s="25">
        <f>IF(OR($B15="",$E15=""),"",$B15&amp;"_"&amp;$C15&amp;"_"&amp;$D15&amp;"_"&amp;TEXT($E15,"yyyy-mm-dd")&amp;".jpg")</f>
        <v/>
      </c>
      <c r="Q15" s="25">
        <f>IF($B15="","",IF(COUNTIF(campaigns!$A$2:$A$51,$B15)=0,"campaign_id not on campaigns; ",IF(AND($C15&lt;&gt;"",COUNTIFS(approvals!$A$2:$A$251,$B15,approvals!$B$2:$B$251,$C15)=0),"office not on this campaign (approvals tab); ",""))&amp;IF($E15="","taken date missing; ","")&amp;IF(AND($H15&lt;&gt;"",$H15&lt;&gt;$P15),"file name differs from the convention; ","")&amp;IF(AND($D15="placement",$O15="Y",COUNTIF(photos!$R$2:$R$701,$R15)&gt;1),"two usable placement photos: mark one N; ","")&amp;IF($K15&lt;&gt;"Y","info: not usable (a person, screen or whiteboard may show): never used, delete the file; ","")&amp;IF(AND($D15="placement",$J15&lt;&gt;"Y"),"info: not usable as a placement photo (no card); ","")&amp;IF(AND($D15="placement",N($N15)&gt;2),"info: placed after the first business day; ","")&amp;IF(AND($D15="later",$N15&lt;&gt;"",OR(N($N15)&lt;3,N($N15)&gt;5)),"info: later photo outside day 3 to 5; ",""))</f>
        <v/>
      </c>
      <c r="R15" s="25">
        <f>IF($B15="","",$B15&amp;"|"&amp;$C15&amp;"|"&amp;$D15&amp;"|"&amp;$O15)</f>
        <v/>
      </c>
      <c r="S15" s="25">
        <f>IF($B15="","",$R15&amp;"|"&amp;N($E15))</f>
        <v/>
      </c>
    </row>
    <row r="16">
      <c r="E16" s="9" t="n"/>
      <c r="F16" s="33" t="n"/>
      <c r="I16" s="9" t="n"/>
      <c r="M16" s="26">
        <f>IF($B16="","",IFERROR(IF(INDEX(campaigns!$BG$2:$BG$51,MATCH($B16,campaigns!$A$2:$A$51,0))="","",INDEX(campaigns!$BG$2:$BG$51,MATCH($B16,campaigns!$A$2:$A$51,0))),""))</f>
        <v/>
      </c>
      <c r="N16" s="25">
        <f>IF(OR($B16="",$E16="",$M16=""),"",IF($E16&lt;$M16,0,NETWORKDAYS($M16,$E16,calendar!$A$2:$A$80)))</f>
        <v/>
      </c>
      <c r="O16" s="25">
        <f>IF($B16="","",IF(AND($K16="Y",OR($D16="later",$J16="Y")),"Y","N"))</f>
        <v/>
      </c>
      <c r="P16" s="25">
        <f>IF(OR($B16="",$E16=""),"",$B16&amp;"_"&amp;$C16&amp;"_"&amp;$D16&amp;"_"&amp;TEXT($E16,"yyyy-mm-dd")&amp;".jpg")</f>
        <v/>
      </c>
      <c r="Q16" s="25">
        <f>IF($B16="","",IF(COUNTIF(campaigns!$A$2:$A$51,$B16)=0,"campaign_id not on campaigns; ",IF(AND($C16&lt;&gt;"",COUNTIFS(approvals!$A$2:$A$251,$B16,approvals!$B$2:$B$251,$C16)=0),"office not on this campaign (approvals tab); ",""))&amp;IF($E16="","taken date missing; ","")&amp;IF(AND($H16&lt;&gt;"",$H16&lt;&gt;$P16),"file name differs from the convention; ","")&amp;IF(AND($D16="placement",$O16="Y",COUNTIF(photos!$R$2:$R$701,$R16)&gt;1),"two usable placement photos: mark one N; ","")&amp;IF($K16&lt;&gt;"Y","info: not usable (a person, screen or whiteboard may show): never used, delete the file; ","")&amp;IF(AND($D16="placement",$J16&lt;&gt;"Y"),"info: not usable as a placement photo (no card); ","")&amp;IF(AND($D16="placement",N($N16)&gt;2),"info: placed after the first business day; ","")&amp;IF(AND($D16="later",$N16&lt;&gt;"",OR(N($N16)&lt;3,N($N16)&gt;5)),"info: later photo outside day 3 to 5; ",""))</f>
        <v/>
      </c>
      <c r="R16" s="25">
        <f>IF($B16="","",$B16&amp;"|"&amp;$C16&amp;"|"&amp;$D16&amp;"|"&amp;$O16)</f>
        <v/>
      </c>
      <c r="S16" s="25">
        <f>IF($B16="","",$R16&amp;"|"&amp;N($E16))</f>
        <v/>
      </c>
    </row>
    <row r="17">
      <c r="E17" s="9" t="n"/>
      <c r="F17" s="33" t="n"/>
      <c r="I17" s="9" t="n"/>
      <c r="M17" s="26">
        <f>IF($B17="","",IFERROR(IF(INDEX(campaigns!$BG$2:$BG$51,MATCH($B17,campaigns!$A$2:$A$51,0))="","",INDEX(campaigns!$BG$2:$BG$51,MATCH($B17,campaigns!$A$2:$A$51,0))),""))</f>
        <v/>
      </c>
      <c r="N17" s="25">
        <f>IF(OR($B17="",$E17="",$M17=""),"",IF($E17&lt;$M17,0,NETWORKDAYS($M17,$E17,calendar!$A$2:$A$80)))</f>
        <v/>
      </c>
      <c r="O17" s="25">
        <f>IF($B17="","",IF(AND($K17="Y",OR($D17="later",$J17="Y")),"Y","N"))</f>
        <v/>
      </c>
      <c r="P17" s="25">
        <f>IF(OR($B17="",$E17=""),"",$B17&amp;"_"&amp;$C17&amp;"_"&amp;$D17&amp;"_"&amp;TEXT($E17,"yyyy-mm-dd")&amp;".jpg")</f>
        <v/>
      </c>
      <c r="Q17" s="25">
        <f>IF($B17="","",IF(COUNTIF(campaigns!$A$2:$A$51,$B17)=0,"campaign_id not on campaigns; ",IF(AND($C17&lt;&gt;"",COUNTIFS(approvals!$A$2:$A$251,$B17,approvals!$B$2:$B$251,$C17)=0),"office not on this campaign (approvals tab); ",""))&amp;IF($E17="","taken date missing; ","")&amp;IF(AND($H17&lt;&gt;"",$H17&lt;&gt;$P17),"file name differs from the convention; ","")&amp;IF(AND($D17="placement",$O17="Y",COUNTIF(photos!$R$2:$R$701,$R17)&gt;1),"two usable placement photos: mark one N; ","")&amp;IF($K17&lt;&gt;"Y","info: not usable (a person, screen or whiteboard may show): never used, delete the file; ","")&amp;IF(AND($D17="placement",$J17&lt;&gt;"Y"),"info: not usable as a placement photo (no card); ","")&amp;IF(AND($D17="placement",N($N17)&gt;2),"info: placed after the first business day; ","")&amp;IF(AND($D17="later",$N17&lt;&gt;"",OR(N($N17)&lt;3,N($N17)&gt;5)),"info: later photo outside day 3 to 5; ",""))</f>
        <v/>
      </c>
      <c r="R17" s="25">
        <f>IF($B17="","",$B17&amp;"|"&amp;$C17&amp;"|"&amp;$D17&amp;"|"&amp;$O17)</f>
        <v/>
      </c>
      <c r="S17" s="25">
        <f>IF($B17="","",$R17&amp;"|"&amp;N($E17))</f>
        <v/>
      </c>
    </row>
    <row r="18">
      <c r="E18" s="9" t="n"/>
      <c r="F18" s="33" t="n"/>
      <c r="I18" s="9" t="n"/>
      <c r="M18" s="26">
        <f>IF($B18="","",IFERROR(IF(INDEX(campaigns!$BG$2:$BG$51,MATCH($B18,campaigns!$A$2:$A$51,0))="","",INDEX(campaigns!$BG$2:$BG$51,MATCH($B18,campaigns!$A$2:$A$51,0))),""))</f>
        <v/>
      </c>
      <c r="N18" s="25">
        <f>IF(OR($B18="",$E18="",$M18=""),"",IF($E18&lt;$M18,0,NETWORKDAYS($M18,$E18,calendar!$A$2:$A$80)))</f>
        <v/>
      </c>
      <c r="O18" s="25">
        <f>IF($B18="","",IF(AND($K18="Y",OR($D18="later",$J18="Y")),"Y","N"))</f>
        <v/>
      </c>
      <c r="P18" s="25">
        <f>IF(OR($B18="",$E18=""),"",$B18&amp;"_"&amp;$C18&amp;"_"&amp;$D18&amp;"_"&amp;TEXT($E18,"yyyy-mm-dd")&amp;".jpg")</f>
        <v/>
      </c>
      <c r="Q18" s="25">
        <f>IF($B18="","",IF(COUNTIF(campaigns!$A$2:$A$51,$B18)=0,"campaign_id not on campaigns; ",IF(AND($C18&lt;&gt;"",COUNTIFS(approvals!$A$2:$A$251,$B18,approvals!$B$2:$B$251,$C18)=0),"office not on this campaign (approvals tab); ",""))&amp;IF($E18="","taken date missing; ","")&amp;IF(AND($H18&lt;&gt;"",$H18&lt;&gt;$P18),"file name differs from the convention; ","")&amp;IF(AND($D18="placement",$O18="Y",COUNTIF(photos!$R$2:$R$701,$R18)&gt;1),"two usable placement photos: mark one N; ","")&amp;IF($K18&lt;&gt;"Y","info: not usable (a person, screen or whiteboard may show): never used, delete the file; ","")&amp;IF(AND($D18="placement",$J18&lt;&gt;"Y"),"info: not usable as a placement photo (no card); ","")&amp;IF(AND($D18="placement",N($N18)&gt;2),"info: placed after the first business day; ","")&amp;IF(AND($D18="later",$N18&lt;&gt;"",OR(N($N18)&lt;3,N($N18)&gt;5)),"info: later photo outside day 3 to 5; ",""))</f>
        <v/>
      </c>
      <c r="R18" s="25">
        <f>IF($B18="","",$B18&amp;"|"&amp;$C18&amp;"|"&amp;$D18&amp;"|"&amp;$O18)</f>
        <v/>
      </c>
      <c r="S18" s="25">
        <f>IF($B18="","",$R18&amp;"|"&amp;N($E18))</f>
        <v/>
      </c>
    </row>
    <row r="19">
      <c r="E19" s="9" t="n"/>
      <c r="F19" s="33" t="n"/>
      <c r="I19" s="9" t="n"/>
      <c r="M19" s="26">
        <f>IF($B19="","",IFERROR(IF(INDEX(campaigns!$BG$2:$BG$51,MATCH($B19,campaigns!$A$2:$A$51,0))="","",INDEX(campaigns!$BG$2:$BG$51,MATCH($B19,campaigns!$A$2:$A$51,0))),""))</f>
        <v/>
      </c>
      <c r="N19" s="25">
        <f>IF(OR($B19="",$E19="",$M19=""),"",IF($E19&lt;$M19,0,NETWORKDAYS($M19,$E19,calendar!$A$2:$A$80)))</f>
        <v/>
      </c>
      <c r="O19" s="25">
        <f>IF($B19="","",IF(AND($K19="Y",OR($D19="later",$J19="Y")),"Y","N"))</f>
        <v/>
      </c>
      <c r="P19" s="25">
        <f>IF(OR($B19="",$E19=""),"",$B19&amp;"_"&amp;$C19&amp;"_"&amp;$D19&amp;"_"&amp;TEXT($E19,"yyyy-mm-dd")&amp;".jpg")</f>
        <v/>
      </c>
      <c r="Q19" s="25">
        <f>IF($B19="","",IF(COUNTIF(campaigns!$A$2:$A$51,$B19)=0,"campaign_id not on campaigns; ",IF(AND($C19&lt;&gt;"",COUNTIFS(approvals!$A$2:$A$251,$B19,approvals!$B$2:$B$251,$C19)=0),"office not on this campaign (approvals tab); ",""))&amp;IF($E19="","taken date missing; ","")&amp;IF(AND($H19&lt;&gt;"",$H19&lt;&gt;$P19),"file name differs from the convention; ","")&amp;IF(AND($D19="placement",$O19="Y",COUNTIF(photos!$R$2:$R$701,$R19)&gt;1),"two usable placement photos: mark one N; ","")&amp;IF($K19&lt;&gt;"Y","info: not usable (a person, screen or whiteboard may show): never used, delete the file; ","")&amp;IF(AND($D19="placement",$J19&lt;&gt;"Y"),"info: not usable as a placement photo (no card); ","")&amp;IF(AND($D19="placement",N($N19)&gt;2),"info: placed after the first business day; ","")&amp;IF(AND($D19="later",$N19&lt;&gt;"",OR(N($N19)&lt;3,N($N19)&gt;5)),"info: later photo outside day 3 to 5; ",""))</f>
        <v/>
      </c>
      <c r="R19" s="25">
        <f>IF($B19="","",$B19&amp;"|"&amp;$C19&amp;"|"&amp;$D19&amp;"|"&amp;$O19)</f>
        <v/>
      </c>
      <c r="S19" s="25">
        <f>IF($B19="","",$R19&amp;"|"&amp;N($E19))</f>
        <v/>
      </c>
    </row>
    <row r="20">
      <c r="E20" s="9" t="n"/>
      <c r="F20" s="33" t="n"/>
      <c r="I20" s="9" t="n"/>
      <c r="M20" s="26">
        <f>IF($B20="","",IFERROR(IF(INDEX(campaigns!$BG$2:$BG$51,MATCH($B20,campaigns!$A$2:$A$51,0))="","",INDEX(campaigns!$BG$2:$BG$51,MATCH($B20,campaigns!$A$2:$A$51,0))),""))</f>
        <v/>
      </c>
      <c r="N20" s="25">
        <f>IF(OR($B20="",$E20="",$M20=""),"",IF($E20&lt;$M20,0,NETWORKDAYS($M20,$E20,calendar!$A$2:$A$80)))</f>
        <v/>
      </c>
      <c r="O20" s="25">
        <f>IF($B20="","",IF(AND($K20="Y",OR($D20="later",$J20="Y")),"Y","N"))</f>
        <v/>
      </c>
      <c r="P20" s="25">
        <f>IF(OR($B20="",$E20=""),"",$B20&amp;"_"&amp;$C20&amp;"_"&amp;$D20&amp;"_"&amp;TEXT($E20,"yyyy-mm-dd")&amp;".jpg")</f>
        <v/>
      </c>
      <c r="Q20" s="25">
        <f>IF($B20="","",IF(COUNTIF(campaigns!$A$2:$A$51,$B20)=0,"campaign_id not on campaigns; ",IF(AND($C20&lt;&gt;"",COUNTIFS(approvals!$A$2:$A$251,$B20,approvals!$B$2:$B$251,$C20)=0),"office not on this campaign (approvals tab); ",""))&amp;IF($E20="","taken date missing; ","")&amp;IF(AND($H20&lt;&gt;"",$H20&lt;&gt;$P20),"file name differs from the convention; ","")&amp;IF(AND($D20="placement",$O20="Y",COUNTIF(photos!$R$2:$R$701,$R20)&gt;1),"two usable placement photos: mark one N; ","")&amp;IF($K20&lt;&gt;"Y","info: not usable (a person, screen or whiteboard may show): never used, delete the file; ","")&amp;IF(AND($D20="placement",$J20&lt;&gt;"Y"),"info: not usable as a placement photo (no card); ","")&amp;IF(AND($D20="placement",N($N20)&gt;2),"info: placed after the first business day; ","")&amp;IF(AND($D20="later",$N20&lt;&gt;"",OR(N($N20)&lt;3,N($N20)&gt;5)),"info: later photo outside day 3 to 5; ",""))</f>
        <v/>
      </c>
      <c r="R20" s="25">
        <f>IF($B20="","",$B20&amp;"|"&amp;$C20&amp;"|"&amp;$D20&amp;"|"&amp;$O20)</f>
        <v/>
      </c>
      <c r="S20" s="25">
        <f>IF($B20="","",$R20&amp;"|"&amp;N($E20))</f>
        <v/>
      </c>
    </row>
    <row r="21">
      <c r="E21" s="9" t="n"/>
      <c r="F21" s="33" t="n"/>
      <c r="I21" s="9" t="n"/>
      <c r="M21" s="26">
        <f>IF($B21="","",IFERROR(IF(INDEX(campaigns!$BG$2:$BG$51,MATCH($B21,campaigns!$A$2:$A$51,0))="","",INDEX(campaigns!$BG$2:$BG$51,MATCH($B21,campaigns!$A$2:$A$51,0))),""))</f>
        <v/>
      </c>
      <c r="N21" s="25">
        <f>IF(OR($B21="",$E21="",$M21=""),"",IF($E21&lt;$M21,0,NETWORKDAYS($M21,$E21,calendar!$A$2:$A$80)))</f>
        <v/>
      </c>
      <c r="O21" s="25">
        <f>IF($B21="","",IF(AND($K21="Y",OR($D21="later",$J21="Y")),"Y","N"))</f>
        <v/>
      </c>
      <c r="P21" s="25">
        <f>IF(OR($B21="",$E21=""),"",$B21&amp;"_"&amp;$C21&amp;"_"&amp;$D21&amp;"_"&amp;TEXT($E21,"yyyy-mm-dd")&amp;".jpg")</f>
        <v/>
      </c>
      <c r="Q21" s="25">
        <f>IF($B21="","",IF(COUNTIF(campaigns!$A$2:$A$51,$B21)=0,"campaign_id not on campaigns; ",IF(AND($C21&lt;&gt;"",COUNTIFS(approvals!$A$2:$A$251,$B21,approvals!$B$2:$B$251,$C21)=0),"office not on this campaign (approvals tab); ",""))&amp;IF($E21="","taken date missing; ","")&amp;IF(AND($H21&lt;&gt;"",$H21&lt;&gt;$P21),"file name differs from the convention; ","")&amp;IF(AND($D21="placement",$O21="Y",COUNTIF(photos!$R$2:$R$701,$R21)&gt;1),"two usable placement photos: mark one N; ","")&amp;IF($K21&lt;&gt;"Y","info: not usable (a person, screen or whiteboard may show): never used, delete the file; ","")&amp;IF(AND($D21="placement",$J21&lt;&gt;"Y"),"info: not usable as a placement photo (no card); ","")&amp;IF(AND($D21="placement",N($N21)&gt;2),"info: placed after the first business day; ","")&amp;IF(AND($D21="later",$N21&lt;&gt;"",OR(N($N21)&lt;3,N($N21)&gt;5)),"info: later photo outside day 3 to 5; ",""))</f>
        <v/>
      </c>
      <c r="R21" s="25">
        <f>IF($B21="","",$B21&amp;"|"&amp;$C21&amp;"|"&amp;$D21&amp;"|"&amp;$O21)</f>
        <v/>
      </c>
      <c r="S21" s="25">
        <f>IF($B21="","",$R21&amp;"|"&amp;N($E21))</f>
        <v/>
      </c>
    </row>
    <row r="22">
      <c r="E22" s="9" t="n"/>
      <c r="F22" s="33" t="n"/>
      <c r="I22" s="9" t="n"/>
      <c r="M22" s="26">
        <f>IF($B22="","",IFERROR(IF(INDEX(campaigns!$BG$2:$BG$51,MATCH($B22,campaigns!$A$2:$A$51,0))="","",INDEX(campaigns!$BG$2:$BG$51,MATCH($B22,campaigns!$A$2:$A$51,0))),""))</f>
        <v/>
      </c>
      <c r="N22" s="25">
        <f>IF(OR($B22="",$E22="",$M22=""),"",IF($E22&lt;$M22,0,NETWORKDAYS($M22,$E22,calendar!$A$2:$A$80)))</f>
        <v/>
      </c>
      <c r="O22" s="25">
        <f>IF($B22="","",IF(AND($K22="Y",OR($D22="later",$J22="Y")),"Y","N"))</f>
        <v/>
      </c>
      <c r="P22" s="25">
        <f>IF(OR($B22="",$E22=""),"",$B22&amp;"_"&amp;$C22&amp;"_"&amp;$D22&amp;"_"&amp;TEXT($E22,"yyyy-mm-dd")&amp;".jpg")</f>
        <v/>
      </c>
      <c r="Q22" s="25">
        <f>IF($B22="","",IF(COUNTIF(campaigns!$A$2:$A$51,$B22)=0,"campaign_id not on campaigns; ",IF(AND($C22&lt;&gt;"",COUNTIFS(approvals!$A$2:$A$251,$B22,approvals!$B$2:$B$251,$C22)=0),"office not on this campaign (approvals tab); ",""))&amp;IF($E22="","taken date missing; ","")&amp;IF(AND($H22&lt;&gt;"",$H22&lt;&gt;$P22),"file name differs from the convention; ","")&amp;IF(AND($D22="placement",$O22="Y",COUNTIF(photos!$R$2:$R$701,$R22)&gt;1),"two usable placement photos: mark one N; ","")&amp;IF($K22&lt;&gt;"Y","info: not usable (a person, screen or whiteboard may show): never used, delete the file; ","")&amp;IF(AND($D22="placement",$J22&lt;&gt;"Y"),"info: not usable as a placement photo (no card); ","")&amp;IF(AND($D22="placement",N($N22)&gt;2),"info: placed after the first business day; ","")&amp;IF(AND($D22="later",$N22&lt;&gt;"",OR(N($N22)&lt;3,N($N22)&gt;5)),"info: later photo outside day 3 to 5; ",""))</f>
        <v/>
      </c>
      <c r="R22" s="25">
        <f>IF($B22="","",$B22&amp;"|"&amp;$C22&amp;"|"&amp;$D22&amp;"|"&amp;$O22)</f>
        <v/>
      </c>
      <c r="S22" s="25">
        <f>IF($B22="","",$R22&amp;"|"&amp;N($E22))</f>
        <v/>
      </c>
    </row>
    <row r="23">
      <c r="E23" s="9" t="n"/>
      <c r="F23" s="33" t="n"/>
      <c r="I23" s="9" t="n"/>
      <c r="M23" s="26">
        <f>IF($B23="","",IFERROR(IF(INDEX(campaigns!$BG$2:$BG$51,MATCH($B23,campaigns!$A$2:$A$51,0))="","",INDEX(campaigns!$BG$2:$BG$51,MATCH($B23,campaigns!$A$2:$A$51,0))),""))</f>
        <v/>
      </c>
      <c r="N23" s="25">
        <f>IF(OR($B23="",$E23="",$M23=""),"",IF($E23&lt;$M23,0,NETWORKDAYS($M23,$E23,calendar!$A$2:$A$80)))</f>
        <v/>
      </c>
      <c r="O23" s="25">
        <f>IF($B23="","",IF(AND($K23="Y",OR($D23="later",$J23="Y")),"Y","N"))</f>
        <v/>
      </c>
      <c r="P23" s="25">
        <f>IF(OR($B23="",$E23=""),"",$B23&amp;"_"&amp;$C23&amp;"_"&amp;$D23&amp;"_"&amp;TEXT($E23,"yyyy-mm-dd")&amp;".jpg")</f>
        <v/>
      </c>
      <c r="Q23" s="25">
        <f>IF($B23="","",IF(COUNTIF(campaigns!$A$2:$A$51,$B23)=0,"campaign_id not on campaigns; ",IF(AND($C23&lt;&gt;"",COUNTIFS(approvals!$A$2:$A$251,$B23,approvals!$B$2:$B$251,$C23)=0),"office not on this campaign (approvals tab); ",""))&amp;IF($E23="","taken date missing; ","")&amp;IF(AND($H23&lt;&gt;"",$H23&lt;&gt;$P23),"file name differs from the convention; ","")&amp;IF(AND($D23="placement",$O23="Y",COUNTIF(photos!$R$2:$R$701,$R23)&gt;1),"two usable placement photos: mark one N; ","")&amp;IF($K23&lt;&gt;"Y","info: not usable (a person, screen or whiteboard may show): never used, delete the file; ","")&amp;IF(AND($D23="placement",$J23&lt;&gt;"Y"),"info: not usable as a placement photo (no card); ","")&amp;IF(AND($D23="placement",N($N23)&gt;2),"info: placed after the first business day; ","")&amp;IF(AND($D23="later",$N23&lt;&gt;"",OR(N($N23)&lt;3,N($N23)&gt;5)),"info: later photo outside day 3 to 5; ",""))</f>
        <v/>
      </c>
      <c r="R23" s="25">
        <f>IF($B23="","",$B23&amp;"|"&amp;$C23&amp;"|"&amp;$D23&amp;"|"&amp;$O23)</f>
        <v/>
      </c>
      <c r="S23" s="25">
        <f>IF($B23="","",$R23&amp;"|"&amp;N($E23))</f>
        <v/>
      </c>
    </row>
    <row r="24">
      <c r="E24" s="9" t="n"/>
      <c r="F24" s="33" t="n"/>
      <c r="I24" s="9" t="n"/>
      <c r="M24" s="26">
        <f>IF($B24="","",IFERROR(IF(INDEX(campaigns!$BG$2:$BG$51,MATCH($B24,campaigns!$A$2:$A$51,0))="","",INDEX(campaigns!$BG$2:$BG$51,MATCH($B24,campaigns!$A$2:$A$51,0))),""))</f>
        <v/>
      </c>
      <c r="N24" s="25">
        <f>IF(OR($B24="",$E24="",$M24=""),"",IF($E24&lt;$M24,0,NETWORKDAYS($M24,$E24,calendar!$A$2:$A$80)))</f>
        <v/>
      </c>
      <c r="O24" s="25">
        <f>IF($B24="","",IF(AND($K24="Y",OR($D24="later",$J24="Y")),"Y","N"))</f>
        <v/>
      </c>
      <c r="P24" s="25">
        <f>IF(OR($B24="",$E24=""),"",$B24&amp;"_"&amp;$C24&amp;"_"&amp;$D24&amp;"_"&amp;TEXT($E24,"yyyy-mm-dd")&amp;".jpg")</f>
        <v/>
      </c>
      <c r="Q24" s="25">
        <f>IF($B24="","",IF(COUNTIF(campaigns!$A$2:$A$51,$B24)=0,"campaign_id not on campaigns; ",IF(AND($C24&lt;&gt;"",COUNTIFS(approvals!$A$2:$A$251,$B24,approvals!$B$2:$B$251,$C24)=0),"office not on this campaign (approvals tab); ",""))&amp;IF($E24="","taken date missing; ","")&amp;IF(AND($H24&lt;&gt;"",$H24&lt;&gt;$P24),"file name differs from the convention; ","")&amp;IF(AND($D24="placement",$O24="Y",COUNTIF(photos!$R$2:$R$701,$R24)&gt;1),"two usable placement photos: mark one N; ","")&amp;IF($K24&lt;&gt;"Y","info: not usable (a person, screen or whiteboard may show): never used, delete the file; ","")&amp;IF(AND($D24="placement",$J24&lt;&gt;"Y"),"info: not usable as a placement photo (no card); ","")&amp;IF(AND($D24="placement",N($N24)&gt;2),"info: placed after the first business day; ","")&amp;IF(AND($D24="later",$N24&lt;&gt;"",OR(N($N24)&lt;3,N($N24)&gt;5)),"info: later photo outside day 3 to 5; ",""))</f>
        <v/>
      </c>
      <c r="R24" s="25">
        <f>IF($B24="","",$B24&amp;"|"&amp;$C24&amp;"|"&amp;$D24&amp;"|"&amp;$O24)</f>
        <v/>
      </c>
      <c r="S24" s="25">
        <f>IF($B24="","",$R24&amp;"|"&amp;N($E24))</f>
        <v/>
      </c>
    </row>
    <row r="25">
      <c r="E25" s="9" t="n"/>
      <c r="F25" s="33" t="n"/>
      <c r="I25" s="9" t="n"/>
      <c r="M25" s="26">
        <f>IF($B25="","",IFERROR(IF(INDEX(campaigns!$BG$2:$BG$51,MATCH($B25,campaigns!$A$2:$A$51,0))="","",INDEX(campaigns!$BG$2:$BG$51,MATCH($B25,campaigns!$A$2:$A$51,0))),""))</f>
        <v/>
      </c>
      <c r="N25" s="25">
        <f>IF(OR($B25="",$E25="",$M25=""),"",IF($E25&lt;$M25,0,NETWORKDAYS($M25,$E25,calendar!$A$2:$A$80)))</f>
        <v/>
      </c>
      <c r="O25" s="25">
        <f>IF($B25="","",IF(AND($K25="Y",OR($D25="later",$J25="Y")),"Y","N"))</f>
        <v/>
      </c>
      <c r="P25" s="25">
        <f>IF(OR($B25="",$E25=""),"",$B25&amp;"_"&amp;$C25&amp;"_"&amp;$D25&amp;"_"&amp;TEXT($E25,"yyyy-mm-dd")&amp;".jpg")</f>
        <v/>
      </c>
      <c r="Q25" s="25">
        <f>IF($B25="","",IF(COUNTIF(campaigns!$A$2:$A$51,$B25)=0,"campaign_id not on campaigns; ",IF(AND($C25&lt;&gt;"",COUNTIFS(approvals!$A$2:$A$251,$B25,approvals!$B$2:$B$251,$C25)=0),"office not on this campaign (approvals tab); ",""))&amp;IF($E25="","taken date missing; ","")&amp;IF(AND($H25&lt;&gt;"",$H25&lt;&gt;$P25),"file name differs from the convention; ","")&amp;IF(AND($D25="placement",$O25="Y",COUNTIF(photos!$R$2:$R$701,$R25)&gt;1),"two usable placement photos: mark one N; ","")&amp;IF($K25&lt;&gt;"Y","info: not usable (a person, screen or whiteboard may show): never used, delete the file; ","")&amp;IF(AND($D25="placement",$J25&lt;&gt;"Y"),"info: not usable as a placement photo (no card); ","")&amp;IF(AND($D25="placement",N($N25)&gt;2),"info: placed after the first business day; ","")&amp;IF(AND($D25="later",$N25&lt;&gt;"",OR(N($N25)&lt;3,N($N25)&gt;5)),"info: later photo outside day 3 to 5; ",""))</f>
        <v/>
      </c>
      <c r="R25" s="25">
        <f>IF($B25="","",$B25&amp;"|"&amp;$C25&amp;"|"&amp;$D25&amp;"|"&amp;$O25)</f>
        <v/>
      </c>
      <c r="S25" s="25">
        <f>IF($B25="","",$R25&amp;"|"&amp;N($E25))</f>
        <v/>
      </c>
    </row>
    <row r="26">
      <c r="E26" s="9" t="n"/>
      <c r="F26" s="33" t="n"/>
      <c r="I26" s="9" t="n"/>
      <c r="M26" s="26">
        <f>IF($B26="","",IFERROR(IF(INDEX(campaigns!$BG$2:$BG$51,MATCH($B26,campaigns!$A$2:$A$51,0))="","",INDEX(campaigns!$BG$2:$BG$51,MATCH($B26,campaigns!$A$2:$A$51,0))),""))</f>
        <v/>
      </c>
      <c r="N26" s="25">
        <f>IF(OR($B26="",$E26="",$M26=""),"",IF($E26&lt;$M26,0,NETWORKDAYS($M26,$E26,calendar!$A$2:$A$80)))</f>
        <v/>
      </c>
      <c r="O26" s="25">
        <f>IF($B26="","",IF(AND($K26="Y",OR($D26="later",$J26="Y")),"Y","N"))</f>
        <v/>
      </c>
      <c r="P26" s="25">
        <f>IF(OR($B26="",$E26=""),"",$B26&amp;"_"&amp;$C26&amp;"_"&amp;$D26&amp;"_"&amp;TEXT($E26,"yyyy-mm-dd")&amp;".jpg")</f>
        <v/>
      </c>
      <c r="Q26" s="25">
        <f>IF($B26="","",IF(COUNTIF(campaigns!$A$2:$A$51,$B26)=0,"campaign_id not on campaigns; ",IF(AND($C26&lt;&gt;"",COUNTIFS(approvals!$A$2:$A$251,$B26,approvals!$B$2:$B$251,$C26)=0),"office not on this campaign (approvals tab); ",""))&amp;IF($E26="","taken date missing; ","")&amp;IF(AND($H26&lt;&gt;"",$H26&lt;&gt;$P26),"file name differs from the convention; ","")&amp;IF(AND($D26="placement",$O26="Y",COUNTIF(photos!$R$2:$R$701,$R26)&gt;1),"two usable placement photos: mark one N; ","")&amp;IF($K26&lt;&gt;"Y","info: not usable (a person, screen or whiteboard may show): never used, delete the file; ","")&amp;IF(AND($D26="placement",$J26&lt;&gt;"Y"),"info: not usable as a placement photo (no card); ","")&amp;IF(AND($D26="placement",N($N26)&gt;2),"info: placed after the first business day; ","")&amp;IF(AND($D26="later",$N26&lt;&gt;"",OR(N($N26)&lt;3,N($N26)&gt;5)),"info: later photo outside day 3 to 5; ",""))</f>
        <v/>
      </c>
      <c r="R26" s="25">
        <f>IF($B26="","",$B26&amp;"|"&amp;$C26&amp;"|"&amp;$D26&amp;"|"&amp;$O26)</f>
        <v/>
      </c>
      <c r="S26" s="25">
        <f>IF($B26="","",$R26&amp;"|"&amp;N($E26))</f>
        <v/>
      </c>
    </row>
    <row r="27">
      <c r="E27" s="9" t="n"/>
      <c r="F27" s="33" t="n"/>
      <c r="I27" s="9" t="n"/>
      <c r="M27" s="26">
        <f>IF($B27="","",IFERROR(IF(INDEX(campaigns!$BG$2:$BG$51,MATCH($B27,campaigns!$A$2:$A$51,0))="","",INDEX(campaigns!$BG$2:$BG$51,MATCH($B27,campaigns!$A$2:$A$51,0))),""))</f>
        <v/>
      </c>
      <c r="N27" s="25">
        <f>IF(OR($B27="",$E27="",$M27=""),"",IF($E27&lt;$M27,0,NETWORKDAYS($M27,$E27,calendar!$A$2:$A$80)))</f>
        <v/>
      </c>
      <c r="O27" s="25">
        <f>IF($B27="","",IF(AND($K27="Y",OR($D27="later",$J27="Y")),"Y","N"))</f>
        <v/>
      </c>
      <c r="P27" s="25">
        <f>IF(OR($B27="",$E27=""),"",$B27&amp;"_"&amp;$C27&amp;"_"&amp;$D27&amp;"_"&amp;TEXT($E27,"yyyy-mm-dd")&amp;".jpg")</f>
        <v/>
      </c>
      <c r="Q27" s="25">
        <f>IF($B27="","",IF(COUNTIF(campaigns!$A$2:$A$51,$B27)=0,"campaign_id not on campaigns; ",IF(AND($C27&lt;&gt;"",COUNTIFS(approvals!$A$2:$A$251,$B27,approvals!$B$2:$B$251,$C27)=0),"office not on this campaign (approvals tab); ",""))&amp;IF($E27="","taken date missing; ","")&amp;IF(AND($H27&lt;&gt;"",$H27&lt;&gt;$P27),"file name differs from the convention; ","")&amp;IF(AND($D27="placement",$O27="Y",COUNTIF(photos!$R$2:$R$701,$R27)&gt;1),"two usable placement photos: mark one N; ","")&amp;IF($K27&lt;&gt;"Y","info: not usable (a person, screen or whiteboard may show): never used, delete the file; ","")&amp;IF(AND($D27="placement",$J27&lt;&gt;"Y"),"info: not usable as a placement photo (no card); ","")&amp;IF(AND($D27="placement",N($N27)&gt;2),"info: placed after the first business day; ","")&amp;IF(AND($D27="later",$N27&lt;&gt;"",OR(N($N27)&lt;3,N($N27)&gt;5)),"info: later photo outside day 3 to 5; ",""))</f>
        <v/>
      </c>
      <c r="R27" s="25">
        <f>IF($B27="","",$B27&amp;"|"&amp;$C27&amp;"|"&amp;$D27&amp;"|"&amp;$O27)</f>
        <v/>
      </c>
      <c r="S27" s="25">
        <f>IF($B27="","",$R27&amp;"|"&amp;N($E27))</f>
        <v/>
      </c>
    </row>
    <row r="28">
      <c r="E28" s="9" t="n"/>
      <c r="F28" s="33" t="n"/>
      <c r="I28" s="9" t="n"/>
      <c r="M28" s="26">
        <f>IF($B28="","",IFERROR(IF(INDEX(campaigns!$BG$2:$BG$51,MATCH($B28,campaigns!$A$2:$A$51,0))="","",INDEX(campaigns!$BG$2:$BG$51,MATCH($B28,campaigns!$A$2:$A$51,0))),""))</f>
        <v/>
      </c>
      <c r="N28" s="25">
        <f>IF(OR($B28="",$E28="",$M28=""),"",IF($E28&lt;$M28,0,NETWORKDAYS($M28,$E28,calendar!$A$2:$A$80)))</f>
        <v/>
      </c>
      <c r="O28" s="25">
        <f>IF($B28="","",IF(AND($K28="Y",OR($D28="later",$J28="Y")),"Y","N"))</f>
        <v/>
      </c>
      <c r="P28" s="25">
        <f>IF(OR($B28="",$E28=""),"",$B28&amp;"_"&amp;$C28&amp;"_"&amp;$D28&amp;"_"&amp;TEXT($E28,"yyyy-mm-dd")&amp;".jpg")</f>
        <v/>
      </c>
      <c r="Q28" s="25">
        <f>IF($B28="","",IF(COUNTIF(campaigns!$A$2:$A$51,$B28)=0,"campaign_id not on campaigns; ",IF(AND($C28&lt;&gt;"",COUNTIFS(approvals!$A$2:$A$251,$B28,approvals!$B$2:$B$251,$C28)=0),"office not on this campaign (approvals tab); ",""))&amp;IF($E28="","taken date missing; ","")&amp;IF(AND($H28&lt;&gt;"",$H28&lt;&gt;$P28),"file name differs from the convention; ","")&amp;IF(AND($D28="placement",$O28="Y",COUNTIF(photos!$R$2:$R$701,$R28)&gt;1),"two usable placement photos: mark one N; ","")&amp;IF($K28&lt;&gt;"Y","info: not usable (a person, screen or whiteboard may show): never used, delete the file; ","")&amp;IF(AND($D28="placement",$J28&lt;&gt;"Y"),"info: not usable as a placement photo (no card); ","")&amp;IF(AND($D28="placement",N($N28)&gt;2),"info: placed after the first business day; ","")&amp;IF(AND($D28="later",$N28&lt;&gt;"",OR(N($N28)&lt;3,N($N28)&gt;5)),"info: later photo outside day 3 to 5; ",""))</f>
        <v/>
      </c>
      <c r="R28" s="25">
        <f>IF($B28="","",$B28&amp;"|"&amp;$C28&amp;"|"&amp;$D28&amp;"|"&amp;$O28)</f>
        <v/>
      </c>
      <c r="S28" s="25">
        <f>IF($B28="","",$R28&amp;"|"&amp;N($E28))</f>
        <v/>
      </c>
    </row>
    <row r="29">
      <c r="E29" s="9" t="n"/>
      <c r="F29" s="33" t="n"/>
      <c r="I29" s="9" t="n"/>
      <c r="M29" s="26">
        <f>IF($B29="","",IFERROR(IF(INDEX(campaigns!$BG$2:$BG$51,MATCH($B29,campaigns!$A$2:$A$51,0))="","",INDEX(campaigns!$BG$2:$BG$51,MATCH($B29,campaigns!$A$2:$A$51,0))),""))</f>
        <v/>
      </c>
      <c r="N29" s="25">
        <f>IF(OR($B29="",$E29="",$M29=""),"",IF($E29&lt;$M29,0,NETWORKDAYS($M29,$E29,calendar!$A$2:$A$80)))</f>
        <v/>
      </c>
      <c r="O29" s="25">
        <f>IF($B29="","",IF(AND($K29="Y",OR($D29="later",$J29="Y")),"Y","N"))</f>
        <v/>
      </c>
      <c r="P29" s="25">
        <f>IF(OR($B29="",$E29=""),"",$B29&amp;"_"&amp;$C29&amp;"_"&amp;$D29&amp;"_"&amp;TEXT($E29,"yyyy-mm-dd")&amp;".jpg")</f>
        <v/>
      </c>
      <c r="Q29" s="25">
        <f>IF($B29="","",IF(COUNTIF(campaigns!$A$2:$A$51,$B29)=0,"campaign_id not on campaigns; ",IF(AND($C29&lt;&gt;"",COUNTIFS(approvals!$A$2:$A$251,$B29,approvals!$B$2:$B$251,$C29)=0),"office not on this campaign (approvals tab); ",""))&amp;IF($E29="","taken date missing; ","")&amp;IF(AND($H29&lt;&gt;"",$H29&lt;&gt;$P29),"file name differs from the convention; ","")&amp;IF(AND($D29="placement",$O29="Y",COUNTIF(photos!$R$2:$R$701,$R29)&gt;1),"two usable placement photos: mark one N; ","")&amp;IF($K29&lt;&gt;"Y","info: not usable (a person, screen or whiteboard may show): never used, delete the file; ","")&amp;IF(AND($D29="placement",$J29&lt;&gt;"Y"),"info: not usable as a placement photo (no card); ","")&amp;IF(AND($D29="placement",N($N29)&gt;2),"info: placed after the first business day; ","")&amp;IF(AND($D29="later",$N29&lt;&gt;"",OR(N($N29)&lt;3,N($N29)&gt;5)),"info: later photo outside day 3 to 5; ",""))</f>
        <v/>
      </c>
      <c r="R29" s="25">
        <f>IF($B29="","",$B29&amp;"|"&amp;$C29&amp;"|"&amp;$D29&amp;"|"&amp;$O29)</f>
        <v/>
      </c>
      <c r="S29" s="25">
        <f>IF($B29="","",$R29&amp;"|"&amp;N($E29))</f>
        <v/>
      </c>
    </row>
    <row r="30">
      <c r="E30" s="9" t="n"/>
      <c r="F30" s="33" t="n"/>
      <c r="I30" s="9" t="n"/>
      <c r="M30" s="26">
        <f>IF($B30="","",IFERROR(IF(INDEX(campaigns!$BG$2:$BG$51,MATCH($B30,campaigns!$A$2:$A$51,0))="","",INDEX(campaigns!$BG$2:$BG$51,MATCH($B30,campaigns!$A$2:$A$51,0))),""))</f>
        <v/>
      </c>
      <c r="N30" s="25">
        <f>IF(OR($B30="",$E30="",$M30=""),"",IF($E30&lt;$M30,0,NETWORKDAYS($M30,$E30,calendar!$A$2:$A$80)))</f>
        <v/>
      </c>
      <c r="O30" s="25">
        <f>IF($B30="","",IF(AND($K30="Y",OR($D30="later",$J30="Y")),"Y","N"))</f>
        <v/>
      </c>
      <c r="P30" s="25">
        <f>IF(OR($B30="",$E30=""),"",$B30&amp;"_"&amp;$C30&amp;"_"&amp;$D30&amp;"_"&amp;TEXT($E30,"yyyy-mm-dd")&amp;".jpg")</f>
        <v/>
      </c>
      <c r="Q30" s="25">
        <f>IF($B30="","",IF(COUNTIF(campaigns!$A$2:$A$51,$B30)=0,"campaign_id not on campaigns; ",IF(AND($C30&lt;&gt;"",COUNTIFS(approvals!$A$2:$A$251,$B30,approvals!$B$2:$B$251,$C30)=0),"office not on this campaign (approvals tab); ",""))&amp;IF($E30="","taken date missing; ","")&amp;IF(AND($H30&lt;&gt;"",$H30&lt;&gt;$P30),"file name differs from the convention; ","")&amp;IF(AND($D30="placement",$O30="Y",COUNTIF(photos!$R$2:$R$701,$R30)&gt;1),"two usable placement photos: mark one N; ","")&amp;IF($K30&lt;&gt;"Y","info: not usable (a person, screen or whiteboard may show): never used, delete the file; ","")&amp;IF(AND($D30="placement",$J30&lt;&gt;"Y"),"info: not usable as a placement photo (no card); ","")&amp;IF(AND($D30="placement",N($N30)&gt;2),"info: placed after the first business day; ","")&amp;IF(AND($D30="later",$N30&lt;&gt;"",OR(N($N30)&lt;3,N($N30)&gt;5)),"info: later photo outside day 3 to 5; ",""))</f>
        <v/>
      </c>
      <c r="R30" s="25">
        <f>IF($B30="","",$B30&amp;"|"&amp;$C30&amp;"|"&amp;$D30&amp;"|"&amp;$O30)</f>
        <v/>
      </c>
      <c r="S30" s="25">
        <f>IF($B30="","",$R30&amp;"|"&amp;N($E30))</f>
        <v/>
      </c>
    </row>
    <row r="31">
      <c r="E31" s="9" t="n"/>
      <c r="F31" s="33" t="n"/>
      <c r="I31" s="9" t="n"/>
      <c r="M31" s="26">
        <f>IF($B31="","",IFERROR(IF(INDEX(campaigns!$BG$2:$BG$51,MATCH($B31,campaigns!$A$2:$A$51,0))="","",INDEX(campaigns!$BG$2:$BG$51,MATCH($B31,campaigns!$A$2:$A$51,0))),""))</f>
        <v/>
      </c>
      <c r="N31" s="25">
        <f>IF(OR($B31="",$E31="",$M31=""),"",IF($E31&lt;$M31,0,NETWORKDAYS($M31,$E31,calendar!$A$2:$A$80)))</f>
        <v/>
      </c>
      <c r="O31" s="25">
        <f>IF($B31="","",IF(AND($K31="Y",OR($D31="later",$J31="Y")),"Y","N"))</f>
        <v/>
      </c>
      <c r="P31" s="25">
        <f>IF(OR($B31="",$E31=""),"",$B31&amp;"_"&amp;$C31&amp;"_"&amp;$D31&amp;"_"&amp;TEXT($E31,"yyyy-mm-dd")&amp;".jpg")</f>
        <v/>
      </c>
      <c r="Q31" s="25">
        <f>IF($B31="","",IF(COUNTIF(campaigns!$A$2:$A$51,$B31)=0,"campaign_id not on campaigns; ",IF(AND($C31&lt;&gt;"",COUNTIFS(approvals!$A$2:$A$251,$B31,approvals!$B$2:$B$251,$C31)=0),"office not on this campaign (approvals tab); ",""))&amp;IF($E31="","taken date missing; ","")&amp;IF(AND($H31&lt;&gt;"",$H31&lt;&gt;$P31),"file name differs from the convention; ","")&amp;IF(AND($D31="placement",$O31="Y",COUNTIF(photos!$R$2:$R$701,$R31)&gt;1),"two usable placement photos: mark one N; ","")&amp;IF($K31&lt;&gt;"Y","info: not usable (a person, screen or whiteboard may show): never used, delete the file; ","")&amp;IF(AND($D31="placement",$J31&lt;&gt;"Y"),"info: not usable as a placement photo (no card); ","")&amp;IF(AND($D31="placement",N($N31)&gt;2),"info: placed after the first business day; ","")&amp;IF(AND($D31="later",$N31&lt;&gt;"",OR(N($N31)&lt;3,N($N31)&gt;5)),"info: later photo outside day 3 to 5; ",""))</f>
        <v/>
      </c>
      <c r="R31" s="25">
        <f>IF($B31="","",$B31&amp;"|"&amp;$C31&amp;"|"&amp;$D31&amp;"|"&amp;$O31)</f>
        <v/>
      </c>
      <c r="S31" s="25">
        <f>IF($B31="","",$R31&amp;"|"&amp;N($E31))</f>
        <v/>
      </c>
    </row>
    <row r="32">
      <c r="E32" s="9" t="n"/>
      <c r="F32" s="33" t="n"/>
      <c r="I32" s="9" t="n"/>
      <c r="M32" s="26">
        <f>IF($B32="","",IFERROR(IF(INDEX(campaigns!$BG$2:$BG$51,MATCH($B32,campaigns!$A$2:$A$51,0))="","",INDEX(campaigns!$BG$2:$BG$51,MATCH($B32,campaigns!$A$2:$A$51,0))),""))</f>
        <v/>
      </c>
      <c r="N32" s="25">
        <f>IF(OR($B32="",$E32="",$M32=""),"",IF($E32&lt;$M32,0,NETWORKDAYS($M32,$E32,calendar!$A$2:$A$80)))</f>
        <v/>
      </c>
      <c r="O32" s="25">
        <f>IF($B32="","",IF(AND($K32="Y",OR($D32="later",$J32="Y")),"Y","N"))</f>
        <v/>
      </c>
      <c r="P32" s="25">
        <f>IF(OR($B32="",$E32=""),"",$B32&amp;"_"&amp;$C32&amp;"_"&amp;$D32&amp;"_"&amp;TEXT($E32,"yyyy-mm-dd")&amp;".jpg")</f>
        <v/>
      </c>
      <c r="Q32" s="25">
        <f>IF($B32="","",IF(COUNTIF(campaigns!$A$2:$A$51,$B32)=0,"campaign_id not on campaigns; ",IF(AND($C32&lt;&gt;"",COUNTIFS(approvals!$A$2:$A$251,$B32,approvals!$B$2:$B$251,$C32)=0),"office not on this campaign (approvals tab); ",""))&amp;IF($E32="","taken date missing; ","")&amp;IF(AND($H32&lt;&gt;"",$H32&lt;&gt;$P32),"file name differs from the convention; ","")&amp;IF(AND($D32="placement",$O32="Y",COUNTIF(photos!$R$2:$R$701,$R32)&gt;1),"two usable placement photos: mark one N; ","")&amp;IF($K32&lt;&gt;"Y","info: not usable (a person, screen or whiteboard may show): never used, delete the file; ","")&amp;IF(AND($D32="placement",$J32&lt;&gt;"Y"),"info: not usable as a placement photo (no card); ","")&amp;IF(AND($D32="placement",N($N32)&gt;2),"info: placed after the first business day; ","")&amp;IF(AND($D32="later",$N32&lt;&gt;"",OR(N($N32)&lt;3,N($N32)&gt;5)),"info: later photo outside day 3 to 5; ",""))</f>
        <v/>
      </c>
      <c r="R32" s="25">
        <f>IF($B32="","",$B32&amp;"|"&amp;$C32&amp;"|"&amp;$D32&amp;"|"&amp;$O32)</f>
        <v/>
      </c>
      <c r="S32" s="25">
        <f>IF($B32="","",$R32&amp;"|"&amp;N($E32))</f>
        <v/>
      </c>
    </row>
    <row r="33">
      <c r="E33" s="9" t="n"/>
      <c r="F33" s="33" t="n"/>
      <c r="I33" s="9" t="n"/>
      <c r="M33" s="26">
        <f>IF($B33="","",IFERROR(IF(INDEX(campaigns!$BG$2:$BG$51,MATCH($B33,campaigns!$A$2:$A$51,0))="","",INDEX(campaigns!$BG$2:$BG$51,MATCH($B33,campaigns!$A$2:$A$51,0))),""))</f>
        <v/>
      </c>
      <c r="N33" s="25">
        <f>IF(OR($B33="",$E33="",$M33=""),"",IF($E33&lt;$M33,0,NETWORKDAYS($M33,$E33,calendar!$A$2:$A$80)))</f>
        <v/>
      </c>
      <c r="O33" s="25">
        <f>IF($B33="","",IF(AND($K33="Y",OR($D33="later",$J33="Y")),"Y","N"))</f>
        <v/>
      </c>
      <c r="P33" s="25">
        <f>IF(OR($B33="",$E33=""),"",$B33&amp;"_"&amp;$C33&amp;"_"&amp;$D33&amp;"_"&amp;TEXT($E33,"yyyy-mm-dd")&amp;".jpg")</f>
        <v/>
      </c>
      <c r="Q33" s="25">
        <f>IF($B33="","",IF(COUNTIF(campaigns!$A$2:$A$51,$B33)=0,"campaign_id not on campaigns; ",IF(AND($C33&lt;&gt;"",COUNTIFS(approvals!$A$2:$A$251,$B33,approvals!$B$2:$B$251,$C33)=0),"office not on this campaign (approvals tab); ",""))&amp;IF($E33="","taken date missing; ","")&amp;IF(AND($H33&lt;&gt;"",$H33&lt;&gt;$P33),"file name differs from the convention; ","")&amp;IF(AND($D33="placement",$O33="Y",COUNTIF(photos!$R$2:$R$701,$R33)&gt;1),"two usable placement photos: mark one N; ","")&amp;IF($K33&lt;&gt;"Y","info: not usable (a person, screen or whiteboard may show): never used, delete the file; ","")&amp;IF(AND($D33="placement",$J33&lt;&gt;"Y"),"info: not usable as a placement photo (no card); ","")&amp;IF(AND($D33="placement",N($N33)&gt;2),"info: placed after the first business day; ","")&amp;IF(AND($D33="later",$N33&lt;&gt;"",OR(N($N33)&lt;3,N($N33)&gt;5)),"info: later photo outside day 3 to 5; ",""))</f>
        <v/>
      </c>
      <c r="R33" s="25">
        <f>IF($B33="","",$B33&amp;"|"&amp;$C33&amp;"|"&amp;$D33&amp;"|"&amp;$O33)</f>
        <v/>
      </c>
      <c r="S33" s="25">
        <f>IF($B33="","",$R33&amp;"|"&amp;N($E33))</f>
        <v/>
      </c>
    </row>
    <row r="34">
      <c r="E34" s="9" t="n"/>
      <c r="F34" s="33" t="n"/>
      <c r="I34" s="9" t="n"/>
      <c r="M34" s="26">
        <f>IF($B34="","",IFERROR(IF(INDEX(campaigns!$BG$2:$BG$51,MATCH($B34,campaigns!$A$2:$A$51,0))="","",INDEX(campaigns!$BG$2:$BG$51,MATCH($B34,campaigns!$A$2:$A$51,0))),""))</f>
        <v/>
      </c>
      <c r="N34" s="25">
        <f>IF(OR($B34="",$E34="",$M34=""),"",IF($E34&lt;$M34,0,NETWORKDAYS($M34,$E34,calendar!$A$2:$A$80)))</f>
        <v/>
      </c>
      <c r="O34" s="25">
        <f>IF($B34="","",IF(AND($K34="Y",OR($D34="later",$J34="Y")),"Y","N"))</f>
        <v/>
      </c>
      <c r="P34" s="25">
        <f>IF(OR($B34="",$E34=""),"",$B34&amp;"_"&amp;$C34&amp;"_"&amp;$D34&amp;"_"&amp;TEXT($E34,"yyyy-mm-dd")&amp;".jpg")</f>
        <v/>
      </c>
      <c r="Q34" s="25">
        <f>IF($B34="","",IF(COUNTIF(campaigns!$A$2:$A$51,$B34)=0,"campaign_id not on campaigns; ",IF(AND($C34&lt;&gt;"",COUNTIFS(approvals!$A$2:$A$251,$B34,approvals!$B$2:$B$251,$C34)=0),"office not on this campaign (approvals tab); ",""))&amp;IF($E34="","taken date missing; ","")&amp;IF(AND($H34&lt;&gt;"",$H34&lt;&gt;$P34),"file name differs from the convention; ","")&amp;IF(AND($D34="placement",$O34="Y",COUNTIF(photos!$R$2:$R$701,$R34)&gt;1),"two usable placement photos: mark one N; ","")&amp;IF($K34&lt;&gt;"Y","info: not usable (a person, screen or whiteboard may show): never used, delete the file; ","")&amp;IF(AND($D34="placement",$J34&lt;&gt;"Y"),"info: not usable as a placement photo (no card); ","")&amp;IF(AND($D34="placement",N($N34)&gt;2),"info: placed after the first business day; ","")&amp;IF(AND($D34="later",$N34&lt;&gt;"",OR(N($N34)&lt;3,N($N34)&gt;5)),"info: later photo outside day 3 to 5; ",""))</f>
        <v/>
      </c>
      <c r="R34" s="25">
        <f>IF($B34="","",$B34&amp;"|"&amp;$C34&amp;"|"&amp;$D34&amp;"|"&amp;$O34)</f>
        <v/>
      </c>
      <c r="S34" s="25">
        <f>IF($B34="","",$R34&amp;"|"&amp;N($E34))</f>
        <v/>
      </c>
    </row>
    <row r="35">
      <c r="E35" s="9" t="n"/>
      <c r="F35" s="33" t="n"/>
      <c r="I35" s="9" t="n"/>
      <c r="M35" s="26">
        <f>IF($B35="","",IFERROR(IF(INDEX(campaigns!$BG$2:$BG$51,MATCH($B35,campaigns!$A$2:$A$51,0))="","",INDEX(campaigns!$BG$2:$BG$51,MATCH($B35,campaigns!$A$2:$A$51,0))),""))</f>
        <v/>
      </c>
      <c r="N35" s="25">
        <f>IF(OR($B35="",$E35="",$M35=""),"",IF($E35&lt;$M35,0,NETWORKDAYS($M35,$E35,calendar!$A$2:$A$80)))</f>
        <v/>
      </c>
      <c r="O35" s="25">
        <f>IF($B35="","",IF(AND($K35="Y",OR($D35="later",$J35="Y")),"Y","N"))</f>
        <v/>
      </c>
      <c r="P35" s="25">
        <f>IF(OR($B35="",$E35=""),"",$B35&amp;"_"&amp;$C35&amp;"_"&amp;$D35&amp;"_"&amp;TEXT($E35,"yyyy-mm-dd")&amp;".jpg")</f>
        <v/>
      </c>
      <c r="Q35" s="25">
        <f>IF($B35="","",IF(COUNTIF(campaigns!$A$2:$A$51,$B35)=0,"campaign_id not on campaigns; ",IF(AND($C35&lt;&gt;"",COUNTIFS(approvals!$A$2:$A$251,$B35,approvals!$B$2:$B$251,$C35)=0),"office not on this campaign (approvals tab); ",""))&amp;IF($E35="","taken date missing; ","")&amp;IF(AND($H35&lt;&gt;"",$H35&lt;&gt;$P35),"file name differs from the convention; ","")&amp;IF(AND($D35="placement",$O35="Y",COUNTIF(photos!$R$2:$R$701,$R35)&gt;1),"two usable placement photos: mark one N; ","")&amp;IF($K35&lt;&gt;"Y","info: not usable (a person, screen or whiteboard may show): never used, delete the file; ","")&amp;IF(AND($D35="placement",$J35&lt;&gt;"Y"),"info: not usable as a placement photo (no card); ","")&amp;IF(AND($D35="placement",N($N35)&gt;2),"info: placed after the first business day; ","")&amp;IF(AND($D35="later",$N35&lt;&gt;"",OR(N($N35)&lt;3,N($N35)&gt;5)),"info: later photo outside day 3 to 5; ",""))</f>
        <v/>
      </c>
      <c r="R35" s="25">
        <f>IF($B35="","",$B35&amp;"|"&amp;$C35&amp;"|"&amp;$D35&amp;"|"&amp;$O35)</f>
        <v/>
      </c>
      <c r="S35" s="25">
        <f>IF($B35="","",$R35&amp;"|"&amp;N($E35))</f>
        <v/>
      </c>
    </row>
    <row r="36">
      <c r="E36" s="9" t="n"/>
      <c r="F36" s="33" t="n"/>
      <c r="I36" s="9" t="n"/>
      <c r="M36" s="26">
        <f>IF($B36="","",IFERROR(IF(INDEX(campaigns!$BG$2:$BG$51,MATCH($B36,campaigns!$A$2:$A$51,0))="","",INDEX(campaigns!$BG$2:$BG$51,MATCH($B36,campaigns!$A$2:$A$51,0))),""))</f>
        <v/>
      </c>
      <c r="N36" s="25">
        <f>IF(OR($B36="",$E36="",$M36=""),"",IF($E36&lt;$M36,0,NETWORKDAYS($M36,$E36,calendar!$A$2:$A$80)))</f>
        <v/>
      </c>
      <c r="O36" s="25">
        <f>IF($B36="","",IF(AND($K36="Y",OR($D36="later",$J36="Y")),"Y","N"))</f>
        <v/>
      </c>
      <c r="P36" s="25">
        <f>IF(OR($B36="",$E36=""),"",$B36&amp;"_"&amp;$C36&amp;"_"&amp;$D36&amp;"_"&amp;TEXT($E36,"yyyy-mm-dd")&amp;".jpg")</f>
        <v/>
      </c>
      <c r="Q36" s="25">
        <f>IF($B36="","",IF(COUNTIF(campaigns!$A$2:$A$51,$B36)=0,"campaign_id not on campaigns; ",IF(AND($C36&lt;&gt;"",COUNTIFS(approvals!$A$2:$A$251,$B36,approvals!$B$2:$B$251,$C36)=0),"office not on this campaign (approvals tab); ",""))&amp;IF($E36="","taken date missing; ","")&amp;IF(AND($H36&lt;&gt;"",$H36&lt;&gt;$P36),"file name differs from the convention; ","")&amp;IF(AND($D36="placement",$O36="Y",COUNTIF(photos!$R$2:$R$701,$R36)&gt;1),"two usable placement photos: mark one N; ","")&amp;IF($K36&lt;&gt;"Y","info: not usable (a person, screen or whiteboard may show): never used, delete the file; ","")&amp;IF(AND($D36="placement",$J36&lt;&gt;"Y"),"info: not usable as a placement photo (no card); ","")&amp;IF(AND($D36="placement",N($N36)&gt;2),"info: placed after the first business day; ","")&amp;IF(AND($D36="later",$N36&lt;&gt;"",OR(N($N36)&lt;3,N($N36)&gt;5)),"info: later photo outside day 3 to 5; ",""))</f>
        <v/>
      </c>
      <c r="R36" s="25">
        <f>IF($B36="","",$B36&amp;"|"&amp;$C36&amp;"|"&amp;$D36&amp;"|"&amp;$O36)</f>
        <v/>
      </c>
      <c r="S36" s="25">
        <f>IF($B36="","",$R36&amp;"|"&amp;N($E36))</f>
        <v/>
      </c>
    </row>
    <row r="37">
      <c r="E37" s="9" t="n"/>
      <c r="F37" s="33" t="n"/>
      <c r="I37" s="9" t="n"/>
      <c r="M37" s="26">
        <f>IF($B37="","",IFERROR(IF(INDEX(campaigns!$BG$2:$BG$51,MATCH($B37,campaigns!$A$2:$A$51,0))="","",INDEX(campaigns!$BG$2:$BG$51,MATCH($B37,campaigns!$A$2:$A$51,0))),""))</f>
        <v/>
      </c>
      <c r="N37" s="25">
        <f>IF(OR($B37="",$E37="",$M37=""),"",IF($E37&lt;$M37,0,NETWORKDAYS($M37,$E37,calendar!$A$2:$A$80)))</f>
        <v/>
      </c>
      <c r="O37" s="25">
        <f>IF($B37="","",IF(AND($K37="Y",OR($D37="later",$J37="Y")),"Y","N"))</f>
        <v/>
      </c>
      <c r="P37" s="25">
        <f>IF(OR($B37="",$E37=""),"",$B37&amp;"_"&amp;$C37&amp;"_"&amp;$D37&amp;"_"&amp;TEXT($E37,"yyyy-mm-dd")&amp;".jpg")</f>
        <v/>
      </c>
      <c r="Q37" s="25">
        <f>IF($B37="","",IF(COUNTIF(campaigns!$A$2:$A$51,$B37)=0,"campaign_id not on campaigns; ",IF(AND($C37&lt;&gt;"",COUNTIFS(approvals!$A$2:$A$251,$B37,approvals!$B$2:$B$251,$C37)=0),"office not on this campaign (approvals tab); ",""))&amp;IF($E37="","taken date missing; ","")&amp;IF(AND($H37&lt;&gt;"",$H37&lt;&gt;$P37),"file name differs from the convention; ","")&amp;IF(AND($D37="placement",$O37="Y",COUNTIF(photos!$R$2:$R$701,$R37)&gt;1),"two usable placement photos: mark one N; ","")&amp;IF($K37&lt;&gt;"Y","info: not usable (a person, screen or whiteboard may show): never used, delete the file; ","")&amp;IF(AND($D37="placement",$J37&lt;&gt;"Y"),"info: not usable as a placement photo (no card); ","")&amp;IF(AND($D37="placement",N($N37)&gt;2),"info: placed after the first business day; ","")&amp;IF(AND($D37="later",$N37&lt;&gt;"",OR(N($N37)&lt;3,N($N37)&gt;5)),"info: later photo outside day 3 to 5; ",""))</f>
        <v/>
      </c>
      <c r="R37" s="25">
        <f>IF($B37="","",$B37&amp;"|"&amp;$C37&amp;"|"&amp;$D37&amp;"|"&amp;$O37)</f>
        <v/>
      </c>
      <c r="S37" s="25">
        <f>IF($B37="","",$R37&amp;"|"&amp;N($E37))</f>
        <v/>
      </c>
    </row>
    <row r="38">
      <c r="E38" s="9" t="n"/>
      <c r="F38" s="33" t="n"/>
      <c r="I38" s="9" t="n"/>
      <c r="M38" s="26">
        <f>IF($B38="","",IFERROR(IF(INDEX(campaigns!$BG$2:$BG$51,MATCH($B38,campaigns!$A$2:$A$51,0))="","",INDEX(campaigns!$BG$2:$BG$51,MATCH($B38,campaigns!$A$2:$A$51,0))),""))</f>
        <v/>
      </c>
      <c r="N38" s="25">
        <f>IF(OR($B38="",$E38="",$M38=""),"",IF($E38&lt;$M38,0,NETWORKDAYS($M38,$E38,calendar!$A$2:$A$80)))</f>
        <v/>
      </c>
      <c r="O38" s="25">
        <f>IF($B38="","",IF(AND($K38="Y",OR($D38="later",$J38="Y")),"Y","N"))</f>
        <v/>
      </c>
      <c r="P38" s="25">
        <f>IF(OR($B38="",$E38=""),"",$B38&amp;"_"&amp;$C38&amp;"_"&amp;$D38&amp;"_"&amp;TEXT($E38,"yyyy-mm-dd")&amp;".jpg")</f>
        <v/>
      </c>
      <c r="Q38" s="25">
        <f>IF($B38="","",IF(COUNTIF(campaigns!$A$2:$A$51,$B38)=0,"campaign_id not on campaigns; ",IF(AND($C38&lt;&gt;"",COUNTIFS(approvals!$A$2:$A$251,$B38,approvals!$B$2:$B$251,$C38)=0),"office not on this campaign (approvals tab); ",""))&amp;IF($E38="","taken date missing; ","")&amp;IF(AND($H38&lt;&gt;"",$H38&lt;&gt;$P38),"file name differs from the convention; ","")&amp;IF(AND($D38="placement",$O38="Y",COUNTIF(photos!$R$2:$R$701,$R38)&gt;1),"two usable placement photos: mark one N; ","")&amp;IF($K38&lt;&gt;"Y","info: not usable (a person, screen or whiteboard may show): never used, delete the file; ","")&amp;IF(AND($D38="placement",$J38&lt;&gt;"Y"),"info: not usable as a placement photo (no card); ","")&amp;IF(AND($D38="placement",N($N38)&gt;2),"info: placed after the first business day; ","")&amp;IF(AND($D38="later",$N38&lt;&gt;"",OR(N($N38)&lt;3,N($N38)&gt;5)),"info: later photo outside day 3 to 5; ",""))</f>
        <v/>
      </c>
      <c r="R38" s="25">
        <f>IF($B38="","",$B38&amp;"|"&amp;$C38&amp;"|"&amp;$D38&amp;"|"&amp;$O38)</f>
        <v/>
      </c>
      <c r="S38" s="25">
        <f>IF($B38="","",$R38&amp;"|"&amp;N($E38))</f>
        <v/>
      </c>
    </row>
    <row r="39">
      <c r="E39" s="9" t="n"/>
      <c r="F39" s="33" t="n"/>
      <c r="I39" s="9" t="n"/>
      <c r="M39" s="26">
        <f>IF($B39="","",IFERROR(IF(INDEX(campaigns!$BG$2:$BG$51,MATCH($B39,campaigns!$A$2:$A$51,0))="","",INDEX(campaigns!$BG$2:$BG$51,MATCH($B39,campaigns!$A$2:$A$51,0))),""))</f>
        <v/>
      </c>
      <c r="N39" s="25">
        <f>IF(OR($B39="",$E39="",$M39=""),"",IF($E39&lt;$M39,0,NETWORKDAYS($M39,$E39,calendar!$A$2:$A$80)))</f>
        <v/>
      </c>
      <c r="O39" s="25">
        <f>IF($B39="","",IF(AND($K39="Y",OR($D39="later",$J39="Y")),"Y","N"))</f>
        <v/>
      </c>
      <c r="P39" s="25">
        <f>IF(OR($B39="",$E39=""),"",$B39&amp;"_"&amp;$C39&amp;"_"&amp;$D39&amp;"_"&amp;TEXT($E39,"yyyy-mm-dd")&amp;".jpg")</f>
        <v/>
      </c>
      <c r="Q39" s="25">
        <f>IF($B39="","",IF(COUNTIF(campaigns!$A$2:$A$51,$B39)=0,"campaign_id not on campaigns; ",IF(AND($C39&lt;&gt;"",COUNTIFS(approvals!$A$2:$A$251,$B39,approvals!$B$2:$B$251,$C39)=0),"office not on this campaign (approvals tab); ",""))&amp;IF($E39="","taken date missing; ","")&amp;IF(AND($H39&lt;&gt;"",$H39&lt;&gt;$P39),"file name differs from the convention; ","")&amp;IF(AND($D39="placement",$O39="Y",COUNTIF(photos!$R$2:$R$701,$R39)&gt;1),"two usable placement photos: mark one N; ","")&amp;IF($K39&lt;&gt;"Y","info: not usable (a person, screen or whiteboard may show): never used, delete the file; ","")&amp;IF(AND($D39="placement",$J39&lt;&gt;"Y"),"info: not usable as a placement photo (no card); ","")&amp;IF(AND($D39="placement",N($N39)&gt;2),"info: placed after the first business day; ","")&amp;IF(AND($D39="later",$N39&lt;&gt;"",OR(N($N39)&lt;3,N($N39)&gt;5)),"info: later photo outside day 3 to 5; ",""))</f>
        <v/>
      </c>
      <c r="R39" s="25">
        <f>IF($B39="","",$B39&amp;"|"&amp;$C39&amp;"|"&amp;$D39&amp;"|"&amp;$O39)</f>
        <v/>
      </c>
      <c r="S39" s="25">
        <f>IF($B39="","",$R39&amp;"|"&amp;N($E39))</f>
        <v/>
      </c>
    </row>
    <row r="40">
      <c r="E40" s="9" t="n"/>
      <c r="F40" s="33" t="n"/>
      <c r="I40" s="9" t="n"/>
      <c r="M40" s="26">
        <f>IF($B40="","",IFERROR(IF(INDEX(campaigns!$BG$2:$BG$51,MATCH($B40,campaigns!$A$2:$A$51,0))="","",INDEX(campaigns!$BG$2:$BG$51,MATCH($B40,campaigns!$A$2:$A$51,0))),""))</f>
        <v/>
      </c>
      <c r="N40" s="25">
        <f>IF(OR($B40="",$E40="",$M40=""),"",IF($E40&lt;$M40,0,NETWORKDAYS($M40,$E40,calendar!$A$2:$A$80)))</f>
        <v/>
      </c>
      <c r="O40" s="25">
        <f>IF($B40="","",IF(AND($K40="Y",OR($D40="later",$J40="Y")),"Y","N"))</f>
        <v/>
      </c>
      <c r="P40" s="25">
        <f>IF(OR($B40="",$E40=""),"",$B40&amp;"_"&amp;$C40&amp;"_"&amp;$D40&amp;"_"&amp;TEXT($E40,"yyyy-mm-dd")&amp;".jpg")</f>
        <v/>
      </c>
      <c r="Q40" s="25">
        <f>IF($B40="","",IF(COUNTIF(campaigns!$A$2:$A$51,$B40)=0,"campaign_id not on campaigns; ",IF(AND($C40&lt;&gt;"",COUNTIFS(approvals!$A$2:$A$251,$B40,approvals!$B$2:$B$251,$C40)=0),"office not on this campaign (approvals tab); ",""))&amp;IF($E40="","taken date missing; ","")&amp;IF(AND($H40&lt;&gt;"",$H40&lt;&gt;$P40),"file name differs from the convention; ","")&amp;IF(AND($D40="placement",$O40="Y",COUNTIF(photos!$R$2:$R$701,$R40)&gt;1),"two usable placement photos: mark one N; ","")&amp;IF($K40&lt;&gt;"Y","info: not usable (a person, screen or whiteboard may show): never used, delete the file; ","")&amp;IF(AND($D40="placement",$J40&lt;&gt;"Y"),"info: not usable as a placement photo (no card); ","")&amp;IF(AND($D40="placement",N($N40)&gt;2),"info: placed after the first business day; ","")&amp;IF(AND($D40="later",$N40&lt;&gt;"",OR(N($N40)&lt;3,N($N40)&gt;5)),"info: later photo outside day 3 to 5; ",""))</f>
        <v/>
      </c>
      <c r="R40" s="25">
        <f>IF($B40="","",$B40&amp;"|"&amp;$C40&amp;"|"&amp;$D40&amp;"|"&amp;$O40)</f>
        <v/>
      </c>
      <c r="S40" s="25">
        <f>IF($B40="","",$R40&amp;"|"&amp;N($E40))</f>
        <v/>
      </c>
    </row>
    <row r="41">
      <c r="E41" s="9" t="n"/>
      <c r="F41" s="33" t="n"/>
      <c r="I41" s="9" t="n"/>
      <c r="M41" s="26">
        <f>IF($B41="","",IFERROR(IF(INDEX(campaigns!$BG$2:$BG$51,MATCH($B41,campaigns!$A$2:$A$51,0))="","",INDEX(campaigns!$BG$2:$BG$51,MATCH($B41,campaigns!$A$2:$A$51,0))),""))</f>
        <v/>
      </c>
      <c r="N41" s="25">
        <f>IF(OR($B41="",$E41="",$M41=""),"",IF($E41&lt;$M41,0,NETWORKDAYS($M41,$E41,calendar!$A$2:$A$80)))</f>
        <v/>
      </c>
      <c r="O41" s="25">
        <f>IF($B41="","",IF(AND($K41="Y",OR($D41="later",$J41="Y")),"Y","N"))</f>
        <v/>
      </c>
      <c r="P41" s="25">
        <f>IF(OR($B41="",$E41=""),"",$B41&amp;"_"&amp;$C41&amp;"_"&amp;$D41&amp;"_"&amp;TEXT($E41,"yyyy-mm-dd")&amp;".jpg")</f>
        <v/>
      </c>
      <c r="Q41" s="25">
        <f>IF($B41="","",IF(COUNTIF(campaigns!$A$2:$A$51,$B41)=0,"campaign_id not on campaigns; ",IF(AND($C41&lt;&gt;"",COUNTIFS(approvals!$A$2:$A$251,$B41,approvals!$B$2:$B$251,$C41)=0),"office not on this campaign (approvals tab); ",""))&amp;IF($E41="","taken date missing; ","")&amp;IF(AND($H41&lt;&gt;"",$H41&lt;&gt;$P41),"file name differs from the convention; ","")&amp;IF(AND($D41="placement",$O41="Y",COUNTIF(photos!$R$2:$R$701,$R41)&gt;1),"two usable placement photos: mark one N; ","")&amp;IF($K41&lt;&gt;"Y","info: not usable (a person, screen or whiteboard may show): never used, delete the file; ","")&amp;IF(AND($D41="placement",$J41&lt;&gt;"Y"),"info: not usable as a placement photo (no card); ","")&amp;IF(AND($D41="placement",N($N41)&gt;2),"info: placed after the first business day; ","")&amp;IF(AND($D41="later",$N41&lt;&gt;"",OR(N($N41)&lt;3,N($N41)&gt;5)),"info: later photo outside day 3 to 5; ",""))</f>
        <v/>
      </c>
      <c r="R41" s="25">
        <f>IF($B41="","",$B41&amp;"|"&amp;$C41&amp;"|"&amp;$D41&amp;"|"&amp;$O41)</f>
        <v/>
      </c>
      <c r="S41" s="25">
        <f>IF($B41="","",$R41&amp;"|"&amp;N($E41))</f>
        <v/>
      </c>
    </row>
    <row r="42">
      <c r="E42" s="9" t="n"/>
      <c r="F42" s="33" t="n"/>
      <c r="I42" s="9" t="n"/>
      <c r="M42" s="26">
        <f>IF($B42="","",IFERROR(IF(INDEX(campaigns!$BG$2:$BG$51,MATCH($B42,campaigns!$A$2:$A$51,0))="","",INDEX(campaigns!$BG$2:$BG$51,MATCH($B42,campaigns!$A$2:$A$51,0))),""))</f>
        <v/>
      </c>
      <c r="N42" s="25">
        <f>IF(OR($B42="",$E42="",$M42=""),"",IF($E42&lt;$M42,0,NETWORKDAYS($M42,$E42,calendar!$A$2:$A$80)))</f>
        <v/>
      </c>
      <c r="O42" s="25">
        <f>IF($B42="","",IF(AND($K42="Y",OR($D42="later",$J42="Y")),"Y","N"))</f>
        <v/>
      </c>
      <c r="P42" s="25">
        <f>IF(OR($B42="",$E42=""),"",$B42&amp;"_"&amp;$C42&amp;"_"&amp;$D42&amp;"_"&amp;TEXT($E42,"yyyy-mm-dd")&amp;".jpg")</f>
        <v/>
      </c>
      <c r="Q42" s="25">
        <f>IF($B42="","",IF(COUNTIF(campaigns!$A$2:$A$51,$B42)=0,"campaign_id not on campaigns; ",IF(AND($C42&lt;&gt;"",COUNTIFS(approvals!$A$2:$A$251,$B42,approvals!$B$2:$B$251,$C42)=0),"office not on this campaign (approvals tab); ",""))&amp;IF($E42="","taken date missing; ","")&amp;IF(AND($H42&lt;&gt;"",$H42&lt;&gt;$P42),"file name differs from the convention; ","")&amp;IF(AND($D42="placement",$O42="Y",COUNTIF(photos!$R$2:$R$701,$R42)&gt;1),"two usable placement photos: mark one N; ","")&amp;IF($K42&lt;&gt;"Y","info: not usable (a person, screen or whiteboard may show): never used, delete the file; ","")&amp;IF(AND($D42="placement",$J42&lt;&gt;"Y"),"info: not usable as a placement photo (no card); ","")&amp;IF(AND($D42="placement",N($N42)&gt;2),"info: placed after the first business day; ","")&amp;IF(AND($D42="later",$N42&lt;&gt;"",OR(N($N42)&lt;3,N($N42)&gt;5)),"info: later photo outside day 3 to 5; ",""))</f>
        <v/>
      </c>
      <c r="R42" s="25">
        <f>IF($B42="","",$B42&amp;"|"&amp;$C42&amp;"|"&amp;$D42&amp;"|"&amp;$O42)</f>
        <v/>
      </c>
      <c r="S42" s="25">
        <f>IF($B42="","",$R42&amp;"|"&amp;N($E42))</f>
        <v/>
      </c>
    </row>
    <row r="43">
      <c r="E43" s="9" t="n"/>
      <c r="F43" s="33" t="n"/>
      <c r="I43" s="9" t="n"/>
      <c r="M43" s="26">
        <f>IF($B43="","",IFERROR(IF(INDEX(campaigns!$BG$2:$BG$51,MATCH($B43,campaigns!$A$2:$A$51,0))="","",INDEX(campaigns!$BG$2:$BG$51,MATCH($B43,campaigns!$A$2:$A$51,0))),""))</f>
        <v/>
      </c>
      <c r="N43" s="25">
        <f>IF(OR($B43="",$E43="",$M43=""),"",IF($E43&lt;$M43,0,NETWORKDAYS($M43,$E43,calendar!$A$2:$A$80)))</f>
        <v/>
      </c>
      <c r="O43" s="25">
        <f>IF($B43="","",IF(AND($K43="Y",OR($D43="later",$J43="Y")),"Y","N"))</f>
        <v/>
      </c>
      <c r="P43" s="25">
        <f>IF(OR($B43="",$E43=""),"",$B43&amp;"_"&amp;$C43&amp;"_"&amp;$D43&amp;"_"&amp;TEXT($E43,"yyyy-mm-dd")&amp;".jpg")</f>
        <v/>
      </c>
      <c r="Q43" s="25">
        <f>IF($B43="","",IF(COUNTIF(campaigns!$A$2:$A$51,$B43)=0,"campaign_id not on campaigns; ",IF(AND($C43&lt;&gt;"",COUNTIFS(approvals!$A$2:$A$251,$B43,approvals!$B$2:$B$251,$C43)=0),"office not on this campaign (approvals tab); ",""))&amp;IF($E43="","taken date missing; ","")&amp;IF(AND($H43&lt;&gt;"",$H43&lt;&gt;$P43),"file name differs from the convention; ","")&amp;IF(AND($D43="placement",$O43="Y",COUNTIF(photos!$R$2:$R$701,$R43)&gt;1),"two usable placement photos: mark one N; ","")&amp;IF($K43&lt;&gt;"Y","info: not usable (a person, screen or whiteboard may show): never used, delete the file; ","")&amp;IF(AND($D43="placement",$J43&lt;&gt;"Y"),"info: not usable as a placement photo (no card); ","")&amp;IF(AND($D43="placement",N($N43)&gt;2),"info: placed after the first business day; ","")&amp;IF(AND($D43="later",$N43&lt;&gt;"",OR(N($N43)&lt;3,N($N43)&gt;5)),"info: later photo outside day 3 to 5; ",""))</f>
        <v/>
      </c>
      <c r="R43" s="25">
        <f>IF($B43="","",$B43&amp;"|"&amp;$C43&amp;"|"&amp;$D43&amp;"|"&amp;$O43)</f>
        <v/>
      </c>
      <c r="S43" s="25">
        <f>IF($B43="","",$R43&amp;"|"&amp;N($E43))</f>
        <v/>
      </c>
    </row>
    <row r="44">
      <c r="E44" s="9" t="n"/>
      <c r="F44" s="33" t="n"/>
      <c r="I44" s="9" t="n"/>
      <c r="M44" s="26">
        <f>IF($B44="","",IFERROR(IF(INDEX(campaigns!$BG$2:$BG$51,MATCH($B44,campaigns!$A$2:$A$51,0))="","",INDEX(campaigns!$BG$2:$BG$51,MATCH($B44,campaigns!$A$2:$A$51,0))),""))</f>
        <v/>
      </c>
      <c r="N44" s="25">
        <f>IF(OR($B44="",$E44="",$M44=""),"",IF($E44&lt;$M44,0,NETWORKDAYS($M44,$E44,calendar!$A$2:$A$80)))</f>
        <v/>
      </c>
      <c r="O44" s="25">
        <f>IF($B44="","",IF(AND($K44="Y",OR($D44="later",$J44="Y")),"Y","N"))</f>
        <v/>
      </c>
      <c r="P44" s="25">
        <f>IF(OR($B44="",$E44=""),"",$B44&amp;"_"&amp;$C44&amp;"_"&amp;$D44&amp;"_"&amp;TEXT($E44,"yyyy-mm-dd")&amp;".jpg")</f>
        <v/>
      </c>
      <c r="Q44" s="25">
        <f>IF($B44="","",IF(COUNTIF(campaigns!$A$2:$A$51,$B44)=0,"campaign_id not on campaigns; ",IF(AND($C44&lt;&gt;"",COUNTIFS(approvals!$A$2:$A$251,$B44,approvals!$B$2:$B$251,$C44)=0),"office not on this campaign (approvals tab); ",""))&amp;IF($E44="","taken date missing; ","")&amp;IF(AND($H44&lt;&gt;"",$H44&lt;&gt;$P44),"file name differs from the convention; ","")&amp;IF(AND($D44="placement",$O44="Y",COUNTIF(photos!$R$2:$R$701,$R44)&gt;1),"two usable placement photos: mark one N; ","")&amp;IF($K44&lt;&gt;"Y","info: not usable (a person, screen or whiteboard may show): never used, delete the file; ","")&amp;IF(AND($D44="placement",$J44&lt;&gt;"Y"),"info: not usable as a placement photo (no card); ","")&amp;IF(AND($D44="placement",N($N44)&gt;2),"info: placed after the first business day; ","")&amp;IF(AND($D44="later",$N44&lt;&gt;"",OR(N($N44)&lt;3,N($N44)&gt;5)),"info: later photo outside day 3 to 5; ",""))</f>
        <v/>
      </c>
      <c r="R44" s="25">
        <f>IF($B44="","",$B44&amp;"|"&amp;$C44&amp;"|"&amp;$D44&amp;"|"&amp;$O44)</f>
        <v/>
      </c>
      <c r="S44" s="25">
        <f>IF($B44="","",$R44&amp;"|"&amp;N($E44))</f>
        <v/>
      </c>
    </row>
    <row r="45">
      <c r="E45" s="9" t="n"/>
      <c r="F45" s="33" t="n"/>
      <c r="I45" s="9" t="n"/>
      <c r="M45" s="26">
        <f>IF($B45="","",IFERROR(IF(INDEX(campaigns!$BG$2:$BG$51,MATCH($B45,campaigns!$A$2:$A$51,0))="","",INDEX(campaigns!$BG$2:$BG$51,MATCH($B45,campaigns!$A$2:$A$51,0))),""))</f>
        <v/>
      </c>
      <c r="N45" s="25">
        <f>IF(OR($B45="",$E45="",$M45=""),"",IF($E45&lt;$M45,0,NETWORKDAYS($M45,$E45,calendar!$A$2:$A$80)))</f>
        <v/>
      </c>
      <c r="O45" s="25">
        <f>IF($B45="","",IF(AND($K45="Y",OR($D45="later",$J45="Y")),"Y","N"))</f>
        <v/>
      </c>
      <c r="P45" s="25">
        <f>IF(OR($B45="",$E45=""),"",$B45&amp;"_"&amp;$C45&amp;"_"&amp;$D45&amp;"_"&amp;TEXT($E45,"yyyy-mm-dd")&amp;".jpg")</f>
        <v/>
      </c>
      <c r="Q45" s="25">
        <f>IF($B45="","",IF(COUNTIF(campaigns!$A$2:$A$51,$B45)=0,"campaign_id not on campaigns; ",IF(AND($C45&lt;&gt;"",COUNTIFS(approvals!$A$2:$A$251,$B45,approvals!$B$2:$B$251,$C45)=0),"office not on this campaign (approvals tab); ",""))&amp;IF($E45="","taken date missing; ","")&amp;IF(AND($H45&lt;&gt;"",$H45&lt;&gt;$P45),"file name differs from the convention; ","")&amp;IF(AND($D45="placement",$O45="Y",COUNTIF(photos!$R$2:$R$701,$R45)&gt;1),"two usable placement photos: mark one N; ","")&amp;IF($K45&lt;&gt;"Y","info: not usable (a person, screen or whiteboard may show): never used, delete the file; ","")&amp;IF(AND($D45="placement",$J45&lt;&gt;"Y"),"info: not usable as a placement photo (no card); ","")&amp;IF(AND($D45="placement",N($N45)&gt;2),"info: placed after the first business day; ","")&amp;IF(AND($D45="later",$N45&lt;&gt;"",OR(N($N45)&lt;3,N($N45)&gt;5)),"info: later photo outside day 3 to 5; ",""))</f>
        <v/>
      </c>
      <c r="R45" s="25">
        <f>IF($B45="","",$B45&amp;"|"&amp;$C45&amp;"|"&amp;$D45&amp;"|"&amp;$O45)</f>
        <v/>
      </c>
      <c r="S45" s="25">
        <f>IF($B45="","",$R45&amp;"|"&amp;N($E45))</f>
        <v/>
      </c>
    </row>
    <row r="46">
      <c r="E46" s="9" t="n"/>
      <c r="F46" s="33" t="n"/>
      <c r="I46" s="9" t="n"/>
      <c r="M46" s="26">
        <f>IF($B46="","",IFERROR(IF(INDEX(campaigns!$BG$2:$BG$51,MATCH($B46,campaigns!$A$2:$A$51,0))="","",INDEX(campaigns!$BG$2:$BG$51,MATCH($B46,campaigns!$A$2:$A$51,0))),""))</f>
        <v/>
      </c>
      <c r="N46" s="25">
        <f>IF(OR($B46="",$E46="",$M46=""),"",IF($E46&lt;$M46,0,NETWORKDAYS($M46,$E46,calendar!$A$2:$A$80)))</f>
        <v/>
      </c>
      <c r="O46" s="25">
        <f>IF($B46="","",IF(AND($K46="Y",OR($D46="later",$J46="Y")),"Y","N"))</f>
        <v/>
      </c>
      <c r="P46" s="25">
        <f>IF(OR($B46="",$E46=""),"",$B46&amp;"_"&amp;$C46&amp;"_"&amp;$D46&amp;"_"&amp;TEXT($E46,"yyyy-mm-dd")&amp;".jpg")</f>
        <v/>
      </c>
      <c r="Q46" s="25">
        <f>IF($B46="","",IF(COUNTIF(campaigns!$A$2:$A$51,$B46)=0,"campaign_id not on campaigns; ",IF(AND($C46&lt;&gt;"",COUNTIFS(approvals!$A$2:$A$251,$B46,approvals!$B$2:$B$251,$C46)=0),"office not on this campaign (approvals tab); ",""))&amp;IF($E46="","taken date missing; ","")&amp;IF(AND($H46&lt;&gt;"",$H46&lt;&gt;$P46),"file name differs from the convention; ","")&amp;IF(AND($D46="placement",$O46="Y",COUNTIF(photos!$R$2:$R$701,$R46)&gt;1),"two usable placement photos: mark one N; ","")&amp;IF($K46&lt;&gt;"Y","info: not usable (a person, screen or whiteboard may show): never used, delete the file; ","")&amp;IF(AND($D46="placement",$J46&lt;&gt;"Y"),"info: not usable as a placement photo (no card); ","")&amp;IF(AND($D46="placement",N($N46)&gt;2),"info: placed after the first business day; ","")&amp;IF(AND($D46="later",$N46&lt;&gt;"",OR(N($N46)&lt;3,N($N46)&gt;5)),"info: later photo outside day 3 to 5; ",""))</f>
        <v/>
      </c>
      <c r="R46" s="25">
        <f>IF($B46="","",$B46&amp;"|"&amp;$C46&amp;"|"&amp;$D46&amp;"|"&amp;$O46)</f>
        <v/>
      </c>
      <c r="S46" s="25">
        <f>IF($B46="","",$R46&amp;"|"&amp;N($E46))</f>
        <v/>
      </c>
    </row>
    <row r="47">
      <c r="E47" s="9" t="n"/>
      <c r="F47" s="33" t="n"/>
      <c r="I47" s="9" t="n"/>
      <c r="M47" s="26">
        <f>IF($B47="","",IFERROR(IF(INDEX(campaigns!$BG$2:$BG$51,MATCH($B47,campaigns!$A$2:$A$51,0))="","",INDEX(campaigns!$BG$2:$BG$51,MATCH($B47,campaigns!$A$2:$A$51,0))),""))</f>
        <v/>
      </c>
      <c r="N47" s="25">
        <f>IF(OR($B47="",$E47="",$M47=""),"",IF($E47&lt;$M47,0,NETWORKDAYS($M47,$E47,calendar!$A$2:$A$80)))</f>
        <v/>
      </c>
      <c r="O47" s="25">
        <f>IF($B47="","",IF(AND($K47="Y",OR($D47="later",$J47="Y")),"Y","N"))</f>
        <v/>
      </c>
      <c r="P47" s="25">
        <f>IF(OR($B47="",$E47=""),"",$B47&amp;"_"&amp;$C47&amp;"_"&amp;$D47&amp;"_"&amp;TEXT($E47,"yyyy-mm-dd")&amp;".jpg")</f>
        <v/>
      </c>
      <c r="Q47" s="25">
        <f>IF($B47="","",IF(COUNTIF(campaigns!$A$2:$A$51,$B47)=0,"campaign_id not on campaigns; ",IF(AND($C47&lt;&gt;"",COUNTIFS(approvals!$A$2:$A$251,$B47,approvals!$B$2:$B$251,$C47)=0),"office not on this campaign (approvals tab); ",""))&amp;IF($E47="","taken date missing; ","")&amp;IF(AND($H47&lt;&gt;"",$H47&lt;&gt;$P47),"file name differs from the convention; ","")&amp;IF(AND($D47="placement",$O47="Y",COUNTIF(photos!$R$2:$R$701,$R47)&gt;1),"two usable placement photos: mark one N; ","")&amp;IF($K47&lt;&gt;"Y","info: not usable (a person, screen or whiteboard may show): never used, delete the file; ","")&amp;IF(AND($D47="placement",$J47&lt;&gt;"Y"),"info: not usable as a placement photo (no card); ","")&amp;IF(AND($D47="placement",N($N47)&gt;2),"info: placed after the first business day; ","")&amp;IF(AND($D47="later",$N47&lt;&gt;"",OR(N($N47)&lt;3,N($N47)&gt;5)),"info: later photo outside day 3 to 5; ",""))</f>
        <v/>
      </c>
      <c r="R47" s="25">
        <f>IF($B47="","",$B47&amp;"|"&amp;$C47&amp;"|"&amp;$D47&amp;"|"&amp;$O47)</f>
        <v/>
      </c>
      <c r="S47" s="25">
        <f>IF($B47="","",$R47&amp;"|"&amp;N($E47))</f>
        <v/>
      </c>
    </row>
    <row r="48">
      <c r="E48" s="9" t="n"/>
      <c r="F48" s="33" t="n"/>
      <c r="I48" s="9" t="n"/>
      <c r="M48" s="26">
        <f>IF($B48="","",IFERROR(IF(INDEX(campaigns!$BG$2:$BG$51,MATCH($B48,campaigns!$A$2:$A$51,0))="","",INDEX(campaigns!$BG$2:$BG$51,MATCH($B48,campaigns!$A$2:$A$51,0))),""))</f>
        <v/>
      </c>
      <c r="N48" s="25">
        <f>IF(OR($B48="",$E48="",$M48=""),"",IF($E48&lt;$M48,0,NETWORKDAYS($M48,$E48,calendar!$A$2:$A$80)))</f>
        <v/>
      </c>
      <c r="O48" s="25">
        <f>IF($B48="","",IF(AND($K48="Y",OR($D48="later",$J48="Y")),"Y","N"))</f>
        <v/>
      </c>
      <c r="P48" s="25">
        <f>IF(OR($B48="",$E48=""),"",$B48&amp;"_"&amp;$C48&amp;"_"&amp;$D48&amp;"_"&amp;TEXT($E48,"yyyy-mm-dd")&amp;".jpg")</f>
        <v/>
      </c>
      <c r="Q48" s="25">
        <f>IF($B48="","",IF(COUNTIF(campaigns!$A$2:$A$51,$B48)=0,"campaign_id not on campaigns; ",IF(AND($C48&lt;&gt;"",COUNTIFS(approvals!$A$2:$A$251,$B48,approvals!$B$2:$B$251,$C48)=0),"office not on this campaign (approvals tab); ",""))&amp;IF($E48="","taken date missing; ","")&amp;IF(AND($H48&lt;&gt;"",$H48&lt;&gt;$P48),"file name differs from the convention; ","")&amp;IF(AND($D48="placement",$O48="Y",COUNTIF(photos!$R$2:$R$701,$R48)&gt;1),"two usable placement photos: mark one N; ","")&amp;IF($K48&lt;&gt;"Y","info: not usable (a person, screen or whiteboard may show): never used, delete the file; ","")&amp;IF(AND($D48="placement",$J48&lt;&gt;"Y"),"info: not usable as a placement photo (no card); ","")&amp;IF(AND($D48="placement",N($N48)&gt;2),"info: placed after the first business day; ","")&amp;IF(AND($D48="later",$N48&lt;&gt;"",OR(N($N48)&lt;3,N($N48)&gt;5)),"info: later photo outside day 3 to 5; ",""))</f>
        <v/>
      </c>
      <c r="R48" s="25">
        <f>IF($B48="","",$B48&amp;"|"&amp;$C48&amp;"|"&amp;$D48&amp;"|"&amp;$O48)</f>
        <v/>
      </c>
      <c r="S48" s="25">
        <f>IF($B48="","",$R48&amp;"|"&amp;N($E48))</f>
        <v/>
      </c>
    </row>
    <row r="49">
      <c r="E49" s="9" t="n"/>
      <c r="F49" s="33" t="n"/>
      <c r="I49" s="9" t="n"/>
      <c r="M49" s="26">
        <f>IF($B49="","",IFERROR(IF(INDEX(campaigns!$BG$2:$BG$51,MATCH($B49,campaigns!$A$2:$A$51,0))="","",INDEX(campaigns!$BG$2:$BG$51,MATCH($B49,campaigns!$A$2:$A$51,0))),""))</f>
        <v/>
      </c>
      <c r="N49" s="25">
        <f>IF(OR($B49="",$E49="",$M49=""),"",IF($E49&lt;$M49,0,NETWORKDAYS($M49,$E49,calendar!$A$2:$A$80)))</f>
        <v/>
      </c>
      <c r="O49" s="25">
        <f>IF($B49="","",IF(AND($K49="Y",OR($D49="later",$J49="Y")),"Y","N"))</f>
        <v/>
      </c>
      <c r="P49" s="25">
        <f>IF(OR($B49="",$E49=""),"",$B49&amp;"_"&amp;$C49&amp;"_"&amp;$D49&amp;"_"&amp;TEXT($E49,"yyyy-mm-dd")&amp;".jpg")</f>
        <v/>
      </c>
      <c r="Q49" s="25">
        <f>IF($B49="","",IF(COUNTIF(campaigns!$A$2:$A$51,$B49)=0,"campaign_id not on campaigns; ",IF(AND($C49&lt;&gt;"",COUNTIFS(approvals!$A$2:$A$251,$B49,approvals!$B$2:$B$251,$C49)=0),"office not on this campaign (approvals tab); ",""))&amp;IF($E49="","taken date missing; ","")&amp;IF(AND($H49&lt;&gt;"",$H49&lt;&gt;$P49),"file name differs from the convention; ","")&amp;IF(AND($D49="placement",$O49="Y",COUNTIF(photos!$R$2:$R$701,$R49)&gt;1),"two usable placement photos: mark one N; ","")&amp;IF($K49&lt;&gt;"Y","info: not usable (a person, screen or whiteboard may show): never used, delete the file; ","")&amp;IF(AND($D49="placement",$J49&lt;&gt;"Y"),"info: not usable as a placement photo (no card); ","")&amp;IF(AND($D49="placement",N($N49)&gt;2),"info: placed after the first business day; ","")&amp;IF(AND($D49="later",$N49&lt;&gt;"",OR(N($N49)&lt;3,N($N49)&gt;5)),"info: later photo outside day 3 to 5; ",""))</f>
        <v/>
      </c>
      <c r="R49" s="25">
        <f>IF($B49="","",$B49&amp;"|"&amp;$C49&amp;"|"&amp;$D49&amp;"|"&amp;$O49)</f>
        <v/>
      </c>
      <c r="S49" s="25">
        <f>IF($B49="","",$R49&amp;"|"&amp;N($E49))</f>
        <v/>
      </c>
    </row>
    <row r="50">
      <c r="E50" s="9" t="n"/>
      <c r="F50" s="33" t="n"/>
      <c r="I50" s="9" t="n"/>
      <c r="M50" s="26">
        <f>IF($B50="","",IFERROR(IF(INDEX(campaigns!$BG$2:$BG$51,MATCH($B50,campaigns!$A$2:$A$51,0))="","",INDEX(campaigns!$BG$2:$BG$51,MATCH($B50,campaigns!$A$2:$A$51,0))),""))</f>
        <v/>
      </c>
      <c r="N50" s="25">
        <f>IF(OR($B50="",$E50="",$M50=""),"",IF($E50&lt;$M50,0,NETWORKDAYS($M50,$E50,calendar!$A$2:$A$80)))</f>
        <v/>
      </c>
      <c r="O50" s="25">
        <f>IF($B50="","",IF(AND($K50="Y",OR($D50="later",$J50="Y")),"Y","N"))</f>
        <v/>
      </c>
      <c r="P50" s="25">
        <f>IF(OR($B50="",$E50=""),"",$B50&amp;"_"&amp;$C50&amp;"_"&amp;$D50&amp;"_"&amp;TEXT($E50,"yyyy-mm-dd")&amp;".jpg")</f>
        <v/>
      </c>
      <c r="Q50" s="25">
        <f>IF($B50="","",IF(COUNTIF(campaigns!$A$2:$A$51,$B50)=0,"campaign_id not on campaigns; ",IF(AND($C50&lt;&gt;"",COUNTIFS(approvals!$A$2:$A$251,$B50,approvals!$B$2:$B$251,$C50)=0),"office not on this campaign (approvals tab); ",""))&amp;IF($E50="","taken date missing; ","")&amp;IF(AND($H50&lt;&gt;"",$H50&lt;&gt;$P50),"file name differs from the convention; ","")&amp;IF(AND($D50="placement",$O50="Y",COUNTIF(photos!$R$2:$R$701,$R50)&gt;1),"two usable placement photos: mark one N; ","")&amp;IF($K50&lt;&gt;"Y","info: not usable (a person, screen or whiteboard may show): never used, delete the file; ","")&amp;IF(AND($D50="placement",$J50&lt;&gt;"Y"),"info: not usable as a placement photo (no card); ","")&amp;IF(AND($D50="placement",N($N50)&gt;2),"info: placed after the first business day; ","")&amp;IF(AND($D50="later",$N50&lt;&gt;"",OR(N($N50)&lt;3,N($N50)&gt;5)),"info: later photo outside day 3 to 5; ",""))</f>
        <v/>
      </c>
      <c r="R50" s="25">
        <f>IF($B50="","",$B50&amp;"|"&amp;$C50&amp;"|"&amp;$D50&amp;"|"&amp;$O50)</f>
        <v/>
      </c>
      <c r="S50" s="25">
        <f>IF($B50="","",$R50&amp;"|"&amp;N($E50))</f>
        <v/>
      </c>
    </row>
    <row r="51">
      <c r="E51" s="9" t="n"/>
      <c r="F51" s="33" t="n"/>
      <c r="I51" s="9" t="n"/>
      <c r="M51" s="26">
        <f>IF($B51="","",IFERROR(IF(INDEX(campaigns!$BG$2:$BG$51,MATCH($B51,campaigns!$A$2:$A$51,0))="","",INDEX(campaigns!$BG$2:$BG$51,MATCH($B51,campaigns!$A$2:$A$51,0))),""))</f>
        <v/>
      </c>
      <c r="N51" s="25">
        <f>IF(OR($B51="",$E51="",$M51=""),"",IF($E51&lt;$M51,0,NETWORKDAYS($M51,$E51,calendar!$A$2:$A$80)))</f>
        <v/>
      </c>
      <c r="O51" s="25">
        <f>IF($B51="","",IF(AND($K51="Y",OR($D51="later",$J51="Y")),"Y","N"))</f>
        <v/>
      </c>
      <c r="P51" s="25">
        <f>IF(OR($B51="",$E51=""),"",$B51&amp;"_"&amp;$C51&amp;"_"&amp;$D51&amp;"_"&amp;TEXT($E51,"yyyy-mm-dd")&amp;".jpg")</f>
        <v/>
      </c>
      <c r="Q51" s="25">
        <f>IF($B51="","",IF(COUNTIF(campaigns!$A$2:$A$51,$B51)=0,"campaign_id not on campaigns; ",IF(AND($C51&lt;&gt;"",COUNTIFS(approvals!$A$2:$A$251,$B51,approvals!$B$2:$B$251,$C51)=0),"office not on this campaign (approvals tab); ",""))&amp;IF($E51="","taken date missing; ","")&amp;IF(AND($H51&lt;&gt;"",$H51&lt;&gt;$P51),"file name differs from the convention; ","")&amp;IF(AND($D51="placement",$O51="Y",COUNTIF(photos!$R$2:$R$701,$R51)&gt;1),"two usable placement photos: mark one N; ","")&amp;IF($K51&lt;&gt;"Y","info: not usable (a person, screen or whiteboard may show): never used, delete the file; ","")&amp;IF(AND($D51="placement",$J51&lt;&gt;"Y"),"info: not usable as a placement photo (no card); ","")&amp;IF(AND($D51="placement",N($N51)&gt;2),"info: placed after the first business day; ","")&amp;IF(AND($D51="later",$N51&lt;&gt;"",OR(N($N51)&lt;3,N($N51)&gt;5)),"info: later photo outside day 3 to 5; ",""))</f>
        <v/>
      </c>
      <c r="R51" s="25">
        <f>IF($B51="","",$B51&amp;"|"&amp;$C51&amp;"|"&amp;$D51&amp;"|"&amp;$O51)</f>
        <v/>
      </c>
      <c r="S51" s="25">
        <f>IF($B51="","",$R51&amp;"|"&amp;N($E51))</f>
        <v/>
      </c>
    </row>
    <row r="52">
      <c r="E52" s="9" t="n"/>
      <c r="F52" s="33" t="n"/>
      <c r="I52" s="9" t="n"/>
      <c r="M52" s="26">
        <f>IF($B52="","",IFERROR(IF(INDEX(campaigns!$BG$2:$BG$51,MATCH($B52,campaigns!$A$2:$A$51,0))="","",INDEX(campaigns!$BG$2:$BG$51,MATCH($B52,campaigns!$A$2:$A$51,0))),""))</f>
        <v/>
      </c>
      <c r="N52" s="25">
        <f>IF(OR($B52="",$E52="",$M52=""),"",IF($E52&lt;$M52,0,NETWORKDAYS($M52,$E52,calendar!$A$2:$A$80)))</f>
        <v/>
      </c>
      <c r="O52" s="25">
        <f>IF($B52="","",IF(AND($K52="Y",OR($D52="later",$J52="Y")),"Y","N"))</f>
        <v/>
      </c>
      <c r="P52" s="25">
        <f>IF(OR($B52="",$E52=""),"",$B52&amp;"_"&amp;$C52&amp;"_"&amp;$D52&amp;"_"&amp;TEXT($E52,"yyyy-mm-dd")&amp;".jpg")</f>
        <v/>
      </c>
      <c r="Q52" s="25">
        <f>IF($B52="","",IF(COUNTIF(campaigns!$A$2:$A$51,$B52)=0,"campaign_id not on campaigns; ",IF(AND($C52&lt;&gt;"",COUNTIFS(approvals!$A$2:$A$251,$B52,approvals!$B$2:$B$251,$C52)=0),"office not on this campaign (approvals tab); ",""))&amp;IF($E52="","taken date missing; ","")&amp;IF(AND($H52&lt;&gt;"",$H52&lt;&gt;$P52),"file name differs from the convention; ","")&amp;IF(AND($D52="placement",$O52="Y",COUNTIF(photos!$R$2:$R$701,$R52)&gt;1),"two usable placement photos: mark one N; ","")&amp;IF($K52&lt;&gt;"Y","info: not usable (a person, screen or whiteboard may show): never used, delete the file; ","")&amp;IF(AND($D52="placement",$J52&lt;&gt;"Y"),"info: not usable as a placement photo (no card); ","")&amp;IF(AND($D52="placement",N($N52)&gt;2),"info: placed after the first business day; ","")&amp;IF(AND($D52="later",$N52&lt;&gt;"",OR(N($N52)&lt;3,N($N52)&gt;5)),"info: later photo outside day 3 to 5; ",""))</f>
        <v/>
      </c>
      <c r="R52" s="25">
        <f>IF($B52="","",$B52&amp;"|"&amp;$C52&amp;"|"&amp;$D52&amp;"|"&amp;$O52)</f>
        <v/>
      </c>
      <c r="S52" s="25">
        <f>IF($B52="","",$R52&amp;"|"&amp;N($E52))</f>
        <v/>
      </c>
    </row>
    <row r="53">
      <c r="E53" s="9" t="n"/>
      <c r="F53" s="33" t="n"/>
      <c r="I53" s="9" t="n"/>
      <c r="M53" s="26">
        <f>IF($B53="","",IFERROR(IF(INDEX(campaigns!$BG$2:$BG$51,MATCH($B53,campaigns!$A$2:$A$51,0))="","",INDEX(campaigns!$BG$2:$BG$51,MATCH($B53,campaigns!$A$2:$A$51,0))),""))</f>
        <v/>
      </c>
      <c r="N53" s="25">
        <f>IF(OR($B53="",$E53="",$M53=""),"",IF($E53&lt;$M53,0,NETWORKDAYS($M53,$E53,calendar!$A$2:$A$80)))</f>
        <v/>
      </c>
      <c r="O53" s="25">
        <f>IF($B53="","",IF(AND($K53="Y",OR($D53="later",$J53="Y")),"Y","N"))</f>
        <v/>
      </c>
      <c r="P53" s="25">
        <f>IF(OR($B53="",$E53=""),"",$B53&amp;"_"&amp;$C53&amp;"_"&amp;$D53&amp;"_"&amp;TEXT($E53,"yyyy-mm-dd")&amp;".jpg")</f>
        <v/>
      </c>
      <c r="Q53" s="25">
        <f>IF($B53="","",IF(COUNTIF(campaigns!$A$2:$A$51,$B53)=0,"campaign_id not on campaigns; ",IF(AND($C53&lt;&gt;"",COUNTIFS(approvals!$A$2:$A$251,$B53,approvals!$B$2:$B$251,$C53)=0),"office not on this campaign (approvals tab); ",""))&amp;IF($E53="","taken date missing; ","")&amp;IF(AND($H53&lt;&gt;"",$H53&lt;&gt;$P53),"file name differs from the convention; ","")&amp;IF(AND($D53="placement",$O53="Y",COUNTIF(photos!$R$2:$R$701,$R53)&gt;1),"two usable placement photos: mark one N; ","")&amp;IF($K53&lt;&gt;"Y","info: not usable (a person, screen or whiteboard may show): never used, delete the file; ","")&amp;IF(AND($D53="placement",$J53&lt;&gt;"Y"),"info: not usable as a placement photo (no card); ","")&amp;IF(AND($D53="placement",N($N53)&gt;2),"info: placed after the first business day; ","")&amp;IF(AND($D53="later",$N53&lt;&gt;"",OR(N($N53)&lt;3,N($N53)&gt;5)),"info: later photo outside day 3 to 5; ",""))</f>
        <v/>
      </c>
      <c r="R53" s="25">
        <f>IF($B53="","",$B53&amp;"|"&amp;$C53&amp;"|"&amp;$D53&amp;"|"&amp;$O53)</f>
        <v/>
      </c>
      <c r="S53" s="25">
        <f>IF($B53="","",$R53&amp;"|"&amp;N($E53))</f>
        <v/>
      </c>
    </row>
    <row r="54">
      <c r="E54" s="9" t="n"/>
      <c r="F54" s="33" t="n"/>
      <c r="I54" s="9" t="n"/>
      <c r="M54" s="26">
        <f>IF($B54="","",IFERROR(IF(INDEX(campaigns!$BG$2:$BG$51,MATCH($B54,campaigns!$A$2:$A$51,0))="","",INDEX(campaigns!$BG$2:$BG$51,MATCH($B54,campaigns!$A$2:$A$51,0))),""))</f>
        <v/>
      </c>
      <c r="N54" s="25">
        <f>IF(OR($B54="",$E54="",$M54=""),"",IF($E54&lt;$M54,0,NETWORKDAYS($M54,$E54,calendar!$A$2:$A$80)))</f>
        <v/>
      </c>
      <c r="O54" s="25">
        <f>IF($B54="","",IF(AND($K54="Y",OR($D54="later",$J54="Y")),"Y","N"))</f>
        <v/>
      </c>
      <c r="P54" s="25">
        <f>IF(OR($B54="",$E54=""),"",$B54&amp;"_"&amp;$C54&amp;"_"&amp;$D54&amp;"_"&amp;TEXT($E54,"yyyy-mm-dd")&amp;".jpg")</f>
        <v/>
      </c>
      <c r="Q54" s="25">
        <f>IF($B54="","",IF(COUNTIF(campaigns!$A$2:$A$51,$B54)=0,"campaign_id not on campaigns; ",IF(AND($C54&lt;&gt;"",COUNTIFS(approvals!$A$2:$A$251,$B54,approvals!$B$2:$B$251,$C54)=0),"office not on this campaign (approvals tab); ",""))&amp;IF($E54="","taken date missing; ","")&amp;IF(AND($H54&lt;&gt;"",$H54&lt;&gt;$P54),"file name differs from the convention; ","")&amp;IF(AND($D54="placement",$O54="Y",COUNTIF(photos!$R$2:$R$701,$R54)&gt;1),"two usable placement photos: mark one N; ","")&amp;IF($K54&lt;&gt;"Y","info: not usable (a person, screen or whiteboard may show): never used, delete the file; ","")&amp;IF(AND($D54="placement",$J54&lt;&gt;"Y"),"info: not usable as a placement photo (no card); ","")&amp;IF(AND($D54="placement",N($N54)&gt;2),"info: placed after the first business day; ","")&amp;IF(AND($D54="later",$N54&lt;&gt;"",OR(N($N54)&lt;3,N($N54)&gt;5)),"info: later photo outside day 3 to 5; ",""))</f>
        <v/>
      </c>
      <c r="R54" s="25">
        <f>IF($B54="","",$B54&amp;"|"&amp;$C54&amp;"|"&amp;$D54&amp;"|"&amp;$O54)</f>
        <v/>
      </c>
      <c r="S54" s="25">
        <f>IF($B54="","",$R54&amp;"|"&amp;N($E54))</f>
        <v/>
      </c>
    </row>
    <row r="55">
      <c r="E55" s="9" t="n"/>
      <c r="F55" s="33" t="n"/>
      <c r="I55" s="9" t="n"/>
      <c r="M55" s="26">
        <f>IF($B55="","",IFERROR(IF(INDEX(campaigns!$BG$2:$BG$51,MATCH($B55,campaigns!$A$2:$A$51,0))="","",INDEX(campaigns!$BG$2:$BG$51,MATCH($B55,campaigns!$A$2:$A$51,0))),""))</f>
        <v/>
      </c>
      <c r="N55" s="25">
        <f>IF(OR($B55="",$E55="",$M55=""),"",IF($E55&lt;$M55,0,NETWORKDAYS($M55,$E55,calendar!$A$2:$A$80)))</f>
        <v/>
      </c>
      <c r="O55" s="25">
        <f>IF($B55="","",IF(AND($K55="Y",OR($D55="later",$J55="Y")),"Y","N"))</f>
        <v/>
      </c>
      <c r="P55" s="25">
        <f>IF(OR($B55="",$E55=""),"",$B55&amp;"_"&amp;$C55&amp;"_"&amp;$D55&amp;"_"&amp;TEXT($E55,"yyyy-mm-dd")&amp;".jpg")</f>
        <v/>
      </c>
      <c r="Q55" s="25">
        <f>IF($B55="","",IF(COUNTIF(campaigns!$A$2:$A$51,$B55)=0,"campaign_id not on campaigns; ",IF(AND($C55&lt;&gt;"",COUNTIFS(approvals!$A$2:$A$251,$B55,approvals!$B$2:$B$251,$C55)=0),"office not on this campaign (approvals tab); ",""))&amp;IF($E55="","taken date missing; ","")&amp;IF(AND($H55&lt;&gt;"",$H55&lt;&gt;$P55),"file name differs from the convention; ","")&amp;IF(AND($D55="placement",$O55="Y",COUNTIF(photos!$R$2:$R$701,$R55)&gt;1),"two usable placement photos: mark one N; ","")&amp;IF($K55&lt;&gt;"Y","info: not usable (a person, screen or whiteboard may show): never used, delete the file; ","")&amp;IF(AND($D55="placement",$J55&lt;&gt;"Y"),"info: not usable as a placement photo (no card); ","")&amp;IF(AND($D55="placement",N($N55)&gt;2),"info: placed after the first business day; ","")&amp;IF(AND($D55="later",$N55&lt;&gt;"",OR(N($N55)&lt;3,N($N55)&gt;5)),"info: later photo outside day 3 to 5; ",""))</f>
        <v/>
      </c>
      <c r="R55" s="25">
        <f>IF($B55="","",$B55&amp;"|"&amp;$C55&amp;"|"&amp;$D55&amp;"|"&amp;$O55)</f>
        <v/>
      </c>
      <c r="S55" s="25">
        <f>IF($B55="","",$R55&amp;"|"&amp;N($E55))</f>
        <v/>
      </c>
    </row>
    <row r="56">
      <c r="E56" s="9" t="n"/>
      <c r="F56" s="33" t="n"/>
      <c r="I56" s="9" t="n"/>
      <c r="M56" s="26">
        <f>IF($B56="","",IFERROR(IF(INDEX(campaigns!$BG$2:$BG$51,MATCH($B56,campaigns!$A$2:$A$51,0))="","",INDEX(campaigns!$BG$2:$BG$51,MATCH($B56,campaigns!$A$2:$A$51,0))),""))</f>
        <v/>
      </c>
      <c r="N56" s="25">
        <f>IF(OR($B56="",$E56="",$M56=""),"",IF($E56&lt;$M56,0,NETWORKDAYS($M56,$E56,calendar!$A$2:$A$80)))</f>
        <v/>
      </c>
      <c r="O56" s="25">
        <f>IF($B56="","",IF(AND($K56="Y",OR($D56="later",$J56="Y")),"Y","N"))</f>
        <v/>
      </c>
      <c r="P56" s="25">
        <f>IF(OR($B56="",$E56=""),"",$B56&amp;"_"&amp;$C56&amp;"_"&amp;$D56&amp;"_"&amp;TEXT($E56,"yyyy-mm-dd")&amp;".jpg")</f>
        <v/>
      </c>
      <c r="Q56" s="25">
        <f>IF($B56="","",IF(COUNTIF(campaigns!$A$2:$A$51,$B56)=0,"campaign_id not on campaigns; ",IF(AND($C56&lt;&gt;"",COUNTIFS(approvals!$A$2:$A$251,$B56,approvals!$B$2:$B$251,$C56)=0),"office not on this campaign (approvals tab); ",""))&amp;IF($E56="","taken date missing; ","")&amp;IF(AND($H56&lt;&gt;"",$H56&lt;&gt;$P56),"file name differs from the convention; ","")&amp;IF(AND($D56="placement",$O56="Y",COUNTIF(photos!$R$2:$R$701,$R56)&gt;1),"two usable placement photos: mark one N; ","")&amp;IF($K56&lt;&gt;"Y","info: not usable (a person, screen or whiteboard may show): never used, delete the file; ","")&amp;IF(AND($D56="placement",$J56&lt;&gt;"Y"),"info: not usable as a placement photo (no card); ","")&amp;IF(AND($D56="placement",N($N56)&gt;2),"info: placed after the first business day; ","")&amp;IF(AND($D56="later",$N56&lt;&gt;"",OR(N($N56)&lt;3,N($N56)&gt;5)),"info: later photo outside day 3 to 5; ",""))</f>
        <v/>
      </c>
      <c r="R56" s="25">
        <f>IF($B56="","",$B56&amp;"|"&amp;$C56&amp;"|"&amp;$D56&amp;"|"&amp;$O56)</f>
        <v/>
      </c>
      <c r="S56" s="25">
        <f>IF($B56="","",$R56&amp;"|"&amp;N($E56))</f>
        <v/>
      </c>
    </row>
    <row r="57">
      <c r="E57" s="9" t="n"/>
      <c r="F57" s="33" t="n"/>
      <c r="I57" s="9" t="n"/>
      <c r="M57" s="26">
        <f>IF($B57="","",IFERROR(IF(INDEX(campaigns!$BG$2:$BG$51,MATCH($B57,campaigns!$A$2:$A$51,0))="","",INDEX(campaigns!$BG$2:$BG$51,MATCH($B57,campaigns!$A$2:$A$51,0))),""))</f>
        <v/>
      </c>
      <c r="N57" s="25">
        <f>IF(OR($B57="",$E57="",$M57=""),"",IF($E57&lt;$M57,0,NETWORKDAYS($M57,$E57,calendar!$A$2:$A$80)))</f>
        <v/>
      </c>
      <c r="O57" s="25">
        <f>IF($B57="","",IF(AND($K57="Y",OR($D57="later",$J57="Y")),"Y","N"))</f>
        <v/>
      </c>
      <c r="P57" s="25">
        <f>IF(OR($B57="",$E57=""),"",$B57&amp;"_"&amp;$C57&amp;"_"&amp;$D57&amp;"_"&amp;TEXT($E57,"yyyy-mm-dd")&amp;".jpg")</f>
        <v/>
      </c>
      <c r="Q57" s="25">
        <f>IF($B57="","",IF(COUNTIF(campaigns!$A$2:$A$51,$B57)=0,"campaign_id not on campaigns; ",IF(AND($C57&lt;&gt;"",COUNTIFS(approvals!$A$2:$A$251,$B57,approvals!$B$2:$B$251,$C57)=0),"office not on this campaign (approvals tab); ",""))&amp;IF($E57="","taken date missing; ","")&amp;IF(AND($H57&lt;&gt;"",$H57&lt;&gt;$P57),"file name differs from the convention; ","")&amp;IF(AND($D57="placement",$O57="Y",COUNTIF(photos!$R$2:$R$701,$R57)&gt;1),"two usable placement photos: mark one N; ","")&amp;IF($K57&lt;&gt;"Y","info: not usable (a person, screen or whiteboard may show): never used, delete the file; ","")&amp;IF(AND($D57="placement",$J57&lt;&gt;"Y"),"info: not usable as a placement photo (no card); ","")&amp;IF(AND($D57="placement",N($N57)&gt;2),"info: placed after the first business day; ","")&amp;IF(AND($D57="later",$N57&lt;&gt;"",OR(N($N57)&lt;3,N($N57)&gt;5)),"info: later photo outside day 3 to 5; ",""))</f>
        <v/>
      </c>
      <c r="R57" s="25">
        <f>IF($B57="","",$B57&amp;"|"&amp;$C57&amp;"|"&amp;$D57&amp;"|"&amp;$O57)</f>
        <v/>
      </c>
      <c r="S57" s="25">
        <f>IF($B57="","",$R57&amp;"|"&amp;N($E57))</f>
        <v/>
      </c>
    </row>
    <row r="58">
      <c r="E58" s="9" t="n"/>
      <c r="F58" s="33" t="n"/>
      <c r="I58" s="9" t="n"/>
      <c r="M58" s="26">
        <f>IF($B58="","",IFERROR(IF(INDEX(campaigns!$BG$2:$BG$51,MATCH($B58,campaigns!$A$2:$A$51,0))="","",INDEX(campaigns!$BG$2:$BG$51,MATCH($B58,campaigns!$A$2:$A$51,0))),""))</f>
        <v/>
      </c>
      <c r="N58" s="25">
        <f>IF(OR($B58="",$E58="",$M58=""),"",IF($E58&lt;$M58,0,NETWORKDAYS($M58,$E58,calendar!$A$2:$A$80)))</f>
        <v/>
      </c>
      <c r="O58" s="25">
        <f>IF($B58="","",IF(AND($K58="Y",OR($D58="later",$J58="Y")),"Y","N"))</f>
        <v/>
      </c>
      <c r="P58" s="25">
        <f>IF(OR($B58="",$E58=""),"",$B58&amp;"_"&amp;$C58&amp;"_"&amp;$D58&amp;"_"&amp;TEXT($E58,"yyyy-mm-dd")&amp;".jpg")</f>
        <v/>
      </c>
      <c r="Q58" s="25">
        <f>IF($B58="","",IF(COUNTIF(campaigns!$A$2:$A$51,$B58)=0,"campaign_id not on campaigns; ",IF(AND($C58&lt;&gt;"",COUNTIFS(approvals!$A$2:$A$251,$B58,approvals!$B$2:$B$251,$C58)=0),"office not on this campaign (approvals tab); ",""))&amp;IF($E58="","taken date missing; ","")&amp;IF(AND($H58&lt;&gt;"",$H58&lt;&gt;$P58),"file name differs from the convention; ","")&amp;IF(AND($D58="placement",$O58="Y",COUNTIF(photos!$R$2:$R$701,$R58)&gt;1),"two usable placement photos: mark one N; ","")&amp;IF($K58&lt;&gt;"Y","info: not usable (a person, screen or whiteboard may show): never used, delete the file; ","")&amp;IF(AND($D58="placement",$J58&lt;&gt;"Y"),"info: not usable as a placement photo (no card); ","")&amp;IF(AND($D58="placement",N($N58)&gt;2),"info: placed after the first business day; ","")&amp;IF(AND($D58="later",$N58&lt;&gt;"",OR(N($N58)&lt;3,N($N58)&gt;5)),"info: later photo outside day 3 to 5; ",""))</f>
        <v/>
      </c>
      <c r="R58" s="25">
        <f>IF($B58="","",$B58&amp;"|"&amp;$C58&amp;"|"&amp;$D58&amp;"|"&amp;$O58)</f>
        <v/>
      </c>
      <c r="S58" s="25">
        <f>IF($B58="","",$R58&amp;"|"&amp;N($E58))</f>
        <v/>
      </c>
    </row>
    <row r="59">
      <c r="E59" s="9" t="n"/>
      <c r="F59" s="33" t="n"/>
      <c r="I59" s="9" t="n"/>
      <c r="M59" s="26">
        <f>IF($B59="","",IFERROR(IF(INDEX(campaigns!$BG$2:$BG$51,MATCH($B59,campaigns!$A$2:$A$51,0))="","",INDEX(campaigns!$BG$2:$BG$51,MATCH($B59,campaigns!$A$2:$A$51,0))),""))</f>
        <v/>
      </c>
      <c r="N59" s="25">
        <f>IF(OR($B59="",$E59="",$M59=""),"",IF($E59&lt;$M59,0,NETWORKDAYS($M59,$E59,calendar!$A$2:$A$80)))</f>
        <v/>
      </c>
      <c r="O59" s="25">
        <f>IF($B59="","",IF(AND($K59="Y",OR($D59="later",$J59="Y")),"Y","N"))</f>
        <v/>
      </c>
      <c r="P59" s="25">
        <f>IF(OR($B59="",$E59=""),"",$B59&amp;"_"&amp;$C59&amp;"_"&amp;$D59&amp;"_"&amp;TEXT($E59,"yyyy-mm-dd")&amp;".jpg")</f>
        <v/>
      </c>
      <c r="Q59" s="25">
        <f>IF($B59="","",IF(COUNTIF(campaigns!$A$2:$A$51,$B59)=0,"campaign_id not on campaigns; ",IF(AND($C59&lt;&gt;"",COUNTIFS(approvals!$A$2:$A$251,$B59,approvals!$B$2:$B$251,$C59)=0),"office not on this campaign (approvals tab); ",""))&amp;IF($E59="","taken date missing; ","")&amp;IF(AND($H59&lt;&gt;"",$H59&lt;&gt;$P59),"file name differs from the convention; ","")&amp;IF(AND($D59="placement",$O59="Y",COUNTIF(photos!$R$2:$R$701,$R59)&gt;1),"two usable placement photos: mark one N; ","")&amp;IF($K59&lt;&gt;"Y","info: not usable (a person, screen or whiteboard may show): never used, delete the file; ","")&amp;IF(AND($D59="placement",$J59&lt;&gt;"Y"),"info: not usable as a placement photo (no card); ","")&amp;IF(AND($D59="placement",N($N59)&gt;2),"info: placed after the first business day; ","")&amp;IF(AND($D59="later",$N59&lt;&gt;"",OR(N($N59)&lt;3,N($N59)&gt;5)),"info: later photo outside day 3 to 5; ",""))</f>
        <v/>
      </c>
      <c r="R59" s="25">
        <f>IF($B59="","",$B59&amp;"|"&amp;$C59&amp;"|"&amp;$D59&amp;"|"&amp;$O59)</f>
        <v/>
      </c>
      <c r="S59" s="25">
        <f>IF($B59="","",$R59&amp;"|"&amp;N($E59))</f>
        <v/>
      </c>
    </row>
    <row r="60">
      <c r="E60" s="9" t="n"/>
      <c r="F60" s="33" t="n"/>
      <c r="I60" s="9" t="n"/>
      <c r="M60" s="26">
        <f>IF($B60="","",IFERROR(IF(INDEX(campaigns!$BG$2:$BG$51,MATCH($B60,campaigns!$A$2:$A$51,0))="","",INDEX(campaigns!$BG$2:$BG$51,MATCH($B60,campaigns!$A$2:$A$51,0))),""))</f>
        <v/>
      </c>
      <c r="N60" s="25">
        <f>IF(OR($B60="",$E60="",$M60=""),"",IF($E60&lt;$M60,0,NETWORKDAYS($M60,$E60,calendar!$A$2:$A$80)))</f>
        <v/>
      </c>
      <c r="O60" s="25">
        <f>IF($B60="","",IF(AND($K60="Y",OR($D60="later",$J60="Y")),"Y","N"))</f>
        <v/>
      </c>
      <c r="P60" s="25">
        <f>IF(OR($B60="",$E60=""),"",$B60&amp;"_"&amp;$C60&amp;"_"&amp;$D60&amp;"_"&amp;TEXT($E60,"yyyy-mm-dd")&amp;".jpg")</f>
        <v/>
      </c>
      <c r="Q60" s="25">
        <f>IF($B60="","",IF(COUNTIF(campaigns!$A$2:$A$51,$B60)=0,"campaign_id not on campaigns; ",IF(AND($C60&lt;&gt;"",COUNTIFS(approvals!$A$2:$A$251,$B60,approvals!$B$2:$B$251,$C60)=0),"office not on this campaign (approvals tab); ",""))&amp;IF($E60="","taken date missing; ","")&amp;IF(AND($H60&lt;&gt;"",$H60&lt;&gt;$P60),"file name differs from the convention; ","")&amp;IF(AND($D60="placement",$O60="Y",COUNTIF(photos!$R$2:$R$701,$R60)&gt;1),"two usable placement photos: mark one N; ","")&amp;IF($K60&lt;&gt;"Y","info: not usable (a person, screen or whiteboard may show): never used, delete the file; ","")&amp;IF(AND($D60="placement",$J60&lt;&gt;"Y"),"info: not usable as a placement photo (no card); ","")&amp;IF(AND($D60="placement",N($N60)&gt;2),"info: placed after the first business day; ","")&amp;IF(AND($D60="later",$N60&lt;&gt;"",OR(N($N60)&lt;3,N($N60)&gt;5)),"info: later photo outside day 3 to 5; ",""))</f>
        <v/>
      </c>
      <c r="R60" s="25">
        <f>IF($B60="","",$B60&amp;"|"&amp;$C60&amp;"|"&amp;$D60&amp;"|"&amp;$O60)</f>
        <v/>
      </c>
      <c r="S60" s="25">
        <f>IF($B60="","",$R60&amp;"|"&amp;N($E60))</f>
        <v/>
      </c>
    </row>
    <row r="61">
      <c r="E61" s="9" t="n"/>
      <c r="F61" s="33" t="n"/>
      <c r="I61" s="9" t="n"/>
      <c r="M61" s="26">
        <f>IF($B61="","",IFERROR(IF(INDEX(campaigns!$BG$2:$BG$51,MATCH($B61,campaigns!$A$2:$A$51,0))="","",INDEX(campaigns!$BG$2:$BG$51,MATCH($B61,campaigns!$A$2:$A$51,0))),""))</f>
        <v/>
      </c>
      <c r="N61" s="25">
        <f>IF(OR($B61="",$E61="",$M61=""),"",IF($E61&lt;$M61,0,NETWORKDAYS($M61,$E61,calendar!$A$2:$A$80)))</f>
        <v/>
      </c>
      <c r="O61" s="25">
        <f>IF($B61="","",IF(AND($K61="Y",OR($D61="later",$J61="Y")),"Y","N"))</f>
        <v/>
      </c>
      <c r="P61" s="25">
        <f>IF(OR($B61="",$E61=""),"",$B61&amp;"_"&amp;$C61&amp;"_"&amp;$D61&amp;"_"&amp;TEXT($E61,"yyyy-mm-dd")&amp;".jpg")</f>
        <v/>
      </c>
      <c r="Q61" s="25">
        <f>IF($B61="","",IF(COUNTIF(campaigns!$A$2:$A$51,$B61)=0,"campaign_id not on campaigns; ",IF(AND($C61&lt;&gt;"",COUNTIFS(approvals!$A$2:$A$251,$B61,approvals!$B$2:$B$251,$C61)=0),"office not on this campaign (approvals tab); ",""))&amp;IF($E61="","taken date missing; ","")&amp;IF(AND($H61&lt;&gt;"",$H61&lt;&gt;$P61),"file name differs from the convention; ","")&amp;IF(AND($D61="placement",$O61="Y",COUNTIF(photos!$R$2:$R$701,$R61)&gt;1),"two usable placement photos: mark one N; ","")&amp;IF($K61&lt;&gt;"Y","info: not usable (a person, screen or whiteboard may show): never used, delete the file; ","")&amp;IF(AND($D61="placement",$J61&lt;&gt;"Y"),"info: not usable as a placement photo (no card); ","")&amp;IF(AND($D61="placement",N($N61)&gt;2),"info: placed after the first business day; ","")&amp;IF(AND($D61="later",$N61&lt;&gt;"",OR(N($N61)&lt;3,N($N61)&gt;5)),"info: later photo outside day 3 to 5; ",""))</f>
        <v/>
      </c>
      <c r="R61" s="25">
        <f>IF($B61="","",$B61&amp;"|"&amp;$C61&amp;"|"&amp;$D61&amp;"|"&amp;$O61)</f>
        <v/>
      </c>
      <c r="S61" s="25">
        <f>IF($B61="","",$R61&amp;"|"&amp;N($E61))</f>
        <v/>
      </c>
    </row>
    <row r="62">
      <c r="E62" s="9" t="n"/>
      <c r="F62" s="33" t="n"/>
      <c r="I62" s="9" t="n"/>
      <c r="M62" s="26">
        <f>IF($B62="","",IFERROR(IF(INDEX(campaigns!$BG$2:$BG$51,MATCH($B62,campaigns!$A$2:$A$51,0))="","",INDEX(campaigns!$BG$2:$BG$51,MATCH($B62,campaigns!$A$2:$A$51,0))),""))</f>
        <v/>
      </c>
      <c r="N62" s="25">
        <f>IF(OR($B62="",$E62="",$M62=""),"",IF($E62&lt;$M62,0,NETWORKDAYS($M62,$E62,calendar!$A$2:$A$80)))</f>
        <v/>
      </c>
      <c r="O62" s="25">
        <f>IF($B62="","",IF(AND($K62="Y",OR($D62="later",$J62="Y")),"Y","N"))</f>
        <v/>
      </c>
      <c r="P62" s="25">
        <f>IF(OR($B62="",$E62=""),"",$B62&amp;"_"&amp;$C62&amp;"_"&amp;$D62&amp;"_"&amp;TEXT($E62,"yyyy-mm-dd")&amp;".jpg")</f>
        <v/>
      </c>
      <c r="Q62" s="25">
        <f>IF($B62="","",IF(COUNTIF(campaigns!$A$2:$A$51,$B62)=0,"campaign_id not on campaigns; ",IF(AND($C62&lt;&gt;"",COUNTIFS(approvals!$A$2:$A$251,$B62,approvals!$B$2:$B$251,$C62)=0),"office not on this campaign (approvals tab); ",""))&amp;IF($E62="","taken date missing; ","")&amp;IF(AND($H62&lt;&gt;"",$H62&lt;&gt;$P62),"file name differs from the convention; ","")&amp;IF(AND($D62="placement",$O62="Y",COUNTIF(photos!$R$2:$R$701,$R62)&gt;1),"two usable placement photos: mark one N; ","")&amp;IF($K62&lt;&gt;"Y","info: not usable (a person, screen or whiteboard may show): never used, delete the file; ","")&amp;IF(AND($D62="placement",$J62&lt;&gt;"Y"),"info: not usable as a placement photo (no card); ","")&amp;IF(AND($D62="placement",N($N62)&gt;2),"info: placed after the first business day; ","")&amp;IF(AND($D62="later",$N62&lt;&gt;"",OR(N($N62)&lt;3,N($N62)&gt;5)),"info: later photo outside day 3 to 5; ",""))</f>
        <v/>
      </c>
      <c r="R62" s="25">
        <f>IF($B62="","",$B62&amp;"|"&amp;$C62&amp;"|"&amp;$D62&amp;"|"&amp;$O62)</f>
        <v/>
      </c>
      <c r="S62" s="25">
        <f>IF($B62="","",$R62&amp;"|"&amp;N($E62))</f>
        <v/>
      </c>
    </row>
    <row r="63">
      <c r="E63" s="9" t="n"/>
      <c r="F63" s="33" t="n"/>
      <c r="I63" s="9" t="n"/>
      <c r="M63" s="26">
        <f>IF($B63="","",IFERROR(IF(INDEX(campaigns!$BG$2:$BG$51,MATCH($B63,campaigns!$A$2:$A$51,0))="","",INDEX(campaigns!$BG$2:$BG$51,MATCH($B63,campaigns!$A$2:$A$51,0))),""))</f>
        <v/>
      </c>
      <c r="N63" s="25">
        <f>IF(OR($B63="",$E63="",$M63=""),"",IF($E63&lt;$M63,0,NETWORKDAYS($M63,$E63,calendar!$A$2:$A$80)))</f>
        <v/>
      </c>
      <c r="O63" s="25">
        <f>IF($B63="","",IF(AND($K63="Y",OR($D63="later",$J63="Y")),"Y","N"))</f>
        <v/>
      </c>
      <c r="P63" s="25">
        <f>IF(OR($B63="",$E63=""),"",$B63&amp;"_"&amp;$C63&amp;"_"&amp;$D63&amp;"_"&amp;TEXT($E63,"yyyy-mm-dd")&amp;".jpg")</f>
        <v/>
      </c>
      <c r="Q63" s="25">
        <f>IF($B63="","",IF(COUNTIF(campaigns!$A$2:$A$51,$B63)=0,"campaign_id not on campaigns; ",IF(AND($C63&lt;&gt;"",COUNTIFS(approvals!$A$2:$A$251,$B63,approvals!$B$2:$B$251,$C63)=0),"office not on this campaign (approvals tab); ",""))&amp;IF($E63="","taken date missing; ","")&amp;IF(AND($H63&lt;&gt;"",$H63&lt;&gt;$P63),"file name differs from the convention; ","")&amp;IF(AND($D63="placement",$O63="Y",COUNTIF(photos!$R$2:$R$701,$R63)&gt;1),"two usable placement photos: mark one N; ","")&amp;IF($K63&lt;&gt;"Y","info: not usable (a person, screen or whiteboard may show): never used, delete the file; ","")&amp;IF(AND($D63="placement",$J63&lt;&gt;"Y"),"info: not usable as a placement photo (no card); ","")&amp;IF(AND($D63="placement",N($N63)&gt;2),"info: placed after the first business day; ","")&amp;IF(AND($D63="later",$N63&lt;&gt;"",OR(N($N63)&lt;3,N($N63)&gt;5)),"info: later photo outside day 3 to 5; ",""))</f>
        <v/>
      </c>
      <c r="R63" s="25">
        <f>IF($B63="","",$B63&amp;"|"&amp;$C63&amp;"|"&amp;$D63&amp;"|"&amp;$O63)</f>
        <v/>
      </c>
      <c r="S63" s="25">
        <f>IF($B63="","",$R63&amp;"|"&amp;N($E63))</f>
        <v/>
      </c>
    </row>
    <row r="64">
      <c r="E64" s="9" t="n"/>
      <c r="F64" s="33" t="n"/>
      <c r="I64" s="9" t="n"/>
      <c r="M64" s="26">
        <f>IF($B64="","",IFERROR(IF(INDEX(campaigns!$BG$2:$BG$51,MATCH($B64,campaigns!$A$2:$A$51,0))="","",INDEX(campaigns!$BG$2:$BG$51,MATCH($B64,campaigns!$A$2:$A$51,0))),""))</f>
        <v/>
      </c>
      <c r="N64" s="25">
        <f>IF(OR($B64="",$E64="",$M64=""),"",IF($E64&lt;$M64,0,NETWORKDAYS($M64,$E64,calendar!$A$2:$A$80)))</f>
        <v/>
      </c>
      <c r="O64" s="25">
        <f>IF($B64="","",IF(AND($K64="Y",OR($D64="later",$J64="Y")),"Y","N"))</f>
        <v/>
      </c>
      <c r="P64" s="25">
        <f>IF(OR($B64="",$E64=""),"",$B64&amp;"_"&amp;$C64&amp;"_"&amp;$D64&amp;"_"&amp;TEXT($E64,"yyyy-mm-dd")&amp;".jpg")</f>
        <v/>
      </c>
      <c r="Q64" s="25">
        <f>IF($B64="","",IF(COUNTIF(campaigns!$A$2:$A$51,$B64)=0,"campaign_id not on campaigns; ",IF(AND($C64&lt;&gt;"",COUNTIFS(approvals!$A$2:$A$251,$B64,approvals!$B$2:$B$251,$C64)=0),"office not on this campaign (approvals tab); ",""))&amp;IF($E64="","taken date missing; ","")&amp;IF(AND($H64&lt;&gt;"",$H64&lt;&gt;$P64),"file name differs from the convention; ","")&amp;IF(AND($D64="placement",$O64="Y",COUNTIF(photos!$R$2:$R$701,$R64)&gt;1),"two usable placement photos: mark one N; ","")&amp;IF($K64&lt;&gt;"Y","info: not usable (a person, screen or whiteboard may show): never used, delete the file; ","")&amp;IF(AND($D64="placement",$J64&lt;&gt;"Y"),"info: not usable as a placement photo (no card); ","")&amp;IF(AND($D64="placement",N($N64)&gt;2),"info: placed after the first business day; ","")&amp;IF(AND($D64="later",$N64&lt;&gt;"",OR(N($N64)&lt;3,N($N64)&gt;5)),"info: later photo outside day 3 to 5; ",""))</f>
        <v/>
      </c>
      <c r="R64" s="25">
        <f>IF($B64="","",$B64&amp;"|"&amp;$C64&amp;"|"&amp;$D64&amp;"|"&amp;$O64)</f>
        <v/>
      </c>
      <c r="S64" s="25">
        <f>IF($B64="","",$R64&amp;"|"&amp;N($E64))</f>
        <v/>
      </c>
    </row>
    <row r="65">
      <c r="E65" s="9" t="n"/>
      <c r="F65" s="33" t="n"/>
      <c r="I65" s="9" t="n"/>
      <c r="M65" s="26">
        <f>IF($B65="","",IFERROR(IF(INDEX(campaigns!$BG$2:$BG$51,MATCH($B65,campaigns!$A$2:$A$51,0))="","",INDEX(campaigns!$BG$2:$BG$51,MATCH($B65,campaigns!$A$2:$A$51,0))),""))</f>
        <v/>
      </c>
      <c r="N65" s="25">
        <f>IF(OR($B65="",$E65="",$M65=""),"",IF($E65&lt;$M65,0,NETWORKDAYS($M65,$E65,calendar!$A$2:$A$80)))</f>
        <v/>
      </c>
      <c r="O65" s="25">
        <f>IF($B65="","",IF(AND($K65="Y",OR($D65="later",$J65="Y")),"Y","N"))</f>
        <v/>
      </c>
      <c r="P65" s="25">
        <f>IF(OR($B65="",$E65=""),"",$B65&amp;"_"&amp;$C65&amp;"_"&amp;$D65&amp;"_"&amp;TEXT($E65,"yyyy-mm-dd")&amp;".jpg")</f>
        <v/>
      </c>
      <c r="Q65" s="25">
        <f>IF($B65="","",IF(COUNTIF(campaigns!$A$2:$A$51,$B65)=0,"campaign_id not on campaigns; ",IF(AND($C65&lt;&gt;"",COUNTIFS(approvals!$A$2:$A$251,$B65,approvals!$B$2:$B$251,$C65)=0),"office not on this campaign (approvals tab); ",""))&amp;IF($E65="","taken date missing; ","")&amp;IF(AND($H65&lt;&gt;"",$H65&lt;&gt;$P65),"file name differs from the convention; ","")&amp;IF(AND($D65="placement",$O65="Y",COUNTIF(photos!$R$2:$R$701,$R65)&gt;1),"two usable placement photos: mark one N; ","")&amp;IF($K65&lt;&gt;"Y","info: not usable (a person, screen or whiteboard may show): never used, delete the file; ","")&amp;IF(AND($D65="placement",$J65&lt;&gt;"Y"),"info: not usable as a placement photo (no card); ","")&amp;IF(AND($D65="placement",N($N65)&gt;2),"info: placed after the first business day; ","")&amp;IF(AND($D65="later",$N65&lt;&gt;"",OR(N($N65)&lt;3,N($N65)&gt;5)),"info: later photo outside day 3 to 5; ",""))</f>
        <v/>
      </c>
      <c r="R65" s="25">
        <f>IF($B65="","",$B65&amp;"|"&amp;$C65&amp;"|"&amp;$D65&amp;"|"&amp;$O65)</f>
        <v/>
      </c>
      <c r="S65" s="25">
        <f>IF($B65="","",$R65&amp;"|"&amp;N($E65))</f>
        <v/>
      </c>
    </row>
    <row r="66">
      <c r="E66" s="9" t="n"/>
      <c r="F66" s="33" t="n"/>
      <c r="I66" s="9" t="n"/>
      <c r="M66" s="26">
        <f>IF($B66="","",IFERROR(IF(INDEX(campaigns!$BG$2:$BG$51,MATCH($B66,campaigns!$A$2:$A$51,0))="","",INDEX(campaigns!$BG$2:$BG$51,MATCH($B66,campaigns!$A$2:$A$51,0))),""))</f>
        <v/>
      </c>
      <c r="N66" s="25">
        <f>IF(OR($B66="",$E66="",$M66=""),"",IF($E66&lt;$M66,0,NETWORKDAYS($M66,$E66,calendar!$A$2:$A$80)))</f>
        <v/>
      </c>
      <c r="O66" s="25">
        <f>IF($B66="","",IF(AND($K66="Y",OR($D66="later",$J66="Y")),"Y","N"))</f>
        <v/>
      </c>
      <c r="P66" s="25">
        <f>IF(OR($B66="",$E66=""),"",$B66&amp;"_"&amp;$C66&amp;"_"&amp;$D66&amp;"_"&amp;TEXT($E66,"yyyy-mm-dd")&amp;".jpg")</f>
        <v/>
      </c>
      <c r="Q66" s="25">
        <f>IF($B66="","",IF(COUNTIF(campaigns!$A$2:$A$51,$B66)=0,"campaign_id not on campaigns; ",IF(AND($C66&lt;&gt;"",COUNTIFS(approvals!$A$2:$A$251,$B66,approvals!$B$2:$B$251,$C66)=0),"office not on this campaign (approvals tab); ",""))&amp;IF($E66="","taken date missing; ","")&amp;IF(AND($H66&lt;&gt;"",$H66&lt;&gt;$P66),"file name differs from the convention; ","")&amp;IF(AND($D66="placement",$O66="Y",COUNTIF(photos!$R$2:$R$701,$R66)&gt;1),"two usable placement photos: mark one N; ","")&amp;IF($K66&lt;&gt;"Y","info: not usable (a person, screen or whiteboard may show): never used, delete the file; ","")&amp;IF(AND($D66="placement",$J66&lt;&gt;"Y"),"info: not usable as a placement photo (no card); ","")&amp;IF(AND($D66="placement",N($N66)&gt;2),"info: placed after the first business day; ","")&amp;IF(AND($D66="later",$N66&lt;&gt;"",OR(N($N66)&lt;3,N($N66)&gt;5)),"info: later photo outside day 3 to 5; ",""))</f>
        <v/>
      </c>
      <c r="R66" s="25">
        <f>IF($B66="","",$B66&amp;"|"&amp;$C66&amp;"|"&amp;$D66&amp;"|"&amp;$O66)</f>
        <v/>
      </c>
      <c r="S66" s="25">
        <f>IF($B66="","",$R66&amp;"|"&amp;N($E66))</f>
        <v/>
      </c>
    </row>
    <row r="67">
      <c r="E67" s="9" t="n"/>
      <c r="F67" s="33" t="n"/>
      <c r="I67" s="9" t="n"/>
      <c r="M67" s="26">
        <f>IF($B67="","",IFERROR(IF(INDEX(campaigns!$BG$2:$BG$51,MATCH($B67,campaigns!$A$2:$A$51,0))="","",INDEX(campaigns!$BG$2:$BG$51,MATCH($B67,campaigns!$A$2:$A$51,0))),""))</f>
        <v/>
      </c>
      <c r="N67" s="25">
        <f>IF(OR($B67="",$E67="",$M67=""),"",IF($E67&lt;$M67,0,NETWORKDAYS($M67,$E67,calendar!$A$2:$A$80)))</f>
        <v/>
      </c>
      <c r="O67" s="25">
        <f>IF($B67="","",IF(AND($K67="Y",OR($D67="later",$J67="Y")),"Y","N"))</f>
        <v/>
      </c>
      <c r="P67" s="25">
        <f>IF(OR($B67="",$E67=""),"",$B67&amp;"_"&amp;$C67&amp;"_"&amp;$D67&amp;"_"&amp;TEXT($E67,"yyyy-mm-dd")&amp;".jpg")</f>
        <v/>
      </c>
      <c r="Q67" s="25">
        <f>IF($B67="","",IF(COUNTIF(campaigns!$A$2:$A$51,$B67)=0,"campaign_id not on campaigns; ",IF(AND($C67&lt;&gt;"",COUNTIFS(approvals!$A$2:$A$251,$B67,approvals!$B$2:$B$251,$C67)=0),"office not on this campaign (approvals tab); ",""))&amp;IF($E67="","taken date missing; ","")&amp;IF(AND($H67&lt;&gt;"",$H67&lt;&gt;$P67),"file name differs from the convention; ","")&amp;IF(AND($D67="placement",$O67="Y",COUNTIF(photos!$R$2:$R$701,$R67)&gt;1),"two usable placement photos: mark one N; ","")&amp;IF($K67&lt;&gt;"Y","info: not usable (a person, screen or whiteboard may show): never used, delete the file; ","")&amp;IF(AND($D67="placement",$J67&lt;&gt;"Y"),"info: not usable as a placement photo (no card); ","")&amp;IF(AND($D67="placement",N($N67)&gt;2),"info: placed after the first business day; ","")&amp;IF(AND($D67="later",$N67&lt;&gt;"",OR(N($N67)&lt;3,N($N67)&gt;5)),"info: later photo outside day 3 to 5; ",""))</f>
        <v/>
      </c>
      <c r="R67" s="25">
        <f>IF($B67="","",$B67&amp;"|"&amp;$C67&amp;"|"&amp;$D67&amp;"|"&amp;$O67)</f>
        <v/>
      </c>
      <c r="S67" s="25">
        <f>IF($B67="","",$R67&amp;"|"&amp;N($E67))</f>
        <v/>
      </c>
    </row>
    <row r="68">
      <c r="E68" s="9" t="n"/>
      <c r="F68" s="33" t="n"/>
      <c r="I68" s="9" t="n"/>
      <c r="M68" s="26">
        <f>IF($B68="","",IFERROR(IF(INDEX(campaigns!$BG$2:$BG$51,MATCH($B68,campaigns!$A$2:$A$51,0))="","",INDEX(campaigns!$BG$2:$BG$51,MATCH($B68,campaigns!$A$2:$A$51,0))),""))</f>
        <v/>
      </c>
      <c r="N68" s="25">
        <f>IF(OR($B68="",$E68="",$M68=""),"",IF($E68&lt;$M68,0,NETWORKDAYS($M68,$E68,calendar!$A$2:$A$80)))</f>
        <v/>
      </c>
      <c r="O68" s="25">
        <f>IF($B68="","",IF(AND($K68="Y",OR($D68="later",$J68="Y")),"Y","N"))</f>
        <v/>
      </c>
      <c r="P68" s="25">
        <f>IF(OR($B68="",$E68=""),"",$B68&amp;"_"&amp;$C68&amp;"_"&amp;$D68&amp;"_"&amp;TEXT($E68,"yyyy-mm-dd")&amp;".jpg")</f>
        <v/>
      </c>
      <c r="Q68" s="25">
        <f>IF($B68="","",IF(COUNTIF(campaigns!$A$2:$A$51,$B68)=0,"campaign_id not on campaigns; ",IF(AND($C68&lt;&gt;"",COUNTIFS(approvals!$A$2:$A$251,$B68,approvals!$B$2:$B$251,$C68)=0),"office not on this campaign (approvals tab); ",""))&amp;IF($E68="","taken date missing; ","")&amp;IF(AND($H68&lt;&gt;"",$H68&lt;&gt;$P68),"file name differs from the convention; ","")&amp;IF(AND($D68="placement",$O68="Y",COUNTIF(photos!$R$2:$R$701,$R68)&gt;1),"two usable placement photos: mark one N; ","")&amp;IF($K68&lt;&gt;"Y","info: not usable (a person, screen or whiteboard may show): never used, delete the file; ","")&amp;IF(AND($D68="placement",$J68&lt;&gt;"Y"),"info: not usable as a placement photo (no card); ","")&amp;IF(AND($D68="placement",N($N68)&gt;2),"info: placed after the first business day; ","")&amp;IF(AND($D68="later",$N68&lt;&gt;"",OR(N($N68)&lt;3,N($N68)&gt;5)),"info: later photo outside day 3 to 5; ",""))</f>
        <v/>
      </c>
      <c r="R68" s="25">
        <f>IF($B68="","",$B68&amp;"|"&amp;$C68&amp;"|"&amp;$D68&amp;"|"&amp;$O68)</f>
        <v/>
      </c>
      <c r="S68" s="25">
        <f>IF($B68="","",$R68&amp;"|"&amp;N($E68))</f>
        <v/>
      </c>
    </row>
    <row r="69">
      <c r="E69" s="9" t="n"/>
      <c r="F69" s="33" t="n"/>
      <c r="I69" s="9" t="n"/>
      <c r="M69" s="26">
        <f>IF($B69="","",IFERROR(IF(INDEX(campaigns!$BG$2:$BG$51,MATCH($B69,campaigns!$A$2:$A$51,0))="","",INDEX(campaigns!$BG$2:$BG$51,MATCH($B69,campaigns!$A$2:$A$51,0))),""))</f>
        <v/>
      </c>
      <c r="N69" s="25">
        <f>IF(OR($B69="",$E69="",$M69=""),"",IF($E69&lt;$M69,0,NETWORKDAYS($M69,$E69,calendar!$A$2:$A$80)))</f>
        <v/>
      </c>
      <c r="O69" s="25">
        <f>IF($B69="","",IF(AND($K69="Y",OR($D69="later",$J69="Y")),"Y","N"))</f>
        <v/>
      </c>
      <c r="P69" s="25">
        <f>IF(OR($B69="",$E69=""),"",$B69&amp;"_"&amp;$C69&amp;"_"&amp;$D69&amp;"_"&amp;TEXT($E69,"yyyy-mm-dd")&amp;".jpg")</f>
        <v/>
      </c>
      <c r="Q69" s="25">
        <f>IF($B69="","",IF(COUNTIF(campaigns!$A$2:$A$51,$B69)=0,"campaign_id not on campaigns; ",IF(AND($C69&lt;&gt;"",COUNTIFS(approvals!$A$2:$A$251,$B69,approvals!$B$2:$B$251,$C69)=0),"office not on this campaign (approvals tab); ",""))&amp;IF($E69="","taken date missing; ","")&amp;IF(AND($H69&lt;&gt;"",$H69&lt;&gt;$P69),"file name differs from the convention; ","")&amp;IF(AND($D69="placement",$O69="Y",COUNTIF(photos!$R$2:$R$701,$R69)&gt;1),"two usable placement photos: mark one N; ","")&amp;IF($K69&lt;&gt;"Y","info: not usable (a person, screen or whiteboard may show): never used, delete the file; ","")&amp;IF(AND($D69="placement",$J69&lt;&gt;"Y"),"info: not usable as a placement photo (no card); ","")&amp;IF(AND($D69="placement",N($N69)&gt;2),"info: placed after the first business day; ","")&amp;IF(AND($D69="later",$N69&lt;&gt;"",OR(N($N69)&lt;3,N($N69)&gt;5)),"info: later photo outside day 3 to 5; ",""))</f>
        <v/>
      </c>
      <c r="R69" s="25">
        <f>IF($B69="","",$B69&amp;"|"&amp;$C69&amp;"|"&amp;$D69&amp;"|"&amp;$O69)</f>
        <v/>
      </c>
      <c r="S69" s="25">
        <f>IF($B69="","",$R69&amp;"|"&amp;N($E69))</f>
        <v/>
      </c>
    </row>
    <row r="70">
      <c r="E70" s="9" t="n"/>
      <c r="F70" s="33" t="n"/>
      <c r="I70" s="9" t="n"/>
      <c r="M70" s="26">
        <f>IF($B70="","",IFERROR(IF(INDEX(campaigns!$BG$2:$BG$51,MATCH($B70,campaigns!$A$2:$A$51,0))="","",INDEX(campaigns!$BG$2:$BG$51,MATCH($B70,campaigns!$A$2:$A$51,0))),""))</f>
        <v/>
      </c>
      <c r="N70" s="25">
        <f>IF(OR($B70="",$E70="",$M70=""),"",IF($E70&lt;$M70,0,NETWORKDAYS($M70,$E70,calendar!$A$2:$A$80)))</f>
        <v/>
      </c>
      <c r="O70" s="25">
        <f>IF($B70="","",IF(AND($K70="Y",OR($D70="later",$J70="Y")),"Y","N"))</f>
        <v/>
      </c>
      <c r="P70" s="25">
        <f>IF(OR($B70="",$E70=""),"",$B70&amp;"_"&amp;$C70&amp;"_"&amp;$D70&amp;"_"&amp;TEXT($E70,"yyyy-mm-dd")&amp;".jpg")</f>
        <v/>
      </c>
      <c r="Q70" s="25">
        <f>IF($B70="","",IF(COUNTIF(campaigns!$A$2:$A$51,$B70)=0,"campaign_id not on campaigns; ",IF(AND($C70&lt;&gt;"",COUNTIFS(approvals!$A$2:$A$251,$B70,approvals!$B$2:$B$251,$C70)=0),"office not on this campaign (approvals tab); ",""))&amp;IF($E70="","taken date missing; ","")&amp;IF(AND($H70&lt;&gt;"",$H70&lt;&gt;$P70),"file name differs from the convention; ","")&amp;IF(AND($D70="placement",$O70="Y",COUNTIF(photos!$R$2:$R$701,$R70)&gt;1),"two usable placement photos: mark one N; ","")&amp;IF($K70&lt;&gt;"Y","info: not usable (a person, screen or whiteboard may show): never used, delete the file; ","")&amp;IF(AND($D70="placement",$J70&lt;&gt;"Y"),"info: not usable as a placement photo (no card); ","")&amp;IF(AND($D70="placement",N($N70)&gt;2),"info: placed after the first business day; ","")&amp;IF(AND($D70="later",$N70&lt;&gt;"",OR(N($N70)&lt;3,N($N70)&gt;5)),"info: later photo outside day 3 to 5; ",""))</f>
        <v/>
      </c>
      <c r="R70" s="25">
        <f>IF($B70="","",$B70&amp;"|"&amp;$C70&amp;"|"&amp;$D70&amp;"|"&amp;$O70)</f>
        <v/>
      </c>
      <c r="S70" s="25">
        <f>IF($B70="","",$R70&amp;"|"&amp;N($E70))</f>
        <v/>
      </c>
    </row>
    <row r="71">
      <c r="E71" s="9" t="n"/>
      <c r="F71" s="33" t="n"/>
      <c r="I71" s="9" t="n"/>
      <c r="M71" s="26">
        <f>IF($B71="","",IFERROR(IF(INDEX(campaigns!$BG$2:$BG$51,MATCH($B71,campaigns!$A$2:$A$51,0))="","",INDEX(campaigns!$BG$2:$BG$51,MATCH($B71,campaigns!$A$2:$A$51,0))),""))</f>
        <v/>
      </c>
      <c r="N71" s="25">
        <f>IF(OR($B71="",$E71="",$M71=""),"",IF($E71&lt;$M71,0,NETWORKDAYS($M71,$E71,calendar!$A$2:$A$80)))</f>
        <v/>
      </c>
      <c r="O71" s="25">
        <f>IF($B71="","",IF(AND($K71="Y",OR($D71="later",$J71="Y")),"Y","N"))</f>
        <v/>
      </c>
      <c r="P71" s="25">
        <f>IF(OR($B71="",$E71=""),"",$B71&amp;"_"&amp;$C71&amp;"_"&amp;$D71&amp;"_"&amp;TEXT($E71,"yyyy-mm-dd")&amp;".jpg")</f>
        <v/>
      </c>
      <c r="Q71" s="25">
        <f>IF($B71="","",IF(COUNTIF(campaigns!$A$2:$A$51,$B71)=0,"campaign_id not on campaigns; ",IF(AND($C71&lt;&gt;"",COUNTIFS(approvals!$A$2:$A$251,$B71,approvals!$B$2:$B$251,$C71)=0),"office not on this campaign (approvals tab); ",""))&amp;IF($E71="","taken date missing; ","")&amp;IF(AND($H71&lt;&gt;"",$H71&lt;&gt;$P71),"file name differs from the convention; ","")&amp;IF(AND($D71="placement",$O71="Y",COUNTIF(photos!$R$2:$R$701,$R71)&gt;1),"two usable placement photos: mark one N; ","")&amp;IF($K71&lt;&gt;"Y","info: not usable (a person, screen or whiteboard may show): never used, delete the file; ","")&amp;IF(AND($D71="placement",$J71&lt;&gt;"Y"),"info: not usable as a placement photo (no card); ","")&amp;IF(AND($D71="placement",N($N71)&gt;2),"info: placed after the first business day; ","")&amp;IF(AND($D71="later",$N71&lt;&gt;"",OR(N($N71)&lt;3,N($N71)&gt;5)),"info: later photo outside day 3 to 5; ",""))</f>
        <v/>
      </c>
      <c r="R71" s="25">
        <f>IF($B71="","",$B71&amp;"|"&amp;$C71&amp;"|"&amp;$D71&amp;"|"&amp;$O71)</f>
        <v/>
      </c>
      <c r="S71" s="25">
        <f>IF($B71="","",$R71&amp;"|"&amp;N($E71))</f>
        <v/>
      </c>
    </row>
    <row r="72">
      <c r="E72" s="9" t="n"/>
      <c r="F72" s="33" t="n"/>
      <c r="I72" s="9" t="n"/>
      <c r="M72" s="26">
        <f>IF($B72="","",IFERROR(IF(INDEX(campaigns!$BG$2:$BG$51,MATCH($B72,campaigns!$A$2:$A$51,0))="","",INDEX(campaigns!$BG$2:$BG$51,MATCH($B72,campaigns!$A$2:$A$51,0))),""))</f>
        <v/>
      </c>
      <c r="N72" s="25">
        <f>IF(OR($B72="",$E72="",$M72=""),"",IF($E72&lt;$M72,0,NETWORKDAYS($M72,$E72,calendar!$A$2:$A$80)))</f>
        <v/>
      </c>
      <c r="O72" s="25">
        <f>IF($B72="","",IF(AND($K72="Y",OR($D72="later",$J72="Y")),"Y","N"))</f>
        <v/>
      </c>
      <c r="P72" s="25">
        <f>IF(OR($B72="",$E72=""),"",$B72&amp;"_"&amp;$C72&amp;"_"&amp;$D72&amp;"_"&amp;TEXT($E72,"yyyy-mm-dd")&amp;".jpg")</f>
        <v/>
      </c>
      <c r="Q72" s="25">
        <f>IF($B72="","",IF(COUNTIF(campaigns!$A$2:$A$51,$B72)=0,"campaign_id not on campaigns; ",IF(AND($C72&lt;&gt;"",COUNTIFS(approvals!$A$2:$A$251,$B72,approvals!$B$2:$B$251,$C72)=0),"office not on this campaign (approvals tab); ",""))&amp;IF($E72="","taken date missing; ","")&amp;IF(AND($H72&lt;&gt;"",$H72&lt;&gt;$P72),"file name differs from the convention; ","")&amp;IF(AND($D72="placement",$O72="Y",COUNTIF(photos!$R$2:$R$701,$R72)&gt;1),"two usable placement photos: mark one N; ","")&amp;IF($K72&lt;&gt;"Y","info: not usable (a person, screen or whiteboard may show): never used, delete the file; ","")&amp;IF(AND($D72="placement",$J72&lt;&gt;"Y"),"info: not usable as a placement photo (no card); ","")&amp;IF(AND($D72="placement",N($N72)&gt;2),"info: placed after the first business day; ","")&amp;IF(AND($D72="later",$N72&lt;&gt;"",OR(N($N72)&lt;3,N($N72)&gt;5)),"info: later photo outside day 3 to 5; ",""))</f>
        <v/>
      </c>
      <c r="R72" s="25">
        <f>IF($B72="","",$B72&amp;"|"&amp;$C72&amp;"|"&amp;$D72&amp;"|"&amp;$O72)</f>
        <v/>
      </c>
      <c r="S72" s="25">
        <f>IF($B72="","",$R72&amp;"|"&amp;N($E72))</f>
        <v/>
      </c>
    </row>
    <row r="73">
      <c r="E73" s="9" t="n"/>
      <c r="F73" s="33" t="n"/>
      <c r="I73" s="9" t="n"/>
      <c r="M73" s="26">
        <f>IF($B73="","",IFERROR(IF(INDEX(campaigns!$BG$2:$BG$51,MATCH($B73,campaigns!$A$2:$A$51,0))="","",INDEX(campaigns!$BG$2:$BG$51,MATCH($B73,campaigns!$A$2:$A$51,0))),""))</f>
        <v/>
      </c>
      <c r="N73" s="25">
        <f>IF(OR($B73="",$E73="",$M73=""),"",IF($E73&lt;$M73,0,NETWORKDAYS($M73,$E73,calendar!$A$2:$A$80)))</f>
        <v/>
      </c>
      <c r="O73" s="25">
        <f>IF($B73="","",IF(AND($K73="Y",OR($D73="later",$J73="Y")),"Y","N"))</f>
        <v/>
      </c>
      <c r="P73" s="25">
        <f>IF(OR($B73="",$E73=""),"",$B73&amp;"_"&amp;$C73&amp;"_"&amp;$D73&amp;"_"&amp;TEXT($E73,"yyyy-mm-dd")&amp;".jpg")</f>
        <v/>
      </c>
      <c r="Q73" s="25">
        <f>IF($B73="","",IF(COUNTIF(campaigns!$A$2:$A$51,$B73)=0,"campaign_id not on campaigns; ",IF(AND($C73&lt;&gt;"",COUNTIFS(approvals!$A$2:$A$251,$B73,approvals!$B$2:$B$251,$C73)=0),"office not on this campaign (approvals tab); ",""))&amp;IF($E73="","taken date missing; ","")&amp;IF(AND($H73&lt;&gt;"",$H73&lt;&gt;$P73),"file name differs from the convention; ","")&amp;IF(AND($D73="placement",$O73="Y",COUNTIF(photos!$R$2:$R$701,$R73)&gt;1),"two usable placement photos: mark one N; ","")&amp;IF($K73&lt;&gt;"Y","info: not usable (a person, screen or whiteboard may show): never used, delete the file; ","")&amp;IF(AND($D73="placement",$J73&lt;&gt;"Y"),"info: not usable as a placement photo (no card); ","")&amp;IF(AND($D73="placement",N($N73)&gt;2),"info: placed after the first business day; ","")&amp;IF(AND($D73="later",$N73&lt;&gt;"",OR(N($N73)&lt;3,N($N73)&gt;5)),"info: later photo outside day 3 to 5; ",""))</f>
        <v/>
      </c>
      <c r="R73" s="25">
        <f>IF($B73="","",$B73&amp;"|"&amp;$C73&amp;"|"&amp;$D73&amp;"|"&amp;$O73)</f>
        <v/>
      </c>
      <c r="S73" s="25">
        <f>IF($B73="","",$R73&amp;"|"&amp;N($E73))</f>
        <v/>
      </c>
    </row>
    <row r="74">
      <c r="E74" s="9" t="n"/>
      <c r="F74" s="33" t="n"/>
      <c r="I74" s="9" t="n"/>
      <c r="M74" s="26">
        <f>IF($B74="","",IFERROR(IF(INDEX(campaigns!$BG$2:$BG$51,MATCH($B74,campaigns!$A$2:$A$51,0))="","",INDEX(campaigns!$BG$2:$BG$51,MATCH($B74,campaigns!$A$2:$A$51,0))),""))</f>
        <v/>
      </c>
      <c r="N74" s="25">
        <f>IF(OR($B74="",$E74="",$M74=""),"",IF($E74&lt;$M74,0,NETWORKDAYS($M74,$E74,calendar!$A$2:$A$80)))</f>
        <v/>
      </c>
      <c r="O74" s="25">
        <f>IF($B74="","",IF(AND($K74="Y",OR($D74="later",$J74="Y")),"Y","N"))</f>
        <v/>
      </c>
      <c r="P74" s="25">
        <f>IF(OR($B74="",$E74=""),"",$B74&amp;"_"&amp;$C74&amp;"_"&amp;$D74&amp;"_"&amp;TEXT($E74,"yyyy-mm-dd")&amp;".jpg")</f>
        <v/>
      </c>
      <c r="Q74" s="25">
        <f>IF($B74="","",IF(COUNTIF(campaigns!$A$2:$A$51,$B74)=0,"campaign_id not on campaigns; ",IF(AND($C74&lt;&gt;"",COUNTIFS(approvals!$A$2:$A$251,$B74,approvals!$B$2:$B$251,$C74)=0),"office not on this campaign (approvals tab); ",""))&amp;IF($E74="","taken date missing; ","")&amp;IF(AND($H74&lt;&gt;"",$H74&lt;&gt;$P74),"file name differs from the convention; ","")&amp;IF(AND($D74="placement",$O74="Y",COUNTIF(photos!$R$2:$R$701,$R74)&gt;1),"two usable placement photos: mark one N; ","")&amp;IF($K74&lt;&gt;"Y","info: not usable (a person, screen or whiteboard may show): never used, delete the file; ","")&amp;IF(AND($D74="placement",$J74&lt;&gt;"Y"),"info: not usable as a placement photo (no card); ","")&amp;IF(AND($D74="placement",N($N74)&gt;2),"info: placed after the first business day; ","")&amp;IF(AND($D74="later",$N74&lt;&gt;"",OR(N($N74)&lt;3,N($N74)&gt;5)),"info: later photo outside day 3 to 5; ",""))</f>
        <v/>
      </c>
      <c r="R74" s="25">
        <f>IF($B74="","",$B74&amp;"|"&amp;$C74&amp;"|"&amp;$D74&amp;"|"&amp;$O74)</f>
        <v/>
      </c>
      <c r="S74" s="25">
        <f>IF($B74="","",$R74&amp;"|"&amp;N($E74))</f>
        <v/>
      </c>
    </row>
    <row r="75">
      <c r="E75" s="9" t="n"/>
      <c r="F75" s="33" t="n"/>
      <c r="I75" s="9" t="n"/>
      <c r="M75" s="26">
        <f>IF($B75="","",IFERROR(IF(INDEX(campaigns!$BG$2:$BG$51,MATCH($B75,campaigns!$A$2:$A$51,0))="","",INDEX(campaigns!$BG$2:$BG$51,MATCH($B75,campaigns!$A$2:$A$51,0))),""))</f>
        <v/>
      </c>
      <c r="N75" s="25">
        <f>IF(OR($B75="",$E75="",$M75=""),"",IF($E75&lt;$M75,0,NETWORKDAYS($M75,$E75,calendar!$A$2:$A$80)))</f>
        <v/>
      </c>
      <c r="O75" s="25">
        <f>IF($B75="","",IF(AND($K75="Y",OR($D75="later",$J75="Y")),"Y","N"))</f>
        <v/>
      </c>
      <c r="P75" s="25">
        <f>IF(OR($B75="",$E75=""),"",$B75&amp;"_"&amp;$C75&amp;"_"&amp;$D75&amp;"_"&amp;TEXT($E75,"yyyy-mm-dd")&amp;".jpg")</f>
        <v/>
      </c>
      <c r="Q75" s="25">
        <f>IF($B75="","",IF(COUNTIF(campaigns!$A$2:$A$51,$B75)=0,"campaign_id not on campaigns; ",IF(AND($C75&lt;&gt;"",COUNTIFS(approvals!$A$2:$A$251,$B75,approvals!$B$2:$B$251,$C75)=0),"office not on this campaign (approvals tab); ",""))&amp;IF($E75="","taken date missing; ","")&amp;IF(AND($H75&lt;&gt;"",$H75&lt;&gt;$P75),"file name differs from the convention; ","")&amp;IF(AND($D75="placement",$O75="Y",COUNTIF(photos!$R$2:$R$701,$R75)&gt;1),"two usable placement photos: mark one N; ","")&amp;IF($K75&lt;&gt;"Y","info: not usable (a person, screen or whiteboard may show): never used, delete the file; ","")&amp;IF(AND($D75="placement",$J75&lt;&gt;"Y"),"info: not usable as a placement photo (no card); ","")&amp;IF(AND($D75="placement",N($N75)&gt;2),"info: placed after the first business day; ","")&amp;IF(AND($D75="later",$N75&lt;&gt;"",OR(N($N75)&lt;3,N($N75)&gt;5)),"info: later photo outside day 3 to 5; ",""))</f>
        <v/>
      </c>
      <c r="R75" s="25">
        <f>IF($B75="","",$B75&amp;"|"&amp;$C75&amp;"|"&amp;$D75&amp;"|"&amp;$O75)</f>
        <v/>
      </c>
      <c r="S75" s="25">
        <f>IF($B75="","",$R75&amp;"|"&amp;N($E75))</f>
        <v/>
      </c>
    </row>
    <row r="76">
      <c r="E76" s="9" t="n"/>
      <c r="F76" s="33" t="n"/>
      <c r="I76" s="9" t="n"/>
      <c r="M76" s="26">
        <f>IF($B76="","",IFERROR(IF(INDEX(campaigns!$BG$2:$BG$51,MATCH($B76,campaigns!$A$2:$A$51,0))="","",INDEX(campaigns!$BG$2:$BG$51,MATCH($B76,campaigns!$A$2:$A$51,0))),""))</f>
        <v/>
      </c>
      <c r="N76" s="25">
        <f>IF(OR($B76="",$E76="",$M76=""),"",IF($E76&lt;$M76,0,NETWORKDAYS($M76,$E76,calendar!$A$2:$A$80)))</f>
        <v/>
      </c>
      <c r="O76" s="25">
        <f>IF($B76="","",IF(AND($K76="Y",OR($D76="later",$J76="Y")),"Y","N"))</f>
        <v/>
      </c>
      <c r="P76" s="25">
        <f>IF(OR($B76="",$E76=""),"",$B76&amp;"_"&amp;$C76&amp;"_"&amp;$D76&amp;"_"&amp;TEXT($E76,"yyyy-mm-dd")&amp;".jpg")</f>
        <v/>
      </c>
      <c r="Q76" s="25">
        <f>IF($B76="","",IF(COUNTIF(campaigns!$A$2:$A$51,$B76)=0,"campaign_id not on campaigns; ",IF(AND($C76&lt;&gt;"",COUNTIFS(approvals!$A$2:$A$251,$B76,approvals!$B$2:$B$251,$C76)=0),"office not on this campaign (approvals tab); ",""))&amp;IF($E76="","taken date missing; ","")&amp;IF(AND($H76&lt;&gt;"",$H76&lt;&gt;$P76),"file name differs from the convention; ","")&amp;IF(AND($D76="placement",$O76="Y",COUNTIF(photos!$R$2:$R$701,$R76)&gt;1),"two usable placement photos: mark one N; ","")&amp;IF($K76&lt;&gt;"Y","info: not usable (a person, screen or whiteboard may show): never used, delete the file; ","")&amp;IF(AND($D76="placement",$J76&lt;&gt;"Y"),"info: not usable as a placement photo (no card); ","")&amp;IF(AND($D76="placement",N($N76)&gt;2),"info: placed after the first business day; ","")&amp;IF(AND($D76="later",$N76&lt;&gt;"",OR(N($N76)&lt;3,N($N76)&gt;5)),"info: later photo outside day 3 to 5; ",""))</f>
        <v/>
      </c>
      <c r="R76" s="25">
        <f>IF($B76="","",$B76&amp;"|"&amp;$C76&amp;"|"&amp;$D76&amp;"|"&amp;$O76)</f>
        <v/>
      </c>
      <c r="S76" s="25">
        <f>IF($B76="","",$R76&amp;"|"&amp;N($E76))</f>
        <v/>
      </c>
    </row>
    <row r="77">
      <c r="E77" s="9" t="n"/>
      <c r="F77" s="33" t="n"/>
      <c r="I77" s="9" t="n"/>
      <c r="M77" s="26">
        <f>IF($B77="","",IFERROR(IF(INDEX(campaigns!$BG$2:$BG$51,MATCH($B77,campaigns!$A$2:$A$51,0))="","",INDEX(campaigns!$BG$2:$BG$51,MATCH($B77,campaigns!$A$2:$A$51,0))),""))</f>
        <v/>
      </c>
      <c r="N77" s="25">
        <f>IF(OR($B77="",$E77="",$M77=""),"",IF($E77&lt;$M77,0,NETWORKDAYS($M77,$E77,calendar!$A$2:$A$80)))</f>
        <v/>
      </c>
      <c r="O77" s="25">
        <f>IF($B77="","",IF(AND($K77="Y",OR($D77="later",$J77="Y")),"Y","N"))</f>
        <v/>
      </c>
      <c r="P77" s="25">
        <f>IF(OR($B77="",$E77=""),"",$B77&amp;"_"&amp;$C77&amp;"_"&amp;$D77&amp;"_"&amp;TEXT($E77,"yyyy-mm-dd")&amp;".jpg")</f>
        <v/>
      </c>
      <c r="Q77" s="25">
        <f>IF($B77="","",IF(COUNTIF(campaigns!$A$2:$A$51,$B77)=0,"campaign_id not on campaigns; ",IF(AND($C77&lt;&gt;"",COUNTIFS(approvals!$A$2:$A$251,$B77,approvals!$B$2:$B$251,$C77)=0),"office not on this campaign (approvals tab); ",""))&amp;IF($E77="","taken date missing; ","")&amp;IF(AND($H77&lt;&gt;"",$H77&lt;&gt;$P77),"file name differs from the convention; ","")&amp;IF(AND($D77="placement",$O77="Y",COUNTIF(photos!$R$2:$R$701,$R77)&gt;1),"two usable placement photos: mark one N; ","")&amp;IF($K77&lt;&gt;"Y","info: not usable (a person, screen or whiteboard may show): never used, delete the file; ","")&amp;IF(AND($D77="placement",$J77&lt;&gt;"Y"),"info: not usable as a placement photo (no card); ","")&amp;IF(AND($D77="placement",N($N77)&gt;2),"info: placed after the first business day; ","")&amp;IF(AND($D77="later",$N77&lt;&gt;"",OR(N($N77)&lt;3,N($N77)&gt;5)),"info: later photo outside day 3 to 5; ",""))</f>
        <v/>
      </c>
      <c r="R77" s="25">
        <f>IF($B77="","",$B77&amp;"|"&amp;$C77&amp;"|"&amp;$D77&amp;"|"&amp;$O77)</f>
        <v/>
      </c>
      <c r="S77" s="25">
        <f>IF($B77="","",$R77&amp;"|"&amp;N($E77))</f>
        <v/>
      </c>
    </row>
    <row r="78">
      <c r="E78" s="9" t="n"/>
      <c r="F78" s="33" t="n"/>
      <c r="I78" s="9" t="n"/>
      <c r="M78" s="26">
        <f>IF($B78="","",IFERROR(IF(INDEX(campaigns!$BG$2:$BG$51,MATCH($B78,campaigns!$A$2:$A$51,0))="","",INDEX(campaigns!$BG$2:$BG$51,MATCH($B78,campaigns!$A$2:$A$51,0))),""))</f>
        <v/>
      </c>
      <c r="N78" s="25">
        <f>IF(OR($B78="",$E78="",$M78=""),"",IF($E78&lt;$M78,0,NETWORKDAYS($M78,$E78,calendar!$A$2:$A$80)))</f>
        <v/>
      </c>
      <c r="O78" s="25">
        <f>IF($B78="","",IF(AND($K78="Y",OR($D78="later",$J78="Y")),"Y","N"))</f>
        <v/>
      </c>
      <c r="P78" s="25">
        <f>IF(OR($B78="",$E78=""),"",$B78&amp;"_"&amp;$C78&amp;"_"&amp;$D78&amp;"_"&amp;TEXT($E78,"yyyy-mm-dd")&amp;".jpg")</f>
        <v/>
      </c>
      <c r="Q78" s="25">
        <f>IF($B78="","",IF(COUNTIF(campaigns!$A$2:$A$51,$B78)=0,"campaign_id not on campaigns; ",IF(AND($C78&lt;&gt;"",COUNTIFS(approvals!$A$2:$A$251,$B78,approvals!$B$2:$B$251,$C78)=0),"office not on this campaign (approvals tab); ",""))&amp;IF($E78="","taken date missing; ","")&amp;IF(AND($H78&lt;&gt;"",$H78&lt;&gt;$P78),"file name differs from the convention; ","")&amp;IF(AND($D78="placement",$O78="Y",COUNTIF(photos!$R$2:$R$701,$R78)&gt;1),"two usable placement photos: mark one N; ","")&amp;IF($K78&lt;&gt;"Y","info: not usable (a person, screen or whiteboard may show): never used, delete the file; ","")&amp;IF(AND($D78="placement",$J78&lt;&gt;"Y"),"info: not usable as a placement photo (no card); ","")&amp;IF(AND($D78="placement",N($N78)&gt;2),"info: placed after the first business day; ","")&amp;IF(AND($D78="later",$N78&lt;&gt;"",OR(N($N78)&lt;3,N($N78)&gt;5)),"info: later photo outside day 3 to 5; ",""))</f>
        <v/>
      </c>
      <c r="R78" s="25">
        <f>IF($B78="","",$B78&amp;"|"&amp;$C78&amp;"|"&amp;$D78&amp;"|"&amp;$O78)</f>
        <v/>
      </c>
      <c r="S78" s="25">
        <f>IF($B78="","",$R78&amp;"|"&amp;N($E78))</f>
        <v/>
      </c>
    </row>
    <row r="79">
      <c r="E79" s="9" t="n"/>
      <c r="F79" s="33" t="n"/>
      <c r="I79" s="9" t="n"/>
      <c r="M79" s="26">
        <f>IF($B79="","",IFERROR(IF(INDEX(campaigns!$BG$2:$BG$51,MATCH($B79,campaigns!$A$2:$A$51,0))="","",INDEX(campaigns!$BG$2:$BG$51,MATCH($B79,campaigns!$A$2:$A$51,0))),""))</f>
        <v/>
      </c>
      <c r="N79" s="25">
        <f>IF(OR($B79="",$E79="",$M79=""),"",IF($E79&lt;$M79,0,NETWORKDAYS($M79,$E79,calendar!$A$2:$A$80)))</f>
        <v/>
      </c>
      <c r="O79" s="25">
        <f>IF($B79="","",IF(AND($K79="Y",OR($D79="later",$J79="Y")),"Y","N"))</f>
        <v/>
      </c>
      <c r="P79" s="25">
        <f>IF(OR($B79="",$E79=""),"",$B79&amp;"_"&amp;$C79&amp;"_"&amp;$D79&amp;"_"&amp;TEXT($E79,"yyyy-mm-dd")&amp;".jpg")</f>
        <v/>
      </c>
      <c r="Q79" s="25">
        <f>IF($B79="","",IF(COUNTIF(campaigns!$A$2:$A$51,$B79)=0,"campaign_id not on campaigns; ",IF(AND($C79&lt;&gt;"",COUNTIFS(approvals!$A$2:$A$251,$B79,approvals!$B$2:$B$251,$C79)=0),"office not on this campaign (approvals tab); ",""))&amp;IF($E79="","taken date missing; ","")&amp;IF(AND($H79&lt;&gt;"",$H79&lt;&gt;$P79),"file name differs from the convention; ","")&amp;IF(AND($D79="placement",$O79="Y",COUNTIF(photos!$R$2:$R$701,$R79)&gt;1),"two usable placement photos: mark one N; ","")&amp;IF($K79&lt;&gt;"Y","info: not usable (a person, screen or whiteboard may show): never used, delete the file; ","")&amp;IF(AND($D79="placement",$J79&lt;&gt;"Y"),"info: not usable as a placement photo (no card); ","")&amp;IF(AND($D79="placement",N($N79)&gt;2),"info: placed after the first business day; ","")&amp;IF(AND($D79="later",$N79&lt;&gt;"",OR(N($N79)&lt;3,N($N79)&gt;5)),"info: later photo outside day 3 to 5; ",""))</f>
        <v/>
      </c>
      <c r="R79" s="25">
        <f>IF($B79="","",$B79&amp;"|"&amp;$C79&amp;"|"&amp;$D79&amp;"|"&amp;$O79)</f>
        <v/>
      </c>
      <c r="S79" s="25">
        <f>IF($B79="","",$R79&amp;"|"&amp;N($E79))</f>
        <v/>
      </c>
    </row>
    <row r="80">
      <c r="E80" s="9" t="n"/>
      <c r="F80" s="33" t="n"/>
      <c r="I80" s="9" t="n"/>
      <c r="M80" s="26">
        <f>IF($B80="","",IFERROR(IF(INDEX(campaigns!$BG$2:$BG$51,MATCH($B80,campaigns!$A$2:$A$51,0))="","",INDEX(campaigns!$BG$2:$BG$51,MATCH($B80,campaigns!$A$2:$A$51,0))),""))</f>
        <v/>
      </c>
      <c r="N80" s="25">
        <f>IF(OR($B80="",$E80="",$M80=""),"",IF($E80&lt;$M80,0,NETWORKDAYS($M80,$E80,calendar!$A$2:$A$80)))</f>
        <v/>
      </c>
      <c r="O80" s="25">
        <f>IF($B80="","",IF(AND($K80="Y",OR($D80="later",$J80="Y")),"Y","N"))</f>
        <v/>
      </c>
      <c r="P80" s="25">
        <f>IF(OR($B80="",$E80=""),"",$B80&amp;"_"&amp;$C80&amp;"_"&amp;$D80&amp;"_"&amp;TEXT($E80,"yyyy-mm-dd")&amp;".jpg")</f>
        <v/>
      </c>
      <c r="Q80" s="25">
        <f>IF($B80="","",IF(COUNTIF(campaigns!$A$2:$A$51,$B80)=0,"campaign_id not on campaigns; ",IF(AND($C80&lt;&gt;"",COUNTIFS(approvals!$A$2:$A$251,$B80,approvals!$B$2:$B$251,$C80)=0),"office not on this campaign (approvals tab); ",""))&amp;IF($E80="","taken date missing; ","")&amp;IF(AND($H80&lt;&gt;"",$H80&lt;&gt;$P80),"file name differs from the convention; ","")&amp;IF(AND($D80="placement",$O80="Y",COUNTIF(photos!$R$2:$R$701,$R80)&gt;1),"two usable placement photos: mark one N; ","")&amp;IF($K80&lt;&gt;"Y","info: not usable (a person, screen or whiteboard may show): never used, delete the file; ","")&amp;IF(AND($D80="placement",$J80&lt;&gt;"Y"),"info: not usable as a placement photo (no card); ","")&amp;IF(AND($D80="placement",N($N80)&gt;2),"info: placed after the first business day; ","")&amp;IF(AND($D80="later",$N80&lt;&gt;"",OR(N($N80)&lt;3,N($N80)&gt;5)),"info: later photo outside day 3 to 5; ",""))</f>
        <v/>
      </c>
      <c r="R80" s="25">
        <f>IF($B80="","",$B80&amp;"|"&amp;$C80&amp;"|"&amp;$D80&amp;"|"&amp;$O80)</f>
        <v/>
      </c>
      <c r="S80" s="25">
        <f>IF($B80="","",$R80&amp;"|"&amp;N($E80))</f>
        <v/>
      </c>
    </row>
    <row r="81">
      <c r="E81" s="9" t="n"/>
      <c r="F81" s="33" t="n"/>
      <c r="I81" s="9" t="n"/>
      <c r="M81" s="26">
        <f>IF($B81="","",IFERROR(IF(INDEX(campaigns!$BG$2:$BG$51,MATCH($B81,campaigns!$A$2:$A$51,0))="","",INDEX(campaigns!$BG$2:$BG$51,MATCH($B81,campaigns!$A$2:$A$51,0))),""))</f>
        <v/>
      </c>
      <c r="N81" s="25">
        <f>IF(OR($B81="",$E81="",$M81=""),"",IF($E81&lt;$M81,0,NETWORKDAYS($M81,$E81,calendar!$A$2:$A$80)))</f>
        <v/>
      </c>
      <c r="O81" s="25">
        <f>IF($B81="","",IF(AND($K81="Y",OR($D81="later",$J81="Y")),"Y","N"))</f>
        <v/>
      </c>
      <c r="P81" s="25">
        <f>IF(OR($B81="",$E81=""),"",$B81&amp;"_"&amp;$C81&amp;"_"&amp;$D81&amp;"_"&amp;TEXT($E81,"yyyy-mm-dd")&amp;".jpg")</f>
        <v/>
      </c>
      <c r="Q81" s="25">
        <f>IF($B81="","",IF(COUNTIF(campaigns!$A$2:$A$51,$B81)=0,"campaign_id not on campaigns; ",IF(AND($C81&lt;&gt;"",COUNTIFS(approvals!$A$2:$A$251,$B81,approvals!$B$2:$B$251,$C81)=0),"office not on this campaign (approvals tab); ",""))&amp;IF($E81="","taken date missing; ","")&amp;IF(AND($H81&lt;&gt;"",$H81&lt;&gt;$P81),"file name differs from the convention; ","")&amp;IF(AND($D81="placement",$O81="Y",COUNTIF(photos!$R$2:$R$701,$R81)&gt;1),"two usable placement photos: mark one N; ","")&amp;IF($K81&lt;&gt;"Y","info: not usable (a person, screen or whiteboard may show): never used, delete the file; ","")&amp;IF(AND($D81="placement",$J81&lt;&gt;"Y"),"info: not usable as a placement photo (no card); ","")&amp;IF(AND($D81="placement",N($N81)&gt;2),"info: placed after the first business day; ","")&amp;IF(AND($D81="later",$N81&lt;&gt;"",OR(N($N81)&lt;3,N($N81)&gt;5)),"info: later photo outside day 3 to 5; ",""))</f>
        <v/>
      </c>
      <c r="R81" s="25">
        <f>IF($B81="","",$B81&amp;"|"&amp;$C81&amp;"|"&amp;$D81&amp;"|"&amp;$O81)</f>
        <v/>
      </c>
      <c r="S81" s="25">
        <f>IF($B81="","",$R81&amp;"|"&amp;N($E81))</f>
        <v/>
      </c>
    </row>
    <row r="82">
      <c r="E82" s="9" t="n"/>
      <c r="F82" s="33" t="n"/>
      <c r="I82" s="9" t="n"/>
      <c r="M82" s="26">
        <f>IF($B82="","",IFERROR(IF(INDEX(campaigns!$BG$2:$BG$51,MATCH($B82,campaigns!$A$2:$A$51,0))="","",INDEX(campaigns!$BG$2:$BG$51,MATCH($B82,campaigns!$A$2:$A$51,0))),""))</f>
        <v/>
      </c>
      <c r="N82" s="25">
        <f>IF(OR($B82="",$E82="",$M82=""),"",IF($E82&lt;$M82,0,NETWORKDAYS($M82,$E82,calendar!$A$2:$A$80)))</f>
        <v/>
      </c>
      <c r="O82" s="25">
        <f>IF($B82="","",IF(AND($K82="Y",OR($D82="later",$J82="Y")),"Y","N"))</f>
        <v/>
      </c>
      <c r="P82" s="25">
        <f>IF(OR($B82="",$E82=""),"",$B82&amp;"_"&amp;$C82&amp;"_"&amp;$D82&amp;"_"&amp;TEXT($E82,"yyyy-mm-dd")&amp;".jpg")</f>
        <v/>
      </c>
      <c r="Q82" s="25">
        <f>IF($B82="","",IF(COUNTIF(campaigns!$A$2:$A$51,$B82)=0,"campaign_id not on campaigns; ",IF(AND($C82&lt;&gt;"",COUNTIFS(approvals!$A$2:$A$251,$B82,approvals!$B$2:$B$251,$C82)=0),"office not on this campaign (approvals tab); ",""))&amp;IF($E82="","taken date missing; ","")&amp;IF(AND($H82&lt;&gt;"",$H82&lt;&gt;$P82),"file name differs from the convention; ","")&amp;IF(AND($D82="placement",$O82="Y",COUNTIF(photos!$R$2:$R$701,$R82)&gt;1),"two usable placement photos: mark one N; ","")&amp;IF($K82&lt;&gt;"Y","info: not usable (a person, screen or whiteboard may show): never used, delete the file; ","")&amp;IF(AND($D82="placement",$J82&lt;&gt;"Y"),"info: not usable as a placement photo (no card); ","")&amp;IF(AND($D82="placement",N($N82)&gt;2),"info: placed after the first business day; ","")&amp;IF(AND($D82="later",$N82&lt;&gt;"",OR(N($N82)&lt;3,N($N82)&gt;5)),"info: later photo outside day 3 to 5; ",""))</f>
        <v/>
      </c>
      <c r="R82" s="25">
        <f>IF($B82="","",$B82&amp;"|"&amp;$C82&amp;"|"&amp;$D82&amp;"|"&amp;$O82)</f>
        <v/>
      </c>
      <c r="S82" s="25">
        <f>IF($B82="","",$R82&amp;"|"&amp;N($E82))</f>
        <v/>
      </c>
    </row>
    <row r="83">
      <c r="E83" s="9" t="n"/>
      <c r="F83" s="33" t="n"/>
      <c r="I83" s="9" t="n"/>
      <c r="M83" s="26">
        <f>IF($B83="","",IFERROR(IF(INDEX(campaigns!$BG$2:$BG$51,MATCH($B83,campaigns!$A$2:$A$51,0))="","",INDEX(campaigns!$BG$2:$BG$51,MATCH($B83,campaigns!$A$2:$A$51,0))),""))</f>
        <v/>
      </c>
      <c r="N83" s="25">
        <f>IF(OR($B83="",$E83="",$M83=""),"",IF($E83&lt;$M83,0,NETWORKDAYS($M83,$E83,calendar!$A$2:$A$80)))</f>
        <v/>
      </c>
      <c r="O83" s="25">
        <f>IF($B83="","",IF(AND($K83="Y",OR($D83="later",$J83="Y")),"Y","N"))</f>
        <v/>
      </c>
      <c r="P83" s="25">
        <f>IF(OR($B83="",$E83=""),"",$B83&amp;"_"&amp;$C83&amp;"_"&amp;$D83&amp;"_"&amp;TEXT($E83,"yyyy-mm-dd")&amp;".jpg")</f>
        <v/>
      </c>
      <c r="Q83" s="25">
        <f>IF($B83="","",IF(COUNTIF(campaigns!$A$2:$A$51,$B83)=0,"campaign_id not on campaigns; ",IF(AND($C83&lt;&gt;"",COUNTIFS(approvals!$A$2:$A$251,$B83,approvals!$B$2:$B$251,$C83)=0),"office not on this campaign (approvals tab); ",""))&amp;IF($E83="","taken date missing; ","")&amp;IF(AND($H83&lt;&gt;"",$H83&lt;&gt;$P83),"file name differs from the convention; ","")&amp;IF(AND($D83="placement",$O83="Y",COUNTIF(photos!$R$2:$R$701,$R83)&gt;1),"two usable placement photos: mark one N; ","")&amp;IF($K83&lt;&gt;"Y","info: not usable (a person, screen or whiteboard may show): never used, delete the file; ","")&amp;IF(AND($D83="placement",$J83&lt;&gt;"Y"),"info: not usable as a placement photo (no card); ","")&amp;IF(AND($D83="placement",N($N83)&gt;2),"info: placed after the first business day; ","")&amp;IF(AND($D83="later",$N83&lt;&gt;"",OR(N($N83)&lt;3,N($N83)&gt;5)),"info: later photo outside day 3 to 5; ",""))</f>
        <v/>
      </c>
      <c r="R83" s="25">
        <f>IF($B83="","",$B83&amp;"|"&amp;$C83&amp;"|"&amp;$D83&amp;"|"&amp;$O83)</f>
        <v/>
      </c>
      <c r="S83" s="25">
        <f>IF($B83="","",$R83&amp;"|"&amp;N($E83))</f>
        <v/>
      </c>
    </row>
    <row r="84">
      <c r="E84" s="9" t="n"/>
      <c r="F84" s="33" t="n"/>
      <c r="I84" s="9" t="n"/>
      <c r="M84" s="26">
        <f>IF($B84="","",IFERROR(IF(INDEX(campaigns!$BG$2:$BG$51,MATCH($B84,campaigns!$A$2:$A$51,0))="","",INDEX(campaigns!$BG$2:$BG$51,MATCH($B84,campaigns!$A$2:$A$51,0))),""))</f>
        <v/>
      </c>
      <c r="N84" s="25">
        <f>IF(OR($B84="",$E84="",$M84=""),"",IF($E84&lt;$M84,0,NETWORKDAYS($M84,$E84,calendar!$A$2:$A$80)))</f>
        <v/>
      </c>
      <c r="O84" s="25">
        <f>IF($B84="","",IF(AND($K84="Y",OR($D84="later",$J84="Y")),"Y","N"))</f>
        <v/>
      </c>
      <c r="P84" s="25">
        <f>IF(OR($B84="",$E84=""),"",$B84&amp;"_"&amp;$C84&amp;"_"&amp;$D84&amp;"_"&amp;TEXT($E84,"yyyy-mm-dd")&amp;".jpg")</f>
        <v/>
      </c>
      <c r="Q84" s="25">
        <f>IF($B84="","",IF(COUNTIF(campaigns!$A$2:$A$51,$B84)=0,"campaign_id not on campaigns; ",IF(AND($C84&lt;&gt;"",COUNTIFS(approvals!$A$2:$A$251,$B84,approvals!$B$2:$B$251,$C84)=0),"office not on this campaign (approvals tab); ",""))&amp;IF($E84="","taken date missing; ","")&amp;IF(AND($H84&lt;&gt;"",$H84&lt;&gt;$P84),"file name differs from the convention; ","")&amp;IF(AND($D84="placement",$O84="Y",COUNTIF(photos!$R$2:$R$701,$R84)&gt;1),"two usable placement photos: mark one N; ","")&amp;IF($K84&lt;&gt;"Y","info: not usable (a person, screen or whiteboard may show): never used, delete the file; ","")&amp;IF(AND($D84="placement",$J84&lt;&gt;"Y"),"info: not usable as a placement photo (no card); ","")&amp;IF(AND($D84="placement",N($N84)&gt;2),"info: placed after the first business day; ","")&amp;IF(AND($D84="later",$N84&lt;&gt;"",OR(N($N84)&lt;3,N($N84)&gt;5)),"info: later photo outside day 3 to 5; ",""))</f>
        <v/>
      </c>
      <c r="R84" s="25">
        <f>IF($B84="","",$B84&amp;"|"&amp;$C84&amp;"|"&amp;$D84&amp;"|"&amp;$O84)</f>
        <v/>
      </c>
      <c r="S84" s="25">
        <f>IF($B84="","",$R84&amp;"|"&amp;N($E84))</f>
        <v/>
      </c>
    </row>
    <row r="85">
      <c r="E85" s="9" t="n"/>
      <c r="F85" s="33" t="n"/>
      <c r="I85" s="9" t="n"/>
      <c r="M85" s="26">
        <f>IF($B85="","",IFERROR(IF(INDEX(campaigns!$BG$2:$BG$51,MATCH($B85,campaigns!$A$2:$A$51,0))="","",INDEX(campaigns!$BG$2:$BG$51,MATCH($B85,campaigns!$A$2:$A$51,0))),""))</f>
        <v/>
      </c>
      <c r="N85" s="25">
        <f>IF(OR($B85="",$E85="",$M85=""),"",IF($E85&lt;$M85,0,NETWORKDAYS($M85,$E85,calendar!$A$2:$A$80)))</f>
        <v/>
      </c>
      <c r="O85" s="25">
        <f>IF($B85="","",IF(AND($K85="Y",OR($D85="later",$J85="Y")),"Y","N"))</f>
        <v/>
      </c>
      <c r="P85" s="25">
        <f>IF(OR($B85="",$E85=""),"",$B85&amp;"_"&amp;$C85&amp;"_"&amp;$D85&amp;"_"&amp;TEXT($E85,"yyyy-mm-dd")&amp;".jpg")</f>
        <v/>
      </c>
      <c r="Q85" s="25">
        <f>IF($B85="","",IF(COUNTIF(campaigns!$A$2:$A$51,$B85)=0,"campaign_id not on campaigns; ",IF(AND($C85&lt;&gt;"",COUNTIFS(approvals!$A$2:$A$251,$B85,approvals!$B$2:$B$251,$C85)=0),"office not on this campaign (approvals tab); ",""))&amp;IF($E85="","taken date missing; ","")&amp;IF(AND($H85&lt;&gt;"",$H85&lt;&gt;$P85),"file name differs from the convention; ","")&amp;IF(AND($D85="placement",$O85="Y",COUNTIF(photos!$R$2:$R$701,$R85)&gt;1),"two usable placement photos: mark one N; ","")&amp;IF($K85&lt;&gt;"Y","info: not usable (a person, screen or whiteboard may show): never used, delete the file; ","")&amp;IF(AND($D85="placement",$J85&lt;&gt;"Y"),"info: not usable as a placement photo (no card); ","")&amp;IF(AND($D85="placement",N($N85)&gt;2),"info: placed after the first business day; ","")&amp;IF(AND($D85="later",$N85&lt;&gt;"",OR(N($N85)&lt;3,N($N85)&gt;5)),"info: later photo outside day 3 to 5; ",""))</f>
        <v/>
      </c>
      <c r="R85" s="25">
        <f>IF($B85="","",$B85&amp;"|"&amp;$C85&amp;"|"&amp;$D85&amp;"|"&amp;$O85)</f>
        <v/>
      </c>
      <c r="S85" s="25">
        <f>IF($B85="","",$R85&amp;"|"&amp;N($E85))</f>
        <v/>
      </c>
    </row>
    <row r="86">
      <c r="E86" s="9" t="n"/>
      <c r="F86" s="33" t="n"/>
      <c r="I86" s="9" t="n"/>
      <c r="M86" s="26">
        <f>IF($B86="","",IFERROR(IF(INDEX(campaigns!$BG$2:$BG$51,MATCH($B86,campaigns!$A$2:$A$51,0))="","",INDEX(campaigns!$BG$2:$BG$51,MATCH($B86,campaigns!$A$2:$A$51,0))),""))</f>
        <v/>
      </c>
      <c r="N86" s="25">
        <f>IF(OR($B86="",$E86="",$M86=""),"",IF($E86&lt;$M86,0,NETWORKDAYS($M86,$E86,calendar!$A$2:$A$80)))</f>
        <v/>
      </c>
      <c r="O86" s="25">
        <f>IF($B86="","",IF(AND($K86="Y",OR($D86="later",$J86="Y")),"Y","N"))</f>
        <v/>
      </c>
      <c r="P86" s="25">
        <f>IF(OR($B86="",$E86=""),"",$B86&amp;"_"&amp;$C86&amp;"_"&amp;$D86&amp;"_"&amp;TEXT($E86,"yyyy-mm-dd")&amp;".jpg")</f>
        <v/>
      </c>
      <c r="Q86" s="25">
        <f>IF($B86="","",IF(COUNTIF(campaigns!$A$2:$A$51,$B86)=0,"campaign_id not on campaigns; ",IF(AND($C86&lt;&gt;"",COUNTIFS(approvals!$A$2:$A$251,$B86,approvals!$B$2:$B$251,$C86)=0),"office not on this campaign (approvals tab); ",""))&amp;IF($E86="","taken date missing; ","")&amp;IF(AND($H86&lt;&gt;"",$H86&lt;&gt;$P86),"file name differs from the convention; ","")&amp;IF(AND($D86="placement",$O86="Y",COUNTIF(photos!$R$2:$R$701,$R86)&gt;1),"two usable placement photos: mark one N; ","")&amp;IF($K86&lt;&gt;"Y","info: not usable (a person, screen or whiteboard may show): never used, delete the file; ","")&amp;IF(AND($D86="placement",$J86&lt;&gt;"Y"),"info: not usable as a placement photo (no card); ","")&amp;IF(AND($D86="placement",N($N86)&gt;2),"info: placed after the first business day; ","")&amp;IF(AND($D86="later",$N86&lt;&gt;"",OR(N($N86)&lt;3,N($N86)&gt;5)),"info: later photo outside day 3 to 5; ",""))</f>
        <v/>
      </c>
      <c r="R86" s="25">
        <f>IF($B86="","",$B86&amp;"|"&amp;$C86&amp;"|"&amp;$D86&amp;"|"&amp;$O86)</f>
        <v/>
      </c>
      <c r="S86" s="25">
        <f>IF($B86="","",$R86&amp;"|"&amp;N($E86))</f>
        <v/>
      </c>
    </row>
    <row r="87">
      <c r="E87" s="9" t="n"/>
      <c r="F87" s="33" t="n"/>
      <c r="I87" s="9" t="n"/>
      <c r="M87" s="26">
        <f>IF($B87="","",IFERROR(IF(INDEX(campaigns!$BG$2:$BG$51,MATCH($B87,campaigns!$A$2:$A$51,0))="","",INDEX(campaigns!$BG$2:$BG$51,MATCH($B87,campaigns!$A$2:$A$51,0))),""))</f>
        <v/>
      </c>
      <c r="N87" s="25">
        <f>IF(OR($B87="",$E87="",$M87=""),"",IF($E87&lt;$M87,0,NETWORKDAYS($M87,$E87,calendar!$A$2:$A$80)))</f>
        <v/>
      </c>
      <c r="O87" s="25">
        <f>IF($B87="","",IF(AND($K87="Y",OR($D87="later",$J87="Y")),"Y","N"))</f>
        <v/>
      </c>
      <c r="P87" s="25">
        <f>IF(OR($B87="",$E87=""),"",$B87&amp;"_"&amp;$C87&amp;"_"&amp;$D87&amp;"_"&amp;TEXT($E87,"yyyy-mm-dd")&amp;".jpg")</f>
        <v/>
      </c>
      <c r="Q87" s="25">
        <f>IF($B87="","",IF(COUNTIF(campaigns!$A$2:$A$51,$B87)=0,"campaign_id not on campaigns; ",IF(AND($C87&lt;&gt;"",COUNTIFS(approvals!$A$2:$A$251,$B87,approvals!$B$2:$B$251,$C87)=0),"office not on this campaign (approvals tab); ",""))&amp;IF($E87="","taken date missing; ","")&amp;IF(AND($H87&lt;&gt;"",$H87&lt;&gt;$P87),"file name differs from the convention; ","")&amp;IF(AND($D87="placement",$O87="Y",COUNTIF(photos!$R$2:$R$701,$R87)&gt;1),"two usable placement photos: mark one N; ","")&amp;IF($K87&lt;&gt;"Y","info: not usable (a person, screen or whiteboard may show): never used, delete the file; ","")&amp;IF(AND($D87="placement",$J87&lt;&gt;"Y"),"info: not usable as a placement photo (no card); ","")&amp;IF(AND($D87="placement",N($N87)&gt;2),"info: placed after the first business day; ","")&amp;IF(AND($D87="later",$N87&lt;&gt;"",OR(N($N87)&lt;3,N($N87)&gt;5)),"info: later photo outside day 3 to 5; ",""))</f>
        <v/>
      </c>
      <c r="R87" s="25">
        <f>IF($B87="","",$B87&amp;"|"&amp;$C87&amp;"|"&amp;$D87&amp;"|"&amp;$O87)</f>
        <v/>
      </c>
      <c r="S87" s="25">
        <f>IF($B87="","",$R87&amp;"|"&amp;N($E87))</f>
        <v/>
      </c>
    </row>
    <row r="88">
      <c r="E88" s="9" t="n"/>
      <c r="F88" s="33" t="n"/>
      <c r="I88" s="9" t="n"/>
      <c r="M88" s="26">
        <f>IF($B88="","",IFERROR(IF(INDEX(campaigns!$BG$2:$BG$51,MATCH($B88,campaigns!$A$2:$A$51,0))="","",INDEX(campaigns!$BG$2:$BG$51,MATCH($B88,campaigns!$A$2:$A$51,0))),""))</f>
        <v/>
      </c>
      <c r="N88" s="25">
        <f>IF(OR($B88="",$E88="",$M88=""),"",IF($E88&lt;$M88,0,NETWORKDAYS($M88,$E88,calendar!$A$2:$A$80)))</f>
        <v/>
      </c>
      <c r="O88" s="25">
        <f>IF($B88="","",IF(AND($K88="Y",OR($D88="later",$J88="Y")),"Y","N"))</f>
        <v/>
      </c>
      <c r="P88" s="25">
        <f>IF(OR($B88="",$E88=""),"",$B88&amp;"_"&amp;$C88&amp;"_"&amp;$D88&amp;"_"&amp;TEXT($E88,"yyyy-mm-dd")&amp;".jpg")</f>
        <v/>
      </c>
      <c r="Q88" s="25">
        <f>IF($B88="","",IF(COUNTIF(campaigns!$A$2:$A$51,$B88)=0,"campaign_id not on campaigns; ",IF(AND($C88&lt;&gt;"",COUNTIFS(approvals!$A$2:$A$251,$B88,approvals!$B$2:$B$251,$C88)=0),"office not on this campaign (approvals tab); ",""))&amp;IF($E88="","taken date missing; ","")&amp;IF(AND($H88&lt;&gt;"",$H88&lt;&gt;$P88),"file name differs from the convention; ","")&amp;IF(AND($D88="placement",$O88="Y",COUNTIF(photos!$R$2:$R$701,$R88)&gt;1),"two usable placement photos: mark one N; ","")&amp;IF($K88&lt;&gt;"Y","info: not usable (a person, screen or whiteboard may show): never used, delete the file; ","")&amp;IF(AND($D88="placement",$J88&lt;&gt;"Y"),"info: not usable as a placement photo (no card); ","")&amp;IF(AND($D88="placement",N($N88)&gt;2),"info: placed after the first business day; ","")&amp;IF(AND($D88="later",$N88&lt;&gt;"",OR(N($N88)&lt;3,N($N88)&gt;5)),"info: later photo outside day 3 to 5; ",""))</f>
        <v/>
      </c>
      <c r="R88" s="25">
        <f>IF($B88="","",$B88&amp;"|"&amp;$C88&amp;"|"&amp;$D88&amp;"|"&amp;$O88)</f>
        <v/>
      </c>
      <c r="S88" s="25">
        <f>IF($B88="","",$R88&amp;"|"&amp;N($E88))</f>
        <v/>
      </c>
    </row>
    <row r="89">
      <c r="E89" s="9" t="n"/>
      <c r="F89" s="33" t="n"/>
      <c r="I89" s="9" t="n"/>
      <c r="M89" s="26">
        <f>IF($B89="","",IFERROR(IF(INDEX(campaigns!$BG$2:$BG$51,MATCH($B89,campaigns!$A$2:$A$51,0))="","",INDEX(campaigns!$BG$2:$BG$51,MATCH($B89,campaigns!$A$2:$A$51,0))),""))</f>
        <v/>
      </c>
      <c r="N89" s="25">
        <f>IF(OR($B89="",$E89="",$M89=""),"",IF($E89&lt;$M89,0,NETWORKDAYS($M89,$E89,calendar!$A$2:$A$80)))</f>
        <v/>
      </c>
      <c r="O89" s="25">
        <f>IF($B89="","",IF(AND($K89="Y",OR($D89="later",$J89="Y")),"Y","N"))</f>
        <v/>
      </c>
      <c r="P89" s="25">
        <f>IF(OR($B89="",$E89=""),"",$B89&amp;"_"&amp;$C89&amp;"_"&amp;$D89&amp;"_"&amp;TEXT($E89,"yyyy-mm-dd")&amp;".jpg")</f>
        <v/>
      </c>
      <c r="Q89" s="25">
        <f>IF($B89="","",IF(COUNTIF(campaigns!$A$2:$A$51,$B89)=0,"campaign_id not on campaigns; ",IF(AND($C89&lt;&gt;"",COUNTIFS(approvals!$A$2:$A$251,$B89,approvals!$B$2:$B$251,$C89)=0),"office not on this campaign (approvals tab); ",""))&amp;IF($E89="","taken date missing; ","")&amp;IF(AND($H89&lt;&gt;"",$H89&lt;&gt;$P89),"file name differs from the convention; ","")&amp;IF(AND($D89="placement",$O89="Y",COUNTIF(photos!$R$2:$R$701,$R89)&gt;1),"two usable placement photos: mark one N; ","")&amp;IF($K89&lt;&gt;"Y","info: not usable (a person, screen or whiteboard may show): never used, delete the file; ","")&amp;IF(AND($D89="placement",$J89&lt;&gt;"Y"),"info: not usable as a placement photo (no card); ","")&amp;IF(AND($D89="placement",N($N89)&gt;2),"info: placed after the first business day; ","")&amp;IF(AND($D89="later",$N89&lt;&gt;"",OR(N($N89)&lt;3,N($N89)&gt;5)),"info: later photo outside day 3 to 5; ",""))</f>
        <v/>
      </c>
      <c r="R89" s="25">
        <f>IF($B89="","",$B89&amp;"|"&amp;$C89&amp;"|"&amp;$D89&amp;"|"&amp;$O89)</f>
        <v/>
      </c>
      <c r="S89" s="25">
        <f>IF($B89="","",$R89&amp;"|"&amp;N($E89))</f>
        <v/>
      </c>
    </row>
    <row r="90">
      <c r="E90" s="9" t="n"/>
      <c r="F90" s="33" t="n"/>
      <c r="I90" s="9" t="n"/>
      <c r="M90" s="26">
        <f>IF($B90="","",IFERROR(IF(INDEX(campaigns!$BG$2:$BG$51,MATCH($B90,campaigns!$A$2:$A$51,0))="","",INDEX(campaigns!$BG$2:$BG$51,MATCH($B90,campaigns!$A$2:$A$51,0))),""))</f>
        <v/>
      </c>
      <c r="N90" s="25">
        <f>IF(OR($B90="",$E90="",$M90=""),"",IF($E90&lt;$M90,0,NETWORKDAYS($M90,$E90,calendar!$A$2:$A$80)))</f>
        <v/>
      </c>
      <c r="O90" s="25">
        <f>IF($B90="","",IF(AND($K90="Y",OR($D90="later",$J90="Y")),"Y","N"))</f>
        <v/>
      </c>
      <c r="P90" s="25">
        <f>IF(OR($B90="",$E90=""),"",$B90&amp;"_"&amp;$C90&amp;"_"&amp;$D90&amp;"_"&amp;TEXT($E90,"yyyy-mm-dd")&amp;".jpg")</f>
        <v/>
      </c>
      <c r="Q90" s="25">
        <f>IF($B90="","",IF(COUNTIF(campaigns!$A$2:$A$51,$B90)=0,"campaign_id not on campaigns; ",IF(AND($C90&lt;&gt;"",COUNTIFS(approvals!$A$2:$A$251,$B90,approvals!$B$2:$B$251,$C90)=0),"office not on this campaign (approvals tab); ",""))&amp;IF($E90="","taken date missing; ","")&amp;IF(AND($H90&lt;&gt;"",$H90&lt;&gt;$P90),"file name differs from the convention; ","")&amp;IF(AND($D90="placement",$O90="Y",COUNTIF(photos!$R$2:$R$701,$R90)&gt;1),"two usable placement photos: mark one N; ","")&amp;IF($K90&lt;&gt;"Y","info: not usable (a person, screen or whiteboard may show): never used, delete the file; ","")&amp;IF(AND($D90="placement",$J90&lt;&gt;"Y"),"info: not usable as a placement photo (no card); ","")&amp;IF(AND($D90="placement",N($N90)&gt;2),"info: placed after the first business day; ","")&amp;IF(AND($D90="later",$N90&lt;&gt;"",OR(N($N90)&lt;3,N($N90)&gt;5)),"info: later photo outside day 3 to 5; ",""))</f>
        <v/>
      </c>
      <c r="R90" s="25">
        <f>IF($B90="","",$B90&amp;"|"&amp;$C90&amp;"|"&amp;$D90&amp;"|"&amp;$O90)</f>
        <v/>
      </c>
      <c r="S90" s="25">
        <f>IF($B90="","",$R90&amp;"|"&amp;N($E90))</f>
        <v/>
      </c>
    </row>
    <row r="91">
      <c r="E91" s="9" t="n"/>
      <c r="F91" s="33" t="n"/>
      <c r="I91" s="9" t="n"/>
      <c r="M91" s="26">
        <f>IF($B91="","",IFERROR(IF(INDEX(campaigns!$BG$2:$BG$51,MATCH($B91,campaigns!$A$2:$A$51,0))="","",INDEX(campaigns!$BG$2:$BG$51,MATCH($B91,campaigns!$A$2:$A$51,0))),""))</f>
        <v/>
      </c>
      <c r="N91" s="25">
        <f>IF(OR($B91="",$E91="",$M91=""),"",IF($E91&lt;$M91,0,NETWORKDAYS($M91,$E91,calendar!$A$2:$A$80)))</f>
        <v/>
      </c>
      <c r="O91" s="25">
        <f>IF($B91="","",IF(AND($K91="Y",OR($D91="later",$J91="Y")),"Y","N"))</f>
        <v/>
      </c>
      <c r="P91" s="25">
        <f>IF(OR($B91="",$E91=""),"",$B91&amp;"_"&amp;$C91&amp;"_"&amp;$D91&amp;"_"&amp;TEXT($E91,"yyyy-mm-dd")&amp;".jpg")</f>
        <v/>
      </c>
      <c r="Q91" s="25">
        <f>IF($B91="","",IF(COUNTIF(campaigns!$A$2:$A$51,$B91)=0,"campaign_id not on campaigns; ",IF(AND($C91&lt;&gt;"",COUNTIFS(approvals!$A$2:$A$251,$B91,approvals!$B$2:$B$251,$C91)=0),"office not on this campaign (approvals tab); ",""))&amp;IF($E91="","taken date missing; ","")&amp;IF(AND($H91&lt;&gt;"",$H91&lt;&gt;$P91),"file name differs from the convention; ","")&amp;IF(AND($D91="placement",$O91="Y",COUNTIF(photos!$R$2:$R$701,$R91)&gt;1),"two usable placement photos: mark one N; ","")&amp;IF($K91&lt;&gt;"Y","info: not usable (a person, screen or whiteboard may show): never used, delete the file; ","")&amp;IF(AND($D91="placement",$J91&lt;&gt;"Y"),"info: not usable as a placement photo (no card); ","")&amp;IF(AND($D91="placement",N($N91)&gt;2),"info: placed after the first business day; ","")&amp;IF(AND($D91="later",$N91&lt;&gt;"",OR(N($N91)&lt;3,N($N91)&gt;5)),"info: later photo outside day 3 to 5; ",""))</f>
        <v/>
      </c>
      <c r="R91" s="25">
        <f>IF($B91="","",$B91&amp;"|"&amp;$C91&amp;"|"&amp;$D91&amp;"|"&amp;$O91)</f>
        <v/>
      </c>
      <c r="S91" s="25">
        <f>IF($B91="","",$R91&amp;"|"&amp;N($E91))</f>
        <v/>
      </c>
    </row>
    <row r="92">
      <c r="E92" s="9" t="n"/>
      <c r="F92" s="33" t="n"/>
      <c r="I92" s="9" t="n"/>
      <c r="M92" s="26">
        <f>IF($B92="","",IFERROR(IF(INDEX(campaigns!$BG$2:$BG$51,MATCH($B92,campaigns!$A$2:$A$51,0))="","",INDEX(campaigns!$BG$2:$BG$51,MATCH($B92,campaigns!$A$2:$A$51,0))),""))</f>
        <v/>
      </c>
      <c r="N92" s="25">
        <f>IF(OR($B92="",$E92="",$M92=""),"",IF($E92&lt;$M92,0,NETWORKDAYS($M92,$E92,calendar!$A$2:$A$80)))</f>
        <v/>
      </c>
      <c r="O92" s="25">
        <f>IF($B92="","",IF(AND($K92="Y",OR($D92="later",$J92="Y")),"Y","N"))</f>
        <v/>
      </c>
      <c r="P92" s="25">
        <f>IF(OR($B92="",$E92=""),"",$B92&amp;"_"&amp;$C92&amp;"_"&amp;$D92&amp;"_"&amp;TEXT($E92,"yyyy-mm-dd")&amp;".jpg")</f>
        <v/>
      </c>
      <c r="Q92" s="25">
        <f>IF($B92="","",IF(COUNTIF(campaigns!$A$2:$A$51,$B92)=0,"campaign_id not on campaigns; ",IF(AND($C92&lt;&gt;"",COUNTIFS(approvals!$A$2:$A$251,$B92,approvals!$B$2:$B$251,$C92)=0),"office not on this campaign (approvals tab); ",""))&amp;IF($E92="","taken date missing; ","")&amp;IF(AND($H92&lt;&gt;"",$H92&lt;&gt;$P92),"file name differs from the convention; ","")&amp;IF(AND($D92="placement",$O92="Y",COUNTIF(photos!$R$2:$R$701,$R92)&gt;1),"two usable placement photos: mark one N; ","")&amp;IF($K92&lt;&gt;"Y","info: not usable (a person, screen or whiteboard may show): never used, delete the file; ","")&amp;IF(AND($D92="placement",$J92&lt;&gt;"Y"),"info: not usable as a placement photo (no card); ","")&amp;IF(AND($D92="placement",N($N92)&gt;2),"info: placed after the first business day; ","")&amp;IF(AND($D92="later",$N92&lt;&gt;"",OR(N($N92)&lt;3,N($N92)&gt;5)),"info: later photo outside day 3 to 5; ",""))</f>
        <v/>
      </c>
      <c r="R92" s="25">
        <f>IF($B92="","",$B92&amp;"|"&amp;$C92&amp;"|"&amp;$D92&amp;"|"&amp;$O92)</f>
        <v/>
      </c>
      <c r="S92" s="25">
        <f>IF($B92="","",$R92&amp;"|"&amp;N($E92))</f>
        <v/>
      </c>
    </row>
    <row r="93">
      <c r="E93" s="9" t="n"/>
      <c r="F93" s="33" t="n"/>
      <c r="I93" s="9" t="n"/>
      <c r="M93" s="26">
        <f>IF($B93="","",IFERROR(IF(INDEX(campaigns!$BG$2:$BG$51,MATCH($B93,campaigns!$A$2:$A$51,0))="","",INDEX(campaigns!$BG$2:$BG$51,MATCH($B93,campaigns!$A$2:$A$51,0))),""))</f>
        <v/>
      </c>
      <c r="N93" s="25">
        <f>IF(OR($B93="",$E93="",$M93=""),"",IF($E93&lt;$M93,0,NETWORKDAYS($M93,$E93,calendar!$A$2:$A$80)))</f>
        <v/>
      </c>
      <c r="O93" s="25">
        <f>IF($B93="","",IF(AND($K93="Y",OR($D93="later",$J93="Y")),"Y","N"))</f>
        <v/>
      </c>
      <c r="P93" s="25">
        <f>IF(OR($B93="",$E93=""),"",$B93&amp;"_"&amp;$C93&amp;"_"&amp;$D93&amp;"_"&amp;TEXT($E93,"yyyy-mm-dd")&amp;".jpg")</f>
        <v/>
      </c>
      <c r="Q93" s="25">
        <f>IF($B93="","",IF(COUNTIF(campaigns!$A$2:$A$51,$B93)=0,"campaign_id not on campaigns; ",IF(AND($C93&lt;&gt;"",COUNTIFS(approvals!$A$2:$A$251,$B93,approvals!$B$2:$B$251,$C93)=0),"office not on this campaign (approvals tab); ",""))&amp;IF($E93="","taken date missing; ","")&amp;IF(AND($H93&lt;&gt;"",$H93&lt;&gt;$P93),"file name differs from the convention; ","")&amp;IF(AND($D93="placement",$O93="Y",COUNTIF(photos!$R$2:$R$701,$R93)&gt;1),"two usable placement photos: mark one N; ","")&amp;IF($K93&lt;&gt;"Y","info: not usable (a person, screen or whiteboard may show): never used, delete the file; ","")&amp;IF(AND($D93="placement",$J93&lt;&gt;"Y"),"info: not usable as a placement photo (no card); ","")&amp;IF(AND($D93="placement",N($N93)&gt;2),"info: placed after the first business day; ","")&amp;IF(AND($D93="later",$N93&lt;&gt;"",OR(N($N93)&lt;3,N($N93)&gt;5)),"info: later photo outside day 3 to 5; ",""))</f>
        <v/>
      </c>
      <c r="R93" s="25">
        <f>IF($B93="","",$B93&amp;"|"&amp;$C93&amp;"|"&amp;$D93&amp;"|"&amp;$O93)</f>
        <v/>
      </c>
      <c r="S93" s="25">
        <f>IF($B93="","",$R93&amp;"|"&amp;N($E93))</f>
        <v/>
      </c>
    </row>
    <row r="94">
      <c r="E94" s="9" t="n"/>
      <c r="F94" s="33" t="n"/>
      <c r="I94" s="9" t="n"/>
      <c r="M94" s="26">
        <f>IF($B94="","",IFERROR(IF(INDEX(campaigns!$BG$2:$BG$51,MATCH($B94,campaigns!$A$2:$A$51,0))="","",INDEX(campaigns!$BG$2:$BG$51,MATCH($B94,campaigns!$A$2:$A$51,0))),""))</f>
        <v/>
      </c>
      <c r="N94" s="25">
        <f>IF(OR($B94="",$E94="",$M94=""),"",IF($E94&lt;$M94,0,NETWORKDAYS($M94,$E94,calendar!$A$2:$A$80)))</f>
        <v/>
      </c>
      <c r="O94" s="25">
        <f>IF($B94="","",IF(AND($K94="Y",OR($D94="later",$J94="Y")),"Y","N"))</f>
        <v/>
      </c>
      <c r="P94" s="25">
        <f>IF(OR($B94="",$E94=""),"",$B94&amp;"_"&amp;$C94&amp;"_"&amp;$D94&amp;"_"&amp;TEXT($E94,"yyyy-mm-dd")&amp;".jpg")</f>
        <v/>
      </c>
      <c r="Q94" s="25">
        <f>IF($B94="","",IF(COUNTIF(campaigns!$A$2:$A$51,$B94)=0,"campaign_id not on campaigns; ",IF(AND($C94&lt;&gt;"",COUNTIFS(approvals!$A$2:$A$251,$B94,approvals!$B$2:$B$251,$C94)=0),"office not on this campaign (approvals tab); ",""))&amp;IF($E94="","taken date missing; ","")&amp;IF(AND($H94&lt;&gt;"",$H94&lt;&gt;$P94),"file name differs from the convention; ","")&amp;IF(AND($D94="placement",$O94="Y",COUNTIF(photos!$R$2:$R$701,$R94)&gt;1),"two usable placement photos: mark one N; ","")&amp;IF($K94&lt;&gt;"Y","info: not usable (a person, screen or whiteboard may show): never used, delete the file; ","")&amp;IF(AND($D94="placement",$J94&lt;&gt;"Y"),"info: not usable as a placement photo (no card); ","")&amp;IF(AND($D94="placement",N($N94)&gt;2),"info: placed after the first business day; ","")&amp;IF(AND($D94="later",$N94&lt;&gt;"",OR(N($N94)&lt;3,N($N94)&gt;5)),"info: later photo outside day 3 to 5; ",""))</f>
        <v/>
      </c>
      <c r="R94" s="25">
        <f>IF($B94="","",$B94&amp;"|"&amp;$C94&amp;"|"&amp;$D94&amp;"|"&amp;$O94)</f>
        <v/>
      </c>
      <c r="S94" s="25">
        <f>IF($B94="","",$R94&amp;"|"&amp;N($E94))</f>
        <v/>
      </c>
    </row>
    <row r="95">
      <c r="E95" s="9" t="n"/>
      <c r="F95" s="33" t="n"/>
      <c r="I95" s="9" t="n"/>
      <c r="M95" s="26">
        <f>IF($B95="","",IFERROR(IF(INDEX(campaigns!$BG$2:$BG$51,MATCH($B95,campaigns!$A$2:$A$51,0))="","",INDEX(campaigns!$BG$2:$BG$51,MATCH($B95,campaigns!$A$2:$A$51,0))),""))</f>
        <v/>
      </c>
      <c r="N95" s="25">
        <f>IF(OR($B95="",$E95="",$M95=""),"",IF($E95&lt;$M95,0,NETWORKDAYS($M95,$E95,calendar!$A$2:$A$80)))</f>
        <v/>
      </c>
      <c r="O95" s="25">
        <f>IF($B95="","",IF(AND($K95="Y",OR($D95="later",$J95="Y")),"Y","N"))</f>
        <v/>
      </c>
      <c r="P95" s="25">
        <f>IF(OR($B95="",$E95=""),"",$B95&amp;"_"&amp;$C95&amp;"_"&amp;$D95&amp;"_"&amp;TEXT($E95,"yyyy-mm-dd")&amp;".jpg")</f>
        <v/>
      </c>
      <c r="Q95" s="25">
        <f>IF($B95="","",IF(COUNTIF(campaigns!$A$2:$A$51,$B95)=0,"campaign_id not on campaigns; ",IF(AND($C95&lt;&gt;"",COUNTIFS(approvals!$A$2:$A$251,$B95,approvals!$B$2:$B$251,$C95)=0),"office not on this campaign (approvals tab); ",""))&amp;IF($E95="","taken date missing; ","")&amp;IF(AND($H95&lt;&gt;"",$H95&lt;&gt;$P95),"file name differs from the convention; ","")&amp;IF(AND($D95="placement",$O95="Y",COUNTIF(photos!$R$2:$R$701,$R95)&gt;1),"two usable placement photos: mark one N; ","")&amp;IF($K95&lt;&gt;"Y","info: not usable (a person, screen or whiteboard may show): never used, delete the file; ","")&amp;IF(AND($D95="placement",$J95&lt;&gt;"Y"),"info: not usable as a placement photo (no card); ","")&amp;IF(AND($D95="placement",N($N95)&gt;2),"info: placed after the first business day; ","")&amp;IF(AND($D95="later",$N95&lt;&gt;"",OR(N($N95)&lt;3,N($N95)&gt;5)),"info: later photo outside day 3 to 5; ",""))</f>
        <v/>
      </c>
      <c r="R95" s="25">
        <f>IF($B95="","",$B95&amp;"|"&amp;$C95&amp;"|"&amp;$D95&amp;"|"&amp;$O95)</f>
        <v/>
      </c>
      <c r="S95" s="25">
        <f>IF($B95="","",$R95&amp;"|"&amp;N($E95))</f>
        <v/>
      </c>
    </row>
    <row r="96">
      <c r="E96" s="9" t="n"/>
      <c r="F96" s="33" t="n"/>
      <c r="I96" s="9" t="n"/>
      <c r="M96" s="26">
        <f>IF($B96="","",IFERROR(IF(INDEX(campaigns!$BG$2:$BG$51,MATCH($B96,campaigns!$A$2:$A$51,0))="","",INDEX(campaigns!$BG$2:$BG$51,MATCH($B96,campaigns!$A$2:$A$51,0))),""))</f>
        <v/>
      </c>
      <c r="N96" s="25">
        <f>IF(OR($B96="",$E96="",$M96=""),"",IF($E96&lt;$M96,0,NETWORKDAYS($M96,$E96,calendar!$A$2:$A$80)))</f>
        <v/>
      </c>
      <c r="O96" s="25">
        <f>IF($B96="","",IF(AND($K96="Y",OR($D96="later",$J96="Y")),"Y","N"))</f>
        <v/>
      </c>
      <c r="P96" s="25">
        <f>IF(OR($B96="",$E96=""),"",$B96&amp;"_"&amp;$C96&amp;"_"&amp;$D96&amp;"_"&amp;TEXT($E96,"yyyy-mm-dd")&amp;".jpg")</f>
        <v/>
      </c>
      <c r="Q96" s="25">
        <f>IF($B96="","",IF(COUNTIF(campaigns!$A$2:$A$51,$B96)=0,"campaign_id not on campaigns; ",IF(AND($C96&lt;&gt;"",COUNTIFS(approvals!$A$2:$A$251,$B96,approvals!$B$2:$B$251,$C96)=0),"office not on this campaign (approvals tab); ",""))&amp;IF($E96="","taken date missing; ","")&amp;IF(AND($H96&lt;&gt;"",$H96&lt;&gt;$P96),"file name differs from the convention; ","")&amp;IF(AND($D96="placement",$O96="Y",COUNTIF(photos!$R$2:$R$701,$R96)&gt;1),"two usable placement photos: mark one N; ","")&amp;IF($K96&lt;&gt;"Y","info: not usable (a person, screen or whiteboard may show): never used, delete the file; ","")&amp;IF(AND($D96="placement",$J96&lt;&gt;"Y"),"info: not usable as a placement photo (no card); ","")&amp;IF(AND($D96="placement",N($N96)&gt;2),"info: placed after the first business day; ","")&amp;IF(AND($D96="later",$N96&lt;&gt;"",OR(N($N96)&lt;3,N($N96)&gt;5)),"info: later photo outside day 3 to 5; ",""))</f>
        <v/>
      </c>
      <c r="R96" s="25">
        <f>IF($B96="","",$B96&amp;"|"&amp;$C96&amp;"|"&amp;$D96&amp;"|"&amp;$O96)</f>
        <v/>
      </c>
      <c r="S96" s="25">
        <f>IF($B96="","",$R96&amp;"|"&amp;N($E96))</f>
        <v/>
      </c>
    </row>
    <row r="97">
      <c r="E97" s="9" t="n"/>
      <c r="F97" s="33" t="n"/>
      <c r="I97" s="9" t="n"/>
      <c r="M97" s="26">
        <f>IF($B97="","",IFERROR(IF(INDEX(campaigns!$BG$2:$BG$51,MATCH($B97,campaigns!$A$2:$A$51,0))="","",INDEX(campaigns!$BG$2:$BG$51,MATCH($B97,campaigns!$A$2:$A$51,0))),""))</f>
        <v/>
      </c>
      <c r="N97" s="25">
        <f>IF(OR($B97="",$E97="",$M97=""),"",IF($E97&lt;$M97,0,NETWORKDAYS($M97,$E97,calendar!$A$2:$A$80)))</f>
        <v/>
      </c>
      <c r="O97" s="25">
        <f>IF($B97="","",IF(AND($K97="Y",OR($D97="later",$J97="Y")),"Y","N"))</f>
        <v/>
      </c>
      <c r="P97" s="25">
        <f>IF(OR($B97="",$E97=""),"",$B97&amp;"_"&amp;$C97&amp;"_"&amp;$D97&amp;"_"&amp;TEXT($E97,"yyyy-mm-dd")&amp;".jpg")</f>
        <v/>
      </c>
      <c r="Q97" s="25">
        <f>IF($B97="","",IF(COUNTIF(campaigns!$A$2:$A$51,$B97)=0,"campaign_id not on campaigns; ",IF(AND($C97&lt;&gt;"",COUNTIFS(approvals!$A$2:$A$251,$B97,approvals!$B$2:$B$251,$C97)=0),"office not on this campaign (approvals tab); ",""))&amp;IF($E97="","taken date missing; ","")&amp;IF(AND($H97&lt;&gt;"",$H97&lt;&gt;$P97),"file name differs from the convention; ","")&amp;IF(AND($D97="placement",$O97="Y",COUNTIF(photos!$R$2:$R$701,$R97)&gt;1),"two usable placement photos: mark one N; ","")&amp;IF($K97&lt;&gt;"Y","info: not usable (a person, screen or whiteboard may show): never used, delete the file; ","")&amp;IF(AND($D97="placement",$J97&lt;&gt;"Y"),"info: not usable as a placement photo (no card); ","")&amp;IF(AND($D97="placement",N($N97)&gt;2),"info: placed after the first business day; ","")&amp;IF(AND($D97="later",$N97&lt;&gt;"",OR(N($N97)&lt;3,N($N97)&gt;5)),"info: later photo outside day 3 to 5; ",""))</f>
        <v/>
      </c>
      <c r="R97" s="25">
        <f>IF($B97="","",$B97&amp;"|"&amp;$C97&amp;"|"&amp;$D97&amp;"|"&amp;$O97)</f>
        <v/>
      </c>
      <c r="S97" s="25">
        <f>IF($B97="","",$R97&amp;"|"&amp;N($E97))</f>
        <v/>
      </c>
    </row>
    <row r="98">
      <c r="E98" s="9" t="n"/>
      <c r="F98" s="33" t="n"/>
      <c r="I98" s="9" t="n"/>
      <c r="M98" s="26">
        <f>IF($B98="","",IFERROR(IF(INDEX(campaigns!$BG$2:$BG$51,MATCH($B98,campaigns!$A$2:$A$51,0))="","",INDEX(campaigns!$BG$2:$BG$51,MATCH($B98,campaigns!$A$2:$A$51,0))),""))</f>
        <v/>
      </c>
      <c r="N98" s="25">
        <f>IF(OR($B98="",$E98="",$M98=""),"",IF($E98&lt;$M98,0,NETWORKDAYS($M98,$E98,calendar!$A$2:$A$80)))</f>
        <v/>
      </c>
      <c r="O98" s="25">
        <f>IF($B98="","",IF(AND($K98="Y",OR($D98="later",$J98="Y")),"Y","N"))</f>
        <v/>
      </c>
      <c r="P98" s="25">
        <f>IF(OR($B98="",$E98=""),"",$B98&amp;"_"&amp;$C98&amp;"_"&amp;$D98&amp;"_"&amp;TEXT($E98,"yyyy-mm-dd")&amp;".jpg")</f>
        <v/>
      </c>
      <c r="Q98" s="25">
        <f>IF($B98="","",IF(COUNTIF(campaigns!$A$2:$A$51,$B98)=0,"campaign_id not on campaigns; ",IF(AND($C98&lt;&gt;"",COUNTIFS(approvals!$A$2:$A$251,$B98,approvals!$B$2:$B$251,$C98)=0),"office not on this campaign (approvals tab); ",""))&amp;IF($E98="","taken date missing; ","")&amp;IF(AND($H98&lt;&gt;"",$H98&lt;&gt;$P98),"file name differs from the convention; ","")&amp;IF(AND($D98="placement",$O98="Y",COUNTIF(photos!$R$2:$R$701,$R98)&gt;1),"two usable placement photos: mark one N; ","")&amp;IF($K98&lt;&gt;"Y","info: not usable (a person, screen or whiteboard may show): never used, delete the file; ","")&amp;IF(AND($D98="placement",$J98&lt;&gt;"Y"),"info: not usable as a placement photo (no card); ","")&amp;IF(AND($D98="placement",N($N98)&gt;2),"info: placed after the first business day; ","")&amp;IF(AND($D98="later",$N98&lt;&gt;"",OR(N($N98)&lt;3,N($N98)&gt;5)),"info: later photo outside day 3 to 5; ",""))</f>
        <v/>
      </c>
      <c r="R98" s="25">
        <f>IF($B98="","",$B98&amp;"|"&amp;$C98&amp;"|"&amp;$D98&amp;"|"&amp;$O98)</f>
        <v/>
      </c>
      <c r="S98" s="25">
        <f>IF($B98="","",$R98&amp;"|"&amp;N($E98))</f>
        <v/>
      </c>
    </row>
    <row r="99">
      <c r="E99" s="9" t="n"/>
      <c r="F99" s="33" t="n"/>
      <c r="I99" s="9" t="n"/>
      <c r="M99" s="26">
        <f>IF($B99="","",IFERROR(IF(INDEX(campaigns!$BG$2:$BG$51,MATCH($B99,campaigns!$A$2:$A$51,0))="","",INDEX(campaigns!$BG$2:$BG$51,MATCH($B99,campaigns!$A$2:$A$51,0))),""))</f>
        <v/>
      </c>
      <c r="N99" s="25">
        <f>IF(OR($B99="",$E99="",$M99=""),"",IF($E99&lt;$M99,0,NETWORKDAYS($M99,$E99,calendar!$A$2:$A$80)))</f>
        <v/>
      </c>
      <c r="O99" s="25">
        <f>IF($B99="","",IF(AND($K99="Y",OR($D99="later",$J99="Y")),"Y","N"))</f>
        <v/>
      </c>
      <c r="P99" s="25">
        <f>IF(OR($B99="",$E99=""),"",$B99&amp;"_"&amp;$C99&amp;"_"&amp;$D99&amp;"_"&amp;TEXT($E99,"yyyy-mm-dd")&amp;".jpg")</f>
        <v/>
      </c>
      <c r="Q99" s="25">
        <f>IF($B99="","",IF(COUNTIF(campaigns!$A$2:$A$51,$B99)=0,"campaign_id not on campaigns; ",IF(AND($C99&lt;&gt;"",COUNTIFS(approvals!$A$2:$A$251,$B99,approvals!$B$2:$B$251,$C99)=0),"office not on this campaign (approvals tab); ",""))&amp;IF($E99="","taken date missing; ","")&amp;IF(AND($H99&lt;&gt;"",$H99&lt;&gt;$P99),"file name differs from the convention; ","")&amp;IF(AND($D99="placement",$O99="Y",COUNTIF(photos!$R$2:$R$701,$R99)&gt;1),"two usable placement photos: mark one N; ","")&amp;IF($K99&lt;&gt;"Y","info: not usable (a person, screen or whiteboard may show): never used, delete the file; ","")&amp;IF(AND($D99="placement",$J99&lt;&gt;"Y"),"info: not usable as a placement photo (no card); ","")&amp;IF(AND($D99="placement",N($N99)&gt;2),"info: placed after the first business day; ","")&amp;IF(AND($D99="later",$N99&lt;&gt;"",OR(N($N99)&lt;3,N($N99)&gt;5)),"info: later photo outside day 3 to 5; ",""))</f>
        <v/>
      </c>
      <c r="R99" s="25">
        <f>IF($B99="","",$B99&amp;"|"&amp;$C99&amp;"|"&amp;$D99&amp;"|"&amp;$O99)</f>
        <v/>
      </c>
      <c r="S99" s="25">
        <f>IF($B99="","",$R99&amp;"|"&amp;N($E99))</f>
        <v/>
      </c>
    </row>
    <row r="100">
      <c r="E100" s="9" t="n"/>
      <c r="F100" s="33" t="n"/>
      <c r="I100" s="9" t="n"/>
      <c r="M100" s="26">
        <f>IF($B100="","",IFERROR(IF(INDEX(campaigns!$BG$2:$BG$51,MATCH($B100,campaigns!$A$2:$A$51,0))="","",INDEX(campaigns!$BG$2:$BG$51,MATCH($B100,campaigns!$A$2:$A$51,0))),""))</f>
        <v/>
      </c>
      <c r="N100" s="25">
        <f>IF(OR($B100="",$E100="",$M100=""),"",IF($E100&lt;$M100,0,NETWORKDAYS($M100,$E100,calendar!$A$2:$A$80)))</f>
        <v/>
      </c>
      <c r="O100" s="25">
        <f>IF($B100="","",IF(AND($K100="Y",OR($D100="later",$J100="Y")),"Y","N"))</f>
        <v/>
      </c>
      <c r="P100" s="25">
        <f>IF(OR($B100="",$E100=""),"",$B100&amp;"_"&amp;$C100&amp;"_"&amp;$D100&amp;"_"&amp;TEXT($E100,"yyyy-mm-dd")&amp;".jpg")</f>
        <v/>
      </c>
      <c r="Q100" s="25">
        <f>IF($B100="","",IF(COUNTIF(campaigns!$A$2:$A$51,$B100)=0,"campaign_id not on campaigns; ",IF(AND($C100&lt;&gt;"",COUNTIFS(approvals!$A$2:$A$251,$B100,approvals!$B$2:$B$251,$C100)=0),"office not on this campaign (approvals tab); ",""))&amp;IF($E100="","taken date missing; ","")&amp;IF(AND($H100&lt;&gt;"",$H100&lt;&gt;$P100),"file name differs from the convention; ","")&amp;IF(AND($D100="placement",$O100="Y",COUNTIF(photos!$R$2:$R$701,$R100)&gt;1),"two usable placement photos: mark one N; ","")&amp;IF($K100&lt;&gt;"Y","info: not usable (a person, screen or whiteboard may show): never used, delete the file; ","")&amp;IF(AND($D100="placement",$J100&lt;&gt;"Y"),"info: not usable as a placement photo (no card); ","")&amp;IF(AND($D100="placement",N($N100)&gt;2),"info: placed after the first business day; ","")&amp;IF(AND($D100="later",$N100&lt;&gt;"",OR(N($N100)&lt;3,N($N100)&gt;5)),"info: later photo outside day 3 to 5; ",""))</f>
        <v/>
      </c>
      <c r="R100" s="25">
        <f>IF($B100="","",$B100&amp;"|"&amp;$C100&amp;"|"&amp;$D100&amp;"|"&amp;$O100)</f>
        <v/>
      </c>
      <c r="S100" s="25">
        <f>IF($B100="","",$R100&amp;"|"&amp;N($E100))</f>
        <v/>
      </c>
    </row>
    <row r="101">
      <c r="E101" s="9" t="n"/>
      <c r="F101" s="33" t="n"/>
      <c r="I101" s="9" t="n"/>
      <c r="M101" s="26">
        <f>IF($B101="","",IFERROR(IF(INDEX(campaigns!$BG$2:$BG$51,MATCH($B101,campaigns!$A$2:$A$51,0))="","",INDEX(campaigns!$BG$2:$BG$51,MATCH($B101,campaigns!$A$2:$A$51,0))),""))</f>
        <v/>
      </c>
      <c r="N101" s="25">
        <f>IF(OR($B101="",$E101="",$M101=""),"",IF($E101&lt;$M101,0,NETWORKDAYS($M101,$E101,calendar!$A$2:$A$80)))</f>
        <v/>
      </c>
      <c r="O101" s="25">
        <f>IF($B101="","",IF(AND($K101="Y",OR($D101="later",$J101="Y")),"Y","N"))</f>
        <v/>
      </c>
      <c r="P101" s="25">
        <f>IF(OR($B101="",$E101=""),"",$B101&amp;"_"&amp;$C101&amp;"_"&amp;$D101&amp;"_"&amp;TEXT($E101,"yyyy-mm-dd")&amp;".jpg")</f>
        <v/>
      </c>
      <c r="Q101" s="25">
        <f>IF($B101="","",IF(COUNTIF(campaigns!$A$2:$A$51,$B101)=0,"campaign_id not on campaigns; ",IF(AND($C101&lt;&gt;"",COUNTIFS(approvals!$A$2:$A$251,$B101,approvals!$B$2:$B$251,$C101)=0),"office not on this campaign (approvals tab); ",""))&amp;IF($E101="","taken date missing; ","")&amp;IF(AND($H101&lt;&gt;"",$H101&lt;&gt;$P101),"file name differs from the convention; ","")&amp;IF(AND($D101="placement",$O101="Y",COUNTIF(photos!$R$2:$R$701,$R101)&gt;1),"two usable placement photos: mark one N; ","")&amp;IF($K101&lt;&gt;"Y","info: not usable (a person, screen or whiteboard may show): never used, delete the file; ","")&amp;IF(AND($D101="placement",$J101&lt;&gt;"Y"),"info: not usable as a placement photo (no card); ","")&amp;IF(AND($D101="placement",N($N101)&gt;2),"info: placed after the first business day; ","")&amp;IF(AND($D101="later",$N101&lt;&gt;"",OR(N($N101)&lt;3,N($N101)&gt;5)),"info: later photo outside day 3 to 5; ",""))</f>
        <v/>
      </c>
      <c r="R101" s="25">
        <f>IF($B101="","",$B101&amp;"|"&amp;$C101&amp;"|"&amp;$D101&amp;"|"&amp;$O101)</f>
        <v/>
      </c>
      <c r="S101" s="25">
        <f>IF($B101="","",$R101&amp;"|"&amp;N($E101))</f>
        <v/>
      </c>
    </row>
    <row r="102">
      <c r="E102" s="9" t="n"/>
      <c r="F102" s="33" t="n"/>
      <c r="I102" s="9" t="n"/>
      <c r="M102" s="26">
        <f>IF($B102="","",IFERROR(IF(INDEX(campaigns!$BG$2:$BG$51,MATCH($B102,campaigns!$A$2:$A$51,0))="","",INDEX(campaigns!$BG$2:$BG$51,MATCH($B102,campaigns!$A$2:$A$51,0))),""))</f>
        <v/>
      </c>
      <c r="N102" s="25">
        <f>IF(OR($B102="",$E102="",$M102=""),"",IF($E102&lt;$M102,0,NETWORKDAYS($M102,$E102,calendar!$A$2:$A$80)))</f>
        <v/>
      </c>
      <c r="O102" s="25">
        <f>IF($B102="","",IF(AND($K102="Y",OR($D102="later",$J102="Y")),"Y","N"))</f>
        <v/>
      </c>
      <c r="P102" s="25">
        <f>IF(OR($B102="",$E102=""),"",$B102&amp;"_"&amp;$C102&amp;"_"&amp;$D102&amp;"_"&amp;TEXT($E102,"yyyy-mm-dd")&amp;".jpg")</f>
        <v/>
      </c>
      <c r="Q102" s="25">
        <f>IF($B102="","",IF(COUNTIF(campaigns!$A$2:$A$51,$B102)=0,"campaign_id not on campaigns; ",IF(AND($C102&lt;&gt;"",COUNTIFS(approvals!$A$2:$A$251,$B102,approvals!$B$2:$B$251,$C102)=0),"office not on this campaign (approvals tab); ",""))&amp;IF($E102="","taken date missing; ","")&amp;IF(AND($H102&lt;&gt;"",$H102&lt;&gt;$P102),"file name differs from the convention; ","")&amp;IF(AND($D102="placement",$O102="Y",COUNTIF(photos!$R$2:$R$701,$R102)&gt;1),"two usable placement photos: mark one N; ","")&amp;IF($K102&lt;&gt;"Y","info: not usable (a person, screen or whiteboard may show): never used, delete the file; ","")&amp;IF(AND($D102="placement",$J102&lt;&gt;"Y"),"info: not usable as a placement photo (no card); ","")&amp;IF(AND($D102="placement",N($N102)&gt;2),"info: placed after the first business day; ","")&amp;IF(AND($D102="later",$N102&lt;&gt;"",OR(N($N102)&lt;3,N($N102)&gt;5)),"info: later photo outside day 3 to 5; ",""))</f>
        <v/>
      </c>
      <c r="R102" s="25">
        <f>IF($B102="","",$B102&amp;"|"&amp;$C102&amp;"|"&amp;$D102&amp;"|"&amp;$O102)</f>
        <v/>
      </c>
      <c r="S102" s="25">
        <f>IF($B102="","",$R102&amp;"|"&amp;N($E102))</f>
        <v/>
      </c>
    </row>
    <row r="103">
      <c r="E103" s="9" t="n"/>
      <c r="F103" s="33" t="n"/>
      <c r="I103" s="9" t="n"/>
      <c r="M103" s="26">
        <f>IF($B103="","",IFERROR(IF(INDEX(campaigns!$BG$2:$BG$51,MATCH($B103,campaigns!$A$2:$A$51,0))="","",INDEX(campaigns!$BG$2:$BG$51,MATCH($B103,campaigns!$A$2:$A$51,0))),""))</f>
        <v/>
      </c>
      <c r="N103" s="25">
        <f>IF(OR($B103="",$E103="",$M103=""),"",IF($E103&lt;$M103,0,NETWORKDAYS($M103,$E103,calendar!$A$2:$A$80)))</f>
        <v/>
      </c>
      <c r="O103" s="25">
        <f>IF($B103="","",IF(AND($K103="Y",OR($D103="later",$J103="Y")),"Y","N"))</f>
        <v/>
      </c>
      <c r="P103" s="25">
        <f>IF(OR($B103="",$E103=""),"",$B103&amp;"_"&amp;$C103&amp;"_"&amp;$D103&amp;"_"&amp;TEXT($E103,"yyyy-mm-dd")&amp;".jpg")</f>
        <v/>
      </c>
      <c r="Q103" s="25">
        <f>IF($B103="","",IF(COUNTIF(campaigns!$A$2:$A$51,$B103)=0,"campaign_id not on campaigns; ",IF(AND($C103&lt;&gt;"",COUNTIFS(approvals!$A$2:$A$251,$B103,approvals!$B$2:$B$251,$C103)=0),"office not on this campaign (approvals tab); ",""))&amp;IF($E103="","taken date missing; ","")&amp;IF(AND($H103&lt;&gt;"",$H103&lt;&gt;$P103),"file name differs from the convention; ","")&amp;IF(AND($D103="placement",$O103="Y",COUNTIF(photos!$R$2:$R$701,$R103)&gt;1),"two usable placement photos: mark one N; ","")&amp;IF($K103&lt;&gt;"Y","info: not usable (a person, screen or whiteboard may show): never used, delete the file; ","")&amp;IF(AND($D103="placement",$J103&lt;&gt;"Y"),"info: not usable as a placement photo (no card); ","")&amp;IF(AND($D103="placement",N($N103)&gt;2),"info: placed after the first business day; ","")&amp;IF(AND($D103="later",$N103&lt;&gt;"",OR(N($N103)&lt;3,N($N103)&gt;5)),"info: later photo outside day 3 to 5; ",""))</f>
        <v/>
      </c>
      <c r="R103" s="25">
        <f>IF($B103="","",$B103&amp;"|"&amp;$C103&amp;"|"&amp;$D103&amp;"|"&amp;$O103)</f>
        <v/>
      </c>
      <c r="S103" s="25">
        <f>IF($B103="","",$R103&amp;"|"&amp;N($E103))</f>
        <v/>
      </c>
    </row>
    <row r="104">
      <c r="E104" s="9" t="n"/>
      <c r="F104" s="33" t="n"/>
      <c r="I104" s="9" t="n"/>
      <c r="M104" s="26">
        <f>IF($B104="","",IFERROR(IF(INDEX(campaigns!$BG$2:$BG$51,MATCH($B104,campaigns!$A$2:$A$51,0))="","",INDEX(campaigns!$BG$2:$BG$51,MATCH($B104,campaigns!$A$2:$A$51,0))),""))</f>
        <v/>
      </c>
      <c r="N104" s="25">
        <f>IF(OR($B104="",$E104="",$M104=""),"",IF($E104&lt;$M104,0,NETWORKDAYS($M104,$E104,calendar!$A$2:$A$80)))</f>
        <v/>
      </c>
      <c r="O104" s="25">
        <f>IF($B104="","",IF(AND($K104="Y",OR($D104="later",$J104="Y")),"Y","N"))</f>
        <v/>
      </c>
      <c r="P104" s="25">
        <f>IF(OR($B104="",$E104=""),"",$B104&amp;"_"&amp;$C104&amp;"_"&amp;$D104&amp;"_"&amp;TEXT($E104,"yyyy-mm-dd")&amp;".jpg")</f>
        <v/>
      </c>
      <c r="Q104" s="25">
        <f>IF($B104="","",IF(COUNTIF(campaigns!$A$2:$A$51,$B104)=0,"campaign_id not on campaigns; ",IF(AND($C104&lt;&gt;"",COUNTIFS(approvals!$A$2:$A$251,$B104,approvals!$B$2:$B$251,$C104)=0),"office not on this campaign (approvals tab); ",""))&amp;IF($E104="","taken date missing; ","")&amp;IF(AND($H104&lt;&gt;"",$H104&lt;&gt;$P104),"file name differs from the convention; ","")&amp;IF(AND($D104="placement",$O104="Y",COUNTIF(photos!$R$2:$R$701,$R104)&gt;1),"two usable placement photos: mark one N; ","")&amp;IF($K104&lt;&gt;"Y","info: not usable (a person, screen or whiteboard may show): never used, delete the file; ","")&amp;IF(AND($D104="placement",$J104&lt;&gt;"Y"),"info: not usable as a placement photo (no card); ","")&amp;IF(AND($D104="placement",N($N104)&gt;2),"info: placed after the first business day; ","")&amp;IF(AND($D104="later",$N104&lt;&gt;"",OR(N($N104)&lt;3,N($N104)&gt;5)),"info: later photo outside day 3 to 5; ",""))</f>
        <v/>
      </c>
      <c r="R104" s="25">
        <f>IF($B104="","",$B104&amp;"|"&amp;$C104&amp;"|"&amp;$D104&amp;"|"&amp;$O104)</f>
        <v/>
      </c>
      <c r="S104" s="25">
        <f>IF($B104="","",$R104&amp;"|"&amp;N($E104))</f>
        <v/>
      </c>
    </row>
    <row r="105">
      <c r="E105" s="9" t="n"/>
      <c r="F105" s="33" t="n"/>
      <c r="I105" s="9" t="n"/>
      <c r="M105" s="26">
        <f>IF($B105="","",IFERROR(IF(INDEX(campaigns!$BG$2:$BG$51,MATCH($B105,campaigns!$A$2:$A$51,0))="","",INDEX(campaigns!$BG$2:$BG$51,MATCH($B105,campaigns!$A$2:$A$51,0))),""))</f>
        <v/>
      </c>
      <c r="N105" s="25">
        <f>IF(OR($B105="",$E105="",$M105=""),"",IF($E105&lt;$M105,0,NETWORKDAYS($M105,$E105,calendar!$A$2:$A$80)))</f>
        <v/>
      </c>
      <c r="O105" s="25">
        <f>IF($B105="","",IF(AND($K105="Y",OR($D105="later",$J105="Y")),"Y","N"))</f>
        <v/>
      </c>
      <c r="P105" s="25">
        <f>IF(OR($B105="",$E105=""),"",$B105&amp;"_"&amp;$C105&amp;"_"&amp;$D105&amp;"_"&amp;TEXT($E105,"yyyy-mm-dd")&amp;".jpg")</f>
        <v/>
      </c>
      <c r="Q105" s="25">
        <f>IF($B105="","",IF(COUNTIF(campaigns!$A$2:$A$51,$B105)=0,"campaign_id not on campaigns; ",IF(AND($C105&lt;&gt;"",COUNTIFS(approvals!$A$2:$A$251,$B105,approvals!$B$2:$B$251,$C105)=0),"office not on this campaign (approvals tab); ",""))&amp;IF($E105="","taken date missing; ","")&amp;IF(AND($H105&lt;&gt;"",$H105&lt;&gt;$P105),"file name differs from the convention; ","")&amp;IF(AND($D105="placement",$O105="Y",COUNTIF(photos!$R$2:$R$701,$R105)&gt;1),"two usable placement photos: mark one N; ","")&amp;IF($K105&lt;&gt;"Y","info: not usable (a person, screen or whiteboard may show): never used, delete the file; ","")&amp;IF(AND($D105="placement",$J105&lt;&gt;"Y"),"info: not usable as a placement photo (no card); ","")&amp;IF(AND($D105="placement",N($N105)&gt;2),"info: placed after the first business day; ","")&amp;IF(AND($D105="later",$N105&lt;&gt;"",OR(N($N105)&lt;3,N($N105)&gt;5)),"info: later photo outside day 3 to 5; ",""))</f>
        <v/>
      </c>
      <c r="R105" s="25">
        <f>IF($B105="","",$B105&amp;"|"&amp;$C105&amp;"|"&amp;$D105&amp;"|"&amp;$O105)</f>
        <v/>
      </c>
      <c r="S105" s="25">
        <f>IF($B105="","",$R105&amp;"|"&amp;N($E105))</f>
        <v/>
      </c>
    </row>
    <row r="106">
      <c r="E106" s="9" t="n"/>
      <c r="F106" s="33" t="n"/>
      <c r="I106" s="9" t="n"/>
      <c r="M106" s="26">
        <f>IF($B106="","",IFERROR(IF(INDEX(campaigns!$BG$2:$BG$51,MATCH($B106,campaigns!$A$2:$A$51,0))="","",INDEX(campaigns!$BG$2:$BG$51,MATCH($B106,campaigns!$A$2:$A$51,0))),""))</f>
        <v/>
      </c>
      <c r="N106" s="25">
        <f>IF(OR($B106="",$E106="",$M106=""),"",IF($E106&lt;$M106,0,NETWORKDAYS($M106,$E106,calendar!$A$2:$A$80)))</f>
        <v/>
      </c>
      <c r="O106" s="25">
        <f>IF($B106="","",IF(AND($K106="Y",OR($D106="later",$J106="Y")),"Y","N"))</f>
        <v/>
      </c>
      <c r="P106" s="25">
        <f>IF(OR($B106="",$E106=""),"",$B106&amp;"_"&amp;$C106&amp;"_"&amp;$D106&amp;"_"&amp;TEXT($E106,"yyyy-mm-dd")&amp;".jpg")</f>
        <v/>
      </c>
      <c r="Q106" s="25">
        <f>IF($B106="","",IF(COUNTIF(campaigns!$A$2:$A$51,$B106)=0,"campaign_id not on campaigns; ",IF(AND($C106&lt;&gt;"",COUNTIFS(approvals!$A$2:$A$251,$B106,approvals!$B$2:$B$251,$C106)=0),"office not on this campaign (approvals tab); ",""))&amp;IF($E106="","taken date missing; ","")&amp;IF(AND($H106&lt;&gt;"",$H106&lt;&gt;$P106),"file name differs from the convention; ","")&amp;IF(AND($D106="placement",$O106="Y",COUNTIF(photos!$R$2:$R$701,$R106)&gt;1),"two usable placement photos: mark one N; ","")&amp;IF($K106&lt;&gt;"Y","info: not usable (a person, screen or whiteboard may show): never used, delete the file; ","")&amp;IF(AND($D106="placement",$J106&lt;&gt;"Y"),"info: not usable as a placement photo (no card); ","")&amp;IF(AND($D106="placement",N($N106)&gt;2),"info: placed after the first business day; ","")&amp;IF(AND($D106="later",$N106&lt;&gt;"",OR(N($N106)&lt;3,N($N106)&gt;5)),"info: later photo outside day 3 to 5; ",""))</f>
        <v/>
      </c>
      <c r="R106" s="25">
        <f>IF($B106="","",$B106&amp;"|"&amp;$C106&amp;"|"&amp;$D106&amp;"|"&amp;$O106)</f>
        <v/>
      </c>
      <c r="S106" s="25">
        <f>IF($B106="","",$R106&amp;"|"&amp;N($E106))</f>
        <v/>
      </c>
    </row>
    <row r="107">
      <c r="E107" s="9" t="n"/>
      <c r="F107" s="33" t="n"/>
      <c r="I107" s="9" t="n"/>
      <c r="M107" s="26">
        <f>IF($B107="","",IFERROR(IF(INDEX(campaigns!$BG$2:$BG$51,MATCH($B107,campaigns!$A$2:$A$51,0))="","",INDEX(campaigns!$BG$2:$BG$51,MATCH($B107,campaigns!$A$2:$A$51,0))),""))</f>
        <v/>
      </c>
      <c r="N107" s="25">
        <f>IF(OR($B107="",$E107="",$M107=""),"",IF($E107&lt;$M107,0,NETWORKDAYS($M107,$E107,calendar!$A$2:$A$80)))</f>
        <v/>
      </c>
      <c r="O107" s="25">
        <f>IF($B107="","",IF(AND($K107="Y",OR($D107="later",$J107="Y")),"Y","N"))</f>
        <v/>
      </c>
      <c r="P107" s="25">
        <f>IF(OR($B107="",$E107=""),"",$B107&amp;"_"&amp;$C107&amp;"_"&amp;$D107&amp;"_"&amp;TEXT($E107,"yyyy-mm-dd")&amp;".jpg")</f>
        <v/>
      </c>
      <c r="Q107" s="25">
        <f>IF($B107="","",IF(COUNTIF(campaigns!$A$2:$A$51,$B107)=0,"campaign_id not on campaigns; ",IF(AND($C107&lt;&gt;"",COUNTIFS(approvals!$A$2:$A$251,$B107,approvals!$B$2:$B$251,$C107)=0),"office not on this campaign (approvals tab); ",""))&amp;IF($E107="","taken date missing; ","")&amp;IF(AND($H107&lt;&gt;"",$H107&lt;&gt;$P107),"file name differs from the convention; ","")&amp;IF(AND($D107="placement",$O107="Y",COUNTIF(photos!$R$2:$R$701,$R107)&gt;1),"two usable placement photos: mark one N; ","")&amp;IF($K107&lt;&gt;"Y","info: not usable (a person, screen or whiteboard may show): never used, delete the file; ","")&amp;IF(AND($D107="placement",$J107&lt;&gt;"Y"),"info: not usable as a placement photo (no card); ","")&amp;IF(AND($D107="placement",N($N107)&gt;2),"info: placed after the first business day; ","")&amp;IF(AND($D107="later",$N107&lt;&gt;"",OR(N($N107)&lt;3,N($N107)&gt;5)),"info: later photo outside day 3 to 5; ",""))</f>
        <v/>
      </c>
      <c r="R107" s="25">
        <f>IF($B107="","",$B107&amp;"|"&amp;$C107&amp;"|"&amp;$D107&amp;"|"&amp;$O107)</f>
        <v/>
      </c>
      <c r="S107" s="25">
        <f>IF($B107="","",$R107&amp;"|"&amp;N($E107))</f>
        <v/>
      </c>
    </row>
    <row r="108">
      <c r="E108" s="9" t="n"/>
      <c r="F108" s="33" t="n"/>
      <c r="I108" s="9" t="n"/>
      <c r="M108" s="26">
        <f>IF($B108="","",IFERROR(IF(INDEX(campaigns!$BG$2:$BG$51,MATCH($B108,campaigns!$A$2:$A$51,0))="","",INDEX(campaigns!$BG$2:$BG$51,MATCH($B108,campaigns!$A$2:$A$51,0))),""))</f>
        <v/>
      </c>
      <c r="N108" s="25">
        <f>IF(OR($B108="",$E108="",$M108=""),"",IF($E108&lt;$M108,0,NETWORKDAYS($M108,$E108,calendar!$A$2:$A$80)))</f>
        <v/>
      </c>
      <c r="O108" s="25">
        <f>IF($B108="","",IF(AND($K108="Y",OR($D108="later",$J108="Y")),"Y","N"))</f>
        <v/>
      </c>
      <c r="P108" s="25">
        <f>IF(OR($B108="",$E108=""),"",$B108&amp;"_"&amp;$C108&amp;"_"&amp;$D108&amp;"_"&amp;TEXT($E108,"yyyy-mm-dd")&amp;".jpg")</f>
        <v/>
      </c>
      <c r="Q108" s="25">
        <f>IF($B108="","",IF(COUNTIF(campaigns!$A$2:$A$51,$B108)=0,"campaign_id not on campaigns; ",IF(AND($C108&lt;&gt;"",COUNTIFS(approvals!$A$2:$A$251,$B108,approvals!$B$2:$B$251,$C108)=0),"office not on this campaign (approvals tab); ",""))&amp;IF($E108="","taken date missing; ","")&amp;IF(AND($H108&lt;&gt;"",$H108&lt;&gt;$P108),"file name differs from the convention; ","")&amp;IF(AND($D108="placement",$O108="Y",COUNTIF(photos!$R$2:$R$701,$R108)&gt;1),"two usable placement photos: mark one N; ","")&amp;IF($K108&lt;&gt;"Y","info: not usable (a person, screen or whiteboard may show): never used, delete the file; ","")&amp;IF(AND($D108="placement",$J108&lt;&gt;"Y"),"info: not usable as a placement photo (no card); ","")&amp;IF(AND($D108="placement",N($N108)&gt;2),"info: placed after the first business day; ","")&amp;IF(AND($D108="later",$N108&lt;&gt;"",OR(N($N108)&lt;3,N($N108)&gt;5)),"info: later photo outside day 3 to 5; ",""))</f>
        <v/>
      </c>
      <c r="R108" s="25">
        <f>IF($B108="","",$B108&amp;"|"&amp;$C108&amp;"|"&amp;$D108&amp;"|"&amp;$O108)</f>
        <v/>
      </c>
      <c r="S108" s="25">
        <f>IF($B108="","",$R108&amp;"|"&amp;N($E108))</f>
        <v/>
      </c>
    </row>
    <row r="109">
      <c r="E109" s="9" t="n"/>
      <c r="F109" s="33" t="n"/>
      <c r="I109" s="9" t="n"/>
      <c r="M109" s="26">
        <f>IF($B109="","",IFERROR(IF(INDEX(campaigns!$BG$2:$BG$51,MATCH($B109,campaigns!$A$2:$A$51,0))="","",INDEX(campaigns!$BG$2:$BG$51,MATCH($B109,campaigns!$A$2:$A$51,0))),""))</f>
        <v/>
      </c>
      <c r="N109" s="25">
        <f>IF(OR($B109="",$E109="",$M109=""),"",IF($E109&lt;$M109,0,NETWORKDAYS($M109,$E109,calendar!$A$2:$A$80)))</f>
        <v/>
      </c>
      <c r="O109" s="25">
        <f>IF($B109="","",IF(AND($K109="Y",OR($D109="later",$J109="Y")),"Y","N"))</f>
        <v/>
      </c>
      <c r="P109" s="25">
        <f>IF(OR($B109="",$E109=""),"",$B109&amp;"_"&amp;$C109&amp;"_"&amp;$D109&amp;"_"&amp;TEXT($E109,"yyyy-mm-dd")&amp;".jpg")</f>
        <v/>
      </c>
      <c r="Q109" s="25">
        <f>IF($B109="","",IF(COUNTIF(campaigns!$A$2:$A$51,$B109)=0,"campaign_id not on campaigns; ",IF(AND($C109&lt;&gt;"",COUNTIFS(approvals!$A$2:$A$251,$B109,approvals!$B$2:$B$251,$C109)=0),"office not on this campaign (approvals tab); ",""))&amp;IF($E109="","taken date missing; ","")&amp;IF(AND($H109&lt;&gt;"",$H109&lt;&gt;$P109),"file name differs from the convention; ","")&amp;IF(AND($D109="placement",$O109="Y",COUNTIF(photos!$R$2:$R$701,$R109)&gt;1),"two usable placement photos: mark one N; ","")&amp;IF($K109&lt;&gt;"Y","info: not usable (a person, screen or whiteboard may show): never used, delete the file; ","")&amp;IF(AND($D109="placement",$J109&lt;&gt;"Y"),"info: not usable as a placement photo (no card); ","")&amp;IF(AND($D109="placement",N($N109)&gt;2),"info: placed after the first business day; ","")&amp;IF(AND($D109="later",$N109&lt;&gt;"",OR(N($N109)&lt;3,N($N109)&gt;5)),"info: later photo outside day 3 to 5; ",""))</f>
        <v/>
      </c>
      <c r="R109" s="25">
        <f>IF($B109="","",$B109&amp;"|"&amp;$C109&amp;"|"&amp;$D109&amp;"|"&amp;$O109)</f>
        <v/>
      </c>
      <c r="S109" s="25">
        <f>IF($B109="","",$R109&amp;"|"&amp;N($E109))</f>
        <v/>
      </c>
    </row>
    <row r="110">
      <c r="E110" s="9" t="n"/>
      <c r="F110" s="33" t="n"/>
      <c r="I110" s="9" t="n"/>
      <c r="M110" s="26">
        <f>IF($B110="","",IFERROR(IF(INDEX(campaigns!$BG$2:$BG$51,MATCH($B110,campaigns!$A$2:$A$51,0))="","",INDEX(campaigns!$BG$2:$BG$51,MATCH($B110,campaigns!$A$2:$A$51,0))),""))</f>
        <v/>
      </c>
      <c r="N110" s="25">
        <f>IF(OR($B110="",$E110="",$M110=""),"",IF($E110&lt;$M110,0,NETWORKDAYS($M110,$E110,calendar!$A$2:$A$80)))</f>
        <v/>
      </c>
      <c r="O110" s="25">
        <f>IF($B110="","",IF(AND($K110="Y",OR($D110="later",$J110="Y")),"Y","N"))</f>
        <v/>
      </c>
      <c r="P110" s="25">
        <f>IF(OR($B110="",$E110=""),"",$B110&amp;"_"&amp;$C110&amp;"_"&amp;$D110&amp;"_"&amp;TEXT($E110,"yyyy-mm-dd")&amp;".jpg")</f>
        <v/>
      </c>
      <c r="Q110" s="25">
        <f>IF($B110="","",IF(COUNTIF(campaigns!$A$2:$A$51,$B110)=0,"campaign_id not on campaigns; ",IF(AND($C110&lt;&gt;"",COUNTIFS(approvals!$A$2:$A$251,$B110,approvals!$B$2:$B$251,$C110)=0),"office not on this campaign (approvals tab); ",""))&amp;IF($E110="","taken date missing; ","")&amp;IF(AND($H110&lt;&gt;"",$H110&lt;&gt;$P110),"file name differs from the convention; ","")&amp;IF(AND($D110="placement",$O110="Y",COUNTIF(photos!$R$2:$R$701,$R110)&gt;1),"two usable placement photos: mark one N; ","")&amp;IF($K110&lt;&gt;"Y","info: not usable (a person, screen or whiteboard may show): never used, delete the file; ","")&amp;IF(AND($D110="placement",$J110&lt;&gt;"Y"),"info: not usable as a placement photo (no card); ","")&amp;IF(AND($D110="placement",N($N110)&gt;2),"info: placed after the first business day; ","")&amp;IF(AND($D110="later",$N110&lt;&gt;"",OR(N($N110)&lt;3,N($N110)&gt;5)),"info: later photo outside day 3 to 5; ",""))</f>
        <v/>
      </c>
      <c r="R110" s="25">
        <f>IF($B110="","",$B110&amp;"|"&amp;$C110&amp;"|"&amp;$D110&amp;"|"&amp;$O110)</f>
        <v/>
      </c>
      <c r="S110" s="25">
        <f>IF($B110="","",$R110&amp;"|"&amp;N($E110))</f>
        <v/>
      </c>
    </row>
    <row r="111">
      <c r="E111" s="9" t="n"/>
      <c r="F111" s="33" t="n"/>
      <c r="I111" s="9" t="n"/>
      <c r="M111" s="26">
        <f>IF($B111="","",IFERROR(IF(INDEX(campaigns!$BG$2:$BG$51,MATCH($B111,campaigns!$A$2:$A$51,0))="","",INDEX(campaigns!$BG$2:$BG$51,MATCH($B111,campaigns!$A$2:$A$51,0))),""))</f>
        <v/>
      </c>
      <c r="N111" s="25">
        <f>IF(OR($B111="",$E111="",$M111=""),"",IF($E111&lt;$M111,0,NETWORKDAYS($M111,$E111,calendar!$A$2:$A$80)))</f>
        <v/>
      </c>
      <c r="O111" s="25">
        <f>IF($B111="","",IF(AND($K111="Y",OR($D111="later",$J111="Y")),"Y","N"))</f>
        <v/>
      </c>
      <c r="P111" s="25">
        <f>IF(OR($B111="",$E111=""),"",$B111&amp;"_"&amp;$C111&amp;"_"&amp;$D111&amp;"_"&amp;TEXT($E111,"yyyy-mm-dd")&amp;".jpg")</f>
        <v/>
      </c>
      <c r="Q111" s="25">
        <f>IF($B111="","",IF(COUNTIF(campaigns!$A$2:$A$51,$B111)=0,"campaign_id not on campaigns; ",IF(AND($C111&lt;&gt;"",COUNTIFS(approvals!$A$2:$A$251,$B111,approvals!$B$2:$B$251,$C111)=0),"office not on this campaign (approvals tab); ",""))&amp;IF($E111="","taken date missing; ","")&amp;IF(AND($H111&lt;&gt;"",$H111&lt;&gt;$P111),"file name differs from the convention; ","")&amp;IF(AND($D111="placement",$O111="Y",COUNTIF(photos!$R$2:$R$701,$R111)&gt;1),"two usable placement photos: mark one N; ","")&amp;IF($K111&lt;&gt;"Y","info: not usable (a person, screen or whiteboard may show): never used, delete the file; ","")&amp;IF(AND($D111="placement",$J111&lt;&gt;"Y"),"info: not usable as a placement photo (no card); ","")&amp;IF(AND($D111="placement",N($N111)&gt;2),"info: placed after the first business day; ","")&amp;IF(AND($D111="later",$N111&lt;&gt;"",OR(N($N111)&lt;3,N($N111)&gt;5)),"info: later photo outside day 3 to 5; ",""))</f>
        <v/>
      </c>
      <c r="R111" s="25">
        <f>IF($B111="","",$B111&amp;"|"&amp;$C111&amp;"|"&amp;$D111&amp;"|"&amp;$O111)</f>
        <v/>
      </c>
      <c r="S111" s="25">
        <f>IF($B111="","",$R111&amp;"|"&amp;N($E111))</f>
        <v/>
      </c>
    </row>
    <row r="112">
      <c r="E112" s="9" t="n"/>
      <c r="F112" s="33" t="n"/>
      <c r="I112" s="9" t="n"/>
      <c r="M112" s="26">
        <f>IF($B112="","",IFERROR(IF(INDEX(campaigns!$BG$2:$BG$51,MATCH($B112,campaigns!$A$2:$A$51,0))="","",INDEX(campaigns!$BG$2:$BG$51,MATCH($B112,campaigns!$A$2:$A$51,0))),""))</f>
        <v/>
      </c>
      <c r="N112" s="25">
        <f>IF(OR($B112="",$E112="",$M112=""),"",IF($E112&lt;$M112,0,NETWORKDAYS($M112,$E112,calendar!$A$2:$A$80)))</f>
        <v/>
      </c>
      <c r="O112" s="25">
        <f>IF($B112="","",IF(AND($K112="Y",OR($D112="later",$J112="Y")),"Y","N"))</f>
        <v/>
      </c>
      <c r="P112" s="25">
        <f>IF(OR($B112="",$E112=""),"",$B112&amp;"_"&amp;$C112&amp;"_"&amp;$D112&amp;"_"&amp;TEXT($E112,"yyyy-mm-dd")&amp;".jpg")</f>
        <v/>
      </c>
      <c r="Q112" s="25">
        <f>IF($B112="","",IF(COUNTIF(campaigns!$A$2:$A$51,$B112)=0,"campaign_id not on campaigns; ",IF(AND($C112&lt;&gt;"",COUNTIFS(approvals!$A$2:$A$251,$B112,approvals!$B$2:$B$251,$C112)=0),"office not on this campaign (approvals tab); ",""))&amp;IF($E112="","taken date missing; ","")&amp;IF(AND($H112&lt;&gt;"",$H112&lt;&gt;$P112),"file name differs from the convention; ","")&amp;IF(AND($D112="placement",$O112="Y",COUNTIF(photos!$R$2:$R$701,$R112)&gt;1),"two usable placement photos: mark one N; ","")&amp;IF($K112&lt;&gt;"Y","info: not usable (a person, screen or whiteboard may show): never used, delete the file; ","")&amp;IF(AND($D112="placement",$J112&lt;&gt;"Y"),"info: not usable as a placement photo (no card); ","")&amp;IF(AND($D112="placement",N($N112)&gt;2),"info: placed after the first business day; ","")&amp;IF(AND($D112="later",$N112&lt;&gt;"",OR(N($N112)&lt;3,N($N112)&gt;5)),"info: later photo outside day 3 to 5; ",""))</f>
        <v/>
      </c>
      <c r="R112" s="25">
        <f>IF($B112="","",$B112&amp;"|"&amp;$C112&amp;"|"&amp;$D112&amp;"|"&amp;$O112)</f>
        <v/>
      </c>
      <c r="S112" s="25">
        <f>IF($B112="","",$R112&amp;"|"&amp;N($E112))</f>
        <v/>
      </c>
    </row>
    <row r="113">
      <c r="E113" s="9" t="n"/>
      <c r="F113" s="33" t="n"/>
      <c r="I113" s="9" t="n"/>
      <c r="M113" s="26">
        <f>IF($B113="","",IFERROR(IF(INDEX(campaigns!$BG$2:$BG$51,MATCH($B113,campaigns!$A$2:$A$51,0))="","",INDEX(campaigns!$BG$2:$BG$51,MATCH($B113,campaigns!$A$2:$A$51,0))),""))</f>
        <v/>
      </c>
      <c r="N113" s="25">
        <f>IF(OR($B113="",$E113="",$M113=""),"",IF($E113&lt;$M113,0,NETWORKDAYS($M113,$E113,calendar!$A$2:$A$80)))</f>
        <v/>
      </c>
      <c r="O113" s="25">
        <f>IF($B113="","",IF(AND($K113="Y",OR($D113="later",$J113="Y")),"Y","N"))</f>
        <v/>
      </c>
      <c r="P113" s="25">
        <f>IF(OR($B113="",$E113=""),"",$B113&amp;"_"&amp;$C113&amp;"_"&amp;$D113&amp;"_"&amp;TEXT($E113,"yyyy-mm-dd")&amp;".jpg")</f>
        <v/>
      </c>
      <c r="Q113" s="25">
        <f>IF($B113="","",IF(COUNTIF(campaigns!$A$2:$A$51,$B113)=0,"campaign_id not on campaigns; ",IF(AND($C113&lt;&gt;"",COUNTIFS(approvals!$A$2:$A$251,$B113,approvals!$B$2:$B$251,$C113)=0),"office not on this campaign (approvals tab); ",""))&amp;IF($E113="","taken date missing; ","")&amp;IF(AND($H113&lt;&gt;"",$H113&lt;&gt;$P113),"file name differs from the convention; ","")&amp;IF(AND($D113="placement",$O113="Y",COUNTIF(photos!$R$2:$R$701,$R113)&gt;1),"two usable placement photos: mark one N; ","")&amp;IF($K113&lt;&gt;"Y","info: not usable (a person, screen or whiteboard may show): never used, delete the file; ","")&amp;IF(AND($D113="placement",$J113&lt;&gt;"Y"),"info: not usable as a placement photo (no card); ","")&amp;IF(AND($D113="placement",N($N113)&gt;2),"info: placed after the first business day; ","")&amp;IF(AND($D113="later",$N113&lt;&gt;"",OR(N($N113)&lt;3,N($N113)&gt;5)),"info: later photo outside day 3 to 5; ",""))</f>
        <v/>
      </c>
      <c r="R113" s="25">
        <f>IF($B113="","",$B113&amp;"|"&amp;$C113&amp;"|"&amp;$D113&amp;"|"&amp;$O113)</f>
        <v/>
      </c>
      <c r="S113" s="25">
        <f>IF($B113="","",$R113&amp;"|"&amp;N($E113))</f>
        <v/>
      </c>
    </row>
    <row r="114">
      <c r="E114" s="9" t="n"/>
      <c r="F114" s="33" t="n"/>
      <c r="I114" s="9" t="n"/>
      <c r="M114" s="26">
        <f>IF($B114="","",IFERROR(IF(INDEX(campaigns!$BG$2:$BG$51,MATCH($B114,campaigns!$A$2:$A$51,0))="","",INDEX(campaigns!$BG$2:$BG$51,MATCH($B114,campaigns!$A$2:$A$51,0))),""))</f>
        <v/>
      </c>
      <c r="N114" s="25">
        <f>IF(OR($B114="",$E114="",$M114=""),"",IF($E114&lt;$M114,0,NETWORKDAYS($M114,$E114,calendar!$A$2:$A$80)))</f>
        <v/>
      </c>
      <c r="O114" s="25">
        <f>IF($B114="","",IF(AND($K114="Y",OR($D114="later",$J114="Y")),"Y","N"))</f>
        <v/>
      </c>
      <c r="P114" s="25">
        <f>IF(OR($B114="",$E114=""),"",$B114&amp;"_"&amp;$C114&amp;"_"&amp;$D114&amp;"_"&amp;TEXT($E114,"yyyy-mm-dd")&amp;".jpg")</f>
        <v/>
      </c>
      <c r="Q114" s="25">
        <f>IF($B114="","",IF(COUNTIF(campaigns!$A$2:$A$51,$B114)=0,"campaign_id not on campaigns; ",IF(AND($C114&lt;&gt;"",COUNTIFS(approvals!$A$2:$A$251,$B114,approvals!$B$2:$B$251,$C114)=0),"office not on this campaign (approvals tab); ",""))&amp;IF($E114="","taken date missing; ","")&amp;IF(AND($H114&lt;&gt;"",$H114&lt;&gt;$P114),"file name differs from the convention; ","")&amp;IF(AND($D114="placement",$O114="Y",COUNTIF(photos!$R$2:$R$701,$R114)&gt;1),"two usable placement photos: mark one N; ","")&amp;IF($K114&lt;&gt;"Y","info: not usable (a person, screen or whiteboard may show): never used, delete the file; ","")&amp;IF(AND($D114="placement",$J114&lt;&gt;"Y"),"info: not usable as a placement photo (no card); ","")&amp;IF(AND($D114="placement",N($N114)&gt;2),"info: placed after the first business day; ","")&amp;IF(AND($D114="later",$N114&lt;&gt;"",OR(N($N114)&lt;3,N($N114)&gt;5)),"info: later photo outside day 3 to 5; ",""))</f>
        <v/>
      </c>
      <c r="R114" s="25">
        <f>IF($B114="","",$B114&amp;"|"&amp;$C114&amp;"|"&amp;$D114&amp;"|"&amp;$O114)</f>
        <v/>
      </c>
      <c r="S114" s="25">
        <f>IF($B114="","",$R114&amp;"|"&amp;N($E114))</f>
        <v/>
      </c>
    </row>
    <row r="115">
      <c r="E115" s="9" t="n"/>
      <c r="F115" s="33" t="n"/>
      <c r="I115" s="9" t="n"/>
      <c r="M115" s="26">
        <f>IF($B115="","",IFERROR(IF(INDEX(campaigns!$BG$2:$BG$51,MATCH($B115,campaigns!$A$2:$A$51,0))="","",INDEX(campaigns!$BG$2:$BG$51,MATCH($B115,campaigns!$A$2:$A$51,0))),""))</f>
        <v/>
      </c>
      <c r="N115" s="25">
        <f>IF(OR($B115="",$E115="",$M115=""),"",IF($E115&lt;$M115,0,NETWORKDAYS($M115,$E115,calendar!$A$2:$A$80)))</f>
        <v/>
      </c>
      <c r="O115" s="25">
        <f>IF($B115="","",IF(AND($K115="Y",OR($D115="later",$J115="Y")),"Y","N"))</f>
        <v/>
      </c>
      <c r="P115" s="25">
        <f>IF(OR($B115="",$E115=""),"",$B115&amp;"_"&amp;$C115&amp;"_"&amp;$D115&amp;"_"&amp;TEXT($E115,"yyyy-mm-dd")&amp;".jpg")</f>
        <v/>
      </c>
      <c r="Q115" s="25">
        <f>IF($B115="","",IF(COUNTIF(campaigns!$A$2:$A$51,$B115)=0,"campaign_id not on campaigns; ",IF(AND($C115&lt;&gt;"",COUNTIFS(approvals!$A$2:$A$251,$B115,approvals!$B$2:$B$251,$C115)=0),"office not on this campaign (approvals tab); ",""))&amp;IF($E115="","taken date missing; ","")&amp;IF(AND($H115&lt;&gt;"",$H115&lt;&gt;$P115),"file name differs from the convention; ","")&amp;IF(AND($D115="placement",$O115="Y",COUNTIF(photos!$R$2:$R$701,$R115)&gt;1),"two usable placement photos: mark one N; ","")&amp;IF($K115&lt;&gt;"Y","info: not usable (a person, screen or whiteboard may show): never used, delete the file; ","")&amp;IF(AND($D115="placement",$J115&lt;&gt;"Y"),"info: not usable as a placement photo (no card); ","")&amp;IF(AND($D115="placement",N($N115)&gt;2),"info: placed after the first business day; ","")&amp;IF(AND($D115="later",$N115&lt;&gt;"",OR(N($N115)&lt;3,N($N115)&gt;5)),"info: later photo outside day 3 to 5; ",""))</f>
        <v/>
      </c>
      <c r="R115" s="25">
        <f>IF($B115="","",$B115&amp;"|"&amp;$C115&amp;"|"&amp;$D115&amp;"|"&amp;$O115)</f>
        <v/>
      </c>
      <c r="S115" s="25">
        <f>IF($B115="","",$R115&amp;"|"&amp;N($E115))</f>
        <v/>
      </c>
    </row>
    <row r="116">
      <c r="E116" s="9" t="n"/>
      <c r="F116" s="33" t="n"/>
      <c r="I116" s="9" t="n"/>
      <c r="M116" s="26">
        <f>IF($B116="","",IFERROR(IF(INDEX(campaigns!$BG$2:$BG$51,MATCH($B116,campaigns!$A$2:$A$51,0))="","",INDEX(campaigns!$BG$2:$BG$51,MATCH($B116,campaigns!$A$2:$A$51,0))),""))</f>
        <v/>
      </c>
      <c r="N116" s="25">
        <f>IF(OR($B116="",$E116="",$M116=""),"",IF($E116&lt;$M116,0,NETWORKDAYS($M116,$E116,calendar!$A$2:$A$80)))</f>
        <v/>
      </c>
      <c r="O116" s="25">
        <f>IF($B116="","",IF(AND($K116="Y",OR($D116="later",$J116="Y")),"Y","N"))</f>
        <v/>
      </c>
      <c r="P116" s="25">
        <f>IF(OR($B116="",$E116=""),"",$B116&amp;"_"&amp;$C116&amp;"_"&amp;$D116&amp;"_"&amp;TEXT($E116,"yyyy-mm-dd")&amp;".jpg")</f>
        <v/>
      </c>
      <c r="Q116" s="25">
        <f>IF($B116="","",IF(COUNTIF(campaigns!$A$2:$A$51,$B116)=0,"campaign_id not on campaigns; ",IF(AND($C116&lt;&gt;"",COUNTIFS(approvals!$A$2:$A$251,$B116,approvals!$B$2:$B$251,$C116)=0),"office not on this campaign (approvals tab); ",""))&amp;IF($E116="","taken date missing; ","")&amp;IF(AND($H116&lt;&gt;"",$H116&lt;&gt;$P116),"file name differs from the convention; ","")&amp;IF(AND($D116="placement",$O116="Y",COUNTIF(photos!$R$2:$R$701,$R116)&gt;1),"two usable placement photos: mark one N; ","")&amp;IF($K116&lt;&gt;"Y","info: not usable (a person, screen or whiteboard may show): never used, delete the file; ","")&amp;IF(AND($D116="placement",$J116&lt;&gt;"Y"),"info: not usable as a placement photo (no card); ","")&amp;IF(AND($D116="placement",N($N116)&gt;2),"info: placed after the first business day; ","")&amp;IF(AND($D116="later",$N116&lt;&gt;"",OR(N($N116)&lt;3,N($N116)&gt;5)),"info: later photo outside day 3 to 5; ",""))</f>
        <v/>
      </c>
      <c r="R116" s="25">
        <f>IF($B116="","",$B116&amp;"|"&amp;$C116&amp;"|"&amp;$D116&amp;"|"&amp;$O116)</f>
        <v/>
      </c>
      <c r="S116" s="25">
        <f>IF($B116="","",$R116&amp;"|"&amp;N($E116))</f>
        <v/>
      </c>
    </row>
    <row r="117">
      <c r="E117" s="9" t="n"/>
      <c r="F117" s="33" t="n"/>
      <c r="I117" s="9" t="n"/>
      <c r="M117" s="26">
        <f>IF($B117="","",IFERROR(IF(INDEX(campaigns!$BG$2:$BG$51,MATCH($B117,campaigns!$A$2:$A$51,0))="","",INDEX(campaigns!$BG$2:$BG$51,MATCH($B117,campaigns!$A$2:$A$51,0))),""))</f>
        <v/>
      </c>
      <c r="N117" s="25">
        <f>IF(OR($B117="",$E117="",$M117=""),"",IF($E117&lt;$M117,0,NETWORKDAYS($M117,$E117,calendar!$A$2:$A$80)))</f>
        <v/>
      </c>
      <c r="O117" s="25">
        <f>IF($B117="","",IF(AND($K117="Y",OR($D117="later",$J117="Y")),"Y","N"))</f>
        <v/>
      </c>
      <c r="P117" s="25">
        <f>IF(OR($B117="",$E117=""),"",$B117&amp;"_"&amp;$C117&amp;"_"&amp;$D117&amp;"_"&amp;TEXT($E117,"yyyy-mm-dd")&amp;".jpg")</f>
        <v/>
      </c>
      <c r="Q117" s="25">
        <f>IF($B117="","",IF(COUNTIF(campaigns!$A$2:$A$51,$B117)=0,"campaign_id not on campaigns; ",IF(AND($C117&lt;&gt;"",COUNTIFS(approvals!$A$2:$A$251,$B117,approvals!$B$2:$B$251,$C117)=0),"office not on this campaign (approvals tab); ",""))&amp;IF($E117="","taken date missing; ","")&amp;IF(AND($H117&lt;&gt;"",$H117&lt;&gt;$P117),"file name differs from the convention; ","")&amp;IF(AND($D117="placement",$O117="Y",COUNTIF(photos!$R$2:$R$701,$R117)&gt;1),"two usable placement photos: mark one N; ","")&amp;IF($K117&lt;&gt;"Y","info: not usable (a person, screen or whiteboard may show): never used, delete the file; ","")&amp;IF(AND($D117="placement",$J117&lt;&gt;"Y"),"info: not usable as a placement photo (no card); ","")&amp;IF(AND($D117="placement",N($N117)&gt;2),"info: placed after the first business day; ","")&amp;IF(AND($D117="later",$N117&lt;&gt;"",OR(N($N117)&lt;3,N($N117)&gt;5)),"info: later photo outside day 3 to 5; ",""))</f>
        <v/>
      </c>
      <c r="R117" s="25">
        <f>IF($B117="","",$B117&amp;"|"&amp;$C117&amp;"|"&amp;$D117&amp;"|"&amp;$O117)</f>
        <v/>
      </c>
      <c r="S117" s="25">
        <f>IF($B117="","",$R117&amp;"|"&amp;N($E117))</f>
        <v/>
      </c>
    </row>
    <row r="118">
      <c r="E118" s="9" t="n"/>
      <c r="F118" s="33" t="n"/>
      <c r="I118" s="9" t="n"/>
      <c r="M118" s="26">
        <f>IF($B118="","",IFERROR(IF(INDEX(campaigns!$BG$2:$BG$51,MATCH($B118,campaigns!$A$2:$A$51,0))="","",INDEX(campaigns!$BG$2:$BG$51,MATCH($B118,campaigns!$A$2:$A$51,0))),""))</f>
        <v/>
      </c>
      <c r="N118" s="25">
        <f>IF(OR($B118="",$E118="",$M118=""),"",IF($E118&lt;$M118,0,NETWORKDAYS($M118,$E118,calendar!$A$2:$A$80)))</f>
        <v/>
      </c>
      <c r="O118" s="25">
        <f>IF($B118="","",IF(AND($K118="Y",OR($D118="later",$J118="Y")),"Y","N"))</f>
        <v/>
      </c>
      <c r="P118" s="25">
        <f>IF(OR($B118="",$E118=""),"",$B118&amp;"_"&amp;$C118&amp;"_"&amp;$D118&amp;"_"&amp;TEXT($E118,"yyyy-mm-dd")&amp;".jpg")</f>
        <v/>
      </c>
      <c r="Q118" s="25">
        <f>IF($B118="","",IF(COUNTIF(campaigns!$A$2:$A$51,$B118)=0,"campaign_id not on campaigns; ",IF(AND($C118&lt;&gt;"",COUNTIFS(approvals!$A$2:$A$251,$B118,approvals!$B$2:$B$251,$C118)=0),"office not on this campaign (approvals tab); ",""))&amp;IF($E118="","taken date missing; ","")&amp;IF(AND($H118&lt;&gt;"",$H118&lt;&gt;$P118),"file name differs from the convention; ","")&amp;IF(AND($D118="placement",$O118="Y",COUNTIF(photos!$R$2:$R$701,$R118)&gt;1),"two usable placement photos: mark one N; ","")&amp;IF($K118&lt;&gt;"Y","info: not usable (a person, screen or whiteboard may show): never used, delete the file; ","")&amp;IF(AND($D118="placement",$J118&lt;&gt;"Y"),"info: not usable as a placement photo (no card); ","")&amp;IF(AND($D118="placement",N($N118)&gt;2),"info: placed after the first business day; ","")&amp;IF(AND($D118="later",$N118&lt;&gt;"",OR(N($N118)&lt;3,N($N118)&gt;5)),"info: later photo outside day 3 to 5; ",""))</f>
        <v/>
      </c>
      <c r="R118" s="25">
        <f>IF($B118="","",$B118&amp;"|"&amp;$C118&amp;"|"&amp;$D118&amp;"|"&amp;$O118)</f>
        <v/>
      </c>
      <c r="S118" s="25">
        <f>IF($B118="","",$R118&amp;"|"&amp;N($E118))</f>
        <v/>
      </c>
    </row>
    <row r="119">
      <c r="E119" s="9" t="n"/>
      <c r="F119" s="33" t="n"/>
      <c r="I119" s="9" t="n"/>
      <c r="M119" s="26">
        <f>IF($B119="","",IFERROR(IF(INDEX(campaigns!$BG$2:$BG$51,MATCH($B119,campaigns!$A$2:$A$51,0))="","",INDEX(campaigns!$BG$2:$BG$51,MATCH($B119,campaigns!$A$2:$A$51,0))),""))</f>
        <v/>
      </c>
      <c r="N119" s="25">
        <f>IF(OR($B119="",$E119="",$M119=""),"",IF($E119&lt;$M119,0,NETWORKDAYS($M119,$E119,calendar!$A$2:$A$80)))</f>
        <v/>
      </c>
      <c r="O119" s="25">
        <f>IF($B119="","",IF(AND($K119="Y",OR($D119="later",$J119="Y")),"Y","N"))</f>
        <v/>
      </c>
      <c r="P119" s="25">
        <f>IF(OR($B119="",$E119=""),"",$B119&amp;"_"&amp;$C119&amp;"_"&amp;$D119&amp;"_"&amp;TEXT($E119,"yyyy-mm-dd")&amp;".jpg")</f>
        <v/>
      </c>
      <c r="Q119" s="25">
        <f>IF($B119="","",IF(COUNTIF(campaigns!$A$2:$A$51,$B119)=0,"campaign_id not on campaigns; ",IF(AND($C119&lt;&gt;"",COUNTIFS(approvals!$A$2:$A$251,$B119,approvals!$B$2:$B$251,$C119)=0),"office not on this campaign (approvals tab); ",""))&amp;IF($E119="","taken date missing; ","")&amp;IF(AND($H119&lt;&gt;"",$H119&lt;&gt;$P119),"file name differs from the convention; ","")&amp;IF(AND($D119="placement",$O119="Y",COUNTIF(photos!$R$2:$R$701,$R119)&gt;1),"two usable placement photos: mark one N; ","")&amp;IF($K119&lt;&gt;"Y","info: not usable (a person, screen or whiteboard may show): never used, delete the file; ","")&amp;IF(AND($D119="placement",$J119&lt;&gt;"Y"),"info: not usable as a placement photo (no card); ","")&amp;IF(AND($D119="placement",N($N119)&gt;2),"info: placed after the first business day; ","")&amp;IF(AND($D119="later",$N119&lt;&gt;"",OR(N($N119)&lt;3,N($N119)&gt;5)),"info: later photo outside day 3 to 5; ",""))</f>
        <v/>
      </c>
      <c r="R119" s="25">
        <f>IF($B119="","",$B119&amp;"|"&amp;$C119&amp;"|"&amp;$D119&amp;"|"&amp;$O119)</f>
        <v/>
      </c>
      <c r="S119" s="25">
        <f>IF($B119="","",$R119&amp;"|"&amp;N($E119))</f>
        <v/>
      </c>
    </row>
    <row r="120">
      <c r="E120" s="9" t="n"/>
      <c r="F120" s="33" t="n"/>
      <c r="I120" s="9" t="n"/>
      <c r="M120" s="26">
        <f>IF($B120="","",IFERROR(IF(INDEX(campaigns!$BG$2:$BG$51,MATCH($B120,campaigns!$A$2:$A$51,0))="","",INDEX(campaigns!$BG$2:$BG$51,MATCH($B120,campaigns!$A$2:$A$51,0))),""))</f>
        <v/>
      </c>
      <c r="N120" s="25">
        <f>IF(OR($B120="",$E120="",$M120=""),"",IF($E120&lt;$M120,0,NETWORKDAYS($M120,$E120,calendar!$A$2:$A$80)))</f>
        <v/>
      </c>
      <c r="O120" s="25">
        <f>IF($B120="","",IF(AND($K120="Y",OR($D120="later",$J120="Y")),"Y","N"))</f>
        <v/>
      </c>
      <c r="P120" s="25">
        <f>IF(OR($B120="",$E120=""),"",$B120&amp;"_"&amp;$C120&amp;"_"&amp;$D120&amp;"_"&amp;TEXT($E120,"yyyy-mm-dd")&amp;".jpg")</f>
        <v/>
      </c>
      <c r="Q120" s="25">
        <f>IF($B120="","",IF(COUNTIF(campaigns!$A$2:$A$51,$B120)=0,"campaign_id not on campaigns; ",IF(AND($C120&lt;&gt;"",COUNTIFS(approvals!$A$2:$A$251,$B120,approvals!$B$2:$B$251,$C120)=0),"office not on this campaign (approvals tab); ",""))&amp;IF($E120="","taken date missing; ","")&amp;IF(AND($H120&lt;&gt;"",$H120&lt;&gt;$P120),"file name differs from the convention; ","")&amp;IF(AND($D120="placement",$O120="Y",COUNTIF(photos!$R$2:$R$701,$R120)&gt;1),"two usable placement photos: mark one N; ","")&amp;IF($K120&lt;&gt;"Y","info: not usable (a person, screen or whiteboard may show): never used, delete the file; ","")&amp;IF(AND($D120="placement",$J120&lt;&gt;"Y"),"info: not usable as a placement photo (no card); ","")&amp;IF(AND($D120="placement",N($N120)&gt;2),"info: placed after the first business day; ","")&amp;IF(AND($D120="later",$N120&lt;&gt;"",OR(N($N120)&lt;3,N($N120)&gt;5)),"info: later photo outside day 3 to 5; ",""))</f>
        <v/>
      </c>
      <c r="R120" s="25">
        <f>IF($B120="","",$B120&amp;"|"&amp;$C120&amp;"|"&amp;$D120&amp;"|"&amp;$O120)</f>
        <v/>
      </c>
      <c r="S120" s="25">
        <f>IF($B120="","",$R120&amp;"|"&amp;N($E120))</f>
        <v/>
      </c>
    </row>
    <row r="121">
      <c r="E121" s="9" t="n"/>
      <c r="F121" s="33" t="n"/>
      <c r="I121" s="9" t="n"/>
      <c r="M121" s="26">
        <f>IF($B121="","",IFERROR(IF(INDEX(campaigns!$BG$2:$BG$51,MATCH($B121,campaigns!$A$2:$A$51,0))="","",INDEX(campaigns!$BG$2:$BG$51,MATCH($B121,campaigns!$A$2:$A$51,0))),""))</f>
        <v/>
      </c>
      <c r="N121" s="25">
        <f>IF(OR($B121="",$E121="",$M121=""),"",IF($E121&lt;$M121,0,NETWORKDAYS($M121,$E121,calendar!$A$2:$A$80)))</f>
        <v/>
      </c>
      <c r="O121" s="25">
        <f>IF($B121="","",IF(AND($K121="Y",OR($D121="later",$J121="Y")),"Y","N"))</f>
        <v/>
      </c>
      <c r="P121" s="25">
        <f>IF(OR($B121="",$E121=""),"",$B121&amp;"_"&amp;$C121&amp;"_"&amp;$D121&amp;"_"&amp;TEXT($E121,"yyyy-mm-dd")&amp;".jpg")</f>
        <v/>
      </c>
      <c r="Q121" s="25">
        <f>IF($B121="","",IF(COUNTIF(campaigns!$A$2:$A$51,$B121)=0,"campaign_id not on campaigns; ",IF(AND($C121&lt;&gt;"",COUNTIFS(approvals!$A$2:$A$251,$B121,approvals!$B$2:$B$251,$C121)=0),"office not on this campaign (approvals tab); ",""))&amp;IF($E121="","taken date missing; ","")&amp;IF(AND($H121&lt;&gt;"",$H121&lt;&gt;$P121),"file name differs from the convention; ","")&amp;IF(AND($D121="placement",$O121="Y",COUNTIF(photos!$R$2:$R$701,$R121)&gt;1),"two usable placement photos: mark one N; ","")&amp;IF($K121&lt;&gt;"Y","info: not usable (a person, screen or whiteboard may show): never used, delete the file; ","")&amp;IF(AND($D121="placement",$J121&lt;&gt;"Y"),"info: not usable as a placement photo (no card); ","")&amp;IF(AND($D121="placement",N($N121)&gt;2),"info: placed after the first business day; ","")&amp;IF(AND($D121="later",$N121&lt;&gt;"",OR(N($N121)&lt;3,N($N121)&gt;5)),"info: later photo outside day 3 to 5; ",""))</f>
        <v/>
      </c>
      <c r="R121" s="25">
        <f>IF($B121="","",$B121&amp;"|"&amp;$C121&amp;"|"&amp;$D121&amp;"|"&amp;$O121)</f>
        <v/>
      </c>
      <c r="S121" s="25">
        <f>IF($B121="","",$R121&amp;"|"&amp;N($E121))</f>
        <v/>
      </c>
    </row>
    <row r="122">
      <c r="E122" s="9" t="n"/>
      <c r="F122" s="33" t="n"/>
      <c r="I122" s="9" t="n"/>
      <c r="M122" s="26">
        <f>IF($B122="","",IFERROR(IF(INDEX(campaigns!$BG$2:$BG$51,MATCH($B122,campaigns!$A$2:$A$51,0))="","",INDEX(campaigns!$BG$2:$BG$51,MATCH($B122,campaigns!$A$2:$A$51,0))),""))</f>
        <v/>
      </c>
      <c r="N122" s="25">
        <f>IF(OR($B122="",$E122="",$M122=""),"",IF($E122&lt;$M122,0,NETWORKDAYS($M122,$E122,calendar!$A$2:$A$80)))</f>
        <v/>
      </c>
      <c r="O122" s="25">
        <f>IF($B122="","",IF(AND($K122="Y",OR($D122="later",$J122="Y")),"Y","N"))</f>
        <v/>
      </c>
      <c r="P122" s="25">
        <f>IF(OR($B122="",$E122=""),"",$B122&amp;"_"&amp;$C122&amp;"_"&amp;$D122&amp;"_"&amp;TEXT($E122,"yyyy-mm-dd")&amp;".jpg")</f>
        <v/>
      </c>
      <c r="Q122" s="25">
        <f>IF($B122="","",IF(COUNTIF(campaigns!$A$2:$A$51,$B122)=0,"campaign_id not on campaigns; ",IF(AND($C122&lt;&gt;"",COUNTIFS(approvals!$A$2:$A$251,$B122,approvals!$B$2:$B$251,$C122)=0),"office not on this campaign (approvals tab); ",""))&amp;IF($E122="","taken date missing; ","")&amp;IF(AND($H122&lt;&gt;"",$H122&lt;&gt;$P122),"file name differs from the convention; ","")&amp;IF(AND($D122="placement",$O122="Y",COUNTIF(photos!$R$2:$R$701,$R122)&gt;1),"two usable placement photos: mark one N; ","")&amp;IF($K122&lt;&gt;"Y","info: not usable (a person, screen or whiteboard may show): never used, delete the file; ","")&amp;IF(AND($D122="placement",$J122&lt;&gt;"Y"),"info: not usable as a placement photo (no card); ","")&amp;IF(AND($D122="placement",N($N122)&gt;2),"info: placed after the first business day; ","")&amp;IF(AND($D122="later",$N122&lt;&gt;"",OR(N($N122)&lt;3,N($N122)&gt;5)),"info: later photo outside day 3 to 5; ",""))</f>
        <v/>
      </c>
      <c r="R122" s="25">
        <f>IF($B122="","",$B122&amp;"|"&amp;$C122&amp;"|"&amp;$D122&amp;"|"&amp;$O122)</f>
        <v/>
      </c>
      <c r="S122" s="25">
        <f>IF($B122="","",$R122&amp;"|"&amp;N($E122))</f>
        <v/>
      </c>
    </row>
    <row r="123">
      <c r="E123" s="9" t="n"/>
      <c r="F123" s="33" t="n"/>
      <c r="I123" s="9" t="n"/>
      <c r="M123" s="26">
        <f>IF($B123="","",IFERROR(IF(INDEX(campaigns!$BG$2:$BG$51,MATCH($B123,campaigns!$A$2:$A$51,0))="","",INDEX(campaigns!$BG$2:$BG$51,MATCH($B123,campaigns!$A$2:$A$51,0))),""))</f>
        <v/>
      </c>
      <c r="N123" s="25">
        <f>IF(OR($B123="",$E123="",$M123=""),"",IF($E123&lt;$M123,0,NETWORKDAYS($M123,$E123,calendar!$A$2:$A$80)))</f>
        <v/>
      </c>
      <c r="O123" s="25">
        <f>IF($B123="","",IF(AND($K123="Y",OR($D123="later",$J123="Y")),"Y","N"))</f>
        <v/>
      </c>
      <c r="P123" s="25">
        <f>IF(OR($B123="",$E123=""),"",$B123&amp;"_"&amp;$C123&amp;"_"&amp;$D123&amp;"_"&amp;TEXT($E123,"yyyy-mm-dd")&amp;".jpg")</f>
        <v/>
      </c>
      <c r="Q123" s="25">
        <f>IF($B123="","",IF(COUNTIF(campaigns!$A$2:$A$51,$B123)=0,"campaign_id not on campaigns; ",IF(AND($C123&lt;&gt;"",COUNTIFS(approvals!$A$2:$A$251,$B123,approvals!$B$2:$B$251,$C123)=0),"office not on this campaign (approvals tab); ",""))&amp;IF($E123="","taken date missing; ","")&amp;IF(AND($H123&lt;&gt;"",$H123&lt;&gt;$P123),"file name differs from the convention; ","")&amp;IF(AND($D123="placement",$O123="Y",COUNTIF(photos!$R$2:$R$701,$R123)&gt;1),"two usable placement photos: mark one N; ","")&amp;IF($K123&lt;&gt;"Y","info: not usable (a person, screen or whiteboard may show): never used, delete the file; ","")&amp;IF(AND($D123="placement",$J123&lt;&gt;"Y"),"info: not usable as a placement photo (no card); ","")&amp;IF(AND($D123="placement",N($N123)&gt;2),"info: placed after the first business day; ","")&amp;IF(AND($D123="later",$N123&lt;&gt;"",OR(N($N123)&lt;3,N($N123)&gt;5)),"info: later photo outside day 3 to 5; ",""))</f>
        <v/>
      </c>
      <c r="R123" s="25">
        <f>IF($B123="","",$B123&amp;"|"&amp;$C123&amp;"|"&amp;$D123&amp;"|"&amp;$O123)</f>
        <v/>
      </c>
      <c r="S123" s="25">
        <f>IF($B123="","",$R123&amp;"|"&amp;N($E123))</f>
        <v/>
      </c>
    </row>
    <row r="124">
      <c r="E124" s="9" t="n"/>
      <c r="F124" s="33" t="n"/>
      <c r="I124" s="9" t="n"/>
      <c r="M124" s="26">
        <f>IF($B124="","",IFERROR(IF(INDEX(campaigns!$BG$2:$BG$51,MATCH($B124,campaigns!$A$2:$A$51,0))="","",INDEX(campaigns!$BG$2:$BG$51,MATCH($B124,campaigns!$A$2:$A$51,0))),""))</f>
        <v/>
      </c>
      <c r="N124" s="25">
        <f>IF(OR($B124="",$E124="",$M124=""),"",IF($E124&lt;$M124,0,NETWORKDAYS($M124,$E124,calendar!$A$2:$A$80)))</f>
        <v/>
      </c>
      <c r="O124" s="25">
        <f>IF($B124="","",IF(AND($K124="Y",OR($D124="later",$J124="Y")),"Y","N"))</f>
        <v/>
      </c>
      <c r="P124" s="25">
        <f>IF(OR($B124="",$E124=""),"",$B124&amp;"_"&amp;$C124&amp;"_"&amp;$D124&amp;"_"&amp;TEXT($E124,"yyyy-mm-dd")&amp;".jpg")</f>
        <v/>
      </c>
      <c r="Q124" s="25">
        <f>IF($B124="","",IF(COUNTIF(campaigns!$A$2:$A$51,$B124)=0,"campaign_id not on campaigns; ",IF(AND($C124&lt;&gt;"",COUNTIFS(approvals!$A$2:$A$251,$B124,approvals!$B$2:$B$251,$C124)=0),"office not on this campaign (approvals tab); ",""))&amp;IF($E124="","taken date missing; ","")&amp;IF(AND($H124&lt;&gt;"",$H124&lt;&gt;$P124),"file name differs from the convention; ","")&amp;IF(AND($D124="placement",$O124="Y",COUNTIF(photos!$R$2:$R$701,$R124)&gt;1),"two usable placement photos: mark one N; ","")&amp;IF($K124&lt;&gt;"Y","info: not usable (a person, screen or whiteboard may show): never used, delete the file; ","")&amp;IF(AND($D124="placement",$J124&lt;&gt;"Y"),"info: not usable as a placement photo (no card); ","")&amp;IF(AND($D124="placement",N($N124)&gt;2),"info: placed after the first business day; ","")&amp;IF(AND($D124="later",$N124&lt;&gt;"",OR(N($N124)&lt;3,N($N124)&gt;5)),"info: later photo outside day 3 to 5; ",""))</f>
        <v/>
      </c>
      <c r="R124" s="25">
        <f>IF($B124="","",$B124&amp;"|"&amp;$C124&amp;"|"&amp;$D124&amp;"|"&amp;$O124)</f>
        <v/>
      </c>
      <c r="S124" s="25">
        <f>IF($B124="","",$R124&amp;"|"&amp;N($E124))</f>
        <v/>
      </c>
    </row>
    <row r="125">
      <c r="E125" s="9" t="n"/>
      <c r="F125" s="33" t="n"/>
      <c r="I125" s="9" t="n"/>
      <c r="M125" s="26">
        <f>IF($B125="","",IFERROR(IF(INDEX(campaigns!$BG$2:$BG$51,MATCH($B125,campaigns!$A$2:$A$51,0))="","",INDEX(campaigns!$BG$2:$BG$51,MATCH($B125,campaigns!$A$2:$A$51,0))),""))</f>
        <v/>
      </c>
      <c r="N125" s="25">
        <f>IF(OR($B125="",$E125="",$M125=""),"",IF($E125&lt;$M125,0,NETWORKDAYS($M125,$E125,calendar!$A$2:$A$80)))</f>
        <v/>
      </c>
      <c r="O125" s="25">
        <f>IF($B125="","",IF(AND($K125="Y",OR($D125="later",$J125="Y")),"Y","N"))</f>
        <v/>
      </c>
      <c r="P125" s="25">
        <f>IF(OR($B125="",$E125=""),"",$B125&amp;"_"&amp;$C125&amp;"_"&amp;$D125&amp;"_"&amp;TEXT($E125,"yyyy-mm-dd")&amp;".jpg")</f>
        <v/>
      </c>
      <c r="Q125" s="25">
        <f>IF($B125="","",IF(COUNTIF(campaigns!$A$2:$A$51,$B125)=0,"campaign_id not on campaigns; ",IF(AND($C125&lt;&gt;"",COUNTIFS(approvals!$A$2:$A$251,$B125,approvals!$B$2:$B$251,$C125)=0),"office not on this campaign (approvals tab); ",""))&amp;IF($E125="","taken date missing; ","")&amp;IF(AND($H125&lt;&gt;"",$H125&lt;&gt;$P125),"file name differs from the convention; ","")&amp;IF(AND($D125="placement",$O125="Y",COUNTIF(photos!$R$2:$R$701,$R125)&gt;1),"two usable placement photos: mark one N; ","")&amp;IF($K125&lt;&gt;"Y","info: not usable (a person, screen or whiteboard may show): never used, delete the file; ","")&amp;IF(AND($D125="placement",$J125&lt;&gt;"Y"),"info: not usable as a placement photo (no card); ","")&amp;IF(AND($D125="placement",N($N125)&gt;2),"info: placed after the first business day; ","")&amp;IF(AND($D125="later",$N125&lt;&gt;"",OR(N($N125)&lt;3,N($N125)&gt;5)),"info: later photo outside day 3 to 5; ",""))</f>
        <v/>
      </c>
      <c r="R125" s="25">
        <f>IF($B125="","",$B125&amp;"|"&amp;$C125&amp;"|"&amp;$D125&amp;"|"&amp;$O125)</f>
        <v/>
      </c>
      <c r="S125" s="25">
        <f>IF($B125="","",$R125&amp;"|"&amp;N($E125))</f>
        <v/>
      </c>
    </row>
    <row r="126">
      <c r="E126" s="9" t="n"/>
      <c r="F126" s="33" t="n"/>
      <c r="I126" s="9" t="n"/>
      <c r="M126" s="26">
        <f>IF($B126="","",IFERROR(IF(INDEX(campaigns!$BG$2:$BG$51,MATCH($B126,campaigns!$A$2:$A$51,0))="","",INDEX(campaigns!$BG$2:$BG$51,MATCH($B126,campaigns!$A$2:$A$51,0))),""))</f>
        <v/>
      </c>
      <c r="N126" s="25">
        <f>IF(OR($B126="",$E126="",$M126=""),"",IF($E126&lt;$M126,0,NETWORKDAYS($M126,$E126,calendar!$A$2:$A$80)))</f>
        <v/>
      </c>
      <c r="O126" s="25">
        <f>IF($B126="","",IF(AND($K126="Y",OR($D126="later",$J126="Y")),"Y","N"))</f>
        <v/>
      </c>
      <c r="P126" s="25">
        <f>IF(OR($B126="",$E126=""),"",$B126&amp;"_"&amp;$C126&amp;"_"&amp;$D126&amp;"_"&amp;TEXT($E126,"yyyy-mm-dd")&amp;".jpg")</f>
        <v/>
      </c>
      <c r="Q126" s="25">
        <f>IF($B126="","",IF(COUNTIF(campaigns!$A$2:$A$51,$B126)=0,"campaign_id not on campaigns; ",IF(AND($C126&lt;&gt;"",COUNTIFS(approvals!$A$2:$A$251,$B126,approvals!$B$2:$B$251,$C126)=0),"office not on this campaign (approvals tab); ",""))&amp;IF($E126="","taken date missing; ","")&amp;IF(AND($H126&lt;&gt;"",$H126&lt;&gt;$P126),"file name differs from the convention; ","")&amp;IF(AND($D126="placement",$O126="Y",COUNTIF(photos!$R$2:$R$701,$R126)&gt;1),"two usable placement photos: mark one N; ","")&amp;IF($K126&lt;&gt;"Y","info: not usable (a person, screen or whiteboard may show): never used, delete the file; ","")&amp;IF(AND($D126="placement",$J126&lt;&gt;"Y"),"info: not usable as a placement photo (no card); ","")&amp;IF(AND($D126="placement",N($N126)&gt;2),"info: placed after the first business day; ","")&amp;IF(AND($D126="later",$N126&lt;&gt;"",OR(N($N126)&lt;3,N($N126)&gt;5)),"info: later photo outside day 3 to 5; ",""))</f>
        <v/>
      </c>
      <c r="R126" s="25">
        <f>IF($B126="","",$B126&amp;"|"&amp;$C126&amp;"|"&amp;$D126&amp;"|"&amp;$O126)</f>
        <v/>
      </c>
      <c r="S126" s="25">
        <f>IF($B126="","",$R126&amp;"|"&amp;N($E126))</f>
        <v/>
      </c>
    </row>
    <row r="127">
      <c r="E127" s="9" t="n"/>
      <c r="F127" s="33" t="n"/>
      <c r="I127" s="9" t="n"/>
      <c r="M127" s="26">
        <f>IF($B127="","",IFERROR(IF(INDEX(campaigns!$BG$2:$BG$51,MATCH($B127,campaigns!$A$2:$A$51,0))="","",INDEX(campaigns!$BG$2:$BG$51,MATCH($B127,campaigns!$A$2:$A$51,0))),""))</f>
        <v/>
      </c>
      <c r="N127" s="25">
        <f>IF(OR($B127="",$E127="",$M127=""),"",IF($E127&lt;$M127,0,NETWORKDAYS($M127,$E127,calendar!$A$2:$A$80)))</f>
        <v/>
      </c>
      <c r="O127" s="25">
        <f>IF($B127="","",IF(AND($K127="Y",OR($D127="later",$J127="Y")),"Y","N"))</f>
        <v/>
      </c>
      <c r="P127" s="25">
        <f>IF(OR($B127="",$E127=""),"",$B127&amp;"_"&amp;$C127&amp;"_"&amp;$D127&amp;"_"&amp;TEXT($E127,"yyyy-mm-dd")&amp;".jpg")</f>
        <v/>
      </c>
      <c r="Q127" s="25">
        <f>IF($B127="","",IF(COUNTIF(campaigns!$A$2:$A$51,$B127)=0,"campaign_id not on campaigns; ",IF(AND($C127&lt;&gt;"",COUNTIFS(approvals!$A$2:$A$251,$B127,approvals!$B$2:$B$251,$C127)=0),"office not on this campaign (approvals tab); ",""))&amp;IF($E127="","taken date missing; ","")&amp;IF(AND($H127&lt;&gt;"",$H127&lt;&gt;$P127),"file name differs from the convention; ","")&amp;IF(AND($D127="placement",$O127="Y",COUNTIF(photos!$R$2:$R$701,$R127)&gt;1),"two usable placement photos: mark one N; ","")&amp;IF($K127&lt;&gt;"Y","info: not usable (a person, screen or whiteboard may show): never used, delete the file; ","")&amp;IF(AND($D127="placement",$J127&lt;&gt;"Y"),"info: not usable as a placement photo (no card); ","")&amp;IF(AND($D127="placement",N($N127)&gt;2),"info: placed after the first business day; ","")&amp;IF(AND($D127="later",$N127&lt;&gt;"",OR(N($N127)&lt;3,N($N127)&gt;5)),"info: later photo outside day 3 to 5; ",""))</f>
        <v/>
      </c>
      <c r="R127" s="25">
        <f>IF($B127="","",$B127&amp;"|"&amp;$C127&amp;"|"&amp;$D127&amp;"|"&amp;$O127)</f>
        <v/>
      </c>
      <c r="S127" s="25">
        <f>IF($B127="","",$R127&amp;"|"&amp;N($E127))</f>
        <v/>
      </c>
    </row>
    <row r="128">
      <c r="E128" s="9" t="n"/>
      <c r="F128" s="33" t="n"/>
      <c r="I128" s="9" t="n"/>
      <c r="M128" s="26">
        <f>IF($B128="","",IFERROR(IF(INDEX(campaigns!$BG$2:$BG$51,MATCH($B128,campaigns!$A$2:$A$51,0))="","",INDEX(campaigns!$BG$2:$BG$51,MATCH($B128,campaigns!$A$2:$A$51,0))),""))</f>
        <v/>
      </c>
      <c r="N128" s="25">
        <f>IF(OR($B128="",$E128="",$M128=""),"",IF($E128&lt;$M128,0,NETWORKDAYS($M128,$E128,calendar!$A$2:$A$80)))</f>
        <v/>
      </c>
      <c r="O128" s="25">
        <f>IF($B128="","",IF(AND($K128="Y",OR($D128="later",$J128="Y")),"Y","N"))</f>
        <v/>
      </c>
      <c r="P128" s="25">
        <f>IF(OR($B128="",$E128=""),"",$B128&amp;"_"&amp;$C128&amp;"_"&amp;$D128&amp;"_"&amp;TEXT($E128,"yyyy-mm-dd")&amp;".jpg")</f>
        <v/>
      </c>
      <c r="Q128" s="25">
        <f>IF($B128="","",IF(COUNTIF(campaigns!$A$2:$A$51,$B128)=0,"campaign_id not on campaigns; ",IF(AND($C128&lt;&gt;"",COUNTIFS(approvals!$A$2:$A$251,$B128,approvals!$B$2:$B$251,$C128)=0),"office not on this campaign (approvals tab); ",""))&amp;IF($E128="","taken date missing; ","")&amp;IF(AND($H128&lt;&gt;"",$H128&lt;&gt;$P128),"file name differs from the convention; ","")&amp;IF(AND($D128="placement",$O128="Y",COUNTIF(photos!$R$2:$R$701,$R128)&gt;1),"two usable placement photos: mark one N; ","")&amp;IF($K128&lt;&gt;"Y","info: not usable (a person, screen or whiteboard may show): never used, delete the file; ","")&amp;IF(AND($D128="placement",$J128&lt;&gt;"Y"),"info: not usable as a placement photo (no card); ","")&amp;IF(AND($D128="placement",N($N128)&gt;2),"info: placed after the first business day; ","")&amp;IF(AND($D128="later",$N128&lt;&gt;"",OR(N($N128)&lt;3,N($N128)&gt;5)),"info: later photo outside day 3 to 5; ",""))</f>
        <v/>
      </c>
      <c r="R128" s="25">
        <f>IF($B128="","",$B128&amp;"|"&amp;$C128&amp;"|"&amp;$D128&amp;"|"&amp;$O128)</f>
        <v/>
      </c>
      <c r="S128" s="25">
        <f>IF($B128="","",$R128&amp;"|"&amp;N($E128))</f>
        <v/>
      </c>
    </row>
    <row r="129">
      <c r="E129" s="9" t="n"/>
      <c r="F129" s="33" t="n"/>
      <c r="I129" s="9" t="n"/>
      <c r="M129" s="26">
        <f>IF($B129="","",IFERROR(IF(INDEX(campaigns!$BG$2:$BG$51,MATCH($B129,campaigns!$A$2:$A$51,0))="","",INDEX(campaigns!$BG$2:$BG$51,MATCH($B129,campaigns!$A$2:$A$51,0))),""))</f>
        <v/>
      </c>
      <c r="N129" s="25">
        <f>IF(OR($B129="",$E129="",$M129=""),"",IF($E129&lt;$M129,0,NETWORKDAYS($M129,$E129,calendar!$A$2:$A$80)))</f>
        <v/>
      </c>
      <c r="O129" s="25">
        <f>IF($B129="","",IF(AND($K129="Y",OR($D129="later",$J129="Y")),"Y","N"))</f>
        <v/>
      </c>
      <c r="P129" s="25">
        <f>IF(OR($B129="",$E129=""),"",$B129&amp;"_"&amp;$C129&amp;"_"&amp;$D129&amp;"_"&amp;TEXT($E129,"yyyy-mm-dd")&amp;".jpg")</f>
        <v/>
      </c>
      <c r="Q129" s="25">
        <f>IF($B129="","",IF(COUNTIF(campaigns!$A$2:$A$51,$B129)=0,"campaign_id not on campaigns; ",IF(AND($C129&lt;&gt;"",COUNTIFS(approvals!$A$2:$A$251,$B129,approvals!$B$2:$B$251,$C129)=0),"office not on this campaign (approvals tab); ",""))&amp;IF($E129="","taken date missing; ","")&amp;IF(AND($H129&lt;&gt;"",$H129&lt;&gt;$P129),"file name differs from the convention; ","")&amp;IF(AND($D129="placement",$O129="Y",COUNTIF(photos!$R$2:$R$701,$R129)&gt;1),"two usable placement photos: mark one N; ","")&amp;IF($K129&lt;&gt;"Y","info: not usable (a person, screen or whiteboard may show): never used, delete the file; ","")&amp;IF(AND($D129="placement",$J129&lt;&gt;"Y"),"info: not usable as a placement photo (no card); ","")&amp;IF(AND($D129="placement",N($N129)&gt;2),"info: placed after the first business day; ","")&amp;IF(AND($D129="later",$N129&lt;&gt;"",OR(N($N129)&lt;3,N($N129)&gt;5)),"info: later photo outside day 3 to 5; ",""))</f>
        <v/>
      </c>
      <c r="R129" s="25">
        <f>IF($B129="","",$B129&amp;"|"&amp;$C129&amp;"|"&amp;$D129&amp;"|"&amp;$O129)</f>
        <v/>
      </c>
      <c r="S129" s="25">
        <f>IF($B129="","",$R129&amp;"|"&amp;N($E129))</f>
        <v/>
      </c>
    </row>
    <row r="130">
      <c r="E130" s="9" t="n"/>
      <c r="F130" s="33" t="n"/>
      <c r="I130" s="9" t="n"/>
      <c r="M130" s="26">
        <f>IF($B130="","",IFERROR(IF(INDEX(campaigns!$BG$2:$BG$51,MATCH($B130,campaigns!$A$2:$A$51,0))="","",INDEX(campaigns!$BG$2:$BG$51,MATCH($B130,campaigns!$A$2:$A$51,0))),""))</f>
        <v/>
      </c>
      <c r="N130" s="25">
        <f>IF(OR($B130="",$E130="",$M130=""),"",IF($E130&lt;$M130,0,NETWORKDAYS($M130,$E130,calendar!$A$2:$A$80)))</f>
        <v/>
      </c>
      <c r="O130" s="25">
        <f>IF($B130="","",IF(AND($K130="Y",OR($D130="later",$J130="Y")),"Y","N"))</f>
        <v/>
      </c>
      <c r="P130" s="25">
        <f>IF(OR($B130="",$E130=""),"",$B130&amp;"_"&amp;$C130&amp;"_"&amp;$D130&amp;"_"&amp;TEXT($E130,"yyyy-mm-dd")&amp;".jpg")</f>
        <v/>
      </c>
      <c r="Q130" s="25">
        <f>IF($B130="","",IF(COUNTIF(campaigns!$A$2:$A$51,$B130)=0,"campaign_id not on campaigns; ",IF(AND($C130&lt;&gt;"",COUNTIFS(approvals!$A$2:$A$251,$B130,approvals!$B$2:$B$251,$C130)=0),"office not on this campaign (approvals tab); ",""))&amp;IF($E130="","taken date missing; ","")&amp;IF(AND($H130&lt;&gt;"",$H130&lt;&gt;$P130),"file name differs from the convention; ","")&amp;IF(AND($D130="placement",$O130="Y",COUNTIF(photos!$R$2:$R$701,$R130)&gt;1),"two usable placement photos: mark one N; ","")&amp;IF($K130&lt;&gt;"Y","info: not usable (a person, screen or whiteboard may show): never used, delete the file; ","")&amp;IF(AND($D130="placement",$J130&lt;&gt;"Y"),"info: not usable as a placement photo (no card); ","")&amp;IF(AND($D130="placement",N($N130)&gt;2),"info: placed after the first business day; ","")&amp;IF(AND($D130="later",$N130&lt;&gt;"",OR(N($N130)&lt;3,N($N130)&gt;5)),"info: later photo outside day 3 to 5; ",""))</f>
        <v/>
      </c>
      <c r="R130" s="25">
        <f>IF($B130="","",$B130&amp;"|"&amp;$C130&amp;"|"&amp;$D130&amp;"|"&amp;$O130)</f>
        <v/>
      </c>
      <c r="S130" s="25">
        <f>IF($B130="","",$R130&amp;"|"&amp;N($E130))</f>
        <v/>
      </c>
    </row>
    <row r="131">
      <c r="E131" s="9" t="n"/>
      <c r="F131" s="33" t="n"/>
      <c r="I131" s="9" t="n"/>
      <c r="M131" s="26">
        <f>IF($B131="","",IFERROR(IF(INDEX(campaigns!$BG$2:$BG$51,MATCH($B131,campaigns!$A$2:$A$51,0))="","",INDEX(campaigns!$BG$2:$BG$51,MATCH($B131,campaigns!$A$2:$A$51,0))),""))</f>
        <v/>
      </c>
      <c r="N131" s="25">
        <f>IF(OR($B131="",$E131="",$M131=""),"",IF($E131&lt;$M131,0,NETWORKDAYS($M131,$E131,calendar!$A$2:$A$80)))</f>
        <v/>
      </c>
      <c r="O131" s="25">
        <f>IF($B131="","",IF(AND($K131="Y",OR($D131="later",$J131="Y")),"Y","N"))</f>
        <v/>
      </c>
      <c r="P131" s="25">
        <f>IF(OR($B131="",$E131=""),"",$B131&amp;"_"&amp;$C131&amp;"_"&amp;$D131&amp;"_"&amp;TEXT($E131,"yyyy-mm-dd")&amp;".jpg")</f>
        <v/>
      </c>
      <c r="Q131" s="25">
        <f>IF($B131="","",IF(COUNTIF(campaigns!$A$2:$A$51,$B131)=0,"campaign_id not on campaigns; ",IF(AND($C131&lt;&gt;"",COUNTIFS(approvals!$A$2:$A$251,$B131,approvals!$B$2:$B$251,$C131)=0),"office not on this campaign (approvals tab); ",""))&amp;IF($E131="","taken date missing; ","")&amp;IF(AND($H131&lt;&gt;"",$H131&lt;&gt;$P131),"file name differs from the convention; ","")&amp;IF(AND($D131="placement",$O131="Y",COUNTIF(photos!$R$2:$R$701,$R131)&gt;1),"two usable placement photos: mark one N; ","")&amp;IF($K131&lt;&gt;"Y","info: not usable (a person, screen or whiteboard may show): never used, delete the file; ","")&amp;IF(AND($D131="placement",$J131&lt;&gt;"Y"),"info: not usable as a placement photo (no card); ","")&amp;IF(AND($D131="placement",N($N131)&gt;2),"info: placed after the first business day; ","")&amp;IF(AND($D131="later",$N131&lt;&gt;"",OR(N($N131)&lt;3,N($N131)&gt;5)),"info: later photo outside day 3 to 5; ",""))</f>
        <v/>
      </c>
      <c r="R131" s="25">
        <f>IF($B131="","",$B131&amp;"|"&amp;$C131&amp;"|"&amp;$D131&amp;"|"&amp;$O131)</f>
        <v/>
      </c>
      <c r="S131" s="25">
        <f>IF($B131="","",$R131&amp;"|"&amp;N($E131))</f>
        <v/>
      </c>
    </row>
    <row r="132">
      <c r="E132" s="9" t="n"/>
      <c r="F132" s="33" t="n"/>
      <c r="I132" s="9" t="n"/>
      <c r="M132" s="26">
        <f>IF($B132="","",IFERROR(IF(INDEX(campaigns!$BG$2:$BG$51,MATCH($B132,campaigns!$A$2:$A$51,0))="","",INDEX(campaigns!$BG$2:$BG$51,MATCH($B132,campaigns!$A$2:$A$51,0))),""))</f>
        <v/>
      </c>
      <c r="N132" s="25">
        <f>IF(OR($B132="",$E132="",$M132=""),"",IF($E132&lt;$M132,0,NETWORKDAYS($M132,$E132,calendar!$A$2:$A$80)))</f>
        <v/>
      </c>
      <c r="O132" s="25">
        <f>IF($B132="","",IF(AND($K132="Y",OR($D132="later",$J132="Y")),"Y","N"))</f>
        <v/>
      </c>
      <c r="P132" s="25">
        <f>IF(OR($B132="",$E132=""),"",$B132&amp;"_"&amp;$C132&amp;"_"&amp;$D132&amp;"_"&amp;TEXT($E132,"yyyy-mm-dd")&amp;".jpg")</f>
        <v/>
      </c>
      <c r="Q132" s="25">
        <f>IF($B132="","",IF(COUNTIF(campaigns!$A$2:$A$51,$B132)=0,"campaign_id not on campaigns; ",IF(AND($C132&lt;&gt;"",COUNTIFS(approvals!$A$2:$A$251,$B132,approvals!$B$2:$B$251,$C132)=0),"office not on this campaign (approvals tab); ",""))&amp;IF($E132="","taken date missing; ","")&amp;IF(AND($H132&lt;&gt;"",$H132&lt;&gt;$P132),"file name differs from the convention; ","")&amp;IF(AND($D132="placement",$O132="Y",COUNTIF(photos!$R$2:$R$701,$R132)&gt;1),"two usable placement photos: mark one N; ","")&amp;IF($K132&lt;&gt;"Y","info: not usable (a person, screen or whiteboard may show): never used, delete the file; ","")&amp;IF(AND($D132="placement",$J132&lt;&gt;"Y"),"info: not usable as a placement photo (no card); ","")&amp;IF(AND($D132="placement",N($N132)&gt;2),"info: placed after the first business day; ","")&amp;IF(AND($D132="later",$N132&lt;&gt;"",OR(N($N132)&lt;3,N($N132)&gt;5)),"info: later photo outside day 3 to 5; ",""))</f>
        <v/>
      </c>
      <c r="R132" s="25">
        <f>IF($B132="","",$B132&amp;"|"&amp;$C132&amp;"|"&amp;$D132&amp;"|"&amp;$O132)</f>
        <v/>
      </c>
      <c r="S132" s="25">
        <f>IF($B132="","",$R132&amp;"|"&amp;N($E132))</f>
        <v/>
      </c>
    </row>
    <row r="133">
      <c r="E133" s="9" t="n"/>
      <c r="F133" s="33" t="n"/>
      <c r="I133" s="9" t="n"/>
      <c r="M133" s="26">
        <f>IF($B133="","",IFERROR(IF(INDEX(campaigns!$BG$2:$BG$51,MATCH($B133,campaigns!$A$2:$A$51,0))="","",INDEX(campaigns!$BG$2:$BG$51,MATCH($B133,campaigns!$A$2:$A$51,0))),""))</f>
        <v/>
      </c>
      <c r="N133" s="25">
        <f>IF(OR($B133="",$E133="",$M133=""),"",IF($E133&lt;$M133,0,NETWORKDAYS($M133,$E133,calendar!$A$2:$A$80)))</f>
        <v/>
      </c>
      <c r="O133" s="25">
        <f>IF($B133="","",IF(AND($K133="Y",OR($D133="later",$J133="Y")),"Y","N"))</f>
        <v/>
      </c>
      <c r="P133" s="25">
        <f>IF(OR($B133="",$E133=""),"",$B133&amp;"_"&amp;$C133&amp;"_"&amp;$D133&amp;"_"&amp;TEXT($E133,"yyyy-mm-dd")&amp;".jpg")</f>
        <v/>
      </c>
      <c r="Q133" s="25">
        <f>IF($B133="","",IF(COUNTIF(campaigns!$A$2:$A$51,$B133)=0,"campaign_id not on campaigns; ",IF(AND($C133&lt;&gt;"",COUNTIFS(approvals!$A$2:$A$251,$B133,approvals!$B$2:$B$251,$C133)=0),"office not on this campaign (approvals tab); ",""))&amp;IF($E133="","taken date missing; ","")&amp;IF(AND($H133&lt;&gt;"",$H133&lt;&gt;$P133),"file name differs from the convention; ","")&amp;IF(AND($D133="placement",$O133="Y",COUNTIF(photos!$R$2:$R$701,$R133)&gt;1),"two usable placement photos: mark one N; ","")&amp;IF($K133&lt;&gt;"Y","info: not usable (a person, screen or whiteboard may show): never used, delete the file; ","")&amp;IF(AND($D133="placement",$J133&lt;&gt;"Y"),"info: not usable as a placement photo (no card); ","")&amp;IF(AND($D133="placement",N($N133)&gt;2),"info: placed after the first business day; ","")&amp;IF(AND($D133="later",$N133&lt;&gt;"",OR(N($N133)&lt;3,N($N133)&gt;5)),"info: later photo outside day 3 to 5; ",""))</f>
        <v/>
      </c>
      <c r="R133" s="25">
        <f>IF($B133="","",$B133&amp;"|"&amp;$C133&amp;"|"&amp;$D133&amp;"|"&amp;$O133)</f>
        <v/>
      </c>
      <c r="S133" s="25">
        <f>IF($B133="","",$R133&amp;"|"&amp;N($E133))</f>
        <v/>
      </c>
    </row>
    <row r="134">
      <c r="E134" s="9" t="n"/>
      <c r="F134" s="33" t="n"/>
      <c r="I134" s="9" t="n"/>
      <c r="M134" s="26">
        <f>IF($B134="","",IFERROR(IF(INDEX(campaigns!$BG$2:$BG$51,MATCH($B134,campaigns!$A$2:$A$51,0))="","",INDEX(campaigns!$BG$2:$BG$51,MATCH($B134,campaigns!$A$2:$A$51,0))),""))</f>
        <v/>
      </c>
      <c r="N134" s="25">
        <f>IF(OR($B134="",$E134="",$M134=""),"",IF($E134&lt;$M134,0,NETWORKDAYS($M134,$E134,calendar!$A$2:$A$80)))</f>
        <v/>
      </c>
      <c r="O134" s="25">
        <f>IF($B134="","",IF(AND($K134="Y",OR($D134="later",$J134="Y")),"Y","N"))</f>
        <v/>
      </c>
      <c r="P134" s="25">
        <f>IF(OR($B134="",$E134=""),"",$B134&amp;"_"&amp;$C134&amp;"_"&amp;$D134&amp;"_"&amp;TEXT($E134,"yyyy-mm-dd")&amp;".jpg")</f>
        <v/>
      </c>
      <c r="Q134" s="25">
        <f>IF($B134="","",IF(COUNTIF(campaigns!$A$2:$A$51,$B134)=0,"campaign_id not on campaigns; ",IF(AND($C134&lt;&gt;"",COUNTIFS(approvals!$A$2:$A$251,$B134,approvals!$B$2:$B$251,$C134)=0),"office not on this campaign (approvals tab); ",""))&amp;IF($E134="","taken date missing; ","")&amp;IF(AND($H134&lt;&gt;"",$H134&lt;&gt;$P134),"file name differs from the convention; ","")&amp;IF(AND($D134="placement",$O134="Y",COUNTIF(photos!$R$2:$R$701,$R134)&gt;1),"two usable placement photos: mark one N; ","")&amp;IF($K134&lt;&gt;"Y","info: not usable (a person, screen or whiteboard may show): never used, delete the file; ","")&amp;IF(AND($D134="placement",$J134&lt;&gt;"Y"),"info: not usable as a placement photo (no card); ","")&amp;IF(AND($D134="placement",N($N134)&gt;2),"info: placed after the first business day; ","")&amp;IF(AND($D134="later",$N134&lt;&gt;"",OR(N($N134)&lt;3,N($N134)&gt;5)),"info: later photo outside day 3 to 5; ",""))</f>
        <v/>
      </c>
      <c r="R134" s="25">
        <f>IF($B134="","",$B134&amp;"|"&amp;$C134&amp;"|"&amp;$D134&amp;"|"&amp;$O134)</f>
        <v/>
      </c>
      <c r="S134" s="25">
        <f>IF($B134="","",$R134&amp;"|"&amp;N($E134))</f>
        <v/>
      </c>
    </row>
    <row r="135">
      <c r="E135" s="9" t="n"/>
      <c r="F135" s="33" t="n"/>
      <c r="I135" s="9" t="n"/>
      <c r="M135" s="26">
        <f>IF($B135="","",IFERROR(IF(INDEX(campaigns!$BG$2:$BG$51,MATCH($B135,campaigns!$A$2:$A$51,0))="","",INDEX(campaigns!$BG$2:$BG$51,MATCH($B135,campaigns!$A$2:$A$51,0))),""))</f>
        <v/>
      </c>
      <c r="N135" s="25">
        <f>IF(OR($B135="",$E135="",$M135=""),"",IF($E135&lt;$M135,0,NETWORKDAYS($M135,$E135,calendar!$A$2:$A$80)))</f>
        <v/>
      </c>
      <c r="O135" s="25">
        <f>IF($B135="","",IF(AND($K135="Y",OR($D135="later",$J135="Y")),"Y","N"))</f>
        <v/>
      </c>
      <c r="P135" s="25">
        <f>IF(OR($B135="",$E135=""),"",$B135&amp;"_"&amp;$C135&amp;"_"&amp;$D135&amp;"_"&amp;TEXT($E135,"yyyy-mm-dd")&amp;".jpg")</f>
        <v/>
      </c>
      <c r="Q135" s="25">
        <f>IF($B135="","",IF(COUNTIF(campaigns!$A$2:$A$51,$B135)=0,"campaign_id not on campaigns; ",IF(AND($C135&lt;&gt;"",COUNTIFS(approvals!$A$2:$A$251,$B135,approvals!$B$2:$B$251,$C135)=0),"office not on this campaign (approvals tab); ",""))&amp;IF($E135="","taken date missing; ","")&amp;IF(AND($H135&lt;&gt;"",$H135&lt;&gt;$P135),"file name differs from the convention; ","")&amp;IF(AND($D135="placement",$O135="Y",COUNTIF(photos!$R$2:$R$701,$R135)&gt;1),"two usable placement photos: mark one N; ","")&amp;IF($K135&lt;&gt;"Y","info: not usable (a person, screen or whiteboard may show): never used, delete the file; ","")&amp;IF(AND($D135="placement",$J135&lt;&gt;"Y"),"info: not usable as a placement photo (no card); ","")&amp;IF(AND($D135="placement",N($N135)&gt;2),"info: placed after the first business day; ","")&amp;IF(AND($D135="later",$N135&lt;&gt;"",OR(N($N135)&lt;3,N($N135)&gt;5)),"info: later photo outside day 3 to 5; ",""))</f>
        <v/>
      </c>
      <c r="R135" s="25">
        <f>IF($B135="","",$B135&amp;"|"&amp;$C135&amp;"|"&amp;$D135&amp;"|"&amp;$O135)</f>
        <v/>
      </c>
      <c r="S135" s="25">
        <f>IF($B135="","",$R135&amp;"|"&amp;N($E135))</f>
        <v/>
      </c>
    </row>
    <row r="136">
      <c r="E136" s="9" t="n"/>
      <c r="F136" s="33" t="n"/>
      <c r="I136" s="9" t="n"/>
      <c r="M136" s="26">
        <f>IF($B136="","",IFERROR(IF(INDEX(campaigns!$BG$2:$BG$51,MATCH($B136,campaigns!$A$2:$A$51,0))="","",INDEX(campaigns!$BG$2:$BG$51,MATCH($B136,campaigns!$A$2:$A$51,0))),""))</f>
        <v/>
      </c>
      <c r="N136" s="25">
        <f>IF(OR($B136="",$E136="",$M136=""),"",IF($E136&lt;$M136,0,NETWORKDAYS($M136,$E136,calendar!$A$2:$A$80)))</f>
        <v/>
      </c>
      <c r="O136" s="25">
        <f>IF($B136="","",IF(AND($K136="Y",OR($D136="later",$J136="Y")),"Y","N"))</f>
        <v/>
      </c>
      <c r="P136" s="25">
        <f>IF(OR($B136="",$E136=""),"",$B136&amp;"_"&amp;$C136&amp;"_"&amp;$D136&amp;"_"&amp;TEXT($E136,"yyyy-mm-dd")&amp;".jpg")</f>
        <v/>
      </c>
      <c r="Q136" s="25">
        <f>IF($B136="","",IF(COUNTIF(campaigns!$A$2:$A$51,$B136)=0,"campaign_id not on campaigns; ",IF(AND($C136&lt;&gt;"",COUNTIFS(approvals!$A$2:$A$251,$B136,approvals!$B$2:$B$251,$C136)=0),"office not on this campaign (approvals tab); ",""))&amp;IF($E136="","taken date missing; ","")&amp;IF(AND($H136&lt;&gt;"",$H136&lt;&gt;$P136),"file name differs from the convention; ","")&amp;IF(AND($D136="placement",$O136="Y",COUNTIF(photos!$R$2:$R$701,$R136)&gt;1),"two usable placement photos: mark one N; ","")&amp;IF($K136&lt;&gt;"Y","info: not usable (a person, screen or whiteboard may show): never used, delete the file; ","")&amp;IF(AND($D136="placement",$J136&lt;&gt;"Y"),"info: not usable as a placement photo (no card); ","")&amp;IF(AND($D136="placement",N($N136)&gt;2),"info: placed after the first business day; ","")&amp;IF(AND($D136="later",$N136&lt;&gt;"",OR(N($N136)&lt;3,N($N136)&gt;5)),"info: later photo outside day 3 to 5; ",""))</f>
        <v/>
      </c>
      <c r="R136" s="25">
        <f>IF($B136="","",$B136&amp;"|"&amp;$C136&amp;"|"&amp;$D136&amp;"|"&amp;$O136)</f>
        <v/>
      </c>
      <c r="S136" s="25">
        <f>IF($B136="","",$R136&amp;"|"&amp;N($E136))</f>
        <v/>
      </c>
    </row>
    <row r="137">
      <c r="E137" s="9" t="n"/>
      <c r="F137" s="33" t="n"/>
      <c r="I137" s="9" t="n"/>
      <c r="M137" s="26">
        <f>IF($B137="","",IFERROR(IF(INDEX(campaigns!$BG$2:$BG$51,MATCH($B137,campaigns!$A$2:$A$51,0))="","",INDEX(campaigns!$BG$2:$BG$51,MATCH($B137,campaigns!$A$2:$A$51,0))),""))</f>
        <v/>
      </c>
      <c r="N137" s="25">
        <f>IF(OR($B137="",$E137="",$M137=""),"",IF($E137&lt;$M137,0,NETWORKDAYS($M137,$E137,calendar!$A$2:$A$80)))</f>
        <v/>
      </c>
      <c r="O137" s="25">
        <f>IF($B137="","",IF(AND($K137="Y",OR($D137="later",$J137="Y")),"Y","N"))</f>
        <v/>
      </c>
      <c r="P137" s="25">
        <f>IF(OR($B137="",$E137=""),"",$B137&amp;"_"&amp;$C137&amp;"_"&amp;$D137&amp;"_"&amp;TEXT($E137,"yyyy-mm-dd")&amp;".jpg")</f>
        <v/>
      </c>
      <c r="Q137" s="25">
        <f>IF($B137="","",IF(COUNTIF(campaigns!$A$2:$A$51,$B137)=0,"campaign_id not on campaigns; ",IF(AND($C137&lt;&gt;"",COUNTIFS(approvals!$A$2:$A$251,$B137,approvals!$B$2:$B$251,$C137)=0),"office not on this campaign (approvals tab); ",""))&amp;IF($E137="","taken date missing; ","")&amp;IF(AND($H137&lt;&gt;"",$H137&lt;&gt;$P137),"file name differs from the convention; ","")&amp;IF(AND($D137="placement",$O137="Y",COUNTIF(photos!$R$2:$R$701,$R137)&gt;1),"two usable placement photos: mark one N; ","")&amp;IF($K137&lt;&gt;"Y","info: not usable (a person, screen or whiteboard may show): never used, delete the file; ","")&amp;IF(AND($D137="placement",$J137&lt;&gt;"Y"),"info: not usable as a placement photo (no card); ","")&amp;IF(AND($D137="placement",N($N137)&gt;2),"info: placed after the first business day; ","")&amp;IF(AND($D137="later",$N137&lt;&gt;"",OR(N($N137)&lt;3,N($N137)&gt;5)),"info: later photo outside day 3 to 5; ",""))</f>
        <v/>
      </c>
      <c r="R137" s="25">
        <f>IF($B137="","",$B137&amp;"|"&amp;$C137&amp;"|"&amp;$D137&amp;"|"&amp;$O137)</f>
        <v/>
      </c>
      <c r="S137" s="25">
        <f>IF($B137="","",$R137&amp;"|"&amp;N($E137))</f>
        <v/>
      </c>
    </row>
    <row r="138">
      <c r="E138" s="9" t="n"/>
      <c r="F138" s="33" t="n"/>
      <c r="I138" s="9" t="n"/>
      <c r="M138" s="26">
        <f>IF($B138="","",IFERROR(IF(INDEX(campaigns!$BG$2:$BG$51,MATCH($B138,campaigns!$A$2:$A$51,0))="","",INDEX(campaigns!$BG$2:$BG$51,MATCH($B138,campaigns!$A$2:$A$51,0))),""))</f>
        <v/>
      </c>
      <c r="N138" s="25">
        <f>IF(OR($B138="",$E138="",$M138=""),"",IF($E138&lt;$M138,0,NETWORKDAYS($M138,$E138,calendar!$A$2:$A$80)))</f>
        <v/>
      </c>
      <c r="O138" s="25">
        <f>IF($B138="","",IF(AND($K138="Y",OR($D138="later",$J138="Y")),"Y","N"))</f>
        <v/>
      </c>
      <c r="P138" s="25">
        <f>IF(OR($B138="",$E138=""),"",$B138&amp;"_"&amp;$C138&amp;"_"&amp;$D138&amp;"_"&amp;TEXT($E138,"yyyy-mm-dd")&amp;".jpg")</f>
        <v/>
      </c>
      <c r="Q138" s="25">
        <f>IF($B138="","",IF(COUNTIF(campaigns!$A$2:$A$51,$B138)=0,"campaign_id not on campaigns; ",IF(AND($C138&lt;&gt;"",COUNTIFS(approvals!$A$2:$A$251,$B138,approvals!$B$2:$B$251,$C138)=0),"office not on this campaign (approvals tab); ",""))&amp;IF($E138="","taken date missing; ","")&amp;IF(AND($H138&lt;&gt;"",$H138&lt;&gt;$P138),"file name differs from the convention; ","")&amp;IF(AND($D138="placement",$O138="Y",COUNTIF(photos!$R$2:$R$701,$R138)&gt;1),"two usable placement photos: mark one N; ","")&amp;IF($K138&lt;&gt;"Y","info: not usable (a person, screen or whiteboard may show): never used, delete the file; ","")&amp;IF(AND($D138="placement",$J138&lt;&gt;"Y"),"info: not usable as a placement photo (no card); ","")&amp;IF(AND($D138="placement",N($N138)&gt;2),"info: placed after the first business day; ","")&amp;IF(AND($D138="later",$N138&lt;&gt;"",OR(N($N138)&lt;3,N($N138)&gt;5)),"info: later photo outside day 3 to 5; ",""))</f>
        <v/>
      </c>
      <c r="R138" s="25">
        <f>IF($B138="","",$B138&amp;"|"&amp;$C138&amp;"|"&amp;$D138&amp;"|"&amp;$O138)</f>
        <v/>
      </c>
      <c r="S138" s="25">
        <f>IF($B138="","",$R138&amp;"|"&amp;N($E138))</f>
        <v/>
      </c>
    </row>
    <row r="139">
      <c r="E139" s="9" t="n"/>
      <c r="F139" s="33" t="n"/>
      <c r="I139" s="9" t="n"/>
      <c r="M139" s="26">
        <f>IF($B139="","",IFERROR(IF(INDEX(campaigns!$BG$2:$BG$51,MATCH($B139,campaigns!$A$2:$A$51,0))="","",INDEX(campaigns!$BG$2:$BG$51,MATCH($B139,campaigns!$A$2:$A$51,0))),""))</f>
        <v/>
      </c>
      <c r="N139" s="25">
        <f>IF(OR($B139="",$E139="",$M139=""),"",IF($E139&lt;$M139,0,NETWORKDAYS($M139,$E139,calendar!$A$2:$A$80)))</f>
        <v/>
      </c>
      <c r="O139" s="25">
        <f>IF($B139="","",IF(AND($K139="Y",OR($D139="later",$J139="Y")),"Y","N"))</f>
        <v/>
      </c>
      <c r="P139" s="25">
        <f>IF(OR($B139="",$E139=""),"",$B139&amp;"_"&amp;$C139&amp;"_"&amp;$D139&amp;"_"&amp;TEXT($E139,"yyyy-mm-dd")&amp;".jpg")</f>
        <v/>
      </c>
      <c r="Q139" s="25">
        <f>IF($B139="","",IF(COUNTIF(campaigns!$A$2:$A$51,$B139)=0,"campaign_id not on campaigns; ",IF(AND($C139&lt;&gt;"",COUNTIFS(approvals!$A$2:$A$251,$B139,approvals!$B$2:$B$251,$C139)=0),"office not on this campaign (approvals tab); ",""))&amp;IF($E139="","taken date missing; ","")&amp;IF(AND($H139&lt;&gt;"",$H139&lt;&gt;$P139),"file name differs from the convention; ","")&amp;IF(AND($D139="placement",$O139="Y",COUNTIF(photos!$R$2:$R$701,$R139)&gt;1),"two usable placement photos: mark one N; ","")&amp;IF($K139&lt;&gt;"Y","info: not usable (a person, screen or whiteboard may show): never used, delete the file; ","")&amp;IF(AND($D139="placement",$J139&lt;&gt;"Y"),"info: not usable as a placement photo (no card); ","")&amp;IF(AND($D139="placement",N($N139)&gt;2),"info: placed after the first business day; ","")&amp;IF(AND($D139="later",$N139&lt;&gt;"",OR(N($N139)&lt;3,N($N139)&gt;5)),"info: later photo outside day 3 to 5; ",""))</f>
        <v/>
      </c>
      <c r="R139" s="25">
        <f>IF($B139="","",$B139&amp;"|"&amp;$C139&amp;"|"&amp;$D139&amp;"|"&amp;$O139)</f>
        <v/>
      </c>
      <c r="S139" s="25">
        <f>IF($B139="","",$R139&amp;"|"&amp;N($E139))</f>
        <v/>
      </c>
    </row>
    <row r="140">
      <c r="E140" s="9" t="n"/>
      <c r="F140" s="33" t="n"/>
      <c r="I140" s="9" t="n"/>
      <c r="M140" s="26">
        <f>IF($B140="","",IFERROR(IF(INDEX(campaigns!$BG$2:$BG$51,MATCH($B140,campaigns!$A$2:$A$51,0))="","",INDEX(campaigns!$BG$2:$BG$51,MATCH($B140,campaigns!$A$2:$A$51,0))),""))</f>
        <v/>
      </c>
      <c r="N140" s="25">
        <f>IF(OR($B140="",$E140="",$M140=""),"",IF($E140&lt;$M140,0,NETWORKDAYS($M140,$E140,calendar!$A$2:$A$80)))</f>
        <v/>
      </c>
      <c r="O140" s="25">
        <f>IF($B140="","",IF(AND($K140="Y",OR($D140="later",$J140="Y")),"Y","N"))</f>
        <v/>
      </c>
      <c r="P140" s="25">
        <f>IF(OR($B140="",$E140=""),"",$B140&amp;"_"&amp;$C140&amp;"_"&amp;$D140&amp;"_"&amp;TEXT($E140,"yyyy-mm-dd")&amp;".jpg")</f>
        <v/>
      </c>
      <c r="Q140" s="25">
        <f>IF($B140="","",IF(COUNTIF(campaigns!$A$2:$A$51,$B140)=0,"campaign_id not on campaigns; ",IF(AND($C140&lt;&gt;"",COUNTIFS(approvals!$A$2:$A$251,$B140,approvals!$B$2:$B$251,$C140)=0),"office not on this campaign (approvals tab); ",""))&amp;IF($E140="","taken date missing; ","")&amp;IF(AND($H140&lt;&gt;"",$H140&lt;&gt;$P140),"file name differs from the convention; ","")&amp;IF(AND($D140="placement",$O140="Y",COUNTIF(photos!$R$2:$R$701,$R140)&gt;1),"two usable placement photos: mark one N; ","")&amp;IF($K140&lt;&gt;"Y","info: not usable (a person, screen or whiteboard may show): never used, delete the file; ","")&amp;IF(AND($D140="placement",$J140&lt;&gt;"Y"),"info: not usable as a placement photo (no card); ","")&amp;IF(AND($D140="placement",N($N140)&gt;2),"info: placed after the first business day; ","")&amp;IF(AND($D140="later",$N140&lt;&gt;"",OR(N($N140)&lt;3,N($N140)&gt;5)),"info: later photo outside day 3 to 5; ",""))</f>
        <v/>
      </c>
      <c r="R140" s="25">
        <f>IF($B140="","",$B140&amp;"|"&amp;$C140&amp;"|"&amp;$D140&amp;"|"&amp;$O140)</f>
        <v/>
      </c>
      <c r="S140" s="25">
        <f>IF($B140="","",$R140&amp;"|"&amp;N($E140))</f>
        <v/>
      </c>
    </row>
    <row r="141">
      <c r="E141" s="9" t="n"/>
      <c r="F141" s="33" t="n"/>
      <c r="I141" s="9" t="n"/>
      <c r="M141" s="26">
        <f>IF($B141="","",IFERROR(IF(INDEX(campaigns!$BG$2:$BG$51,MATCH($B141,campaigns!$A$2:$A$51,0))="","",INDEX(campaigns!$BG$2:$BG$51,MATCH($B141,campaigns!$A$2:$A$51,0))),""))</f>
        <v/>
      </c>
      <c r="N141" s="25">
        <f>IF(OR($B141="",$E141="",$M141=""),"",IF($E141&lt;$M141,0,NETWORKDAYS($M141,$E141,calendar!$A$2:$A$80)))</f>
        <v/>
      </c>
      <c r="O141" s="25">
        <f>IF($B141="","",IF(AND($K141="Y",OR($D141="later",$J141="Y")),"Y","N"))</f>
        <v/>
      </c>
      <c r="P141" s="25">
        <f>IF(OR($B141="",$E141=""),"",$B141&amp;"_"&amp;$C141&amp;"_"&amp;$D141&amp;"_"&amp;TEXT($E141,"yyyy-mm-dd")&amp;".jpg")</f>
        <v/>
      </c>
      <c r="Q141" s="25">
        <f>IF($B141="","",IF(COUNTIF(campaigns!$A$2:$A$51,$B141)=0,"campaign_id not on campaigns; ",IF(AND($C141&lt;&gt;"",COUNTIFS(approvals!$A$2:$A$251,$B141,approvals!$B$2:$B$251,$C141)=0),"office not on this campaign (approvals tab); ",""))&amp;IF($E141="","taken date missing; ","")&amp;IF(AND($H141&lt;&gt;"",$H141&lt;&gt;$P141),"file name differs from the convention; ","")&amp;IF(AND($D141="placement",$O141="Y",COUNTIF(photos!$R$2:$R$701,$R141)&gt;1),"two usable placement photos: mark one N; ","")&amp;IF($K141&lt;&gt;"Y","info: not usable (a person, screen or whiteboard may show): never used, delete the file; ","")&amp;IF(AND($D141="placement",$J141&lt;&gt;"Y"),"info: not usable as a placement photo (no card); ","")&amp;IF(AND($D141="placement",N($N141)&gt;2),"info: placed after the first business day; ","")&amp;IF(AND($D141="later",$N141&lt;&gt;"",OR(N($N141)&lt;3,N($N141)&gt;5)),"info: later photo outside day 3 to 5; ",""))</f>
        <v/>
      </c>
      <c r="R141" s="25">
        <f>IF($B141="","",$B141&amp;"|"&amp;$C141&amp;"|"&amp;$D141&amp;"|"&amp;$O141)</f>
        <v/>
      </c>
      <c r="S141" s="25">
        <f>IF($B141="","",$R141&amp;"|"&amp;N($E141))</f>
        <v/>
      </c>
    </row>
    <row r="142">
      <c r="E142" s="9" t="n"/>
      <c r="F142" s="33" t="n"/>
      <c r="I142" s="9" t="n"/>
      <c r="M142" s="26">
        <f>IF($B142="","",IFERROR(IF(INDEX(campaigns!$BG$2:$BG$51,MATCH($B142,campaigns!$A$2:$A$51,0))="","",INDEX(campaigns!$BG$2:$BG$51,MATCH($B142,campaigns!$A$2:$A$51,0))),""))</f>
        <v/>
      </c>
      <c r="N142" s="25">
        <f>IF(OR($B142="",$E142="",$M142=""),"",IF($E142&lt;$M142,0,NETWORKDAYS($M142,$E142,calendar!$A$2:$A$80)))</f>
        <v/>
      </c>
      <c r="O142" s="25">
        <f>IF($B142="","",IF(AND($K142="Y",OR($D142="later",$J142="Y")),"Y","N"))</f>
        <v/>
      </c>
      <c r="P142" s="25">
        <f>IF(OR($B142="",$E142=""),"",$B142&amp;"_"&amp;$C142&amp;"_"&amp;$D142&amp;"_"&amp;TEXT($E142,"yyyy-mm-dd")&amp;".jpg")</f>
        <v/>
      </c>
      <c r="Q142" s="25">
        <f>IF($B142="","",IF(COUNTIF(campaigns!$A$2:$A$51,$B142)=0,"campaign_id not on campaigns; ",IF(AND($C142&lt;&gt;"",COUNTIFS(approvals!$A$2:$A$251,$B142,approvals!$B$2:$B$251,$C142)=0),"office not on this campaign (approvals tab); ",""))&amp;IF($E142="","taken date missing; ","")&amp;IF(AND($H142&lt;&gt;"",$H142&lt;&gt;$P142),"file name differs from the convention; ","")&amp;IF(AND($D142="placement",$O142="Y",COUNTIF(photos!$R$2:$R$701,$R142)&gt;1),"two usable placement photos: mark one N; ","")&amp;IF($K142&lt;&gt;"Y","info: not usable (a person, screen or whiteboard may show): never used, delete the file; ","")&amp;IF(AND($D142="placement",$J142&lt;&gt;"Y"),"info: not usable as a placement photo (no card); ","")&amp;IF(AND($D142="placement",N($N142)&gt;2),"info: placed after the first business day; ","")&amp;IF(AND($D142="later",$N142&lt;&gt;"",OR(N($N142)&lt;3,N($N142)&gt;5)),"info: later photo outside day 3 to 5; ",""))</f>
        <v/>
      </c>
      <c r="R142" s="25">
        <f>IF($B142="","",$B142&amp;"|"&amp;$C142&amp;"|"&amp;$D142&amp;"|"&amp;$O142)</f>
        <v/>
      </c>
      <c r="S142" s="25">
        <f>IF($B142="","",$R142&amp;"|"&amp;N($E142))</f>
        <v/>
      </c>
    </row>
    <row r="143">
      <c r="E143" s="9" t="n"/>
      <c r="F143" s="33" t="n"/>
      <c r="I143" s="9" t="n"/>
      <c r="M143" s="26">
        <f>IF($B143="","",IFERROR(IF(INDEX(campaigns!$BG$2:$BG$51,MATCH($B143,campaigns!$A$2:$A$51,0))="","",INDEX(campaigns!$BG$2:$BG$51,MATCH($B143,campaigns!$A$2:$A$51,0))),""))</f>
        <v/>
      </c>
      <c r="N143" s="25">
        <f>IF(OR($B143="",$E143="",$M143=""),"",IF($E143&lt;$M143,0,NETWORKDAYS($M143,$E143,calendar!$A$2:$A$80)))</f>
        <v/>
      </c>
      <c r="O143" s="25">
        <f>IF($B143="","",IF(AND($K143="Y",OR($D143="later",$J143="Y")),"Y","N"))</f>
        <v/>
      </c>
      <c r="P143" s="25">
        <f>IF(OR($B143="",$E143=""),"",$B143&amp;"_"&amp;$C143&amp;"_"&amp;$D143&amp;"_"&amp;TEXT($E143,"yyyy-mm-dd")&amp;".jpg")</f>
        <v/>
      </c>
      <c r="Q143" s="25">
        <f>IF($B143="","",IF(COUNTIF(campaigns!$A$2:$A$51,$B143)=0,"campaign_id not on campaigns; ",IF(AND($C143&lt;&gt;"",COUNTIFS(approvals!$A$2:$A$251,$B143,approvals!$B$2:$B$251,$C143)=0),"office not on this campaign (approvals tab); ",""))&amp;IF($E143="","taken date missing; ","")&amp;IF(AND($H143&lt;&gt;"",$H143&lt;&gt;$P143),"file name differs from the convention; ","")&amp;IF(AND($D143="placement",$O143="Y",COUNTIF(photos!$R$2:$R$701,$R143)&gt;1),"two usable placement photos: mark one N; ","")&amp;IF($K143&lt;&gt;"Y","info: not usable (a person, screen or whiteboard may show): never used, delete the file; ","")&amp;IF(AND($D143="placement",$J143&lt;&gt;"Y"),"info: not usable as a placement photo (no card); ","")&amp;IF(AND($D143="placement",N($N143)&gt;2),"info: placed after the first business day; ","")&amp;IF(AND($D143="later",$N143&lt;&gt;"",OR(N($N143)&lt;3,N($N143)&gt;5)),"info: later photo outside day 3 to 5; ",""))</f>
        <v/>
      </c>
      <c r="R143" s="25">
        <f>IF($B143="","",$B143&amp;"|"&amp;$C143&amp;"|"&amp;$D143&amp;"|"&amp;$O143)</f>
        <v/>
      </c>
      <c r="S143" s="25">
        <f>IF($B143="","",$R143&amp;"|"&amp;N($E143))</f>
        <v/>
      </c>
    </row>
    <row r="144">
      <c r="E144" s="9" t="n"/>
      <c r="F144" s="33" t="n"/>
      <c r="I144" s="9" t="n"/>
      <c r="M144" s="26">
        <f>IF($B144="","",IFERROR(IF(INDEX(campaigns!$BG$2:$BG$51,MATCH($B144,campaigns!$A$2:$A$51,0))="","",INDEX(campaigns!$BG$2:$BG$51,MATCH($B144,campaigns!$A$2:$A$51,0))),""))</f>
        <v/>
      </c>
      <c r="N144" s="25">
        <f>IF(OR($B144="",$E144="",$M144=""),"",IF($E144&lt;$M144,0,NETWORKDAYS($M144,$E144,calendar!$A$2:$A$80)))</f>
        <v/>
      </c>
      <c r="O144" s="25">
        <f>IF($B144="","",IF(AND($K144="Y",OR($D144="later",$J144="Y")),"Y","N"))</f>
        <v/>
      </c>
      <c r="P144" s="25">
        <f>IF(OR($B144="",$E144=""),"",$B144&amp;"_"&amp;$C144&amp;"_"&amp;$D144&amp;"_"&amp;TEXT($E144,"yyyy-mm-dd")&amp;".jpg")</f>
        <v/>
      </c>
      <c r="Q144" s="25">
        <f>IF($B144="","",IF(COUNTIF(campaigns!$A$2:$A$51,$B144)=0,"campaign_id not on campaigns; ",IF(AND($C144&lt;&gt;"",COUNTIFS(approvals!$A$2:$A$251,$B144,approvals!$B$2:$B$251,$C144)=0),"office not on this campaign (approvals tab); ",""))&amp;IF($E144="","taken date missing; ","")&amp;IF(AND($H144&lt;&gt;"",$H144&lt;&gt;$P144),"file name differs from the convention; ","")&amp;IF(AND($D144="placement",$O144="Y",COUNTIF(photos!$R$2:$R$701,$R144)&gt;1),"two usable placement photos: mark one N; ","")&amp;IF($K144&lt;&gt;"Y","info: not usable (a person, screen or whiteboard may show): never used, delete the file; ","")&amp;IF(AND($D144="placement",$J144&lt;&gt;"Y"),"info: not usable as a placement photo (no card); ","")&amp;IF(AND($D144="placement",N($N144)&gt;2),"info: placed after the first business day; ","")&amp;IF(AND($D144="later",$N144&lt;&gt;"",OR(N($N144)&lt;3,N($N144)&gt;5)),"info: later photo outside day 3 to 5; ",""))</f>
        <v/>
      </c>
      <c r="R144" s="25">
        <f>IF($B144="","",$B144&amp;"|"&amp;$C144&amp;"|"&amp;$D144&amp;"|"&amp;$O144)</f>
        <v/>
      </c>
      <c r="S144" s="25">
        <f>IF($B144="","",$R144&amp;"|"&amp;N($E144))</f>
        <v/>
      </c>
    </row>
    <row r="145">
      <c r="E145" s="9" t="n"/>
      <c r="F145" s="33" t="n"/>
      <c r="I145" s="9" t="n"/>
      <c r="M145" s="26">
        <f>IF($B145="","",IFERROR(IF(INDEX(campaigns!$BG$2:$BG$51,MATCH($B145,campaigns!$A$2:$A$51,0))="","",INDEX(campaigns!$BG$2:$BG$51,MATCH($B145,campaigns!$A$2:$A$51,0))),""))</f>
        <v/>
      </c>
      <c r="N145" s="25">
        <f>IF(OR($B145="",$E145="",$M145=""),"",IF($E145&lt;$M145,0,NETWORKDAYS($M145,$E145,calendar!$A$2:$A$80)))</f>
        <v/>
      </c>
      <c r="O145" s="25">
        <f>IF($B145="","",IF(AND($K145="Y",OR($D145="later",$J145="Y")),"Y","N"))</f>
        <v/>
      </c>
      <c r="P145" s="25">
        <f>IF(OR($B145="",$E145=""),"",$B145&amp;"_"&amp;$C145&amp;"_"&amp;$D145&amp;"_"&amp;TEXT($E145,"yyyy-mm-dd")&amp;".jpg")</f>
        <v/>
      </c>
      <c r="Q145" s="25">
        <f>IF($B145="","",IF(COUNTIF(campaigns!$A$2:$A$51,$B145)=0,"campaign_id not on campaigns; ",IF(AND($C145&lt;&gt;"",COUNTIFS(approvals!$A$2:$A$251,$B145,approvals!$B$2:$B$251,$C145)=0),"office not on this campaign (approvals tab); ",""))&amp;IF($E145="","taken date missing; ","")&amp;IF(AND($H145&lt;&gt;"",$H145&lt;&gt;$P145),"file name differs from the convention; ","")&amp;IF(AND($D145="placement",$O145="Y",COUNTIF(photos!$R$2:$R$701,$R145)&gt;1),"two usable placement photos: mark one N; ","")&amp;IF($K145&lt;&gt;"Y","info: not usable (a person, screen or whiteboard may show): never used, delete the file; ","")&amp;IF(AND($D145="placement",$J145&lt;&gt;"Y"),"info: not usable as a placement photo (no card); ","")&amp;IF(AND($D145="placement",N($N145)&gt;2),"info: placed after the first business day; ","")&amp;IF(AND($D145="later",$N145&lt;&gt;"",OR(N($N145)&lt;3,N($N145)&gt;5)),"info: later photo outside day 3 to 5; ",""))</f>
        <v/>
      </c>
      <c r="R145" s="25">
        <f>IF($B145="","",$B145&amp;"|"&amp;$C145&amp;"|"&amp;$D145&amp;"|"&amp;$O145)</f>
        <v/>
      </c>
      <c r="S145" s="25">
        <f>IF($B145="","",$R145&amp;"|"&amp;N($E145))</f>
        <v/>
      </c>
    </row>
    <row r="146">
      <c r="E146" s="9" t="n"/>
      <c r="F146" s="33" t="n"/>
      <c r="I146" s="9" t="n"/>
      <c r="M146" s="26">
        <f>IF($B146="","",IFERROR(IF(INDEX(campaigns!$BG$2:$BG$51,MATCH($B146,campaigns!$A$2:$A$51,0))="","",INDEX(campaigns!$BG$2:$BG$51,MATCH($B146,campaigns!$A$2:$A$51,0))),""))</f>
        <v/>
      </c>
      <c r="N146" s="25">
        <f>IF(OR($B146="",$E146="",$M146=""),"",IF($E146&lt;$M146,0,NETWORKDAYS($M146,$E146,calendar!$A$2:$A$80)))</f>
        <v/>
      </c>
      <c r="O146" s="25">
        <f>IF($B146="","",IF(AND($K146="Y",OR($D146="later",$J146="Y")),"Y","N"))</f>
        <v/>
      </c>
      <c r="P146" s="25">
        <f>IF(OR($B146="",$E146=""),"",$B146&amp;"_"&amp;$C146&amp;"_"&amp;$D146&amp;"_"&amp;TEXT($E146,"yyyy-mm-dd")&amp;".jpg")</f>
        <v/>
      </c>
      <c r="Q146" s="25">
        <f>IF($B146="","",IF(COUNTIF(campaigns!$A$2:$A$51,$B146)=0,"campaign_id not on campaigns; ",IF(AND($C146&lt;&gt;"",COUNTIFS(approvals!$A$2:$A$251,$B146,approvals!$B$2:$B$251,$C146)=0),"office not on this campaign (approvals tab); ",""))&amp;IF($E146="","taken date missing; ","")&amp;IF(AND($H146&lt;&gt;"",$H146&lt;&gt;$P146),"file name differs from the convention; ","")&amp;IF(AND($D146="placement",$O146="Y",COUNTIF(photos!$R$2:$R$701,$R146)&gt;1),"two usable placement photos: mark one N; ","")&amp;IF($K146&lt;&gt;"Y","info: not usable (a person, screen or whiteboard may show): never used, delete the file; ","")&amp;IF(AND($D146="placement",$J146&lt;&gt;"Y"),"info: not usable as a placement photo (no card); ","")&amp;IF(AND($D146="placement",N($N146)&gt;2),"info: placed after the first business day; ","")&amp;IF(AND($D146="later",$N146&lt;&gt;"",OR(N($N146)&lt;3,N($N146)&gt;5)),"info: later photo outside day 3 to 5; ",""))</f>
        <v/>
      </c>
      <c r="R146" s="25">
        <f>IF($B146="","",$B146&amp;"|"&amp;$C146&amp;"|"&amp;$D146&amp;"|"&amp;$O146)</f>
        <v/>
      </c>
      <c r="S146" s="25">
        <f>IF($B146="","",$R146&amp;"|"&amp;N($E146))</f>
        <v/>
      </c>
    </row>
    <row r="147">
      <c r="E147" s="9" t="n"/>
      <c r="F147" s="33" t="n"/>
      <c r="I147" s="9" t="n"/>
      <c r="M147" s="26">
        <f>IF($B147="","",IFERROR(IF(INDEX(campaigns!$BG$2:$BG$51,MATCH($B147,campaigns!$A$2:$A$51,0))="","",INDEX(campaigns!$BG$2:$BG$51,MATCH($B147,campaigns!$A$2:$A$51,0))),""))</f>
        <v/>
      </c>
      <c r="N147" s="25">
        <f>IF(OR($B147="",$E147="",$M147=""),"",IF($E147&lt;$M147,0,NETWORKDAYS($M147,$E147,calendar!$A$2:$A$80)))</f>
        <v/>
      </c>
      <c r="O147" s="25">
        <f>IF($B147="","",IF(AND($K147="Y",OR($D147="later",$J147="Y")),"Y","N"))</f>
        <v/>
      </c>
      <c r="P147" s="25">
        <f>IF(OR($B147="",$E147=""),"",$B147&amp;"_"&amp;$C147&amp;"_"&amp;$D147&amp;"_"&amp;TEXT($E147,"yyyy-mm-dd")&amp;".jpg")</f>
        <v/>
      </c>
      <c r="Q147" s="25">
        <f>IF($B147="","",IF(COUNTIF(campaigns!$A$2:$A$51,$B147)=0,"campaign_id not on campaigns; ",IF(AND($C147&lt;&gt;"",COUNTIFS(approvals!$A$2:$A$251,$B147,approvals!$B$2:$B$251,$C147)=0),"office not on this campaign (approvals tab); ",""))&amp;IF($E147="","taken date missing; ","")&amp;IF(AND($H147&lt;&gt;"",$H147&lt;&gt;$P147),"file name differs from the convention; ","")&amp;IF(AND($D147="placement",$O147="Y",COUNTIF(photos!$R$2:$R$701,$R147)&gt;1),"two usable placement photos: mark one N; ","")&amp;IF($K147&lt;&gt;"Y","info: not usable (a person, screen or whiteboard may show): never used, delete the file; ","")&amp;IF(AND($D147="placement",$J147&lt;&gt;"Y"),"info: not usable as a placement photo (no card); ","")&amp;IF(AND($D147="placement",N($N147)&gt;2),"info: placed after the first business day; ","")&amp;IF(AND($D147="later",$N147&lt;&gt;"",OR(N($N147)&lt;3,N($N147)&gt;5)),"info: later photo outside day 3 to 5; ",""))</f>
        <v/>
      </c>
      <c r="R147" s="25">
        <f>IF($B147="","",$B147&amp;"|"&amp;$C147&amp;"|"&amp;$D147&amp;"|"&amp;$O147)</f>
        <v/>
      </c>
      <c r="S147" s="25">
        <f>IF($B147="","",$R147&amp;"|"&amp;N($E147))</f>
        <v/>
      </c>
    </row>
    <row r="148">
      <c r="E148" s="9" t="n"/>
      <c r="F148" s="33" t="n"/>
      <c r="I148" s="9" t="n"/>
      <c r="M148" s="26">
        <f>IF($B148="","",IFERROR(IF(INDEX(campaigns!$BG$2:$BG$51,MATCH($B148,campaigns!$A$2:$A$51,0))="","",INDEX(campaigns!$BG$2:$BG$51,MATCH($B148,campaigns!$A$2:$A$51,0))),""))</f>
        <v/>
      </c>
      <c r="N148" s="25">
        <f>IF(OR($B148="",$E148="",$M148=""),"",IF($E148&lt;$M148,0,NETWORKDAYS($M148,$E148,calendar!$A$2:$A$80)))</f>
        <v/>
      </c>
      <c r="O148" s="25">
        <f>IF($B148="","",IF(AND($K148="Y",OR($D148="later",$J148="Y")),"Y","N"))</f>
        <v/>
      </c>
      <c r="P148" s="25">
        <f>IF(OR($B148="",$E148=""),"",$B148&amp;"_"&amp;$C148&amp;"_"&amp;$D148&amp;"_"&amp;TEXT($E148,"yyyy-mm-dd")&amp;".jpg")</f>
        <v/>
      </c>
      <c r="Q148" s="25">
        <f>IF($B148="","",IF(COUNTIF(campaigns!$A$2:$A$51,$B148)=0,"campaign_id not on campaigns; ",IF(AND($C148&lt;&gt;"",COUNTIFS(approvals!$A$2:$A$251,$B148,approvals!$B$2:$B$251,$C148)=0),"office not on this campaign (approvals tab); ",""))&amp;IF($E148="","taken date missing; ","")&amp;IF(AND($H148&lt;&gt;"",$H148&lt;&gt;$P148),"file name differs from the convention; ","")&amp;IF(AND($D148="placement",$O148="Y",COUNTIF(photos!$R$2:$R$701,$R148)&gt;1),"two usable placement photos: mark one N; ","")&amp;IF($K148&lt;&gt;"Y","info: not usable (a person, screen or whiteboard may show): never used, delete the file; ","")&amp;IF(AND($D148="placement",$J148&lt;&gt;"Y"),"info: not usable as a placement photo (no card); ","")&amp;IF(AND($D148="placement",N($N148)&gt;2),"info: placed after the first business day; ","")&amp;IF(AND($D148="later",$N148&lt;&gt;"",OR(N($N148)&lt;3,N($N148)&gt;5)),"info: later photo outside day 3 to 5; ",""))</f>
        <v/>
      </c>
      <c r="R148" s="25">
        <f>IF($B148="","",$B148&amp;"|"&amp;$C148&amp;"|"&amp;$D148&amp;"|"&amp;$O148)</f>
        <v/>
      </c>
      <c r="S148" s="25">
        <f>IF($B148="","",$R148&amp;"|"&amp;N($E148))</f>
        <v/>
      </c>
    </row>
    <row r="149">
      <c r="E149" s="9" t="n"/>
      <c r="F149" s="33" t="n"/>
      <c r="I149" s="9" t="n"/>
      <c r="M149" s="26">
        <f>IF($B149="","",IFERROR(IF(INDEX(campaigns!$BG$2:$BG$51,MATCH($B149,campaigns!$A$2:$A$51,0))="","",INDEX(campaigns!$BG$2:$BG$51,MATCH($B149,campaigns!$A$2:$A$51,0))),""))</f>
        <v/>
      </c>
      <c r="N149" s="25">
        <f>IF(OR($B149="",$E149="",$M149=""),"",IF($E149&lt;$M149,0,NETWORKDAYS($M149,$E149,calendar!$A$2:$A$80)))</f>
        <v/>
      </c>
      <c r="O149" s="25">
        <f>IF($B149="","",IF(AND($K149="Y",OR($D149="later",$J149="Y")),"Y","N"))</f>
        <v/>
      </c>
      <c r="P149" s="25">
        <f>IF(OR($B149="",$E149=""),"",$B149&amp;"_"&amp;$C149&amp;"_"&amp;$D149&amp;"_"&amp;TEXT($E149,"yyyy-mm-dd")&amp;".jpg")</f>
        <v/>
      </c>
      <c r="Q149" s="25">
        <f>IF($B149="","",IF(COUNTIF(campaigns!$A$2:$A$51,$B149)=0,"campaign_id not on campaigns; ",IF(AND($C149&lt;&gt;"",COUNTIFS(approvals!$A$2:$A$251,$B149,approvals!$B$2:$B$251,$C149)=0),"office not on this campaign (approvals tab); ",""))&amp;IF($E149="","taken date missing; ","")&amp;IF(AND($H149&lt;&gt;"",$H149&lt;&gt;$P149),"file name differs from the convention; ","")&amp;IF(AND($D149="placement",$O149="Y",COUNTIF(photos!$R$2:$R$701,$R149)&gt;1),"two usable placement photos: mark one N; ","")&amp;IF($K149&lt;&gt;"Y","info: not usable (a person, screen or whiteboard may show): never used, delete the file; ","")&amp;IF(AND($D149="placement",$J149&lt;&gt;"Y"),"info: not usable as a placement photo (no card); ","")&amp;IF(AND($D149="placement",N($N149)&gt;2),"info: placed after the first business day; ","")&amp;IF(AND($D149="later",$N149&lt;&gt;"",OR(N($N149)&lt;3,N($N149)&gt;5)),"info: later photo outside day 3 to 5; ",""))</f>
        <v/>
      </c>
      <c r="R149" s="25">
        <f>IF($B149="","",$B149&amp;"|"&amp;$C149&amp;"|"&amp;$D149&amp;"|"&amp;$O149)</f>
        <v/>
      </c>
      <c r="S149" s="25">
        <f>IF($B149="","",$R149&amp;"|"&amp;N($E149))</f>
        <v/>
      </c>
    </row>
    <row r="150">
      <c r="E150" s="9" t="n"/>
      <c r="F150" s="33" t="n"/>
      <c r="I150" s="9" t="n"/>
      <c r="M150" s="26">
        <f>IF($B150="","",IFERROR(IF(INDEX(campaigns!$BG$2:$BG$51,MATCH($B150,campaigns!$A$2:$A$51,0))="","",INDEX(campaigns!$BG$2:$BG$51,MATCH($B150,campaigns!$A$2:$A$51,0))),""))</f>
        <v/>
      </c>
      <c r="N150" s="25">
        <f>IF(OR($B150="",$E150="",$M150=""),"",IF($E150&lt;$M150,0,NETWORKDAYS($M150,$E150,calendar!$A$2:$A$80)))</f>
        <v/>
      </c>
      <c r="O150" s="25">
        <f>IF($B150="","",IF(AND($K150="Y",OR($D150="later",$J150="Y")),"Y","N"))</f>
        <v/>
      </c>
      <c r="P150" s="25">
        <f>IF(OR($B150="",$E150=""),"",$B150&amp;"_"&amp;$C150&amp;"_"&amp;$D150&amp;"_"&amp;TEXT($E150,"yyyy-mm-dd")&amp;".jpg")</f>
        <v/>
      </c>
      <c r="Q150" s="25">
        <f>IF($B150="","",IF(COUNTIF(campaigns!$A$2:$A$51,$B150)=0,"campaign_id not on campaigns; ",IF(AND($C150&lt;&gt;"",COUNTIFS(approvals!$A$2:$A$251,$B150,approvals!$B$2:$B$251,$C150)=0),"office not on this campaign (approvals tab); ",""))&amp;IF($E150="","taken date missing; ","")&amp;IF(AND($H150&lt;&gt;"",$H150&lt;&gt;$P150),"file name differs from the convention; ","")&amp;IF(AND($D150="placement",$O150="Y",COUNTIF(photos!$R$2:$R$701,$R150)&gt;1),"two usable placement photos: mark one N; ","")&amp;IF($K150&lt;&gt;"Y","info: not usable (a person, screen or whiteboard may show): never used, delete the file; ","")&amp;IF(AND($D150="placement",$J150&lt;&gt;"Y"),"info: not usable as a placement photo (no card); ","")&amp;IF(AND($D150="placement",N($N150)&gt;2),"info: placed after the first business day; ","")&amp;IF(AND($D150="later",$N150&lt;&gt;"",OR(N($N150)&lt;3,N($N150)&gt;5)),"info: later photo outside day 3 to 5; ",""))</f>
        <v/>
      </c>
      <c r="R150" s="25">
        <f>IF($B150="","",$B150&amp;"|"&amp;$C150&amp;"|"&amp;$D150&amp;"|"&amp;$O150)</f>
        <v/>
      </c>
      <c r="S150" s="25">
        <f>IF($B150="","",$R150&amp;"|"&amp;N($E150))</f>
        <v/>
      </c>
    </row>
    <row r="151">
      <c r="E151" s="9" t="n"/>
      <c r="F151" s="33" t="n"/>
      <c r="I151" s="9" t="n"/>
      <c r="M151" s="26">
        <f>IF($B151="","",IFERROR(IF(INDEX(campaigns!$BG$2:$BG$51,MATCH($B151,campaigns!$A$2:$A$51,0))="","",INDEX(campaigns!$BG$2:$BG$51,MATCH($B151,campaigns!$A$2:$A$51,0))),""))</f>
        <v/>
      </c>
      <c r="N151" s="25">
        <f>IF(OR($B151="",$E151="",$M151=""),"",IF($E151&lt;$M151,0,NETWORKDAYS($M151,$E151,calendar!$A$2:$A$80)))</f>
        <v/>
      </c>
      <c r="O151" s="25">
        <f>IF($B151="","",IF(AND($K151="Y",OR($D151="later",$J151="Y")),"Y","N"))</f>
        <v/>
      </c>
      <c r="P151" s="25">
        <f>IF(OR($B151="",$E151=""),"",$B151&amp;"_"&amp;$C151&amp;"_"&amp;$D151&amp;"_"&amp;TEXT($E151,"yyyy-mm-dd")&amp;".jpg")</f>
        <v/>
      </c>
      <c r="Q151" s="25">
        <f>IF($B151="","",IF(COUNTIF(campaigns!$A$2:$A$51,$B151)=0,"campaign_id not on campaigns; ",IF(AND($C151&lt;&gt;"",COUNTIFS(approvals!$A$2:$A$251,$B151,approvals!$B$2:$B$251,$C151)=0),"office not on this campaign (approvals tab); ",""))&amp;IF($E151="","taken date missing; ","")&amp;IF(AND($H151&lt;&gt;"",$H151&lt;&gt;$P151),"file name differs from the convention; ","")&amp;IF(AND($D151="placement",$O151="Y",COUNTIF(photos!$R$2:$R$701,$R151)&gt;1),"two usable placement photos: mark one N; ","")&amp;IF($K151&lt;&gt;"Y","info: not usable (a person, screen or whiteboard may show): never used, delete the file; ","")&amp;IF(AND($D151="placement",$J151&lt;&gt;"Y"),"info: not usable as a placement photo (no card); ","")&amp;IF(AND($D151="placement",N($N151)&gt;2),"info: placed after the first business day; ","")&amp;IF(AND($D151="later",$N151&lt;&gt;"",OR(N($N151)&lt;3,N($N151)&gt;5)),"info: later photo outside day 3 to 5; ",""))</f>
        <v/>
      </c>
      <c r="R151" s="25">
        <f>IF($B151="","",$B151&amp;"|"&amp;$C151&amp;"|"&amp;$D151&amp;"|"&amp;$O151)</f>
        <v/>
      </c>
      <c r="S151" s="25">
        <f>IF($B151="","",$R151&amp;"|"&amp;N($E151))</f>
        <v/>
      </c>
    </row>
    <row r="152">
      <c r="E152" s="9" t="n"/>
      <c r="F152" s="33" t="n"/>
      <c r="I152" s="9" t="n"/>
      <c r="M152" s="26">
        <f>IF($B152="","",IFERROR(IF(INDEX(campaigns!$BG$2:$BG$51,MATCH($B152,campaigns!$A$2:$A$51,0))="","",INDEX(campaigns!$BG$2:$BG$51,MATCH($B152,campaigns!$A$2:$A$51,0))),""))</f>
        <v/>
      </c>
      <c r="N152" s="25">
        <f>IF(OR($B152="",$E152="",$M152=""),"",IF($E152&lt;$M152,0,NETWORKDAYS($M152,$E152,calendar!$A$2:$A$80)))</f>
        <v/>
      </c>
      <c r="O152" s="25">
        <f>IF($B152="","",IF(AND($K152="Y",OR($D152="later",$J152="Y")),"Y","N"))</f>
        <v/>
      </c>
      <c r="P152" s="25">
        <f>IF(OR($B152="",$E152=""),"",$B152&amp;"_"&amp;$C152&amp;"_"&amp;$D152&amp;"_"&amp;TEXT($E152,"yyyy-mm-dd")&amp;".jpg")</f>
        <v/>
      </c>
      <c r="Q152" s="25">
        <f>IF($B152="","",IF(COUNTIF(campaigns!$A$2:$A$51,$B152)=0,"campaign_id not on campaigns; ",IF(AND($C152&lt;&gt;"",COUNTIFS(approvals!$A$2:$A$251,$B152,approvals!$B$2:$B$251,$C152)=0),"office not on this campaign (approvals tab); ",""))&amp;IF($E152="","taken date missing; ","")&amp;IF(AND($H152&lt;&gt;"",$H152&lt;&gt;$P152),"file name differs from the convention; ","")&amp;IF(AND($D152="placement",$O152="Y",COUNTIF(photos!$R$2:$R$701,$R152)&gt;1),"two usable placement photos: mark one N; ","")&amp;IF($K152&lt;&gt;"Y","info: not usable (a person, screen or whiteboard may show): never used, delete the file; ","")&amp;IF(AND($D152="placement",$J152&lt;&gt;"Y"),"info: not usable as a placement photo (no card); ","")&amp;IF(AND($D152="placement",N($N152)&gt;2),"info: placed after the first business day; ","")&amp;IF(AND($D152="later",$N152&lt;&gt;"",OR(N($N152)&lt;3,N($N152)&gt;5)),"info: later photo outside day 3 to 5; ",""))</f>
        <v/>
      </c>
      <c r="R152" s="25">
        <f>IF($B152="","",$B152&amp;"|"&amp;$C152&amp;"|"&amp;$D152&amp;"|"&amp;$O152)</f>
        <v/>
      </c>
      <c r="S152" s="25">
        <f>IF($B152="","",$R152&amp;"|"&amp;N($E152))</f>
        <v/>
      </c>
    </row>
    <row r="153">
      <c r="E153" s="9" t="n"/>
      <c r="F153" s="33" t="n"/>
      <c r="I153" s="9" t="n"/>
      <c r="M153" s="26">
        <f>IF($B153="","",IFERROR(IF(INDEX(campaigns!$BG$2:$BG$51,MATCH($B153,campaigns!$A$2:$A$51,0))="","",INDEX(campaigns!$BG$2:$BG$51,MATCH($B153,campaigns!$A$2:$A$51,0))),""))</f>
        <v/>
      </c>
      <c r="N153" s="25">
        <f>IF(OR($B153="",$E153="",$M153=""),"",IF($E153&lt;$M153,0,NETWORKDAYS($M153,$E153,calendar!$A$2:$A$80)))</f>
        <v/>
      </c>
      <c r="O153" s="25">
        <f>IF($B153="","",IF(AND($K153="Y",OR($D153="later",$J153="Y")),"Y","N"))</f>
        <v/>
      </c>
      <c r="P153" s="25">
        <f>IF(OR($B153="",$E153=""),"",$B153&amp;"_"&amp;$C153&amp;"_"&amp;$D153&amp;"_"&amp;TEXT($E153,"yyyy-mm-dd")&amp;".jpg")</f>
        <v/>
      </c>
      <c r="Q153" s="25">
        <f>IF($B153="","",IF(COUNTIF(campaigns!$A$2:$A$51,$B153)=0,"campaign_id not on campaigns; ",IF(AND($C153&lt;&gt;"",COUNTIFS(approvals!$A$2:$A$251,$B153,approvals!$B$2:$B$251,$C153)=0),"office not on this campaign (approvals tab); ",""))&amp;IF($E153="","taken date missing; ","")&amp;IF(AND($H153&lt;&gt;"",$H153&lt;&gt;$P153),"file name differs from the convention; ","")&amp;IF(AND($D153="placement",$O153="Y",COUNTIF(photos!$R$2:$R$701,$R153)&gt;1),"two usable placement photos: mark one N; ","")&amp;IF($K153&lt;&gt;"Y","info: not usable (a person, screen or whiteboard may show): never used, delete the file; ","")&amp;IF(AND($D153="placement",$J153&lt;&gt;"Y"),"info: not usable as a placement photo (no card); ","")&amp;IF(AND($D153="placement",N($N153)&gt;2),"info: placed after the first business day; ","")&amp;IF(AND($D153="later",$N153&lt;&gt;"",OR(N($N153)&lt;3,N($N153)&gt;5)),"info: later photo outside day 3 to 5; ",""))</f>
        <v/>
      </c>
      <c r="R153" s="25">
        <f>IF($B153="","",$B153&amp;"|"&amp;$C153&amp;"|"&amp;$D153&amp;"|"&amp;$O153)</f>
        <v/>
      </c>
      <c r="S153" s="25">
        <f>IF($B153="","",$R153&amp;"|"&amp;N($E153))</f>
        <v/>
      </c>
    </row>
    <row r="154">
      <c r="E154" s="9" t="n"/>
      <c r="F154" s="33" t="n"/>
      <c r="I154" s="9" t="n"/>
      <c r="M154" s="26">
        <f>IF($B154="","",IFERROR(IF(INDEX(campaigns!$BG$2:$BG$51,MATCH($B154,campaigns!$A$2:$A$51,0))="","",INDEX(campaigns!$BG$2:$BG$51,MATCH($B154,campaigns!$A$2:$A$51,0))),""))</f>
        <v/>
      </c>
      <c r="N154" s="25">
        <f>IF(OR($B154="",$E154="",$M154=""),"",IF($E154&lt;$M154,0,NETWORKDAYS($M154,$E154,calendar!$A$2:$A$80)))</f>
        <v/>
      </c>
      <c r="O154" s="25">
        <f>IF($B154="","",IF(AND($K154="Y",OR($D154="later",$J154="Y")),"Y","N"))</f>
        <v/>
      </c>
      <c r="P154" s="25">
        <f>IF(OR($B154="",$E154=""),"",$B154&amp;"_"&amp;$C154&amp;"_"&amp;$D154&amp;"_"&amp;TEXT($E154,"yyyy-mm-dd")&amp;".jpg")</f>
        <v/>
      </c>
      <c r="Q154" s="25">
        <f>IF($B154="","",IF(COUNTIF(campaigns!$A$2:$A$51,$B154)=0,"campaign_id not on campaigns; ",IF(AND($C154&lt;&gt;"",COUNTIFS(approvals!$A$2:$A$251,$B154,approvals!$B$2:$B$251,$C154)=0),"office not on this campaign (approvals tab); ",""))&amp;IF($E154="","taken date missing; ","")&amp;IF(AND($H154&lt;&gt;"",$H154&lt;&gt;$P154),"file name differs from the convention; ","")&amp;IF(AND($D154="placement",$O154="Y",COUNTIF(photos!$R$2:$R$701,$R154)&gt;1),"two usable placement photos: mark one N; ","")&amp;IF($K154&lt;&gt;"Y","info: not usable (a person, screen or whiteboard may show): never used, delete the file; ","")&amp;IF(AND($D154="placement",$J154&lt;&gt;"Y"),"info: not usable as a placement photo (no card); ","")&amp;IF(AND($D154="placement",N($N154)&gt;2),"info: placed after the first business day; ","")&amp;IF(AND($D154="later",$N154&lt;&gt;"",OR(N($N154)&lt;3,N($N154)&gt;5)),"info: later photo outside day 3 to 5; ",""))</f>
        <v/>
      </c>
      <c r="R154" s="25">
        <f>IF($B154="","",$B154&amp;"|"&amp;$C154&amp;"|"&amp;$D154&amp;"|"&amp;$O154)</f>
        <v/>
      </c>
      <c r="S154" s="25">
        <f>IF($B154="","",$R154&amp;"|"&amp;N($E154))</f>
        <v/>
      </c>
    </row>
    <row r="155">
      <c r="E155" s="9" t="n"/>
      <c r="F155" s="33" t="n"/>
      <c r="I155" s="9" t="n"/>
      <c r="M155" s="26">
        <f>IF($B155="","",IFERROR(IF(INDEX(campaigns!$BG$2:$BG$51,MATCH($B155,campaigns!$A$2:$A$51,0))="","",INDEX(campaigns!$BG$2:$BG$51,MATCH($B155,campaigns!$A$2:$A$51,0))),""))</f>
        <v/>
      </c>
      <c r="N155" s="25">
        <f>IF(OR($B155="",$E155="",$M155=""),"",IF($E155&lt;$M155,0,NETWORKDAYS($M155,$E155,calendar!$A$2:$A$80)))</f>
        <v/>
      </c>
      <c r="O155" s="25">
        <f>IF($B155="","",IF(AND($K155="Y",OR($D155="later",$J155="Y")),"Y","N"))</f>
        <v/>
      </c>
      <c r="P155" s="25">
        <f>IF(OR($B155="",$E155=""),"",$B155&amp;"_"&amp;$C155&amp;"_"&amp;$D155&amp;"_"&amp;TEXT($E155,"yyyy-mm-dd")&amp;".jpg")</f>
        <v/>
      </c>
      <c r="Q155" s="25">
        <f>IF($B155="","",IF(COUNTIF(campaigns!$A$2:$A$51,$B155)=0,"campaign_id not on campaigns; ",IF(AND($C155&lt;&gt;"",COUNTIFS(approvals!$A$2:$A$251,$B155,approvals!$B$2:$B$251,$C155)=0),"office not on this campaign (approvals tab); ",""))&amp;IF($E155="","taken date missing; ","")&amp;IF(AND($H155&lt;&gt;"",$H155&lt;&gt;$P155),"file name differs from the convention; ","")&amp;IF(AND($D155="placement",$O155="Y",COUNTIF(photos!$R$2:$R$701,$R155)&gt;1),"two usable placement photos: mark one N; ","")&amp;IF($K155&lt;&gt;"Y","info: not usable (a person, screen or whiteboard may show): never used, delete the file; ","")&amp;IF(AND($D155="placement",$J155&lt;&gt;"Y"),"info: not usable as a placement photo (no card); ","")&amp;IF(AND($D155="placement",N($N155)&gt;2),"info: placed after the first business day; ","")&amp;IF(AND($D155="later",$N155&lt;&gt;"",OR(N($N155)&lt;3,N($N155)&gt;5)),"info: later photo outside day 3 to 5; ",""))</f>
        <v/>
      </c>
      <c r="R155" s="25">
        <f>IF($B155="","",$B155&amp;"|"&amp;$C155&amp;"|"&amp;$D155&amp;"|"&amp;$O155)</f>
        <v/>
      </c>
      <c r="S155" s="25">
        <f>IF($B155="","",$R155&amp;"|"&amp;N($E155))</f>
        <v/>
      </c>
    </row>
    <row r="156">
      <c r="E156" s="9" t="n"/>
      <c r="F156" s="33" t="n"/>
      <c r="I156" s="9" t="n"/>
      <c r="M156" s="26">
        <f>IF($B156="","",IFERROR(IF(INDEX(campaigns!$BG$2:$BG$51,MATCH($B156,campaigns!$A$2:$A$51,0))="","",INDEX(campaigns!$BG$2:$BG$51,MATCH($B156,campaigns!$A$2:$A$51,0))),""))</f>
        <v/>
      </c>
      <c r="N156" s="25">
        <f>IF(OR($B156="",$E156="",$M156=""),"",IF($E156&lt;$M156,0,NETWORKDAYS($M156,$E156,calendar!$A$2:$A$80)))</f>
        <v/>
      </c>
      <c r="O156" s="25">
        <f>IF($B156="","",IF(AND($K156="Y",OR($D156="later",$J156="Y")),"Y","N"))</f>
        <v/>
      </c>
      <c r="P156" s="25">
        <f>IF(OR($B156="",$E156=""),"",$B156&amp;"_"&amp;$C156&amp;"_"&amp;$D156&amp;"_"&amp;TEXT($E156,"yyyy-mm-dd")&amp;".jpg")</f>
        <v/>
      </c>
      <c r="Q156" s="25">
        <f>IF($B156="","",IF(COUNTIF(campaigns!$A$2:$A$51,$B156)=0,"campaign_id not on campaigns; ",IF(AND($C156&lt;&gt;"",COUNTIFS(approvals!$A$2:$A$251,$B156,approvals!$B$2:$B$251,$C156)=0),"office not on this campaign (approvals tab); ",""))&amp;IF($E156="","taken date missing; ","")&amp;IF(AND($H156&lt;&gt;"",$H156&lt;&gt;$P156),"file name differs from the convention; ","")&amp;IF(AND($D156="placement",$O156="Y",COUNTIF(photos!$R$2:$R$701,$R156)&gt;1),"two usable placement photos: mark one N; ","")&amp;IF($K156&lt;&gt;"Y","info: not usable (a person, screen or whiteboard may show): never used, delete the file; ","")&amp;IF(AND($D156="placement",$J156&lt;&gt;"Y"),"info: not usable as a placement photo (no card); ","")&amp;IF(AND($D156="placement",N($N156)&gt;2),"info: placed after the first business day; ","")&amp;IF(AND($D156="later",$N156&lt;&gt;"",OR(N($N156)&lt;3,N($N156)&gt;5)),"info: later photo outside day 3 to 5; ",""))</f>
        <v/>
      </c>
      <c r="R156" s="25">
        <f>IF($B156="","",$B156&amp;"|"&amp;$C156&amp;"|"&amp;$D156&amp;"|"&amp;$O156)</f>
        <v/>
      </c>
      <c r="S156" s="25">
        <f>IF($B156="","",$R156&amp;"|"&amp;N($E156))</f>
        <v/>
      </c>
    </row>
    <row r="157">
      <c r="E157" s="9" t="n"/>
      <c r="F157" s="33" t="n"/>
      <c r="I157" s="9" t="n"/>
      <c r="M157" s="26">
        <f>IF($B157="","",IFERROR(IF(INDEX(campaigns!$BG$2:$BG$51,MATCH($B157,campaigns!$A$2:$A$51,0))="","",INDEX(campaigns!$BG$2:$BG$51,MATCH($B157,campaigns!$A$2:$A$51,0))),""))</f>
        <v/>
      </c>
      <c r="N157" s="25">
        <f>IF(OR($B157="",$E157="",$M157=""),"",IF($E157&lt;$M157,0,NETWORKDAYS($M157,$E157,calendar!$A$2:$A$80)))</f>
        <v/>
      </c>
      <c r="O157" s="25">
        <f>IF($B157="","",IF(AND($K157="Y",OR($D157="later",$J157="Y")),"Y","N"))</f>
        <v/>
      </c>
      <c r="P157" s="25">
        <f>IF(OR($B157="",$E157=""),"",$B157&amp;"_"&amp;$C157&amp;"_"&amp;$D157&amp;"_"&amp;TEXT($E157,"yyyy-mm-dd")&amp;".jpg")</f>
        <v/>
      </c>
      <c r="Q157" s="25">
        <f>IF($B157="","",IF(COUNTIF(campaigns!$A$2:$A$51,$B157)=0,"campaign_id not on campaigns; ",IF(AND($C157&lt;&gt;"",COUNTIFS(approvals!$A$2:$A$251,$B157,approvals!$B$2:$B$251,$C157)=0),"office not on this campaign (approvals tab); ",""))&amp;IF($E157="","taken date missing; ","")&amp;IF(AND($H157&lt;&gt;"",$H157&lt;&gt;$P157),"file name differs from the convention; ","")&amp;IF(AND($D157="placement",$O157="Y",COUNTIF(photos!$R$2:$R$701,$R157)&gt;1),"two usable placement photos: mark one N; ","")&amp;IF($K157&lt;&gt;"Y","info: not usable (a person, screen or whiteboard may show): never used, delete the file; ","")&amp;IF(AND($D157="placement",$J157&lt;&gt;"Y"),"info: not usable as a placement photo (no card); ","")&amp;IF(AND($D157="placement",N($N157)&gt;2),"info: placed after the first business day; ","")&amp;IF(AND($D157="later",$N157&lt;&gt;"",OR(N($N157)&lt;3,N($N157)&gt;5)),"info: later photo outside day 3 to 5; ",""))</f>
        <v/>
      </c>
      <c r="R157" s="25">
        <f>IF($B157="","",$B157&amp;"|"&amp;$C157&amp;"|"&amp;$D157&amp;"|"&amp;$O157)</f>
        <v/>
      </c>
      <c r="S157" s="25">
        <f>IF($B157="","",$R157&amp;"|"&amp;N($E157))</f>
        <v/>
      </c>
    </row>
    <row r="158">
      <c r="E158" s="9" t="n"/>
      <c r="F158" s="33" t="n"/>
      <c r="I158" s="9" t="n"/>
      <c r="M158" s="26">
        <f>IF($B158="","",IFERROR(IF(INDEX(campaigns!$BG$2:$BG$51,MATCH($B158,campaigns!$A$2:$A$51,0))="","",INDEX(campaigns!$BG$2:$BG$51,MATCH($B158,campaigns!$A$2:$A$51,0))),""))</f>
        <v/>
      </c>
      <c r="N158" s="25">
        <f>IF(OR($B158="",$E158="",$M158=""),"",IF($E158&lt;$M158,0,NETWORKDAYS($M158,$E158,calendar!$A$2:$A$80)))</f>
        <v/>
      </c>
      <c r="O158" s="25">
        <f>IF($B158="","",IF(AND($K158="Y",OR($D158="later",$J158="Y")),"Y","N"))</f>
        <v/>
      </c>
      <c r="P158" s="25">
        <f>IF(OR($B158="",$E158=""),"",$B158&amp;"_"&amp;$C158&amp;"_"&amp;$D158&amp;"_"&amp;TEXT($E158,"yyyy-mm-dd")&amp;".jpg")</f>
        <v/>
      </c>
      <c r="Q158" s="25">
        <f>IF($B158="","",IF(COUNTIF(campaigns!$A$2:$A$51,$B158)=0,"campaign_id not on campaigns; ",IF(AND($C158&lt;&gt;"",COUNTIFS(approvals!$A$2:$A$251,$B158,approvals!$B$2:$B$251,$C158)=0),"office not on this campaign (approvals tab); ",""))&amp;IF($E158="","taken date missing; ","")&amp;IF(AND($H158&lt;&gt;"",$H158&lt;&gt;$P158),"file name differs from the convention; ","")&amp;IF(AND($D158="placement",$O158="Y",COUNTIF(photos!$R$2:$R$701,$R158)&gt;1),"two usable placement photos: mark one N; ","")&amp;IF($K158&lt;&gt;"Y","info: not usable (a person, screen or whiteboard may show): never used, delete the file; ","")&amp;IF(AND($D158="placement",$J158&lt;&gt;"Y"),"info: not usable as a placement photo (no card); ","")&amp;IF(AND($D158="placement",N($N158)&gt;2),"info: placed after the first business day; ","")&amp;IF(AND($D158="later",$N158&lt;&gt;"",OR(N($N158)&lt;3,N($N158)&gt;5)),"info: later photo outside day 3 to 5; ",""))</f>
        <v/>
      </c>
      <c r="R158" s="25">
        <f>IF($B158="","",$B158&amp;"|"&amp;$C158&amp;"|"&amp;$D158&amp;"|"&amp;$O158)</f>
        <v/>
      </c>
      <c r="S158" s="25">
        <f>IF($B158="","",$R158&amp;"|"&amp;N($E158))</f>
        <v/>
      </c>
    </row>
    <row r="159">
      <c r="E159" s="9" t="n"/>
      <c r="F159" s="33" t="n"/>
      <c r="I159" s="9" t="n"/>
      <c r="M159" s="26">
        <f>IF($B159="","",IFERROR(IF(INDEX(campaigns!$BG$2:$BG$51,MATCH($B159,campaigns!$A$2:$A$51,0))="","",INDEX(campaigns!$BG$2:$BG$51,MATCH($B159,campaigns!$A$2:$A$51,0))),""))</f>
        <v/>
      </c>
      <c r="N159" s="25">
        <f>IF(OR($B159="",$E159="",$M159=""),"",IF($E159&lt;$M159,0,NETWORKDAYS($M159,$E159,calendar!$A$2:$A$80)))</f>
        <v/>
      </c>
      <c r="O159" s="25">
        <f>IF($B159="","",IF(AND($K159="Y",OR($D159="later",$J159="Y")),"Y","N"))</f>
        <v/>
      </c>
      <c r="P159" s="25">
        <f>IF(OR($B159="",$E159=""),"",$B159&amp;"_"&amp;$C159&amp;"_"&amp;$D159&amp;"_"&amp;TEXT($E159,"yyyy-mm-dd")&amp;".jpg")</f>
        <v/>
      </c>
      <c r="Q159" s="25">
        <f>IF($B159="","",IF(COUNTIF(campaigns!$A$2:$A$51,$B159)=0,"campaign_id not on campaigns; ",IF(AND($C159&lt;&gt;"",COUNTIFS(approvals!$A$2:$A$251,$B159,approvals!$B$2:$B$251,$C159)=0),"office not on this campaign (approvals tab); ",""))&amp;IF($E159="","taken date missing; ","")&amp;IF(AND($H159&lt;&gt;"",$H159&lt;&gt;$P159),"file name differs from the convention; ","")&amp;IF(AND($D159="placement",$O159="Y",COUNTIF(photos!$R$2:$R$701,$R159)&gt;1),"two usable placement photos: mark one N; ","")&amp;IF($K159&lt;&gt;"Y","info: not usable (a person, screen or whiteboard may show): never used, delete the file; ","")&amp;IF(AND($D159="placement",$J159&lt;&gt;"Y"),"info: not usable as a placement photo (no card); ","")&amp;IF(AND($D159="placement",N($N159)&gt;2),"info: placed after the first business day; ","")&amp;IF(AND($D159="later",$N159&lt;&gt;"",OR(N($N159)&lt;3,N($N159)&gt;5)),"info: later photo outside day 3 to 5; ",""))</f>
        <v/>
      </c>
      <c r="R159" s="25">
        <f>IF($B159="","",$B159&amp;"|"&amp;$C159&amp;"|"&amp;$D159&amp;"|"&amp;$O159)</f>
        <v/>
      </c>
      <c r="S159" s="25">
        <f>IF($B159="","",$R159&amp;"|"&amp;N($E159))</f>
        <v/>
      </c>
    </row>
    <row r="160">
      <c r="E160" s="9" t="n"/>
      <c r="F160" s="33" t="n"/>
      <c r="I160" s="9" t="n"/>
      <c r="M160" s="26">
        <f>IF($B160="","",IFERROR(IF(INDEX(campaigns!$BG$2:$BG$51,MATCH($B160,campaigns!$A$2:$A$51,0))="","",INDEX(campaigns!$BG$2:$BG$51,MATCH($B160,campaigns!$A$2:$A$51,0))),""))</f>
        <v/>
      </c>
      <c r="N160" s="25">
        <f>IF(OR($B160="",$E160="",$M160=""),"",IF($E160&lt;$M160,0,NETWORKDAYS($M160,$E160,calendar!$A$2:$A$80)))</f>
        <v/>
      </c>
      <c r="O160" s="25">
        <f>IF($B160="","",IF(AND($K160="Y",OR($D160="later",$J160="Y")),"Y","N"))</f>
        <v/>
      </c>
      <c r="P160" s="25">
        <f>IF(OR($B160="",$E160=""),"",$B160&amp;"_"&amp;$C160&amp;"_"&amp;$D160&amp;"_"&amp;TEXT($E160,"yyyy-mm-dd")&amp;".jpg")</f>
        <v/>
      </c>
      <c r="Q160" s="25">
        <f>IF($B160="","",IF(COUNTIF(campaigns!$A$2:$A$51,$B160)=0,"campaign_id not on campaigns; ",IF(AND($C160&lt;&gt;"",COUNTIFS(approvals!$A$2:$A$251,$B160,approvals!$B$2:$B$251,$C160)=0),"office not on this campaign (approvals tab); ",""))&amp;IF($E160="","taken date missing; ","")&amp;IF(AND($H160&lt;&gt;"",$H160&lt;&gt;$P160),"file name differs from the convention; ","")&amp;IF(AND($D160="placement",$O160="Y",COUNTIF(photos!$R$2:$R$701,$R160)&gt;1),"two usable placement photos: mark one N; ","")&amp;IF($K160&lt;&gt;"Y","info: not usable (a person, screen or whiteboard may show): never used, delete the file; ","")&amp;IF(AND($D160="placement",$J160&lt;&gt;"Y"),"info: not usable as a placement photo (no card); ","")&amp;IF(AND($D160="placement",N($N160)&gt;2),"info: placed after the first business day; ","")&amp;IF(AND($D160="later",$N160&lt;&gt;"",OR(N($N160)&lt;3,N($N160)&gt;5)),"info: later photo outside day 3 to 5; ",""))</f>
        <v/>
      </c>
      <c r="R160" s="25">
        <f>IF($B160="","",$B160&amp;"|"&amp;$C160&amp;"|"&amp;$D160&amp;"|"&amp;$O160)</f>
        <v/>
      </c>
      <c r="S160" s="25">
        <f>IF($B160="","",$R160&amp;"|"&amp;N($E160))</f>
        <v/>
      </c>
    </row>
    <row r="161">
      <c r="E161" s="9" t="n"/>
      <c r="F161" s="33" t="n"/>
      <c r="I161" s="9" t="n"/>
      <c r="M161" s="26">
        <f>IF($B161="","",IFERROR(IF(INDEX(campaigns!$BG$2:$BG$51,MATCH($B161,campaigns!$A$2:$A$51,0))="","",INDEX(campaigns!$BG$2:$BG$51,MATCH($B161,campaigns!$A$2:$A$51,0))),""))</f>
        <v/>
      </c>
      <c r="N161" s="25">
        <f>IF(OR($B161="",$E161="",$M161=""),"",IF($E161&lt;$M161,0,NETWORKDAYS($M161,$E161,calendar!$A$2:$A$80)))</f>
        <v/>
      </c>
      <c r="O161" s="25">
        <f>IF($B161="","",IF(AND($K161="Y",OR($D161="later",$J161="Y")),"Y","N"))</f>
        <v/>
      </c>
      <c r="P161" s="25">
        <f>IF(OR($B161="",$E161=""),"",$B161&amp;"_"&amp;$C161&amp;"_"&amp;$D161&amp;"_"&amp;TEXT($E161,"yyyy-mm-dd")&amp;".jpg")</f>
        <v/>
      </c>
      <c r="Q161" s="25">
        <f>IF($B161="","",IF(COUNTIF(campaigns!$A$2:$A$51,$B161)=0,"campaign_id not on campaigns; ",IF(AND($C161&lt;&gt;"",COUNTIFS(approvals!$A$2:$A$251,$B161,approvals!$B$2:$B$251,$C161)=0),"office not on this campaign (approvals tab); ",""))&amp;IF($E161="","taken date missing; ","")&amp;IF(AND($H161&lt;&gt;"",$H161&lt;&gt;$P161),"file name differs from the convention; ","")&amp;IF(AND($D161="placement",$O161="Y",COUNTIF(photos!$R$2:$R$701,$R161)&gt;1),"two usable placement photos: mark one N; ","")&amp;IF($K161&lt;&gt;"Y","info: not usable (a person, screen or whiteboard may show): never used, delete the file; ","")&amp;IF(AND($D161="placement",$J161&lt;&gt;"Y"),"info: not usable as a placement photo (no card); ","")&amp;IF(AND($D161="placement",N($N161)&gt;2),"info: placed after the first business day; ","")&amp;IF(AND($D161="later",$N161&lt;&gt;"",OR(N($N161)&lt;3,N($N161)&gt;5)),"info: later photo outside day 3 to 5; ",""))</f>
        <v/>
      </c>
      <c r="R161" s="25">
        <f>IF($B161="","",$B161&amp;"|"&amp;$C161&amp;"|"&amp;$D161&amp;"|"&amp;$O161)</f>
        <v/>
      </c>
      <c r="S161" s="25">
        <f>IF($B161="","",$R161&amp;"|"&amp;N($E161))</f>
        <v/>
      </c>
    </row>
    <row r="162">
      <c r="E162" s="9" t="n"/>
      <c r="F162" s="33" t="n"/>
      <c r="I162" s="9" t="n"/>
      <c r="M162" s="26">
        <f>IF($B162="","",IFERROR(IF(INDEX(campaigns!$BG$2:$BG$51,MATCH($B162,campaigns!$A$2:$A$51,0))="","",INDEX(campaigns!$BG$2:$BG$51,MATCH($B162,campaigns!$A$2:$A$51,0))),""))</f>
        <v/>
      </c>
      <c r="N162" s="25">
        <f>IF(OR($B162="",$E162="",$M162=""),"",IF($E162&lt;$M162,0,NETWORKDAYS($M162,$E162,calendar!$A$2:$A$80)))</f>
        <v/>
      </c>
      <c r="O162" s="25">
        <f>IF($B162="","",IF(AND($K162="Y",OR($D162="later",$J162="Y")),"Y","N"))</f>
        <v/>
      </c>
      <c r="P162" s="25">
        <f>IF(OR($B162="",$E162=""),"",$B162&amp;"_"&amp;$C162&amp;"_"&amp;$D162&amp;"_"&amp;TEXT($E162,"yyyy-mm-dd")&amp;".jpg")</f>
        <v/>
      </c>
      <c r="Q162" s="25">
        <f>IF($B162="","",IF(COUNTIF(campaigns!$A$2:$A$51,$B162)=0,"campaign_id not on campaigns; ",IF(AND($C162&lt;&gt;"",COUNTIFS(approvals!$A$2:$A$251,$B162,approvals!$B$2:$B$251,$C162)=0),"office not on this campaign (approvals tab); ",""))&amp;IF($E162="","taken date missing; ","")&amp;IF(AND($H162&lt;&gt;"",$H162&lt;&gt;$P162),"file name differs from the convention; ","")&amp;IF(AND($D162="placement",$O162="Y",COUNTIF(photos!$R$2:$R$701,$R162)&gt;1),"two usable placement photos: mark one N; ","")&amp;IF($K162&lt;&gt;"Y","info: not usable (a person, screen or whiteboard may show): never used, delete the file; ","")&amp;IF(AND($D162="placement",$J162&lt;&gt;"Y"),"info: not usable as a placement photo (no card); ","")&amp;IF(AND($D162="placement",N($N162)&gt;2),"info: placed after the first business day; ","")&amp;IF(AND($D162="later",$N162&lt;&gt;"",OR(N($N162)&lt;3,N($N162)&gt;5)),"info: later photo outside day 3 to 5; ",""))</f>
        <v/>
      </c>
      <c r="R162" s="25">
        <f>IF($B162="","",$B162&amp;"|"&amp;$C162&amp;"|"&amp;$D162&amp;"|"&amp;$O162)</f>
        <v/>
      </c>
      <c r="S162" s="25">
        <f>IF($B162="","",$R162&amp;"|"&amp;N($E162))</f>
        <v/>
      </c>
    </row>
    <row r="163">
      <c r="E163" s="9" t="n"/>
      <c r="F163" s="33" t="n"/>
      <c r="I163" s="9" t="n"/>
      <c r="M163" s="26">
        <f>IF($B163="","",IFERROR(IF(INDEX(campaigns!$BG$2:$BG$51,MATCH($B163,campaigns!$A$2:$A$51,0))="","",INDEX(campaigns!$BG$2:$BG$51,MATCH($B163,campaigns!$A$2:$A$51,0))),""))</f>
        <v/>
      </c>
      <c r="N163" s="25">
        <f>IF(OR($B163="",$E163="",$M163=""),"",IF($E163&lt;$M163,0,NETWORKDAYS($M163,$E163,calendar!$A$2:$A$80)))</f>
        <v/>
      </c>
      <c r="O163" s="25">
        <f>IF($B163="","",IF(AND($K163="Y",OR($D163="later",$J163="Y")),"Y","N"))</f>
        <v/>
      </c>
      <c r="P163" s="25">
        <f>IF(OR($B163="",$E163=""),"",$B163&amp;"_"&amp;$C163&amp;"_"&amp;$D163&amp;"_"&amp;TEXT($E163,"yyyy-mm-dd")&amp;".jpg")</f>
        <v/>
      </c>
      <c r="Q163" s="25">
        <f>IF($B163="","",IF(COUNTIF(campaigns!$A$2:$A$51,$B163)=0,"campaign_id not on campaigns; ",IF(AND($C163&lt;&gt;"",COUNTIFS(approvals!$A$2:$A$251,$B163,approvals!$B$2:$B$251,$C163)=0),"office not on this campaign (approvals tab); ",""))&amp;IF($E163="","taken date missing; ","")&amp;IF(AND($H163&lt;&gt;"",$H163&lt;&gt;$P163),"file name differs from the convention; ","")&amp;IF(AND($D163="placement",$O163="Y",COUNTIF(photos!$R$2:$R$701,$R163)&gt;1),"two usable placement photos: mark one N; ","")&amp;IF($K163&lt;&gt;"Y","info: not usable (a person, screen or whiteboard may show): never used, delete the file; ","")&amp;IF(AND($D163="placement",$J163&lt;&gt;"Y"),"info: not usable as a placement photo (no card); ","")&amp;IF(AND($D163="placement",N($N163)&gt;2),"info: placed after the first business day; ","")&amp;IF(AND($D163="later",$N163&lt;&gt;"",OR(N($N163)&lt;3,N($N163)&gt;5)),"info: later photo outside day 3 to 5; ",""))</f>
        <v/>
      </c>
      <c r="R163" s="25">
        <f>IF($B163="","",$B163&amp;"|"&amp;$C163&amp;"|"&amp;$D163&amp;"|"&amp;$O163)</f>
        <v/>
      </c>
      <c r="S163" s="25">
        <f>IF($B163="","",$R163&amp;"|"&amp;N($E163))</f>
        <v/>
      </c>
    </row>
    <row r="164">
      <c r="E164" s="9" t="n"/>
      <c r="F164" s="33" t="n"/>
      <c r="I164" s="9" t="n"/>
      <c r="M164" s="26">
        <f>IF($B164="","",IFERROR(IF(INDEX(campaigns!$BG$2:$BG$51,MATCH($B164,campaigns!$A$2:$A$51,0))="","",INDEX(campaigns!$BG$2:$BG$51,MATCH($B164,campaigns!$A$2:$A$51,0))),""))</f>
        <v/>
      </c>
      <c r="N164" s="25">
        <f>IF(OR($B164="",$E164="",$M164=""),"",IF($E164&lt;$M164,0,NETWORKDAYS($M164,$E164,calendar!$A$2:$A$80)))</f>
        <v/>
      </c>
      <c r="O164" s="25">
        <f>IF($B164="","",IF(AND($K164="Y",OR($D164="later",$J164="Y")),"Y","N"))</f>
        <v/>
      </c>
      <c r="P164" s="25">
        <f>IF(OR($B164="",$E164=""),"",$B164&amp;"_"&amp;$C164&amp;"_"&amp;$D164&amp;"_"&amp;TEXT($E164,"yyyy-mm-dd")&amp;".jpg")</f>
        <v/>
      </c>
      <c r="Q164" s="25">
        <f>IF($B164="","",IF(COUNTIF(campaigns!$A$2:$A$51,$B164)=0,"campaign_id not on campaigns; ",IF(AND($C164&lt;&gt;"",COUNTIFS(approvals!$A$2:$A$251,$B164,approvals!$B$2:$B$251,$C164)=0),"office not on this campaign (approvals tab); ",""))&amp;IF($E164="","taken date missing; ","")&amp;IF(AND($H164&lt;&gt;"",$H164&lt;&gt;$P164),"file name differs from the convention; ","")&amp;IF(AND($D164="placement",$O164="Y",COUNTIF(photos!$R$2:$R$701,$R164)&gt;1),"two usable placement photos: mark one N; ","")&amp;IF($K164&lt;&gt;"Y","info: not usable (a person, screen or whiteboard may show): never used, delete the file; ","")&amp;IF(AND($D164="placement",$J164&lt;&gt;"Y"),"info: not usable as a placement photo (no card); ","")&amp;IF(AND($D164="placement",N($N164)&gt;2),"info: placed after the first business day; ","")&amp;IF(AND($D164="later",$N164&lt;&gt;"",OR(N($N164)&lt;3,N($N164)&gt;5)),"info: later photo outside day 3 to 5; ",""))</f>
        <v/>
      </c>
      <c r="R164" s="25">
        <f>IF($B164="","",$B164&amp;"|"&amp;$C164&amp;"|"&amp;$D164&amp;"|"&amp;$O164)</f>
        <v/>
      </c>
      <c r="S164" s="25">
        <f>IF($B164="","",$R164&amp;"|"&amp;N($E164))</f>
        <v/>
      </c>
    </row>
    <row r="165">
      <c r="E165" s="9" t="n"/>
      <c r="F165" s="33" t="n"/>
      <c r="I165" s="9" t="n"/>
      <c r="M165" s="26">
        <f>IF($B165="","",IFERROR(IF(INDEX(campaigns!$BG$2:$BG$51,MATCH($B165,campaigns!$A$2:$A$51,0))="","",INDEX(campaigns!$BG$2:$BG$51,MATCH($B165,campaigns!$A$2:$A$51,0))),""))</f>
        <v/>
      </c>
      <c r="N165" s="25">
        <f>IF(OR($B165="",$E165="",$M165=""),"",IF($E165&lt;$M165,0,NETWORKDAYS($M165,$E165,calendar!$A$2:$A$80)))</f>
        <v/>
      </c>
      <c r="O165" s="25">
        <f>IF($B165="","",IF(AND($K165="Y",OR($D165="later",$J165="Y")),"Y","N"))</f>
        <v/>
      </c>
      <c r="P165" s="25">
        <f>IF(OR($B165="",$E165=""),"",$B165&amp;"_"&amp;$C165&amp;"_"&amp;$D165&amp;"_"&amp;TEXT($E165,"yyyy-mm-dd")&amp;".jpg")</f>
        <v/>
      </c>
      <c r="Q165" s="25">
        <f>IF($B165="","",IF(COUNTIF(campaigns!$A$2:$A$51,$B165)=0,"campaign_id not on campaigns; ",IF(AND($C165&lt;&gt;"",COUNTIFS(approvals!$A$2:$A$251,$B165,approvals!$B$2:$B$251,$C165)=0),"office not on this campaign (approvals tab); ",""))&amp;IF($E165="","taken date missing; ","")&amp;IF(AND($H165&lt;&gt;"",$H165&lt;&gt;$P165),"file name differs from the convention; ","")&amp;IF(AND($D165="placement",$O165="Y",COUNTIF(photos!$R$2:$R$701,$R165)&gt;1),"two usable placement photos: mark one N; ","")&amp;IF($K165&lt;&gt;"Y","info: not usable (a person, screen or whiteboard may show): never used, delete the file; ","")&amp;IF(AND($D165="placement",$J165&lt;&gt;"Y"),"info: not usable as a placement photo (no card); ","")&amp;IF(AND($D165="placement",N($N165)&gt;2),"info: placed after the first business day; ","")&amp;IF(AND($D165="later",$N165&lt;&gt;"",OR(N($N165)&lt;3,N($N165)&gt;5)),"info: later photo outside day 3 to 5; ",""))</f>
        <v/>
      </c>
      <c r="R165" s="25">
        <f>IF($B165="","",$B165&amp;"|"&amp;$C165&amp;"|"&amp;$D165&amp;"|"&amp;$O165)</f>
        <v/>
      </c>
      <c r="S165" s="25">
        <f>IF($B165="","",$R165&amp;"|"&amp;N($E165))</f>
        <v/>
      </c>
    </row>
    <row r="166">
      <c r="E166" s="9" t="n"/>
      <c r="F166" s="33" t="n"/>
      <c r="I166" s="9" t="n"/>
      <c r="M166" s="26">
        <f>IF($B166="","",IFERROR(IF(INDEX(campaigns!$BG$2:$BG$51,MATCH($B166,campaigns!$A$2:$A$51,0))="","",INDEX(campaigns!$BG$2:$BG$51,MATCH($B166,campaigns!$A$2:$A$51,0))),""))</f>
        <v/>
      </c>
      <c r="N166" s="25">
        <f>IF(OR($B166="",$E166="",$M166=""),"",IF($E166&lt;$M166,0,NETWORKDAYS($M166,$E166,calendar!$A$2:$A$80)))</f>
        <v/>
      </c>
      <c r="O166" s="25">
        <f>IF($B166="","",IF(AND($K166="Y",OR($D166="later",$J166="Y")),"Y","N"))</f>
        <v/>
      </c>
      <c r="P166" s="25">
        <f>IF(OR($B166="",$E166=""),"",$B166&amp;"_"&amp;$C166&amp;"_"&amp;$D166&amp;"_"&amp;TEXT($E166,"yyyy-mm-dd")&amp;".jpg")</f>
        <v/>
      </c>
      <c r="Q166" s="25">
        <f>IF($B166="","",IF(COUNTIF(campaigns!$A$2:$A$51,$B166)=0,"campaign_id not on campaigns; ",IF(AND($C166&lt;&gt;"",COUNTIFS(approvals!$A$2:$A$251,$B166,approvals!$B$2:$B$251,$C166)=0),"office not on this campaign (approvals tab); ",""))&amp;IF($E166="","taken date missing; ","")&amp;IF(AND($H166&lt;&gt;"",$H166&lt;&gt;$P166),"file name differs from the convention; ","")&amp;IF(AND($D166="placement",$O166="Y",COUNTIF(photos!$R$2:$R$701,$R166)&gt;1),"two usable placement photos: mark one N; ","")&amp;IF($K166&lt;&gt;"Y","info: not usable (a person, screen or whiteboard may show): never used, delete the file; ","")&amp;IF(AND($D166="placement",$J166&lt;&gt;"Y"),"info: not usable as a placement photo (no card); ","")&amp;IF(AND($D166="placement",N($N166)&gt;2),"info: placed after the first business day; ","")&amp;IF(AND($D166="later",$N166&lt;&gt;"",OR(N($N166)&lt;3,N($N166)&gt;5)),"info: later photo outside day 3 to 5; ",""))</f>
        <v/>
      </c>
      <c r="R166" s="25">
        <f>IF($B166="","",$B166&amp;"|"&amp;$C166&amp;"|"&amp;$D166&amp;"|"&amp;$O166)</f>
        <v/>
      </c>
      <c r="S166" s="25">
        <f>IF($B166="","",$R166&amp;"|"&amp;N($E166))</f>
        <v/>
      </c>
    </row>
    <row r="167">
      <c r="E167" s="9" t="n"/>
      <c r="F167" s="33" t="n"/>
      <c r="I167" s="9" t="n"/>
      <c r="M167" s="26">
        <f>IF($B167="","",IFERROR(IF(INDEX(campaigns!$BG$2:$BG$51,MATCH($B167,campaigns!$A$2:$A$51,0))="","",INDEX(campaigns!$BG$2:$BG$51,MATCH($B167,campaigns!$A$2:$A$51,0))),""))</f>
        <v/>
      </c>
      <c r="N167" s="25">
        <f>IF(OR($B167="",$E167="",$M167=""),"",IF($E167&lt;$M167,0,NETWORKDAYS($M167,$E167,calendar!$A$2:$A$80)))</f>
        <v/>
      </c>
      <c r="O167" s="25">
        <f>IF($B167="","",IF(AND($K167="Y",OR($D167="later",$J167="Y")),"Y","N"))</f>
        <v/>
      </c>
      <c r="P167" s="25">
        <f>IF(OR($B167="",$E167=""),"",$B167&amp;"_"&amp;$C167&amp;"_"&amp;$D167&amp;"_"&amp;TEXT($E167,"yyyy-mm-dd")&amp;".jpg")</f>
        <v/>
      </c>
      <c r="Q167" s="25">
        <f>IF($B167="","",IF(COUNTIF(campaigns!$A$2:$A$51,$B167)=0,"campaign_id not on campaigns; ",IF(AND($C167&lt;&gt;"",COUNTIFS(approvals!$A$2:$A$251,$B167,approvals!$B$2:$B$251,$C167)=0),"office not on this campaign (approvals tab); ",""))&amp;IF($E167="","taken date missing; ","")&amp;IF(AND($H167&lt;&gt;"",$H167&lt;&gt;$P167),"file name differs from the convention; ","")&amp;IF(AND($D167="placement",$O167="Y",COUNTIF(photos!$R$2:$R$701,$R167)&gt;1),"two usable placement photos: mark one N; ","")&amp;IF($K167&lt;&gt;"Y","info: not usable (a person, screen or whiteboard may show): never used, delete the file; ","")&amp;IF(AND($D167="placement",$J167&lt;&gt;"Y"),"info: not usable as a placement photo (no card); ","")&amp;IF(AND($D167="placement",N($N167)&gt;2),"info: placed after the first business day; ","")&amp;IF(AND($D167="later",$N167&lt;&gt;"",OR(N($N167)&lt;3,N($N167)&gt;5)),"info: later photo outside day 3 to 5; ",""))</f>
        <v/>
      </c>
      <c r="R167" s="25">
        <f>IF($B167="","",$B167&amp;"|"&amp;$C167&amp;"|"&amp;$D167&amp;"|"&amp;$O167)</f>
        <v/>
      </c>
      <c r="S167" s="25">
        <f>IF($B167="","",$R167&amp;"|"&amp;N($E167))</f>
        <v/>
      </c>
    </row>
    <row r="168">
      <c r="E168" s="9" t="n"/>
      <c r="F168" s="33" t="n"/>
      <c r="I168" s="9" t="n"/>
      <c r="M168" s="26">
        <f>IF($B168="","",IFERROR(IF(INDEX(campaigns!$BG$2:$BG$51,MATCH($B168,campaigns!$A$2:$A$51,0))="","",INDEX(campaigns!$BG$2:$BG$51,MATCH($B168,campaigns!$A$2:$A$51,0))),""))</f>
        <v/>
      </c>
      <c r="N168" s="25">
        <f>IF(OR($B168="",$E168="",$M168=""),"",IF($E168&lt;$M168,0,NETWORKDAYS($M168,$E168,calendar!$A$2:$A$80)))</f>
        <v/>
      </c>
      <c r="O168" s="25">
        <f>IF($B168="","",IF(AND($K168="Y",OR($D168="later",$J168="Y")),"Y","N"))</f>
        <v/>
      </c>
      <c r="P168" s="25">
        <f>IF(OR($B168="",$E168=""),"",$B168&amp;"_"&amp;$C168&amp;"_"&amp;$D168&amp;"_"&amp;TEXT($E168,"yyyy-mm-dd")&amp;".jpg")</f>
        <v/>
      </c>
      <c r="Q168" s="25">
        <f>IF($B168="","",IF(COUNTIF(campaigns!$A$2:$A$51,$B168)=0,"campaign_id not on campaigns; ",IF(AND($C168&lt;&gt;"",COUNTIFS(approvals!$A$2:$A$251,$B168,approvals!$B$2:$B$251,$C168)=0),"office not on this campaign (approvals tab); ",""))&amp;IF($E168="","taken date missing; ","")&amp;IF(AND($H168&lt;&gt;"",$H168&lt;&gt;$P168),"file name differs from the convention; ","")&amp;IF(AND($D168="placement",$O168="Y",COUNTIF(photos!$R$2:$R$701,$R168)&gt;1),"two usable placement photos: mark one N; ","")&amp;IF($K168&lt;&gt;"Y","info: not usable (a person, screen or whiteboard may show): never used, delete the file; ","")&amp;IF(AND($D168="placement",$J168&lt;&gt;"Y"),"info: not usable as a placement photo (no card); ","")&amp;IF(AND($D168="placement",N($N168)&gt;2),"info: placed after the first business day; ","")&amp;IF(AND($D168="later",$N168&lt;&gt;"",OR(N($N168)&lt;3,N($N168)&gt;5)),"info: later photo outside day 3 to 5; ",""))</f>
        <v/>
      </c>
      <c r="R168" s="25">
        <f>IF($B168="","",$B168&amp;"|"&amp;$C168&amp;"|"&amp;$D168&amp;"|"&amp;$O168)</f>
        <v/>
      </c>
      <c r="S168" s="25">
        <f>IF($B168="","",$R168&amp;"|"&amp;N($E168))</f>
        <v/>
      </c>
    </row>
    <row r="169">
      <c r="E169" s="9" t="n"/>
      <c r="F169" s="33" t="n"/>
      <c r="I169" s="9" t="n"/>
      <c r="M169" s="26">
        <f>IF($B169="","",IFERROR(IF(INDEX(campaigns!$BG$2:$BG$51,MATCH($B169,campaigns!$A$2:$A$51,0))="","",INDEX(campaigns!$BG$2:$BG$51,MATCH($B169,campaigns!$A$2:$A$51,0))),""))</f>
        <v/>
      </c>
      <c r="N169" s="25">
        <f>IF(OR($B169="",$E169="",$M169=""),"",IF($E169&lt;$M169,0,NETWORKDAYS($M169,$E169,calendar!$A$2:$A$80)))</f>
        <v/>
      </c>
      <c r="O169" s="25">
        <f>IF($B169="","",IF(AND($K169="Y",OR($D169="later",$J169="Y")),"Y","N"))</f>
        <v/>
      </c>
      <c r="P169" s="25">
        <f>IF(OR($B169="",$E169=""),"",$B169&amp;"_"&amp;$C169&amp;"_"&amp;$D169&amp;"_"&amp;TEXT($E169,"yyyy-mm-dd")&amp;".jpg")</f>
        <v/>
      </c>
      <c r="Q169" s="25">
        <f>IF($B169="","",IF(COUNTIF(campaigns!$A$2:$A$51,$B169)=0,"campaign_id not on campaigns; ",IF(AND($C169&lt;&gt;"",COUNTIFS(approvals!$A$2:$A$251,$B169,approvals!$B$2:$B$251,$C169)=0),"office not on this campaign (approvals tab); ",""))&amp;IF($E169="","taken date missing; ","")&amp;IF(AND($H169&lt;&gt;"",$H169&lt;&gt;$P169),"file name differs from the convention; ","")&amp;IF(AND($D169="placement",$O169="Y",COUNTIF(photos!$R$2:$R$701,$R169)&gt;1),"two usable placement photos: mark one N; ","")&amp;IF($K169&lt;&gt;"Y","info: not usable (a person, screen or whiteboard may show): never used, delete the file; ","")&amp;IF(AND($D169="placement",$J169&lt;&gt;"Y"),"info: not usable as a placement photo (no card); ","")&amp;IF(AND($D169="placement",N($N169)&gt;2),"info: placed after the first business day; ","")&amp;IF(AND($D169="later",$N169&lt;&gt;"",OR(N($N169)&lt;3,N($N169)&gt;5)),"info: later photo outside day 3 to 5; ",""))</f>
        <v/>
      </c>
      <c r="R169" s="25">
        <f>IF($B169="","",$B169&amp;"|"&amp;$C169&amp;"|"&amp;$D169&amp;"|"&amp;$O169)</f>
        <v/>
      </c>
      <c r="S169" s="25">
        <f>IF($B169="","",$R169&amp;"|"&amp;N($E169))</f>
        <v/>
      </c>
    </row>
    <row r="170">
      <c r="E170" s="9" t="n"/>
      <c r="F170" s="33" t="n"/>
      <c r="I170" s="9" t="n"/>
      <c r="M170" s="26">
        <f>IF($B170="","",IFERROR(IF(INDEX(campaigns!$BG$2:$BG$51,MATCH($B170,campaigns!$A$2:$A$51,0))="","",INDEX(campaigns!$BG$2:$BG$51,MATCH($B170,campaigns!$A$2:$A$51,0))),""))</f>
        <v/>
      </c>
      <c r="N170" s="25">
        <f>IF(OR($B170="",$E170="",$M170=""),"",IF($E170&lt;$M170,0,NETWORKDAYS($M170,$E170,calendar!$A$2:$A$80)))</f>
        <v/>
      </c>
      <c r="O170" s="25">
        <f>IF($B170="","",IF(AND($K170="Y",OR($D170="later",$J170="Y")),"Y","N"))</f>
        <v/>
      </c>
      <c r="P170" s="25">
        <f>IF(OR($B170="",$E170=""),"",$B170&amp;"_"&amp;$C170&amp;"_"&amp;$D170&amp;"_"&amp;TEXT($E170,"yyyy-mm-dd")&amp;".jpg")</f>
        <v/>
      </c>
      <c r="Q170" s="25">
        <f>IF($B170="","",IF(COUNTIF(campaigns!$A$2:$A$51,$B170)=0,"campaign_id not on campaigns; ",IF(AND($C170&lt;&gt;"",COUNTIFS(approvals!$A$2:$A$251,$B170,approvals!$B$2:$B$251,$C170)=0),"office not on this campaign (approvals tab); ",""))&amp;IF($E170="","taken date missing; ","")&amp;IF(AND($H170&lt;&gt;"",$H170&lt;&gt;$P170),"file name differs from the convention; ","")&amp;IF(AND($D170="placement",$O170="Y",COUNTIF(photos!$R$2:$R$701,$R170)&gt;1),"two usable placement photos: mark one N; ","")&amp;IF($K170&lt;&gt;"Y","info: not usable (a person, screen or whiteboard may show): never used, delete the file; ","")&amp;IF(AND($D170="placement",$J170&lt;&gt;"Y"),"info: not usable as a placement photo (no card); ","")&amp;IF(AND($D170="placement",N($N170)&gt;2),"info: placed after the first business day; ","")&amp;IF(AND($D170="later",$N170&lt;&gt;"",OR(N($N170)&lt;3,N($N170)&gt;5)),"info: later photo outside day 3 to 5; ",""))</f>
        <v/>
      </c>
      <c r="R170" s="25">
        <f>IF($B170="","",$B170&amp;"|"&amp;$C170&amp;"|"&amp;$D170&amp;"|"&amp;$O170)</f>
        <v/>
      </c>
      <c r="S170" s="25">
        <f>IF($B170="","",$R170&amp;"|"&amp;N($E170))</f>
        <v/>
      </c>
    </row>
    <row r="171">
      <c r="E171" s="9" t="n"/>
      <c r="F171" s="33" t="n"/>
      <c r="I171" s="9" t="n"/>
      <c r="M171" s="26">
        <f>IF($B171="","",IFERROR(IF(INDEX(campaigns!$BG$2:$BG$51,MATCH($B171,campaigns!$A$2:$A$51,0))="","",INDEX(campaigns!$BG$2:$BG$51,MATCH($B171,campaigns!$A$2:$A$51,0))),""))</f>
        <v/>
      </c>
      <c r="N171" s="25">
        <f>IF(OR($B171="",$E171="",$M171=""),"",IF($E171&lt;$M171,0,NETWORKDAYS($M171,$E171,calendar!$A$2:$A$80)))</f>
        <v/>
      </c>
      <c r="O171" s="25">
        <f>IF($B171="","",IF(AND($K171="Y",OR($D171="later",$J171="Y")),"Y","N"))</f>
        <v/>
      </c>
      <c r="P171" s="25">
        <f>IF(OR($B171="",$E171=""),"",$B171&amp;"_"&amp;$C171&amp;"_"&amp;$D171&amp;"_"&amp;TEXT($E171,"yyyy-mm-dd")&amp;".jpg")</f>
        <v/>
      </c>
      <c r="Q171" s="25">
        <f>IF($B171="","",IF(COUNTIF(campaigns!$A$2:$A$51,$B171)=0,"campaign_id not on campaigns; ",IF(AND($C171&lt;&gt;"",COUNTIFS(approvals!$A$2:$A$251,$B171,approvals!$B$2:$B$251,$C171)=0),"office not on this campaign (approvals tab); ",""))&amp;IF($E171="","taken date missing; ","")&amp;IF(AND($H171&lt;&gt;"",$H171&lt;&gt;$P171),"file name differs from the convention; ","")&amp;IF(AND($D171="placement",$O171="Y",COUNTIF(photos!$R$2:$R$701,$R171)&gt;1),"two usable placement photos: mark one N; ","")&amp;IF($K171&lt;&gt;"Y","info: not usable (a person, screen or whiteboard may show): never used, delete the file; ","")&amp;IF(AND($D171="placement",$J171&lt;&gt;"Y"),"info: not usable as a placement photo (no card); ","")&amp;IF(AND($D171="placement",N($N171)&gt;2),"info: placed after the first business day; ","")&amp;IF(AND($D171="later",$N171&lt;&gt;"",OR(N($N171)&lt;3,N($N171)&gt;5)),"info: later photo outside day 3 to 5; ",""))</f>
        <v/>
      </c>
      <c r="R171" s="25">
        <f>IF($B171="","",$B171&amp;"|"&amp;$C171&amp;"|"&amp;$D171&amp;"|"&amp;$O171)</f>
        <v/>
      </c>
      <c r="S171" s="25">
        <f>IF($B171="","",$R171&amp;"|"&amp;N($E171))</f>
        <v/>
      </c>
    </row>
    <row r="172">
      <c r="E172" s="9" t="n"/>
      <c r="F172" s="33" t="n"/>
      <c r="I172" s="9" t="n"/>
      <c r="M172" s="26">
        <f>IF($B172="","",IFERROR(IF(INDEX(campaigns!$BG$2:$BG$51,MATCH($B172,campaigns!$A$2:$A$51,0))="","",INDEX(campaigns!$BG$2:$BG$51,MATCH($B172,campaigns!$A$2:$A$51,0))),""))</f>
        <v/>
      </c>
      <c r="N172" s="25">
        <f>IF(OR($B172="",$E172="",$M172=""),"",IF($E172&lt;$M172,0,NETWORKDAYS($M172,$E172,calendar!$A$2:$A$80)))</f>
        <v/>
      </c>
      <c r="O172" s="25">
        <f>IF($B172="","",IF(AND($K172="Y",OR($D172="later",$J172="Y")),"Y","N"))</f>
        <v/>
      </c>
      <c r="P172" s="25">
        <f>IF(OR($B172="",$E172=""),"",$B172&amp;"_"&amp;$C172&amp;"_"&amp;$D172&amp;"_"&amp;TEXT($E172,"yyyy-mm-dd")&amp;".jpg")</f>
        <v/>
      </c>
      <c r="Q172" s="25">
        <f>IF($B172="","",IF(COUNTIF(campaigns!$A$2:$A$51,$B172)=0,"campaign_id not on campaigns; ",IF(AND($C172&lt;&gt;"",COUNTIFS(approvals!$A$2:$A$251,$B172,approvals!$B$2:$B$251,$C172)=0),"office not on this campaign (approvals tab); ",""))&amp;IF($E172="","taken date missing; ","")&amp;IF(AND($H172&lt;&gt;"",$H172&lt;&gt;$P172),"file name differs from the convention; ","")&amp;IF(AND($D172="placement",$O172="Y",COUNTIF(photos!$R$2:$R$701,$R172)&gt;1),"two usable placement photos: mark one N; ","")&amp;IF($K172&lt;&gt;"Y","info: not usable (a person, screen or whiteboard may show): never used, delete the file; ","")&amp;IF(AND($D172="placement",$J172&lt;&gt;"Y"),"info: not usable as a placement photo (no card); ","")&amp;IF(AND($D172="placement",N($N172)&gt;2),"info: placed after the first business day; ","")&amp;IF(AND($D172="later",$N172&lt;&gt;"",OR(N($N172)&lt;3,N($N172)&gt;5)),"info: later photo outside day 3 to 5; ",""))</f>
        <v/>
      </c>
      <c r="R172" s="25">
        <f>IF($B172="","",$B172&amp;"|"&amp;$C172&amp;"|"&amp;$D172&amp;"|"&amp;$O172)</f>
        <v/>
      </c>
      <c r="S172" s="25">
        <f>IF($B172="","",$R172&amp;"|"&amp;N($E172))</f>
        <v/>
      </c>
    </row>
    <row r="173">
      <c r="E173" s="9" t="n"/>
      <c r="F173" s="33" t="n"/>
      <c r="I173" s="9" t="n"/>
      <c r="M173" s="26">
        <f>IF($B173="","",IFERROR(IF(INDEX(campaigns!$BG$2:$BG$51,MATCH($B173,campaigns!$A$2:$A$51,0))="","",INDEX(campaigns!$BG$2:$BG$51,MATCH($B173,campaigns!$A$2:$A$51,0))),""))</f>
        <v/>
      </c>
      <c r="N173" s="25">
        <f>IF(OR($B173="",$E173="",$M173=""),"",IF($E173&lt;$M173,0,NETWORKDAYS($M173,$E173,calendar!$A$2:$A$80)))</f>
        <v/>
      </c>
      <c r="O173" s="25">
        <f>IF($B173="","",IF(AND($K173="Y",OR($D173="later",$J173="Y")),"Y","N"))</f>
        <v/>
      </c>
      <c r="P173" s="25">
        <f>IF(OR($B173="",$E173=""),"",$B173&amp;"_"&amp;$C173&amp;"_"&amp;$D173&amp;"_"&amp;TEXT($E173,"yyyy-mm-dd")&amp;".jpg")</f>
        <v/>
      </c>
      <c r="Q173" s="25">
        <f>IF($B173="","",IF(COUNTIF(campaigns!$A$2:$A$51,$B173)=0,"campaign_id not on campaigns; ",IF(AND($C173&lt;&gt;"",COUNTIFS(approvals!$A$2:$A$251,$B173,approvals!$B$2:$B$251,$C173)=0),"office not on this campaign (approvals tab); ",""))&amp;IF($E173="","taken date missing; ","")&amp;IF(AND($H173&lt;&gt;"",$H173&lt;&gt;$P173),"file name differs from the convention; ","")&amp;IF(AND($D173="placement",$O173="Y",COUNTIF(photos!$R$2:$R$701,$R173)&gt;1),"two usable placement photos: mark one N; ","")&amp;IF($K173&lt;&gt;"Y","info: not usable (a person, screen or whiteboard may show): never used, delete the file; ","")&amp;IF(AND($D173="placement",$J173&lt;&gt;"Y"),"info: not usable as a placement photo (no card); ","")&amp;IF(AND($D173="placement",N($N173)&gt;2),"info: placed after the first business day; ","")&amp;IF(AND($D173="later",$N173&lt;&gt;"",OR(N($N173)&lt;3,N($N173)&gt;5)),"info: later photo outside day 3 to 5; ",""))</f>
        <v/>
      </c>
      <c r="R173" s="25">
        <f>IF($B173="","",$B173&amp;"|"&amp;$C173&amp;"|"&amp;$D173&amp;"|"&amp;$O173)</f>
        <v/>
      </c>
      <c r="S173" s="25">
        <f>IF($B173="","",$R173&amp;"|"&amp;N($E173))</f>
        <v/>
      </c>
    </row>
    <row r="174">
      <c r="E174" s="9" t="n"/>
      <c r="F174" s="33" t="n"/>
      <c r="I174" s="9" t="n"/>
      <c r="M174" s="26">
        <f>IF($B174="","",IFERROR(IF(INDEX(campaigns!$BG$2:$BG$51,MATCH($B174,campaigns!$A$2:$A$51,0))="","",INDEX(campaigns!$BG$2:$BG$51,MATCH($B174,campaigns!$A$2:$A$51,0))),""))</f>
        <v/>
      </c>
      <c r="N174" s="25">
        <f>IF(OR($B174="",$E174="",$M174=""),"",IF($E174&lt;$M174,0,NETWORKDAYS($M174,$E174,calendar!$A$2:$A$80)))</f>
        <v/>
      </c>
      <c r="O174" s="25">
        <f>IF($B174="","",IF(AND($K174="Y",OR($D174="later",$J174="Y")),"Y","N"))</f>
        <v/>
      </c>
      <c r="P174" s="25">
        <f>IF(OR($B174="",$E174=""),"",$B174&amp;"_"&amp;$C174&amp;"_"&amp;$D174&amp;"_"&amp;TEXT($E174,"yyyy-mm-dd")&amp;".jpg")</f>
        <v/>
      </c>
      <c r="Q174" s="25">
        <f>IF($B174="","",IF(COUNTIF(campaigns!$A$2:$A$51,$B174)=0,"campaign_id not on campaigns; ",IF(AND($C174&lt;&gt;"",COUNTIFS(approvals!$A$2:$A$251,$B174,approvals!$B$2:$B$251,$C174)=0),"office not on this campaign (approvals tab); ",""))&amp;IF($E174="","taken date missing; ","")&amp;IF(AND($H174&lt;&gt;"",$H174&lt;&gt;$P174),"file name differs from the convention; ","")&amp;IF(AND($D174="placement",$O174="Y",COUNTIF(photos!$R$2:$R$701,$R174)&gt;1),"two usable placement photos: mark one N; ","")&amp;IF($K174&lt;&gt;"Y","info: not usable (a person, screen or whiteboard may show): never used, delete the file; ","")&amp;IF(AND($D174="placement",$J174&lt;&gt;"Y"),"info: not usable as a placement photo (no card); ","")&amp;IF(AND($D174="placement",N($N174)&gt;2),"info: placed after the first business day; ","")&amp;IF(AND($D174="later",$N174&lt;&gt;"",OR(N($N174)&lt;3,N($N174)&gt;5)),"info: later photo outside day 3 to 5; ",""))</f>
        <v/>
      </c>
      <c r="R174" s="25">
        <f>IF($B174="","",$B174&amp;"|"&amp;$C174&amp;"|"&amp;$D174&amp;"|"&amp;$O174)</f>
        <v/>
      </c>
      <c r="S174" s="25">
        <f>IF($B174="","",$R174&amp;"|"&amp;N($E174))</f>
        <v/>
      </c>
    </row>
    <row r="175">
      <c r="E175" s="9" t="n"/>
      <c r="F175" s="33" t="n"/>
      <c r="I175" s="9" t="n"/>
      <c r="M175" s="26">
        <f>IF($B175="","",IFERROR(IF(INDEX(campaigns!$BG$2:$BG$51,MATCH($B175,campaigns!$A$2:$A$51,0))="","",INDEX(campaigns!$BG$2:$BG$51,MATCH($B175,campaigns!$A$2:$A$51,0))),""))</f>
        <v/>
      </c>
      <c r="N175" s="25">
        <f>IF(OR($B175="",$E175="",$M175=""),"",IF($E175&lt;$M175,0,NETWORKDAYS($M175,$E175,calendar!$A$2:$A$80)))</f>
        <v/>
      </c>
      <c r="O175" s="25">
        <f>IF($B175="","",IF(AND($K175="Y",OR($D175="later",$J175="Y")),"Y","N"))</f>
        <v/>
      </c>
      <c r="P175" s="25">
        <f>IF(OR($B175="",$E175=""),"",$B175&amp;"_"&amp;$C175&amp;"_"&amp;$D175&amp;"_"&amp;TEXT($E175,"yyyy-mm-dd")&amp;".jpg")</f>
        <v/>
      </c>
      <c r="Q175" s="25">
        <f>IF($B175="","",IF(COUNTIF(campaigns!$A$2:$A$51,$B175)=0,"campaign_id not on campaigns; ",IF(AND($C175&lt;&gt;"",COUNTIFS(approvals!$A$2:$A$251,$B175,approvals!$B$2:$B$251,$C175)=0),"office not on this campaign (approvals tab); ",""))&amp;IF($E175="","taken date missing; ","")&amp;IF(AND($H175&lt;&gt;"",$H175&lt;&gt;$P175),"file name differs from the convention; ","")&amp;IF(AND($D175="placement",$O175="Y",COUNTIF(photos!$R$2:$R$701,$R175)&gt;1),"two usable placement photos: mark one N; ","")&amp;IF($K175&lt;&gt;"Y","info: not usable (a person, screen or whiteboard may show): never used, delete the file; ","")&amp;IF(AND($D175="placement",$J175&lt;&gt;"Y"),"info: not usable as a placement photo (no card); ","")&amp;IF(AND($D175="placement",N($N175)&gt;2),"info: placed after the first business day; ","")&amp;IF(AND($D175="later",$N175&lt;&gt;"",OR(N($N175)&lt;3,N($N175)&gt;5)),"info: later photo outside day 3 to 5; ",""))</f>
        <v/>
      </c>
      <c r="R175" s="25">
        <f>IF($B175="","",$B175&amp;"|"&amp;$C175&amp;"|"&amp;$D175&amp;"|"&amp;$O175)</f>
        <v/>
      </c>
      <c r="S175" s="25">
        <f>IF($B175="","",$R175&amp;"|"&amp;N($E175))</f>
        <v/>
      </c>
    </row>
    <row r="176">
      <c r="E176" s="9" t="n"/>
      <c r="F176" s="33" t="n"/>
      <c r="I176" s="9" t="n"/>
      <c r="M176" s="26">
        <f>IF($B176="","",IFERROR(IF(INDEX(campaigns!$BG$2:$BG$51,MATCH($B176,campaigns!$A$2:$A$51,0))="","",INDEX(campaigns!$BG$2:$BG$51,MATCH($B176,campaigns!$A$2:$A$51,0))),""))</f>
        <v/>
      </c>
      <c r="N176" s="25">
        <f>IF(OR($B176="",$E176="",$M176=""),"",IF($E176&lt;$M176,0,NETWORKDAYS($M176,$E176,calendar!$A$2:$A$80)))</f>
        <v/>
      </c>
      <c r="O176" s="25">
        <f>IF($B176="","",IF(AND($K176="Y",OR($D176="later",$J176="Y")),"Y","N"))</f>
        <v/>
      </c>
      <c r="P176" s="25">
        <f>IF(OR($B176="",$E176=""),"",$B176&amp;"_"&amp;$C176&amp;"_"&amp;$D176&amp;"_"&amp;TEXT($E176,"yyyy-mm-dd")&amp;".jpg")</f>
        <v/>
      </c>
      <c r="Q176" s="25">
        <f>IF($B176="","",IF(COUNTIF(campaigns!$A$2:$A$51,$B176)=0,"campaign_id not on campaigns; ",IF(AND($C176&lt;&gt;"",COUNTIFS(approvals!$A$2:$A$251,$B176,approvals!$B$2:$B$251,$C176)=0),"office not on this campaign (approvals tab); ",""))&amp;IF($E176="","taken date missing; ","")&amp;IF(AND($H176&lt;&gt;"",$H176&lt;&gt;$P176),"file name differs from the convention; ","")&amp;IF(AND($D176="placement",$O176="Y",COUNTIF(photos!$R$2:$R$701,$R176)&gt;1),"two usable placement photos: mark one N; ","")&amp;IF($K176&lt;&gt;"Y","info: not usable (a person, screen or whiteboard may show): never used, delete the file; ","")&amp;IF(AND($D176="placement",$J176&lt;&gt;"Y"),"info: not usable as a placement photo (no card); ","")&amp;IF(AND($D176="placement",N($N176)&gt;2),"info: placed after the first business day; ","")&amp;IF(AND($D176="later",$N176&lt;&gt;"",OR(N($N176)&lt;3,N($N176)&gt;5)),"info: later photo outside day 3 to 5; ",""))</f>
        <v/>
      </c>
      <c r="R176" s="25">
        <f>IF($B176="","",$B176&amp;"|"&amp;$C176&amp;"|"&amp;$D176&amp;"|"&amp;$O176)</f>
        <v/>
      </c>
      <c r="S176" s="25">
        <f>IF($B176="","",$R176&amp;"|"&amp;N($E176))</f>
        <v/>
      </c>
    </row>
    <row r="177">
      <c r="E177" s="9" t="n"/>
      <c r="F177" s="33" t="n"/>
      <c r="I177" s="9" t="n"/>
      <c r="M177" s="26">
        <f>IF($B177="","",IFERROR(IF(INDEX(campaigns!$BG$2:$BG$51,MATCH($B177,campaigns!$A$2:$A$51,0))="","",INDEX(campaigns!$BG$2:$BG$51,MATCH($B177,campaigns!$A$2:$A$51,0))),""))</f>
        <v/>
      </c>
      <c r="N177" s="25">
        <f>IF(OR($B177="",$E177="",$M177=""),"",IF($E177&lt;$M177,0,NETWORKDAYS($M177,$E177,calendar!$A$2:$A$80)))</f>
        <v/>
      </c>
      <c r="O177" s="25">
        <f>IF($B177="","",IF(AND($K177="Y",OR($D177="later",$J177="Y")),"Y","N"))</f>
        <v/>
      </c>
      <c r="P177" s="25">
        <f>IF(OR($B177="",$E177=""),"",$B177&amp;"_"&amp;$C177&amp;"_"&amp;$D177&amp;"_"&amp;TEXT($E177,"yyyy-mm-dd")&amp;".jpg")</f>
        <v/>
      </c>
      <c r="Q177" s="25">
        <f>IF($B177="","",IF(COUNTIF(campaigns!$A$2:$A$51,$B177)=0,"campaign_id not on campaigns; ",IF(AND($C177&lt;&gt;"",COUNTIFS(approvals!$A$2:$A$251,$B177,approvals!$B$2:$B$251,$C177)=0),"office not on this campaign (approvals tab); ",""))&amp;IF($E177="","taken date missing; ","")&amp;IF(AND($H177&lt;&gt;"",$H177&lt;&gt;$P177),"file name differs from the convention; ","")&amp;IF(AND($D177="placement",$O177="Y",COUNTIF(photos!$R$2:$R$701,$R177)&gt;1),"two usable placement photos: mark one N; ","")&amp;IF($K177&lt;&gt;"Y","info: not usable (a person, screen or whiteboard may show): never used, delete the file; ","")&amp;IF(AND($D177="placement",$J177&lt;&gt;"Y"),"info: not usable as a placement photo (no card); ","")&amp;IF(AND($D177="placement",N($N177)&gt;2),"info: placed after the first business day; ","")&amp;IF(AND($D177="later",$N177&lt;&gt;"",OR(N($N177)&lt;3,N($N177)&gt;5)),"info: later photo outside day 3 to 5; ",""))</f>
        <v/>
      </c>
      <c r="R177" s="25">
        <f>IF($B177="","",$B177&amp;"|"&amp;$C177&amp;"|"&amp;$D177&amp;"|"&amp;$O177)</f>
        <v/>
      </c>
      <c r="S177" s="25">
        <f>IF($B177="","",$R177&amp;"|"&amp;N($E177))</f>
        <v/>
      </c>
    </row>
    <row r="178">
      <c r="E178" s="9" t="n"/>
      <c r="F178" s="33" t="n"/>
      <c r="I178" s="9" t="n"/>
      <c r="M178" s="26">
        <f>IF($B178="","",IFERROR(IF(INDEX(campaigns!$BG$2:$BG$51,MATCH($B178,campaigns!$A$2:$A$51,0))="","",INDEX(campaigns!$BG$2:$BG$51,MATCH($B178,campaigns!$A$2:$A$51,0))),""))</f>
        <v/>
      </c>
      <c r="N178" s="25">
        <f>IF(OR($B178="",$E178="",$M178=""),"",IF($E178&lt;$M178,0,NETWORKDAYS($M178,$E178,calendar!$A$2:$A$80)))</f>
        <v/>
      </c>
      <c r="O178" s="25">
        <f>IF($B178="","",IF(AND($K178="Y",OR($D178="later",$J178="Y")),"Y","N"))</f>
        <v/>
      </c>
      <c r="P178" s="25">
        <f>IF(OR($B178="",$E178=""),"",$B178&amp;"_"&amp;$C178&amp;"_"&amp;$D178&amp;"_"&amp;TEXT($E178,"yyyy-mm-dd")&amp;".jpg")</f>
        <v/>
      </c>
      <c r="Q178" s="25">
        <f>IF($B178="","",IF(COUNTIF(campaigns!$A$2:$A$51,$B178)=0,"campaign_id not on campaigns; ",IF(AND($C178&lt;&gt;"",COUNTIFS(approvals!$A$2:$A$251,$B178,approvals!$B$2:$B$251,$C178)=0),"office not on this campaign (approvals tab); ",""))&amp;IF($E178="","taken date missing; ","")&amp;IF(AND($H178&lt;&gt;"",$H178&lt;&gt;$P178),"file name differs from the convention; ","")&amp;IF(AND($D178="placement",$O178="Y",COUNTIF(photos!$R$2:$R$701,$R178)&gt;1),"two usable placement photos: mark one N; ","")&amp;IF($K178&lt;&gt;"Y","info: not usable (a person, screen or whiteboard may show): never used, delete the file; ","")&amp;IF(AND($D178="placement",$J178&lt;&gt;"Y"),"info: not usable as a placement photo (no card); ","")&amp;IF(AND($D178="placement",N($N178)&gt;2),"info: placed after the first business day; ","")&amp;IF(AND($D178="later",$N178&lt;&gt;"",OR(N($N178)&lt;3,N($N178)&gt;5)),"info: later photo outside day 3 to 5; ",""))</f>
        <v/>
      </c>
      <c r="R178" s="25">
        <f>IF($B178="","",$B178&amp;"|"&amp;$C178&amp;"|"&amp;$D178&amp;"|"&amp;$O178)</f>
        <v/>
      </c>
      <c r="S178" s="25">
        <f>IF($B178="","",$R178&amp;"|"&amp;N($E178))</f>
        <v/>
      </c>
    </row>
    <row r="179">
      <c r="E179" s="9" t="n"/>
      <c r="F179" s="33" t="n"/>
      <c r="I179" s="9" t="n"/>
      <c r="M179" s="26">
        <f>IF($B179="","",IFERROR(IF(INDEX(campaigns!$BG$2:$BG$51,MATCH($B179,campaigns!$A$2:$A$51,0))="","",INDEX(campaigns!$BG$2:$BG$51,MATCH($B179,campaigns!$A$2:$A$51,0))),""))</f>
        <v/>
      </c>
      <c r="N179" s="25">
        <f>IF(OR($B179="",$E179="",$M179=""),"",IF($E179&lt;$M179,0,NETWORKDAYS($M179,$E179,calendar!$A$2:$A$80)))</f>
        <v/>
      </c>
      <c r="O179" s="25">
        <f>IF($B179="","",IF(AND($K179="Y",OR($D179="later",$J179="Y")),"Y","N"))</f>
        <v/>
      </c>
      <c r="P179" s="25">
        <f>IF(OR($B179="",$E179=""),"",$B179&amp;"_"&amp;$C179&amp;"_"&amp;$D179&amp;"_"&amp;TEXT($E179,"yyyy-mm-dd")&amp;".jpg")</f>
        <v/>
      </c>
      <c r="Q179" s="25">
        <f>IF($B179="","",IF(COUNTIF(campaigns!$A$2:$A$51,$B179)=0,"campaign_id not on campaigns; ",IF(AND($C179&lt;&gt;"",COUNTIFS(approvals!$A$2:$A$251,$B179,approvals!$B$2:$B$251,$C179)=0),"office not on this campaign (approvals tab); ",""))&amp;IF($E179="","taken date missing; ","")&amp;IF(AND($H179&lt;&gt;"",$H179&lt;&gt;$P179),"file name differs from the convention; ","")&amp;IF(AND($D179="placement",$O179="Y",COUNTIF(photos!$R$2:$R$701,$R179)&gt;1),"two usable placement photos: mark one N; ","")&amp;IF($K179&lt;&gt;"Y","info: not usable (a person, screen or whiteboard may show): never used, delete the file; ","")&amp;IF(AND($D179="placement",$J179&lt;&gt;"Y"),"info: not usable as a placement photo (no card); ","")&amp;IF(AND($D179="placement",N($N179)&gt;2),"info: placed after the first business day; ","")&amp;IF(AND($D179="later",$N179&lt;&gt;"",OR(N($N179)&lt;3,N($N179)&gt;5)),"info: later photo outside day 3 to 5; ",""))</f>
        <v/>
      </c>
      <c r="R179" s="25">
        <f>IF($B179="","",$B179&amp;"|"&amp;$C179&amp;"|"&amp;$D179&amp;"|"&amp;$O179)</f>
        <v/>
      </c>
      <c r="S179" s="25">
        <f>IF($B179="","",$R179&amp;"|"&amp;N($E179))</f>
        <v/>
      </c>
    </row>
    <row r="180">
      <c r="E180" s="9" t="n"/>
      <c r="F180" s="33" t="n"/>
      <c r="I180" s="9" t="n"/>
      <c r="M180" s="26">
        <f>IF($B180="","",IFERROR(IF(INDEX(campaigns!$BG$2:$BG$51,MATCH($B180,campaigns!$A$2:$A$51,0))="","",INDEX(campaigns!$BG$2:$BG$51,MATCH($B180,campaigns!$A$2:$A$51,0))),""))</f>
        <v/>
      </c>
      <c r="N180" s="25">
        <f>IF(OR($B180="",$E180="",$M180=""),"",IF($E180&lt;$M180,0,NETWORKDAYS($M180,$E180,calendar!$A$2:$A$80)))</f>
        <v/>
      </c>
      <c r="O180" s="25">
        <f>IF($B180="","",IF(AND($K180="Y",OR($D180="later",$J180="Y")),"Y","N"))</f>
        <v/>
      </c>
      <c r="P180" s="25">
        <f>IF(OR($B180="",$E180=""),"",$B180&amp;"_"&amp;$C180&amp;"_"&amp;$D180&amp;"_"&amp;TEXT($E180,"yyyy-mm-dd")&amp;".jpg")</f>
        <v/>
      </c>
      <c r="Q180" s="25">
        <f>IF($B180="","",IF(COUNTIF(campaigns!$A$2:$A$51,$B180)=0,"campaign_id not on campaigns; ",IF(AND($C180&lt;&gt;"",COUNTIFS(approvals!$A$2:$A$251,$B180,approvals!$B$2:$B$251,$C180)=0),"office not on this campaign (approvals tab); ",""))&amp;IF($E180="","taken date missing; ","")&amp;IF(AND($H180&lt;&gt;"",$H180&lt;&gt;$P180),"file name differs from the convention; ","")&amp;IF(AND($D180="placement",$O180="Y",COUNTIF(photos!$R$2:$R$701,$R180)&gt;1),"two usable placement photos: mark one N; ","")&amp;IF($K180&lt;&gt;"Y","info: not usable (a person, screen or whiteboard may show): never used, delete the file; ","")&amp;IF(AND($D180="placement",$J180&lt;&gt;"Y"),"info: not usable as a placement photo (no card); ","")&amp;IF(AND($D180="placement",N($N180)&gt;2),"info: placed after the first business day; ","")&amp;IF(AND($D180="later",$N180&lt;&gt;"",OR(N($N180)&lt;3,N($N180)&gt;5)),"info: later photo outside day 3 to 5; ",""))</f>
        <v/>
      </c>
      <c r="R180" s="25">
        <f>IF($B180="","",$B180&amp;"|"&amp;$C180&amp;"|"&amp;$D180&amp;"|"&amp;$O180)</f>
        <v/>
      </c>
      <c r="S180" s="25">
        <f>IF($B180="","",$R180&amp;"|"&amp;N($E180))</f>
        <v/>
      </c>
    </row>
    <row r="181">
      <c r="E181" s="9" t="n"/>
      <c r="F181" s="33" t="n"/>
      <c r="I181" s="9" t="n"/>
      <c r="M181" s="26">
        <f>IF($B181="","",IFERROR(IF(INDEX(campaigns!$BG$2:$BG$51,MATCH($B181,campaigns!$A$2:$A$51,0))="","",INDEX(campaigns!$BG$2:$BG$51,MATCH($B181,campaigns!$A$2:$A$51,0))),""))</f>
        <v/>
      </c>
      <c r="N181" s="25">
        <f>IF(OR($B181="",$E181="",$M181=""),"",IF($E181&lt;$M181,0,NETWORKDAYS($M181,$E181,calendar!$A$2:$A$80)))</f>
        <v/>
      </c>
      <c r="O181" s="25">
        <f>IF($B181="","",IF(AND($K181="Y",OR($D181="later",$J181="Y")),"Y","N"))</f>
        <v/>
      </c>
      <c r="P181" s="25">
        <f>IF(OR($B181="",$E181=""),"",$B181&amp;"_"&amp;$C181&amp;"_"&amp;$D181&amp;"_"&amp;TEXT($E181,"yyyy-mm-dd")&amp;".jpg")</f>
        <v/>
      </c>
      <c r="Q181" s="25">
        <f>IF($B181="","",IF(COUNTIF(campaigns!$A$2:$A$51,$B181)=0,"campaign_id not on campaigns; ",IF(AND($C181&lt;&gt;"",COUNTIFS(approvals!$A$2:$A$251,$B181,approvals!$B$2:$B$251,$C181)=0),"office not on this campaign (approvals tab); ",""))&amp;IF($E181="","taken date missing; ","")&amp;IF(AND($H181&lt;&gt;"",$H181&lt;&gt;$P181),"file name differs from the convention; ","")&amp;IF(AND($D181="placement",$O181="Y",COUNTIF(photos!$R$2:$R$701,$R181)&gt;1),"two usable placement photos: mark one N; ","")&amp;IF($K181&lt;&gt;"Y","info: not usable (a person, screen or whiteboard may show): never used, delete the file; ","")&amp;IF(AND($D181="placement",$J181&lt;&gt;"Y"),"info: not usable as a placement photo (no card); ","")&amp;IF(AND($D181="placement",N($N181)&gt;2),"info: placed after the first business day; ","")&amp;IF(AND($D181="later",$N181&lt;&gt;"",OR(N($N181)&lt;3,N($N181)&gt;5)),"info: later photo outside day 3 to 5; ",""))</f>
        <v/>
      </c>
      <c r="R181" s="25">
        <f>IF($B181="","",$B181&amp;"|"&amp;$C181&amp;"|"&amp;$D181&amp;"|"&amp;$O181)</f>
        <v/>
      </c>
      <c r="S181" s="25">
        <f>IF($B181="","",$R181&amp;"|"&amp;N($E181))</f>
        <v/>
      </c>
    </row>
    <row r="182">
      <c r="E182" s="9" t="n"/>
      <c r="F182" s="33" t="n"/>
      <c r="I182" s="9" t="n"/>
      <c r="M182" s="26">
        <f>IF($B182="","",IFERROR(IF(INDEX(campaigns!$BG$2:$BG$51,MATCH($B182,campaigns!$A$2:$A$51,0))="","",INDEX(campaigns!$BG$2:$BG$51,MATCH($B182,campaigns!$A$2:$A$51,0))),""))</f>
        <v/>
      </c>
      <c r="N182" s="25">
        <f>IF(OR($B182="",$E182="",$M182=""),"",IF($E182&lt;$M182,0,NETWORKDAYS($M182,$E182,calendar!$A$2:$A$80)))</f>
        <v/>
      </c>
      <c r="O182" s="25">
        <f>IF($B182="","",IF(AND($K182="Y",OR($D182="later",$J182="Y")),"Y","N"))</f>
        <v/>
      </c>
      <c r="P182" s="25">
        <f>IF(OR($B182="",$E182=""),"",$B182&amp;"_"&amp;$C182&amp;"_"&amp;$D182&amp;"_"&amp;TEXT($E182,"yyyy-mm-dd")&amp;".jpg")</f>
        <v/>
      </c>
      <c r="Q182" s="25">
        <f>IF($B182="","",IF(COUNTIF(campaigns!$A$2:$A$51,$B182)=0,"campaign_id not on campaigns; ",IF(AND($C182&lt;&gt;"",COUNTIFS(approvals!$A$2:$A$251,$B182,approvals!$B$2:$B$251,$C182)=0),"office not on this campaign (approvals tab); ",""))&amp;IF($E182="","taken date missing; ","")&amp;IF(AND($H182&lt;&gt;"",$H182&lt;&gt;$P182),"file name differs from the convention; ","")&amp;IF(AND($D182="placement",$O182="Y",COUNTIF(photos!$R$2:$R$701,$R182)&gt;1),"two usable placement photos: mark one N; ","")&amp;IF($K182&lt;&gt;"Y","info: not usable (a person, screen or whiteboard may show): never used, delete the file; ","")&amp;IF(AND($D182="placement",$J182&lt;&gt;"Y"),"info: not usable as a placement photo (no card); ","")&amp;IF(AND($D182="placement",N($N182)&gt;2),"info: placed after the first business day; ","")&amp;IF(AND($D182="later",$N182&lt;&gt;"",OR(N($N182)&lt;3,N($N182)&gt;5)),"info: later photo outside day 3 to 5; ",""))</f>
        <v/>
      </c>
      <c r="R182" s="25">
        <f>IF($B182="","",$B182&amp;"|"&amp;$C182&amp;"|"&amp;$D182&amp;"|"&amp;$O182)</f>
        <v/>
      </c>
      <c r="S182" s="25">
        <f>IF($B182="","",$R182&amp;"|"&amp;N($E182))</f>
        <v/>
      </c>
    </row>
    <row r="183">
      <c r="E183" s="9" t="n"/>
      <c r="F183" s="33" t="n"/>
      <c r="I183" s="9" t="n"/>
      <c r="M183" s="26">
        <f>IF($B183="","",IFERROR(IF(INDEX(campaigns!$BG$2:$BG$51,MATCH($B183,campaigns!$A$2:$A$51,0))="","",INDEX(campaigns!$BG$2:$BG$51,MATCH($B183,campaigns!$A$2:$A$51,0))),""))</f>
        <v/>
      </c>
      <c r="N183" s="25">
        <f>IF(OR($B183="",$E183="",$M183=""),"",IF($E183&lt;$M183,0,NETWORKDAYS($M183,$E183,calendar!$A$2:$A$80)))</f>
        <v/>
      </c>
      <c r="O183" s="25">
        <f>IF($B183="","",IF(AND($K183="Y",OR($D183="later",$J183="Y")),"Y","N"))</f>
        <v/>
      </c>
      <c r="P183" s="25">
        <f>IF(OR($B183="",$E183=""),"",$B183&amp;"_"&amp;$C183&amp;"_"&amp;$D183&amp;"_"&amp;TEXT($E183,"yyyy-mm-dd")&amp;".jpg")</f>
        <v/>
      </c>
      <c r="Q183" s="25">
        <f>IF($B183="","",IF(COUNTIF(campaigns!$A$2:$A$51,$B183)=0,"campaign_id not on campaigns; ",IF(AND($C183&lt;&gt;"",COUNTIFS(approvals!$A$2:$A$251,$B183,approvals!$B$2:$B$251,$C183)=0),"office not on this campaign (approvals tab); ",""))&amp;IF($E183="","taken date missing; ","")&amp;IF(AND($H183&lt;&gt;"",$H183&lt;&gt;$P183),"file name differs from the convention; ","")&amp;IF(AND($D183="placement",$O183="Y",COUNTIF(photos!$R$2:$R$701,$R183)&gt;1),"two usable placement photos: mark one N; ","")&amp;IF($K183&lt;&gt;"Y","info: not usable (a person, screen or whiteboard may show): never used, delete the file; ","")&amp;IF(AND($D183="placement",$J183&lt;&gt;"Y"),"info: not usable as a placement photo (no card); ","")&amp;IF(AND($D183="placement",N($N183)&gt;2),"info: placed after the first business day; ","")&amp;IF(AND($D183="later",$N183&lt;&gt;"",OR(N($N183)&lt;3,N($N183)&gt;5)),"info: later photo outside day 3 to 5; ",""))</f>
        <v/>
      </c>
      <c r="R183" s="25">
        <f>IF($B183="","",$B183&amp;"|"&amp;$C183&amp;"|"&amp;$D183&amp;"|"&amp;$O183)</f>
        <v/>
      </c>
      <c r="S183" s="25">
        <f>IF($B183="","",$R183&amp;"|"&amp;N($E183))</f>
        <v/>
      </c>
    </row>
    <row r="184">
      <c r="E184" s="9" t="n"/>
      <c r="F184" s="33" t="n"/>
      <c r="I184" s="9" t="n"/>
      <c r="M184" s="26">
        <f>IF($B184="","",IFERROR(IF(INDEX(campaigns!$BG$2:$BG$51,MATCH($B184,campaigns!$A$2:$A$51,0))="","",INDEX(campaigns!$BG$2:$BG$51,MATCH($B184,campaigns!$A$2:$A$51,0))),""))</f>
        <v/>
      </c>
      <c r="N184" s="25">
        <f>IF(OR($B184="",$E184="",$M184=""),"",IF($E184&lt;$M184,0,NETWORKDAYS($M184,$E184,calendar!$A$2:$A$80)))</f>
        <v/>
      </c>
      <c r="O184" s="25">
        <f>IF($B184="","",IF(AND($K184="Y",OR($D184="later",$J184="Y")),"Y","N"))</f>
        <v/>
      </c>
      <c r="P184" s="25">
        <f>IF(OR($B184="",$E184=""),"",$B184&amp;"_"&amp;$C184&amp;"_"&amp;$D184&amp;"_"&amp;TEXT($E184,"yyyy-mm-dd")&amp;".jpg")</f>
        <v/>
      </c>
      <c r="Q184" s="25">
        <f>IF($B184="","",IF(COUNTIF(campaigns!$A$2:$A$51,$B184)=0,"campaign_id not on campaigns; ",IF(AND($C184&lt;&gt;"",COUNTIFS(approvals!$A$2:$A$251,$B184,approvals!$B$2:$B$251,$C184)=0),"office not on this campaign (approvals tab); ",""))&amp;IF($E184="","taken date missing; ","")&amp;IF(AND($H184&lt;&gt;"",$H184&lt;&gt;$P184),"file name differs from the convention; ","")&amp;IF(AND($D184="placement",$O184="Y",COUNTIF(photos!$R$2:$R$701,$R184)&gt;1),"two usable placement photos: mark one N; ","")&amp;IF($K184&lt;&gt;"Y","info: not usable (a person, screen or whiteboard may show): never used, delete the file; ","")&amp;IF(AND($D184="placement",$J184&lt;&gt;"Y"),"info: not usable as a placement photo (no card); ","")&amp;IF(AND($D184="placement",N($N184)&gt;2),"info: placed after the first business day; ","")&amp;IF(AND($D184="later",$N184&lt;&gt;"",OR(N($N184)&lt;3,N($N184)&gt;5)),"info: later photo outside day 3 to 5; ",""))</f>
        <v/>
      </c>
      <c r="R184" s="25">
        <f>IF($B184="","",$B184&amp;"|"&amp;$C184&amp;"|"&amp;$D184&amp;"|"&amp;$O184)</f>
        <v/>
      </c>
      <c r="S184" s="25">
        <f>IF($B184="","",$R184&amp;"|"&amp;N($E184))</f>
        <v/>
      </c>
    </row>
    <row r="185">
      <c r="E185" s="9" t="n"/>
      <c r="F185" s="33" t="n"/>
      <c r="I185" s="9" t="n"/>
      <c r="M185" s="26">
        <f>IF($B185="","",IFERROR(IF(INDEX(campaigns!$BG$2:$BG$51,MATCH($B185,campaigns!$A$2:$A$51,0))="","",INDEX(campaigns!$BG$2:$BG$51,MATCH($B185,campaigns!$A$2:$A$51,0))),""))</f>
        <v/>
      </c>
      <c r="N185" s="25">
        <f>IF(OR($B185="",$E185="",$M185=""),"",IF($E185&lt;$M185,0,NETWORKDAYS($M185,$E185,calendar!$A$2:$A$80)))</f>
        <v/>
      </c>
      <c r="O185" s="25">
        <f>IF($B185="","",IF(AND($K185="Y",OR($D185="later",$J185="Y")),"Y","N"))</f>
        <v/>
      </c>
      <c r="P185" s="25">
        <f>IF(OR($B185="",$E185=""),"",$B185&amp;"_"&amp;$C185&amp;"_"&amp;$D185&amp;"_"&amp;TEXT($E185,"yyyy-mm-dd")&amp;".jpg")</f>
        <v/>
      </c>
      <c r="Q185" s="25">
        <f>IF($B185="","",IF(COUNTIF(campaigns!$A$2:$A$51,$B185)=0,"campaign_id not on campaigns; ",IF(AND($C185&lt;&gt;"",COUNTIFS(approvals!$A$2:$A$251,$B185,approvals!$B$2:$B$251,$C185)=0),"office not on this campaign (approvals tab); ",""))&amp;IF($E185="","taken date missing; ","")&amp;IF(AND($H185&lt;&gt;"",$H185&lt;&gt;$P185),"file name differs from the convention; ","")&amp;IF(AND($D185="placement",$O185="Y",COUNTIF(photos!$R$2:$R$701,$R185)&gt;1),"two usable placement photos: mark one N; ","")&amp;IF($K185&lt;&gt;"Y","info: not usable (a person, screen or whiteboard may show): never used, delete the file; ","")&amp;IF(AND($D185="placement",$J185&lt;&gt;"Y"),"info: not usable as a placement photo (no card); ","")&amp;IF(AND($D185="placement",N($N185)&gt;2),"info: placed after the first business day; ","")&amp;IF(AND($D185="later",$N185&lt;&gt;"",OR(N($N185)&lt;3,N($N185)&gt;5)),"info: later photo outside day 3 to 5; ",""))</f>
        <v/>
      </c>
      <c r="R185" s="25">
        <f>IF($B185="","",$B185&amp;"|"&amp;$C185&amp;"|"&amp;$D185&amp;"|"&amp;$O185)</f>
        <v/>
      </c>
      <c r="S185" s="25">
        <f>IF($B185="","",$R185&amp;"|"&amp;N($E185))</f>
        <v/>
      </c>
    </row>
    <row r="186">
      <c r="E186" s="9" t="n"/>
      <c r="F186" s="33" t="n"/>
      <c r="I186" s="9" t="n"/>
      <c r="M186" s="26">
        <f>IF($B186="","",IFERROR(IF(INDEX(campaigns!$BG$2:$BG$51,MATCH($B186,campaigns!$A$2:$A$51,0))="","",INDEX(campaigns!$BG$2:$BG$51,MATCH($B186,campaigns!$A$2:$A$51,0))),""))</f>
        <v/>
      </c>
      <c r="N186" s="25">
        <f>IF(OR($B186="",$E186="",$M186=""),"",IF($E186&lt;$M186,0,NETWORKDAYS($M186,$E186,calendar!$A$2:$A$80)))</f>
        <v/>
      </c>
      <c r="O186" s="25">
        <f>IF($B186="","",IF(AND($K186="Y",OR($D186="later",$J186="Y")),"Y","N"))</f>
        <v/>
      </c>
      <c r="P186" s="25">
        <f>IF(OR($B186="",$E186=""),"",$B186&amp;"_"&amp;$C186&amp;"_"&amp;$D186&amp;"_"&amp;TEXT($E186,"yyyy-mm-dd")&amp;".jpg")</f>
        <v/>
      </c>
      <c r="Q186" s="25">
        <f>IF($B186="","",IF(COUNTIF(campaigns!$A$2:$A$51,$B186)=0,"campaign_id not on campaigns; ",IF(AND($C186&lt;&gt;"",COUNTIFS(approvals!$A$2:$A$251,$B186,approvals!$B$2:$B$251,$C186)=0),"office not on this campaign (approvals tab); ",""))&amp;IF($E186="","taken date missing; ","")&amp;IF(AND($H186&lt;&gt;"",$H186&lt;&gt;$P186),"file name differs from the convention; ","")&amp;IF(AND($D186="placement",$O186="Y",COUNTIF(photos!$R$2:$R$701,$R186)&gt;1),"two usable placement photos: mark one N; ","")&amp;IF($K186&lt;&gt;"Y","info: not usable (a person, screen or whiteboard may show): never used, delete the file; ","")&amp;IF(AND($D186="placement",$J186&lt;&gt;"Y"),"info: not usable as a placement photo (no card); ","")&amp;IF(AND($D186="placement",N($N186)&gt;2),"info: placed after the first business day; ","")&amp;IF(AND($D186="later",$N186&lt;&gt;"",OR(N($N186)&lt;3,N($N186)&gt;5)),"info: later photo outside day 3 to 5; ",""))</f>
        <v/>
      </c>
      <c r="R186" s="25">
        <f>IF($B186="","",$B186&amp;"|"&amp;$C186&amp;"|"&amp;$D186&amp;"|"&amp;$O186)</f>
        <v/>
      </c>
      <c r="S186" s="25">
        <f>IF($B186="","",$R186&amp;"|"&amp;N($E186))</f>
        <v/>
      </c>
    </row>
    <row r="187">
      <c r="E187" s="9" t="n"/>
      <c r="F187" s="33" t="n"/>
      <c r="I187" s="9" t="n"/>
      <c r="M187" s="26">
        <f>IF($B187="","",IFERROR(IF(INDEX(campaigns!$BG$2:$BG$51,MATCH($B187,campaigns!$A$2:$A$51,0))="","",INDEX(campaigns!$BG$2:$BG$51,MATCH($B187,campaigns!$A$2:$A$51,0))),""))</f>
        <v/>
      </c>
      <c r="N187" s="25">
        <f>IF(OR($B187="",$E187="",$M187=""),"",IF($E187&lt;$M187,0,NETWORKDAYS($M187,$E187,calendar!$A$2:$A$80)))</f>
        <v/>
      </c>
      <c r="O187" s="25">
        <f>IF($B187="","",IF(AND($K187="Y",OR($D187="later",$J187="Y")),"Y","N"))</f>
        <v/>
      </c>
      <c r="P187" s="25">
        <f>IF(OR($B187="",$E187=""),"",$B187&amp;"_"&amp;$C187&amp;"_"&amp;$D187&amp;"_"&amp;TEXT($E187,"yyyy-mm-dd")&amp;".jpg")</f>
        <v/>
      </c>
      <c r="Q187" s="25">
        <f>IF($B187="","",IF(COUNTIF(campaigns!$A$2:$A$51,$B187)=0,"campaign_id not on campaigns; ",IF(AND($C187&lt;&gt;"",COUNTIFS(approvals!$A$2:$A$251,$B187,approvals!$B$2:$B$251,$C187)=0),"office not on this campaign (approvals tab); ",""))&amp;IF($E187="","taken date missing; ","")&amp;IF(AND($H187&lt;&gt;"",$H187&lt;&gt;$P187),"file name differs from the convention; ","")&amp;IF(AND($D187="placement",$O187="Y",COUNTIF(photos!$R$2:$R$701,$R187)&gt;1),"two usable placement photos: mark one N; ","")&amp;IF($K187&lt;&gt;"Y","info: not usable (a person, screen or whiteboard may show): never used, delete the file; ","")&amp;IF(AND($D187="placement",$J187&lt;&gt;"Y"),"info: not usable as a placement photo (no card); ","")&amp;IF(AND($D187="placement",N($N187)&gt;2),"info: placed after the first business day; ","")&amp;IF(AND($D187="later",$N187&lt;&gt;"",OR(N($N187)&lt;3,N($N187)&gt;5)),"info: later photo outside day 3 to 5; ",""))</f>
        <v/>
      </c>
      <c r="R187" s="25">
        <f>IF($B187="","",$B187&amp;"|"&amp;$C187&amp;"|"&amp;$D187&amp;"|"&amp;$O187)</f>
        <v/>
      </c>
      <c r="S187" s="25">
        <f>IF($B187="","",$R187&amp;"|"&amp;N($E187))</f>
        <v/>
      </c>
    </row>
    <row r="188">
      <c r="E188" s="9" t="n"/>
      <c r="F188" s="33" t="n"/>
      <c r="I188" s="9" t="n"/>
      <c r="M188" s="26">
        <f>IF($B188="","",IFERROR(IF(INDEX(campaigns!$BG$2:$BG$51,MATCH($B188,campaigns!$A$2:$A$51,0))="","",INDEX(campaigns!$BG$2:$BG$51,MATCH($B188,campaigns!$A$2:$A$51,0))),""))</f>
        <v/>
      </c>
      <c r="N188" s="25">
        <f>IF(OR($B188="",$E188="",$M188=""),"",IF($E188&lt;$M188,0,NETWORKDAYS($M188,$E188,calendar!$A$2:$A$80)))</f>
        <v/>
      </c>
      <c r="O188" s="25">
        <f>IF($B188="","",IF(AND($K188="Y",OR($D188="later",$J188="Y")),"Y","N"))</f>
        <v/>
      </c>
      <c r="P188" s="25">
        <f>IF(OR($B188="",$E188=""),"",$B188&amp;"_"&amp;$C188&amp;"_"&amp;$D188&amp;"_"&amp;TEXT($E188,"yyyy-mm-dd")&amp;".jpg")</f>
        <v/>
      </c>
      <c r="Q188" s="25">
        <f>IF($B188="","",IF(COUNTIF(campaigns!$A$2:$A$51,$B188)=0,"campaign_id not on campaigns; ",IF(AND($C188&lt;&gt;"",COUNTIFS(approvals!$A$2:$A$251,$B188,approvals!$B$2:$B$251,$C188)=0),"office not on this campaign (approvals tab); ",""))&amp;IF($E188="","taken date missing; ","")&amp;IF(AND($H188&lt;&gt;"",$H188&lt;&gt;$P188),"file name differs from the convention; ","")&amp;IF(AND($D188="placement",$O188="Y",COUNTIF(photos!$R$2:$R$701,$R188)&gt;1),"two usable placement photos: mark one N; ","")&amp;IF($K188&lt;&gt;"Y","info: not usable (a person, screen or whiteboard may show): never used, delete the file; ","")&amp;IF(AND($D188="placement",$J188&lt;&gt;"Y"),"info: not usable as a placement photo (no card); ","")&amp;IF(AND($D188="placement",N($N188)&gt;2),"info: placed after the first business day; ","")&amp;IF(AND($D188="later",$N188&lt;&gt;"",OR(N($N188)&lt;3,N($N188)&gt;5)),"info: later photo outside day 3 to 5; ",""))</f>
        <v/>
      </c>
      <c r="R188" s="25">
        <f>IF($B188="","",$B188&amp;"|"&amp;$C188&amp;"|"&amp;$D188&amp;"|"&amp;$O188)</f>
        <v/>
      </c>
      <c r="S188" s="25">
        <f>IF($B188="","",$R188&amp;"|"&amp;N($E188))</f>
        <v/>
      </c>
    </row>
    <row r="189">
      <c r="E189" s="9" t="n"/>
      <c r="F189" s="33" t="n"/>
      <c r="I189" s="9" t="n"/>
      <c r="M189" s="26">
        <f>IF($B189="","",IFERROR(IF(INDEX(campaigns!$BG$2:$BG$51,MATCH($B189,campaigns!$A$2:$A$51,0))="","",INDEX(campaigns!$BG$2:$BG$51,MATCH($B189,campaigns!$A$2:$A$51,0))),""))</f>
        <v/>
      </c>
      <c r="N189" s="25">
        <f>IF(OR($B189="",$E189="",$M189=""),"",IF($E189&lt;$M189,0,NETWORKDAYS($M189,$E189,calendar!$A$2:$A$80)))</f>
        <v/>
      </c>
      <c r="O189" s="25">
        <f>IF($B189="","",IF(AND($K189="Y",OR($D189="later",$J189="Y")),"Y","N"))</f>
        <v/>
      </c>
      <c r="P189" s="25">
        <f>IF(OR($B189="",$E189=""),"",$B189&amp;"_"&amp;$C189&amp;"_"&amp;$D189&amp;"_"&amp;TEXT($E189,"yyyy-mm-dd")&amp;".jpg")</f>
        <v/>
      </c>
      <c r="Q189" s="25">
        <f>IF($B189="","",IF(COUNTIF(campaigns!$A$2:$A$51,$B189)=0,"campaign_id not on campaigns; ",IF(AND($C189&lt;&gt;"",COUNTIFS(approvals!$A$2:$A$251,$B189,approvals!$B$2:$B$251,$C189)=0),"office not on this campaign (approvals tab); ",""))&amp;IF($E189="","taken date missing; ","")&amp;IF(AND($H189&lt;&gt;"",$H189&lt;&gt;$P189),"file name differs from the convention; ","")&amp;IF(AND($D189="placement",$O189="Y",COUNTIF(photos!$R$2:$R$701,$R189)&gt;1),"two usable placement photos: mark one N; ","")&amp;IF($K189&lt;&gt;"Y","info: not usable (a person, screen or whiteboard may show): never used, delete the file; ","")&amp;IF(AND($D189="placement",$J189&lt;&gt;"Y"),"info: not usable as a placement photo (no card); ","")&amp;IF(AND($D189="placement",N($N189)&gt;2),"info: placed after the first business day; ","")&amp;IF(AND($D189="later",$N189&lt;&gt;"",OR(N($N189)&lt;3,N($N189)&gt;5)),"info: later photo outside day 3 to 5; ",""))</f>
        <v/>
      </c>
      <c r="R189" s="25">
        <f>IF($B189="","",$B189&amp;"|"&amp;$C189&amp;"|"&amp;$D189&amp;"|"&amp;$O189)</f>
        <v/>
      </c>
      <c r="S189" s="25">
        <f>IF($B189="","",$R189&amp;"|"&amp;N($E189))</f>
        <v/>
      </c>
    </row>
    <row r="190">
      <c r="E190" s="9" t="n"/>
      <c r="F190" s="33" t="n"/>
      <c r="I190" s="9" t="n"/>
      <c r="M190" s="26">
        <f>IF($B190="","",IFERROR(IF(INDEX(campaigns!$BG$2:$BG$51,MATCH($B190,campaigns!$A$2:$A$51,0))="","",INDEX(campaigns!$BG$2:$BG$51,MATCH($B190,campaigns!$A$2:$A$51,0))),""))</f>
        <v/>
      </c>
      <c r="N190" s="25">
        <f>IF(OR($B190="",$E190="",$M190=""),"",IF($E190&lt;$M190,0,NETWORKDAYS($M190,$E190,calendar!$A$2:$A$80)))</f>
        <v/>
      </c>
      <c r="O190" s="25">
        <f>IF($B190="","",IF(AND($K190="Y",OR($D190="later",$J190="Y")),"Y","N"))</f>
        <v/>
      </c>
      <c r="P190" s="25">
        <f>IF(OR($B190="",$E190=""),"",$B190&amp;"_"&amp;$C190&amp;"_"&amp;$D190&amp;"_"&amp;TEXT($E190,"yyyy-mm-dd")&amp;".jpg")</f>
        <v/>
      </c>
      <c r="Q190" s="25">
        <f>IF($B190="","",IF(COUNTIF(campaigns!$A$2:$A$51,$B190)=0,"campaign_id not on campaigns; ",IF(AND($C190&lt;&gt;"",COUNTIFS(approvals!$A$2:$A$251,$B190,approvals!$B$2:$B$251,$C190)=0),"office not on this campaign (approvals tab); ",""))&amp;IF($E190="","taken date missing; ","")&amp;IF(AND($H190&lt;&gt;"",$H190&lt;&gt;$P190),"file name differs from the convention; ","")&amp;IF(AND($D190="placement",$O190="Y",COUNTIF(photos!$R$2:$R$701,$R190)&gt;1),"two usable placement photos: mark one N; ","")&amp;IF($K190&lt;&gt;"Y","info: not usable (a person, screen or whiteboard may show): never used, delete the file; ","")&amp;IF(AND($D190="placement",$J190&lt;&gt;"Y"),"info: not usable as a placement photo (no card); ","")&amp;IF(AND($D190="placement",N($N190)&gt;2),"info: placed after the first business day; ","")&amp;IF(AND($D190="later",$N190&lt;&gt;"",OR(N($N190)&lt;3,N($N190)&gt;5)),"info: later photo outside day 3 to 5; ",""))</f>
        <v/>
      </c>
      <c r="R190" s="25">
        <f>IF($B190="","",$B190&amp;"|"&amp;$C190&amp;"|"&amp;$D190&amp;"|"&amp;$O190)</f>
        <v/>
      </c>
      <c r="S190" s="25">
        <f>IF($B190="","",$R190&amp;"|"&amp;N($E190))</f>
        <v/>
      </c>
    </row>
    <row r="191">
      <c r="E191" s="9" t="n"/>
      <c r="F191" s="33" t="n"/>
      <c r="I191" s="9" t="n"/>
      <c r="M191" s="26">
        <f>IF($B191="","",IFERROR(IF(INDEX(campaigns!$BG$2:$BG$51,MATCH($B191,campaigns!$A$2:$A$51,0))="","",INDEX(campaigns!$BG$2:$BG$51,MATCH($B191,campaigns!$A$2:$A$51,0))),""))</f>
        <v/>
      </c>
      <c r="N191" s="25">
        <f>IF(OR($B191="",$E191="",$M191=""),"",IF($E191&lt;$M191,0,NETWORKDAYS($M191,$E191,calendar!$A$2:$A$80)))</f>
        <v/>
      </c>
      <c r="O191" s="25">
        <f>IF($B191="","",IF(AND($K191="Y",OR($D191="later",$J191="Y")),"Y","N"))</f>
        <v/>
      </c>
      <c r="P191" s="25">
        <f>IF(OR($B191="",$E191=""),"",$B191&amp;"_"&amp;$C191&amp;"_"&amp;$D191&amp;"_"&amp;TEXT($E191,"yyyy-mm-dd")&amp;".jpg")</f>
        <v/>
      </c>
      <c r="Q191" s="25">
        <f>IF($B191="","",IF(COUNTIF(campaigns!$A$2:$A$51,$B191)=0,"campaign_id not on campaigns; ",IF(AND($C191&lt;&gt;"",COUNTIFS(approvals!$A$2:$A$251,$B191,approvals!$B$2:$B$251,$C191)=0),"office not on this campaign (approvals tab); ",""))&amp;IF($E191="","taken date missing; ","")&amp;IF(AND($H191&lt;&gt;"",$H191&lt;&gt;$P191),"file name differs from the convention; ","")&amp;IF(AND($D191="placement",$O191="Y",COUNTIF(photos!$R$2:$R$701,$R191)&gt;1),"two usable placement photos: mark one N; ","")&amp;IF($K191&lt;&gt;"Y","info: not usable (a person, screen or whiteboard may show): never used, delete the file; ","")&amp;IF(AND($D191="placement",$J191&lt;&gt;"Y"),"info: not usable as a placement photo (no card); ","")&amp;IF(AND($D191="placement",N($N191)&gt;2),"info: placed after the first business day; ","")&amp;IF(AND($D191="later",$N191&lt;&gt;"",OR(N($N191)&lt;3,N($N191)&gt;5)),"info: later photo outside day 3 to 5; ",""))</f>
        <v/>
      </c>
      <c r="R191" s="25">
        <f>IF($B191="","",$B191&amp;"|"&amp;$C191&amp;"|"&amp;$D191&amp;"|"&amp;$O191)</f>
        <v/>
      </c>
      <c r="S191" s="25">
        <f>IF($B191="","",$R191&amp;"|"&amp;N($E191))</f>
        <v/>
      </c>
    </row>
    <row r="192">
      <c r="E192" s="9" t="n"/>
      <c r="F192" s="33" t="n"/>
      <c r="I192" s="9" t="n"/>
      <c r="M192" s="26">
        <f>IF($B192="","",IFERROR(IF(INDEX(campaigns!$BG$2:$BG$51,MATCH($B192,campaigns!$A$2:$A$51,0))="","",INDEX(campaigns!$BG$2:$BG$51,MATCH($B192,campaigns!$A$2:$A$51,0))),""))</f>
        <v/>
      </c>
      <c r="N192" s="25">
        <f>IF(OR($B192="",$E192="",$M192=""),"",IF($E192&lt;$M192,0,NETWORKDAYS($M192,$E192,calendar!$A$2:$A$80)))</f>
        <v/>
      </c>
      <c r="O192" s="25">
        <f>IF($B192="","",IF(AND($K192="Y",OR($D192="later",$J192="Y")),"Y","N"))</f>
        <v/>
      </c>
      <c r="P192" s="25">
        <f>IF(OR($B192="",$E192=""),"",$B192&amp;"_"&amp;$C192&amp;"_"&amp;$D192&amp;"_"&amp;TEXT($E192,"yyyy-mm-dd")&amp;".jpg")</f>
        <v/>
      </c>
      <c r="Q192" s="25">
        <f>IF($B192="","",IF(COUNTIF(campaigns!$A$2:$A$51,$B192)=0,"campaign_id not on campaigns; ",IF(AND($C192&lt;&gt;"",COUNTIFS(approvals!$A$2:$A$251,$B192,approvals!$B$2:$B$251,$C192)=0),"office not on this campaign (approvals tab); ",""))&amp;IF($E192="","taken date missing; ","")&amp;IF(AND($H192&lt;&gt;"",$H192&lt;&gt;$P192),"file name differs from the convention; ","")&amp;IF(AND($D192="placement",$O192="Y",COUNTIF(photos!$R$2:$R$701,$R192)&gt;1),"two usable placement photos: mark one N; ","")&amp;IF($K192&lt;&gt;"Y","info: not usable (a person, screen or whiteboard may show): never used, delete the file; ","")&amp;IF(AND($D192="placement",$J192&lt;&gt;"Y"),"info: not usable as a placement photo (no card); ","")&amp;IF(AND($D192="placement",N($N192)&gt;2),"info: placed after the first business day; ","")&amp;IF(AND($D192="later",$N192&lt;&gt;"",OR(N($N192)&lt;3,N($N192)&gt;5)),"info: later photo outside day 3 to 5; ",""))</f>
        <v/>
      </c>
      <c r="R192" s="25">
        <f>IF($B192="","",$B192&amp;"|"&amp;$C192&amp;"|"&amp;$D192&amp;"|"&amp;$O192)</f>
        <v/>
      </c>
      <c r="S192" s="25">
        <f>IF($B192="","",$R192&amp;"|"&amp;N($E192))</f>
        <v/>
      </c>
    </row>
    <row r="193">
      <c r="E193" s="9" t="n"/>
      <c r="F193" s="33" t="n"/>
      <c r="I193" s="9" t="n"/>
      <c r="M193" s="26">
        <f>IF($B193="","",IFERROR(IF(INDEX(campaigns!$BG$2:$BG$51,MATCH($B193,campaigns!$A$2:$A$51,0))="","",INDEX(campaigns!$BG$2:$BG$51,MATCH($B193,campaigns!$A$2:$A$51,0))),""))</f>
        <v/>
      </c>
      <c r="N193" s="25">
        <f>IF(OR($B193="",$E193="",$M193=""),"",IF($E193&lt;$M193,0,NETWORKDAYS($M193,$E193,calendar!$A$2:$A$80)))</f>
        <v/>
      </c>
      <c r="O193" s="25">
        <f>IF($B193="","",IF(AND($K193="Y",OR($D193="later",$J193="Y")),"Y","N"))</f>
        <v/>
      </c>
      <c r="P193" s="25">
        <f>IF(OR($B193="",$E193=""),"",$B193&amp;"_"&amp;$C193&amp;"_"&amp;$D193&amp;"_"&amp;TEXT($E193,"yyyy-mm-dd")&amp;".jpg")</f>
        <v/>
      </c>
      <c r="Q193" s="25">
        <f>IF($B193="","",IF(COUNTIF(campaigns!$A$2:$A$51,$B193)=0,"campaign_id not on campaigns; ",IF(AND($C193&lt;&gt;"",COUNTIFS(approvals!$A$2:$A$251,$B193,approvals!$B$2:$B$251,$C193)=0),"office not on this campaign (approvals tab); ",""))&amp;IF($E193="","taken date missing; ","")&amp;IF(AND($H193&lt;&gt;"",$H193&lt;&gt;$P193),"file name differs from the convention; ","")&amp;IF(AND($D193="placement",$O193="Y",COUNTIF(photos!$R$2:$R$701,$R193)&gt;1),"two usable placement photos: mark one N; ","")&amp;IF($K193&lt;&gt;"Y","info: not usable (a person, screen or whiteboard may show): never used, delete the file; ","")&amp;IF(AND($D193="placement",$J193&lt;&gt;"Y"),"info: not usable as a placement photo (no card); ","")&amp;IF(AND($D193="placement",N($N193)&gt;2),"info: placed after the first business day; ","")&amp;IF(AND($D193="later",$N193&lt;&gt;"",OR(N($N193)&lt;3,N($N193)&gt;5)),"info: later photo outside day 3 to 5; ",""))</f>
        <v/>
      </c>
      <c r="R193" s="25">
        <f>IF($B193="","",$B193&amp;"|"&amp;$C193&amp;"|"&amp;$D193&amp;"|"&amp;$O193)</f>
        <v/>
      </c>
      <c r="S193" s="25">
        <f>IF($B193="","",$R193&amp;"|"&amp;N($E193))</f>
        <v/>
      </c>
    </row>
    <row r="194">
      <c r="E194" s="9" t="n"/>
      <c r="F194" s="33" t="n"/>
      <c r="I194" s="9" t="n"/>
      <c r="M194" s="26">
        <f>IF($B194="","",IFERROR(IF(INDEX(campaigns!$BG$2:$BG$51,MATCH($B194,campaigns!$A$2:$A$51,0))="","",INDEX(campaigns!$BG$2:$BG$51,MATCH($B194,campaigns!$A$2:$A$51,0))),""))</f>
        <v/>
      </c>
      <c r="N194" s="25">
        <f>IF(OR($B194="",$E194="",$M194=""),"",IF($E194&lt;$M194,0,NETWORKDAYS($M194,$E194,calendar!$A$2:$A$80)))</f>
        <v/>
      </c>
      <c r="O194" s="25">
        <f>IF($B194="","",IF(AND($K194="Y",OR($D194="later",$J194="Y")),"Y","N"))</f>
        <v/>
      </c>
      <c r="P194" s="25">
        <f>IF(OR($B194="",$E194=""),"",$B194&amp;"_"&amp;$C194&amp;"_"&amp;$D194&amp;"_"&amp;TEXT($E194,"yyyy-mm-dd")&amp;".jpg")</f>
        <v/>
      </c>
      <c r="Q194" s="25">
        <f>IF($B194="","",IF(COUNTIF(campaigns!$A$2:$A$51,$B194)=0,"campaign_id not on campaigns; ",IF(AND($C194&lt;&gt;"",COUNTIFS(approvals!$A$2:$A$251,$B194,approvals!$B$2:$B$251,$C194)=0),"office not on this campaign (approvals tab); ",""))&amp;IF($E194="","taken date missing; ","")&amp;IF(AND($H194&lt;&gt;"",$H194&lt;&gt;$P194),"file name differs from the convention; ","")&amp;IF(AND($D194="placement",$O194="Y",COUNTIF(photos!$R$2:$R$701,$R194)&gt;1),"two usable placement photos: mark one N; ","")&amp;IF($K194&lt;&gt;"Y","info: not usable (a person, screen or whiteboard may show): never used, delete the file; ","")&amp;IF(AND($D194="placement",$J194&lt;&gt;"Y"),"info: not usable as a placement photo (no card); ","")&amp;IF(AND($D194="placement",N($N194)&gt;2),"info: placed after the first business day; ","")&amp;IF(AND($D194="later",$N194&lt;&gt;"",OR(N($N194)&lt;3,N($N194)&gt;5)),"info: later photo outside day 3 to 5; ",""))</f>
        <v/>
      </c>
      <c r="R194" s="25">
        <f>IF($B194="","",$B194&amp;"|"&amp;$C194&amp;"|"&amp;$D194&amp;"|"&amp;$O194)</f>
        <v/>
      </c>
      <c r="S194" s="25">
        <f>IF($B194="","",$R194&amp;"|"&amp;N($E194))</f>
        <v/>
      </c>
    </row>
    <row r="195">
      <c r="E195" s="9" t="n"/>
      <c r="F195" s="33" t="n"/>
      <c r="I195" s="9" t="n"/>
      <c r="M195" s="26">
        <f>IF($B195="","",IFERROR(IF(INDEX(campaigns!$BG$2:$BG$51,MATCH($B195,campaigns!$A$2:$A$51,0))="","",INDEX(campaigns!$BG$2:$BG$51,MATCH($B195,campaigns!$A$2:$A$51,0))),""))</f>
        <v/>
      </c>
      <c r="N195" s="25">
        <f>IF(OR($B195="",$E195="",$M195=""),"",IF($E195&lt;$M195,0,NETWORKDAYS($M195,$E195,calendar!$A$2:$A$80)))</f>
        <v/>
      </c>
      <c r="O195" s="25">
        <f>IF($B195="","",IF(AND($K195="Y",OR($D195="later",$J195="Y")),"Y","N"))</f>
        <v/>
      </c>
      <c r="P195" s="25">
        <f>IF(OR($B195="",$E195=""),"",$B195&amp;"_"&amp;$C195&amp;"_"&amp;$D195&amp;"_"&amp;TEXT($E195,"yyyy-mm-dd")&amp;".jpg")</f>
        <v/>
      </c>
      <c r="Q195" s="25">
        <f>IF($B195="","",IF(COUNTIF(campaigns!$A$2:$A$51,$B195)=0,"campaign_id not on campaigns; ",IF(AND($C195&lt;&gt;"",COUNTIFS(approvals!$A$2:$A$251,$B195,approvals!$B$2:$B$251,$C195)=0),"office not on this campaign (approvals tab); ",""))&amp;IF($E195="","taken date missing; ","")&amp;IF(AND($H195&lt;&gt;"",$H195&lt;&gt;$P195),"file name differs from the convention; ","")&amp;IF(AND($D195="placement",$O195="Y",COUNTIF(photos!$R$2:$R$701,$R195)&gt;1),"two usable placement photos: mark one N; ","")&amp;IF($K195&lt;&gt;"Y","info: not usable (a person, screen or whiteboard may show): never used, delete the file; ","")&amp;IF(AND($D195="placement",$J195&lt;&gt;"Y"),"info: not usable as a placement photo (no card); ","")&amp;IF(AND($D195="placement",N($N195)&gt;2),"info: placed after the first business day; ","")&amp;IF(AND($D195="later",$N195&lt;&gt;"",OR(N($N195)&lt;3,N($N195)&gt;5)),"info: later photo outside day 3 to 5; ",""))</f>
        <v/>
      </c>
      <c r="R195" s="25">
        <f>IF($B195="","",$B195&amp;"|"&amp;$C195&amp;"|"&amp;$D195&amp;"|"&amp;$O195)</f>
        <v/>
      </c>
      <c r="S195" s="25">
        <f>IF($B195="","",$R195&amp;"|"&amp;N($E195))</f>
        <v/>
      </c>
    </row>
    <row r="196">
      <c r="E196" s="9" t="n"/>
      <c r="F196" s="33" t="n"/>
      <c r="I196" s="9" t="n"/>
      <c r="M196" s="26">
        <f>IF($B196="","",IFERROR(IF(INDEX(campaigns!$BG$2:$BG$51,MATCH($B196,campaigns!$A$2:$A$51,0))="","",INDEX(campaigns!$BG$2:$BG$51,MATCH($B196,campaigns!$A$2:$A$51,0))),""))</f>
        <v/>
      </c>
      <c r="N196" s="25">
        <f>IF(OR($B196="",$E196="",$M196=""),"",IF($E196&lt;$M196,0,NETWORKDAYS($M196,$E196,calendar!$A$2:$A$80)))</f>
        <v/>
      </c>
      <c r="O196" s="25">
        <f>IF($B196="","",IF(AND($K196="Y",OR($D196="later",$J196="Y")),"Y","N"))</f>
        <v/>
      </c>
      <c r="P196" s="25">
        <f>IF(OR($B196="",$E196=""),"",$B196&amp;"_"&amp;$C196&amp;"_"&amp;$D196&amp;"_"&amp;TEXT($E196,"yyyy-mm-dd")&amp;".jpg")</f>
        <v/>
      </c>
      <c r="Q196" s="25">
        <f>IF($B196="","",IF(COUNTIF(campaigns!$A$2:$A$51,$B196)=0,"campaign_id not on campaigns; ",IF(AND($C196&lt;&gt;"",COUNTIFS(approvals!$A$2:$A$251,$B196,approvals!$B$2:$B$251,$C196)=0),"office not on this campaign (approvals tab); ",""))&amp;IF($E196="","taken date missing; ","")&amp;IF(AND($H196&lt;&gt;"",$H196&lt;&gt;$P196),"file name differs from the convention; ","")&amp;IF(AND($D196="placement",$O196="Y",COUNTIF(photos!$R$2:$R$701,$R196)&gt;1),"two usable placement photos: mark one N; ","")&amp;IF($K196&lt;&gt;"Y","info: not usable (a person, screen or whiteboard may show): never used, delete the file; ","")&amp;IF(AND($D196="placement",$J196&lt;&gt;"Y"),"info: not usable as a placement photo (no card); ","")&amp;IF(AND($D196="placement",N($N196)&gt;2),"info: placed after the first business day; ","")&amp;IF(AND($D196="later",$N196&lt;&gt;"",OR(N($N196)&lt;3,N($N196)&gt;5)),"info: later photo outside day 3 to 5; ",""))</f>
        <v/>
      </c>
      <c r="R196" s="25">
        <f>IF($B196="","",$B196&amp;"|"&amp;$C196&amp;"|"&amp;$D196&amp;"|"&amp;$O196)</f>
        <v/>
      </c>
      <c r="S196" s="25">
        <f>IF($B196="","",$R196&amp;"|"&amp;N($E196))</f>
        <v/>
      </c>
    </row>
    <row r="197">
      <c r="E197" s="9" t="n"/>
      <c r="F197" s="33" t="n"/>
      <c r="I197" s="9" t="n"/>
      <c r="M197" s="26">
        <f>IF($B197="","",IFERROR(IF(INDEX(campaigns!$BG$2:$BG$51,MATCH($B197,campaigns!$A$2:$A$51,0))="","",INDEX(campaigns!$BG$2:$BG$51,MATCH($B197,campaigns!$A$2:$A$51,0))),""))</f>
        <v/>
      </c>
      <c r="N197" s="25">
        <f>IF(OR($B197="",$E197="",$M197=""),"",IF($E197&lt;$M197,0,NETWORKDAYS($M197,$E197,calendar!$A$2:$A$80)))</f>
        <v/>
      </c>
      <c r="O197" s="25">
        <f>IF($B197="","",IF(AND($K197="Y",OR($D197="later",$J197="Y")),"Y","N"))</f>
        <v/>
      </c>
      <c r="P197" s="25">
        <f>IF(OR($B197="",$E197=""),"",$B197&amp;"_"&amp;$C197&amp;"_"&amp;$D197&amp;"_"&amp;TEXT($E197,"yyyy-mm-dd")&amp;".jpg")</f>
        <v/>
      </c>
      <c r="Q197" s="25">
        <f>IF($B197="","",IF(COUNTIF(campaigns!$A$2:$A$51,$B197)=0,"campaign_id not on campaigns; ",IF(AND($C197&lt;&gt;"",COUNTIFS(approvals!$A$2:$A$251,$B197,approvals!$B$2:$B$251,$C197)=0),"office not on this campaign (approvals tab); ",""))&amp;IF($E197="","taken date missing; ","")&amp;IF(AND($H197&lt;&gt;"",$H197&lt;&gt;$P197),"file name differs from the convention; ","")&amp;IF(AND($D197="placement",$O197="Y",COUNTIF(photos!$R$2:$R$701,$R197)&gt;1),"two usable placement photos: mark one N; ","")&amp;IF($K197&lt;&gt;"Y","info: not usable (a person, screen or whiteboard may show): never used, delete the file; ","")&amp;IF(AND($D197="placement",$J197&lt;&gt;"Y"),"info: not usable as a placement photo (no card); ","")&amp;IF(AND($D197="placement",N($N197)&gt;2),"info: placed after the first business day; ","")&amp;IF(AND($D197="later",$N197&lt;&gt;"",OR(N($N197)&lt;3,N($N197)&gt;5)),"info: later photo outside day 3 to 5; ",""))</f>
        <v/>
      </c>
      <c r="R197" s="25">
        <f>IF($B197="","",$B197&amp;"|"&amp;$C197&amp;"|"&amp;$D197&amp;"|"&amp;$O197)</f>
        <v/>
      </c>
      <c r="S197" s="25">
        <f>IF($B197="","",$R197&amp;"|"&amp;N($E197))</f>
        <v/>
      </c>
    </row>
    <row r="198">
      <c r="E198" s="9" t="n"/>
      <c r="F198" s="33" t="n"/>
      <c r="I198" s="9" t="n"/>
      <c r="M198" s="26">
        <f>IF($B198="","",IFERROR(IF(INDEX(campaigns!$BG$2:$BG$51,MATCH($B198,campaigns!$A$2:$A$51,0))="","",INDEX(campaigns!$BG$2:$BG$51,MATCH($B198,campaigns!$A$2:$A$51,0))),""))</f>
        <v/>
      </c>
      <c r="N198" s="25">
        <f>IF(OR($B198="",$E198="",$M198=""),"",IF($E198&lt;$M198,0,NETWORKDAYS($M198,$E198,calendar!$A$2:$A$80)))</f>
        <v/>
      </c>
      <c r="O198" s="25">
        <f>IF($B198="","",IF(AND($K198="Y",OR($D198="later",$J198="Y")),"Y","N"))</f>
        <v/>
      </c>
      <c r="P198" s="25">
        <f>IF(OR($B198="",$E198=""),"",$B198&amp;"_"&amp;$C198&amp;"_"&amp;$D198&amp;"_"&amp;TEXT($E198,"yyyy-mm-dd")&amp;".jpg")</f>
        <v/>
      </c>
      <c r="Q198" s="25">
        <f>IF($B198="","",IF(COUNTIF(campaigns!$A$2:$A$51,$B198)=0,"campaign_id not on campaigns; ",IF(AND($C198&lt;&gt;"",COUNTIFS(approvals!$A$2:$A$251,$B198,approvals!$B$2:$B$251,$C198)=0),"office not on this campaign (approvals tab); ",""))&amp;IF($E198="","taken date missing; ","")&amp;IF(AND($H198&lt;&gt;"",$H198&lt;&gt;$P198),"file name differs from the convention; ","")&amp;IF(AND($D198="placement",$O198="Y",COUNTIF(photos!$R$2:$R$701,$R198)&gt;1),"two usable placement photos: mark one N; ","")&amp;IF($K198&lt;&gt;"Y","info: not usable (a person, screen or whiteboard may show): never used, delete the file; ","")&amp;IF(AND($D198="placement",$J198&lt;&gt;"Y"),"info: not usable as a placement photo (no card); ","")&amp;IF(AND($D198="placement",N($N198)&gt;2),"info: placed after the first business day; ","")&amp;IF(AND($D198="later",$N198&lt;&gt;"",OR(N($N198)&lt;3,N($N198)&gt;5)),"info: later photo outside day 3 to 5; ",""))</f>
        <v/>
      </c>
      <c r="R198" s="25">
        <f>IF($B198="","",$B198&amp;"|"&amp;$C198&amp;"|"&amp;$D198&amp;"|"&amp;$O198)</f>
        <v/>
      </c>
      <c r="S198" s="25">
        <f>IF($B198="","",$R198&amp;"|"&amp;N($E198))</f>
        <v/>
      </c>
    </row>
    <row r="199">
      <c r="E199" s="9" t="n"/>
      <c r="F199" s="33" t="n"/>
      <c r="I199" s="9" t="n"/>
      <c r="M199" s="26">
        <f>IF($B199="","",IFERROR(IF(INDEX(campaigns!$BG$2:$BG$51,MATCH($B199,campaigns!$A$2:$A$51,0))="","",INDEX(campaigns!$BG$2:$BG$51,MATCH($B199,campaigns!$A$2:$A$51,0))),""))</f>
        <v/>
      </c>
      <c r="N199" s="25">
        <f>IF(OR($B199="",$E199="",$M199=""),"",IF($E199&lt;$M199,0,NETWORKDAYS($M199,$E199,calendar!$A$2:$A$80)))</f>
        <v/>
      </c>
      <c r="O199" s="25">
        <f>IF($B199="","",IF(AND($K199="Y",OR($D199="later",$J199="Y")),"Y","N"))</f>
        <v/>
      </c>
      <c r="P199" s="25">
        <f>IF(OR($B199="",$E199=""),"",$B199&amp;"_"&amp;$C199&amp;"_"&amp;$D199&amp;"_"&amp;TEXT($E199,"yyyy-mm-dd")&amp;".jpg")</f>
        <v/>
      </c>
      <c r="Q199" s="25">
        <f>IF($B199="","",IF(COUNTIF(campaigns!$A$2:$A$51,$B199)=0,"campaign_id not on campaigns; ",IF(AND($C199&lt;&gt;"",COUNTIFS(approvals!$A$2:$A$251,$B199,approvals!$B$2:$B$251,$C199)=0),"office not on this campaign (approvals tab); ",""))&amp;IF($E199="","taken date missing; ","")&amp;IF(AND($H199&lt;&gt;"",$H199&lt;&gt;$P199),"file name differs from the convention; ","")&amp;IF(AND($D199="placement",$O199="Y",COUNTIF(photos!$R$2:$R$701,$R199)&gt;1),"two usable placement photos: mark one N; ","")&amp;IF($K199&lt;&gt;"Y","info: not usable (a person, screen or whiteboard may show): never used, delete the file; ","")&amp;IF(AND($D199="placement",$J199&lt;&gt;"Y"),"info: not usable as a placement photo (no card); ","")&amp;IF(AND($D199="placement",N($N199)&gt;2),"info: placed after the first business day; ","")&amp;IF(AND($D199="later",$N199&lt;&gt;"",OR(N($N199)&lt;3,N($N199)&gt;5)),"info: later photo outside day 3 to 5; ",""))</f>
        <v/>
      </c>
      <c r="R199" s="25">
        <f>IF($B199="","",$B199&amp;"|"&amp;$C199&amp;"|"&amp;$D199&amp;"|"&amp;$O199)</f>
        <v/>
      </c>
      <c r="S199" s="25">
        <f>IF($B199="","",$R199&amp;"|"&amp;N($E199))</f>
        <v/>
      </c>
    </row>
    <row r="200">
      <c r="E200" s="9" t="n"/>
      <c r="F200" s="33" t="n"/>
      <c r="I200" s="9" t="n"/>
      <c r="M200" s="26">
        <f>IF($B200="","",IFERROR(IF(INDEX(campaigns!$BG$2:$BG$51,MATCH($B200,campaigns!$A$2:$A$51,0))="","",INDEX(campaigns!$BG$2:$BG$51,MATCH($B200,campaigns!$A$2:$A$51,0))),""))</f>
        <v/>
      </c>
      <c r="N200" s="25">
        <f>IF(OR($B200="",$E200="",$M200=""),"",IF($E200&lt;$M200,0,NETWORKDAYS($M200,$E200,calendar!$A$2:$A$80)))</f>
        <v/>
      </c>
      <c r="O200" s="25">
        <f>IF($B200="","",IF(AND($K200="Y",OR($D200="later",$J200="Y")),"Y","N"))</f>
        <v/>
      </c>
      <c r="P200" s="25">
        <f>IF(OR($B200="",$E200=""),"",$B200&amp;"_"&amp;$C200&amp;"_"&amp;$D200&amp;"_"&amp;TEXT($E200,"yyyy-mm-dd")&amp;".jpg")</f>
        <v/>
      </c>
      <c r="Q200" s="25">
        <f>IF($B200="","",IF(COUNTIF(campaigns!$A$2:$A$51,$B200)=0,"campaign_id not on campaigns; ",IF(AND($C200&lt;&gt;"",COUNTIFS(approvals!$A$2:$A$251,$B200,approvals!$B$2:$B$251,$C200)=0),"office not on this campaign (approvals tab); ",""))&amp;IF($E200="","taken date missing; ","")&amp;IF(AND($H200&lt;&gt;"",$H200&lt;&gt;$P200),"file name differs from the convention; ","")&amp;IF(AND($D200="placement",$O200="Y",COUNTIF(photos!$R$2:$R$701,$R200)&gt;1),"two usable placement photos: mark one N; ","")&amp;IF($K200&lt;&gt;"Y","info: not usable (a person, screen or whiteboard may show): never used, delete the file; ","")&amp;IF(AND($D200="placement",$J200&lt;&gt;"Y"),"info: not usable as a placement photo (no card); ","")&amp;IF(AND($D200="placement",N($N200)&gt;2),"info: placed after the first business day; ","")&amp;IF(AND($D200="later",$N200&lt;&gt;"",OR(N($N200)&lt;3,N($N200)&gt;5)),"info: later photo outside day 3 to 5; ",""))</f>
        <v/>
      </c>
      <c r="R200" s="25">
        <f>IF($B200="","",$B200&amp;"|"&amp;$C200&amp;"|"&amp;$D200&amp;"|"&amp;$O200)</f>
        <v/>
      </c>
      <c r="S200" s="25">
        <f>IF($B200="","",$R200&amp;"|"&amp;N($E200))</f>
        <v/>
      </c>
    </row>
    <row r="201">
      <c r="E201" s="9" t="n"/>
      <c r="F201" s="33" t="n"/>
      <c r="I201" s="9" t="n"/>
      <c r="M201" s="26">
        <f>IF($B201="","",IFERROR(IF(INDEX(campaigns!$BG$2:$BG$51,MATCH($B201,campaigns!$A$2:$A$51,0))="","",INDEX(campaigns!$BG$2:$BG$51,MATCH($B201,campaigns!$A$2:$A$51,0))),""))</f>
        <v/>
      </c>
      <c r="N201" s="25">
        <f>IF(OR($B201="",$E201="",$M201=""),"",IF($E201&lt;$M201,0,NETWORKDAYS($M201,$E201,calendar!$A$2:$A$80)))</f>
        <v/>
      </c>
      <c r="O201" s="25">
        <f>IF($B201="","",IF(AND($K201="Y",OR($D201="later",$J201="Y")),"Y","N"))</f>
        <v/>
      </c>
      <c r="P201" s="25">
        <f>IF(OR($B201="",$E201=""),"",$B201&amp;"_"&amp;$C201&amp;"_"&amp;$D201&amp;"_"&amp;TEXT($E201,"yyyy-mm-dd")&amp;".jpg")</f>
        <v/>
      </c>
      <c r="Q201" s="25">
        <f>IF($B201="","",IF(COUNTIF(campaigns!$A$2:$A$51,$B201)=0,"campaign_id not on campaigns; ",IF(AND($C201&lt;&gt;"",COUNTIFS(approvals!$A$2:$A$251,$B201,approvals!$B$2:$B$251,$C201)=0),"office not on this campaign (approvals tab); ",""))&amp;IF($E201="","taken date missing; ","")&amp;IF(AND($H201&lt;&gt;"",$H201&lt;&gt;$P201),"file name differs from the convention; ","")&amp;IF(AND($D201="placement",$O201="Y",COUNTIF(photos!$R$2:$R$701,$R201)&gt;1),"two usable placement photos: mark one N; ","")&amp;IF($K201&lt;&gt;"Y","info: not usable (a person, screen or whiteboard may show): never used, delete the file; ","")&amp;IF(AND($D201="placement",$J201&lt;&gt;"Y"),"info: not usable as a placement photo (no card); ","")&amp;IF(AND($D201="placement",N($N201)&gt;2),"info: placed after the first business day; ","")&amp;IF(AND($D201="later",$N201&lt;&gt;"",OR(N($N201)&lt;3,N($N201)&gt;5)),"info: later photo outside day 3 to 5; ",""))</f>
        <v/>
      </c>
      <c r="R201" s="25">
        <f>IF($B201="","",$B201&amp;"|"&amp;$C201&amp;"|"&amp;$D201&amp;"|"&amp;$O201)</f>
        <v/>
      </c>
      <c r="S201" s="25">
        <f>IF($B201="","",$R201&amp;"|"&amp;N($E201))</f>
        <v/>
      </c>
    </row>
    <row r="202">
      <c r="E202" s="9" t="n"/>
      <c r="F202" s="33" t="n"/>
      <c r="I202" s="9" t="n"/>
      <c r="M202" s="26">
        <f>IF($B202="","",IFERROR(IF(INDEX(campaigns!$BG$2:$BG$51,MATCH($B202,campaigns!$A$2:$A$51,0))="","",INDEX(campaigns!$BG$2:$BG$51,MATCH($B202,campaigns!$A$2:$A$51,0))),""))</f>
        <v/>
      </c>
      <c r="N202" s="25">
        <f>IF(OR($B202="",$E202="",$M202=""),"",IF($E202&lt;$M202,0,NETWORKDAYS($M202,$E202,calendar!$A$2:$A$80)))</f>
        <v/>
      </c>
      <c r="O202" s="25">
        <f>IF($B202="","",IF(AND($K202="Y",OR($D202="later",$J202="Y")),"Y","N"))</f>
        <v/>
      </c>
      <c r="P202" s="25">
        <f>IF(OR($B202="",$E202=""),"",$B202&amp;"_"&amp;$C202&amp;"_"&amp;$D202&amp;"_"&amp;TEXT($E202,"yyyy-mm-dd")&amp;".jpg")</f>
        <v/>
      </c>
      <c r="Q202" s="25">
        <f>IF($B202="","",IF(COUNTIF(campaigns!$A$2:$A$51,$B202)=0,"campaign_id not on campaigns; ",IF(AND($C202&lt;&gt;"",COUNTIFS(approvals!$A$2:$A$251,$B202,approvals!$B$2:$B$251,$C202)=0),"office not on this campaign (approvals tab); ",""))&amp;IF($E202="","taken date missing; ","")&amp;IF(AND($H202&lt;&gt;"",$H202&lt;&gt;$P202),"file name differs from the convention; ","")&amp;IF(AND($D202="placement",$O202="Y",COUNTIF(photos!$R$2:$R$701,$R202)&gt;1),"two usable placement photos: mark one N; ","")&amp;IF($K202&lt;&gt;"Y","info: not usable (a person, screen or whiteboard may show): never used, delete the file; ","")&amp;IF(AND($D202="placement",$J202&lt;&gt;"Y"),"info: not usable as a placement photo (no card); ","")&amp;IF(AND($D202="placement",N($N202)&gt;2),"info: placed after the first business day; ","")&amp;IF(AND($D202="later",$N202&lt;&gt;"",OR(N($N202)&lt;3,N($N202)&gt;5)),"info: later photo outside day 3 to 5; ",""))</f>
        <v/>
      </c>
      <c r="R202" s="25">
        <f>IF($B202="","",$B202&amp;"|"&amp;$C202&amp;"|"&amp;$D202&amp;"|"&amp;$O202)</f>
        <v/>
      </c>
      <c r="S202" s="25">
        <f>IF($B202="","",$R202&amp;"|"&amp;N($E202))</f>
        <v/>
      </c>
    </row>
    <row r="203">
      <c r="E203" s="9" t="n"/>
      <c r="F203" s="33" t="n"/>
      <c r="I203" s="9" t="n"/>
      <c r="M203" s="26">
        <f>IF($B203="","",IFERROR(IF(INDEX(campaigns!$BG$2:$BG$51,MATCH($B203,campaigns!$A$2:$A$51,0))="","",INDEX(campaigns!$BG$2:$BG$51,MATCH($B203,campaigns!$A$2:$A$51,0))),""))</f>
        <v/>
      </c>
      <c r="N203" s="25">
        <f>IF(OR($B203="",$E203="",$M203=""),"",IF($E203&lt;$M203,0,NETWORKDAYS($M203,$E203,calendar!$A$2:$A$80)))</f>
        <v/>
      </c>
      <c r="O203" s="25">
        <f>IF($B203="","",IF(AND($K203="Y",OR($D203="later",$J203="Y")),"Y","N"))</f>
        <v/>
      </c>
      <c r="P203" s="25">
        <f>IF(OR($B203="",$E203=""),"",$B203&amp;"_"&amp;$C203&amp;"_"&amp;$D203&amp;"_"&amp;TEXT($E203,"yyyy-mm-dd")&amp;".jpg")</f>
        <v/>
      </c>
      <c r="Q203" s="25">
        <f>IF($B203="","",IF(COUNTIF(campaigns!$A$2:$A$51,$B203)=0,"campaign_id not on campaigns; ",IF(AND($C203&lt;&gt;"",COUNTIFS(approvals!$A$2:$A$251,$B203,approvals!$B$2:$B$251,$C203)=0),"office not on this campaign (approvals tab); ",""))&amp;IF($E203="","taken date missing; ","")&amp;IF(AND($H203&lt;&gt;"",$H203&lt;&gt;$P203),"file name differs from the convention; ","")&amp;IF(AND($D203="placement",$O203="Y",COUNTIF(photos!$R$2:$R$701,$R203)&gt;1),"two usable placement photos: mark one N; ","")&amp;IF($K203&lt;&gt;"Y","info: not usable (a person, screen or whiteboard may show): never used, delete the file; ","")&amp;IF(AND($D203="placement",$J203&lt;&gt;"Y"),"info: not usable as a placement photo (no card); ","")&amp;IF(AND($D203="placement",N($N203)&gt;2),"info: placed after the first business day; ","")&amp;IF(AND($D203="later",$N203&lt;&gt;"",OR(N($N203)&lt;3,N($N203)&gt;5)),"info: later photo outside day 3 to 5; ",""))</f>
        <v/>
      </c>
      <c r="R203" s="25">
        <f>IF($B203="","",$B203&amp;"|"&amp;$C203&amp;"|"&amp;$D203&amp;"|"&amp;$O203)</f>
        <v/>
      </c>
      <c r="S203" s="25">
        <f>IF($B203="","",$R203&amp;"|"&amp;N($E203))</f>
        <v/>
      </c>
    </row>
    <row r="204">
      <c r="E204" s="9" t="n"/>
      <c r="F204" s="33" t="n"/>
      <c r="I204" s="9" t="n"/>
      <c r="M204" s="26">
        <f>IF($B204="","",IFERROR(IF(INDEX(campaigns!$BG$2:$BG$51,MATCH($B204,campaigns!$A$2:$A$51,0))="","",INDEX(campaigns!$BG$2:$BG$51,MATCH($B204,campaigns!$A$2:$A$51,0))),""))</f>
        <v/>
      </c>
      <c r="N204" s="25">
        <f>IF(OR($B204="",$E204="",$M204=""),"",IF($E204&lt;$M204,0,NETWORKDAYS($M204,$E204,calendar!$A$2:$A$80)))</f>
        <v/>
      </c>
      <c r="O204" s="25">
        <f>IF($B204="","",IF(AND($K204="Y",OR($D204="later",$J204="Y")),"Y","N"))</f>
        <v/>
      </c>
      <c r="P204" s="25">
        <f>IF(OR($B204="",$E204=""),"",$B204&amp;"_"&amp;$C204&amp;"_"&amp;$D204&amp;"_"&amp;TEXT($E204,"yyyy-mm-dd")&amp;".jpg")</f>
        <v/>
      </c>
      <c r="Q204" s="25">
        <f>IF($B204="","",IF(COUNTIF(campaigns!$A$2:$A$51,$B204)=0,"campaign_id not on campaigns; ",IF(AND($C204&lt;&gt;"",COUNTIFS(approvals!$A$2:$A$251,$B204,approvals!$B$2:$B$251,$C204)=0),"office not on this campaign (approvals tab); ",""))&amp;IF($E204="","taken date missing; ","")&amp;IF(AND($H204&lt;&gt;"",$H204&lt;&gt;$P204),"file name differs from the convention; ","")&amp;IF(AND($D204="placement",$O204="Y",COUNTIF(photos!$R$2:$R$701,$R204)&gt;1),"two usable placement photos: mark one N; ","")&amp;IF($K204&lt;&gt;"Y","info: not usable (a person, screen or whiteboard may show): never used, delete the file; ","")&amp;IF(AND($D204="placement",$J204&lt;&gt;"Y"),"info: not usable as a placement photo (no card); ","")&amp;IF(AND($D204="placement",N($N204)&gt;2),"info: placed after the first business day; ","")&amp;IF(AND($D204="later",$N204&lt;&gt;"",OR(N($N204)&lt;3,N($N204)&gt;5)),"info: later photo outside day 3 to 5; ",""))</f>
        <v/>
      </c>
      <c r="R204" s="25">
        <f>IF($B204="","",$B204&amp;"|"&amp;$C204&amp;"|"&amp;$D204&amp;"|"&amp;$O204)</f>
        <v/>
      </c>
      <c r="S204" s="25">
        <f>IF($B204="","",$R204&amp;"|"&amp;N($E204))</f>
        <v/>
      </c>
    </row>
    <row r="205">
      <c r="E205" s="9" t="n"/>
      <c r="F205" s="33" t="n"/>
      <c r="I205" s="9" t="n"/>
      <c r="M205" s="26">
        <f>IF($B205="","",IFERROR(IF(INDEX(campaigns!$BG$2:$BG$51,MATCH($B205,campaigns!$A$2:$A$51,0))="","",INDEX(campaigns!$BG$2:$BG$51,MATCH($B205,campaigns!$A$2:$A$51,0))),""))</f>
        <v/>
      </c>
      <c r="N205" s="25">
        <f>IF(OR($B205="",$E205="",$M205=""),"",IF($E205&lt;$M205,0,NETWORKDAYS($M205,$E205,calendar!$A$2:$A$80)))</f>
        <v/>
      </c>
      <c r="O205" s="25">
        <f>IF($B205="","",IF(AND($K205="Y",OR($D205="later",$J205="Y")),"Y","N"))</f>
        <v/>
      </c>
      <c r="P205" s="25">
        <f>IF(OR($B205="",$E205=""),"",$B205&amp;"_"&amp;$C205&amp;"_"&amp;$D205&amp;"_"&amp;TEXT($E205,"yyyy-mm-dd")&amp;".jpg")</f>
        <v/>
      </c>
      <c r="Q205" s="25">
        <f>IF($B205="","",IF(COUNTIF(campaigns!$A$2:$A$51,$B205)=0,"campaign_id not on campaigns; ",IF(AND($C205&lt;&gt;"",COUNTIFS(approvals!$A$2:$A$251,$B205,approvals!$B$2:$B$251,$C205)=0),"office not on this campaign (approvals tab); ",""))&amp;IF($E205="","taken date missing; ","")&amp;IF(AND($H205&lt;&gt;"",$H205&lt;&gt;$P205),"file name differs from the convention; ","")&amp;IF(AND($D205="placement",$O205="Y",COUNTIF(photos!$R$2:$R$701,$R205)&gt;1),"two usable placement photos: mark one N; ","")&amp;IF($K205&lt;&gt;"Y","info: not usable (a person, screen or whiteboard may show): never used, delete the file; ","")&amp;IF(AND($D205="placement",$J205&lt;&gt;"Y"),"info: not usable as a placement photo (no card); ","")&amp;IF(AND($D205="placement",N($N205)&gt;2),"info: placed after the first business day; ","")&amp;IF(AND($D205="later",$N205&lt;&gt;"",OR(N($N205)&lt;3,N($N205)&gt;5)),"info: later photo outside day 3 to 5; ",""))</f>
        <v/>
      </c>
      <c r="R205" s="25">
        <f>IF($B205="","",$B205&amp;"|"&amp;$C205&amp;"|"&amp;$D205&amp;"|"&amp;$O205)</f>
        <v/>
      </c>
      <c r="S205" s="25">
        <f>IF($B205="","",$R205&amp;"|"&amp;N($E205))</f>
        <v/>
      </c>
    </row>
    <row r="206">
      <c r="E206" s="9" t="n"/>
      <c r="F206" s="33" t="n"/>
      <c r="I206" s="9" t="n"/>
      <c r="M206" s="26">
        <f>IF($B206="","",IFERROR(IF(INDEX(campaigns!$BG$2:$BG$51,MATCH($B206,campaigns!$A$2:$A$51,0))="","",INDEX(campaigns!$BG$2:$BG$51,MATCH($B206,campaigns!$A$2:$A$51,0))),""))</f>
        <v/>
      </c>
      <c r="N206" s="25">
        <f>IF(OR($B206="",$E206="",$M206=""),"",IF($E206&lt;$M206,0,NETWORKDAYS($M206,$E206,calendar!$A$2:$A$80)))</f>
        <v/>
      </c>
      <c r="O206" s="25">
        <f>IF($B206="","",IF(AND($K206="Y",OR($D206="later",$J206="Y")),"Y","N"))</f>
        <v/>
      </c>
      <c r="P206" s="25">
        <f>IF(OR($B206="",$E206=""),"",$B206&amp;"_"&amp;$C206&amp;"_"&amp;$D206&amp;"_"&amp;TEXT($E206,"yyyy-mm-dd")&amp;".jpg")</f>
        <v/>
      </c>
      <c r="Q206" s="25">
        <f>IF($B206="","",IF(COUNTIF(campaigns!$A$2:$A$51,$B206)=0,"campaign_id not on campaigns; ",IF(AND($C206&lt;&gt;"",COUNTIFS(approvals!$A$2:$A$251,$B206,approvals!$B$2:$B$251,$C206)=0),"office not on this campaign (approvals tab); ",""))&amp;IF($E206="","taken date missing; ","")&amp;IF(AND($H206&lt;&gt;"",$H206&lt;&gt;$P206),"file name differs from the convention; ","")&amp;IF(AND($D206="placement",$O206="Y",COUNTIF(photos!$R$2:$R$701,$R206)&gt;1),"two usable placement photos: mark one N; ","")&amp;IF($K206&lt;&gt;"Y","info: not usable (a person, screen or whiteboard may show): never used, delete the file; ","")&amp;IF(AND($D206="placement",$J206&lt;&gt;"Y"),"info: not usable as a placement photo (no card); ","")&amp;IF(AND($D206="placement",N($N206)&gt;2),"info: placed after the first business day; ","")&amp;IF(AND($D206="later",$N206&lt;&gt;"",OR(N($N206)&lt;3,N($N206)&gt;5)),"info: later photo outside day 3 to 5; ",""))</f>
        <v/>
      </c>
      <c r="R206" s="25">
        <f>IF($B206="","",$B206&amp;"|"&amp;$C206&amp;"|"&amp;$D206&amp;"|"&amp;$O206)</f>
        <v/>
      </c>
      <c r="S206" s="25">
        <f>IF($B206="","",$R206&amp;"|"&amp;N($E206))</f>
        <v/>
      </c>
    </row>
    <row r="207">
      <c r="E207" s="9" t="n"/>
      <c r="F207" s="33" t="n"/>
      <c r="I207" s="9" t="n"/>
      <c r="M207" s="26">
        <f>IF($B207="","",IFERROR(IF(INDEX(campaigns!$BG$2:$BG$51,MATCH($B207,campaigns!$A$2:$A$51,0))="","",INDEX(campaigns!$BG$2:$BG$51,MATCH($B207,campaigns!$A$2:$A$51,0))),""))</f>
        <v/>
      </c>
      <c r="N207" s="25">
        <f>IF(OR($B207="",$E207="",$M207=""),"",IF($E207&lt;$M207,0,NETWORKDAYS($M207,$E207,calendar!$A$2:$A$80)))</f>
        <v/>
      </c>
      <c r="O207" s="25">
        <f>IF($B207="","",IF(AND($K207="Y",OR($D207="later",$J207="Y")),"Y","N"))</f>
        <v/>
      </c>
      <c r="P207" s="25">
        <f>IF(OR($B207="",$E207=""),"",$B207&amp;"_"&amp;$C207&amp;"_"&amp;$D207&amp;"_"&amp;TEXT($E207,"yyyy-mm-dd")&amp;".jpg")</f>
        <v/>
      </c>
      <c r="Q207" s="25">
        <f>IF($B207="","",IF(COUNTIF(campaigns!$A$2:$A$51,$B207)=0,"campaign_id not on campaigns; ",IF(AND($C207&lt;&gt;"",COUNTIFS(approvals!$A$2:$A$251,$B207,approvals!$B$2:$B$251,$C207)=0),"office not on this campaign (approvals tab); ",""))&amp;IF($E207="","taken date missing; ","")&amp;IF(AND($H207&lt;&gt;"",$H207&lt;&gt;$P207),"file name differs from the convention; ","")&amp;IF(AND($D207="placement",$O207="Y",COUNTIF(photos!$R$2:$R$701,$R207)&gt;1),"two usable placement photos: mark one N; ","")&amp;IF($K207&lt;&gt;"Y","info: not usable (a person, screen or whiteboard may show): never used, delete the file; ","")&amp;IF(AND($D207="placement",$J207&lt;&gt;"Y"),"info: not usable as a placement photo (no card); ","")&amp;IF(AND($D207="placement",N($N207)&gt;2),"info: placed after the first business day; ","")&amp;IF(AND($D207="later",$N207&lt;&gt;"",OR(N($N207)&lt;3,N($N207)&gt;5)),"info: later photo outside day 3 to 5; ",""))</f>
        <v/>
      </c>
      <c r="R207" s="25">
        <f>IF($B207="","",$B207&amp;"|"&amp;$C207&amp;"|"&amp;$D207&amp;"|"&amp;$O207)</f>
        <v/>
      </c>
      <c r="S207" s="25">
        <f>IF($B207="","",$R207&amp;"|"&amp;N($E207))</f>
        <v/>
      </c>
    </row>
    <row r="208">
      <c r="E208" s="9" t="n"/>
      <c r="F208" s="33" t="n"/>
      <c r="I208" s="9" t="n"/>
      <c r="M208" s="26">
        <f>IF($B208="","",IFERROR(IF(INDEX(campaigns!$BG$2:$BG$51,MATCH($B208,campaigns!$A$2:$A$51,0))="","",INDEX(campaigns!$BG$2:$BG$51,MATCH($B208,campaigns!$A$2:$A$51,0))),""))</f>
        <v/>
      </c>
      <c r="N208" s="25">
        <f>IF(OR($B208="",$E208="",$M208=""),"",IF($E208&lt;$M208,0,NETWORKDAYS($M208,$E208,calendar!$A$2:$A$80)))</f>
        <v/>
      </c>
      <c r="O208" s="25">
        <f>IF($B208="","",IF(AND($K208="Y",OR($D208="later",$J208="Y")),"Y","N"))</f>
        <v/>
      </c>
      <c r="P208" s="25">
        <f>IF(OR($B208="",$E208=""),"",$B208&amp;"_"&amp;$C208&amp;"_"&amp;$D208&amp;"_"&amp;TEXT($E208,"yyyy-mm-dd")&amp;".jpg")</f>
        <v/>
      </c>
      <c r="Q208" s="25">
        <f>IF($B208="","",IF(COUNTIF(campaigns!$A$2:$A$51,$B208)=0,"campaign_id not on campaigns; ",IF(AND($C208&lt;&gt;"",COUNTIFS(approvals!$A$2:$A$251,$B208,approvals!$B$2:$B$251,$C208)=0),"office not on this campaign (approvals tab); ",""))&amp;IF($E208="","taken date missing; ","")&amp;IF(AND($H208&lt;&gt;"",$H208&lt;&gt;$P208),"file name differs from the convention; ","")&amp;IF(AND($D208="placement",$O208="Y",COUNTIF(photos!$R$2:$R$701,$R208)&gt;1),"two usable placement photos: mark one N; ","")&amp;IF($K208&lt;&gt;"Y","info: not usable (a person, screen or whiteboard may show): never used, delete the file; ","")&amp;IF(AND($D208="placement",$J208&lt;&gt;"Y"),"info: not usable as a placement photo (no card); ","")&amp;IF(AND($D208="placement",N($N208)&gt;2),"info: placed after the first business day; ","")&amp;IF(AND($D208="later",$N208&lt;&gt;"",OR(N($N208)&lt;3,N($N208)&gt;5)),"info: later photo outside day 3 to 5; ",""))</f>
        <v/>
      </c>
      <c r="R208" s="25">
        <f>IF($B208="","",$B208&amp;"|"&amp;$C208&amp;"|"&amp;$D208&amp;"|"&amp;$O208)</f>
        <v/>
      </c>
      <c r="S208" s="25">
        <f>IF($B208="","",$R208&amp;"|"&amp;N($E208))</f>
        <v/>
      </c>
    </row>
    <row r="209">
      <c r="E209" s="9" t="n"/>
      <c r="F209" s="33" t="n"/>
      <c r="I209" s="9" t="n"/>
      <c r="M209" s="26">
        <f>IF($B209="","",IFERROR(IF(INDEX(campaigns!$BG$2:$BG$51,MATCH($B209,campaigns!$A$2:$A$51,0))="","",INDEX(campaigns!$BG$2:$BG$51,MATCH($B209,campaigns!$A$2:$A$51,0))),""))</f>
        <v/>
      </c>
      <c r="N209" s="25">
        <f>IF(OR($B209="",$E209="",$M209=""),"",IF($E209&lt;$M209,0,NETWORKDAYS($M209,$E209,calendar!$A$2:$A$80)))</f>
        <v/>
      </c>
      <c r="O209" s="25">
        <f>IF($B209="","",IF(AND($K209="Y",OR($D209="later",$J209="Y")),"Y","N"))</f>
        <v/>
      </c>
      <c r="P209" s="25">
        <f>IF(OR($B209="",$E209=""),"",$B209&amp;"_"&amp;$C209&amp;"_"&amp;$D209&amp;"_"&amp;TEXT($E209,"yyyy-mm-dd")&amp;".jpg")</f>
        <v/>
      </c>
      <c r="Q209" s="25">
        <f>IF($B209="","",IF(COUNTIF(campaigns!$A$2:$A$51,$B209)=0,"campaign_id not on campaigns; ",IF(AND($C209&lt;&gt;"",COUNTIFS(approvals!$A$2:$A$251,$B209,approvals!$B$2:$B$251,$C209)=0),"office not on this campaign (approvals tab); ",""))&amp;IF($E209="","taken date missing; ","")&amp;IF(AND($H209&lt;&gt;"",$H209&lt;&gt;$P209),"file name differs from the convention; ","")&amp;IF(AND($D209="placement",$O209="Y",COUNTIF(photos!$R$2:$R$701,$R209)&gt;1),"two usable placement photos: mark one N; ","")&amp;IF($K209&lt;&gt;"Y","info: not usable (a person, screen or whiteboard may show): never used, delete the file; ","")&amp;IF(AND($D209="placement",$J209&lt;&gt;"Y"),"info: not usable as a placement photo (no card); ","")&amp;IF(AND($D209="placement",N($N209)&gt;2),"info: placed after the first business day; ","")&amp;IF(AND($D209="later",$N209&lt;&gt;"",OR(N($N209)&lt;3,N($N209)&gt;5)),"info: later photo outside day 3 to 5; ",""))</f>
        <v/>
      </c>
      <c r="R209" s="25">
        <f>IF($B209="","",$B209&amp;"|"&amp;$C209&amp;"|"&amp;$D209&amp;"|"&amp;$O209)</f>
        <v/>
      </c>
      <c r="S209" s="25">
        <f>IF($B209="","",$R209&amp;"|"&amp;N($E209))</f>
        <v/>
      </c>
    </row>
    <row r="210">
      <c r="E210" s="9" t="n"/>
      <c r="F210" s="33" t="n"/>
      <c r="I210" s="9" t="n"/>
      <c r="M210" s="26">
        <f>IF($B210="","",IFERROR(IF(INDEX(campaigns!$BG$2:$BG$51,MATCH($B210,campaigns!$A$2:$A$51,0))="","",INDEX(campaigns!$BG$2:$BG$51,MATCH($B210,campaigns!$A$2:$A$51,0))),""))</f>
        <v/>
      </c>
      <c r="N210" s="25">
        <f>IF(OR($B210="",$E210="",$M210=""),"",IF($E210&lt;$M210,0,NETWORKDAYS($M210,$E210,calendar!$A$2:$A$80)))</f>
        <v/>
      </c>
      <c r="O210" s="25">
        <f>IF($B210="","",IF(AND($K210="Y",OR($D210="later",$J210="Y")),"Y","N"))</f>
        <v/>
      </c>
      <c r="P210" s="25">
        <f>IF(OR($B210="",$E210=""),"",$B210&amp;"_"&amp;$C210&amp;"_"&amp;$D210&amp;"_"&amp;TEXT($E210,"yyyy-mm-dd")&amp;".jpg")</f>
        <v/>
      </c>
      <c r="Q210" s="25">
        <f>IF($B210="","",IF(COUNTIF(campaigns!$A$2:$A$51,$B210)=0,"campaign_id not on campaigns; ",IF(AND($C210&lt;&gt;"",COUNTIFS(approvals!$A$2:$A$251,$B210,approvals!$B$2:$B$251,$C210)=0),"office not on this campaign (approvals tab); ",""))&amp;IF($E210="","taken date missing; ","")&amp;IF(AND($H210&lt;&gt;"",$H210&lt;&gt;$P210),"file name differs from the convention; ","")&amp;IF(AND($D210="placement",$O210="Y",COUNTIF(photos!$R$2:$R$701,$R210)&gt;1),"two usable placement photos: mark one N; ","")&amp;IF($K210&lt;&gt;"Y","info: not usable (a person, screen or whiteboard may show): never used, delete the file; ","")&amp;IF(AND($D210="placement",$J210&lt;&gt;"Y"),"info: not usable as a placement photo (no card); ","")&amp;IF(AND($D210="placement",N($N210)&gt;2),"info: placed after the first business day; ","")&amp;IF(AND($D210="later",$N210&lt;&gt;"",OR(N($N210)&lt;3,N($N210)&gt;5)),"info: later photo outside day 3 to 5; ",""))</f>
        <v/>
      </c>
      <c r="R210" s="25">
        <f>IF($B210="","",$B210&amp;"|"&amp;$C210&amp;"|"&amp;$D210&amp;"|"&amp;$O210)</f>
        <v/>
      </c>
      <c r="S210" s="25">
        <f>IF($B210="","",$R210&amp;"|"&amp;N($E210))</f>
        <v/>
      </c>
    </row>
    <row r="211">
      <c r="E211" s="9" t="n"/>
      <c r="F211" s="33" t="n"/>
      <c r="I211" s="9" t="n"/>
      <c r="M211" s="26">
        <f>IF($B211="","",IFERROR(IF(INDEX(campaigns!$BG$2:$BG$51,MATCH($B211,campaigns!$A$2:$A$51,0))="","",INDEX(campaigns!$BG$2:$BG$51,MATCH($B211,campaigns!$A$2:$A$51,0))),""))</f>
        <v/>
      </c>
      <c r="N211" s="25">
        <f>IF(OR($B211="",$E211="",$M211=""),"",IF($E211&lt;$M211,0,NETWORKDAYS($M211,$E211,calendar!$A$2:$A$80)))</f>
        <v/>
      </c>
      <c r="O211" s="25">
        <f>IF($B211="","",IF(AND($K211="Y",OR($D211="later",$J211="Y")),"Y","N"))</f>
        <v/>
      </c>
      <c r="P211" s="25">
        <f>IF(OR($B211="",$E211=""),"",$B211&amp;"_"&amp;$C211&amp;"_"&amp;$D211&amp;"_"&amp;TEXT($E211,"yyyy-mm-dd")&amp;".jpg")</f>
        <v/>
      </c>
      <c r="Q211" s="25">
        <f>IF($B211="","",IF(COUNTIF(campaigns!$A$2:$A$51,$B211)=0,"campaign_id not on campaigns; ",IF(AND($C211&lt;&gt;"",COUNTIFS(approvals!$A$2:$A$251,$B211,approvals!$B$2:$B$251,$C211)=0),"office not on this campaign (approvals tab); ",""))&amp;IF($E211="","taken date missing; ","")&amp;IF(AND($H211&lt;&gt;"",$H211&lt;&gt;$P211),"file name differs from the convention; ","")&amp;IF(AND($D211="placement",$O211="Y",COUNTIF(photos!$R$2:$R$701,$R211)&gt;1),"two usable placement photos: mark one N; ","")&amp;IF($K211&lt;&gt;"Y","info: not usable (a person, screen or whiteboard may show): never used, delete the file; ","")&amp;IF(AND($D211="placement",$J211&lt;&gt;"Y"),"info: not usable as a placement photo (no card); ","")&amp;IF(AND($D211="placement",N($N211)&gt;2),"info: placed after the first business day; ","")&amp;IF(AND($D211="later",$N211&lt;&gt;"",OR(N($N211)&lt;3,N($N211)&gt;5)),"info: later photo outside day 3 to 5; ",""))</f>
        <v/>
      </c>
      <c r="R211" s="25">
        <f>IF($B211="","",$B211&amp;"|"&amp;$C211&amp;"|"&amp;$D211&amp;"|"&amp;$O211)</f>
        <v/>
      </c>
      <c r="S211" s="25">
        <f>IF($B211="","",$R211&amp;"|"&amp;N($E211))</f>
        <v/>
      </c>
    </row>
    <row r="212">
      <c r="E212" s="9" t="n"/>
      <c r="F212" s="33" t="n"/>
      <c r="I212" s="9" t="n"/>
      <c r="M212" s="26">
        <f>IF($B212="","",IFERROR(IF(INDEX(campaigns!$BG$2:$BG$51,MATCH($B212,campaigns!$A$2:$A$51,0))="","",INDEX(campaigns!$BG$2:$BG$51,MATCH($B212,campaigns!$A$2:$A$51,0))),""))</f>
        <v/>
      </c>
      <c r="N212" s="25">
        <f>IF(OR($B212="",$E212="",$M212=""),"",IF($E212&lt;$M212,0,NETWORKDAYS($M212,$E212,calendar!$A$2:$A$80)))</f>
        <v/>
      </c>
      <c r="O212" s="25">
        <f>IF($B212="","",IF(AND($K212="Y",OR($D212="later",$J212="Y")),"Y","N"))</f>
        <v/>
      </c>
      <c r="P212" s="25">
        <f>IF(OR($B212="",$E212=""),"",$B212&amp;"_"&amp;$C212&amp;"_"&amp;$D212&amp;"_"&amp;TEXT($E212,"yyyy-mm-dd")&amp;".jpg")</f>
        <v/>
      </c>
      <c r="Q212" s="25">
        <f>IF($B212="","",IF(COUNTIF(campaigns!$A$2:$A$51,$B212)=0,"campaign_id not on campaigns; ",IF(AND($C212&lt;&gt;"",COUNTIFS(approvals!$A$2:$A$251,$B212,approvals!$B$2:$B$251,$C212)=0),"office not on this campaign (approvals tab); ",""))&amp;IF($E212="","taken date missing; ","")&amp;IF(AND($H212&lt;&gt;"",$H212&lt;&gt;$P212),"file name differs from the convention; ","")&amp;IF(AND($D212="placement",$O212="Y",COUNTIF(photos!$R$2:$R$701,$R212)&gt;1),"two usable placement photos: mark one N; ","")&amp;IF($K212&lt;&gt;"Y","info: not usable (a person, screen or whiteboard may show): never used, delete the file; ","")&amp;IF(AND($D212="placement",$J212&lt;&gt;"Y"),"info: not usable as a placement photo (no card); ","")&amp;IF(AND($D212="placement",N($N212)&gt;2),"info: placed after the first business day; ","")&amp;IF(AND($D212="later",$N212&lt;&gt;"",OR(N($N212)&lt;3,N($N212)&gt;5)),"info: later photo outside day 3 to 5; ",""))</f>
        <v/>
      </c>
      <c r="R212" s="25">
        <f>IF($B212="","",$B212&amp;"|"&amp;$C212&amp;"|"&amp;$D212&amp;"|"&amp;$O212)</f>
        <v/>
      </c>
      <c r="S212" s="25">
        <f>IF($B212="","",$R212&amp;"|"&amp;N($E212))</f>
        <v/>
      </c>
    </row>
    <row r="213">
      <c r="E213" s="9" t="n"/>
      <c r="F213" s="33" t="n"/>
      <c r="I213" s="9" t="n"/>
      <c r="M213" s="26">
        <f>IF($B213="","",IFERROR(IF(INDEX(campaigns!$BG$2:$BG$51,MATCH($B213,campaigns!$A$2:$A$51,0))="","",INDEX(campaigns!$BG$2:$BG$51,MATCH($B213,campaigns!$A$2:$A$51,0))),""))</f>
        <v/>
      </c>
      <c r="N213" s="25">
        <f>IF(OR($B213="",$E213="",$M213=""),"",IF($E213&lt;$M213,0,NETWORKDAYS($M213,$E213,calendar!$A$2:$A$80)))</f>
        <v/>
      </c>
      <c r="O213" s="25">
        <f>IF($B213="","",IF(AND($K213="Y",OR($D213="later",$J213="Y")),"Y","N"))</f>
        <v/>
      </c>
      <c r="P213" s="25">
        <f>IF(OR($B213="",$E213=""),"",$B213&amp;"_"&amp;$C213&amp;"_"&amp;$D213&amp;"_"&amp;TEXT($E213,"yyyy-mm-dd")&amp;".jpg")</f>
        <v/>
      </c>
      <c r="Q213" s="25">
        <f>IF($B213="","",IF(COUNTIF(campaigns!$A$2:$A$51,$B213)=0,"campaign_id not on campaigns; ",IF(AND($C213&lt;&gt;"",COUNTIFS(approvals!$A$2:$A$251,$B213,approvals!$B$2:$B$251,$C213)=0),"office not on this campaign (approvals tab); ",""))&amp;IF($E213="","taken date missing; ","")&amp;IF(AND($H213&lt;&gt;"",$H213&lt;&gt;$P213),"file name differs from the convention; ","")&amp;IF(AND($D213="placement",$O213="Y",COUNTIF(photos!$R$2:$R$701,$R213)&gt;1),"two usable placement photos: mark one N; ","")&amp;IF($K213&lt;&gt;"Y","info: not usable (a person, screen or whiteboard may show): never used, delete the file; ","")&amp;IF(AND($D213="placement",$J213&lt;&gt;"Y"),"info: not usable as a placement photo (no card); ","")&amp;IF(AND($D213="placement",N($N213)&gt;2),"info: placed after the first business day; ","")&amp;IF(AND($D213="later",$N213&lt;&gt;"",OR(N($N213)&lt;3,N($N213)&gt;5)),"info: later photo outside day 3 to 5; ",""))</f>
        <v/>
      </c>
      <c r="R213" s="25">
        <f>IF($B213="","",$B213&amp;"|"&amp;$C213&amp;"|"&amp;$D213&amp;"|"&amp;$O213)</f>
        <v/>
      </c>
      <c r="S213" s="25">
        <f>IF($B213="","",$R213&amp;"|"&amp;N($E213))</f>
        <v/>
      </c>
    </row>
    <row r="214">
      <c r="E214" s="9" t="n"/>
      <c r="F214" s="33" t="n"/>
      <c r="I214" s="9" t="n"/>
      <c r="M214" s="26">
        <f>IF($B214="","",IFERROR(IF(INDEX(campaigns!$BG$2:$BG$51,MATCH($B214,campaigns!$A$2:$A$51,0))="","",INDEX(campaigns!$BG$2:$BG$51,MATCH($B214,campaigns!$A$2:$A$51,0))),""))</f>
        <v/>
      </c>
      <c r="N214" s="25">
        <f>IF(OR($B214="",$E214="",$M214=""),"",IF($E214&lt;$M214,0,NETWORKDAYS($M214,$E214,calendar!$A$2:$A$80)))</f>
        <v/>
      </c>
      <c r="O214" s="25">
        <f>IF($B214="","",IF(AND($K214="Y",OR($D214="later",$J214="Y")),"Y","N"))</f>
        <v/>
      </c>
      <c r="P214" s="25">
        <f>IF(OR($B214="",$E214=""),"",$B214&amp;"_"&amp;$C214&amp;"_"&amp;$D214&amp;"_"&amp;TEXT($E214,"yyyy-mm-dd")&amp;".jpg")</f>
        <v/>
      </c>
      <c r="Q214" s="25">
        <f>IF($B214="","",IF(COUNTIF(campaigns!$A$2:$A$51,$B214)=0,"campaign_id not on campaigns; ",IF(AND($C214&lt;&gt;"",COUNTIFS(approvals!$A$2:$A$251,$B214,approvals!$B$2:$B$251,$C214)=0),"office not on this campaign (approvals tab); ",""))&amp;IF($E214="","taken date missing; ","")&amp;IF(AND($H214&lt;&gt;"",$H214&lt;&gt;$P214),"file name differs from the convention; ","")&amp;IF(AND($D214="placement",$O214="Y",COUNTIF(photos!$R$2:$R$701,$R214)&gt;1),"two usable placement photos: mark one N; ","")&amp;IF($K214&lt;&gt;"Y","info: not usable (a person, screen or whiteboard may show): never used, delete the file; ","")&amp;IF(AND($D214="placement",$J214&lt;&gt;"Y"),"info: not usable as a placement photo (no card); ","")&amp;IF(AND($D214="placement",N($N214)&gt;2),"info: placed after the first business day; ","")&amp;IF(AND($D214="later",$N214&lt;&gt;"",OR(N($N214)&lt;3,N($N214)&gt;5)),"info: later photo outside day 3 to 5; ",""))</f>
        <v/>
      </c>
      <c r="R214" s="25">
        <f>IF($B214="","",$B214&amp;"|"&amp;$C214&amp;"|"&amp;$D214&amp;"|"&amp;$O214)</f>
        <v/>
      </c>
      <c r="S214" s="25">
        <f>IF($B214="","",$R214&amp;"|"&amp;N($E214))</f>
        <v/>
      </c>
    </row>
    <row r="215">
      <c r="E215" s="9" t="n"/>
      <c r="F215" s="33" t="n"/>
      <c r="I215" s="9" t="n"/>
      <c r="M215" s="26">
        <f>IF($B215="","",IFERROR(IF(INDEX(campaigns!$BG$2:$BG$51,MATCH($B215,campaigns!$A$2:$A$51,0))="","",INDEX(campaigns!$BG$2:$BG$51,MATCH($B215,campaigns!$A$2:$A$51,0))),""))</f>
        <v/>
      </c>
      <c r="N215" s="25">
        <f>IF(OR($B215="",$E215="",$M215=""),"",IF($E215&lt;$M215,0,NETWORKDAYS($M215,$E215,calendar!$A$2:$A$80)))</f>
        <v/>
      </c>
      <c r="O215" s="25">
        <f>IF($B215="","",IF(AND($K215="Y",OR($D215="later",$J215="Y")),"Y","N"))</f>
        <v/>
      </c>
      <c r="P215" s="25">
        <f>IF(OR($B215="",$E215=""),"",$B215&amp;"_"&amp;$C215&amp;"_"&amp;$D215&amp;"_"&amp;TEXT($E215,"yyyy-mm-dd")&amp;".jpg")</f>
        <v/>
      </c>
      <c r="Q215" s="25">
        <f>IF($B215="","",IF(COUNTIF(campaigns!$A$2:$A$51,$B215)=0,"campaign_id not on campaigns; ",IF(AND($C215&lt;&gt;"",COUNTIFS(approvals!$A$2:$A$251,$B215,approvals!$B$2:$B$251,$C215)=0),"office not on this campaign (approvals tab); ",""))&amp;IF($E215="","taken date missing; ","")&amp;IF(AND($H215&lt;&gt;"",$H215&lt;&gt;$P215),"file name differs from the convention; ","")&amp;IF(AND($D215="placement",$O215="Y",COUNTIF(photos!$R$2:$R$701,$R215)&gt;1),"two usable placement photos: mark one N; ","")&amp;IF($K215&lt;&gt;"Y","info: not usable (a person, screen or whiteboard may show): never used, delete the file; ","")&amp;IF(AND($D215="placement",$J215&lt;&gt;"Y"),"info: not usable as a placement photo (no card); ","")&amp;IF(AND($D215="placement",N($N215)&gt;2),"info: placed after the first business day; ","")&amp;IF(AND($D215="later",$N215&lt;&gt;"",OR(N($N215)&lt;3,N($N215)&gt;5)),"info: later photo outside day 3 to 5; ",""))</f>
        <v/>
      </c>
      <c r="R215" s="25">
        <f>IF($B215="","",$B215&amp;"|"&amp;$C215&amp;"|"&amp;$D215&amp;"|"&amp;$O215)</f>
        <v/>
      </c>
      <c r="S215" s="25">
        <f>IF($B215="","",$R215&amp;"|"&amp;N($E215))</f>
        <v/>
      </c>
    </row>
    <row r="216">
      <c r="E216" s="9" t="n"/>
      <c r="F216" s="33" t="n"/>
      <c r="I216" s="9" t="n"/>
      <c r="M216" s="26">
        <f>IF($B216="","",IFERROR(IF(INDEX(campaigns!$BG$2:$BG$51,MATCH($B216,campaigns!$A$2:$A$51,0))="","",INDEX(campaigns!$BG$2:$BG$51,MATCH($B216,campaigns!$A$2:$A$51,0))),""))</f>
        <v/>
      </c>
      <c r="N216" s="25">
        <f>IF(OR($B216="",$E216="",$M216=""),"",IF($E216&lt;$M216,0,NETWORKDAYS($M216,$E216,calendar!$A$2:$A$80)))</f>
        <v/>
      </c>
      <c r="O216" s="25">
        <f>IF($B216="","",IF(AND($K216="Y",OR($D216="later",$J216="Y")),"Y","N"))</f>
        <v/>
      </c>
      <c r="P216" s="25">
        <f>IF(OR($B216="",$E216=""),"",$B216&amp;"_"&amp;$C216&amp;"_"&amp;$D216&amp;"_"&amp;TEXT($E216,"yyyy-mm-dd")&amp;".jpg")</f>
        <v/>
      </c>
      <c r="Q216" s="25">
        <f>IF($B216="","",IF(COUNTIF(campaigns!$A$2:$A$51,$B216)=0,"campaign_id not on campaigns; ",IF(AND($C216&lt;&gt;"",COUNTIFS(approvals!$A$2:$A$251,$B216,approvals!$B$2:$B$251,$C216)=0),"office not on this campaign (approvals tab); ",""))&amp;IF($E216="","taken date missing; ","")&amp;IF(AND($H216&lt;&gt;"",$H216&lt;&gt;$P216),"file name differs from the convention; ","")&amp;IF(AND($D216="placement",$O216="Y",COUNTIF(photos!$R$2:$R$701,$R216)&gt;1),"two usable placement photos: mark one N; ","")&amp;IF($K216&lt;&gt;"Y","info: not usable (a person, screen or whiteboard may show): never used, delete the file; ","")&amp;IF(AND($D216="placement",$J216&lt;&gt;"Y"),"info: not usable as a placement photo (no card); ","")&amp;IF(AND($D216="placement",N($N216)&gt;2),"info: placed after the first business day; ","")&amp;IF(AND($D216="later",$N216&lt;&gt;"",OR(N($N216)&lt;3,N($N216)&gt;5)),"info: later photo outside day 3 to 5; ",""))</f>
        <v/>
      </c>
      <c r="R216" s="25">
        <f>IF($B216="","",$B216&amp;"|"&amp;$C216&amp;"|"&amp;$D216&amp;"|"&amp;$O216)</f>
        <v/>
      </c>
      <c r="S216" s="25">
        <f>IF($B216="","",$R216&amp;"|"&amp;N($E216))</f>
        <v/>
      </c>
    </row>
    <row r="217">
      <c r="E217" s="9" t="n"/>
      <c r="F217" s="33" t="n"/>
      <c r="I217" s="9" t="n"/>
      <c r="M217" s="26">
        <f>IF($B217="","",IFERROR(IF(INDEX(campaigns!$BG$2:$BG$51,MATCH($B217,campaigns!$A$2:$A$51,0))="","",INDEX(campaigns!$BG$2:$BG$51,MATCH($B217,campaigns!$A$2:$A$51,0))),""))</f>
        <v/>
      </c>
      <c r="N217" s="25">
        <f>IF(OR($B217="",$E217="",$M217=""),"",IF($E217&lt;$M217,0,NETWORKDAYS($M217,$E217,calendar!$A$2:$A$80)))</f>
        <v/>
      </c>
      <c r="O217" s="25">
        <f>IF($B217="","",IF(AND($K217="Y",OR($D217="later",$J217="Y")),"Y","N"))</f>
        <v/>
      </c>
      <c r="P217" s="25">
        <f>IF(OR($B217="",$E217=""),"",$B217&amp;"_"&amp;$C217&amp;"_"&amp;$D217&amp;"_"&amp;TEXT($E217,"yyyy-mm-dd")&amp;".jpg")</f>
        <v/>
      </c>
      <c r="Q217" s="25">
        <f>IF($B217="","",IF(COUNTIF(campaigns!$A$2:$A$51,$B217)=0,"campaign_id not on campaigns; ",IF(AND($C217&lt;&gt;"",COUNTIFS(approvals!$A$2:$A$251,$B217,approvals!$B$2:$B$251,$C217)=0),"office not on this campaign (approvals tab); ",""))&amp;IF($E217="","taken date missing; ","")&amp;IF(AND($H217&lt;&gt;"",$H217&lt;&gt;$P217),"file name differs from the convention; ","")&amp;IF(AND($D217="placement",$O217="Y",COUNTIF(photos!$R$2:$R$701,$R217)&gt;1),"two usable placement photos: mark one N; ","")&amp;IF($K217&lt;&gt;"Y","info: not usable (a person, screen or whiteboard may show): never used, delete the file; ","")&amp;IF(AND($D217="placement",$J217&lt;&gt;"Y"),"info: not usable as a placement photo (no card); ","")&amp;IF(AND($D217="placement",N($N217)&gt;2),"info: placed after the first business day; ","")&amp;IF(AND($D217="later",$N217&lt;&gt;"",OR(N($N217)&lt;3,N($N217)&gt;5)),"info: later photo outside day 3 to 5; ",""))</f>
        <v/>
      </c>
      <c r="R217" s="25">
        <f>IF($B217="","",$B217&amp;"|"&amp;$C217&amp;"|"&amp;$D217&amp;"|"&amp;$O217)</f>
        <v/>
      </c>
      <c r="S217" s="25">
        <f>IF($B217="","",$R217&amp;"|"&amp;N($E217))</f>
        <v/>
      </c>
    </row>
    <row r="218">
      <c r="E218" s="9" t="n"/>
      <c r="F218" s="33" t="n"/>
      <c r="I218" s="9" t="n"/>
      <c r="M218" s="26">
        <f>IF($B218="","",IFERROR(IF(INDEX(campaigns!$BG$2:$BG$51,MATCH($B218,campaigns!$A$2:$A$51,0))="","",INDEX(campaigns!$BG$2:$BG$51,MATCH($B218,campaigns!$A$2:$A$51,0))),""))</f>
        <v/>
      </c>
      <c r="N218" s="25">
        <f>IF(OR($B218="",$E218="",$M218=""),"",IF($E218&lt;$M218,0,NETWORKDAYS($M218,$E218,calendar!$A$2:$A$80)))</f>
        <v/>
      </c>
      <c r="O218" s="25">
        <f>IF($B218="","",IF(AND($K218="Y",OR($D218="later",$J218="Y")),"Y","N"))</f>
        <v/>
      </c>
      <c r="P218" s="25">
        <f>IF(OR($B218="",$E218=""),"",$B218&amp;"_"&amp;$C218&amp;"_"&amp;$D218&amp;"_"&amp;TEXT($E218,"yyyy-mm-dd")&amp;".jpg")</f>
        <v/>
      </c>
      <c r="Q218" s="25">
        <f>IF($B218="","",IF(COUNTIF(campaigns!$A$2:$A$51,$B218)=0,"campaign_id not on campaigns; ",IF(AND($C218&lt;&gt;"",COUNTIFS(approvals!$A$2:$A$251,$B218,approvals!$B$2:$B$251,$C218)=0),"office not on this campaign (approvals tab); ",""))&amp;IF($E218="","taken date missing; ","")&amp;IF(AND($H218&lt;&gt;"",$H218&lt;&gt;$P218),"file name differs from the convention; ","")&amp;IF(AND($D218="placement",$O218="Y",COUNTIF(photos!$R$2:$R$701,$R218)&gt;1),"two usable placement photos: mark one N; ","")&amp;IF($K218&lt;&gt;"Y","info: not usable (a person, screen or whiteboard may show): never used, delete the file; ","")&amp;IF(AND($D218="placement",$J218&lt;&gt;"Y"),"info: not usable as a placement photo (no card); ","")&amp;IF(AND($D218="placement",N($N218)&gt;2),"info: placed after the first business day; ","")&amp;IF(AND($D218="later",$N218&lt;&gt;"",OR(N($N218)&lt;3,N($N218)&gt;5)),"info: later photo outside day 3 to 5; ",""))</f>
        <v/>
      </c>
      <c r="R218" s="25">
        <f>IF($B218="","",$B218&amp;"|"&amp;$C218&amp;"|"&amp;$D218&amp;"|"&amp;$O218)</f>
        <v/>
      </c>
      <c r="S218" s="25">
        <f>IF($B218="","",$R218&amp;"|"&amp;N($E218))</f>
        <v/>
      </c>
    </row>
    <row r="219">
      <c r="E219" s="9" t="n"/>
      <c r="F219" s="33" t="n"/>
      <c r="I219" s="9" t="n"/>
      <c r="M219" s="26">
        <f>IF($B219="","",IFERROR(IF(INDEX(campaigns!$BG$2:$BG$51,MATCH($B219,campaigns!$A$2:$A$51,0))="","",INDEX(campaigns!$BG$2:$BG$51,MATCH($B219,campaigns!$A$2:$A$51,0))),""))</f>
        <v/>
      </c>
      <c r="N219" s="25">
        <f>IF(OR($B219="",$E219="",$M219=""),"",IF($E219&lt;$M219,0,NETWORKDAYS($M219,$E219,calendar!$A$2:$A$80)))</f>
        <v/>
      </c>
      <c r="O219" s="25">
        <f>IF($B219="","",IF(AND($K219="Y",OR($D219="later",$J219="Y")),"Y","N"))</f>
        <v/>
      </c>
      <c r="P219" s="25">
        <f>IF(OR($B219="",$E219=""),"",$B219&amp;"_"&amp;$C219&amp;"_"&amp;$D219&amp;"_"&amp;TEXT($E219,"yyyy-mm-dd")&amp;".jpg")</f>
        <v/>
      </c>
      <c r="Q219" s="25">
        <f>IF($B219="","",IF(COUNTIF(campaigns!$A$2:$A$51,$B219)=0,"campaign_id not on campaigns; ",IF(AND($C219&lt;&gt;"",COUNTIFS(approvals!$A$2:$A$251,$B219,approvals!$B$2:$B$251,$C219)=0),"office not on this campaign (approvals tab); ",""))&amp;IF($E219="","taken date missing; ","")&amp;IF(AND($H219&lt;&gt;"",$H219&lt;&gt;$P219),"file name differs from the convention; ","")&amp;IF(AND($D219="placement",$O219="Y",COUNTIF(photos!$R$2:$R$701,$R219)&gt;1),"two usable placement photos: mark one N; ","")&amp;IF($K219&lt;&gt;"Y","info: not usable (a person, screen or whiteboard may show): never used, delete the file; ","")&amp;IF(AND($D219="placement",$J219&lt;&gt;"Y"),"info: not usable as a placement photo (no card); ","")&amp;IF(AND($D219="placement",N($N219)&gt;2),"info: placed after the first business day; ","")&amp;IF(AND($D219="later",$N219&lt;&gt;"",OR(N($N219)&lt;3,N($N219)&gt;5)),"info: later photo outside day 3 to 5; ",""))</f>
        <v/>
      </c>
      <c r="R219" s="25">
        <f>IF($B219="","",$B219&amp;"|"&amp;$C219&amp;"|"&amp;$D219&amp;"|"&amp;$O219)</f>
        <v/>
      </c>
      <c r="S219" s="25">
        <f>IF($B219="","",$R219&amp;"|"&amp;N($E219))</f>
        <v/>
      </c>
    </row>
    <row r="220">
      <c r="E220" s="9" t="n"/>
      <c r="F220" s="33" t="n"/>
      <c r="I220" s="9" t="n"/>
      <c r="M220" s="26">
        <f>IF($B220="","",IFERROR(IF(INDEX(campaigns!$BG$2:$BG$51,MATCH($B220,campaigns!$A$2:$A$51,0))="","",INDEX(campaigns!$BG$2:$BG$51,MATCH($B220,campaigns!$A$2:$A$51,0))),""))</f>
        <v/>
      </c>
      <c r="N220" s="25">
        <f>IF(OR($B220="",$E220="",$M220=""),"",IF($E220&lt;$M220,0,NETWORKDAYS($M220,$E220,calendar!$A$2:$A$80)))</f>
        <v/>
      </c>
      <c r="O220" s="25">
        <f>IF($B220="","",IF(AND($K220="Y",OR($D220="later",$J220="Y")),"Y","N"))</f>
        <v/>
      </c>
      <c r="P220" s="25">
        <f>IF(OR($B220="",$E220=""),"",$B220&amp;"_"&amp;$C220&amp;"_"&amp;$D220&amp;"_"&amp;TEXT($E220,"yyyy-mm-dd")&amp;".jpg")</f>
        <v/>
      </c>
      <c r="Q220" s="25">
        <f>IF($B220="","",IF(COUNTIF(campaigns!$A$2:$A$51,$B220)=0,"campaign_id not on campaigns; ",IF(AND($C220&lt;&gt;"",COUNTIFS(approvals!$A$2:$A$251,$B220,approvals!$B$2:$B$251,$C220)=0),"office not on this campaign (approvals tab); ",""))&amp;IF($E220="","taken date missing; ","")&amp;IF(AND($H220&lt;&gt;"",$H220&lt;&gt;$P220),"file name differs from the convention; ","")&amp;IF(AND($D220="placement",$O220="Y",COUNTIF(photos!$R$2:$R$701,$R220)&gt;1),"two usable placement photos: mark one N; ","")&amp;IF($K220&lt;&gt;"Y","info: not usable (a person, screen or whiteboard may show): never used, delete the file; ","")&amp;IF(AND($D220="placement",$J220&lt;&gt;"Y"),"info: not usable as a placement photo (no card); ","")&amp;IF(AND($D220="placement",N($N220)&gt;2),"info: placed after the first business day; ","")&amp;IF(AND($D220="later",$N220&lt;&gt;"",OR(N($N220)&lt;3,N($N220)&gt;5)),"info: later photo outside day 3 to 5; ",""))</f>
        <v/>
      </c>
      <c r="R220" s="25">
        <f>IF($B220="","",$B220&amp;"|"&amp;$C220&amp;"|"&amp;$D220&amp;"|"&amp;$O220)</f>
        <v/>
      </c>
      <c r="S220" s="25">
        <f>IF($B220="","",$R220&amp;"|"&amp;N($E220))</f>
        <v/>
      </c>
    </row>
    <row r="221">
      <c r="E221" s="9" t="n"/>
      <c r="F221" s="33" t="n"/>
      <c r="I221" s="9" t="n"/>
      <c r="M221" s="26">
        <f>IF($B221="","",IFERROR(IF(INDEX(campaigns!$BG$2:$BG$51,MATCH($B221,campaigns!$A$2:$A$51,0))="","",INDEX(campaigns!$BG$2:$BG$51,MATCH($B221,campaigns!$A$2:$A$51,0))),""))</f>
        <v/>
      </c>
      <c r="N221" s="25">
        <f>IF(OR($B221="",$E221="",$M221=""),"",IF($E221&lt;$M221,0,NETWORKDAYS($M221,$E221,calendar!$A$2:$A$80)))</f>
        <v/>
      </c>
      <c r="O221" s="25">
        <f>IF($B221="","",IF(AND($K221="Y",OR($D221="later",$J221="Y")),"Y","N"))</f>
        <v/>
      </c>
      <c r="P221" s="25">
        <f>IF(OR($B221="",$E221=""),"",$B221&amp;"_"&amp;$C221&amp;"_"&amp;$D221&amp;"_"&amp;TEXT($E221,"yyyy-mm-dd")&amp;".jpg")</f>
        <v/>
      </c>
      <c r="Q221" s="25">
        <f>IF($B221="","",IF(COUNTIF(campaigns!$A$2:$A$51,$B221)=0,"campaign_id not on campaigns; ",IF(AND($C221&lt;&gt;"",COUNTIFS(approvals!$A$2:$A$251,$B221,approvals!$B$2:$B$251,$C221)=0),"office not on this campaign (approvals tab); ",""))&amp;IF($E221="","taken date missing; ","")&amp;IF(AND($H221&lt;&gt;"",$H221&lt;&gt;$P221),"file name differs from the convention; ","")&amp;IF(AND($D221="placement",$O221="Y",COUNTIF(photos!$R$2:$R$701,$R221)&gt;1),"two usable placement photos: mark one N; ","")&amp;IF($K221&lt;&gt;"Y","info: not usable (a person, screen or whiteboard may show): never used, delete the file; ","")&amp;IF(AND($D221="placement",$J221&lt;&gt;"Y"),"info: not usable as a placement photo (no card); ","")&amp;IF(AND($D221="placement",N($N221)&gt;2),"info: placed after the first business day; ","")&amp;IF(AND($D221="later",$N221&lt;&gt;"",OR(N($N221)&lt;3,N($N221)&gt;5)),"info: later photo outside day 3 to 5; ",""))</f>
        <v/>
      </c>
      <c r="R221" s="25">
        <f>IF($B221="","",$B221&amp;"|"&amp;$C221&amp;"|"&amp;$D221&amp;"|"&amp;$O221)</f>
        <v/>
      </c>
      <c r="S221" s="25">
        <f>IF($B221="","",$R221&amp;"|"&amp;N($E221))</f>
        <v/>
      </c>
    </row>
    <row r="222">
      <c r="E222" s="9" t="n"/>
      <c r="F222" s="33" t="n"/>
      <c r="I222" s="9" t="n"/>
      <c r="M222" s="26">
        <f>IF($B222="","",IFERROR(IF(INDEX(campaigns!$BG$2:$BG$51,MATCH($B222,campaigns!$A$2:$A$51,0))="","",INDEX(campaigns!$BG$2:$BG$51,MATCH($B222,campaigns!$A$2:$A$51,0))),""))</f>
        <v/>
      </c>
      <c r="N222" s="25">
        <f>IF(OR($B222="",$E222="",$M222=""),"",IF($E222&lt;$M222,0,NETWORKDAYS($M222,$E222,calendar!$A$2:$A$80)))</f>
        <v/>
      </c>
      <c r="O222" s="25">
        <f>IF($B222="","",IF(AND($K222="Y",OR($D222="later",$J222="Y")),"Y","N"))</f>
        <v/>
      </c>
      <c r="P222" s="25">
        <f>IF(OR($B222="",$E222=""),"",$B222&amp;"_"&amp;$C222&amp;"_"&amp;$D222&amp;"_"&amp;TEXT($E222,"yyyy-mm-dd")&amp;".jpg")</f>
        <v/>
      </c>
      <c r="Q222" s="25">
        <f>IF($B222="","",IF(COUNTIF(campaigns!$A$2:$A$51,$B222)=0,"campaign_id not on campaigns; ",IF(AND($C222&lt;&gt;"",COUNTIFS(approvals!$A$2:$A$251,$B222,approvals!$B$2:$B$251,$C222)=0),"office not on this campaign (approvals tab); ",""))&amp;IF($E222="","taken date missing; ","")&amp;IF(AND($H222&lt;&gt;"",$H222&lt;&gt;$P222),"file name differs from the convention; ","")&amp;IF(AND($D222="placement",$O222="Y",COUNTIF(photos!$R$2:$R$701,$R222)&gt;1),"two usable placement photos: mark one N; ","")&amp;IF($K222&lt;&gt;"Y","info: not usable (a person, screen or whiteboard may show): never used, delete the file; ","")&amp;IF(AND($D222="placement",$J222&lt;&gt;"Y"),"info: not usable as a placement photo (no card); ","")&amp;IF(AND($D222="placement",N($N222)&gt;2),"info: placed after the first business day; ","")&amp;IF(AND($D222="later",$N222&lt;&gt;"",OR(N($N222)&lt;3,N($N222)&gt;5)),"info: later photo outside day 3 to 5; ",""))</f>
        <v/>
      </c>
      <c r="R222" s="25">
        <f>IF($B222="","",$B222&amp;"|"&amp;$C222&amp;"|"&amp;$D222&amp;"|"&amp;$O222)</f>
        <v/>
      </c>
      <c r="S222" s="25">
        <f>IF($B222="","",$R222&amp;"|"&amp;N($E222))</f>
        <v/>
      </c>
    </row>
    <row r="223">
      <c r="E223" s="9" t="n"/>
      <c r="F223" s="33" t="n"/>
      <c r="I223" s="9" t="n"/>
      <c r="M223" s="26">
        <f>IF($B223="","",IFERROR(IF(INDEX(campaigns!$BG$2:$BG$51,MATCH($B223,campaigns!$A$2:$A$51,0))="","",INDEX(campaigns!$BG$2:$BG$51,MATCH($B223,campaigns!$A$2:$A$51,0))),""))</f>
        <v/>
      </c>
      <c r="N223" s="25">
        <f>IF(OR($B223="",$E223="",$M223=""),"",IF($E223&lt;$M223,0,NETWORKDAYS($M223,$E223,calendar!$A$2:$A$80)))</f>
        <v/>
      </c>
      <c r="O223" s="25">
        <f>IF($B223="","",IF(AND($K223="Y",OR($D223="later",$J223="Y")),"Y","N"))</f>
        <v/>
      </c>
      <c r="P223" s="25">
        <f>IF(OR($B223="",$E223=""),"",$B223&amp;"_"&amp;$C223&amp;"_"&amp;$D223&amp;"_"&amp;TEXT($E223,"yyyy-mm-dd")&amp;".jpg")</f>
        <v/>
      </c>
      <c r="Q223" s="25">
        <f>IF($B223="","",IF(COUNTIF(campaigns!$A$2:$A$51,$B223)=0,"campaign_id not on campaigns; ",IF(AND($C223&lt;&gt;"",COUNTIFS(approvals!$A$2:$A$251,$B223,approvals!$B$2:$B$251,$C223)=0),"office not on this campaign (approvals tab); ",""))&amp;IF($E223="","taken date missing; ","")&amp;IF(AND($H223&lt;&gt;"",$H223&lt;&gt;$P223),"file name differs from the convention; ","")&amp;IF(AND($D223="placement",$O223="Y",COUNTIF(photos!$R$2:$R$701,$R223)&gt;1),"two usable placement photos: mark one N; ","")&amp;IF($K223&lt;&gt;"Y","info: not usable (a person, screen or whiteboard may show): never used, delete the file; ","")&amp;IF(AND($D223="placement",$J223&lt;&gt;"Y"),"info: not usable as a placement photo (no card); ","")&amp;IF(AND($D223="placement",N($N223)&gt;2),"info: placed after the first business day; ","")&amp;IF(AND($D223="later",$N223&lt;&gt;"",OR(N($N223)&lt;3,N($N223)&gt;5)),"info: later photo outside day 3 to 5; ",""))</f>
        <v/>
      </c>
      <c r="R223" s="25">
        <f>IF($B223="","",$B223&amp;"|"&amp;$C223&amp;"|"&amp;$D223&amp;"|"&amp;$O223)</f>
        <v/>
      </c>
      <c r="S223" s="25">
        <f>IF($B223="","",$R223&amp;"|"&amp;N($E223))</f>
        <v/>
      </c>
    </row>
    <row r="224">
      <c r="E224" s="9" t="n"/>
      <c r="F224" s="33" t="n"/>
      <c r="I224" s="9" t="n"/>
      <c r="M224" s="26">
        <f>IF($B224="","",IFERROR(IF(INDEX(campaigns!$BG$2:$BG$51,MATCH($B224,campaigns!$A$2:$A$51,0))="","",INDEX(campaigns!$BG$2:$BG$51,MATCH($B224,campaigns!$A$2:$A$51,0))),""))</f>
        <v/>
      </c>
      <c r="N224" s="25">
        <f>IF(OR($B224="",$E224="",$M224=""),"",IF($E224&lt;$M224,0,NETWORKDAYS($M224,$E224,calendar!$A$2:$A$80)))</f>
        <v/>
      </c>
      <c r="O224" s="25">
        <f>IF($B224="","",IF(AND($K224="Y",OR($D224="later",$J224="Y")),"Y","N"))</f>
        <v/>
      </c>
      <c r="P224" s="25">
        <f>IF(OR($B224="",$E224=""),"",$B224&amp;"_"&amp;$C224&amp;"_"&amp;$D224&amp;"_"&amp;TEXT($E224,"yyyy-mm-dd")&amp;".jpg")</f>
        <v/>
      </c>
      <c r="Q224" s="25">
        <f>IF($B224="","",IF(COUNTIF(campaigns!$A$2:$A$51,$B224)=0,"campaign_id not on campaigns; ",IF(AND($C224&lt;&gt;"",COUNTIFS(approvals!$A$2:$A$251,$B224,approvals!$B$2:$B$251,$C224)=0),"office not on this campaign (approvals tab); ",""))&amp;IF($E224="","taken date missing; ","")&amp;IF(AND($H224&lt;&gt;"",$H224&lt;&gt;$P224),"file name differs from the convention; ","")&amp;IF(AND($D224="placement",$O224="Y",COUNTIF(photos!$R$2:$R$701,$R224)&gt;1),"two usable placement photos: mark one N; ","")&amp;IF($K224&lt;&gt;"Y","info: not usable (a person, screen or whiteboard may show): never used, delete the file; ","")&amp;IF(AND($D224="placement",$J224&lt;&gt;"Y"),"info: not usable as a placement photo (no card); ","")&amp;IF(AND($D224="placement",N($N224)&gt;2),"info: placed after the first business day; ","")&amp;IF(AND($D224="later",$N224&lt;&gt;"",OR(N($N224)&lt;3,N($N224)&gt;5)),"info: later photo outside day 3 to 5; ",""))</f>
        <v/>
      </c>
      <c r="R224" s="25">
        <f>IF($B224="","",$B224&amp;"|"&amp;$C224&amp;"|"&amp;$D224&amp;"|"&amp;$O224)</f>
        <v/>
      </c>
      <c r="S224" s="25">
        <f>IF($B224="","",$R224&amp;"|"&amp;N($E224))</f>
        <v/>
      </c>
    </row>
    <row r="225">
      <c r="E225" s="9" t="n"/>
      <c r="F225" s="33" t="n"/>
      <c r="I225" s="9" t="n"/>
      <c r="M225" s="26">
        <f>IF($B225="","",IFERROR(IF(INDEX(campaigns!$BG$2:$BG$51,MATCH($B225,campaigns!$A$2:$A$51,0))="","",INDEX(campaigns!$BG$2:$BG$51,MATCH($B225,campaigns!$A$2:$A$51,0))),""))</f>
        <v/>
      </c>
      <c r="N225" s="25">
        <f>IF(OR($B225="",$E225="",$M225=""),"",IF($E225&lt;$M225,0,NETWORKDAYS($M225,$E225,calendar!$A$2:$A$80)))</f>
        <v/>
      </c>
      <c r="O225" s="25">
        <f>IF($B225="","",IF(AND($K225="Y",OR($D225="later",$J225="Y")),"Y","N"))</f>
        <v/>
      </c>
      <c r="P225" s="25">
        <f>IF(OR($B225="",$E225=""),"",$B225&amp;"_"&amp;$C225&amp;"_"&amp;$D225&amp;"_"&amp;TEXT($E225,"yyyy-mm-dd")&amp;".jpg")</f>
        <v/>
      </c>
      <c r="Q225" s="25">
        <f>IF($B225="","",IF(COUNTIF(campaigns!$A$2:$A$51,$B225)=0,"campaign_id not on campaigns; ",IF(AND($C225&lt;&gt;"",COUNTIFS(approvals!$A$2:$A$251,$B225,approvals!$B$2:$B$251,$C225)=0),"office not on this campaign (approvals tab); ",""))&amp;IF($E225="","taken date missing; ","")&amp;IF(AND($H225&lt;&gt;"",$H225&lt;&gt;$P225),"file name differs from the convention; ","")&amp;IF(AND($D225="placement",$O225="Y",COUNTIF(photos!$R$2:$R$701,$R225)&gt;1),"two usable placement photos: mark one N; ","")&amp;IF($K225&lt;&gt;"Y","info: not usable (a person, screen or whiteboard may show): never used, delete the file; ","")&amp;IF(AND($D225="placement",$J225&lt;&gt;"Y"),"info: not usable as a placement photo (no card); ","")&amp;IF(AND($D225="placement",N($N225)&gt;2),"info: placed after the first business day; ","")&amp;IF(AND($D225="later",$N225&lt;&gt;"",OR(N($N225)&lt;3,N($N225)&gt;5)),"info: later photo outside day 3 to 5; ",""))</f>
        <v/>
      </c>
      <c r="R225" s="25">
        <f>IF($B225="","",$B225&amp;"|"&amp;$C225&amp;"|"&amp;$D225&amp;"|"&amp;$O225)</f>
        <v/>
      </c>
      <c r="S225" s="25">
        <f>IF($B225="","",$R225&amp;"|"&amp;N($E225))</f>
        <v/>
      </c>
    </row>
    <row r="226">
      <c r="E226" s="9" t="n"/>
      <c r="F226" s="33" t="n"/>
      <c r="I226" s="9" t="n"/>
      <c r="M226" s="26">
        <f>IF($B226="","",IFERROR(IF(INDEX(campaigns!$BG$2:$BG$51,MATCH($B226,campaigns!$A$2:$A$51,0))="","",INDEX(campaigns!$BG$2:$BG$51,MATCH($B226,campaigns!$A$2:$A$51,0))),""))</f>
        <v/>
      </c>
      <c r="N226" s="25">
        <f>IF(OR($B226="",$E226="",$M226=""),"",IF($E226&lt;$M226,0,NETWORKDAYS($M226,$E226,calendar!$A$2:$A$80)))</f>
        <v/>
      </c>
      <c r="O226" s="25">
        <f>IF($B226="","",IF(AND($K226="Y",OR($D226="later",$J226="Y")),"Y","N"))</f>
        <v/>
      </c>
      <c r="P226" s="25">
        <f>IF(OR($B226="",$E226=""),"",$B226&amp;"_"&amp;$C226&amp;"_"&amp;$D226&amp;"_"&amp;TEXT($E226,"yyyy-mm-dd")&amp;".jpg")</f>
        <v/>
      </c>
      <c r="Q226" s="25">
        <f>IF($B226="","",IF(COUNTIF(campaigns!$A$2:$A$51,$B226)=0,"campaign_id not on campaigns; ",IF(AND($C226&lt;&gt;"",COUNTIFS(approvals!$A$2:$A$251,$B226,approvals!$B$2:$B$251,$C226)=0),"office not on this campaign (approvals tab); ",""))&amp;IF($E226="","taken date missing; ","")&amp;IF(AND($H226&lt;&gt;"",$H226&lt;&gt;$P226),"file name differs from the convention; ","")&amp;IF(AND($D226="placement",$O226="Y",COUNTIF(photos!$R$2:$R$701,$R226)&gt;1),"two usable placement photos: mark one N; ","")&amp;IF($K226&lt;&gt;"Y","info: not usable (a person, screen or whiteboard may show): never used, delete the file; ","")&amp;IF(AND($D226="placement",$J226&lt;&gt;"Y"),"info: not usable as a placement photo (no card); ","")&amp;IF(AND($D226="placement",N($N226)&gt;2),"info: placed after the first business day; ","")&amp;IF(AND($D226="later",$N226&lt;&gt;"",OR(N($N226)&lt;3,N($N226)&gt;5)),"info: later photo outside day 3 to 5; ",""))</f>
        <v/>
      </c>
      <c r="R226" s="25">
        <f>IF($B226="","",$B226&amp;"|"&amp;$C226&amp;"|"&amp;$D226&amp;"|"&amp;$O226)</f>
        <v/>
      </c>
      <c r="S226" s="25">
        <f>IF($B226="","",$R226&amp;"|"&amp;N($E226))</f>
        <v/>
      </c>
    </row>
    <row r="227">
      <c r="E227" s="9" t="n"/>
      <c r="F227" s="33" t="n"/>
      <c r="I227" s="9" t="n"/>
      <c r="M227" s="26">
        <f>IF($B227="","",IFERROR(IF(INDEX(campaigns!$BG$2:$BG$51,MATCH($B227,campaigns!$A$2:$A$51,0))="","",INDEX(campaigns!$BG$2:$BG$51,MATCH($B227,campaigns!$A$2:$A$51,0))),""))</f>
        <v/>
      </c>
      <c r="N227" s="25">
        <f>IF(OR($B227="",$E227="",$M227=""),"",IF($E227&lt;$M227,0,NETWORKDAYS($M227,$E227,calendar!$A$2:$A$80)))</f>
        <v/>
      </c>
      <c r="O227" s="25">
        <f>IF($B227="","",IF(AND($K227="Y",OR($D227="later",$J227="Y")),"Y","N"))</f>
        <v/>
      </c>
      <c r="P227" s="25">
        <f>IF(OR($B227="",$E227=""),"",$B227&amp;"_"&amp;$C227&amp;"_"&amp;$D227&amp;"_"&amp;TEXT($E227,"yyyy-mm-dd")&amp;".jpg")</f>
        <v/>
      </c>
      <c r="Q227" s="25">
        <f>IF($B227="","",IF(COUNTIF(campaigns!$A$2:$A$51,$B227)=0,"campaign_id not on campaigns; ",IF(AND($C227&lt;&gt;"",COUNTIFS(approvals!$A$2:$A$251,$B227,approvals!$B$2:$B$251,$C227)=0),"office not on this campaign (approvals tab); ",""))&amp;IF($E227="","taken date missing; ","")&amp;IF(AND($H227&lt;&gt;"",$H227&lt;&gt;$P227),"file name differs from the convention; ","")&amp;IF(AND($D227="placement",$O227="Y",COUNTIF(photos!$R$2:$R$701,$R227)&gt;1),"two usable placement photos: mark one N; ","")&amp;IF($K227&lt;&gt;"Y","info: not usable (a person, screen or whiteboard may show): never used, delete the file; ","")&amp;IF(AND($D227="placement",$J227&lt;&gt;"Y"),"info: not usable as a placement photo (no card); ","")&amp;IF(AND($D227="placement",N($N227)&gt;2),"info: placed after the first business day; ","")&amp;IF(AND($D227="later",$N227&lt;&gt;"",OR(N($N227)&lt;3,N($N227)&gt;5)),"info: later photo outside day 3 to 5; ",""))</f>
        <v/>
      </c>
      <c r="R227" s="25">
        <f>IF($B227="","",$B227&amp;"|"&amp;$C227&amp;"|"&amp;$D227&amp;"|"&amp;$O227)</f>
        <v/>
      </c>
      <c r="S227" s="25">
        <f>IF($B227="","",$R227&amp;"|"&amp;N($E227))</f>
        <v/>
      </c>
    </row>
    <row r="228">
      <c r="E228" s="9" t="n"/>
      <c r="F228" s="33" t="n"/>
      <c r="I228" s="9" t="n"/>
      <c r="M228" s="26">
        <f>IF($B228="","",IFERROR(IF(INDEX(campaigns!$BG$2:$BG$51,MATCH($B228,campaigns!$A$2:$A$51,0))="","",INDEX(campaigns!$BG$2:$BG$51,MATCH($B228,campaigns!$A$2:$A$51,0))),""))</f>
        <v/>
      </c>
      <c r="N228" s="25">
        <f>IF(OR($B228="",$E228="",$M228=""),"",IF($E228&lt;$M228,0,NETWORKDAYS($M228,$E228,calendar!$A$2:$A$80)))</f>
        <v/>
      </c>
      <c r="O228" s="25">
        <f>IF($B228="","",IF(AND($K228="Y",OR($D228="later",$J228="Y")),"Y","N"))</f>
        <v/>
      </c>
      <c r="P228" s="25">
        <f>IF(OR($B228="",$E228=""),"",$B228&amp;"_"&amp;$C228&amp;"_"&amp;$D228&amp;"_"&amp;TEXT($E228,"yyyy-mm-dd")&amp;".jpg")</f>
        <v/>
      </c>
      <c r="Q228" s="25">
        <f>IF($B228="","",IF(COUNTIF(campaigns!$A$2:$A$51,$B228)=0,"campaign_id not on campaigns; ",IF(AND($C228&lt;&gt;"",COUNTIFS(approvals!$A$2:$A$251,$B228,approvals!$B$2:$B$251,$C228)=0),"office not on this campaign (approvals tab); ",""))&amp;IF($E228="","taken date missing; ","")&amp;IF(AND($H228&lt;&gt;"",$H228&lt;&gt;$P228),"file name differs from the convention; ","")&amp;IF(AND($D228="placement",$O228="Y",COUNTIF(photos!$R$2:$R$701,$R228)&gt;1),"two usable placement photos: mark one N; ","")&amp;IF($K228&lt;&gt;"Y","info: not usable (a person, screen or whiteboard may show): never used, delete the file; ","")&amp;IF(AND($D228="placement",$J228&lt;&gt;"Y"),"info: not usable as a placement photo (no card); ","")&amp;IF(AND($D228="placement",N($N228)&gt;2),"info: placed after the first business day; ","")&amp;IF(AND($D228="later",$N228&lt;&gt;"",OR(N($N228)&lt;3,N($N228)&gt;5)),"info: later photo outside day 3 to 5; ",""))</f>
        <v/>
      </c>
      <c r="R228" s="25">
        <f>IF($B228="","",$B228&amp;"|"&amp;$C228&amp;"|"&amp;$D228&amp;"|"&amp;$O228)</f>
        <v/>
      </c>
      <c r="S228" s="25">
        <f>IF($B228="","",$R228&amp;"|"&amp;N($E228))</f>
        <v/>
      </c>
    </row>
    <row r="229">
      <c r="E229" s="9" t="n"/>
      <c r="F229" s="33" t="n"/>
      <c r="I229" s="9" t="n"/>
      <c r="M229" s="26">
        <f>IF($B229="","",IFERROR(IF(INDEX(campaigns!$BG$2:$BG$51,MATCH($B229,campaigns!$A$2:$A$51,0))="","",INDEX(campaigns!$BG$2:$BG$51,MATCH($B229,campaigns!$A$2:$A$51,0))),""))</f>
        <v/>
      </c>
      <c r="N229" s="25">
        <f>IF(OR($B229="",$E229="",$M229=""),"",IF($E229&lt;$M229,0,NETWORKDAYS($M229,$E229,calendar!$A$2:$A$80)))</f>
        <v/>
      </c>
      <c r="O229" s="25">
        <f>IF($B229="","",IF(AND($K229="Y",OR($D229="later",$J229="Y")),"Y","N"))</f>
        <v/>
      </c>
      <c r="P229" s="25">
        <f>IF(OR($B229="",$E229=""),"",$B229&amp;"_"&amp;$C229&amp;"_"&amp;$D229&amp;"_"&amp;TEXT($E229,"yyyy-mm-dd")&amp;".jpg")</f>
        <v/>
      </c>
      <c r="Q229" s="25">
        <f>IF($B229="","",IF(COUNTIF(campaigns!$A$2:$A$51,$B229)=0,"campaign_id not on campaigns; ",IF(AND($C229&lt;&gt;"",COUNTIFS(approvals!$A$2:$A$251,$B229,approvals!$B$2:$B$251,$C229)=0),"office not on this campaign (approvals tab); ",""))&amp;IF($E229="","taken date missing; ","")&amp;IF(AND($H229&lt;&gt;"",$H229&lt;&gt;$P229),"file name differs from the convention; ","")&amp;IF(AND($D229="placement",$O229="Y",COUNTIF(photos!$R$2:$R$701,$R229)&gt;1),"two usable placement photos: mark one N; ","")&amp;IF($K229&lt;&gt;"Y","info: not usable (a person, screen or whiteboard may show): never used, delete the file; ","")&amp;IF(AND($D229="placement",$J229&lt;&gt;"Y"),"info: not usable as a placement photo (no card); ","")&amp;IF(AND($D229="placement",N($N229)&gt;2),"info: placed after the first business day; ","")&amp;IF(AND($D229="later",$N229&lt;&gt;"",OR(N($N229)&lt;3,N($N229)&gt;5)),"info: later photo outside day 3 to 5; ",""))</f>
        <v/>
      </c>
      <c r="R229" s="25">
        <f>IF($B229="","",$B229&amp;"|"&amp;$C229&amp;"|"&amp;$D229&amp;"|"&amp;$O229)</f>
        <v/>
      </c>
      <c r="S229" s="25">
        <f>IF($B229="","",$R229&amp;"|"&amp;N($E229))</f>
        <v/>
      </c>
    </row>
    <row r="230">
      <c r="E230" s="9" t="n"/>
      <c r="F230" s="33" t="n"/>
      <c r="I230" s="9" t="n"/>
      <c r="M230" s="26">
        <f>IF($B230="","",IFERROR(IF(INDEX(campaigns!$BG$2:$BG$51,MATCH($B230,campaigns!$A$2:$A$51,0))="","",INDEX(campaigns!$BG$2:$BG$51,MATCH($B230,campaigns!$A$2:$A$51,0))),""))</f>
        <v/>
      </c>
      <c r="N230" s="25">
        <f>IF(OR($B230="",$E230="",$M230=""),"",IF($E230&lt;$M230,0,NETWORKDAYS($M230,$E230,calendar!$A$2:$A$80)))</f>
        <v/>
      </c>
      <c r="O230" s="25">
        <f>IF($B230="","",IF(AND($K230="Y",OR($D230="later",$J230="Y")),"Y","N"))</f>
        <v/>
      </c>
      <c r="P230" s="25">
        <f>IF(OR($B230="",$E230=""),"",$B230&amp;"_"&amp;$C230&amp;"_"&amp;$D230&amp;"_"&amp;TEXT($E230,"yyyy-mm-dd")&amp;".jpg")</f>
        <v/>
      </c>
      <c r="Q230" s="25">
        <f>IF($B230="","",IF(COUNTIF(campaigns!$A$2:$A$51,$B230)=0,"campaign_id not on campaigns; ",IF(AND($C230&lt;&gt;"",COUNTIFS(approvals!$A$2:$A$251,$B230,approvals!$B$2:$B$251,$C230)=0),"office not on this campaign (approvals tab); ",""))&amp;IF($E230="","taken date missing; ","")&amp;IF(AND($H230&lt;&gt;"",$H230&lt;&gt;$P230),"file name differs from the convention; ","")&amp;IF(AND($D230="placement",$O230="Y",COUNTIF(photos!$R$2:$R$701,$R230)&gt;1),"two usable placement photos: mark one N; ","")&amp;IF($K230&lt;&gt;"Y","info: not usable (a person, screen or whiteboard may show): never used, delete the file; ","")&amp;IF(AND($D230="placement",$J230&lt;&gt;"Y"),"info: not usable as a placement photo (no card); ","")&amp;IF(AND($D230="placement",N($N230)&gt;2),"info: placed after the first business day; ","")&amp;IF(AND($D230="later",$N230&lt;&gt;"",OR(N($N230)&lt;3,N($N230)&gt;5)),"info: later photo outside day 3 to 5; ",""))</f>
        <v/>
      </c>
      <c r="R230" s="25">
        <f>IF($B230="","",$B230&amp;"|"&amp;$C230&amp;"|"&amp;$D230&amp;"|"&amp;$O230)</f>
        <v/>
      </c>
      <c r="S230" s="25">
        <f>IF($B230="","",$R230&amp;"|"&amp;N($E230))</f>
        <v/>
      </c>
    </row>
    <row r="231">
      <c r="E231" s="9" t="n"/>
      <c r="F231" s="33" t="n"/>
      <c r="I231" s="9" t="n"/>
      <c r="M231" s="26">
        <f>IF($B231="","",IFERROR(IF(INDEX(campaigns!$BG$2:$BG$51,MATCH($B231,campaigns!$A$2:$A$51,0))="","",INDEX(campaigns!$BG$2:$BG$51,MATCH($B231,campaigns!$A$2:$A$51,0))),""))</f>
        <v/>
      </c>
      <c r="N231" s="25">
        <f>IF(OR($B231="",$E231="",$M231=""),"",IF($E231&lt;$M231,0,NETWORKDAYS($M231,$E231,calendar!$A$2:$A$80)))</f>
        <v/>
      </c>
      <c r="O231" s="25">
        <f>IF($B231="","",IF(AND($K231="Y",OR($D231="later",$J231="Y")),"Y","N"))</f>
        <v/>
      </c>
      <c r="P231" s="25">
        <f>IF(OR($B231="",$E231=""),"",$B231&amp;"_"&amp;$C231&amp;"_"&amp;$D231&amp;"_"&amp;TEXT($E231,"yyyy-mm-dd")&amp;".jpg")</f>
        <v/>
      </c>
      <c r="Q231" s="25">
        <f>IF($B231="","",IF(COUNTIF(campaigns!$A$2:$A$51,$B231)=0,"campaign_id not on campaigns; ",IF(AND($C231&lt;&gt;"",COUNTIFS(approvals!$A$2:$A$251,$B231,approvals!$B$2:$B$251,$C231)=0),"office not on this campaign (approvals tab); ",""))&amp;IF($E231="","taken date missing; ","")&amp;IF(AND($H231&lt;&gt;"",$H231&lt;&gt;$P231),"file name differs from the convention; ","")&amp;IF(AND($D231="placement",$O231="Y",COUNTIF(photos!$R$2:$R$701,$R231)&gt;1),"two usable placement photos: mark one N; ","")&amp;IF($K231&lt;&gt;"Y","info: not usable (a person, screen or whiteboard may show): never used, delete the file; ","")&amp;IF(AND($D231="placement",$J231&lt;&gt;"Y"),"info: not usable as a placement photo (no card); ","")&amp;IF(AND($D231="placement",N($N231)&gt;2),"info: placed after the first business day; ","")&amp;IF(AND($D231="later",$N231&lt;&gt;"",OR(N($N231)&lt;3,N($N231)&gt;5)),"info: later photo outside day 3 to 5; ",""))</f>
        <v/>
      </c>
      <c r="R231" s="25">
        <f>IF($B231="","",$B231&amp;"|"&amp;$C231&amp;"|"&amp;$D231&amp;"|"&amp;$O231)</f>
        <v/>
      </c>
      <c r="S231" s="25">
        <f>IF($B231="","",$R231&amp;"|"&amp;N($E231))</f>
        <v/>
      </c>
    </row>
    <row r="232">
      <c r="E232" s="9" t="n"/>
      <c r="F232" s="33" t="n"/>
      <c r="I232" s="9" t="n"/>
      <c r="M232" s="26">
        <f>IF($B232="","",IFERROR(IF(INDEX(campaigns!$BG$2:$BG$51,MATCH($B232,campaigns!$A$2:$A$51,0))="","",INDEX(campaigns!$BG$2:$BG$51,MATCH($B232,campaigns!$A$2:$A$51,0))),""))</f>
        <v/>
      </c>
      <c r="N232" s="25">
        <f>IF(OR($B232="",$E232="",$M232=""),"",IF($E232&lt;$M232,0,NETWORKDAYS($M232,$E232,calendar!$A$2:$A$80)))</f>
        <v/>
      </c>
      <c r="O232" s="25">
        <f>IF($B232="","",IF(AND($K232="Y",OR($D232="later",$J232="Y")),"Y","N"))</f>
        <v/>
      </c>
      <c r="P232" s="25">
        <f>IF(OR($B232="",$E232=""),"",$B232&amp;"_"&amp;$C232&amp;"_"&amp;$D232&amp;"_"&amp;TEXT($E232,"yyyy-mm-dd")&amp;".jpg")</f>
        <v/>
      </c>
      <c r="Q232" s="25">
        <f>IF($B232="","",IF(COUNTIF(campaigns!$A$2:$A$51,$B232)=0,"campaign_id not on campaigns; ",IF(AND($C232&lt;&gt;"",COUNTIFS(approvals!$A$2:$A$251,$B232,approvals!$B$2:$B$251,$C232)=0),"office not on this campaign (approvals tab); ",""))&amp;IF($E232="","taken date missing; ","")&amp;IF(AND($H232&lt;&gt;"",$H232&lt;&gt;$P232),"file name differs from the convention; ","")&amp;IF(AND($D232="placement",$O232="Y",COUNTIF(photos!$R$2:$R$701,$R232)&gt;1),"two usable placement photos: mark one N; ","")&amp;IF($K232&lt;&gt;"Y","info: not usable (a person, screen or whiteboard may show): never used, delete the file; ","")&amp;IF(AND($D232="placement",$J232&lt;&gt;"Y"),"info: not usable as a placement photo (no card); ","")&amp;IF(AND($D232="placement",N($N232)&gt;2),"info: placed after the first business day; ","")&amp;IF(AND($D232="later",$N232&lt;&gt;"",OR(N($N232)&lt;3,N($N232)&gt;5)),"info: later photo outside day 3 to 5; ",""))</f>
        <v/>
      </c>
      <c r="R232" s="25">
        <f>IF($B232="","",$B232&amp;"|"&amp;$C232&amp;"|"&amp;$D232&amp;"|"&amp;$O232)</f>
        <v/>
      </c>
      <c r="S232" s="25">
        <f>IF($B232="","",$R232&amp;"|"&amp;N($E232))</f>
        <v/>
      </c>
    </row>
    <row r="233">
      <c r="E233" s="9" t="n"/>
      <c r="F233" s="33" t="n"/>
      <c r="I233" s="9" t="n"/>
      <c r="M233" s="26">
        <f>IF($B233="","",IFERROR(IF(INDEX(campaigns!$BG$2:$BG$51,MATCH($B233,campaigns!$A$2:$A$51,0))="","",INDEX(campaigns!$BG$2:$BG$51,MATCH($B233,campaigns!$A$2:$A$51,0))),""))</f>
        <v/>
      </c>
      <c r="N233" s="25">
        <f>IF(OR($B233="",$E233="",$M233=""),"",IF($E233&lt;$M233,0,NETWORKDAYS($M233,$E233,calendar!$A$2:$A$80)))</f>
        <v/>
      </c>
      <c r="O233" s="25">
        <f>IF($B233="","",IF(AND($K233="Y",OR($D233="later",$J233="Y")),"Y","N"))</f>
        <v/>
      </c>
      <c r="P233" s="25">
        <f>IF(OR($B233="",$E233=""),"",$B233&amp;"_"&amp;$C233&amp;"_"&amp;$D233&amp;"_"&amp;TEXT($E233,"yyyy-mm-dd")&amp;".jpg")</f>
        <v/>
      </c>
      <c r="Q233" s="25">
        <f>IF($B233="","",IF(COUNTIF(campaigns!$A$2:$A$51,$B233)=0,"campaign_id not on campaigns; ",IF(AND($C233&lt;&gt;"",COUNTIFS(approvals!$A$2:$A$251,$B233,approvals!$B$2:$B$251,$C233)=0),"office not on this campaign (approvals tab); ",""))&amp;IF($E233="","taken date missing; ","")&amp;IF(AND($H233&lt;&gt;"",$H233&lt;&gt;$P233),"file name differs from the convention; ","")&amp;IF(AND($D233="placement",$O233="Y",COUNTIF(photos!$R$2:$R$701,$R233)&gt;1),"two usable placement photos: mark one N; ","")&amp;IF($K233&lt;&gt;"Y","info: not usable (a person, screen or whiteboard may show): never used, delete the file; ","")&amp;IF(AND($D233="placement",$J233&lt;&gt;"Y"),"info: not usable as a placement photo (no card); ","")&amp;IF(AND($D233="placement",N($N233)&gt;2),"info: placed after the first business day; ","")&amp;IF(AND($D233="later",$N233&lt;&gt;"",OR(N($N233)&lt;3,N($N233)&gt;5)),"info: later photo outside day 3 to 5; ",""))</f>
        <v/>
      </c>
      <c r="R233" s="25">
        <f>IF($B233="","",$B233&amp;"|"&amp;$C233&amp;"|"&amp;$D233&amp;"|"&amp;$O233)</f>
        <v/>
      </c>
      <c r="S233" s="25">
        <f>IF($B233="","",$R233&amp;"|"&amp;N($E233))</f>
        <v/>
      </c>
    </row>
    <row r="234">
      <c r="E234" s="9" t="n"/>
      <c r="F234" s="33" t="n"/>
      <c r="I234" s="9" t="n"/>
      <c r="M234" s="26">
        <f>IF($B234="","",IFERROR(IF(INDEX(campaigns!$BG$2:$BG$51,MATCH($B234,campaigns!$A$2:$A$51,0))="","",INDEX(campaigns!$BG$2:$BG$51,MATCH($B234,campaigns!$A$2:$A$51,0))),""))</f>
        <v/>
      </c>
      <c r="N234" s="25">
        <f>IF(OR($B234="",$E234="",$M234=""),"",IF($E234&lt;$M234,0,NETWORKDAYS($M234,$E234,calendar!$A$2:$A$80)))</f>
        <v/>
      </c>
      <c r="O234" s="25">
        <f>IF($B234="","",IF(AND($K234="Y",OR($D234="later",$J234="Y")),"Y","N"))</f>
        <v/>
      </c>
      <c r="P234" s="25">
        <f>IF(OR($B234="",$E234=""),"",$B234&amp;"_"&amp;$C234&amp;"_"&amp;$D234&amp;"_"&amp;TEXT($E234,"yyyy-mm-dd")&amp;".jpg")</f>
        <v/>
      </c>
      <c r="Q234" s="25">
        <f>IF($B234="","",IF(COUNTIF(campaigns!$A$2:$A$51,$B234)=0,"campaign_id not on campaigns; ",IF(AND($C234&lt;&gt;"",COUNTIFS(approvals!$A$2:$A$251,$B234,approvals!$B$2:$B$251,$C234)=0),"office not on this campaign (approvals tab); ",""))&amp;IF($E234="","taken date missing; ","")&amp;IF(AND($H234&lt;&gt;"",$H234&lt;&gt;$P234),"file name differs from the convention; ","")&amp;IF(AND($D234="placement",$O234="Y",COUNTIF(photos!$R$2:$R$701,$R234)&gt;1),"two usable placement photos: mark one N; ","")&amp;IF($K234&lt;&gt;"Y","info: not usable (a person, screen or whiteboard may show): never used, delete the file; ","")&amp;IF(AND($D234="placement",$J234&lt;&gt;"Y"),"info: not usable as a placement photo (no card); ","")&amp;IF(AND($D234="placement",N($N234)&gt;2),"info: placed after the first business day; ","")&amp;IF(AND($D234="later",$N234&lt;&gt;"",OR(N($N234)&lt;3,N($N234)&gt;5)),"info: later photo outside day 3 to 5; ",""))</f>
        <v/>
      </c>
      <c r="R234" s="25">
        <f>IF($B234="","",$B234&amp;"|"&amp;$C234&amp;"|"&amp;$D234&amp;"|"&amp;$O234)</f>
        <v/>
      </c>
      <c r="S234" s="25">
        <f>IF($B234="","",$R234&amp;"|"&amp;N($E234))</f>
        <v/>
      </c>
    </row>
    <row r="235">
      <c r="E235" s="9" t="n"/>
      <c r="F235" s="33" t="n"/>
      <c r="I235" s="9" t="n"/>
      <c r="M235" s="26">
        <f>IF($B235="","",IFERROR(IF(INDEX(campaigns!$BG$2:$BG$51,MATCH($B235,campaigns!$A$2:$A$51,0))="","",INDEX(campaigns!$BG$2:$BG$51,MATCH($B235,campaigns!$A$2:$A$51,0))),""))</f>
        <v/>
      </c>
      <c r="N235" s="25">
        <f>IF(OR($B235="",$E235="",$M235=""),"",IF($E235&lt;$M235,0,NETWORKDAYS($M235,$E235,calendar!$A$2:$A$80)))</f>
        <v/>
      </c>
      <c r="O235" s="25">
        <f>IF($B235="","",IF(AND($K235="Y",OR($D235="later",$J235="Y")),"Y","N"))</f>
        <v/>
      </c>
      <c r="P235" s="25">
        <f>IF(OR($B235="",$E235=""),"",$B235&amp;"_"&amp;$C235&amp;"_"&amp;$D235&amp;"_"&amp;TEXT($E235,"yyyy-mm-dd")&amp;".jpg")</f>
        <v/>
      </c>
      <c r="Q235" s="25">
        <f>IF($B235="","",IF(COUNTIF(campaigns!$A$2:$A$51,$B235)=0,"campaign_id not on campaigns; ",IF(AND($C235&lt;&gt;"",COUNTIFS(approvals!$A$2:$A$251,$B235,approvals!$B$2:$B$251,$C235)=0),"office not on this campaign (approvals tab); ",""))&amp;IF($E235="","taken date missing; ","")&amp;IF(AND($H235&lt;&gt;"",$H235&lt;&gt;$P235),"file name differs from the convention; ","")&amp;IF(AND($D235="placement",$O235="Y",COUNTIF(photos!$R$2:$R$701,$R235)&gt;1),"two usable placement photos: mark one N; ","")&amp;IF($K235&lt;&gt;"Y","info: not usable (a person, screen or whiteboard may show): never used, delete the file; ","")&amp;IF(AND($D235="placement",$J235&lt;&gt;"Y"),"info: not usable as a placement photo (no card); ","")&amp;IF(AND($D235="placement",N($N235)&gt;2),"info: placed after the first business day; ","")&amp;IF(AND($D235="later",$N235&lt;&gt;"",OR(N($N235)&lt;3,N($N235)&gt;5)),"info: later photo outside day 3 to 5; ",""))</f>
        <v/>
      </c>
      <c r="R235" s="25">
        <f>IF($B235="","",$B235&amp;"|"&amp;$C235&amp;"|"&amp;$D235&amp;"|"&amp;$O235)</f>
        <v/>
      </c>
      <c r="S235" s="25">
        <f>IF($B235="","",$R235&amp;"|"&amp;N($E235))</f>
        <v/>
      </c>
    </row>
    <row r="236">
      <c r="E236" s="9" t="n"/>
      <c r="F236" s="33" t="n"/>
      <c r="I236" s="9" t="n"/>
      <c r="M236" s="26">
        <f>IF($B236="","",IFERROR(IF(INDEX(campaigns!$BG$2:$BG$51,MATCH($B236,campaigns!$A$2:$A$51,0))="","",INDEX(campaigns!$BG$2:$BG$51,MATCH($B236,campaigns!$A$2:$A$51,0))),""))</f>
        <v/>
      </c>
      <c r="N236" s="25">
        <f>IF(OR($B236="",$E236="",$M236=""),"",IF($E236&lt;$M236,0,NETWORKDAYS($M236,$E236,calendar!$A$2:$A$80)))</f>
        <v/>
      </c>
      <c r="O236" s="25">
        <f>IF($B236="","",IF(AND($K236="Y",OR($D236="later",$J236="Y")),"Y","N"))</f>
        <v/>
      </c>
      <c r="P236" s="25">
        <f>IF(OR($B236="",$E236=""),"",$B236&amp;"_"&amp;$C236&amp;"_"&amp;$D236&amp;"_"&amp;TEXT($E236,"yyyy-mm-dd")&amp;".jpg")</f>
        <v/>
      </c>
      <c r="Q236" s="25">
        <f>IF($B236="","",IF(COUNTIF(campaigns!$A$2:$A$51,$B236)=0,"campaign_id not on campaigns; ",IF(AND($C236&lt;&gt;"",COUNTIFS(approvals!$A$2:$A$251,$B236,approvals!$B$2:$B$251,$C236)=0),"office not on this campaign (approvals tab); ",""))&amp;IF($E236="","taken date missing; ","")&amp;IF(AND($H236&lt;&gt;"",$H236&lt;&gt;$P236),"file name differs from the convention; ","")&amp;IF(AND($D236="placement",$O236="Y",COUNTIF(photos!$R$2:$R$701,$R236)&gt;1),"two usable placement photos: mark one N; ","")&amp;IF($K236&lt;&gt;"Y","info: not usable (a person, screen or whiteboard may show): never used, delete the file; ","")&amp;IF(AND($D236="placement",$J236&lt;&gt;"Y"),"info: not usable as a placement photo (no card); ","")&amp;IF(AND($D236="placement",N($N236)&gt;2),"info: placed after the first business day; ","")&amp;IF(AND($D236="later",$N236&lt;&gt;"",OR(N($N236)&lt;3,N($N236)&gt;5)),"info: later photo outside day 3 to 5; ",""))</f>
        <v/>
      </c>
      <c r="R236" s="25">
        <f>IF($B236="","",$B236&amp;"|"&amp;$C236&amp;"|"&amp;$D236&amp;"|"&amp;$O236)</f>
        <v/>
      </c>
      <c r="S236" s="25">
        <f>IF($B236="","",$R236&amp;"|"&amp;N($E236))</f>
        <v/>
      </c>
    </row>
    <row r="237">
      <c r="E237" s="9" t="n"/>
      <c r="F237" s="33" t="n"/>
      <c r="I237" s="9" t="n"/>
      <c r="M237" s="26">
        <f>IF($B237="","",IFERROR(IF(INDEX(campaigns!$BG$2:$BG$51,MATCH($B237,campaigns!$A$2:$A$51,0))="","",INDEX(campaigns!$BG$2:$BG$51,MATCH($B237,campaigns!$A$2:$A$51,0))),""))</f>
        <v/>
      </c>
      <c r="N237" s="25">
        <f>IF(OR($B237="",$E237="",$M237=""),"",IF($E237&lt;$M237,0,NETWORKDAYS($M237,$E237,calendar!$A$2:$A$80)))</f>
        <v/>
      </c>
      <c r="O237" s="25">
        <f>IF($B237="","",IF(AND($K237="Y",OR($D237="later",$J237="Y")),"Y","N"))</f>
        <v/>
      </c>
      <c r="P237" s="25">
        <f>IF(OR($B237="",$E237=""),"",$B237&amp;"_"&amp;$C237&amp;"_"&amp;$D237&amp;"_"&amp;TEXT($E237,"yyyy-mm-dd")&amp;".jpg")</f>
        <v/>
      </c>
      <c r="Q237" s="25">
        <f>IF($B237="","",IF(COUNTIF(campaigns!$A$2:$A$51,$B237)=0,"campaign_id not on campaigns; ",IF(AND($C237&lt;&gt;"",COUNTIFS(approvals!$A$2:$A$251,$B237,approvals!$B$2:$B$251,$C237)=0),"office not on this campaign (approvals tab); ",""))&amp;IF($E237="","taken date missing; ","")&amp;IF(AND($H237&lt;&gt;"",$H237&lt;&gt;$P237),"file name differs from the convention; ","")&amp;IF(AND($D237="placement",$O237="Y",COUNTIF(photos!$R$2:$R$701,$R237)&gt;1),"two usable placement photos: mark one N; ","")&amp;IF($K237&lt;&gt;"Y","info: not usable (a person, screen or whiteboard may show): never used, delete the file; ","")&amp;IF(AND($D237="placement",$J237&lt;&gt;"Y"),"info: not usable as a placement photo (no card); ","")&amp;IF(AND($D237="placement",N($N237)&gt;2),"info: placed after the first business day; ","")&amp;IF(AND($D237="later",$N237&lt;&gt;"",OR(N($N237)&lt;3,N($N237)&gt;5)),"info: later photo outside day 3 to 5; ",""))</f>
        <v/>
      </c>
      <c r="R237" s="25">
        <f>IF($B237="","",$B237&amp;"|"&amp;$C237&amp;"|"&amp;$D237&amp;"|"&amp;$O237)</f>
        <v/>
      </c>
      <c r="S237" s="25">
        <f>IF($B237="","",$R237&amp;"|"&amp;N($E237))</f>
        <v/>
      </c>
    </row>
    <row r="238">
      <c r="E238" s="9" t="n"/>
      <c r="F238" s="33" t="n"/>
      <c r="I238" s="9" t="n"/>
      <c r="M238" s="26">
        <f>IF($B238="","",IFERROR(IF(INDEX(campaigns!$BG$2:$BG$51,MATCH($B238,campaigns!$A$2:$A$51,0))="","",INDEX(campaigns!$BG$2:$BG$51,MATCH($B238,campaigns!$A$2:$A$51,0))),""))</f>
        <v/>
      </c>
      <c r="N238" s="25">
        <f>IF(OR($B238="",$E238="",$M238=""),"",IF($E238&lt;$M238,0,NETWORKDAYS($M238,$E238,calendar!$A$2:$A$80)))</f>
        <v/>
      </c>
      <c r="O238" s="25">
        <f>IF($B238="","",IF(AND($K238="Y",OR($D238="later",$J238="Y")),"Y","N"))</f>
        <v/>
      </c>
      <c r="P238" s="25">
        <f>IF(OR($B238="",$E238=""),"",$B238&amp;"_"&amp;$C238&amp;"_"&amp;$D238&amp;"_"&amp;TEXT($E238,"yyyy-mm-dd")&amp;".jpg")</f>
        <v/>
      </c>
      <c r="Q238" s="25">
        <f>IF($B238="","",IF(COUNTIF(campaigns!$A$2:$A$51,$B238)=0,"campaign_id not on campaigns; ",IF(AND($C238&lt;&gt;"",COUNTIFS(approvals!$A$2:$A$251,$B238,approvals!$B$2:$B$251,$C238)=0),"office not on this campaign (approvals tab); ",""))&amp;IF($E238="","taken date missing; ","")&amp;IF(AND($H238&lt;&gt;"",$H238&lt;&gt;$P238),"file name differs from the convention; ","")&amp;IF(AND($D238="placement",$O238="Y",COUNTIF(photos!$R$2:$R$701,$R238)&gt;1),"two usable placement photos: mark one N; ","")&amp;IF($K238&lt;&gt;"Y","info: not usable (a person, screen or whiteboard may show): never used, delete the file; ","")&amp;IF(AND($D238="placement",$J238&lt;&gt;"Y"),"info: not usable as a placement photo (no card); ","")&amp;IF(AND($D238="placement",N($N238)&gt;2),"info: placed after the first business day; ","")&amp;IF(AND($D238="later",$N238&lt;&gt;"",OR(N($N238)&lt;3,N($N238)&gt;5)),"info: later photo outside day 3 to 5; ",""))</f>
        <v/>
      </c>
      <c r="R238" s="25">
        <f>IF($B238="","",$B238&amp;"|"&amp;$C238&amp;"|"&amp;$D238&amp;"|"&amp;$O238)</f>
        <v/>
      </c>
      <c r="S238" s="25">
        <f>IF($B238="","",$R238&amp;"|"&amp;N($E238))</f>
        <v/>
      </c>
    </row>
    <row r="239">
      <c r="E239" s="9" t="n"/>
      <c r="F239" s="33" t="n"/>
      <c r="I239" s="9" t="n"/>
      <c r="M239" s="26">
        <f>IF($B239="","",IFERROR(IF(INDEX(campaigns!$BG$2:$BG$51,MATCH($B239,campaigns!$A$2:$A$51,0))="","",INDEX(campaigns!$BG$2:$BG$51,MATCH($B239,campaigns!$A$2:$A$51,0))),""))</f>
        <v/>
      </c>
      <c r="N239" s="25">
        <f>IF(OR($B239="",$E239="",$M239=""),"",IF($E239&lt;$M239,0,NETWORKDAYS($M239,$E239,calendar!$A$2:$A$80)))</f>
        <v/>
      </c>
      <c r="O239" s="25">
        <f>IF($B239="","",IF(AND($K239="Y",OR($D239="later",$J239="Y")),"Y","N"))</f>
        <v/>
      </c>
      <c r="P239" s="25">
        <f>IF(OR($B239="",$E239=""),"",$B239&amp;"_"&amp;$C239&amp;"_"&amp;$D239&amp;"_"&amp;TEXT($E239,"yyyy-mm-dd")&amp;".jpg")</f>
        <v/>
      </c>
      <c r="Q239" s="25">
        <f>IF($B239="","",IF(COUNTIF(campaigns!$A$2:$A$51,$B239)=0,"campaign_id not on campaigns; ",IF(AND($C239&lt;&gt;"",COUNTIFS(approvals!$A$2:$A$251,$B239,approvals!$B$2:$B$251,$C239)=0),"office not on this campaign (approvals tab); ",""))&amp;IF($E239="","taken date missing; ","")&amp;IF(AND($H239&lt;&gt;"",$H239&lt;&gt;$P239),"file name differs from the convention; ","")&amp;IF(AND($D239="placement",$O239="Y",COUNTIF(photos!$R$2:$R$701,$R239)&gt;1),"two usable placement photos: mark one N; ","")&amp;IF($K239&lt;&gt;"Y","info: not usable (a person, screen or whiteboard may show): never used, delete the file; ","")&amp;IF(AND($D239="placement",$J239&lt;&gt;"Y"),"info: not usable as a placement photo (no card); ","")&amp;IF(AND($D239="placement",N($N239)&gt;2),"info: placed after the first business day; ","")&amp;IF(AND($D239="later",$N239&lt;&gt;"",OR(N($N239)&lt;3,N($N239)&gt;5)),"info: later photo outside day 3 to 5; ",""))</f>
        <v/>
      </c>
      <c r="R239" s="25">
        <f>IF($B239="","",$B239&amp;"|"&amp;$C239&amp;"|"&amp;$D239&amp;"|"&amp;$O239)</f>
        <v/>
      </c>
      <c r="S239" s="25">
        <f>IF($B239="","",$R239&amp;"|"&amp;N($E239))</f>
        <v/>
      </c>
    </row>
    <row r="240">
      <c r="E240" s="9" t="n"/>
      <c r="F240" s="33" t="n"/>
      <c r="I240" s="9" t="n"/>
      <c r="M240" s="26">
        <f>IF($B240="","",IFERROR(IF(INDEX(campaigns!$BG$2:$BG$51,MATCH($B240,campaigns!$A$2:$A$51,0))="","",INDEX(campaigns!$BG$2:$BG$51,MATCH($B240,campaigns!$A$2:$A$51,0))),""))</f>
        <v/>
      </c>
      <c r="N240" s="25">
        <f>IF(OR($B240="",$E240="",$M240=""),"",IF($E240&lt;$M240,0,NETWORKDAYS($M240,$E240,calendar!$A$2:$A$80)))</f>
        <v/>
      </c>
      <c r="O240" s="25">
        <f>IF($B240="","",IF(AND($K240="Y",OR($D240="later",$J240="Y")),"Y","N"))</f>
        <v/>
      </c>
      <c r="P240" s="25">
        <f>IF(OR($B240="",$E240=""),"",$B240&amp;"_"&amp;$C240&amp;"_"&amp;$D240&amp;"_"&amp;TEXT($E240,"yyyy-mm-dd")&amp;".jpg")</f>
        <v/>
      </c>
      <c r="Q240" s="25">
        <f>IF($B240="","",IF(COUNTIF(campaigns!$A$2:$A$51,$B240)=0,"campaign_id not on campaigns; ",IF(AND($C240&lt;&gt;"",COUNTIFS(approvals!$A$2:$A$251,$B240,approvals!$B$2:$B$251,$C240)=0),"office not on this campaign (approvals tab); ",""))&amp;IF($E240="","taken date missing; ","")&amp;IF(AND($H240&lt;&gt;"",$H240&lt;&gt;$P240),"file name differs from the convention; ","")&amp;IF(AND($D240="placement",$O240="Y",COUNTIF(photos!$R$2:$R$701,$R240)&gt;1),"two usable placement photos: mark one N; ","")&amp;IF($K240&lt;&gt;"Y","info: not usable (a person, screen or whiteboard may show): never used, delete the file; ","")&amp;IF(AND($D240="placement",$J240&lt;&gt;"Y"),"info: not usable as a placement photo (no card); ","")&amp;IF(AND($D240="placement",N($N240)&gt;2),"info: placed after the first business day; ","")&amp;IF(AND($D240="later",$N240&lt;&gt;"",OR(N($N240)&lt;3,N($N240)&gt;5)),"info: later photo outside day 3 to 5; ",""))</f>
        <v/>
      </c>
      <c r="R240" s="25">
        <f>IF($B240="","",$B240&amp;"|"&amp;$C240&amp;"|"&amp;$D240&amp;"|"&amp;$O240)</f>
        <v/>
      </c>
      <c r="S240" s="25">
        <f>IF($B240="","",$R240&amp;"|"&amp;N($E240))</f>
        <v/>
      </c>
    </row>
    <row r="241">
      <c r="E241" s="9" t="n"/>
      <c r="F241" s="33" t="n"/>
      <c r="I241" s="9" t="n"/>
      <c r="M241" s="26">
        <f>IF($B241="","",IFERROR(IF(INDEX(campaigns!$BG$2:$BG$51,MATCH($B241,campaigns!$A$2:$A$51,0))="","",INDEX(campaigns!$BG$2:$BG$51,MATCH($B241,campaigns!$A$2:$A$51,0))),""))</f>
        <v/>
      </c>
      <c r="N241" s="25">
        <f>IF(OR($B241="",$E241="",$M241=""),"",IF($E241&lt;$M241,0,NETWORKDAYS($M241,$E241,calendar!$A$2:$A$80)))</f>
        <v/>
      </c>
      <c r="O241" s="25">
        <f>IF($B241="","",IF(AND($K241="Y",OR($D241="later",$J241="Y")),"Y","N"))</f>
        <v/>
      </c>
      <c r="P241" s="25">
        <f>IF(OR($B241="",$E241=""),"",$B241&amp;"_"&amp;$C241&amp;"_"&amp;$D241&amp;"_"&amp;TEXT($E241,"yyyy-mm-dd")&amp;".jpg")</f>
        <v/>
      </c>
      <c r="Q241" s="25">
        <f>IF($B241="","",IF(COUNTIF(campaigns!$A$2:$A$51,$B241)=0,"campaign_id not on campaigns; ",IF(AND($C241&lt;&gt;"",COUNTIFS(approvals!$A$2:$A$251,$B241,approvals!$B$2:$B$251,$C241)=0),"office not on this campaign (approvals tab); ",""))&amp;IF($E241="","taken date missing; ","")&amp;IF(AND($H241&lt;&gt;"",$H241&lt;&gt;$P241),"file name differs from the convention; ","")&amp;IF(AND($D241="placement",$O241="Y",COUNTIF(photos!$R$2:$R$701,$R241)&gt;1),"two usable placement photos: mark one N; ","")&amp;IF($K241&lt;&gt;"Y","info: not usable (a person, screen or whiteboard may show): never used, delete the file; ","")&amp;IF(AND($D241="placement",$J241&lt;&gt;"Y"),"info: not usable as a placement photo (no card); ","")&amp;IF(AND($D241="placement",N($N241)&gt;2),"info: placed after the first business day; ","")&amp;IF(AND($D241="later",$N241&lt;&gt;"",OR(N($N241)&lt;3,N($N241)&gt;5)),"info: later photo outside day 3 to 5; ",""))</f>
        <v/>
      </c>
      <c r="R241" s="25">
        <f>IF($B241="","",$B241&amp;"|"&amp;$C241&amp;"|"&amp;$D241&amp;"|"&amp;$O241)</f>
        <v/>
      </c>
      <c r="S241" s="25">
        <f>IF($B241="","",$R241&amp;"|"&amp;N($E241))</f>
        <v/>
      </c>
    </row>
    <row r="242">
      <c r="E242" s="9" t="n"/>
      <c r="F242" s="33" t="n"/>
      <c r="I242" s="9" t="n"/>
      <c r="M242" s="26">
        <f>IF($B242="","",IFERROR(IF(INDEX(campaigns!$BG$2:$BG$51,MATCH($B242,campaigns!$A$2:$A$51,0))="","",INDEX(campaigns!$BG$2:$BG$51,MATCH($B242,campaigns!$A$2:$A$51,0))),""))</f>
        <v/>
      </c>
      <c r="N242" s="25">
        <f>IF(OR($B242="",$E242="",$M242=""),"",IF($E242&lt;$M242,0,NETWORKDAYS($M242,$E242,calendar!$A$2:$A$80)))</f>
        <v/>
      </c>
      <c r="O242" s="25">
        <f>IF($B242="","",IF(AND($K242="Y",OR($D242="later",$J242="Y")),"Y","N"))</f>
        <v/>
      </c>
      <c r="P242" s="25">
        <f>IF(OR($B242="",$E242=""),"",$B242&amp;"_"&amp;$C242&amp;"_"&amp;$D242&amp;"_"&amp;TEXT($E242,"yyyy-mm-dd")&amp;".jpg")</f>
        <v/>
      </c>
      <c r="Q242" s="25">
        <f>IF($B242="","",IF(COUNTIF(campaigns!$A$2:$A$51,$B242)=0,"campaign_id not on campaigns; ",IF(AND($C242&lt;&gt;"",COUNTIFS(approvals!$A$2:$A$251,$B242,approvals!$B$2:$B$251,$C242)=0),"office not on this campaign (approvals tab); ",""))&amp;IF($E242="","taken date missing; ","")&amp;IF(AND($H242&lt;&gt;"",$H242&lt;&gt;$P242),"file name differs from the convention; ","")&amp;IF(AND($D242="placement",$O242="Y",COUNTIF(photos!$R$2:$R$701,$R242)&gt;1),"two usable placement photos: mark one N; ","")&amp;IF($K242&lt;&gt;"Y","info: not usable (a person, screen or whiteboard may show): never used, delete the file; ","")&amp;IF(AND($D242="placement",$J242&lt;&gt;"Y"),"info: not usable as a placement photo (no card); ","")&amp;IF(AND($D242="placement",N($N242)&gt;2),"info: placed after the first business day; ","")&amp;IF(AND($D242="later",$N242&lt;&gt;"",OR(N($N242)&lt;3,N($N242)&gt;5)),"info: later photo outside day 3 to 5; ",""))</f>
        <v/>
      </c>
      <c r="R242" s="25">
        <f>IF($B242="","",$B242&amp;"|"&amp;$C242&amp;"|"&amp;$D242&amp;"|"&amp;$O242)</f>
        <v/>
      </c>
      <c r="S242" s="25">
        <f>IF($B242="","",$R242&amp;"|"&amp;N($E242))</f>
        <v/>
      </c>
    </row>
    <row r="243">
      <c r="E243" s="9" t="n"/>
      <c r="F243" s="33" t="n"/>
      <c r="I243" s="9" t="n"/>
      <c r="M243" s="26">
        <f>IF($B243="","",IFERROR(IF(INDEX(campaigns!$BG$2:$BG$51,MATCH($B243,campaigns!$A$2:$A$51,0))="","",INDEX(campaigns!$BG$2:$BG$51,MATCH($B243,campaigns!$A$2:$A$51,0))),""))</f>
        <v/>
      </c>
      <c r="N243" s="25">
        <f>IF(OR($B243="",$E243="",$M243=""),"",IF($E243&lt;$M243,0,NETWORKDAYS($M243,$E243,calendar!$A$2:$A$80)))</f>
        <v/>
      </c>
      <c r="O243" s="25">
        <f>IF($B243="","",IF(AND($K243="Y",OR($D243="later",$J243="Y")),"Y","N"))</f>
        <v/>
      </c>
      <c r="P243" s="25">
        <f>IF(OR($B243="",$E243=""),"",$B243&amp;"_"&amp;$C243&amp;"_"&amp;$D243&amp;"_"&amp;TEXT($E243,"yyyy-mm-dd")&amp;".jpg")</f>
        <v/>
      </c>
      <c r="Q243" s="25">
        <f>IF($B243="","",IF(COUNTIF(campaigns!$A$2:$A$51,$B243)=0,"campaign_id not on campaigns; ",IF(AND($C243&lt;&gt;"",COUNTIFS(approvals!$A$2:$A$251,$B243,approvals!$B$2:$B$251,$C243)=0),"office not on this campaign (approvals tab); ",""))&amp;IF($E243="","taken date missing; ","")&amp;IF(AND($H243&lt;&gt;"",$H243&lt;&gt;$P243),"file name differs from the convention; ","")&amp;IF(AND($D243="placement",$O243="Y",COUNTIF(photos!$R$2:$R$701,$R243)&gt;1),"two usable placement photos: mark one N; ","")&amp;IF($K243&lt;&gt;"Y","info: not usable (a person, screen or whiteboard may show): never used, delete the file; ","")&amp;IF(AND($D243="placement",$J243&lt;&gt;"Y"),"info: not usable as a placement photo (no card); ","")&amp;IF(AND($D243="placement",N($N243)&gt;2),"info: placed after the first business day; ","")&amp;IF(AND($D243="later",$N243&lt;&gt;"",OR(N($N243)&lt;3,N($N243)&gt;5)),"info: later photo outside day 3 to 5; ",""))</f>
        <v/>
      </c>
      <c r="R243" s="25">
        <f>IF($B243="","",$B243&amp;"|"&amp;$C243&amp;"|"&amp;$D243&amp;"|"&amp;$O243)</f>
        <v/>
      </c>
      <c r="S243" s="25">
        <f>IF($B243="","",$R243&amp;"|"&amp;N($E243))</f>
        <v/>
      </c>
    </row>
    <row r="244">
      <c r="E244" s="9" t="n"/>
      <c r="F244" s="33" t="n"/>
      <c r="I244" s="9" t="n"/>
      <c r="M244" s="26">
        <f>IF($B244="","",IFERROR(IF(INDEX(campaigns!$BG$2:$BG$51,MATCH($B244,campaigns!$A$2:$A$51,0))="","",INDEX(campaigns!$BG$2:$BG$51,MATCH($B244,campaigns!$A$2:$A$51,0))),""))</f>
        <v/>
      </c>
      <c r="N244" s="25">
        <f>IF(OR($B244="",$E244="",$M244=""),"",IF($E244&lt;$M244,0,NETWORKDAYS($M244,$E244,calendar!$A$2:$A$80)))</f>
        <v/>
      </c>
      <c r="O244" s="25">
        <f>IF($B244="","",IF(AND($K244="Y",OR($D244="later",$J244="Y")),"Y","N"))</f>
        <v/>
      </c>
      <c r="P244" s="25">
        <f>IF(OR($B244="",$E244=""),"",$B244&amp;"_"&amp;$C244&amp;"_"&amp;$D244&amp;"_"&amp;TEXT($E244,"yyyy-mm-dd")&amp;".jpg")</f>
        <v/>
      </c>
      <c r="Q244" s="25">
        <f>IF($B244="","",IF(COUNTIF(campaigns!$A$2:$A$51,$B244)=0,"campaign_id not on campaigns; ",IF(AND($C244&lt;&gt;"",COUNTIFS(approvals!$A$2:$A$251,$B244,approvals!$B$2:$B$251,$C244)=0),"office not on this campaign (approvals tab); ",""))&amp;IF($E244="","taken date missing; ","")&amp;IF(AND($H244&lt;&gt;"",$H244&lt;&gt;$P244),"file name differs from the convention; ","")&amp;IF(AND($D244="placement",$O244="Y",COUNTIF(photos!$R$2:$R$701,$R244)&gt;1),"two usable placement photos: mark one N; ","")&amp;IF($K244&lt;&gt;"Y","info: not usable (a person, screen or whiteboard may show): never used, delete the file; ","")&amp;IF(AND($D244="placement",$J244&lt;&gt;"Y"),"info: not usable as a placement photo (no card); ","")&amp;IF(AND($D244="placement",N($N244)&gt;2),"info: placed after the first business day; ","")&amp;IF(AND($D244="later",$N244&lt;&gt;"",OR(N($N244)&lt;3,N($N244)&gt;5)),"info: later photo outside day 3 to 5; ",""))</f>
        <v/>
      </c>
      <c r="R244" s="25">
        <f>IF($B244="","",$B244&amp;"|"&amp;$C244&amp;"|"&amp;$D244&amp;"|"&amp;$O244)</f>
        <v/>
      </c>
      <c r="S244" s="25">
        <f>IF($B244="","",$R244&amp;"|"&amp;N($E244))</f>
        <v/>
      </c>
    </row>
    <row r="245">
      <c r="E245" s="9" t="n"/>
      <c r="F245" s="33" t="n"/>
      <c r="I245" s="9" t="n"/>
      <c r="M245" s="26">
        <f>IF($B245="","",IFERROR(IF(INDEX(campaigns!$BG$2:$BG$51,MATCH($B245,campaigns!$A$2:$A$51,0))="","",INDEX(campaigns!$BG$2:$BG$51,MATCH($B245,campaigns!$A$2:$A$51,0))),""))</f>
        <v/>
      </c>
      <c r="N245" s="25">
        <f>IF(OR($B245="",$E245="",$M245=""),"",IF($E245&lt;$M245,0,NETWORKDAYS($M245,$E245,calendar!$A$2:$A$80)))</f>
        <v/>
      </c>
      <c r="O245" s="25">
        <f>IF($B245="","",IF(AND($K245="Y",OR($D245="later",$J245="Y")),"Y","N"))</f>
        <v/>
      </c>
      <c r="P245" s="25">
        <f>IF(OR($B245="",$E245=""),"",$B245&amp;"_"&amp;$C245&amp;"_"&amp;$D245&amp;"_"&amp;TEXT($E245,"yyyy-mm-dd")&amp;".jpg")</f>
        <v/>
      </c>
      <c r="Q245" s="25">
        <f>IF($B245="","",IF(COUNTIF(campaigns!$A$2:$A$51,$B245)=0,"campaign_id not on campaigns; ",IF(AND($C245&lt;&gt;"",COUNTIFS(approvals!$A$2:$A$251,$B245,approvals!$B$2:$B$251,$C245)=0),"office not on this campaign (approvals tab); ",""))&amp;IF($E245="","taken date missing; ","")&amp;IF(AND($H245&lt;&gt;"",$H245&lt;&gt;$P245),"file name differs from the convention; ","")&amp;IF(AND($D245="placement",$O245="Y",COUNTIF(photos!$R$2:$R$701,$R245)&gt;1),"two usable placement photos: mark one N; ","")&amp;IF($K245&lt;&gt;"Y","info: not usable (a person, screen or whiteboard may show): never used, delete the file; ","")&amp;IF(AND($D245="placement",$J245&lt;&gt;"Y"),"info: not usable as a placement photo (no card); ","")&amp;IF(AND($D245="placement",N($N245)&gt;2),"info: placed after the first business day; ","")&amp;IF(AND($D245="later",$N245&lt;&gt;"",OR(N($N245)&lt;3,N($N245)&gt;5)),"info: later photo outside day 3 to 5; ",""))</f>
        <v/>
      </c>
      <c r="R245" s="25">
        <f>IF($B245="","",$B245&amp;"|"&amp;$C245&amp;"|"&amp;$D245&amp;"|"&amp;$O245)</f>
        <v/>
      </c>
      <c r="S245" s="25">
        <f>IF($B245="","",$R245&amp;"|"&amp;N($E245))</f>
        <v/>
      </c>
    </row>
    <row r="246">
      <c r="E246" s="9" t="n"/>
      <c r="F246" s="33" t="n"/>
      <c r="I246" s="9" t="n"/>
      <c r="M246" s="26">
        <f>IF($B246="","",IFERROR(IF(INDEX(campaigns!$BG$2:$BG$51,MATCH($B246,campaigns!$A$2:$A$51,0))="","",INDEX(campaigns!$BG$2:$BG$51,MATCH($B246,campaigns!$A$2:$A$51,0))),""))</f>
        <v/>
      </c>
      <c r="N246" s="25">
        <f>IF(OR($B246="",$E246="",$M246=""),"",IF($E246&lt;$M246,0,NETWORKDAYS($M246,$E246,calendar!$A$2:$A$80)))</f>
        <v/>
      </c>
      <c r="O246" s="25">
        <f>IF($B246="","",IF(AND($K246="Y",OR($D246="later",$J246="Y")),"Y","N"))</f>
        <v/>
      </c>
      <c r="P246" s="25">
        <f>IF(OR($B246="",$E246=""),"",$B246&amp;"_"&amp;$C246&amp;"_"&amp;$D246&amp;"_"&amp;TEXT($E246,"yyyy-mm-dd")&amp;".jpg")</f>
        <v/>
      </c>
      <c r="Q246" s="25">
        <f>IF($B246="","",IF(COUNTIF(campaigns!$A$2:$A$51,$B246)=0,"campaign_id not on campaigns; ",IF(AND($C246&lt;&gt;"",COUNTIFS(approvals!$A$2:$A$251,$B246,approvals!$B$2:$B$251,$C246)=0),"office not on this campaign (approvals tab); ",""))&amp;IF($E246="","taken date missing; ","")&amp;IF(AND($H246&lt;&gt;"",$H246&lt;&gt;$P246),"file name differs from the convention; ","")&amp;IF(AND($D246="placement",$O246="Y",COUNTIF(photos!$R$2:$R$701,$R246)&gt;1),"two usable placement photos: mark one N; ","")&amp;IF($K246&lt;&gt;"Y","info: not usable (a person, screen or whiteboard may show): never used, delete the file; ","")&amp;IF(AND($D246="placement",$J246&lt;&gt;"Y"),"info: not usable as a placement photo (no card); ","")&amp;IF(AND($D246="placement",N($N246)&gt;2),"info: placed after the first business day; ","")&amp;IF(AND($D246="later",$N246&lt;&gt;"",OR(N($N246)&lt;3,N($N246)&gt;5)),"info: later photo outside day 3 to 5; ",""))</f>
        <v/>
      </c>
      <c r="R246" s="25">
        <f>IF($B246="","",$B246&amp;"|"&amp;$C246&amp;"|"&amp;$D246&amp;"|"&amp;$O246)</f>
        <v/>
      </c>
      <c r="S246" s="25">
        <f>IF($B246="","",$R246&amp;"|"&amp;N($E246))</f>
        <v/>
      </c>
    </row>
    <row r="247">
      <c r="E247" s="9" t="n"/>
      <c r="F247" s="33" t="n"/>
      <c r="I247" s="9" t="n"/>
      <c r="M247" s="26">
        <f>IF($B247="","",IFERROR(IF(INDEX(campaigns!$BG$2:$BG$51,MATCH($B247,campaigns!$A$2:$A$51,0))="","",INDEX(campaigns!$BG$2:$BG$51,MATCH($B247,campaigns!$A$2:$A$51,0))),""))</f>
        <v/>
      </c>
      <c r="N247" s="25">
        <f>IF(OR($B247="",$E247="",$M247=""),"",IF($E247&lt;$M247,0,NETWORKDAYS($M247,$E247,calendar!$A$2:$A$80)))</f>
        <v/>
      </c>
      <c r="O247" s="25">
        <f>IF($B247="","",IF(AND($K247="Y",OR($D247="later",$J247="Y")),"Y","N"))</f>
        <v/>
      </c>
      <c r="P247" s="25">
        <f>IF(OR($B247="",$E247=""),"",$B247&amp;"_"&amp;$C247&amp;"_"&amp;$D247&amp;"_"&amp;TEXT($E247,"yyyy-mm-dd")&amp;".jpg")</f>
        <v/>
      </c>
      <c r="Q247" s="25">
        <f>IF($B247="","",IF(COUNTIF(campaigns!$A$2:$A$51,$B247)=0,"campaign_id not on campaigns; ",IF(AND($C247&lt;&gt;"",COUNTIFS(approvals!$A$2:$A$251,$B247,approvals!$B$2:$B$251,$C247)=0),"office not on this campaign (approvals tab); ",""))&amp;IF($E247="","taken date missing; ","")&amp;IF(AND($H247&lt;&gt;"",$H247&lt;&gt;$P247),"file name differs from the convention; ","")&amp;IF(AND($D247="placement",$O247="Y",COUNTIF(photos!$R$2:$R$701,$R247)&gt;1),"two usable placement photos: mark one N; ","")&amp;IF($K247&lt;&gt;"Y","info: not usable (a person, screen or whiteboard may show): never used, delete the file; ","")&amp;IF(AND($D247="placement",$J247&lt;&gt;"Y"),"info: not usable as a placement photo (no card); ","")&amp;IF(AND($D247="placement",N($N247)&gt;2),"info: placed after the first business day; ","")&amp;IF(AND($D247="later",$N247&lt;&gt;"",OR(N($N247)&lt;3,N($N247)&gt;5)),"info: later photo outside day 3 to 5; ",""))</f>
        <v/>
      </c>
      <c r="R247" s="25">
        <f>IF($B247="","",$B247&amp;"|"&amp;$C247&amp;"|"&amp;$D247&amp;"|"&amp;$O247)</f>
        <v/>
      </c>
      <c r="S247" s="25">
        <f>IF($B247="","",$R247&amp;"|"&amp;N($E247))</f>
        <v/>
      </c>
    </row>
    <row r="248">
      <c r="E248" s="9" t="n"/>
      <c r="F248" s="33" t="n"/>
      <c r="I248" s="9" t="n"/>
      <c r="M248" s="26">
        <f>IF($B248="","",IFERROR(IF(INDEX(campaigns!$BG$2:$BG$51,MATCH($B248,campaigns!$A$2:$A$51,0))="","",INDEX(campaigns!$BG$2:$BG$51,MATCH($B248,campaigns!$A$2:$A$51,0))),""))</f>
        <v/>
      </c>
      <c r="N248" s="25">
        <f>IF(OR($B248="",$E248="",$M248=""),"",IF($E248&lt;$M248,0,NETWORKDAYS($M248,$E248,calendar!$A$2:$A$80)))</f>
        <v/>
      </c>
      <c r="O248" s="25">
        <f>IF($B248="","",IF(AND($K248="Y",OR($D248="later",$J248="Y")),"Y","N"))</f>
        <v/>
      </c>
      <c r="P248" s="25">
        <f>IF(OR($B248="",$E248=""),"",$B248&amp;"_"&amp;$C248&amp;"_"&amp;$D248&amp;"_"&amp;TEXT($E248,"yyyy-mm-dd")&amp;".jpg")</f>
        <v/>
      </c>
      <c r="Q248" s="25">
        <f>IF($B248="","",IF(COUNTIF(campaigns!$A$2:$A$51,$B248)=0,"campaign_id not on campaigns; ",IF(AND($C248&lt;&gt;"",COUNTIFS(approvals!$A$2:$A$251,$B248,approvals!$B$2:$B$251,$C248)=0),"office not on this campaign (approvals tab); ",""))&amp;IF($E248="","taken date missing; ","")&amp;IF(AND($H248&lt;&gt;"",$H248&lt;&gt;$P248),"file name differs from the convention; ","")&amp;IF(AND($D248="placement",$O248="Y",COUNTIF(photos!$R$2:$R$701,$R248)&gt;1),"two usable placement photos: mark one N; ","")&amp;IF($K248&lt;&gt;"Y","info: not usable (a person, screen or whiteboard may show): never used, delete the file; ","")&amp;IF(AND($D248="placement",$J248&lt;&gt;"Y"),"info: not usable as a placement photo (no card); ","")&amp;IF(AND($D248="placement",N($N248)&gt;2),"info: placed after the first business day; ","")&amp;IF(AND($D248="later",$N248&lt;&gt;"",OR(N($N248)&lt;3,N($N248)&gt;5)),"info: later photo outside day 3 to 5; ",""))</f>
        <v/>
      </c>
      <c r="R248" s="25">
        <f>IF($B248="","",$B248&amp;"|"&amp;$C248&amp;"|"&amp;$D248&amp;"|"&amp;$O248)</f>
        <v/>
      </c>
      <c r="S248" s="25">
        <f>IF($B248="","",$R248&amp;"|"&amp;N($E248))</f>
        <v/>
      </c>
    </row>
    <row r="249">
      <c r="E249" s="9" t="n"/>
      <c r="F249" s="33" t="n"/>
      <c r="I249" s="9" t="n"/>
      <c r="M249" s="26">
        <f>IF($B249="","",IFERROR(IF(INDEX(campaigns!$BG$2:$BG$51,MATCH($B249,campaigns!$A$2:$A$51,0))="","",INDEX(campaigns!$BG$2:$BG$51,MATCH($B249,campaigns!$A$2:$A$51,0))),""))</f>
        <v/>
      </c>
      <c r="N249" s="25">
        <f>IF(OR($B249="",$E249="",$M249=""),"",IF($E249&lt;$M249,0,NETWORKDAYS($M249,$E249,calendar!$A$2:$A$80)))</f>
        <v/>
      </c>
      <c r="O249" s="25">
        <f>IF($B249="","",IF(AND($K249="Y",OR($D249="later",$J249="Y")),"Y","N"))</f>
        <v/>
      </c>
      <c r="P249" s="25">
        <f>IF(OR($B249="",$E249=""),"",$B249&amp;"_"&amp;$C249&amp;"_"&amp;$D249&amp;"_"&amp;TEXT($E249,"yyyy-mm-dd")&amp;".jpg")</f>
        <v/>
      </c>
      <c r="Q249" s="25">
        <f>IF($B249="","",IF(COUNTIF(campaigns!$A$2:$A$51,$B249)=0,"campaign_id not on campaigns; ",IF(AND($C249&lt;&gt;"",COUNTIFS(approvals!$A$2:$A$251,$B249,approvals!$B$2:$B$251,$C249)=0),"office not on this campaign (approvals tab); ",""))&amp;IF($E249="","taken date missing; ","")&amp;IF(AND($H249&lt;&gt;"",$H249&lt;&gt;$P249),"file name differs from the convention; ","")&amp;IF(AND($D249="placement",$O249="Y",COUNTIF(photos!$R$2:$R$701,$R249)&gt;1),"two usable placement photos: mark one N; ","")&amp;IF($K249&lt;&gt;"Y","info: not usable (a person, screen or whiteboard may show): never used, delete the file; ","")&amp;IF(AND($D249="placement",$J249&lt;&gt;"Y"),"info: not usable as a placement photo (no card); ","")&amp;IF(AND($D249="placement",N($N249)&gt;2),"info: placed after the first business day; ","")&amp;IF(AND($D249="later",$N249&lt;&gt;"",OR(N($N249)&lt;3,N($N249)&gt;5)),"info: later photo outside day 3 to 5; ",""))</f>
        <v/>
      </c>
      <c r="R249" s="25">
        <f>IF($B249="","",$B249&amp;"|"&amp;$C249&amp;"|"&amp;$D249&amp;"|"&amp;$O249)</f>
        <v/>
      </c>
      <c r="S249" s="25">
        <f>IF($B249="","",$R249&amp;"|"&amp;N($E249))</f>
        <v/>
      </c>
    </row>
    <row r="250">
      <c r="E250" s="9" t="n"/>
      <c r="F250" s="33" t="n"/>
      <c r="I250" s="9" t="n"/>
      <c r="M250" s="26">
        <f>IF($B250="","",IFERROR(IF(INDEX(campaigns!$BG$2:$BG$51,MATCH($B250,campaigns!$A$2:$A$51,0))="","",INDEX(campaigns!$BG$2:$BG$51,MATCH($B250,campaigns!$A$2:$A$51,0))),""))</f>
        <v/>
      </c>
      <c r="N250" s="25">
        <f>IF(OR($B250="",$E250="",$M250=""),"",IF($E250&lt;$M250,0,NETWORKDAYS($M250,$E250,calendar!$A$2:$A$80)))</f>
        <v/>
      </c>
      <c r="O250" s="25">
        <f>IF($B250="","",IF(AND($K250="Y",OR($D250="later",$J250="Y")),"Y","N"))</f>
        <v/>
      </c>
      <c r="P250" s="25">
        <f>IF(OR($B250="",$E250=""),"",$B250&amp;"_"&amp;$C250&amp;"_"&amp;$D250&amp;"_"&amp;TEXT($E250,"yyyy-mm-dd")&amp;".jpg")</f>
        <v/>
      </c>
      <c r="Q250" s="25">
        <f>IF($B250="","",IF(COUNTIF(campaigns!$A$2:$A$51,$B250)=0,"campaign_id not on campaigns; ",IF(AND($C250&lt;&gt;"",COUNTIFS(approvals!$A$2:$A$251,$B250,approvals!$B$2:$B$251,$C250)=0),"office not on this campaign (approvals tab); ",""))&amp;IF($E250="","taken date missing; ","")&amp;IF(AND($H250&lt;&gt;"",$H250&lt;&gt;$P250),"file name differs from the convention; ","")&amp;IF(AND($D250="placement",$O250="Y",COUNTIF(photos!$R$2:$R$701,$R250)&gt;1),"two usable placement photos: mark one N; ","")&amp;IF($K250&lt;&gt;"Y","info: not usable (a person, screen or whiteboard may show): never used, delete the file; ","")&amp;IF(AND($D250="placement",$J250&lt;&gt;"Y"),"info: not usable as a placement photo (no card); ","")&amp;IF(AND($D250="placement",N($N250)&gt;2),"info: placed after the first business day; ","")&amp;IF(AND($D250="later",$N250&lt;&gt;"",OR(N($N250)&lt;3,N($N250)&gt;5)),"info: later photo outside day 3 to 5; ",""))</f>
        <v/>
      </c>
      <c r="R250" s="25">
        <f>IF($B250="","",$B250&amp;"|"&amp;$C250&amp;"|"&amp;$D250&amp;"|"&amp;$O250)</f>
        <v/>
      </c>
      <c r="S250" s="25">
        <f>IF($B250="","",$R250&amp;"|"&amp;N($E250))</f>
        <v/>
      </c>
    </row>
    <row r="251">
      <c r="E251" s="9" t="n"/>
      <c r="F251" s="33" t="n"/>
      <c r="I251" s="9" t="n"/>
      <c r="M251" s="26">
        <f>IF($B251="","",IFERROR(IF(INDEX(campaigns!$BG$2:$BG$51,MATCH($B251,campaigns!$A$2:$A$51,0))="","",INDEX(campaigns!$BG$2:$BG$51,MATCH($B251,campaigns!$A$2:$A$51,0))),""))</f>
        <v/>
      </c>
      <c r="N251" s="25">
        <f>IF(OR($B251="",$E251="",$M251=""),"",IF($E251&lt;$M251,0,NETWORKDAYS($M251,$E251,calendar!$A$2:$A$80)))</f>
        <v/>
      </c>
      <c r="O251" s="25">
        <f>IF($B251="","",IF(AND($K251="Y",OR($D251="later",$J251="Y")),"Y","N"))</f>
        <v/>
      </c>
      <c r="P251" s="25">
        <f>IF(OR($B251="",$E251=""),"",$B251&amp;"_"&amp;$C251&amp;"_"&amp;$D251&amp;"_"&amp;TEXT($E251,"yyyy-mm-dd")&amp;".jpg")</f>
        <v/>
      </c>
      <c r="Q251" s="25">
        <f>IF($B251="","",IF(COUNTIF(campaigns!$A$2:$A$51,$B251)=0,"campaign_id not on campaigns; ",IF(AND($C251&lt;&gt;"",COUNTIFS(approvals!$A$2:$A$251,$B251,approvals!$B$2:$B$251,$C251)=0),"office not on this campaign (approvals tab); ",""))&amp;IF($E251="","taken date missing; ","")&amp;IF(AND($H251&lt;&gt;"",$H251&lt;&gt;$P251),"file name differs from the convention; ","")&amp;IF(AND($D251="placement",$O251="Y",COUNTIF(photos!$R$2:$R$701,$R251)&gt;1),"two usable placement photos: mark one N; ","")&amp;IF($K251&lt;&gt;"Y","info: not usable (a person, screen or whiteboard may show): never used, delete the file; ","")&amp;IF(AND($D251="placement",$J251&lt;&gt;"Y"),"info: not usable as a placement photo (no card); ","")&amp;IF(AND($D251="placement",N($N251)&gt;2),"info: placed after the first business day; ","")&amp;IF(AND($D251="later",$N251&lt;&gt;"",OR(N($N251)&lt;3,N($N251)&gt;5)),"info: later photo outside day 3 to 5; ",""))</f>
        <v/>
      </c>
      <c r="R251" s="25">
        <f>IF($B251="","",$B251&amp;"|"&amp;$C251&amp;"|"&amp;$D251&amp;"|"&amp;$O251)</f>
        <v/>
      </c>
      <c r="S251" s="25">
        <f>IF($B251="","",$R251&amp;"|"&amp;N($E251))</f>
        <v/>
      </c>
    </row>
    <row r="252">
      <c r="E252" s="9" t="n"/>
      <c r="F252" s="33" t="n"/>
      <c r="I252" s="9" t="n"/>
      <c r="M252" s="26">
        <f>IF($B252="","",IFERROR(IF(INDEX(campaigns!$BG$2:$BG$51,MATCH($B252,campaigns!$A$2:$A$51,0))="","",INDEX(campaigns!$BG$2:$BG$51,MATCH($B252,campaigns!$A$2:$A$51,0))),""))</f>
        <v/>
      </c>
      <c r="N252" s="25">
        <f>IF(OR($B252="",$E252="",$M252=""),"",IF($E252&lt;$M252,0,NETWORKDAYS($M252,$E252,calendar!$A$2:$A$80)))</f>
        <v/>
      </c>
      <c r="O252" s="25">
        <f>IF($B252="","",IF(AND($K252="Y",OR($D252="later",$J252="Y")),"Y","N"))</f>
        <v/>
      </c>
      <c r="P252" s="25">
        <f>IF(OR($B252="",$E252=""),"",$B252&amp;"_"&amp;$C252&amp;"_"&amp;$D252&amp;"_"&amp;TEXT($E252,"yyyy-mm-dd")&amp;".jpg")</f>
        <v/>
      </c>
      <c r="Q252" s="25">
        <f>IF($B252="","",IF(COUNTIF(campaigns!$A$2:$A$51,$B252)=0,"campaign_id not on campaigns; ",IF(AND($C252&lt;&gt;"",COUNTIFS(approvals!$A$2:$A$251,$B252,approvals!$B$2:$B$251,$C252)=0),"office not on this campaign (approvals tab); ",""))&amp;IF($E252="","taken date missing; ","")&amp;IF(AND($H252&lt;&gt;"",$H252&lt;&gt;$P252),"file name differs from the convention; ","")&amp;IF(AND($D252="placement",$O252="Y",COUNTIF(photos!$R$2:$R$701,$R252)&gt;1),"two usable placement photos: mark one N; ","")&amp;IF($K252&lt;&gt;"Y","info: not usable (a person, screen or whiteboard may show): never used, delete the file; ","")&amp;IF(AND($D252="placement",$J252&lt;&gt;"Y"),"info: not usable as a placement photo (no card); ","")&amp;IF(AND($D252="placement",N($N252)&gt;2),"info: placed after the first business day; ","")&amp;IF(AND($D252="later",$N252&lt;&gt;"",OR(N($N252)&lt;3,N($N252)&gt;5)),"info: later photo outside day 3 to 5; ",""))</f>
        <v/>
      </c>
      <c r="R252" s="25">
        <f>IF($B252="","",$B252&amp;"|"&amp;$C252&amp;"|"&amp;$D252&amp;"|"&amp;$O252)</f>
        <v/>
      </c>
      <c r="S252" s="25">
        <f>IF($B252="","",$R252&amp;"|"&amp;N($E252))</f>
        <v/>
      </c>
    </row>
    <row r="253">
      <c r="E253" s="9" t="n"/>
      <c r="F253" s="33" t="n"/>
      <c r="I253" s="9" t="n"/>
      <c r="M253" s="26">
        <f>IF($B253="","",IFERROR(IF(INDEX(campaigns!$BG$2:$BG$51,MATCH($B253,campaigns!$A$2:$A$51,0))="","",INDEX(campaigns!$BG$2:$BG$51,MATCH($B253,campaigns!$A$2:$A$51,0))),""))</f>
        <v/>
      </c>
      <c r="N253" s="25">
        <f>IF(OR($B253="",$E253="",$M253=""),"",IF($E253&lt;$M253,0,NETWORKDAYS($M253,$E253,calendar!$A$2:$A$80)))</f>
        <v/>
      </c>
      <c r="O253" s="25">
        <f>IF($B253="","",IF(AND($K253="Y",OR($D253="later",$J253="Y")),"Y","N"))</f>
        <v/>
      </c>
      <c r="P253" s="25">
        <f>IF(OR($B253="",$E253=""),"",$B253&amp;"_"&amp;$C253&amp;"_"&amp;$D253&amp;"_"&amp;TEXT($E253,"yyyy-mm-dd")&amp;".jpg")</f>
        <v/>
      </c>
      <c r="Q253" s="25">
        <f>IF($B253="","",IF(COUNTIF(campaigns!$A$2:$A$51,$B253)=0,"campaign_id not on campaigns; ",IF(AND($C253&lt;&gt;"",COUNTIFS(approvals!$A$2:$A$251,$B253,approvals!$B$2:$B$251,$C253)=0),"office not on this campaign (approvals tab); ",""))&amp;IF($E253="","taken date missing; ","")&amp;IF(AND($H253&lt;&gt;"",$H253&lt;&gt;$P253),"file name differs from the convention; ","")&amp;IF(AND($D253="placement",$O253="Y",COUNTIF(photos!$R$2:$R$701,$R253)&gt;1),"two usable placement photos: mark one N; ","")&amp;IF($K253&lt;&gt;"Y","info: not usable (a person, screen or whiteboard may show): never used, delete the file; ","")&amp;IF(AND($D253="placement",$J253&lt;&gt;"Y"),"info: not usable as a placement photo (no card); ","")&amp;IF(AND($D253="placement",N($N253)&gt;2),"info: placed after the first business day; ","")&amp;IF(AND($D253="later",$N253&lt;&gt;"",OR(N($N253)&lt;3,N($N253)&gt;5)),"info: later photo outside day 3 to 5; ",""))</f>
        <v/>
      </c>
      <c r="R253" s="25">
        <f>IF($B253="","",$B253&amp;"|"&amp;$C253&amp;"|"&amp;$D253&amp;"|"&amp;$O253)</f>
        <v/>
      </c>
      <c r="S253" s="25">
        <f>IF($B253="","",$R253&amp;"|"&amp;N($E253))</f>
        <v/>
      </c>
    </row>
    <row r="254">
      <c r="E254" s="9" t="n"/>
      <c r="F254" s="33" t="n"/>
      <c r="I254" s="9" t="n"/>
      <c r="M254" s="26">
        <f>IF($B254="","",IFERROR(IF(INDEX(campaigns!$BG$2:$BG$51,MATCH($B254,campaigns!$A$2:$A$51,0))="","",INDEX(campaigns!$BG$2:$BG$51,MATCH($B254,campaigns!$A$2:$A$51,0))),""))</f>
        <v/>
      </c>
      <c r="N254" s="25">
        <f>IF(OR($B254="",$E254="",$M254=""),"",IF($E254&lt;$M254,0,NETWORKDAYS($M254,$E254,calendar!$A$2:$A$80)))</f>
        <v/>
      </c>
      <c r="O254" s="25">
        <f>IF($B254="","",IF(AND($K254="Y",OR($D254="later",$J254="Y")),"Y","N"))</f>
        <v/>
      </c>
      <c r="P254" s="25">
        <f>IF(OR($B254="",$E254=""),"",$B254&amp;"_"&amp;$C254&amp;"_"&amp;$D254&amp;"_"&amp;TEXT($E254,"yyyy-mm-dd")&amp;".jpg")</f>
        <v/>
      </c>
      <c r="Q254" s="25">
        <f>IF($B254="","",IF(COUNTIF(campaigns!$A$2:$A$51,$B254)=0,"campaign_id not on campaigns; ",IF(AND($C254&lt;&gt;"",COUNTIFS(approvals!$A$2:$A$251,$B254,approvals!$B$2:$B$251,$C254)=0),"office not on this campaign (approvals tab); ",""))&amp;IF($E254="","taken date missing; ","")&amp;IF(AND($H254&lt;&gt;"",$H254&lt;&gt;$P254),"file name differs from the convention; ","")&amp;IF(AND($D254="placement",$O254="Y",COUNTIF(photos!$R$2:$R$701,$R254)&gt;1),"two usable placement photos: mark one N; ","")&amp;IF($K254&lt;&gt;"Y","info: not usable (a person, screen or whiteboard may show): never used, delete the file; ","")&amp;IF(AND($D254="placement",$J254&lt;&gt;"Y"),"info: not usable as a placement photo (no card); ","")&amp;IF(AND($D254="placement",N($N254)&gt;2),"info: placed after the first business day; ","")&amp;IF(AND($D254="later",$N254&lt;&gt;"",OR(N($N254)&lt;3,N($N254)&gt;5)),"info: later photo outside day 3 to 5; ",""))</f>
        <v/>
      </c>
      <c r="R254" s="25">
        <f>IF($B254="","",$B254&amp;"|"&amp;$C254&amp;"|"&amp;$D254&amp;"|"&amp;$O254)</f>
        <v/>
      </c>
      <c r="S254" s="25">
        <f>IF($B254="","",$R254&amp;"|"&amp;N($E254))</f>
        <v/>
      </c>
    </row>
    <row r="255">
      <c r="E255" s="9" t="n"/>
      <c r="F255" s="33" t="n"/>
      <c r="I255" s="9" t="n"/>
      <c r="M255" s="26">
        <f>IF($B255="","",IFERROR(IF(INDEX(campaigns!$BG$2:$BG$51,MATCH($B255,campaigns!$A$2:$A$51,0))="","",INDEX(campaigns!$BG$2:$BG$51,MATCH($B255,campaigns!$A$2:$A$51,0))),""))</f>
        <v/>
      </c>
      <c r="N255" s="25">
        <f>IF(OR($B255="",$E255="",$M255=""),"",IF($E255&lt;$M255,0,NETWORKDAYS($M255,$E255,calendar!$A$2:$A$80)))</f>
        <v/>
      </c>
      <c r="O255" s="25">
        <f>IF($B255="","",IF(AND($K255="Y",OR($D255="later",$J255="Y")),"Y","N"))</f>
        <v/>
      </c>
      <c r="P255" s="25">
        <f>IF(OR($B255="",$E255=""),"",$B255&amp;"_"&amp;$C255&amp;"_"&amp;$D255&amp;"_"&amp;TEXT($E255,"yyyy-mm-dd")&amp;".jpg")</f>
        <v/>
      </c>
      <c r="Q255" s="25">
        <f>IF($B255="","",IF(COUNTIF(campaigns!$A$2:$A$51,$B255)=0,"campaign_id not on campaigns; ",IF(AND($C255&lt;&gt;"",COUNTIFS(approvals!$A$2:$A$251,$B255,approvals!$B$2:$B$251,$C255)=0),"office not on this campaign (approvals tab); ",""))&amp;IF($E255="","taken date missing; ","")&amp;IF(AND($H255&lt;&gt;"",$H255&lt;&gt;$P255),"file name differs from the convention; ","")&amp;IF(AND($D255="placement",$O255="Y",COUNTIF(photos!$R$2:$R$701,$R255)&gt;1),"two usable placement photos: mark one N; ","")&amp;IF($K255&lt;&gt;"Y","info: not usable (a person, screen or whiteboard may show): never used, delete the file; ","")&amp;IF(AND($D255="placement",$J255&lt;&gt;"Y"),"info: not usable as a placement photo (no card); ","")&amp;IF(AND($D255="placement",N($N255)&gt;2),"info: placed after the first business day; ","")&amp;IF(AND($D255="later",$N255&lt;&gt;"",OR(N($N255)&lt;3,N($N255)&gt;5)),"info: later photo outside day 3 to 5; ",""))</f>
        <v/>
      </c>
      <c r="R255" s="25">
        <f>IF($B255="","",$B255&amp;"|"&amp;$C255&amp;"|"&amp;$D255&amp;"|"&amp;$O255)</f>
        <v/>
      </c>
      <c r="S255" s="25">
        <f>IF($B255="","",$R255&amp;"|"&amp;N($E255))</f>
        <v/>
      </c>
    </row>
    <row r="256">
      <c r="E256" s="9" t="n"/>
      <c r="F256" s="33" t="n"/>
      <c r="I256" s="9" t="n"/>
      <c r="M256" s="26">
        <f>IF($B256="","",IFERROR(IF(INDEX(campaigns!$BG$2:$BG$51,MATCH($B256,campaigns!$A$2:$A$51,0))="","",INDEX(campaigns!$BG$2:$BG$51,MATCH($B256,campaigns!$A$2:$A$51,0))),""))</f>
        <v/>
      </c>
      <c r="N256" s="25">
        <f>IF(OR($B256="",$E256="",$M256=""),"",IF($E256&lt;$M256,0,NETWORKDAYS($M256,$E256,calendar!$A$2:$A$80)))</f>
        <v/>
      </c>
      <c r="O256" s="25">
        <f>IF($B256="","",IF(AND($K256="Y",OR($D256="later",$J256="Y")),"Y","N"))</f>
        <v/>
      </c>
      <c r="P256" s="25">
        <f>IF(OR($B256="",$E256=""),"",$B256&amp;"_"&amp;$C256&amp;"_"&amp;$D256&amp;"_"&amp;TEXT($E256,"yyyy-mm-dd")&amp;".jpg")</f>
        <v/>
      </c>
      <c r="Q256" s="25">
        <f>IF($B256="","",IF(COUNTIF(campaigns!$A$2:$A$51,$B256)=0,"campaign_id not on campaigns; ",IF(AND($C256&lt;&gt;"",COUNTIFS(approvals!$A$2:$A$251,$B256,approvals!$B$2:$B$251,$C256)=0),"office not on this campaign (approvals tab); ",""))&amp;IF($E256="","taken date missing; ","")&amp;IF(AND($H256&lt;&gt;"",$H256&lt;&gt;$P256),"file name differs from the convention; ","")&amp;IF(AND($D256="placement",$O256="Y",COUNTIF(photos!$R$2:$R$701,$R256)&gt;1),"two usable placement photos: mark one N; ","")&amp;IF($K256&lt;&gt;"Y","info: not usable (a person, screen or whiteboard may show): never used, delete the file; ","")&amp;IF(AND($D256="placement",$J256&lt;&gt;"Y"),"info: not usable as a placement photo (no card); ","")&amp;IF(AND($D256="placement",N($N256)&gt;2),"info: placed after the first business day; ","")&amp;IF(AND($D256="later",$N256&lt;&gt;"",OR(N($N256)&lt;3,N($N256)&gt;5)),"info: later photo outside day 3 to 5; ",""))</f>
        <v/>
      </c>
      <c r="R256" s="25">
        <f>IF($B256="","",$B256&amp;"|"&amp;$C256&amp;"|"&amp;$D256&amp;"|"&amp;$O256)</f>
        <v/>
      </c>
      <c r="S256" s="25">
        <f>IF($B256="","",$R256&amp;"|"&amp;N($E256))</f>
        <v/>
      </c>
    </row>
    <row r="257">
      <c r="E257" s="9" t="n"/>
      <c r="F257" s="33" t="n"/>
      <c r="I257" s="9" t="n"/>
      <c r="M257" s="26">
        <f>IF($B257="","",IFERROR(IF(INDEX(campaigns!$BG$2:$BG$51,MATCH($B257,campaigns!$A$2:$A$51,0))="","",INDEX(campaigns!$BG$2:$BG$51,MATCH($B257,campaigns!$A$2:$A$51,0))),""))</f>
        <v/>
      </c>
      <c r="N257" s="25">
        <f>IF(OR($B257="",$E257="",$M257=""),"",IF($E257&lt;$M257,0,NETWORKDAYS($M257,$E257,calendar!$A$2:$A$80)))</f>
        <v/>
      </c>
      <c r="O257" s="25">
        <f>IF($B257="","",IF(AND($K257="Y",OR($D257="later",$J257="Y")),"Y","N"))</f>
        <v/>
      </c>
      <c r="P257" s="25">
        <f>IF(OR($B257="",$E257=""),"",$B257&amp;"_"&amp;$C257&amp;"_"&amp;$D257&amp;"_"&amp;TEXT($E257,"yyyy-mm-dd")&amp;".jpg")</f>
        <v/>
      </c>
      <c r="Q257" s="25">
        <f>IF($B257="","",IF(COUNTIF(campaigns!$A$2:$A$51,$B257)=0,"campaign_id not on campaigns; ",IF(AND($C257&lt;&gt;"",COUNTIFS(approvals!$A$2:$A$251,$B257,approvals!$B$2:$B$251,$C257)=0),"office not on this campaign (approvals tab); ",""))&amp;IF($E257="","taken date missing; ","")&amp;IF(AND($H257&lt;&gt;"",$H257&lt;&gt;$P257),"file name differs from the convention; ","")&amp;IF(AND($D257="placement",$O257="Y",COUNTIF(photos!$R$2:$R$701,$R257)&gt;1),"two usable placement photos: mark one N; ","")&amp;IF($K257&lt;&gt;"Y","info: not usable (a person, screen or whiteboard may show): never used, delete the file; ","")&amp;IF(AND($D257="placement",$J257&lt;&gt;"Y"),"info: not usable as a placement photo (no card); ","")&amp;IF(AND($D257="placement",N($N257)&gt;2),"info: placed after the first business day; ","")&amp;IF(AND($D257="later",$N257&lt;&gt;"",OR(N($N257)&lt;3,N($N257)&gt;5)),"info: later photo outside day 3 to 5; ",""))</f>
        <v/>
      </c>
      <c r="R257" s="25">
        <f>IF($B257="","",$B257&amp;"|"&amp;$C257&amp;"|"&amp;$D257&amp;"|"&amp;$O257)</f>
        <v/>
      </c>
      <c r="S257" s="25">
        <f>IF($B257="","",$R257&amp;"|"&amp;N($E257))</f>
        <v/>
      </c>
    </row>
    <row r="258">
      <c r="E258" s="9" t="n"/>
      <c r="F258" s="33" t="n"/>
      <c r="I258" s="9" t="n"/>
      <c r="M258" s="26">
        <f>IF($B258="","",IFERROR(IF(INDEX(campaigns!$BG$2:$BG$51,MATCH($B258,campaigns!$A$2:$A$51,0))="","",INDEX(campaigns!$BG$2:$BG$51,MATCH($B258,campaigns!$A$2:$A$51,0))),""))</f>
        <v/>
      </c>
      <c r="N258" s="25">
        <f>IF(OR($B258="",$E258="",$M258=""),"",IF($E258&lt;$M258,0,NETWORKDAYS($M258,$E258,calendar!$A$2:$A$80)))</f>
        <v/>
      </c>
      <c r="O258" s="25">
        <f>IF($B258="","",IF(AND($K258="Y",OR($D258="later",$J258="Y")),"Y","N"))</f>
        <v/>
      </c>
      <c r="P258" s="25">
        <f>IF(OR($B258="",$E258=""),"",$B258&amp;"_"&amp;$C258&amp;"_"&amp;$D258&amp;"_"&amp;TEXT($E258,"yyyy-mm-dd")&amp;".jpg")</f>
        <v/>
      </c>
      <c r="Q258" s="25">
        <f>IF($B258="","",IF(COUNTIF(campaigns!$A$2:$A$51,$B258)=0,"campaign_id not on campaigns; ",IF(AND($C258&lt;&gt;"",COUNTIFS(approvals!$A$2:$A$251,$B258,approvals!$B$2:$B$251,$C258)=0),"office not on this campaign (approvals tab); ",""))&amp;IF($E258="","taken date missing; ","")&amp;IF(AND($H258&lt;&gt;"",$H258&lt;&gt;$P258),"file name differs from the convention; ","")&amp;IF(AND($D258="placement",$O258="Y",COUNTIF(photos!$R$2:$R$701,$R258)&gt;1),"two usable placement photos: mark one N; ","")&amp;IF($K258&lt;&gt;"Y","info: not usable (a person, screen or whiteboard may show): never used, delete the file; ","")&amp;IF(AND($D258="placement",$J258&lt;&gt;"Y"),"info: not usable as a placement photo (no card); ","")&amp;IF(AND($D258="placement",N($N258)&gt;2),"info: placed after the first business day; ","")&amp;IF(AND($D258="later",$N258&lt;&gt;"",OR(N($N258)&lt;3,N($N258)&gt;5)),"info: later photo outside day 3 to 5; ",""))</f>
        <v/>
      </c>
      <c r="R258" s="25">
        <f>IF($B258="","",$B258&amp;"|"&amp;$C258&amp;"|"&amp;$D258&amp;"|"&amp;$O258)</f>
        <v/>
      </c>
      <c r="S258" s="25">
        <f>IF($B258="","",$R258&amp;"|"&amp;N($E258))</f>
        <v/>
      </c>
    </row>
    <row r="259">
      <c r="E259" s="9" t="n"/>
      <c r="F259" s="33" t="n"/>
      <c r="I259" s="9" t="n"/>
      <c r="M259" s="26">
        <f>IF($B259="","",IFERROR(IF(INDEX(campaigns!$BG$2:$BG$51,MATCH($B259,campaigns!$A$2:$A$51,0))="","",INDEX(campaigns!$BG$2:$BG$51,MATCH($B259,campaigns!$A$2:$A$51,0))),""))</f>
        <v/>
      </c>
      <c r="N259" s="25">
        <f>IF(OR($B259="",$E259="",$M259=""),"",IF($E259&lt;$M259,0,NETWORKDAYS($M259,$E259,calendar!$A$2:$A$80)))</f>
        <v/>
      </c>
      <c r="O259" s="25">
        <f>IF($B259="","",IF(AND($K259="Y",OR($D259="later",$J259="Y")),"Y","N"))</f>
        <v/>
      </c>
      <c r="P259" s="25">
        <f>IF(OR($B259="",$E259=""),"",$B259&amp;"_"&amp;$C259&amp;"_"&amp;$D259&amp;"_"&amp;TEXT($E259,"yyyy-mm-dd")&amp;".jpg")</f>
        <v/>
      </c>
      <c r="Q259" s="25">
        <f>IF($B259="","",IF(COUNTIF(campaigns!$A$2:$A$51,$B259)=0,"campaign_id not on campaigns; ",IF(AND($C259&lt;&gt;"",COUNTIFS(approvals!$A$2:$A$251,$B259,approvals!$B$2:$B$251,$C259)=0),"office not on this campaign (approvals tab); ",""))&amp;IF($E259="","taken date missing; ","")&amp;IF(AND($H259&lt;&gt;"",$H259&lt;&gt;$P259),"file name differs from the convention; ","")&amp;IF(AND($D259="placement",$O259="Y",COUNTIF(photos!$R$2:$R$701,$R259)&gt;1),"two usable placement photos: mark one N; ","")&amp;IF($K259&lt;&gt;"Y","info: not usable (a person, screen or whiteboard may show): never used, delete the file; ","")&amp;IF(AND($D259="placement",$J259&lt;&gt;"Y"),"info: not usable as a placement photo (no card); ","")&amp;IF(AND($D259="placement",N($N259)&gt;2),"info: placed after the first business day; ","")&amp;IF(AND($D259="later",$N259&lt;&gt;"",OR(N($N259)&lt;3,N($N259)&gt;5)),"info: later photo outside day 3 to 5; ",""))</f>
        <v/>
      </c>
      <c r="R259" s="25">
        <f>IF($B259="","",$B259&amp;"|"&amp;$C259&amp;"|"&amp;$D259&amp;"|"&amp;$O259)</f>
        <v/>
      </c>
      <c r="S259" s="25">
        <f>IF($B259="","",$R259&amp;"|"&amp;N($E259))</f>
        <v/>
      </c>
    </row>
    <row r="260">
      <c r="E260" s="9" t="n"/>
      <c r="F260" s="33" t="n"/>
      <c r="I260" s="9" t="n"/>
      <c r="M260" s="26">
        <f>IF($B260="","",IFERROR(IF(INDEX(campaigns!$BG$2:$BG$51,MATCH($B260,campaigns!$A$2:$A$51,0))="","",INDEX(campaigns!$BG$2:$BG$51,MATCH($B260,campaigns!$A$2:$A$51,0))),""))</f>
        <v/>
      </c>
      <c r="N260" s="25">
        <f>IF(OR($B260="",$E260="",$M260=""),"",IF($E260&lt;$M260,0,NETWORKDAYS($M260,$E260,calendar!$A$2:$A$80)))</f>
        <v/>
      </c>
      <c r="O260" s="25">
        <f>IF($B260="","",IF(AND($K260="Y",OR($D260="later",$J260="Y")),"Y","N"))</f>
        <v/>
      </c>
      <c r="P260" s="25">
        <f>IF(OR($B260="",$E260=""),"",$B260&amp;"_"&amp;$C260&amp;"_"&amp;$D260&amp;"_"&amp;TEXT($E260,"yyyy-mm-dd")&amp;".jpg")</f>
        <v/>
      </c>
      <c r="Q260" s="25">
        <f>IF($B260="","",IF(COUNTIF(campaigns!$A$2:$A$51,$B260)=0,"campaign_id not on campaigns; ",IF(AND($C260&lt;&gt;"",COUNTIFS(approvals!$A$2:$A$251,$B260,approvals!$B$2:$B$251,$C260)=0),"office not on this campaign (approvals tab); ",""))&amp;IF($E260="","taken date missing; ","")&amp;IF(AND($H260&lt;&gt;"",$H260&lt;&gt;$P260),"file name differs from the convention; ","")&amp;IF(AND($D260="placement",$O260="Y",COUNTIF(photos!$R$2:$R$701,$R260)&gt;1),"two usable placement photos: mark one N; ","")&amp;IF($K260&lt;&gt;"Y","info: not usable (a person, screen or whiteboard may show): never used, delete the file; ","")&amp;IF(AND($D260="placement",$J260&lt;&gt;"Y"),"info: not usable as a placement photo (no card); ","")&amp;IF(AND($D260="placement",N($N260)&gt;2),"info: placed after the first business day; ","")&amp;IF(AND($D260="later",$N260&lt;&gt;"",OR(N($N260)&lt;3,N($N260)&gt;5)),"info: later photo outside day 3 to 5; ",""))</f>
        <v/>
      </c>
      <c r="R260" s="25">
        <f>IF($B260="","",$B260&amp;"|"&amp;$C260&amp;"|"&amp;$D260&amp;"|"&amp;$O260)</f>
        <v/>
      </c>
      <c r="S260" s="25">
        <f>IF($B260="","",$R260&amp;"|"&amp;N($E260))</f>
        <v/>
      </c>
    </row>
    <row r="261">
      <c r="E261" s="9" t="n"/>
      <c r="F261" s="33" t="n"/>
      <c r="I261" s="9" t="n"/>
      <c r="M261" s="26">
        <f>IF($B261="","",IFERROR(IF(INDEX(campaigns!$BG$2:$BG$51,MATCH($B261,campaigns!$A$2:$A$51,0))="","",INDEX(campaigns!$BG$2:$BG$51,MATCH($B261,campaigns!$A$2:$A$51,0))),""))</f>
        <v/>
      </c>
      <c r="N261" s="25">
        <f>IF(OR($B261="",$E261="",$M261=""),"",IF($E261&lt;$M261,0,NETWORKDAYS($M261,$E261,calendar!$A$2:$A$80)))</f>
        <v/>
      </c>
      <c r="O261" s="25">
        <f>IF($B261="","",IF(AND($K261="Y",OR($D261="later",$J261="Y")),"Y","N"))</f>
        <v/>
      </c>
      <c r="P261" s="25">
        <f>IF(OR($B261="",$E261=""),"",$B261&amp;"_"&amp;$C261&amp;"_"&amp;$D261&amp;"_"&amp;TEXT($E261,"yyyy-mm-dd")&amp;".jpg")</f>
        <v/>
      </c>
      <c r="Q261" s="25">
        <f>IF($B261="","",IF(COUNTIF(campaigns!$A$2:$A$51,$B261)=0,"campaign_id not on campaigns; ",IF(AND($C261&lt;&gt;"",COUNTIFS(approvals!$A$2:$A$251,$B261,approvals!$B$2:$B$251,$C261)=0),"office not on this campaign (approvals tab); ",""))&amp;IF($E261="","taken date missing; ","")&amp;IF(AND($H261&lt;&gt;"",$H261&lt;&gt;$P261),"file name differs from the convention; ","")&amp;IF(AND($D261="placement",$O261="Y",COUNTIF(photos!$R$2:$R$701,$R261)&gt;1),"two usable placement photos: mark one N; ","")&amp;IF($K261&lt;&gt;"Y","info: not usable (a person, screen or whiteboard may show): never used, delete the file; ","")&amp;IF(AND($D261="placement",$J261&lt;&gt;"Y"),"info: not usable as a placement photo (no card); ","")&amp;IF(AND($D261="placement",N($N261)&gt;2),"info: placed after the first business day; ","")&amp;IF(AND($D261="later",$N261&lt;&gt;"",OR(N($N261)&lt;3,N($N261)&gt;5)),"info: later photo outside day 3 to 5; ",""))</f>
        <v/>
      </c>
      <c r="R261" s="25">
        <f>IF($B261="","",$B261&amp;"|"&amp;$C261&amp;"|"&amp;$D261&amp;"|"&amp;$O261)</f>
        <v/>
      </c>
      <c r="S261" s="25">
        <f>IF($B261="","",$R261&amp;"|"&amp;N($E261))</f>
        <v/>
      </c>
    </row>
    <row r="262">
      <c r="E262" s="9" t="n"/>
      <c r="F262" s="33" t="n"/>
      <c r="I262" s="9" t="n"/>
      <c r="M262" s="26">
        <f>IF($B262="","",IFERROR(IF(INDEX(campaigns!$BG$2:$BG$51,MATCH($B262,campaigns!$A$2:$A$51,0))="","",INDEX(campaigns!$BG$2:$BG$51,MATCH($B262,campaigns!$A$2:$A$51,0))),""))</f>
        <v/>
      </c>
      <c r="N262" s="25">
        <f>IF(OR($B262="",$E262="",$M262=""),"",IF($E262&lt;$M262,0,NETWORKDAYS($M262,$E262,calendar!$A$2:$A$80)))</f>
        <v/>
      </c>
      <c r="O262" s="25">
        <f>IF($B262="","",IF(AND($K262="Y",OR($D262="later",$J262="Y")),"Y","N"))</f>
        <v/>
      </c>
      <c r="P262" s="25">
        <f>IF(OR($B262="",$E262=""),"",$B262&amp;"_"&amp;$C262&amp;"_"&amp;$D262&amp;"_"&amp;TEXT($E262,"yyyy-mm-dd")&amp;".jpg")</f>
        <v/>
      </c>
      <c r="Q262" s="25">
        <f>IF($B262="","",IF(COUNTIF(campaigns!$A$2:$A$51,$B262)=0,"campaign_id not on campaigns; ",IF(AND($C262&lt;&gt;"",COUNTIFS(approvals!$A$2:$A$251,$B262,approvals!$B$2:$B$251,$C262)=0),"office not on this campaign (approvals tab); ",""))&amp;IF($E262="","taken date missing; ","")&amp;IF(AND($H262&lt;&gt;"",$H262&lt;&gt;$P262),"file name differs from the convention; ","")&amp;IF(AND($D262="placement",$O262="Y",COUNTIF(photos!$R$2:$R$701,$R262)&gt;1),"two usable placement photos: mark one N; ","")&amp;IF($K262&lt;&gt;"Y","info: not usable (a person, screen or whiteboard may show): never used, delete the file; ","")&amp;IF(AND($D262="placement",$J262&lt;&gt;"Y"),"info: not usable as a placement photo (no card); ","")&amp;IF(AND($D262="placement",N($N262)&gt;2),"info: placed after the first business day; ","")&amp;IF(AND($D262="later",$N262&lt;&gt;"",OR(N($N262)&lt;3,N($N262)&gt;5)),"info: later photo outside day 3 to 5; ",""))</f>
        <v/>
      </c>
      <c r="R262" s="25">
        <f>IF($B262="","",$B262&amp;"|"&amp;$C262&amp;"|"&amp;$D262&amp;"|"&amp;$O262)</f>
        <v/>
      </c>
      <c r="S262" s="25">
        <f>IF($B262="","",$R262&amp;"|"&amp;N($E262))</f>
        <v/>
      </c>
    </row>
    <row r="263">
      <c r="E263" s="9" t="n"/>
      <c r="F263" s="33" t="n"/>
      <c r="I263" s="9" t="n"/>
      <c r="M263" s="26">
        <f>IF($B263="","",IFERROR(IF(INDEX(campaigns!$BG$2:$BG$51,MATCH($B263,campaigns!$A$2:$A$51,0))="","",INDEX(campaigns!$BG$2:$BG$51,MATCH($B263,campaigns!$A$2:$A$51,0))),""))</f>
        <v/>
      </c>
      <c r="N263" s="25">
        <f>IF(OR($B263="",$E263="",$M263=""),"",IF($E263&lt;$M263,0,NETWORKDAYS($M263,$E263,calendar!$A$2:$A$80)))</f>
        <v/>
      </c>
      <c r="O263" s="25">
        <f>IF($B263="","",IF(AND($K263="Y",OR($D263="later",$J263="Y")),"Y","N"))</f>
        <v/>
      </c>
      <c r="P263" s="25">
        <f>IF(OR($B263="",$E263=""),"",$B263&amp;"_"&amp;$C263&amp;"_"&amp;$D263&amp;"_"&amp;TEXT($E263,"yyyy-mm-dd")&amp;".jpg")</f>
        <v/>
      </c>
      <c r="Q263" s="25">
        <f>IF($B263="","",IF(COUNTIF(campaigns!$A$2:$A$51,$B263)=0,"campaign_id not on campaigns; ",IF(AND($C263&lt;&gt;"",COUNTIFS(approvals!$A$2:$A$251,$B263,approvals!$B$2:$B$251,$C263)=0),"office not on this campaign (approvals tab); ",""))&amp;IF($E263="","taken date missing; ","")&amp;IF(AND($H263&lt;&gt;"",$H263&lt;&gt;$P263),"file name differs from the convention; ","")&amp;IF(AND($D263="placement",$O263="Y",COUNTIF(photos!$R$2:$R$701,$R263)&gt;1),"two usable placement photos: mark one N; ","")&amp;IF($K263&lt;&gt;"Y","info: not usable (a person, screen or whiteboard may show): never used, delete the file; ","")&amp;IF(AND($D263="placement",$J263&lt;&gt;"Y"),"info: not usable as a placement photo (no card); ","")&amp;IF(AND($D263="placement",N($N263)&gt;2),"info: placed after the first business day; ","")&amp;IF(AND($D263="later",$N263&lt;&gt;"",OR(N($N263)&lt;3,N($N263)&gt;5)),"info: later photo outside day 3 to 5; ",""))</f>
        <v/>
      </c>
      <c r="R263" s="25">
        <f>IF($B263="","",$B263&amp;"|"&amp;$C263&amp;"|"&amp;$D263&amp;"|"&amp;$O263)</f>
        <v/>
      </c>
      <c r="S263" s="25">
        <f>IF($B263="","",$R263&amp;"|"&amp;N($E263))</f>
        <v/>
      </c>
    </row>
    <row r="264">
      <c r="E264" s="9" t="n"/>
      <c r="F264" s="33" t="n"/>
      <c r="I264" s="9" t="n"/>
      <c r="M264" s="26">
        <f>IF($B264="","",IFERROR(IF(INDEX(campaigns!$BG$2:$BG$51,MATCH($B264,campaigns!$A$2:$A$51,0))="","",INDEX(campaigns!$BG$2:$BG$51,MATCH($B264,campaigns!$A$2:$A$51,0))),""))</f>
        <v/>
      </c>
      <c r="N264" s="25">
        <f>IF(OR($B264="",$E264="",$M264=""),"",IF($E264&lt;$M264,0,NETWORKDAYS($M264,$E264,calendar!$A$2:$A$80)))</f>
        <v/>
      </c>
      <c r="O264" s="25">
        <f>IF($B264="","",IF(AND($K264="Y",OR($D264="later",$J264="Y")),"Y","N"))</f>
        <v/>
      </c>
      <c r="P264" s="25">
        <f>IF(OR($B264="",$E264=""),"",$B264&amp;"_"&amp;$C264&amp;"_"&amp;$D264&amp;"_"&amp;TEXT($E264,"yyyy-mm-dd")&amp;".jpg")</f>
        <v/>
      </c>
      <c r="Q264" s="25">
        <f>IF($B264="","",IF(COUNTIF(campaigns!$A$2:$A$51,$B264)=0,"campaign_id not on campaigns; ",IF(AND($C264&lt;&gt;"",COUNTIFS(approvals!$A$2:$A$251,$B264,approvals!$B$2:$B$251,$C264)=0),"office not on this campaign (approvals tab); ",""))&amp;IF($E264="","taken date missing; ","")&amp;IF(AND($H264&lt;&gt;"",$H264&lt;&gt;$P264),"file name differs from the convention; ","")&amp;IF(AND($D264="placement",$O264="Y",COUNTIF(photos!$R$2:$R$701,$R264)&gt;1),"two usable placement photos: mark one N; ","")&amp;IF($K264&lt;&gt;"Y","info: not usable (a person, screen or whiteboard may show): never used, delete the file; ","")&amp;IF(AND($D264="placement",$J264&lt;&gt;"Y"),"info: not usable as a placement photo (no card); ","")&amp;IF(AND($D264="placement",N($N264)&gt;2),"info: placed after the first business day; ","")&amp;IF(AND($D264="later",$N264&lt;&gt;"",OR(N($N264)&lt;3,N($N264)&gt;5)),"info: later photo outside day 3 to 5; ",""))</f>
        <v/>
      </c>
      <c r="R264" s="25">
        <f>IF($B264="","",$B264&amp;"|"&amp;$C264&amp;"|"&amp;$D264&amp;"|"&amp;$O264)</f>
        <v/>
      </c>
      <c r="S264" s="25">
        <f>IF($B264="","",$R264&amp;"|"&amp;N($E264))</f>
        <v/>
      </c>
    </row>
    <row r="265">
      <c r="E265" s="9" t="n"/>
      <c r="F265" s="33" t="n"/>
      <c r="I265" s="9" t="n"/>
      <c r="M265" s="26">
        <f>IF($B265="","",IFERROR(IF(INDEX(campaigns!$BG$2:$BG$51,MATCH($B265,campaigns!$A$2:$A$51,0))="","",INDEX(campaigns!$BG$2:$BG$51,MATCH($B265,campaigns!$A$2:$A$51,0))),""))</f>
        <v/>
      </c>
      <c r="N265" s="25">
        <f>IF(OR($B265="",$E265="",$M265=""),"",IF($E265&lt;$M265,0,NETWORKDAYS($M265,$E265,calendar!$A$2:$A$80)))</f>
        <v/>
      </c>
      <c r="O265" s="25">
        <f>IF($B265="","",IF(AND($K265="Y",OR($D265="later",$J265="Y")),"Y","N"))</f>
        <v/>
      </c>
      <c r="P265" s="25">
        <f>IF(OR($B265="",$E265=""),"",$B265&amp;"_"&amp;$C265&amp;"_"&amp;$D265&amp;"_"&amp;TEXT($E265,"yyyy-mm-dd")&amp;".jpg")</f>
        <v/>
      </c>
      <c r="Q265" s="25">
        <f>IF($B265="","",IF(COUNTIF(campaigns!$A$2:$A$51,$B265)=0,"campaign_id not on campaigns; ",IF(AND($C265&lt;&gt;"",COUNTIFS(approvals!$A$2:$A$251,$B265,approvals!$B$2:$B$251,$C265)=0),"office not on this campaign (approvals tab); ",""))&amp;IF($E265="","taken date missing; ","")&amp;IF(AND($H265&lt;&gt;"",$H265&lt;&gt;$P265),"file name differs from the convention; ","")&amp;IF(AND($D265="placement",$O265="Y",COUNTIF(photos!$R$2:$R$701,$R265)&gt;1),"two usable placement photos: mark one N; ","")&amp;IF($K265&lt;&gt;"Y","info: not usable (a person, screen or whiteboard may show): never used, delete the file; ","")&amp;IF(AND($D265="placement",$J265&lt;&gt;"Y"),"info: not usable as a placement photo (no card); ","")&amp;IF(AND($D265="placement",N($N265)&gt;2),"info: placed after the first business day; ","")&amp;IF(AND($D265="later",$N265&lt;&gt;"",OR(N($N265)&lt;3,N($N265)&gt;5)),"info: later photo outside day 3 to 5; ",""))</f>
        <v/>
      </c>
      <c r="R265" s="25">
        <f>IF($B265="","",$B265&amp;"|"&amp;$C265&amp;"|"&amp;$D265&amp;"|"&amp;$O265)</f>
        <v/>
      </c>
      <c r="S265" s="25">
        <f>IF($B265="","",$R265&amp;"|"&amp;N($E265))</f>
        <v/>
      </c>
    </row>
    <row r="266">
      <c r="E266" s="9" t="n"/>
      <c r="F266" s="33" t="n"/>
      <c r="I266" s="9" t="n"/>
      <c r="M266" s="26">
        <f>IF($B266="","",IFERROR(IF(INDEX(campaigns!$BG$2:$BG$51,MATCH($B266,campaigns!$A$2:$A$51,0))="","",INDEX(campaigns!$BG$2:$BG$51,MATCH($B266,campaigns!$A$2:$A$51,0))),""))</f>
        <v/>
      </c>
      <c r="N266" s="25">
        <f>IF(OR($B266="",$E266="",$M266=""),"",IF($E266&lt;$M266,0,NETWORKDAYS($M266,$E266,calendar!$A$2:$A$80)))</f>
        <v/>
      </c>
      <c r="O266" s="25">
        <f>IF($B266="","",IF(AND($K266="Y",OR($D266="later",$J266="Y")),"Y","N"))</f>
        <v/>
      </c>
      <c r="P266" s="25">
        <f>IF(OR($B266="",$E266=""),"",$B266&amp;"_"&amp;$C266&amp;"_"&amp;$D266&amp;"_"&amp;TEXT($E266,"yyyy-mm-dd")&amp;".jpg")</f>
        <v/>
      </c>
      <c r="Q266" s="25">
        <f>IF($B266="","",IF(COUNTIF(campaigns!$A$2:$A$51,$B266)=0,"campaign_id not on campaigns; ",IF(AND($C266&lt;&gt;"",COUNTIFS(approvals!$A$2:$A$251,$B266,approvals!$B$2:$B$251,$C266)=0),"office not on this campaign (approvals tab); ",""))&amp;IF($E266="","taken date missing; ","")&amp;IF(AND($H266&lt;&gt;"",$H266&lt;&gt;$P266),"file name differs from the convention; ","")&amp;IF(AND($D266="placement",$O266="Y",COUNTIF(photos!$R$2:$R$701,$R266)&gt;1),"two usable placement photos: mark one N; ","")&amp;IF($K266&lt;&gt;"Y","info: not usable (a person, screen or whiteboard may show): never used, delete the file; ","")&amp;IF(AND($D266="placement",$J266&lt;&gt;"Y"),"info: not usable as a placement photo (no card); ","")&amp;IF(AND($D266="placement",N($N266)&gt;2),"info: placed after the first business day; ","")&amp;IF(AND($D266="later",$N266&lt;&gt;"",OR(N($N266)&lt;3,N($N266)&gt;5)),"info: later photo outside day 3 to 5; ",""))</f>
        <v/>
      </c>
      <c r="R266" s="25">
        <f>IF($B266="","",$B266&amp;"|"&amp;$C266&amp;"|"&amp;$D266&amp;"|"&amp;$O266)</f>
        <v/>
      </c>
      <c r="S266" s="25">
        <f>IF($B266="","",$R266&amp;"|"&amp;N($E266))</f>
        <v/>
      </c>
    </row>
    <row r="267">
      <c r="E267" s="9" t="n"/>
      <c r="F267" s="33" t="n"/>
      <c r="I267" s="9" t="n"/>
      <c r="M267" s="26">
        <f>IF($B267="","",IFERROR(IF(INDEX(campaigns!$BG$2:$BG$51,MATCH($B267,campaigns!$A$2:$A$51,0))="","",INDEX(campaigns!$BG$2:$BG$51,MATCH($B267,campaigns!$A$2:$A$51,0))),""))</f>
        <v/>
      </c>
      <c r="N267" s="25">
        <f>IF(OR($B267="",$E267="",$M267=""),"",IF($E267&lt;$M267,0,NETWORKDAYS($M267,$E267,calendar!$A$2:$A$80)))</f>
        <v/>
      </c>
      <c r="O267" s="25">
        <f>IF($B267="","",IF(AND($K267="Y",OR($D267="later",$J267="Y")),"Y","N"))</f>
        <v/>
      </c>
      <c r="P267" s="25">
        <f>IF(OR($B267="",$E267=""),"",$B267&amp;"_"&amp;$C267&amp;"_"&amp;$D267&amp;"_"&amp;TEXT($E267,"yyyy-mm-dd")&amp;".jpg")</f>
        <v/>
      </c>
      <c r="Q267" s="25">
        <f>IF($B267="","",IF(COUNTIF(campaigns!$A$2:$A$51,$B267)=0,"campaign_id not on campaigns; ",IF(AND($C267&lt;&gt;"",COUNTIFS(approvals!$A$2:$A$251,$B267,approvals!$B$2:$B$251,$C267)=0),"office not on this campaign (approvals tab); ",""))&amp;IF($E267="","taken date missing; ","")&amp;IF(AND($H267&lt;&gt;"",$H267&lt;&gt;$P267),"file name differs from the convention; ","")&amp;IF(AND($D267="placement",$O267="Y",COUNTIF(photos!$R$2:$R$701,$R267)&gt;1),"two usable placement photos: mark one N; ","")&amp;IF($K267&lt;&gt;"Y","info: not usable (a person, screen or whiteboard may show): never used, delete the file; ","")&amp;IF(AND($D267="placement",$J267&lt;&gt;"Y"),"info: not usable as a placement photo (no card); ","")&amp;IF(AND($D267="placement",N($N267)&gt;2),"info: placed after the first business day; ","")&amp;IF(AND($D267="later",$N267&lt;&gt;"",OR(N($N267)&lt;3,N($N267)&gt;5)),"info: later photo outside day 3 to 5; ",""))</f>
        <v/>
      </c>
      <c r="R267" s="25">
        <f>IF($B267="","",$B267&amp;"|"&amp;$C267&amp;"|"&amp;$D267&amp;"|"&amp;$O267)</f>
        <v/>
      </c>
      <c r="S267" s="25">
        <f>IF($B267="","",$R267&amp;"|"&amp;N($E267))</f>
        <v/>
      </c>
    </row>
    <row r="268">
      <c r="E268" s="9" t="n"/>
      <c r="F268" s="33" t="n"/>
      <c r="I268" s="9" t="n"/>
      <c r="M268" s="26">
        <f>IF($B268="","",IFERROR(IF(INDEX(campaigns!$BG$2:$BG$51,MATCH($B268,campaigns!$A$2:$A$51,0))="","",INDEX(campaigns!$BG$2:$BG$51,MATCH($B268,campaigns!$A$2:$A$51,0))),""))</f>
        <v/>
      </c>
      <c r="N268" s="25">
        <f>IF(OR($B268="",$E268="",$M268=""),"",IF($E268&lt;$M268,0,NETWORKDAYS($M268,$E268,calendar!$A$2:$A$80)))</f>
        <v/>
      </c>
      <c r="O268" s="25">
        <f>IF($B268="","",IF(AND($K268="Y",OR($D268="later",$J268="Y")),"Y","N"))</f>
        <v/>
      </c>
      <c r="P268" s="25">
        <f>IF(OR($B268="",$E268=""),"",$B268&amp;"_"&amp;$C268&amp;"_"&amp;$D268&amp;"_"&amp;TEXT($E268,"yyyy-mm-dd")&amp;".jpg")</f>
        <v/>
      </c>
      <c r="Q268" s="25">
        <f>IF($B268="","",IF(COUNTIF(campaigns!$A$2:$A$51,$B268)=0,"campaign_id not on campaigns; ",IF(AND($C268&lt;&gt;"",COUNTIFS(approvals!$A$2:$A$251,$B268,approvals!$B$2:$B$251,$C268)=0),"office not on this campaign (approvals tab); ",""))&amp;IF($E268="","taken date missing; ","")&amp;IF(AND($H268&lt;&gt;"",$H268&lt;&gt;$P268),"file name differs from the convention; ","")&amp;IF(AND($D268="placement",$O268="Y",COUNTIF(photos!$R$2:$R$701,$R268)&gt;1),"two usable placement photos: mark one N; ","")&amp;IF($K268&lt;&gt;"Y","info: not usable (a person, screen or whiteboard may show): never used, delete the file; ","")&amp;IF(AND($D268="placement",$J268&lt;&gt;"Y"),"info: not usable as a placement photo (no card); ","")&amp;IF(AND($D268="placement",N($N268)&gt;2),"info: placed after the first business day; ","")&amp;IF(AND($D268="later",$N268&lt;&gt;"",OR(N($N268)&lt;3,N($N268)&gt;5)),"info: later photo outside day 3 to 5; ",""))</f>
        <v/>
      </c>
      <c r="R268" s="25">
        <f>IF($B268="","",$B268&amp;"|"&amp;$C268&amp;"|"&amp;$D268&amp;"|"&amp;$O268)</f>
        <v/>
      </c>
      <c r="S268" s="25">
        <f>IF($B268="","",$R268&amp;"|"&amp;N($E268))</f>
        <v/>
      </c>
    </row>
    <row r="269">
      <c r="E269" s="9" t="n"/>
      <c r="F269" s="33" t="n"/>
      <c r="I269" s="9" t="n"/>
      <c r="M269" s="26">
        <f>IF($B269="","",IFERROR(IF(INDEX(campaigns!$BG$2:$BG$51,MATCH($B269,campaigns!$A$2:$A$51,0))="","",INDEX(campaigns!$BG$2:$BG$51,MATCH($B269,campaigns!$A$2:$A$51,0))),""))</f>
        <v/>
      </c>
      <c r="N269" s="25">
        <f>IF(OR($B269="",$E269="",$M269=""),"",IF($E269&lt;$M269,0,NETWORKDAYS($M269,$E269,calendar!$A$2:$A$80)))</f>
        <v/>
      </c>
      <c r="O269" s="25">
        <f>IF($B269="","",IF(AND($K269="Y",OR($D269="later",$J269="Y")),"Y","N"))</f>
        <v/>
      </c>
      <c r="P269" s="25">
        <f>IF(OR($B269="",$E269=""),"",$B269&amp;"_"&amp;$C269&amp;"_"&amp;$D269&amp;"_"&amp;TEXT($E269,"yyyy-mm-dd")&amp;".jpg")</f>
        <v/>
      </c>
      <c r="Q269" s="25">
        <f>IF($B269="","",IF(COUNTIF(campaigns!$A$2:$A$51,$B269)=0,"campaign_id not on campaigns; ",IF(AND($C269&lt;&gt;"",COUNTIFS(approvals!$A$2:$A$251,$B269,approvals!$B$2:$B$251,$C269)=0),"office not on this campaign (approvals tab); ",""))&amp;IF($E269="","taken date missing; ","")&amp;IF(AND($H269&lt;&gt;"",$H269&lt;&gt;$P269),"file name differs from the convention; ","")&amp;IF(AND($D269="placement",$O269="Y",COUNTIF(photos!$R$2:$R$701,$R269)&gt;1),"two usable placement photos: mark one N; ","")&amp;IF($K269&lt;&gt;"Y","info: not usable (a person, screen or whiteboard may show): never used, delete the file; ","")&amp;IF(AND($D269="placement",$J269&lt;&gt;"Y"),"info: not usable as a placement photo (no card); ","")&amp;IF(AND($D269="placement",N($N269)&gt;2),"info: placed after the first business day; ","")&amp;IF(AND($D269="later",$N269&lt;&gt;"",OR(N($N269)&lt;3,N($N269)&gt;5)),"info: later photo outside day 3 to 5; ",""))</f>
        <v/>
      </c>
      <c r="R269" s="25">
        <f>IF($B269="","",$B269&amp;"|"&amp;$C269&amp;"|"&amp;$D269&amp;"|"&amp;$O269)</f>
        <v/>
      </c>
      <c r="S269" s="25">
        <f>IF($B269="","",$R269&amp;"|"&amp;N($E269))</f>
        <v/>
      </c>
    </row>
    <row r="270">
      <c r="E270" s="9" t="n"/>
      <c r="F270" s="33" t="n"/>
      <c r="I270" s="9" t="n"/>
      <c r="M270" s="26">
        <f>IF($B270="","",IFERROR(IF(INDEX(campaigns!$BG$2:$BG$51,MATCH($B270,campaigns!$A$2:$A$51,0))="","",INDEX(campaigns!$BG$2:$BG$51,MATCH($B270,campaigns!$A$2:$A$51,0))),""))</f>
        <v/>
      </c>
      <c r="N270" s="25">
        <f>IF(OR($B270="",$E270="",$M270=""),"",IF($E270&lt;$M270,0,NETWORKDAYS($M270,$E270,calendar!$A$2:$A$80)))</f>
        <v/>
      </c>
      <c r="O270" s="25">
        <f>IF($B270="","",IF(AND($K270="Y",OR($D270="later",$J270="Y")),"Y","N"))</f>
        <v/>
      </c>
      <c r="P270" s="25">
        <f>IF(OR($B270="",$E270=""),"",$B270&amp;"_"&amp;$C270&amp;"_"&amp;$D270&amp;"_"&amp;TEXT($E270,"yyyy-mm-dd")&amp;".jpg")</f>
        <v/>
      </c>
      <c r="Q270" s="25">
        <f>IF($B270="","",IF(COUNTIF(campaigns!$A$2:$A$51,$B270)=0,"campaign_id not on campaigns; ",IF(AND($C270&lt;&gt;"",COUNTIFS(approvals!$A$2:$A$251,$B270,approvals!$B$2:$B$251,$C270)=0),"office not on this campaign (approvals tab); ",""))&amp;IF($E270="","taken date missing; ","")&amp;IF(AND($H270&lt;&gt;"",$H270&lt;&gt;$P270),"file name differs from the convention; ","")&amp;IF(AND($D270="placement",$O270="Y",COUNTIF(photos!$R$2:$R$701,$R270)&gt;1),"two usable placement photos: mark one N; ","")&amp;IF($K270&lt;&gt;"Y","info: not usable (a person, screen or whiteboard may show): never used, delete the file; ","")&amp;IF(AND($D270="placement",$J270&lt;&gt;"Y"),"info: not usable as a placement photo (no card); ","")&amp;IF(AND($D270="placement",N($N270)&gt;2),"info: placed after the first business day; ","")&amp;IF(AND($D270="later",$N270&lt;&gt;"",OR(N($N270)&lt;3,N($N270)&gt;5)),"info: later photo outside day 3 to 5; ",""))</f>
        <v/>
      </c>
      <c r="R270" s="25">
        <f>IF($B270="","",$B270&amp;"|"&amp;$C270&amp;"|"&amp;$D270&amp;"|"&amp;$O270)</f>
        <v/>
      </c>
      <c r="S270" s="25">
        <f>IF($B270="","",$R270&amp;"|"&amp;N($E270))</f>
        <v/>
      </c>
    </row>
    <row r="271">
      <c r="E271" s="9" t="n"/>
      <c r="F271" s="33" t="n"/>
      <c r="I271" s="9" t="n"/>
      <c r="M271" s="26">
        <f>IF($B271="","",IFERROR(IF(INDEX(campaigns!$BG$2:$BG$51,MATCH($B271,campaigns!$A$2:$A$51,0))="","",INDEX(campaigns!$BG$2:$BG$51,MATCH($B271,campaigns!$A$2:$A$51,0))),""))</f>
        <v/>
      </c>
      <c r="N271" s="25">
        <f>IF(OR($B271="",$E271="",$M271=""),"",IF($E271&lt;$M271,0,NETWORKDAYS($M271,$E271,calendar!$A$2:$A$80)))</f>
        <v/>
      </c>
      <c r="O271" s="25">
        <f>IF($B271="","",IF(AND($K271="Y",OR($D271="later",$J271="Y")),"Y","N"))</f>
        <v/>
      </c>
      <c r="P271" s="25">
        <f>IF(OR($B271="",$E271=""),"",$B271&amp;"_"&amp;$C271&amp;"_"&amp;$D271&amp;"_"&amp;TEXT($E271,"yyyy-mm-dd")&amp;".jpg")</f>
        <v/>
      </c>
      <c r="Q271" s="25">
        <f>IF($B271="","",IF(COUNTIF(campaigns!$A$2:$A$51,$B271)=0,"campaign_id not on campaigns; ",IF(AND($C271&lt;&gt;"",COUNTIFS(approvals!$A$2:$A$251,$B271,approvals!$B$2:$B$251,$C271)=0),"office not on this campaign (approvals tab); ",""))&amp;IF($E271="","taken date missing; ","")&amp;IF(AND($H271&lt;&gt;"",$H271&lt;&gt;$P271),"file name differs from the convention; ","")&amp;IF(AND($D271="placement",$O271="Y",COUNTIF(photos!$R$2:$R$701,$R271)&gt;1),"two usable placement photos: mark one N; ","")&amp;IF($K271&lt;&gt;"Y","info: not usable (a person, screen or whiteboard may show): never used, delete the file; ","")&amp;IF(AND($D271="placement",$J271&lt;&gt;"Y"),"info: not usable as a placement photo (no card); ","")&amp;IF(AND($D271="placement",N($N271)&gt;2),"info: placed after the first business day; ","")&amp;IF(AND($D271="later",$N271&lt;&gt;"",OR(N($N271)&lt;3,N($N271)&gt;5)),"info: later photo outside day 3 to 5; ",""))</f>
        <v/>
      </c>
      <c r="R271" s="25">
        <f>IF($B271="","",$B271&amp;"|"&amp;$C271&amp;"|"&amp;$D271&amp;"|"&amp;$O271)</f>
        <v/>
      </c>
      <c r="S271" s="25">
        <f>IF($B271="","",$R271&amp;"|"&amp;N($E271))</f>
        <v/>
      </c>
    </row>
    <row r="272">
      <c r="E272" s="9" t="n"/>
      <c r="F272" s="33" t="n"/>
      <c r="I272" s="9" t="n"/>
      <c r="M272" s="26">
        <f>IF($B272="","",IFERROR(IF(INDEX(campaigns!$BG$2:$BG$51,MATCH($B272,campaigns!$A$2:$A$51,0))="","",INDEX(campaigns!$BG$2:$BG$51,MATCH($B272,campaigns!$A$2:$A$51,0))),""))</f>
        <v/>
      </c>
      <c r="N272" s="25">
        <f>IF(OR($B272="",$E272="",$M272=""),"",IF($E272&lt;$M272,0,NETWORKDAYS($M272,$E272,calendar!$A$2:$A$80)))</f>
        <v/>
      </c>
      <c r="O272" s="25">
        <f>IF($B272="","",IF(AND($K272="Y",OR($D272="later",$J272="Y")),"Y","N"))</f>
        <v/>
      </c>
      <c r="P272" s="25">
        <f>IF(OR($B272="",$E272=""),"",$B272&amp;"_"&amp;$C272&amp;"_"&amp;$D272&amp;"_"&amp;TEXT($E272,"yyyy-mm-dd")&amp;".jpg")</f>
        <v/>
      </c>
      <c r="Q272" s="25">
        <f>IF($B272="","",IF(COUNTIF(campaigns!$A$2:$A$51,$B272)=0,"campaign_id not on campaigns; ",IF(AND($C272&lt;&gt;"",COUNTIFS(approvals!$A$2:$A$251,$B272,approvals!$B$2:$B$251,$C272)=0),"office not on this campaign (approvals tab); ",""))&amp;IF($E272="","taken date missing; ","")&amp;IF(AND($H272&lt;&gt;"",$H272&lt;&gt;$P272),"file name differs from the convention; ","")&amp;IF(AND($D272="placement",$O272="Y",COUNTIF(photos!$R$2:$R$701,$R272)&gt;1),"two usable placement photos: mark one N; ","")&amp;IF($K272&lt;&gt;"Y","info: not usable (a person, screen or whiteboard may show): never used, delete the file; ","")&amp;IF(AND($D272="placement",$J272&lt;&gt;"Y"),"info: not usable as a placement photo (no card); ","")&amp;IF(AND($D272="placement",N($N272)&gt;2),"info: placed after the first business day; ","")&amp;IF(AND($D272="later",$N272&lt;&gt;"",OR(N($N272)&lt;3,N($N272)&gt;5)),"info: later photo outside day 3 to 5; ",""))</f>
        <v/>
      </c>
      <c r="R272" s="25">
        <f>IF($B272="","",$B272&amp;"|"&amp;$C272&amp;"|"&amp;$D272&amp;"|"&amp;$O272)</f>
        <v/>
      </c>
      <c r="S272" s="25">
        <f>IF($B272="","",$R272&amp;"|"&amp;N($E272))</f>
        <v/>
      </c>
    </row>
    <row r="273">
      <c r="E273" s="9" t="n"/>
      <c r="F273" s="33" t="n"/>
      <c r="I273" s="9" t="n"/>
      <c r="M273" s="26">
        <f>IF($B273="","",IFERROR(IF(INDEX(campaigns!$BG$2:$BG$51,MATCH($B273,campaigns!$A$2:$A$51,0))="","",INDEX(campaigns!$BG$2:$BG$51,MATCH($B273,campaigns!$A$2:$A$51,0))),""))</f>
        <v/>
      </c>
      <c r="N273" s="25">
        <f>IF(OR($B273="",$E273="",$M273=""),"",IF($E273&lt;$M273,0,NETWORKDAYS($M273,$E273,calendar!$A$2:$A$80)))</f>
        <v/>
      </c>
      <c r="O273" s="25">
        <f>IF($B273="","",IF(AND($K273="Y",OR($D273="later",$J273="Y")),"Y","N"))</f>
        <v/>
      </c>
      <c r="P273" s="25">
        <f>IF(OR($B273="",$E273=""),"",$B273&amp;"_"&amp;$C273&amp;"_"&amp;$D273&amp;"_"&amp;TEXT($E273,"yyyy-mm-dd")&amp;".jpg")</f>
        <v/>
      </c>
      <c r="Q273" s="25">
        <f>IF($B273="","",IF(COUNTIF(campaigns!$A$2:$A$51,$B273)=0,"campaign_id not on campaigns; ",IF(AND($C273&lt;&gt;"",COUNTIFS(approvals!$A$2:$A$251,$B273,approvals!$B$2:$B$251,$C273)=0),"office not on this campaign (approvals tab); ",""))&amp;IF($E273="","taken date missing; ","")&amp;IF(AND($H273&lt;&gt;"",$H273&lt;&gt;$P273),"file name differs from the convention; ","")&amp;IF(AND($D273="placement",$O273="Y",COUNTIF(photos!$R$2:$R$701,$R273)&gt;1),"two usable placement photos: mark one N; ","")&amp;IF($K273&lt;&gt;"Y","info: not usable (a person, screen or whiteboard may show): never used, delete the file; ","")&amp;IF(AND($D273="placement",$J273&lt;&gt;"Y"),"info: not usable as a placement photo (no card); ","")&amp;IF(AND($D273="placement",N($N273)&gt;2),"info: placed after the first business day; ","")&amp;IF(AND($D273="later",$N273&lt;&gt;"",OR(N($N273)&lt;3,N($N273)&gt;5)),"info: later photo outside day 3 to 5; ",""))</f>
        <v/>
      </c>
      <c r="R273" s="25">
        <f>IF($B273="","",$B273&amp;"|"&amp;$C273&amp;"|"&amp;$D273&amp;"|"&amp;$O273)</f>
        <v/>
      </c>
      <c r="S273" s="25">
        <f>IF($B273="","",$R273&amp;"|"&amp;N($E273))</f>
        <v/>
      </c>
    </row>
    <row r="274">
      <c r="E274" s="9" t="n"/>
      <c r="F274" s="33" t="n"/>
      <c r="I274" s="9" t="n"/>
      <c r="M274" s="26">
        <f>IF($B274="","",IFERROR(IF(INDEX(campaigns!$BG$2:$BG$51,MATCH($B274,campaigns!$A$2:$A$51,0))="","",INDEX(campaigns!$BG$2:$BG$51,MATCH($B274,campaigns!$A$2:$A$51,0))),""))</f>
        <v/>
      </c>
      <c r="N274" s="25">
        <f>IF(OR($B274="",$E274="",$M274=""),"",IF($E274&lt;$M274,0,NETWORKDAYS($M274,$E274,calendar!$A$2:$A$80)))</f>
        <v/>
      </c>
      <c r="O274" s="25">
        <f>IF($B274="","",IF(AND($K274="Y",OR($D274="later",$J274="Y")),"Y","N"))</f>
        <v/>
      </c>
      <c r="P274" s="25">
        <f>IF(OR($B274="",$E274=""),"",$B274&amp;"_"&amp;$C274&amp;"_"&amp;$D274&amp;"_"&amp;TEXT($E274,"yyyy-mm-dd")&amp;".jpg")</f>
        <v/>
      </c>
      <c r="Q274" s="25">
        <f>IF($B274="","",IF(COUNTIF(campaigns!$A$2:$A$51,$B274)=0,"campaign_id not on campaigns; ",IF(AND($C274&lt;&gt;"",COUNTIFS(approvals!$A$2:$A$251,$B274,approvals!$B$2:$B$251,$C274)=0),"office not on this campaign (approvals tab); ",""))&amp;IF($E274="","taken date missing; ","")&amp;IF(AND($H274&lt;&gt;"",$H274&lt;&gt;$P274),"file name differs from the convention; ","")&amp;IF(AND($D274="placement",$O274="Y",COUNTIF(photos!$R$2:$R$701,$R274)&gt;1),"two usable placement photos: mark one N; ","")&amp;IF($K274&lt;&gt;"Y","info: not usable (a person, screen or whiteboard may show): never used, delete the file; ","")&amp;IF(AND($D274="placement",$J274&lt;&gt;"Y"),"info: not usable as a placement photo (no card); ","")&amp;IF(AND($D274="placement",N($N274)&gt;2),"info: placed after the first business day; ","")&amp;IF(AND($D274="later",$N274&lt;&gt;"",OR(N($N274)&lt;3,N($N274)&gt;5)),"info: later photo outside day 3 to 5; ",""))</f>
        <v/>
      </c>
      <c r="R274" s="25">
        <f>IF($B274="","",$B274&amp;"|"&amp;$C274&amp;"|"&amp;$D274&amp;"|"&amp;$O274)</f>
        <v/>
      </c>
      <c r="S274" s="25">
        <f>IF($B274="","",$R274&amp;"|"&amp;N($E274))</f>
        <v/>
      </c>
    </row>
    <row r="275">
      <c r="E275" s="9" t="n"/>
      <c r="F275" s="33" t="n"/>
      <c r="I275" s="9" t="n"/>
      <c r="M275" s="26">
        <f>IF($B275="","",IFERROR(IF(INDEX(campaigns!$BG$2:$BG$51,MATCH($B275,campaigns!$A$2:$A$51,0))="","",INDEX(campaigns!$BG$2:$BG$51,MATCH($B275,campaigns!$A$2:$A$51,0))),""))</f>
        <v/>
      </c>
      <c r="N275" s="25">
        <f>IF(OR($B275="",$E275="",$M275=""),"",IF($E275&lt;$M275,0,NETWORKDAYS($M275,$E275,calendar!$A$2:$A$80)))</f>
        <v/>
      </c>
      <c r="O275" s="25">
        <f>IF($B275="","",IF(AND($K275="Y",OR($D275="later",$J275="Y")),"Y","N"))</f>
        <v/>
      </c>
      <c r="P275" s="25">
        <f>IF(OR($B275="",$E275=""),"",$B275&amp;"_"&amp;$C275&amp;"_"&amp;$D275&amp;"_"&amp;TEXT($E275,"yyyy-mm-dd")&amp;".jpg")</f>
        <v/>
      </c>
      <c r="Q275" s="25">
        <f>IF($B275="","",IF(COUNTIF(campaigns!$A$2:$A$51,$B275)=0,"campaign_id not on campaigns; ",IF(AND($C275&lt;&gt;"",COUNTIFS(approvals!$A$2:$A$251,$B275,approvals!$B$2:$B$251,$C275)=0),"office not on this campaign (approvals tab); ",""))&amp;IF($E275="","taken date missing; ","")&amp;IF(AND($H275&lt;&gt;"",$H275&lt;&gt;$P275),"file name differs from the convention; ","")&amp;IF(AND($D275="placement",$O275="Y",COUNTIF(photos!$R$2:$R$701,$R275)&gt;1),"two usable placement photos: mark one N; ","")&amp;IF($K275&lt;&gt;"Y","info: not usable (a person, screen or whiteboard may show): never used, delete the file; ","")&amp;IF(AND($D275="placement",$J275&lt;&gt;"Y"),"info: not usable as a placement photo (no card); ","")&amp;IF(AND($D275="placement",N($N275)&gt;2),"info: placed after the first business day; ","")&amp;IF(AND($D275="later",$N275&lt;&gt;"",OR(N($N275)&lt;3,N($N275)&gt;5)),"info: later photo outside day 3 to 5; ",""))</f>
        <v/>
      </c>
      <c r="R275" s="25">
        <f>IF($B275="","",$B275&amp;"|"&amp;$C275&amp;"|"&amp;$D275&amp;"|"&amp;$O275)</f>
        <v/>
      </c>
      <c r="S275" s="25">
        <f>IF($B275="","",$R275&amp;"|"&amp;N($E275))</f>
        <v/>
      </c>
    </row>
    <row r="276">
      <c r="E276" s="9" t="n"/>
      <c r="F276" s="33" t="n"/>
      <c r="I276" s="9" t="n"/>
      <c r="M276" s="26">
        <f>IF($B276="","",IFERROR(IF(INDEX(campaigns!$BG$2:$BG$51,MATCH($B276,campaigns!$A$2:$A$51,0))="","",INDEX(campaigns!$BG$2:$BG$51,MATCH($B276,campaigns!$A$2:$A$51,0))),""))</f>
        <v/>
      </c>
      <c r="N276" s="25">
        <f>IF(OR($B276="",$E276="",$M276=""),"",IF($E276&lt;$M276,0,NETWORKDAYS($M276,$E276,calendar!$A$2:$A$80)))</f>
        <v/>
      </c>
      <c r="O276" s="25">
        <f>IF($B276="","",IF(AND($K276="Y",OR($D276="later",$J276="Y")),"Y","N"))</f>
        <v/>
      </c>
      <c r="P276" s="25">
        <f>IF(OR($B276="",$E276=""),"",$B276&amp;"_"&amp;$C276&amp;"_"&amp;$D276&amp;"_"&amp;TEXT($E276,"yyyy-mm-dd")&amp;".jpg")</f>
        <v/>
      </c>
      <c r="Q276" s="25">
        <f>IF($B276="","",IF(COUNTIF(campaigns!$A$2:$A$51,$B276)=0,"campaign_id not on campaigns; ",IF(AND($C276&lt;&gt;"",COUNTIFS(approvals!$A$2:$A$251,$B276,approvals!$B$2:$B$251,$C276)=0),"office not on this campaign (approvals tab); ",""))&amp;IF($E276="","taken date missing; ","")&amp;IF(AND($H276&lt;&gt;"",$H276&lt;&gt;$P276),"file name differs from the convention; ","")&amp;IF(AND($D276="placement",$O276="Y",COUNTIF(photos!$R$2:$R$701,$R276)&gt;1),"two usable placement photos: mark one N; ","")&amp;IF($K276&lt;&gt;"Y","info: not usable (a person, screen or whiteboard may show): never used, delete the file; ","")&amp;IF(AND($D276="placement",$J276&lt;&gt;"Y"),"info: not usable as a placement photo (no card); ","")&amp;IF(AND($D276="placement",N($N276)&gt;2),"info: placed after the first business day; ","")&amp;IF(AND($D276="later",$N276&lt;&gt;"",OR(N($N276)&lt;3,N($N276)&gt;5)),"info: later photo outside day 3 to 5; ",""))</f>
        <v/>
      </c>
      <c r="R276" s="25">
        <f>IF($B276="","",$B276&amp;"|"&amp;$C276&amp;"|"&amp;$D276&amp;"|"&amp;$O276)</f>
        <v/>
      </c>
      <c r="S276" s="25">
        <f>IF($B276="","",$R276&amp;"|"&amp;N($E276))</f>
        <v/>
      </c>
    </row>
    <row r="277">
      <c r="E277" s="9" t="n"/>
      <c r="F277" s="33" t="n"/>
      <c r="I277" s="9" t="n"/>
      <c r="M277" s="26">
        <f>IF($B277="","",IFERROR(IF(INDEX(campaigns!$BG$2:$BG$51,MATCH($B277,campaigns!$A$2:$A$51,0))="","",INDEX(campaigns!$BG$2:$BG$51,MATCH($B277,campaigns!$A$2:$A$51,0))),""))</f>
        <v/>
      </c>
      <c r="N277" s="25">
        <f>IF(OR($B277="",$E277="",$M277=""),"",IF($E277&lt;$M277,0,NETWORKDAYS($M277,$E277,calendar!$A$2:$A$80)))</f>
        <v/>
      </c>
      <c r="O277" s="25">
        <f>IF($B277="","",IF(AND($K277="Y",OR($D277="later",$J277="Y")),"Y","N"))</f>
        <v/>
      </c>
      <c r="P277" s="25">
        <f>IF(OR($B277="",$E277=""),"",$B277&amp;"_"&amp;$C277&amp;"_"&amp;$D277&amp;"_"&amp;TEXT($E277,"yyyy-mm-dd")&amp;".jpg")</f>
        <v/>
      </c>
      <c r="Q277" s="25">
        <f>IF($B277="","",IF(COUNTIF(campaigns!$A$2:$A$51,$B277)=0,"campaign_id not on campaigns; ",IF(AND($C277&lt;&gt;"",COUNTIFS(approvals!$A$2:$A$251,$B277,approvals!$B$2:$B$251,$C277)=0),"office not on this campaign (approvals tab); ",""))&amp;IF($E277="","taken date missing; ","")&amp;IF(AND($H277&lt;&gt;"",$H277&lt;&gt;$P277),"file name differs from the convention; ","")&amp;IF(AND($D277="placement",$O277="Y",COUNTIF(photos!$R$2:$R$701,$R277)&gt;1),"two usable placement photos: mark one N; ","")&amp;IF($K277&lt;&gt;"Y","info: not usable (a person, screen or whiteboard may show): never used, delete the file; ","")&amp;IF(AND($D277="placement",$J277&lt;&gt;"Y"),"info: not usable as a placement photo (no card); ","")&amp;IF(AND($D277="placement",N($N277)&gt;2),"info: placed after the first business day; ","")&amp;IF(AND($D277="later",$N277&lt;&gt;"",OR(N($N277)&lt;3,N($N277)&gt;5)),"info: later photo outside day 3 to 5; ",""))</f>
        <v/>
      </c>
      <c r="R277" s="25">
        <f>IF($B277="","",$B277&amp;"|"&amp;$C277&amp;"|"&amp;$D277&amp;"|"&amp;$O277)</f>
        <v/>
      </c>
      <c r="S277" s="25">
        <f>IF($B277="","",$R277&amp;"|"&amp;N($E277))</f>
        <v/>
      </c>
    </row>
    <row r="278">
      <c r="E278" s="9" t="n"/>
      <c r="F278" s="33" t="n"/>
      <c r="I278" s="9" t="n"/>
      <c r="M278" s="26">
        <f>IF($B278="","",IFERROR(IF(INDEX(campaigns!$BG$2:$BG$51,MATCH($B278,campaigns!$A$2:$A$51,0))="","",INDEX(campaigns!$BG$2:$BG$51,MATCH($B278,campaigns!$A$2:$A$51,0))),""))</f>
        <v/>
      </c>
      <c r="N278" s="25">
        <f>IF(OR($B278="",$E278="",$M278=""),"",IF($E278&lt;$M278,0,NETWORKDAYS($M278,$E278,calendar!$A$2:$A$80)))</f>
        <v/>
      </c>
      <c r="O278" s="25">
        <f>IF($B278="","",IF(AND($K278="Y",OR($D278="later",$J278="Y")),"Y","N"))</f>
        <v/>
      </c>
      <c r="P278" s="25">
        <f>IF(OR($B278="",$E278=""),"",$B278&amp;"_"&amp;$C278&amp;"_"&amp;$D278&amp;"_"&amp;TEXT($E278,"yyyy-mm-dd")&amp;".jpg")</f>
        <v/>
      </c>
      <c r="Q278" s="25">
        <f>IF($B278="","",IF(COUNTIF(campaigns!$A$2:$A$51,$B278)=0,"campaign_id not on campaigns; ",IF(AND($C278&lt;&gt;"",COUNTIFS(approvals!$A$2:$A$251,$B278,approvals!$B$2:$B$251,$C278)=0),"office not on this campaign (approvals tab); ",""))&amp;IF($E278="","taken date missing; ","")&amp;IF(AND($H278&lt;&gt;"",$H278&lt;&gt;$P278),"file name differs from the convention; ","")&amp;IF(AND($D278="placement",$O278="Y",COUNTIF(photos!$R$2:$R$701,$R278)&gt;1),"two usable placement photos: mark one N; ","")&amp;IF($K278&lt;&gt;"Y","info: not usable (a person, screen or whiteboard may show): never used, delete the file; ","")&amp;IF(AND($D278="placement",$J278&lt;&gt;"Y"),"info: not usable as a placement photo (no card); ","")&amp;IF(AND($D278="placement",N($N278)&gt;2),"info: placed after the first business day; ","")&amp;IF(AND($D278="later",$N278&lt;&gt;"",OR(N($N278)&lt;3,N($N278)&gt;5)),"info: later photo outside day 3 to 5; ",""))</f>
        <v/>
      </c>
      <c r="R278" s="25">
        <f>IF($B278="","",$B278&amp;"|"&amp;$C278&amp;"|"&amp;$D278&amp;"|"&amp;$O278)</f>
        <v/>
      </c>
      <c r="S278" s="25">
        <f>IF($B278="","",$R278&amp;"|"&amp;N($E278))</f>
        <v/>
      </c>
    </row>
    <row r="279">
      <c r="E279" s="9" t="n"/>
      <c r="F279" s="33" t="n"/>
      <c r="I279" s="9" t="n"/>
      <c r="M279" s="26">
        <f>IF($B279="","",IFERROR(IF(INDEX(campaigns!$BG$2:$BG$51,MATCH($B279,campaigns!$A$2:$A$51,0))="","",INDEX(campaigns!$BG$2:$BG$51,MATCH($B279,campaigns!$A$2:$A$51,0))),""))</f>
        <v/>
      </c>
      <c r="N279" s="25">
        <f>IF(OR($B279="",$E279="",$M279=""),"",IF($E279&lt;$M279,0,NETWORKDAYS($M279,$E279,calendar!$A$2:$A$80)))</f>
        <v/>
      </c>
      <c r="O279" s="25">
        <f>IF($B279="","",IF(AND($K279="Y",OR($D279="later",$J279="Y")),"Y","N"))</f>
        <v/>
      </c>
      <c r="P279" s="25">
        <f>IF(OR($B279="",$E279=""),"",$B279&amp;"_"&amp;$C279&amp;"_"&amp;$D279&amp;"_"&amp;TEXT($E279,"yyyy-mm-dd")&amp;".jpg")</f>
        <v/>
      </c>
      <c r="Q279" s="25">
        <f>IF($B279="","",IF(COUNTIF(campaigns!$A$2:$A$51,$B279)=0,"campaign_id not on campaigns; ",IF(AND($C279&lt;&gt;"",COUNTIFS(approvals!$A$2:$A$251,$B279,approvals!$B$2:$B$251,$C279)=0),"office not on this campaign (approvals tab); ",""))&amp;IF($E279="","taken date missing; ","")&amp;IF(AND($H279&lt;&gt;"",$H279&lt;&gt;$P279),"file name differs from the convention; ","")&amp;IF(AND($D279="placement",$O279="Y",COUNTIF(photos!$R$2:$R$701,$R279)&gt;1),"two usable placement photos: mark one N; ","")&amp;IF($K279&lt;&gt;"Y","info: not usable (a person, screen or whiteboard may show): never used, delete the file; ","")&amp;IF(AND($D279="placement",$J279&lt;&gt;"Y"),"info: not usable as a placement photo (no card); ","")&amp;IF(AND($D279="placement",N($N279)&gt;2),"info: placed after the first business day; ","")&amp;IF(AND($D279="later",$N279&lt;&gt;"",OR(N($N279)&lt;3,N($N279)&gt;5)),"info: later photo outside day 3 to 5; ",""))</f>
        <v/>
      </c>
      <c r="R279" s="25">
        <f>IF($B279="","",$B279&amp;"|"&amp;$C279&amp;"|"&amp;$D279&amp;"|"&amp;$O279)</f>
        <v/>
      </c>
      <c r="S279" s="25">
        <f>IF($B279="","",$R279&amp;"|"&amp;N($E279))</f>
        <v/>
      </c>
    </row>
    <row r="280">
      <c r="E280" s="9" t="n"/>
      <c r="F280" s="33" t="n"/>
      <c r="I280" s="9" t="n"/>
      <c r="M280" s="26">
        <f>IF($B280="","",IFERROR(IF(INDEX(campaigns!$BG$2:$BG$51,MATCH($B280,campaigns!$A$2:$A$51,0))="","",INDEX(campaigns!$BG$2:$BG$51,MATCH($B280,campaigns!$A$2:$A$51,0))),""))</f>
        <v/>
      </c>
      <c r="N280" s="25">
        <f>IF(OR($B280="",$E280="",$M280=""),"",IF($E280&lt;$M280,0,NETWORKDAYS($M280,$E280,calendar!$A$2:$A$80)))</f>
        <v/>
      </c>
      <c r="O280" s="25">
        <f>IF($B280="","",IF(AND($K280="Y",OR($D280="later",$J280="Y")),"Y","N"))</f>
        <v/>
      </c>
      <c r="P280" s="25">
        <f>IF(OR($B280="",$E280=""),"",$B280&amp;"_"&amp;$C280&amp;"_"&amp;$D280&amp;"_"&amp;TEXT($E280,"yyyy-mm-dd")&amp;".jpg")</f>
        <v/>
      </c>
      <c r="Q280" s="25">
        <f>IF($B280="","",IF(COUNTIF(campaigns!$A$2:$A$51,$B280)=0,"campaign_id not on campaigns; ",IF(AND($C280&lt;&gt;"",COUNTIFS(approvals!$A$2:$A$251,$B280,approvals!$B$2:$B$251,$C280)=0),"office not on this campaign (approvals tab); ",""))&amp;IF($E280="","taken date missing; ","")&amp;IF(AND($H280&lt;&gt;"",$H280&lt;&gt;$P280),"file name differs from the convention; ","")&amp;IF(AND($D280="placement",$O280="Y",COUNTIF(photos!$R$2:$R$701,$R280)&gt;1),"two usable placement photos: mark one N; ","")&amp;IF($K280&lt;&gt;"Y","info: not usable (a person, screen or whiteboard may show): never used, delete the file; ","")&amp;IF(AND($D280="placement",$J280&lt;&gt;"Y"),"info: not usable as a placement photo (no card); ","")&amp;IF(AND($D280="placement",N($N280)&gt;2),"info: placed after the first business day; ","")&amp;IF(AND($D280="later",$N280&lt;&gt;"",OR(N($N280)&lt;3,N($N280)&gt;5)),"info: later photo outside day 3 to 5; ",""))</f>
        <v/>
      </c>
      <c r="R280" s="25">
        <f>IF($B280="","",$B280&amp;"|"&amp;$C280&amp;"|"&amp;$D280&amp;"|"&amp;$O280)</f>
        <v/>
      </c>
      <c r="S280" s="25">
        <f>IF($B280="","",$R280&amp;"|"&amp;N($E280))</f>
        <v/>
      </c>
    </row>
    <row r="281">
      <c r="E281" s="9" t="n"/>
      <c r="F281" s="33" t="n"/>
      <c r="I281" s="9" t="n"/>
      <c r="M281" s="26">
        <f>IF($B281="","",IFERROR(IF(INDEX(campaigns!$BG$2:$BG$51,MATCH($B281,campaigns!$A$2:$A$51,0))="","",INDEX(campaigns!$BG$2:$BG$51,MATCH($B281,campaigns!$A$2:$A$51,0))),""))</f>
        <v/>
      </c>
      <c r="N281" s="25">
        <f>IF(OR($B281="",$E281="",$M281=""),"",IF($E281&lt;$M281,0,NETWORKDAYS($M281,$E281,calendar!$A$2:$A$80)))</f>
        <v/>
      </c>
      <c r="O281" s="25">
        <f>IF($B281="","",IF(AND($K281="Y",OR($D281="later",$J281="Y")),"Y","N"))</f>
        <v/>
      </c>
      <c r="P281" s="25">
        <f>IF(OR($B281="",$E281=""),"",$B281&amp;"_"&amp;$C281&amp;"_"&amp;$D281&amp;"_"&amp;TEXT($E281,"yyyy-mm-dd")&amp;".jpg")</f>
        <v/>
      </c>
      <c r="Q281" s="25">
        <f>IF($B281="","",IF(COUNTIF(campaigns!$A$2:$A$51,$B281)=0,"campaign_id not on campaigns; ",IF(AND($C281&lt;&gt;"",COUNTIFS(approvals!$A$2:$A$251,$B281,approvals!$B$2:$B$251,$C281)=0),"office not on this campaign (approvals tab); ",""))&amp;IF($E281="","taken date missing; ","")&amp;IF(AND($H281&lt;&gt;"",$H281&lt;&gt;$P281),"file name differs from the convention; ","")&amp;IF(AND($D281="placement",$O281="Y",COUNTIF(photos!$R$2:$R$701,$R281)&gt;1),"two usable placement photos: mark one N; ","")&amp;IF($K281&lt;&gt;"Y","info: not usable (a person, screen or whiteboard may show): never used, delete the file; ","")&amp;IF(AND($D281="placement",$J281&lt;&gt;"Y"),"info: not usable as a placement photo (no card); ","")&amp;IF(AND($D281="placement",N($N281)&gt;2),"info: placed after the first business day; ","")&amp;IF(AND($D281="later",$N281&lt;&gt;"",OR(N($N281)&lt;3,N($N281)&gt;5)),"info: later photo outside day 3 to 5; ",""))</f>
        <v/>
      </c>
      <c r="R281" s="25">
        <f>IF($B281="","",$B281&amp;"|"&amp;$C281&amp;"|"&amp;$D281&amp;"|"&amp;$O281)</f>
        <v/>
      </c>
      <c r="S281" s="25">
        <f>IF($B281="","",$R281&amp;"|"&amp;N($E281))</f>
        <v/>
      </c>
    </row>
    <row r="282">
      <c r="E282" s="9" t="n"/>
      <c r="F282" s="33" t="n"/>
      <c r="I282" s="9" t="n"/>
      <c r="M282" s="26">
        <f>IF($B282="","",IFERROR(IF(INDEX(campaigns!$BG$2:$BG$51,MATCH($B282,campaigns!$A$2:$A$51,0))="","",INDEX(campaigns!$BG$2:$BG$51,MATCH($B282,campaigns!$A$2:$A$51,0))),""))</f>
        <v/>
      </c>
      <c r="N282" s="25">
        <f>IF(OR($B282="",$E282="",$M282=""),"",IF($E282&lt;$M282,0,NETWORKDAYS($M282,$E282,calendar!$A$2:$A$80)))</f>
        <v/>
      </c>
      <c r="O282" s="25">
        <f>IF($B282="","",IF(AND($K282="Y",OR($D282="later",$J282="Y")),"Y","N"))</f>
        <v/>
      </c>
      <c r="P282" s="25">
        <f>IF(OR($B282="",$E282=""),"",$B282&amp;"_"&amp;$C282&amp;"_"&amp;$D282&amp;"_"&amp;TEXT($E282,"yyyy-mm-dd")&amp;".jpg")</f>
        <v/>
      </c>
      <c r="Q282" s="25">
        <f>IF($B282="","",IF(COUNTIF(campaigns!$A$2:$A$51,$B282)=0,"campaign_id not on campaigns; ",IF(AND($C282&lt;&gt;"",COUNTIFS(approvals!$A$2:$A$251,$B282,approvals!$B$2:$B$251,$C282)=0),"office not on this campaign (approvals tab); ",""))&amp;IF($E282="","taken date missing; ","")&amp;IF(AND($H282&lt;&gt;"",$H282&lt;&gt;$P282),"file name differs from the convention; ","")&amp;IF(AND($D282="placement",$O282="Y",COUNTIF(photos!$R$2:$R$701,$R282)&gt;1),"two usable placement photos: mark one N; ","")&amp;IF($K282&lt;&gt;"Y","info: not usable (a person, screen or whiteboard may show): never used, delete the file; ","")&amp;IF(AND($D282="placement",$J282&lt;&gt;"Y"),"info: not usable as a placement photo (no card); ","")&amp;IF(AND($D282="placement",N($N282)&gt;2),"info: placed after the first business day; ","")&amp;IF(AND($D282="later",$N282&lt;&gt;"",OR(N($N282)&lt;3,N($N282)&gt;5)),"info: later photo outside day 3 to 5; ",""))</f>
        <v/>
      </c>
      <c r="R282" s="25">
        <f>IF($B282="","",$B282&amp;"|"&amp;$C282&amp;"|"&amp;$D282&amp;"|"&amp;$O282)</f>
        <v/>
      </c>
      <c r="S282" s="25">
        <f>IF($B282="","",$R282&amp;"|"&amp;N($E282))</f>
        <v/>
      </c>
    </row>
    <row r="283">
      <c r="E283" s="9" t="n"/>
      <c r="F283" s="33" t="n"/>
      <c r="I283" s="9" t="n"/>
      <c r="M283" s="26">
        <f>IF($B283="","",IFERROR(IF(INDEX(campaigns!$BG$2:$BG$51,MATCH($B283,campaigns!$A$2:$A$51,0))="","",INDEX(campaigns!$BG$2:$BG$51,MATCH($B283,campaigns!$A$2:$A$51,0))),""))</f>
        <v/>
      </c>
      <c r="N283" s="25">
        <f>IF(OR($B283="",$E283="",$M283=""),"",IF($E283&lt;$M283,0,NETWORKDAYS($M283,$E283,calendar!$A$2:$A$80)))</f>
        <v/>
      </c>
      <c r="O283" s="25">
        <f>IF($B283="","",IF(AND($K283="Y",OR($D283="later",$J283="Y")),"Y","N"))</f>
        <v/>
      </c>
      <c r="P283" s="25">
        <f>IF(OR($B283="",$E283=""),"",$B283&amp;"_"&amp;$C283&amp;"_"&amp;$D283&amp;"_"&amp;TEXT($E283,"yyyy-mm-dd")&amp;".jpg")</f>
        <v/>
      </c>
      <c r="Q283" s="25">
        <f>IF($B283="","",IF(COUNTIF(campaigns!$A$2:$A$51,$B283)=0,"campaign_id not on campaigns; ",IF(AND($C283&lt;&gt;"",COUNTIFS(approvals!$A$2:$A$251,$B283,approvals!$B$2:$B$251,$C283)=0),"office not on this campaign (approvals tab); ",""))&amp;IF($E283="","taken date missing; ","")&amp;IF(AND($H283&lt;&gt;"",$H283&lt;&gt;$P283),"file name differs from the convention; ","")&amp;IF(AND($D283="placement",$O283="Y",COUNTIF(photos!$R$2:$R$701,$R283)&gt;1),"two usable placement photos: mark one N; ","")&amp;IF($K283&lt;&gt;"Y","info: not usable (a person, screen or whiteboard may show): never used, delete the file; ","")&amp;IF(AND($D283="placement",$J283&lt;&gt;"Y"),"info: not usable as a placement photo (no card); ","")&amp;IF(AND($D283="placement",N($N283)&gt;2),"info: placed after the first business day; ","")&amp;IF(AND($D283="later",$N283&lt;&gt;"",OR(N($N283)&lt;3,N($N283)&gt;5)),"info: later photo outside day 3 to 5; ",""))</f>
        <v/>
      </c>
      <c r="R283" s="25">
        <f>IF($B283="","",$B283&amp;"|"&amp;$C283&amp;"|"&amp;$D283&amp;"|"&amp;$O283)</f>
        <v/>
      </c>
      <c r="S283" s="25">
        <f>IF($B283="","",$R283&amp;"|"&amp;N($E283))</f>
        <v/>
      </c>
    </row>
    <row r="284">
      <c r="E284" s="9" t="n"/>
      <c r="F284" s="33" t="n"/>
      <c r="I284" s="9" t="n"/>
      <c r="M284" s="26">
        <f>IF($B284="","",IFERROR(IF(INDEX(campaigns!$BG$2:$BG$51,MATCH($B284,campaigns!$A$2:$A$51,0))="","",INDEX(campaigns!$BG$2:$BG$51,MATCH($B284,campaigns!$A$2:$A$51,0))),""))</f>
        <v/>
      </c>
      <c r="N284" s="25">
        <f>IF(OR($B284="",$E284="",$M284=""),"",IF($E284&lt;$M284,0,NETWORKDAYS($M284,$E284,calendar!$A$2:$A$80)))</f>
        <v/>
      </c>
      <c r="O284" s="25">
        <f>IF($B284="","",IF(AND($K284="Y",OR($D284="later",$J284="Y")),"Y","N"))</f>
        <v/>
      </c>
      <c r="P284" s="25">
        <f>IF(OR($B284="",$E284=""),"",$B284&amp;"_"&amp;$C284&amp;"_"&amp;$D284&amp;"_"&amp;TEXT($E284,"yyyy-mm-dd")&amp;".jpg")</f>
        <v/>
      </c>
      <c r="Q284" s="25">
        <f>IF($B284="","",IF(COUNTIF(campaigns!$A$2:$A$51,$B284)=0,"campaign_id not on campaigns; ",IF(AND($C284&lt;&gt;"",COUNTIFS(approvals!$A$2:$A$251,$B284,approvals!$B$2:$B$251,$C284)=0),"office not on this campaign (approvals tab); ",""))&amp;IF($E284="","taken date missing; ","")&amp;IF(AND($H284&lt;&gt;"",$H284&lt;&gt;$P284),"file name differs from the convention; ","")&amp;IF(AND($D284="placement",$O284="Y",COUNTIF(photos!$R$2:$R$701,$R284)&gt;1),"two usable placement photos: mark one N; ","")&amp;IF($K284&lt;&gt;"Y","info: not usable (a person, screen or whiteboard may show): never used, delete the file; ","")&amp;IF(AND($D284="placement",$J284&lt;&gt;"Y"),"info: not usable as a placement photo (no card); ","")&amp;IF(AND($D284="placement",N($N284)&gt;2),"info: placed after the first business day; ","")&amp;IF(AND($D284="later",$N284&lt;&gt;"",OR(N($N284)&lt;3,N($N284)&gt;5)),"info: later photo outside day 3 to 5; ",""))</f>
        <v/>
      </c>
      <c r="R284" s="25">
        <f>IF($B284="","",$B284&amp;"|"&amp;$C284&amp;"|"&amp;$D284&amp;"|"&amp;$O284)</f>
        <v/>
      </c>
      <c r="S284" s="25">
        <f>IF($B284="","",$R284&amp;"|"&amp;N($E284))</f>
        <v/>
      </c>
    </row>
    <row r="285">
      <c r="E285" s="9" t="n"/>
      <c r="F285" s="33" t="n"/>
      <c r="I285" s="9" t="n"/>
      <c r="M285" s="26">
        <f>IF($B285="","",IFERROR(IF(INDEX(campaigns!$BG$2:$BG$51,MATCH($B285,campaigns!$A$2:$A$51,0))="","",INDEX(campaigns!$BG$2:$BG$51,MATCH($B285,campaigns!$A$2:$A$51,0))),""))</f>
        <v/>
      </c>
      <c r="N285" s="25">
        <f>IF(OR($B285="",$E285="",$M285=""),"",IF($E285&lt;$M285,0,NETWORKDAYS($M285,$E285,calendar!$A$2:$A$80)))</f>
        <v/>
      </c>
      <c r="O285" s="25">
        <f>IF($B285="","",IF(AND($K285="Y",OR($D285="later",$J285="Y")),"Y","N"))</f>
        <v/>
      </c>
      <c r="P285" s="25">
        <f>IF(OR($B285="",$E285=""),"",$B285&amp;"_"&amp;$C285&amp;"_"&amp;$D285&amp;"_"&amp;TEXT($E285,"yyyy-mm-dd")&amp;".jpg")</f>
        <v/>
      </c>
      <c r="Q285" s="25">
        <f>IF($B285="","",IF(COUNTIF(campaigns!$A$2:$A$51,$B285)=0,"campaign_id not on campaigns; ",IF(AND($C285&lt;&gt;"",COUNTIFS(approvals!$A$2:$A$251,$B285,approvals!$B$2:$B$251,$C285)=0),"office not on this campaign (approvals tab); ",""))&amp;IF($E285="","taken date missing; ","")&amp;IF(AND($H285&lt;&gt;"",$H285&lt;&gt;$P285),"file name differs from the convention; ","")&amp;IF(AND($D285="placement",$O285="Y",COUNTIF(photos!$R$2:$R$701,$R285)&gt;1),"two usable placement photos: mark one N; ","")&amp;IF($K285&lt;&gt;"Y","info: not usable (a person, screen or whiteboard may show): never used, delete the file; ","")&amp;IF(AND($D285="placement",$J285&lt;&gt;"Y"),"info: not usable as a placement photo (no card); ","")&amp;IF(AND($D285="placement",N($N285)&gt;2),"info: placed after the first business day; ","")&amp;IF(AND($D285="later",$N285&lt;&gt;"",OR(N($N285)&lt;3,N($N285)&gt;5)),"info: later photo outside day 3 to 5; ",""))</f>
        <v/>
      </c>
      <c r="R285" s="25">
        <f>IF($B285="","",$B285&amp;"|"&amp;$C285&amp;"|"&amp;$D285&amp;"|"&amp;$O285)</f>
        <v/>
      </c>
      <c r="S285" s="25">
        <f>IF($B285="","",$R285&amp;"|"&amp;N($E285))</f>
        <v/>
      </c>
    </row>
    <row r="286">
      <c r="E286" s="9" t="n"/>
      <c r="F286" s="33" t="n"/>
      <c r="I286" s="9" t="n"/>
      <c r="M286" s="26">
        <f>IF($B286="","",IFERROR(IF(INDEX(campaigns!$BG$2:$BG$51,MATCH($B286,campaigns!$A$2:$A$51,0))="","",INDEX(campaigns!$BG$2:$BG$51,MATCH($B286,campaigns!$A$2:$A$51,0))),""))</f>
        <v/>
      </c>
      <c r="N286" s="25">
        <f>IF(OR($B286="",$E286="",$M286=""),"",IF($E286&lt;$M286,0,NETWORKDAYS($M286,$E286,calendar!$A$2:$A$80)))</f>
        <v/>
      </c>
      <c r="O286" s="25">
        <f>IF($B286="","",IF(AND($K286="Y",OR($D286="later",$J286="Y")),"Y","N"))</f>
        <v/>
      </c>
      <c r="P286" s="25">
        <f>IF(OR($B286="",$E286=""),"",$B286&amp;"_"&amp;$C286&amp;"_"&amp;$D286&amp;"_"&amp;TEXT($E286,"yyyy-mm-dd")&amp;".jpg")</f>
        <v/>
      </c>
      <c r="Q286" s="25">
        <f>IF($B286="","",IF(COUNTIF(campaigns!$A$2:$A$51,$B286)=0,"campaign_id not on campaigns; ",IF(AND($C286&lt;&gt;"",COUNTIFS(approvals!$A$2:$A$251,$B286,approvals!$B$2:$B$251,$C286)=0),"office not on this campaign (approvals tab); ",""))&amp;IF($E286="","taken date missing; ","")&amp;IF(AND($H286&lt;&gt;"",$H286&lt;&gt;$P286),"file name differs from the convention; ","")&amp;IF(AND($D286="placement",$O286="Y",COUNTIF(photos!$R$2:$R$701,$R286)&gt;1),"two usable placement photos: mark one N; ","")&amp;IF($K286&lt;&gt;"Y","info: not usable (a person, screen or whiteboard may show): never used, delete the file; ","")&amp;IF(AND($D286="placement",$J286&lt;&gt;"Y"),"info: not usable as a placement photo (no card); ","")&amp;IF(AND($D286="placement",N($N286)&gt;2),"info: placed after the first business day; ","")&amp;IF(AND($D286="later",$N286&lt;&gt;"",OR(N($N286)&lt;3,N($N286)&gt;5)),"info: later photo outside day 3 to 5; ",""))</f>
        <v/>
      </c>
      <c r="R286" s="25">
        <f>IF($B286="","",$B286&amp;"|"&amp;$C286&amp;"|"&amp;$D286&amp;"|"&amp;$O286)</f>
        <v/>
      </c>
      <c r="S286" s="25">
        <f>IF($B286="","",$R286&amp;"|"&amp;N($E286))</f>
        <v/>
      </c>
    </row>
    <row r="287">
      <c r="E287" s="9" t="n"/>
      <c r="F287" s="33" t="n"/>
      <c r="I287" s="9" t="n"/>
      <c r="M287" s="26">
        <f>IF($B287="","",IFERROR(IF(INDEX(campaigns!$BG$2:$BG$51,MATCH($B287,campaigns!$A$2:$A$51,0))="","",INDEX(campaigns!$BG$2:$BG$51,MATCH($B287,campaigns!$A$2:$A$51,0))),""))</f>
        <v/>
      </c>
      <c r="N287" s="25">
        <f>IF(OR($B287="",$E287="",$M287=""),"",IF($E287&lt;$M287,0,NETWORKDAYS($M287,$E287,calendar!$A$2:$A$80)))</f>
        <v/>
      </c>
      <c r="O287" s="25">
        <f>IF($B287="","",IF(AND($K287="Y",OR($D287="later",$J287="Y")),"Y","N"))</f>
        <v/>
      </c>
      <c r="P287" s="25">
        <f>IF(OR($B287="",$E287=""),"",$B287&amp;"_"&amp;$C287&amp;"_"&amp;$D287&amp;"_"&amp;TEXT($E287,"yyyy-mm-dd")&amp;".jpg")</f>
        <v/>
      </c>
      <c r="Q287" s="25">
        <f>IF($B287="","",IF(COUNTIF(campaigns!$A$2:$A$51,$B287)=0,"campaign_id not on campaigns; ",IF(AND($C287&lt;&gt;"",COUNTIFS(approvals!$A$2:$A$251,$B287,approvals!$B$2:$B$251,$C287)=0),"office not on this campaign (approvals tab); ",""))&amp;IF($E287="","taken date missing; ","")&amp;IF(AND($H287&lt;&gt;"",$H287&lt;&gt;$P287),"file name differs from the convention; ","")&amp;IF(AND($D287="placement",$O287="Y",COUNTIF(photos!$R$2:$R$701,$R287)&gt;1),"two usable placement photos: mark one N; ","")&amp;IF($K287&lt;&gt;"Y","info: not usable (a person, screen or whiteboard may show): never used, delete the file; ","")&amp;IF(AND($D287="placement",$J287&lt;&gt;"Y"),"info: not usable as a placement photo (no card); ","")&amp;IF(AND($D287="placement",N($N287)&gt;2),"info: placed after the first business day; ","")&amp;IF(AND($D287="later",$N287&lt;&gt;"",OR(N($N287)&lt;3,N($N287)&gt;5)),"info: later photo outside day 3 to 5; ",""))</f>
        <v/>
      </c>
      <c r="R287" s="25">
        <f>IF($B287="","",$B287&amp;"|"&amp;$C287&amp;"|"&amp;$D287&amp;"|"&amp;$O287)</f>
        <v/>
      </c>
      <c r="S287" s="25">
        <f>IF($B287="","",$R287&amp;"|"&amp;N($E287))</f>
        <v/>
      </c>
    </row>
    <row r="288">
      <c r="E288" s="9" t="n"/>
      <c r="F288" s="33" t="n"/>
      <c r="I288" s="9" t="n"/>
      <c r="M288" s="26">
        <f>IF($B288="","",IFERROR(IF(INDEX(campaigns!$BG$2:$BG$51,MATCH($B288,campaigns!$A$2:$A$51,0))="","",INDEX(campaigns!$BG$2:$BG$51,MATCH($B288,campaigns!$A$2:$A$51,0))),""))</f>
        <v/>
      </c>
      <c r="N288" s="25">
        <f>IF(OR($B288="",$E288="",$M288=""),"",IF($E288&lt;$M288,0,NETWORKDAYS($M288,$E288,calendar!$A$2:$A$80)))</f>
        <v/>
      </c>
      <c r="O288" s="25">
        <f>IF($B288="","",IF(AND($K288="Y",OR($D288="later",$J288="Y")),"Y","N"))</f>
        <v/>
      </c>
      <c r="P288" s="25">
        <f>IF(OR($B288="",$E288=""),"",$B288&amp;"_"&amp;$C288&amp;"_"&amp;$D288&amp;"_"&amp;TEXT($E288,"yyyy-mm-dd")&amp;".jpg")</f>
        <v/>
      </c>
      <c r="Q288" s="25">
        <f>IF($B288="","",IF(COUNTIF(campaigns!$A$2:$A$51,$B288)=0,"campaign_id not on campaigns; ",IF(AND($C288&lt;&gt;"",COUNTIFS(approvals!$A$2:$A$251,$B288,approvals!$B$2:$B$251,$C288)=0),"office not on this campaign (approvals tab); ",""))&amp;IF($E288="","taken date missing; ","")&amp;IF(AND($H288&lt;&gt;"",$H288&lt;&gt;$P288),"file name differs from the convention; ","")&amp;IF(AND($D288="placement",$O288="Y",COUNTIF(photos!$R$2:$R$701,$R288)&gt;1),"two usable placement photos: mark one N; ","")&amp;IF($K288&lt;&gt;"Y","info: not usable (a person, screen or whiteboard may show): never used, delete the file; ","")&amp;IF(AND($D288="placement",$J288&lt;&gt;"Y"),"info: not usable as a placement photo (no card); ","")&amp;IF(AND($D288="placement",N($N288)&gt;2),"info: placed after the first business day; ","")&amp;IF(AND($D288="later",$N288&lt;&gt;"",OR(N($N288)&lt;3,N($N288)&gt;5)),"info: later photo outside day 3 to 5; ",""))</f>
        <v/>
      </c>
      <c r="R288" s="25">
        <f>IF($B288="","",$B288&amp;"|"&amp;$C288&amp;"|"&amp;$D288&amp;"|"&amp;$O288)</f>
        <v/>
      </c>
      <c r="S288" s="25">
        <f>IF($B288="","",$R288&amp;"|"&amp;N($E288))</f>
        <v/>
      </c>
    </row>
    <row r="289">
      <c r="E289" s="9" t="n"/>
      <c r="F289" s="33" t="n"/>
      <c r="I289" s="9" t="n"/>
      <c r="M289" s="26">
        <f>IF($B289="","",IFERROR(IF(INDEX(campaigns!$BG$2:$BG$51,MATCH($B289,campaigns!$A$2:$A$51,0))="","",INDEX(campaigns!$BG$2:$BG$51,MATCH($B289,campaigns!$A$2:$A$51,0))),""))</f>
        <v/>
      </c>
      <c r="N289" s="25">
        <f>IF(OR($B289="",$E289="",$M289=""),"",IF($E289&lt;$M289,0,NETWORKDAYS($M289,$E289,calendar!$A$2:$A$80)))</f>
        <v/>
      </c>
      <c r="O289" s="25">
        <f>IF($B289="","",IF(AND($K289="Y",OR($D289="later",$J289="Y")),"Y","N"))</f>
        <v/>
      </c>
      <c r="P289" s="25">
        <f>IF(OR($B289="",$E289=""),"",$B289&amp;"_"&amp;$C289&amp;"_"&amp;$D289&amp;"_"&amp;TEXT($E289,"yyyy-mm-dd")&amp;".jpg")</f>
        <v/>
      </c>
      <c r="Q289" s="25">
        <f>IF($B289="","",IF(COUNTIF(campaigns!$A$2:$A$51,$B289)=0,"campaign_id not on campaigns; ",IF(AND($C289&lt;&gt;"",COUNTIFS(approvals!$A$2:$A$251,$B289,approvals!$B$2:$B$251,$C289)=0),"office not on this campaign (approvals tab); ",""))&amp;IF($E289="","taken date missing; ","")&amp;IF(AND($H289&lt;&gt;"",$H289&lt;&gt;$P289),"file name differs from the convention; ","")&amp;IF(AND($D289="placement",$O289="Y",COUNTIF(photos!$R$2:$R$701,$R289)&gt;1),"two usable placement photos: mark one N; ","")&amp;IF($K289&lt;&gt;"Y","info: not usable (a person, screen or whiteboard may show): never used, delete the file; ","")&amp;IF(AND($D289="placement",$J289&lt;&gt;"Y"),"info: not usable as a placement photo (no card); ","")&amp;IF(AND($D289="placement",N($N289)&gt;2),"info: placed after the first business day; ","")&amp;IF(AND($D289="later",$N289&lt;&gt;"",OR(N($N289)&lt;3,N($N289)&gt;5)),"info: later photo outside day 3 to 5; ",""))</f>
        <v/>
      </c>
      <c r="R289" s="25">
        <f>IF($B289="","",$B289&amp;"|"&amp;$C289&amp;"|"&amp;$D289&amp;"|"&amp;$O289)</f>
        <v/>
      </c>
      <c r="S289" s="25">
        <f>IF($B289="","",$R289&amp;"|"&amp;N($E289))</f>
        <v/>
      </c>
    </row>
    <row r="290">
      <c r="E290" s="9" t="n"/>
      <c r="F290" s="33" t="n"/>
      <c r="I290" s="9" t="n"/>
      <c r="M290" s="26">
        <f>IF($B290="","",IFERROR(IF(INDEX(campaigns!$BG$2:$BG$51,MATCH($B290,campaigns!$A$2:$A$51,0))="","",INDEX(campaigns!$BG$2:$BG$51,MATCH($B290,campaigns!$A$2:$A$51,0))),""))</f>
        <v/>
      </c>
      <c r="N290" s="25">
        <f>IF(OR($B290="",$E290="",$M290=""),"",IF($E290&lt;$M290,0,NETWORKDAYS($M290,$E290,calendar!$A$2:$A$80)))</f>
        <v/>
      </c>
      <c r="O290" s="25">
        <f>IF($B290="","",IF(AND($K290="Y",OR($D290="later",$J290="Y")),"Y","N"))</f>
        <v/>
      </c>
      <c r="P290" s="25">
        <f>IF(OR($B290="",$E290=""),"",$B290&amp;"_"&amp;$C290&amp;"_"&amp;$D290&amp;"_"&amp;TEXT($E290,"yyyy-mm-dd")&amp;".jpg")</f>
        <v/>
      </c>
      <c r="Q290" s="25">
        <f>IF($B290="","",IF(COUNTIF(campaigns!$A$2:$A$51,$B290)=0,"campaign_id not on campaigns; ",IF(AND($C290&lt;&gt;"",COUNTIFS(approvals!$A$2:$A$251,$B290,approvals!$B$2:$B$251,$C290)=0),"office not on this campaign (approvals tab); ",""))&amp;IF($E290="","taken date missing; ","")&amp;IF(AND($H290&lt;&gt;"",$H290&lt;&gt;$P290),"file name differs from the convention; ","")&amp;IF(AND($D290="placement",$O290="Y",COUNTIF(photos!$R$2:$R$701,$R290)&gt;1),"two usable placement photos: mark one N; ","")&amp;IF($K290&lt;&gt;"Y","info: not usable (a person, screen or whiteboard may show): never used, delete the file; ","")&amp;IF(AND($D290="placement",$J290&lt;&gt;"Y"),"info: not usable as a placement photo (no card); ","")&amp;IF(AND($D290="placement",N($N290)&gt;2),"info: placed after the first business day; ","")&amp;IF(AND($D290="later",$N290&lt;&gt;"",OR(N($N290)&lt;3,N($N290)&gt;5)),"info: later photo outside day 3 to 5; ",""))</f>
        <v/>
      </c>
      <c r="R290" s="25">
        <f>IF($B290="","",$B290&amp;"|"&amp;$C290&amp;"|"&amp;$D290&amp;"|"&amp;$O290)</f>
        <v/>
      </c>
      <c r="S290" s="25">
        <f>IF($B290="","",$R290&amp;"|"&amp;N($E290))</f>
        <v/>
      </c>
    </row>
    <row r="291">
      <c r="E291" s="9" t="n"/>
      <c r="F291" s="33" t="n"/>
      <c r="I291" s="9" t="n"/>
      <c r="M291" s="26">
        <f>IF($B291="","",IFERROR(IF(INDEX(campaigns!$BG$2:$BG$51,MATCH($B291,campaigns!$A$2:$A$51,0))="","",INDEX(campaigns!$BG$2:$BG$51,MATCH($B291,campaigns!$A$2:$A$51,0))),""))</f>
        <v/>
      </c>
      <c r="N291" s="25">
        <f>IF(OR($B291="",$E291="",$M291=""),"",IF($E291&lt;$M291,0,NETWORKDAYS($M291,$E291,calendar!$A$2:$A$80)))</f>
        <v/>
      </c>
      <c r="O291" s="25">
        <f>IF($B291="","",IF(AND($K291="Y",OR($D291="later",$J291="Y")),"Y","N"))</f>
        <v/>
      </c>
      <c r="P291" s="25">
        <f>IF(OR($B291="",$E291=""),"",$B291&amp;"_"&amp;$C291&amp;"_"&amp;$D291&amp;"_"&amp;TEXT($E291,"yyyy-mm-dd")&amp;".jpg")</f>
        <v/>
      </c>
      <c r="Q291" s="25">
        <f>IF($B291="","",IF(COUNTIF(campaigns!$A$2:$A$51,$B291)=0,"campaign_id not on campaigns; ",IF(AND($C291&lt;&gt;"",COUNTIFS(approvals!$A$2:$A$251,$B291,approvals!$B$2:$B$251,$C291)=0),"office not on this campaign (approvals tab); ",""))&amp;IF($E291="","taken date missing; ","")&amp;IF(AND($H291&lt;&gt;"",$H291&lt;&gt;$P291),"file name differs from the convention; ","")&amp;IF(AND($D291="placement",$O291="Y",COUNTIF(photos!$R$2:$R$701,$R291)&gt;1),"two usable placement photos: mark one N; ","")&amp;IF($K291&lt;&gt;"Y","info: not usable (a person, screen or whiteboard may show): never used, delete the file; ","")&amp;IF(AND($D291="placement",$J291&lt;&gt;"Y"),"info: not usable as a placement photo (no card); ","")&amp;IF(AND($D291="placement",N($N291)&gt;2),"info: placed after the first business day; ","")&amp;IF(AND($D291="later",$N291&lt;&gt;"",OR(N($N291)&lt;3,N($N291)&gt;5)),"info: later photo outside day 3 to 5; ",""))</f>
        <v/>
      </c>
      <c r="R291" s="25">
        <f>IF($B291="","",$B291&amp;"|"&amp;$C291&amp;"|"&amp;$D291&amp;"|"&amp;$O291)</f>
        <v/>
      </c>
      <c r="S291" s="25">
        <f>IF($B291="","",$R291&amp;"|"&amp;N($E291))</f>
        <v/>
      </c>
    </row>
    <row r="292">
      <c r="E292" s="9" t="n"/>
      <c r="F292" s="33" t="n"/>
      <c r="I292" s="9" t="n"/>
      <c r="M292" s="26">
        <f>IF($B292="","",IFERROR(IF(INDEX(campaigns!$BG$2:$BG$51,MATCH($B292,campaigns!$A$2:$A$51,0))="","",INDEX(campaigns!$BG$2:$BG$51,MATCH($B292,campaigns!$A$2:$A$51,0))),""))</f>
        <v/>
      </c>
      <c r="N292" s="25">
        <f>IF(OR($B292="",$E292="",$M292=""),"",IF($E292&lt;$M292,0,NETWORKDAYS($M292,$E292,calendar!$A$2:$A$80)))</f>
        <v/>
      </c>
      <c r="O292" s="25">
        <f>IF($B292="","",IF(AND($K292="Y",OR($D292="later",$J292="Y")),"Y","N"))</f>
        <v/>
      </c>
      <c r="P292" s="25">
        <f>IF(OR($B292="",$E292=""),"",$B292&amp;"_"&amp;$C292&amp;"_"&amp;$D292&amp;"_"&amp;TEXT($E292,"yyyy-mm-dd")&amp;".jpg")</f>
        <v/>
      </c>
      <c r="Q292" s="25">
        <f>IF($B292="","",IF(COUNTIF(campaigns!$A$2:$A$51,$B292)=0,"campaign_id not on campaigns; ",IF(AND($C292&lt;&gt;"",COUNTIFS(approvals!$A$2:$A$251,$B292,approvals!$B$2:$B$251,$C292)=0),"office not on this campaign (approvals tab); ",""))&amp;IF($E292="","taken date missing; ","")&amp;IF(AND($H292&lt;&gt;"",$H292&lt;&gt;$P292),"file name differs from the convention; ","")&amp;IF(AND($D292="placement",$O292="Y",COUNTIF(photos!$R$2:$R$701,$R292)&gt;1),"two usable placement photos: mark one N; ","")&amp;IF($K292&lt;&gt;"Y","info: not usable (a person, screen or whiteboard may show): never used, delete the file; ","")&amp;IF(AND($D292="placement",$J292&lt;&gt;"Y"),"info: not usable as a placement photo (no card); ","")&amp;IF(AND($D292="placement",N($N292)&gt;2),"info: placed after the first business day; ","")&amp;IF(AND($D292="later",$N292&lt;&gt;"",OR(N($N292)&lt;3,N($N292)&gt;5)),"info: later photo outside day 3 to 5; ",""))</f>
        <v/>
      </c>
      <c r="R292" s="25">
        <f>IF($B292="","",$B292&amp;"|"&amp;$C292&amp;"|"&amp;$D292&amp;"|"&amp;$O292)</f>
        <v/>
      </c>
      <c r="S292" s="25">
        <f>IF($B292="","",$R292&amp;"|"&amp;N($E292))</f>
        <v/>
      </c>
    </row>
    <row r="293">
      <c r="E293" s="9" t="n"/>
      <c r="F293" s="33" t="n"/>
      <c r="I293" s="9" t="n"/>
      <c r="M293" s="26">
        <f>IF($B293="","",IFERROR(IF(INDEX(campaigns!$BG$2:$BG$51,MATCH($B293,campaigns!$A$2:$A$51,0))="","",INDEX(campaigns!$BG$2:$BG$51,MATCH($B293,campaigns!$A$2:$A$51,0))),""))</f>
        <v/>
      </c>
      <c r="N293" s="25">
        <f>IF(OR($B293="",$E293="",$M293=""),"",IF($E293&lt;$M293,0,NETWORKDAYS($M293,$E293,calendar!$A$2:$A$80)))</f>
        <v/>
      </c>
      <c r="O293" s="25">
        <f>IF($B293="","",IF(AND($K293="Y",OR($D293="later",$J293="Y")),"Y","N"))</f>
        <v/>
      </c>
      <c r="P293" s="25">
        <f>IF(OR($B293="",$E293=""),"",$B293&amp;"_"&amp;$C293&amp;"_"&amp;$D293&amp;"_"&amp;TEXT($E293,"yyyy-mm-dd")&amp;".jpg")</f>
        <v/>
      </c>
      <c r="Q293" s="25">
        <f>IF($B293="","",IF(COUNTIF(campaigns!$A$2:$A$51,$B293)=0,"campaign_id not on campaigns; ",IF(AND($C293&lt;&gt;"",COUNTIFS(approvals!$A$2:$A$251,$B293,approvals!$B$2:$B$251,$C293)=0),"office not on this campaign (approvals tab); ",""))&amp;IF($E293="","taken date missing; ","")&amp;IF(AND($H293&lt;&gt;"",$H293&lt;&gt;$P293),"file name differs from the convention; ","")&amp;IF(AND($D293="placement",$O293="Y",COUNTIF(photos!$R$2:$R$701,$R293)&gt;1),"two usable placement photos: mark one N; ","")&amp;IF($K293&lt;&gt;"Y","info: not usable (a person, screen or whiteboard may show): never used, delete the file; ","")&amp;IF(AND($D293="placement",$J293&lt;&gt;"Y"),"info: not usable as a placement photo (no card); ","")&amp;IF(AND($D293="placement",N($N293)&gt;2),"info: placed after the first business day; ","")&amp;IF(AND($D293="later",$N293&lt;&gt;"",OR(N($N293)&lt;3,N($N293)&gt;5)),"info: later photo outside day 3 to 5; ",""))</f>
        <v/>
      </c>
      <c r="R293" s="25">
        <f>IF($B293="","",$B293&amp;"|"&amp;$C293&amp;"|"&amp;$D293&amp;"|"&amp;$O293)</f>
        <v/>
      </c>
      <c r="S293" s="25">
        <f>IF($B293="","",$R293&amp;"|"&amp;N($E293))</f>
        <v/>
      </c>
    </row>
    <row r="294">
      <c r="E294" s="9" t="n"/>
      <c r="F294" s="33" t="n"/>
      <c r="I294" s="9" t="n"/>
      <c r="M294" s="26">
        <f>IF($B294="","",IFERROR(IF(INDEX(campaigns!$BG$2:$BG$51,MATCH($B294,campaigns!$A$2:$A$51,0))="","",INDEX(campaigns!$BG$2:$BG$51,MATCH($B294,campaigns!$A$2:$A$51,0))),""))</f>
        <v/>
      </c>
      <c r="N294" s="25">
        <f>IF(OR($B294="",$E294="",$M294=""),"",IF($E294&lt;$M294,0,NETWORKDAYS($M294,$E294,calendar!$A$2:$A$80)))</f>
        <v/>
      </c>
      <c r="O294" s="25">
        <f>IF($B294="","",IF(AND($K294="Y",OR($D294="later",$J294="Y")),"Y","N"))</f>
        <v/>
      </c>
      <c r="P294" s="25">
        <f>IF(OR($B294="",$E294=""),"",$B294&amp;"_"&amp;$C294&amp;"_"&amp;$D294&amp;"_"&amp;TEXT($E294,"yyyy-mm-dd")&amp;".jpg")</f>
        <v/>
      </c>
      <c r="Q294" s="25">
        <f>IF($B294="","",IF(COUNTIF(campaigns!$A$2:$A$51,$B294)=0,"campaign_id not on campaigns; ",IF(AND($C294&lt;&gt;"",COUNTIFS(approvals!$A$2:$A$251,$B294,approvals!$B$2:$B$251,$C294)=0),"office not on this campaign (approvals tab); ",""))&amp;IF($E294="","taken date missing; ","")&amp;IF(AND($H294&lt;&gt;"",$H294&lt;&gt;$P294),"file name differs from the convention; ","")&amp;IF(AND($D294="placement",$O294="Y",COUNTIF(photos!$R$2:$R$701,$R294)&gt;1),"two usable placement photos: mark one N; ","")&amp;IF($K294&lt;&gt;"Y","info: not usable (a person, screen or whiteboard may show): never used, delete the file; ","")&amp;IF(AND($D294="placement",$J294&lt;&gt;"Y"),"info: not usable as a placement photo (no card); ","")&amp;IF(AND($D294="placement",N($N294)&gt;2),"info: placed after the first business day; ","")&amp;IF(AND($D294="later",$N294&lt;&gt;"",OR(N($N294)&lt;3,N($N294)&gt;5)),"info: later photo outside day 3 to 5; ",""))</f>
        <v/>
      </c>
      <c r="R294" s="25">
        <f>IF($B294="","",$B294&amp;"|"&amp;$C294&amp;"|"&amp;$D294&amp;"|"&amp;$O294)</f>
        <v/>
      </c>
      <c r="S294" s="25">
        <f>IF($B294="","",$R294&amp;"|"&amp;N($E294))</f>
        <v/>
      </c>
    </row>
    <row r="295">
      <c r="E295" s="9" t="n"/>
      <c r="F295" s="33" t="n"/>
      <c r="I295" s="9" t="n"/>
      <c r="M295" s="26">
        <f>IF($B295="","",IFERROR(IF(INDEX(campaigns!$BG$2:$BG$51,MATCH($B295,campaigns!$A$2:$A$51,0))="","",INDEX(campaigns!$BG$2:$BG$51,MATCH($B295,campaigns!$A$2:$A$51,0))),""))</f>
        <v/>
      </c>
      <c r="N295" s="25">
        <f>IF(OR($B295="",$E295="",$M295=""),"",IF($E295&lt;$M295,0,NETWORKDAYS($M295,$E295,calendar!$A$2:$A$80)))</f>
        <v/>
      </c>
      <c r="O295" s="25">
        <f>IF($B295="","",IF(AND($K295="Y",OR($D295="later",$J295="Y")),"Y","N"))</f>
        <v/>
      </c>
      <c r="P295" s="25">
        <f>IF(OR($B295="",$E295=""),"",$B295&amp;"_"&amp;$C295&amp;"_"&amp;$D295&amp;"_"&amp;TEXT($E295,"yyyy-mm-dd")&amp;".jpg")</f>
        <v/>
      </c>
      <c r="Q295" s="25">
        <f>IF($B295="","",IF(COUNTIF(campaigns!$A$2:$A$51,$B295)=0,"campaign_id not on campaigns; ",IF(AND($C295&lt;&gt;"",COUNTIFS(approvals!$A$2:$A$251,$B295,approvals!$B$2:$B$251,$C295)=0),"office not on this campaign (approvals tab); ",""))&amp;IF($E295="","taken date missing; ","")&amp;IF(AND($H295&lt;&gt;"",$H295&lt;&gt;$P295),"file name differs from the convention; ","")&amp;IF(AND($D295="placement",$O295="Y",COUNTIF(photos!$R$2:$R$701,$R295)&gt;1),"two usable placement photos: mark one N; ","")&amp;IF($K295&lt;&gt;"Y","info: not usable (a person, screen or whiteboard may show): never used, delete the file; ","")&amp;IF(AND($D295="placement",$J295&lt;&gt;"Y"),"info: not usable as a placement photo (no card); ","")&amp;IF(AND($D295="placement",N($N295)&gt;2),"info: placed after the first business day; ","")&amp;IF(AND($D295="later",$N295&lt;&gt;"",OR(N($N295)&lt;3,N($N295)&gt;5)),"info: later photo outside day 3 to 5; ",""))</f>
        <v/>
      </c>
      <c r="R295" s="25">
        <f>IF($B295="","",$B295&amp;"|"&amp;$C295&amp;"|"&amp;$D295&amp;"|"&amp;$O295)</f>
        <v/>
      </c>
      <c r="S295" s="25">
        <f>IF($B295="","",$R295&amp;"|"&amp;N($E295))</f>
        <v/>
      </c>
    </row>
    <row r="296">
      <c r="E296" s="9" t="n"/>
      <c r="F296" s="33" t="n"/>
      <c r="I296" s="9" t="n"/>
      <c r="M296" s="26">
        <f>IF($B296="","",IFERROR(IF(INDEX(campaigns!$BG$2:$BG$51,MATCH($B296,campaigns!$A$2:$A$51,0))="","",INDEX(campaigns!$BG$2:$BG$51,MATCH($B296,campaigns!$A$2:$A$51,0))),""))</f>
        <v/>
      </c>
      <c r="N296" s="25">
        <f>IF(OR($B296="",$E296="",$M296=""),"",IF($E296&lt;$M296,0,NETWORKDAYS($M296,$E296,calendar!$A$2:$A$80)))</f>
        <v/>
      </c>
      <c r="O296" s="25">
        <f>IF($B296="","",IF(AND($K296="Y",OR($D296="later",$J296="Y")),"Y","N"))</f>
        <v/>
      </c>
      <c r="P296" s="25">
        <f>IF(OR($B296="",$E296=""),"",$B296&amp;"_"&amp;$C296&amp;"_"&amp;$D296&amp;"_"&amp;TEXT($E296,"yyyy-mm-dd")&amp;".jpg")</f>
        <v/>
      </c>
      <c r="Q296" s="25">
        <f>IF($B296="","",IF(COUNTIF(campaigns!$A$2:$A$51,$B296)=0,"campaign_id not on campaigns; ",IF(AND($C296&lt;&gt;"",COUNTIFS(approvals!$A$2:$A$251,$B296,approvals!$B$2:$B$251,$C296)=0),"office not on this campaign (approvals tab); ",""))&amp;IF($E296="","taken date missing; ","")&amp;IF(AND($H296&lt;&gt;"",$H296&lt;&gt;$P296),"file name differs from the convention; ","")&amp;IF(AND($D296="placement",$O296="Y",COUNTIF(photos!$R$2:$R$701,$R296)&gt;1),"two usable placement photos: mark one N; ","")&amp;IF($K296&lt;&gt;"Y","info: not usable (a person, screen or whiteboard may show): never used, delete the file; ","")&amp;IF(AND($D296="placement",$J296&lt;&gt;"Y"),"info: not usable as a placement photo (no card); ","")&amp;IF(AND($D296="placement",N($N296)&gt;2),"info: placed after the first business day; ","")&amp;IF(AND($D296="later",$N296&lt;&gt;"",OR(N($N296)&lt;3,N($N296)&gt;5)),"info: later photo outside day 3 to 5; ",""))</f>
        <v/>
      </c>
      <c r="R296" s="25">
        <f>IF($B296="","",$B296&amp;"|"&amp;$C296&amp;"|"&amp;$D296&amp;"|"&amp;$O296)</f>
        <v/>
      </c>
      <c r="S296" s="25">
        <f>IF($B296="","",$R296&amp;"|"&amp;N($E296))</f>
        <v/>
      </c>
    </row>
    <row r="297">
      <c r="E297" s="9" t="n"/>
      <c r="F297" s="33" t="n"/>
      <c r="I297" s="9" t="n"/>
      <c r="M297" s="26">
        <f>IF($B297="","",IFERROR(IF(INDEX(campaigns!$BG$2:$BG$51,MATCH($B297,campaigns!$A$2:$A$51,0))="","",INDEX(campaigns!$BG$2:$BG$51,MATCH($B297,campaigns!$A$2:$A$51,0))),""))</f>
        <v/>
      </c>
      <c r="N297" s="25">
        <f>IF(OR($B297="",$E297="",$M297=""),"",IF($E297&lt;$M297,0,NETWORKDAYS($M297,$E297,calendar!$A$2:$A$80)))</f>
        <v/>
      </c>
      <c r="O297" s="25">
        <f>IF($B297="","",IF(AND($K297="Y",OR($D297="later",$J297="Y")),"Y","N"))</f>
        <v/>
      </c>
      <c r="P297" s="25">
        <f>IF(OR($B297="",$E297=""),"",$B297&amp;"_"&amp;$C297&amp;"_"&amp;$D297&amp;"_"&amp;TEXT($E297,"yyyy-mm-dd")&amp;".jpg")</f>
        <v/>
      </c>
      <c r="Q297" s="25">
        <f>IF($B297="","",IF(COUNTIF(campaigns!$A$2:$A$51,$B297)=0,"campaign_id not on campaigns; ",IF(AND($C297&lt;&gt;"",COUNTIFS(approvals!$A$2:$A$251,$B297,approvals!$B$2:$B$251,$C297)=0),"office not on this campaign (approvals tab); ",""))&amp;IF($E297="","taken date missing; ","")&amp;IF(AND($H297&lt;&gt;"",$H297&lt;&gt;$P297),"file name differs from the convention; ","")&amp;IF(AND($D297="placement",$O297="Y",COUNTIF(photos!$R$2:$R$701,$R297)&gt;1),"two usable placement photos: mark one N; ","")&amp;IF($K297&lt;&gt;"Y","info: not usable (a person, screen or whiteboard may show): never used, delete the file; ","")&amp;IF(AND($D297="placement",$J297&lt;&gt;"Y"),"info: not usable as a placement photo (no card); ","")&amp;IF(AND($D297="placement",N($N297)&gt;2),"info: placed after the first business day; ","")&amp;IF(AND($D297="later",$N297&lt;&gt;"",OR(N($N297)&lt;3,N($N297)&gt;5)),"info: later photo outside day 3 to 5; ",""))</f>
        <v/>
      </c>
      <c r="R297" s="25">
        <f>IF($B297="","",$B297&amp;"|"&amp;$C297&amp;"|"&amp;$D297&amp;"|"&amp;$O297)</f>
        <v/>
      </c>
      <c r="S297" s="25">
        <f>IF($B297="","",$R297&amp;"|"&amp;N($E297))</f>
        <v/>
      </c>
    </row>
    <row r="298">
      <c r="E298" s="9" t="n"/>
      <c r="F298" s="33" t="n"/>
      <c r="I298" s="9" t="n"/>
      <c r="M298" s="26">
        <f>IF($B298="","",IFERROR(IF(INDEX(campaigns!$BG$2:$BG$51,MATCH($B298,campaigns!$A$2:$A$51,0))="","",INDEX(campaigns!$BG$2:$BG$51,MATCH($B298,campaigns!$A$2:$A$51,0))),""))</f>
        <v/>
      </c>
      <c r="N298" s="25">
        <f>IF(OR($B298="",$E298="",$M298=""),"",IF($E298&lt;$M298,0,NETWORKDAYS($M298,$E298,calendar!$A$2:$A$80)))</f>
        <v/>
      </c>
      <c r="O298" s="25">
        <f>IF($B298="","",IF(AND($K298="Y",OR($D298="later",$J298="Y")),"Y","N"))</f>
        <v/>
      </c>
      <c r="P298" s="25">
        <f>IF(OR($B298="",$E298=""),"",$B298&amp;"_"&amp;$C298&amp;"_"&amp;$D298&amp;"_"&amp;TEXT($E298,"yyyy-mm-dd")&amp;".jpg")</f>
        <v/>
      </c>
      <c r="Q298" s="25">
        <f>IF($B298="","",IF(COUNTIF(campaigns!$A$2:$A$51,$B298)=0,"campaign_id not on campaigns; ",IF(AND($C298&lt;&gt;"",COUNTIFS(approvals!$A$2:$A$251,$B298,approvals!$B$2:$B$251,$C298)=0),"office not on this campaign (approvals tab); ",""))&amp;IF($E298="","taken date missing; ","")&amp;IF(AND($H298&lt;&gt;"",$H298&lt;&gt;$P298),"file name differs from the convention; ","")&amp;IF(AND($D298="placement",$O298="Y",COUNTIF(photos!$R$2:$R$701,$R298)&gt;1),"two usable placement photos: mark one N; ","")&amp;IF($K298&lt;&gt;"Y","info: not usable (a person, screen or whiteboard may show): never used, delete the file; ","")&amp;IF(AND($D298="placement",$J298&lt;&gt;"Y"),"info: not usable as a placement photo (no card); ","")&amp;IF(AND($D298="placement",N($N298)&gt;2),"info: placed after the first business day; ","")&amp;IF(AND($D298="later",$N298&lt;&gt;"",OR(N($N298)&lt;3,N($N298)&gt;5)),"info: later photo outside day 3 to 5; ",""))</f>
        <v/>
      </c>
      <c r="R298" s="25">
        <f>IF($B298="","",$B298&amp;"|"&amp;$C298&amp;"|"&amp;$D298&amp;"|"&amp;$O298)</f>
        <v/>
      </c>
      <c r="S298" s="25">
        <f>IF($B298="","",$R298&amp;"|"&amp;N($E298))</f>
        <v/>
      </c>
    </row>
    <row r="299">
      <c r="E299" s="9" t="n"/>
      <c r="F299" s="33" t="n"/>
      <c r="I299" s="9" t="n"/>
      <c r="M299" s="26">
        <f>IF($B299="","",IFERROR(IF(INDEX(campaigns!$BG$2:$BG$51,MATCH($B299,campaigns!$A$2:$A$51,0))="","",INDEX(campaigns!$BG$2:$BG$51,MATCH($B299,campaigns!$A$2:$A$51,0))),""))</f>
        <v/>
      </c>
      <c r="N299" s="25">
        <f>IF(OR($B299="",$E299="",$M299=""),"",IF($E299&lt;$M299,0,NETWORKDAYS($M299,$E299,calendar!$A$2:$A$80)))</f>
        <v/>
      </c>
      <c r="O299" s="25">
        <f>IF($B299="","",IF(AND($K299="Y",OR($D299="later",$J299="Y")),"Y","N"))</f>
        <v/>
      </c>
      <c r="P299" s="25">
        <f>IF(OR($B299="",$E299=""),"",$B299&amp;"_"&amp;$C299&amp;"_"&amp;$D299&amp;"_"&amp;TEXT($E299,"yyyy-mm-dd")&amp;".jpg")</f>
        <v/>
      </c>
      <c r="Q299" s="25">
        <f>IF($B299="","",IF(COUNTIF(campaigns!$A$2:$A$51,$B299)=0,"campaign_id not on campaigns; ",IF(AND($C299&lt;&gt;"",COUNTIFS(approvals!$A$2:$A$251,$B299,approvals!$B$2:$B$251,$C299)=0),"office not on this campaign (approvals tab); ",""))&amp;IF($E299="","taken date missing; ","")&amp;IF(AND($H299&lt;&gt;"",$H299&lt;&gt;$P299),"file name differs from the convention; ","")&amp;IF(AND($D299="placement",$O299="Y",COUNTIF(photos!$R$2:$R$701,$R299)&gt;1),"two usable placement photos: mark one N; ","")&amp;IF($K299&lt;&gt;"Y","info: not usable (a person, screen or whiteboard may show): never used, delete the file; ","")&amp;IF(AND($D299="placement",$J299&lt;&gt;"Y"),"info: not usable as a placement photo (no card); ","")&amp;IF(AND($D299="placement",N($N299)&gt;2),"info: placed after the first business day; ","")&amp;IF(AND($D299="later",$N299&lt;&gt;"",OR(N($N299)&lt;3,N($N299)&gt;5)),"info: later photo outside day 3 to 5; ",""))</f>
        <v/>
      </c>
      <c r="R299" s="25">
        <f>IF($B299="","",$B299&amp;"|"&amp;$C299&amp;"|"&amp;$D299&amp;"|"&amp;$O299)</f>
        <v/>
      </c>
      <c r="S299" s="25">
        <f>IF($B299="","",$R299&amp;"|"&amp;N($E299))</f>
        <v/>
      </c>
    </row>
    <row r="300">
      <c r="E300" s="9" t="n"/>
      <c r="F300" s="33" t="n"/>
      <c r="I300" s="9" t="n"/>
      <c r="M300" s="26">
        <f>IF($B300="","",IFERROR(IF(INDEX(campaigns!$BG$2:$BG$51,MATCH($B300,campaigns!$A$2:$A$51,0))="","",INDEX(campaigns!$BG$2:$BG$51,MATCH($B300,campaigns!$A$2:$A$51,0))),""))</f>
        <v/>
      </c>
      <c r="N300" s="25">
        <f>IF(OR($B300="",$E300="",$M300=""),"",IF($E300&lt;$M300,0,NETWORKDAYS($M300,$E300,calendar!$A$2:$A$80)))</f>
        <v/>
      </c>
      <c r="O300" s="25">
        <f>IF($B300="","",IF(AND($K300="Y",OR($D300="later",$J300="Y")),"Y","N"))</f>
        <v/>
      </c>
      <c r="P300" s="25">
        <f>IF(OR($B300="",$E300=""),"",$B300&amp;"_"&amp;$C300&amp;"_"&amp;$D300&amp;"_"&amp;TEXT($E300,"yyyy-mm-dd")&amp;".jpg")</f>
        <v/>
      </c>
      <c r="Q300" s="25">
        <f>IF($B300="","",IF(COUNTIF(campaigns!$A$2:$A$51,$B300)=0,"campaign_id not on campaigns; ",IF(AND($C300&lt;&gt;"",COUNTIFS(approvals!$A$2:$A$251,$B300,approvals!$B$2:$B$251,$C300)=0),"office not on this campaign (approvals tab); ",""))&amp;IF($E300="","taken date missing; ","")&amp;IF(AND($H300&lt;&gt;"",$H300&lt;&gt;$P300),"file name differs from the convention; ","")&amp;IF(AND($D300="placement",$O300="Y",COUNTIF(photos!$R$2:$R$701,$R300)&gt;1),"two usable placement photos: mark one N; ","")&amp;IF($K300&lt;&gt;"Y","info: not usable (a person, screen or whiteboard may show): never used, delete the file; ","")&amp;IF(AND($D300="placement",$J300&lt;&gt;"Y"),"info: not usable as a placement photo (no card); ","")&amp;IF(AND($D300="placement",N($N300)&gt;2),"info: placed after the first business day; ","")&amp;IF(AND($D300="later",$N300&lt;&gt;"",OR(N($N300)&lt;3,N($N300)&gt;5)),"info: later photo outside day 3 to 5; ",""))</f>
        <v/>
      </c>
      <c r="R300" s="25">
        <f>IF($B300="","",$B300&amp;"|"&amp;$C300&amp;"|"&amp;$D300&amp;"|"&amp;$O300)</f>
        <v/>
      </c>
      <c r="S300" s="25">
        <f>IF($B300="","",$R300&amp;"|"&amp;N($E300))</f>
        <v/>
      </c>
    </row>
    <row r="301">
      <c r="E301" s="9" t="n"/>
      <c r="F301" s="33" t="n"/>
      <c r="I301" s="9" t="n"/>
      <c r="M301" s="26">
        <f>IF($B301="","",IFERROR(IF(INDEX(campaigns!$BG$2:$BG$51,MATCH($B301,campaigns!$A$2:$A$51,0))="","",INDEX(campaigns!$BG$2:$BG$51,MATCH($B301,campaigns!$A$2:$A$51,0))),""))</f>
        <v/>
      </c>
      <c r="N301" s="25">
        <f>IF(OR($B301="",$E301="",$M301=""),"",IF($E301&lt;$M301,0,NETWORKDAYS($M301,$E301,calendar!$A$2:$A$80)))</f>
        <v/>
      </c>
      <c r="O301" s="25">
        <f>IF($B301="","",IF(AND($K301="Y",OR($D301="later",$J301="Y")),"Y","N"))</f>
        <v/>
      </c>
      <c r="P301" s="25">
        <f>IF(OR($B301="",$E301=""),"",$B301&amp;"_"&amp;$C301&amp;"_"&amp;$D301&amp;"_"&amp;TEXT($E301,"yyyy-mm-dd")&amp;".jpg")</f>
        <v/>
      </c>
      <c r="Q301" s="25">
        <f>IF($B301="","",IF(COUNTIF(campaigns!$A$2:$A$51,$B301)=0,"campaign_id not on campaigns; ",IF(AND($C301&lt;&gt;"",COUNTIFS(approvals!$A$2:$A$251,$B301,approvals!$B$2:$B$251,$C301)=0),"office not on this campaign (approvals tab); ",""))&amp;IF($E301="","taken date missing; ","")&amp;IF(AND($H301&lt;&gt;"",$H301&lt;&gt;$P301),"file name differs from the convention; ","")&amp;IF(AND($D301="placement",$O301="Y",COUNTIF(photos!$R$2:$R$701,$R301)&gt;1),"two usable placement photos: mark one N; ","")&amp;IF($K301&lt;&gt;"Y","info: not usable (a person, screen or whiteboard may show): never used, delete the file; ","")&amp;IF(AND($D301="placement",$J301&lt;&gt;"Y"),"info: not usable as a placement photo (no card); ","")&amp;IF(AND($D301="placement",N($N301)&gt;2),"info: placed after the first business day; ","")&amp;IF(AND($D301="later",$N301&lt;&gt;"",OR(N($N301)&lt;3,N($N301)&gt;5)),"info: later photo outside day 3 to 5; ",""))</f>
        <v/>
      </c>
      <c r="R301" s="25">
        <f>IF($B301="","",$B301&amp;"|"&amp;$C301&amp;"|"&amp;$D301&amp;"|"&amp;$O301)</f>
        <v/>
      </c>
      <c r="S301" s="25">
        <f>IF($B301="","",$R301&amp;"|"&amp;N($E301))</f>
        <v/>
      </c>
    </row>
    <row r="302">
      <c r="E302" s="9" t="n"/>
      <c r="F302" s="33" t="n"/>
      <c r="I302" s="9" t="n"/>
      <c r="M302" s="26">
        <f>IF($B302="","",IFERROR(IF(INDEX(campaigns!$BG$2:$BG$51,MATCH($B302,campaigns!$A$2:$A$51,0))="","",INDEX(campaigns!$BG$2:$BG$51,MATCH($B302,campaigns!$A$2:$A$51,0))),""))</f>
        <v/>
      </c>
      <c r="N302" s="25">
        <f>IF(OR($B302="",$E302="",$M302=""),"",IF($E302&lt;$M302,0,NETWORKDAYS($M302,$E302,calendar!$A$2:$A$80)))</f>
        <v/>
      </c>
      <c r="O302" s="25">
        <f>IF($B302="","",IF(AND($K302="Y",OR($D302="later",$J302="Y")),"Y","N"))</f>
        <v/>
      </c>
      <c r="P302" s="25">
        <f>IF(OR($B302="",$E302=""),"",$B302&amp;"_"&amp;$C302&amp;"_"&amp;$D302&amp;"_"&amp;TEXT($E302,"yyyy-mm-dd")&amp;".jpg")</f>
        <v/>
      </c>
      <c r="Q302" s="25">
        <f>IF($B302="","",IF(COUNTIF(campaigns!$A$2:$A$51,$B302)=0,"campaign_id not on campaigns; ",IF(AND($C302&lt;&gt;"",COUNTIFS(approvals!$A$2:$A$251,$B302,approvals!$B$2:$B$251,$C302)=0),"office not on this campaign (approvals tab); ",""))&amp;IF($E302="","taken date missing; ","")&amp;IF(AND($H302&lt;&gt;"",$H302&lt;&gt;$P302),"file name differs from the convention; ","")&amp;IF(AND($D302="placement",$O302="Y",COUNTIF(photos!$R$2:$R$701,$R302)&gt;1),"two usable placement photos: mark one N; ","")&amp;IF($K302&lt;&gt;"Y","info: not usable (a person, screen or whiteboard may show): never used, delete the file; ","")&amp;IF(AND($D302="placement",$J302&lt;&gt;"Y"),"info: not usable as a placement photo (no card); ","")&amp;IF(AND($D302="placement",N($N302)&gt;2),"info: placed after the first business day; ","")&amp;IF(AND($D302="later",$N302&lt;&gt;"",OR(N($N302)&lt;3,N($N302)&gt;5)),"info: later photo outside day 3 to 5; ",""))</f>
        <v/>
      </c>
      <c r="R302" s="25">
        <f>IF($B302="","",$B302&amp;"|"&amp;$C302&amp;"|"&amp;$D302&amp;"|"&amp;$O302)</f>
        <v/>
      </c>
      <c r="S302" s="25">
        <f>IF($B302="","",$R302&amp;"|"&amp;N($E302))</f>
        <v/>
      </c>
    </row>
    <row r="303">
      <c r="E303" s="9" t="n"/>
      <c r="F303" s="33" t="n"/>
      <c r="I303" s="9" t="n"/>
      <c r="M303" s="26">
        <f>IF($B303="","",IFERROR(IF(INDEX(campaigns!$BG$2:$BG$51,MATCH($B303,campaigns!$A$2:$A$51,0))="","",INDEX(campaigns!$BG$2:$BG$51,MATCH($B303,campaigns!$A$2:$A$51,0))),""))</f>
        <v/>
      </c>
      <c r="N303" s="25">
        <f>IF(OR($B303="",$E303="",$M303=""),"",IF($E303&lt;$M303,0,NETWORKDAYS($M303,$E303,calendar!$A$2:$A$80)))</f>
        <v/>
      </c>
      <c r="O303" s="25">
        <f>IF($B303="","",IF(AND($K303="Y",OR($D303="later",$J303="Y")),"Y","N"))</f>
        <v/>
      </c>
      <c r="P303" s="25">
        <f>IF(OR($B303="",$E303=""),"",$B303&amp;"_"&amp;$C303&amp;"_"&amp;$D303&amp;"_"&amp;TEXT($E303,"yyyy-mm-dd")&amp;".jpg")</f>
        <v/>
      </c>
      <c r="Q303" s="25">
        <f>IF($B303="","",IF(COUNTIF(campaigns!$A$2:$A$51,$B303)=0,"campaign_id not on campaigns; ",IF(AND($C303&lt;&gt;"",COUNTIFS(approvals!$A$2:$A$251,$B303,approvals!$B$2:$B$251,$C303)=0),"office not on this campaign (approvals tab); ",""))&amp;IF($E303="","taken date missing; ","")&amp;IF(AND($H303&lt;&gt;"",$H303&lt;&gt;$P303),"file name differs from the convention; ","")&amp;IF(AND($D303="placement",$O303="Y",COUNTIF(photos!$R$2:$R$701,$R303)&gt;1),"two usable placement photos: mark one N; ","")&amp;IF($K303&lt;&gt;"Y","info: not usable (a person, screen or whiteboard may show): never used, delete the file; ","")&amp;IF(AND($D303="placement",$J303&lt;&gt;"Y"),"info: not usable as a placement photo (no card); ","")&amp;IF(AND($D303="placement",N($N303)&gt;2),"info: placed after the first business day; ","")&amp;IF(AND($D303="later",$N303&lt;&gt;"",OR(N($N303)&lt;3,N($N303)&gt;5)),"info: later photo outside day 3 to 5; ",""))</f>
        <v/>
      </c>
      <c r="R303" s="25">
        <f>IF($B303="","",$B303&amp;"|"&amp;$C303&amp;"|"&amp;$D303&amp;"|"&amp;$O303)</f>
        <v/>
      </c>
      <c r="S303" s="25">
        <f>IF($B303="","",$R303&amp;"|"&amp;N($E303))</f>
        <v/>
      </c>
    </row>
    <row r="304">
      <c r="E304" s="9" t="n"/>
      <c r="F304" s="33" t="n"/>
      <c r="I304" s="9" t="n"/>
      <c r="M304" s="26">
        <f>IF($B304="","",IFERROR(IF(INDEX(campaigns!$BG$2:$BG$51,MATCH($B304,campaigns!$A$2:$A$51,0))="","",INDEX(campaigns!$BG$2:$BG$51,MATCH($B304,campaigns!$A$2:$A$51,0))),""))</f>
        <v/>
      </c>
      <c r="N304" s="25">
        <f>IF(OR($B304="",$E304="",$M304=""),"",IF($E304&lt;$M304,0,NETWORKDAYS($M304,$E304,calendar!$A$2:$A$80)))</f>
        <v/>
      </c>
      <c r="O304" s="25">
        <f>IF($B304="","",IF(AND($K304="Y",OR($D304="later",$J304="Y")),"Y","N"))</f>
        <v/>
      </c>
      <c r="P304" s="25">
        <f>IF(OR($B304="",$E304=""),"",$B304&amp;"_"&amp;$C304&amp;"_"&amp;$D304&amp;"_"&amp;TEXT($E304,"yyyy-mm-dd")&amp;".jpg")</f>
        <v/>
      </c>
      <c r="Q304" s="25">
        <f>IF($B304="","",IF(COUNTIF(campaigns!$A$2:$A$51,$B304)=0,"campaign_id not on campaigns; ",IF(AND($C304&lt;&gt;"",COUNTIFS(approvals!$A$2:$A$251,$B304,approvals!$B$2:$B$251,$C304)=0),"office not on this campaign (approvals tab); ",""))&amp;IF($E304="","taken date missing; ","")&amp;IF(AND($H304&lt;&gt;"",$H304&lt;&gt;$P304),"file name differs from the convention; ","")&amp;IF(AND($D304="placement",$O304="Y",COUNTIF(photos!$R$2:$R$701,$R304)&gt;1),"two usable placement photos: mark one N; ","")&amp;IF($K304&lt;&gt;"Y","info: not usable (a person, screen or whiteboard may show): never used, delete the file; ","")&amp;IF(AND($D304="placement",$J304&lt;&gt;"Y"),"info: not usable as a placement photo (no card); ","")&amp;IF(AND($D304="placement",N($N304)&gt;2),"info: placed after the first business day; ","")&amp;IF(AND($D304="later",$N304&lt;&gt;"",OR(N($N304)&lt;3,N($N304)&gt;5)),"info: later photo outside day 3 to 5; ",""))</f>
        <v/>
      </c>
      <c r="R304" s="25">
        <f>IF($B304="","",$B304&amp;"|"&amp;$C304&amp;"|"&amp;$D304&amp;"|"&amp;$O304)</f>
        <v/>
      </c>
      <c r="S304" s="25">
        <f>IF($B304="","",$R304&amp;"|"&amp;N($E304))</f>
        <v/>
      </c>
    </row>
    <row r="305">
      <c r="E305" s="9" t="n"/>
      <c r="F305" s="33" t="n"/>
      <c r="I305" s="9" t="n"/>
      <c r="M305" s="26">
        <f>IF($B305="","",IFERROR(IF(INDEX(campaigns!$BG$2:$BG$51,MATCH($B305,campaigns!$A$2:$A$51,0))="","",INDEX(campaigns!$BG$2:$BG$51,MATCH($B305,campaigns!$A$2:$A$51,0))),""))</f>
        <v/>
      </c>
      <c r="N305" s="25">
        <f>IF(OR($B305="",$E305="",$M305=""),"",IF($E305&lt;$M305,0,NETWORKDAYS($M305,$E305,calendar!$A$2:$A$80)))</f>
        <v/>
      </c>
      <c r="O305" s="25">
        <f>IF($B305="","",IF(AND($K305="Y",OR($D305="later",$J305="Y")),"Y","N"))</f>
        <v/>
      </c>
      <c r="P305" s="25">
        <f>IF(OR($B305="",$E305=""),"",$B305&amp;"_"&amp;$C305&amp;"_"&amp;$D305&amp;"_"&amp;TEXT($E305,"yyyy-mm-dd")&amp;".jpg")</f>
        <v/>
      </c>
      <c r="Q305" s="25">
        <f>IF($B305="","",IF(COUNTIF(campaigns!$A$2:$A$51,$B305)=0,"campaign_id not on campaigns; ",IF(AND($C305&lt;&gt;"",COUNTIFS(approvals!$A$2:$A$251,$B305,approvals!$B$2:$B$251,$C305)=0),"office not on this campaign (approvals tab); ",""))&amp;IF($E305="","taken date missing; ","")&amp;IF(AND($H305&lt;&gt;"",$H305&lt;&gt;$P305),"file name differs from the convention; ","")&amp;IF(AND($D305="placement",$O305="Y",COUNTIF(photos!$R$2:$R$701,$R305)&gt;1),"two usable placement photos: mark one N; ","")&amp;IF($K305&lt;&gt;"Y","info: not usable (a person, screen or whiteboard may show): never used, delete the file; ","")&amp;IF(AND($D305="placement",$J305&lt;&gt;"Y"),"info: not usable as a placement photo (no card); ","")&amp;IF(AND($D305="placement",N($N305)&gt;2),"info: placed after the first business day; ","")&amp;IF(AND($D305="later",$N305&lt;&gt;"",OR(N($N305)&lt;3,N($N305)&gt;5)),"info: later photo outside day 3 to 5; ",""))</f>
        <v/>
      </c>
      <c r="R305" s="25">
        <f>IF($B305="","",$B305&amp;"|"&amp;$C305&amp;"|"&amp;$D305&amp;"|"&amp;$O305)</f>
        <v/>
      </c>
      <c r="S305" s="25">
        <f>IF($B305="","",$R305&amp;"|"&amp;N($E305))</f>
        <v/>
      </c>
    </row>
    <row r="306">
      <c r="E306" s="9" t="n"/>
      <c r="F306" s="33" t="n"/>
      <c r="I306" s="9" t="n"/>
      <c r="M306" s="26">
        <f>IF($B306="","",IFERROR(IF(INDEX(campaigns!$BG$2:$BG$51,MATCH($B306,campaigns!$A$2:$A$51,0))="","",INDEX(campaigns!$BG$2:$BG$51,MATCH($B306,campaigns!$A$2:$A$51,0))),""))</f>
        <v/>
      </c>
      <c r="N306" s="25">
        <f>IF(OR($B306="",$E306="",$M306=""),"",IF($E306&lt;$M306,0,NETWORKDAYS($M306,$E306,calendar!$A$2:$A$80)))</f>
        <v/>
      </c>
      <c r="O306" s="25">
        <f>IF($B306="","",IF(AND($K306="Y",OR($D306="later",$J306="Y")),"Y","N"))</f>
        <v/>
      </c>
      <c r="P306" s="25">
        <f>IF(OR($B306="",$E306=""),"",$B306&amp;"_"&amp;$C306&amp;"_"&amp;$D306&amp;"_"&amp;TEXT($E306,"yyyy-mm-dd")&amp;".jpg")</f>
        <v/>
      </c>
      <c r="Q306" s="25">
        <f>IF($B306="","",IF(COUNTIF(campaigns!$A$2:$A$51,$B306)=0,"campaign_id not on campaigns; ",IF(AND($C306&lt;&gt;"",COUNTIFS(approvals!$A$2:$A$251,$B306,approvals!$B$2:$B$251,$C306)=0),"office not on this campaign (approvals tab); ",""))&amp;IF($E306="","taken date missing; ","")&amp;IF(AND($H306&lt;&gt;"",$H306&lt;&gt;$P306),"file name differs from the convention; ","")&amp;IF(AND($D306="placement",$O306="Y",COUNTIF(photos!$R$2:$R$701,$R306)&gt;1),"two usable placement photos: mark one N; ","")&amp;IF($K306&lt;&gt;"Y","info: not usable (a person, screen or whiteboard may show): never used, delete the file; ","")&amp;IF(AND($D306="placement",$J306&lt;&gt;"Y"),"info: not usable as a placement photo (no card); ","")&amp;IF(AND($D306="placement",N($N306)&gt;2),"info: placed after the first business day; ","")&amp;IF(AND($D306="later",$N306&lt;&gt;"",OR(N($N306)&lt;3,N($N306)&gt;5)),"info: later photo outside day 3 to 5; ",""))</f>
        <v/>
      </c>
      <c r="R306" s="25">
        <f>IF($B306="","",$B306&amp;"|"&amp;$C306&amp;"|"&amp;$D306&amp;"|"&amp;$O306)</f>
        <v/>
      </c>
      <c r="S306" s="25">
        <f>IF($B306="","",$R306&amp;"|"&amp;N($E306))</f>
        <v/>
      </c>
    </row>
    <row r="307">
      <c r="E307" s="9" t="n"/>
      <c r="F307" s="33" t="n"/>
      <c r="I307" s="9" t="n"/>
      <c r="M307" s="26">
        <f>IF($B307="","",IFERROR(IF(INDEX(campaigns!$BG$2:$BG$51,MATCH($B307,campaigns!$A$2:$A$51,0))="","",INDEX(campaigns!$BG$2:$BG$51,MATCH($B307,campaigns!$A$2:$A$51,0))),""))</f>
        <v/>
      </c>
      <c r="N307" s="25">
        <f>IF(OR($B307="",$E307="",$M307=""),"",IF($E307&lt;$M307,0,NETWORKDAYS($M307,$E307,calendar!$A$2:$A$80)))</f>
        <v/>
      </c>
      <c r="O307" s="25">
        <f>IF($B307="","",IF(AND($K307="Y",OR($D307="later",$J307="Y")),"Y","N"))</f>
        <v/>
      </c>
      <c r="P307" s="25">
        <f>IF(OR($B307="",$E307=""),"",$B307&amp;"_"&amp;$C307&amp;"_"&amp;$D307&amp;"_"&amp;TEXT($E307,"yyyy-mm-dd")&amp;".jpg")</f>
        <v/>
      </c>
      <c r="Q307" s="25">
        <f>IF($B307="","",IF(COUNTIF(campaigns!$A$2:$A$51,$B307)=0,"campaign_id not on campaigns; ",IF(AND($C307&lt;&gt;"",COUNTIFS(approvals!$A$2:$A$251,$B307,approvals!$B$2:$B$251,$C307)=0),"office not on this campaign (approvals tab); ",""))&amp;IF($E307="","taken date missing; ","")&amp;IF(AND($H307&lt;&gt;"",$H307&lt;&gt;$P307),"file name differs from the convention; ","")&amp;IF(AND($D307="placement",$O307="Y",COUNTIF(photos!$R$2:$R$701,$R307)&gt;1),"two usable placement photos: mark one N; ","")&amp;IF($K307&lt;&gt;"Y","info: not usable (a person, screen or whiteboard may show): never used, delete the file; ","")&amp;IF(AND($D307="placement",$J307&lt;&gt;"Y"),"info: not usable as a placement photo (no card); ","")&amp;IF(AND($D307="placement",N($N307)&gt;2),"info: placed after the first business day; ","")&amp;IF(AND($D307="later",$N307&lt;&gt;"",OR(N($N307)&lt;3,N($N307)&gt;5)),"info: later photo outside day 3 to 5; ",""))</f>
        <v/>
      </c>
      <c r="R307" s="25">
        <f>IF($B307="","",$B307&amp;"|"&amp;$C307&amp;"|"&amp;$D307&amp;"|"&amp;$O307)</f>
        <v/>
      </c>
      <c r="S307" s="25">
        <f>IF($B307="","",$R307&amp;"|"&amp;N($E307))</f>
        <v/>
      </c>
    </row>
    <row r="308">
      <c r="E308" s="9" t="n"/>
      <c r="F308" s="33" t="n"/>
      <c r="I308" s="9" t="n"/>
      <c r="M308" s="26">
        <f>IF($B308="","",IFERROR(IF(INDEX(campaigns!$BG$2:$BG$51,MATCH($B308,campaigns!$A$2:$A$51,0))="","",INDEX(campaigns!$BG$2:$BG$51,MATCH($B308,campaigns!$A$2:$A$51,0))),""))</f>
        <v/>
      </c>
      <c r="N308" s="25">
        <f>IF(OR($B308="",$E308="",$M308=""),"",IF($E308&lt;$M308,0,NETWORKDAYS($M308,$E308,calendar!$A$2:$A$80)))</f>
        <v/>
      </c>
      <c r="O308" s="25">
        <f>IF($B308="","",IF(AND($K308="Y",OR($D308="later",$J308="Y")),"Y","N"))</f>
        <v/>
      </c>
      <c r="P308" s="25">
        <f>IF(OR($B308="",$E308=""),"",$B308&amp;"_"&amp;$C308&amp;"_"&amp;$D308&amp;"_"&amp;TEXT($E308,"yyyy-mm-dd")&amp;".jpg")</f>
        <v/>
      </c>
      <c r="Q308" s="25">
        <f>IF($B308="","",IF(COUNTIF(campaigns!$A$2:$A$51,$B308)=0,"campaign_id not on campaigns; ",IF(AND($C308&lt;&gt;"",COUNTIFS(approvals!$A$2:$A$251,$B308,approvals!$B$2:$B$251,$C308)=0),"office not on this campaign (approvals tab); ",""))&amp;IF($E308="","taken date missing; ","")&amp;IF(AND($H308&lt;&gt;"",$H308&lt;&gt;$P308),"file name differs from the convention; ","")&amp;IF(AND($D308="placement",$O308="Y",COUNTIF(photos!$R$2:$R$701,$R308)&gt;1),"two usable placement photos: mark one N; ","")&amp;IF($K308&lt;&gt;"Y","info: not usable (a person, screen or whiteboard may show): never used, delete the file; ","")&amp;IF(AND($D308="placement",$J308&lt;&gt;"Y"),"info: not usable as a placement photo (no card); ","")&amp;IF(AND($D308="placement",N($N308)&gt;2),"info: placed after the first business day; ","")&amp;IF(AND($D308="later",$N308&lt;&gt;"",OR(N($N308)&lt;3,N($N308)&gt;5)),"info: later photo outside day 3 to 5; ",""))</f>
        <v/>
      </c>
      <c r="R308" s="25">
        <f>IF($B308="","",$B308&amp;"|"&amp;$C308&amp;"|"&amp;$D308&amp;"|"&amp;$O308)</f>
        <v/>
      </c>
      <c r="S308" s="25">
        <f>IF($B308="","",$R308&amp;"|"&amp;N($E308))</f>
        <v/>
      </c>
    </row>
    <row r="309">
      <c r="E309" s="9" t="n"/>
      <c r="F309" s="33" t="n"/>
      <c r="I309" s="9" t="n"/>
      <c r="M309" s="26">
        <f>IF($B309="","",IFERROR(IF(INDEX(campaigns!$BG$2:$BG$51,MATCH($B309,campaigns!$A$2:$A$51,0))="","",INDEX(campaigns!$BG$2:$BG$51,MATCH($B309,campaigns!$A$2:$A$51,0))),""))</f>
        <v/>
      </c>
      <c r="N309" s="25">
        <f>IF(OR($B309="",$E309="",$M309=""),"",IF($E309&lt;$M309,0,NETWORKDAYS($M309,$E309,calendar!$A$2:$A$80)))</f>
        <v/>
      </c>
      <c r="O309" s="25">
        <f>IF($B309="","",IF(AND($K309="Y",OR($D309="later",$J309="Y")),"Y","N"))</f>
        <v/>
      </c>
      <c r="P309" s="25">
        <f>IF(OR($B309="",$E309=""),"",$B309&amp;"_"&amp;$C309&amp;"_"&amp;$D309&amp;"_"&amp;TEXT($E309,"yyyy-mm-dd")&amp;".jpg")</f>
        <v/>
      </c>
      <c r="Q309" s="25">
        <f>IF($B309="","",IF(COUNTIF(campaigns!$A$2:$A$51,$B309)=0,"campaign_id not on campaigns; ",IF(AND($C309&lt;&gt;"",COUNTIFS(approvals!$A$2:$A$251,$B309,approvals!$B$2:$B$251,$C309)=0),"office not on this campaign (approvals tab); ",""))&amp;IF($E309="","taken date missing; ","")&amp;IF(AND($H309&lt;&gt;"",$H309&lt;&gt;$P309),"file name differs from the convention; ","")&amp;IF(AND($D309="placement",$O309="Y",COUNTIF(photos!$R$2:$R$701,$R309)&gt;1),"two usable placement photos: mark one N; ","")&amp;IF($K309&lt;&gt;"Y","info: not usable (a person, screen or whiteboard may show): never used, delete the file; ","")&amp;IF(AND($D309="placement",$J309&lt;&gt;"Y"),"info: not usable as a placement photo (no card); ","")&amp;IF(AND($D309="placement",N($N309)&gt;2),"info: placed after the first business day; ","")&amp;IF(AND($D309="later",$N309&lt;&gt;"",OR(N($N309)&lt;3,N($N309)&gt;5)),"info: later photo outside day 3 to 5; ",""))</f>
        <v/>
      </c>
      <c r="R309" s="25">
        <f>IF($B309="","",$B309&amp;"|"&amp;$C309&amp;"|"&amp;$D309&amp;"|"&amp;$O309)</f>
        <v/>
      </c>
      <c r="S309" s="25">
        <f>IF($B309="","",$R309&amp;"|"&amp;N($E309))</f>
        <v/>
      </c>
    </row>
    <row r="310">
      <c r="E310" s="9" t="n"/>
      <c r="F310" s="33" t="n"/>
      <c r="I310" s="9" t="n"/>
      <c r="M310" s="26">
        <f>IF($B310="","",IFERROR(IF(INDEX(campaigns!$BG$2:$BG$51,MATCH($B310,campaigns!$A$2:$A$51,0))="","",INDEX(campaigns!$BG$2:$BG$51,MATCH($B310,campaigns!$A$2:$A$51,0))),""))</f>
        <v/>
      </c>
      <c r="N310" s="25">
        <f>IF(OR($B310="",$E310="",$M310=""),"",IF($E310&lt;$M310,0,NETWORKDAYS($M310,$E310,calendar!$A$2:$A$80)))</f>
        <v/>
      </c>
      <c r="O310" s="25">
        <f>IF($B310="","",IF(AND($K310="Y",OR($D310="later",$J310="Y")),"Y","N"))</f>
        <v/>
      </c>
      <c r="P310" s="25">
        <f>IF(OR($B310="",$E310=""),"",$B310&amp;"_"&amp;$C310&amp;"_"&amp;$D310&amp;"_"&amp;TEXT($E310,"yyyy-mm-dd")&amp;".jpg")</f>
        <v/>
      </c>
      <c r="Q310" s="25">
        <f>IF($B310="","",IF(COUNTIF(campaigns!$A$2:$A$51,$B310)=0,"campaign_id not on campaigns; ",IF(AND($C310&lt;&gt;"",COUNTIFS(approvals!$A$2:$A$251,$B310,approvals!$B$2:$B$251,$C310)=0),"office not on this campaign (approvals tab); ",""))&amp;IF($E310="","taken date missing; ","")&amp;IF(AND($H310&lt;&gt;"",$H310&lt;&gt;$P310),"file name differs from the convention; ","")&amp;IF(AND($D310="placement",$O310="Y",COUNTIF(photos!$R$2:$R$701,$R310)&gt;1),"two usable placement photos: mark one N; ","")&amp;IF($K310&lt;&gt;"Y","info: not usable (a person, screen or whiteboard may show): never used, delete the file; ","")&amp;IF(AND($D310="placement",$J310&lt;&gt;"Y"),"info: not usable as a placement photo (no card); ","")&amp;IF(AND($D310="placement",N($N310)&gt;2),"info: placed after the first business day; ","")&amp;IF(AND($D310="later",$N310&lt;&gt;"",OR(N($N310)&lt;3,N($N310)&gt;5)),"info: later photo outside day 3 to 5; ",""))</f>
        <v/>
      </c>
      <c r="R310" s="25">
        <f>IF($B310="","",$B310&amp;"|"&amp;$C310&amp;"|"&amp;$D310&amp;"|"&amp;$O310)</f>
        <v/>
      </c>
      <c r="S310" s="25">
        <f>IF($B310="","",$R310&amp;"|"&amp;N($E310))</f>
        <v/>
      </c>
    </row>
    <row r="311">
      <c r="E311" s="9" t="n"/>
      <c r="F311" s="33" t="n"/>
      <c r="I311" s="9" t="n"/>
      <c r="M311" s="26">
        <f>IF($B311="","",IFERROR(IF(INDEX(campaigns!$BG$2:$BG$51,MATCH($B311,campaigns!$A$2:$A$51,0))="","",INDEX(campaigns!$BG$2:$BG$51,MATCH($B311,campaigns!$A$2:$A$51,0))),""))</f>
        <v/>
      </c>
      <c r="N311" s="25">
        <f>IF(OR($B311="",$E311="",$M311=""),"",IF($E311&lt;$M311,0,NETWORKDAYS($M311,$E311,calendar!$A$2:$A$80)))</f>
        <v/>
      </c>
      <c r="O311" s="25">
        <f>IF($B311="","",IF(AND($K311="Y",OR($D311="later",$J311="Y")),"Y","N"))</f>
        <v/>
      </c>
      <c r="P311" s="25">
        <f>IF(OR($B311="",$E311=""),"",$B311&amp;"_"&amp;$C311&amp;"_"&amp;$D311&amp;"_"&amp;TEXT($E311,"yyyy-mm-dd")&amp;".jpg")</f>
        <v/>
      </c>
      <c r="Q311" s="25">
        <f>IF($B311="","",IF(COUNTIF(campaigns!$A$2:$A$51,$B311)=0,"campaign_id not on campaigns; ",IF(AND($C311&lt;&gt;"",COUNTIFS(approvals!$A$2:$A$251,$B311,approvals!$B$2:$B$251,$C311)=0),"office not on this campaign (approvals tab); ",""))&amp;IF($E311="","taken date missing; ","")&amp;IF(AND($H311&lt;&gt;"",$H311&lt;&gt;$P311),"file name differs from the convention; ","")&amp;IF(AND($D311="placement",$O311="Y",COUNTIF(photos!$R$2:$R$701,$R311)&gt;1),"two usable placement photos: mark one N; ","")&amp;IF($K311&lt;&gt;"Y","info: not usable (a person, screen or whiteboard may show): never used, delete the file; ","")&amp;IF(AND($D311="placement",$J311&lt;&gt;"Y"),"info: not usable as a placement photo (no card); ","")&amp;IF(AND($D311="placement",N($N311)&gt;2),"info: placed after the first business day; ","")&amp;IF(AND($D311="later",$N311&lt;&gt;"",OR(N($N311)&lt;3,N($N311)&gt;5)),"info: later photo outside day 3 to 5; ",""))</f>
        <v/>
      </c>
      <c r="R311" s="25">
        <f>IF($B311="","",$B311&amp;"|"&amp;$C311&amp;"|"&amp;$D311&amp;"|"&amp;$O311)</f>
        <v/>
      </c>
      <c r="S311" s="25">
        <f>IF($B311="","",$R311&amp;"|"&amp;N($E311))</f>
        <v/>
      </c>
    </row>
    <row r="312">
      <c r="E312" s="9" t="n"/>
      <c r="F312" s="33" t="n"/>
      <c r="I312" s="9" t="n"/>
      <c r="M312" s="26">
        <f>IF($B312="","",IFERROR(IF(INDEX(campaigns!$BG$2:$BG$51,MATCH($B312,campaigns!$A$2:$A$51,0))="","",INDEX(campaigns!$BG$2:$BG$51,MATCH($B312,campaigns!$A$2:$A$51,0))),""))</f>
        <v/>
      </c>
      <c r="N312" s="25">
        <f>IF(OR($B312="",$E312="",$M312=""),"",IF($E312&lt;$M312,0,NETWORKDAYS($M312,$E312,calendar!$A$2:$A$80)))</f>
        <v/>
      </c>
      <c r="O312" s="25">
        <f>IF($B312="","",IF(AND($K312="Y",OR($D312="later",$J312="Y")),"Y","N"))</f>
        <v/>
      </c>
      <c r="P312" s="25">
        <f>IF(OR($B312="",$E312=""),"",$B312&amp;"_"&amp;$C312&amp;"_"&amp;$D312&amp;"_"&amp;TEXT($E312,"yyyy-mm-dd")&amp;".jpg")</f>
        <v/>
      </c>
      <c r="Q312" s="25">
        <f>IF($B312="","",IF(COUNTIF(campaigns!$A$2:$A$51,$B312)=0,"campaign_id not on campaigns; ",IF(AND($C312&lt;&gt;"",COUNTIFS(approvals!$A$2:$A$251,$B312,approvals!$B$2:$B$251,$C312)=0),"office not on this campaign (approvals tab); ",""))&amp;IF($E312="","taken date missing; ","")&amp;IF(AND($H312&lt;&gt;"",$H312&lt;&gt;$P312),"file name differs from the convention; ","")&amp;IF(AND($D312="placement",$O312="Y",COUNTIF(photos!$R$2:$R$701,$R312)&gt;1),"two usable placement photos: mark one N; ","")&amp;IF($K312&lt;&gt;"Y","info: not usable (a person, screen or whiteboard may show): never used, delete the file; ","")&amp;IF(AND($D312="placement",$J312&lt;&gt;"Y"),"info: not usable as a placement photo (no card); ","")&amp;IF(AND($D312="placement",N($N312)&gt;2),"info: placed after the first business day; ","")&amp;IF(AND($D312="later",$N312&lt;&gt;"",OR(N($N312)&lt;3,N($N312)&gt;5)),"info: later photo outside day 3 to 5; ",""))</f>
        <v/>
      </c>
      <c r="R312" s="25">
        <f>IF($B312="","",$B312&amp;"|"&amp;$C312&amp;"|"&amp;$D312&amp;"|"&amp;$O312)</f>
        <v/>
      </c>
      <c r="S312" s="25">
        <f>IF($B312="","",$R312&amp;"|"&amp;N($E312))</f>
        <v/>
      </c>
    </row>
    <row r="313">
      <c r="E313" s="9" t="n"/>
      <c r="F313" s="33" t="n"/>
      <c r="I313" s="9" t="n"/>
      <c r="M313" s="26">
        <f>IF($B313="","",IFERROR(IF(INDEX(campaigns!$BG$2:$BG$51,MATCH($B313,campaigns!$A$2:$A$51,0))="","",INDEX(campaigns!$BG$2:$BG$51,MATCH($B313,campaigns!$A$2:$A$51,0))),""))</f>
        <v/>
      </c>
      <c r="N313" s="25">
        <f>IF(OR($B313="",$E313="",$M313=""),"",IF($E313&lt;$M313,0,NETWORKDAYS($M313,$E313,calendar!$A$2:$A$80)))</f>
        <v/>
      </c>
      <c r="O313" s="25">
        <f>IF($B313="","",IF(AND($K313="Y",OR($D313="later",$J313="Y")),"Y","N"))</f>
        <v/>
      </c>
      <c r="P313" s="25">
        <f>IF(OR($B313="",$E313=""),"",$B313&amp;"_"&amp;$C313&amp;"_"&amp;$D313&amp;"_"&amp;TEXT($E313,"yyyy-mm-dd")&amp;".jpg")</f>
        <v/>
      </c>
      <c r="Q313" s="25">
        <f>IF($B313="","",IF(COUNTIF(campaigns!$A$2:$A$51,$B313)=0,"campaign_id not on campaigns; ",IF(AND($C313&lt;&gt;"",COUNTIFS(approvals!$A$2:$A$251,$B313,approvals!$B$2:$B$251,$C313)=0),"office not on this campaign (approvals tab); ",""))&amp;IF($E313="","taken date missing; ","")&amp;IF(AND($H313&lt;&gt;"",$H313&lt;&gt;$P313),"file name differs from the convention; ","")&amp;IF(AND($D313="placement",$O313="Y",COUNTIF(photos!$R$2:$R$701,$R313)&gt;1),"two usable placement photos: mark one N; ","")&amp;IF($K313&lt;&gt;"Y","info: not usable (a person, screen or whiteboard may show): never used, delete the file; ","")&amp;IF(AND($D313="placement",$J313&lt;&gt;"Y"),"info: not usable as a placement photo (no card); ","")&amp;IF(AND($D313="placement",N($N313)&gt;2),"info: placed after the first business day; ","")&amp;IF(AND($D313="later",$N313&lt;&gt;"",OR(N($N313)&lt;3,N($N313)&gt;5)),"info: later photo outside day 3 to 5; ",""))</f>
        <v/>
      </c>
      <c r="R313" s="25">
        <f>IF($B313="","",$B313&amp;"|"&amp;$C313&amp;"|"&amp;$D313&amp;"|"&amp;$O313)</f>
        <v/>
      </c>
      <c r="S313" s="25">
        <f>IF($B313="","",$R313&amp;"|"&amp;N($E313))</f>
        <v/>
      </c>
    </row>
    <row r="314">
      <c r="E314" s="9" t="n"/>
      <c r="F314" s="33" t="n"/>
      <c r="I314" s="9" t="n"/>
      <c r="M314" s="26">
        <f>IF($B314="","",IFERROR(IF(INDEX(campaigns!$BG$2:$BG$51,MATCH($B314,campaigns!$A$2:$A$51,0))="","",INDEX(campaigns!$BG$2:$BG$51,MATCH($B314,campaigns!$A$2:$A$51,0))),""))</f>
        <v/>
      </c>
      <c r="N314" s="25">
        <f>IF(OR($B314="",$E314="",$M314=""),"",IF($E314&lt;$M314,0,NETWORKDAYS($M314,$E314,calendar!$A$2:$A$80)))</f>
        <v/>
      </c>
      <c r="O314" s="25">
        <f>IF($B314="","",IF(AND($K314="Y",OR($D314="later",$J314="Y")),"Y","N"))</f>
        <v/>
      </c>
      <c r="P314" s="25">
        <f>IF(OR($B314="",$E314=""),"",$B314&amp;"_"&amp;$C314&amp;"_"&amp;$D314&amp;"_"&amp;TEXT($E314,"yyyy-mm-dd")&amp;".jpg")</f>
        <v/>
      </c>
      <c r="Q314" s="25">
        <f>IF($B314="","",IF(COUNTIF(campaigns!$A$2:$A$51,$B314)=0,"campaign_id not on campaigns; ",IF(AND($C314&lt;&gt;"",COUNTIFS(approvals!$A$2:$A$251,$B314,approvals!$B$2:$B$251,$C314)=0),"office not on this campaign (approvals tab); ",""))&amp;IF($E314="","taken date missing; ","")&amp;IF(AND($H314&lt;&gt;"",$H314&lt;&gt;$P314),"file name differs from the convention; ","")&amp;IF(AND($D314="placement",$O314="Y",COUNTIF(photos!$R$2:$R$701,$R314)&gt;1),"two usable placement photos: mark one N; ","")&amp;IF($K314&lt;&gt;"Y","info: not usable (a person, screen or whiteboard may show): never used, delete the file; ","")&amp;IF(AND($D314="placement",$J314&lt;&gt;"Y"),"info: not usable as a placement photo (no card); ","")&amp;IF(AND($D314="placement",N($N314)&gt;2),"info: placed after the first business day; ","")&amp;IF(AND($D314="later",$N314&lt;&gt;"",OR(N($N314)&lt;3,N($N314)&gt;5)),"info: later photo outside day 3 to 5; ",""))</f>
        <v/>
      </c>
      <c r="R314" s="25">
        <f>IF($B314="","",$B314&amp;"|"&amp;$C314&amp;"|"&amp;$D314&amp;"|"&amp;$O314)</f>
        <v/>
      </c>
      <c r="S314" s="25">
        <f>IF($B314="","",$R314&amp;"|"&amp;N($E314))</f>
        <v/>
      </c>
    </row>
    <row r="315">
      <c r="E315" s="9" t="n"/>
      <c r="F315" s="33" t="n"/>
      <c r="I315" s="9" t="n"/>
      <c r="M315" s="26">
        <f>IF($B315="","",IFERROR(IF(INDEX(campaigns!$BG$2:$BG$51,MATCH($B315,campaigns!$A$2:$A$51,0))="","",INDEX(campaigns!$BG$2:$BG$51,MATCH($B315,campaigns!$A$2:$A$51,0))),""))</f>
        <v/>
      </c>
      <c r="N315" s="25">
        <f>IF(OR($B315="",$E315="",$M315=""),"",IF($E315&lt;$M315,0,NETWORKDAYS($M315,$E315,calendar!$A$2:$A$80)))</f>
        <v/>
      </c>
      <c r="O315" s="25">
        <f>IF($B315="","",IF(AND($K315="Y",OR($D315="later",$J315="Y")),"Y","N"))</f>
        <v/>
      </c>
      <c r="P315" s="25">
        <f>IF(OR($B315="",$E315=""),"",$B315&amp;"_"&amp;$C315&amp;"_"&amp;$D315&amp;"_"&amp;TEXT($E315,"yyyy-mm-dd")&amp;".jpg")</f>
        <v/>
      </c>
      <c r="Q315" s="25">
        <f>IF($B315="","",IF(COUNTIF(campaigns!$A$2:$A$51,$B315)=0,"campaign_id not on campaigns; ",IF(AND($C315&lt;&gt;"",COUNTIFS(approvals!$A$2:$A$251,$B315,approvals!$B$2:$B$251,$C315)=0),"office not on this campaign (approvals tab); ",""))&amp;IF($E315="","taken date missing; ","")&amp;IF(AND($H315&lt;&gt;"",$H315&lt;&gt;$P315),"file name differs from the convention; ","")&amp;IF(AND($D315="placement",$O315="Y",COUNTIF(photos!$R$2:$R$701,$R315)&gt;1),"two usable placement photos: mark one N; ","")&amp;IF($K315&lt;&gt;"Y","info: not usable (a person, screen or whiteboard may show): never used, delete the file; ","")&amp;IF(AND($D315="placement",$J315&lt;&gt;"Y"),"info: not usable as a placement photo (no card); ","")&amp;IF(AND($D315="placement",N($N315)&gt;2),"info: placed after the first business day; ","")&amp;IF(AND($D315="later",$N315&lt;&gt;"",OR(N($N315)&lt;3,N($N315)&gt;5)),"info: later photo outside day 3 to 5; ",""))</f>
        <v/>
      </c>
      <c r="R315" s="25">
        <f>IF($B315="","",$B315&amp;"|"&amp;$C315&amp;"|"&amp;$D315&amp;"|"&amp;$O315)</f>
        <v/>
      </c>
      <c r="S315" s="25">
        <f>IF($B315="","",$R315&amp;"|"&amp;N($E315))</f>
        <v/>
      </c>
    </row>
    <row r="316">
      <c r="E316" s="9" t="n"/>
      <c r="F316" s="33" t="n"/>
      <c r="I316" s="9" t="n"/>
      <c r="M316" s="26">
        <f>IF($B316="","",IFERROR(IF(INDEX(campaigns!$BG$2:$BG$51,MATCH($B316,campaigns!$A$2:$A$51,0))="","",INDEX(campaigns!$BG$2:$BG$51,MATCH($B316,campaigns!$A$2:$A$51,0))),""))</f>
        <v/>
      </c>
      <c r="N316" s="25">
        <f>IF(OR($B316="",$E316="",$M316=""),"",IF($E316&lt;$M316,0,NETWORKDAYS($M316,$E316,calendar!$A$2:$A$80)))</f>
        <v/>
      </c>
      <c r="O316" s="25">
        <f>IF($B316="","",IF(AND($K316="Y",OR($D316="later",$J316="Y")),"Y","N"))</f>
        <v/>
      </c>
      <c r="P316" s="25">
        <f>IF(OR($B316="",$E316=""),"",$B316&amp;"_"&amp;$C316&amp;"_"&amp;$D316&amp;"_"&amp;TEXT($E316,"yyyy-mm-dd")&amp;".jpg")</f>
        <v/>
      </c>
      <c r="Q316" s="25">
        <f>IF($B316="","",IF(COUNTIF(campaigns!$A$2:$A$51,$B316)=0,"campaign_id not on campaigns; ",IF(AND($C316&lt;&gt;"",COUNTIFS(approvals!$A$2:$A$251,$B316,approvals!$B$2:$B$251,$C316)=0),"office not on this campaign (approvals tab); ",""))&amp;IF($E316="","taken date missing; ","")&amp;IF(AND($H316&lt;&gt;"",$H316&lt;&gt;$P316),"file name differs from the convention; ","")&amp;IF(AND($D316="placement",$O316="Y",COUNTIF(photos!$R$2:$R$701,$R316)&gt;1),"two usable placement photos: mark one N; ","")&amp;IF($K316&lt;&gt;"Y","info: not usable (a person, screen or whiteboard may show): never used, delete the file; ","")&amp;IF(AND($D316="placement",$J316&lt;&gt;"Y"),"info: not usable as a placement photo (no card); ","")&amp;IF(AND($D316="placement",N($N316)&gt;2),"info: placed after the first business day; ","")&amp;IF(AND($D316="later",$N316&lt;&gt;"",OR(N($N316)&lt;3,N($N316)&gt;5)),"info: later photo outside day 3 to 5; ",""))</f>
        <v/>
      </c>
      <c r="R316" s="25">
        <f>IF($B316="","",$B316&amp;"|"&amp;$C316&amp;"|"&amp;$D316&amp;"|"&amp;$O316)</f>
        <v/>
      </c>
      <c r="S316" s="25">
        <f>IF($B316="","",$R316&amp;"|"&amp;N($E316))</f>
        <v/>
      </c>
    </row>
    <row r="317">
      <c r="E317" s="9" t="n"/>
      <c r="F317" s="33" t="n"/>
      <c r="I317" s="9" t="n"/>
      <c r="M317" s="26">
        <f>IF($B317="","",IFERROR(IF(INDEX(campaigns!$BG$2:$BG$51,MATCH($B317,campaigns!$A$2:$A$51,0))="","",INDEX(campaigns!$BG$2:$BG$51,MATCH($B317,campaigns!$A$2:$A$51,0))),""))</f>
        <v/>
      </c>
      <c r="N317" s="25">
        <f>IF(OR($B317="",$E317="",$M317=""),"",IF($E317&lt;$M317,0,NETWORKDAYS($M317,$E317,calendar!$A$2:$A$80)))</f>
        <v/>
      </c>
      <c r="O317" s="25">
        <f>IF($B317="","",IF(AND($K317="Y",OR($D317="later",$J317="Y")),"Y","N"))</f>
        <v/>
      </c>
      <c r="P317" s="25">
        <f>IF(OR($B317="",$E317=""),"",$B317&amp;"_"&amp;$C317&amp;"_"&amp;$D317&amp;"_"&amp;TEXT($E317,"yyyy-mm-dd")&amp;".jpg")</f>
        <v/>
      </c>
      <c r="Q317" s="25">
        <f>IF($B317="","",IF(COUNTIF(campaigns!$A$2:$A$51,$B317)=0,"campaign_id not on campaigns; ",IF(AND($C317&lt;&gt;"",COUNTIFS(approvals!$A$2:$A$251,$B317,approvals!$B$2:$B$251,$C317)=0),"office not on this campaign (approvals tab); ",""))&amp;IF($E317="","taken date missing; ","")&amp;IF(AND($H317&lt;&gt;"",$H317&lt;&gt;$P317),"file name differs from the convention; ","")&amp;IF(AND($D317="placement",$O317="Y",COUNTIF(photos!$R$2:$R$701,$R317)&gt;1),"two usable placement photos: mark one N; ","")&amp;IF($K317&lt;&gt;"Y","info: not usable (a person, screen or whiteboard may show): never used, delete the file; ","")&amp;IF(AND($D317="placement",$J317&lt;&gt;"Y"),"info: not usable as a placement photo (no card); ","")&amp;IF(AND($D317="placement",N($N317)&gt;2),"info: placed after the first business day; ","")&amp;IF(AND($D317="later",$N317&lt;&gt;"",OR(N($N317)&lt;3,N($N317)&gt;5)),"info: later photo outside day 3 to 5; ",""))</f>
        <v/>
      </c>
      <c r="R317" s="25">
        <f>IF($B317="","",$B317&amp;"|"&amp;$C317&amp;"|"&amp;$D317&amp;"|"&amp;$O317)</f>
        <v/>
      </c>
      <c r="S317" s="25">
        <f>IF($B317="","",$R317&amp;"|"&amp;N($E317))</f>
        <v/>
      </c>
    </row>
    <row r="318">
      <c r="E318" s="9" t="n"/>
      <c r="F318" s="33" t="n"/>
      <c r="I318" s="9" t="n"/>
      <c r="M318" s="26">
        <f>IF($B318="","",IFERROR(IF(INDEX(campaigns!$BG$2:$BG$51,MATCH($B318,campaigns!$A$2:$A$51,0))="","",INDEX(campaigns!$BG$2:$BG$51,MATCH($B318,campaigns!$A$2:$A$51,0))),""))</f>
        <v/>
      </c>
      <c r="N318" s="25">
        <f>IF(OR($B318="",$E318="",$M318=""),"",IF($E318&lt;$M318,0,NETWORKDAYS($M318,$E318,calendar!$A$2:$A$80)))</f>
        <v/>
      </c>
      <c r="O318" s="25">
        <f>IF($B318="","",IF(AND($K318="Y",OR($D318="later",$J318="Y")),"Y","N"))</f>
        <v/>
      </c>
      <c r="P318" s="25">
        <f>IF(OR($B318="",$E318=""),"",$B318&amp;"_"&amp;$C318&amp;"_"&amp;$D318&amp;"_"&amp;TEXT($E318,"yyyy-mm-dd")&amp;".jpg")</f>
        <v/>
      </c>
      <c r="Q318" s="25">
        <f>IF($B318="","",IF(COUNTIF(campaigns!$A$2:$A$51,$B318)=0,"campaign_id not on campaigns; ",IF(AND($C318&lt;&gt;"",COUNTIFS(approvals!$A$2:$A$251,$B318,approvals!$B$2:$B$251,$C318)=0),"office not on this campaign (approvals tab); ",""))&amp;IF($E318="","taken date missing; ","")&amp;IF(AND($H318&lt;&gt;"",$H318&lt;&gt;$P318),"file name differs from the convention; ","")&amp;IF(AND($D318="placement",$O318="Y",COUNTIF(photos!$R$2:$R$701,$R318)&gt;1),"two usable placement photos: mark one N; ","")&amp;IF($K318&lt;&gt;"Y","info: not usable (a person, screen or whiteboard may show): never used, delete the file; ","")&amp;IF(AND($D318="placement",$J318&lt;&gt;"Y"),"info: not usable as a placement photo (no card); ","")&amp;IF(AND($D318="placement",N($N318)&gt;2),"info: placed after the first business day; ","")&amp;IF(AND($D318="later",$N318&lt;&gt;"",OR(N($N318)&lt;3,N($N318)&gt;5)),"info: later photo outside day 3 to 5; ",""))</f>
        <v/>
      </c>
      <c r="R318" s="25">
        <f>IF($B318="","",$B318&amp;"|"&amp;$C318&amp;"|"&amp;$D318&amp;"|"&amp;$O318)</f>
        <v/>
      </c>
      <c r="S318" s="25">
        <f>IF($B318="","",$R318&amp;"|"&amp;N($E318))</f>
        <v/>
      </c>
    </row>
    <row r="319">
      <c r="E319" s="9" t="n"/>
      <c r="F319" s="33" t="n"/>
      <c r="I319" s="9" t="n"/>
      <c r="M319" s="26">
        <f>IF($B319="","",IFERROR(IF(INDEX(campaigns!$BG$2:$BG$51,MATCH($B319,campaigns!$A$2:$A$51,0))="","",INDEX(campaigns!$BG$2:$BG$51,MATCH($B319,campaigns!$A$2:$A$51,0))),""))</f>
        <v/>
      </c>
      <c r="N319" s="25">
        <f>IF(OR($B319="",$E319="",$M319=""),"",IF($E319&lt;$M319,0,NETWORKDAYS($M319,$E319,calendar!$A$2:$A$80)))</f>
        <v/>
      </c>
      <c r="O319" s="25">
        <f>IF($B319="","",IF(AND($K319="Y",OR($D319="later",$J319="Y")),"Y","N"))</f>
        <v/>
      </c>
      <c r="P319" s="25">
        <f>IF(OR($B319="",$E319=""),"",$B319&amp;"_"&amp;$C319&amp;"_"&amp;$D319&amp;"_"&amp;TEXT($E319,"yyyy-mm-dd")&amp;".jpg")</f>
        <v/>
      </c>
      <c r="Q319" s="25">
        <f>IF($B319="","",IF(COUNTIF(campaigns!$A$2:$A$51,$B319)=0,"campaign_id not on campaigns; ",IF(AND($C319&lt;&gt;"",COUNTIFS(approvals!$A$2:$A$251,$B319,approvals!$B$2:$B$251,$C319)=0),"office not on this campaign (approvals tab); ",""))&amp;IF($E319="","taken date missing; ","")&amp;IF(AND($H319&lt;&gt;"",$H319&lt;&gt;$P319),"file name differs from the convention; ","")&amp;IF(AND($D319="placement",$O319="Y",COUNTIF(photos!$R$2:$R$701,$R319)&gt;1),"two usable placement photos: mark one N; ","")&amp;IF($K319&lt;&gt;"Y","info: not usable (a person, screen or whiteboard may show): never used, delete the file; ","")&amp;IF(AND($D319="placement",$J319&lt;&gt;"Y"),"info: not usable as a placement photo (no card); ","")&amp;IF(AND($D319="placement",N($N319)&gt;2),"info: placed after the first business day; ","")&amp;IF(AND($D319="later",$N319&lt;&gt;"",OR(N($N319)&lt;3,N($N319)&gt;5)),"info: later photo outside day 3 to 5; ",""))</f>
        <v/>
      </c>
      <c r="R319" s="25">
        <f>IF($B319="","",$B319&amp;"|"&amp;$C319&amp;"|"&amp;$D319&amp;"|"&amp;$O319)</f>
        <v/>
      </c>
      <c r="S319" s="25">
        <f>IF($B319="","",$R319&amp;"|"&amp;N($E319))</f>
        <v/>
      </c>
    </row>
    <row r="320">
      <c r="E320" s="9" t="n"/>
      <c r="F320" s="33" t="n"/>
      <c r="I320" s="9" t="n"/>
      <c r="M320" s="26">
        <f>IF($B320="","",IFERROR(IF(INDEX(campaigns!$BG$2:$BG$51,MATCH($B320,campaigns!$A$2:$A$51,0))="","",INDEX(campaigns!$BG$2:$BG$51,MATCH($B320,campaigns!$A$2:$A$51,0))),""))</f>
        <v/>
      </c>
      <c r="N320" s="25">
        <f>IF(OR($B320="",$E320="",$M320=""),"",IF($E320&lt;$M320,0,NETWORKDAYS($M320,$E320,calendar!$A$2:$A$80)))</f>
        <v/>
      </c>
      <c r="O320" s="25">
        <f>IF($B320="","",IF(AND($K320="Y",OR($D320="later",$J320="Y")),"Y","N"))</f>
        <v/>
      </c>
      <c r="P320" s="25">
        <f>IF(OR($B320="",$E320=""),"",$B320&amp;"_"&amp;$C320&amp;"_"&amp;$D320&amp;"_"&amp;TEXT($E320,"yyyy-mm-dd")&amp;".jpg")</f>
        <v/>
      </c>
      <c r="Q320" s="25">
        <f>IF($B320="","",IF(COUNTIF(campaigns!$A$2:$A$51,$B320)=0,"campaign_id not on campaigns; ",IF(AND($C320&lt;&gt;"",COUNTIFS(approvals!$A$2:$A$251,$B320,approvals!$B$2:$B$251,$C320)=0),"office not on this campaign (approvals tab); ",""))&amp;IF($E320="","taken date missing; ","")&amp;IF(AND($H320&lt;&gt;"",$H320&lt;&gt;$P320),"file name differs from the convention; ","")&amp;IF(AND($D320="placement",$O320="Y",COUNTIF(photos!$R$2:$R$701,$R320)&gt;1),"two usable placement photos: mark one N; ","")&amp;IF($K320&lt;&gt;"Y","info: not usable (a person, screen or whiteboard may show): never used, delete the file; ","")&amp;IF(AND($D320="placement",$J320&lt;&gt;"Y"),"info: not usable as a placement photo (no card); ","")&amp;IF(AND($D320="placement",N($N320)&gt;2),"info: placed after the first business day; ","")&amp;IF(AND($D320="later",$N320&lt;&gt;"",OR(N($N320)&lt;3,N($N320)&gt;5)),"info: later photo outside day 3 to 5; ",""))</f>
        <v/>
      </c>
      <c r="R320" s="25">
        <f>IF($B320="","",$B320&amp;"|"&amp;$C320&amp;"|"&amp;$D320&amp;"|"&amp;$O320)</f>
        <v/>
      </c>
      <c r="S320" s="25">
        <f>IF($B320="","",$R320&amp;"|"&amp;N($E320))</f>
        <v/>
      </c>
    </row>
    <row r="321">
      <c r="E321" s="9" t="n"/>
      <c r="F321" s="33" t="n"/>
      <c r="I321" s="9" t="n"/>
      <c r="M321" s="26">
        <f>IF($B321="","",IFERROR(IF(INDEX(campaigns!$BG$2:$BG$51,MATCH($B321,campaigns!$A$2:$A$51,0))="","",INDEX(campaigns!$BG$2:$BG$51,MATCH($B321,campaigns!$A$2:$A$51,0))),""))</f>
        <v/>
      </c>
      <c r="N321" s="25">
        <f>IF(OR($B321="",$E321="",$M321=""),"",IF($E321&lt;$M321,0,NETWORKDAYS($M321,$E321,calendar!$A$2:$A$80)))</f>
        <v/>
      </c>
      <c r="O321" s="25">
        <f>IF($B321="","",IF(AND($K321="Y",OR($D321="later",$J321="Y")),"Y","N"))</f>
        <v/>
      </c>
      <c r="P321" s="25">
        <f>IF(OR($B321="",$E321=""),"",$B321&amp;"_"&amp;$C321&amp;"_"&amp;$D321&amp;"_"&amp;TEXT($E321,"yyyy-mm-dd")&amp;".jpg")</f>
        <v/>
      </c>
      <c r="Q321" s="25">
        <f>IF($B321="","",IF(COUNTIF(campaigns!$A$2:$A$51,$B321)=0,"campaign_id not on campaigns; ",IF(AND($C321&lt;&gt;"",COUNTIFS(approvals!$A$2:$A$251,$B321,approvals!$B$2:$B$251,$C321)=0),"office not on this campaign (approvals tab); ",""))&amp;IF($E321="","taken date missing; ","")&amp;IF(AND($H321&lt;&gt;"",$H321&lt;&gt;$P321),"file name differs from the convention; ","")&amp;IF(AND($D321="placement",$O321="Y",COUNTIF(photos!$R$2:$R$701,$R321)&gt;1),"two usable placement photos: mark one N; ","")&amp;IF($K321&lt;&gt;"Y","info: not usable (a person, screen or whiteboard may show): never used, delete the file; ","")&amp;IF(AND($D321="placement",$J321&lt;&gt;"Y"),"info: not usable as a placement photo (no card); ","")&amp;IF(AND($D321="placement",N($N321)&gt;2),"info: placed after the first business day; ","")&amp;IF(AND($D321="later",$N321&lt;&gt;"",OR(N($N321)&lt;3,N($N321)&gt;5)),"info: later photo outside day 3 to 5; ",""))</f>
        <v/>
      </c>
      <c r="R321" s="25">
        <f>IF($B321="","",$B321&amp;"|"&amp;$C321&amp;"|"&amp;$D321&amp;"|"&amp;$O321)</f>
        <v/>
      </c>
      <c r="S321" s="25">
        <f>IF($B321="","",$R321&amp;"|"&amp;N($E321))</f>
        <v/>
      </c>
    </row>
    <row r="322">
      <c r="E322" s="9" t="n"/>
      <c r="F322" s="33" t="n"/>
      <c r="I322" s="9" t="n"/>
      <c r="M322" s="26">
        <f>IF($B322="","",IFERROR(IF(INDEX(campaigns!$BG$2:$BG$51,MATCH($B322,campaigns!$A$2:$A$51,0))="","",INDEX(campaigns!$BG$2:$BG$51,MATCH($B322,campaigns!$A$2:$A$51,0))),""))</f>
        <v/>
      </c>
      <c r="N322" s="25">
        <f>IF(OR($B322="",$E322="",$M322=""),"",IF($E322&lt;$M322,0,NETWORKDAYS($M322,$E322,calendar!$A$2:$A$80)))</f>
        <v/>
      </c>
      <c r="O322" s="25">
        <f>IF($B322="","",IF(AND($K322="Y",OR($D322="later",$J322="Y")),"Y","N"))</f>
        <v/>
      </c>
      <c r="P322" s="25">
        <f>IF(OR($B322="",$E322=""),"",$B322&amp;"_"&amp;$C322&amp;"_"&amp;$D322&amp;"_"&amp;TEXT($E322,"yyyy-mm-dd")&amp;".jpg")</f>
        <v/>
      </c>
      <c r="Q322" s="25">
        <f>IF($B322="","",IF(COUNTIF(campaigns!$A$2:$A$51,$B322)=0,"campaign_id not on campaigns; ",IF(AND($C322&lt;&gt;"",COUNTIFS(approvals!$A$2:$A$251,$B322,approvals!$B$2:$B$251,$C322)=0),"office not on this campaign (approvals tab); ",""))&amp;IF($E322="","taken date missing; ","")&amp;IF(AND($H322&lt;&gt;"",$H322&lt;&gt;$P322),"file name differs from the convention; ","")&amp;IF(AND($D322="placement",$O322="Y",COUNTIF(photos!$R$2:$R$701,$R322)&gt;1),"two usable placement photos: mark one N; ","")&amp;IF($K322&lt;&gt;"Y","info: not usable (a person, screen or whiteboard may show): never used, delete the file; ","")&amp;IF(AND($D322="placement",$J322&lt;&gt;"Y"),"info: not usable as a placement photo (no card); ","")&amp;IF(AND($D322="placement",N($N322)&gt;2),"info: placed after the first business day; ","")&amp;IF(AND($D322="later",$N322&lt;&gt;"",OR(N($N322)&lt;3,N($N322)&gt;5)),"info: later photo outside day 3 to 5; ",""))</f>
        <v/>
      </c>
      <c r="R322" s="25">
        <f>IF($B322="","",$B322&amp;"|"&amp;$C322&amp;"|"&amp;$D322&amp;"|"&amp;$O322)</f>
        <v/>
      </c>
      <c r="S322" s="25">
        <f>IF($B322="","",$R322&amp;"|"&amp;N($E322))</f>
        <v/>
      </c>
    </row>
    <row r="323">
      <c r="E323" s="9" t="n"/>
      <c r="F323" s="33" t="n"/>
      <c r="I323" s="9" t="n"/>
      <c r="M323" s="26">
        <f>IF($B323="","",IFERROR(IF(INDEX(campaigns!$BG$2:$BG$51,MATCH($B323,campaigns!$A$2:$A$51,0))="","",INDEX(campaigns!$BG$2:$BG$51,MATCH($B323,campaigns!$A$2:$A$51,0))),""))</f>
        <v/>
      </c>
      <c r="N323" s="25">
        <f>IF(OR($B323="",$E323="",$M323=""),"",IF($E323&lt;$M323,0,NETWORKDAYS($M323,$E323,calendar!$A$2:$A$80)))</f>
        <v/>
      </c>
      <c r="O323" s="25">
        <f>IF($B323="","",IF(AND($K323="Y",OR($D323="later",$J323="Y")),"Y","N"))</f>
        <v/>
      </c>
      <c r="P323" s="25">
        <f>IF(OR($B323="",$E323=""),"",$B323&amp;"_"&amp;$C323&amp;"_"&amp;$D323&amp;"_"&amp;TEXT($E323,"yyyy-mm-dd")&amp;".jpg")</f>
        <v/>
      </c>
      <c r="Q323" s="25">
        <f>IF($B323="","",IF(COUNTIF(campaigns!$A$2:$A$51,$B323)=0,"campaign_id not on campaigns; ",IF(AND($C323&lt;&gt;"",COUNTIFS(approvals!$A$2:$A$251,$B323,approvals!$B$2:$B$251,$C323)=0),"office not on this campaign (approvals tab); ",""))&amp;IF($E323="","taken date missing; ","")&amp;IF(AND($H323&lt;&gt;"",$H323&lt;&gt;$P323),"file name differs from the convention; ","")&amp;IF(AND($D323="placement",$O323="Y",COUNTIF(photos!$R$2:$R$701,$R323)&gt;1),"two usable placement photos: mark one N; ","")&amp;IF($K323&lt;&gt;"Y","info: not usable (a person, screen or whiteboard may show): never used, delete the file; ","")&amp;IF(AND($D323="placement",$J323&lt;&gt;"Y"),"info: not usable as a placement photo (no card); ","")&amp;IF(AND($D323="placement",N($N323)&gt;2),"info: placed after the first business day; ","")&amp;IF(AND($D323="later",$N323&lt;&gt;"",OR(N($N323)&lt;3,N($N323)&gt;5)),"info: later photo outside day 3 to 5; ",""))</f>
        <v/>
      </c>
      <c r="R323" s="25">
        <f>IF($B323="","",$B323&amp;"|"&amp;$C323&amp;"|"&amp;$D323&amp;"|"&amp;$O323)</f>
        <v/>
      </c>
      <c r="S323" s="25">
        <f>IF($B323="","",$R323&amp;"|"&amp;N($E323))</f>
        <v/>
      </c>
    </row>
    <row r="324">
      <c r="E324" s="9" t="n"/>
      <c r="F324" s="33" t="n"/>
      <c r="I324" s="9" t="n"/>
      <c r="M324" s="26">
        <f>IF($B324="","",IFERROR(IF(INDEX(campaigns!$BG$2:$BG$51,MATCH($B324,campaigns!$A$2:$A$51,0))="","",INDEX(campaigns!$BG$2:$BG$51,MATCH($B324,campaigns!$A$2:$A$51,0))),""))</f>
        <v/>
      </c>
      <c r="N324" s="25">
        <f>IF(OR($B324="",$E324="",$M324=""),"",IF($E324&lt;$M324,0,NETWORKDAYS($M324,$E324,calendar!$A$2:$A$80)))</f>
        <v/>
      </c>
      <c r="O324" s="25">
        <f>IF($B324="","",IF(AND($K324="Y",OR($D324="later",$J324="Y")),"Y","N"))</f>
        <v/>
      </c>
      <c r="P324" s="25">
        <f>IF(OR($B324="",$E324=""),"",$B324&amp;"_"&amp;$C324&amp;"_"&amp;$D324&amp;"_"&amp;TEXT($E324,"yyyy-mm-dd")&amp;".jpg")</f>
        <v/>
      </c>
      <c r="Q324" s="25">
        <f>IF($B324="","",IF(COUNTIF(campaigns!$A$2:$A$51,$B324)=0,"campaign_id not on campaigns; ",IF(AND($C324&lt;&gt;"",COUNTIFS(approvals!$A$2:$A$251,$B324,approvals!$B$2:$B$251,$C324)=0),"office not on this campaign (approvals tab); ",""))&amp;IF($E324="","taken date missing; ","")&amp;IF(AND($H324&lt;&gt;"",$H324&lt;&gt;$P324),"file name differs from the convention; ","")&amp;IF(AND($D324="placement",$O324="Y",COUNTIF(photos!$R$2:$R$701,$R324)&gt;1),"two usable placement photos: mark one N; ","")&amp;IF($K324&lt;&gt;"Y","info: not usable (a person, screen or whiteboard may show): never used, delete the file; ","")&amp;IF(AND($D324="placement",$J324&lt;&gt;"Y"),"info: not usable as a placement photo (no card); ","")&amp;IF(AND($D324="placement",N($N324)&gt;2),"info: placed after the first business day; ","")&amp;IF(AND($D324="later",$N324&lt;&gt;"",OR(N($N324)&lt;3,N($N324)&gt;5)),"info: later photo outside day 3 to 5; ",""))</f>
        <v/>
      </c>
      <c r="R324" s="25">
        <f>IF($B324="","",$B324&amp;"|"&amp;$C324&amp;"|"&amp;$D324&amp;"|"&amp;$O324)</f>
        <v/>
      </c>
      <c r="S324" s="25">
        <f>IF($B324="","",$R324&amp;"|"&amp;N($E324))</f>
        <v/>
      </c>
    </row>
    <row r="325">
      <c r="E325" s="9" t="n"/>
      <c r="F325" s="33" t="n"/>
      <c r="I325" s="9" t="n"/>
      <c r="M325" s="26">
        <f>IF($B325="","",IFERROR(IF(INDEX(campaigns!$BG$2:$BG$51,MATCH($B325,campaigns!$A$2:$A$51,0))="","",INDEX(campaigns!$BG$2:$BG$51,MATCH($B325,campaigns!$A$2:$A$51,0))),""))</f>
        <v/>
      </c>
      <c r="N325" s="25">
        <f>IF(OR($B325="",$E325="",$M325=""),"",IF($E325&lt;$M325,0,NETWORKDAYS($M325,$E325,calendar!$A$2:$A$80)))</f>
        <v/>
      </c>
      <c r="O325" s="25">
        <f>IF($B325="","",IF(AND($K325="Y",OR($D325="later",$J325="Y")),"Y","N"))</f>
        <v/>
      </c>
      <c r="P325" s="25">
        <f>IF(OR($B325="",$E325=""),"",$B325&amp;"_"&amp;$C325&amp;"_"&amp;$D325&amp;"_"&amp;TEXT($E325,"yyyy-mm-dd")&amp;".jpg")</f>
        <v/>
      </c>
      <c r="Q325" s="25">
        <f>IF($B325="","",IF(COUNTIF(campaigns!$A$2:$A$51,$B325)=0,"campaign_id not on campaigns; ",IF(AND($C325&lt;&gt;"",COUNTIFS(approvals!$A$2:$A$251,$B325,approvals!$B$2:$B$251,$C325)=0),"office not on this campaign (approvals tab); ",""))&amp;IF($E325="","taken date missing; ","")&amp;IF(AND($H325&lt;&gt;"",$H325&lt;&gt;$P325),"file name differs from the convention; ","")&amp;IF(AND($D325="placement",$O325="Y",COUNTIF(photos!$R$2:$R$701,$R325)&gt;1),"two usable placement photos: mark one N; ","")&amp;IF($K325&lt;&gt;"Y","info: not usable (a person, screen or whiteboard may show): never used, delete the file; ","")&amp;IF(AND($D325="placement",$J325&lt;&gt;"Y"),"info: not usable as a placement photo (no card); ","")&amp;IF(AND($D325="placement",N($N325)&gt;2),"info: placed after the first business day; ","")&amp;IF(AND($D325="later",$N325&lt;&gt;"",OR(N($N325)&lt;3,N($N325)&gt;5)),"info: later photo outside day 3 to 5; ",""))</f>
        <v/>
      </c>
      <c r="R325" s="25">
        <f>IF($B325="","",$B325&amp;"|"&amp;$C325&amp;"|"&amp;$D325&amp;"|"&amp;$O325)</f>
        <v/>
      </c>
      <c r="S325" s="25">
        <f>IF($B325="","",$R325&amp;"|"&amp;N($E325))</f>
        <v/>
      </c>
    </row>
    <row r="326">
      <c r="E326" s="9" t="n"/>
      <c r="F326" s="33" t="n"/>
      <c r="I326" s="9" t="n"/>
      <c r="M326" s="26">
        <f>IF($B326="","",IFERROR(IF(INDEX(campaigns!$BG$2:$BG$51,MATCH($B326,campaigns!$A$2:$A$51,0))="","",INDEX(campaigns!$BG$2:$BG$51,MATCH($B326,campaigns!$A$2:$A$51,0))),""))</f>
        <v/>
      </c>
      <c r="N326" s="25">
        <f>IF(OR($B326="",$E326="",$M326=""),"",IF($E326&lt;$M326,0,NETWORKDAYS($M326,$E326,calendar!$A$2:$A$80)))</f>
        <v/>
      </c>
      <c r="O326" s="25">
        <f>IF($B326="","",IF(AND($K326="Y",OR($D326="later",$J326="Y")),"Y","N"))</f>
        <v/>
      </c>
      <c r="P326" s="25">
        <f>IF(OR($B326="",$E326=""),"",$B326&amp;"_"&amp;$C326&amp;"_"&amp;$D326&amp;"_"&amp;TEXT($E326,"yyyy-mm-dd")&amp;".jpg")</f>
        <v/>
      </c>
      <c r="Q326" s="25">
        <f>IF($B326="","",IF(COUNTIF(campaigns!$A$2:$A$51,$B326)=0,"campaign_id not on campaigns; ",IF(AND($C326&lt;&gt;"",COUNTIFS(approvals!$A$2:$A$251,$B326,approvals!$B$2:$B$251,$C326)=0),"office not on this campaign (approvals tab); ",""))&amp;IF($E326="","taken date missing; ","")&amp;IF(AND($H326&lt;&gt;"",$H326&lt;&gt;$P326),"file name differs from the convention; ","")&amp;IF(AND($D326="placement",$O326="Y",COUNTIF(photos!$R$2:$R$701,$R326)&gt;1),"two usable placement photos: mark one N; ","")&amp;IF($K326&lt;&gt;"Y","info: not usable (a person, screen or whiteboard may show): never used, delete the file; ","")&amp;IF(AND($D326="placement",$J326&lt;&gt;"Y"),"info: not usable as a placement photo (no card); ","")&amp;IF(AND($D326="placement",N($N326)&gt;2),"info: placed after the first business day; ","")&amp;IF(AND($D326="later",$N326&lt;&gt;"",OR(N($N326)&lt;3,N($N326)&gt;5)),"info: later photo outside day 3 to 5; ",""))</f>
        <v/>
      </c>
      <c r="R326" s="25">
        <f>IF($B326="","",$B326&amp;"|"&amp;$C326&amp;"|"&amp;$D326&amp;"|"&amp;$O326)</f>
        <v/>
      </c>
      <c r="S326" s="25">
        <f>IF($B326="","",$R326&amp;"|"&amp;N($E326))</f>
        <v/>
      </c>
    </row>
    <row r="327">
      <c r="E327" s="9" t="n"/>
      <c r="F327" s="33" t="n"/>
      <c r="I327" s="9" t="n"/>
      <c r="M327" s="26">
        <f>IF($B327="","",IFERROR(IF(INDEX(campaigns!$BG$2:$BG$51,MATCH($B327,campaigns!$A$2:$A$51,0))="","",INDEX(campaigns!$BG$2:$BG$51,MATCH($B327,campaigns!$A$2:$A$51,0))),""))</f>
        <v/>
      </c>
      <c r="N327" s="25">
        <f>IF(OR($B327="",$E327="",$M327=""),"",IF($E327&lt;$M327,0,NETWORKDAYS($M327,$E327,calendar!$A$2:$A$80)))</f>
        <v/>
      </c>
      <c r="O327" s="25">
        <f>IF($B327="","",IF(AND($K327="Y",OR($D327="later",$J327="Y")),"Y","N"))</f>
        <v/>
      </c>
      <c r="P327" s="25">
        <f>IF(OR($B327="",$E327=""),"",$B327&amp;"_"&amp;$C327&amp;"_"&amp;$D327&amp;"_"&amp;TEXT($E327,"yyyy-mm-dd")&amp;".jpg")</f>
        <v/>
      </c>
      <c r="Q327" s="25">
        <f>IF($B327="","",IF(COUNTIF(campaigns!$A$2:$A$51,$B327)=0,"campaign_id not on campaigns; ",IF(AND($C327&lt;&gt;"",COUNTIFS(approvals!$A$2:$A$251,$B327,approvals!$B$2:$B$251,$C327)=0),"office not on this campaign (approvals tab); ",""))&amp;IF($E327="","taken date missing; ","")&amp;IF(AND($H327&lt;&gt;"",$H327&lt;&gt;$P327),"file name differs from the convention; ","")&amp;IF(AND($D327="placement",$O327="Y",COUNTIF(photos!$R$2:$R$701,$R327)&gt;1),"two usable placement photos: mark one N; ","")&amp;IF($K327&lt;&gt;"Y","info: not usable (a person, screen or whiteboard may show): never used, delete the file; ","")&amp;IF(AND($D327="placement",$J327&lt;&gt;"Y"),"info: not usable as a placement photo (no card); ","")&amp;IF(AND($D327="placement",N($N327)&gt;2),"info: placed after the first business day; ","")&amp;IF(AND($D327="later",$N327&lt;&gt;"",OR(N($N327)&lt;3,N($N327)&gt;5)),"info: later photo outside day 3 to 5; ",""))</f>
        <v/>
      </c>
      <c r="R327" s="25">
        <f>IF($B327="","",$B327&amp;"|"&amp;$C327&amp;"|"&amp;$D327&amp;"|"&amp;$O327)</f>
        <v/>
      </c>
      <c r="S327" s="25">
        <f>IF($B327="","",$R327&amp;"|"&amp;N($E327))</f>
        <v/>
      </c>
    </row>
    <row r="328">
      <c r="E328" s="9" t="n"/>
      <c r="F328" s="33" t="n"/>
      <c r="I328" s="9" t="n"/>
      <c r="M328" s="26">
        <f>IF($B328="","",IFERROR(IF(INDEX(campaigns!$BG$2:$BG$51,MATCH($B328,campaigns!$A$2:$A$51,0))="","",INDEX(campaigns!$BG$2:$BG$51,MATCH($B328,campaigns!$A$2:$A$51,0))),""))</f>
        <v/>
      </c>
      <c r="N328" s="25">
        <f>IF(OR($B328="",$E328="",$M328=""),"",IF($E328&lt;$M328,0,NETWORKDAYS($M328,$E328,calendar!$A$2:$A$80)))</f>
        <v/>
      </c>
      <c r="O328" s="25">
        <f>IF($B328="","",IF(AND($K328="Y",OR($D328="later",$J328="Y")),"Y","N"))</f>
        <v/>
      </c>
      <c r="P328" s="25">
        <f>IF(OR($B328="",$E328=""),"",$B328&amp;"_"&amp;$C328&amp;"_"&amp;$D328&amp;"_"&amp;TEXT($E328,"yyyy-mm-dd")&amp;".jpg")</f>
        <v/>
      </c>
      <c r="Q328" s="25">
        <f>IF($B328="","",IF(COUNTIF(campaigns!$A$2:$A$51,$B328)=0,"campaign_id not on campaigns; ",IF(AND($C328&lt;&gt;"",COUNTIFS(approvals!$A$2:$A$251,$B328,approvals!$B$2:$B$251,$C328)=0),"office not on this campaign (approvals tab); ",""))&amp;IF($E328="","taken date missing; ","")&amp;IF(AND($H328&lt;&gt;"",$H328&lt;&gt;$P328),"file name differs from the convention; ","")&amp;IF(AND($D328="placement",$O328="Y",COUNTIF(photos!$R$2:$R$701,$R328)&gt;1),"two usable placement photos: mark one N; ","")&amp;IF($K328&lt;&gt;"Y","info: not usable (a person, screen or whiteboard may show): never used, delete the file; ","")&amp;IF(AND($D328="placement",$J328&lt;&gt;"Y"),"info: not usable as a placement photo (no card); ","")&amp;IF(AND($D328="placement",N($N328)&gt;2),"info: placed after the first business day; ","")&amp;IF(AND($D328="later",$N328&lt;&gt;"",OR(N($N328)&lt;3,N($N328)&gt;5)),"info: later photo outside day 3 to 5; ",""))</f>
        <v/>
      </c>
      <c r="R328" s="25">
        <f>IF($B328="","",$B328&amp;"|"&amp;$C328&amp;"|"&amp;$D328&amp;"|"&amp;$O328)</f>
        <v/>
      </c>
      <c r="S328" s="25">
        <f>IF($B328="","",$R328&amp;"|"&amp;N($E328))</f>
        <v/>
      </c>
    </row>
    <row r="329">
      <c r="E329" s="9" t="n"/>
      <c r="F329" s="33" t="n"/>
      <c r="I329" s="9" t="n"/>
      <c r="M329" s="26">
        <f>IF($B329="","",IFERROR(IF(INDEX(campaigns!$BG$2:$BG$51,MATCH($B329,campaigns!$A$2:$A$51,0))="","",INDEX(campaigns!$BG$2:$BG$51,MATCH($B329,campaigns!$A$2:$A$51,0))),""))</f>
        <v/>
      </c>
      <c r="N329" s="25">
        <f>IF(OR($B329="",$E329="",$M329=""),"",IF($E329&lt;$M329,0,NETWORKDAYS($M329,$E329,calendar!$A$2:$A$80)))</f>
        <v/>
      </c>
      <c r="O329" s="25">
        <f>IF($B329="","",IF(AND($K329="Y",OR($D329="later",$J329="Y")),"Y","N"))</f>
        <v/>
      </c>
      <c r="P329" s="25">
        <f>IF(OR($B329="",$E329=""),"",$B329&amp;"_"&amp;$C329&amp;"_"&amp;$D329&amp;"_"&amp;TEXT($E329,"yyyy-mm-dd")&amp;".jpg")</f>
        <v/>
      </c>
      <c r="Q329" s="25">
        <f>IF($B329="","",IF(COUNTIF(campaigns!$A$2:$A$51,$B329)=0,"campaign_id not on campaigns; ",IF(AND($C329&lt;&gt;"",COUNTIFS(approvals!$A$2:$A$251,$B329,approvals!$B$2:$B$251,$C329)=0),"office not on this campaign (approvals tab); ",""))&amp;IF($E329="","taken date missing; ","")&amp;IF(AND($H329&lt;&gt;"",$H329&lt;&gt;$P329),"file name differs from the convention; ","")&amp;IF(AND($D329="placement",$O329="Y",COUNTIF(photos!$R$2:$R$701,$R329)&gt;1),"two usable placement photos: mark one N; ","")&amp;IF($K329&lt;&gt;"Y","info: not usable (a person, screen or whiteboard may show): never used, delete the file; ","")&amp;IF(AND($D329="placement",$J329&lt;&gt;"Y"),"info: not usable as a placement photo (no card); ","")&amp;IF(AND($D329="placement",N($N329)&gt;2),"info: placed after the first business day; ","")&amp;IF(AND($D329="later",$N329&lt;&gt;"",OR(N($N329)&lt;3,N($N329)&gt;5)),"info: later photo outside day 3 to 5; ",""))</f>
        <v/>
      </c>
      <c r="R329" s="25">
        <f>IF($B329="","",$B329&amp;"|"&amp;$C329&amp;"|"&amp;$D329&amp;"|"&amp;$O329)</f>
        <v/>
      </c>
      <c r="S329" s="25">
        <f>IF($B329="","",$R329&amp;"|"&amp;N($E329))</f>
        <v/>
      </c>
    </row>
    <row r="330">
      <c r="E330" s="9" t="n"/>
      <c r="F330" s="33" t="n"/>
      <c r="I330" s="9" t="n"/>
      <c r="M330" s="26">
        <f>IF($B330="","",IFERROR(IF(INDEX(campaigns!$BG$2:$BG$51,MATCH($B330,campaigns!$A$2:$A$51,0))="","",INDEX(campaigns!$BG$2:$BG$51,MATCH($B330,campaigns!$A$2:$A$51,0))),""))</f>
        <v/>
      </c>
      <c r="N330" s="25">
        <f>IF(OR($B330="",$E330="",$M330=""),"",IF($E330&lt;$M330,0,NETWORKDAYS($M330,$E330,calendar!$A$2:$A$80)))</f>
        <v/>
      </c>
      <c r="O330" s="25">
        <f>IF($B330="","",IF(AND($K330="Y",OR($D330="later",$J330="Y")),"Y","N"))</f>
        <v/>
      </c>
      <c r="P330" s="25">
        <f>IF(OR($B330="",$E330=""),"",$B330&amp;"_"&amp;$C330&amp;"_"&amp;$D330&amp;"_"&amp;TEXT($E330,"yyyy-mm-dd")&amp;".jpg")</f>
        <v/>
      </c>
      <c r="Q330" s="25">
        <f>IF($B330="","",IF(COUNTIF(campaigns!$A$2:$A$51,$B330)=0,"campaign_id not on campaigns; ",IF(AND($C330&lt;&gt;"",COUNTIFS(approvals!$A$2:$A$251,$B330,approvals!$B$2:$B$251,$C330)=0),"office not on this campaign (approvals tab); ",""))&amp;IF($E330="","taken date missing; ","")&amp;IF(AND($H330&lt;&gt;"",$H330&lt;&gt;$P330),"file name differs from the convention; ","")&amp;IF(AND($D330="placement",$O330="Y",COUNTIF(photos!$R$2:$R$701,$R330)&gt;1),"two usable placement photos: mark one N; ","")&amp;IF($K330&lt;&gt;"Y","info: not usable (a person, screen or whiteboard may show): never used, delete the file; ","")&amp;IF(AND($D330="placement",$J330&lt;&gt;"Y"),"info: not usable as a placement photo (no card); ","")&amp;IF(AND($D330="placement",N($N330)&gt;2),"info: placed after the first business day; ","")&amp;IF(AND($D330="later",$N330&lt;&gt;"",OR(N($N330)&lt;3,N($N330)&gt;5)),"info: later photo outside day 3 to 5; ",""))</f>
        <v/>
      </c>
      <c r="R330" s="25">
        <f>IF($B330="","",$B330&amp;"|"&amp;$C330&amp;"|"&amp;$D330&amp;"|"&amp;$O330)</f>
        <v/>
      </c>
      <c r="S330" s="25">
        <f>IF($B330="","",$R330&amp;"|"&amp;N($E330))</f>
        <v/>
      </c>
    </row>
    <row r="331">
      <c r="E331" s="9" t="n"/>
      <c r="F331" s="33" t="n"/>
      <c r="I331" s="9" t="n"/>
      <c r="M331" s="26">
        <f>IF($B331="","",IFERROR(IF(INDEX(campaigns!$BG$2:$BG$51,MATCH($B331,campaigns!$A$2:$A$51,0))="","",INDEX(campaigns!$BG$2:$BG$51,MATCH($B331,campaigns!$A$2:$A$51,0))),""))</f>
        <v/>
      </c>
      <c r="N331" s="25">
        <f>IF(OR($B331="",$E331="",$M331=""),"",IF($E331&lt;$M331,0,NETWORKDAYS($M331,$E331,calendar!$A$2:$A$80)))</f>
        <v/>
      </c>
      <c r="O331" s="25">
        <f>IF($B331="","",IF(AND($K331="Y",OR($D331="later",$J331="Y")),"Y","N"))</f>
        <v/>
      </c>
      <c r="P331" s="25">
        <f>IF(OR($B331="",$E331=""),"",$B331&amp;"_"&amp;$C331&amp;"_"&amp;$D331&amp;"_"&amp;TEXT($E331,"yyyy-mm-dd")&amp;".jpg")</f>
        <v/>
      </c>
      <c r="Q331" s="25">
        <f>IF($B331="","",IF(COUNTIF(campaigns!$A$2:$A$51,$B331)=0,"campaign_id not on campaigns; ",IF(AND($C331&lt;&gt;"",COUNTIFS(approvals!$A$2:$A$251,$B331,approvals!$B$2:$B$251,$C331)=0),"office not on this campaign (approvals tab); ",""))&amp;IF($E331="","taken date missing; ","")&amp;IF(AND($H331&lt;&gt;"",$H331&lt;&gt;$P331),"file name differs from the convention; ","")&amp;IF(AND($D331="placement",$O331="Y",COUNTIF(photos!$R$2:$R$701,$R331)&gt;1),"two usable placement photos: mark one N; ","")&amp;IF($K331&lt;&gt;"Y","info: not usable (a person, screen or whiteboard may show): never used, delete the file; ","")&amp;IF(AND($D331="placement",$J331&lt;&gt;"Y"),"info: not usable as a placement photo (no card); ","")&amp;IF(AND($D331="placement",N($N331)&gt;2),"info: placed after the first business day; ","")&amp;IF(AND($D331="later",$N331&lt;&gt;"",OR(N($N331)&lt;3,N($N331)&gt;5)),"info: later photo outside day 3 to 5; ",""))</f>
        <v/>
      </c>
      <c r="R331" s="25">
        <f>IF($B331="","",$B331&amp;"|"&amp;$C331&amp;"|"&amp;$D331&amp;"|"&amp;$O331)</f>
        <v/>
      </c>
      <c r="S331" s="25">
        <f>IF($B331="","",$R331&amp;"|"&amp;N($E331))</f>
        <v/>
      </c>
    </row>
    <row r="332">
      <c r="E332" s="9" t="n"/>
      <c r="F332" s="33" t="n"/>
      <c r="I332" s="9" t="n"/>
      <c r="M332" s="26">
        <f>IF($B332="","",IFERROR(IF(INDEX(campaigns!$BG$2:$BG$51,MATCH($B332,campaigns!$A$2:$A$51,0))="","",INDEX(campaigns!$BG$2:$BG$51,MATCH($B332,campaigns!$A$2:$A$51,0))),""))</f>
        <v/>
      </c>
      <c r="N332" s="25">
        <f>IF(OR($B332="",$E332="",$M332=""),"",IF($E332&lt;$M332,0,NETWORKDAYS($M332,$E332,calendar!$A$2:$A$80)))</f>
        <v/>
      </c>
      <c r="O332" s="25">
        <f>IF($B332="","",IF(AND($K332="Y",OR($D332="later",$J332="Y")),"Y","N"))</f>
        <v/>
      </c>
      <c r="P332" s="25">
        <f>IF(OR($B332="",$E332=""),"",$B332&amp;"_"&amp;$C332&amp;"_"&amp;$D332&amp;"_"&amp;TEXT($E332,"yyyy-mm-dd")&amp;".jpg")</f>
        <v/>
      </c>
      <c r="Q332" s="25">
        <f>IF($B332="","",IF(COUNTIF(campaigns!$A$2:$A$51,$B332)=0,"campaign_id not on campaigns; ",IF(AND($C332&lt;&gt;"",COUNTIFS(approvals!$A$2:$A$251,$B332,approvals!$B$2:$B$251,$C332)=0),"office not on this campaign (approvals tab); ",""))&amp;IF($E332="","taken date missing; ","")&amp;IF(AND($H332&lt;&gt;"",$H332&lt;&gt;$P332),"file name differs from the convention; ","")&amp;IF(AND($D332="placement",$O332="Y",COUNTIF(photos!$R$2:$R$701,$R332)&gt;1),"two usable placement photos: mark one N; ","")&amp;IF($K332&lt;&gt;"Y","info: not usable (a person, screen or whiteboard may show): never used, delete the file; ","")&amp;IF(AND($D332="placement",$J332&lt;&gt;"Y"),"info: not usable as a placement photo (no card); ","")&amp;IF(AND($D332="placement",N($N332)&gt;2),"info: placed after the first business day; ","")&amp;IF(AND($D332="later",$N332&lt;&gt;"",OR(N($N332)&lt;3,N($N332)&gt;5)),"info: later photo outside day 3 to 5; ",""))</f>
        <v/>
      </c>
      <c r="R332" s="25">
        <f>IF($B332="","",$B332&amp;"|"&amp;$C332&amp;"|"&amp;$D332&amp;"|"&amp;$O332)</f>
        <v/>
      </c>
      <c r="S332" s="25">
        <f>IF($B332="","",$R332&amp;"|"&amp;N($E332))</f>
        <v/>
      </c>
    </row>
    <row r="333">
      <c r="E333" s="9" t="n"/>
      <c r="F333" s="33" t="n"/>
      <c r="I333" s="9" t="n"/>
      <c r="M333" s="26">
        <f>IF($B333="","",IFERROR(IF(INDEX(campaigns!$BG$2:$BG$51,MATCH($B333,campaigns!$A$2:$A$51,0))="","",INDEX(campaigns!$BG$2:$BG$51,MATCH($B333,campaigns!$A$2:$A$51,0))),""))</f>
        <v/>
      </c>
      <c r="N333" s="25">
        <f>IF(OR($B333="",$E333="",$M333=""),"",IF($E333&lt;$M333,0,NETWORKDAYS($M333,$E333,calendar!$A$2:$A$80)))</f>
        <v/>
      </c>
      <c r="O333" s="25">
        <f>IF($B333="","",IF(AND($K333="Y",OR($D333="later",$J333="Y")),"Y","N"))</f>
        <v/>
      </c>
      <c r="P333" s="25">
        <f>IF(OR($B333="",$E333=""),"",$B333&amp;"_"&amp;$C333&amp;"_"&amp;$D333&amp;"_"&amp;TEXT($E333,"yyyy-mm-dd")&amp;".jpg")</f>
        <v/>
      </c>
      <c r="Q333" s="25">
        <f>IF($B333="","",IF(COUNTIF(campaigns!$A$2:$A$51,$B333)=0,"campaign_id not on campaigns; ",IF(AND($C333&lt;&gt;"",COUNTIFS(approvals!$A$2:$A$251,$B333,approvals!$B$2:$B$251,$C333)=0),"office not on this campaign (approvals tab); ",""))&amp;IF($E333="","taken date missing; ","")&amp;IF(AND($H333&lt;&gt;"",$H333&lt;&gt;$P333),"file name differs from the convention; ","")&amp;IF(AND($D333="placement",$O333="Y",COUNTIF(photos!$R$2:$R$701,$R333)&gt;1),"two usable placement photos: mark one N; ","")&amp;IF($K333&lt;&gt;"Y","info: not usable (a person, screen or whiteboard may show): never used, delete the file; ","")&amp;IF(AND($D333="placement",$J333&lt;&gt;"Y"),"info: not usable as a placement photo (no card); ","")&amp;IF(AND($D333="placement",N($N333)&gt;2),"info: placed after the first business day; ","")&amp;IF(AND($D333="later",$N333&lt;&gt;"",OR(N($N333)&lt;3,N($N333)&gt;5)),"info: later photo outside day 3 to 5; ",""))</f>
        <v/>
      </c>
      <c r="R333" s="25">
        <f>IF($B333="","",$B333&amp;"|"&amp;$C333&amp;"|"&amp;$D333&amp;"|"&amp;$O333)</f>
        <v/>
      </c>
      <c r="S333" s="25">
        <f>IF($B333="","",$R333&amp;"|"&amp;N($E333))</f>
        <v/>
      </c>
    </row>
    <row r="334">
      <c r="E334" s="9" t="n"/>
      <c r="F334" s="33" t="n"/>
      <c r="I334" s="9" t="n"/>
      <c r="M334" s="26">
        <f>IF($B334="","",IFERROR(IF(INDEX(campaigns!$BG$2:$BG$51,MATCH($B334,campaigns!$A$2:$A$51,0))="","",INDEX(campaigns!$BG$2:$BG$51,MATCH($B334,campaigns!$A$2:$A$51,0))),""))</f>
        <v/>
      </c>
      <c r="N334" s="25">
        <f>IF(OR($B334="",$E334="",$M334=""),"",IF($E334&lt;$M334,0,NETWORKDAYS($M334,$E334,calendar!$A$2:$A$80)))</f>
        <v/>
      </c>
      <c r="O334" s="25">
        <f>IF($B334="","",IF(AND($K334="Y",OR($D334="later",$J334="Y")),"Y","N"))</f>
        <v/>
      </c>
      <c r="P334" s="25">
        <f>IF(OR($B334="",$E334=""),"",$B334&amp;"_"&amp;$C334&amp;"_"&amp;$D334&amp;"_"&amp;TEXT($E334,"yyyy-mm-dd")&amp;".jpg")</f>
        <v/>
      </c>
      <c r="Q334" s="25">
        <f>IF($B334="","",IF(COUNTIF(campaigns!$A$2:$A$51,$B334)=0,"campaign_id not on campaigns; ",IF(AND($C334&lt;&gt;"",COUNTIFS(approvals!$A$2:$A$251,$B334,approvals!$B$2:$B$251,$C334)=0),"office not on this campaign (approvals tab); ",""))&amp;IF($E334="","taken date missing; ","")&amp;IF(AND($H334&lt;&gt;"",$H334&lt;&gt;$P334),"file name differs from the convention; ","")&amp;IF(AND($D334="placement",$O334="Y",COUNTIF(photos!$R$2:$R$701,$R334)&gt;1),"two usable placement photos: mark one N; ","")&amp;IF($K334&lt;&gt;"Y","info: not usable (a person, screen or whiteboard may show): never used, delete the file; ","")&amp;IF(AND($D334="placement",$J334&lt;&gt;"Y"),"info: not usable as a placement photo (no card); ","")&amp;IF(AND($D334="placement",N($N334)&gt;2),"info: placed after the first business day; ","")&amp;IF(AND($D334="later",$N334&lt;&gt;"",OR(N($N334)&lt;3,N($N334)&gt;5)),"info: later photo outside day 3 to 5; ",""))</f>
        <v/>
      </c>
      <c r="R334" s="25">
        <f>IF($B334="","",$B334&amp;"|"&amp;$C334&amp;"|"&amp;$D334&amp;"|"&amp;$O334)</f>
        <v/>
      </c>
      <c r="S334" s="25">
        <f>IF($B334="","",$R334&amp;"|"&amp;N($E334))</f>
        <v/>
      </c>
    </row>
    <row r="335">
      <c r="E335" s="9" t="n"/>
      <c r="F335" s="33" t="n"/>
      <c r="I335" s="9" t="n"/>
      <c r="M335" s="26">
        <f>IF($B335="","",IFERROR(IF(INDEX(campaigns!$BG$2:$BG$51,MATCH($B335,campaigns!$A$2:$A$51,0))="","",INDEX(campaigns!$BG$2:$BG$51,MATCH($B335,campaigns!$A$2:$A$51,0))),""))</f>
        <v/>
      </c>
      <c r="N335" s="25">
        <f>IF(OR($B335="",$E335="",$M335=""),"",IF($E335&lt;$M335,0,NETWORKDAYS($M335,$E335,calendar!$A$2:$A$80)))</f>
        <v/>
      </c>
      <c r="O335" s="25">
        <f>IF($B335="","",IF(AND($K335="Y",OR($D335="later",$J335="Y")),"Y","N"))</f>
        <v/>
      </c>
      <c r="P335" s="25">
        <f>IF(OR($B335="",$E335=""),"",$B335&amp;"_"&amp;$C335&amp;"_"&amp;$D335&amp;"_"&amp;TEXT($E335,"yyyy-mm-dd")&amp;".jpg")</f>
        <v/>
      </c>
      <c r="Q335" s="25">
        <f>IF($B335="","",IF(COUNTIF(campaigns!$A$2:$A$51,$B335)=0,"campaign_id not on campaigns; ",IF(AND($C335&lt;&gt;"",COUNTIFS(approvals!$A$2:$A$251,$B335,approvals!$B$2:$B$251,$C335)=0),"office not on this campaign (approvals tab); ",""))&amp;IF($E335="","taken date missing; ","")&amp;IF(AND($H335&lt;&gt;"",$H335&lt;&gt;$P335),"file name differs from the convention; ","")&amp;IF(AND($D335="placement",$O335="Y",COUNTIF(photos!$R$2:$R$701,$R335)&gt;1),"two usable placement photos: mark one N; ","")&amp;IF($K335&lt;&gt;"Y","info: not usable (a person, screen or whiteboard may show): never used, delete the file; ","")&amp;IF(AND($D335="placement",$J335&lt;&gt;"Y"),"info: not usable as a placement photo (no card); ","")&amp;IF(AND($D335="placement",N($N335)&gt;2),"info: placed after the first business day; ","")&amp;IF(AND($D335="later",$N335&lt;&gt;"",OR(N($N335)&lt;3,N($N335)&gt;5)),"info: later photo outside day 3 to 5; ",""))</f>
        <v/>
      </c>
      <c r="R335" s="25">
        <f>IF($B335="","",$B335&amp;"|"&amp;$C335&amp;"|"&amp;$D335&amp;"|"&amp;$O335)</f>
        <v/>
      </c>
      <c r="S335" s="25">
        <f>IF($B335="","",$R335&amp;"|"&amp;N($E335))</f>
        <v/>
      </c>
    </row>
    <row r="336">
      <c r="E336" s="9" t="n"/>
      <c r="F336" s="33" t="n"/>
      <c r="I336" s="9" t="n"/>
      <c r="M336" s="26">
        <f>IF($B336="","",IFERROR(IF(INDEX(campaigns!$BG$2:$BG$51,MATCH($B336,campaigns!$A$2:$A$51,0))="","",INDEX(campaigns!$BG$2:$BG$51,MATCH($B336,campaigns!$A$2:$A$51,0))),""))</f>
        <v/>
      </c>
      <c r="N336" s="25">
        <f>IF(OR($B336="",$E336="",$M336=""),"",IF($E336&lt;$M336,0,NETWORKDAYS($M336,$E336,calendar!$A$2:$A$80)))</f>
        <v/>
      </c>
      <c r="O336" s="25">
        <f>IF($B336="","",IF(AND($K336="Y",OR($D336="later",$J336="Y")),"Y","N"))</f>
        <v/>
      </c>
      <c r="P336" s="25">
        <f>IF(OR($B336="",$E336=""),"",$B336&amp;"_"&amp;$C336&amp;"_"&amp;$D336&amp;"_"&amp;TEXT($E336,"yyyy-mm-dd")&amp;".jpg")</f>
        <v/>
      </c>
      <c r="Q336" s="25">
        <f>IF($B336="","",IF(COUNTIF(campaigns!$A$2:$A$51,$B336)=0,"campaign_id not on campaigns; ",IF(AND($C336&lt;&gt;"",COUNTIFS(approvals!$A$2:$A$251,$B336,approvals!$B$2:$B$251,$C336)=0),"office not on this campaign (approvals tab); ",""))&amp;IF($E336="","taken date missing; ","")&amp;IF(AND($H336&lt;&gt;"",$H336&lt;&gt;$P336),"file name differs from the convention; ","")&amp;IF(AND($D336="placement",$O336="Y",COUNTIF(photos!$R$2:$R$701,$R336)&gt;1),"two usable placement photos: mark one N; ","")&amp;IF($K336&lt;&gt;"Y","info: not usable (a person, screen or whiteboard may show): never used, delete the file; ","")&amp;IF(AND($D336="placement",$J336&lt;&gt;"Y"),"info: not usable as a placement photo (no card); ","")&amp;IF(AND($D336="placement",N($N336)&gt;2),"info: placed after the first business day; ","")&amp;IF(AND($D336="later",$N336&lt;&gt;"",OR(N($N336)&lt;3,N($N336)&gt;5)),"info: later photo outside day 3 to 5; ",""))</f>
        <v/>
      </c>
      <c r="R336" s="25">
        <f>IF($B336="","",$B336&amp;"|"&amp;$C336&amp;"|"&amp;$D336&amp;"|"&amp;$O336)</f>
        <v/>
      </c>
      <c r="S336" s="25">
        <f>IF($B336="","",$R336&amp;"|"&amp;N($E336))</f>
        <v/>
      </c>
    </row>
    <row r="337">
      <c r="E337" s="9" t="n"/>
      <c r="F337" s="33" t="n"/>
      <c r="I337" s="9" t="n"/>
      <c r="M337" s="26">
        <f>IF($B337="","",IFERROR(IF(INDEX(campaigns!$BG$2:$BG$51,MATCH($B337,campaigns!$A$2:$A$51,0))="","",INDEX(campaigns!$BG$2:$BG$51,MATCH($B337,campaigns!$A$2:$A$51,0))),""))</f>
        <v/>
      </c>
      <c r="N337" s="25">
        <f>IF(OR($B337="",$E337="",$M337=""),"",IF($E337&lt;$M337,0,NETWORKDAYS($M337,$E337,calendar!$A$2:$A$80)))</f>
        <v/>
      </c>
      <c r="O337" s="25">
        <f>IF($B337="","",IF(AND($K337="Y",OR($D337="later",$J337="Y")),"Y","N"))</f>
        <v/>
      </c>
      <c r="P337" s="25">
        <f>IF(OR($B337="",$E337=""),"",$B337&amp;"_"&amp;$C337&amp;"_"&amp;$D337&amp;"_"&amp;TEXT($E337,"yyyy-mm-dd")&amp;".jpg")</f>
        <v/>
      </c>
      <c r="Q337" s="25">
        <f>IF($B337="","",IF(COUNTIF(campaigns!$A$2:$A$51,$B337)=0,"campaign_id not on campaigns; ",IF(AND($C337&lt;&gt;"",COUNTIFS(approvals!$A$2:$A$251,$B337,approvals!$B$2:$B$251,$C337)=0),"office not on this campaign (approvals tab); ",""))&amp;IF($E337="","taken date missing; ","")&amp;IF(AND($H337&lt;&gt;"",$H337&lt;&gt;$P337),"file name differs from the convention; ","")&amp;IF(AND($D337="placement",$O337="Y",COUNTIF(photos!$R$2:$R$701,$R337)&gt;1),"two usable placement photos: mark one N; ","")&amp;IF($K337&lt;&gt;"Y","info: not usable (a person, screen or whiteboard may show): never used, delete the file; ","")&amp;IF(AND($D337="placement",$J337&lt;&gt;"Y"),"info: not usable as a placement photo (no card); ","")&amp;IF(AND($D337="placement",N($N337)&gt;2),"info: placed after the first business day; ","")&amp;IF(AND($D337="later",$N337&lt;&gt;"",OR(N($N337)&lt;3,N($N337)&gt;5)),"info: later photo outside day 3 to 5; ",""))</f>
        <v/>
      </c>
      <c r="R337" s="25">
        <f>IF($B337="","",$B337&amp;"|"&amp;$C337&amp;"|"&amp;$D337&amp;"|"&amp;$O337)</f>
        <v/>
      </c>
      <c r="S337" s="25">
        <f>IF($B337="","",$R337&amp;"|"&amp;N($E337))</f>
        <v/>
      </c>
    </row>
    <row r="338">
      <c r="E338" s="9" t="n"/>
      <c r="F338" s="33" t="n"/>
      <c r="I338" s="9" t="n"/>
      <c r="M338" s="26">
        <f>IF($B338="","",IFERROR(IF(INDEX(campaigns!$BG$2:$BG$51,MATCH($B338,campaigns!$A$2:$A$51,0))="","",INDEX(campaigns!$BG$2:$BG$51,MATCH($B338,campaigns!$A$2:$A$51,0))),""))</f>
        <v/>
      </c>
      <c r="N338" s="25">
        <f>IF(OR($B338="",$E338="",$M338=""),"",IF($E338&lt;$M338,0,NETWORKDAYS($M338,$E338,calendar!$A$2:$A$80)))</f>
        <v/>
      </c>
      <c r="O338" s="25">
        <f>IF($B338="","",IF(AND($K338="Y",OR($D338="later",$J338="Y")),"Y","N"))</f>
        <v/>
      </c>
      <c r="P338" s="25">
        <f>IF(OR($B338="",$E338=""),"",$B338&amp;"_"&amp;$C338&amp;"_"&amp;$D338&amp;"_"&amp;TEXT($E338,"yyyy-mm-dd")&amp;".jpg")</f>
        <v/>
      </c>
      <c r="Q338" s="25">
        <f>IF($B338="","",IF(COUNTIF(campaigns!$A$2:$A$51,$B338)=0,"campaign_id not on campaigns; ",IF(AND($C338&lt;&gt;"",COUNTIFS(approvals!$A$2:$A$251,$B338,approvals!$B$2:$B$251,$C338)=0),"office not on this campaign (approvals tab); ",""))&amp;IF($E338="","taken date missing; ","")&amp;IF(AND($H338&lt;&gt;"",$H338&lt;&gt;$P338),"file name differs from the convention; ","")&amp;IF(AND($D338="placement",$O338="Y",COUNTIF(photos!$R$2:$R$701,$R338)&gt;1),"two usable placement photos: mark one N; ","")&amp;IF($K338&lt;&gt;"Y","info: not usable (a person, screen or whiteboard may show): never used, delete the file; ","")&amp;IF(AND($D338="placement",$J338&lt;&gt;"Y"),"info: not usable as a placement photo (no card); ","")&amp;IF(AND($D338="placement",N($N338)&gt;2),"info: placed after the first business day; ","")&amp;IF(AND($D338="later",$N338&lt;&gt;"",OR(N($N338)&lt;3,N($N338)&gt;5)),"info: later photo outside day 3 to 5; ",""))</f>
        <v/>
      </c>
      <c r="R338" s="25">
        <f>IF($B338="","",$B338&amp;"|"&amp;$C338&amp;"|"&amp;$D338&amp;"|"&amp;$O338)</f>
        <v/>
      </c>
      <c r="S338" s="25">
        <f>IF($B338="","",$R338&amp;"|"&amp;N($E338))</f>
        <v/>
      </c>
    </row>
    <row r="339">
      <c r="E339" s="9" t="n"/>
      <c r="F339" s="33" t="n"/>
      <c r="I339" s="9" t="n"/>
      <c r="M339" s="26">
        <f>IF($B339="","",IFERROR(IF(INDEX(campaigns!$BG$2:$BG$51,MATCH($B339,campaigns!$A$2:$A$51,0))="","",INDEX(campaigns!$BG$2:$BG$51,MATCH($B339,campaigns!$A$2:$A$51,0))),""))</f>
        <v/>
      </c>
      <c r="N339" s="25">
        <f>IF(OR($B339="",$E339="",$M339=""),"",IF($E339&lt;$M339,0,NETWORKDAYS($M339,$E339,calendar!$A$2:$A$80)))</f>
        <v/>
      </c>
      <c r="O339" s="25">
        <f>IF($B339="","",IF(AND($K339="Y",OR($D339="later",$J339="Y")),"Y","N"))</f>
        <v/>
      </c>
      <c r="P339" s="25">
        <f>IF(OR($B339="",$E339=""),"",$B339&amp;"_"&amp;$C339&amp;"_"&amp;$D339&amp;"_"&amp;TEXT($E339,"yyyy-mm-dd")&amp;".jpg")</f>
        <v/>
      </c>
      <c r="Q339" s="25">
        <f>IF($B339="","",IF(COUNTIF(campaigns!$A$2:$A$51,$B339)=0,"campaign_id not on campaigns; ",IF(AND($C339&lt;&gt;"",COUNTIFS(approvals!$A$2:$A$251,$B339,approvals!$B$2:$B$251,$C339)=0),"office not on this campaign (approvals tab); ",""))&amp;IF($E339="","taken date missing; ","")&amp;IF(AND($H339&lt;&gt;"",$H339&lt;&gt;$P339),"file name differs from the convention; ","")&amp;IF(AND($D339="placement",$O339="Y",COUNTIF(photos!$R$2:$R$701,$R339)&gt;1),"two usable placement photos: mark one N; ","")&amp;IF($K339&lt;&gt;"Y","info: not usable (a person, screen or whiteboard may show): never used, delete the file; ","")&amp;IF(AND($D339="placement",$J339&lt;&gt;"Y"),"info: not usable as a placement photo (no card); ","")&amp;IF(AND($D339="placement",N($N339)&gt;2),"info: placed after the first business day; ","")&amp;IF(AND($D339="later",$N339&lt;&gt;"",OR(N($N339)&lt;3,N($N339)&gt;5)),"info: later photo outside day 3 to 5; ",""))</f>
        <v/>
      </c>
      <c r="R339" s="25">
        <f>IF($B339="","",$B339&amp;"|"&amp;$C339&amp;"|"&amp;$D339&amp;"|"&amp;$O339)</f>
        <v/>
      </c>
      <c r="S339" s="25">
        <f>IF($B339="","",$R339&amp;"|"&amp;N($E339))</f>
        <v/>
      </c>
    </row>
    <row r="340">
      <c r="E340" s="9" t="n"/>
      <c r="F340" s="33" t="n"/>
      <c r="I340" s="9" t="n"/>
      <c r="M340" s="26">
        <f>IF($B340="","",IFERROR(IF(INDEX(campaigns!$BG$2:$BG$51,MATCH($B340,campaigns!$A$2:$A$51,0))="","",INDEX(campaigns!$BG$2:$BG$51,MATCH($B340,campaigns!$A$2:$A$51,0))),""))</f>
        <v/>
      </c>
      <c r="N340" s="25">
        <f>IF(OR($B340="",$E340="",$M340=""),"",IF($E340&lt;$M340,0,NETWORKDAYS($M340,$E340,calendar!$A$2:$A$80)))</f>
        <v/>
      </c>
      <c r="O340" s="25">
        <f>IF($B340="","",IF(AND($K340="Y",OR($D340="later",$J340="Y")),"Y","N"))</f>
        <v/>
      </c>
      <c r="P340" s="25">
        <f>IF(OR($B340="",$E340=""),"",$B340&amp;"_"&amp;$C340&amp;"_"&amp;$D340&amp;"_"&amp;TEXT($E340,"yyyy-mm-dd")&amp;".jpg")</f>
        <v/>
      </c>
      <c r="Q340" s="25">
        <f>IF($B340="","",IF(COUNTIF(campaigns!$A$2:$A$51,$B340)=0,"campaign_id not on campaigns; ",IF(AND($C340&lt;&gt;"",COUNTIFS(approvals!$A$2:$A$251,$B340,approvals!$B$2:$B$251,$C340)=0),"office not on this campaign (approvals tab); ",""))&amp;IF($E340="","taken date missing; ","")&amp;IF(AND($H340&lt;&gt;"",$H340&lt;&gt;$P340),"file name differs from the convention; ","")&amp;IF(AND($D340="placement",$O340="Y",COUNTIF(photos!$R$2:$R$701,$R340)&gt;1),"two usable placement photos: mark one N; ","")&amp;IF($K340&lt;&gt;"Y","info: not usable (a person, screen or whiteboard may show): never used, delete the file; ","")&amp;IF(AND($D340="placement",$J340&lt;&gt;"Y"),"info: not usable as a placement photo (no card); ","")&amp;IF(AND($D340="placement",N($N340)&gt;2),"info: placed after the first business day; ","")&amp;IF(AND($D340="later",$N340&lt;&gt;"",OR(N($N340)&lt;3,N($N340)&gt;5)),"info: later photo outside day 3 to 5; ",""))</f>
        <v/>
      </c>
      <c r="R340" s="25">
        <f>IF($B340="","",$B340&amp;"|"&amp;$C340&amp;"|"&amp;$D340&amp;"|"&amp;$O340)</f>
        <v/>
      </c>
      <c r="S340" s="25">
        <f>IF($B340="","",$R340&amp;"|"&amp;N($E340))</f>
        <v/>
      </c>
    </row>
    <row r="341">
      <c r="E341" s="9" t="n"/>
      <c r="F341" s="33" t="n"/>
      <c r="I341" s="9" t="n"/>
      <c r="M341" s="26">
        <f>IF($B341="","",IFERROR(IF(INDEX(campaigns!$BG$2:$BG$51,MATCH($B341,campaigns!$A$2:$A$51,0))="","",INDEX(campaigns!$BG$2:$BG$51,MATCH($B341,campaigns!$A$2:$A$51,0))),""))</f>
        <v/>
      </c>
      <c r="N341" s="25">
        <f>IF(OR($B341="",$E341="",$M341=""),"",IF($E341&lt;$M341,0,NETWORKDAYS($M341,$E341,calendar!$A$2:$A$80)))</f>
        <v/>
      </c>
      <c r="O341" s="25">
        <f>IF($B341="","",IF(AND($K341="Y",OR($D341="later",$J341="Y")),"Y","N"))</f>
        <v/>
      </c>
      <c r="P341" s="25">
        <f>IF(OR($B341="",$E341=""),"",$B341&amp;"_"&amp;$C341&amp;"_"&amp;$D341&amp;"_"&amp;TEXT($E341,"yyyy-mm-dd")&amp;".jpg")</f>
        <v/>
      </c>
      <c r="Q341" s="25">
        <f>IF($B341="","",IF(COUNTIF(campaigns!$A$2:$A$51,$B341)=0,"campaign_id not on campaigns; ",IF(AND($C341&lt;&gt;"",COUNTIFS(approvals!$A$2:$A$251,$B341,approvals!$B$2:$B$251,$C341)=0),"office not on this campaign (approvals tab); ",""))&amp;IF($E341="","taken date missing; ","")&amp;IF(AND($H341&lt;&gt;"",$H341&lt;&gt;$P341),"file name differs from the convention; ","")&amp;IF(AND($D341="placement",$O341="Y",COUNTIF(photos!$R$2:$R$701,$R341)&gt;1),"two usable placement photos: mark one N; ","")&amp;IF($K341&lt;&gt;"Y","info: not usable (a person, screen or whiteboard may show): never used, delete the file; ","")&amp;IF(AND($D341="placement",$J341&lt;&gt;"Y"),"info: not usable as a placement photo (no card); ","")&amp;IF(AND($D341="placement",N($N341)&gt;2),"info: placed after the first business day; ","")&amp;IF(AND($D341="later",$N341&lt;&gt;"",OR(N($N341)&lt;3,N($N341)&gt;5)),"info: later photo outside day 3 to 5; ",""))</f>
        <v/>
      </c>
      <c r="R341" s="25">
        <f>IF($B341="","",$B341&amp;"|"&amp;$C341&amp;"|"&amp;$D341&amp;"|"&amp;$O341)</f>
        <v/>
      </c>
      <c r="S341" s="25">
        <f>IF($B341="","",$R341&amp;"|"&amp;N($E341))</f>
        <v/>
      </c>
    </row>
    <row r="342">
      <c r="E342" s="9" t="n"/>
      <c r="F342" s="33" t="n"/>
      <c r="I342" s="9" t="n"/>
      <c r="M342" s="26">
        <f>IF($B342="","",IFERROR(IF(INDEX(campaigns!$BG$2:$BG$51,MATCH($B342,campaigns!$A$2:$A$51,0))="","",INDEX(campaigns!$BG$2:$BG$51,MATCH($B342,campaigns!$A$2:$A$51,0))),""))</f>
        <v/>
      </c>
      <c r="N342" s="25">
        <f>IF(OR($B342="",$E342="",$M342=""),"",IF($E342&lt;$M342,0,NETWORKDAYS($M342,$E342,calendar!$A$2:$A$80)))</f>
        <v/>
      </c>
      <c r="O342" s="25">
        <f>IF($B342="","",IF(AND($K342="Y",OR($D342="later",$J342="Y")),"Y","N"))</f>
        <v/>
      </c>
      <c r="P342" s="25">
        <f>IF(OR($B342="",$E342=""),"",$B342&amp;"_"&amp;$C342&amp;"_"&amp;$D342&amp;"_"&amp;TEXT($E342,"yyyy-mm-dd")&amp;".jpg")</f>
        <v/>
      </c>
      <c r="Q342" s="25">
        <f>IF($B342="","",IF(COUNTIF(campaigns!$A$2:$A$51,$B342)=0,"campaign_id not on campaigns; ",IF(AND($C342&lt;&gt;"",COUNTIFS(approvals!$A$2:$A$251,$B342,approvals!$B$2:$B$251,$C342)=0),"office not on this campaign (approvals tab); ",""))&amp;IF($E342="","taken date missing; ","")&amp;IF(AND($H342&lt;&gt;"",$H342&lt;&gt;$P342),"file name differs from the convention; ","")&amp;IF(AND($D342="placement",$O342="Y",COUNTIF(photos!$R$2:$R$701,$R342)&gt;1),"two usable placement photos: mark one N; ","")&amp;IF($K342&lt;&gt;"Y","info: not usable (a person, screen or whiteboard may show): never used, delete the file; ","")&amp;IF(AND($D342="placement",$J342&lt;&gt;"Y"),"info: not usable as a placement photo (no card); ","")&amp;IF(AND($D342="placement",N($N342)&gt;2),"info: placed after the first business day; ","")&amp;IF(AND($D342="later",$N342&lt;&gt;"",OR(N($N342)&lt;3,N($N342)&gt;5)),"info: later photo outside day 3 to 5; ",""))</f>
        <v/>
      </c>
      <c r="R342" s="25">
        <f>IF($B342="","",$B342&amp;"|"&amp;$C342&amp;"|"&amp;$D342&amp;"|"&amp;$O342)</f>
        <v/>
      </c>
      <c r="S342" s="25">
        <f>IF($B342="","",$R342&amp;"|"&amp;N($E342))</f>
        <v/>
      </c>
    </row>
    <row r="343">
      <c r="E343" s="9" t="n"/>
      <c r="F343" s="33" t="n"/>
      <c r="I343" s="9" t="n"/>
      <c r="M343" s="26">
        <f>IF($B343="","",IFERROR(IF(INDEX(campaigns!$BG$2:$BG$51,MATCH($B343,campaigns!$A$2:$A$51,0))="","",INDEX(campaigns!$BG$2:$BG$51,MATCH($B343,campaigns!$A$2:$A$51,0))),""))</f>
        <v/>
      </c>
      <c r="N343" s="25">
        <f>IF(OR($B343="",$E343="",$M343=""),"",IF($E343&lt;$M343,0,NETWORKDAYS($M343,$E343,calendar!$A$2:$A$80)))</f>
        <v/>
      </c>
      <c r="O343" s="25">
        <f>IF($B343="","",IF(AND($K343="Y",OR($D343="later",$J343="Y")),"Y","N"))</f>
        <v/>
      </c>
      <c r="P343" s="25">
        <f>IF(OR($B343="",$E343=""),"",$B343&amp;"_"&amp;$C343&amp;"_"&amp;$D343&amp;"_"&amp;TEXT($E343,"yyyy-mm-dd")&amp;".jpg")</f>
        <v/>
      </c>
      <c r="Q343" s="25">
        <f>IF($B343="","",IF(COUNTIF(campaigns!$A$2:$A$51,$B343)=0,"campaign_id not on campaigns; ",IF(AND($C343&lt;&gt;"",COUNTIFS(approvals!$A$2:$A$251,$B343,approvals!$B$2:$B$251,$C343)=0),"office not on this campaign (approvals tab); ",""))&amp;IF($E343="","taken date missing; ","")&amp;IF(AND($H343&lt;&gt;"",$H343&lt;&gt;$P343),"file name differs from the convention; ","")&amp;IF(AND($D343="placement",$O343="Y",COUNTIF(photos!$R$2:$R$701,$R343)&gt;1),"two usable placement photos: mark one N; ","")&amp;IF($K343&lt;&gt;"Y","info: not usable (a person, screen or whiteboard may show): never used, delete the file; ","")&amp;IF(AND($D343="placement",$J343&lt;&gt;"Y"),"info: not usable as a placement photo (no card); ","")&amp;IF(AND($D343="placement",N($N343)&gt;2),"info: placed after the first business day; ","")&amp;IF(AND($D343="later",$N343&lt;&gt;"",OR(N($N343)&lt;3,N($N343)&gt;5)),"info: later photo outside day 3 to 5; ",""))</f>
        <v/>
      </c>
      <c r="R343" s="25">
        <f>IF($B343="","",$B343&amp;"|"&amp;$C343&amp;"|"&amp;$D343&amp;"|"&amp;$O343)</f>
        <v/>
      </c>
      <c r="S343" s="25">
        <f>IF($B343="","",$R343&amp;"|"&amp;N($E343))</f>
        <v/>
      </c>
    </row>
    <row r="344">
      <c r="E344" s="9" t="n"/>
      <c r="F344" s="33" t="n"/>
      <c r="I344" s="9" t="n"/>
      <c r="M344" s="26">
        <f>IF($B344="","",IFERROR(IF(INDEX(campaigns!$BG$2:$BG$51,MATCH($B344,campaigns!$A$2:$A$51,0))="","",INDEX(campaigns!$BG$2:$BG$51,MATCH($B344,campaigns!$A$2:$A$51,0))),""))</f>
        <v/>
      </c>
      <c r="N344" s="25">
        <f>IF(OR($B344="",$E344="",$M344=""),"",IF($E344&lt;$M344,0,NETWORKDAYS($M344,$E344,calendar!$A$2:$A$80)))</f>
        <v/>
      </c>
      <c r="O344" s="25">
        <f>IF($B344="","",IF(AND($K344="Y",OR($D344="later",$J344="Y")),"Y","N"))</f>
        <v/>
      </c>
      <c r="P344" s="25">
        <f>IF(OR($B344="",$E344=""),"",$B344&amp;"_"&amp;$C344&amp;"_"&amp;$D344&amp;"_"&amp;TEXT($E344,"yyyy-mm-dd")&amp;".jpg")</f>
        <v/>
      </c>
      <c r="Q344" s="25">
        <f>IF($B344="","",IF(COUNTIF(campaigns!$A$2:$A$51,$B344)=0,"campaign_id not on campaigns; ",IF(AND($C344&lt;&gt;"",COUNTIFS(approvals!$A$2:$A$251,$B344,approvals!$B$2:$B$251,$C344)=0),"office not on this campaign (approvals tab); ",""))&amp;IF($E344="","taken date missing; ","")&amp;IF(AND($H344&lt;&gt;"",$H344&lt;&gt;$P344),"file name differs from the convention; ","")&amp;IF(AND($D344="placement",$O344="Y",COUNTIF(photos!$R$2:$R$701,$R344)&gt;1),"two usable placement photos: mark one N; ","")&amp;IF($K344&lt;&gt;"Y","info: not usable (a person, screen or whiteboard may show): never used, delete the file; ","")&amp;IF(AND($D344="placement",$J344&lt;&gt;"Y"),"info: not usable as a placement photo (no card); ","")&amp;IF(AND($D344="placement",N($N344)&gt;2),"info: placed after the first business day; ","")&amp;IF(AND($D344="later",$N344&lt;&gt;"",OR(N($N344)&lt;3,N($N344)&gt;5)),"info: later photo outside day 3 to 5; ",""))</f>
        <v/>
      </c>
      <c r="R344" s="25">
        <f>IF($B344="","",$B344&amp;"|"&amp;$C344&amp;"|"&amp;$D344&amp;"|"&amp;$O344)</f>
        <v/>
      </c>
      <c r="S344" s="25">
        <f>IF($B344="","",$R344&amp;"|"&amp;N($E344))</f>
        <v/>
      </c>
    </row>
    <row r="345">
      <c r="E345" s="9" t="n"/>
      <c r="F345" s="33" t="n"/>
      <c r="I345" s="9" t="n"/>
      <c r="M345" s="26">
        <f>IF($B345="","",IFERROR(IF(INDEX(campaigns!$BG$2:$BG$51,MATCH($B345,campaigns!$A$2:$A$51,0))="","",INDEX(campaigns!$BG$2:$BG$51,MATCH($B345,campaigns!$A$2:$A$51,0))),""))</f>
        <v/>
      </c>
      <c r="N345" s="25">
        <f>IF(OR($B345="",$E345="",$M345=""),"",IF($E345&lt;$M345,0,NETWORKDAYS($M345,$E345,calendar!$A$2:$A$80)))</f>
        <v/>
      </c>
      <c r="O345" s="25">
        <f>IF($B345="","",IF(AND($K345="Y",OR($D345="later",$J345="Y")),"Y","N"))</f>
        <v/>
      </c>
      <c r="P345" s="25">
        <f>IF(OR($B345="",$E345=""),"",$B345&amp;"_"&amp;$C345&amp;"_"&amp;$D345&amp;"_"&amp;TEXT($E345,"yyyy-mm-dd")&amp;".jpg")</f>
        <v/>
      </c>
      <c r="Q345" s="25">
        <f>IF($B345="","",IF(COUNTIF(campaigns!$A$2:$A$51,$B345)=0,"campaign_id not on campaigns; ",IF(AND($C345&lt;&gt;"",COUNTIFS(approvals!$A$2:$A$251,$B345,approvals!$B$2:$B$251,$C345)=0),"office not on this campaign (approvals tab); ",""))&amp;IF($E345="","taken date missing; ","")&amp;IF(AND($H345&lt;&gt;"",$H345&lt;&gt;$P345),"file name differs from the convention; ","")&amp;IF(AND($D345="placement",$O345="Y",COUNTIF(photos!$R$2:$R$701,$R345)&gt;1),"two usable placement photos: mark one N; ","")&amp;IF($K345&lt;&gt;"Y","info: not usable (a person, screen or whiteboard may show): never used, delete the file; ","")&amp;IF(AND($D345="placement",$J345&lt;&gt;"Y"),"info: not usable as a placement photo (no card); ","")&amp;IF(AND($D345="placement",N($N345)&gt;2),"info: placed after the first business day; ","")&amp;IF(AND($D345="later",$N345&lt;&gt;"",OR(N($N345)&lt;3,N($N345)&gt;5)),"info: later photo outside day 3 to 5; ",""))</f>
        <v/>
      </c>
      <c r="R345" s="25">
        <f>IF($B345="","",$B345&amp;"|"&amp;$C345&amp;"|"&amp;$D345&amp;"|"&amp;$O345)</f>
        <v/>
      </c>
      <c r="S345" s="25">
        <f>IF($B345="","",$R345&amp;"|"&amp;N($E345))</f>
        <v/>
      </c>
    </row>
    <row r="346">
      <c r="E346" s="9" t="n"/>
      <c r="F346" s="33" t="n"/>
      <c r="I346" s="9" t="n"/>
      <c r="M346" s="26">
        <f>IF($B346="","",IFERROR(IF(INDEX(campaigns!$BG$2:$BG$51,MATCH($B346,campaigns!$A$2:$A$51,0))="","",INDEX(campaigns!$BG$2:$BG$51,MATCH($B346,campaigns!$A$2:$A$51,0))),""))</f>
        <v/>
      </c>
      <c r="N346" s="25">
        <f>IF(OR($B346="",$E346="",$M346=""),"",IF($E346&lt;$M346,0,NETWORKDAYS($M346,$E346,calendar!$A$2:$A$80)))</f>
        <v/>
      </c>
      <c r="O346" s="25">
        <f>IF($B346="","",IF(AND($K346="Y",OR($D346="later",$J346="Y")),"Y","N"))</f>
        <v/>
      </c>
      <c r="P346" s="25">
        <f>IF(OR($B346="",$E346=""),"",$B346&amp;"_"&amp;$C346&amp;"_"&amp;$D346&amp;"_"&amp;TEXT($E346,"yyyy-mm-dd")&amp;".jpg")</f>
        <v/>
      </c>
      <c r="Q346" s="25">
        <f>IF($B346="","",IF(COUNTIF(campaigns!$A$2:$A$51,$B346)=0,"campaign_id not on campaigns; ",IF(AND($C346&lt;&gt;"",COUNTIFS(approvals!$A$2:$A$251,$B346,approvals!$B$2:$B$251,$C346)=0),"office not on this campaign (approvals tab); ",""))&amp;IF($E346="","taken date missing; ","")&amp;IF(AND($H346&lt;&gt;"",$H346&lt;&gt;$P346),"file name differs from the convention; ","")&amp;IF(AND($D346="placement",$O346="Y",COUNTIF(photos!$R$2:$R$701,$R346)&gt;1),"two usable placement photos: mark one N; ","")&amp;IF($K346&lt;&gt;"Y","info: not usable (a person, screen or whiteboard may show): never used, delete the file; ","")&amp;IF(AND($D346="placement",$J346&lt;&gt;"Y"),"info: not usable as a placement photo (no card); ","")&amp;IF(AND($D346="placement",N($N346)&gt;2),"info: placed after the first business day; ","")&amp;IF(AND($D346="later",$N346&lt;&gt;"",OR(N($N346)&lt;3,N($N346)&gt;5)),"info: later photo outside day 3 to 5; ",""))</f>
        <v/>
      </c>
      <c r="R346" s="25">
        <f>IF($B346="","",$B346&amp;"|"&amp;$C346&amp;"|"&amp;$D346&amp;"|"&amp;$O346)</f>
        <v/>
      </c>
      <c r="S346" s="25">
        <f>IF($B346="","",$R346&amp;"|"&amp;N($E346))</f>
        <v/>
      </c>
    </row>
    <row r="347">
      <c r="E347" s="9" t="n"/>
      <c r="F347" s="33" t="n"/>
      <c r="I347" s="9" t="n"/>
      <c r="M347" s="26">
        <f>IF($B347="","",IFERROR(IF(INDEX(campaigns!$BG$2:$BG$51,MATCH($B347,campaigns!$A$2:$A$51,0))="","",INDEX(campaigns!$BG$2:$BG$51,MATCH($B347,campaigns!$A$2:$A$51,0))),""))</f>
        <v/>
      </c>
      <c r="N347" s="25">
        <f>IF(OR($B347="",$E347="",$M347=""),"",IF($E347&lt;$M347,0,NETWORKDAYS($M347,$E347,calendar!$A$2:$A$80)))</f>
        <v/>
      </c>
      <c r="O347" s="25">
        <f>IF($B347="","",IF(AND($K347="Y",OR($D347="later",$J347="Y")),"Y","N"))</f>
        <v/>
      </c>
      <c r="P347" s="25">
        <f>IF(OR($B347="",$E347=""),"",$B347&amp;"_"&amp;$C347&amp;"_"&amp;$D347&amp;"_"&amp;TEXT($E347,"yyyy-mm-dd")&amp;".jpg")</f>
        <v/>
      </c>
      <c r="Q347" s="25">
        <f>IF($B347="","",IF(COUNTIF(campaigns!$A$2:$A$51,$B347)=0,"campaign_id not on campaigns; ",IF(AND($C347&lt;&gt;"",COUNTIFS(approvals!$A$2:$A$251,$B347,approvals!$B$2:$B$251,$C347)=0),"office not on this campaign (approvals tab); ",""))&amp;IF($E347="","taken date missing; ","")&amp;IF(AND($H347&lt;&gt;"",$H347&lt;&gt;$P347),"file name differs from the convention; ","")&amp;IF(AND($D347="placement",$O347="Y",COUNTIF(photos!$R$2:$R$701,$R347)&gt;1),"two usable placement photos: mark one N; ","")&amp;IF($K347&lt;&gt;"Y","info: not usable (a person, screen or whiteboard may show): never used, delete the file; ","")&amp;IF(AND($D347="placement",$J347&lt;&gt;"Y"),"info: not usable as a placement photo (no card); ","")&amp;IF(AND($D347="placement",N($N347)&gt;2),"info: placed after the first business day; ","")&amp;IF(AND($D347="later",$N347&lt;&gt;"",OR(N($N347)&lt;3,N($N347)&gt;5)),"info: later photo outside day 3 to 5; ",""))</f>
        <v/>
      </c>
      <c r="R347" s="25">
        <f>IF($B347="","",$B347&amp;"|"&amp;$C347&amp;"|"&amp;$D347&amp;"|"&amp;$O347)</f>
        <v/>
      </c>
      <c r="S347" s="25">
        <f>IF($B347="","",$R347&amp;"|"&amp;N($E347))</f>
        <v/>
      </c>
    </row>
    <row r="348">
      <c r="E348" s="9" t="n"/>
      <c r="F348" s="33" t="n"/>
      <c r="I348" s="9" t="n"/>
      <c r="M348" s="26">
        <f>IF($B348="","",IFERROR(IF(INDEX(campaigns!$BG$2:$BG$51,MATCH($B348,campaigns!$A$2:$A$51,0))="","",INDEX(campaigns!$BG$2:$BG$51,MATCH($B348,campaigns!$A$2:$A$51,0))),""))</f>
        <v/>
      </c>
      <c r="N348" s="25">
        <f>IF(OR($B348="",$E348="",$M348=""),"",IF($E348&lt;$M348,0,NETWORKDAYS($M348,$E348,calendar!$A$2:$A$80)))</f>
        <v/>
      </c>
      <c r="O348" s="25">
        <f>IF($B348="","",IF(AND($K348="Y",OR($D348="later",$J348="Y")),"Y","N"))</f>
        <v/>
      </c>
      <c r="P348" s="25">
        <f>IF(OR($B348="",$E348=""),"",$B348&amp;"_"&amp;$C348&amp;"_"&amp;$D348&amp;"_"&amp;TEXT($E348,"yyyy-mm-dd")&amp;".jpg")</f>
        <v/>
      </c>
      <c r="Q348" s="25">
        <f>IF($B348="","",IF(COUNTIF(campaigns!$A$2:$A$51,$B348)=0,"campaign_id not on campaigns; ",IF(AND($C348&lt;&gt;"",COUNTIFS(approvals!$A$2:$A$251,$B348,approvals!$B$2:$B$251,$C348)=0),"office not on this campaign (approvals tab); ",""))&amp;IF($E348="","taken date missing; ","")&amp;IF(AND($H348&lt;&gt;"",$H348&lt;&gt;$P348),"file name differs from the convention; ","")&amp;IF(AND($D348="placement",$O348="Y",COUNTIF(photos!$R$2:$R$701,$R348)&gt;1),"two usable placement photos: mark one N; ","")&amp;IF($K348&lt;&gt;"Y","info: not usable (a person, screen or whiteboard may show): never used, delete the file; ","")&amp;IF(AND($D348="placement",$J348&lt;&gt;"Y"),"info: not usable as a placement photo (no card); ","")&amp;IF(AND($D348="placement",N($N348)&gt;2),"info: placed after the first business day; ","")&amp;IF(AND($D348="later",$N348&lt;&gt;"",OR(N($N348)&lt;3,N($N348)&gt;5)),"info: later photo outside day 3 to 5; ",""))</f>
        <v/>
      </c>
      <c r="R348" s="25">
        <f>IF($B348="","",$B348&amp;"|"&amp;$C348&amp;"|"&amp;$D348&amp;"|"&amp;$O348)</f>
        <v/>
      </c>
      <c r="S348" s="25">
        <f>IF($B348="","",$R348&amp;"|"&amp;N($E348))</f>
        <v/>
      </c>
    </row>
    <row r="349">
      <c r="E349" s="9" t="n"/>
      <c r="F349" s="33" t="n"/>
      <c r="I349" s="9" t="n"/>
      <c r="M349" s="26">
        <f>IF($B349="","",IFERROR(IF(INDEX(campaigns!$BG$2:$BG$51,MATCH($B349,campaigns!$A$2:$A$51,0))="","",INDEX(campaigns!$BG$2:$BG$51,MATCH($B349,campaigns!$A$2:$A$51,0))),""))</f>
        <v/>
      </c>
      <c r="N349" s="25">
        <f>IF(OR($B349="",$E349="",$M349=""),"",IF($E349&lt;$M349,0,NETWORKDAYS($M349,$E349,calendar!$A$2:$A$80)))</f>
        <v/>
      </c>
      <c r="O349" s="25">
        <f>IF($B349="","",IF(AND($K349="Y",OR($D349="later",$J349="Y")),"Y","N"))</f>
        <v/>
      </c>
      <c r="P349" s="25">
        <f>IF(OR($B349="",$E349=""),"",$B349&amp;"_"&amp;$C349&amp;"_"&amp;$D349&amp;"_"&amp;TEXT($E349,"yyyy-mm-dd")&amp;".jpg")</f>
        <v/>
      </c>
      <c r="Q349" s="25">
        <f>IF($B349="","",IF(COUNTIF(campaigns!$A$2:$A$51,$B349)=0,"campaign_id not on campaigns; ",IF(AND($C349&lt;&gt;"",COUNTIFS(approvals!$A$2:$A$251,$B349,approvals!$B$2:$B$251,$C349)=0),"office not on this campaign (approvals tab); ",""))&amp;IF($E349="","taken date missing; ","")&amp;IF(AND($H349&lt;&gt;"",$H349&lt;&gt;$P349),"file name differs from the convention; ","")&amp;IF(AND($D349="placement",$O349="Y",COUNTIF(photos!$R$2:$R$701,$R349)&gt;1),"two usable placement photos: mark one N; ","")&amp;IF($K349&lt;&gt;"Y","info: not usable (a person, screen or whiteboard may show): never used, delete the file; ","")&amp;IF(AND($D349="placement",$J349&lt;&gt;"Y"),"info: not usable as a placement photo (no card); ","")&amp;IF(AND($D349="placement",N($N349)&gt;2),"info: placed after the first business day; ","")&amp;IF(AND($D349="later",$N349&lt;&gt;"",OR(N($N349)&lt;3,N($N349)&gt;5)),"info: later photo outside day 3 to 5; ",""))</f>
        <v/>
      </c>
      <c r="R349" s="25">
        <f>IF($B349="","",$B349&amp;"|"&amp;$C349&amp;"|"&amp;$D349&amp;"|"&amp;$O349)</f>
        <v/>
      </c>
      <c r="S349" s="25">
        <f>IF($B349="","",$R349&amp;"|"&amp;N($E349))</f>
        <v/>
      </c>
    </row>
    <row r="350">
      <c r="E350" s="9" t="n"/>
      <c r="F350" s="33" t="n"/>
      <c r="I350" s="9" t="n"/>
      <c r="M350" s="26">
        <f>IF($B350="","",IFERROR(IF(INDEX(campaigns!$BG$2:$BG$51,MATCH($B350,campaigns!$A$2:$A$51,0))="","",INDEX(campaigns!$BG$2:$BG$51,MATCH($B350,campaigns!$A$2:$A$51,0))),""))</f>
        <v/>
      </c>
      <c r="N350" s="25">
        <f>IF(OR($B350="",$E350="",$M350=""),"",IF($E350&lt;$M350,0,NETWORKDAYS($M350,$E350,calendar!$A$2:$A$80)))</f>
        <v/>
      </c>
      <c r="O350" s="25">
        <f>IF($B350="","",IF(AND($K350="Y",OR($D350="later",$J350="Y")),"Y","N"))</f>
        <v/>
      </c>
      <c r="P350" s="25">
        <f>IF(OR($B350="",$E350=""),"",$B350&amp;"_"&amp;$C350&amp;"_"&amp;$D350&amp;"_"&amp;TEXT($E350,"yyyy-mm-dd")&amp;".jpg")</f>
        <v/>
      </c>
      <c r="Q350" s="25">
        <f>IF($B350="","",IF(COUNTIF(campaigns!$A$2:$A$51,$B350)=0,"campaign_id not on campaigns; ",IF(AND($C350&lt;&gt;"",COUNTIFS(approvals!$A$2:$A$251,$B350,approvals!$B$2:$B$251,$C350)=0),"office not on this campaign (approvals tab); ",""))&amp;IF($E350="","taken date missing; ","")&amp;IF(AND($H350&lt;&gt;"",$H350&lt;&gt;$P350),"file name differs from the convention; ","")&amp;IF(AND($D350="placement",$O350="Y",COUNTIF(photos!$R$2:$R$701,$R350)&gt;1),"two usable placement photos: mark one N; ","")&amp;IF($K350&lt;&gt;"Y","info: not usable (a person, screen or whiteboard may show): never used, delete the file; ","")&amp;IF(AND($D350="placement",$J350&lt;&gt;"Y"),"info: not usable as a placement photo (no card); ","")&amp;IF(AND($D350="placement",N($N350)&gt;2),"info: placed after the first business day; ","")&amp;IF(AND($D350="later",$N350&lt;&gt;"",OR(N($N350)&lt;3,N($N350)&gt;5)),"info: later photo outside day 3 to 5; ",""))</f>
        <v/>
      </c>
      <c r="R350" s="25">
        <f>IF($B350="","",$B350&amp;"|"&amp;$C350&amp;"|"&amp;$D350&amp;"|"&amp;$O350)</f>
        <v/>
      </c>
      <c r="S350" s="25">
        <f>IF($B350="","",$R350&amp;"|"&amp;N($E350))</f>
        <v/>
      </c>
    </row>
    <row r="351">
      <c r="E351" s="9" t="n"/>
      <c r="F351" s="33" t="n"/>
      <c r="I351" s="9" t="n"/>
      <c r="M351" s="26">
        <f>IF($B351="","",IFERROR(IF(INDEX(campaigns!$BG$2:$BG$51,MATCH($B351,campaigns!$A$2:$A$51,0))="","",INDEX(campaigns!$BG$2:$BG$51,MATCH($B351,campaigns!$A$2:$A$51,0))),""))</f>
        <v/>
      </c>
      <c r="N351" s="25">
        <f>IF(OR($B351="",$E351="",$M351=""),"",IF($E351&lt;$M351,0,NETWORKDAYS($M351,$E351,calendar!$A$2:$A$80)))</f>
        <v/>
      </c>
      <c r="O351" s="25">
        <f>IF($B351="","",IF(AND($K351="Y",OR($D351="later",$J351="Y")),"Y","N"))</f>
        <v/>
      </c>
      <c r="P351" s="25">
        <f>IF(OR($B351="",$E351=""),"",$B351&amp;"_"&amp;$C351&amp;"_"&amp;$D351&amp;"_"&amp;TEXT($E351,"yyyy-mm-dd")&amp;".jpg")</f>
        <v/>
      </c>
      <c r="Q351" s="25">
        <f>IF($B351="","",IF(COUNTIF(campaigns!$A$2:$A$51,$B351)=0,"campaign_id not on campaigns; ",IF(AND($C351&lt;&gt;"",COUNTIFS(approvals!$A$2:$A$251,$B351,approvals!$B$2:$B$251,$C351)=0),"office not on this campaign (approvals tab); ",""))&amp;IF($E351="","taken date missing; ","")&amp;IF(AND($H351&lt;&gt;"",$H351&lt;&gt;$P351),"file name differs from the convention; ","")&amp;IF(AND($D351="placement",$O351="Y",COUNTIF(photos!$R$2:$R$701,$R351)&gt;1),"two usable placement photos: mark one N; ","")&amp;IF($K351&lt;&gt;"Y","info: not usable (a person, screen or whiteboard may show): never used, delete the file; ","")&amp;IF(AND($D351="placement",$J351&lt;&gt;"Y"),"info: not usable as a placement photo (no card); ","")&amp;IF(AND($D351="placement",N($N351)&gt;2),"info: placed after the first business day; ","")&amp;IF(AND($D351="later",$N351&lt;&gt;"",OR(N($N351)&lt;3,N($N351)&gt;5)),"info: later photo outside day 3 to 5; ",""))</f>
        <v/>
      </c>
      <c r="R351" s="25">
        <f>IF($B351="","",$B351&amp;"|"&amp;$C351&amp;"|"&amp;$D351&amp;"|"&amp;$O351)</f>
        <v/>
      </c>
      <c r="S351" s="25">
        <f>IF($B351="","",$R351&amp;"|"&amp;N($E351))</f>
        <v/>
      </c>
    </row>
    <row r="352">
      <c r="E352" s="9" t="n"/>
      <c r="F352" s="33" t="n"/>
      <c r="I352" s="9" t="n"/>
      <c r="M352" s="26">
        <f>IF($B352="","",IFERROR(IF(INDEX(campaigns!$BG$2:$BG$51,MATCH($B352,campaigns!$A$2:$A$51,0))="","",INDEX(campaigns!$BG$2:$BG$51,MATCH($B352,campaigns!$A$2:$A$51,0))),""))</f>
        <v/>
      </c>
      <c r="N352" s="25">
        <f>IF(OR($B352="",$E352="",$M352=""),"",IF($E352&lt;$M352,0,NETWORKDAYS($M352,$E352,calendar!$A$2:$A$80)))</f>
        <v/>
      </c>
      <c r="O352" s="25">
        <f>IF($B352="","",IF(AND($K352="Y",OR($D352="later",$J352="Y")),"Y","N"))</f>
        <v/>
      </c>
      <c r="P352" s="25">
        <f>IF(OR($B352="",$E352=""),"",$B352&amp;"_"&amp;$C352&amp;"_"&amp;$D352&amp;"_"&amp;TEXT($E352,"yyyy-mm-dd")&amp;".jpg")</f>
        <v/>
      </c>
      <c r="Q352" s="25">
        <f>IF($B352="","",IF(COUNTIF(campaigns!$A$2:$A$51,$B352)=0,"campaign_id not on campaigns; ",IF(AND($C352&lt;&gt;"",COUNTIFS(approvals!$A$2:$A$251,$B352,approvals!$B$2:$B$251,$C352)=0),"office not on this campaign (approvals tab); ",""))&amp;IF($E352="","taken date missing; ","")&amp;IF(AND($H352&lt;&gt;"",$H352&lt;&gt;$P352),"file name differs from the convention; ","")&amp;IF(AND($D352="placement",$O352="Y",COUNTIF(photos!$R$2:$R$701,$R352)&gt;1),"two usable placement photos: mark one N; ","")&amp;IF($K352&lt;&gt;"Y","info: not usable (a person, screen or whiteboard may show): never used, delete the file; ","")&amp;IF(AND($D352="placement",$J352&lt;&gt;"Y"),"info: not usable as a placement photo (no card); ","")&amp;IF(AND($D352="placement",N($N352)&gt;2),"info: placed after the first business day; ","")&amp;IF(AND($D352="later",$N352&lt;&gt;"",OR(N($N352)&lt;3,N($N352)&gt;5)),"info: later photo outside day 3 to 5; ",""))</f>
        <v/>
      </c>
      <c r="R352" s="25">
        <f>IF($B352="","",$B352&amp;"|"&amp;$C352&amp;"|"&amp;$D352&amp;"|"&amp;$O352)</f>
        <v/>
      </c>
      <c r="S352" s="25">
        <f>IF($B352="","",$R352&amp;"|"&amp;N($E352))</f>
        <v/>
      </c>
    </row>
    <row r="353">
      <c r="E353" s="9" t="n"/>
      <c r="F353" s="33" t="n"/>
      <c r="I353" s="9" t="n"/>
      <c r="M353" s="26">
        <f>IF($B353="","",IFERROR(IF(INDEX(campaigns!$BG$2:$BG$51,MATCH($B353,campaigns!$A$2:$A$51,0))="","",INDEX(campaigns!$BG$2:$BG$51,MATCH($B353,campaigns!$A$2:$A$51,0))),""))</f>
        <v/>
      </c>
      <c r="N353" s="25">
        <f>IF(OR($B353="",$E353="",$M353=""),"",IF($E353&lt;$M353,0,NETWORKDAYS($M353,$E353,calendar!$A$2:$A$80)))</f>
        <v/>
      </c>
      <c r="O353" s="25">
        <f>IF($B353="","",IF(AND($K353="Y",OR($D353="later",$J353="Y")),"Y","N"))</f>
        <v/>
      </c>
      <c r="P353" s="25">
        <f>IF(OR($B353="",$E353=""),"",$B353&amp;"_"&amp;$C353&amp;"_"&amp;$D353&amp;"_"&amp;TEXT($E353,"yyyy-mm-dd")&amp;".jpg")</f>
        <v/>
      </c>
      <c r="Q353" s="25">
        <f>IF($B353="","",IF(COUNTIF(campaigns!$A$2:$A$51,$B353)=0,"campaign_id not on campaigns; ",IF(AND($C353&lt;&gt;"",COUNTIFS(approvals!$A$2:$A$251,$B353,approvals!$B$2:$B$251,$C353)=0),"office not on this campaign (approvals tab); ",""))&amp;IF($E353="","taken date missing; ","")&amp;IF(AND($H353&lt;&gt;"",$H353&lt;&gt;$P353),"file name differs from the convention; ","")&amp;IF(AND($D353="placement",$O353="Y",COUNTIF(photos!$R$2:$R$701,$R353)&gt;1),"two usable placement photos: mark one N; ","")&amp;IF($K353&lt;&gt;"Y","info: not usable (a person, screen or whiteboard may show): never used, delete the file; ","")&amp;IF(AND($D353="placement",$J353&lt;&gt;"Y"),"info: not usable as a placement photo (no card); ","")&amp;IF(AND($D353="placement",N($N353)&gt;2),"info: placed after the first business day; ","")&amp;IF(AND($D353="later",$N353&lt;&gt;"",OR(N($N353)&lt;3,N($N353)&gt;5)),"info: later photo outside day 3 to 5; ",""))</f>
        <v/>
      </c>
      <c r="R353" s="25">
        <f>IF($B353="","",$B353&amp;"|"&amp;$C353&amp;"|"&amp;$D353&amp;"|"&amp;$O353)</f>
        <v/>
      </c>
      <c r="S353" s="25">
        <f>IF($B353="","",$R353&amp;"|"&amp;N($E353))</f>
        <v/>
      </c>
    </row>
    <row r="354">
      <c r="E354" s="9" t="n"/>
      <c r="F354" s="33" t="n"/>
      <c r="I354" s="9" t="n"/>
      <c r="M354" s="26">
        <f>IF($B354="","",IFERROR(IF(INDEX(campaigns!$BG$2:$BG$51,MATCH($B354,campaigns!$A$2:$A$51,0))="","",INDEX(campaigns!$BG$2:$BG$51,MATCH($B354,campaigns!$A$2:$A$51,0))),""))</f>
        <v/>
      </c>
      <c r="N354" s="25">
        <f>IF(OR($B354="",$E354="",$M354=""),"",IF($E354&lt;$M354,0,NETWORKDAYS($M354,$E354,calendar!$A$2:$A$80)))</f>
        <v/>
      </c>
      <c r="O354" s="25">
        <f>IF($B354="","",IF(AND($K354="Y",OR($D354="later",$J354="Y")),"Y","N"))</f>
        <v/>
      </c>
      <c r="P354" s="25">
        <f>IF(OR($B354="",$E354=""),"",$B354&amp;"_"&amp;$C354&amp;"_"&amp;$D354&amp;"_"&amp;TEXT($E354,"yyyy-mm-dd")&amp;".jpg")</f>
        <v/>
      </c>
      <c r="Q354" s="25">
        <f>IF($B354="","",IF(COUNTIF(campaigns!$A$2:$A$51,$B354)=0,"campaign_id not on campaigns; ",IF(AND($C354&lt;&gt;"",COUNTIFS(approvals!$A$2:$A$251,$B354,approvals!$B$2:$B$251,$C354)=0),"office not on this campaign (approvals tab); ",""))&amp;IF($E354="","taken date missing; ","")&amp;IF(AND($H354&lt;&gt;"",$H354&lt;&gt;$P354),"file name differs from the convention; ","")&amp;IF(AND($D354="placement",$O354="Y",COUNTIF(photos!$R$2:$R$701,$R354)&gt;1),"two usable placement photos: mark one N; ","")&amp;IF($K354&lt;&gt;"Y","info: not usable (a person, screen or whiteboard may show): never used, delete the file; ","")&amp;IF(AND($D354="placement",$J354&lt;&gt;"Y"),"info: not usable as a placement photo (no card); ","")&amp;IF(AND($D354="placement",N($N354)&gt;2),"info: placed after the first business day; ","")&amp;IF(AND($D354="later",$N354&lt;&gt;"",OR(N($N354)&lt;3,N($N354)&gt;5)),"info: later photo outside day 3 to 5; ",""))</f>
        <v/>
      </c>
      <c r="R354" s="25">
        <f>IF($B354="","",$B354&amp;"|"&amp;$C354&amp;"|"&amp;$D354&amp;"|"&amp;$O354)</f>
        <v/>
      </c>
      <c r="S354" s="25">
        <f>IF($B354="","",$R354&amp;"|"&amp;N($E354))</f>
        <v/>
      </c>
    </row>
    <row r="355">
      <c r="E355" s="9" t="n"/>
      <c r="F355" s="33" t="n"/>
      <c r="I355" s="9" t="n"/>
      <c r="M355" s="26">
        <f>IF($B355="","",IFERROR(IF(INDEX(campaigns!$BG$2:$BG$51,MATCH($B355,campaigns!$A$2:$A$51,0))="","",INDEX(campaigns!$BG$2:$BG$51,MATCH($B355,campaigns!$A$2:$A$51,0))),""))</f>
        <v/>
      </c>
      <c r="N355" s="25">
        <f>IF(OR($B355="",$E355="",$M355=""),"",IF($E355&lt;$M355,0,NETWORKDAYS($M355,$E355,calendar!$A$2:$A$80)))</f>
        <v/>
      </c>
      <c r="O355" s="25">
        <f>IF($B355="","",IF(AND($K355="Y",OR($D355="later",$J355="Y")),"Y","N"))</f>
        <v/>
      </c>
      <c r="P355" s="25">
        <f>IF(OR($B355="",$E355=""),"",$B355&amp;"_"&amp;$C355&amp;"_"&amp;$D355&amp;"_"&amp;TEXT($E355,"yyyy-mm-dd")&amp;".jpg")</f>
        <v/>
      </c>
      <c r="Q355" s="25">
        <f>IF($B355="","",IF(COUNTIF(campaigns!$A$2:$A$51,$B355)=0,"campaign_id not on campaigns; ",IF(AND($C355&lt;&gt;"",COUNTIFS(approvals!$A$2:$A$251,$B355,approvals!$B$2:$B$251,$C355)=0),"office not on this campaign (approvals tab); ",""))&amp;IF($E355="","taken date missing; ","")&amp;IF(AND($H355&lt;&gt;"",$H355&lt;&gt;$P355),"file name differs from the convention; ","")&amp;IF(AND($D355="placement",$O355="Y",COUNTIF(photos!$R$2:$R$701,$R355)&gt;1),"two usable placement photos: mark one N; ","")&amp;IF($K355&lt;&gt;"Y","info: not usable (a person, screen or whiteboard may show): never used, delete the file; ","")&amp;IF(AND($D355="placement",$J355&lt;&gt;"Y"),"info: not usable as a placement photo (no card); ","")&amp;IF(AND($D355="placement",N($N355)&gt;2),"info: placed after the first business day; ","")&amp;IF(AND($D355="later",$N355&lt;&gt;"",OR(N($N355)&lt;3,N($N355)&gt;5)),"info: later photo outside day 3 to 5; ",""))</f>
        <v/>
      </c>
      <c r="R355" s="25">
        <f>IF($B355="","",$B355&amp;"|"&amp;$C355&amp;"|"&amp;$D355&amp;"|"&amp;$O355)</f>
        <v/>
      </c>
      <c r="S355" s="25">
        <f>IF($B355="","",$R355&amp;"|"&amp;N($E355))</f>
        <v/>
      </c>
    </row>
    <row r="356">
      <c r="E356" s="9" t="n"/>
      <c r="F356" s="33" t="n"/>
      <c r="I356" s="9" t="n"/>
      <c r="M356" s="26">
        <f>IF($B356="","",IFERROR(IF(INDEX(campaigns!$BG$2:$BG$51,MATCH($B356,campaigns!$A$2:$A$51,0))="","",INDEX(campaigns!$BG$2:$BG$51,MATCH($B356,campaigns!$A$2:$A$51,0))),""))</f>
        <v/>
      </c>
      <c r="N356" s="25">
        <f>IF(OR($B356="",$E356="",$M356=""),"",IF($E356&lt;$M356,0,NETWORKDAYS($M356,$E356,calendar!$A$2:$A$80)))</f>
        <v/>
      </c>
      <c r="O356" s="25">
        <f>IF($B356="","",IF(AND($K356="Y",OR($D356="later",$J356="Y")),"Y","N"))</f>
        <v/>
      </c>
      <c r="P356" s="25">
        <f>IF(OR($B356="",$E356=""),"",$B356&amp;"_"&amp;$C356&amp;"_"&amp;$D356&amp;"_"&amp;TEXT($E356,"yyyy-mm-dd")&amp;".jpg")</f>
        <v/>
      </c>
      <c r="Q356" s="25">
        <f>IF($B356="","",IF(COUNTIF(campaigns!$A$2:$A$51,$B356)=0,"campaign_id not on campaigns; ",IF(AND($C356&lt;&gt;"",COUNTIFS(approvals!$A$2:$A$251,$B356,approvals!$B$2:$B$251,$C356)=0),"office not on this campaign (approvals tab); ",""))&amp;IF($E356="","taken date missing; ","")&amp;IF(AND($H356&lt;&gt;"",$H356&lt;&gt;$P356),"file name differs from the convention; ","")&amp;IF(AND($D356="placement",$O356="Y",COUNTIF(photos!$R$2:$R$701,$R356)&gt;1),"two usable placement photos: mark one N; ","")&amp;IF($K356&lt;&gt;"Y","info: not usable (a person, screen or whiteboard may show): never used, delete the file; ","")&amp;IF(AND($D356="placement",$J356&lt;&gt;"Y"),"info: not usable as a placement photo (no card); ","")&amp;IF(AND($D356="placement",N($N356)&gt;2),"info: placed after the first business day; ","")&amp;IF(AND($D356="later",$N356&lt;&gt;"",OR(N($N356)&lt;3,N($N356)&gt;5)),"info: later photo outside day 3 to 5; ",""))</f>
        <v/>
      </c>
      <c r="R356" s="25">
        <f>IF($B356="","",$B356&amp;"|"&amp;$C356&amp;"|"&amp;$D356&amp;"|"&amp;$O356)</f>
        <v/>
      </c>
      <c r="S356" s="25">
        <f>IF($B356="","",$R356&amp;"|"&amp;N($E356))</f>
        <v/>
      </c>
    </row>
    <row r="357">
      <c r="E357" s="9" t="n"/>
      <c r="F357" s="33" t="n"/>
      <c r="I357" s="9" t="n"/>
      <c r="M357" s="26">
        <f>IF($B357="","",IFERROR(IF(INDEX(campaigns!$BG$2:$BG$51,MATCH($B357,campaigns!$A$2:$A$51,0))="","",INDEX(campaigns!$BG$2:$BG$51,MATCH($B357,campaigns!$A$2:$A$51,0))),""))</f>
        <v/>
      </c>
      <c r="N357" s="25">
        <f>IF(OR($B357="",$E357="",$M357=""),"",IF($E357&lt;$M357,0,NETWORKDAYS($M357,$E357,calendar!$A$2:$A$80)))</f>
        <v/>
      </c>
      <c r="O357" s="25">
        <f>IF($B357="","",IF(AND($K357="Y",OR($D357="later",$J357="Y")),"Y","N"))</f>
        <v/>
      </c>
      <c r="P357" s="25">
        <f>IF(OR($B357="",$E357=""),"",$B357&amp;"_"&amp;$C357&amp;"_"&amp;$D357&amp;"_"&amp;TEXT($E357,"yyyy-mm-dd")&amp;".jpg")</f>
        <v/>
      </c>
      <c r="Q357" s="25">
        <f>IF($B357="","",IF(COUNTIF(campaigns!$A$2:$A$51,$B357)=0,"campaign_id not on campaigns; ",IF(AND($C357&lt;&gt;"",COUNTIFS(approvals!$A$2:$A$251,$B357,approvals!$B$2:$B$251,$C357)=0),"office not on this campaign (approvals tab); ",""))&amp;IF($E357="","taken date missing; ","")&amp;IF(AND($H357&lt;&gt;"",$H357&lt;&gt;$P357),"file name differs from the convention; ","")&amp;IF(AND($D357="placement",$O357="Y",COUNTIF(photos!$R$2:$R$701,$R357)&gt;1),"two usable placement photos: mark one N; ","")&amp;IF($K357&lt;&gt;"Y","info: not usable (a person, screen or whiteboard may show): never used, delete the file; ","")&amp;IF(AND($D357="placement",$J357&lt;&gt;"Y"),"info: not usable as a placement photo (no card); ","")&amp;IF(AND($D357="placement",N($N357)&gt;2),"info: placed after the first business day; ","")&amp;IF(AND($D357="later",$N357&lt;&gt;"",OR(N($N357)&lt;3,N($N357)&gt;5)),"info: later photo outside day 3 to 5; ",""))</f>
        <v/>
      </c>
      <c r="R357" s="25">
        <f>IF($B357="","",$B357&amp;"|"&amp;$C357&amp;"|"&amp;$D357&amp;"|"&amp;$O357)</f>
        <v/>
      </c>
      <c r="S357" s="25">
        <f>IF($B357="","",$R357&amp;"|"&amp;N($E357))</f>
        <v/>
      </c>
    </row>
    <row r="358">
      <c r="E358" s="9" t="n"/>
      <c r="F358" s="33" t="n"/>
      <c r="I358" s="9" t="n"/>
      <c r="M358" s="26">
        <f>IF($B358="","",IFERROR(IF(INDEX(campaigns!$BG$2:$BG$51,MATCH($B358,campaigns!$A$2:$A$51,0))="","",INDEX(campaigns!$BG$2:$BG$51,MATCH($B358,campaigns!$A$2:$A$51,0))),""))</f>
        <v/>
      </c>
      <c r="N358" s="25">
        <f>IF(OR($B358="",$E358="",$M358=""),"",IF($E358&lt;$M358,0,NETWORKDAYS($M358,$E358,calendar!$A$2:$A$80)))</f>
        <v/>
      </c>
      <c r="O358" s="25">
        <f>IF($B358="","",IF(AND($K358="Y",OR($D358="later",$J358="Y")),"Y","N"))</f>
        <v/>
      </c>
      <c r="P358" s="25">
        <f>IF(OR($B358="",$E358=""),"",$B358&amp;"_"&amp;$C358&amp;"_"&amp;$D358&amp;"_"&amp;TEXT($E358,"yyyy-mm-dd")&amp;".jpg")</f>
        <v/>
      </c>
      <c r="Q358" s="25">
        <f>IF($B358="","",IF(COUNTIF(campaigns!$A$2:$A$51,$B358)=0,"campaign_id not on campaigns; ",IF(AND($C358&lt;&gt;"",COUNTIFS(approvals!$A$2:$A$251,$B358,approvals!$B$2:$B$251,$C358)=0),"office not on this campaign (approvals tab); ",""))&amp;IF($E358="","taken date missing; ","")&amp;IF(AND($H358&lt;&gt;"",$H358&lt;&gt;$P358),"file name differs from the convention; ","")&amp;IF(AND($D358="placement",$O358="Y",COUNTIF(photos!$R$2:$R$701,$R358)&gt;1),"two usable placement photos: mark one N; ","")&amp;IF($K358&lt;&gt;"Y","info: not usable (a person, screen or whiteboard may show): never used, delete the file; ","")&amp;IF(AND($D358="placement",$J358&lt;&gt;"Y"),"info: not usable as a placement photo (no card); ","")&amp;IF(AND($D358="placement",N($N358)&gt;2),"info: placed after the first business day; ","")&amp;IF(AND($D358="later",$N358&lt;&gt;"",OR(N($N358)&lt;3,N($N358)&gt;5)),"info: later photo outside day 3 to 5; ",""))</f>
        <v/>
      </c>
      <c r="R358" s="25">
        <f>IF($B358="","",$B358&amp;"|"&amp;$C358&amp;"|"&amp;$D358&amp;"|"&amp;$O358)</f>
        <v/>
      </c>
      <c r="S358" s="25">
        <f>IF($B358="","",$R358&amp;"|"&amp;N($E358))</f>
        <v/>
      </c>
    </row>
    <row r="359">
      <c r="E359" s="9" t="n"/>
      <c r="F359" s="33" t="n"/>
      <c r="I359" s="9" t="n"/>
      <c r="M359" s="26">
        <f>IF($B359="","",IFERROR(IF(INDEX(campaigns!$BG$2:$BG$51,MATCH($B359,campaigns!$A$2:$A$51,0))="","",INDEX(campaigns!$BG$2:$BG$51,MATCH($B359,campaigns!$A$2:$A$51,0))),""))</f>
        <v/>
      </c>
      <c r="N359" s="25">
        <f>IF(OR($B359="",$E359="",$M359=""),"",IF($E359&lt;$M359,0,NETWORKDAYS($M359,$E359,calendar!$A$2:$A$80)))</f>
        <v/>
      </c>
      <c r="O359" s="25">
        <f>IF($B359="","",IF(AND($K359="Y",OR($D359="later",$J359="Y")),"Y","N"))</f>
        <v/>
      </c>
      <c r="P359" s="25">
        <f>IF(OR($B359="",$E359=""),"",$B359&amp;"_"&amp;$C359&amp;"_"&amp;$D359&amp;"_"&amp;TEXT($E359,"yyyy-mm-dd")&amp;".jpg")</f>
        <v/>
      </c>
      <c r="Q359" s="25">
        <f>IF($B359="","",IF(COUNTIF(campaigns!$A$2:$A$51,$B359)=0,"campaign_id not on campaigns; ",IF(AND($C359&lt;&gt;"",COUNTIFS(approvals!$A$2:$A$251,$B359,approvals!$B$2:$B$251,$C359)=0),"office not on this campaign (approvals tab); ",""))&amp;IF($E359="","taken date missing; ","")&amp;IF(AND($H359&lt;&gt;"",$H359&lt;&gt;$P359),"file name differs from the convention; ","")&amp;IF(AND($D359="placement",$O359="Y",COUNTIF(photos!$R$2:$R$701,$R359)&gt;1),"two usable placement photos: mark one N; ","")&amp;IF($K359&lt;&gt;"Y","info: not usable (a person, screen or whiteboard may show): never used, delete the file; ","")&amp;IF(AND($D359="placement",$J359&lt;&gt;"Y"),"info: not usable as a placement photo (no card); ","")&amp;IF(AND($D359="placement",N($N359)&gt;2),"info: placed after the first business day; ","")&amp;IF(AND($D359="later",$N359&lt;&gt;"",OR(N($N359)&lt;3,N($N359)&gt;5)),"info: later photo outside day 3 to 5; ",""))</f>
        <v/>
      </c>
      <c r="R359" s="25">
        <f>IF($B359="","",$B359&amp;"|"&amp;$C359&amp;"|"&amp;$D359&amp;"|"&amp;$O359)</f>
        <v/>
      </c>
      <c r="S359" s="25">
        <f>IF($B359="","",$R359&amp;"|"&amp;N($E359))</f>
        <v/>
      </c>
    </row>
    <row r="360">
      <c r="E360" s="9" t="n"/>
      <c r="F360" s="33" t="n"/>
      <c r="I360" s="9" t="n"/>
      <c r="M360" s="26">
        <f>IF($B360="","",IFERROR(IF(INDEX(campaigns!$BG$2:$BG$51,MATCH($B360,campaigns!$A$2:$A$51,0))="","",INDEX(campaigns!$BG$2:$BG$51,MATCH($B360,campaigns!$A$2:$A$51,0))),""))</f>
        <v/>
      </c>
      <c r="N360" s="25">
        <f>IF(OR($B360="",$E360="",$M360=""),"",IF($E360&lt;$M360,0,NETWORKDAYS($M360,$E360,calendar!$A$2:$A$80)))</f>
        <v/>
      </c>
      <c r="O360" s="25">
        <f>IF($B360="","",IF(AND($K360="Y",OR($D360="later",$J360="Y")),"Y","N"))</f>
        <v/>
      </c>
      <c r="P360" s="25">
        <f>IF(OR($B360="",$E360=""),"",$B360&amp;"_"&amp;$C360&amp;"_"&amp;$D360&amp;"_"&amp;TEXT($E360,"yyyy-mm-dd")&amp;".jpg")</f>
        <v/>
      </c>
      <c r="Q360" s="25">
        <f>IF($B360="","",IF(COUNTIF(campaigns!$A$2:$A$51,$B360)=0,"campaign_id not on campaigns; ",IF(AND($C360&lt;&gt;"",COUNTIFS(approvals!$A$2:$A$251,$B360,approvals!$B$2:$B$251,$C360)=0),"office not on this campaign (approvals tab); ",""))&amp;IF($E360="","taken date missing; ","")&amp;IF(AND($H360&lt;&gt;"",$H360&lt;&gt;$P360),"file name differs from the convention; ","")&amp;IF(AND($D360="placement",$O360="Y",COUNTIF(photos!$R$2:$R$701,$R360)&gt;1),"two usable placement photos: mark one N; ","")&amp;IF($K360&lt;&gt;"Y","info: not usable (a person, screen or whiteboard may show): never used, delete the file; ","")&amp;IF(AND($D360="placement",$J360&lt;&gt;"Y"),"info: not usable as a placement photo (no card); ","")&amp;IF(AND($D360="placement",N($N360)&gt;2),"info: placed after the first business day; ","")&amp;IF(AND($D360="later",$N360&lt;&gt;"",OR(N($N360)&lt;3,N($N360)&gt;5)),"info: later photo outside day 3 to 5; ",""))</f>
        <v/>
      </c>
      <c r="R360" s="25">
        <f>IF($B360="","",$B360&amp;"|"&amp;$C360&amp;"|"&amp;$D360&amp;"|"&amp;$O360)</f>
        <v/>
      </c>
      <c r="S360" s="25">
        <f>IF($B360="","",$R360&amp;"|"&amp;N($E360))</f>
        <v/>
      </c>
    </row>
    <row r="361">
      <c r="E361" s="9" t="n"/>
      <c r="F361" s="33" t="n"/>
      <c r="I361" s="9" t="n"/>
      <c r="M361" s="26">
        <f>IF($B361="","",IFERROR(IF(INDEX(campaigns!$BG$2:$BG$51,MATCH($B361,campaigns!$A$2:$A$51,0))="","",INDEX(campaigns!$BG$2:$BG$51,MATCH($B361,campaigns!$A$2:$A$51,0))),""))</f>
        <v/>
      </c>
      <c r="N361" s="25">
        <f>IF(OR($B361="",$E361="",$M361=""),"",IF($E361&lt;$M361,0,NETWORKDAYS($M361,$E361,calendar!$A$2:$A$80)))</f>
        <v/>
      </c>
      <c r="O361" s="25">
        <f>IF($B361="","",IF(AND($K361="Y",OR($D361="later",$J361="Y")),"Y","N"))</f>
        <v/>
      </c>
      <c r="P361" s="25">
        <f>IF(OR($B361="",$E361=""),"",$B361&amp;"_"&amp;$C361&amp;"_"&amp;$D361&amp;"_"&amp;TEXT($E361,"yyyy-mm-dd")&amp;".jpg")</f>
        <v/>
      </c>
      <c r="Q361" s="25">
        <f>IF($B361="","",IF(COUNTIF(campaigns!$A$2:$A$51,$B361)=0,"campaign_id not on campaigns; ",IF(AND($C361&lt;&gt;"",COUNTIFS(approvals!$A$2:$A$251,$B361,approvals!$B$2:$B$251,$C361)=0),"office not on this campaign (approvals tab); ",""))&amp;IF($E361="","taken date missing; ","")&amp;IF(AND($H361&lt;&gt;"",$H361&lt;&gt;$P361),"file name differs from the convention; ","")&amp;IF(AND($D361="placement",$O361="Y",COUNTIF(photos!$R$2:$R$701,$R361)&gt;1),"two usable placement photos: mark one N; ","")&amp;IF($K361&lt;&gt;"Y","info: not usable (a person, screen or whiteboard may show): never used, delete the file; ","")&amp;IF(AND($D361="placement",$J361&lt;&gt;"Y"),"info: not usable as a placement photo (no card); ","")&amp;IF(AND($D361="placement",N($N361)&gt;2),"info: placed after the first business day; ","")&amp;IF(AND($D361="later",$N361&lt;&gt;"",OR(N($N361)&lt;3,N($N361)&gt;5)),"info: later photo outside day 3 to 5; ",""))</f>
        <v/>
      </c>
      <c r="R361" s="25">
        <f>IF($B361="","",$B361&amp;"|"&amp;$C361&amp;"|"&amp;$D361&amp;"|"&amp;$O361)</f>
        <v/>
      </c>
      <c r="S361" s="25">
        <f>IF($B361="","",$R361&amp;"|"&amp;N($E361))</f>
        <v/>
      </c>
    </row>
    <row r="362">
      <c r="E362" s="9" t="n"/>
      <c r="F362" s="33" t="n"/>
      <c r="I362" s="9" t="n"/>
      <c r="M362" s="26">
        <f>IF($B362="","",IFERROR(IF(INDEX(campaigns!$BG$2:$BG$51,MATCH($B362,campaigns!$A$2:$A$51,0))="","",INDEX(campaigns!$BG$2:$BG$51,MATCH($B362,campaigns!$A$2:$A$51,0))),""))</f>
        <v/>
      </c>
      <c r="N362" s="25">
        <f>IF(OR($B362="",$E362="",$M362=""),"",IF($E362&lt;$M362,0,NETWORKDAYS($M362,$E362,calendar!$A$2:$A$80)))</f>
        <v/>
      </c>
      <c r="O362" s="25">
        <f>IF($B362="","",IF(AND($K362="Y",OR($D362="later",$J362="Y")),"Y","N"))</f>
        <v/>
      </c>
      <c r="P362" s="25">
        <f>IF(OR($B362="",$E362=""),"",$B362&amp;"_"&amp;$C362&amp;"_"&amp;$D362&amp;"_"&amp;TEXT($E362,"yyyy-mm-dd")&amp;".jpg")</f>
        <v/>
      </c>
      <c r="Q362" s="25">
        <f>IF($B362="","",IF(COUNTIF(campaigns!$A$2:$A$51,$B362)=0,"campaign_id not on campaigns; ",IF(AND($C362&lt;&gt;"",COUNTIFS(approvals!$A$2:$A$251,$B362,approvals!$B$2:$B$251,$C362)=0),"office not on this campaign (approvals tab); ",""))&amp;IF($E362="","taken date missing; ","")&amp;IF(AND($H362&lt;&gt;"",$H362&lt;&gt;$P362),"file name differs from the convention; ","")&amp;IF(AND($D362="placement",$O362="Y",COUNTIF(photos!$R$2:$R$701,$R362)&gt;1),"two usable placement photos: mark one N; ","")&amp;IF($K362&lt;&gt;"Y","info: not usable (a person, screen or whiteboard may show): never used, delete the file; ","")&amp;IF(AND($D362="placement",$J362&lt;&gt;"Y"),"info: not usable as a placement photo (no card); ","")&amp;IF(AND($D362="placement",N($N362)&gt;2),"info: placed after the first business day; ","")&amp;IF(AND($D362="later",$N362&lt;&gt;"",OR(N($N362)&lt;3,N($N362)&gt;5)),"info: later photo outside day 3 to 5; ",""))</f>
        <v/>
      </c>
      <c r="R362" s="25">
        <f>IF($B362="","",$B362&amp;"|"&amp;$C362&amp;"|"&amp;$D362&amp;"|"&amp;$O362)</f>
        <v/>
      </c>
      <c r="S362" s="25">
        <f>IF($B362="","",$R362&amp;"|"&amp;N($E362))</f>
        <v/>
      </c>
    </row>
    <row r="363">
      <c r="E363" s="9" t="n"/>
      <c r="F363" s="33" t="n"/>
      <c r="I363" s="9" t="n"/>
      <c r="M363" s="26">
        <f>IF($B363="","",IFERROR(IF(INDEX(campaigns!$BG$2:$BG$51,MATCH($B363,campaigns!$A$2:$A$51,0))="","",INDEX(campaigns!$BG$2:$BG$51,MATCH($B363,campaigns!$A$2:$A$51,0))),""))</f>
        <v/>
      </c>
      <c r="N363" s="25">
        <f>IF(OR($B363="",$E363="",$M363=""),"",IF($E363&lt;$M363,0,NETWORKDAYS($M363,$E363,calendar!$A$2:$A$80)))</f>
        <v/>
      </c>
      <c r="O363" s="25">
        <f>IF($B363="","",IF(AND($K363="Y",OR($D363="later",$J363="Y")),"Y","N"))</f>
        <v/>
      </c>
      <c r="P363" s="25">
        <f>IF(OR($B363="",$E363=""),"",$B363&amp;"_"&amp;$C363&amp;"_"&amp;$D363&amp;"_"&amp;TEXT($E363,"yyyy-mm-dd")&amp;".jpg")</f>
        <v/>
      </c>
      <c r="Q363" s="25">
        <f>IF($B363="","",IF(COUNTIF(campaigns!$A$2:$A$51,$B363)=0,"campaign_id not on campaigns; ",IF(AND($C363&lt;&gt;"",COUNTIFS(approvals!$A$2:$A$251,$B363,approvals!$B$2:$B$251,$C363)=0),"office not on this campaign (approvals tab); ",""))&amp;IF($E363="","taken date missing; ","")&amp;IF(AND($H363&lt;&gt;"",$H363&lt;&gt;$P363),"file name differs from the convention; ","")&amp;IF(AND($D363="placement",$O363="Y",COUNTIF(photos!$R$2:$R$701,$R363)&gt;1),"two usable placement photos: mark one N; ","")&amp;IF($K363&lt;&gt;"Y","info: not usable (a person, screen or whiteboard may show): never used, delete the file; ","")&amp;IF(AND($D363="placement",$J363&lt;&gt;"Y"),"info: not usable as a placement photo (no card); ","")&amp;IF(AND($D363="placement",N($N363)&gt;2),"info: placed after the first business day; ","")&amp;IF(AND($D363="later",$N363&lt;&gt;"",OR(N($N363)&lt;3,N($N363)&gt;5)),"info: later photo outside day 3 to 5; ",""))</f>
        <v/>
      </c>
      <c r="R363" s="25">
        <f>IF($B363="","",$B363&amp;"|"&amp;$C363&amp;"|"&amp;$D363&amp;"|"&amp;$O363)</f>
        <v/>
      </c>
      <c r="S363" s="25">
        <f>IF($B363="","",$R363&amp;"|"&amp;N($E363))</f>
        <v/>
      </c>
    </row>
    <row r="364">
      <c r="E364" s="9" t="n"/>
      <c r="F364" s="33" t="n"/>
      <c r="I364" s="9" t="n"/>
      <c r="M364" s="26">
        <f>IF($B364="","",IFERROR(IF(INDEX(campaigns!$BG$2:$BG$51,MATCH($B364,campaigns!$A$2:$A$51,0))="","",INDEX(campaigns!$BG$2:$BG$51,MATCH($B364,campaigns!$A$2:$A$51,0))),""))</f>
        <v/>
      </c>
      <c r="N364" s="25">
        <f>IF(OR($B364="",$E364="",$M364=""),"",IF($E364&lt;$M364,0,NETWORKDAYS($M364,$E364,calendar!$A$2:$A$80)))</f>
        <v/>
      </c>
      <c r="O364" s="25">
        <f>IF($B364="","",IF(AND($K364="Y",OR($D364="later",$J364="Y")),"Y","N"))</f>
        <v/>
      </c>
      <c r="P364" s="25">
        <f>IF(OR($B364="",$E364=""),"",$B364&amp;"_"&amp;$C364&amp;"_"&amp;$D364&amp;"_"&amp;TEXT($E364,"yyyy-mm-dd")&amp;".jpg")</f>
        <v/>
      </c>
      <c r="Q364" s="25">
        <f>IF($B364="","",IF(COUNTIF(campaigns!$A$2:$A$51,$B364)=0,"campaign_id not on campaigns; ",IF(AND($C364&lt;&gt;"",COUNTIFS(approvals!$A$2:$A$251,$B364,approvals!$B$2:$B$251,$C364)=0),"office not on this campaign (approvals tab); ",""))&amp;IF($E364="","taken date missing; ","")&amp;IF(AND($H364&lt;&gt;"",$H364&lt;&gt;$P364),"file name differs from the convention; ","")&amp;IF(AND($D364="placement",$O364="Y",COUNTIF(photos!$R$2:$R$701,$R364)&gt;1),"two usable placement photos: mark one N; ","")&amp;IF($K364&lt;&gt;"Y","info: not usable (a person, screen or whiteboard may show): never used, delete the file; ","")&amp;IF(AND($D364="placement",$J364&lt;&gt;"Y"),"info: not usable as a placement photo (no card); ","")&amp;IF(AND($D364="placement",N($N364)&gt;2),"info: placed after the first business day; ","")&amp;IF(AND($D364="later",$N364&lt;&gt;"",OR(N($N364)&lt;3,N($N364)&gt;5)),"info: later photo outside day 3 to 5; ",""))</f>
        <v/>
      </c>
      <c r="R364" s="25">
        <f>IF($B364="","",$B364&amp;"|"&amp;$C364&amp;"|"&amp;$D364&amp;"|"&amp;$O364)</f>
        <v/>
      </c>
      <c r="S364" s="25">
        <f>IF($B364="","",$R364&amp;"|"&amp;N($E364))</f>
        <v/>
      </c>
    </row>
    <row r="365">
      <c r="E365" s="9" t="n"/>
      <c r="F365" s="33" t="n"/>
      <c r="I365" s="9" t="n"/>
      <c r="M365" s="26">
        <f>IF($B365="","",IFERROR(IF(INDEX(campaigns!$BG$2:$BG$51,MATCH($B365,campaigns!$A$2:$A$51,0))="","",INDEX(campaigns!$BG$2:$BG$51,MATCH($B365,campaigns!$A$2:$A$51,0))),""))</f>
        <v/>
      </c>
      <c r="N365" s="25">
        <f>IF(OR($B365="",$E365="",$M365=""),"",IF($E365&lt;$M365,0,NETWORKDAYS($M365,$E365,calendar!$A$2:$A$80)))</f>
        <v/>
      </c>
      <c r="O365" s="25">
        <f>IF($B365="","",IF(AND($K365="Y",OR($D365="later",$J365="Y")),"Y","N"))</f>
        <v/>
      </c>
      <c r="P365" s="25">
        <f>IF(OR($B365="",$E365=""),"",$B365&amp;"_"&amp;$C365&amp;"_"&amp;$D365&amp;"_"&amp;TEXT($E365,"yyyy-mm-dd")&amp;".jpg")</f>
        <v/>
      </c>
      <c r="Q365" s="25">
        <f>IF($B365="","",IF(COUNTIF(campaigns!$A$2:$A$51,$B365)=0,"campaign_id not on campaigns; ",IF(AND($C365&lt;&gt;"",COUNTIFS(approvals!$A$2:$A$251,$B365,approvals!$B$2:$B$251,$C365)=0),"office not on this campaign (approvals tab); ",""))&amp;IF($E365="","taken date missing; ","")&amp;IF(AND($H365&lt;&gt;"",$H365&lt;&gt;$P365),"file name differs from the convention; ","")&amp;IF(AND($D365="placement",$O365="Y",COUNTIF(photos!$R$2:$R$701,$R365)&gt;1),"two usable placement photos: mark one N; ","")&amp;IF($K365&lt;&gt;"Y","info: not usable (a person, screen or whiteboard may show): never used, delete the file; ","")&amp;IF(AND($D365="placement",$J365&lt;&gt;"Y"),"info: not usable as a placement photo (no card); ","")&amp;IF(AND($D365="placement",N($N365)&gt;2),"info: placed after the first business day; ","")&amp;IF(AND($D365="later",$N365&lt;&gt;"",OR(N($N365)&lt;3,N($N365)&gt;5)),"info: later photo outside day 3 to 5; ",""))</f>
        <v/>
      </c>
      <c r="R365" s="25">
        <f>IF($B365="","",$B365&amp;"|"&amp;$C365&amp;"|"&amp;$D365&amp;"|"&amp;$O365)</f>
        <v/>
      </c>
      <c r="S365" s="25">
        <f>IF($B365="","",$R365&amp;"|"&amp;N($E365))</f>
        <v/>
      </c>
    </row>
    <row r="366">
      <c r="E366" s="9" t="n"/>
      <c r="F366" s="33" t="n"/>
      <c r="I366" s="9" t="n"/>
      <c r="M366" s="26">
        <f>IF($B366="","",IFERROR(IF(INDEX(campaigns!$BG$2:$BG$51,MATCH($B366,campaigns!$A$2:$A$51,0))="","",INDEX(campaigns!$BG$2:$BG$51,MATCH($B366,campaigns!$A$2:$A$51,0))),""))</f>
        <v/>
      </c>
      <c r="N366" s="25">
        <f>IF(OR($B366="",$E366="",$M366=""),"",IF($E366&lt;$M366,0,NETWORKDAYS($M366,$E366,calendar!$A$2:$A$80)))</f>
        <v/>
      </c>
      <c r="O366" s="25">
        <f>IF($B366="","",IF(AND($K366="Y",OR($D366="later",$J366="Y")),"Y","N"))</f>
        <v/>
      </c>
      <c r="P366" s="25">
        <f>IF(OR($B366="",$E366=""),"",$B366&amp;"_"&amp;$C366&amp;"_"&amp;$D366&amp;"_"&amp;TEXT($E366,"yyyy-mm-dd")&amp;".jpg")</f>
        <v/>
      </c>
      <c r="Q366" s="25">
        <f>IF($B366="","",IF(COUNTIF(campaigns!$A$2:$A$51,$B366)=0,"campaign_id not on campaigns; ",IF(AND($C366&lt;&gt;"",COUNTIFS(approvals!$A$2:$A$251,$B366,approvals!$B$2:$B$251,$C366)=0),"office not on this campaign (approvals tab); ",""))&amp;IF($E366="","taken date missing; ","")&amp;IF(AND($H366&lt;&gt;"",$H366&lt;&gt;$P366),"file name differs from the convention; ","")&amp;IF(AND($D366="placement",$O366="Y",COUNTIF(photos!$R$2:$R$701,$R366)&gt;1),"two usable placement photos: mark one N; ","")&amp;IF($K366&lt;&gt;"Y","info: not usable (a person, screen or whiteboard may show): never used, delete the file; ","")&amp;IF(AND($D366="placement",$J366&lt;&gt;"Y"),"info: not usable as a placement photo (no card); ","")&amp;IF(AND($D366="placement",N($N366)&gt;2),"info: placed after the first business day; ","")&amp;IF(AND($D366="later",$N366&lt;&gt;"",OR(N($N366)&lt;3,N($N366)&gt;5)),"info: later photo outside day 3 to 5; ",""))</f>
        <v/>
      </c>
      <c r="R366" s="25">
        <f>IF($B366="","",$B366&amp;"|"&amp;$C366&amp;"|"&amp;$D366&amp;"|"&amp;$O366)</f>
        <v/>
      </c>
      <c r="S366" s="25">
        <f>IF($B366="","",$R366&amp;"|"&amp;N($E366))</f>
        <v/>
      </c>
    </row>
    <row r="367">
      <c r="E367" s="9" t="n"/>
      <c r="F367" s="33" t="n"/>
      <c r="I367" s="9" t="n"/>
      <c r="M367" s="26">
        <f>IF($B367="","",IFERROR(IF(INDEX(campaigns!$BG$2:$BG$51,MATCH($B367,campaigns!$A$2:$A$51,0))="","",INDEX(campaigns!$BG$2:$BG$51,MATCH($B367,campaigns!$A$2:$A$51,0))),""))</f>
        <v/>
      </c>
      <c r="N367" s="25">
        <f>IF(OR($B367="",$E367="",$M367=""),"",IF($E367&lt;$M367,0,NETWORKDAYS($M367,$E367,calendar!$A$2:$A$80)))</f>
        <v/>
      </c>
      <c r="O367" s="25">
        <f>IF($B367="","",IF(AND($K367="Y",OR($D367="later",$J367="Y")),"Y","N"))</f>
        <v/>
      </c>
      <c r="P367" s="25">
        <f>IF(OR($B367="",$E367=""),"",$B367&amp;"_"&amp;$C367&amp;"_"&amp;$D367&amp;"_"&amp;TEXT($E367,"yyyy-mm-dd")&amp;".jpg")</f>
        <v/>
      </c>
      <c r="Q367" s="25">
        <f>IF($B367="","",IF(COUNTIF(campaigns!$A$2:$A$51,$B367)=0,"campaign_id not on campaigns; ",IF(AND($C367&lt;&gt;"",COUNTIFS(approvals!$A$2:$A$251,$B367,approvals!$B$2:$B$251,$C367)=0),"office not on this campaign (approvals tab); ",""))&amp;IF($E367="","taken date missing; ","")&amp;IF(AND($H367&lt;&gt;"",$H367&lt;&gt;$P367),"file name differs from the convention; ","")&amp;IF(AND($D367="placement",$O367="Y",COUNTIF(photos!$R$2:$R$701,$R367)&gt;1),"two usable placement photos: mark one N; ","")&amp;IF($K367&lt;&gt;"Y","info: not usable (a person, screen or whiteboard may show): never used, delete the file; ","")&amp;IF(AND($D367="placement",$J367&lt;&gt;"Y"),"info: not usable as a placement photo (no card); ","")&amp;IF(AND($D367="placement",N($N367)&gt;2),"info: placed after the first business day; ","")&amp;IF(AND($D367="later",$N367&lt;&gt;"",OR(N($N367)&lt;3,N($N367)&gt;5)),"info: later photo outside day 3 to 5; ",""))</f>
        <v/>
      </c>
      <c r="R367" s="25">
        <f>IF($B367="","",$B367&amp;"|"&amp;$C367&amp;"|"&amp;$D367&amp;"|"&amp;$O367)</f>
        <v/>
      </c>
      <c r="S367" s="25">
        <f>IF($B367="","",$R367&amp;"|"&amp;N($E367))</f>
        <v/>
      </c>
    </row>
    <row r="368">
      <c r="E368" s="9" t="n"/>
      <c r="F368" s="33" t="n"/>
      <c r="I368" s="9" t="n"/>
      <c r="M368" s="26">
        <f>IF($B368="","",IFERROR(IF(INDEX(campaigns!$BG$2:$BG$51,MATCH($B368,campaigns!$A$2:$A$51,0))="","",INDEX(campaigns!$BG$2:$BG$51,MATCH($B368,campaigns!$A$2:$A$51,0))),""))</f>
        <v/>
      </c>
      <c r="N368" s="25">
        <f>IF(OR($B368="",$E368="",$M368=""),"",IF($E368&lt;$M368,0,NETWORKDAYS($M368,$E368,calendar!$A$2:$A$80)))</f>
        <v/>
      </c>
      <c r="O368" s="25">
        <f>IF($B368="","",IF(AND($K368="Y",OR($D368="later",$J368="Y")),"Y","N"))</f>
        <v/>
      </c>
      <c r="P368" s="25">
        <f>IF(OR($B368="",$E368=""),"",$B368&amp;"_"&amp;$C368&amp;"_"&amp;$D368&amp;"_"&amp;TEXT($E368,"yyyy-mm-dd")&amp;".jpg")</f>
        <v/>
      </c>
      <c r="Q368" s="25">
        <f>IF($B368="","",IF(COUNTIF(campaigns!$A$2:$A$51,$B368)=0,"campaign_id not on campaigns; ",IF(AND($C368&lt;&gt;"",COUNTIFS(approvals!$A$2:$A$251,$B368,approvals!$B$2:$B$251,$C368)=0),"office not on this campaign (approvals tab); ",""))&amp;IF($E368="","taken date missing; ","")&amp;IF(AND($H368&lt;&gt;"",$H368&lt;&gt;$P368),"file name differs from the convention; ","")&amp;IF(AND($D368="placement",$O368="Y",COUNTIF(photos!$R$2:$R$701,$R368)&gt;1),"two usable placement photos: mark one N; ","")&amp;IF($K368&lt;&gt;"Y","info: not usable (a person, screen or whiteboard may show): never used, delete the file; ","")&amp;IF(AND($D368="placement",$J368&lt;&gt;"Y"),"info: not usable as a placement photo (no card); ","")&amp;IF(AND($D368="placement",N($N368)&gt;2),"info: placed after the first business day; ","")&amp;IF(AND($D368="later",$N368&lt;&gt;"",OR(N($N368)&lt;3,N($N368)&gt;5)),"info: later photo outside day 3 to 5; ",""))</f>
        <v/>
      </c>
      <c r="R368" s="25">
        <f>IF($B368="","",$B368&amp;"|"&amp;$C368&amp;"|"&amp;$D368&amp;"|"&amp;$O368)</f>
        <v/>
      </c>
      <c r="S368" s="25">
        <f>IF($B368="","",$R368&amp;"|"&amp;N($E368))</f>
        <v/>
      </c>
    </row>
    <row r="369">
      <c r="E369" s="9" t="n"/>
      <c r="F369" s="33" t="n"/>
      <c r="I369" s="9" t="n"/>
      <c r="M369" s="26">
        <f>IF($B369="","",IFERROR(IF(INDEX(campaigns!$BG$2:$BG$51,MATCH($B369,campaigns!$A$2:$A$51,0))="","",INDEX(campaigns!$BG$2:$BG$51,MATCH($B369,campaigns!$A$2:$A$51,0))),""))</f>
        <v/>
      </c>
      <c r="N369" s="25">
        <f>IF(OR($B369="",$E369="",$M369=""),"",IF($E369&lt;$M369,0,NETWORKDAYS($M369,$E369,calendar!$A$2:$A$80)))</f>
        <v/>
      </c>
      <c r="O369" s="25">
        <f>IF($B369="","",IF(AND($K369="Y",OR($D369="later",$J369="Y")),"Y","N"))</f>
        <v/>
      </c>
      <c r="P369" s="25">
        <f>IF(OR($B369="",$E369=""),"",$B369&amp;"_"&amp;$C369&amp;"_"&amp;$D369&amp;"_"&amp;TEXT($E369,"yyyy-mm-dd")&amp;".jpg")</f>
        <v/>
      </c>
      <c r="Q369" s="25">
        <f>IF($B369="","",IF(COUNTIF(campaigns!$A$2:$A$51,$B369)=0,"campaign_id not on campaigns; ",IF(AND($C369&lt;&gt;"",COUNTIFS(approvals!$A$2:$A$251,$B369,approvals!$B$2:$B$251,$C369)=0),"office not on this campaign (approvals tab); ",""))&amp;IF($E369="","taken date missing; ","")&amp;IF(AND($H369&lt;&gt;"",$H369&lt;&gt;$P369),"file name differs from the convention; ","")&amp;IF(AND($D369="placement",$O369="Y",COUNTIF(photos!$R$2:$R$701,$R369)&gt;1),"two usable placement photos: mark one N; ","")&amp;IF($K369&lt;&gt;"Y","info: not usable (a person, screen or whiteboard may show): never used, delete the file; ","")&amp;IF(AND($D369="placement",$J369&lt;&gt;"Y"),"info: not usable as a placement photo (no card); ","")&amp;IF(AND($D369="placement",N($N369)&gt;2),"info: placed after the first business day; ","")&amp;IF(AND($D369="later",$N369&lt;&gt;"",OR(N($N369)&lt;3,N($N369)&gt;5)),"info: later photo outside day 3 to 5; ",""))</f>
        <v/>
      </c>
      <c r="R369" s="25">
        <f>IF($B369="","",$B369&amp;"|"&amp;$C369&amp;"|"&amp;$D369&amp;"|"&amp;$O369)</f>
        <v/>
      </c>
      <c r="S369" s="25">
        <f>IF($B369="","",$R369&amp;"|"&amp;N($E369))</f>
        <v/>
      </c>
    </row>
    <row r="370">
      <c r="E370" s="9" t="n"/>
      <c r="F370" s="33" t="n"/>
      <c r="I370" s="9" t="n"/>
      <c r="M370" s="26">
        <f>IF($B370="","",IFERROR(IF(INDEX(campaigns!$BG$2:$BG$51,MATCH($B370,campaigns!$A$2:$A$51,0))="","",INDEX(campaigns!$BG$2:$BG$51,MATCH($B370,campaigns!$A$2:$A$51,0))),""))</f>
        <v/>
      </c>
      <c r="N370" s="25">
        <f>IF(OR($B370="",$E370="",$M370=""),"",IF($E370&lt;$M370,0,NETWORKDAYS($M370,$E370,calendar!$A$2:$A$80)))</f>
        <v/>
      </c>
      <c r="O370" s="25">
        <f>IF($B370="","",IF(AND($K370="Y",OR($D370="later",$J370="Y")),"Y","N"))</f>
        <v/>
      </c>
      <c r="P370" s="25">
        <f>IF(OR($B370="",$E370=""),"",$B370&amp;"_"&amp;$C370&amp;"_"&amp;$D370&amp;"_"&amp;TEXT($E370,"yyyy-mm-dd")&amp;".jpg")</f>
        <v/>
      </c>
      <c r="Q370" s="25">
        <f>IF($B370="","",IF(COUNTIF(campaigns!$A$2:$A$51,$B370)=0,"campaign_id not on campaigns; ",IF(AND($C370&lt;&gt;"",COUNTIFS(approvals!$A$2:$A$251,$B370,approvals!$B$2:$B$251,$C370)=0),"office not on this campaign (approvals tab); ",""))&amp;IF($E370="","taken date missing; ","")&amp;IF(AND($H370&lt;&gt;"",$H370&lt;&gt;$P370),"file name differs from the convention; ","")&amp;IF(AND($D370="placement",$O370="Y",COUNTIF(photos!$R$2:$R$701,$R370)&gt;1),"two usable placement photos: mark one N; ","")&amp;IF($K370&lt;&gt;"Y","info: not usable (a person, screen or whiteboard may show): never used, delete the file; ","")&amp;IF(AND($D370="placement",$J370&lt;&gt;"Y"),"info: not usable as a placement photo (no card); ","")&amp;IF(AND($D370="placement",N($N370)&gt;2),"info: placed after the first business day; ","")&amp;IF(AND($D370="later",$N370&lt;&gt;"",OR(N($N370)&lt;3,N($N370)&gt;5)),"info: later photo outside day 3 to 5; ",""))</f>
        <v/>
      </c>
      <c r="R370" s="25">
        <f>IF($B370="","",$B370&amp;"|"&amp;$C370&amp;"|"&amp;$D370&amp;"|"&amp;$O370)</f>
        <v/>
      </c>
      <c r="S370" s="25">
        <f>IF($B370="","",$R370&amp;"|"&amp;N($E370))</f>
        <v/>
      </c>
    </row>
    <row r="371">
      <c r="E371" s="9" t="n"/>
      <c r="F371" s="33" t="n"/>
      <c r="I371" s="9" t="n"/>
      <c r="M371" s="26">
        <f>IF($B371="","",IFERROR(IF(INDEX(campaigns!$BG$2:$BG$51,MATCH($B371,campaigns!$A$2:$A$51,0))="","",INDEX(campaigns!$BG$2:$BG$51,MATCH($B371,campaigns!$A$2:$A$51,0))),""))</f>
        <v/>
      </c>
      <c r="N371" s="25">
        <f>IF(OR($B371="",$E371="",$M371=""),"",IF($E371&lt;$M371,0,NETWORKDAYS($M371,$E371,calendar!$A$2:$A$80)))</f>
        <v/>
      </c>
      <c r="O371" s="25">
        <f>IF($B371="","",IF(AND($K371="Y",OR($D371="later",$J371="Y")),"Y","N"))</f>
        <v/>
      </c>
      <c r="P371" s="25">
        <f>IF(OR($B371="",$E371=""),"",$B371&amp;"_"&amp;$C371&amp;"_"&amp;$D371&amp;"_"&amp;TEXT($E371,"yyyy-mm-dd")&amp;".jpg")</f>
        <v/>
      </c>
      <c r="Q371" s="25">
        <f>IF($B371="","",IF(COUNTIF(campaigns!$A$2:$A$51,$B371)=0,"campaign_id not on campaigns; ",IF(AND($C371&lt;&gt;"",COUNTIFS(approvals!$A$2:$A$251,$B371,approvals!$B$2:$B$251,$C371)=0),"office not on this campaign (approvals tab); ",""))&amp;IF($E371="","taken date missing; ","")&amp;IF(AND($H371&lt;&gt;"",$H371&lt;&gt;$P371),"file name differs from the convention; ","")&amp;IF(AND($D371="placement",$O371="Y",COUNTIF(photos!$R$2:$R$701,$R371)&gt;1),"two usable placement photos: mark one N; ","")&amp;IF($K371&lt;&gt;"Y","info: not usable (a person, screen or whiteboard may show): never used, delete the file; ","")&amp;IF(AND($D371="placement",$J371&lt;&gt;"Y"),"info: not usable as a placement photo (no card); ","")&amp;IF(AND($D371="placement",N($N371)&gt;2),"info: placed after the first business day; ","")&amp;IF(AND($D371="later",$N371&lt;&gt;"",OR(N($N371)&lt;3,N($N371)&gt;5)),"info: later photo outside day 3 to 5; ",""))</f>
        <v/>
      </c>
      <c r="R371" s="25">
        <f>IF($B371="","",$B371&amp;"|"&amp;$C371&amp;"|"&amp;$D371&amp;"|"&amp;$O371)</f>
        <v/>
      </c>
      <c r="S371" s="25">
        <f>IF($B371="","",$R371&amp;"|"&amp;N($E371))</f>
        <v/>
      </c>
    </row>
    <row r="372">
      <c r="E372" s="9" t="n"/>
      <c r="F372" s="33" t="n"/>
      <c r="I372" s="9" t="n"/>
      <c r="M372" s="26">
        <f>IF($B372="","",IFERROR(IF(INDEX(campaigns!$BG$2:$BG$51,MATCH($B372,campaigns!$A$2:$A$51,0))="","",INDEX(campaigns!$BG$2:$BG$51,MATCH($B372,campaigns!$A$2:$A$51,0))),""))</f>
        <v/>
      </c>
      <c r="N372" s="25">
        <f>IF(OR($B372="",$E372="",$M372=""),"",IF($E372&lt;$M372,0,NETWORKDAYS($M372,$E372,calendar!$A$2:$A$80)))</f>
        <v/>
      </c>
      <c r="O372" s="25">
        <f>IF($B372="","",IF(AND($K372="Y",OR($D372="later",$J372="Y")),"Y","N"))</f>
        <v/>
      </c>
      <c r="P372" s="25">
        <f>IF(OR($B372="",$E372=""),"",$B372&amp;"_"&amp;$C372&amp;"_"&amp;$D372&amp;"_"&amp;TEXT($E372,"yyyy-mm-dd")&amp;".jpg")</f>
        <v/>
      </c>
      <c r="Q372" s="25">
        <f>IF($B372="","",IF(COUNTIF(campaigns!$A$2:$A$51,$B372)=0,"campaign_id not on campaigns; ",IF(AND($C372&lt;&gt;"",COUNTIFS(approvals!$A$2:$A$251,$B372,approvals!$B$2:$B$251,$C372)=0),"office not on this campaign (approvals tab); ",""))&amp;IF($E372="","taken date missing; ","")&amp;IF(AND($H372&lt;&gt;"",$H372&lt;&gt;$P372),"file name differs from the convention; ","")&amp;IF(AND($D372="placement",$O372="Y",COUNTIF(photos!$R$2:$R$701,$R372)&gt;1),"two usable placement photos: mark one N; ","")&amp;IF($K372&lt;&gt;"Y","info: not usable (a person, screen or whiteboard may show): never used, delete the file; ","")&amp;IF(AND($D372="placement",$J372&lt;&gt;"Y"),"info: not usable as a placement photo (no card); ","")&amp;IF(AND($D372="placement",N($N372)&gt;2),"info: placed after the first business day; ","")&amp;IF(AND($D372="later",$N372&lt;&gt;"",OR(N($N372)&lt;3,N($N372)&gt;5)),"info: later photo outside day 3 to 5; ",""))</f>
        <v/>
      </c>
      <c r="R372" s="25">
        <f>IF($B372="","",$B372&amp;"|"&amp;$C372&amp;"|"&amp;$D372&amp;"|"&amp;$O372)</f>
        <v/>
      </c>
      <c r="S372" s="25">
        <f>IF($B372="","",$R372&amp;"|"&amp;N($E372))</f>
        <v/>
      </c>
    </row>
    <row r="373">
      <c r="E373" s="9" t="n"/>
      <c r="F373" s="33" t="n"/>
      <c r="I373" s="9" t="n"/>
      <c r="M373" s="26">
        <f>IF($B373="","",IFERROR(IF(INDEX(campaigns!$BG$2:$BG$51,MATCH($B373,campaigns!$A$2:$A$51,0))="","",INDEX(campaigns!$BG$2:$BG$51,MATCH($B373,campaigns!$A$2:$A$51,0))),""))</f>
        <v/>
      </c>
      <c r="N373" s="25">
        <f>IF(OR($B373="",$E373="",$M373=""),"",IF($E373&lt;$M373,0,NETWORKDAYS($M373,$E373,calendar!$A$2:$A$80)))</f>
        <v/>
      </c>
      <c r="O373" s="25">
        <f>IF($B373="","",IF(AND($K373="Y",OR($D373="later",$J373="Y")),"Y","N"))</f>
        <v/>
      </c>
      <c r="P373" s="25">
        <f>IF(OR($B373="",$E373=""),"",$B373&amp;"_"&amp;$C373&amp;"_"&amp;$D373&amp;"_"&amp;TEXT($E373,"yyyy-mm-dd")&amp;".jpg")</f>
        <v/>
      </c>
      <c r="Q373" s="25">
        <f>IF($B373="","",IF(COUNTIF(campaigns!$A$2:$A$51,$B373)=0,"campaign_id not on campaigns; ",IF(AND($C373&lt;&gt;"",COUNTIFS(approvals!$A$2:$A$251,$B373,approvals!$B$2:$B$251,$C373)=0),"office not on this campaign (approvals tab); ",""))&amp;IF($E373="","taken date missing; ","")&amp;IF(AND($H373&lt;&gt;"",$H373&lt;&gt;$P373),"file name differs from the convention; ","")&amp;IF(AND($D373="placement",$O373="Y",COUNTIF(photos!$R$2:$R$701,$R373)&gt;1),"two usable placement photos: mark one N; ","")&amp;IF($K373&lt;&gt;"Y","info: not usable (a person, screen or whiteboard may show): never used, delete the file; ","")&amp;IF(AND($D373="placement",$J373&lt;&gt;"Y"),"info: not usable as a placement photo (no card); ","")&amp;IF(AND($D373="placement",N($N373)&gt;2),"info: placed after the first business day; ","")&amp;IF(AND($D373="later",$N373&lt;&gt;"",OR(N($N373)&lt;3,N($N373)&gt;5)),"info: later photo outside day 3 to 5; ",""))</f>
        <v/>
      </c>
      <c r="R373" s="25">
        <f>IF($B373="","",$B373&amp;"|"&amp;$C373&amp;"|"&amp;$D373&amp;"|"&amp;$O373)</f>
        <v/>
      </c>
      <c r="S373" s="25">
        <f>IF($B373="","",$R373&amp;"|"&amp;N($E373))</f>
        <v/>
      </c>
    </row>
    <row r="374">
      <c r="E374" s="9" t="n"/>
      <c r="F374" s="33" t="n"/>
      <c r="I374" s="9" t="n"/>
      <c r="M374" s="26">
        <f>IF($B374="","",IFERROR(IF(INDEX(campaigns!$BG$2:$BG$51,MATCH($B374,campaigns!$A$2:$A$51,0))="","",INDEX(campaigns!$BG$2:$BG$51,MATCH($B374,campaigns!$A$2:$A$51,0))),""))</f>
        <v/>
      </c>
      <c r="N374" s="25">
        <f>IF(OR($B374="",$E374="",$M374=""),"",IF($E374&lt;$M374,0,NETWORKDAYS($M374,$E374,calendar!$A$2:$A$80)))</f>
        <v/>
      </c>
      <c r="O374" s="25">
        <f>IF($B374="","",IF(AND($K374="Y",OR($D374="later",$J374="Y")),"Y","N"))</f>
        <v/>
      </c>
      <c r="P374" s="25">
        <f>IF(OR($B374="",$E374=""),"",$B374&amp;"_"&amp;$C374&amp;"_"&amp;$D374&amp;"_"&amp;TEXT($E374,"yyyy-mm-dd")&amp;".jpg")</f>
        <v/>
      </c>
      <c r="Q374" s="25">
        <f>IF($B374="","",IF(COUNTIF(campaigns!$A$2:$A$51,$B374)=0,"campaign_id not on campaigns; ",IF(AND($C374&lt;&gt;"",COUNTIFS(approvals!$A$2:$A$251,$B374,approvals!$B$2:$B$251,$C374)=0),"office not on this campaign (approvals tab); ",""))&amp;IF($E374="","taken date missing; ","")&amp;IF(AND($H374&lt;&gt;"",$H374&lt;&gt;$P374),"file name differs from the convention; ","")&amp;IF(AND($D374="placement",$O374="Y",COUNTIF(photos!$R$2:$R$701,$R374)&gt;1),"two usable placement photos: mark one N; ","")&amp;IF($K374&lt;&gt;"Y","info: not usable (a person, screen or whiteboard may show): never used, delete the file; ","")&amp;IF(AND($D374="placement",$J374&lt;&gt;"Y"),"info: not usable as a placement photo (no card); ","")&amp;IF(AND($D374="placement",N($N374)&gt;2),"info: placed after the first business day; ","")&amp;IF(AND($D374="later",$N374&lt;&gt;"",OR(N($N374)&lt;3,N($N374)&gt;5)),"info: later photo outside day 3 to 5; ",""))</f>
        <v/>
      </c>
      <c r="R374" s="25">
        <f>IF($B374="","",$B374&amp;"|"&amp;$C374&amp;"|"&amp;$D374&amp;"|"&amp;$O374)</f>
        <v/>
      </c>
      <c r="S374" s="25">
        <f>IF($B374="","",$R374&amp;"|"&amp;N($E374))</f>
        <v/>
      </c>
    </row>
    <row r="375">
      <c r="E375" s="9" t="n"/>
      <c r="F375" s="33" t="n"/>
      <c r="I375" s="9" t="n"/>
      <c r="M375" s="26">
        <f>IF($B375="","",IFERROR(IF(INDEX(campaigns!$BG$2:$BG$51,MATCH($B375,campaigns!$A$2:$A$51,0))="","",INDEX(campaigns!$BG$2:$BG$51,MATCH($B375,campaigns!$A$2:$A$51,0))),""))</f>
        <v/>
      </c>
      <c r="N375" s="25">
        <f>IF(OR($B375="",$E375="",$M375=""),"",IF($E375&lt;$M375,0,NETWORKDAYS($M375,$E375,calendar!$A$2:$A$80)))</f>
        <v/>
      </c>
      <c r="O375" s="25">
        <f>IF($B375="","",IF(AND($K375="Y",OR($D375="later",$J375="Y")),"Y","N"))</f>
        <v/>
      </c>
      <c r="P375" s="25">
        <f>IF(OR($B375="",$E375=""),"",$B375&amp;"_"&amp;$C375&amp;"_"&amp;$D375&amp;"_"&amp;TEXT($E375,"yyyy-mm-dd")&amp;".jpg")</f>
        <v/>
      </c>
      <c r="Q375" s="25">
        <f>IF($B375="","",IF(COUNTIF(campaigns!$A$2:$A$51,$B375)=0,"campaign_id not on campaigns; ",IF(AND($C375&lt;&gt;"",COUNTIFS(approvals!$A$2:$A$251,$B375,approvals!$B$2:$B$251,$C375)=0),"office not on this campaign (approvals tab); ",""))&amp;IF($E375="","taken date missing; ","")&amp;IF(AND($H375&lt;&gt;"",$H375&lt;&gt;$P375),"file name differs from the convention; ","")&amp;IF(AND($D375="placement",$O375="Y",COUNTIF(photos!$R$2:$R$701,$R375)&gt;1),"two usable placement photos: mark one N; ","")&amp;IF($K375&lt;&gt;"Y","info: not usable (a person, screen or whiteboard may show): never used, delete the file; ","")&amp;IF(AND($D375="placement",$J375&lt;&gt;"Y"),"info: not usable as a placement photo (no card); ","")&amp;IF(AND($D375="placement",N($N375)&gt;2),"info: placed after the first business day; ","")&amp;IF(AND($D375="later",$N375&lt;&gt;"",OR(N($N375)&lt;3,N($N375)&gt;5)),"info: later photo outside day 3 to 5; ",""))</f>
        <v/>
      </c>
      <c r="R375" s="25">
        <f>IF($B375="","",$B375&amp;"|"&amp;$C375&amp;"|"&amp;$D375&amp;"|"&amp;$O375)</f>
        <v/>
      </c>
      <c r="S375" s="25">
        <f>IF($B375="","",$R375&amp;"|"&amp;N($E375))</f>
        <v/>
      </c>
    </row>
    <row r="376">
      <c r="E376" s="9" t="n"/>
      <c r="F376" s="33" t="n"/>
      <c r="I376" s="9" t="n"/>
      <c r="M376" s="26">
        <f>IF($B376="","",IFERROR(IF(INDEX(campaigns!$BG$2:$BG$51,MATCH($B376,campaigns!$A$2:$A$51,0))="","",INDEX(campaigns!$BG$2:$BG$51,MATCH($B376,campaigns!$A$2:$A$51,0))),""))</f>
        <v/>
      </c>
      <c r="N376" s="25">
        <f>IF(OR($B376="",$E376="",$M376=""),"",IF($E376&lt;$M376,0,NETWORKDAYS($M376,$E376,calendar!$A$2:$A$80)))</f>
        <v/>
      </c>
      <c r="O376" s="25">
        <f>IF($B376="","",IF(AND($K376="Y",OR($D376="later",$J376="Y")),"Y","N"))</f>
        <v/>
      </c>
      <c r="P376" s="25">
        <f>IF(OR($B376="",$E376=""),"",$B376&amp;"_"&amp;$C376&amp;"_"&amp;$D376&amp;"_"&amp;TEXT($E376,"yyyy-mm-dd")&amp;".jpg")</f>
        <v/>
      </c>
      <c r="Q376" s="25">
        <f>IF($B376="","",IF(COUNTIF(campaigns!$A$2:$A$51,$B376)=0,"campaign_id not on campaigns; ",IF(AND($C376&lt;&gt;"",COUNTIFS(approvals!$A$2:$A$251,$B376,approvals!$B$2:$B$251,$C376)=0),"office not on this campaign (approvals tab); ",""))&amp;IF($E376="","taken date missing; ","")&amp;IF(AND($H376&lt;&gt;"",$H376&lt;&gt;$P376),"file name differs from the convention; ","")&amp;IF(AND($D376="placement",$O376="Y",COUNTIF(photos!$R$2:$R$701,$R376)&gt;1),"two usable placement photos: mark one N; ","")&amp;IF($K376&lt;&gt;"Y","info: not usable (a person, screen or whiteboard may show): never used, delete the file; ","")&amp;IF(AND($D376="placement",$J376&lt;&gt;"Y"),"info: not usable as a placement photo (no card); ","")&amp;IF(AND($D376="placement",N($N376)&gt;2),"info: placed after the first business day; ","")&amp;IF(AND($D376="later",$N376&lt;&gt;"",OR(N($N376)&lt;3,N($N376)&gt;5)),"info: later photo outside day 3 to 5; ",""))</f>
        <v/>
      </c>
      <c r="R376" s="25">
        <f>IF($B376="","",$B376&amp;"|"&amp;$C376&amp;"|"&amp;$D376&amp;"|"&amp;$O376)</f>
        <v/>
      </c>
      <c r="S376" s="25">
        <f>IF($B376="","",$R376&amp;"|"&amp;N($E376))</f>
        <v/>
      </c>
    </row>
    <row r="377">
      <c r="E377" s="9" t="n"/>
      <c r="F377" s="33" t="n"/>
      <c r="I377" s="9" t="n"/>
      <c r="M377" s="26">
        <f>IF($B377="","",IFERROR(IF(INDEX(campaigns!$BG$2:$BG$51,MATCH($B377,campaigns!$A$2:$A$51,0))="","",INDEX(campaigns!$BG$2:$BG$51,MATCH($B377,campaigns!$A$2:$A$51,0))),""))</f>
        <v/>
      </c>
      <c r="N377" s="25">
        <f>IF(OR($B377="",$E377="",$M377=""),"",IF($E377&lt;$M377,0,NETWORKDAYS($M377,$E377,calendar!$A$2:$A$80)))</f>
        <v/>
      </c>
      <c r="O377" s="25">
        <f>IF($B377="","",IF(AND($K377="Y",OR($D377="later",$J377="Y")),"Y","N"))</f>
        <v/>
      </c>
      <c r="P377" s="25">
        <f>IF(OR($B377="",$E377=""),"",$B377&amp;"_"&amp;$C377&amp;"_"&amp;$D377&amp;"_"&amp;TEXT($E377,"yyyy-mm-dd")&amp;".jpg")</f>
        <v/>
      </c>
      <c r="Q377" s="25">
        <f>IF($B377="","",IF(COUNTIF(campaigns!$A$2:$A$51,$B377)=0,"campaign_id not on campaigns; ",IF(AND($C377&lt;&gt;"",COUNTIFS(approvals!$A$2:$A$251,$B377,approvals!$B$2:$B$251,$C377)=0),"office not on this campaign (approvals tab); ",""))&amp;IF($E377="","taken date missing; ","")&amp;IF(AND($H377&lt;&gt;"",$H377&lt;&gt;$P377),"file name differs from the convention; ","")&amp;IF(AND($D377="placement",$O377="Y",COUNTIF(photos!$R$2:$R$701,$R377)&gt;1),"two usable placement photos: mark one N; ","")&amp;IF($K377&lt;&gt;"Y","info: not usable (a person, screen or whiteboard may show): never used, delete the file; ","")&amp;IF(AND($D377="placement",$J377&lt;&gt;"Y"),"info: not usable as a placement photo (no card); ","")&amp;IF(AND($D377="placement",N($N377)&gt;2),"info: placed after the first business day; ","")&amp;IF(AND($D377="later",$N377&lt;&gt;"",OR(N($N377)&lt;3,N($N377)&gt;5)),"info: later photo outside day 3 to 5; ",""))</f>
        <v/>
      </c>
      <c r="R377" s="25">
        <f>IF($B377="","",$B377&amp;"|"&amp;$C377&amp;"|"&amp;$D377&amp;"|"&amp;$O377)</f>
        <v/>
      </c>
      <c r="S377" s="25">
        <f>IF($B377="","",$R377&amp;"|"&amp;N($E377))</f>
        <v/>
      </c>
    </row>
    <row r="378">
      <c r="E378" s="9" t="n"/>
      <c r="F378" s="33" t="n"/>
      <c r="I378" s="9" t="n"/>
      <c r="M378" s="26">
        <f>IF($B378="","",IFERROR(IF(INDEX(campaigns!$BG$2:$BG$51,MATCH($B378,campaigns!$A$2:$A$51,0))="","",INDEX(campaigns!$BG$2:$BG$51,MATCH($B378,campaigns!$A$2:$A$51,0))),""))</f>
        <v/>
      </c>
      <c r="N378" s="25">
        <f>IF(OR($B378="",$E378="",$M378=""),"",IF($E378&lt;$M378,0,NETWORKDAYS($M378,$E378,calendar!$A$2:$A$80)))</f>
        <v/>
      </c>
      <c r="O378" s="25">
        <f>IF($B378="","",IF(AND($K378="Y",OR($D378="later",$J378="Y")),"Y","N"))</f>
        <v/>
      </c>
      <c r="P378" s="25">
        <f>IF(OR($B378="",$E378=""),"",$B378&amp;"_"&amp;$C378&amp;"_"&amp;$D378&amp;"_"&amp;TEXT($E378,"yyyy-mm-dd")&amp;".jpg")</f>
        <v/>
      </c>
      <c r="Q378" s="25">
        <f>IF($B378="","",IF(COUNTIF(campaigns!$A$2:$A$51,$B378)=0,"campaign_id not on campaigns; ",IF(AND($C378&lt;&gt;"",COUNTIFS(approvals!$A$2:$A$251,$B378,approvals!$B$2:$B$251,$C378)=0),"office not on this campaign (approvals tab); ",""))&amp;IF($E378="","taken date missing; ","")&amp;IF(AND($H378&lt;&gt;"",$H378&lt;&gt;$P378),"file name differs from the convention; ","")&amp;IF(AND($D378="placement",$O378="Y",COUNTIF(photos!$R$2:$R$701,$R378)&gt;1),"two usable placement photos: mark one N; ","")&amp;IF($K378&lt;&gt;"Y","info: not usable (a person, screen or whiteboard may show): never used, delete the file; ","")&amp;IF(AND($D378="placement",$J378&lt;&gt;"Y"),"info: not usable as a placement photo (no card); ","")&amp;IF(AND($D378="placement",N($N378)&gt;2),"info: placed after the first business day; ","")&amp;IF(AND($D378="later",$N378&lt;&gt;"",OR(N($N378)&lt;3,N($N378)&gt;5)),"info: later photo outside day 3 to 5; ",""))</f>
        <v/>
      </c>
      <c r="R378" s="25">
        <f>IF($B378="","",$B378&amp;"|"&amp;$C378&amp;"|"&amp;$D378&amp;"|"&amp;$O378)</f>
        <v/>
      </c>
      <c r="S378" s="25">
        <f>IF($B378="","",$R378&amp;"|"&amp;N($E378))</f>
        <v/>
      </c>
    </row>
    <row r="379">
      <c r="E379" s="9" t="n"/>
      <c r="F379" s="33" t="n"/>
      <c r="I379" s="9" t="n"/>
      <c r="M379" s="26">
        <f>IF($B379="","",IFERROR(IF(INDEX(campaigns!$BG$2:$BG$51,MATCH($B379,campaigns!$A$2:$A$51,0))="","",INDEX(campaigns!$BG$2:$BG$51,MATCH($B379,campaigns!$A$2:$A$51,0))),""))</f>
        <v/>
      </c>
      <c r="N379" s="25">
        <f>IF(OR($B379="",$E379="",$M379=""),"",IF($E379&lt;$M379,0,NETWORKDAYS($M379,$E379,calendar!$A$2:$A$80)))</f>
        <v/>
      </c>
      <c r="O379" s="25">
        <f>IF($B379="","",IF(AND($K379="Y",OR($D379="later",$J379="Y")),"Y","N"))</f>
        <v/>
      </c>
      <c r="P379" s="25">
        <f>IF(OR($B379="",$E379=""),"",$B379&amp;"_"&amp;$C379&amp;"_"&amp;$D379&amp;"_"&amp;TEXT($E379,"yyyy-mm-dd")&amp;".jpg")</f>
        <v/>
      </c>
      <c r="Q379" s="25">
        <f>IF($B379="","",IF(COUNTIF(campaigns!$A$2:$A$51,$B379)=0,"campaign_id not on campaigns; ",IF(AND($C379&lt;&gt;"",COUNTIFS(approvals!$A$2:$A$251,$B379,approvals!$B$2:$B$251,$C379)=0),"office not on this campaign (approvals tab); ",""))&amp;IF($E379="","taken date missing; ","")&amp;IF(AND($H379&lt;&gt;"",$H379&lt;&gt;$P379),"file name differs from the convention; ","")&amp;IF(AND($D379="placement",$O379="Y",COUNTIF(photos!$R$2:$R$701,$R379)&gt;1),"two usable placement photos: mark one N; ","")&amp;IF($K379&lt;&gt;"Y","info: not usable (a person, screen or whiteboard may show): never used, delete the file; ","")&amp;IF(AND($D379="placement",$J379&lt;&gt;"Y"),"info: not usable as a placement photo (no card); ","")&amp;IF(AND($D379="placement",N($N379)&gt;2),"info: placed after the first business day; ","")&amp;IF(AND($D379="later",$N379&lt;&gt;"",OR(N($N379)&lt;3,N($N379)&gt;5)),"info: later photo outside day 3 to 5; ",""))</f>
        <v/>
      </c>
      <c r="R379" s="25">
        <f>IF($B379="","",$B379&amp;"|"&amp;$C379&amp;"|"&amp;$D379&amp;"|"&amp;$O379)</f>
        <v/>
      </c>
      <c r="S379" s="25">
        <f>IF($B379="","",$R379&amp;"|"&amp;N($E379))</f>
        <v/>
      </c>
    </row>
    <row r="380">
      <c r="E380" s="9" t="n"/>
      <c r="F380" s="33" t="n"/>
      <c r="I380" s="9" t="n"/>
      <c r="M380" s="26">
        <f>IF($B380="","",IFERROR(IF(INDEX(campaigns!$BG$2:$BG$51,MATCH($B380,campaigns!$A$2:$A$51,0))="","",INDEX(campaigns!$BG$2:$BG$51,MATCH($B380,campaigns!$A$2:$A$51,0))),""))</f>
        <v/>
      </c>
      <c r="N380" s="25">
        <f>IF(OR($B380="",$E380="",$M380=""),"",IF($E380&lt;$M380,0,NETWORKDAYS($M380,$E380,calendar!$A$2:$A$80)))</f>
        <v/>
      </c>
      <c r="O380" s="25">
        <f>IF($B380="","",IF(AND($K380="Y",OR($D380="later",$J380="Y")),"Y","N"))</f>
        <v/>
      </c>
      <c r="P380" s="25">
        <f>IF(OR($B380="",$E380=""),"",$B380&amp;"_"&amp;$C380&amp;"_"&amp;$D380&amp;"_"&amp;TEXT($E380,"yyyy-mm-dd")&amp;".jpg")</f>
        <v/>
      </c>
      <c r="Q380" s="25">
        <f>IF($B380="","",IF(COUNTIF(campaigns!$A$2:$A$51,$B380)=0,"campaign_id not on campaigns; ",IF(AND($C380&lt;&gt;"",COUNTIFS(approvals!$A$2:$A$251,$B380,approvals!$B$2:$B$251,$C380)=0),"office not on this campaign (approvals tab); ",""))&amp;IF($E380="","taken date missing; ","")&amp;IF(AND($H380&lt;&gt;"",$H380&lt;&gt;$P380),"file name differs from the convention; ","")&amp;IF(AND($D380="placement",$O380="Y",COUNTIF(photos!$R$2:$R$701,$R380)&gt;1),"two usable placement photos: mark one N; ","")&amp;IF($K380&lt;&gt;"Y","info: not usable (a person, screen or whiteboard may show): never used, delete the file; ","")&amp;IF(AND($D380="placement",$J380&lt;&gt;"Y"),"info: not usable as a placement photo (no card); ","")&amp;IF(AND($D380="placement",N($N380)&gt;2),"info: placed after the first business day; ","")&amp;IF(AND($D380="later",$N380&lt;&gt;"",OR(N($N380)&lt;3,N($N380)&gt;5)),"info: later photo outside day 3 to 5; ",""))</f>
        <v/>
      </c>
      <c r="R380" s="25">
        <f>IF($B380="","",$B380&amp;"|"&amp;$C380&amp;"|"&amp;$D380&amp;"|"&amp;$O380)</f>
        <v/>
      </c>
      <c r="S380" s="25">
        <f>IF($B380="","",$R380&amp;"|"&amp;N($E380))</f>
        <v/>
      </c>
    </row>
    <row r="381">
      <c r="E381" s="9" t="n"/>
      <c r="F381" s="33" t="n"/>
      <c r="I381" s="9" t="n"/>
      <c r="M381" s="26">
        <f>IF($B381="","",IFERROR(IF(INDEX(campaigns!$BG$2:$BG$51,MATCH($B381,campaigns!$A$2:$A$51,0))="","",INDEX(campaigns!$BG$2:$BG$51,MATCH($B381,campaigns!$A$2:$A$51,0))),""))</f>
        <v/>
      </c>
      <c r="N381" s="25">
        <f>IF(OR($B381="",$E381="",$M381=""),"",IF($E381&lt;$M381,0,NETWORKDAYS($M381,$E381,calendar!$A$2:$A$80)))</f>
        <v/>
      </c>
      <c r="O381" s="25">
        <f>IF($B381="","",IF(AND($K381="Y",OR($D381="later",$J381="Y")),"Y","N"))</f>
        <v/>
      </c>
      <c r="P381" s="25">
        <f>IF(OR($B381="",$E381=""),"",$B381&amp;"_"&amp;$C381&amp;"_"&amp;$D381&amp;"_"&amp;TEXT($E381,"yyyy-mm-dd")&amp;".jpg")</f>
        <v/>
      </c>
      <c r="Q381" s="25">
        <f>IF($B381="","",IF(COUNTIF(campaigns!$A$2:$A$51,$B381)=0,"campaign_id not on campaigns; ",IF(AND($C381&lt;&gt;"",COUNTIFS(approvals!$A$2:$A$251,$B381,approvals!$B$2:$B$251,$C381)=0),"office not on this campaign (approvals tab); ",""))&amp;IF($E381="","taken date missing; ","")&amp;IF(AND($H381&lt;&gt;"",$H381&lt;&gt;$P381),"file name differs from the convention; ","")&amp;IF(AND($D381="placement",$O381="Y",COUNTIF(photos!$R$2:$R$701,$R381)&gt;1),"two usable placement photos: mark one N; ","")&amp;IF($K381&lt;&gt;"Y","info: not usable (a person, screen or whiteboard may show): never used, delete the file; ","")&amp;IF(AND($D381="placement",$J381&lt;&gt;"Y"),"info: not usable as a placement photo (no card); ","")&amp;IF(AND($D381="placement",N($N381)&gt;2),"info: placed after the first business day; ","")&amp;IF(AND($D381="later",$N381&lt;&gt;"",OR(N($N381)&lt;3,N($N381)&gt;5)),"info: later photo outside day 3 to 5; ",""))</f>
        <v/>
      </c>
      <c r="R381" s="25">
        <f>IF($B381="","",$B381&amp;"|"&amp;$C381&amp;"|"&amp;$D381&amp;"|"&amp;$O381)</f>
        <v/>
      </c>
      <c r="S381" s="25">
        <f>IF($B381="","",$R381&amp;"|"&amp;N($E381))</f>
        <v/>
      </c>
    </row>
    <row r="382">
      <c r="E382" s="9" t="n"/>
      <c r="F382" s="33" t="n"/>
      <c r="I382" s="9" t="n"/>
      <c r="M382" s="26">
        <f>IF($B382="","",IFERROR(IF(INDEX(campaigns!$BG$2:$BG$51,MATCH($B382,campaigns!$A$2:$A$51,0))="","",INDEX(campaigns!$BG$2:$BG$51,MATCH($B382,campaigns!$A$2:$A$51,0))),""))</f>
        <v/>
      </c>
      <c r="N382" s="25">
        <f>IF(OR($B382="",$E382="",$M382=""),"",IF($E382&lt;$M382,0,NETWORKDAYS($M382,$E382,calendar!$A$2:$A$80)))</f>
        <v/>
      </c>
      <c r="O382" s="25">
        <f>IF($B382="","",IF(AND($K382="Y",OR($D382="later",$J382="Y")),"Y","N"))</f>
        <v/>
      </c>
      <c r="P382" s="25">
        <f>IF(OR($B382="",$E382=""),"",$B382&amp;"_"&amp;$C382&amp;"_"&amp;$D382&amp;"_"&amp;TEXT($E382,"yyyy-mm-dd")&amp;".jpg")</f>
        <v/>
      </c>
      <c r="Q382" s="25">
        <f>IF($B382="","",IF(COUNTIF(campaigns!$A$2:$A$51,$B382)=0,"campaign_id not on campaigns; ",IF(AND($C382&lt;&gt;"",COUNTIFS(approvals!$A$2:$A$251,$B382,approvals!$B$2:$B$251,$C382)=0),"office not on this campaign (approvals tab); ",""))&amp;IF($E382="","taken date missing; ","")&amp;IF(AND($H382&lt;&gt;"",$H382&lt;&gt;$P382),"file name differs from the convention; ","")&amp;IF(AND($D382="placement",$O382="Y",COUNTIF(photos!$R$2:$R$701,$R382)&gt;1),"two usable placement photos: mark one N; ","")&amp;IF($K382&lt;&gt;"Y","info: not usable (a person, screen or whiteboard may show): never used, delete the file; ","")&amp;IF(AND($D382="placement",$J382&lt;&gt;"Y"),"info: not usable as a placement photo (no card); ","")&amp;IF(AND($D382="placement",N($N382)&gt;2),"info: placed after the first business day; ","")&amp;IF(AND($D382="later",$N382&lt;&gt;"",OR(N($N382)&lt;3,N($N382)&gt;5)),"info: later photo outside day 3 to 5; ",""))</f>
        <v/>
      </c>
      <c r="R382" s="25">
        <f>IF($B382="","",$B382&amp;"|"&amp;$C382&amp;"|"&amp;$D382&amp;"|"&amp;$O382)</f>
        <v/>
      </c>
      <c r="S382" s="25">
        <f>IF($B382="","",$R382&amp;"|"&amp;N($E382))</f>
        <v/>
      </c>
    </row>
    <row r="383">
      <c r="E383" s="9" t="n"/>
      <c r="F383" s="33" t="n"/>
      <c r="I383" s="9" t="n"/>
      <c r="M383" s="26">
        <f>IF($B383="","",IFERROR(IF(INDEX(campaigns!$BG$2:$BG$51,MATCH($B383,campaigns!$A$2:$A$51,0))="","",INDEX(campaigns!$BG$2:$BG$51,MATCH($B383,campaigns!$A$2:$A$51,0))),""))</f>
        <v/>
      </c>
      <c r="N383" s="25">
        <f>IF(OR($B383="",$E383="",$M383=""),"",IF($E383&lt;$M383,0,NETWORKDAYS($M383,$E383,calendar!$A$2:$A$80)))</f>
        <v/>
      </c>
      <c r="O383" s="25">
        <f>IF($B383="","",IF(AND($K383="Y",OR($D383="later",$J383="Y")),"Y","N"))</f>
        <v/>
      </c>
      <c r="P383" s="25">
        <f>IF(OR($B383="",$E383=""),"",$B383&amp;"_"&amp;$C383&amp;"_"&amp;$D383&amp;"_"&amp;TEXT($E383,"yyyy-mm-dd")&amp;".jpg")</f>
        <v/>
      </c>
      <c r="Q383" s="25">
        <f>IF($B383="","",IF(COUNTIF(campaigns!$A$2:$A$51,$B383)=0,"campaign_id not on campaigns; ",IF(AND($C383&lt;&gt;"",COUNTIFS(approvals!$A$2:$A$251,$B383,approvals!$B$2:$B$251,$C383)=0),"office not on this campaign (approvals tab); ",""))&amp;IF($E383="","taken date missing; ","")&amp;IF(AND($H383&lt;&gt;"",$H383&lt;&gt;$P383),"file name differs from the convention; ","")&amp;IF(AND($D383="placement",$O383="Y",COUNTIF(photos!$R$2:$R$701,$R383)&gt;1),"two usable placement photos: mark one N; ","")&amp;IF($K383&lt;&gt;"Y","info: not usable (a person, screen or whiteboard may show): never used, delete the file; ","")&amp;IF(AND($D383="placement",$J383&lt;&gt;"Y"),"info: not usable as a placement photo (no card); ","")&amp;IF(AND($D383="placement",N($N383)&gt;2),"info: placed after the first business day; ","")&amp;IF(AND($D383="later",$N383&lt;&gt;"",OR(N($N383)&lt;3,N($N383)&gt;5)),"info: later photo outside day 3 to 5; ",""))</f>
        <v/>
      </c>
      <c r="R383" s="25">
        <f>IF($B383="","",$B383&amp;"|"&amp;$C383&amp;"|"&amp;$D383&amp;"|"&amp;$O383)</f>
        <v/>
      </c>
      <c r="S383" s="25">
        <f>IF($B383="","",$R383&amp;"|"&amp;N($E383))</f>
        <v/>
      </c>
    </row>
    <row r="384">
      <c r="E384" s="9" t="n"/>
      <c r="F384" s="33" t="n"/>
      <c r="I384" s="9" t="n"/>
      <c r="M384" s="26">
        <f>IF($B384="","",IFERROR(IF(INDEX(campaigns!$BG$2:$BG$51,MATCH($B384,campaigns!$A$2:$A$51,0))="","",INDEX(campaigns!$BG$2:$BG$51,MATCH($B384,campaigns!$A$2:$A$51,0))),""))</f>
        <v/>
      </c>
      <c r="N384" s="25">
        <f>IF(OR($B384="",$E384="",$M384=""),"",IF($E384&lt;$M384,0,NETWORKDAYS($M384,$E384,calendar!$A$2:$A$80)))</f>
        <v/>
      </c>
      <c r="O384" s="25">
        <f>IF($B384="","",IF(AND($K384="Y",OR($D384="later",$J384="Y")),"Y","N"))</f>
        <v/>
      </c>
      <c r="P384" s="25">
        <f>IF(OR($B384="",$E384=""),"",$B384&amp;"_"&amp;$C384&amp;"_"&amp;$D384&amp;"_"&amp;TEXT($E384,"yyyy-mm-dd")&amp;".jpg")</f>
        <v/>
      </c>
      <c r="Q384" s="25">
        <f>IF($B384="","",IF(COUNTIF(campaigns!$A$2:$A$51,$B384)=0,"campaign_id not on campaigns; ",IF(AND($C384&lt;&gt;"",COUNTIFS(approvals!$A$2:$A$251,$B384,approvals!$B$2:$B$251,$C384)=0),"office not on this campaign (approvals tab); ",""))&amp;IF($E384="","taken date missing; ","")&amp;IF(AND($H384&lt;&gt;"",$H384&lt;&gt;$P384),"file name differs from the convention; ","")&amp;IF(AND($D384="placement",$O384="Y",COUNTIF(photos!$R$2:$R$701,$R384)&gt;1),"two usable placement photos: mark one N; ","")&amp;IF($K384&lt;&gt;"Y","info: not usable (a person, screen or whiteboard may show): never used, delete the file; ","")&amp;IF(AND($D384="placement",$J384&lt;&gt;"Y"),"info: not usable as a placement photo (no card); ","")&amp;IF(AND($D384="placement",N($N384)&gt;2),"info: placed after the first business day; ","")&amp;IF(AND($D384="later",$N384&lt;&gt;"",OR(N($N384)&lt;3,N($N384)&gt;5)),"info: later photo outside day 3 to 5; ",""))</f>
        <v/>
      </c>
      <c r="R384" s="25">
        <f>IF($B384="","",$B384&amp;"|"&amp;$C384&amp;"|"&amp;$D384&amp;"|"&amp;$O384)</f>
        <v/>
      </c>
      <c r="S384" s="25">
        <f>IF($B384="","",$R384&amp;"|"&amp;N($E384))</f>
        <v/>
      </c>
    </row>
    <row r="385">
      <c r="E385" s="9" t="n"/>
      <c r="F385" s="33" t="n"/>
      <c r="I385" s="9" t="n"/>
      <c r="M385" s="26">
        <f>IF($B385="","",IFERROR(IF(INDEX(campaigns!$BG$2:$BG$51,MATCH($B385,campaigns!$A$2:$A$51,0))="","",INDEX(campaigns!$BG$2:$BG$51,MATCH($B385,campaigns!$A$2:$A$51,0))),""))</f>
        <v/>
      </c>
      <c r="N385" s="25">
        <f>IF(OR($B385="",$E385="",$M385=""),"",IF($E385&lt;$M385,0,NETWORKDAYS($M385,$E385,calendar!$A$2:$A$80)))</f>
        <v/>
      </c>
      <c r="O385" s="25">
        <f>IF($B385="","",IF(AND($K385="Y",OR($D385="later",$J385="Y")),"Y","N"))</f>
        <v/>
      </c>
      <c r="P385" s="25">
        <f>IF(OR($B385="",$E385=""),"",$B385&amp;"_"&amp;$C385&amp;"_"&amp;$D385&amp;"_"&amp;TEXT($E385,"yyyy-mm-dd")&amp;".jpg")</f>
        <v/>
      </c>
      <c r="Q385" s="25">
        <f>IF($B385="","",IF(COUNTIF(campaigns!$A$2:$A$51,$B385)=0,"campaign_id not on campaigns; ",IF(AND($C385&lt;&gt;"",COUNTIFS(approvals!$A$2:$A$251,$B385,approvals!$B$2:$B$251,$C385)=0),"office not on this campaign (approvals tab); ",""))&amp;IF($E385="","taken date missing; ","")&amp;IF(AND($H385&lt;&gt;"",$H385&lt;&gt;$P385),"file name differs from the convention; ","")&amp;IF(AND($D385="placement",$O385="Y",COUNTIF(photos!$R$2:$R$701,$R385)&gt;1),"two usable placement photos: mark one N; ","")&amp;IF($K385&lt;&gt;"Y","info: not usable (a person, screen or whiteboard may show): never used, delete the file; ","")&amp;IF(AND($D385="placement",$J385&lt;&gt;"Y"),"info: not usable as a placement photo (no card); ","")&amp;IF(AND($D385="placement",N($N385)&gt;2),"info: placed after the first business day; ","")&amp;IF(AND($D385="later",$N385&lt;&gt;"",OR(N($N385)&lt;3,N($N385)&gt;5)),"info: later photo outside day 3 to 5; ",""))</f>
        <v/>
      </c>
      <c r="R385" s="25">
        <f>IF($B385="","",$B385&amp;"|"&amp;$C385&amp;"|"&amp;$D385&amp;"|"&amp;$O385)</f>
        <v/>
      </c>
      <c r="S385" s="25">
        <f>IF($B385="","",$R385&amp;"|"&amp;N($E385))</f>
        <v/>
      </c>
    </row>
    <row r="386">
      <c r="E386" s="9" t="n"/>
      <c r="F386" s="33" t="n"/>
      <c r="I386" s="9" t="n"/>
      <c r="M386" s="26">
        <f>IF($B386="","",IFERROR(IF(INDEX(campaigns!$BG$2:$BG$51,MATCH($B386,campaigns!$A$2:$A$51,0))="","",INDEX(campaigns!$BG$2:$BG$51,MATCH($B386,campaigns!$A$2:$A$51,0))),""))</f>
        <v/>
      </c>
      <c r="N386" s="25">
        <f>IF(OR($B386="",$E386="",$M386=""),"",IF($E386&lt;$M386,0,NETWORKDAYS($M386,$E386,calendar!$A$2:$A$80)))</f>
        <v/>
      </c>
      <c r="O386" s="25">
        <f>IF($B386="","",IF(AND($K386="Y",OR($D386="later",$J386="Y")),"Y","N"))</f>
        <v/>
      </c>
      <c r="P386" s="25">
        <f>IF(OR($B386="",$E386=""),"",$B386&amp;"_"&amp;$C386&amp;"_"&amp;$D386&amp;"_"&amp;TEXT($E386,"yyyy-mm-dd")&amp;".jpg")</f>
        <v/>
      </c>
      <c r="Q386" s="25">
        <f>IF($B386="","",IF(COUNTIF(campaigns!$A$2:$A$51,$B386)=0,"campaign_id not on campaigns; ",IF(AND($C386&lt;&gt;"",COUNTIFS(approvals!$A$2:$A$251,$B386,approvals!$B$2:$B$251,$C386)=0),"office not on this campaign (approvals tab); ",""))&amp;IF($E386="","taken date missing; ","")&amp;IF(AND($H386&lt;&gt;"",$H386&lt;&gt;$P386),"file name differs from the convention; ","")&amp;IF(AND($D386="placement",$O386="Y",COUNTIF(photos!$R$2:$R$701,$R386)&gt;1),"two usable placement photos: mark one N; ","")&amp;IF($K386&lt;&gt;"Y","info: not usable (a person, screen or whiteboard may show): never used, delete the file; ","")&amp;IF(AND($D386="placement",$J386&lt;&gt;"Y"),"info: not usable as a placement photo (no card); ","")&amp;IF(AND($D386="placement",N($N386)&gt;2),"info: placed after the first business day; ","")&amp;IF(AND($D386="later",$N386&lt;&gt;"",OR(N($N386)&lt;3,N($N386)&gt;5)),"info: later photo outside day 3 to 5; ",""))</f>
        <v/>
      </c>
      <c r="R386" s="25">
        <f>IF($B386="","",$B386&amp;"|"&amp;$C386&amp;"|"&amp;$D386&amp;"|"&amp;$O386)</f>
        <v/>
      </c>
      <c r="S386" s="25">
        <f>IF($B386="","",$R386&amp;"|"&amp;N($E386))</f>
        <v/>
      </c>
    </row>
    <row r="387">
      <c r="E387" s="9" t="n"/>
      <c r="F387" s="33" t="n"/>
      <c r="I387" s="9" t="n"/>
      <c r="M387" s="26">
        <f>IF($B387="","",IFERROR(IF(INDEX(campaigns!$BG$2:$BG$51,MATCH($B387,campaigns!$A$2:$A$51,0))="","",INDEX(campaigns!$BG$2:$BG$51,MATCH($B387,campaigns!$A$2:$A$51,0))),""))</f>
        <v/>
      </c>
      <c r="N387" s="25">
        <f>IF(OR($B387="",$E387="",$M387=""),"",IF($E387&lt;$M387,0,NETWORKDAYS($M387,$E387,calendar!$A$2:$A$80)))</f>
        <v/>
      </c>
      <c r="O387" s="25">
        <f>IF($B387="","",IF(AND($K387="Y",OR($D387="later",$J387="Y")),"Y","N"))</f>
        <v/>
      </c>
      <c r="P387" s="25">
        <f>IF(OR($B387="",$E387=""),"",$B387&amp;"_"&amp;$C387&amp;"_"&amp;$D387&amp;"_"&amp;TEXT($E387,"yyyy-mm-dd")&amp;".jpg")</f>
        <v/>
      </c>
      <c r="Q387" s="25">
        <f>IF($B387="","",IF(COUNTIF(campaigns!$A$2:$A$51,$B387)=0,"campaign_id not on campaigns; ",IF(AND($C387&lt;&gt;"",COUNTIFS(approvals!$A$2:$A$251,$B387,approvals!$B$2:$B$251,$C387)=0),"office not on this campaign (approvals tab); ",""))&amp;IF($E387="","taken date missing; ","")&amp;IF(AND($H387&lt;&gt;"",$H387&lt;&gt;$P387),"file name differs from the convention; ","")&amp;IF(AND($D387="placement",$O387="Y",COUNTIF(photos!$R$2:$R$701,$R387)&gt;1),"two usable placement photos: mark one N; ","")&amp;IF($K387&lt;&gt;"Y","info: not usable (a person, screen or whiteboard may show): never used, delete the file; ","")&amp;IF(AND($D387="placement",$J387&lt;&gt;"Y"),"info: not usable as a placement photo (no card); ","")&amp;IF(AND($D387="placement",N($N387)&gt;2),"info: placed after the first business day; ","")&amp;IF(AND($D387="later",$N387&lt;&gt;"",OR(N($N387)&lt;3,N($N387)&gt;5)),"info: later photo outside day 3 to 5; ",""))</f>
        <v/>
      </c>
      <c r="R387" s="25">
        <f>IF($B387="","",$B387&amp;"|"&amp;$C387&amp;"|"&amp;$D387&amp;"|"&amp;$O387)</f>
        <v/>
      </c>
      <c r="S387" s="25">
        <f>IF($B387="","",$R387&amp;"|"&amp;N($E387))</f>
        <v/>
      </c>
    </row>
    <row r="388">
      <c r="E388" s="9" t="n"/>
      <c r="F388" s="33" t="n"/>
      <c r="I388" s="9" t="n"/>
      <c r="M388" s="26">
        <f>IF($B388="","",IFERROR(IF(INDEX(campaigns!$BG$2:$BG$51,MATCH($B388,campaigns!$A$2:$A$51,0))="","",INDEX(campaigns!$BG$2:$BG$51,MATCH($B388,campaigns!$A$2:$A$51,0))),""))</f>
        <v/>
      </c>
      <c r="N388" s="25">
        <f>IF(OR($B388="",$E388="",$M388=""),"",IF($E388&lt;$M388,0,NETWORKDAYS($M388,$E388,calendar!$A$2:$A$80)))</f>
        <v/>
      </c>
      <c r="O388" s="25">
        <f>IF($B388="","",IF(AND($K388="Y",OR($D388="later",$J388="Y")),"Y","N"))</f>
        <v/>
      </c>
      <c r="P388" s="25">
        <f>IF(OR($B388="",$E388=""),"",$B388&amp;"_"&amp;$C388&amp;"_"&amp;$D388&amp;"_"&amp;TEXT($E388,"yyyy-mm-dd")&amp;".jpg")</f>
        <v/>
      </c>
      <c r="Q388" s="25">
        <f>IF($B388="","",IF(COUNTIF(campaigns!$A$2:$A$51,$B388)=0,"campaign_id not on campaigns; ",IF(AND($C388&lt;&gt;"",COUNTIFS(approvals!$A$2:$A$251,$B388,approvals!$B$2:$B$251,$C388)=0),"office not on this campaign (approvals tab); ",""))&amp;IF($E388="","taken date missing; ","")&amp;IF(AND($H388&lt;&gt;"",$H388&lt;&gt;$P388),"file name differs from the convention; ","")&amp;IF(AND($D388="placement",$O388="Y",COUNTIF(photos!$R$2:$R$701,$R388)&gt;1),"two usable placement photos: mark one N; ","")&amp;IF($K388&lt;&gt;"Y","info: not usable (a person, screen or whiteboard may show): never used, delete the file; ","")&amp;IF(AND($D388="placement",$J388&lt;&gt;"Y"),"info: not usable as a placement photo (no card); ","")&amp;IF(AND($D388="placement",N($N388)&gt;2),"info: placed after the first business day; ","")&amp;IF(AND($D388="later",$N388&lt;&gt;"",OR(N($N388)&lt;3,N($N388)&gt;5)),"info: later photo outside day 3 to 5; ",""))</f>
        <v/>
      </c>
      <c r="R388" s="25">
        <f>IF($B388="","",$B388&amp;"|"&amp;$C388&amp;"|"&amp;$D388&amp;"|"&amp;$O388)</f>
        <v/>
      </c>
      <c r="S388" s="25">
        <f>IF($B388="","",$R388&amp;"|"&amp;N($E388))</f>
        <v/>
      </c>
    </row>
    <row r="389">
      <c r="E389" s="9" t="n"/>
      <c r="F389" s="33" t="n"/>
      <c r="I389" s="9" t="n"/>
      <c r="M389" s="26">
        <f>IF($B389="","",IFERROR(IF(INDEX(campaigns!$BG$2:$BG$51,MATCH($B389,campaigns!$A$2:$A$51,0))="","",INDEX(campaigns!$BG$2:$BG$51,MATCH($B389,campaigns!$A$2:$A$51,0))),""))</f>
        <v/>
      </c>
      <c r="N389" s="25">
        <f>IF(OR($B389="",$E389="",$M389=""),"",IF($E389&lt;$M389,0,NETWORKDAYS($M389,$E389,calendar!$A$2:$A$80)))</f>
        <v/>
      </c>
      <c r="O389" s="25">
        <f>IF($B389="","",IF(AND($K389="Y",OR($D389="later",$J389="Y")),"Y","N"))</f>
        <v/>
      </c>
      <c r="P389" s="25">
        <f>IF(OR($B389="",$E389=""),"",$B389&amp;"_"&amp;$C389&amp;"_"&amp;$D389&amp;"_"&amp;TEXT($E389,"yyyy-mm-dd")&amp;".jpg")</f>
        <v/>
      </c>
      <c r="Q389" s="25">
        <f>IF($B389="","",IF(COUNTIF(campaigns!$A$2:$A$51,$B389)=0,"campaign_id not on campaigns; ",IF(AND($C389&lt;&gt;"",COUNTIFS(approvals!$A$2:$A$251,$B389,approvals!$B$2:$B$251,$C389)=0),"office not on this campaign (approvals tab); ",""))&amp;IF($E389="","taken date missing; ","")&amp;IF(AND($H389&lt;&gt;"",$H389&lt;&gt;$P389),"file name differs from the convention; ","")&amp;IF(AND($D389="placement",$O389="Y",COUNTIF(photos!$R$2:$R$701,$R389)&gt;1),"two usable placement photos: mark one N; ","")&amp;IF($K389&lt;&gt;"Y","info: not usable (a person, screen or whiteboard may show): never used, delete the file; ","")&amp;IF(AND($D389="placement",$J389&lt;&gt;"Y"),"info: not usable as a placement photo (no card); ","")&amp;IF(AND($D389="placement",N($N389)&gt;2),"info: placed after the first business day; ","")&amp;IF(AND($D389="later",$N389&lt;&gt;"",OR(N($N389)&lt;3,N($N389)&gt;5)),"info: later photo outside day 3 to 5; ",""))</f>
        <v/>
      </c>
      <c r="R389" s="25">
        <f>IF($B389="","",$B389&amp;"|"&amp;$C389&amp;"|"&amp;$D389&amp;"|"&amp;$O389)</f>
        <v/>
      </c>
      <c r="S389" s="25">
        <f>IF($B389="","",$R389&amp;"|"&amp;N($E389))</f>
        <v/>
      </c>
    </row>
    <row r="390">
      <c r="E390" s="9" t="n"/>
      <c r="F390" s="33" t="n"/>
      <c r="I390" s="9" t="n"/>
      <c r="M390" s="26">
        <f>IF($B390="","",IFERROR(IF(INDEX(campaigns!$BG$2:$BG$51,MATCH($B390,campaigns!$A$2:$A$51,0))="","",INDEX(campaigns!$BG$2:$BG$51,MATCH($B390,campaigns!$A$2:$A$51,0))),""))</f>
        <v/>
      </c>
      <c r="N390" s="25">
        <f>IF(OR($B390="",$E390="",$M390=""),"",IF($E390&lt;$M390,0,NETWORKDAYS($M390,$E390,calendar!$A$2:$A$80)))</f>
        <v/>
      </c>
      <c r="O390" s="25">
        <f>IF($B390="","",IF(AND($K390="Y",OR($D390="later",$J390="Y")),"Y","N"))</f>
        <v/>
      </c>
      <c r="P390" s="25">
        <f>IF(OR($B390="",$E390=""),"",$B390&amp;"_"&amp;$C390&amp;"_"&amp;$D390&amp;"_"&amp;TEXT($E390,"yyyy-mm-dd")&amp;".jpg")</f>
        <v/>
      </c>
      <c r="Q390" s="25">
        <f>IF($B390="","",IF(COUNTIF(campaigns!$A$2:$A$51,$B390)=0,"campaign_id not on campaigns; ",IF(AND($C390&lt;&gt;"",COUNTIFS(approvals!$A$2:$A$251,$B390,approvals!$B$2:$B$251,$C390)=0),"office not on this campaign (approvals tab); ",""))&amp;IF($E390="","taken date missing; ","")&amp;IF(AND($H390&lt;&gt;"",$H390&lt;&gt;$P390),"file name differs from the convention; ","")&amp;IF(AND($D390="placement",$O390="Y",COUNTIF(photos!$R$2:$R$701,$R390)&gt;1),"two usable placement photos: mark one N; ","")&amp;IF($K390&lt;&gt;"Y","info: not usable (a person, screen or whiteboard may show): never used, delete the file; ","")&amp;IF(AND($D390="placement",$J390&lt;&gt;"Y"),"info: not usable as a placement photo (no card); ","")&amp;IF(AND($D390="placement",N($N390)&gt;2),"info: placed after the first business day; ","")&amp;IF(AND($D390="later",$N390&lt;&gt;"",OR(N($N390)&lt;3,N($N390)&gt;5)),"info: later photo outside day 3 to 5; ",""))</f>
        <v/>
      </c>
      <c r="R390" s="25">
        <f>IF($B390="","",$B390&amp;"|"&amp;$C390&amp;"|"&amp;$D390&amp;"|"&amp;$O390)</f>
        <v/>
      </c>
      <c r="S390" s="25">
        <f>IF($B390="","",$R390&amp;"|"&amp;N($E390))</f>
        <v/>
      </c>
    </row>
    <row r="391">
      <c r="E391" s="9" t="n"/>
      <c r="F391" s="33" t="n"/>
      <c r="I391" s="9" t="n"/>
      <c r="M391" s="26">
        <f>IF($B391="","",IFERROR(IF(INDEX(campaigns!$BG$2:$BG$51,MATCH($B391,campaigns!$A$2:$A$51,0))="","",INDEX(campaigns!$BG$2:$BG$51,MATCH($B391,campaigns!$A$2:$A$51,0))),""))</f>
        <v/>
      </c>
      <c r="N391" s="25">
        <f>IF(OR($B391="",$E391="",$M391=""),"",IF($E391&lt;$M391,0,NETWORKDAYS($M391,$E391,calendar!$A$2:$A$80)))</f>
        <v/>
      </c>
      <c r="O391" s="25">
        <f>IF($B391="","",IF(AND($K391="Y",OR($D391="later",$J391="Y")),"Y","N"))</f>
        <v/>
      </c>
      <c r="P391" s="25">
        <f>IF(OR($B391="",$E391=""),"",$B391&amp;"_"&amp;$C391&amp;"_"&amp;$D391&amp;"_"&amp;TEXT($E391,"yyyy-mm-dd")&amp;".jpg")</f>
        <v/>
      </c>
      <c r="Q391" s="25">
        <f>IF($B391="","",IF(COUNTIF(campaigns!$A$2:$A$51,$B391)=0,"campaign_id not on campaigns; ",IF(AND($C391&lt;&gt;"",COUNTIFS(approvals!$A$2:$A$251,$B391,approvals!$B$2:$B$251,$C391)=0),"office not on this campaign (approvals tab); ",""))&amp;IF($E391="","taken date missing; ","")&amp;IF(AND($H391&lt;&gt;"",$H391&lt;&gt;$P391),"file name differs from the convention; ","")&amp;IF(AND($D391="placement",$O391="Y",COUNTIF(photos!$R$2:$R$701,$R391)&gt;1),"two usable placement photos: mark one N; ","")&amp;IF($K391&lt;&gt;"Y","info: not usable (a person, screen or whiteboard may show): never used, delete the file; ","")&amp;IF(AND($D391="placement",$J391&lt;&gt;"Y"),"info: not usable as a placement photo (no card); ","")&amp;IF(AND($D391="placement",N($N391)&gt;2),"info: placed after the first business day; ","")&amp;IF(AND($D391="later",$N391&lt;&gt;"",OR(N($N391)&lt;3,N($N391)&gt;5)),"info: later photo outside day 3 to 5; ",""))</f>
        <v/>
      </c>
      <c r="R391" s="25">
        <f>IF($B391="","",$B391&amp;"|"&amp;$C391&amp;"|"&amp;$D391&amp;"|"&amp;$O391)</f>
        <v/>
      </c>
      <c r="S391" s="25">
        <f>IF($B391="","",$R391&amp;"|"&amp;N($E391))</f>
        <v/>
      </c>
    </row>
    <row r="392">
      <c r="E392" s="9" t="n"/>
      <c r="F392" s="33" t="n"/>
      <c r="I392" s="9" t="n"/>
      <c r="M392" s="26">
        <f>IF($B392="","",IFERROR(IF(INDEX(campaigns!$BG$2:$BG$51,MATCH($B392,campaigns!$A$2:$A$51,0))="","",INDEX(campaigns!$BG$2:$BG$51,MATCH($B392,campaigns!$A$2:$A$51,0))),""))</f>
        <v/>
      </c>
      <c r="N392" s="25">
        <f>IF(OR($B392="",$E392="",$M392=""),"",IF($E392&lt;$M392,0,NETWORKDAYS($M392,$E392,calendar!$A$2:$A$80)))</f>
        <v/>
      </c>
      <c r="O392" s="25">
        <f>IF($B392="","",IF(AND($K392="Y",OR($D392="later",$J392="Y")),"Y","N"))</f>
        <v/>
      </c>
      <c r="P392" s="25">
        <f>IF(OR($B392="",$E392=""),"",$B392&amp;"_"&amp;$C392&amp;"_"&amp;$D392&amp;"_"&amp;TEXT($E392,"yyyy-mm-dd")&amp;".jpg")</f>
        <v/>
      </c>
      <c r="Q392" s="25">
        <f>IF($B392="","",IF(COUNTIF(campaigns!$A$2:$A$51,$B392)=0,"campaign_id not on campaigns; ",IF(AND($C392&lt;&gt;"",COUNTIFS(approvals!$A$2:$A$251,$B392,approvals!$B$2:$B$251,$C392)=0),"office not on this campaign (approvals tab); ",""))&amp;IF($E392="","taken date missing; ","")&amp;IF(AND($H392&lt;&gt;"",$H392&lt;&gt;$P392),"file name differs from the convention; ","")&amp;IF(AND($D392="placement",$O392="Y",COUNTIF(photos!$R$2:$R$701,$R392)&gt;1),"two usable placement photos: mark one N; ","")&amp;IF($K392&lt;&gt;"Y","info: not usable (a person, screen or whiteboard may show): never used, delete the file; ","")&amp;IF(AND($D392="placement",$J392&lt;&gt;"Y"),"info: not usable as a placement photo (no card); ","")&amp;IF(AND($D392="placement",N($N392)&gt;2),"info: placed after the first business day; ","")&amp;IF(AND($D392="later",$N392&lt;&gt;"",OR(N($N392)&lt;3,N($N392)&gt;5)),"info: later photo outside day 3 to 5; ",""))</f>
        <v/>
      </c>
      <c r="R392" s="25">
        <f>IF($B392="","",$B392&amp;"|"&amp;$C392&amp;"|"&amp;$D392&amp;"|"&amp;$O392)</f>
        <v/>
      </c>
      <c r="S392" s="25">
        <f>IF($B392="","",$R392&amp;"|"&amp;N($E392))</f>
        <v/>
      </c>
    </row>
    <row r="393">
      <c r="E393" s="9" t="n"/>
      <c r="F393" s="33" t="n"/>
      <c r="I393" s="9" t="n"/>
      <c r="M393" s="26">
        <f>IF($B393="","",IFERROR(IF(INDEX(campaigns!$BG$2:$BG$51,MATCH($B393,campaigns!$A$2:$A$51,0))="","",INDEX(campaigns!$BG$2:$BG$51,MATCH($B393,campaigns!$A$2:$A$51,0))),""))</f>
        <v/>
      </c>
      <c r="N393" s="25">
        <f>IF(OR($B393="",$E393="",$M393=""),"",IF($E393&lt;$M393,0,NETWORKDAYS($M393,$E393,calendar!$A$2:$A$80)))</f>
        <v/>
      </c>
      <c r="O393" s="25">
        <f>IF($B393="","",IF(AND($K393="Y",OR($D393="later",$J393="Y")),"Y","N"))</f>
        <v/>
      </c>
      <c r="P393" s="25">
        <f>IF(OR($B393="",$E393=""),"",$B393&amp;"_"&amp;$C393&amp;"_"&amp;$D393&amp;"_"&amp;TEXT($E393,"yyyy-mm-dd")&amp;".jpg")</f>
        <v/>
      </c>
      <c r="Q393" s="25">
        <f>IF($B393="","",IF(COUNTIF(campaigns!$A$2:$A$51,$B393)=0,"campaign_id not on campaigns; ",IF(AND($C393&lt;&gt;"",COUNTIFS(approvals!$A$2:$A$251,$B393,approvals!$B$2:$B$251,$C393)=0),"office not on this campaign (approvals tab); ",""))&amp;IF($E393="","taken date missing; ","")&amp;IF(AND($H393&lt;&gt;"",$H393&lt;&gt;$P393),"file name differs from the convention; ","")&amp;IF(AND($D393="placement",$O393="Y",COUNTIF(photos!$R$2:$R$701,$R393)&gt;1),"two usable placement photos: mark one N; ","")&amp;IF($K393&lt;&gt;"Y","info: not usable (a person, screen or whiteboard may show): never used, delete the file; ","")&amp;IF(AND($D393="placement",$J393&lt;&gt;"Y"),"info: not usable as a placement photo (no card); ","")&amp;IF(AND($D393="placement",N($N393)&gt;2),"info: placed after the first business day; ","")&amp;IF(AND($D393="later",$N393&lt;&gt;"",OR(N($N393)&lt;3,N($N393)&gt;5)),"info: later photo outside day 3 to 5; ",""))</f>
        <v/>
      </c>
      <c r="R393" s="25">
        <f>IF($B393="","",$B393&amp;"|"&amp;$C393&amp;"|"&amp;$D393&amp;"|"&amp;$O393)</f>
        <v/>
      </c>
      <c r="S393" s="25">
        <f>IF($B393="","",$R393&amp;"|"&amp;N($E393))</f>
        <v/>
      </c>
    </row>
    <row r="394">
      <c r="E394" s="9" t="n"/>
      <c r="F394" s="33" t="n"/>
      <c r="I394" s="9" t="n"/>
      <c r="M394" s="26">
        <f>IF($B394="","",IFERROR(IF(INDEX(campaigns!$BG$2:$BG$51,MATCH($B394,campaigns!$A$2:$A$51,0))="","",INDEX(campaigns!$BG$2:$BG$51,MATCH($B394,campaigns!$A$2:$A$51,0))),""))</f>
        <v/>
      </c>
      <c r="N394" s="25">
        <f>IF(OR($B394="",$E394="",$M394=""),"",IF($E394&lt;$M394,0,NETWORKDAYS($M394,$E394,calendar!$A$2:$A$80)))</f>
        <v/>
      </c>
      <c r="O394" s="25">
        <f>IF($B394="","",IF(AND($K394="Y",OR($D394="later",$J394="Y")),"Y","N"))</f>
        <v/>
      </c>
      <c r="P394" s="25">
        <f>IF(OR($B394="",$E394=""),"",$B394&amp;"_"&amp;$C394&amp;"_"&amp;$D394&amp;"_"&amp;TEXT($E394,"yyyy-mm-dd")&amp;".jpg")</f>
        <v/>
      </c>
      <c r="Q394" s="25">
        <f>IF($B394="","",IF(COUNTIF(campaigns!$A$2:$A$51,$B394)=0,"campaign_id not on campaigns; ",IF(AND($C394&lt;&gt;"",COUNTIFS(approvals!$A$2:$A$251,$B394,approvals!$B$2:$B$251,$C394)=0),"office not on this campaign (approvals tab); ",""))&amp;IF($E394="","taken date missing; ","")&amp;IF(AND($H394&lt;&gt;"",$H394&lt;&gt;$P394),"file name differs from the convention; ","")&amp;IF(AND($D394="placement",$O394="Y",COUNTIF(photos!$R$2:$R$701,$R394)&gt;1),"two usable placement photos: mark one N; ","")&amp;IF($K394&lt;&gt;"Y","info: not usable (a person, screen or whiteboard may show): never used, delete the file; ","")&amp;IF(AND($D394="placement",$J394&lt;&gt;"Y"),"info: not usable as a placement photo (no card); ","")&amp;IF(AND($D394="placement",N($N394)&gt;2),"info: placed after the first business day; ","")&amp;IF(AND($D394="later",$N394&lt;&gt;"",OR(N($N394)&lt;3,N($N394)&gt;5)),"info: later photo outside day 3 to 5; ",""))</f>
        <v/>
      </c>
      <c r="R394" s="25">
        <f>IF($B394="","",$B394&amp;"|"&amp;$C394&amp;"|"&amp;$D394&amp;"|"&amp;$O394)</f>
        <v/>
      </c>
      <c r="S394" s="25">
        <f>IF($B394="","",$R394&amp;"|"&amp;N($E394))</f>
        <v/>
      </c>
    </row>
    <row r="395">
      <c r="E395" s="9" t="n"/>
      <c r="F395" s="33" t="n"/>
      <c r="I395" s="9" t="n"/>
      <c r="M395" s="26">
        <f>IF($B395="","",IFERROR(IF(INDEX(campaigns!$BG$2:$BG$51,MATCH($B395,campaigns!$A$2:$A$51,0))="","",INDEX(campaigns!$BG$2:$BG$51,MATCH($B395,campaigns!$A$2:$A$51,0))),""))</f>
        <v/>
      </c>
      <c r="N395" s="25">
        <f>IF(OR($B395="",$E395="",$M395=""),"",IF($E395&lt;$M395,0,NETWORKDAYS($M395,$E395,calendar!$A$2:$A$80)))</f>
        <v/>
      </c>
      <c r="O395" s="25">
        <f>IF($B395="","",IF(AND($K395="Y",OR($D395="later",$J395="Y")),"Y","N"))</f>
        <v/>
      </c>
      <c r="P395" s="25">
        <f>IF(OR($B395="",$E395=""),"",$B395&amp;"_"&amp;$C395&amp;"_"&amp;$D395&amp;"_"&amp;TEXT($E395,"yyyy-mm-dd")&amp;".jpg")</f>
        <v/>
      </c>
      <c r="Q395" s="25">
        <f>IF($B395="","",IF(COUNTIF(campaigns!$A$2:$A$51,$B395)=0,"campaign_id not on campaigns; ",IF(AND($C395&lt;&gt;"",COUNTIFS(approvals!$A$2:$A$251,$B395,approvals!$B$2:$B$251,$C395)=0),"office not on this campaign (approvals tab); ",""))&amp;IF($E395="","taken date missing; ","")&amp;IF(AND($H395&lt;&gt;"",$H395&lt;&gt;$P395),"file name differs from the convention; ","")&amp;IF(AND($D395="placement",$O395="Y",COUNTIF(photos!$R$2:$R$701,$R395)&gt;1),"two usable placement photos: mark one N; ","")&amp;IF($K395&lt;&gt;"Y","info: not usable (a person, screen or whiteboard may show): never used, delete the file; ","")&amp;IF(AND($D395="placement",$J395&lt;&gt;"Y"),"info: not usable as a placement photo (no card); ","")&amp;IF(AND($D395="placement",N($N395)&gt;2),"info: placed after the first business day; ","")&amp;IF(AND($D395="later",$N395&lt;&gt;"",OR(N($N395)&lt;3,N($N395)&gt;5)),"info: later photo outside day 3 to 5; ",""))</f>
        <v/>
      </c>
      <c r="R395" s="25">
        <f>IF($B395="","",$B395&amp;"|"&amp;$C395&amp;"|"&amp;$D395&amp;"|"&amp;$O395)</f>
        <v/>
      </c>
      <c r="S395" s="25">
        <f>IF($B395="","",$R395&amp;"|"&amp;N($E395))</f>
        <v/>
      </c>
    </row>
    <row r="396">
      <c r="E396" s="9" t="n"/>
      <c r="F396" s="33" t="n"/>
      <c r="I396" s="9" t="n"/>
      <c r="M396" s="26">
        <f>IF($B396="","",IFERROR(IF(INDEX(campaigns!$BG$2:$BG$51,MATCH($B396,campaigns!$A$2:$A$51,0))="","",INDEX(campaigns!$BG$2:$BG$51,MATCH($B396,campaigns!$A$2:$A$51,0))),""))</f>
        <v/>
      </c>
      <c r="N396" s="25">
        <f>IF(OR($B396="",$E396="",$M396=""),"",IF($E396&lt;$M396,0,NETWORKDAYS($M396,$E396,calendar!$A$2:$A$80)))</f>
        <v/>
      </c>
      <c r="O396" s="25">
        <f>IF($B396="","",IF(AND($K396="Y",OR($D396="later",$J396="Y")),"Y","N"))</f>
        <v/>
      </c>
      <c r="P396" s="25">
        <f>IF(OR($B396="",$E396=""),"",$B396&amp;"_"&amp;$C396&amp;"_"&amp;$D396&amp;"_"&amp;TEXT($E396,"yyyy-mm-dd")&amp;".jpg")</f>
        <v/>
      </c>
      <c r="Q396" s="25">
        <f>IF($B396="","",IF(COUNTIF(campaigns!$A$2:$A$51,$B396)=0,"campaign_id not on campaigns; ",IF(AND($C396&lt;&gt;"",COUNTIFS(approvals!$A$2:$A$251,$B396,approvals!$B$2:$B$251,$C396)=0),"office not on this campaign (approvals tab); ",""))&amp;IF($E396="","taken date missing; ","")&amp;IF(AND($H396&lt;&gt;"",$H396&lt;&gt;$P396),"file name differs from the convention; ","")&amp;IF(AND($D396="placement",$O396="Y",COUNTIF(photos!$R$2:$R$701,$R396)&gt;1),"two usable placement photos: mark one N; ","")&amp;IF($K396&lt;&gt;"Y","info: not usable (a person, screen or whiteboard may show): never used, delete the file; ","")&amp;IF(AND($D396="placement",$J396&lt;&gt;"Y"),"info: not usable as a placement photo (no card); ","")&amp;IF(AND($D396="placement",N($N396)&gt;2),"info: placed after the first business day; ","")&amp;IF(AND($D396="later",$N396&lt;&gt;"",OR(N($N396)&lt;3,N($N396)&gt;5)),"info: later photo outside day 3 to 5; ",""))</f>
        <v/>
      </c>
      <c r="R396" s="25">
        <f>IF($B396="","",$B396&amp;"|"&amp;$C396&amp;"|"&amp;$D396&amp;"|"&amp;$O396)</f>
        <v/>
      </c>
      <c r="S396" s="25">
        <f>IF($B396="","",$R396&amp;"|"&amp;N($E396))</f>
        <v/>
      </c>
    </row>
    <row r="397">
      <c r="E397" s="9" t="n"/>
      <c r="F397" s="33" t="n"/>
      <c r="I397" s="9" t="n"/>
      <c r="M397" s="26">
        <f>IF($B397="","",IFERROR(IF(INDEX(campaigns!$BG$2:$BG$51,MATCH($B397,campaigns!$A$2:$A$51,0))="","",INDEX(campaigns!$BG$2:$BG$51,MATCH($B397,campaigns!$A$2:$A$51,0))),""))</f>
        <v/>
      </c>
      <c r="N397" s="25">
        <f>IF(OR($B397="",$E397="",$M397=""),"",IF($E397&lt;$M397,0,NETWORKDAYS($M397,$E397,calendar!$A$2:$A$80)))</f>
        <v/>
      </c>
      <c r="O397" s="25">
        <f>IF($B397="","",IF(AND($K397="Y",OR($D397="later",$J397="Y")),"Y","N"))</f>
        <v/>
      </c>
      <c r="P397" s="25">
        <f>IF(OR($B397="",$E397=""),"",$B397&amp;"_"&amp;$C397&amp;"_"&amp;$D397&amp;"_"&amp;TEXT($E397,"yyyy-mm-dd")&amp;".jpg")</f>
        <v/>
      </c>
      <c r="Q397" s="25">
        <f>IF($B397="","",IF(COUNTIF(campaigns!$A$2:$A$51,$B397)=0,"campaign_id not on campaigns; ",IF(AND($C397&lt;&gt;"",COUNTIFS(approvals!$A$2:$A$251,$B397,approvals!$B$2:$B$251,$C397)=0),"office not on this campaign (approvals tab); ",""))&amp;IF($E397="","taken date missing; ","")&amp;IF(AND($H397&lt;&gt;"",$H397&lt;&gt;$P397),"file name differs from the convention; ","")&amp;IF(AND($D397="placement",$O397="Y",COUNTIF(photos!$R$2:$R$701,$R397)&gt;1),"two usable placement photos: mark one N; ","")&amp;IF($K397&lt;&gt;"Y","info: not usable (a person, screen or whiteboard may show): never used, delete the file; ","")&amp;IF(AND($D397="placement",$J397&lt;&gt;"Y"),"info: not usable as a placement photo (no card); ","")&amp;IF(AND($D397="placement",N($N397)&gt;2),"info: placed after the first business day; ","")&amp;IF(AND($D397="later",$N397&lt;&gt;"",OR(N($N397)&lt;3,N($N397)&gt;5)),"info: later photo outside day 3 to 5; ",""))</f>
        <v/>
      </c>
      <c r="R397" s="25">
        <f>IF($B397="","",$B397&amp;"|"&amp;$C397&amp;"|"&amp;$D397&amp;"|"&amp;$O397)</f>
        <v/>
      </c>
      <c r="S397" s="25">
        <f>IF($B397="","",$R397&amp;"|"&amp;N($E397))</f>
        <v/>
      </c>
    </row>
    <row r="398">
      <c r="E398" s="9" t="n"/>
      <c r="F398" s="33" t="n"/>
      <c r="I398" s="9" t="n"/>
      <c r="M398" s="26">
        <f>IF($B398="","",IFERROR(IF(INDEX(campaigns!$BG$2:$BG$51,MATCH($B398,campaigns!$A$2:$A$51,0))="","",INDEX(campaigns!$BG$2:$BG$51,MATCH($B398,campaigns!$A$2:$A$51,0))),""))</f>
        <v/>
      </c>
      <c r="N398" s="25">
        <f>IF(OR($B398="",$E398="",$M398=""),"",IF($E398&lt;$M398,0,NETWORKDAYS($M398,$E398,calendar!$A$2:$A$80)))</f>
        <v/>
      </c>
      <c r="O398" s="25">
        <f>IF($B398="","",IF(AND($K398="Y",OR($D398="later",$J398="Y")),"Y","N"))</f>
        <v/>
      </c>
      <c r="P398" s="25">
        <f>IF(OR($B398="",$E398=""),"",$B398&amp;"_"&amp;$C398&amp;"_"&amp;$D398&amp;"_"&amp;TEXT($E398,"yyyy-mm-dd")&amp;".jpg")</f>
        <v/>
      </c>
      <c r="Q398" s="25">
        <f>IF($B398="","",IF(COUNTIF(campaigns!$A$2:$A$51,$B398)=0,"campaign_id not on campaigns; ",IF(AND($C398&lt;&gt;"",COUNTIFS(approvals!$A$2:$A$251,$B398,approvals!$B$2:$B$251,$C398)=0),"office not on this campaign (approvals tab); ",""))&amp;IF($E398="","taken date missing; ","")&amp;IF(AND($H398&lt;&gt;"",$H398&lt;&gt;$P398),"file name differs from the convention; ","")&amp;IF(AND($D398="placement",$O398="Y",COUNTIF(photos!$R$2:$R$701,$R398)&gt;1),"two usable placement photos: mark one N; ","")&amp;IF($K398&lt;&gt;"Y","info: not usable (a person, screen or whiteboard may show): never used, delete the file; ","")&amp;IF(AND($D398="placement",$J398&lt;&gt;"Y"),"info: not usable as a placement photo (no card); ","")&amp;IF(AND($D398="placement",N($N398)&gt;2),"info: placed after the first business day; ","")&amp;IF(AND($D398="later",$N398&lt;&gt;"",OR(N($N398)&lt;3,N($N398)&gt;5)),"info: later photo outside day 3 to 5; ",""))</f>
        <v/>
      </c>
      <c r="R398" s="25">
        <f>IF($B398="","",$B398&amp;"|"&amp;$C398&amp;"|"&amp;$D398&amp;"|"&amp;$O398)</f>
        <v/>
      </c>
      <c r="S398" s="25">
        <f>IF($B398="","",$R398&amp;"|"&amp;N($E398))</f>
        <v/>
      </c>
    </row>
    <row r="399">
      <c r="E399" s="9" t="n"/>
      <c r="F399" s="33" t="n"/>
      <c r="I399" s="9" t="n"/>
      <c r="M399" s="26">
        <f>IF($B399="","",IFERROR(IF(INDEX(campaigns!$BG$2:$BG$51,MATCH($B399,campaigns!$A$2:$A$51,0))="","",INDEX(campaigns!$BG$2:$BG$51,MATCH($B399,campaigns!$A$2:$A$51,0))),""))</f>
        <v/>
      </c>
      <c r="N399" s="25">
        <f>IF(OR($B399="",$E399="",$M399=""),"",IF($E399&lt;$M399,0,NETWORKDAYS($M399,$E399,calendar!$A$2:$A$80)))</f>
        <v/>
      </c>
      <c r="O399" s="25">
        <f>IF($B399="","",IF(AND($K399="Y",OR($D399="later",$J399="Y")),"Y","N"))</f>
        <v/>
      </c>
      <c r="P399" s="25">
        <f>IF(OR($B399="",$E399=""),"",$B399&amp;"_"&amp;$C399&amp;"_"&amp;$D399&amp;"_"&amp;TEXT($E399,"yyyy-mm-dd")&amp;".jpg")</f>
        <v/>
      </c>
      <c r="Q399" s="25">
        <f>IF($B399="","",IF(COUNTIF(campaigns!$A$2:$A$51,$B399)=0,"campaign_id not on campaigns; ",IF(AND($C399&lt;&gt;"",COUNTIFS(approvals!$A$2:$A$251,$B399,approvals!$B$2:$B$251,$C399)=0),"office not on this campaign (approvals tab); ",""))&amp;IF($E399="","taken date missing; ","")&amp;IF(AND($H399&lt;&gt;"",$H399&lt;&gt;$P399),"file name differs from the convention; ","")&amp;IF(AND($D399="placement",$O399="Y",COUNTIF(photos!$R$2:$R$701,$R399)&gt;1),"two usable placement photos: mark one N; ","")&amp;IF($K399&lt;&gt;"Y","info: not usable (a person, screen or whiteboard may show): never used, delete the file; ","")&amp;IF(AND($D399="placement",$J399&lt;&gt;"Y"),"info: not usable as a placement photo (no card); ","")&amp;IF(AND($D399="placement",N($N399)&gt;2),"info: placed after the first business day; ","")&amp;IF(AND($D399="later",$N399&lt;&gt;"",OR(N($N399)&lt;3,N($N399)&gt;5)),"info: later photo outside day 3 to 5; ",""))</f>
        <v/>
      </c>
      <c r="R399" s="25">
        <f>IF($B399="","",$B399&amp;"|"&amp;$C399&amp;"|"&amp;$D399&amp;"|"&amp;$O399)</f>
        <v/>
      </c>
      <c r="S399" s="25">
        <f>IF($B399="","",$R399&amp;"|"&amp;N($E399))</f>
        <v/>
      </c>
    </row>
    <row r="400">
      <c r="E400" s="9" t="n"/>
      <c r="F400" s="33" t="n"/>
      <c r="I400" s="9" t="n"/>
      <c r="M400" s="26">
        <f>IF($B400="","",IFERROR(IF(INDEX(campaigns!$BG$2:$BG$51,MATCH($B400,campaigns!$A$2:$A$51,0))="","",INDEX(campaigns!$BG$2:$BG$51,MATCH($B400,campaigns!$A$2:$A$51,0))),""))</f>
        <v/>
      </c>
      <c r="N400" s="25">
        <f>IF(OR($B400="",$E400="",$M400=""),"",IF($E400&lt;$M400,0,NETWORKDAYS($M400,$E400,calendar!$A$2:$A$80)))</f>
        <v/>
      </c>
      <c r="O400" s="25">
        <f>IF($B400="","",IF(AND($K400="Y",OR($D400="later",$J400="Y")),"Y","N"))</f>
        <v/>
      </c>
      <c r="P400" s="25">
        <f>IF(OR($B400="",$E400=""),"",$B400&amp;"_"&amp;$C400&amp;"_"&amp;$D400&amp;"_"&amp;TEXT($E400,"yyyy-mm-dd")&amp;".jpg")</f>
        <v/>
      </c>
      <c r="Q400" s="25">
        <f>IF($B400="","",IF(COUNTIF(campaigns!$A$2:$A$51,$B400)=0,"campaign_id not on campaigns; ",IF(AND($C400&lt;&gt;"",COUNTIFS(approvals!$A$2:$A$251,$B400,approvals!$B$2:$B$251,$C400)=0),"office not on this campaign (approvals tab); ",""))&amp;IF($E400="","taken date missing; ","")&amp;IF(AND($H400&lt;&gt;"",$H400&lt;&gt;$P400),"file name differs from the convention; ","")&amp;IF(AND($D400="placement",$O400="Y",COUNTIF(photos!$R$2:$R$701,$R400)&gt;1),"two usable placement photos: mark one N; ","")&amp;IF($K400&lt;&gt;"Y","info: not usable (a person, screen or whiteboard may show): never used, delete the file; ","")&amp;IF(AND($D400="placement",$J400&lt;&gt;"Y"),"info: not usable as a placement photo (no card); ","")&amp;IF(AND($D400="placement",N($N400)&gt;2),"info: placed after the first business day; ","")&amp;IF(AND($D400="later",$N400&lt;&gt;"",OR(N($N400)&lt;3,N($N400)&gt;5)),"info: later photo outside day 3 to 5; ",""))</f>
        <v/>
      </c>
      <c r="R400" s="25">
        <f>IF($B400="","",$B400&amp;"|"&amp;$C400&amp;"|"&amp;$D400&amp;"|"&amp;$O400)</f>
        <v/>
      </c>
      <c r="S400" s="25">
        <f>IF($B400="","",$R400&amp;"|"&amp;N($E400))</f>
        <v/>
      </c>
    </row>
    <row r="401">
      <c r="E401" s="9" t="n"/>
      <c r="F401" s="33" t="n"/>
      <c r="I401" s="9" t="n"/>
      <c r="M401" s="26">
        <f>IF($B401="","",IFERROR(IF(INDEX(campaigns!$BG$2:$BG$51,MATCH($B401,campaigns!$A$2:$A$51,0))="","",INDEX(campaigns!$BG$2:$BG$51,MATCH($B401,campaigns!$A$2:$A$51,0))),""))</f>
        <v/>
      </c>
      <c r="N401" s="25">
        <f>IF(OR($B401="",$E401="",$M401=""),"",IF($E401&lt;$M401,0,NETWORKDAYS($M401,$E401,calendar!$A$2:$A$80)))</f>
        <v/>
      </c>
      <c r="O401" s="25">
        <f>IF($B401="","",IF(AND($K401="Y",OR($D401="later",$J401="Y")),"Y","N"))</f>
        <v/>
      </c>
      <c r="P401" s="25">
        <f>IF(OR($B401="",$E401=""),"",$B401&amp;"_"&amp;$C401&amp;"_"&amp;$D401&amp;"_"&amp;TEXT($E401,"yyyy-mm-dd")&amp;".jpg")</f>
        <v/>
      </c>
      <c r="Q401" s="25">
        <f>IF($B401="","",IF(COUNTIF(campaigns!$A$2:$A$51,$B401)=0,"campaign_id not on campaigns; ",IF(AND($C401&lt;&gt;"",COUNTIFS(approvals!$A$2:$A$251,$B401,approvals!$B$2:$B$251,$C401)=0),"office not on this campaign (approvals tab); ",""))&amp;IF($E401="","taken date missing; ","")&amp;IF(AND($H401&lt;&gt;"",$H401&lt;&gt;$P401),"file name differs from the convention; ","")&amp;IF(AND($D401="placement",$O401="Y",COUNTIF(photos!$R$2:$R$701,$R401)&gt;1),"two usable placement photos: mark one N; ","")&amp;IF($K401&lt;&gt;"Y","info: not usable (a person, screen or whiteboard may show): never used, delete the file; ","")&amp;IF(AND($D401="placement",$J401&lt;&gt;"Y"),"info: not usable as a placement photo (no card); ","")&amp;IF(AND($D401="placement",N($N401)&gt;2),"info: placed after the first business day; ","")&amp;IF(AND($D401="later",$N401&lt;&gt;"",OR(N($N401)&lt;3,N($N401)&gt;5)),"info: later photo outside day 3 to 5; ",""))</f>
        <v/>
      </c>
      <c r="R401" s="25">
        <f>IF($B401="","",$B401&amp;"|"&amp;$C401&amp;"|"&amp;$D401&amp;"|"&amp;$O401)</f>
        <v/>
      </c>
      <c r="S401" s="25">
        <f>IF($B401="","",$R401&amp;"|"&amp;N($E401))</f>
        <v/>
      </c>
    </row>
    <row r="402">
      <c r="E402" s="9" t="n"/>
      <c r="F402" s="33" t="n"/>
      <c r="I402" s="9" t="n"/>
      <c r="M402" s="26">
        <f>IF($B402="","",IFERROR(IF(INDEX(campaigns!$BG$2:$BG$51,MATCH($B402,campaigns!$A$2:$A$51,0))="","",INDEX(campaigns!$BG$2:$BG$51,MATCH($B402,campaigns!$A$2:$A$51,0))),""))</f>
        <v/>
      </c>
      <c r="N402" s="25">
        <f>IF(OR($B402="",$E402="",$M402=""),"",IF($E402&lt;$M402,0,NETWORKDAYS($M402,$E402,calendar!$A$2:$A$80)))</f>
        <v/>
      </c>
      <c r="O402" s="25">
        <f>IF($B402="","",IF(AND($K402="Y",OR($D402="later",$J402="Y")),"Y","N"))</f>
        <v/>
      </c>
      <c r="P402" s="25">
        <f>IF(OR($B402="",$E402=""),"",$B402&amp;"_"&amp;$C402&amp;"_"&amp;$D402&amp;"_"&amp;TEXT($E402,"yyyy-mm-dd")&amp;".jpg")</f>
        <v/>
      </c>
      <c r="Q402" s="25">
        <f>IF($B402="","",IF(COUNTIF(campaigns!$A$2:$A$51,$B402)=0,"campaign_id not on campaigns; ",IF(AND($C402&lt;&gt;"",COUNTIFS(approvals!$A$2:$A$251,$B402,approvals!$B$2:$B$251,$C402)=0),"office not on this campaign (approvals tab); ",""))&amp;IF($E402="","taken date missing; ","")&amp;IF(AND($H402&lt;&gt;"",$H402&lt;&gt;$P402),"file name differs from the convention; ","")&amp;IF(AND($D402="placement",$O402="Y",COUNTIF(photos!$R$2:$R$701,$R402)&gt;1),"two usable placement photos: mark one N; ","")&amp;IF($K402&lt;&gt;"Y","info: not usable (a person, screen or whiteboard may show): never used, delete the file; ","")&amp;IF(AND($D402="placement",$J402&lt;&gt;"Y"),"info: not usable as a placement photo (no card); ","")&amp;IF(AND($D402="placement",N($N402)&gt;2),"info: placed after the first business day; ","")&amp;IF(AND($D402="later",$N402&lt;&gt;"",OR(N($N402)&lt;3,N($N402)&gt;5)),"info: later photo outside day 3 to 5; ",""))</f>
        <v/>
      </c>
      <c r="R402" s="25">
        <f>IF($B402="","",$B402&amp;"|"&amp;$C402&amp;"|"&amp;$D402&amp;"|"&amp;$O402)</f>
        <v/>
      </c>
      <c r="S402" s="25">
        <f>IF($B402="","",$R402&amp;"|"&amp;N($E402))</f>
        <v/>
      </c>
    </row>
    <row r="403">
      <c r="E403" s="9" t="n"/>
      <c r="F403" s="33" t="n"/>
      <c r="I403" s="9" t="n"/>
      <c r="M403" s="26">
        <f>IF($B403="","",IFERROR(IF(INDEX(campaigns!$BG$2:$BG$51,MATCH($B403,campaigns!$A$2:$A$51,0))="","",INDEX(campaigns!$BG$2:$BG$51,MATCH($B403,campaigns!$A$2:$A$51,0))),""))</f>
        <v/>
      </c>
      <c r="N403" s="25">
        <f>IF(OR($B403="",$E403="",$M403=""),"",IF($E403&lt;$M403,0,NETWORKDAYS($M403,$E403,calendar!$A$2:$A$80)))</f>
        <v/>
      </c>
      <c r="O403" s="25">
        <f>IF($B403="","",IF(AND($K403="Y",OR($D403="later",$J403="Y")),"Y","N"))</f>
        <v/>
      </c>
      <c r="P403" s="25">
        <f>IF(OR($B403="",$E403=""),"",$B403&amp;"_"&amp;$C403&amp;"_"&amp;$D403&amp;"_"&amp;TEXT($E403,"yyyy-mm-dd")&amp;".jpg")</f>
        <v/>
      </c>
      <c r="Q403" s="25">
        <f>IF($B403="","",IF(COUNTIF(campaigns!$A$2:$A$51,$B403)=0,"campaign_id not on campaigns; ",IF(AND($C403&lt;&gt;"",COUNTIFS(approvals!$A$2:$A$251,$B403,approvals!$B$2:$B$251,$C403)=0),"office not on this campaign (approvals tab); ",""))&amp;IF($E403="","taken date missing; ","")&amp;IF(AND($H403&lt;&gt;"",$H403&lt;&gt;$P403),"file name differs from the convention; ","")&amp;IF(AND($D403="placement",$O403="Y",COUNTIF(photos!$R$2:$R$701,$R403)&gt;1),"two usable placement photos: mark one N; ","")&amp;IF($K403&lt;&gt;"Y","info: not usable (a person, screen or whiteboard may show): never used, delete the file; ","")&amp;IF(AND($D403="placement",$J403&lt;&gt;"Y"),"info: not usable as a placement photo (no card); ","")&amp;IF(AND($D403="placement",N($N403)&gt;2),"info: placed after the first business day; ","")&amp;IF(AND($D403="later",$N403&lt;&gt;"",OR(N($N403)&lt;3,N($N403)&gt;5)),"info: later photo outside day 3 to 5; ",""))</f>
        <v/>
      </c>
      <c r="R403" s="25">
        <f>IF($B403="","",$B403&amp;"|"&amp;$C403&amp;"|"&amp;$D403&amp;"|"&amp;$O403)</f>
        <v/>
      </c>
      <c r="S403" s="25">
        <f>IF($B403="","",$R403&amp;"|"&amp;N($E403))</f>
        <v/>
      </c>
    </row>
    <row r="404">
      <c r="E404" s="9" t="n"/>
      <c r="F404" s="33" t="n"/>
      <c r="I404" s="9" t="n"/>
      <c r="M404" s="26">
        <f>IF($B404="","",IFERROR(IF(INDEX(campaigns!$BG$2:$BG$51,MATCH($B404,campaigns!$A$2:$A$51,0))="","",INDEX(campaigns!$BG$2:$BG$51,MATCH($B404,campaigns!$A$2:$A$51,0))),""))</f>
        <v/>
      </c>
      <c r="N404" s="25">
        <f>IF(OR($B404="",$E404="",$M404=""),"",IF($E404&lt;$M404,0,NETWORKDAYS($M404,$E404,calendar!$A$2:$A$80)))</f>
        <v/>
      </c>
      <c r="O404" s="25">
        <f>IF($B404="","",IF(AND($K404="Y",OR($D404="later",$J404="Y")),"Y","N"))</f>
        <v/>
      </c>
      <c r="P404" s="25">
        <f>IF(OR($B404="",$E404=""),"",$B404&amp;"_"&amp;$C404&amp;"_"&amp;$D404&amp;"_"&amp;TEXT($E404,"yyyy-mm-dd")&amp;".jpg")</f>
        <v/>
      </c>
      <c r="Q404" s="25">
        <f>IF($B404="","",IF(COUNTIF(campaigns!$A$2:$A$51,$B404)=0,"campaign_id not on campaigns; ",IF(AND($C404&lt;&gt;"",COUNTIFS(approvals!$A$2:$A$251,$B404,approvals!$B$2:$B$251,$C404)=0),"office not on this campaign (approvals tab); ",""))&amp;IF($E404="","taken date missing; ","")&amp;IF(AND($H404&lt;&gt;"",$H404&lt;&gt;$P404),"file name differs from the convention; ","")&amp;IF(AND($D404="placement",$O404="Y",COUNTIF(photos!$R$2:$R$701,$R404)&gt;1),"two usable placement photos: mark one N; ","")&amp;IF($K404&lt;&gt;"Y","info: not usable (a person, screen or whiteboard may show): never used, delete the file; ","")&amp;IF(AND($D404="placement",$J404&lt;&gt;"Y"),"info: not usable as a placement photo (no card); ","")&amp;IF(AND($D404="placement",N($N404)&gt;2),"info: placed after the first business day; ","")&amp;IF(AND($D404="later",$N404&lt;&gt;"",OR(N($N404)&lt;3,N($N404)&gt;5)),"info: later photo outside day 3 to 5; ",""))</f>
        <v/>
      </c>
      <c r="R404" s="25">
        <f>IF($B404="","",$B404&amp;"|"&amp;$C404&amp;"|"&amp;$D404&amp;"|"&amp;$O404)</f>
        <v/>
      </c>
      <c r="S404" s="25">
        <f>IF($B404="","",$R404&amp;"|"&amp;N($E404))</f>
        <v/>
      </c>
    </row>
    <row r="405">
      <c r="E405" s="9" t="n"/>
      <c r="F405" s="33" t="n"/>
      <c r="I405" s="9" t="n"/>
      <c r="M405" s="26">
        <f>IF($B405="","",IFERROR(IF(INDEX(campaigns!$BG$2:$BG$51,MATCH($B405,campaigns!$A$2:$A$51,0))="","",INDEX(campaigns!$BG$2:$BG$51,MATCH($B405,campaigns!$A$2:$A$51,0))),""))</f>
        <v/>
      </c>
      <c r="N405" s="25">
        <f>IF(OR($B405="",$E405="",$M405=""),"",IF($E405&lt;$M405,0,NETWORKDAYS($M405,$E405,calendar!$A$2:$A$80)))</f>
        <v/>
      </c>
      <c r="O405" s="25">
        <f>IF($B405="","",IF(AND($K405="Y",OR($D405="later",$J405="Y")),"Y","N"))</f>
        <v/>
      </c>
      <c r="P405" s="25">
        <f>IF(OR($B405="",$E405=""),"",$B405&amp;"_"&amp;$C405&amp;"_"&amp;$D405&amp;"_"&amp;TEXT($E405,"yyyy-mm-dd")&amp;".jpg")</f>
        <v/>
      </c>
      <c r="Q405" s="25">
        <f>IF($B405="","",IF(COUNTIF(campaigns!$A$2:$A$51,$B405)=0,"campaign_id not on campaigns; ",IF(AND($C405&lt;&gt;"",COUNTIFS(approvals!$A$2:$A$251,$B405,approvals!$B$2:$B$251,$C405)=0),"office not on this campaign (approvals tab); ",""))&amp;IF($E405="","taken date missing; ","")&amp;IF(AND($H405&lt;&gt;"",$H405&lt;&gt;$P405),"file name differs from the convention; ","")&amp;IF(AND($D405="placement",$O405="Y",COUNTIF(photos!$R$2:$R$701,$R405)&gt;1),"two usable placement photos: mark one N; ","")&amp;IF($K405&lt;&gt;"Y","info: not usable (a person, screen or whiteboard may show): never used, delete the file; ","")&amp;IF(AND($D405="placement",$J405&lt;&gt;"Y"),"info: not usable as a placement photo (no card); ","")&amp;IF(AND($D405="placement",N($N405)&gt;2),"info: placed after the first business day; ","")&amp;IF(AND($D405="later",$N405&lt;&gt;"",OR(N($N405)&lt;3,N($N405)&gt;5)),"info: later photo outside day 3 to 5; ",""))</f>
        <v/>
      </c>
      <c r="R405" s="25">
        <f>IF($B405="","",$B405&amp;"|"&amp;$C405&amp;"|"&amp;$D405&amp;"|"&amp;$O405)</f>
        <v/>
      </c>
      <c r="S405" s="25">
        <f>IF($B405="","",$R405&amp;"|"&amp;N($E405))</f>
        <v/>
      </c>
    </row>
    <row r="406">
      <c r="E406" s="9" t="n"/>
      <c r="F406" s="33" t="n"/>
      <c r="I406" s="9" t="n"/>
      <c r="M406" s="26">
        <f>IF($B406="","",IFERROR(IF(INDEX(campaigns!$BG$2:$BG$51,MATCH($B406,campaigns!$A$2:$A$51,0))="","",INDEX(campaigns!$BG$2:$BG$51,MATCH($B406,campaigns!$A$2:$A$51,0))),""))</f>
        <v/>
      </c>
      <c r="N406" s="25">
        <f>IF(OR($B406="",$E406="",$M406=""),"",IF($E406&lt;$M406,0,NETWORKDAYS($M406,$E406,calendar!$A$2:$A$80)))</f>
        <v/>
      </c>
      <c r="O406" s="25">
        <f>IF($B406="","",IF(AND($K406="Y",OR($D406="later",$J406="Y")),"Y","N"))</f>
        <v/>
      </c>
      <c r="P406" s="25">
        <f>IF(OR($B406="",$E406=""),"",$B406&amp;"_"&amp;$C406&amp;"_"&amp;$D406&amp;"_"&amp;TEXT($E406,"yyyy-mm-dd")&amp;".jpg")</f>
        <v/>
      </c>
      <c r="Q406" s="25">
        <f>IF($B406="","",IF(COUNTIF(campaigns!$A$2:$A$51,$B406)=0,"campaign_id not on campaigns; ",IF(AND($C406&lt;&gt;"",COUNTIFS(approvals!$A$2:$A$251,$B406,approvals!$B$2:$B$251,$C406)=0),"office not on this campaign (approvals tab); ",""))&amp;IF($E406="","taken date missing; ","")&amp;IF(AND($H406&lt;&gt;"",$H406&lt;&gt;$P406),"file name differs from the convention; ","")&amp;IF(AND($D406="placement",$O406="Y",COUNTIF(photos!$R$2:$R$701,$R406)&gt;1),"two usable placement photos: mark one N; ","")&amp;IF($K406&lt;&gt;"Y","info: not usable (a person, screen or whiteboard may show): never used, delete the file; ","")&amp;IF(AND($D406="placement",$J406&lt;&gt;"Y"),"info: not usable as a placement photo (no card); ","")&amp;IF(AND($D406="placement",N($N406)&gt;2),"info: placed after the first business day; ","")&amp;IF(AND($D406="later",$N406&lt;&gt;"",OR(N($N406)&lt;3,N($N406)&gt;5)),"info: later photo outside day 3 to 5; ",""))</f>
        <v/>
      </c>
      <c r="R406" s="25">
        <f>IF($B406="","",$B406&amp;"|"&amp;$C406&amp;"|"&amp;$D406&amp;"|"&amp;$O406)</f>
        <v/>
      </c>
      <c r="S406" s="25">
        <f>IF($B406="","",$R406&amp;"|"&amp;N($E406))</f>
        <v/>
      </c>
    </row>
    <row r="407">
      <c r="E407" s="9" t="n"/>
      <c r="F407" s="33" t="n"/>
      <c r="I407" s="9" t="n"/>
      <c r="M407" s="26">
        <f>IF($B407="","",IFERROR(IF(INDEX(campaigns!$BG$2:$BG$51,MATCH($B407,campaigns!$A$2:$A$51,0))="","",INDEX(campaigns!$BG$2:$BG$51,MATCH($B407,campaigns!$A$2:$A$51,0))),""))</f>
        <v/>
      </c>
      <c r="N407" s="25">
        <f>IF(OR($B407="",$E407="",$M407=""),"",IF($E407&lt;$M407,0,NETWORKDAYS($M407,$E407,calendar!$A$2:$A$80)))</f>
        <v/>
      </c>
      <c r="O407" s="25">
        <f>IF($B407="","",IF(AND($K407="Y",OR($D407="later",$J407="Y")),"Y","N"))</f>
        <v/>
      </c>
      <c r="P407" s="25">
        <f>IF(OR($B407="",$E407=""),"",$B407&amp;"_"&amp;$C407&amp;"_"&amp;$D407&amp;"_"&amp;TEXT($E407,"yyyy-mm-dd")&amp;".jpg")</f>
        <v/>
      </c>
      <c r="Q407" s="25">
        <f>IF($B407="","",IF(COUNTIF(campaigns!$A$2:$A$51,$B407)=0,"campaign_id not on campaigns; ",IF(AND($C407&lt;&gt;"",COUNTIFS(approvals!$A$2:$A$251,$B407,approvals!$B$2:$B$251,$C407)=0),"office not on this campaign (approvals tab); ",""))&amp;IF($E407="","taken date missing; ","")&amp;IF(AND($H407&lt;&gt;"",$H407&lt;&gt;$P407),"file name differs from the convention; ","")&amp;IF(AND($D407="placement",$O407="Y",COUNTIF(photos!$R$2:$R$701,$R407)&gt;1),"two usable placement photos: mark one N; ","")&amp;IF($K407&lt;&gt;"Y","info: not usable (a person, screen or whiteboard may show): never used, delete the file; ","")&amp;IF(AND($D407="placement",$J407&lt;&gt;"Y"),"info: not usable as a placement photo (no card); ","")&amp;IF(AND($D407="placement",N($N407)&gt;2),"info: placed after the first business day; ","")&amp;IF(AND($D407="later",$N407&lt;&gt;"",OR(N($N407)&lt;3,N($N407)&gt;5)),"info: later photo outside day 3 to 5; ",""))</f>
        <v/>
      </c>
      <c r="R407" s="25">
        <f>IF($B407="","",$B407&amp;"|"&amp;$C407&amp;"|"&amp;$D407&amp;"|"&amp;$O407)</f>
        <v/>
      </c>
      <c r="S407" s="25">
        <f>IF($B407="","",$R407&amp;"|"&amp;N($E407))</f>
        <v/>
      </c>
    </row>
    <row r="408">
      <c r="E408" s="9" t="n"/>
      <c r="F408" s="33" t="n"/>
      <c r="I408" s="9" t="n"/>
      <c r="M408" s="26">
        <f>IF($B408="","",IFERROR(IF(INDEX(campaigns!$BG$2:$BG$51,MATCH($B408,campaigns!$A$2:$A$51,0))="","",INDEX(campaigns!$BG$2:$BG$51,MATCH($B408,campaigns!$A$2:$A$51,0))),""))</f>
        <v/>
      </c>
      <c r="N408" s="25">
        <f>IF(OR($B408="",$E408="",$M408=""),"",IF($E408&lt;$M408,0,NETWORKDAYS($M408,$E408,calendar!$A$2:$A$80)))</f>
        <v/>
      </c>
      <c r="O408" s="25">
        <f>IF($B408="","",IF(AND($K408="Y",OR($D408="later",$J408="Y")),"Y","N"))</f>
        <v/>
      </c>
      <c r="P408" s="25">
        <f>IF(OR($B408="",$E408=""),"",$B408&amp;"_"&amp;$C408&amp;"_"&amp;$D408&amp;"_"&amp;TEXT($E408,"yyyy-mm-dd")&amp;".jpg")</f>
        <v/>
      </c>
      <c r="Q408" s="25">
        <f>IF($B408="","",IF(COUNTIF(campaigns!$A$2:$A$51,$B408)=0,"campaign_id not on campaigns; ",IF(AND($C408&lt;&gt;"",COUNTIFS(approvals!$A$2:$A$251,$B408,approvals!$B$2:$B$251,$C408)=0),"office not on this campaign (approvals tab); ",""))&amp;IF($E408="","taken date missing; ","")&amp;IF(AND($H408&lt;&gt;"",$H408&lt;&gt;$P408),"file name differs from the convention; ","")&amp;IF(AND($D408="placement",$O408="Y",COUNTIF(photos!$R$2:$R$701,$R408)&gt;1),"two usable placement photos: mark one N; ","")&amp;IF($K408&lt;&gt;"Y","info: not usable (a person, screen or whiteboard may show): never used, delete the file; ","")&amp;IF(AND($D408="placement",$J408&lt;&gt;"Y"),"info: not usable as a placement photo (no card); ","")&amp;IF(AND($D408="placement",N($N408)&gt;2),"info: placed after the first business day; ","")&amp;IF(AND($D408="later",$N408&lt;&gt;"",OR(N($N408)&lt;3,N($N408)&gt;5)),"info: later photo outside day 3 to 5; ",""))</f>
        <v/>
      </c>
      <c r="R408" s="25">
        <f>IF($B408="","",$B408&amp;"|"&amp;$C408&amp;"|"&amp;$D408&amp;"|"&amp;$O408)</f>
        <v/>
      </c>
      <c r="S408" s="25">
        <f>IF($B408="","",$R408&amp;"|"&amp;N($E408))</f>
        <v/>
      </c>
    </row>
    <row r="409">
      <c r="E409" s="9" t="n"/>
      <c r="F409" s="33" t="n"/>
      <c r="I409" s="9" t="n"/>
      <c r="M409" s="26">
        <f>IF($B409="","",IFERROR(IF(INDEX(campaigns!$BG$2:$BG$51,MATCH($B409,campaigns!$A$2:$A$51,0))="","",INDEX(campaigns!$BG$2:$BG$51,MATCH($B409,campaigns!$A$2:$A$51,0))),""))</f>
        <v/>
      </c>
      <c r="N409" s="25">
        <f>IF(OR($B409="",$E409="",$M409=""),"",IF($E409&lt;$M409,0,NETWORKDAYS($M409,$E409,calendar!$A$2:$A$80)))</f>
        <v/>
      </c>
      <c r="O409" s="25">
        <f>IF($B409="","",IF(AND($K409="Y",OR($D409="later",$J409="Y")),"Y","N"))</f>
        <v/>
      </c>
      <c r="P409" s="25">
        <f>IF(OR($B409="",$E409=""),"",$B409&amp;"_"&amp;$C409&amp;"_"&amp;$D409&amp;"_"&amp;TEXT($E409,"yyyy-mm-dd")&amp;".jpg")</f>
        <v/>
      </c>
      <c r="Q409" s="25">
        <f>IF($B409="","",IF(COUNTIF(campaigns!$A$2:$A$51,$B409)=0,"campaign_id not on campaigns; ",IF(AND($C409&lt;&gt;"",COUNTIFS(approvals!$A$2:$A$251,$B409,approvals!$B$2:$B$251,$C409)=0),"office not on this campaign (approvals tab); ",""))&amp;IF($E409="","taken date missing; ","")&amp;IF(AND($H409&lt;&gt;"",$H409&lt;&gt;$P409),"file name differs from the convention; ","")&amp;IF(AND($D409="placement",$O409="Y",COUNTIF(photos!$R$2:$R$701,$R409)&gt;1),"two usable placement photos: mark one N; ","")&amp;IF($K409&lt;&gt;"Y","info: not usable (a person, screen or whiteboard may show): never used, delete the file; ","")&amp;IF(AND($D409="placement",$J409&lt;&gt;"Y"),"info: not usable as a placement photo (no card); ","")&amp;IF(AND($D409="placement",N($N409)&gt;2),"info: placed after the first business day; ","")&amp;IF(AND($D409="later",$N409&lt;&gt;"",OR(N($N409)&lt;3,N($N409)&gt;5)),"info: later photo outside day 3 to 5; ",""))</f>
        <v/>
      </c>
      <c r="R409" s="25">
        <f>IF($B409="","",$B409&amp;"|"&amp;$C409&amp;"|"&amp;$D409&amp;"|"&amp;$O409)</f>
        <v/>
      </c>
      <c r="S409" s="25">
        <f>IF($B409="","",$R409&amp;"|"&amp;N($E409))</f>
        <v/>
      </c>
    </row>
    <row r="410">
      <c r="E410" s="9" t="n"/>
      <c r="F410" s="33" t="n"/>
      <c r="I410" s="9" t="n"/>
      <c r="M410" s="26">
        <f>IF($B410="","",IFERROR(IF(INDEX(campaigns!$BG$2:$BG$51,MATCH($B410,campaigns!$A$2:$A$51,0))="","",INDEX(campaigns!$BG$2:$BG$51,MATCH($B410,campaigns!$A$2:$A$51,0))),""))</f>
        <v/>
      </c>
      <c r="N410" s="25">
        <f>IF(OR($B410="",$E410="",$M410=""),"",IF($E410&lt;$M410,0,NETWORKDAYS($M410,$E410,calendar!$A$2:$A$80)))</f>
        <v/>
      </c>
      <c r="O410" s="25">
        <f>IF($B410="","",IF(AND($K410="Y",OR($D410="later",$J410="Y")),"Y","N"))</f>
        <v/>
      </c>
      <c r="P410" s="25">
        <f>IF(OR($B410="",$E410=""),"",$B410&amp;"_"&amp;$C410&amp;"_"&amp;$D410&amp;"_"&amp;TEXT($E410,"yyyy-mm-dd")&amp;".jpg")</f>
        <v/>
      </c>
      <c r="Q410" s="25">
        <f>IF($B410="","",IF(COUNTIF(campaigns!$A$2:$A$51,$B410)=0,"campaign_id not on campaigns; ",IF(AND($C410&lt;&gt;"",COUNTIFS(approvals!$A$2:$A$251,$B410,approvals!$B$2:$B$251,$C410)=0),"office not on this campaign (approvals tab); ",""))&amp;IF($E410="","taken date missing; ","")&amp;IF(AND($H410&lt;&gt;"",$H410&lt;&gt;$P410),"file name differs from the convention; ","")&amp;IF(AND($D410="placement",$O410="Y",COUNTIF(photos!$R$2:$R$701,$R410)&gt;1),"two usable placement photos: mark one N; ","")&amp;IF($K410&lt;&gt;"Y","info: not usable (a person, screen or whiteboard may show): never used, delete the file; ","")&amp;IF(AND($D410="placement",$J410&lt;&gt;"Y"),"info: not usable as a placement photo (no card); ","")&amp;IF(AND($D410="placement",N($N410)&gt;2),"info: placed after the first business day; ","")&amp;IF(AND($D410="later",$N410&lt;&gt;"",OR(N($N410)&lt;3,N($N410)&gt;5)),"info: later photo outside day 3 to 5; ",""))</f>
        <v/>
      </c>
      <c r="R410" s="25">
        <f>IF($B410="","",$B410&amp;"|"&amp;$C410&amp;"|"&amp;$D410&amp;"|"&amp;$O410)</f>
        <v/>
      </c>
      <c r="S410" s="25">
        <f>IF($B410="","",$R410&amp;"|"&amp;N($E410))</f>
        <v/>
      </c>
    </row>
    <row r="411">
      <c r="E411" s="9" t="n"/>
      <c r="F411" s="33" t="n"/>
      <c r="I411" s="9" t="n"/>
      <c r="M411" s="26">
        <f>IF($B411="","",IFERROR(IF(INDEX(campaigns!$BG$2:$BG$51,MATCH($B411,campaigns!$A$2:$A$51,0))="","",INDEX(campaigns!$BG$2:$BG$51,MATCH($B411,campaigns!$A$2:$A$51,0))),""))</f>
        <v/>
      </c>
      <c r="N411" s="25">
        <f>IF(OR($B411="",$E411="",$M411=""),"",IF($E411&lt;$M411,0,NETWORKDAYS($M411,$E411,calendar!$A$2:$A$80)))</f>
        <v/>
      </c>
      <c r="O411" s="25">
        <f>IF($B411="","",IF(AND($K411="Y",OR($D411="later",$J411="Y")),"Y","N"))</f>
        <v/>
      </c>
      <c r="P411" s="25">
        <f>IF(OR($B411="",$E411=""),"",$B411&amp;"_"&amp;$C411&amp;"_"&amp;$D411&amp;"_"&amp;TEXT($E411,"yyyy-mm-dd")&amp;".jpg")</f>
        <v/>
      </c>
      <c r="Q411" s="25">
        <f>IF($B411="","",IF(COUNTIF(campaigns!$A$2:$A$51,$B411)=0,"campaign_id not on campaigns; ",IF(AND($C411&lt;&gt;"",COUNTIFS(approvals!$A$2:$A$251,$B411,approvals!$B$2:$B$251,$C411)=0),"office not on this campaign (approvals tab); ",""))&amp;IF($E411="","taken date missing; ","")&amp;IF(AND($H411&lt;&gt;"",$H411&lt;&gt;$P411),"file name differs from the convention; ","")&amp;IF(AND($D411="placement",$O411="Y",COUNTIF(photos!$R$2:$R$701,$R411)&gt;1),"two usable placement photos: mark one N; ","")&amp;IF($K411&lt;&gt;"Y","info: not usable (a person, screen or whiteboard may show): never used, delete the file; ","")&amp;IF(AND($D411="placement",$J411&lt;&gt;"Y"),"info: not usable as a placement photo (no card); ","")&amp;IF(AND($D411="placement",N($N411)&gt;2),"info: placed after the first business day; ","")&amp;IF(AND($D411="later",$N411&lt;&gt;"",OR(N($N411)&lt;3,N($N411)&gt;5)),"info: later photo outside day 3 to 5; ",""))</f>
        <v/>
      </c>
      <c r="R411" s="25">
        <f>IF($B411="","",$B411&amp;"|"&amp;$C411&amp;"|"&amp;$D411&amp;"|"&amp;$O411)</f>
        <v/>
      </c>
      <c r="S411" s="25">
        <f>IF($B411="","",$R411&amp;"|"&amp;N($E411))</f>
        <v/>
      </c>
    </row>
    <row r="412">
      <c r="E412" s="9" t="n"/>
      <c r="F412" s="33" t="n"/>
      <c r="I412" s="9" t="n"/>
      <c r="M412" s="26">
        <f>IF($B412="","",IFERROR(IF(INDEX(campaigns!$BG$2:$BG$51,MATCH($B412,campaigns!$A$2:$A$51,0))="","",INDEX(campaigns!$BG$2:$BG$51,MATCH($B412,campaigns!$A$2:$A$51,0))),""))</f>
        <v/>
      </c>
      <c r="N412" s="25">
        <f>IF(OR($B412="",$E412="",$M412=""),"",IF($E412&lt;$M412,0,NETWORKDAYS($M412,$E412,calendar!$A$2:$A$80)))</f>
        <v/>
      </c>
      <c r="O412" s="25">
        <f>IF($B412="","",IF(AND($K412="Y",OR($D412="later",$J412="Y")),"Y","N"))</f>
        <v/>
      </c>
      <c r="P412" s="25">
        <f>IF(OR($B412="",$E412=""),"",$B412&amp;"_"&amp;$C412&amp;"_"&amp;$D412&amp;"_"&amp;TEXT($E412,"yyyy-mm-dd")&amp;".jpg")</f>
        <v/>
      </c>
      <c r="Q412" s="25">
        <f>IF($B412="","",IF(COUNTIF(campaigns!$A$2:$A$51,$B412)=0,"campaign_id not on campaigns; ",IF(AND($C412&lt;&gt;"",COUNTIFS(approvals!$A$2:$A$251,$B412,approvals!$B$2:$B$251,$C412)=0),"office not on this campaign (approvals tab); ",""))&amp;IF($E412="","taken date missing; ","")&amp;IF(AND($H412&lt;&gt;"",$H412&lt;&gt;$P412),"file name differs from the convention; ","")&amp;IF(AND($D412="placement",$O412="Y",COUNTIF(photos!$R$2:$R$701,$R412)&gt;1),"two usable placement photos: mark one N; ","")&amp;IF($K412&lt;&gt;"Y","info: not usable (a person, screen or whiteboard may show): never used, delete the file; ","")&amp;IF(AND($D412="placement",$J412&lt;&gt;"Y"),"info: not usable as a placement photo (no card); ","")&amp;IF(AND($D412="placement",N($N412)&gt;2),"info: placed after the first business day; ","")&amp;IF(AND($D412="later",$N412&lt;&gt;"",OR(N($N412)&lt;3,N($N412)&gt;5)),"info: later photo outside day 3 to 5; ",""))</f>
        <v/>
      </c>
      <c r="R412" s="25">
        <f>IF($B412="","",$B412&amp;"|"&amp;$C412&amp;"|"&amp;$D412&amp;"|"&amp;$O412)</f>
        <v/>
      </c>
      <c r="S412" s="25">
        <f>IF($B412="","",$R412&amp;"|"&amp;N($E412))</f>
        <v/>
      </c>
    </row>
    <row r="413">
      <c r="E413" s="9" t="n"/>
      <c r="F413" s="33" t="n"/>
      <c r="I413" s="9" t="n"/>
      <c r="M413" s="26">
        <f>IF($B413="","",IFERROR(IF(INDEX(campaigns!$BG$2:$BG$51,MATCH($B413,campaigns!$A$2:$A$51,0))="","",INDEX(campaigns!$BG$2:$BG$51,MATCH($B413,campaigns!$A$2:$A$51,0))),""))</f>
        <v/>
      </c>
      <c r="N413" s="25">
        <f>IF(OR($B413="",$E413="",$M413=""),"",IF($E413&lt;$M413,0,NETWORKDAYS($M413,$E413,calendar!$A$2:$A$80)))</f>
        <v/>
      </c>
      <c r="O413" s="25">
        <f>IF($B413="","",IF(AND($K413="Y",OR($D413="later",$J413="Y")),"Y","N"))</f>
        <v/>
      </c>
      <c r="P413" s="25">
        <f>IF(OR($B413="",$E413=""),"",$B413&amp;"_"&amp;$C413&amp;"_"&amp;$D413&amp;"_"&amp;TEXT($E413,"yyyy-mm-dd")&amp;".jpg")</f>
        <v/>
      </c>
      <c r="Q413" s="25">
        <f>IF($B413="","",IF(COUNTIF(campaigns!$A$2:$A$51,$B413)=0,"campaign_id not on campaigns; ",IF(AND($C413&lt;&gt;"",COUNTIFS(approvals!$A$2:$A$251,$B413,approvals!$B$2:$B$251,$C413)=0),"office not on this campaign (approvals tab); ",""))&amp;IF($E413="","taken date missing; ","")&amp;IF(AND($H413&lt;&gt;"",$H413&lt;&gt;$P413),"file name differs from the convention; ","")&amp;IF(AND($D413="placement",$O413="Y",COUNTIF(photos!$R$2:$R$701,$R413)&gt;1),"two usable placement photos: mark one N; ","")&amp;IF($K413&lt;&gt;"Y","info: not usable (a person, screen or whiteboard may show): never used, delete the file; ","")&amp;IF(AND($D413="placement",$J413&lt;&gt;"Y"),"info: not usable as a placement photo (no card); ","")&amp;IF(AND($D413="placement",N($N413)&gt;2),"info: placed after the first business day; ","")&amp;IF(AND($D413="later",$N413&lt;&gt;"",OR(N($N413)&lt;3,N($N413)&gt;5)),"info: later photo outside day 3 to 5; ",""))</f>
        <v/>
      </c>
      <c r="R413" s="25">
        <f>IF($B413="","",$B413&amp;"|"&amp;$C413&amp;"|"&amp;$D413&amp;"|"&amp;$O413)</f>
        <v/>
      </c>
      <c r="S413" s="25">
        <f>IF($B413="","",$R413&amp;"|"&amp;N($E413))</f>
        <v/>
      </c>
    </row>
    <row r="414">
      <c r="E414" s="9" t="n"/>
      <c r="F414" s="33" t="n"/>
      <c r="I414" s="9" t="n"/>
      <c r="M414" s="26">
        <f>IF($B414="","",IFERROR(IF(INDEX(campaigns!$BG$2:$BG$51,MATCH($B414,campaigns!$A$2:$A$51,0))="","",INDEX(campaigns!$BG$2:$BG$51,MATCH($B414,campaigns!$A$2:$A$51,0))),""))</f>
        <v/>
      </c>
      <c r="N414" s="25">
        <f>IF(OR($B414="",$E414="",$M414=""),"",IF($E414&lt;$M414,0,NETWORKDAYS($M414,$E414,calendar!$A$2:$A$80)))</f>
        <v/>
      </c>
      <c r="O414" s="25">
        <f>IF($B414="","",IF(AND($K414="Y",OR($D414="later",$J414="Y")),"Y","N"))</f>
        <v/>
      </c>
      <c r="P414" s="25">
        <f>IF(OR($B414="",$E414=""),"",$B414&amp;"_"&amp;$C414&amp;"_"&amp;$D414&amp;"_"&amp;TEXT($E414,"yyyy-mm-dd")&amp;".jpg")</f>
        <v/>
      </c>
      <c r="Q414" s="25">
        <f>IF($B414="","",IF(COUNTIF(campaigns!$A$2:$A$51,$B414)=0,"campaign_id not on campaigns; ",IF(AND($C414&lt;&gt;"",COUNTIFS(approvals!$A$2:$A$251,$B414,approvals!$B$2:$B$251,$C414)=0),"office not on this campaign (approvals tab); ",""))&amp;IF($E414="","taken date missing; ","")&amp;IF(AND($H414&lt;&gt;"",$H414&lt;&gt;$P414),"file name differs from the convention; ","")&amp;IF(AND($D414="placement",$O414="Y",COUNTIF(photos!$R$2:$R$701,$R414)&gt;1),"two usable placement photos: mark one N; ","")&amp;IF($K414&lt;&gt;"Y","info: not usable (a person, screen or whiteboard may show): never used, delete the file; ","")&amp;IF(AND($D414="placement",$J414&lt;&gt;"Y"),"info: not usable as a placement photo (no card); ","")&amp;IF(AND($D414="placement",N($N414)&gt;2),"info: placed after the first business day; ","")&amp;IF(AND($D414="later",$N414&lt;&gt;"",OR(N($N414)&lt;3,N($N414)&gt;5)),"info: later photo outside day 3 to 5; ",""))</f>
        <v/>
      </c>
      <c r="R414" s="25">
        <f>IF($B414="","",$B414&amp;"|"&amp;$C414&amp;"|"&amp;$D414&amp;"|"&amp;$O414)</f>
        <v/>
      </c>
      <c r="S414" s="25">
        <f>IF($B414="","",$R414&amp;"|"&amp;N($E414))</f>
        <v/>
      </c>
    </row>
    <row r="415">
      <c r="E415" s="9" t="n"/>
      <c r="F415" s="33" t="n"/>
      <c r="I415" s="9" t="n"/>
      <c r="M415" s="26">
        <f>IF($B415="","",IFERROR(IF(INDEX(campaigns!$BG$2:$BG$51,MATCH($B415,campaigns!$A$2:$A$51,0))="","",INDEX(campaigns!$BG$2:$BG$51,MATCH($B415,campaigns!$A$2:$A$51,0))),""))</f>
        <v/>
      </c>
      <c r="N415" s="25">
        <f>IF(OR($B415="",$E415="",$M415=""),"",IF($E415&lt;$M415,0,NETWORKDAYS($M415,$E415,calendar!$A$2:$A$80)))</f>
        <v/>
      </c>
      <c r="O415" s="25">
        <f>IF($B415="","",IF(AND($K415="Y",OR($D415="later",$J415="Y")),"Y","N"))</f>
        <v/>
      </c>
      <c r="P415" s="25">
        <f>IF(OR($B415="",$E415=""),"",$B415&amp;"_"&amp;$C415&amp;"_"&amp;$D415&amp;"_"&amp;TEXT($E415,"yyyy-mm-dd")&amp;".jpg")</f>
        <v/>
      </c>
      <c r="Q415" s="25">
        <f>IF($B415="","",IF(COUNTIF(campaigns!$A$2:$A$51,$B415)=0,"campaign_id not on campaigns; ",IF(AND($C415&lt;&gt;"",COUNTIFS(approvals!$A$2:$A$251,$B415,approvals!$B$2:$B$251,$C415)=0),"office not on this campaign (approvals tab); ",""))&amp;IF($E415="","taken date missing; ","")&amp;IF(AND($H415&lt;&gt;"",$H415&lt;&gt;$P415),"file name differs from the convention; ","")&amp;IF(AND($D415="placement",$O415="Y",COUNTIF(photos!$R$2:$R$701,$R415)&gt;1),"two usable placement photos: mark one N; ","")&amp;IF($K415&lt;&gt;"Y","info: not usable (a person, screen or whiteboard may show): never used, delete the file; ","")&amp;IF(AND($D415="placement",$J415&lt;&gt;"Y"),"info: not usable as a placement photo (no card); ","")&amp;IF(AND($D415="placement",N($N415)&gt;2),"info: placed after the first business day; ","")&amp;IF(AND($D415="later",$N415&lt;&gt;"",OR(N($N415)&lt;3,N($N415)&gt;5)),"info: later photo outside day 3 to 5; ",""))</f>
        <v/>
      </c>
      <c r="R415" s="25">
        <f>IF($B415="","",$B415&amp;"|"&amp;$C415&amp;"|"&amp;$D415&amp;"|"&amp;$O415)</f>
        <v/>
      </c>
      <c r="S415" s="25">
        <f>IF($B415="","",$R415&amp;"|"&amp;N($E415))</f>
        <v/>
      </c>
    </row>
    <row r="416">
      <c r="E416" s="9" t="n"/>
      <c r="F416" s="33" t="n"/>
      <c r="I416" s="9" t="n"/>
      <c r="M416" s="26">
        <f>IF($B416="","",IFERROR(IF(INDEX(campaigns!$BG$2:$BG$51,MATCH($B416,campaigns!$A$2:$A$51,0))="","",INDEX(campaigns!$BG$2:$BG$51,MATCH($B416,campaigns!$A$2:$A$51,0))),""))</f>
        <v/>
      </c>
      <c r="N416" s="25">
        <f>IF(OR($B416="",$E416="",$M416=""),"",IF($E416&lt;$M416,0,NETWORKDAYS($M416,$E416,calendar!$A$2:$A$80)))</f>
        <v/>
      </c>
      <c r="O416" s="25">
        <f>IF($B416="","",IF(AND($K416="Y",OR($D416="later",$J416="Y")),"Y","N"))</f>
        <v/>
      </c>
      <c r="P416" s="25">
        <f>IF(OR($B416="",$E416=""),"",$B416&amp;"_"&amp;$C416&amp;"_"&amp;$D416&amp;"_"&amp;TEXT($E416,"yyyy-mm-dd")&amp;".jpg")</f>
        <v/>
      </c>
      <c r="Q416" s="25">
        <f>IF($B416="","",IF(COUNTIF(campaigns!$A$2:$A$51,$B416)=0,"campaign_id not on campaigns; ",IF(AND($C416&lt;&gt;"",COUNTIFS(approvals!$A$2:$A$251,$B416,approvals!$B$2:$B$251,$C416)=0),"office not on this campaign (approvals tab); ",""))&amp;IF($E416="","taken date missing; ","")&amp;IF(AND($H416&lt;&gt;"",$H416&lt;&gt;$P416),"file name differs from the convention; ","")&amp;IF(AND($D416="placement",$O416="Y",COUNTIF(photos!$R$2:$R$701,$R416)&gt;1),"two usable placement photos: mark one N; ","")&amp;IF($K416&lt;&gt;"Y","info: not usable (a person, screen or whiteboard may show): never used, delete the file; ","")&amp;IF(AND($D416="placement",$J416&lt;&gt;"Y"),"info: not usable as a placement photo (no card); ","")&amp;IF(AND($D416="placement",N($N416)&gt;2),"info: placed after the first business day; ","")&amp;IF(AND($D416="later",$N416&lt;&gt;"",OR(N($N416)&lt;3,N($N416)&gt;5)),"info: later photo outside day 3 to 5; ",""))</f>
        <v/>
      </c>
      <c r="R416" s="25">
        <f>IF($B416="","",$B416&amp;"|"&amp;$C416&amp;"|"&amp;$D416&amp;"|"&amp;$O416)</f>
        <v/>
      </c>
      <c r="S416" s="25">
        <f>IF($B416="","",$R416&amp;"|"&amp;N($E416))</f>
        <v/>
      </c>
    </row>
    <row r="417">
      <c r="E417" s="9" t="n"/>
      <c r="F417" s="33" t="n"/>
      <c r="I417" s="9" t="n"/>
      <c r="M417" s="26">
        <f>IF($B417="","",IFERROR(IF(INDEX(campaigns!$BG$2:$BG$51,MATCH($B417,campaigns!$A$2:$A$51,0))="","",INDEX(campaigns!$BG$2:$BG$51,MATCH($B417,campaigns!$A$2:$A$51,0))),""))</f>
        <v/>
      </c>
      <c r="N417" s="25">
        <f>IF(OR($B417="",$E417="",$M417=""),"",IF($E417&lt;$M417,0,NETWORKDAYS($M417,$E417,calendar!$A$2:$A$80)))</f>
        <v/>
      </c>
      <c r="O417" s="25">
        <f>IF($B417="","",IF(AND($K417="Y",OR($D417="later",$J417="Y")),"Y","N"))</f>
        <v/>
      </c>
      <c r="P417" s="25">
        <f>IF(OR($B417="",$E417=""),"",$B417&amp;"_"&amp;$C417&amp;"_"&amp;$D417&amp;"_"&amp;TEXT($E417,"yyyy-mm-dd")&amp;".jpg")</f>
        <v/>
      </c>
      <c r="Q417" s="25">
        <f>IF($B417="","",IF(COUNTIF(campaigns!$A$2:$A$51,$B417)=0,"campaign_id not on campaigns; ",IF(AND($C417&lt;&gt;"",COUNTIFS(approvals!$A$2:$A$251,$B417,approvals!$B$2:$B$251,$C417)=0),"office not on this campaign (approvals tab); ",""))&amp;IF($E417="","taken date missing; ","")&amp;IF(AND($H417&lt;&gt;"",$H417&lt;&gt;$P417),"file name differs from the convention; ","")&amp;IF(AND($D417="placement",$O417="Y",COUNTIF(photos!$R$2:$R$701,$R417)&gt;1),"two usable placement photos: mark one N; ","")&amp;IF($K417&lt;&gt;"Y","info: not usable (a person, screen or whiteboard may show): never used, delete the file; ","")&amp;IF(AND($D417="placement",$J417&lt;&gt;"Y"),"info: not usable as a placement photo (no card); ","")&amp;IF(AND($D417="placement",N($N417)&gt;2),"info: placed after the first business day; ","")&amp;IF(AND($D417="later",$N417&lt;&gt;"",OR(N($N417)&lt;3,N($N417)&gt;5)),"info: later photo outside day 3 to 5; ",""))</f>
        <v/>
      </c>
      <c r="R417" s="25">
        <f>IF($B417="","",$B417&amp;"|"&amp;$C417&amp;"|"&amp;$D417&amp;"|"&amp;$O417)</f>
        <v/>
      </c>
      <c r="S417" s="25">
        <f>IF($B417="","",$R417&amp;"|"&amp;N($E417))</f>
        <v/>
      </c>
    </row>
    <row r="418">
      <c r="E418" s="9" t="n"/>
      <c r="F418" s="33" t="n"/>
      <c r="I418" s="9" t="n"/>
      <c r="M418" s="26">
        <f>IF($B418="","",IFERROR(IF(INDEX(campaigns!$BG$2:$BG$51,MATCH($B418,campaigns!$A$2:$A$51,0))="","",INDEX(campaigns!$BG$2:$BG$51,MATCH($B418,campaigns!$A$2:$A$51,0))),""))</f>
        <v/>
      </c>
      <c r="N418" s="25">
        <f>IF(OR($B418="",$E418="",$M418=""),"",IF($E418&lt;$M418,0,NETWORKDAYS($M418,$E418,calendar!$A$2:$A$80)))</f>
        <v/>
      </c>
      <c r="O418" s="25">
        <f>IF($B418="","",IF(AND($K418="Y",OR($D418="later",$J418="Y")),"Y","N"))</f>
        <v/>
      </c>
      <c r="P418" s="25">
        <f>IF(OR($B418="",$E418=""),"",$B418&amp;"_"&amp;$C418&amp;"_"&amp;$D418&amp;"_"&amp;TEXT($E418,"yyyy-mm-dd")&amp;".jpg")</f>
        <v/>
      </c>
      <c r="Q418" s="25">
        <f>IF($B418="","",IF(COUNTIF(campaigns!$A$2:$A$51,$B418)=0,"campaign_id not on campaigns; ",IF(AND($C418&lt;&gt;"",COUNTIFS(approvals!$A$2:$A$251,$B418,approvals!$B$2:$B$251,$C418)=0),"office not on this campaign (approvals tab); ",""))&amp;IF($E418="","taken date missing; ","")&amp;IF(AND($H418&lt;&gt;"",$H418&lt;&gt;$P418),"file name differs from the convention; ","")&amp;IF(AND($D418="placement",$O418="Y",COUNTIF(photos!$R$2:$R$701,$R418)&gt;1),"two usable placement photos: mark one N; ","")&amp;IF($K418&lt;&gt;"Y","info: not usable (a person, screen or whiteboard may show): never used, delete the file; ","")&amp;IF(AND($D418="placement",$J418&lt;&gt;"Y"),"info: not usable as a placement photo (no card); ","")&amp;IF(AND($D418="placement",N($N418)&gt;2),"info: placed after the first business day; ","")&amp;IF(AND($D418="later",$N418&lt;&gt;"",OR(N($N418)&lt;3,N($N418)&gt;5)),"info: later photo outside day 3 to 5; ",""))</f>
        <v/>
      </c>
      <c r="R418" s="25">
        <f>IF($B418="","",$B418&amp;"|"&amp;$C418&amp;"|"&amp;$D418&amp;"|"&amp;$O418)</f>
        <v/>
      </c>
      <c r="S418" s="25">
        <f>IF($B418="","",$R418&amp;"|"&amp;N($E418))</f>
        <v/>
      </c>
    </row>
    <row r="419">
      <c r="E419" s="9" t="n"/>
      <c r="F419" s="33" t="n"/>
      <c r="I419" s="9" t="n"/>
      <c r="M419" s="26">
        <f>IF($B419="","",IFERROR(IF(INDEX(campaigns!$BG$2:$BG$51,MATCH($B419,campaigns!$A$2:$A$51,0))="","",INDEX(campaigns!$BG$2:$BG$51,MATCH($B419,campaigns!$A$2:$A$51,0))),""))</f>
        <v/>
      </c>
      <c r="N419" s="25">
        <f>IF(OR($B419="",$E419="",$M419=""),"",IF($E419&lt;$M419,0,NETWORKDAYS($M419,$E419,calendar!$A$2:$A$80)))</f>
        <v/>
      </c>
      <c r="O419" s="25">
        <f>IF($B419="","",IF(AND($K419="Y",OR($D419="later",$J419="Y")),"Y","N"))</f>
        <v/>
      </c>
      <c r="P419" s="25">
        <f>IF(OR($B419="",$E419=""),"",$B419&amp;"_"&amp;$C419&amp;"_"&amp;$D419&amp;"_"&amp;TEXT($E419,"yyyy-mm-dd")&amp;".jpg")</f>
        <v/>
      </c>
      <c r="Q419" s="25">
        <f>IF($B419="","",IF(COUNTIF(campaigns!$A$2:$A$51,$B419)=0,"campaign_id not on campaigns; ",IF(AND($C419&lt;&gt;"",COUNTIFS(approvals!$A$2:$A$251,$B419,approvals!$B$2:$B$251,$C419)=0),"office not on this campaign (approvals tab); ",""))&amp;IF($E419="","taken date missing; ","")&amp;IF(AND($H419&lt;&gt;"",$H419&lt;&gt;$P419),"file name differs from the convention; ","")&amp;IF(AND($D419="placement",$O419="Y",COUNTIF(photos!$R$2:$R$701,$R419)&gt;1),"two usable placement photos: mark one N; ","")&amp;IF($K419&lt;&gt;"Y","info: not usable (a person, screen or whiteboard may show): never used, delete the file; ","")&amp;IF(AND($D419="placement",$J419&lt;&gt;"Y"),"info: not usable as a placement photo (no card); ","")&amp;IF(AND($D419="placement",N($N419)&gt;2),"info: placed after the first business day; ","")&amp;IF(AND($D419="later",$N419&lt;&gt;"",OR(N($N419)&lt;3,N($N419)&gt;5)),"info: later photo outside day 3 to 5; ",""))</f>
        <v/>
      </c>
      <c r="R419" s="25">
        <f>IF($B419="","",$B419&amp;"|"&amp;$C419&amp;"|"&amp;$D419&amp;"|"&amp;$O419)</f>
        <v/>
      </c>
      <c r="S419" s="25">
        <f>IF($B419="","",$R419&amp;"|"&amp;N($E419))</f>
        <v/>
      </c>
    </row>
    <row r="420">
      <c r="E420" s="9" t="n"/>
      <c r="F420" s="33" t="n"/>
      <c r="I420" s="9" t="n"/>
      <c r="M420" s="26">
        <f>IF($B420="","",IFERROR(IF(INDEX(campaigns!$BG$2:$BG$51,MATCH($B420,campaigns!$A$2:$A$51,0))="","",INDEX(campaigns!$BG$2:$BG$51,MATCH($B420,campaigns!$A$2:$A$51,0))),""))</f>
        <v/>
      </c>
      <c r="N420" s="25">
        <f>IF(OR($B420="",$E420="",$M420=""),"",IF($E420&lt;$M420,0,NETWORKDAYS($M420,$E420,calendar!$A$2:$A$80)))</f>
        <v/>
      </c>
      <c r="O420" s="25">
        <f>IF($B420="","",IF(AND($K420="Y",OR($D420="later",$J420="Y")),"Y","N"))</f>
        <v/>
      </c>
      <c r="P420" s="25">
        <f>IF(OR($B420="",$E420=""),"",$B420&amp;"_"&amp;$C420&amp;"_"&amp;$D420&amp;"_"&amp;TEXT($E420,"yyyy-mm-dd")&amp;".jpg")</f>
        <v/>
      </c>
      <c r="Q420" s="25">
        <f>IF($B420="","",IF(COUNTIF(campaigns!$A$2:$A$51,$B420)=0,"campaign_id not on campaigns; ",IF(AND($C420&lt;&gt;"",COUNTIFS(approvals!$A$2:$A$251,$B420,approvals!$B$2:$B$251,$C420)=0),"office not on this campaign (approvals tab); ",""))&amp;IF($E420="","taken date missing; ","")&amp;IF(AND($H420&lt;&gt;"",$H420&lt;&gt;$P420),"file name differs from the convention; ","")&amp;IF(AND($D420="placement",$O420="Y",COUNTIF(photos!$R$2:$R$701,$R420)&gt;1),"two usable placement photos: mark one N; ","")&amp;IF($K420&lt;&gt;"Y","info: not usable (a person, screen or whiteboard may show): never used, delete the file; ","")&amp;IF(AND($D420="placement",$J420&lt;&gt;"Y"),"info: not usable as a placement photo (no card); ","")&amp;IF(AND($D420="placement",N($N420)&gt;2),"info: placed after the first business day; ","")&amp;IF(AND($D420="later",$N420&lt;&gt;"",OR(N($N420)&lt;3,N($N420)&gt;5)),"info: later photo outside day 3 to 5; ",""))</f>
        <v/>
      </c>
      <c r="R420" s="25">
        <f>IF($B420="","",$B420&amp;"|"&amp;$C420&amp;"|"&amp;$D420&amp;"|"&amp;$O420)</f>
        <v/>
      </c>
      <c r="S420" s="25">
        <f>IF($B420="","",$R420&amp;"|"&amp;N($E420))</f>
        <v/>
      </c>
    </row>
    <row r="421">
      <c r="E421" s="9" t="n"/>
      <c r="F421" s="33" t="n"/>
      <c r="I421" s="9" t="n"/>
      <c r="M421" s="26">
        <f>IF($B421="","",IFERROR(IF(INDEX(campaigns!$BG$2:$BG$51,MATCH($B421,campaigns!$A$2:$A$51,0))="","",INDEX(campaigns!$BG$2:$BG$51,MATCH($B421,campaigns!$A$2:$A$51,0))),""))</f>
        <v/>
      </c>
      <c r="N421" s="25">
        <f>IF(OR($B421="",$E421="",$M421=""),"",IF($E421&lt;$M421,0,NETWORKDAYS($M421,$E421,calendar!$A$2:$A$80)))</f>
        <v/>
      </c>
      <c r="O421" s="25">
        <f>IF($B421="","",IF(AND($K421="Y",OR($D421="later",$J421="Y")),"Y","N"))</f>
        <v/>
      </c>
      <c r="P421" s="25">
        <f>IF(OR($B421="",$E421=""),"",$B421&amp;"_"&amp;$C421&amp;"_"&amp;$D421&amp;"_"&amp;TEXT($E421,"yyyy-mm-dd")&amp;".jpg")</f>
        <v/>
      </c>
      <c r="Q421" s="25">
        <f>IF($B421="","",IF(COUNTIF(campaigns!$A$2:$A$51,$B421)=0,"campaign_id not on campaigns; ",IF(AND($C421&lt;&gt;"",COUNTIFS(approvals!$A$2:$A$251,$B421,approvals!$B$2:$B$251,$C421)=0),"office not on this campaign (approvals tab); ",""))&amp;IF($E421="","taken date missing; ","")&amp;IF(AND($H421&lt;&gt;"",$H421&lt;&gt;$P421),"file name differs from the convention; ","")&amp;IF(AND($D421="placement",$O421="Y",COUNTIF(photos!$R$2:$R$701,$R421)&gt;1),"two usable placement photos: mark one N; ","")&amp;IF($K421&lt;&gt;"Y","info: not usable (a person, screen or whiteboard may show): never used, delete the file; ","")&amp;IF(AND($D421="placement",$J421&lt;&gt;"Y"),"info: not usable as a placement photo (no card); ","")&amp;IF(AND($D421="placement",N($N421)&gt;2),"info: placed after the first business day; ","")&amp;IF(AND($D421="later",$N421&lt;&gt;"",OR(N($N421)&lt;3,N($N421)&gt;5)),"info: later photo outside day 3 to 5; ",""))</f>
        <v/>
      </c>
      <c r="R421" s="25">
        <f>IF($B421="","",$B421&amp;"|"&amp;$C421&amp;"|"&amp;$D421&amp;"|"&amp;$O421)</f>
        <v/>
      </c>
      <c r="S421" s="25">
        <f>IF($B421="","",$R421&amp;"|"&amp;N($E421))</f>
        <v/>
      </c>
    </row>
    <row r="422">
      <c r="E422" s="9" t="n"/>
      <c r="F422" s="33" t="n"/>
      <c r="I422" s="9" t="n"/>
      <c r="M422" s="26">
        <f>IF($B422="","",IFERROR(IF(INDEX(campaigns!$BG$2:$BG$51,MATCH($B422,campaigns!$A$2:$A$51,0))="","",INDEX(campaigns!$BG$2:$BG$51,MATCH($B422,campaigns!$A$2:$A$51,0))),""))</f>
        <v/>
      </c>
      <c r="N422" s="25">
        <f>IF(OR($B422="",$E422="",$M422=""),"",IF($E422&lt;$M422,0,NETWORKDAYS($M422,$E422,calendar!$A$2:$A$80)))</f>
        <v/>
      </c>
      <c r="O422" s="25">
        <f>IF($B422="","",IF(AND($K422="Y",OR($D422="later",$J422="Y")),"Y","N"))</f>
        <v/>
      </c>
      <c r="P422" s="25">
        <f>IF(OR($B422="",$E422=""),"",$B422&amp;"_"&amp;$C422&amp;"_"&amp;$D422&amp;"_"&amp;TEXT($E422,"yyyy-mm-dd")&amp;".jpg")</f>
        <v/>
      </c>
      <c r="Q422" s="25">
        <f>IF($B422="","",IF(COUNTIF(campaigns!$A$2:$A$51,$B422)=0,"campaign_id not on campaigns; ",IF(AND($C422&lt;&gt;"",COUNTIFS(approvals!$A$2:$A$251,$B422,approvals!$B$2:$B$251,$C422)=0),"office not on this campaign (approvals tab); ",""))&amp;IF($E422="","taken date missing; ","")&amp;IF(AND($H422&lt;&gt;"",$H422&lt;&gt;$P422),"file name differs from the convention; ","")&amp;IF(AND($D422="placement",$O422="Y",COUNTIF(photos!$R$2:$R$701,$R422)&gt;1),"two usable placement photos: mark one N; ","")&amp;IF($K422&lt;&gt;"Y","info: not usable (a person, screen or whiteboard may show): never used, delete the file; ","")&amp;IF(AND($D422="placement",$J422&lt;&gt;"Y"),"info: not usable as a placement photo (no card); ","")&amp;IF(AND($D422="placement",N($N422)&gt;2),"info: placed after the first business day; ","")&amp;IF(AND($D422="later",$N422&lt;&gt;"",OR(N($N422)&lt;3,N($N422)&gt;5)),"info: later photo outside day 3 to 5; ",""))</f>
        <v/>
      </c>
      <c r="R422" s="25">
        <f>IF($B422="","",$B422&amp;"|"&amp;$C422&amp;"|"&amp;$D422&amp;"|"&amp;$O422)</f>
        <v/>
      </c>
      <c r="S422" s="25">
        <f>IF($B422="","",$R422&amp;"|"&amp;N($E422))</f>
        <v/>
      </c>
    </row>
    <row r="423">
      <c r="E423" s="9" t="n"/>
      <c r="F423" s="33" t="n"/>
      <c r="I423" s="9" t="n"/>
      <c r="M423" s="26">
        <f>IF($B423="","",IFERROR(IF(INDEX(campaigns!$BG$2:$BG$51,MATCH($B423,campaigns!$A$2:$A$51,0))="","",INDEX(campaigns!$BG$2:$BG$51,MATCH($B423,campaigns!$A$2:$A$51,0))),""))</f>
        <v/>
      </c>
      <c r="N423" s="25">
        <f>IF(OR($B423="",$E423="",$M423=""),"",IF($E423&lt;$M423,0,NETWORKDAYS($M423,$E423,calendar!$A$2:$A$80)))</f>
        <v/>
      </c>
      <c r="O423" s="25">
        <f>IF($B423="","",IF(AND($K423="Y",OR($D423="later",$J423="Y")),"Y","N"))</f>
        <v/>
      </c>
      <c r="P423" s="25">
        <f>IF(OR($B423="",$E423=""),"",$B423&amp;"_"&amp;$C423&amp;"_"&amp;$D423&amp;"_"&amp;TEXT($E423,"yyyy-mm-dd")&amp;".jpg")</f>
        <v/>
      </c>
      <c r="Q423" s="25">
        <f>IF($B423="","",IF(COUNTIF(campaigns!$A$2:$A$51,$B423)=0,"campaign_id not on campaigns; ",IF(AND($C423&lt;&gt;"",COUNTIFS(approvals!$A$2:$A$251,$B423,approvals!$B$2:$B$251,$C423)=0),"office not on this campaign (approvals tab); ",""))&amp;IF($E423="","taken date missing; ","")&amp;IF(AND($H423&lt;&gt;"",$H423&lt;&gt;$P423),"file name differs from the convention; ","")&amp;IF(AND($D423="placement",$O423="Y",COUNTIF(photos!$R$2:$R$701,$R423)&gt;1),"two usable placement photos: mark one N; ","")&amp;IF($K423&lt;&gt;"Y","info: not usable (a person, screen or whiteboard may show): never used, delete the file; ","")&amp;IF(AND($D423="placement",$J423&lt;&gt;"Y"),"info: not usable as a placement photo (no card); ","")&amp;IF(AND($D423="placement",N($N423)&gt;2),"info: placed after the first business day; ","")&amp;IF(AND($D423="later",$N423&lt;&gt;"",OR(N($N423)&lt;3,N($N423)&gt;5)),"info: later photo outside day 3 to 5; ",""))</f>
        <v/>
      </c>
      <c r="R423" s="25">
        <f>IF($B423="","",$B423&amp;"|"&amp;$C423&amp;"|"&amp;$D423&amp;"|"&amp;$O423)</f>
        <v/>
      </c>
      <c r="S423" s="25">
        <f>IF($B423="","",$R423&amp;"|"&amp;N($E423))</f>
        <v/>
      </c>
    </row>
    <row r="424">
      <c r="E424" s="9" t="n"/>
      <c r="F424" s="33" t="n"/>
      <c r="I424" s="9" t="n"/>
      <c r="M424" s="26">
        <f>IF($B424="","",IFERROR(IF(INDEX(campaigns!$BG$2:$BG$51,MATCH($B424,campaigns!$A$2:$A$51,0))="","",INDEX(campaigns!$BG$2:$BG$51,MATCH($B424,campaigns!$A$2:$A$51,0))),""))</f>
        <v/>
      </c>
      <c r="N424" s="25">
        <f>IF(OR($B424="",$E424="",$M424=""),"",IF($E424&lt;$M424,0,NETWORKDAYS($M424,$E424,calendar!$A$2:$A$80)))</f>
        <v/>
      </c>
      <c r="O424" s="25">
        <f>IF($B424="","",IF(AND($K424="Y",OR($D424="later",$J424="Y")),"Y","N"))</f>
        <v/>
      </c>
      <c r="P424" s="25">
        <f>IF(OR($B424="",$E424=""),"",$B424&amp;"_"&amp;$C424&amp;"_"&amp;$D424&amp;"_"&amp;TEXT($E424,"yyyy-mm-dd")&amp;".jpg")</f>
        <v/>
      </c>
      <c r="Q424" s="25">
        <f>IF($B424="","",IF(COUNTIF(campaigns!$A$2:$A$51,$B424)=0,"campaign_id not on campaigns; ",IF(AND($C424&lt;&gt;"",COUNTIFS(approvals!$A$2:$A$251,$B424,approvals!$B$2:$B$251,$C424)=0),"office not on this campaign (approvals tab); ",""))&amp;IF($E424="","taken date missing; ","")&amp;IF(AND($H424&lt;&gt;"",$H424&lt;&gt;$P424),"file name differs from the convention; ","")&amp;IF(AND($D424="placement",$O424="Y",COUNTIF(photos!$R$2:$R$701,$R424)&gt;1),"two usable placement photos: mark one N; ","")&amp;IF($K424&lt;&gt;"Y","info: not usable (a person, screen or whiteboard may show): never used, delete the file; ","")&amp;IF(AND($D424="placement",$J424&lt;&gt;"Y"),"info: not usable as a placement photo (no card); ","")&amp;IF(AND($D424="placement",N($N424)&gt;2),"info: placed after the first business day; ","")&amp;IF(AND($D424="later",$N424&lt;&gt;"",OR(N($N424)&lt;3,N($N424)&gt;5)),"info: later photo outside day 3 to 5; ",""))</f>
        <v/>
      </c>
      <c r="R424" s="25">
        <f>IF($B424="","",$B424&amp;"|"&amp;$C424&amp;"|"&amp;$D424&amp;"|"&amp;$O424)</f>
        <v/>
      </c>
      <c r="S424" s="25">
        <f>IF($B424="","",$R424&amp;"|"&amp;N($E424))</f>
        <v/>
      </c>
    </row>
    <row r="425">
      <c r="E425" s="9" t="n"/>
      <c r="F425" s="33" t="n"/>
      <c r="I425" s="9" t="n"/>
      <c r="M425" s="26">
        <f>IF($B425="","",IFERROR(IF(INDEX(campaigns!$BG$2:$BG$51,MATCH($B425,campaigns!$A$2:$A$51,0))="","",INDEX(campaigns!$BG$2:$BG$51,MATCH($B425,campaigns!$A$2:$A$51,0))),""))</f>
        <v/>
      </c>
      <c r="N425" s="25">
        <f>IF(OR($B425="",$E425="",$M425=""),"",IF($E425&lt;$M425,0,NETWORKDAYS($M425,$E425,calendar!$A$2:$A$80)))</f>
        <v/>
      </c>
      <c r="O425" s="25">
        <f>IF($B425="","",IF(AND($K425="Y",OR($D425="later",$J425="Y")),"Y","N"))</f>
        <v/>
      </c>
      <c r="P425" s="25">
        <f>IF(OR($B425="",$E425=""),"",$B425&amp;"_"&amp;$C425&amp;"_"&amp;$D425&amp;"_"&amp;TEXT($E425,"yyyy-mm-dd")&amp;".jpg")</f>
        <v/>
      </c>
      <c r="Q425" s="25">
        <f>IF($B425="","",IF(COUNTIF(campaigns!$A$2:$A$51,$B425)=0,"campaign_id not on campaigns; ",IF(AND($C425&lt;&gt;"",COUNTIFS(approvals!$A$2:$A$251,$B425,approvals!$B$2:$B$251,$C425)=0),"office not on this campaign (approvals tab); ",""))&amp;IF($E425="","taken date missing; ","")&amp;IF(AND($H425&lt;&gt;"",$H425&lt;&gt;$P425),"file name differs from the convention; ","")&amp;IF(AND($D425="placement",$O425="Y",COUNTIF(photos!$R$2:$R$701,$R425)&gt;1),"two usable placement photos: mark one N; ","")&amp;IF($K425&lt;&gt;"Y","info: not usable (a person, screen or whiteboard may show): never used, delete the file; ","")&amp;IF(AND($D425="placement",$J425&lt;&gt;"Y"),"info: not usable as a placement photo (no card); ","")&amp;IF(AND($D425="placement",N($N425)&gt;2),"info: placed after the first business day; ","")&amp;IF(AND($D425="later",$N425&lt;&gt;"",OR(N($N425)&lt;3,N($N425)&gt;5)),"info: later photo outside day 3 to 5; ",""))</f>
        <v/>
      </c>
      <c r="R425" s="25">
        <f>IF($B425="","",$B425&amp;"|"&amp;$C425&amp;"|"&amp;$D425&amp;"|"&amp;$O425)</f>
        <v/>
      </c>
      <c r="S425" s="25">
        <f>IF($B425="","",$R425&amp;"|"&amp;N($E425))</f>
        <v/>
      </c>
    </row>
    <row r="426">
      <c r="E426" s="9" t="n"/>
      <c r="F426" s="33" t="n"/>
      <c r="I426" s="9" t="n"/>
      <c r="M426" s="26">
        <f>IF($B426="","",IFERROR(IF(INDEX(campaigns!$BG$2:$BG$51,MATCH($B426,campaigns!$A$2:$A$51,0))="","",INDEX(campaigns!$BG$2:$BG$51,MATCH($B426,campaigns!$A$2:$A$51,0))),""))</f>
        <v/>
      </c>
      <c r="N426" s="25">
        <f>IF(OR($B426="",$E426="",$M426=""),"",IF($E426&lt;$M426,0,NETWORKDAYS($M426,$E426,calendar!$A$2:$A$80)))</f>
        <v/>
      </c>
      <c r="O426" s="25">
        <f>IF($B426="","",IF(AND($K426="Y",OR($D426="later",$J426="Y")),"Y","N"))</f>
        <v/>
      </c>
      <c r="P426" s="25">
        <f>IF(OR($B426="",$E426=""),"",$B426&amp;"_"&amp;$C426&amp;"_"&amp;$D426&amp;"_"&amp;TEXT($E426,"yyyy-mm-dd")&amp;".jpg")</f>
        <v/>
      </c>
      <c r="Q426" s="25">
        <f>IF($B426="","",IF(COUNTIF(campaigns!$A$2:$A$51,$B426)=0,"campaign_id not on campaigns; ",IF(AND($C426&lt;&gt;"",COUNTIFS(approvals!$A$2:$A$251,$B426,approvals!$B$2:$B$251,$C426)=0),"office not on this campaign (approvals tab); ",""))&amp;IF($E426="","taken date missing; ","")&amp;IF(AND($H426&lt;&gt;"",$H426&lt;&gt;$P426),"file name differs from the convention; ","")&amp;IF(AND($D426="placement",$O426="Y",COUNTIF(photos!$R$2:$R$701,$R426)&gt;1),"two usable placement photos: mark one N; ","")&amp;IF($K426&lt;&gt;"Y","info: not usable (a person, screen or whiteboard may show): never used, delete the file; ","")&amp;IF(AND($D426="placement",$J426&lt;&gt;"Y"),"info: not usable as a placement photo (no card); ","")&amp;IF(AND($D426="placement",N($N426)&gt;2),"info: placed after the first business day; ","")&amp;IF(AND($D426="later",$N426&lt;&gt;"",OR(N($N426)&lt;3,N($N426)&gt;5)),"info: later photo outside day 3 to 5; ",""))</f>
        <v/>
      </c>
      <c r="R426" s="25">
        <f>IF($B426="","",$B426&amp;"|"&amp;$C426&amp;"|"&amp;$D426&amp;"|"&amp;$O426)</f>
        <v/>
      </c>
      <c r="S426" s="25">
        <f>IF($B426="","",$R426&amp;"|"&amp;N($E426))</f>
        <v/>
      </c>
    </row>
    <row r="427">
      <c r="E427" s="9" t="n"/>
      <c r="F427" s="33" t="n"/>
      <c r="I427" s="9" t="n"/>
      <c r="M427" s="26">
        <f>IF($B427="","",IFERROR(IF(INDEX(campaigns!$BG$2:$BG$51,MATCH($B427,campaigns!$A$2:$A$51,0))="","",INDEX(campaigns!$BG$2:$BG$51,MATCH($B427,campaigns!$A$2:$A$51,0))),""))</f>
        <v/>
      </c>
      <c r="N427" s="25">
        <f>IF(OR($B427="",$E427="",$M427=""),"",IF($E427&lt;$M427,0,NETWORKDAYS($M427,$E427,calendar!$A$2:$A$80)))</f>
        <v/>
      </c>
      <c r="O427" s="25">
        <f>IF($B427="","",IF(AND($K427="Y",OR($D427="later",$J427="Y")),"Y","N"))</f>
        <v/>
      </c>
      <c r="P427" s="25">
        <f>IF(OR($B427="",$E427=""),"",$B427&amp;"_"&amp;$C427&amp;"_"&amp;$D427&amp;"_"&amp;TEXT($E427,"yyyy-mm-dd")&amp;".jpg")</f>
        <v/>
      </c>
      <c r="Q427" s="25">
        <f>IF($B427="","",IF(COUNTIF(campaigns!$A$2:$A$51,$B427)=0,"campaign_id not on campaigns; ",IF(AND($C427&lt;&gt;"",COUNTIFS(approvals!$A$2:$A$251,$B427,approvals!$B$2:$B$251,$C427)=0),"office not on this campaign (approvals tab); ",""))&amp;IF($E427="","taken date missing; ","")&amp;IF(AND($H427&lt;&gt;"",$H427&lt;&gt;$P427),"file name differs from the convention; ","")&amp;IF(AND($D427="placement",$O427="Y",COUNTIF(photos!$R$2:$R$701,$R427)&gt;1),"two usable placement photos: mark one N; ","")&amp;IF($K427&lt;&gt;"Y","info: not usable (a person, screen or whiteboard may show): never used, delete the file; ","")&amp;IF(AND($D427="placement",$J427&lt;&gt;"Y"),"info: not usable as a placement photo (no card); ","")&amp;IF(AND($D427="placement",N($N427)&gt;2),"info: placed after the first business day; ","")&amp;IF(AND($D427="later",$N427&lt;&gt;"",OR(N($N427)&lt;3,N($N427)&gt;5)),"info: later photo outside day 3 to 5; ",""))</f>
        <v/>
      </c>
      <c r="R427" s="25">
        <f>IF($B427="","",$B427&amp;"|"&amp;$C427&amp;"|"&amp;$D427&amp;"|"&amp;$O427)</f>
        <v/>
      </c>
      <c r="S427" s="25">
        <f>IF($B427="","",$R427&amp;"|"&amp;N($E427))</f>
        <v/>
      </c>
    </row>
    <row r="428">
      <c r="E428" s="9" t="n"/>
      <c r="F428" s="33" t="n"/>
      <c r="I428" s="9" t="n"/>
      <c r="M428" s="26">
        <f>IF($B428="","",IFERROR(IF(INDEX(campaigns!$BG$2:$BG$51,MATCH($B428,campaigns!$A$2:$A$51,0))="","",INDEX(campaigns!$BG$2:$BG$51,MATCH($B428,campaigns!$A$2:$A$51,0))),""))</f>
        <v/>
      </c>
      <c r="N428" s="25">
        <f>IF(OR($B428="",$E428="",$M428=""),"",IF($E428&lt;$M428,0,NETWORKDAYS($M428,$E428,calendar!$A$2:$A$80)))</f>
        <v/>
      </c>
      <c r="O428" s="25">
        <f>IF($B428="","",IF(AND($K428="Y",OR($D428="later",$J428="Y")),"Y","N"))</f>
        <v/>
      </c>
      <c r="P428" s="25">
        <f>IF(OR($B428="",$E428=""),"",$B428&amp;"_"&amp;$C428&amp;"_"&amp;$D428&amp;"_"&amp;TEXT($E428,"yyyy-mm-dd")&amp;".jpg")</f>
        <v/>
      </c>
      <c r="Q428" s="25">
        <f>IF($B428="","",IF(COUNTIF(campaigns!$A$2:$A$51,$B428)=0,"campaign_id not on campaigns; ",IF(AND($C428&lt;&gt;"",COUNTIFS(approvals!$A$2:$A$251,$B428,approvals!$B$2:$B$251,$C428)=0),"office not on this campaign (approvals tab); ",""))&amp;IF($E428="","taken date missing; ","")&amp;IF(AND($H428&lt;&gt;"",$H428&lt;&gt;$P428),"file name differs from the convention; ","")&amp;IF(AND($D428="placement",$O428="Y",COUNTIF(photos!$R$2:$R$701,$R428)&gt;1),"two usable placement photos: mark one N; ","")&amp;IF($K428&lt;&gt;"Y","info: not usable (a person, screen or whiteboard may show): never used, delete the file; ","")&amp;IF(AND($D428="placement",$J428&lt;&gt;"Y"),"info: not usable as a placement photo (no card); ","")&amp;IF(AND($D428="placement",N($N428)&gt;2),"info: placed after the first business day; ","")&amp;IF(AND($D428="later",$N428&lt;&gt;"",OR(N($N428)&lt;3,N($N428)&gt;5)),"info: later photo outside day 3 to 5; ",""))</f>
        <v/>
      </c>
      <c r="R428" s="25">
        <f>IF($B428="","",$B428&amp;"|"&amp;$C428&amp;"|"&amp;$D428&amp;"|"&amp;$O428)</f>
        <v/>
      </c>
      <c r="S428" s="25">
        <f>IF($B428="","",$R428&amp;"|"&amp;N($E428))</f>
        <v/>
      </c>
    </row>
    <row r="429">
      <c r="E429" s="9" t="n"/>
      <c r="F429" s="33" t="n"/>
      <c r="I429" s="9" t="n"/>
      <c r="M429" s="26">
        <f>IF($B429="","",IFERROR(IF(INDEX(campaigns!$BG$2:$BG$51,MATCH($B429,campaigns!$A$2:$A$51,0))="","",INDEX(campaigns!$BG$2:$BG$51,MATCH($B429,campaigns!$A$2:$A$51,0))),""))</f>
        <v/>
      </c>
      <c r="N429" s="25">
        <f>IF(OR($B429="",$E429="",$M429=""),"",IF($E429&lt;$M429,0,NETWORKDAYS($M429,$E429,calendar!$A$2:$A$80)))</f>
        <v/>
      </c>
      <c r="O429" s="25">
        <f>IF($B429="","",IF(AND($K429="Y",OR($D429="later",$J429="Y")),"Y","N"))</f>
        <v/>
      </c>
      <c r="P429" s="25">
        <f>IF(OR($B429="",$E429=""),"",$B429&amp;"_"&amp;$C429&amp;"_"&amp;$D429&amp;"_"&amp;TEXT($E429,"yyyy-mm-dd")&amp;".jpg")</f>
        <v/>
      </c>
      <c r="Q429" s="25">
        <f>IF($B429="","",IF(COUNTIF(campaigns!$A$2:$A$51,$B429)=0,"campaign_id not on campaigns; ",IF(AND($C429&lt;&gt;"",COUNTIFS(approvals!$A$2:$A$251,$B429,approvals!$B$2:$B$251,$C429)=0),"office not on this campaign (approvals tab); ",""))&amp;IF($E429="","taken date missing; ","")&amp;IF(AND($H429&lt;&gt;"",$H429&lt;&gt;$P429),"file name differs from the convention; ","")&amp;IF(AND($D429="placement",$O429="Y",COUNTIF(photos!$R$2:$R$701,$R429)&gt;1),"two usable placement photos: mark one N; ","")&amp;IF($K429&lt;&gt;"Y","info: not usable (a person, screen or whiteboard may show): never used, delete the file; ","")&amp;IF(AND($D429="placement",$J429&lt;&gt;"Y"),"info: not usable as a placement photo (no card); ","")&amp;IF(AND($D429="placement",N($N429)&gt;2),"info: placed after the first business day; ","")&amp;IF(AND($D429="later",$N429&lt;&gt;"",OR(N($N429)&lt;3,N($N429)&gt;5)),"info: later photo outside day 3 to 5; ",""))</f>
        <v/>
      </c>
      <c r="R429" s="25">
        <f>IF($B429="","",$B429&amp;"|"&amp;$C429&amp;"|"&amp;$D429&amp;"|"&amp;$O429)</f>
        <v/>
      </c>
      <c r="S429" s="25">
        <f>IF($B429="","",$R429&amp;"|"&amp;N($E429))</f>
        <v/>
      </c>
    </row>
    <row r="430">
      <c r="E430" s="9" t="n"/>
      <c r="F430" s="33" t="n"/>
      <c r="I430" s="9" t="n"/>
      <c r="M430" s="26">
        <f>IF($B430="","",IFERROR(IF(INDEX(campaigns!$BG$2:$BG$51,MATCH($B430,campaigns!$A$2:$A$51,0))="","",INDEX(campaigns!$BG$2:$BG$51,MATCH($B430,campaigns!$A$2:$A$51,0))),""))</f>
        <v/>
      </c>
      <c r="N430" s="25">
        <f>IF(OR($B430="",$E430="",$M430=""),"",IF($E430&lt;$M430,0,NETWORKDAYS($M430,$E430,calendar!$A$2:$A$80)))</f>
        <v/>
      </c>
      <c r="O430" s="25">
        <f>IF($B430="","",IF(AND($K430="Y",OR($D430="later",$J430="Y")),"Y","N"))</f>
        <v/>
      </c>
      <c r="P430" s="25">
        <f>IF(OR($B430="",$E430=""),"",$B430&amp;"_"&amp;$C430&amp;"_"&amp;$D430&amp;"_"&amp;TEXT($E430,"yyyy-mm-dd")&amp;".jpg")</f>
        <v/>
      </c>
      <c r="Q430" s="25">
        <f>IF($B430="","",IF(COUNTIF(campaigns!$A$2:$A$51,$B430)=0,"campaign_id not on campaigns; ",IF(AND($C430&lt;&gt;"",COUNTIFS(approvals!$A$2:$A$251,$B430,approvals!$B$2:$B$251,$C430)=0),"office not on this campaign (approvals tab); ",""))&amp;IF($E430="","taken date missing; ","")&amp;IF(AND($H430&lt;&gt;"",$H430&lt;&gt;$P430),"file name differs from the convention; ","")&amp;IF(AND($D430="placement",$O430="Y",COUNTIF(photos!$R$2:$R$701,$R430)&gt;1),"two usable placement photos: mark one N; ","")&amp;IF($K430&lt;&gt;"Y","info: not usable (a person, screen or whiteboard may show): never used, delete the file; ","")&amp;IF(AND($D430="placement",$J430&lt;&gt;"Y"),"info: not usable as a placement photo (no card); ","")&amp;IF(AND($D430="placement",N($N430)&gt;2),"info: placed after the first business day; ","")&amp;IF(AND($D430="later",$N430&lt;&gt;"",OR(N($N430)&lt;3,N($N430)&gt;5)),"info: later photo outside day 3 to 5; ",""))</f>
        <v/>
      </c>
      <c r="R430" s="25">
        <f>IF($B430="","",$B430&amp;"|"&amp;$C430&amp;"|"&amp;$D430&amp;"|"&amp;$O430)</f>
        <v/>
      </c>
      <c r="S430" s="25">
        <f>IF($B430="","",$R430&amp;"|"&amp;N($E430))</f>
        <v/>
      </c>
    </row>
    <row r="431">
      <c r="E431" s="9" t="n"/>
      <c r="F431" s="33" t="n"/>
      <c r="I431" s="9" t="n"/>
      <c r="M431" s="26">
        <f>IF($B431="","",IFERROR(IF(INDEX(campaigns!$BG$2:$BG$51,MATCH($B431,campaigns!$A$2:$A$51,0))="","",INDEX(campaigns!$BG$2:$BG$51,MATCH($B431,campaigns!$A$2:$A$51,0))),""))</f>
        <v/>
      </c>
      <c r="N431" s="25">
        <f>IF(OR($B431="",$E431="",$M431=""),"",IF($E431&lt;$M431,0,NETWORKDAYS($M431,$E431,calendar!$A$2:$A$80)))</f>
        <v/>
      </c>
      <c r="O431" s="25">
        <f>IF($B431="","",IF(AND($K431="Y",OR($D431="later",$J431="Y")),"Y","N"))</f>
        <v/>
      </c>
      <c r="P431" s="25">
        <f>IF(OR($B431="",$E431=""),"",$B431&amp;"_"&amp;$C431&amp;"_"&amp;$D431&amp;"_"&amp;TEXT($E431,"yyyy-mm-dd")&amp;".jpg")</f>
        <v/>
      </c>
      <c r="Q431" s="25">
        <f>IF($B431="","",IF(COUNTIF(campaigns!$A$2:$A$51,$B431)=0,"campaign_id not on campaigns; ",IF(AND($C431&lt;&gt;"",COUNTIFS(approvals!$A$2:$A$251,$B431,approvals!$B$2:$B$251,$C431)=0),"office not on this campaign (approvals tab); ",""))&amp;IF($E431="","taken date missing; ","")&amp;IF(AND($H431&lt;&gt;"",$H431&lt;&gt;$P431),"file name differs from the convention; ","")&amp;IF(AND($D431="placement",$O431="Y",COUNTIF(photos!$R$2:$R$701,$R431)&gt;1),"two usable placement photos: mark one N; ","")&amp;IF($K431&lt;&gt;"Y","info: not usable (a person, screen or whiteboard may show): never used, delete the file; ","")&amp;IF(AND($D431="placement",$J431&lt;&gt;"Y"),"info: not usable as a placement photo (no card); ","")&amp;IF(AND($D431="placement",N($N431)&gt;2),"info: placed after the first business day; ","")&amp;IF(AND($D431="later",$N431&lt;&gt;"",OR(N($N431)&lt;3,N($N431)&gt;5)),"info: later photo outside day 3 to 5; ",""))</f>
        <v/>
      </c>
      <c r="R431" s="25">
        <f>IF($B431="","",$B431&amp;"|"&amp;$C431&amp;"|"&amp;$D431&amp;"|"&amp;$O431)</f>
        <v/>
      </c>
      <c r="S431" s="25">
        <f>IF($B431="","",$R431&amp;"|"&amp;N($E431))</f>
        <v/>
      </c>
    </row>
    <row r="432">
      <c r="E432" s="9" t="n"/>
      <c r="F432" s="33" t="n"/>
      <c r="I432" s="9" t="n"/>
      <c r="M432" s="26">
        <f>IF($B432="","",IFERROR(IF(INDEX(campaigns!$BG$2:$BG$51,MATCH($B432,campaigns!$A$2:$A$51,0))="","",INDEX(campaigns!$BG$2:$BG$51,MATCH($B432,campaigns!$A$2:$A$51,0))),""))</f>
        <v/>
      </c>
      <c r="N432" s="25">
        <f>IF(OR($B432="",$E432="",$M432=""),"",IF($E432&lt;$M432,0,NETWORKDAYS($M432,$E432,calendar!$A$2:$A$80)))</f>
        <v/>
      </c>
      <c r="O432" s="25">
        <f>IF($B432="","",IF(AND($K432="Y",OR($D432="later",$J432="Y")),"Y","N"))</f>
        <v/>
      </c>
      <c r="P432" s="25">
        <f>IF(OR($B432="",$E432=""),"",$B432&amp;"_"&amp;$C432&amp;"_"&amp;$D432&amp;"_"&amp;TEXT($E432,"yyyy-mm-dd")&amp;".jpg")</f>
        <v/>
      </c>
      <c r="Q432" s="25">
        <f>IF($B432="","",IF(COUNTIF(campaigns!$A$2:$A$51,$B432)=0,"campaign_id not on campaigns; ",IF(AND($C432&lt;&gt;"",COUNTIFS(approvals!$A$2:$A$251,$B432,approvals!$B$2:$B$251,$C432)=0),"office not on this campaign (approvals tab); ",""))&amp;IF($E432="","taken date missing; ","")&amp;IF(AND($H432&lt;&gt;"",$H432&lt;&gt;$P432),"file name differs from the convention; ","")&amp;IF(AND($D432="placement",$O432="Y",COUNTIF(photos!$R$2:$R$701,$R432)&gt;1),"two usable placement photos: mark one N; ","")&amp;IF($K432&lt;&gt;"Y","info: not usable (a person, screen or whiteboard may show): never used, delete the file; ","")&amp;IF(AND($D432="placement",$J432&lt;&gt;"Y"),"info: not usable as a placement photo (no card); ","")&amp;IF(AND($D432="placement",N($N432)&gt;2),"info: placed after the first business day; ","")&amp;IF(AND($D432="later",$N432&lt;&gt;"",OR(N($N432)&lt;3,N($N432)&gt;5)),"info: later photo outside day 3 to 5; ",""))</f>
        <v/>
      </c>
      <c r="R432" s="25">
        <f>IF($B432="","",$B432&amp;"|"&amp;$C432&amp;"|"&amp;$D432&amp;"|"&amp;$O432)</f>
        <v/>
      </c>
      <c r="S432" s="25">
        <f>IF($B432="","",$R432&amp;"|"&amp;N($E432))</f>
        <v/>
      </c>
    </row>
    <row r="433">
      <c r="E433" s="9" t="n"/>
      <c r="F433" s="33" t="n"/>
      <c r="I433" s="9" t="n"/>
      <c r="M433" s="26">
        <f>IF($B433="","",IFERROR(IF(INDEX(campaigns!$BG$2:$BG$51,MATCH($B433,campaigns!$A$2:$A$51,0))="","",INDEX(campaigns!$BG$2:$BG$51,MATCH($B433,campaigns!$A$2:$A$51,0))),""))</f>
        <v/>
      </c>
      <c r="N433" s="25">
        <f>IF(OR($B433="",$E433="",$M433=""),"",IF($E433&lt;$M433,0,NETWORKDAYS($M433,$E433,calendar!$A$2:$A$80)))</f>
        <v/>
      </c>
      <c r="O433" s="25">
        <f>IF($B433="","",IF(AND($K433="Y",OR($D433="later",$J433="Y")),"Y","N"))</f>
        <v/>
      </c>
      <c r="P433" s="25">
        <f>IF(OR($B433="",$E433=""),"",$B433&amp;"_"&amp;$C433&amp;"_"&amp;$D433&amp;"_"&amp;TEXT($E433,"yyyy-mm-dd")&amp;".jpg")</f>
        <v/>
      </c>
      <c r="Q433" s="25">
        <f>IF($B433="","",IF(COUNTIF(campaigns!$A$2:$A$51,$B433)=0,"campaign_id not on campaigns; ",IF(AND($C433&lt;&gt;"",COUNTIFS(approvals!$A$2:$A$251,$B433,approvals!$B$2:$B$251,$C433)=0),"office not on this campaign (approvals tab); ",""))&amp;IF($E433="","taken date missing; ","")&amp;IF(AND($H433&lt;&gt;"",$H433&lt;&gt;$P433),"file name differs from the convention; ","")&amp;IF(AND($D433="placement",$O433="Y",COUNTIF(photos!$R$2:$R$701,$R433)&gt;1),"two usable placement photos: mark one N; ","")&amp;IF($K433&lt;&gt;"Y","info: not usable (a person, screen or whiteboard may show): never used, delete the file; ","")&amp;IF(AND($D433="placement",$J433&lt;&gt;"Y"),"info: not usable as a placement photo (no card); ","")&amp;IF(AND($D433="placement",N($N433)&gt;2),"info: placed after the first business day; ","")&amp;IF(AND($D433="later",$N433&lt;&gt;"",OR(N($N433)&lt;3,N($N433)&gt;5)),"info: later photo outside day 3 to 5; ",""))</f>
        <v/>
      </c>
      <c r="R433" s="25">
        <f>IF($B433="","",$B433&amp;"|"&amp;$C433&amp;"|"&amp;$D433&amp;"|"&amp;$O433)</f>
        <v/>
      </c>
      <c r="S433" s="25">
        <f>IF($B433="","",$R433&amp;"|"&amp;N($E433))</f>
        <v/>
      </c>
    </row>
    <row r="434">
      <c r="E434" s="9" t="n"/>
      <c r="F434" s="33" t="n"/>
      <c r="I434" s="9" t="n"/>
      <c r="M434" s="26">
        <f>IF($B434="","",IFERROR(IF(INDEX(campaigns!$BG$2:$BG$51,MATCH($B434,campaigns!$A$2:$A$51,0))="","",INDEX(campaigns!$BG$2:$BG$51,MATCH($B434,campaigns!$A$2:$A$51,0))),""))</f>
        <v/>
      </c>
      <c r="N434" s="25">
        <f>IF(OR($B434="",$E434="",$M434=""),"",IF($E434&lt;$M434,0,NETWORKDAYS($M434,$E434,calendar!$A$2:$A$80)))</f>
        <v/>
      </c>
      <c r="O434" s="25">
        <f>IF($B434="","",IF(AND($K434="Y",OR($D434="later",$J434="Y")),"Y","N"))</f>
        <v/>
      </c>
      <c r="P434" s="25">
        <f>IF(OR($B434="",$E434=""),"",$B434&amp;"_"&amp;$C434&amp;"_"&amp;$D434&amp;"_"&amp;TEXT($E434,"yyyy-mm-dd")&amp;".jpg")</f>
        <v/>
      </c>
      <c r="Q434" s="25">
        <f>IF($B434="","",IF(COUNTIF(campaigns!$A$2:$A$51,$B434)=0,"campaign_id not on campaigns; ",IF(AND($C434&lt;&gt;"",COUNTIFS(approvals!$A$2:$A$251,$B434,approvals!$B$2:$B$251,$C434)=0),"office not on this campaign (approvals tab); ",""))&amp;IF($E434="","taken date missing; ","")&amp;IF(AND($H434&lt;&gt;"",$H434&lt;&gt;$P434),"file name differs from the convention; ","")&amp;IF(AND($D434="placement",$O434="Y",COUNTIF(photos!$R$2:$R$701,$R434)&gt;1),"two usable placement photos: mark one N; ","")&amp;IF($K434&lt;&gt;"Y","info: not usable (a person, screen or whiteboard may show): never used, delete the file; ","")&amp;IF(AND($D434="placement",$J434&lt;&gt;"Y"),"info: not usable as a placement photo (no card); ","")&amp;IF(AND($D434="placement",N($N434)&gt;2),"info: placed after the first business day; ","")&amp;IF(AND($D434="later",$N434&lt;&gt;"",OR(N($N434)&lt;3,N($N434)&gt;5)),"info: later photo outside day 3 to 5; ",""))</f>
        <v/>
      </c>
      <c r="R434" s="25">
        <f>IF($B434="","",$B434&amp;"|"&amp;$C434&amp;"|"&amp;$D434&amp;"|"&amp;$O434)</f>
        <v/>
      </c>
      <c r="S434" s="25">
        <f>IF($B434="","",$R434&amp;"|"&amp;N($E434))</f>
        <v/>
      </c>
    </row>
    <row r="435">
      <c r="E435" s="9" t="n"/>
      <c r="F435" s="33" t="n"/>
      <c r="I435" s="9" t="n"/>
      <c r="M435" s="26">
        <f>IF($B435="","",IFERROR(IF(INDEX(campaigns!$BG$2:$BG$51,MATCH($B435,campaigns!$A$2:$A$51,0))="","",INDEX(campaigns!$BG$2:$BG$51,MATCH($B435,campaigns!$A$2:$A$51,0))),""))</f>
        <v/>
      </c>
      <c r="N435" s="25">
        <f>IF(OR($B435="",$E435="",$M435=""),"",IF($E435&lt;$M435,0,NETWORKDAYS($M435,$E435,calendar!$A$2:$A$80)))</f>
        <v/>
      </c>
      <c r="O435" s="25">
        <f>IF($B435="","",IF(AND($K435="Y",OR($D435="later",$J435="Y")),"Y","N"))</f>
        <v/>
      </c>
      <c r="P435" s="25">
        <f>IF(OR($B435="",$E435=""),"",$B435&amp;"_"&amp;$C435&amp;"_"&amp;$D435&amp;"_"&amp;TEXT($E435,"yyyy-mm-dd")&amp;".jpg")</f>
        <v/>
      </c>
      <c r="Q435" s="25">
        <f>IF($B435="","",IF(COUNTIF(campaigns!$A$2:$A$51,$B435)=0,"campaign_id not on campaigns; ",IF(AND($C435&lt;&gt;"",COUNTIFS(approvals!$A$2:$A$251,$B435,approvals!$B$2:$B$251,$C435)=0),"office not on this campaign (approvals tab); ",""))&amp;IF($E435="","taken date missing; ","")&amp;IF(AND($H435&lt;&gt;"",$H435&lt;&gt;$P435),"file name differs from the convention; ","")&amp;IF(AND($D435="placement",$O435="Y",COUNTIF(photos!$R$2:$R$701,$R435)&gt;1),"two usable placement photos: mark one N; ","")&amp;IF($K435&lt;&gt;"Y","info: not usable (a person, screen or whiteboard may show): never used, delete the file; ","")&amp;IF(AND($D435="placement",$J435&lt;&gt;"Y"),"info: not usable as a placement photo (no card); ","")&amp;IF(AND($D435="placement",N($N435)&gt;2),"info: placed after the first business day; ","")&amp;IF(AND($D435="later",$N435&lt;&gt;"",OR(N($N435)&lt;3,N($N435)&gt;5)),"info: later photo outside day 3 to 5; ",""))</f>
        <v/>
      </c>
      <c r="R435" s="25">
        <f>IF($B435="","",$B435&amp;"|"&amp;$C435&amp;"|"&amp;$D435&amp;"|"&amp;$O435)</f>
        <v/>
      </c>
      <c r="S435" s="25">
        <f>IF($B435="","",$R435&amp;"|"&amp;N($E435))</f>
        <v/>
      </c>
    </row>
    <row r="436">
      <c r="E436" s="9" t="n"/>
      <c r="F436" s="33" t="n"/>
      <c r="I436" s="9" t="n"/>
      <c r="M436" s="26">
        <f>IF($B436="","",IFERROR(IF(INDEX(campaigns!$BG$2:$BG$51,MATCH($B436,campaigns!$A$2:$A$51,0))="","",INDEX(campaigns!$BG$2:$BG$51,MATCH($B436,campaigns!$A$2:$A$51,0))),""))</f>
        <v/>
      </c>
      <c r="N436" s="25">
        <f>IF(OR($B436="",$E436="",$M436=""),"",IF($E436&lt;$M436,0,NETWORKDAYS($M436,$E436,calendar!$A$2:$A$80)))</f>
        <v/>
      </c>
      <c r="O436" s="25">
        <f>IF($B436="","",IF(AND($K436="Y",OR($D436="later",$J436="Y")),"Y","N"))</f>
        <v/>
      </c>
      <c r="P436" s="25">
        <f>IF(OR($B436="",$E436=""),"",$B436&amp;"_"&amp;$C436&amp;"_"&amp;$D436&amp;"_"&amp;TEXT($E436,"yyyy-mm-dd")&amp;".jpg")</f>
        <v/>
      </c>
      <c r="Q436" s="25">
        <f>IF($B436="","",IF(COUNTIF(campaigns!$A$2:$A$51,$B436)=0,"campaign_id not on campaigns; ",IF(AND($C436&lt;&gt;"",COUNTIFS(approvals!$A$2:$A$251,$B436,approvals!$B$2:$B$251,$C436)=0),"office not on this campaign (approvals tab); ",""))&amp;IF($E436="","taken date missing; ","")&amp;IF(AND($H436&lt;&gt;"",$H436&lt;&gt;$P436),"file name differs from the convention; ","")&amp;IF(AND($D436="placement",$O436="Y",COUNTIF(photos!$R$2:$R$701,$R436)&gt;1),"two usable placement photos: mark one N; ","")&amp;IF($K436&lt;&gt;"Y","info: not usable (a person, screen or whiteboard may show): never used, delete the file; ","")&amp;IF(AND($D436="placement",$J436&lt;&gt;"Y"),"info: not usable as a placement photo (no card); ","")&amp;IF(AND($D436="placement",N($N436)&gt;2),"info: placed after the first business day; ","")&amp;IF(AND($D436="later",$N436&lt;&gt;"",OR(N($N436)&lt;3,N($N436)&gt;5)),"info: later photo outside day 3 to 5; ",""))</f>
        <v/>
      </c>
      <c r="R436" s="25">
        <f>IF($B436="","",$B436&amp;"|"&amp;$C436&amp;"|"&amp;$D436&amp;"|"&amp;$O436)</f>
        <v/>
      </c>
      <c r="S436" s="25">
        <f>IF($B436="","",$R436&amp;"|"&amp;N($E436))</f>
        <v/>
      </c>
    </row>
    <row r="437">
      <c r="E437" s="9" t="n"/>
      <c r="F437" s="33" t="n"/>
      <c r="I437" s="9" t="n"/>
      <c r="M437" s="26">
        <f>IF($B437="","",IFERROR(IF(INDEX(campaigns!$BG$2:$BG$51,MATCH($B437,campaigns!$A$2:$A$51,0))="","",INDEX(campaigns!$BG$2:$BG$51,MATCH($B437,campaigns!$A$2:$A$51,0))),""))</f>
        <v/>
      </c>
      <c r="N437" s="25">
        <f>IF(OR($B437="",$E437="",$M437=""),"",IF($E437&lt;$M437,0,NETWORKDAYS($M437,$E437,calendar!$A$2:$A$80)))</f>
        <v/>
      </c>
      <c r="O437" s="25">
        <f>IF($B437="","",IF(AND($K437="Y",OR($D437="later",$J437="Y")),"Y","N"))</f>
        <v/>
      </c>
      <c r="P437" s="25">
        <f>IF(OR($B437="",$E437=""),"",$B437&amp;"_"&amp;$C437&amp;"_"&amp;$D437&amp;"_"&amp;TEXT($E437,"yyyy-mm-dd")&amp;".jpg")</f>
        <v/>
      </c>
      <c r="Q437" s="25">
        <f>IF($B437="","",IF(COUNTIF(campaigns!$A$2:$A$51,$B437)=0,"campaign_id not on campaigns; ",IF(AND($C437&lt;&gt;"",COUNTIFS(approvals!$A$2:$A$251,$B437,approvals!$B$2:$B$251,$C437)=0),"office not on this campaign (approvals tab); ",""))&amp;IF($E437="","taken date missing; ","")&amp;IF(AND($H437&lt;&gt;"",$H437&lt;&gt;$P437),"file name differs from the convention; ","")&amp;IF(AND($D437="placement",$O437="Y",COUNTIF(photos!$R$2:$R$701,$R437)&gt;1),"two usable placement photos: mark one N; ","")&amp;IF($K437&lt;&gt;"Y","info: not usable (a person, screen or whiteboard may show): never used, delete the file; ","")&amp;IF(AND($D437="placement",$J437&lt;&gt;"Y"),"info: not usable as a placement photo (no card); ","")&amp;IF(AND($D437="placement",N($N437)&gt;2),"info: placed after the first business day; ","")&amp;IF(AND($D437="later",$N437&lt;&gt;"",OR(N($N437)&lt;3,N($N437)&gt;5)),"info: later photo outside day 3 to 5; ",""))</f>
        <v/>
      </c>
      <c r="R437" s="25">
        <f>IF($B437="","",$B437&amp;"|"&amp;$C437&amp;"|"&amp;$D437&amp;"|"&amp;$O437)</f>
        <v/>
      </c>
      <c r="S437" s="25">
        <f>IF($B437="","",$R437&amp;"|"&amp;N($E437))</f>
        <v/>
      </c>
    </row>
    <row r="438">
      <c r="E438" s="9" t="n"/>
      <c r="F438" s="33" t="n"/>
      <c r="I438" s="9" t="n"/>
      <c r="M438" s="26">
        <f>IF($B438="","",IFERROR(IF(INDEX(campaigns!$BG$2:$BG$51,MATCH($B438,campaigns!$A$2:$A$51,0))="","",INDEX(campaigns!$BG$2:$BG$51,MATCH($B438,campaigns!$A$2:$A$51,0))),""))</f>
        <v/>
      </c>
      <c r="N438" s="25">
        <f>IF(OR($B438="",$E438="",$M438=""),"",IF($E438&lt;$M438,0,NETWORKDAYS($M438,$E438,calendar!$A$2:$A$80)))</f>
        <v/>
      </c>
      <c r="O438" s="25">
        <f>IF($B438="","",IF(AND($K438="Y",OR($D438="later",$J438="Y")),"Y","N"))</f>
        <v/>
      </c>
      <c r="P438" s="25">
        <f>IF(OR($B438="",$E438=""),"",$B438&amp;"_"&amp;$C438&amp;"_"&amp;$D438&amp;"_"&amp;TEXT($E438,"yyyy-mm-dd")&amp;".jpg")</f>
        <v/>
      </c>
      <c r="Q438" s="25">
        <f>IF($B438="","",IF(COUNTIF(campaigns!$A$2:$A$51,$B438)=0,"campaign_id not on campaigns; ",IF(AND($C438&lt;&gt;"",COUNTIFS(approvals!$A$2:$A$251,$B438,approvals!$B$2:$B$251,$C438)=0),"office not on this campaign (approvals tab); ",""))&amp;IF($E438="","taken date missing; ","")&amp;IF(AND($H438&lt;&gt;"",$H438&lt;&gt;$P438),"file name differs from the convention; ","")&amp;IF(AND($D438="placement",$O438="Y",COUNTIF(photos!$R$2:$R$701,$R438)&gt;1),"two usable placement photos: mark one N; ","")&amp;IF($K438&lt;&gt;"Y","info: not usable (a person, screen or whiteboard may show): never used, delete the file; ","")&amp;IF(AND($D438="placement",$J438&lt;&gt;"Y"),"info: not usable as a placement photo (no card); ","")&amp;IF(AND($D438="placement",N($N438)&gt;2),"info: placed after the first business day; ","")&amp;IF(AND($D438="later",$N438&lt;&gt;"",OR(N($N438)&lt;3,N($N438)&gt;5)),"info: later photo outside day 3 to 5; ",""))</f>
        <v/>
      </c>
      <c r="R438" s="25">
        <f>IF($B438="","",$B438&amp;"|"&amp;$C438&amp;"|"&amp;$D438&amp;"|"&amp;$O438)</f>
        <v/>
      </c>
      <c r="S438" s="25">
        <f>IF($B438="","",$R438&amp;"|"&amp;N($E438))</f>
        <v/>
      </c>
    </row>
    <row r="439">
      <c r="E439" s="9" t="n"/>
      <c r="F439" s="33" t="n"/>
      <c r="I439" s="9" t="n"/>
      <c r="M439" s="26">
        <f>IF($B439="","",IFERROR(IF(INDEX(campaigns!$BG$2:$BG$51,MATCH($B439,campaigns!$A$2:$A$51,0))="","",INDEX(campaigns!$BG$2:$BG$51,MATCH($B439,campaigns!$A$2:$A$51,0))),""))</f>
        <v/>
      </c>
      <c r="N439" s="25">
        <f>IF(OR($B439="",$E439="",$M439=""),"",IF($E439&lt;$M439,0,NETWORKDAYS($M439,$E439,calendar!$A$2:$A$80)))</f>
        <v/>
      </c>
      <c r="O439" s="25">
        <f>IF($B439="","",IF(AND($K439="Y",OR($D439="later",$J439="Y")),"Y","N"))</f>
        <v/>
      </c>
      <c r="P439" s="25">
        <f>IF(OR($B439="",$E439=""),"",$B439&amp;"_"&amp;$C439&amp;"_"&amp;$D439&amp;"_"&amp;TEXT($E439,"yyyy-mm-dd")&amp;".jpg")</f>
        <v/>
      </c>
      <c r="Q439" s="25">
        <f>IF($B439="","",IF(COUNTIF(campaigns!$A$2:$A$51,$B439)=0,"campaign_id not on campaigns; ",IF(AND($C439&lt;&gt;"",COUNTIFS(approvals!$A$2:$A$251,$B439,approvals!$B$2:$B$251,$C439)=0),"office not on this campaign (approvals tab); ",""))&amp;IF($E439="","taken date missing; ","")&amp;IF(AND($H439&lt;&gt;"",$H439&lt;&gt;$P439),"file name differs from the convention; ","")&amp;IF(AND($D439="placement",$O439="Y",COUNTIF(photos!$R$2:$R$701,$R439)&gt;1),"two usable placement photos: mark one N; ","")&amp;IF($K439&lt;&gt;"Y","info: not usable (a person, screen or whiteboard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 s="25">
        <f>IF($B439="","",$B439&amp;"|"&amp;$C439&amp;"|"&amp;$D439&amp;"|"&amp;$O439)</f>
        <v/>
      </c>
      <c r="S439" s="25">
        <f>IF($B439="","",$R439&amp;"|"&amp;N($E439))</f>
        <v/>
      </c>
    </row>
    <row r="440">
      <c r="E440" s="9" t="n"/>
      <c r="F440" s="33" t="n"/>
      <c r="I440" s="9" t="n"/>
      <c r="M440" s="26">
        <f>IF($B440="","",IFERROR(IF(INDEX(campaigns!$BG$2:$BG$51,MATCH($B440,campaigns!$A$2:$A$51,0))="","",INDEX(campaigns!$BG$2:$BG$51,MATCH($B440,campaigns!$A$2:$A$51,0))),""))</f>
        <v/>
      </c>
      <c r="N440" s="25">
        <f>IF(OR($B440="",$E440="",$M440=""),"",IF($E440&lt;$M440,0,NETWORKDAYS($M440,$E440,calendar!$A$2:$A$80)))</f>
        <v/>
      </c>
      <c r="O440" s="25">
        <f>IF($B440="","",IF(AND($K440="Y",OR($D440="later",$J440="Y")),"Y","N"))</f>
        <v/>
      </c>
      <c r="P440" s="25">
        <f>IF(OR($B440="",$E440=""),"",$B440&amp;"_"&amp;$C440&amp;"_"&amp;$D440&amp;"_"&amp;TEXT($E440,"yyyy-mm-dd")&amp;".jpg")</f>
        <v/>
      </c>
      <c r="Q440" s="25">
        <f>IF($B440="","",IF(COUNTIF(campaigns!$A$2:$A$51,$B440)=0,"campaign_id not on campaigns; ",IF(AND($C440&lt;&gt;"",COUNTIFS(approvals!$A$2:$A$251,$B440,approvals!$B$2:$B$251,$C440)=0),"office not on this campaign (approvals tab); ",""))&amp;IF($E440="","taken date missing; ","")&amp;IF(AND($H440&lt;&gt;"",$H440&lt;&gt;$P440),"file name differs from the convention; ","")&amp;IF(AND($D440="placement",$O440="Y",COUNTIF(photos!$R$2:$R$701,$R440)&gt;1),"two usable placement photos: mark one N; ","")&amp;IF($K440&lt;&gt;"Y","info: not usable (a person, screen or whiteboard may show): never used, delete the file; ","")&amp;IF(AND($D440="placement",$J440&lt;&gt;"Y"),"info: not usable as a placement photo (no card); ","")&amp;IF(AND($D440="placement",N($N440)&gt;2),"info: placed after the first business day; ","")&amp;IF(AND($D440="later",$N440&lt;&gt;"",OR(N($N440)&lt;3,N($N440)&gt;5)),"info: later photo outside day 3 to 5; ",""))</f>
        <v/>
      </c>
      <c r="R440" s="25">
        <f>IF($B440="","",$B440&amp;"|"&amp;$C440&amp;"|"&amp;$D440&amp;"|"&amp;$O440)</f>
        <v/>
      </c>
      <c r="S440" s="25">
        <f>IF($B440="","",$R440&amp;"|"&amp;N($E440))</f>
        <v/>
      </c>
    </row>
    <row r="441">
      <c r="E441" s="9" t="n"/>
      <c r="F441" s="33" t="n"/>
      <c r="I441" s="9" t="n"/>
      <c r="M441" s="26">
        <f>IF($B441="","",IFERROR(IF(INDEX(campaigns!$BG$2:$BG$51,MATCH($B441,campaigns!$A$2:$A$51,0))="","",INDEX(campaigns!$BG$2:$BG$51,MATCH($B441,campaigns!$A$2:$A$51,0))),""))</f>
        <v/>
      </c>
      <c r="N441" s="25">
        <f>IF(OR($B441="",$E441="",$M441=""),"",IF($E441&lt;$M441,0,NETWORKDAYS($M441,$E441,calendar!$A$2:$A$80)))</f>
        <v/>
      </c>
      <c r="O441" s="25">
        <f>IF($B441="","",IF(AND($K441="Y",OR($D441="later",$J441="Y")),"Y","N"))</f>
        <v/>
      </c>
      <c r="P441" s="25">
        <f>IF(OR($B441="",$E441=""),"",$B441&amp;"_"&amp;$C441&amp;"_"&amp;$D441&amp;"_"&amp;TEXT($E441,"yyyy-mm-dd")&amp;".jpg")</f>
        <v/>
      </c>
      <c r="Q441" s="25">
        <f>IF($B441="","",IF(COUNTIF(campaigns!$A$2:$A$51,$B441)=0,"campaign_id not on campaigns; ",IF(AND($C441&lt;&gt;"",COUNTIFS(approvals!$A$2:$A$251,$B441,approvals!$B$2:$B$251,$C441)=0),"office not on this campaign (approvals tab); ",""))&amp;IF($E441="","taken date missing; ","")&amp;IF(AND($H441&lt;&gt;"",$H441&lt;&gt;$P441),"file name differs from the convention; ","")&amp;IF(AND($D441="placement",$O441="Y",COUNTIF(photos!$R$2:$R$701,$R441)&gt;1),"two usable placement photos: mark one N; ","")&amp;IF($K441&lt;&gt;"Y","info: not usable (a person, screen or whiteboard may show): never used, delete the file; ","")&amp;IF(AND($D441="placement",$J441&lt;&gt;"Y"),"info: not usable as a placement photo (no card); ","")&amp;IF(AND($D441="placement",N($N441)&gt;2),"info: placed after the first business day; ","")&amp;IF(AND($D441="later",$N441&lt;&gt;"",OR(N($N441)&lt;3,N($N441)&gt;5)),"info: later photo outside day 3 to 5; ",""))</f>
        <v/>
      </c>
      <c r="R441" s="25">
        <f>IF($B441="","",$B441&amp;"|"&amp;$C441&amp;"|"&amp;$D441&amp;"|"&amp;$O441)</f>
        <v/>
      </c>
      <c r="S441" s="25">
        <f>IF($B441="","",$R441&amp;"|"&amp;N($E441))</f>
        <v/>
      </c>
    </row>
    <row r="442">
      <c r="E442" s="9" t="n"/>
      <c r="F442" s="33" t="n"/>
      <c r="I442" s="9" t="n"/>
      <c r="M442" s="26">
        <f>IF($B442="","",IFERROR(IF(INDEX(campaigns!$BG$2:$BG$51,MATCH($B442,campaigns!$A$2:$A$51,0))="","",INDEX(campaigns!$BG$2:$BG$51,MATCH($B442,campaigns!$A$2:$A$51,0))),""))</f>
        <v/>
      </c>
      <c r="N442" s="25">
        <f>IF(OR($B442="",$E442="",$M442=""),"",IF($E442&lt;$M442,0,NETWORKDAYS($M442,$E442,calendar!$A$2:$A$80)))</f>
        <v/>
      </c>
      <c r="O442" s="25">
        <f>IF($B442="","",IF(AND($K442="Y",OR($D442="later",$J442="Y")),"Y","N"))</f>
        <v/>
      </c>
      <c r="P442" s="25">
        <f>IF(OR($B442="",$E442=""),"",$B442&amp;"_"&amp;$C442&amp;"_"&amp;$D442&amp;"_"&amp;TEXT($E442,"yyyy-mm-dd")&amp;".jpg")</f>
        <v/>
      </c>
      <c r="Q442" s="25">
        <f>IF($B442="","",IF(COUNTIF(campaigns!$A$2:$A$51,$B442)=0,"campaign_id not on campaigns; ",IF(AND($C442&lt;&gt;"",COUNTIFS(approvals!$A$2:$A$251,$B442,approvals!$B$2:$B$251,$C442)=0),"office not on this campaign (approvals tab); ",""))&amp;IF($E442="","taken date missing; ","")&amp;IF(AND($H442&lt;&gt;"",$H442&lt;&gt;$P442),"file name differs from the convention; ","")&amp;IF(AND($D442="placement",$O442="Y",COUNTIF(photos!$R$2:$R$701,$R442)&gt;1),"two usable placement photos: mark one N; ","")&amp;IF($K442&lt;&gt;"Y","info: not usable (a person, screen or whiteboard may show): never used, delete the file; ","")&amp;IF(AND($D442="placement",$J442&lt;&gt;"Y"),"info: not usable as a placement photo (no card); ","")&amp;IF(AND($D442="placement",N($N442)&gt;2),"info: placed after the first business day; ","")&amp;IF(AND($D442="later",$N442&lt;&gt;"",OR(N($N442)&lt;3,N($N442)&gt;5)),"info: later photo outside day 3 to 5; ",""))</f>
        <v/>
      </c>
      <c r="R442" s="25">
        <f>IF($B442="","",$B442&amp;"|"&amp;$C442&amp;"|"&amp;$D442&amp;"|"&amp;$O442)</f>
        <v/>
      </c>
      <c r="S442" s="25">
        <f>IF($B442="","",$R442&amp;"|"&amp;N($E442))</f>
        <v/>
      </c>
    </row>
    <row r="443">
      <c r="E443" s="9" t="n"/>
      <c r="F443" s="33" t="n"/>
      <c r="I443" s="9" t="n"/>
      <c r="M443" s="26">
        <f>IF($B443="","",IFERROR(IF(INDEX(campaigns!$BG$2:$BG$51,MATCH($B443,campaigns!$A$2:$A$51,0))="","",INDEX(campaigns!$BG$2:$BG$51,MATCH($B443,campaigns!$A$2:$A$51,0))),""))</f>
        <v/>
      </c>
      <c r="N443" s="25">
        <f>IF(OR($B443="",$E443="",$M443=""),"",IF($E443&lt;$M443,0,NETWORKDAYS($M443,$E443,calendar!$A$2:$A$80)))</f>
        <v/>
      </c>
      <c r="O443" s="25">
        <f>IF($B443="","",IF(AND($K443="Y",OR($D443="later",$J443="Y")),"Y","N"))</f>
        <v/>
      </c>
      <c r="P443" s="25">
        <f>IF(OR($B443="",$E443=""),"",$B443&amp;"_"&amp;$C443&amp;"_"&amp;$D443&amp;"_"&amp;TEXT($E443,"yyyy-mm-dd")&amp;".jpg")</f>
        <v/>
      </c>
      <c r="Q443" s="25">
        <f>IF($B443="","",IF(COUNTIF(campaigns!$A$2:$A$51,$B443)=0,"campaign_id not on campaigns; ",IF(AND($C443&lt;&gt;"",COUNTIFS(approvals!$A$2:$A$251,$B443,approvals!$B$2:$B$251,$C443)=0),"office not on this campaign (approvals tab); ",""))&amp;IF($E443="","taken date missing; ","")&amp;IF(AND($H443&lt;&gt;"",$H443&lt;&gt;$P443),"file name differs from the convention; ","")&amp;IF(AND($D443="placement",$O443="Y",COUNTIF(photos!$R$2:$R$701,$R443)&gt;1),"two usable placement photos: mark one N; ","")&amp;IF($K443&lt;&gt;"Y","info: not usable (a person, screen or whiteboard may show): never used, delete the file; ","")&amp;IF(AND($D443="placement",$J443&lt;&gt;"Y"),"info: not usable as a placement photo (no card); ","")&amp;IF(AND($D443="placement",N($N443)&gt;2),"info: placed after the first business day; ","")&amp;IF(AND($D443="later",$N443&lt;&gt;"",OR(N($N443)&lt;3,N($N443)&gt;5)),"info: later photo outside day 3 to 5; ",""))</f>
        <v/>
      </c>
      <c r="R443" s="25">
        <f>IF($B443="","",$B443&amp;"|"&amp;$C443&amp;"|"&amp;$D443&amp;"|"&amp;$O443)</f>
        <v/>
      </c>
      <c r="S443" s="25">
        <f>IF($B443="","",$R443&amp;"|"&amp;N($E443))</f>
        <v/>
      </c>
    </row>
    <row r="444">
      <c r="E444" s="9" t="n"/>
      <c r="F444" s="33" t="n"/>
      <c r="I444" s="9" t="n"/>
      <c r="M444" s="26">
        <f>IF($B444="","",IFERROR(IF(INDEX(campaigns!$BG$2:$BG$51,MATCH($B444,campaigns!$A$2:$A$51,0))="","",INDEX(campaigns!$BG$2:$BG$51,MATCH($B444,campaigns!$A$2:$A$51,0))),""))</f>
        <v/>
      </c>
      <c r="N444" s="25">
        <f>IF(OR($B444="",$E444="",$M444=""),"",IF($E444&lt;$M444,0,NETWORKDAYS($M444,$E444,calendar!$A$2:$A$80)))</f>
        <v/>
      </c>
      <c r="O444" s="25">
        <f>IF($B444="","",IF(AND($K444="Y",OR($D444="later",$J444="Y")),"Y","N"))</f>
        <v/>
      </c>
      <c r="P444" s="25">
        <f>IF(OR($B444="",$E444=""),"",$B444&amp;"_"&amp;$C444&amp;"_"&amp;$D444&amp;"_"&amp;TEXT($E444,"yyyy-mm-dd")&amp;".jpg")</f>
        <v/>
      </c>
      <c r="Q444" s="25">
        <f>IF($B444="","",IF(COUNTIF(campaigns!$A$2:$A$51,$B444)=0,"campaign_id not on campaigns; ",IF(AND($C444&lt;&gt;"",COUNTIFS(approvals!$A$2:$A$251,$B444,approvals!$B$2:$B$251,$C444)=0),"office not on this campaign (approvals tab); ",""))&amp;IF($E444="","taken date missing; ","")&amp;IF(AND($H444&lt;&gt;"",$H444&lt;&gt;$P444),"file name differs from the convention; ","")&amp;IF(AND($D444="placement",$O444="Y",COUNTIF(photos!$R$2:$R$701,$R444)&gt;1),"two usable placement photos: mark one N; ","")&amp;IF($K444&lt;&gt;"Y","info: not usable (a person, screen or whiteboard may show): never used, delete the file; ","")&amp;IF(AND($D444="placement",$J444&lt;&gt;"Y"),"info: not usable as a placement photo (no card); ","")&amp;IF(AND($D444="placement",N($N444)&gt;2),"info: placed after the first business day; ","")&amp;IF(AND($D444="later",$N444&lt;&gt;"",OR(N($N444)&lt;3,N($N444)&gt;5)),"info: later photo outside day 3 to 5; ",""))</f>
        <v/>
      </c>
      <c r="R444" s="25">
        <f>IF($B444="","",$B444&amp;"|"&amp;$C444&amp;"|"&amp;$D444&amp;"|"&amp;$O444)</f>
        <v/>
      </c>
      <c r="S444" s="25">
        <f>IF($B444="","",$R444&amp;"|"&amp;N($E444))</f>
        <v/>
      </c>
    </row>
    <row r="445">
      <c r="E445" s="9" t="n"/>
      <c r="F445" s="33" t="n"/>
      <c r="I445" s="9" t="n"/>
      <c r="M445" s="26">
        <f>IF($B445="","",IFERROR(IF(INDEX(campaigns!$BG$2:$BG$51,MATCH($B445,campaigns!$A$2:$A$51,0))="","",INDEX(campaigns!$BG$2:$BG$51,MATCH($B445,campaigns!$A$2:$A$51,0))),""))</f>
        <v/>
      </c>
      <c r="N445" s="25">
        <f>IF(OR($B445="",$E445="",$M445=""),"",IF($E445&lt;$M445,0,NETWORKDAYS($M445,$E445,calendar!$A$2:$A$80)))</f>
        <v/>
      </c>
      <c r="O445" s="25">
        <f>IF($B445="","",IF(AND($K445="Y",OR($D445="later",$J445="Y")),"Y","N"))</f>
        <v/>
      </c>
      <c r="P445" s="25">
        <f>IF(OR($B445="",$E445=""),"",$B445&amp;"_"&amp;$C445&amp;"_"&amp;$D445&amp;"_"&amp;TEXT($E445,"yyyy-mm-dd")&amp;".jpg")</f>
        <v/>
      </c>
      <c r="Q445" s="25">
        <f>IF($B445="","",IF(COUNTIF(campaigns!$A$2:$A$51,$B445)=0,"campaign_id not on campaigns; ",IF(AND($C445&lt;&gt;"",COUNTIFS(approvals!$A$2:$A$251,$B445,approvals!$B$2:$B$251,$C445)=0),"office not on this campaign (approvals tab); ",""))&amp;IF($E445="","taken date missing; ","")&amp;IF(AND($H445&lt;&gt;"",$H445&lt;&gt;$P445),"file name differs from the convention; ","")&amp;IF(AND($D445="placement",$O445="Y",COUNTIF(photos!$R$2:$R$701,$R445)&gt;1),"two usable placement photos: mark one N; ","")&amp;IF($K445&lt;&gt;"Y","info: not usable (a person, screen or whiteboard may show): never used, delete the file; ","")&amp;IF(AND($D445="placement",$J445&lt;&gt;"Y"),"info: not usable as a placement photo (no card); ","")&amp;IF(AND($D445="placement",N($N445)&gt;2),"info: placed after the first business day; ","")&amp;IF(AND($D445="later",$N445&lt;&gt;"",OR(N($N445)&lt;3,N($N445)&gt;5)),"info: later photo outside day 3 to 5; ",""))</f>
        <v/>
      </c>
      <c r="R445" s="25">
        <f>IF($B445="","",$B445&amp;"|"&amp;$C445&amp;"|"&amp;$D445&amp;"|"&amp;$O445)</f>
        <v/>
      </c>
      <c r="S445" s="25">
        <f>IF($B445="","",$R445&amp;"|"&amp;N($E445))</f>
        <v/>
      </c>
    </row>
    <row r="446">
      <c r="E446" s="9" t="n"/>
      <c r="F446" s="33" t="n"/>
      <c r="I446" s="9" t="n"/>
      <c r="M446" s="26">
        <f>IF($B446="","",IFERROR(IF(INDEX(campaigns!$BG$2:$BG$51,MATCH($B446,campaigns!$A$2:$A$51,0))="","",INDEX(campaigns!$BG$2:$BG$51,MATCH($B446,campaigns!$A$2:$A$51,0))),""))</f>
        <v/>
      </c>
      <c r="N446" s="25">
        <f>IF(OR($B446="",$E446="",$M446=""),"",IF($E446&lt;$M446,0,NETWORKDAYS($M446,$E446,calendar!$A$2:$A$80)))</f>
        <v/>
      </c>
      <c r="O446" s="25">
        <f>IF($B446="","",IF(AND($K446="Y",OR($D446="later",$J446="Y")),"Y","N"))</f>
        <v/>
      </c>
      <c r="P446" s="25">
        <f>IF(OR($B446="",$E446=""),"",$B446&amp;"_"&amp;$C446&amp;"_"&amp;$D446&amp;"_"&amp;TEXT($E446,"yyyy-mm-dd")&amp;".jpg")</f>
        <v/>
      </c>
      <c r="Q446" s="25">
        <f>IF($B446="","",IF(COUNTIF(campaigns!$A$2:$A$51,$B446)=0,"campaign_id not on campaigns; ",IF(AND($C446&lt;&gt;"",COUNTIFS(approvals!$A$2:$A$251,$B446,approvals!$B$2:$B$251,$C446)=0),"office not on this campaign (approvals tab); ",""))&amp;IF($E446="","taken date missing; ","")&amp;IF(AND($H446&lt;&gt;"",$H446&lt;&gt;$P446),"file name differs from the convention; ","")&amp;IF(AND($D446="placement",$O446="Y",COUNTIF(photos!$R$2:$R$701,$R446)&gt;1),"two usable placement photos: mark one N; ","")&amp;IF($K446&lt;&gt;"Y","info: not usable (a person, screen or whiteboard may show): never used, delete the file; ","")&amp;IF(AND($D446="placement",$J446&lt;&gt;"Y"),"info: not usable as a placement photo (no card); ","")&amp;IF(AND($D446="placement",N($N446)&gt;2),"info: placed after the first business day; ","")&amp;IF(AND($D446="later",$N446&lt;&gt;"",OR(N($N446)&lt;3,N($N446)&gt;5)),"info: later photo outside day 3 to 5; ",""))</f>
        <v/>
      </c>
      <c r="R446" s="25">
        <f>IF($B446="","",$B446&amp;"|"&amp;$C446&amp;"|"&amp;$D446&amp;"|"&amp;$O446)</f>
        <v/>
      </c>
      <c r="S446" s="25">
        <f>IF($B446="","",$R446&amp;"|"&amp;N($E446))</f>
        <v/>
      </c>
    </row>
    <row r="447">
      <c r="E447" s="9" t="n"/>
      <c r="F447" s="33" t="n"/>
      <c r="I447" s="9" t="n"/>
      <c r="M447" s="26">
        <f>IF($B447="","",IFERROR(IF(INDEX(campaigns!$BG$2:$BG$51,MATCH($B447,campaigns!$A$2:$A$51,0))="","",INDEX(campaigns!$BG$2:$BG$51,MATCH($B447,campaigns!$A$2:$A$51,0))),""))</f>
        <v/>
      </c>
      <c r="N447" s="25">
        <f>IF(OR($B447="",$E447="",$M447=""),"",IF($E447&lt;$M447,0,NETWORKDAYS($M447,$E447,calendar!$A$2:$A$80)))</f>
        <v/>
      </c>
      <c r="O447" s="25">
        <f>IF($B447="","",IF(AND($K447="Y",OR($D447="later",$J447="Y")),"Y","N"))</f>
        <v/>
      </c>
      <c r="P447" s="25">
        <f>IF(OR($B447="",$E447=""),"",$B447&amp;"_"&amp;$C447&amp;"_"&amp;$D447&amp;"_"&amp;TEXT($E447,"yyyy-mm-dd")&amp;".jpg")</f>
        <v/>
      </c>
      <c r="Q447" s="25">
        <f>IF($B447="","",IF(COUNTIF(campaigns!$A$2:$A$51,$B447)=0,"campaign_id not on campaigns; ",IF(AND($C447&lt;&gt;"",COUNTIFS(approvals!$A$2:$A$251,$B447,approvals!$B$2:$B$251,$C447)=0),"office not on this campaign (approvals tab); ",""))&amp;IF($E447="","taken date missing; ","")&amp;IF(AND($H447&lt;&gt;"",$H447&lt;&gt;$P447),"file name differs from the convention; ","")&amp;IF(AND($D447="placement",$O447="Y",COUNTIF(photos!$R$2:$R$701,$R447)&gt;1),"two usable placement photos: mark one N; ","")&amp;IF($K447&lt;&gt;"Y","info: not usable (a person, screen or whiteboard may show): never used, delete the file; ","")&amp;IF(AND($D447="placement",$J447&lt;&gt;"Y"),"info: not usable as a placement photo (no card); ","")&amp;IF(AND($D447="placement",N($N447)&gt;2),"info: placed after the first business day; ","")&amp;IF(AND($D447="later",$N447&lt;&gt;"",OR(N($N447)&lt;3,N($N447)&gt;5)),"info: later photo outside day 3 to 5; ",""))</f>
        <v/>
      </c>
      <c r="R447" s="25">
        <f>IF($B447="","",$B447&amp;"|"&amp;$C447&amp;"|"&amp;$D447&amp;"|"&amp;$O447)</f>
        <v/>
      </c>
      <c r="S447" s="25">
        <f>IF($B447="","",$R447&amp;"|"&amp;N($E447))</f>
        <v/>
      </c>
    </row>
    <row r="448">
      <c r="E448" s="9" t="n"/>
      <c r="F448" s="33" t="n"/>
      <c r="I448" s="9" t="n"/>
      <c r="M448" s="26">
        <f>IF($B448="","",IFERROR(IF(INDEX(campaigns!$BG$2:$BG$51,MATCH($B448,campaigns!$A$2:$A$51,0))="","",INDEX(campaigns!$BG$2:$BG$51,MATCH($B448,campaigns!$A$2:$A$51,0))),""))</f>
        <v/>
      </c>
      <c r="N448" s="25">
        <f>IF(OR($B448="",$E448="",$M448=""),"",IF($E448&lt;$M448,0,NETWORKDAYS($M448,$E448,calendar!$A$2:$A$80)))</f>
        <v/>
      </c>
      <c r="O448" s="25">
        <f>IF($B448="","",IF(AND($K448="Y",OR($D448="later",$J448="Y")),"Y","N"))</f>
        <v/>
      </c>
      <c r="P448" s="25">
        <f>IF(OR($B448="",$E448=""),"",$B448&amp;"_"&amp;$C448&amp;"_"&amp;$D448&amp;"_"&amp;TEXT($E448,"yyyy-mm-dd")&amp;".jpg")</f>
        <v/>
      </c>
      <c r="Q448" s="25">
        <f>IF($B448="","",IF(COUNTIF(campaigns!$A$2:$A$51,$B448)=0,"campaign_id not on campaigns; ",IF(AND($C448&lt;&gt;"",COUNTIFS(approvals!$A$2:$A$251,$B448,approvals!$B$2:$B$251,$C448)=0),"office not on this campaign (approvals tab); ",""))&amp;IF($E448="","taken date missing; ","")&amp;IF(AND($H448&lt;&gt;"",$H448&lt;&gt;$P448),"file name differs from the convention; ","")&amp;IF(AND($D448="placement",$O448="Y",COUNTIF(photos!$R$2:$R$701,$R448)&gt;1),"two usable placement photos: mark one N; ","")&amp;IF($K448&lt;&gt;"Y","info: not usable (a person, screen or whiteboard may show): never used, delete the file; ","")&amp;IF(AND($D448="placement",$J448&lt;&gt;"Y"),"info: not usable as a placement photo (no card); ","")&amp;IF(AND($D448="placement",N($N448)&gt;2),"info: placed after the first business day; ","")&amp;IF(AND($D448="later",$N448&lt;&gt;"",OR(N($N448)&lt;3,N($N448)&gt;5)),"info: later photo outside day 3 to 5; ",""))</f>
        <v/>
      </c>
      <c r="R448" s="25">
        <f>IF($B448="","",$B448&amp;"|"&amp;$C448&amp;"|"&amp;$D448&amp;"|"&amp;$O448)</f>
        <v/>
      </c>
      <c r="S448" s="25">
        <f>IF($B448="","",$R448&amp;"|"&amp;N($E448))</f>
        <v/>
      </c>
    </row>
    <row r="449">
      <c r="E449" s="9" t="n"/>
      <c r="F449" s="33" t="n"/>
      <c r="I449" s="9" t="n"/>
      <c r="M449" s="26">
        <f>IF($B449="","",IFERROR(IF(INDEX(campaigns!$BG$2:$BG$51,MATCH($B449,campaigns!$A$2:$A$51,0))="","",INDEX(campaigns!$BG$2:$BG$51,MATCH($B449,campaigns!$A$2:$A$51,0))),""))</f>
        <v/>
      </c>
      <c r="N449" s="25">
        <f>IF(OR($B449="",$E449="",$M449=""),"",IF($E449&lt;$M449,0,NETWORKDAYS($M449,$E449,calendar!$A$2:$A$80)))</f>
        <v/>
      </c>
      <c r="O449" s="25">
        <f>IF($B449="","",IF(AND($K449="Y",OR($D449="later",$J449="Y")),"Y","N"))</f>
        <v/>
      </c>
      <c r="P449" s="25">
        <f>IF(OR($B449="",$E449=""),"",$B449&amp;"_"&amp;$C449&amp;"_"&amp;$D449&amp;"_"&amp;TEXT($E449,"yyyy-mm-dd")&amp;".jpg")</f>
        <v/>
      </c>
      <c r="Q449" s="25">
        <f>IF($B449="","",IF(COUNTIF(campaigns!$A$2:$A$51,$B449)=0,"campaign_id not on campaigns; ",IF(AND($C449&lt;&gt;"",COUNTIFS(approvals!$A$2:$A$251,$B449,approvals!$B$2:$B$251,$C449)=0),"office not on this campaign (approvals tab); ",""))&amp;IF($E449="","taken date missing; ","")&amp;IF(AND($H449&lt;&gt;"",$H449&lt;&gt;$P449),"file name differs from the convention; ","")&amp;IF(AND($D449="placement",$O449="Y",COUNTIF(photos!$R$2:$R$701,$R449)&gt;1),"two usable placement photos: mark one N; ","")&amp;IF($K449&lt;&gt;"Y","info: not usable (a person, screen or whiteboard may show): never used, delete the file; ","")&amp;IF(AND($D449="placement",$J449&lt;&gt;"Y"),"info: not usable as a placement photo (no card); ","")&amp;IF(AND($D449="placement",N($N449)&gt;2),"info: placed after the first business day; ","")&amp;IF(AND($D449="later",$N449&lt;&gt;"",OR(N($N449)&lt;3,N($N449)&gt;5)),"info: later photo outside day 3 to 5; ",""))</f>
        <v/>
      </c>
      <c r="R449" s="25">
        <f>IF($B449="","",$B449&amp;"|"&amp;$C449&amp;"|"&amp;$D449&amp;"|"&amp;$O449)</f>
        <v/>
      </c>
      <c r="S449" s="25">
        <f>IF($B449="","",$R449&amp;"|"&amp;N($E449))</f>
        <v/>
      </c>
    </row>
    <row r="450">
      <c r="E450" s="9" t="n"/>
      <c r="F450" s="33" t="n"/>
      <c r="I450" s="9" t="n"/>
      <c r="M450" s="26">
        <f>IF($B450="","",IFERROR(IF(INDEX(campaigns!$BG$2:$BG$51,MATCH($B450,campaigns!$A$2:$A$51,0))="","",INDEX(campaigns!$BG$2:$BG$51,MATCH($B450,campaigns!$A$2:$A$51,0))),""))</f>
        <v/>
      </c>
      <c r="N450" s="25">
        <f>IF(OR($B450="",$E450="",$M450=""),"",IF($E450&lt;$M450,0,NETWORKDAYS($M450,$E450,calendar!$A$2:$A$80)))</f>
        <v/>
      </c>
      <c r="O450" s="25">
        <f>IF($B450="","",IF(AND($K450="Y",OR($D450="later",$J450="Y")),"Y","N"))</f>
        <v/>
      </c>
      <c r="P450" s="25">
        <f>IF(OR($B450="",$E450=""),"",$B450&amp;"_"&amp;$C450&amp;"_"&amp;$D450&amp;"_"&amp;TEXT($E450,"yyyy-mm-dd")&amp;".jpg")</f>
        <v/>
      </c>
      <c r="Q450" s="25">
        <f>IF($B450="","",IF(COUNTIF(campaigns!$A$2:$A$51,$B450)=0,"campaign_id not on campaigns; ",IF(AND($C450&lt;&gt;"",COUNTIFS(approvals!$A$2:$A$251,$B450,approvals!$B$2:$B$251,$C450)=0),"office not on this campaign (approvals tab); ",""))&amp;IF($E450="","taken date missing; ","")&amp;IF(AND($H450&lt;&gt;"",$H450&lt;&gt;$P450),"file name differs from the convention; ","")&amp;IF(AND($D450="placement",$O450="Y",COUNTIF(photos!$R$2:$R$701,$R450)&gt;1),"two usable placement photos: mark one N; ","")&amp;IF($K450&lt;&gt;"Y","info: not usable (a person, screen or whiteboard may show): never used, delete the file; ","")&amp;IF(AND($D450="placement",$J450&lt;&gt;"Y"),"info: not usable as a placement photo (no card); ","")&amp;IF(AND($D450="placement",N($N450)&gt;2),"info: placed after the first business day; ","")&amp;IF(AND($D450="later",$N450&lt;&gt;"",OR(N($N450)&lt;3,N($N450)&gt;5)),"info: later photo outside day 3 to 5; ",""))</f>
        <v/>
      </c>
      <c r="R450" s="25">
        <f>IF($B450="","",$B450&amp;"|"&amp;$C450&amp;"|"&amp;$D450&amp;"|"&amp;$O450)</f>
        <v/>
      </c>
      <c r="S450" s="25">
        <f>IF($B450="","",$R450&amp;"|"&amp;N($E450))</f>
        <v/>
      </c>
    </row>
    <row r="451">
      <c r="E451" s="9" t="n"/>
      <c r="F451" s="33" t="n"/>
      <c r="I451" s="9" t="n"/>
      <c r="M451" s="26">
        <f>IF($B451="","",IFERROR(IF(INDEX(campaigns!$BG$2:$BG$51,MATCH($B451,campaigns!$A$2:$A$51,0))="","",INDEX(campaigns!$BG$2:$BG$51,MATCH($B451,campaigns!$A$2:$A$51,0))),""))</f>
        <v/>
      </c>
      <c r="N451" s="25">
        <f>IF(OR($B451="",$E451="",$M451=""),"",IF($E451&lt;$M451,0,NETWORKDAYS($M451,$E451,calendar!$A$2:$A$80)))</f>
        <v/>
      </c>
      <c r="O451" s="25">
        <f>IF($B451="","",IF(AND($K451="Y",OR($D451="later",$J451="Y")),"Y","N"))</f>
        <v/>
      </c>
      <c r="P451" s="25">
        <f>IF(OR($B451="",$E451=""),"",$B451&amp;"_"&amp;$C451&amp;"_"&amp;$D451&amp;"_"&amp;TEXT($E451,"yyyy-mm-dd")&amp;".jpg")</f>
        <v/>
      </c>
      <c r="Q451" s="25">
        <f>IF($B451="","",IF(COUNTIF(campaigns!$A$2:$A$51,$B451)=0,"campaign_id not on campaigns; ",IF(AND($C451&lt;&gt;"",COUNTIFS(approvals!$A$2:$A$251,$B451,approvals!$B$2:$B$251,$C451)=0),"office not on this campaign (approvals tab); ",""))&amp;IF($E451="","taken date missing; ","")&amp;IF(AND($H451&lt;&gt;"",$H451&lt;&gt;$P451),"file name differs from the convention; ","")&amp;IF(AND($D451="placement",$O451="Y",COUNTIF(photos!$R$2:$R$701,$R451)&gt;1),"two usable placement photos: mark one N; ","")&amp;IF($K451&lt;&gt;"Y","info: not usable (a person, screen or whiteboard may show): never used, delete the file; ","")&amp;IF(AND($D451="placement",$J451&lt;&gt;"Y"),"info: not usable as a placement photo (no card); ","")&amp;IF(AND($D451="placement",N($N451)&gt;2),"info: placed after the first business day; ","")&amp;IF(AND($D451="later",$N451&lt;&gt;"",OR(N($N451)&lt;3,N($N451)&gt;5)),"info: later photo outside day 3 to 5; ",""))</f>
        <v/>
      </c>
      <c r="R451" s="25">
        <f>IF($B451="","",$B451&amp;"|"&amp;$C451&amp;"|"&amp;$D451&amp;"|"&amp;$O451)</f>
        <v/>
      </c>
      <c r="S451" s="25">
        <f>IF($B451="","",$R451&amp;"|"&amp;N($E451))</f>
        <v/>
      </c>
    </row>
    <row r="452">
      <c r="E452" s="9" t="n"/>
      <c r="F452" s="33" t="n"/>
      <c r="I452" s="9" t="n"/>
      <c r="M452" s="26">
        <f>IF($B452="","",IFERROR(IF(INDEX(campaigns!$BG$2:$BG$51,MATCH($B452,campaigns!$A$2:$A$51,0))="","",INDEX(campaigns!$BG$2:$BG$51,MATCH($B452,campaigns!$A$2:$A$51,0))),""))</f>
        <v/>
      </c>
      <c r="N452" s="25">
        <f>IF(OR($B452="",$E452="",$M452=""),"",IF($E452&lt;$M452,0,NETWORKDAYS($M452,$E452,calendar!$A$2:$A$80)))</f>
        <v/>
      </c>
      <c r="O452" s="25">
        <f>IF($B452="","",IF(AND($K452="Y",OR($D452="later",$J452="Y")),"Y","N"))</f>
        <v/>
      </c>
      <c r="P452" s="25">
        <f>IF(OR($B452="",$E452=""),"",$B452&amp;"_"&amp;$C452&amp;"_"&amp;$D452&amp;"_"&amp;TEXT($E452,"yyyy-mm-dd")&amp;".jpg")</f>
        <v/>
      </c>
      <c r="Q452" s="25">
        <f>IF($B452="","",IF(COUNTIF(campaigns!$A$2:$A$51,$B452)=0,"campaign_id not on campaigns; ",IF(AND($C452&lt;&gt;"",COUNTIFS(approvals!$A$2:$A$251,$B452,approvals!$B$2:$B$251,$C452)=0),"office not on this campaign (approvals tab); ",""))&amp;IF($E452="","taken date missing; ","")&amp;IF(AND($H452&lt;&gt;"",$H452&lt;&gt;$P452),"file name differs from the convention; ","")&amp;IF(AND($D452="placement",$O452="Y",COUNTIF(photos!$R$2:$R$701,$R452)&gt;1),"two usable placement photos: mark one N; ","")&amp;IF($K452&lt;&gt;"Y","info: not usable (a person, screen or whiteboard may show): never used, delete the file; ","")&amp;IF(AND($D452="placement",$J452&lt;&gt;"Y"),"info: not usable as a placement photo (no card); ","")&amp;IF(AND($D452="placement",N($N452)&gt;2),"info: placed after the first business day; ","")&amp;IF(AND($D452="later",$N452&lt;&gt;"",OR(N($N452)&lt;3,N($N452)&gt;5)),"info: later photo outside day 3 to 5; ",""))</f>
        <v/>
      </c>
      <c r="R452" s="25">
        <f>IF($B452="","",$B452&amp;"|"&amp;$C452&amp;"|"&amp;$D452&amp;"|"&amp;$O452)</f>
        <v/>
      </c>
      <c r="S452" s="25">
        <f>IF($B452="","",$R452&amp;"|"&amp;N($E452))</f>
        <v/>
      </c>
    </row>
    <row r="453">
      <c r="E453" s="9" t="n"/>
      <c r="F453" s="33" t="n"/>
      <c r="I453" s="9" t="n"/>
      <c r="M453" s="26">
        <f>IF($B453="","",IFERROR(IF(INDEX(campaigns!$BG$2:$BG$51,MATCH($B453,campaigns!$A$2:$A$51,0))="","",INDEX(campaigns!$BG$2:$BG$51,MATCH($B453,campaigns!$A$2:$A$51,0))),""))</f>
        <v/>
      </c>
      <c r="N453" s="25">
        <f>IF(OR($B453="",$E453="",$M453=""),"",IF($E453&lt;$M453,0,NETWORKDAYS($M453,$E453,calendar!$A$2:$A$80)))</f>
        <v/>
      </c>
      <c r="O453" s="25">
        <f>IF($B453="","",IF(AND($K453="Y",OR($D453="later",$J453="Y")),"Y","N"))</f>
        <v/>
      </c>
      <c r="P453" s="25">
        <f>IF(OR($B453="",$E453=""),"",$B453&amp;"_"&amp;$C453&amp;"_"&amp;$D453&amp;"_"&amp;TEXT($E453,"yyyy-mm-dd")&amp;".jpg")</f>
        <v/>
      </c>
      <c r="Q453" s="25">
        <f>IF($B453="","",IF(COUNTIF(campaigns!$A$2:$A$51,$B453)=0,"campaign_id not on campaigns; ",IF(AND($C453&lt;&gt;"",COUNTIFS(approvals!$A$2:$A$251,$B453,approvals!$B$2:$B$251,$C453)=0),"office not on this campaign (approvals tab); ",""))&amp;IF($E453="","taken date missing; ","")&amp;IF(AND($H453&lt;&gt;"",$H453&lt;&gt;$P453),"file name differs from the convention; ","")&amp;IF(AND($D453="placement",$O453="Y",COUNTIF(photos!$R$2:$R$701,$R453)&gt;1),"two usable placement photos: mark one N; ","")&amp;IF($K453&lt;&gt;"Y","info: not usable (a person, screen or whiteboard may show): never used, delete the file; ","")&amp;IF(AND($D453="placement",$J453&lt;&gt;"Y"),"info: not usable as a placement photo (no card); ","")&amp;IF(AND($D453="placement",N($N453)&gt;2),"info: placed after the first business day; ","")&amp;IF(AND($D453="later",$N453&lt;&gt;"",OR(N($N453)&lt;3,N($N453)&gt;5)),"info: later photo outside day 3 to 5; ",""))</f>
        <v/>
      </c>
      <c r="R453" s="25">
        <f>IF($B453="","",$B453&amp;"|"&amp;$C453&amp;"|"&amp;$D453&amp;"|"&amp;$O453)</f>
        <v/>
      </c>
      <c r="S453" s="25">
        <f>IF($B453="","",$R453&amp;"|"&amp;N($E453))</f>
        <v/>
      </c>
    </row>
    <row r="454">
      <c r="E454" s="9" t="n"/>
      <c r="F454" s="33" t="n"/>
      <c r="I454" s="9" t="n"/>
      <c r="M454" s="26">
        <f>IF($B454="","",IFERROR(IF(INDEX(campaigns!$BG$2:$BG$51,MATCH($B454,campaigns!$A$2:$A$51,0))="","",INDEX(campaigns!$BG$2:$BG$51,MATCH($B454,campaigns!$A$2:$A$51,0))),""))</f>
        <v/>
      </c>
      <c r="N454" s="25">
        <f>IF(OR($B454="",$E454="",$M454=""),"",IF($E454&lt;$M454,0,NETWORKDAYS($M454,$E454,calendar!$A$2:$A$80)))</f>
        <v/>
      </c>
      <c r="O454" s="25">
        <f>IF($B454="","",IF(AND($K454="Y",OR($D454="later",$J454="Y")),"Y","N"))</f>
        <v/>
      </c>
      <c r="P454" s="25">
        <f>IF(OR($B454="",$E454=""),"",$B454&amp;"_"&amp;$C454&amp;"_"&amp;$D454&amp;"_"&amp;TEXT($E454,"yyyy-mm-dd")&amp;".jpg")</f>
        <v/>
      </c>
      <c r="Q454" s="25">
        <f>IF($B454="","",IF(COUNTIF(campaigns!$A$2:$A$51,$B454)=0,"campaign_id not on campaigns; ",IF(AND($C454&lt;&gt;"",COUNTIFS(approvals!$A$2:$A$251,$B454,approvals!$B$2:$B$251,$C454)=0),"office not on this campaign (approvals tab); ",""))&amp;IF($E454="","taken date missing; ","")&amp;IF(AND($H454&lt;&gt;"",$H454&lt;&gt;$P454),"file name differs from the convention; ","")&amp;IF(AND($D454="placement",$O454="Y",COUNTIF(photos!$R$2:$R$701,$R454)&gt;1),"two usable placement photos: mark one N; ","")&amp;IF($K454&lt;&gt;"Y","info: not usable (a person, screen or whiteboard may show): never used, delete the file; ","")&amp;IF(AND($D454="placement",$J454&lt;&gt;"Y"),"info: not usable as a placement photo (no card); ","")&amp;IF(AND($D454="placement",N($N454)&gt;2),"info: placed after the first business day; ","")&amp;IF(AND($D454="later",$N454&lt;&gt;"",OR(N($N454)&lt;3,N($N454)&gt;5)),"info: later photo outside day 3 to 5; ",""))</f>
        <v/>
      </c>
      <c r="R454" s="25">
        <f>IF($B454="","",$B454&amp;"|"&amp;$C454&amp;"|"&amp;$D454&amp;"|"&amp;$O454)</f>
        <v/>
      </c>
      <c r="S454" s="25">
        <f>IF($B454="","",$R454&amp;"|"&amp;N($E454))</f>
        <v/>
      </c>
    </row>
    <row r="455">
      <c r="E455" s="9" t="n"/>
      <c r="F455" s="33" t="n"/>
      <c r="I455" s="9" t="n"/>
      <c r="M455" s="26">
        <f>IF($B455="","",IFERROR(IF(INDEX(campaigns!$BG$2:$BG$51,MATCH($B455,campaigns!$A$2:$A$51,0))="","",INDEX(campaigns!$BG$2:$BG$51,MATCH($B455,campaigns!$A$2:$A$51,0))),""))</f>
        <v/>
      </c>
      <c r="N455" s="25">
        <f>IF(OR($B455="",$E455="",$M455=""),"",IF($E455&lt;$M455,0,NETWORKDAYS($M455,$E455,calendar!$A$2:$A$80)))</f>
        <v/>
      </c>
      <c r="O455" s="25">
        <f>IF($B455="","",IF(AND($K455="Y",OR($D455="later",$J455="Y")),"Y","N"))</f>
        <v/>
      </c>
      <c r="P455" s="25">
        <f>IF(OR($B455="",$E455=""),"",$B455&amp;"_"&amp;$C455&amp;"_"&amp;$D455&amp;"_"&amp;TEXT($E455,"yyyy-mm-dd")&amp;".jpg")</f>
        <v/>
      </c>
      <c r="Q455" s="25">
        <f>IF($B455="","",IF(COUNTIF(campaigns!$A$2:$A$51,$B455)=0,"campaign_id not on campaigns; ",IF(AND($C455&lt;&gt;"",COUNTIFS(approvals!$A$2:$A$251,$B455,approvals!$B$2:$B$251,$C455)=0),"office not on this campaign (approvals tab); ",""))&amp;IF($E455="","taken date missing; ","")&amp;IF(AND($H455&lt;&gt;"",$H455&lt;&gt;$P455),"file name differs from the convention; ","")&amp;IF(AND($D455="placement",$O455="Y",COUNTIF(photos!$R$2:$R$701,$R455)&gt;1),"two usable placement photos: mark one N; ","")&amp;IF($K455&lt;&gt;"Y","info: not usable (a person, screen or whiteboard may show): never used, delete the file; ","")&amp;IF(AND($D455="placement",$J455&lt;&gt;"Y"),"info: not usable as a placement photo (no card); ","")&amp;IF(AND($D455="placement",N($N455)&gt;2),"info: placed after the first business day; ","")&amp;IF(AND($D455="later",$N455&lt;&gt;"",OR(N($N455)&lt;3,N($N455)&gt;5)),"info: later photo outside day 3 to 5; ",""))</f>
        <v/>
      </c>
      <c r="R455" s="25">
        <f>IF($B455="","",$B455&amp;"|"&amp;$C455&amp;"|"&amp;$D455&amp;"|"&amp;$O455)</f>
        <v/>
      </c>
      <c r="S455" s="25">
        <f>IF($B455="","",$R455&amp;"|"&amp;N($E455))</f>
        <v/>
      </c>
    </row>
    <row r="456">
      <c r="E456" s="9" t="n"/>
      <c r="F456" s="33" t="n"/>
      <c r="I456" s="9" t="n"/>
      <c r="M456" s="26">
        <f>IF($B456="","",IFERROR(IF(INDEX(campaigns!$BG$2:$BG$51,MATCH($B456,campaigns!$A$2:$A$51,0))="","",INDEX(campaigns!$BG$2:$BG$51,MATCH($B456,campaigns!$A$2:$A$51,0))),""))</f>
        <v/>
      </c>
      <c r="N456" s="25">
        <f>IF(OR($B456="",$E456="",$M456=""),"",IF($E456&lt;$M456,0,NETWORKDAYS($M456,$E456,calendar!$A$2:$A$80)))</f>
        <v/>
      </c>
      <c r="O456" s="25">
        <f>IF($B456="","",IF(AND($K456="Y",OR($D456="later",$J456="Y")),"Y","N"))</f>
        <v/>
      </c>
      <c r="P456" s="25">
        <f>IF(OR($B456="",$E456=""),"",$B456&amp;"_"&amp;$C456&amp;"_"&amp;$D456&amp;"_"&amp;TEXT($E456,"yyyy-mm-dd")&amp;".jpg")</f>
        <v/>
      </c>
      <c r="Q456" s="25">
        <f>IF($B456="","",IF(COUNTIF(campaigns!$A$2:$A$51,$B456)=0,"campaign_id not on campaigns; ",IF(AND($C456&lt;&gt;"",COUNTIFS(approvals!$A$2:$A$251,$B456,approvals!$B$2:$B$251,$C456)=0),"office not on this campaign (approvals tab); ",""))&amp;IF($E456="","taken date missing; ","")&amp;IF(AND($H456&lt;&gt;"",$H456&lt;&gt;$P456),"file name differs from the convention; ","")&amp;IF(AND($D456="placement",$O456="Y",COUNTIF(photos!$R$2:$R$701,$R456)&gt;1),"two usable placement photos: mark one N; ","")&amp;IF($K456&lt;&gt;"Y","info: not usable (a person, screen or whiteboard may show): never used, delete the file; ","")&amp;IF(AND($D456="placement",$J456&lt;&gt;"Y"),"info: not usable as a placement photo (no card); ","")&amp;IF(AND($D456="placement",N($N456)&gt;2),"info: placed after the first business day; ","")&amp;IF(AND($D456="later",$N456&lt;&gt;"",OR(N($N456)&lt;3,N($N456)&gt;5)),"info: later photo outside day 3 to 5; ",""))</f>
        <v/>
      </c>
      <c r="R456" s="25">
        <f>IF($B456="","",$B456&amp;"|"&amp;$C456&amp;"|"&amp;$D456&amp;"|"&amp;$O456)</f>
        <v/>
      </c>
      <c r="S456" s="25">
        <f>IF($B456="","",$R456&amp;"|"&amp;N($E456))</f>
        <v/>
      </c>
    </row>
    <row r="457">
      <c r="E457" s="9" t="n"/>
      <c r="F457" s="33" t="n"/>
      <c r="I457" s="9" t="n"/>
      <c r="M457" s="26">
        <f>IF($B457="","",IFERROR(IF(INDEX(campaigns!$BG$2:$BG$51,MATCH($B457,campaigns!$A$2:$A$51,0))="","",INDEX(campaigns!$BG$2:$BG$51,MATCH($B457,campaigns!$A$2:$A$51,0))),""))</f>
        <v/>
      </c>
      <c r="N457" s="25">
        <f>IF(OR($B457="",$E457="",$M457=""),"",IF($E457&lt;$M457,0,NETWORKDAYS($M457,$E457,calendar!$A$2:$A$80)))</f>
        <v/>
      </c>
      <c r="O457" s="25">
        <f>IF($B457="","",IF(AND($K457="Y",OR($D457="later",$J457="Y")),"Y","N"))</f>
        <v/>
      </c>
      <c r="P457" s="25">
        <f>IF(OR($B457="",$E457=""),"",$B457&amp;"_"&amp;$C457&amp;"_"&amp;$D457&amp;"_"&amp;TEXT($E457,"yyyy-mm-dd")&amp;".jpg")</f>
        <v/>
      </c>
      <c r="Q457" s="25">
        <f>IF($B457="","",IF(COUNTIF(campaigns!$A$2:$A$51,$B457)=0,"campaign_id not on campaigns; ",IF(AND($C457&lt;&gt;"",COUNTIFS(approvals!$A$2:$A$251,$B457,approvals!$B$2:$B$251,$C457)=0),"office not on this campaign (approvals tab); ",""))&amp;IF($E457="","taken date missing; ","")&amp;IF(AND($H457&lt;&gt;"",$H457&lt;&gt;$P457),"file name differs from the convention; ","")&amp;IF(AND($D457="placement",$O457="Y",COUNTIF(photos!$R$2:$R$701,$R457)&gt;1),"two usable placement photos: mark one N; ","")&amp;IF($K457&lt;&gt;"Y","info: not usable (a person, screen or whiteboard may show): never used, delete the file; ","")&amp;IF(AND($D457="placement",$J457&lt;&gt;"Y"),"info: not usable as a placement photo (no card); ","")&amp;IF(AND($D457="placement",N($N457)&gt;2),"info: placed after the first business day; ","")&amp;IF(AND($D457="later",$N457&lt;&gt;"",OR(N($N457)&lt;3,N($N457)&gt;5)),"info: later photo outside day 3 to 5; ",""))</f>
        <v/>
      </c>
      <c r="R457" s="25">
        <f>IF($B457="","",$B457&amp;"|"&amp;$C457&amp;"|"&amp;$D457&amp;"|"&amp;$O457)</f>
        <v/>
      </c>
      <c r="S457" s="25">
        <f>IF($B457="","",$R457&amp;"|"&amp;N($E457))</f>
        <v/>
      </c>
    </row>
    <row r="458">
      <c r="E458" s="9" t="n"/>
      <c r="F458" s="33" t="n"/>
      <c r="I458" s="9" t="n"/>
      <c r="M458" s="26">
        <f>IF($B458="","",IFERROR(IF(INDEX(campaigns!$BG$2:$BG$51,MATCH($B458,campaigns!$A$2:$A$51,0))="","",INDEX(campaigns!$BG$2:$BG$51,MATCH($B458,campaigns!$A$2:$A$51,0))),""))</f>
        <v/>
      </c>
      <c r="N458" s="25">
        <f>IF(OR($B458="",$E458="",$M458=""),"",IF($E458&lt;$M458,0,NETWORKDAYS($M458,$E458,calendar!$A$2:$A$80)))</f>
        <v/>
      </c>
      <c r="O458" s="25">
        <f>IF($B458="","",IF(AND($K458="Y",OR($D458="later",$J458="Y")),"Y","N"))</f>
        <v/>
      </c>
      <c r="P458" s="25">
        <f>IF(OR($B458="",$E458=""),"",$B458&amp;"_"&amp;$C458&amp;"_"&amp;$D458&amp;"_"&amp;TEXT($E458,"yyyy-mm-dd")&amp;".jpg")</f>
        <v/>
      </c>
      <c r="Q458" s="25">
        <f>IF($B458="","",IF(COUNTIF(campaigns!$A$2:$A$51,$B458)=0,"campaign_id not on campaigns; ",IF(AND($C458&lt;&gt;"",COUNTIFS(approvals!$A$2:$A$251,$B458,approvals!$B$2:$B$251,$C458)=0),"office not on this campaign (approvals tab); ",""))&amp;IF($E458="","taken date missing; ","")&amp;IF(AND($H458&lt;&gt;"",$H458&lt;&gt;$P458),"file name differs from the convention; ","")&amp;IF(AND($D458="placement",$O458="Y",COUNTIF(photos!$R$2:$R$701,$R458)&gt;1),"two usable placement photos: mark one N; ","")&amp;IF($K458&lt;&gt;"Y","info: not usable (a person, screen or whiteboard may show): never used, delete the file; ","")&amp;IF(AND($D458="placement",$J458&lt;&gt;"Y"),"info: not usable as a placement photo (no card); ","")&amp;IF(AND($D458="placement",N($N458)&gt;2),"info: placed after the first business day; ","")&amp;IF(AND($D458="later",$N458&lt;&gt;"",OR(N($N458)&lt;3,N($N458)&gt;5)),"info: later photo outside day 3 to 5; ",""))</f>
        <v/>
      </c>
      <c r="R458" s="25">
        <f>IF($B458="","",$B458&amp;"|"&amp;$C458&amp;"|"&amp;$D458&amp;"|"&amp;$O458)</f>
        <v/>
      </c>
      <c r="S458" s="25">
        <f>IF($B458="","",$R458&amp;"|"&amp;N($E458))</f>
        <v/>
      </c>
    </row>
    <row r="459">
      <c r="E459" s="9" t="n"/>
      <c r="F459" s="33" t="n"/>
      <c r="I459" s="9" t="n"/>
      <c r="M459" s="26">
        <f>IF($B459="","",IFERROR(IF(INDEX(campaigns!$BG$2:$BG$51,MATCH($B459,campaigns!$A$2:$A$51,0))="","",INDEX(campaigns!$BG$2:$BG$51,MATCH($B459,campaigns!$A$2:$A$51,0))),""))</f>
        <v/>
      </c>
      <c r="N459" s="25">
        <f>IF(OR($B459="",$E459="",$M459=""),"",IF($E459&lt;$M459,0,NETWORKDAYS($M459,$E459,calendar!$A$2:$A$80)))</f>
        <v/>
      </c>
      <c r="O459" s="25">
        <f>IF($B459="","",IF(AND($K459="Y",OR($D459="later",$J459="Y")),"Y","N"))</f>
        <v/>
      </c>
      <c r="P459" s="25">
        <f>IF(OR($B459="",$E459=""),"",$B459&amp;"_"&amp;$C459&amp;"_"&amp;$D459&amp;"_"&amp;TEXT($E459,"yyyy-mm-dd")&amp;".jpg")</f>
        <v/>
      </c>
      <c r="Q459" s="25">
        <f>IF($B459="","",IF(COUNTIF(campaigns!$A$2:$A$51,$B459)=0,"campaign_id not on campaigns; ",IF(AND($C459&lt;&gt;"",COUNTIFS(approvals!$A$2:$A$251,$B459,approvals!$B$2:$B$251,$C459)=0),"office not on this campaign (approvals tab); ",""))&amp;IF($E459="","taken date missing; ","")&amp;IF(AND($H459&lt;&gt;"",$H459&lt;&gt;$P459),"file name differs from the convention; ","")&amp;IF(AND($D459="placement",$O459="Y",COUNTIF(photos!$R$2:$R$701,$R459)&gt;1),"two usable placement photos: mark one N; ","")&amp;IF($K459&lt;&gt;"Y","info: not usable (a person, screen or whiteboard may show): never used, delete the file; ","")&amp;IF(AND($D459="placement",$J459&lt;&gt;"Y"),"info: not usable as a placement photo (no card); ","")&amp;IF(AND($D459="placement",N($N459)&gt;2),"info: placed after the first business day; ","")&amp;IF(AND($D459="later",$N459&lt;&gt;"",OR(N($N459)&lt;3,N($N459)&gt;5)),"info: later photo outside day 3 to 5; ",""))</f>
        <v/>
      </c>
      <c r="R459" s="25">
        <f>IF($B459="","",$B459&amp;"|"&amp;$C459&amp;"|"&amp;$D459&amp;"|"&amp;$O459)</f>
        <v/>
      </c>
      <c r="S459" s="25">
        <f>IF($B459="","",$R459&amp;"|"&amp;N($E459))</f>
        <v/>
      </c>
    </row>
    <row r="460">
      <c r="E460" s="9" t="n"/>
      <c r="F460" s="33" t="n"/>
      <c r="I460" s="9" t="n"/>
      <c r="M460" s="26">
        <f>IF($B460="","",IFERROR(IF(INDEX(campaigns!$BG$2:$BG$51,MATCH($B460,campaigns!$A$2:$A$51,0))="","",INDEX(campaigns!$BG$2:$BG$51,MATCH($B460,campaigns!$A$2:$A$51,0))),""))</f>
        <v/>
      </c>
      <c r="N460" s="25">
        <f>IF(OR($B460="",$E460="",$M460=""),"",IF($E460&lt;$M460,0,NETWORKDAYS($M460,$E460,calendar!$A$2:$A$80)))</f>
        <v/>
      </c>
      <c r="O460" s="25">
        <f>IF($B460="","",IF(AND($K460="Y",OR($D460="later",$J460="Y")),"Y","N"))</f>
        <v/>
      </c>
      <c r="P460" s="25">
        <f>IF(OR($B460="",$E460=""),"",$B460&amp;"_"&amp;$C460&amp;"_"&amp;$D460&amp;"_"&amp;TEXT($E460,"yyyy-mm-dd")&amp;".jpg")</f>
        <v/>
      </c>
      <c r="Q460" s="25">
        <f>IF($B460="","",IF(COUNTIF(campaigns!$A$2:$A$51,$B460)=0,"campaign_id not on campaigns; ",IF(AND($C460&lt;&gt;"",COUNTIFS(approvals!$A$2:$A$251,$B460,approvals!$B$2:$B$251,$C460)=0),"office not on this campaign (approvals tab); ",""))&amp;IF($E460="","taken date missing; ","")&amp;IF(AND($H460&lt;&gt;"",$H460&lt;&gt;$P460),"file name differs from the convention; ","")&amp;IF(AND($D460="placement",$O460="Y",COUNTIF(photos!$R$2:$R$701,$R460)&gt;1),"two usable placement photos: mark one N; ","")&amp;IF($K460&lt;&gt;"Y","info: not usable (a person, screen or whiteboard may show): never used, delete the file; ","")&amp;IF(AND($D460="placement",$J460&lt;&gt;"Y"),"info: not usable as a placement photo (no card); ","")&amp;IF(AND($D460="placement",N($N460)&gt;2),"info: placed after the first business day; ","")&amp;IF(AND($D460="later",$N460&lt;&gt;"",OR(N($N460)&lt;3,N($N460)&gt;5)),"info: later photo outside day 3 to 5; ",""))</f>
        <v/>
      </c>
      <c r="R460" s="25">
        <f>IF($B460="","",$B460&amp;"|"&amp;$C460&amp;"|"&amp;$D460&amp;"|"&amp;$O460)</f>
        <v/>
      </c>
      <c r="S460" s="25">
        <f>IF($B460="","",$R460&amp;"|"&amp;N($E460))</f>
        <v/>
      </c>
    </row>
    <row r="461">
      <c r="E461" s="9" t="n"/>
      <c r="F461" s="33" t="n"/>
      <c r="I461" s="9" t="n"/>
      <c r="M461" s="26">
        <f>IF($B461="","",IFERROR(IF(INDEX(campaigns!$BG$2:$BG$51,MATCH($B461,campaigns!$A$2:$A$51,0))="","",INDEX(campaigns!$BG$2:$BG$51,MATCH($B461,campaigns!$A$2:$A$51,0))),""))</f>
        <v/>
      </c>
      <c r="N461" s="25">
        <f>IF(OR($B461="",$E461="",$M461=""),"",IF($E461&lt;$M461,0,NETWORKDAYS($M461,$E461,calendar!$A$2:$A$80)))</f>
        <v/>
      </c>
      <c r="O461" s="25">
        <f>IF($B461="","",IF(AND($K461="Y",OR($D461="later",$J461="Y")),"Y","N"))</f>
        <v/>
      </c>
      <c r="P461" s="25">
        <f>IF(OR($B461="",$E461=""),"",$B461&amp;"_"&amp;$C461&amp;"_"&amp;$D461&amp;"_"&amp;TEXT($E461,"yyyy-mm-dd")&amp;".jpg")</f>
        <v/>
      </c>
      <c r="Q461" s="25">
        <f>IF($B461="","",IF(COUNTIF(campaigns!$A$2:$A$51,$B461)=0,"campaign_id not on campaigns; ",IF(AND($C461&lt;&gt;"",COUNTIFS(approvals!$A$2:$A$251,$B461,approvals!$B$2:$B$251,$C461)=0),"office not on this campaign (approvals tab); ",""))&amp;IF($E461="","taken date missing; ","")&amp;IF(AND($H461&lt;&gt;"",$H461&lt;&gt;$P461),"file name differs from the convention; ","")&amp;IF(AND($D461="placement",$O461="Y",COUNTIF(photos!$R$2:$R$701,$R461)&gt;1),"two usable placement photos: mark one N; ","")&amp;IF($K461&lt;&gt;"Y","info: not usable (a person, screen or whiteboard may show): never used, delete the file; ","")&amp;IF(AND($D461="placement",$J461&lt;&gt;"Y"),"info: not usable as a placement photo (no card); ","")&amp;IF(AND($D461="placement",N($N461)&gt;2),"info: placed after the first business day; ","")&amp;IF(AND($D461="later",$N461&lt;&gt;"",OR(N($N461)&lt;3,N($N461)&gt;5)),"info: later photo outside day 3 to 5; ",""))</f>
        <v/>
      </c>
      <c r="R461" s="25">
        <f>IF($B461="","",$B461&amp;"|"&amp;$C461&amp;"|"&amp;$D461&amp;"|"&amp;$O461)</f>
        <v/>
      </c>
      <c r="S461" s="25">
        <f>IF($B461="","",$R461&amp;"|"&amp;N($E461))</f>
        <v/>
      </c>
    </row>
    <row r="462">
      <c r="E462" s="9" t="n"/>
      <c r="F462" s="33" t="n"/>
      <c r="I462" s="9" t="n"/>
      <c r="M462" s="26">
        <f>IF($B462="","",IFERROR(IF(INDEX(campaigns!$BG$2:$BG$51,MATCH($B462,campaigns!$A$2:$A$51,0))="","",INDEX(campaigns!$BG$2:$BG$51,MATCH($B462,campaigns!$A$2:$A$51,0))),""))</f>
        <v/>
      </c>
      <c r="N462" s="25">
        <f>IF(OR($B462="",$E462="",$M462=""),"",IF($E462&lt;$M462,0,NETWORKDAYS($M462,$E462,calendar!$A$2:$A$80)))</f>
        <v/>
      </c>
      <c r="O462" s="25">
        <f>IF($B462="","",IF(AND($K462="Y",OR($D462="later",$J462="Y")),"Y","N"))</f>
        <v/>
      </c>
      <c r="P462" s="25">
        <f>IF(OR($B462="",$E462=""),"",$B462&amp;"_"&amp;$C462&amp;"_"&amp;$D462&amp;"_"&amp;TEXT($E462,"yyyy-mm-dd")&amp;".jpg")</f>
        <v/>
      </c>
      <c r="Q462" s="25">
        <f>IF($B462="","",IF(COUNTIF(campaigns!$A$2:$A$51,$B462)=0,"campaign_id not on campaigns; ",IF(AND($C462&lt;&gt;"",COUNTIFS(approvals!$A$2:$A$251,$B462,approvals!$B$2:$B$251,$C462)=0),"office not on this campaign (approvals tab); ",""))&amp;IF($E462="","taken date missing; ","")&amp;IF(AND($H462&lt;&gt;"",$H462&lt;&gt;$P462),"file name differs from the convention; ","")&amp;IF(AND($D462="placement",$O462="Y",COUNTIF(photos!$R$2:$R$701,$R462)&gt;1),"two usable placement photos: mark one N; ","")&amp;IF($K462&lt;&gt;"Y","info: not usable (a person, screen or whiteboard may show): never used, delete the file; ","")&amp;IF(AND($D462="placement",$J462&lt;&gt;"Y"),"info: not usable as a placement photo (no card); ","")&amp;IF(AND($D462="placement",N($N462)&gt;2),"info: placed after the first business day; ","")&amp;IF(AND($D462="later",$N462&lt;&gt;"",OR(N($N462)&lt;3,N($N462)&gt;5)),"info: later photo outside day 3 to 5; ",""))</f>
        <v/>
      </c>
      <c r="R462" s="25">
        <f>IF($B462="","",$B462&amp;"|"&amp;$C462&amp;"|"&amp;$D462&amp;"|"&amp;$O462)</f>
        <v/>
      </c>
      <c r="S462" s="25">
        <f>IF($B462="","",$R462&amp;"|"&amp;N($E462))</f>
        <v/>
      </c>
    </row>
    <row r="463">
      <c r="E463" s="9" t="n"/>
      <c r="F463" s="33" t="n"/>
      <c r="I463" s="9" t="n"/>
      <c r="M463" s="26">
        <f>IF($B463="","",IFERROR(IF(INDEX(campaigns!$BG$2:$BG$51,MATCH($B463,campaigns!$A$2:$A$51,0))="","",INDEX(campaigns!$BG$2:$BG$51,MATCH($B463,campaigns!$A$2:$A$51,0))),""))</f>
        <v/>
      </c>
      <c r="N463" s="25">
        <f>IF(OR($B463="",$E463="",$M463=""),"",IF($E463&lt;$M463,0,NETWORKDAYS($M463,$E463,calendar!$A$2:$A$80)))</f>
        <v/>
      </c>
      <c r="O463" s="25">
        <f>IF($B463="","",IF(AND($K463="Y",OR($D463="later",$J463="Y")),"Y","N"))</f>
        <v/>
      </c>
      <c r="P463" s="25">
        <f>IF(OR($B463="",$E463=""),"",$B463&amp;"_"&amp;$C463&amp;"_"&amp;$D463&amp;"_"&amp;TEXT($E463,"yyyy-mm-dd")&amp;".jpg")</f>
        <v/>
      </c>
      <c r="Q463" s="25">
        <f>IF($B463="","",IF(COUNTIF(campaigns!$A$2:$A$51,$B463)=0,"campaign_id not on campaigns; ",IF(AND($C463&lt;&gt;"",COUNTIFS(approvals!$A$2:$A$251,$B463,approvals!$B$2:$B$251,$C463)=0),"office not on this campaign (approvals tab); ",""))&amp;IF($E463="","taken date missing; ","")&amp;IF(AND($H463&lt;&gt;"",$H463&lt;&gt;$P463),"file name differs from the convention; ","")&amp;IF(AND($D463="placement",$O463="Y",COUNTIF(photos!$R$2:$R$701,$R463)&gt;1),"two usable placement photos: mark one N; ","")&amp;IF($K463&lt;&gt;"Y","info: not usable (a person, screen or whiteboard may show): never used, delete the file; ","")&amp;IF(AND($D463="placement",$J463&lt;&gt;"Y"),"info: not usable as a placement photo (no card); ","")&amp;IF(AND($D463="placement",N($N463)&gt;2),"info: placed after the first business day; ","")&amp;IF(AND($D463="later",$N463&lt;&gt;"",OR(N($N463)&lt;3,N($N463)&gt;5)),"info: later photo outside day 3 to 5; ",""))</f>
        <v/>
      </c>
      <c r="R463" s="25">
        <f>IF($B463="","",$B463&amp;"|"&amp;$C463&amp;"|"&amp;$D463&amp;"|"&amp;$O463)</f>
        <v/>
      </c>
      <c r="S463" s="25">
        <f>IF($B463="","",$R463&amp;"|"&amp;N($E463))</f>
        <v/>
      </c>
    </row>
    <row r="464">
      <c r="E464" s="9" t="n"/>
      <c r="F464" s="33" t="n"/>
      <c r="I464" s="9" t="n"/>
      <c r="M464" s="26">
        <f>IF($B464="","",IFERROR(IF(INDEX(campaigns!$BG$2:$BG$51,MATCH($B464,campaigns!$A$2:$A$51,0))="","",INDEX(campaigns!$BG$2:$BG$51,MATCH($B464,campaigns!$A$2:$A$51,0))),""))</f>
        <v/>
      </c>
      <c r="N464" s="25">
        <f>IF(OR($B464="",$E464="",$M464=""),"",IF($E464&lt;$M464,0,NETWORKDAYS($M464,$E464,calendar!$A$2:$A$80)))</f>
        <v/>
      </c>
      <c r="O464" s="25">
        <f>IF($B464="","",IF(AND($K464="Y",OR($D464="later",$J464="Y")),"Y","N"))</f>
        <v/>
      </c>
      <c r="P464" s="25">
        <f>IF(OR($B464="",$E464=""),"",$B464&amp;"_"&amp;$C464&amp;"_"&amp;$D464&amp;"_"&amp;TEXT($E464,"yyyy-mm-dd")&amp;".jpg")</f>
        <v/>
      </c>
      <c r="Q464" s="25">
        <f>IF($B464="","",IF(COUNTIF(campaigns!$A$2:$A$51,$B464)=0,"campaign_id not on campaigns; ",IF(AND($C464&lt;&gt;"",COUNTIFS(approvals!$A$2:$A$251,$B464,approvals!$B$2:$B$251,$C464)=0),"office not on this campaign (approvals tab); ",""))&amp;IF($E464="","taken date missing; ","")&amp;IF(AND($H464&lt;&gt;"",$H464&lt;&gt;$P464),"file name differs from the convention; ","")&amp;IF(AND($D464="placement",$O464="Y",COUNTIF(photos!$R$2:$R$701,$R464)&gt;1),"two usable placement photos: mark one N; ","")&amp;IF($K464&lt;&gt;"Y","info: not usable (a person, screen or whiteboard may show): never used, delete the file; ","")&amp;IF(AND($D464="placement",$J464&lt;&gt;"Y"),"info: not usable as a placement photo (no card); ","")&amp;IF(AND($D464="placement",N($N464)&gt;2),"info: placed after the first business day; ","")&amp;IF(AND($D464="later",$N464&lt;&gt;"",OR(N($N464)&lt;3,N($N464)&gt;5)),"info: later photo outside day 3 to 5; ",""))</f>
        <v/>
      </c>
      <c r="R464" s="25">
        <f>IF($B464="","",$B464&amp;"|"&amp;$C464&amp;"|"&amp;$D464&amp;"|"&amp;$O464)</f>
        <v/>
      </c>
      <c r="S464" s="25">
        <f>IF($B464="","",$R464&amp;"|"&amp;N($E464))</f>
        <v/>
      </c>
    </row>
    <row r="465">
      <c r="E465" s="9" t="n"/>
      <c r="F465" s="33" t="n"/>
      <c r="I465" s="9" t="n"/>
      <c r="M465" s="26">
        <f>IF($B465="","",IFERROR(IF(INDEX(campaigns!$BG$2:$BG$51,MATCH($B465,campaigns!$A$2:$A$51,0))="","",INDEX(campaigns!$BG$2:$BG$51,MATCH($B465,campaigns!$A$2:$A$51,0))),""))</f>
        <v/>
      </c>
      <c r="N465" s="25">
        <f>IF(OR($B465="",$E465="",$M465=""),"",IF($E465&lt;$M465,0,NETWORKDAYS($M465,$E465,calendar!$A$2:$A$80)))</f>
        <v/>
      </c>
      <c r="O465" s="25">
        <f>IF($B465="","",IF(AND($K465="Y",OR($D465="later",$J465="Y")),"Y","N"))</f>
        <v/>
      </c>
      <c r="P465" s="25">
        <f>IF(OR($B465="",$E465=""),"",$B465&amp;"_"&amp;$C465&amp;"_"&amp;$D465&amp;"_"&amp;TEXT($E465,"yyyy-mm-dd")&amp;".jpg")</f>
        <v/>
      </c>
      <c r="Q465" s="25">
        <f>IF($B465="","",IF(COUNTIF(campaigns!$A$2:$A$51,$B465)=0,"campaign_id not on campaigns; ",IF(AND($C465&lt;&gt;"",COUNTIFS(approvals!$A$2:$A$251,$B465,approvals!$B$2:$B$251,$C465)=0),"office not on this campaign (approvals tab); ",""))&amp;IF($E465="","taken date missing; ","")&amp;IF(AND($H465&lt;&gt;"",$H465&lt;&gt;$P465),"file name differs from the convention; ","")&amp;IF(AND($D465="placement",$O465="Y",COUNTIF(photos!$R$2:$R$701,$R465)&gt;1),"two usable placement photos: mark one N; ","")&amp;IF($K465&lt;&gt;"Y","info: not usable (a person, screen or whiteboard may show): never used, delete the file; ","")&amp;IF(AND($D465="placement",$J465&lt;&gt;"Y"),"info: not usable as a placement photo (no card); ","")&amp;IF(AND($D465="placement",N($N465)&gt;2),"info: placed after the first business day; ","")&amp;IF(AND($D465="later",$N465&lt;&gt;"",OR(N($N465)&lt;3,N($N465)&gt;5)),"info: later photo outside day 3 to 5; ",""))</f>
        <v/>
      </c>
      <c r="R465" s="25">
        <f>IF($B465="","",$B465&amp;"|"&amp;$C465&amp;"|"&amp;$D465&amp;"|"&amp;$O465)</f>
        <v/>
      </c>
      <c r="S465" s="25">
        <f>IF($B465="","",$R465&amp;"|"&amp;N($E465))</f>
        <v/>
      </c>
    </row>
    <row r="466">
      <c r="E466" s="9" t="n"/>
      <c r="F466" s="33" t="n"/>
      <c r="I466" s="9" t="n"/>
      <c r="M466" s="26">
        <f>IF($B466="","",IFERROR(IF(INDEX(campaigns!$BG$2:$BG$51,MATCH($B466,campaigns!$A$2:$A$51,0))="","",INDEX(campaigns!$BG$2:$BG$51,MATCH($B466,campaigns!$A$2:$A$51,0))),""))</f>
        <v/>
      </c>
      <c r="N466" s="25">
        <f>IF(OR($B466="",$E466="",$M466=""),"",IF($E466&lt;$M466,0,NETWORKDAYS($M466,$E466,calendar!$A$2:$A$80)))</f>
        <v/>
      </c>
      <c r="O466" s="25">
        <f>IF($B466="","",IF(AND($K466="Y",OR($D466="later",$J466="Y")),"Y","N"))</f>
        <v/>
      </c>
      <c r="P466" s="25">
        <f>IF(OR($B466="",$E466=""),"",$B466&amp;"_"&amp;$C466&amp;"_"&amp;$D466&amp;"_"&amp;TEXT($E466,"yyyy-mm-dd")&amp;".jpg")</f>
        <v/>
      </c>
      <c r="Q466" s="25">
        <f>IF($B466="","",IF(COUNTIF(campaigns!$A$2:$A$51,$B466)=0,"campaign_id not on campaigns; ",IF(AND($C466&lt;&gt;"",COUNTIFS(approvals!$A$2:$A$251,$B466,approvals!$B$2:$B$251,$C466)=0),"office not on this campaign (approvals tab); ",""))&amp;IF($E466="","taken date missing; ","")&amp;IF(AND($H466&lt;&gt;"",$H466&lt;&gt;$P466),"file name differs from the convention; ","")&amp;IF(AND($D466="placement",$O466="Y",COUNTIF(photos!$R$2:$R$701,$R466)&gt;1),"two usable placement photos: mark one N; ","")&amp;IF($K466&lt;&gt;"Y","info: not usable (a person, screen or whiteboard may show): never used, delete the file; ","")&amp;IF(AND($D466="placement",$J466&lt;&gt;"Y"),"info: not usable as a placement photo (no card); ","")&amp;IF(AND($D466="placement",N($N466)&gt;2),"info: placed after the first business day; ","")&amp;IF(AND($D466="later",$N466&lt;&gt;"",OR(N($N466)&lt;3,N($N466)&gt;5)),"info: later photo outside day 3 to 5; ",""))</f>
        <v/>
      </c>
      <c r="R466" s="25">
        <f>IF($B466="","",$B466&amp;"|"&amp;$C466&amp;"|"&amp;$D466&amp;"|"&amp;$O466)</f>
        <v/>
      </c>
      <c r="S466" s="25">
        <f>IF($B466="","",$R466&amp;"|"&amp;N($E466))</f>
        <v/>
      </c>
    </row>
    <row r="467">
      <c r="E467" s="9" t="n"/>
      <c r="F467" s="33" t="n"/>
      <c r="I467" s="9" t="n"/>
      <c r="M467" s="26">
        <f>IF($B467="","",IFERROR(IF(INDEX(campaigns!$BG$2:$BG$51,MATCH($B467,campaigns!$A$2:$A$51,0))="","",INDEX(campaigns!$BG$2:$BG$51,MATCH($B467,campaigns!$A$2:$A$51,0))),""))</f>
        <v/>
      </c>
      <c r="N467" s="25">
        <f>IF(OR($B467="",$E467="",$M467=""),"",IF($E467&lt;$M467,0,NETWORKDAYS($M467,$E467,calendar!$A$2:$A$80)))</f>
        <v/>
      </c>
      <c r="O467" s="25">
        <f>IF($B467="","",IF(AND($K467="Y",OR($D467="later",$J467="Y")),"Y","N"))</f>
        <v/>
      </c>
      <c r="P467" s="25">
        <f>IF(OR($B467="",$E467=""),"",$B467&amp;"_"&amp;$C467&amp;"_"&amp;$D467&amp;"_"&amp;TEXT($E467,"yyyy-mm-dd")&amp;".jpg")</f>
        <v/>
      </c>
      <c r="Q467" s="25">
        <f>IF($B467="","",IF(COUNTIF(campaigns!$A$2:$A$51,$B467)=0,"campaign_id not on campaigns; ",IF(AND($C467&lt;&gt;"",COUNTIFS(approvals!$A$2:$A$251,$B467,approvals!$B$2:$B$251,$C467)=0),"office not on this campaign (approvals tab); ",""))&amp;IF($E467="","taken date missing; ","")&amp;IF(AND($H467&lt;&gt;"",$H467&lt;&gt;$P467),"file name differs from the convention; ","")&amp;IF(AND($D467="placement",$O467="Y",COUNTIF(photos!$R$2:$R$701,$R467)&gt;1),"two usable placement photos: mark one N; ","")&amp;IF($K467&lt;&gt;"Y","info: not usable (a person, screen or whiteboard may show): never used, delete the file; ","")&amp;IF(AND($D467="placement",$J467&lt;&gt;"Y"),"info: not usable as a placement photo (no card); ","")&amp;IF(AND($D467="placement",N($N467)&gt;2),"info: placed after the first business day; ","")&amp;IF(AND($D467="later",$N467&lt;&gt;"",OR(N($N467)&lt;3,N($N467)&gt;5)),"info: later photo outside day 3 to 5; ",""))</f>
        <v/>
      </c>
      <c r="R467" s="25">
        <f>IF($B467="","",$B467&amp;"|"&amp;$C467&amp;"|"&amp;$D467&amp;"|"&amp;$O467)</f>
        <v/>
      </c>
      <c r="S467" s="25">
        <f>IF($B467="","",$R467&amp;"|"&amp;N($E467))</f>
        <v/>
      </c>
    </row>
    <row r="468">
      <c r="E468" s="9" t="n"/>
      <c r="F468" s="33" t="n"/>
      <c r="I468" s="9" t="n"/>
      <c r="M468" s="26">
        <f>IF($B468="","",IFERROR(IF(INDEX(campaigns!$BG$2:$BG$51,MATCH($B468,campaigns!$A$2:$A$51,0))="","",INDEX(campaigns!$BG$2:$BG$51,MATCH($B468,campaigns!$A$2:$A$51,0))),""))</f>
        <v/>
      </c>
      <c r="N468" s="25">
        <f>IF(OR($B468="",$E468="",$M468=""),"",IF($E468&lt;$M468,0,NETWORKDAYS($M468,$E468,calendar!$A$2:$A$80)))</f>
        <v/>
      </c>
      <c r="O468" s="25">
        <f>IF($B468="","",IF(AND($K468="Y",OR($D468="later",$J468="Y")),"Y","N"))</f>
        <v/>
      </c>
      <c r="P468" s="25">
        <f>IF(OR($B468="",$E468=""),"",$B468&amp;"_"&amp;$C468&amp;"_"&amp;$D468&amp;"_"&amp;TEXT($E468,"yyyy-mm-dd")&amp;".jpg")</f>
        <v/>
      </c>
      <c r="Q468" s="25">
        <f>IF($B468="","",IF(COUNTIF(campaigns!$A$2:$A$51,$B468)=0,"campaign_id not on campaigns; ",IF(AND($C468&lt;&gt;"",COUNTIFS(approvals!$A$2:$A$251,$B468,approvals!$B$2:$B$251,$C468)=0),"office not on this campaign (approvals tab); ",""))&amp;IF($E468="","taken date missing; ","")&amp;IF(AND($H468&lt;&gt;"",$H468&lt;&gt;$P468),"file name differs from the convention; ","")&amp;IF(AND($D468="placement",$O468="Y",COUNTIF(photos!$R$2:$R$701,$R468)&gt;1),"two usable placement photos: mark one N; ","")&amp;IF($K468&lt;&gt;"Y","info: not usable (a person, screen or whiteboard may show): never used, delete the file; ","")&amp;IF(AND($D468="placement",$J468&lt;&gt;"Y"),"info: not usable as a placement photo (no card); ","")&amp;IF(AND($D468="placement",N($N468)&gt;2),"info: placed after the first business day; ","")&amp;IF(AND($D468="later",$N468&lt;&gt;"",OR(N($N468)&lt;3,N($N468)&gt;5)),"info: later photo outside day 3 to 5; ",""))</f>
        <v/>
      </c>
      <c r="R468" s="25">
        <f>IF($B468="","",$B468&amp;"|"&amp;$C468&amp;"|"&amp;$D468&amp;"|"&amp;$O468)</f>
        <v/>
      </c>
      <c r="S468" s="25">
        <f>IF($B468="","",$R468&amp;"|"&amp;N($E468))</f>
        <v/>
      </c>
    </row>
    <row r="469">
      <c r="E469" s="9" t="n"/>
      <c r="F469" s="33" t="n"/>
      <c r="I469" s="9" t="n"/>
      <c r="M469" s="26">
        <f>IF($B469="","",IFERROR(IF(INDEX(campaigns!$BG$2:$BG$51,MATCH($B469,campaigns!$A$2:$A$51,0))="","",INDEX(campaigns!$BG$2:$BG$51,MATCH($B469,campaigns!$A$2:$A$51,0))),""))</f>
        <v/>
      </c>
      <c r="N469" s="25">
        <f>IF(OR($B469="",$E469="",$M469=""),"",IF($E469&lt;$M469,0,NETWORKDAYS($M469,$E469,calendar!$A$2:$A$80)))</f>
        <v/>
      </c>
      <c r="O469" s="25">
        <f>IF($B469="","",IF(AND($K469="Y",OR($D469="later",$J469="Y")),"Y","N"))</f>
        <v/>
      </c>
      <c r="P469" s="25">
        <f>IF(OR($B469="",$E469=""),"",$B469&amp;"_"&amp;$C469&amp;"_"&amp;$D469&amp;"_"&amp;TEXT($E469,"yyyy-mm-dd")&amp;".jpg")</f>
        <v/>
      </c>
      <c r="Q469" s="25">
        <f>IF($B469="","",IF(COUNTIF(campaigns!$A$2:$A$51,$B469)=0,"campaign_id not on campaigns; ",IF(AND($C469&lt;&gt;"",COUNTIFS(approvals!$A$2:$A$251,$B469,approvals!$B$2:$B$251,$C469)=0),"office not on this campaign (approvals tab); ",""))&amp;IF($E469="","taken date missing; ","")&amp;IF(AND($H469&lt;&gt;"",$H469&lt;&gt;$P469),"file name differs from the convention; ","")&amp;IF(AND($D469="placement",$O469="Y",COUNTIF(photos!$R$2:$R$701,$R469)&gt;1),"two usable placement photos: mark one N; ","")&amp;IF($K469&lt;&gt;"Y","info: not usable (a person, screen or whiteboard may show): never used, delete the file; ","")&amp;IF(AND($D469="placement",$J469&lt;&gt;"Y"),"info: not usable as a placement photo (no card); ","")&amp;IF(AND($D469="placement",N($N469)&gt;2),"info: placed after the first business day; ","")&amp;IF(AND($D469="later",$N469&lt;&gt;"",OR(N($N469)&lt;3,N($N469)&gt;5)),"info: later photo outside day 3 to 5; ",""))</f>
        <v/>
      </c>
      <c r="R469" s="25">
        <f>IF($B469="","",$B469&amp;"|"&amp;$C469&amp;"|"&amp;$D469&amp;"|"&amp;$O469)</f>
        <v/>
      </c>
      <c r="S469" s="25">
        <f>IF($B469="","",$R469&amp;"|"&amp;N($E469))</f>
        <v/>
      </c>
    </row>
    <row r="470">
      <c r="E470" s="9" t="n"/>
      <c r="F470" s="33" t="n"/>
      <c r="I470" s="9" t="n"/>
      <c r="M470" s="26">
        <f>IF($B470="","",IFERROR(IF(INDEX(campaigns!$BG$2:$BG$51,MATCH($B470,campaigns!$A$2:$A$51,0))="","",INDEX(campaigns!$BG$2:$BG$51,MATCH($B470,campaigns!$A$2:$A$51,0))),""))</f>
        <v/>
      </c>
      <c r="N470" s="25">
        <f>IF(OR($B470="",$E470="",$M470=""),"",IF($E470&lt;$M470,0,NETWORKDAYS($M470,$E470,calendar!$A$2:$A$80)))</f>
        <v/>
      </c>
      <c r="O470" s="25">
        <f>IF($B470="","",IF(AND($K470="Y",OR($D470="later",$J470="Y")),"Y","N"))</f>
        <v/>
      </c>
      <c r="P470" s="25">
        <f>IF(OR($B470="",$E470=""),"",$B470&amp;"_"&amp;$C470&amp;"_"&amp;$D470&amp;"_"&amp;TEXT($E470,"yyyy-mm-dd")&amp;".jpg")</f>
        <v/>
      </c>
      <c r="Q470" s="25">
        <f>IF($B470="","",IF(COUNTIF(campaigns!$A$2:$A$51,$B470)=0,"campaign_id not on campaigns; ",IF(AND($C470&lt;&gt;"",COUNTIFS(approvals!$A$2:$A$251,$B470,approvals!$B$2:$B$251,$C470)=0),"office not on this campaign (approvals tab); ",""))&amp;IF($E470="","taken date missing; ","")&amp;IF(AND($H470&lt;&gt;"",$H470&lt;&gt;$P470),"file name differs from the convention; ","")&amp;IF(AND($D470="placement",$O470="Y",COUNTIF(photos!$R$2:$R$701,$R470)&gt;1),"two usable placement photos: mark one N; ","")&amp;IF($K470&lt;&gt;"Y","info: not usable (a person, screen or whiteboard may show): never used, delete the file; ","")&amp;IF(AND($D470="placement",$J470&lt;&gt;"Y"),"info: not usable as a placement photo (no card); ","")&amp;IF(AND($D470="placement",N($N470)&gt;2),"info: placed after the first business day; ","")&amp;IF(AND($D470="later",$N470&lt;&gt;"",OR(N($N470)&lt;3,N($N470)&gt;5)),"info: later photo outside day 3 to 5; ",""))</f>
        <v/>
      </c>
      <c r="R470" s="25">
        <f>IF($B470="","",$B470&amp;"|"&amp;$C470&amp;"|"&amp;$D470&amp;"|"&amp;$O470)</f>
        <v/>
      </c>
      <c r="S470" s="25">
        <f>IF($B470="","",$R470&amp;"|"&amp;N($E470))</f>
        <v/>
      </c>
    </row>
    <row r="471">
      <c r="E471" s="9" t="n"/>
      <c r="F471" s="33" t="n"/>
      <c r="I471" s="9" t="n"/>
      <c r="M471" s="26">
        <f>IF($B471="","",IFERROR(IF(INDEX(campaigns!$BG$2:$BG$51,MATCH($B471,campaigns!$A$2:$A$51,0))="","",INDEX(campaigns!$BG$2:$BG$51,MATCH($B471,campaigns!$A$2:$A$51,0))),""))</f>
        <v/>
      </c>
      <c r="N471" s="25">
        <f>IF(OR($B471="",$E471="",$M471=""),"",IF($E471&lt;$M471,0,NETWORKDAYS($M471,$E471,calendar!$A$2:$A$80)))</f>
        <v/>
      </c>
      <c r="O471" s="25">
        <f>IF($B471="","",IF(AND($K471="Y",OR($D471="later",$J471="Y")),"Y","N"))</f>
        <v/>
      </c>
      <c r="P471" s="25">
        <f>IF(OR($B471="",$E471=""),"",$B471&amp;"_"&amp;$C471&amp;"_"&amp;$D471&amp;"_"&amp;TEXT($E471,"yyyy-mm-dd")&amp;".jpg")</f>
        <v/>
      </c>
      <c r="Q471" s="25">
        <f>IF($B471="","",IF(COUNTIF(campaigns!$A$2:$A$51,$B471)=0,"campaign_id not on campaigns; ",IF(AND($C471&lt;&gt;"",COUNTIFS(approvals!$A$2:$A$251,$B471,approvals!$B$2:$B$251,$C471)=0),"office not on this campaign (approvals tab); ",""))&amp;IF($E471="","taken date missing; ","")&amp;IF(AND($H471&lt;&gt;"",$H471&lt;&gt;$P471),"file name differs from the convention; ","")&amp;IF(AND($D471="placement",$O471="Y",COUNTIF(photos!$R$2:$R$701,$R471)&gt;1),"two usable placement photos: mark one N; ","")&amp;IF($K471&lt;&gt;"Y","info: not usable (a person, screen or whiteboard may show): never used, delete the file; ","")&amp;IF(AND($D471="placement",$J471&lt;&gt;"Y"),"info: not usable as a placement photo (no card); ","")&amp;IF(AND($D471="placement",N($N471)&gt;2),"info: placed after the first business day; ","")&amp;IF(AND($D471="later",$N471&lt;&gt;"",OR(N($N471)&lt;3,N($N471)&gt;5)),"info: later photo outside day 3 to 5; ",""))</f>
        <v/>
      </c>
      <c r="R471" s="25">
        <f>IF($B471="","",$B471&amp;"|"&amp;$C471&amp;"|"&amp;$D471&amp;"|"&amp;$O471)</f>
        <v/>
      </c>
      <c r="S471" s="25">
        <f>IF($B471="","",$R471&amp;"|"&amp;N($E471))</f>
        <v/>
      </c>
    </row>
    <row r="472">
      <c r="E472" s="9" t="n"/>
      <c r="F472" s="33" t="n"/>
      <c r="I472" s="9" t="n"/>
      <c r="M472" s="26">
        <f>IF($B472="","",IFERROR(IF(INDEX(campaigns!$BG$2:$BG$51,MATCH($B472,campaigns!$A$2:$A$51,0))="","",INDEX(campaigns!$BG$2:$BG$51,MATCH($B472,campaigns!$A$2:$A$51,0))),""))</f>
        <v/>
      </c>
      <c r="N472" s="25">
        <f>IF(OR($B472="",$E472="",$M472=""),"",IF($E472&lt;$M472,0,NETWORKDAYS($M472,$E472,calendar!$A$2:$A$80)))</f>
        <v/>
      </c>
      <c r="O472" s="25">
        <f>IF($B472="","",IF(AND($K472="Y",OR($D472="later",$J472="Y")),"Y","N"))</f>
        <v/>
      </c>
      <c r="P472" s="25">
        <f>IF(OR($B472="",$E472=""),"",$B472&amp;"_"&amp;$C472&amp;"_"&amp;$D472&amp;"_"&amp;TEXT($E472,"yyyy-mm-dd")&amp;".jpg")</f>
        <v/>
      </c>
      <c r="Q472" s="25">
        <f>IF($B472="","",IF(COUNTIF(campaigns!$A$2:$A$51,$B472)=0,"campaign_id not on campaigns; ",IF(AND($C472&lt;&gt;"",COUNTIFS(approvals!$A$2:$A$251,$B472,approvals!$B$2:$B$251,$C472)=0),"office not on this campaign (approvals tab); ",""))&amp;IF($E472="","taken date missing; ","")&amp;IF(AND($H472&lt;&gt;"",$H472&lt;&gt;$P472),"file name differs from the convention; ","")&amp;IF(AND($D472="placement",$O472="Y",COUNTIF(photos!$R$2:$R$701,$R472)&gt;1),"two usable placement photos: mark one N; ","")&amp;IF($K472&lt;&gt;"Y","info: not usable (a person, screen or whiteboard may show): never used, delete the file; ","")&amp;IF(AND($D472="placement",$J472&lt;&gt;"Y"),"info: not usable as a placement photo (no card); ","")&amp;IF(AND($D472="placement",N($N472)&gt;2),"info: placed after the first business day; ","")&amp;IF(AND($D472="later",$N472&lt;&gt;"",OR(N($N472)&lt;3,N($N472)&gt;5)),"info: later photo outside day 3 to 5; ",""))</f>
        <v/>
      </c>
      <c r="R472" s="25">
        <f>IF($B472="","",$B472&amp;"|"&amp;$C472&amp;"|"&amp;$D472&amp;"|"&amp;$O472)</f>
        <v/>
      </c>
      <c r="S472" s="25">
        <f>IF($B472="","",$R472&amp;"|"&amp;N($E472))</f>
        <v/>
      </c>
    </row>
    <row r="473">
      <c r="E473" s="9" t="n"/>
      <c r="F473" s="33" t="n"/>
      <c r="I473" s="9" t="n"/>
      <c r="M473" s="26">
        <f>IF($B473="","",IFERROR(IF(INDEX(campaigns!$BG$2:$BG$51,MATCH($B473,campaigns!$A$2:$A$51,0))="","",INDEX(campaigns!$BG$2:$BG$51,MATCH($B473,campaigns!$A$2:$A$51,0))),""))</f>
        <v/>
      </c>
      <c r="N473" s="25">
        <f>IF(OR($B473="",$E473="",$M473=""),"",IF($E473&lt;$M473,0,NETWORKDAYS($M473,$E473,calendar!$A$2:$A$80)))</f>
        <v/>
      </c>
      <c r="O473" s="25">
        <f>IF($B473="","",IF(AND($K473="Y",OR($D473="later",$J473="Y")),"Y","N"))</f>
        <v/>
      </c>
      <c r="P473" s="25">
        <f>IF(OR($B473="",$E473=""),"",$B473&amp;"_"&amp;$C473&amp;"_"&amp;$D473&amp;"_"&amp;TEXT($E473,"yyyy-mm-dd")&amp;".jpg")</f>
        <v/>
      </c>
      <c r="Q473" s="25">
        <f>IF($B473="","",IF(COUNTIF(campaigns!$A$2:$A$51,$B473)=0,"campaign_id not on campaigns; ",IF(AND($C473&lt;&gt;"",COUNTIFS(approvals!$A$2:$A$251,$B473,approvals!$B$2:$B$251,$C473)=0),"office not on this campaign (approvals tab); ",""))&amp;IF($E473="","taken date missing; ","")&amp;IF(AND($H473&lt;&gt;"",$H473&lt;&gt;$P473),"file name differs from the convention; ","")&amp;IF(AND($D473="placement",$O473="Y",COUNTIF(photos!$R$2:$R$701,$R473)&gt;1),"two usable placement photos: mark one N; ","")&amp;IF($K473&lt;&gt;"Y","info: not usable (a person, screen or whiteboard may show): never used, delete the file; ","")&amp;IF(AND($D473="placement",$J473&lt;&gt;"Y"),"info: not usable as a placement photo (no card); ","")&amp;IF(AND($D473="placement",N($N473)&gt;2),"info: placed after the first business day; ","")&amp;IF(AND($D473="later",$N473&lt;&gt;"",OR(N($N473)&lt;3,N($N473)&gt;5)),"info: later photo outside day 3 to 5; ",""))</f>
        <v/>
      </c>
      <c r="R473" s="25">
        <f>IF($B473="","",$B473&amp;"|"&amp;$C473&amp;"|"&amp;$D473&amp;"|"&amp;$O473)</f>
        <v/>
      </c>
      <c r="S473" s="25">
        <f>IF($B473="","",$R473&amp;"|"&amp;N($E473))</f>
        <v/>
      </c>
    </row>
    <row r="474">
      <c r="E474" s="9" t="n"/>
      <c r="F474" s="33" t="n"/>
      <c r="I474" s="9" t="n"/>
      <c r="M474" s="26">
        <f>IF($B474="","",IFERROR(IF(INDEX(campaigns!$BG$2:$BG$51,MATCH($B474,campaigns!$A$2:$A$51,0))="","",INDEX(campaigns!$BG$2:$BG$51,MATCH($B474,campaigns!$A$2:$A$51,0))),""))</f>
        <v/>
      </c>
      <c r="N474" s="25">
        <f>IF(OR($B474="",$E474="",$M474=""),"",IF($E474&lt;$M474,0,NETWORKDAYS($M474,$E474,calendar!$A$2:$A$80)))</f>
        <v/>
      </c>
      <c r="O474" s="25">
        <f>IF($B474="","",IF(AND($K474="Y",OR($D474="later",$J474="Y")),"Y","N"))</f>
        <v/>
      </c>
      <c r="P474" s="25">
        <f>IF(OR($B474="",$E474=""),"",$B474&amp;"_"&amp;$C474&amp;"_"&amp;$D474&amp;"_"&amp;TEXT($E474,"yyyy-mm-dd")&amp;".jpg")</f>
        <v/>
      </c>
      <c r="Q474" s="25">
        <f>IF($B474="","",IF(COUNTIF(campaigns!$A$2:$A$51,$B474)=0,"campaign_id not on campaigns; ",IF(AND($C474&lt;&gt;"",COUNTIFS(approvals!$A$2:$A$251,$B474,approvals!$B$2:$B$251,$C474)=0),"office not on this campaign (approvals tab); ",""))&amp;IF($E474="","taken date missing; ","")&amp;IF(AND($H474&lt;&gt;"",$H474&lt;&gt;$P474),"file name differs from the convention; ","")&amp;IF(AND($D474="placement",$O474="Y",COUNTIF(photos!$R$2:$R$701,$R474)&gt;1),"two usable placement photos: mark one N; ","")&amp;IF($K474&lt;&gt;"Y","info: not usable (a person, screen or whiteboard may show): never used, delete the file; ","")&amp;IF(AND($D474="placement",$J474&lt;&gt;"Y"),"info: not usable as a placement photo (no card); ","")&amp;IF(AND($D474="placement",N($N474)&gt;2),"info: placed after the first business day; ","")&amp;IF(AND($D474="later",$N474&lt;&gt;"",OR(N($N474)&lt;3,N($N474)&gt;5)),"info: later photo outside day 3 to 5; ",""))</f>
        <v/>
      </c>
      <c r="R474" s="25">
        <f>IF($B474="","",$B474&amp;"|"&amp;$C474&amp;"|"&amp;$D474&amp;"|"&amp;$O474)</f>
        <v/>
      </c>
      <c r="S474" s="25">
        <f>IF($B474="","",$R474&amp;"|"&amp;N($E474))</f>
        <v/>
      </c>
    </row>
    <row r="475">
      <c r="E475" s="9" t="n"/>
      <c r="F475" s="33" t="n"/>
      <c r="I475" s="9" t="n"/>
      <c r="M475" s="26">
        <f>IF($B475="","",IFERROR(IF(INDEX(campaigns!$BG$2:$BG$51,MATCH($B475,campaigns!$A$2:$A$51,0))="","",INDEX(campaigns!$BG$2:$BG$51,MATCH($B475,campaigns!$A$2:$A$51,0))),""))</f>
        <v/>
      </c>
      <c r="N475" s="25">
        <f>IF(OR($B475="",$E475="",$M475=""),"",IF($E475&lt;$M475,0,NETWORKDAYS($M475,$E475,calendar!$A$2:$A$80)))</f>
        <v/>
      </c>
      <c r="O475" s="25">
        <f>IF($B475="","",IF(AND($K475="Y",OR($D475="later",$J475="Y")),"Y","N"))</f>
        <v/>
      </c>
      <c r="P475" s="25">
        <f>IF(OR($B475="",$E475=""),"",$B475&amp;"_"&amp;$C475&amp;"_"&amp;$D475&amp;"_"&amp;TEXT($E475,"yyyy-mm-dd")&amp;".jpg")</f>
        <v/>
      </c>
      <c r="Q475" s="25">
        <f>IF($B475="","",IF(COUNTIF(campaigns!$A$2:$A$51,$B475)=0,"campaign_id not on campaigns; ",IF(AND($C475&lt;&gt;"",COUNTIFS(approvals!$A$2:$A$251,$B475,approvals!$B$2:$B$251,$C475)=0),"office not on this campaign (approvals tab); ",""))&amp;IF($E475="","taken date missing; ","")&amp;IF(AND($H475&lt;&gt;"",$H475&lt;&gt;$P475),"file name differs from the convention; ","")&amp;IF(AND($D475="placement",$O475="Y",COUNTIF(photos!$R$2:$R$701,$R475)&gt;1),"two usable placement photos: mark one N; ","")&amp;IF($K475&lt;&gt;"Y","info: not usable (a person, screen or whiteboard may show): never used, delete the file; ","")&amp;IF(AND($D475="placement",$J475&lt;&gt;"Y"),"info: not usable as a placement photo (no card); ","")&amp;IF(AND($D475="placement",N($N475)&gt;2),"info: placed after the first business day; ","")&amp;IF(AND($D475="later",$N475&lt;&gt;"",OR(N($N475)&lt;3,N($N475)&gt;5)),"info: later photo outside day 3 to 5; ",""))</f>
        <v/>
      </c>
      <c r="R475" s="25">
        <f>IF($B475="","",$B475&amp;"|"&amp;$C475&amp;"|"&amp;$D475&amp;"|"&amp;$O475)</f>
        <v/>
      </c>
      <c r="S475" s="25">
        <f>IF($B475="","",$R475&amp;"|"&amp;N($E475))</f>
        <v/>
      </c>
    </row>
    <row r="476">
      <c r="E476" s="9" t="n"/>
      <c r="F476" s="33" t="n"/>
      <c r="I476" s="9" t="n"/>
      <c r="M476" s="26">
        <f>IF($B476="","",IFERROR(IF(INDEX(campaigns!$BG$2:$BG$51,MATCH($B476,campaigns!$A$2:$A$51,0))="","",INDEX(campaigns!$BG$2:$BG$51,MATCH($B476,campaigns!$A$2:$A$51,0))),""))</f>
        <v/>
      </c>
      <c r="N476" s="25">
        <f>IF(OR($B476="",$E476="",$M476=""),"",IF($E476&lt;$M476,0,NETWORKDAYS($M476,$E476,calendar!$A$2:$A$80)))</f>
        <v/>
      </c>
      <c r="O476" s="25">
        <f>IF($B476="","",IF(AND($K476="Y",OR($D476="later",$J476="Y")),"Y","N"))</f>
        <v/>
      </c>
      <c r="P476" s="25">
        <f>IF(OR($B476="",$E476=""),"",$B476&amp;"_"&amp;$C476&amp;"_"&amp;$D476&amp;"_"&amp;TEXT($E476,"yyyy-mm-dd")&amp;".jpg")</f>
        <v/>
      </c>
      <c r="Q476" s="25">
        <f>IF($B476="","",IF(COUNTIF(campaigns!$A$2:$A$51,$B476)=0,"campaign_id not on campaigns; ",IF(AND($C476&lt;&gt;"",COUNTIFS(approvals!$A$2:$A$251,$B476,approvals!$B$2:$B$251,$C476)=0),"office not on this campaign (approvals tab); ",""))&amp;IF($E476="","taken date missing; ","")&amp;IF(AND($H476&lt;&gt;"",$H476&lt;&gt;$P476),"file name differs from the convention; ","")&amp;IF(AND($D476="placement",$O476="Y",COUNTIF(photos!$R$2:$R$701,$R476)&gt;1),"two usable placement photos: mark one N; ","")&amp;IF($K476&lt;&gt;"Y","info: not usable (a person, screen or whiteboard may show): never used, delete the file; ","")&amp;IF(AND($D476="placement",$J476&lt;&gt;"Y"),"info: not usable as a placement photo (no card); ","")&amp;IF(AND($D476="placement",N($N476)&gt;2),"info: placed after the first business day; ","")&amp;IF(AND($D476="later",$N476&lt;&gt;"",OR(N($N476)&lt;3,N($N476)&gt;5)),"info: later photo outside day 3 to 5; ",""))</f>
        <v/>
      </c>
      <c r="R476" s="25">
        <f>IF($B476="","",$B476&amp;"|"&amp;$C476&amp;"|"&amp;$D476&amp;"|"&amp;$O476)</f>
        <v/>
      </c>
      <c r="S476" s="25">
        <f>IF($B476="","",$R476&amp;"|"&amp;N($E476))</f>
        <v/>
      </c>
    </row>
    <row r="477">
      <c r="E477" s="9" t="n"/>
      <c r="F477" s="33" t="n"/>
      <c r="I477" s="9" t="n"/>
      <c r="M477" s="26">
        <f>IF($B477="","",IFERROR(IF(INDEX(campaigns!$BG$2:$BG$51,MATCH($B477,campaigns!$A$2:$A$51,0))="","",INDEX(campaigns!$BG$2:$BG$51,MATCH($B477,campaigns!$A$2:$A$51,0))),""))</f>
        <v/>
      </c>
      <c r="N477" s="25">
        <f>IF(OR($B477="",$E477="",$M477=""),"",IF($E477&lt;$M477,0,NETWORKDAYS($M477,$E477,calendar!$A$2:$A$80)))</f>
        <v/>
      </c>
      <c r="O477" s="25">
        <f>IF($B477="","",IF(AND($K477="Y",OR($D477="later",$J477="Y")),"Y","N"))</f>
        <v/>
      </c>
      <c r="P477" s="25">
        <f>IF(OR($B477="",$E477=""),"",$B477&amp;"_"&amp;$C477&amp;"_"&amp;$D477&amp;"_"&amp;TEXT($E477,"yyyy-mm-dd")&amp;".jpg")</f>
        <v/>
      </c>
      <c r="Q477" s="25">
        <f>IF($B477="","",IF(COUNTIF(campaigns!$A$2:$A$51,$B477)=0,"campaign_id not on campaigns; ",IF(AND($C477&lt;&gt;"",COUNTIFS(approvals!$A$2:$A$251,$B477,approvals!$B$2:$B$251,$C477)=0),"office not on this campaign (approvals tab); ",""))&amp;IF($E477="","taken date missing; ","")&amp;IF(AND($H477&lt;&gt;"",$H477&lt;&gt;$P477),"file name differs from the convention; ","")&amp;IF(AND($D477="placement",$O477="Y",COUNTIF(photos!$R$2:$R$701,$R477)&gt;1),"two usable placement photos: mark one N; ","")&amp;IF($K477&lt;&gt;"Y","info: not usable (a person, screen or whiteboard may show): never used, delete the file; ","")&amp;IF(AND($D477="placement",$J477&lt;&gt;"Y"),"info: not usable as a placement photo (no card); ","")&amp;IF(AND($D477="placement",N($N477)&gt;2),"info: placed after the first business day; ","")&amp;IF(AND($D477="later",$N477&lt;&gt;"",OR(N($N477)&lt;3,N($N477)&gt;5)),"info: later photo outside day 3 to 5; ",""))</f>
        <v/>
      </c>
      <c r="R477" s="25">
        <f>IF($B477="","",$B477&amp;"|"&amp;$C477&amp;"|"&amp;$D477&amp;"|"&amp;$O477)</f>
        <v/>
      </c>
      <c r="S477" s="25">
        <f>IF($B477="","",$R477&amp;"|"&amp;N($E477))</f>
        <v/>
      </c>
    </row>
    <row r="478">
      <c r="E478" s="9" t="n"/>
      <c r="F478" s="33" t="n"/>
      <c r="I478" s="9" t="n"/>
      <c r="M478" s="26">
        <f>IF($B478="","",IFERROR(IF(INDEX(campaigns!$BG$2:$BG$51,MATCH($B478,campaigns!$A$2:$A$51,0))="","",INDEX(campaigns!$BG$2:$BG$51,MATCH($B478,campaigns!$A$2:$A$51,0))),""))</f>
        <v/>
      </c>
      <c r="N478" s="25">
        <f>IF(OR($B478="",$E478="",$M478=""),"",IF($E478&lt;$M478,0,NETWORKDAYS($M478,$E478,calendar!$A$2:$A$80)))</f>
        <v/>
      </c>
      <c r="O478" s="25">
        <f>IF($B478="","",IF(AND($K478="Y",OR($D478="later",$J478="Y")),"Y","N"))</f>
        <v/>
      </c>
      <c r="P478" s="25">
        <f>IF(OR($B478="",$E478=""),"",$B478&amp;"_"&amp;$C478&amp;"_"&amp;$D478&amp;"_"&amp;TEXT($E478,"yyyy-mm-dd")&amp;".jpg")</f>
        <v/>
      </c>
      <c r="Q478" s="25">
        <f>IF($B478="","",IF(COUNTIF(campaigns!$A$2:$A$51,$B478)=0,"campaign_id not on campaigns; ",IF(AND($C478&lt;&gt;"",COUNTIFS(approvals!$A$2:$A$251,$B478,approvals!$B$2:$B$251,$C478)=0),"office not on this campaign (approvals tab); ",""))&amp;IF($E478="","taken date missing; ","")&amp;IF(AND($H478&lt;&gt;"",$H478&lt;&gt;$P478),"file name differs from the convention; ","")&amp;IF(AND($D478="placement",$O478="Y",COUNTIF(photos!$R$2:$R$701,$R478)&gt;1),"two usable placement photos: mark one N; ","")&amp;IF($K478&lt;&gt;"Y","info: not usable (a person, screen or whiteboard may show): never used, delete the file; ","")&amp;IF(AND($D478="placement",$J478&lt;&gt;"Y"),"info: not usable as a placement photo (no card); ","")&amp;IF(AND($D478="placement",N($N478)&gt;2),"info: placed after the first business day; ","")&amp;IF(AND($D478="later",$N478&lt;&gt;"",OR(N($N478)&lt;3,N($N478)&gt;5)),"info: later photo outside day 3 to 5; ",""))</f>
        <v/>
      </c>
      <c r="R478" s="25">
        <f>IF($B478="","",$B478&amp;"|"&amp;$C478&amp;"|"&amp;$D478&amp;"|"&amp;$O478)</f>
        <v/>
      </c>
      <c r="S478" s="25">
        <f>IF($B478="","",$R478&amp;"|"&amp;N($E478))</f>
        <v/>
      </c>
    </row>
    <row r="479">
      <c r="E479" s="9" t="n"/>
      <c r="F479" s="33" t="n"/>
      <c r="I479" s="9" t="n"/>
      <c r="M479" s="26">
        <f>IF($B479="","",IFERROR(IF(INDEX(campaigns!$BG$2:$BG$51,MATCH($B479,campaigns!$A$2:$A$51,0))="","",INDEX(campaigns!$BG$2:$BG$51,MATCH($B479,campaigns!$A$2:$A$51,0))),""))</f>
        <v/>
      </c>
      <c r="N479" s="25">
        <f>IF(OR($B479="",$E479="",$M479=""),"",IF($E479&lt;$M479,0,NETWORKDAYS($M479,$E479,calendar!$A$2:$A$80)))</f>
        <v/>
      </c>
      <c r="O479" s="25">
        <f>IF($B479="","",IF(AND($K479="Y",OR($D479="later",$J479="Y")),"Y","N"))</f>
        <v/>
      </c>
      <c r="P479" s="25">
        <f>IF(OR($B479="",$E479=""),"",$B479&amp;"_"&amp;$C479&amp;"_"&amp;$D479&amp;"_"&amp;TEXT($E479,"yyyy-mm-dd")&amp;".jpg")</f>
        <v/>
      </c>
      <c r="Q479" s="25">
        <f>IF($B479="","",IF(COUNTIF(campaigns!$A$2:$A$51,$B479)=0,"campaign_id not on campaigns; ",IF(AND($C479&lt;&gt;"",COUNTIFS(approvals!$A$2:$A$251,$B479,approvals!$B$2:$B$251,$C479)=0),"office not on this campaign (approvals tab); ",""))&amp;IF($E479="","taken date missing; ","")&amp;IF(AND($H479&lt;&gt;"",$H479&lt;&gt;$P479),"file name differs from the convention; ","")&amp;IF(AND($D479="placement",$O479="Y",COUNTIF(photos!$R$2:$R$701,$R479)&gt;1),"two usable placement photos: mark one N; ","")&amp;IF($K479&lt;&gt;"Y","info: not usable (a person, screen or whiteboard may show): never used, delete the file; ","")&amp;IF(AND($D479="placement",$J479&lt;&gt;"Y"),"info: not usable as a placement photo (no card); ","")&amp;IF(AND($D479="placement",N($N479)&gt;2),"info: placed after the first business day; ","")&amp;IF(AND($D479="later",$N479&lt;&gt;"",OR(N($N479)&lt;3,N($N479)&gt;5)),"info: later photo outside day 3 to 5; ",""))</f>
        <v/>
      </c>
      <c r="R479" s="25">
        <f>IF($B479="","",$B479&amp;"|"&amp;$C479&amp;"|"&amp;$D479&amp;"|"&amp;$O479)</f>
        <v/>
      </c>
      <c r="S479" s="25">
        <f>IF($B479="","",$R479&amp;"|"&amp;N($E479))</f>
        <v/>
      </c>
    </row>
    <row r="480">
      <c r="E480" s="9" t="n"/>
      <c r="F480" s="33" t="n"/>
      <c r="I480" s="9" t="n"/>
      <c r="M480" s="26">
        <f>IF($B480="","",IFERROR(IF(INDEX(campaigns!$BG$2:$BG$51,MATCH($B480,campaigns!$A$2:$A$51,0))="","",INDEX(campaigns!$BG$2:$BG$51,MATCH($B480,campaigns!$A$2:$A$51,0))),""))</f>
        <v/>
      </c>
      <c r="N480" s="25">
        <f>IF(OR($B480="",$E480="",$M480=""),"",IF($E480&lt;$M480,0,NETWORKDAYS($M480,$E480,calendar!$A$2:$A$80)))</f>
        <v/>
      </c>
      <c r="O480" s="25">
        <f>IF($B480="","",IF(AND($K480="Y",OR($D480="later",$J480="Y")),"Y","N"))</f>
        <v/>
      </c>
      <c r="P480" s="25">
        <f>IF(OR($B480="",$E480=""),"",$B480&amp;"_"&amp;$C480&amp;"_"&amp;$D480&amp;"_"&amp;TEXT($E480,"yyyy-mm-dd")&amp;".jpg")</f>
        <v/>
      </c>
      <c r="Q480" s="25">
        <f>IF($B480="","",IF(COUNTIF(campaigns!$A$2:$A$51,$B480)=0,"campaign_id not on campaigns; ",IF(AND($C480&lt;&gt;"",COUNTIFS(approvals!$A$2:$A$251,$B480,approvals!$B$2:$B$251,$C480)=0),"office not on this campaign (approvals tab); ",""))&amp;IF($E480="","taken date missing; ","")&amp;IF(AND($H480&lt;&gt;"",$H480&lt;&gt;$P480),"file name differs from the convention; ","")&amp;IF(AND($D480="placement",$O480="Y",COUNTIF(photos!$R$2:$R$701,$R480)&gt;1),"two usable placement photos: mark one N; ","")&amp;IF($K480&lt;&gt;"Y","info: not usable (a person, screen or whiteboard may show): never used, delete the file; ","")&amp;IF(AND($D480="placement",$J480&lt;&gt;"Y"),"info: not usable as a placement photo (no card); ","")&amp;IF(AND($D480="placement",N($N480)&gt;2),"info: placed after the first business day; ","")&amp;IF(AND($D480="later",$N480&lt;&gt;"",OR(N($N480)&lt;3,N($N480)&gt;5)),"info: later photo outside day 3 to 5; ",""))</f>
        <v/>
      </c>
      <c r="R480" s="25">
        <f>IF($B480="","",$B480&amp;"|"&amp;$C480&amp;"|"&amp;$D480&amp;"|"&amp;$O480)</f>
        <v/>
      </c>
      <c r="S480" s="25">
        <f>IF($B480="","",$R480&amp;"|"&amp;N($E480))</f>
        <v/>
      </c>
    </row>
    <row r="481">
      <c r="E481" s="9" t="n"/>
      <c r="F481" s="33" t="n"/>
      <c r="I481" s="9" t="n"/>
      <c r="M481" s="26">
        <f>IF($B481="","",IFERROR(IF(INDEX(campaigns!$BG$2:$BG$51,MATCH($B481,campaigns!$A$2:$A$51,0))="","",INDEX(campaigns!$BG$2:$BG$51,MATCH($B481,campaigns!$A$2:$A$51,0))),""))</f>
        <v/>
      </c>
      <c r="N481" s="25">
        <f>IF(OR($B481="",$E481="",$M481=""),"",IF($E481&lt;$M481,0,NETWORKDAYS($M481,$E481,calendar!$A$2:$A$80)))</f>
        <v/>
      </c>
      <c r="O481" s="25">
        <f>IF($B481="","",IF(AND($K481="Y",OR($D481="later",$J481="Y")),"Y","N"))</f>
        <v/>
      </c>
      <c r="P481" s="25">
        <f>IF(OR($B481="",$E481=""),"",$B481&amp;"_"&amp;$C481&amp;"_"&amp;$D481&amp;"_"&amp;TEXT($E481,"yyyy-mm-dd")&amp;".jpg")</f>
        <v/>
      </c>
      <c r="Q481" s="25">
        <f>IF($B481="","",IF(COUNTIF(campaigns!$A$2:$A$51,$B481)=0,"campaign_id not on campaigns; ",IF(AND($C481&lt;&gt;"",COUNTIFS(approvals!$A$2:$A$251,$B481,approvals!$B$2:$B$251,$C481)=0),"office not on this campaign (approvals tab); ",""))&amp;IF($E481="","taken date missing; ","")&amp;IF(AND($H481&lt;&gt;"",$H481&lt;&gt;$P481),"file name differs from the convention; ","")&amp;IF(AND($D481="placement",$O481="Y",COUNTIF(photos!$R$2:$R$701,$R481)&gt;1),"two usable placement photos: mark one N; ","")&amp;IF($K481&lt;&gt;"Y","info: not usable (a person, screen or whiteboard may show): never used, delete the file; ","")&amp;IF(AND($D481="placement",$J481&lt;&gt;"Y"),"info: not usable as a placement photo (no card); ","")&amp;IF(AND($D481="placement",N($N481)&gt;2),"info: placed after the first business day; ","")&amp;IF(AND($D481="later",$N481&lt;&gt;"",OR(N($N481)&lt;3,N($N481)&gt;5)),"info: later photo outside day 3 to 5; ",""))</f>
        <v/>
      </c>
      <c r="R481" s="25">
        <f>IF($B481="","",$B481&amp;"|"&amp;$C481&amp;"|"&amp;$D481&amp;"|"&amp;$O481)</f>
        <v/>
      </c>
      <c r="S481" s="25">
        <f>IF($B481="","",$R481&amp;"|"&amp;N($E481))</f>
        <v/>
      </c>
    </row>
    <row r="482">
      <c r="E482" s="9" t="n"/>
      <c r="F482" s="33" t="n"/>
      <c r="I482" s="9" t="n"/>
      <c r="M482" s="26">
        <f>IF($B482="","",IFERROR(IF(INDEX(campaigns!$BG$2:$BG$51,MATCH($B482,campaigns!$A$2:$A$51,0))="","",INDEX(campaigns!$BG$2:$BG$51,MATCH($B482,campaigns!$A$2:$A$51,0))),""))</f>
        <v/>
      </c>
      <c r="N482" s="25">
        <f>IF(OR($B482="",$E482="",$M482=""),"",IF($E482&lt;$M482,0,NETWORKDAYS($M482,$E482,calendar!$A$2:$A$80)))</f>
        <v/>
      </c>
      <c r="O482" s="25">
        <f>IF($B482="","",IF(AND($K482="Y",OR($D482="later",$J482="Y")),"Y","N"))</f>
        <v/>
      </c>
      <c r="P482" s="25">
        <f>IF(OR($B482="",$E482=""),"",$B482&amp;"_"&amp;$C482&amp;"_"&amp;$D482&amp;"_"&amp;TEXT($E482,"yyyy-mm-dd")&amp;".jpg")</f>
        <v/>
      </c>
      <c r="Q482" s="25">
        <f>IF($B482="","",IF(COUNTIF(campaigns!$A$2:$A$51,$B482)=0,"campaign_id not on campaigns; ",IF(AND($C482&lt;&gt;"",COUNTIFS(approvals!$A$2:$A$251,$B482,approvals!$B$2:$B$251,$C482)=0),"office not on this campaign (approvals tab); ",""))&amp;IF($E482="","taken date missing; ","")&amp;IF(AND($H482&lt;&gt;"",$H482&lt;&gt;$P482),"file name differs from the convention; ","")&amp;IF(AND($D482="placement",$O482="Y",COUNTIF(photos!$R$2:$R$701,$R482)&gt;1),"two usable placement photos: mark one N; ","")&amp;IF($K482&lt;&gt;"Y","info: not usable (a person, screen or whiteboard may show): never used, delete the file; ","")&amp;IF(AND($D482="placement",$J482&lt;&gt;"Y"),"info: not usable as a placement photo (no card); ","")&amp;IF(AND($D482="placement",N($N482)&gt;2),"info: placed after the first business day; ","")&amp;IF(AND($D482="later",$N482&lt;&gt;"",OR(N($N482)&lt;3,N($N482)&gt;5)),"info: later photo outside day 3 to 5; ",""))</f>
        <v/>
      </c>
      <c r="R482" s="25">
        <f>IF($B482="","",$B482&amp;"|"&amp;$C482&amp;"|"&amp;$D482&amp;"|"&amp;$O482)</f>
        <v/>
      </c>
      <c r="S482" s="25">
        <f>IF($B482="","",$R482&amp;"|"&amp;N($E482))</f>
        <v/>
      </c>
    </row>
    <row r="483">
      <c r="E483" s="9" t="n"/>
      <c r="F483" s="33" t="n"/>
      <c r="I483" s="9" t="n"/>
      <c r="M483" s="26">
        <f>IF($B483="","",IFERROR(IF(INDEX(campaigns!$BG$2:$BG$51,MATCH($B483,campaigns!$A$2:$A$51,0))="","",INDEX(campaigns!$BG$2:$BG$51,MATCH($B483,campaigns!$A$2:$A$51,0))),""))</f>
        <v/>
      </c>
      <c r="N483" s="25">
        <f>IF(OR($B483="",$E483="",$M483=""),"",IF($E483&lt;$M483,0,NETWORKDAYS($M483,$E483,calendar!$A$2:$A$80)))</f>
        <v/>
      </c>
      <c r="O483" s="25">
        <f>IF($B483="","",IF(AND($K483="Y",OR($D483="later",$J483="Y")),"Y","N"))</f>
        <v/>
      </c>
      <c r="P483" s="25">
        <f>IF(OR($B483="",$E483=""),"",$B483&amp;"_"&amp;$C483&amp;"_"&amp;$D483&amp;"_"&amp;TEXT($E483,"yyyy-mm-dd")&amp;".jpg")</f>
        <v/>
      </c>
      <c r="Q483" s="25">
        <f>IF($B483="","",IF(COUNTIF(campaigns!$A$2:$A$51,$B483)=0,"campaign_id not on campaigns; ",IF(AND($C483&lt;&gt;"",COUNTIFS(approvals!$A$2:$A$251,$B483,approvals!$B$2:$B$251,$C483)=0),"office not on this campaign (approvals tab); ",""))&amp;IF($E483="","taken date missing; ","")&amp;IF(AND($H483&lt;&gt;"",$H483&lt;&gt;$P483),"file name differs from the convention; ","")&amp;IF(AND($D483="placement",$O483="Y",COUNTIF(photos!$R$2:$R$701,$R483)&gt;1),"two usable placement photos: mark one N; ","")&amp;IF($K483&lt;&gt;"Y","info: not usable (a person, screen or whiteboard may show): never used, delete the file; ","")&amp;IF(AND($D483="placement",$J483&lt;&gt;"Y"),"info: not usable as a placement photo (no card); ","")&amp;IF(AND($D483="placement",N($N483)&gt;2),"info: placed after the first business day; ","")&amp;IF(AND($D483="later",$N483&lt;&gt;"",OR(N($N483)&lt;3,N($N483)&gt;5)),"info: later photo outside day 3 to 5; ",""))</f>
        <v/>
      </c>
      <c r="R483" s="25">
        <f>IF($B483="","",$B483&amp;"|"&amp;$C483&amp;"|"&amp;$D483&amp;"|"&amp;$O483)</f>
        <v/>
      </c>
      <c r="S483" s="25">
        <f>IF($B483="","",$R483&amp;"|"&amp;N($E483))</f>
        <v/>
      </c>
    </row>
    <row r="484">
      <c r="E484" s="9" t="n"/>
      <c r="F484" s="33" t="n"/>
      <c r="I484" s="9" t="n"/>
      <c r="M484" s="26">
        <f>IF($B484="","",IFERROR(IF(INDEX(campaigns!$BG$2:$BG$51,MATCH($B484,campaigns!$A$2:$A$51,0))="","",INDEX(campaigns!$BG$2:$BG$51,MATCH($B484,campaigns!$A$2:$A$51,0))),""))</f>
        <v/>
      </c>
      <c r="N484" s="25">
        <f>IF(OR($B484="",$E484="",$M484=""),"",IF($E484&lt;$M484,0,NETWORKDAYS($M484,$E484,calendar!$A$2:$A$80)))</f>
        <v/>
      </c>
      <c r="O484" s="25">
        <f>IF($B484="","",IF(AND($K484="Y",OR($D484="later",$J484="Y")),"Y","N"))</f>
        <v/>
      </c>
      <c r="P484" s="25">
        <f>IF(OR($B484="",$E484=""),"",$B484&amp;"_"&amp;$C484&amp;"_"&amp;$D484&amp;"_"&amp;TEXT($E484,"yyyy-mm-dd")&amp;".jpg")</f>
        <v/>
      </c>
      <c r="Q484" s="25">
        <f>IF($B484="","",IF(COUNTIF(campaigns!$A$2:$A$51,$B484)=0,"campaign_id not on campaigns; ",IF(AND($C484&lt;&gt;"",COUNTIFS(approvals!$A$2:$A$251,$B484,approvals!$B$2:$B$251,$C484)=0),"office not on this campaign (approvals tab); ",""))&amp;IF($E484="","taken date missing; ","")&amp;IF(AND($H484&lt;&gt;"",$H484&lt;&gt;$P484),"file name differs from the convention; ","")&amp;IF(AND($D484="placement",$O484="Y",COUNTIF(photos!$R$2:$R$701,$R484)&gt;1),"two usable placement photos: mark one N; ","")&amp;IF($K484&lt;&gt;"Y","info: not usable (a person, screen or whiteboard may show): never used, delete the file; ","")&amp;IF(AND($D484="placement",$J484&lt;&gt;"Y"),"info: not usable as a placement photo (no card); ","")&amp;IF(AND($D484="placement",N($N484)&gt;2),"info: placed after the first business day; ","")&amp;IF(AND($D484="later",$N484&lt;&gt;"",OR(N($N484)&lt;3,N($N484)&gt;5)),"info: later photo outside day 3 to 5; ",""))</f>
        <v/>
      </c>
      <c r="R484" s="25">
        <f>IF($B484="","",$B484&amp;"|"&amp;$C484&amp;"|"&amp;$D484&amp;"|"&amp;$O484)</f>
        <v/>
      </c>
      <c r="S484" s="25">
        <f>IF($B484="","",$R484&amp;"|"&amp;N($E484))</f>
        <v/>
      </c>
    </row>
    <row r="485">
      <c r="E485" s="9" t="n"/>
      <c r="F485" s="33" t="n"/>
      <c r="I485" s="9" t="n"/>
      <c r="M485" s="26">
        <f>IF($B485="","",IFERROR(IF(INDEX(campaigns!$BG$2:$BG$51,MATCH($B485,campaigns!$A$2:$A$51,0))="","",INDEX(campaigns!$BG$2:$BG$51,MATCH($B485,campaigns!$A$2:$A$51,0))),""))</f>
        <v/>
      </c>
      <c r="N485" s="25">
        <f>IF(OR($B485="",$E485="",$M485=""),"",IF($E485&lt;$M485,0,NETWORKDAYS($M485,$E485,calendar!$A$2:$A$80)))</f>
        <v/>
      </c>
      <c r="O485" s="25">
        <f>IF($B485="","",IF(AND($K485="Y",OR($D485="later",$J485="Y")),"Y","N"))</f>
        <v/>
      </c>
      <c r="P485" s="25">
        <f>IF(OR($B485="",$E485=""),"",$B485&amp;"_"&amp;$C485&amp;"_"&amp;$D485&amp;"_"&amp;TEXT($E485,"yyyy-mm-dd")&amp;".jpg")</f>
        <v/>
      </c>
      <c r="Q485" s="25">
        <f>IF($B485="","",IF(COUNTIF(campaigns!$A$2:$A$51,$B485)=0,"campaign_id not on campaigns; ",IF(AND($C485&lt;&gt;"",COUNTIFS(approvals!$A$2:$A$251,$B485,approvals!$B$2:$B$251,$C485)=0),"office not on this campaign (approvals tab); ",""))&amp;IF($E485="","taken date missing; ","")&amp;IF(AND($H485&lt;&gt;"",$H485&lt;&gt;$P485),"file name differs from the convention; ","")&amp;IF(AND($D485="placement",$O485="Y",COUNTIF(photos!$R$2:$R$701,$R485)&gt;1),"two usable placement photos: mark one N; ","")&amp;IF($K485&lt;&gt;"Y","info: not usable (a person, screen or whiteboard may show): never used, delete the file; ","")&amp;IF(AND($D485="placement",$J485&lt;&gt;"Y"),"info: not usable as a placement photo (no card); ","")&amp;IF(AND($D485="placement",N($N485)&gt;2),"info: placed after the first business day; ","")&amp;IF(AND($D485="later",$N485&lt;&gt;"",OR(N($N485)&lt;3,N($N485)&gt;5)),"info: later photo outside day 3 to 5; ",""))</f>
        <v/>
      </c>
      <c r="R485" s="25">
        <f>IF($B485="","",$B485&amp;"|"&amp;$C485&amp;"|"&amp;$D485&amp;"|"&amp;$O485)</f>
        <v/>
      </c>
      <c r="S485" s="25">
        <f>IF($B485="","",$R485&amp;"|"&amp;N($E485))</f>
        <v/>
      </c>
    </row>
    <row r="486">
      <c r="E486" s="9" t="n"/>
      <c r="F486" s="33" t="n"/>
      <c r="I486" s="9" t="n"/>
      <c r="M486" s="26">
        <f>IF($B486="","",IFERROR(IF(INDEX(campaigns!$BG$2:$BG$51,MATCH($B486,campaigns!$A$2:$A$51,0))="","",INDEX(campaigns!$BG$2:$BG$51,MATCH($B486,campaigns!$A$2:$A$51,0))),""))</f>
        <v/>
      </c>
      <c r="N486" s="25">
        <f>IF(OR($B486="",$E486="",$M486=""),"",IF($E486&lt;$M486,0,NETWORKDAYS($M486,$E486,calendar!$A$2:$A$80)))</f>
        <v/>
      </c>
      <c r="O486" s="25">
        <f>IF($B486="","",IF(AND($K486="Y",OR($D486="later",$J486="Y")),"Y","N"))</f>
        <v/>
      </c>
      <c r="P486" s="25">
        <f>IF(OR($B486="",$E486=""),"",$B486&amp;"_"&amp;$C486&amp;"_"&amp;$D486&amp;"_"&amp;TEXT($E486,"yyyy-mm-dd")&amp;".jpg")</f>
        <v/>
      </c>
      <c r="Q486" s="25">
        <f>IF($B486="","",IF(COUNTIF(campaigns!$A$2:$A$51,$B486)=0,"campaign_id not on campaigns; ",IF(AND($C486&lt;&gt;"",COUNTIFS(approvals!$A$2:$A$251,$B486,approvals!$B$2:$B$251,$C486)=0),"office not on this campaign (approvals tab); ",""))&amp;IF($E486="","taken date missing; ","")&amp;IF(AND($H486&lt;&gt;"",$H486&lt;&gt;$P486),"file name differs from the convention; ","")&amp;IF(AND($D486="placement",$O486="Y",COUNTIF(photos!$R$2:$R$701,$R486)&gt;1),"two usable placement photos: mark one N; ","")&amp;IF($K486&lt;&gt;"Y","info: not usable (a person, screen or whiteboard may show): never used, delete the file; ","")&amp;IF(AND($D486="placement",$J486&lt;&gt;"Y"),"info: not usable as a placement photo (no card); ","")&amp;IF(AND($D486="placement",N($N486)&gt;2),"info: placed after the first business day; ","")&amp;IF(AND($D486="later",$N486&lt;&gt;"",OR(N($N486)&lt;3,N($N486)&gt;5)),"info: later photo outside day 3 to 5; ",""))</f>
        <v/>
      </c>
      <c r="R486" s="25">
        <f>IF($B486="","",$B486&amp;"|"&amp;$C486&amp;"|"&amp;$D486&amp;"|"&amp;$O486)</f>
        <v/>
      </c>
      <c r="S486" s="25">
        <f>IF($B486="","",$R486&amp;"|"&amp;N($E486))</f>
        <v/>
      </c>
    </row>
    <row r="487">
      <c r="E487" s="9" t="n"/>
      <c r="F487" s="33" t="n"/>
      <c r="I487" s="9" t="n"/>
      <c r="M487" s="26">
        <f>IF($B487="","",IFERROR(IF(INDEX(campaigns!$BG$2:$BG$51,MATCH($B487,campaigns!$A$2:$A$51,0))="","",INDEX(campaigns!$BG$2:$BG$51,MATCH($B487,campaigns!$A$2:$A$51,0))),""))</f>
        <v/>
      </c>
      <c r="N487" s="25">
        <f>IF(OR($B487="",$E487="",$M487=""),"",IF($E487&lt;$M487,0,NETWORKDAYS($M487,$E487,calendar!$A$2:$A$80)))</f>
        <v/>
      </c>
      <c r="O487" s="25">
        <f>IF($B487="","",IF(AND($K487="Y",OR($D487="later",$J487="Y")),"Y","N"))</f>
        <v/>
      </c>
      <c r="P487" s="25">
        <f>IF(OR($B487="",$E487=""),"",$B487&amp;"_"&amp;$C487&amp;"_"&amp;$D487&amp;"_"&amp;TEXT($E487,"yyyy-mm-dd")&amp;".jpg")</f>
        <v/>
      </c>
      <c r="Q487" s="25">
        <f>IF($B487="","",IF(COUNTIF(campaigns!$A$2:$A$51,$B487)=0,"campaign_id not on campaigns; ",IF(AND($C487&lt;&gt;"",COUNTIFS(approvals!$A$2:$A$251,$B487,approvals!$B$2:$B$251,$C487)=0),"office not on this campaign (approvals tab); ",""))&amp;IF($E487="","taken date missing; ","")&amp;IF(AND($H487&lt;&gt;"",$H487&lt;&gt;$P487),"file name differs from the convention; ","")&amp;IF(AND($D487="placement",$O487="Y",COUNTIF(photos!$R$2:$R$701,$R487)&gt;1),"two usable placement photos: mark one N; ","")&amp;IF($K487&lt;&gt;"Y","info: not usable (a person, screen or whiteboard may show): never used, delete the file; ","")&amp;IF(AND($D487="placement",$J487&lt;&gt;"Y"),"info: not usable as a placement photo (no card); ","")&amp;IF(AND($D487="placement",N($N487)&gt;2),"info: placed after the first business day; ","")&amp;IF(AND($D487="later",$N487&lt;&gt;"",OR(N($N487)&lt;3,N($N487)&gt;5)),"info: later photo outside day 3 to 5; ",""))</f>
        <v/>
      </c>
      <c r="R487" s="25">
        <f>IF($B487="","",$B487&amp;"|"&amp;$C487&amp;"|"&amp;$D487&amp;"|"&amp;$O487)</f>
        <v/>
      </c>
      <c r="S487" s="25">
        <f>IF($B487="","",$R487&amp;"|"&amp;N($E487))</f>
        <v/>
      </c>
    </row>
    <row r="488">
      <c r="E488" s="9" t="n"/>
      <c r="F488" s="33" t="n"/>
      <c r="I488" s="9" t="n"/>
      <c r="M488" s="26">
        <f>IF($B488="","",IFERROR(IF(INDEX(campaigns!$BG$2:$BG$51,MATCH($B488,campaigns!$A$2:$A$51,0))="","",INDEX(campaigns!$BG$2:$BG$51,MATCH($B488,campaigns!$A$2:$A$51,0))),""))</f>
        <v/>
      </c>
      <c r="N488" s="25">
        <f>IF(OR($B488="",$E488="",$M488=""),"",IF($E488&lt;$M488,0,NETWORKDAYS($M488,$E488,calendar!$A$2:$A$80)))</f>
        <v/>
      </c>
      <c r="O488" s="25">
        <f>IF($B488="","",IF(AND($K488="Y",OR($D488="later",$J488="Y")),"Y","N"))</f>
        <v/>
      </c>
      <c r="P488" s="25">
        <f>IF(OR($B488="",$E488=""),"",$B488&amp;"_"&amp;$C488&amp;"_"&amp;$D488&amp;"_"&amp;TEXT($E488,"yyyy-mm-dd")&amp;".jpg")</f>
        <v/>
      </c>
      <c r="Q488" s="25">
        <f>IF($B488="","",IF(COUNTIF(campaigns!$A$2:$A$51,$B488)=0,"campaign_id not on campaigns; ",IF(AND($C488&lt;&gt;"",COUNTIFS(approvals!$A$2:$A$251,$B488,approvals!$B$2:$B$251,$C488)=0),"office not on this campaign (approvals tab); ",""))&amp;IF($E488="","taken date missing; ","")&amp;IF(AND($H488&lt;&gt;"",$H488&lt;&gt;$P488),"file name differs from the convention; ","")&amp;IF(AND($D488="placement",$O488="Y",COUNTIF(photos!$R$2:$R$701,$R488)&gt;1),"two usable placement photos: mark one N; ","")&amp;IF($K488&lt;&gt;"Y","info: not usable (a person, screen or whiteboard may show): never used, delete the file; ","")&amp;IF(AND($D488="placement",$J488&lt;&gt;"Y"),"info: not usable as a placement photo (no card); ","")&amp;IF(AND($D488="placement",N($N488)&gt;2),"info: placed after the first business day; ","")&amp;IF(AND($D488="later",$N488&lt;&gt;"",OR(N($N488)&lt;3,N($N488)&gt;5)),"info: later photo outside day 3 to 5; ",""))</f>
        <v/>
      </c>
      <c r="R488" s="25">
        <f>IF($B488="","",$B488&amp;"|"&amp;$C488&amp;"|"&amp;$D488&amp;"|"&amp;$O488)</f>
        <v/>
      </c>
      <c r="S488" s="25">
        <f>IF($B488="","",$R488&amp;"|"&amp;N($E488))</f>
        <v/>
      </c>
    </row>
    <row r="489">
      <c r="E489" s="9" t="n"/>
      <c r="F489" s="33" t="n"/>
      <c r="I489" s="9" t="n"/>
      <c r="M489" s="26">
        <f>IF($B489="","",IFERROR(IF(INDEX(campaigns!$BG$2:$BG$51,MATCH($B489,campaigns!$A$2:$A$51,0))="","",INDEX(campaigns!$BG$2:$BG$51,MATCH($B489,campaigns!$A$2:$A$51,0))),""))</f>
        <v/>
      </c>
      <c r="N489" s="25">
        <f>IF(OR($B489="",$E489="",$M489=""),"",IF($E489&lt;$M489,0,NETWORKDAYS($M489,$E489,calendar!$A$2:$A$80)))</f>
        <v/>
      </c>
      <c r="O489" s="25">
        <f>IF($B489="","",IF(AND($K489="Y",OR($D489="later",$J489="Y")),"Y","N"))</f>
        <v/>
      </c>
      <c r="P489" s="25">
        <f>IF(OR($B489="",$E489=""),"",$B489&amp;"_"&amp;$C489&amp;"_"&amp;$D489&amp;"_"&amp;TEXT($E489,"yyyy-mm-dd")&amp;".jpg")</f>
        <v/>
      </c>
      <c r="Q489" s="25">
        <f>IF($B489="","",IF(COUNTIF(campaigns!$A$2:$A$51,$B489)=0,"campaign_id not on campaigns; ",IF(AND($C489&lt;&gt;"",COUNTIFS(approvals!$A$2:$A$251,$B489,approvals!$B$2:$B$251,$C489)=0),"office not on this campaign (approvals tab); ",""))&amp;IF($E489="","taken date missing; ","")&amp;IF(AND($H489&lt;&gt;"",$H489&lt;&gt;$P489),"file name differs from the convention; ","")&amp;IF(AND($D489="placement",$O489="Y",COUNTIF(photos!$R$2:$R$701,$R489)&gt;1),"two usable placement photos: mark one N; ","")&amp;IF($K489&lt;&gt;"Y","info: not usable (a person, screen or whiteboard may show): never used, delete the file; ","")&amp;IF(AND($D489="placement",$J489&lt;&gt;"Y"),"info: not usable as a placement photo (no card); ","")&amp;IF(AND($D489="placement",N($N489)&gt;2),"info: placed after the first business day; ","")&amp;IF(AND($D489="later",$N489&lt;&gt;"",OR(N($N489)&lt;3,N($N489)&gt;5)),"info: later photo outside day 3 to 5; ",""))</f>
        <v/>
      </c>
      <c r="R489" s="25">
        <f>IF($B489="","",$B489&amp;"|"&amp;$C489&amp;"|"&amp;$D489&amp;"|"&amp;$O489)</f>
        <v/>
      </c>
      <c r="S489" s="25">
        <f>IF($B489="","",$R489&amp;"|"&amp;N($E489))</f>
        <v/>
      </c>
    </row>
    <row r="490">
      <c r="E490" s="9" t="n"/>
      <c r="F490" s="33" t="n"/>
      <c r="I490" s="9" t="n"/>
      <c r="M490" s="26">
        <f>IF($B490="","",IFERROR(IF(INDEX(campaigns!$BG$2:$BG$51,MATCH($B490,campaigns!$A$2:$A$51,0))="","",INDEX(campaigns!$BG$2:$BG$51,MATCH($B490,campaigns!$A$2:$A$51,0))),""))</f>
        <v/>
      </c>
      <c r="N490" s="25">
        <f>IF(OR($B490="",$E490="",$M490=""),"",IF($E490&lt;$M490,0,NETWORKDAYS($M490,$E490,calendar!$A$2:$A$80)))</f>
        <v/>
      </c>
      <c r="O490" s="25">
        <f>IF($B490="","",IF(AND($K490="Y",OR($D490="later",$J490="Y")),"Y","N"))</f>
        <v/>
      </c>
      <c r="P490" s="25">
        <f>IF(OR($B490="",$E490=""),"",$B490&amp;"_"&amp;$C490&amp;"_"&amp;$D490&amp;"_"&amp;TEXT($E490,"yyyy-mm-dd")&amp;".jpg")</f>
        <v/>
      </c>
      <c r="Q490" s="25">
        <f>IF($B490="","",IF(COUNTIF(campaigns!$A$2:$A$51,$B490)=0,"campaign_id not on campaigns; ",IF(AND($C490&lt;&gt;"",COUNTIFS(approvals!$A$2:$A$251,$B490,approvals!$B$2:$B$251,$C490)=0),"office not on this campaign (approvals tab); ",""))&amp;IF($E490="","taken date missing; ","")&amp;IF(AND($H490&lt;&gt;"",$H490&lt;&gt;$P490),"file name differs from the convention; ","")&amp;IF(AND($D490="placement",$O490="Y",COUNTIF(photos!$R$2:$R$701,$R490)&gt;1),"two usable placement photos: mark one N; ","")&amp;IF($K490&lt;&gt;"Y","info: not usable (a person, screen or whiteboard may show): never used, delete the file; ","")&amp;IF(AND($D490="placement",$J490&lt;&gt;"Y"),"info: not usable as a placement photo (no card); ","")&amp;IF(AND($D490="placement",N($N490)&gt;2),"info: placed after the first business day; ","")&amp;IF(AND($D490="later",$N490&lt;&gt;"",OR(N($N490)&lt;3,N($N490)&gt;5)),"info: later photo outside day 3 to 5; ",""))</f>
        <v/>
      </c>
      <c r="R490" s="25">
        <f>IF($B490="","",$B490&amp;"|"&amp;$C490&amp;"|"&amp;$D490&amp;"|"&amp;$O490)</f>
        <v/>
      </c>
      <c r="S490" s="25">
        <f>IF($B490="","",$R490&amp;"|"&amp;N($E490))</f>
        <v/>
      </c>
    </row>
    <row r="491">
      <c r="E491" s="9" t="n"/>
      <c r="F491" s="33" t="n"/>
      <c r="I491" s="9" t="n"/>
      <c r="M491" s="26">
        <f>IF($B491="","",IFERROR(IF(INDEX(campaigns!$BG$2:$BG$51,MATCH($B491,campaigns!$A$2:$A$51,0))="","",INDEX(campaigns!$BG$2:$BG$51,MATCH($B491,campaigns!$A$2:$A$51,0))),""))</f>
        <v/>
      </c>
      <c r="N491" s="25">
        <f>IF(OR($B491="",$E491="",$M491=""),"",IF($E491&lt;$M491,0,NETWORKDAYS($M491,$E491,calendar!$A$2:$A$80)))</f>
        <v/>
      </c>
      <c r="O491" s="25">
        <f>IF($B491="","",IF(AND($K491="Y",OR($D491="later",$J491="Y")),"Y","N"))</f>
        <v/>
      </c>
      <c r="P491" s="25">
        <f>IF(OR($B491="",$E491=""),"",$B491&amp;"_"&amp;$C491&amp;"_"&amp;$D491&amp;"_"&amp;TEXT($E491,"yyyy-mm-dd")&amp;".jpg")</f>
        <v/>
      </c>
      <c r="Q491" s="25">
        <f>IF($B491="","",IF(COUNTIF(campaigns!$A$2:$A$51,$B491)=0,"campaign_id not on campaigns; ",IF(AND($C491&lt;&gt;"",COUNTIFS(approvals!$A$2:$A$251,$B491,approvals!$B$2:$B$251,$C491)=0),"office not on this campaign (approvals tab); ",""))&amp;IF($E491="","taken date missing; ","")&amp;IF(AND($H491&lt;&gt;"",$H491&lt;&gt;$P491),"file name differs from the convention; ","")&amp;IF(AND($D491="placement",$O491="Y",COUNTIF(photos!$R$2:$R$701,$R491)&gt;1),"two usable placement photos: mark one N; ","")&amp;IF($K491&lt;&gt;"Y","info: not usable (a person, screen or whiteboard may show): never used, delete the file; ","")&amp;IF(AND($D491="placement",$J491&lt;&gt;"Y"),"info: not usable as a placement photo (no card); ","")&amp;IF(AND($D491="placement",N($N491)&gt;2),"info: placed after the first business day; ","")&amp;IF(AND($D491="later",$N491&lt;&gt;"",OR(N($N491)&lt;3,N($N491)&gt;5)),"info: later photo outside day 3 to 5; ",""))</f>
        <v/>
      </c>
      <c r="R491" s="25">
        <f>IF($B491="","",$B491&amp;"|"&amp;$C491&amp;"|"&amp;$D491&amp;"|"&amp;$O491)</f>
        <v/>
      </c>
      <c r="S491" s="25">
        <f>IF($B491="","",$R491&amp;"|"&amp;N($E491))</f>
        <v/>
      </c>
    </row>
    <row r="492">
      <c r="E492" s="9" t="n"/>
      <c r="F492" s="33" t="n"/>
      <c r="I492" s="9" t="n"/>
      <c r="M492" s="26">
        <f>IF($B492="","",IFERROR(IF(INDEX(campaigns!$BG$2:$BG$51,MATCH($B492,campaigns!$A$2:$A$51,0))="","",INDEX(campaigns!$BG$2:$BG$51,MATCH($B492,campaigns!$A$2:$A$51,0))),""))</f>
        <v/>
      </c>
      <c r="N492" s="25">
        <f>IF(OR($B492="",$E492="",$M492=""),"",IF($E492&lt;$M492,0,NETWORKDAYS($M492,$E492,calendar!$A$2:$A$80)))</f>
        <v/>
      </c>
      <c r="O492" s="25">
        <f>IF($B492="","",IF(AND($K492="Y",OR($D492="later",$J492="Y")),"Y","N"))</f>
        <v/>
      </c>
      <c r="P492" s="25">
        <f>IF(OR($B492="",$E492=""),"",$B492&amp;"_"&amp;$C492&amp;"_"&amp;$D492&amp;"_"&amp;TEXT($E492,"yyyy-mm-dd")&amp;".jpg")</f>
        <v/>
      </c>
      <c r="Q492" s="25">
        <f>IF($B492="","",IF(COUNTIF(campaigns!$A$2:$A$51,$B492)=0,"campaign_id not on campaigns; ",IF(AND($C492&lt;&gt;"",COUNTIFS(approvals!$A$2:$A$251,$B492,approvals!$B$2:$B$251,$C492)=0),"office not on this campaign (approvals tab); ",""))&amp;IF($E492="","taken date missing; ","")&amp;IF(AND($H492&lt;&gt;"",$H492&lt;&gt;$P492),"file name differs from the convention; ","")&amp;IF(AND($D492="placement",$O492="Y",COUNTIF(photos!$R$2:$R$701,$R492)&gt;1),"two usable placement photos: mark one N; ","")&amp;IF($K492&lt;&gt;"Y","info: not usable (a person, screen or whiteboard may show): never used, delete the file; ","")&amp;IF(AND($D492="placement",$J492&lt;&gt;"Y"),"info: not usable as a placement photo (no card); ","")&amp;IF(AND($D492="placement",N($N492)&gt;2),"info: placed after the first business day; ","")&amp;IF(AND($D492="later",$N492&lt;&gt;"",OR(N($N492)&lt;3,N($N492)&gt;5)),"info: later photo outside day 3 to 5; ",""))</f>
        <v/>
      </c>
      <c r="R492" s="25">
        <f>IF($B492="","",$B492&amp;"|"&amp;$C492&amp;"|"&amp;$D492&amp;"|"&amp;$O492)</f>
        <v/>
      </c>
      <c r="S492" s="25">
        <f>IF($B492="","",$R492&amp;"|"&amp;N($E492))</f>
        <v/>
      </c>
    </row>
    <row r="493">
      <c r="E493" s="9" t="n"/>
      <c r="F493" s="33" t="n"/>
      <c r="I493" s="9" t="n"/>
      <c r="M493" s="26">
        <f>IF($B493="","",IFERROR(IF(INDEX(campaigns!$BG$2:$BG$51,MATCH($B493,campaigns!$A$2:$A$51,0))="","",INDEX(campaigns!$BG$2:$BG$51,MATCH($B493,campaigns!$A$2:$A$51,0))),""))</f>
        <v/>
      </c>
      <c r="N493" s="25">
        <f>IF(OR($B493="",$E493="",$M493=""),"",IF($E493&lt;$M493,0,NETWORKDAYS($M493,$E493,calendar!$A$2:$A$80)))</f>
        <v/>
      </c>
      <c r="O493" s="25">
        <f>IF($B493="","",IF(AND($K493="Y",OR($D493="later",$J493="Y")),"Y","N"))</f>
        <v/>
      </c>
      <c r="P493" s="25">
        <f>IF(OR($B493="",$E493=""),"",$B493&amp;"_"&amp;$C493&amp;"_"&amp;$D493&amp;"_"&amp;TEXT($E493,"yyyy-mm-dd")&amp;".jpg")</f>
        <v/>
      </c>
      <c r="Q493" s="25">
        <f>IF($B493="","",IF(COUNTIF(campaigns!$A$2:$A$51,$B493)=0,"campaign_id not on campaigns; ",IF(AND($C493&lt;&gt;"",COUNTIFS(approvals!$A$2:$A$251,$B493,approvals!$B$2:$B$251,$C493)=0),"office not on this campaign (approvals tab); ",""))&amp;IF($E493="","taken date missing; ","")&amp;IF(AND($H493&lt;&gt;"",$H493&lt;&gt;$P493),"file name differs from the convention; ","")&amp;IF(AND($D493="placement",$O493="Y",COUNTIF(photos!$R$2:$R$701,$R493)&gt;1),"two usable placement photos: mark one N; ","")&amp;IF($K493&lt;&gt;"Y","info: not usable (a person, screen or whiteboard may show): never used, delete the file; ","")&amp;IF(AND($D493="placement",$J493&lt;&gt;"Y"),"info: not usable as a placement photo (no card); ","")&amp;IF(AND($D493="placement",N($N493)&gt;2),"info: placed after the first business day; ","")&amp;IF(AND($D493="later",$N493&lt;&gt;"",OR(N($N493)&lt;3,N($N493)&gt;5)),"info: later photo outside day 3 to 5; ",""))</f>
        <v/>
      </c>
      <c r="R493" s="25">
        <f>IF($B493="","",$B493&amp;"|"&amp;$C493&amp;"|"&amp;$D493&amp;"|"&amp;$O493)</f>
        <v/>
      </c>
      <c r="S493" s="25">
        <f>IF($B493="","",$R493&amp;"|"&amp;N($E493))</f>
        <v/>
      </c>
    </row>
    <row r="494">
      <c r="E494" s="9" t="n"/>
      <c r="F494" s="33" t="n"/>
      <c r="I494" s="9" t="n"/>
      <c r="M494" s="26">
        <f>IF($B494="","",IFERROR(IF(INDEX(campaigns!$BG$2:$BG$51,MATCH($B494,campaigns!$A$2:$A$51,0))="","",INDEX(campaigns!$BG$2:$BG$51,MATCH($B494,campaigns!$A$2:$A$51,0))),""))</f>
        <v/>
      </c>
      <c r="N494" s="25">
        <f>IF(OR($B494="",$E494="",$M494=""),"",IF($E494&lt;$M494,0,NETWORKDAYS($M494,$E494,calendar!$A$2:$A$80)))</f>
        <v/>
      </c>
      <c r="O494" s="25">
        <f>IF($B494="","",IF(AND($K494="Y",OR($D494="later",$J494="Y")),"Y","N"))</f>
        <v/>
      </c>
      <c r="P494" s="25">
        <f>IF(OR($B494="",$E494=""),"",$B494&amp;"_"&amp;$C494&amp;"_"&amp;$D494&amp;"_"&amp;TEXT($E494,"yyyy-mm-dd")&amp;".jpg")</f>
        <v/>
      </c>
      <c r="Q494" s="25">
        <f>IF($B494="","",IF(COUNTIF(campaigns!$A$2:$A$51,$B494)=0,"campaign_id not on campaigns; ",IF(AND($C494&lt;&gt;"",COUNTIFS(approvals!$A$2:$A$251,$B494,approvals!$B$2:$B$251,$C494)=0),"office not on this campaign (approvals tab); ",""))&amp;IF($E494="","taken date missing; ","")&amp;IF(AND($H494&lt;&gt;"",$H494&lt;&gt;$P494),"file name differs from the convention; ","")&amp;IF(AND($D494="placement",$O494="Y",COUNTIF(photos!$R$2:$R$701,$R494)&gt;1),"two usable placement photos: mark one N; ","")&amp;IF($K494&lt;&gt;"Y","info: not usable (a person, screen or whiteboard may show): never used, delete the file; ","")&amp;IF(AND($D494="placement",$J494&lt;&gt;"Y"),"info: not usable as a placement photo (no card); ","")&amp;IF(AND($D494="placement",N($N494)&gt;2),"info: placed after the first business day; ","")&amp;IF(AND($D494="later",$N494&lt;&gt;"",OR(N($N494)&lt;3,N($N494)&gt;5)),"info: later photo outside day 3 to 5; ",""))</f>
        <v/>
      </c>
      <c r="R494" s="25">
        <f>IF($B494="","",$B494&amp;"|"&amp;$C494&amp;"|"&amp;$D494&amp;"|"&amp;$O494)</f>
        <v/>
      </c>
      <c r="S494" s="25">
        <f>IF($B494="","",$R494&amp;"|"&amp;N($E494))</f>
        <v/>
      </c>
    </row>
    <row r="495">
      <c r="E495" s="9" t="n"/>
      <c r="F495" s="33" t="n"/>
      <c r="I495" s="9" t="n"/>
      <c r="M495" s="26">
        <f>IF($B495="","",IFERROR(IF(INDEX(campaigns!$BG$2:$BG$51,MATCH($B495,campaigns!$A$2:$A$51,0))="","",INDEX(campaigns!$BG$2:$BG$51,MATCH($B495,campaigns!$A$2:$A$51,0))),""))</f>
        <v/>
      </c>
      <c r="N495" s="25">
        <f>IF(OR($B495="",$E495="",$M495=""),"",IF($E495&lt;$M495,0,NETWORKDAYS($M495,$E495,calendar!$A$2:$A$80)))</f>
        <v/>
      </c>
      <c r="O495" s="25">
        <f>IF($B495="","",IF(AND($K495="Y",OR($D495="later",$J495="Y")),"Y","N"))</f>
        <v/>
      </c>
      <c r="P495" s="25">
        <f>IF(OR($B495="",$E495=""),"",$B495&amp;"_"&amp;$C495&amp;"_"&amp;$D495&amp;"_"&amp;TEXT($E495,"yyyy-mm-dd")&amp;".jpg")</f>
        <v/>
      </c>
      <c r="Q495" s="25">
        <f>IF($B495="","",IF(COUNTIF(campaigns!$A$2:$A$51,$B495)=0,"campaign_id not on campaigns; ",IF(AND($C495&lt;&gt;"",COUNTIFS(approvals!$A$2:$A$251,$B495,approvals!$B$2:$B$251,$C495)=0),"office not on this campaign (approvals tab); ",""))&amp;IF($E495="","taken date missing; ","")&amp;IF(AND($H495&lt;&gt;"",$H495&lt;&gt;$P495),"file name differs from the convention; ","")&amp;IF(AND($D495="placement",$O495="Y",COUNTIF(photos!$R$2:$R$701,$R495)&gt;1),"two usable placement photos: mark one N; ","")&amp;IF($K495&lt;&gt;"Y","info: not usable (a person, screen or whiteboard may show): never used, delete the file; ","")&amp;IF(AND($D495="placement",$J495&lt;&gt;"Y"),"info: not usable as a placement photo (no card); ","")&amp;IF(AND($D495="placement",N($N495)&gt;2),"info: placed after the first business day; ","")&amp;IF(AND($D495="later",$N495&lt;&gt;"",OR(N($N495)&lt;3,N($N495)&gt;5)),"info: later photo outside day 3 to 5; ",""))</f>
        <v/>
      </c>
      <c r="R495" s="25">
        <f>IF($B495="","",$B495&amp;"|"&amp;$C495&amp;"|"&amp;$D495&amp;"|"&amp;$O495)</f>
        <v/>
      </c>
      <c r="S495" s="25">
        <f>IF($B495="","",$R495&amp;"|"&amp;N($E495))</f>
        <v/>
      </c>
    </row>
    <row r="496">
      <c r="E496" s="9" t="n"/>
      <c r="F496" s="33" t="n"/>
      <c r="I496" s="9" t="n"/>
      <c r="M496" s="26">
        <f>IF($B496="","",IFERROR(IF(INDEX(campaigns!$BG$2:$BG$51,MATCH($B496,campaigns!$A$2:$A$51,0))="","",INDEX(campaigns!$BG$2:$BG$51,MATCH($B496,campaigns!$A$2:$A$51,0))),""))</f>
        <v/>
      </c>
      <c r="N496" s="25">
        <f>IF(OR($B496="",$E496="",$M496=""),"",IF($E496&lt;$M496,0,NETWORKDAYS($M496,$E496,calendar!$A$2:$A$80)))</f>
        <v/>
      </c>
      <c r="O496" s="25">
        <f>IF($B496="","",IF(AND($K496="Y",OR($D496="later",$J496="Y")),"Y","N"))</f>
        <v/>
      </c>
      <c r="P496" s="25">
        <f>IF(OR($B496="",$E496=""),"",$B496&amp;"_"&amp;$C496&amp;"_"&amp;$D496&amp;"_"&amp;TEXT($E496,"yyyy-mm-dd")&amp;".jpg")</f>
        <v/>
      </c>
      <c r="Q496" s="25">
        <f>IF($B496="","",IF(COUNTIF(campaigns!$A$2:$A$51,$B496)=0,"campaign_id not on campaigns; ",IF(AND($C496&lt;&gt;"",COUNTIFS(approvals!$A$2:$A$251,$B496,approvals!$B$2:$B$251,$C496)=0),"office not on this campaign (approvals tab); ",""))&amp;IF($E496="","taken date missing; ","")&amp;IF(AND($H496&lt;&gt;"",$H496&lt;&gt;$P496),"file name differs from the convention; ","")&amp;IF(AND($D496="placement",$O496="Y",COUNTIF(photos!$R$2:$R$701,$R496)&gt;1),"two usable placement photos: mark one N; ","")&amp;IF($K496&lt;&gt;"Y","info: not usable (a person, screen or whiteboard may show): never used, delete the file; ","")&amp;IF(AND($D496="placement",$J496&lt;&gt;"Y"),"info: not usable as a placement photo (no card); ","")&amp;IF(AND($D496="placement",N($N496)&gt;2),"info: placed after the first business day; ","")&amp;IF(AND($D496="later",$N496&lt;&gt;"",OR(N($N496)&lt;3,N($N496)&gt;5)),"info: later photo outside day 3 to 5; ",""))</f>
        <v/>
      </c>
      <c r="R496" s="25">
        <f>IF($B496="","",$B496&amp;"|"&amp;$C496&amp;"|"&amp;$D496&amp;"|"&amp;$O496)</f>
        <v/>
      </c>
      <c r="S496" s="25">
        <f>IF($B496="","",$R496&amp;"|"&amp;N($E496))</f>
        <v/>
      </c>
    </row>
    <row r="497">
      <c r="E497" s="9" t="n"/>
      <c r="F497" s="33" t="n"/>
      <c r="I497" s="9" t="n"/>
      <c r="M497" s="26">
        <f>IF($B497="","",IFERROR(IF(INDEX(campaigns!$BG$2:$BG$51,MATCH($B497,campaigns!$A$2:$A$51,0))="","",INDEX(campaigns!$BG$2:$BG$51,MATCH($B497,campaigns!$A$2:$A$51,0))),""))</f>
        <v/>
      </c>
      <c r="N497" s="25">
        <f>IF(OR($B497="",$E497="",$M497=""),"",IF($E497&lt;$M497,0,NETWORKDAYS($M497,$E497,calendar!$A$2:$A$80)))</f>
        <v/>
      </c>
      <c r="O497" s="25">
        <f>IF($B497="","",IF(AND($K497="Y",OR($D497="later",$J497="Y")),"Y","N"))</f>
        <v/>
      </c>
      <c r="P497" s="25">
        <f>IF(OR($B497="",$E497=""),"",$B497&amp;"_"&amp;$C497&amp;"_"&amp;$D497&amp;"_"&amp;TEXT($E497,"yyyy-mm-dd")&amp;".jpg")</f>
        <v/>
      </c>
      <c r="Q497" s="25">
        <f>IF($B497="","",IF(COUNTIF(campaigns!$A$2:$A$51,$B497)=0,"campaign_id not on campaigns; ",IF(AND($C497&lt;&gt;"",COUNTIFS(approvals!$A$2:$A$251,$B497,approvals!$B$2:$B$251,$C497)=0),"office not on this campaign (approvals tab); ",""))&amp;IF($E497="","taken date missing; ","")&amp;IF(AND($H497&lt;&gt;"",$H497&lt;&gt;$P497),"file name differs from the convention; ","")&amp;IF(AND($D497="placement",$O497="Y",COUNTIF(photos!$R$2:$R$701,$R497)&gt;1),"two usable placement photos: mark one N; ","")&amp;IF($K497&lt;&gt;"Y","info: not usable (a person, screen or whiteboard may show): never used, delete the file; ","")&amp;IF(AND($D497="placement",$J497&lt;&gt;"Y"),"info: not usable as a placement photo (no card); ","")&amp;IF(AND($D497="placement",N($N497)&gt;2),"info: placed after the first business day; ","")&amp;IF(AND($D497="later",$N497&lt;&gt;"",OR(N($N497)&lt;3,N($N497)&gt;5)),"info: later photo outside day 3 to 5; ",""))</f>
        <v/>
      </c>
      <c r="R497" s="25">
        <f>IF($B497="","",$B497&amp;"|"&amp;$C497&amp;"|"&amp;$D497&amp;"|"&amp;$O497)</f>
        <v/>
      </c>
      <c r="S497" s="25">
        <f>IF($B497="","",$R497&amp;"|"&amp;N($E497))</f>
        <v/>
      </c>
    </row>
    <row r="498">
      <c r="E498" s="9" t="n"/>
      <c r="F498" s="33" t="n"/>
      <c r="I498" s="9" t="n"/>
      <c r="M498" s="26">
        <f>IF($B498="","",IFERROR(IF(INDEX(campaigns!$BG$2:$BG$51,MATCH($B498,campaigns!$A$2:$A$51,0))="","",INDEX(campaigns!$BG$2:$BG$51,MATCH($B498,campaigns!$A$2:$A$51,0))),""))</f>
        <v/>
      </c>
      <c r="N498" s="25">
        <f>IF(OR($B498="",$E498="",$M498=""),"",IF($E498&lt;$M498,0,NETWORKDAYS($M498,$E498,calendar!$A$2:$A$80)))</f>
        <v/>
      </c>
      <c r="O498" s="25">
        <f>IF($B498="","",IF(AND($K498="Y",OR($D498="later",$J498="Y")),"Y","N"))</f>
        <v/>
      </c>
      <c r="P498" s="25">
        <f>IF(OR($B498="",$E498=""),"",$B498&amp;"_"&amp;$C498&amp;"_"&amp;$D498&amp;"_"&amp;TEXT($E498,"yyyy-mm-dd")&amp;".jpg")</f>
        <v/>
      </c>
      <c r="Q498" s="25">
        <f>IF($B498="","",IF(COUNTIF(campaigns!$A$2:$A$51,$B498)=0,"campaign_id not on campaigns; ",IF(AND($C498&lt;&gt;"",COUNTIFS(approvals!$A$2:$A$251,$B498,approvals!$B$2:$B$251,$C498)=0),"office not on this campaign (approvals tab); ",""))&amp;IF($E498="","taken date missing; ","")&amp;IF(AND($H498&lt;&gt;"",$H498&lt;&gt;$P498),"file name differs from the convention; ","")&amp;IF(AND($D498="placement",$O498="Y",COUNTIF(photos!$R$2:$R$701,$R498)&gt;1),"two usable placement photos: mark one N; ","")&amp;IF($K498&lt;&gt;"Y","info: not usable (a person, screen or whiteboard may show): never used, delete the file; ","")&amp;IF(AND($D498="placement",$J498&lt;&gt;"Y"),"info: not usable as a placement photo (no card); ","")&amp;IF(AND($D498="placement",N($N498)&gt;2),"info: placed after the first business day; ","")&amp;IF(AND($D498="later",$N498&lt;&gt;"",OR(N($N498)&lt;3,N($N498)&gt;5)),"info: later photo outside day 3 to 5; ",""))</f>
        <v/>
      </c>
      <c r="R498" s="25">
        <f>IF($B498="","",$B498&amp;"|"&amp;$C498&amp;"|"&amp;$D498&amp;"|"&amp;$O498)</f>
        <v/>
      </c>
      <c r="S498" s="25">
        <f>IF($B498="","",$R498&amp;"|"&amp;N($E498))</f>
        <v/>
      </c>
    </row>
    <row r="499">
      <c r="E499" s="9" t="n"/>
      <c r="F499" s="33" t="n"/>
      <c r="I499" s="9" t="n"/>
      <c r="M499" s="26">
        <f>IF($B499="","",IFERROR(IF(INDEX(campaigns!$BG$2:$BG$51,MATCH($B499,campaigns!$A$2:$A$51,0))="","",INDEX(campaigns!$BG$2:$BG$51,MATCH($B499,campaigns!$A$2:$A$51,0))),""))</f>
        <v/>
      </c>
      <c r="N499" s="25">
        <f>IF(OR($B499="",$E499="",$M499=""),"",IF($E499&lt;$M499,0,NETWORKDAYS($M499,$E499,calendar!$A$2:$A$80)))</f>
        <v/>
      </c>
      <c r="O499" s="25">
        <f>IF($B499="","",IF(AND($K499="Y",OR($D499="later",$J499="Y")),"Y","N"))</f>
        <v/>
      </c>
      <c r="P499" s="25">
        <f>IF(OR($B499="",$E499=""),"",$B499&amp;"_"&amp;$C499&amp;"_"&amp;$D499&amp;"_"&amp;TEXT($E499,"yyyy-mm-dd")&amp;".jpg")</f>
        <v/>
      </c>
      <c r="Q499" s="25">
        <f>IF($B499="","",IF(COUNTIF(campaigns!$A$2:$A$51,$B499)=0,"campaign_id not on campaigns; ",IF(AND($C499&lt;&gt;"",COUNTIFS(approvals!$A$2:$A$251,$B499,approvals!$B$2:$B$251,$C499)=0),"office not on this campaign (approvals tab); ",""))&amp;IF($E499="","taken date missing; ","")&amp;IF(AND($H499&lt;&gt;"",$H499&lt;&gt;$P499),"file name differs from the convention; ","")&amp;IF(AND($D499="placement",$O499="Y",COUNTIF(photos!$R$2:$R$701,$R499)&gt;1),"two usable placement photos: mark one N; ","")&amp;IF($K499&lt;&gt;"Y","info: not usable (a person, screen or whiteboard may show): never used, delete the file; ","")&amp;IF(AND($D499="placement",$J499&lt;&gt;"Y"),"info: not usable as a placement photo (no card); ","")&amp;IF(AND($D499="placement",N($N499)&gt;2),"info: placed after the first business day; ","")&amp;IF(AND($D499="later",$N499&lt;&gt;"",OR(N($N499)&lt;3,N($N499)&gt;5)),"info: later photo outside day 3 to 5; ",""))</f>
        <v/>
      </c>
      <c r="R499" s="25">
        <f>IF($B499="","",$B499&amp;"|"&amp;$C499&amp;"|"&amp;$D499&amp;"|"&amp;$O499)</f>
        <v/>
      </c>
      <c r="S499" s="25">
        <f>IF($B499="","",$R499&amp;"|"&amp;N($E499))</f>
        <v/>
      </c>
    </row>
    <row r="500">
      <c r="E500" s="9" t="n"/>
      <c r="F500" s="33" t="n"/>
      <c r="I500" s="9" t="n"/>
      <c r="M500" s="26">
        <f>IF($B500="","",IFERROR(IF(INDEX(campaigns!$BG$2:$BG$51,MATCH($B500,campaigns!$A$2:$A$51,0))="","",INDEX(campaigns!$BG$2:$BG$51,MATCH($B500,campaigns!$A$2:$A$51,0))),""))</f>
        <v/>
      </c>
      <c r="N500" s="25">
        <f>IF(OR($B500="",$E500="",$M500=""),"",IF($E500&lt;$M500,0,NETWORKDAYS($M500,$E500,calendar!$A$2:$A$80)))</f>
        <v/>
      </c>
      <c r="O500" s="25">
        <f>IF($B500="","",IF(AND($K500="Y",OR($D500="later",$J500="Y")),"Y","N"))</f>
        <v/>
      </c>
      <c r="P500" s="25">
        <f>IF(OR($B500="",$E500=""),"",$B500&amp;"_"&amp;$C500&amp;"_"&amp;$D500&amp;"_"&amp;TEXT($E500,"yyyy-mm-dd")&amp;".jpg")</f>
        <v/>
      </c>
      <c r="Q500" s="25">
        <f>IF($B500="","",IF(COUNTIF(campaigns!$A$2:$A$51,$B500)=0,"campaign_id not on campaigns; ",IF(AND($C500&lt;&gt;"",COUNTIFS(approvals!$A$2:$A$251,$B500,approvals!$B$2:$B$251,$C500)=0),"office not on this campaign (approvals tab); ",""))&amp;IF($E500="","taken date missing; ","")&amp;IF(AND($H500&lt;&gt;"",$H500&lt;&gt;$P500),"file name differs from the convention; ","")&amp;IF(AND($D500="placement",$O500="Y",COUNTIF(photos!$R$2:$R$701,$R500)&gt;1),"two usable placement photos: mark one N; ","")&amp;IF($K500&lt;&gt;"Y","info: not usable (a person, screen or whiteboard may show): never used, delete the file; ","")&amp;IF(AND($D500="placement",$J500&lt;&gt;"Y"),"info: not usable as a placement photo (no card); ","")&amp;IF(AND($D500="placement",N($N500)&gt;2),"info: placed after the first business day; ","")&amp;IF(AND($D500="later",$N500&lt;&gt;"",OR(N($N500)&lt;3,N($N500)&gt;5)),"info: later photo outside day 3 to 5; ",""))</f>
        <v/>
      </c>
      <c r="R500" s="25">
        <f>IF($B500="","",$B500&amp;"|"&amp;$C500&amp;"|"&amp;$D500&amp;"|"&amp;$O500)</f>
        <v/>
      </c>
      <c r="S500" s="25">
        <f>IF($B500="","",$R500&amp;"|"&amp;N($E500))</f>
        <v/>
      </c>
    </row>
    <row r="501">
      <c r="E501" s="9" t="n"/>
      <c r="F501" s="33" t="n"/>
      <c r="I501" s="9" t="n"/>
      <c r="M501" s="26">
        <f>IF($B501="","",IFERROR(IF(INDEX(campaigns!$BG$2:$BG$51,MATCH($B501,campaigns!$A$2:$A$51,0))="","",INDEX(campaigns!$BG$2:$BG$51,MATCH($B501,campaigns!$A$2:$A$51,0))),""))</f>
        <v/>
      </c>
      <c r="N501" s="25">
        <f>IF(OR($B501="",$E501="",$M501=""),"",IF($E501&lt;$M501,0,NETWORKDAYS($M501,$E501,calendar!$A$2:$A$80)))</f>
        <v/>
      </c>
      <c r="O501" s="25">
        <f>IF($B501="","",IF(AND($K501="Y",OR($D501="later",$J501="Y")),"Y","N"))</f>
        <v/>
      </c>
      <c r="P501" s="25">
        <f>IF(OR($B501="",$E501=""),"",$B501&amp;"_"&amp;$C501&amp;"_"&amp;$D501&amp;"_"&amp;TEXT($E501,"yyyy-mm-dd")&amp;".jpg")</f>
        <v/>
      </c>
      <c r="Q501" s="25">
        <f>IF($B501="","",IF(COUNTIF(campaigns!$A$2:$A$51,$B501)=0,"campaign_id not on campaigns; ",IF(AND($C501&lt;&gt;"",COUNTIFS(approvals!$A$2:$A$251,$B501,approvals!$B$2:$B$251,$C501)=0),"office not on this campaign (approvals tab); ",""))&amp;IF($E501="","taken date missing; ","")&amp;IF(AND($H501&lt;&gt;"",$H501&lt;&gt;$P501),"file name differs from the convention; ","")&amp;IF(AND($D501="placement",$O501="Y",COUNTIF(photos!$R$2:$R$701,$R501)&gt;1),"two usable placement photos: mark one N; ","")&amp;IF($K501&lt;&gt;"Y","info: not usable (a person, screen or whiteboard may show): never used, delete the file; ","")&amp;IF(AND($D501="placement",$J501&lt;&gt;"Y"),"info: not usable as a placement photo (no card); ","")&amp;IF(AND($D501="placement",N($N501)&gt;2),"info: placed after the first business day; ","")&amp;IF(AND($D501="later",$N501&lt;&gt;"",OR(N($N501)&lt;3,N($N501)&gt;5)),"info: later photo outside day 3 to 5; ",""))</f>
        <v/>
      </c>
      <c r="R501" s="25">
        <f>IF($B501="","",$B501&amp;"|"&amp;$C501&amp;"|"&amp;$D501&amp;"|"&amp;$O501)</f>
        <v/>
      </c>
      <c r="S501" s="25">
        <f>IF($B501="","",$R501&amp;"|"&amp;N($E501))</f>
        <v/>
      </c>
    </row>
    <row r="502">
      <c r="E502" s="9" t="n"/>
      <c r="F502" s="33" t="n"/>
      <c r="I502" s="9" t="n"/>
      <c r="M502" s="26">
        <f>IF($B502="","",IFERROR(IF(INDEX(campaigns!$BG$2:$BG$51,MATCH($B502,campaigns!$A$2:$A$51,0))="","",INDEX(campaigns!$BG$2:$BG$51,MATCH($B502,campaigns!$A$2:$A$51,0))),""))</f>
        <v/>
      </c>
      <c r="N502" s="25">
        <f>IF(OR($B502="",$E502="",$M502=""),"",IF($E502&lt;$M502,0,NETWORKDAYS($M502,$E502,calendar!$A$2:$A$80)))</f>
        <v/>
      </c>
      <c r="O502" s="25">
        <f>IF($B502="","",IF(AND($K502="Y",OR($D502="later",$J502="Y")),"Y","N"))</f>
        <v/>
      </c>
      <c r="P502" s="25">
        <f>IF(OR($B502="",$E502=""),"",$B502&amp;"_"&amp;$C502&amp;"_"&amp;$D502&amp;"_"&amp;TEXT($E502,"yyyy-mm-dd")&amp;".jpg")</f>
        <v/>
      </c>
      <c r="Q502" s="25">
        <f>IF($B502="","",IF(COUNTIF(campaigns!$A$2:$A$51,$B502)=0,"campaign_id not on campaigns; ",IF(AND($C502&lt;&gt;"",COUNTIFS(approvals!$A$2:$A$251,$B502,approvals!$B$2:$B$251,$C502)=0),"office not on this campaign (approvals tab); ",""))&amp;IF($E502="","taken date missing; ","")&amp;IF(AND($H502&lt;&gt;"",$H502&lt;&gt;$P502),"file name differs from the convention; ","")&amp;IF(AND($D502="placement",$O502="Y",COUNTIF(photos!$R$2:$R$701,$R502)&gt;1),"two usable placement photos: mark one N; ","")&amp;IF($K502&lt;&gt;"Y","info: not usable (a person, screen or whiteboard may show): never used, delete the file; ","")&amp;IF(AND($D502="placement",$J502&lt;&gt;"Y"),"info: not usable as a placement photo (no card); ","")&amp;IF(AND($D502="placement",N($N502)&gt;2),"info: placed after the first business day; ","")&amp;IF(AND($D502="later",$N502&lt;&gt;"",OR(N($N502)&lt;3,N($N502)&gt;5)),"info: later photo outside day 3 to 5; ",""))</f>
        <v/>
      </c>
      <c r="R502" s="25">
        <f>IF($B502="","",$B502&amp;"|"&amp;$C502&amp;"|"&amp;$D502&amp;"|"&amp;$O502)</f>
        <v/>
      </c>
      <c r="S502" s="25">
        <f>IF($B502="","",$R502&amp;"|"&amp;N($E502))</f>
        <v/>
      </c>
    </row>
    <row r="503">
      <c r="E503" s="9" t="n"/>
      <c r="F503" s="33" t="n"/>
      <c r="I503" s="9" t="n"/>
      <c r="M503" s="26">
        <f>IF($B503="","",IFERROR(IF(INDEX(campaigns!$BG$2:$BG$51,MATCH($B503,campaigns!$A$2:$A$51,0))="","",INDEX(campaigns!$BG$2:$BG$51,MATCH($B503,campaigns!$A$2:$A$51,0))),""))</f>
        <v/>
      </c>
      <c r="N503" s="25">
        <f>IF(OR($B503="",$E503="",$M503=""),"",IF($E503&lt;$M503,0,NETWORKDAYS($M503,$E503,calendar!$A$2:$A$80)))</f>
        <v/>
      </c>
      <c r="O503" s="25">
        <f>IF($B503="","",IF(AND($K503="Y",OR($D503="later",$J503="Y")),"Y","N"))</f>
        <v/>
      </c>
      <c r="P503" s="25">
        <f>IF(OR($B503="",$E503=""),"",$B503&amp;"_"&amp;$C503&amp;"_"&amp;$D503&amp;"_"&amp;TEXT($E503,"yyyy-mm-dd")&amp;".jpg")</f>
        <v/>
      </c>
      <c r="Q503" s="25">
        <f>IF($B503="","",IF(COUNTIF(campaigns!$A$2:$A$51,$B503)=0,"campaign_id not on campaigns; ",IF(AND($C503&lt;&gt;"",COUNTIFS(approvals!$A$2:$A$251,$B503,approvals!$B$2:$B$251,$C503)=0),"office not on this campaign (approvals tab); ",""))&amp;IF($E503="","taken date missing; ","")&amp;IF(AND($H503&lt;&gt;"",$H503&lt;&gt;$P503),"file name differs from the convention; ","")&amp;IF(AND($D503="placement",$O503="Y",COUNTIF(photos!$R$2:$R$701,$R503)&gt;1),"two usable placement photos: mark one N; ","")&amp;IF($K503&lt;&gt;"Y","info: not usable (a person, screen or whiteboard may show): never used, delete the file; ","")&amp;IF(AND($D503="placement",$J503&lt;&gt;"Y"),"info: not usable as a placement photo (no card); ","")&amp;IF(AND($D503="placement",N($N503)&gt;2),"info: placed after the first business day; ","")&amp;IF(AND($D503="later",$N503&lt;&gt;"",OR(N($N503)&lt;3,N($N503)&gt;5)),"info: later photo outside day 3 to 5; ",""))</f>
        <v/>
      </c>
      <c r="R503" s="25">
        <f>IF($B503="","",$B503&amp;"|"&amp;$C503&amp;"|"&amp;$D503&amp;"|"&amp;$O503)</f>
        <v/>
      </c>
      <c r="S503" s="25">
        <f>IF($B503="","",$R503&amp;"|"&amp;N($E503))</f>
        <v/>
      </c>
    </row>
    <row r="504">
      <c r="E504" s="9" t="n"/>
      <c r="F504" s="33" t="n"/>
      <c r="I504" s="9" t="n"/>
      <c r="M504" s="26">
        <f>IF($B504="","",IFERROR(IF(INDEX(campaigns!$BG$2:$BG$51,MATCH($B504,campaigns!$A$2:$A$51,0))="","",INDEX(campaigns!$BG$2:$BG$51,MATCH($B504,campaigns!$A$2:$A$51,0))),""))</f>
        <v/>
      </c>
      <c r="N504" s="25">
        <f>IF(OR($B504="",$E504="",$M504=""),"",IF($E504&lt;$M504,0,NETWORKDAYS($M504,$E504,calendar!$A$2:$A$80)))</f>
        <v/>
      </c>
      <c r="O504" s="25">
        <f>IF($B504="","",IF(AND($K504="Y",OR($D504="later",$J504="Y")),"Y","N"))</f>
        <v/>
      </c>
      <c r="P504" s="25">
        <f>IF(OR($B504="",$E504=""),"",$B504&amp;"_"&amp;$C504&amp;"_"&amp;$D504&amp;"_"&amp;TEXT($E504,"yyyy-mm-dd")&amp;".jpg")</f>
        <v/>
      </c>
      <c r="Q504" s="25">
        <f>IF($B504="","",IF(COUNTIF(campaigns!$A$2:$A$51,$B504)=0,"campaign_id not on campaigns; ",IF(AND($C504&lt;&gt;"",COUNTIFS(approvals!$A$2:$A$251,$B504,approvals!$B$2:$B$251,$C504)=0),"office not on this campaign (approvals tab); ",""))&amp;IF($E504="","taken date missing; ","")&amp;IF(AND($H504&lt;&gt;"",$H504&lt;&gt;$P504),"file name differs from the convention; ","")&amp;IF(AND($D504="placement",$O504="Y",COUNTIF(photos!$R$2:$R$701,$R504)&gt;1),"two usable placement photos: mark one N; ","")&amp;IF($K504&lt;&gt;"Y","info: not usable (a person, screen or whiteboard may show): never used, delete the file; ","")&amp;IF(AND($D504="placement",$J504&lt;&gt;"Y"),"info: not usable as a placement photo (no card); ","")&amp;IF(AND($D504="placement",N($N504)&gt;2),"info: placed after the first business day; ","")&amp;IF(AND($D504="later",$N504&lt;&gt;"",OR(N($N504)&lt;3,N($N504)&gt;5)),"info: later photo outside day 3 to 5; ",""))</f>
        <v/>
      </c>
      <c r="R504" s="25">
        <f>IF($B504="","",$B504&amp;"|"&amp;$C504&amp;"|"&amp;$D504&amp;"|"&amp;$O504)</f>
        <v/>
      </c>
      <c r="S504" s="25">
        <f>IF($B504="","",$R504&amp;"|"&amp;N($E504))</f>
        <v/>
      </c>
    </row>
    <row r="505">
      <c r="E505" s="9" t="n"/>
      <c r="F505" s="33" t="n"/>
      <c r="I505" s="9" t="n"/>
      <c r="M505" s="26">
        <f>IF($B505="","",IFERROR(IF(INDEX(campaigns!$BG$2:$BG$51,MATCH($B505,campaigns!$A$2:$A$51,0))="","",INDEX(campaigns!$BG$2:$BG$51,MATCH($B505,campaigns!$A$2:$A$51,0))),""))</f>
        <v/>
      </c>
      <c r="N505" s="25">
        <f>IF(OR($B505="",$E505="",$M505=""),"",IF($E505&lt;$M505,0,NETWORKDAYS($M505,$E505,calendar!$A$2:$A$80)))</f>
        <v/>
      </c>
      <c r="O505" s="25">
        <f>IF($B505="","",IF(AND($K505="Y",OR($D505="later",$J505="Y")),"Y","N"))</f>
        <v/>
      </c>
      <c r="P505" s="25">
        <f>IF(OR($B505="",$E505=""),"",$B505&amp;"_"&amp;$C505&amp;"_"&amp;$D505&amp;"_"&amp;TEXT($E505,"yyyy-mm-dd")&amp;".jpg")</f>
        <v/>
      </c>
      <c r="Q505" s="25">
        <f>IF($B505="","",IF(COUNTIF(campaigns!$A$2:$A$51,$B505)=0,"campaign_id not on campaigns; ",IF(AND($C505&lt;&gt;"",COUNTIFS(approvals!$A$2:$A$251,$B505,approvals!$B$2:$B$251,$C505)=0),"office not on this campaign (approvals tab); ",""))&amp;IF($E505="","taken date missing; ","")&amp;IF(AND($H505&lt;&gt;"",$H505&lt;&gt;$P505),"file name differs from the convention; ","")&amp;IF(AND($D505="placement",$O505="Y",COUNTIF(photos!$R$2:$R$701,$R505)&gt;1),"two usable placement photos: mark one N; ","")&amp;IF($K505&lt;&gt;"Y","info: not usable (a person, screen or whiteboard may show): never used, delete the file; ","")&amp;IF(AND($D505="placement",$J505&lt;&gt;"Y"),"info: not usable as a placement photo (no card); ","")&amp;IF(AND($D505="placement",N($N505)&gt;2),"info: placed after the first business day; ","")&amp;IF(AND($D505="later",$N505&lt;&gt;"",OR(N($N505)&lt;3,N($N505)&gt;5)),"info: later photo outside day 3 to 5; ",""))</f>
        <v/>
      </c>
      <c r="R505" s="25">
        <f>IF($B505="","",$B505&amp;"|"&amp;$C505&amp;"|"&amp;$D505&amp;"|"&amp;$O505)</f>
        <v/>
      </c>
      <c r="S505" s="25">
        <f>IF($B505="","",$R505&amp;"|"&amp;N($E505))</f>
        <v/>
      </c>
    </row>
    <row r="506">
      <c r="E506" s="9" t="n"/>
      <c r="F506" s="33" t="n"/>
      <c r="I506" s="9" t="n"/>
      <c r="M506" s="26">
        <f>IF($B506="","",IFERROR(IF(INDEX(campaigns!$BG$2:$BG$51,MATCH($B506,campaigns!$A$2:$A$51,0))="","",INDEX(campaigns!$BG$2:$BG$51,MATCH($B506,campaigns!$A$2:$A$51,0))),""))</f>
        <v/>
      </c>
      <c r="N506" s="25">
        <f>IF(OR($B506="",$E506="",$M506=""),"",IF($E506&lt;$M506,0,NETWORKDAYS($M506,$E506,calendar!$A$2:$A$80)))</f>
        <v/>
      </c>
      <c r="O506" s="25">
        <f>IF($B506="","",IF(AND($K506="Y",OR($D506="later",$J506="Y")),"Y","N"))</f>
        <v/>
      </c>
      <c r="P506" s="25">
        <f>IF(OR($B506="",$E506=""),"",$B506&amp;"_"&amp;$C506&amp;"_"&amp;$D506&amp;"_"&amp;TEXT($E506,"yyyy-mm-dd")&amp;".jpg")</f>
        <v/>
      </c>
      <c r="Q506" s="25">
        <f>IF($B506="","",IF(COUNTIF(campaigns!$A$2:$A$51,$B506)=0,"campaign_id not on campaigns; ",IF(AND($C506&lt;&gt;"",COUNTIFS(approvals!$A$2:$A$251,$B506,approvals!$B$2:$B$251,$C506)=0),"office not on this campaign (approvals tab); ",""))&amp;IF($E506="","taken date missing; ","")&amp;IF(AND($H506&lt;&gt;"",$H506&lt;&gt;$P506),"file name differs from the convention; ","")&amp;IF(AND($D506="placement",$O506="Y",COUNTIF(photos!$R$2:$R$701,$R506)&gt;1),"two usable placement photos: mark one N; ","")&amp;IF($K506&lt;&gt;"Y","info: not usable (a person, screen or whiteboard may show): never used, delete the file; ","")&amp;IF(AND($D506="placement",$J506&lt;&gt;"Y"),"info: not usable as a placement photo (no card); ","")&amp;IF(AND($D506="placement",N($N506)&gt;2),"info: placed after the first business day; ","")&amp;IF(AND($D506="later",$N506&lt;&gt;"",OR(N($N506)&lt;3,N($N506)&gt;5)),"info: later photo outside day 3 to 5; ",""))</f>
        <v/>
      </c>
      <c r="R506" s="25">
        <f>IF($B506="","",$B506&amp;"|"&amp;$C506&amp;"|"&amp;$D506&amp;"|"&amp;$O506)</f>
        <v/>
      </c>
      <c r="S506" s="25">
        <f>IF($B506="","",$R506&amp;"|"&amp;N($E506))</f>
        <v/>
      </c>
    </row>
    <row r="507">
      <c r="E507" s="9" t="n"/>
      <c r="F507" s="33" t="n"/>
      <c r="I507" s="9" t="n"/>
      <c r="M507" s="26">
        <f>IF($B507="","",IFERROR(IF(INDEX(campaigns!$BG$2:$BG$51,MATCH($B507,campaigns!$A$2:$A$51,0))="","",INDEX(campaigns!$BG$2:$BG$51,MATCH($B507,campaigns!$A$2:$A$51,0))),""))</f>
        <v/>
      </c>
      <c r="N507" s="25">
        <f>IF(OR($B507="",$E507="",$M507=""),"",IF($E507&lt;$M507,0,NETWORKDAYS($M507,$E507,calendar!$A$2:$A$80)))</f>
        <v/>
      </c>
      <c r="O507" s="25">
        <f>IF($B507="","",IF(AND($K507="Y",OR($D507="later",$J507="Y")),"Y","N"))</f>
        <v/>
      </c>
      <c r="P507" s="25">
        <f>IF(OR($B507="",$E507=""),"",$B507&amp;"_"&amp;$C507&amp;"_"&amp;$D507&amp;"_"&amp;TEXT($E507,"yyyy-mm-dd")&amp;".jpg")</f>
        <v/>
      </c>
      <c r="Q507" s="25">
        <f>IF($B507="","",IF(COUNTIF(campaigns!$A$2:$A$51,$B507)=0,"campaign_id not on campaigns; ",IF(AND($C507&lt;&gt;"",COUNTIFS(approvals!$A$2:$A$251,$B507,approvals!$B$2:$B$251,$C507)=0),"office not on this campaign (approvals tab); ",""))&amp;IF($E507="","taken date missing; ","")&amp;IF(AND($H507&lt;&gt;"",$H507&lt;&gt;$P507),"file name differs from the convention; ","")&amp;IF(AND($D507="placement",$O507="Y",COUNTIF(photos!$R$2:$R$701,$R507)&gt;1),"two usable placement photos: mark one N; ","")&amp;IF($K507&lt;&gt;"Y","info: not usable (a person, screen or whiteboard may show): never used, delete the file; ","")&amp;IF(AND($D507="placement",$J507&lt;&gt;"Y"),"info: not usable as a placement photo (no card); ","")&amp;IF(AND($D507="placement",N($N507)&gt;2),"info: placed after the first business day; ","")&amp;IF(AND($D507="later",$N507&lt;&gt;"",OR(N($N507)&lt;3,N($N507)&gt;5)),"info: later photo outside day 3 to 5; ",""))</f>
        <v/>
      </c>
      <c r="R507" s="25">
        <f>IF($B507="","",$B507&amp;"|"&amp;$C507&amp;"|"&amp;$D507&amp;"|"&amp;$O507)</f>
        <v/>
      </c>
      <c r="S507" s="25">
        <f>IF($B507="","",$R507&amp;"|"&amp;N($E507))</f>
        <v/>
      </c>
    </row>
    <row r="508">
      <c r="E508" s="9" t="n"/>
      <c r="F508" s="33" t="n"/>
      <c r="I508" s="9" t="n"/>
      <c r="M508" s="26">
        <f>IF($B508="","",IFERROR(IF(INDEX(campaigns!$BG$2:$BG$51,MATCH($B508,campaigns!$A$2:$A$51,0))="","",INDEX(campaigns!$BG$2:$BG$51,MATCH($B508,campaigns!$A$2:$A$51,0))),""))</f>
        <v/>
      </c>
      <c r="N508" s="25">
        <f>IF(OR($B508="",$E508="",$M508=""),"",IF($E508&lt;$M508,0,NETWORKDAYS($M508,$E508,calendar!$A$2:$A$80)))</f>
        <v/>
      </c>
      <c r="O508" s="25">
        <f>IF($B508="","",IF(AND($K508="Y",OR($D508="later",$J508="Y")),"Y","N"))</f>
        <v/>
      </c>
      <c r="P508" s="25">
        <f>IF(OR($B508="",$E508=""),"",$B508&amp;"_"&amp;$C508&amp;"_"&amp;$D508&amp;"_"&amp;TEXT($E508,"yyyy-mm-dd")&amp;".jpg")</f>
        <v/>
      </c>
      <c r="Q508" s="25">
        <f>IF($B508="","",IF(COUNTIF(campaigns!$A$2:$A$51,$B508)=0,"campaign_id not on campaigns; ",IF(AND($C508&lt;&gt;"",COUNTIFS(approvals!$A$2:$A$251,$B508,approvals!$B$2:$B$251,$C508)=0),"office not on this campaign (approvals tab); ",""))&amp;IF($E508="","taken date missing; ","")&amp;IF(AND($H508&lt;&gt;"",$H508&lt;&gt;$P508),"file name differs from the convention; ","")&amp;IF(AND($D508="placement",$O508="Y",COUNTIF(photos!$R$2:$R$701,$R508)&gt;1),"two usable placement photos: mark one N; ","")&amp;IF($K508&lt;&gt;"Y","info: not usable (a person, screen or whiteboard may show): never used, delete the file; ","")&amp;IF(AND($D508="placement",$J508&lt;&gt;"Y"),"info: not usable as a placement photo (no card); ","")&amp;IF(AND($D508="placement",N($N508)&gt;2),"info: placed after the first business day; ","")&amp;IF(AND($D508="later",$N508&lt;&gt;"",OR(N($N508)&lt;3,N($N508)&gt;5)),"info: later photo outside day 3 to 5; ",""))</f>
        <v/>
      </c>
      <c r="R508" s="25">
        <f>IF($B508="","",$B508&amp;"|"&amp;$C508&amp;"|"&amp;$D508&amp;"|"&amp;$O508)</f>
        <v/>
      </c>
      <c r="S508" s="25">
        <f>IF($B508="","",$R508&amp;"|"&amp;N($E508))</f>
        <v/>
      </c>
    </row>
    <row r="509">
      <c r="E509" s="9" t="n"/>
      <c r="F509" s="33" t="n"/>
      <c r="I509" s="9" t="n"/>
      <c r="M509" s="26">
        <f>IF($B509="","",IFERROR(IF(INDEX(campaigns!$BG$2:$BG$51,MATCH($B509,campaigns!$A$2:$A$51,0))="","",INDEX(campaigns!$BG$2:$BG$51,MATCH($B509,campaigns!$A$2:$A$51,0))),""))</f>
        <v/>
      </c>
      <c r="N509" s="25">
        <f>IF(OR($B509="",$E509="",$M509=""),"",IF($E509&lt;$M509,0,NETWORKDAYS($M509,$E509,calendar!$A$2:$A$80)))</f>
        <v/>
      </c>
      <c r="O509" s="25">
        <f>IF($B509="","",IF(AND($K509="Y",OR($D509="later",$J509="Y")),"Y","N"))</f>
        <v/>
      </c>
      <c r="P509" s="25">
        <f>IF(OR($B509="",$E509=""),"",$B509&amp;"_"&amp;$C509&amp;"_"&amp;$D509&amp;"_"&amp;TEXT($E509,"yyyy-mm-dd")&amp;".jpg")</f>
        <v/>
      </c>
      <c r="Q509" s="25">
        <f>IF($B509="","",IF(COUNTIF(campaigns!$A$2:$A$51,$B509)=0,"campaign_id not on campaigns; ",IF(AND($C509&lt;&gt;"",COUNTIFS(approvals!$A$2:$A$251,$B509,approvals!$B$2:$B$251,$C509)=0),"office not on this campaign (approvals tab); ",""))&amp;IF($E509="","taken date missing; ","")&amp;IF(AND($H509&lt;&gt;"",$H509&lt;&gt;$P509),"file name differs from the convention; ","")&amp;IF(AND($D509="placement",$O509="Y",COUNTIF(photos!$R$2:$R$701,$R509)&gt;1),"two usable placement photos: mark one N; ","")&amp;IF($K509&lt;&gt;"Y","info: not usable (a person, screen or whiteboard may show): never used, delete the file; ","")&amp;IF(AND($D509="placement",$J509&lt;&gt;"Y"),"info: not usable as a placement photo (no card); ","")&amp;IF(AND($D509="placement",N($N509)&gt;2),"info: placed after the first business day; ","")&amp;IF(AND($D509="later",$N509&lt;&gt;"",OR(N($N509)&lt;3,N($N509)&gt;5)),"info: later photo outside day 3 to 5; ",""))</f>
        <v/>
      </c>
      <c r="R509" s="25">
        <f>IF($B509="","",$B509&amp;"|"&amp;$C509&amp;"|"&amp;$D509&amp;"|"&amp;$O509)</f>
        <v/>
      </c>
      <c r="S509" s="25">
        <f>IF($B509="","",$R509&amp;"|"&amp;N($E509))</f>
        <v/>
      </c>
    </row>
    <row r="510">
      <c r="E510" s="9" t="n"/>
      <c r="F510" s="33" t="n"/>
      <c r="I510" s="9" t="n"/>
      <c r="M510" s="26">
        <f>IF($B510="","",IFERROR(IF(INDEX(campaigns!$BG$2:$BG$51,MATCH($B510,campaigns!$A$2:$A$51,0))="","",INDEX(campaigns!$BG$2:$BG$51,MATCH($B510,campaigns!$A$2:$A$51,0))),""))</f>
        <v/>
      </c>
      <c r="N510" s="25">
        <f>IF(OR($B510="",$E510="",$M510=""),"",IF($E510&lt;$M510,0,NETWORKDAYS($M510,$E510,calendar!$A$2:$A$80)))</f>
        <v/>
      </c>
      <c r="O510" s="25">
        <f>IF($B510="","",IF(AND($K510="Y",OR($D510="later",$J510="Y")),"Y","N"))</f>
        <v/>
      </c>
      <c r="P510" s="25">
        <f>IF(OR($B510="",$E510=""),"",$B510&amp;"_"&amp;$C510&amp;"_"&amp;$D510&amp;"_"&amp;TEXT($E510,"yyyy-mm-dd")&amp;".jpg")</f>
        <v/>
      </c>
      <c r="Q510" s="25">
        <f>IF($B510="","",IF(COUNTIF(campaigns!$A$2:$A$51,$B510)=0,"campaign_id not on campaigns; ",IF(AND($C510&lt;&gt;"",COUNTIFS(approvals!$A$2:$A$251,$B510,approvals!$B$2:$B$251,$C510)=0),"office not on this campaign (approvals tab); ",""))&amp;IF($E510="","taken date missing; ","")&amp;IF(AND($H510&lt;&gt;"",$H510&lt;&gt;$P510),"file name differs from the convention; ","")&amp;IF(AND($D510="placement",$O510="Y",COUNTIF(photos!$R$2:$R$701,$R510)&gt;1),"two usable placement photos: mark one N; ","")&amp;IF($K510&lt;&gt;"Y","info: not usable (a person, screen or whiteboard may show): never used, delete the file; ","")&amp;IF(AND($D510="placement",$J510&lt;&gt;"Y"),"info: not usable as a placement photo (no card); ","")&amp;IF(AND($D510="placement",N($N510)&gt;2),"info: placed after the first business day; ","")&amp;IF(AND($D510="later",$N510&lt;&gt;"",OR(N($N510)&lt;3,N($N510)&gt;5)),"info: later photo outside day 3 to 5; ",""))</f>
        <v/>
      </c>
      <c r="R510" s="25">
        <f>IF($B510="","",$B510&amp;"|"&amp;$C510&amp;"|"&amp;$D510&amp;"|"&amp;$O510)</f>
        <v/>
      </c>
      <c r="S510" s="25">
        <f>IF($B510="","",$R510&amp;"|"&amp;N($E510))</f>
        <v/>
      </c>
    </row>
    <row r="511">
      <c r="E511" s="9" t="n"/>
      <c r="F511" s="33" t="n"/>
      <c r="I511" s="9" t="n"/>
      <c r="M511" s="26">
        <f>IF($B511="","",IFERROR(IF(INDEX(campaigns!$BG$2:$BG$51,MATCH($B511,campaigns!$A$2:$A$51,0))="","",INDEX(campaigns!$BG$2:$BG$51,MATCH($B511,campaigns!$A$2:$A$51,0))),""))</f>
        <v/>
      </c>
      <c r="N511" s="25">
        <f>IF(OR($B511="",$E511="",$M511=""),"",IF($E511&lt;$M511,0,NETWORKDAYS($M511,$E511,calendar!$A$2:$A$80)))</f>
        <v/>
      </c>
      <c r="O511" s="25">
        <f>IF($B511="","",IF(AND($K511="Y",OR($D511="later",$J511="Y")),"Y","N"))</f>
        <v/>
      </c>
      <c r="P511" s="25">
        <f>IF(OR($B511="",$E511=""),"",$B511&amp;"_"&amp;$C511&amp;"_"&amp;$D511&amp;"_"&amp;TEXT($E511,"yyyy-mm-dd")&amp;".jpg")</f>
        <v/>
      </c>
      <c r="Q511" s="25">
        <f>IF($B511="","",IF(COUNTIF(campaigns!$A$2:$A$51,$B511)=0,"campaign_id not on campaigns; ",IF(AND($C511&lt;&gt;"",COUNTIFS(approvals!$A$2:$A$251,$B511,approvals!$B$2:$B$251,$C511)=0),"office not on this campaign (approvals tab); ",""))&amp;IF($E511="","taken date missing; ","")&amp;IF(AND($H511&lt;&gt;"",$H511&lt;&gt;$P511),"file name differs from the convention; ","")&amp;IF(AND($D511="placement",$O511="Y",COUNTIF(photos!$R$2:$R$701,$R511)&gt;1),"two usable placement photos: mark one N; ","")&amp;IF($K511&lt;&gt;"Y","info: not usable (a person, screen or whiteboard may show): never used, delete the file; ","")&amp;IF(AND($D511="placement",$J511&lt;&gt;"Y"),"info: not usable as a placement photo (no card); ","")&amp;IF(AND($D511="placement",N($N511)&gt;2),"info: placed after the first business day; ","")&amp;IF(AND($D511="later",$N511&lt;&gt;"",OR(N($N511)&lt;3,N($N511)&gt;5)),"info: later photo outside day 3 to 5; ",""))</f>
        <v/>
      </c>
      <c r="R511" s="25">
        <f>IF($B511="","",$B511&amp;"|"&amp;$C511&amp;"|"&amp;$D511&amp;"|"&amp;$O511)</f>
        <v/>
      </c>
      <c r="S511" s="25">
        <f>IF($B511="","",$R511&amp;"|"&amp;N($E511))</f>
        <v/>
      </c>
    </row>
    <row r="512">
      <c r="E512" s="9" t="n"/>
      <c r="F512" s="33" t="n"/>
      <c r="I512" s="9" t="n"/>
      <c r="M512" s="26">
        <f>IF($B512="","",IFERROR(IF(INDEX(campaigns!$BG$2:$BG$51,MATCH($B512,campaigns!$A$2:$A$51,0))="","",INDEX(campaigns!$BG$2:$BG$51,MATCH($B512,campaigns!$A$2:$A$51,0))),""))</f>
        <v/>
      </c>
      <c r="N512" s="25">
        <f>IF(OR($B512="",$E512="",$M512=""),"",IF($E512&lt;$M512,0,NETWORKDAYS($M512,$E512,calendar!$A$2:$A$80)))</f>
        <v/>
      </c>
      <c r="O512" s="25">
        <f>IF($B512="","",IF(AND($K512="Y",OR($D512="later",$J512="Y")),"Y","N"))</f>
        <v/>
      </c>
      <c r="P512" s="25">
        <f>IF(OR($B512="",$E512=""),"",$B512&amp;"_"&amp;$C512&amp;"_"&amp;$D512&amp;"_"&amp;TEXT($E512,"yyyy-mm-dd")&amp;".jpg")</f>
        <v/>
      </c>
      <c r="Q512" s="25">
        <f>IF($B512="","",IF(COUNTIF(campaigns!$A$2:$A$51,$B512)=0,"campaign_id not on campaigns; ",IF(AND($C512&lt;&gt;"",COUNTIFS(approvals!$A$2:$A$251,$B512,approvals!$B$2:$B$251,$C512)=0),"office not on this campaign (approvals tab); ",""))&amp;IF($E512="","taken date missing; ","")&amp;IF(AND($H512&lt;&gt;"",$H512&lt;&gt;$P512),"file name differs from the convention; ","")&amp;IF(AND($D512="placement",$O512="Y",COUNTIF(photos!$R$2:$R$701,$R512)&gt;1),"two usable placement photos: mark one N; ","")&amp;IF($K512&lt;&gt;"Y","info: not usable (a person, screen or whiteboard may show): never used, delete the file; ","")&amp;IF(AND($D512="placement",$J512&lt;&gt;"Y"),"info: not usable as a placement photo (no card); ","")&amp;IF(AND($D512="placement",N($N512)&gt;2),"info: placed after the first business day; ","")&amp;IF(AND($D512="later",$N512&lt;&gt;"",OR(N($N512)&lt;3,N($N512)&gt;5)),"info: later photo outside day 3 to 5; ",""))</f>
        <v/>
      </c>
      <c r="R512" s="25">
        <f>IF($B512="","",$B512&amp;"|"&amp;$C512&amp;"|"&amp;$D512&amp;"|"&amp;$O512)</f>
        <v/>
      </c>
      <c r="S512" s="25">
        <f>IF($B512="","",$R512&amp;"|"&amp;N($E512))</f>
        <v/>
      </c>
    </row>
    <row r="513">
      <c r="E513" s="9" t="n"/>
      <c r="F513" s="33" t="n"/>
      <c r="I513" s="9" t="n"/>
      <c r="M513" s="26">
        <f>IF($B513="","",IFERROR(IF(INDEX(campaigns!$BG$2:$BG$51,MATCH($B513,campaigns!$A$2:$A$51,0))="","",INDEX(campaigns!$BG$2:$BG$51,MATCH($B513,campaigns!$A$2:$A$51,0))),""))</f>
        <v/>
      </c>
      <c r="N513" s="25">
        <f>IF(OR($B513="",$E513="",$M513=""),"",IF($E513&lt;$M513,0,NETWORKDAYS($M513,$E513,calendar!$A$2:$A$80)))</f>
        <v/>
      </c>
      <c r="O513" s="25">
        <f>IF($B513="","",IF(AND($K513="Y",OR($D513="later",$J513="Y")),"Y","N"))</f>
        <v/>
      </c>
      <c r="P513" s="25">
        <f>IF(OR($B513="",$E513=""),"",$B513&amp;"_"&amp;$C513&amp;"_"&amp;$D513&amp;"_"&amp;TEXT($E513,"yyyy-mm-dd")&amp;".jpg")</f>
        <v/>
      </c>
      <c r="Q513" s="25">
        <f>IF($B513="","",IF(COUNTIF(campaigns!$A$2:$A$51,$B513)=0,"campaign_id not on campaigns; ",IF(AND($C513&lt;&gt;"",COUNTIFS(approvals!$A$2:$A$251,$B513,approvals!$B$2:$B$251,$C513)=0),"office not on this campaign (approvals tab); ",""))&amp;IF($E513="","taken date missing; ","")&amp;IF(AND($H513&lt;&gt;"",$H513&lt;&gt;$P513),"file name differs from the convention; ","")&amp;IF(AND($D513="placement",$O513="Y",COUNTIF(photos!$R$2:$R$701,$R513)&gt;1),"two usable placement photos: mark one N; ","")&amp;IF($K513&lt;&gt;"Y","info: not usable (a person, screen or whiteboard may show): never used, delete the file; ","")&amp;IF(AND($D513="placement",$J513&lt;&gt;"Y"),"info: not usable as a placement photo (no card); ","")&amp;IF(AND($D513="placement",N($N513)&gt;2),"info: placed after the first business day; ","")&amp;IF(AND($D513="later",$N513&lt;&gt;"",OR(N($N513)&lt;3,N($N513)&gt;5)),"info: later photo outside day 3 to 5; ",""))</f>
        <v/>
      </c>
      <c r="R513" s="25">
        <f>IF($B513="","",$B513&amp;"|"&amp;$C513&amp;"|"&amp;$D513&amp;"|"&amp;$O513)</f>
        <v/>
      </c>
      <c r="S513" s="25">
        <f>IF($B513="","",$R513&amp;"|"&amp;N($E513))</f>
        <v/>
      </c>
    </row>
    <row r="514">
      <c r="E514" s="9" t="n"/>
      <c r="F514" s="33" t="n"/>
      <c r="I514" s="9" t="n"/>
      <c r="M514" s="26">
        <f>IF($B514="","",IFERROR(IF(INDEX(campaigns!$BG$2:$BG$51,MATCH($B514,campaigns!$A$2:$A$51,0))="","",INDEX(campaigns!$BG$2:$BG$51,MATCH($B514,campaigns!$A$2:$A$51,0))),""))</f>
        <v/>
      </c>
      <c r="N514" s="25">
        <f>IF(OR($B514="",$E514="",$M514=""),"",IF($E514&lt;$M514,0,NETWORKDAYS($M514,$E514,calendar!$A$2:$A$80)))</f>
        <v/>
      </c>
      <c r="O514" s="25">
        <f>IF($B514="","",IF(AND($K514="Y",OR($D514="later",$J514="Y")),"Y","N"))</f>
        <v/>
      </c>
      <c r="P514" s="25">
        <f>IF(OR($B514="",$E514=""),"",$B514&amp;"_"&amp;$C514&amp;"_"&amp;$D514&amp;"_"&amp;TEXT($E514,"yyyy-mm-dd")&amp;".jpg")</f>
        <v/>
      </c>
      <c r="Q514" s="25">
        <f>IF($B514="","",IF(COUNTIF(campaigns!$A$2:$A$51,$B514)=0,"campaign_id not on campaigns; ",IF(AND($C514&lt;&gt;"",COUNTIFS(approvals!$A$2:$A$251,$B514,approvals!$B$2:$B$251,$C514)=0),"office not on this campaign (approvals tab); ",""))&amp;IF($E514="","taken date missing; ","")&amp;IF(AND($H514&lt;&gt;"",$H514&lt;&gt;$P514),"file name differs from the convention; ","")&amp;IF(AND($D514="placement",$O514="Y",COUNTIF(photos!$R$2:$R$701,$R514)&gt;1),"two usable placement photos: mark one N; ","")&amp;IF($K514&lt;&gt;"Y","info: not usable (a person, screen or whiteboard may show): never used, delete the file; ","")&amp;IF(AND($D514="placement",$J514&lt;&gt;"Y"),"info: not usable as a placement photo (no card); ","")&amp;IF(AND($D514="placement",N($N514)&gt;2),"info: placed after the first business day; ","")&amp;IF(AND($D514="later",$N514&lt;&gt;"",OR(N($N514)&lt;3,N($N514)&gt;5)),"info: later photo outside day 3 to 5; ",""))</f>
        <v/>
      </c>
      <c r="R514" s="25">
        <f>IF($B514="","",$B514&amp;"|"&amp;$C514&amp;"|"&amp;$D514&amp;"|"&amp;$O514)</f>
        <v/>
      </c>
      <c r="S514" s="25">
        <f>IF($B514="","",$R514&amp;"|"&amp;N($E514))</f>
        <v/>
      </c>
    </row>
    <row r="515">
      <c r="E515" s="9" t="n"/>
      <c r="F515" s="33" t="n"/>
      <c r="I515" s="9" t="n"/>
      <c r="M515" s="26">
        <f>IF($B515="","",IFERROR(IF(INDEX(campaigns!$BG$2:$BG$51,MATCH($B515,campaigns!$A$2:$A$51,0))="","",INDEX(campaigns!$BG$2:$BG$51,MATCH($B515,campaigns!$A$2:$A$51,0))),""))</f>
        <v/>
      </c>
      <c r="N515" s="25">
        <f>IF(OR($B515="",$E515="",$M515=""),"",IF($E515&lt;$M515,0,NETWORKDAYS($M515,$E515,calendar!$A$2:$A$80)))</f>
        <v/>
      </c>
      <c r="O515" s="25">
        <f>IF($B515="","",IF(AND($K515="Y",OR($D515="later",$J515="Y")),"Y","N"))</f>
        <v/>
      </c>
      <c r="P515" s="25">
        <f>IF(OR($B515="",$E515=""),"",$B515&amp;"_"&amp;$C515&amp;"_"&amp;$D515&amp;"_"&amp;TEXT($E515,"yyyy-mm-dd")&amp;".jpg")</f>
        <v/>
      </c>
      <c r="Q515" s="25">
        <f>IF($B515="","",IF(COUNTIF(campaigns!$A$2:$A$51,$B515)=0,"campaign_id not on campaigns; ",IF(AND($C515&lt;&gt;"",COUNTIFS(approvals!$A$2:$A$251,$B515,approvals!$B$2:$B$251,$C515)=0),"office not on this campaign (approvals tab); ",""))&amp;IF($E515="","taken date missing; ","")&amp;IF(AND($H515&lt;&gt;"",$H515&lt;&gt;$P515),"file name differs from the convention; ","")&amp;IF(AND($D515="placement",$O515="Y",COUNTIF(photos!$R$2:$R$701,$R515)&gt;1),"two usable placement photos: mark one N; ","")&amp;IF($K515&lt;&gt;"Y","info: not usable (a person, screen or whiteboard may show): never used, delete the file; ","")&amp;IF(AND($D515="placement",$J515&lt;&gt;"Y"),"info: not usable as a placement photo (no card); ","")&amp;IF(AND($D515="placement",N($N515)&gt;2),"info: placed after the first business day; ","")&amp;IF(AND($D515="later",$N515&lt;&gt;"",OR(N($N515)&lt;3,N($N515)&gt;5)),"info: later photo outside day 3 to 5; ",""))</f>
        <v/>
      </c>
      <c r="R515" s="25">
        <f>IF($B515="","",$B515&amp;"|"&amp;$C515&amp;"|"&amp;$D515&amp;"|"&amp;$O515)</f>
        <v/>
      </c>
      <c r="S515" s="25">
        <f>IF($B515="","",$R515&amp;"|"&amp;N($E515))</f>
        <v/>
      </c>
    </row>
    <row r="516">
      <c r="E516" s="9" t="n"/>
      <c r="F516" s="33" t="n"/>
      <c r="I516" s="9" t="n"/>
      <c r="M516" s="26">
        <f>IF($B516="","",IFERROR(IF(INDEX(campaigns!$BG$2:$BG$51,MATCH($B516,campaigns!$A$2:$A$51,0))="","",INDEX(campaigns!$BG$2:$BG$51,MATCH($B516,campaigns!$A$2:$A$51,0))),""))</f>
        <v/>
      </c>
      <c r="N516" s="25">
        <f>IF(OR($B516="",$E516="",$M516=""),"",IF($E516&lt;$M516,0,NETWORKDAYS($M516,$E516,calendar!$A$2:$A$80)))</f>
        <v/>
      </c>
      <c r="O516" s="25">
        <f>IF($B516="","",IF(AND($K516="Y",OR($D516="later",$J516="Y")),"Y","N"))</f>
        <v/>
      </c>
      <c r="P516" s="25">
        <f>IF(OR($B516="",$E516=""),"",$B516&amp;"_"&amp;$C516&amp;"_"&amp;$D516&amp;"_"&amp;TEXT($E516,"yyyy-mm-dd")&amp;".jpg")</f>
        <v/>
      </c>
      <c r="Q516" s="25">
        <f>IF($B516="","",IF(COUNTIF(campaigns!$A$2:$A$51,$B516)=0,"campaign_id not on campaigns; ",IF(AND($C516&lt;&gt;"",COUNTIFS(approvals!$A$2:$A$251,$B516,approvals!$B$2:$B$251,$C516)=0),"office not on this campaign (approvals tab); ",""))&amp;IF($E516="","taken date missing; ","")&amp;IF(AND($H516&lt;&gt;"",$H516&lt;&gt;$P516),"file name differs from the convention; ","")&amp;IF(AND($D516="placement",$O516="Y",COUNTIF(photos!$R$2:$R$701,$R516)&gt;1),"two usable placement photos: mark one N; ","")&amp;IF($K516&lt;&gt;"Y","info: not usable (a person, screen or whiteboard may show): never used, delete the file; ","")&amp;IF(AND($D516="placement",$J516&lt;&gt;"Y"),"info: not usable as a placement photo (no card); ","")&amp;IF(AND($D516="placement",N($N516)&gt;2),"info: placed after the first business day; ","")&amp;IF(AND($D516="later",$N516&lt;&gt;"",OR(N($N516)&lt;3,N($N516)&gt;5)),"info: later photo outside day 3 to 5; ",""))</f>
        <v/>
      </c>
      <c r="R516" s="25">
        <f>IF($B516="","",$B516&amp;"|"&amp;$C516&amp;"|"&amp;$D516&amp;"|"&amp;$O516)</f>
        <v/>
      </c>
      <c r="S516" s="25">
        <f>IF($B516="","",$R516&amp;"|"&amp;N($E516))</f>
        <v/>
      </c>
    </row>
    <row r="517">
      <c r="E517" s="9" t="n"/>
      <c r="F517" s="33" t="n"/>
      <c r="I517" s="9" t="n"/>
      <c r="M517" s="26">
        <f>IF($B517="","",IFERROR(IF(INDEX(campaigns!$BG$2:$BG$51,MATCH($B517,campaigns!$A$2:$A$51,0))="","",INDEX(campaigns!$BG$2:$BG$51,MATCH($B517,campaigns!$A$2:$A$51,0))),""))</f>
        <v/>
      </c>
      <c r="N517" s="25">
        <f>IF(OR($B517="",$E517="",$M517=""),"",IF($E517&lt;$M517,0,NETWORKDAYS($M517,$E517,calendar!$A$2:$A$80)))</f>
        <v/>
      </c>
      <c r="O517" s="25">
        <f>IF($B517="","",IF(AND($K517="Y",OR($D517="later",$J517="Y")),"Y","N"))</f>
        <v/>
      </c>
      <c r="P517" s="25">
        <f>IF(OR($B517="",$E517=""),"",$B517&amp;"_"&amp;$C517&amp;"_"&amp;$D517&amp;"_"&amp;TEXT($E517,"yyyy-mm-dd")&amp;".jpg")</f>
        <v/>
      </c>
      <c r="Q517" s="25">
        <f>IF($B517="","",IF(COUNTIF(campaigns!$A$2:$A$51,$B517)=0,"campaign_id not on campaigns; ",IF(AND($C517&lt;&gt;"",COUNTIFS(approvals!$A$2:$A$251,$B517,approvals!$B$2:$B$251,$C517)=0),"office not on this campaign (approvals tab); ",""))&amp;IF($E517="","taken date missing; ","")&amp;IF(AND($H517&lt;&gt;"",$H517&lt;&gt;$P517),"file name differs from the convention; ","")&amp;IF(AND($D517="placement",$O517="Y",COUNTIF(photos!$R$2:$R$701,$R517)&gt;1),"two usable placement photos: mark one N; ","")&amp;IF($K517&lt;&gt;"Y","info: not usable (a person, screen or whiteboard may show): never used, delete the file; ","")&amp;IF(AND($D517="placement",$J517&lt;&gt;"Y"),"info: not usable as a placement photo (no card); ","")&amp;IF(AND($D517="placement",N($N517)&gt;2),"info: placed after the first business day; ","")&amp;IF(AND($D517="later",$N517&lt;&gt;"",OR(N($N517)&lt;3,N($N517)&gt;5)),"info: later photo outside day 3 to 5; ",""))</f>
        <v/>
      </c>
      <c r="R517" s="25">
        <f>IF($B517="","",$B517&amp;"|"&amp;$C517&amp;"|"&amp;$D517&amp;"|"&amp;$O517)</f>
        <v/>
      </c>
      <c r="S517" s="25">
        <f>IF($B517="","",$R517&amp;"|"&amp;N($E517))</f>
        <v/>
      </c>
    </row>
    <row r="518">
      <c r="E518" s="9" t="n"/>
      <c r="F518" s="33" t="n"/>
      <c r="I518" s="9" t="n"/>
      <c r="M518" s="26">
        <f>IF($B518="","",IFERROR(IF(INDEX(campaigns!$BG$2:$BG$51,MATCH($B518,campaigns!$A$2:$A$51,0))="","",INDEX(campaigns!$BG$2:$BG$51,MATCH($B518,campaigns!$A$2:$A$51,0))),""))</f>
        <v/>
      </c>
      <c r="N518" s="25">
        <f>IF(OR($B518="",$E518="",$M518=""),"",IF($E518&lt;$M518,0,NETWORKDAYS($M518,$E518,calendar!$A$2:$A$80)))</f>
        <v/>
      </c>
      <c r="O518" s="25">
        <f>IF($B518="","",IF(AND($K518="Y",OR($D518="later",$J518="Y")),"Y","N"))</f>
        <v/>
      </c>
      <c r="P518" s="25">
        <f>IF(OR($B518="",$E518=""),"",$B518&amp;"_"&amp;$C518&amp;"_"&amp;$D518&amp;"_"&amp;TEXT($E518,"yyyy-mm-dd")&amp;".jpg")</f>
        <v/>
      </c>
      <c r="Q518" s="25">
        <f>IF($B518="","",IF(COUNTIF(campaigns!$A$2:$A$51,$B518)=0,"campaign_id not on campaigns; ",IF(AND($C518&lt;&gt;"",COUNTIFS(approvals!$A$2:$A$251,$B518,approvals!$B$2:$B$251,$C518)=0),"office not on this campaign (approvals tab); ",""))&amp;IF($E518="","taken date missing; ","")&amp;IF(AND($H518&lt;&gt;"",$H518&lt;&gt;$P518),"file name differs from the convention; ","")&amp;IF(AND($D518="placement",$O518="Y",COUNTIF(photos!$R$2:$R$701,$R518)&gt;1),"two usable placement photos: mark one N; ","")&amp;IF($K518&lt;&gt;"Y","info: not usable (a person, screen or whiteboard may show): never used, delete the file; ","")&amp;IF(AND($D518="placement",$J518&lt;&gt;"Y"),"info: not usable as a placement photo (no card); ","")&amp;IF(AND($D518="placement",N($N518)&gt;2),"info: placed after the first business day; ","")&amp;IF(AND($D518="later",$N518&lt;&gt;"",OR(N($N518)&lt;3,N($N518)&gt;5)),"info: later photo outside day 3 to 5; ",""))</f>
        <v/>
      </c>
      <c r="R518" s="25">
        <f>IF($B518="","",$B518&amp;"|"&amp;$C518&amp;"|"&amp;$D518&amp;"|"&amp;$O518)</f>
        <v/>
      </c>
      <c r="S518" s="25">
        <f>IF($B518="","",$R518&amp;"|"&amp;N($E518))</f>
        <v/>
      </c>
    </row>
    <row r="519">
      <c r="E519" s="9" t="n"/>
      <c r="F519" s="33" t="n"/>
      <c r="I519" s="9" t="n"/>
      <c r="M519" s="26">
        <f>IF($B519="","",IFERROR(IF(INDEX(campaigns!$BG$2:$BG$51,MATCH($B519,campaigns!$A$2:$A$51,0))="","",INDEX(campaigns!$BG$2:$BG$51,MATCH($B519,campaigns!$A$2:$A$51,0))),""))</f>
        <v/>
      </c>
      <c r="N519" s="25">
        <f>IF(OR($B519="",$E519="",$M519=""),"",IF($E519&lt;$M519,0,NETWORKDAYS($M519,$E519,calendar!$A$2:$A$80)))</f>
        <v/>
      </c>
      <c r="O519" s="25">
        <f>IF($B519="","",IF(AND($K519="Y",OR($D519="later",$J519="Y")),"Y","N"))</f>
        <v/>
      </c>
      <c r="P519" s="25">
        <f>IF(OR($B519="",$E519=""),"",$B519&amp;"_"&amp;$C519&amp;"_"&amp;$D519&amp;"_"&amp;TEXT($E519,"yyyy-mm-dd")&amp;".jpg")</f>
        <v/>
      </c>
      <c r="Q519" s="25">
        <f>IF($B519="","",IF(COUNTIF(campaigns!$A$2:$A$51,$B519)=0,"campaign_id not on campaigns; ",IF(AND($C519&lt;&gt;"",COUNTIFS(approvals!$A$2:$A$251,$B519,approvals!$B$2:$B$251,$C519)=0),"office not on this campaign (approvals tab); ",""))&amp;IF($E519="","taken date missing; ","")&amp;IF(AND($H519&lt;&gt;"",$H519&lt;&gt;$P519),"file name differs from the convention; ","")&amp;IF(AND($D519="placement",$O519="Y",COUNTIF(photos!$R$2:$R$701,$R519)&gt;1),"two usable placement photos: mark one N; ","")&amp;IF($K519&lt;&gt;"Y","info: not usable (a person, screen or whiteboard may show): never used, delete the file; ","")&amp;IF(AND($D519="placement",$J519&lt;&gt;"Y"),"info: not usable as a placement photo (no card); ","")&amp;IF(AND($D519="placement",N($N519)&gt;2),"info: placed after the first business day; ","")&amp;IF(AND($D519="later",$N519&lt;&gt;"",OR(N($N519)&lt;3,N($N519)&gt;5)),"info: later photo outside day 3 to 5; ",""))</f>
        <v/>
      </c>
      <c r="R519" s="25">
        <f>IF($B519="","",$B519&amp;"|"&amp;$C519&amp;"|"&amp;$D519&amp;"|"&amp;$O519)</f>
        <v/>
      </c>
      <c r="S519" s="25">
        <f>IF($B519="","",$R519&amp;"|"&amp;N($E519))</f>
        <v/>
      </c>
    </row>
    <row r="520">
      <c r="E520" s="9" t="n"/>
      <c r="F520" s="33" t="n"/>
      <c r="I520" s="9" t="n"/>
      <c r="M520" s="26">
        <f>IF($B520="","",IFERROR(IF(INDEX(campaigns!$BG$2:$BG$51,MATCH($B520,campaigns!$A$2:$A$51,0))="","",INDEX(campaigns!$BG$2:$BG$51,MATCH($B520,campaigns!$A$2:$A$51,0))),""))</f>
        <v/>
      </c>
      <c r="N520" s="25">
        <f>IF(OR($B520="",$E520="",$M520=""),"",IF($E520&lt;$M520,0,NETWORKDAYS($M520,$E520,calendar!$A$2:$A$80)))</f>
        <v/>
      </c>
      <c r="O520" s="25">
        <f>IF($B520="","",IF(AND($K520="Y",OR($D520="later",$J520="Y")),"Y","N"))</f>
        <v/>
      </c>
      <c r="P520" s="25">
        <f>IF(OR($B520="",$E520=""),"",$B520&amp;"_"&amp;$C520&amp;"_"&amp;$D520&amp;"_"&amp;TEXT($E520,"yyyy-mm-dd")&amp;".jpg")</f>
        <v/>
      </c>
      <c r="Q520" s="25">
        <f>IF($B520="","",IF(COUNTIF(campaigns!$A$2:$A$51,$B520)=0,"campaign_id not on campaigns; ",IF(AND($C520&lt;&gt;"",COUNTIFS(approvals!$A$2:$A$251,$B520,approvals!$B$2:$B$251,$C520)=0),"office not on this campaign (approvals tab); ",""))&amp;IF($E520="","taken date missing; ","")&amp;IF(AND($H520&lt;&gt;"",$H520&lt;&gt;$P520),"file name differs from the convention; ","")&amp;IF(AND($D520="placement",$O520="Y",COUNTIF(photos!$R$2:$R$701,$R520)&gt;1),"two usable placement photos: mark one N; ","")&amp;IF($K520&lt;&gt;"Y","info: not usable (a person, screen or whiteboard may show): never used, delete the file; ","")&amp;IF(AND($D520="placement",$J520&lt;&gt;"Y"),"info: not usable as a placement photo (no card); ","")&amp;IF(AND($D520="placement",N($N520)&gt;2),"info: placed after the first business day; ","")&amp;IF(AND($D520="later",$N520&lt;&gt;"",OR(N($N520)&lt;3,N($N520)&gt;5)),"info: later photo outside day 3 to 5; ",""))</f>
        <v/>
      </c>
      <c r="R520" s="25">
        <f>IF($B520="","",$B520&amp;"|"&amp;$C520&amp;"|"&amp;$D520&amp;"|"&amp;$O520)</f>
        <v/>
      </c>
      <c r="S520" s="25">
        <f>IF($B520="","",$R520&amp;"|"&amp;N($E520))</f>
        <v/>
      </c>
    </row>
    <row r="521">
      <c r="E521" s="9" t="n"/>
      <c r="F521" s="33" t="n"/>
      <c r="I521" s="9" t="n"/>
      <c r="M521" s="26">
        <f>IF($B521="","",IFERROR(IF(INDEX(campaigns!$BG$2:$BG$51,MATCH($B521,campaigns!$A$2:$A$51,0))="","",INDEX(campaigns!$BG$2:$BG$51,MATCH($B521,campaigns!$A$2:$A$51,0))),""))</f>
        <v/>
      </c>
      <c r="N521" s="25">
        <f>IF(OR($B521="",$E521="",$M521=""),"",IF($E521&lt;$M521,0,NETWORKDAYS($M521,$E521,calendar!$A$2:$A$80)))</f>
        <v/>
      </c>
      <c r="O521" s="25">
        <f>IF($B521="","",IF(AND($K521="Y",OR($D521="later",$J521="Y")),"Y","N"))</f>
        <v/>
      </c>
      <c r="P521" s="25">
        <f>IF(OR($B521="",$E521=""),"",$B521&amp;"_"&amp;$C521&amp;"_"&amp;$D521&amp;"_"&amp;TEXT($E521,"yyyy-mm-dd")&amp;".jpg")</f>
        <v/>
      </c>
      <c r="Q521" s="25">
        <f>IF($B521="","",IF(COUNTIF(campaigns!$A$2:$A$51,$B521)=0,"campaign_id not on campaigns; ",IF(AND($C521&lt;&gt;"",COUNTIFS(approvals!$A$2:$A$251,$B521,approvals!$B$2:$B$251,$C521)=0),"office not on this campaign (approvals tab); ",""))&amp;IF($E521="","taken date missing; ","")&amp;IF(AND($H521&lt;&gt;"",$H521&lt;&gt;$P521),"file name differs from the convention; ","")&amp;IF(AND($D521="placement",$O521="Y",COUNTIF(photos!$R$2:$R$701,$R521)&gt;1),"two usable placement photos: mark one N; ","")&amp;IF($K521&lt;&gt;"Y","info: not usable (a person, screen or whiteboard may show): never used, delete the file; ","")&amp;IF(AND($D521="placement",$J521&lt;&gt;"Y"),"info: not usable as a placement photo (no card); ","")&amp;IF(AND($D521="placement",N($N521)&gt;2),"info: placed after the first business day; ","")&amp;IF(AND($D521="later",$N521&lt;&gt;"",OR(N($N521)&lt;3,N($N521)&gt;5)),"info: later photo outside day 3 to 5; ",""))</f>
        <v/>
      </c>
      <c r="R521" s="25">
        <f>IF($B521="","",$B521&amp;"|"&amp;$C521&amp;"|"&amp;$D521&amp;"|"&amp;$O521)</f>
        <v/>
      </c>
      <c r="S521" s="25">
        <f>IF($B521="","",$R521&amp;"|"&amp;N($E521))</f>
        <v/>
      </c>
    </row>
    <row r="522">
      <c r="E522" s="9" t="n"/>
      <c r="F522" s="33" t="n"/>
      <c r="I522" s="9" t="n"/>
      <c r="M522" s="26">
        <f>IF($B522="","",IFERROR(IF(INDEX(campaigns!$BG$2:$BG$51,MATCH($B522,campaigns!$A$2:$A$51,0))="","",INDEX(campaigns!$BG$2:$BG$51,MATCH($B522,campaigns!$A$2:$A$51,0))),""))</f>
        <v/>
      </c>
      <c r="N522" s="25">
        <f>IF(OR($B522="",$E522="",$M522=""),"",IF($E522&lt;$M522,0,NETWORKDAYS($M522,$E522,calendar!$A$2:$A$80)))</f>
        <v/>
      </c>
      <c r="O522" s="25">
        <f>IF($B522="","",IF(AND($K522="Y",OR($D522="later",$J522="Y")),"Y","N"))</f>
        <v/>
      </c>
      <c r="P522" s="25">
        <f>IF(OR($B522="",$E522=""),"",$B522&amp;"_"&amp;$C522&amp;"_"&amp;$D522&amp;"_"&amp;TEXT($E522,"yyyy-mm-dd")&amp;".jpg")</f>
        <v/>
      </c>
      <c r="Q522" s="25">
        <f>IF($B522="","",IF(COUNTIF(campaigns!$A$2:$A$51,$B522)=0,"campaign_id not on campaigns; ",IF(AND($C522&lt;&gt;"",COUNTIFS(approvals!$A$2:$A$251,$B522,approvals!$B$2:$B$251,$C522)=0),"office not on this campaign (approvals tab); ",""))&amp;IF($E522="","taken date missing; ","")&amp;IF(AND($H522&lt;&gt;"",$H522&lt;&gt;$P522),"file name differs from the convention; ","")&amp;IF(AND($D522="placement",$O522="Y",COUNTIF(photos!$R$2:$R$701,$R522)&gt;1),"two usable placement photos: mark one N; ","")&amp;IF($K522&lt;&gt;"Y","info: not usable (a person, screen or whiteboard may show): never used, delete the file; ","")&amp;IF(AND($D522="placement",$J522&lt;&gt;"Y"),"info: not usable as a placement photo (no card); ","")&amp;IF(AND($D522="placement",N($N522)&gt;2),"info: placed after the first business day; ","")&amp;IF(AND($D522="later",$N522&lt;&gt;"",OR(N($N522)&lt;3,N($N522)&gt;5)),"info: later photo outside day 3 to 5; ",""))</f>
        <v/>
      </c>
      <c r="R522" s="25">
        <f>IF($B522="","",$B522&amp;"|"&amp;$C522&amp;"|"&amp;$D522&amp;"|"&amp;$O522)</f>
        <v/>
      </c>
      <c r="S522" s="25">
        <f>IF($B522="","",$R522&amp;"|"&amp;N($E522))</f>
        <v/>
      </c>
    </row>
    <row r="523">
      <c r="E523" s="9" t="n"/>
      <c r="F523" s="33" t="n"/>
      <c r="I523" s="9" t="n"/>
      <c r="M523" s="26">
        <f>IF($B523="","",IFERROR(IF(INDEX(campaigns!$BG$2:$BG$51,MATCH($B523,campaigns!$A$2:$A$51,0))="","",INDEX(campaigns!$BG$2:$BG$51,MATCH($B523,campaigns!$A$2:$A$51,0))),""))</f>
        <v/>
      </c>
      <c r="N523" s="25">
        <f>IF(OR($B523="",$E523="",$M523=""),"",IF($E523&lt;$M523,0,NETWORKDAYS($M523,$E523,calendar!$A$2:$A$80)))</f>
        <v/>
      </c>
      <c r="O523" s="25">
        <f>IF($B523="","",IF(AND($K523="Y",OR($D523="later",$J523="Y")),"Y","N"))</f>
        <v/>
      </c>
      <c r="P523" s="25">
        <f>IF(OR($B523="",$E523=""),"",$B523&amp;"_"&amp;$C523&amp;"_"&amp;$D523&amp;"_"&amp;TEXT($E523,"yyyy-mm-dd")&amp;".jpg")</f>
        <v/>
      </c>
      <c r="Q523" s="25">
        <f>IF($B523="","",IF(COUNTIF(campaigns!$A$2:$A$51,$B523)=0,"campaign_id not on campaigns; ",IF(AND($C523&lt;&gt;"",COUNTIFS(approvals!$A$2:$A$251,$B523,approvals!$B$2:$B$251,$C523)=0),"office not on this campaign (approvals tab); ",""))&amp;IF($E523="","taken date missing; ","")&amp;IF(AND($H523&lt;&gt;"",$H523&lt;&gt;$P523),"file name differs from the convention; ","")&amp;IF(AND($D523="placement",$O523="Y",COUNTIF(photos!$R$2:$R$701,$R523)&gt;1),"two usable placement photos: mark one N; ","")&amp;IF($K523&lt;&gt;"Y","info: not usable (a person, screen or whiteboard may show): never used, delete the file; ","")&amp;IF(AND($D523="placement",$J523&lt;&gt;"Y"),"info: not usable as a placement photo (no card); ","")&amp;IF(AND($D523="placement",N($N523)&gt;2),"info: placed after the first business day; ","")&amp;IF(AND($D523="later",$N523&lt;&gt;"",OR(N($N523)&lt;3,N($N523)&gt;5)),"info: later photo outside day 3 to 5; ",""))</f>
        <v/>
      </c>
      <c r="R523" s="25">
        <f>IF($B523="","",$B523&amp;"|"&amp;$C523&amp;"|"&amp;$D523&amp;"|"&amp;$O523)</f>
        <v/>
      </c>
      <c r="S523" s="25">
        <f>IF($B523="","",$R523&amp;"|"&amp;N($E523))</f>
        <v/>
      </c>
    </row>
    <row r="524">
      <c r="E524" s="9" t="n"/>
      <c r="F524" s="33" t="n"/>
      <c r="I524" s="9" t="n"/>
      <c r="M524" s="26">
        <f>IF($B524="","",IFERROR(IF(INDEX(campaigns!$BG$2:$BG$51,MATCH($B524,campaigns!$A$2:$A$51,0))="","",INDEX(campaigns!$BG$2:$BG$51,MATCH($B524,campaigns!$A$2:$A$51,0))),""))</f>
        <v/>
      </c>
      <c r="N524" s="25">
        <f>IF(OR($B524="",$E524="",$M524=""),"",IF($E524&lt;$M524,0,NETWORKDAYS($M524,$E524,calendar!$A$2:$A$80)))</f>
        <v/>
      </c>
      <c r="O524" s="25">
        <f>IF($B524="","",IF(AND($K524="Y",OR($D524="later",$J524="Y")),"Y","N"))</f>
        <v/>
      </c>
      <c r="P524" s="25">
        <f>IF(OR($B524="",$E524=""),"",$B524&amp;"_"&amp;$C524&amp;"_"&amp;$D524&amp;"_"&amp;TEXT($E524,"yyyy-mm-dd")&amp;".jpg")</f>
        <v/>
      </c>
      <c r="Q524" s="25">
        <f>IF($B524="","",IF(COUNTIF(campaigns!$A$2:$A$51,$B524)=0,"campaign_id not on campaigns; ",IF(AND($C524&lt;&gt;"",COUNTIFS(approvals!$A$2:$A$251,$B524,approvals!$B$2:$B$251,$C524)=0),"office not on this campaign (approvals tab); ",""))&amp;IF($E524="","taken date missing; ","")&amp;IF(AND($H524&lt;&gt;"",$H524&lt;&gt;$P524),"file name differs from the convention; ","")&amp;IF(AND($D524="placement",$O524="Y",COUNTIF(photos!$R$2:$R$701,$R524)&gt;1),"two usable placement photos: mark one N; ","")&amp;IF($K524&lt;&gt;"Y","info: not usable (a person, screen or whiteboard may show): never used, delete the file; ","")&amp;IF(AND($D524="placement",$J524&lt;&gt;"Y"),"info: not usable as a placement photo (no card); ","")&amp;IF(AND($D524="placement",N($N524)&gt;2),"info: placed after the first business day; ","")&amp;IF(AND($D524="later",$N524&lt;&gt;"",OR(N($N524)&lt;3,N($N524)&gt;5)),"info: later photo outside day 3 to 5; ",""))</f>
        <v/>
      </c>
      <c r="R524" s="25">
        <f>IF($B524="","",$B524&amp;"|"&amp;$C524&amp;"|"&amp;$D524&amp;"|"&amp;$O524)</f>
        <v/>
      </c>
      <c r="S524" s="25">
        <f>IF($B524="","",$R524&amp;"|"&amp;N($E524))</f>
        <v/>
      </c>
    </row>
    <row r="525">
      <c r="E525" s="9" t="n"/>
      <c r="F525" s="33" t="n"/>
      <c r="I525" s="9" t="n"/>
      <c r="M525" s="26">
        <f>IF($B525="","",IFERROR(IF(INDEX(campaigns!$BG$2:$BG$51,MATCH($B525,campaigns!$A$2:$A$51,0))="","",INDEX(campaigns!$BG$2:$BG$51,MATCH($B525,campaigns!$A$2:$A$51,0))),""))</f>
        <v/>
      </c>
      <c r="N525" s="25">
        <f>IF(OR($B525="",$E525="",$M525=""),"",IF($E525&lt;$M525,0,NETWORKDAYS($M525,$E525,calendar!$A$2:$A$80)))</f>
        <v/>
      </c>
      <c r="O525" s="25">
        <f>IF($B525="","",IF(AND($K525="Y",OR($D525="later",$J525="Y")),"Y","N"))</f>
        <v/>
      </c>
      <c r="P525" s="25">
        <f>IF(OR($B525="",$E525=""),"",$B525&amp;"_"&amp;$C525&amp;"_"&amp;$D525&amp;"_"&amp;TEXT($E525,"yyyy-mm-dd")&amp;".jpg")</f>
        <v/>
      </c>
      <c r="Q525" s="25">
        <f>IF($B525="","",IF(COUNTIF(campaigns!$A$2:$A$51,$B525)=0,"campaign_id not on campaigns; ",IF(AND($C525&lt;&gt;"",COUNTIFS(approvals!$A$2:$A$251,$B525,approvals!$B$2:$B$251,$C525)=0),"office not on this campaign (approvals tab); ",""))&amp;IF($E525="","taken date missing; ","")&amp;IF(AND($H525&lt;&gt;"",$H525&lt;&gt;$P525),"file name differs from the convention; ","")&amp;IF(AND($D525="placement",$O525="Y",COUNTIF(photos!$R$2:$R$701,$R525)&gt;1),"two usable placement photos: mark one N; ","")&amp;IF($K525&lt;&gt;"Y","info: not usable (a person, screen or whiteboard may show): never used, delete the file; ","")&amp;IF(AND($D525="placement",$J525&lt;&gt;"Y"),"info: not usable as a placement photo (no card); ","")&amp;IF(AND($D525="placement",N($N525)&gt;2),"info: placed after the first business day; ","")&amp;IF(AND($D525="later",$N525&lt;&gt;"",OR(N($N525)&lt;3,N($N525)&gt;5)),"info: later photo outside day 3 to 5; ",""))</f>
        <v/>
      </c>
      <c r="R525" s="25">
        <f>IF($B525="","",$B525&amp;"|"&amp;$C525&amp;"|"&amp;$D525&amp;"|"&amp;$O525)</f>
        <v/>
      </c>
      <c r="S525" s="25">
        <f>IF($B525="","",$R525&amp;"|"&amp;N($E525))</f>
        <v/>
      </c>
    </row>
    <row r="526">
      <c r="E526" s="9" t="n"/>
      <c r="F526" s="33" t="n"/>
      <c r="I526" s="9" t="n"/>
      <c r="M526" s="26">
        <f>IF($B526="","",IFERROR(IF(INDEX(campaigns!$BG$2:$BG$51,MATCH($B526,campaigns!$A$2:$A$51,0))="","",INDEX(campaigns!$BG$2:$BG$51,MATCH($B526,campaigns!$A$2:$A$51,0))),""))</f>
        <v/>
      </c>
      <c r="N526" s="25">
        <f>IF(OR($B526="",$E526="",$M526=""),"",IF($E526&lt;$M526,0,NETWORKDAYS($M526,$E526,calendar!$A$2:$A$80)))</f>
        <v/>
      </c>
      <c r="O526" s="25">
        <f>IF($B526="","",IF(AND($K526="Y",OR($D526="later",$J526="Y")),"Y","N"))</f>
        <v/>
      </c>
      <c r="P526" s="25">
        <f>IF(OR($B526="",$E526=""),"",$B526&amp;"_"&amp;$C526&amp;"_"&amp;$D526&amp;"_"&amp;TEXT($E526,"yyyy-mm-dd")&amp;".jpg")</f>
        <v/>
      </c>
      <c r="Q526" s="25">
        <f>IF($B526="","",IF(COUNTIF(campaigns!$A$2:$A$51,$B526)=0,"campaign_id not on campaigns; ",IF(AND($C526&lt;&gt;"",COUNTIFS(approvals!$A$2:$A$251,$B526,approvals!$B$2:$B$251,$C526)=0),"office not on this campaign (approvals tab); ",""))&amp;IF($E526="","taken date missing; ","")&amp;IF(AND($H526&lt;&gt;"",$H526&lt;&gt;$P526),"file name differs from the convention; ","")&amp;IF(AND($D526="placement",$O526="Y",COUNTIF(photos!$R$2:$R$701,$R526)&gt;1),"two usable placement photos: mark one N; ","")&amp;IF($K526&lt;&gt;"Y","info: not usable (a person, screen or whiteboard may show): never used, delete the file; ","")&amp;IF(AND($D526="placement",$J526&lt;&gt;"Y"),"info: not usable as a placement photo (no card); ","")&amp;IF(AND($D526="placement",N($N526)&gt;2),"info: placed after the first business day; ","")&amp;IF(AND($D526="later",$N526&lt;&gt;"",OR(N($N526)&lt;3,N($N526)&gt;5)),"info: later photo outside day 3 to 5; ",""))</f>
        <v/>
      </c>
      <c r="R526" s="25">
        <f>IF($B526="","",$B526&amp;"|"&amp;$C526&amp;"|"&amp;$D526&amp;"|"&amp;$O526)</f>
        <v/>
      </c>
      <c r="S526" s="25">
        <f>IF($B526="","",$R526&amp;"|"&amp;N($E526))</f>
        <v/>
      </c>
    </row>
    <row r="527">
      <c r="E527" s="9" t="n"/>
      <c r="F527" s="33" t="n"/>
      <c r="I527" s="9" t="n"/>
      <c r="M527" s="26">
        <f>IF($B527="","",IFERROR(IF(INDEX(campaigns!$BG$2:$BG$51,MATCH($B527,campaigns!$A$2:$A$51,0))="","",INDEX(campaigns!$BG$2:$BG$51,MATCH($B527,campaigns!$A$2:$A$51,0))),""))</f>
        <v/>
      </c>
      <c r="N527" s="25">
        <f>IF(OR($B527="",$E527="",$M527=""),"",IF($E527&lt;$M527,0,NETWORKDAYS($M527,$E527,calendar!$A$2:$A$80)))</f>
        <v/>
      </c>
      <c r="O527" s="25">
        <f>IF($B527="","",IF(AND($K527="Y",OR($D527="later",$J527="Y")),"Y","N"))</f>
        <v/>
      </c>
      <c r="P527" s="25">
        <f>IF(OR($B527="",$E527=""),"",$B527&amp;"_"&amp;$C527&amp;"_"&amp;$D527&amp;"_"&amp;TEXT($E527,"yyyy-mm-dd")&amp;".jpg")</f>
        <v/>
      </c>
      <c r="Q527" s="25">
        <f>IF($B527="","",IF(COUNTIF(campaigns!$A$2:$A$51,$B527)=0,"campaign_id not on campaigns; ",IF(AND($C527&lt;&gt;"",COUNTIFS(approvals!$A$2:$A$251,$B527,approvals!$B$2:$B$251,$C527)=0),"office not on this campaign (approvals tab); ",""))&amp;IF($E527="","taken date missing; ","")&amp;IF(AND($H527&lt;&gt;"",$H527&lt;&gt;$P527),"file name differs from the convention; ","")&amp;IF(AND($D527="placement",$O527="Y",COUNTIF(photos!$R$2:$R$701,$R527)&gt;1),"two usable placement photos: mark one N; ","")&amp;IF($K527&lt;&gt;"Y","info: not usable (a person, screen or whiteboard may show): never used, delete the file; ","")&amp;IF(AND($D527="placement",$J527&lt;&gt;"Y"),"info: not usable as a placement photo (no card); ","")&amp;IF(AND($D527="placement",N($N527)&gt;2),"info: placed after the first business day; ","")&amp;IF(AND($D527="later",$N527&lt;&gt;"",OR(N($N527)&lt;3,N($N527)&gt;5)),"info: later photo outside day 3 to 5; ",""))</f>
        <v/>
      </c>
      <c r="R527" s="25">
        <f>IF($B527="","",$B527&amp;"|"&amp;$C527&amp;"|"&amp;$D527&amp;"|"&amp;$O527)</f>
        <v/>
      </c>
      <c r="S527" s="25">
        <f>IF($B527="","",$R527&amp;"|"&amp;N($E527))</f>
        <v/>
      </c>
    </row>
    <row r="528">
      <c r="E528" s="9" t="n"/>
      <c r="F528" s="33" t="n"/>
      <c r="I528" s="9" t="n"/>
      <c r="M528" s="26">
        <f>IF($B528="","",IFERROR(IF(INDEX(campaigns!$BG$2:$BG$51,MATCH($B528,campaigns!$A$2:$A$51,0))="","",INDEX(campaigns!$BG$2:$BG$51,MATCH($B528,campaigns!$A$2:$A$51,0))),""))</f>
        <v/>
      </c>
      <c r="N528" s="25">
        <f>IF(OR($B528="",$E528="",$M528=""),"",IF($E528&lt;$M528,0,NETWORKDAYS($M528,$E528,calendar!$A$2:$A$80)))</f>
        <v/>
      </c>
      <c r="O528" s="25">
        <f>IF($B528="","",IF(AND($K528="Y",OR($D528="later",$J528="Y")),"Y","N"))</f>
        <v/>
      </c>
      <c r="P528" s="25">
        <f>IF(OR($B528="",$E528=""),"",$B528&amp;"_"&amp;$C528&amp;"_"&amp;$D528&amp;"_"&amp;TEXT($E528,"yyyy-mm-dd")&amp;".jpg")</f>
        <v/>
      </c>
      <c r="Q528" s="25">
        <f>IF($B528="","",IF(COUNTIF(campaigns!$A$2:$A$51,$B528)=0,"campaign_id not on campaigns; ",IF(AND($C528&lt;&gt;"",COUNTIFS(approvals!$A$2:$A$251,$B528,approvals!$B$2:$B$251,$C528)=0),"office not on this campaign (approvals tab); ",""))&amp;IF($E528="","taken date missing; ","")&amp;IF(AND($H528&lt;&gt;"",$H528&lt;&gt;$P528),"file name differs from the convention; ","")&amp;IF(AND($D528="placement",$O528="Y",COUNTIF(photos!$R$2:$R$701,$R528)&gt;1),"two usable placement photos: mark one N; ","")&amp;IF($K528&lt;&gt;"Y","info: not usable (a person, screen or whiteboard may show): never used, delete the file; ","")&amp;IF(AND($D528="placement",$J528&lt;&gt;"Y"),"info: not usable as a placement photo (no card); ","")&amp;IF(AND($D528="placement",N($N528)&gt;2),"info: placed after the first business day; ","")&amp;IF(AND($D528="later",$N528&lt;&gt;"",OR(N($N528)&lt;3,N($N528)&gt;5)),"info: later photo outside day 3 to 5; ",""))</f>
        <v/>
      </c>
      <c r="R528" s="25">
        <f>IF($B528="","",$B528&amp;"|"&amp;$C528&amp;"|"&amp;$D528&amp;"|"&amp;$O528)</f>
        <v/>
      </c>
      <c r="S528" s="25">
        <f>IF($B528="","",$R528&amp;"|"&amp;N($E528))</f>
        <v/>
      </c>
    </row>
    <row r="529">
      <c r="E529" s="9" t="n"/>
      <c r="F529" s="33" t="n"/>
      <c r="I529" s="9" t="n"/>
      <c r="M529" s="26">
        <f>IF($B529="","",IFERROR(IF(INDEX(campaigns!$BG$2:$BG$51,MATCH($B529,campaigns!$A$2:$A$51,0))="","",INDEX(campaigns!$BG$2:$BG$51,MATCH($B529,campaigns!$A$2:$A$51,0))),""))</f>
        <v/>
      </c>
      <c r="N529" s="25">
        <f>IF(OR($B529="",$E529="",$M529=""),"",IF($E529&lt;$M529,0,NETWORKDAYS($M529,$E529,calendar!$A$2:$A$80)))</f>
        <v/>
      </c>
      <c r="O529" s="25">
        <f>IF($B529="","",IF(AND($K529="Y",OR($D529="later",$J529="Y")),"Y","N"))</f>
        <v/>
      </c>
      <c r="P529" s="25">
        <f>IF(OR($B529="",$E529=""),"",$B529&amp;"_"&amp;$C529&amp;"_"&amp;$D529&amp;"_"&amp;TEXT($E529,"yyyy-mm-dd")&amp;".jpg")</f>
        <v/>
      </c>
      <c r="Q529" s="25">
        <f>IF($B529="","",IF(COUNTIF(campaigns!$A$2:$A$51,$B529)=0,"campaign_id not on campaigns; ",IF(AND($C529&lt;&gt;"",COUNTIFS(approvals!$A$2:$A$251,$B529,approvals!$B$2:$B$251,$C529)=0),"office not on this campaign (approvals tab); ",""))&amp;IF($E529="","taken date missing; ","")&amp;IF(AND($H529&lt;&gt;"",$H529&lt;&gt;$P529),"file name differs from the convention; ","")&amp;IF(AND($D529="placement",$O529="Y",COUNTIF(photos!$R$2:$R$701,$R529)&gt;1),"two usable placement photos: mark one N; ","")&amp;IF($K529&lt;&gt;"Y","info: not usable (a person, screen or whiteboard may show): never used, delete the file; ","")&amp;IF(AND($D529="placement",$J529&lt;&gt;"Y"),"info: not usable as a placement photo (no card); ","")&amp;IF(AND($D529="placement",N($N529)&gt;2),"info: placed after the first business day; ","")&amp;IF(AND($D529="later",$N529&lt;&gt;"",OR(N($N529)&lt;3,N($N529)&gt;5)),"info: later photo outside day 3 to 5; ",""))</f>
        <v/>
      </c>
      <c r="R529" s="25">
        <f>IF($B529="","",$B529&amp;"|"&amp;$C529&amp;"|"&amp;$D529&amp;"|"&amp;$O529)</f>
        <v/>
      </c>
      <c r="S529" s="25">
        <f>IF($B529="","",$R529&amp;"|"&amp;N($E529))</f>
        <v/>
      </c>
    </row>
    <row r="530">
      <c r="E530" s="9" t="n"/>
      <c r="F530" s="33" t="n"/>
      <c r="I530" s="9" t="n"/>
      <c r="M530" s="26">
        <f>IF($B530="","",IFERROR(IF(INDEX(campaigns!$BG$2:$BG$51,MATCH($B530,campaigns!$A$2:$A$51,0))="","",INDEX(campaigns!$BG$2:$BG$51,MATCH($B530,campaigns!$A$2:$A$51,0))),""))</f>
        <v/>
      </c>
      <c r="N530" s="25">
        <f>IF(OR($B530="",$E530="",$M530=""),"",IF($E530&lt;$M530,0,NETWORKDAYS($M530,$E530,calendar!$A$2:$A$80)))</f>
        <v/>
      </c>
      <c r="O530" s="25">
        <f>IF($B530="","",IF(AND($K530="Y",OR($D530="later",$J530="Y")),"Y","N"))</f>
        <v/>
      </c>
      <c r="P530" s="25">
        <f>IF(OR($B530="",$E530=""),"",$B530&amp;"_"&amp;$C530&amp;"_"&amp;$D530&amp;"_"&amp;TEXT($E530,"yyyy-mm-dd")&amp;".jpg")</f>
        <v/>
      </c>
      <c r="Q530" s="25">
        <f>IF($B530="","",IF(COUNTIF(campaigns!$A$2:$A$51,$B530)=0,"campaign_id not on campaigns; ",IF(AND($C530&lt;&gt;"",COUNTIFS(approvals!$A$2:$A$251,$B530,approvals!$B$2:$B$251,$C530)=0),"office not on this campaign (approvals tab); ",""))&amp;IF($E530="","taken date missing; ","")&amp;IF(AND($H530&lt;&gt;"",$H530&lt;&gt;$P530),"file name differs from the convention; ","")&amp;IF(AND($D530="placement",$O530="Y",COUNTIF(photos!$R$2:$R$701,$R530)&gt;1),"two usable placement photos: mark one N; ","")&amp;IF($K530&lt;&gt;"Y","info: not usable (a person, screen or whiteboard may show): never used, delete the file; ","")&amp;IF(AND($D530="placement",$J530&lt;&gt;"Y"),"info: not usable as a placement photo (no card); ","")&amp;IF(AND($D530="placement",N($N530)&gt;2),"info: placed after the first business day; ","")&amp;IF(AND($D530="later",$N530&lt;&gt;"",OR(N($N530)&lt;3,N($N530)&gt;5)),"info: later photo outside day 3 to 5; ",""))</f>
        <v/>
      </c>
      <c r="R530" s="25">
        <f>IF($B530="","",$B530&amp;"|"&amp;$C530&amp;"|"&amp;$D530&amp;"|"&amp;$O530)</f>
        <v/>
      </c>
      <c r="S530" s="25">
        <f>IF($B530="","",$R530&amp;"|"&amp;N($E530))</f>
        <v/>
      </c>
    </row>
    <row r="531">
      <c r="E531" s="9" t="n"/>
      <c r="F531" s="33" t="n"/>
      <c r="I531" s="9" t="n"/>
      <c r="M531" s="26">
        <f>IF($B531="","",IFERROR(IF(INDEX(campaigns!$BG$2:$BG$51,MATCH($B531,campaigns!$A$2:$A$51,0))="","",INDEX(campaigns!$BG$2:$BG$51,MATCH($B531,campaigns!$A$2:$A$51,0))),""))</f>
        <v/>
      </c>
      <c r="N531" s="25">
        <f>IF(OR($B531="",$E531="",$M531=""),"",IF($E531&lt;$M531,0,NETWORKDAYS($M531,$E531,calendar!$A$2:$A$80)))</f>
        <v/>
      </c>
      <c r="O531" s="25">
        <f>IF($B531="","",IF(AND($K531="Y",OR($D531="later",$J531="Y")),"Y","N"))</f>
        <v/>
      </c>
      <c r="P531" s="25">
        <f>IF(OR($B531="",$E531=""),"",$B531&amp;"_"&amp;$C531&amp;"_"&amp;$D531&amp;"_"&amp;TEXT($E531,"yyyy-mm-dd")&amp;".jpg")</f>
        <v/>
      </c>
      <c r="Q531" s="25">
        <f>IF($B531="","",IF(COUNTIF(campaigns!$A$2:$A$51,$B531)=0,"campaign_id not on campaigns; ",IF(AND($C531&lt;&gt;"",COUNTIFS(approvals!$A$2:$A$251,$B531,approvals!$B$2:$B$251,$C531)=0),"office not on this campaign (approvals tab); ",""))&amp;IF($E531="","taken date missing; ","")&amp;IF(AND($H531&lt;&gt;"",$H531&lt;&gt;$P531),"file name differs from the convention; ","")&amp;IF(AND($D531="placement",$O531="Y",COUNTIF(photos!$R$2:$R$701,$R531)&gt;1),"two usable placement photos: mark one N; ","")&amp;IF($K531&lt;&gt;"Y","info: not usable (a person, screen or whiteboard may show): never used, delete the file; ","")&amp;IF(AND($D531="placement",$J531&lt;&gt;"Y"),"info: not usable as a placement photo (no card); ","")&amp;IF(AND($D531="placement",N($N531)&gt;2),"info: placed after the first business day; ","")&amp;IF(AND($D531="later",$N531&lt;&gt;"",OR(N($N531)&lt;3,N($N531)&gt;5)),"info: later photo outside day 3 to 5; ",""))</f>
        <v/>
      </c>
      <c r="R531" s="25">
        <f>IF($B531="","",$B531&amp;"|"&amp;$C531&amp;"|"&amp;$D531&amp;"|"&amp;$O531)</f>
        <v/>
      </c>
      <c r="S531" s="25">
        <f>IF($B531="","",$R531&amp;"|"&amp;N($E531))</f>
        <v/>
      </c>
    </row>
    <row r="532">
      <c r="E532" s="9" t="n"/>
      <c r="F532" s="33" t="n"/>
      <c r="I532" s="9" t="n"/>
      <c r="M532" s="26">
        <f>IF($B532="","",IFERROR(IF(INDEX(campaigns!$BG$2:$BG$51,MATCH($B532,campaigns!$A$2:$A$51,0))="","",INDEX(campaigns!$BG$2:$BG$51,MATCH($B532,campaigns!$A$2:$A$51,0))),""))</f>
        <v/>
      </c>
      <c r="N532" s="25">
        <f>IF(OR($B532="",$E532="",$M532=""),"",IF($E532&lt;$M532,0,NETWORKDAYS($M532,$E532,calendar!$A$2:$A$80)))</f>
        <v/>
      </c>
      <c r="O532" s="25">
        <f>IF($B532="","",IF(AND($K532="Y",OR($D532="later",$J532="Y")),"Y","N"))</f>
        <v/>
      </c>
      <c r="P532" s="25">
        <f>IF(OR($B532="",$E532=""),"",$B532&amp;"_"&amp;$C532&amp;"_"&amp;$D532&amp;"_"&amp;TEXT($E532,"yyyy-mm-dd")&amp;".jpg")</f>
        <v/>
      </c>
      <c r="Q532" s="25">
        <f>IF($B532="","",IF(COUNTIF(campaigns!$A$2:$A$51,$B532)=0,"campaign_id not on campaigns; ",IF(AND($C532&lt;&gt;"",COUNTIFS(approvals!$A$2:$A$251,$B532,approvals!$B$2:$B$251,$C532)=0),"office not on this campaign (approvals tab); ",""))&amp;IF($E532="","taken date missing; ","")&amp;IF(AND($H532&lt;&gt;"",$H532&lt;&gt;$P532),"file name differs from the convention; ","")&amp;IF(AND($D532="placement",$O532="Y",COUNTIF(photos!$R$2:$R$701,$R532)&gt;1),"two usable placement photos: mark one N; ","")&amp;IF($K532&lt;&gt;"Y","info: not usable (a person, screen or whiteboard may show): never used, delete the file; ","")&amp;IF(AND($D532="placement",$J532&lt;&gt;"Y"),"info: not usable as a placement photo (no card); ","")&amp;IF(AND($D532="placement",N($N532)&gt;2),"info: placed after the first business day; ","")&amp;IF(AND($D532="later",$N532&lt;&gt;"",OR(N($N532)&lt;3,N($N532)&gt;5)),"info: later photo outside day 3 to 5; ",""))</f>
        <v/>
      </c>
      <c r="R532" s="25">
        <f>IF($B532="","",$B532&amp;"|"&amp;$C532&amp;"|"&amp;$D532&amp;"|"&amp;$O532)</f>
        <v/>
      </c>
      <c r="S532" s="25">
        <f>IF($B532="","",$R532&amp;"|"&amp;N($E532))</f>
        <v/>
      </c>
    </row>
    <row r="533">
      <c r="E533" s="9" t="n"/>
      <c r="F533" s="33" t="n"/>
      <c r="I533" s="9" t="n"/>
      <c r="M533" s="26">
        <f>IF($B533="","",IFERROR(IF(INDEX(campaigns!$BG$2:$BG$51,MATCH($B533,campaigns!$A$2:$A$51,0))="","",INDEX(campaigns!$BG$2:$BG$51,MATCH($B533,campaigns!$A$2:$A$51,0))),""))</f>
        <v/>
      </c>
      <c r="N533" s="25">
        <f>IF(OR($B533="",$E533="",$M533=""),"",IF($E533&lt;$M533,0,NETWORKDAYS($M533,$E533,calendar!$A$2:$A$80)))</f>
        <v/>
      </c>
      <c r="O533" s="25">
        <f>IF($B533="","",IF(AND($K533="Y",OR($D533="later",$J533="Y")),"Y","N"))</f>
        <v/>
      </c>
      <c r="P533" s="25">
        <f>IF(OR($B533="",$E533=""),"",$B533&amp;"_"&amp;$C533&amp;"_"&amp;$D533&amp;"_"&amp;TEXT($E533,"yyyy-mm-dd")&amp;".jpg")</f>
        <v/>
      </c>
      <c r="Q533" s="25">
        <f>IF($B533="","",IF(COUNTIF(campaigns!$A$2:$A$51,$B533)=0,"campaign_id not on campaigns; ",IF(AND($C533&lt;&gt;"",COUNTIFS(approvals!$A$2:$A$251,$B533,approvals!$B$2:$B$251,$C533)=0),"office not on this campaign (approvals tab); ",""))&amp;IF($E533="","taken date missing; ","")&amp;IF(AND($H533&lt;&gt;"",$H533&lt;&gt;$P533),"file name differs from the convention; ","")&amp;IF(AND($D533="placement",$O533="Y",COUNTIF(photos!$R$2:$R$701,$R533)&gt;1),"two usable placement photos: mark one N; ","")&amp;IF($K533&lt;&gt;"Y","info: not usable (a person, screen or whiteboard may show): never used, delete the file; ","")&amp;IF(AND($D533="placement",$J533&lt;&gt;"Y"),"info: not usable as a placement photo (no card); ","")&amp;IF(AND($D533="placement",N($N533)&gt;2),"info: placed after the first business day; ","")&amp;IF(AND($D533="later",$N533&lt;&gt;"",OR(N($N533)&lt;3,N($N533)&gt;5)),"info: later photo outside day 3 to 5; ",""))</f>
        <v/>
      </c>
      <c r="R533" s="25">
        <f>IF($B533="","",$B533&amp;"|"&amp;$C533&amp;"|"&amp;$D533&amp;"|"&amp;$O533)</f>
        <v/>
      </c>
      <c r="S533" s="25">
        <f>IF($B533="","",$R533&amp;"|"&amp;N($E533))</f>
        <v/>
      </c>
    </row>
    <row r="534">
      <c r="E534" s="9" t="n"/>
      <c r="F534" s="33" t="n"/>
      <c r="I534" s="9" t="n"/>
      <c r="M534" s="26">
        <f>IF($B534="","",IFERROR(IF(INDEX(campaigns!$BG$2:$BG$51,MATCH($B534,campaigns!$A$2:$A$51,0))="","",INDEX(campaigns!$BG$2:$BG$51,MATCH($B534,campaigns!$A$2:$A$51,0))),""))</f>
        <v/>
      </c>
      <c r="N534" s="25">
        <f>IF(OR($B534="",$E534="",$M534=""),"",IF($E534&lt;$M534,0,NETWORKDAYS($M534,$E534,calendar!$A$2:$A$80)))</f>
        <v/>
      </c>
      <c r="O534" s="25">
        <f>IF($B534="","",IF(AND($K534="Y",OR($D534="later",$J534="Y")),"Y","N"))</f>
        <v/>
      </c>
      <c r="P534" s="25">
        <f>IF(OR($B534="",$E534=""),"",$B534&amp;"_"&amp;$C534&amp;"_"&amp;$D534&amp;"_"&amp;TEXT($E534,"yyyy-mm-dd")&amp;".jpg")</f>
        <v/>
      </c>
      <c r="Q534" s="25">
        <f>IF($B534="","",IF(COUNTIF(campaigns!$A$2:$A$51,$B534)=0,"campaign_id not on campaigns; ",IF(AND($C534&lt;&gt;"",COUNTIFS(approvals!$A$2:$A$251,$B534,approvals!$B$2:$B$251,$C534)=0),"office not on this campaign (approvals tab); ",""))&amp;IF($E534="","taken date missing; ","")&amp;IF(AND($H534&lt;&gt;"",$H534&lt;&gt;$P534),"file name differs from the convention; ","")&amp;IF(AND($D534="placement",$O534="Y",COUNTIF(photos!$R$2:$R$701,$R534)&gt;1),"two usable placement photos: mark one N; ","")&amp;IF($K534&lt;&gt;"Y","info: not usable (a person, screen or whiteboard may show): never used, delete the file; ","")&amp;IF(AND($D534="placement",$J534&lt;&gt;"Y"),"info: not usable as a placement photo (no card); ","")&amp;IF(AND($D534="placement",N($N534)&gt;2),"info: placed after the first business day; ","")&amp;IF(AND($D534="later",$N534&lt;&gt;"",OR(N($N534)&lt;3,N($N534)&gt;5)),"info: later photo outside day 3 to 5; ",""))</f>
        <v/>
      </c>
      <c r="R534" s="25">
        <f>IF($B534="","",$B534&amp;"|"&amp;$C534&amp;"|"&amp;$D534&amp;"|"&amp;$O534)</f>
        <v/>
      </c>
      <c r="S534" s="25">
        <f>IF($B534="","",$R534&amp;"|"&amp;N($E534))</f>
        <v/>
      </c>
    </row>
    <row r="535">
      <c r="E535" s="9" t="n"/>
      <c r="F535" s="33" t="n"/>
      <c r="I535" s="9" t="n"/>
      <c r="M535" s="26">
        <f>IF($B535="","",IFERROR(IF(INDEX(campaigns!$BG$2:$BG$51,MATCH($B535,campaigns!$A$2:$A$51,0))="","",INDEX(campaigns!$BG$2:$BG$51,MATCH($B535,campaigns!$A$2:$A$51,0))),""))</f>
        <v/>
      </c>
      <c r="N535" s="25">
        <f>IF(OR($B535="",$E535="",$M535=""),"",IF($E535&lt;$M535,0,NETWORKDAYS($M535,$E535,calendar!$A$2:$A$80)))</f>
        <v/>
      </c>
      <c r="O535" s="25">
        <f>IF($B535="","",IF(AND($K535="Y",OR($D535="later",$J535="Y")),"Y","N"))</f>
        <v/>
      </c>
      <c r="P535" s="25">
        <f>IF(OR($B535="",$E535=""),"",$B535&amp;"_"&amp;$C535&amp;"_"&amp;$D535&amp;"_"&amp;TEXT($E535,"yyyy-mm-dd")&amp;".jpg")</f>
        <v/>
      </c>
      <c r="Q535" s="25">
        <f>IF($B535="","",IF(COUNTIF(campaigns!$A$2:$A$51,$B535)=0,"campaign_id not on campaigns; ",IF(AND($C535&lt;&gt;"",COUNTIFS(approvals!$A$2:$A$251,$B535,approvals!$B$2:$B$251,$C535)=0),"office not on this campaign (approvals tab); ",""))&amp;IF($E535="","taken date missing; ","")&amp;IF(AND($H535&lt;&gt;"",$H535&lt;&gt;$P535),"file name differs from the convention; ","")&amp;IF(AND($D535="placement",$O535="Y",COUNTIF(photos!$R$2:$R$701,$R535)&gt;1),"two usable placement photos: mark one N; ","")&amp;IF($K535&lt;&gt;"Y","info: not usable (a person, screen or whiteboard may show): never used, delete the file; ","")&amp;IF(AND($D535="placement",$J535&lt;&gt;"Y"),"info: not usable as a placement photo (no card); ","")&amp;IF(AND($D535="placement",N($N535)&gt;2),"info: placed after the first business day; ","")&amp;IF(AND($D535="later",$N535&lt;&gt;"",OR(N($N535)&lt;3,N($N535)&gt;5)),"info: later photo outside day 3 to 5; ",""))</f>
        <v/>
      </c>
      <c r="R535" s="25">
        <f>IF($B535="","",$B535&amp;"|"&amp;$C535&amp;"|"&amp;$D535&amp;"|"&amp;$O535)</f>
        <v/>
      </c>
      <c r="S535" s="25">
        <f>IF($B535="","",$R535&amp;"|"&amp;N($E535))</f>
        <v/>
      </c>
    </row>
    <row r="536">
      <c r="E536" s="9" t="n"/>
      <c r="F536" s="33" t="n"/>
      <c r="I536" s="9" t="n"/>
      <c r="M536" s="26">
        <f>IF($B536="","",IFERROR(IF(INDEX(campaigns!$BG$2:$BG$51,MATCH($B536,campaigns!$A$2:$A$51,0))="","",INDEX(campaigns!$BG$2:$BG$51,MATCH($B536,campaigns!$A$2:$A$51,0))),""))</f>
        <v/>
      </c>
      <c r="N536" s="25">
        <f>IF(OR($B536="",$E536="",$M536=""),"",IF($E536&lt;$M536,0,NETWORKDAYS($M536,$E536,calendar!$A$2:$A$80)))</f>
        <v/>
      </c>
      <c r="O536" s="25">
        <f>IF($B536="","",IF(AND($K536="Y",OR($D536="later",$J536="Y")),"Y","N"))</f>
        <v/>
      </c>
      <c r="P536" s="25">
        <f>IF(OR($B536="",$E536=""),"",$B536&amp;"_"&amp;$C536&amp;"_"&amp;$D536&amp;"_"&amp;TEXT($E536,"yyyy-mm-dd")&amp;".jpg")</f>
        <v/>
      </c>
      <c r="Q536" s="25">
        <f>IF($B536="","",IF(COUNTIF(campaigns!$A$2:$A$51,$B536)=0,"campaign_id not on campaigns; ",IF(AND($C536&lt;&gt;"",COUNTIFS(approvals!$A$2:$A$251,$B536,approvals!$B$2:$B$251,$C536)=0),"office not on this campaign (approvals tab); ",""))&amp;IF($E536="","taken date missing; ","")&amp;IF(AND($H536&lt;&gt;"",$H536&lt;&gt;$P536),"file name differs from the convention; ","")&amp;IF(AND($D536="placement",$O536="Y",COUNTIF(photos!$R$2:$R$701,$R536)&gt;1),"two usable placement photos: mark one N; ","")&amp;IF($K536&lt;&gt;"Y","info: not usable (a person, screen or whiteboard may show): never used, delete the file; ","")&amp;IF(AND($D536="placement",$J536&lt;&gt;"Y"),"info: not usable as a placement photo (no card); ","")&amp;IF(AND($D536="placement",N($N536)&gt;2),"info: placed after the first business day; ","")&amp;IF(AND($D536="later",$N536&lt;&gt;"",OR(N($N536)&lt;3,N($N536)&gt;5)),"info: later photo outside day 3 to 5; ",""))</f>
        <v/>
      </c>
      <c r="R536" s="25">
        <f>IF($B536="","",$B536&amp;"|"&amp;$C536&amp;"|"&amp;$D536&amp;"|"&amp;$O536)</f>
        <v/>
      </c>
      <c r="S536" s="25">
        <f>IF($B536="","",$R536&amp;"|"&amp;N($E536))</f>
        <v/>
      </c>
    </row>
    <row r="537">
      <c r="E537" s="9" t="n"/>
      <c r="F537" s="33" t="n"/>
      <c r="I537" s="9" t="n"/>
      <c r="M537" s="26">
        <f>IF($B537="","",IFERROR(IF(INDEX(campaigns!$BG$2:$BG$51,MATCH($B537,campaigns!$A$2:$A$51,0))="","",INDEX(campaigns!$BG$2:$BG$51,MATCH($B537,campaigns!$A$2:$A$51,0))),""))</f>
        <v/>
      </c>
      <c r="N537" s="25">
        <f>IF(OR($B537="",$E537="",$M537=""),"",IF($E537&lt;$M537,0,NETWORKDAYS($M537,$E537,calendar!$A$2:$A$80)))</f>
        <v/>
      </c>
      <c r="O537" s="25">
        <f>IF($B537="","",IF(AND($K537="Y",OR($D537="later",$J537="Y")),"Y","N"))</f>
        <v/>
      </c>
      <c r="P537" s="25">
        <f>IF(OR($B537="",$E537=""),"",$B537&amp;"_"&amp;$C537&amp;"_"&amp;$D537&amp;"_"&amp;TEXT($E537,"yyyy-mm-dd")&amp;".jpg")</f>
        <v/>
      </c>
      <c r="Q537" s="25">
        <f>IF($B537="","",IF(COUNTIF(campaigns!$A$2:$A$51,$B537)=0,"campaign_id not on campaigns; ",IF(AND($C537&lt;&gt;"",COUNTIFS(approvals!$A$2:$A$251,$B537,approvals!$B$2:$B$251,$C537)=0),"office not on this campaign (approvals tab); ",""))&amp;IF($E537="","taken date missing; ","")&amp;IF(AND($H537&lt;&gt;"",$H537&lt;&gt;$P537),"file name differs from the convention; ","")&amp;IF(AND($D537="placement",$O537="Y",COUNTIF(photos!$R$2:$R$701,$R537)&gt;1),"two usable placement photos: mark one N; ","")&amp;IF($K537&lt;&gt;"Y","info: not usable (a person, screen or whiteboard may show): never used, delete the file; ","")&amp;IF(AND($D537="placement",$J537&lt;&gt;"Y"),"info: not usable as a placement photo (no card); ","")&amp;IF(AND($D537="placement",N($N537)&gt;2),"info: placed after the first business day; ","")&amp;IF(AND($D537="later",$N537&lt;&gt;"",OR(N($N537)&lt;3,N($N537)&gt;5)),"info: later photo outside day 3 to 5; ",""))</f>
        <v/>
      </c>
      <c r="R537" s="25">
        <f>IF($B537="","",$B537&amp;"|"&amp;$C537&amp;"|"&amp;$D537&amp;"|"&amp;$O537)</f>
        <v/>
      </c>
      <c r="S537" s="25">
        <f>IF($B537="","",$R537&amp;"|"&amp;N($E537))</f>
        <v/>
      </c>
    </row>
    <row r="538">
      <c r="E538" s="9" t="n"/>
      <c r="F538" s="33" t="n"/>
      <c r="I538" s="9" t="n"/>
      <c r="M538" s="26">
        <f>IF($B538="","",IFERROR(IF(INDEX(campaigns!$BG$2:$BG$51,MATCH($B538,campaigns!$A$2:$A$51,0))="","",INDEX(campaigns!$BG$2:$BG$51,MATCH($B538,campaigns!$A$2:$A$51,0))),""))</f>
        <v/>
      </c>
      <c r="N538" s="25">
        <f>IF(OR($B538="",$E538="",$M538=""),"",IF($E538&lt;$M538,0,NETWORKDAYS($M538,$E538,calendar!$A$2:$A$80)))</f>
        <v/>
      </c>
      <c r="O538" s="25">
        <f>IF($B538="","",IF(AND($K538="Y",OR($D538="later",$J538="Y")),"Y","N"))</f>
        <v/>
      </c>
      <c r="P538" s="25">
        <f>IF(OR($B538="",$E538=""),"",$B538&amp;"_"&amp;$C538&amp;"_"&amp;$D538&amp;"_"&amp;TEXT($E538,"yyyy-mm-dd")&amp;".jpg")</f>
        <v/>
      </c>
      <c r="Q538" s="25">
        <f>IF($B538="","",IF(COUNTIF(campaigns!$A$2:$A$51,$B538)=0,"campaign_id not on campaigns; ",IF(AND($C538&lt;&gt;"",COUNTIFS(approvals!$A$2:$A$251,$B538,approvals!$B$2:$B$251,$C538)=0),"office not on this campaign (approvals tab); ",""))&amp;IF($E538="","taken date missing; ","")&amp;IF(AND($H538&lt;&gt;"",$H538&lt;&gt;$P538),"file name differs from the convention; ","")&amp;IF(AND($D538="placement",$O538="Y",COUNTIF(photos!$R$2:$R$701,$R538)&gt;1),"two usable placement photos: mark one N; ","")&amp;IF($K538&lt;&gt;"Y","info: not usable (a person, screen or whiteboard may show): never used, delete the file; ","")&amp;IF(AND($D538="placement",$J538&lt;&gt;"Y"),"info: not usable as a placement photo (no card); ","")&amp;IF(AND($D538="placement",N($N538)&gt;2),"info: placed after the first business day; ","")&amp;IF(AND($D538="later",$N538&lt;&gt;"",OR(N($N538)&lt;3,N($N538)&gt;5)),"info: later photo outside day 3 to 5; ",""))</f>
        <v/>
      </c>
      <c r="R538" s="25">
        <f>IF($B538="","",$B538&amp;"|"&amp;$C538&amp;"|"&amp;$D538&amp;"|"&amp;$O538)</f>
        <v/>
      </c>
      <c r="S538" s="25">
        <f>IF($B538="","",$R538&amp;"|"&amp;N($E538))</f>
        <v/>
      </c>
    </row>
    <row r="539">
      <c r="E539" s="9" t="n"/>
      <c r="F539" s="33" t="n"/>
      <c r="I539" s="9" t="n"/>
      <c r="M539" s="26">
        <f>IF($B539="","",IFERROR(IF(INDEX(campaigns!$BG$2:$BG$51,MATCH($B539,campaigns!$A$2:$A$51,0))="","",INDEX(campaigns!$BG$2:$BG$51,MATCH($B539,campaigns!$A$2:$A$51,0))),""))</f>
        <v/>
      </c>
      <c r="N539" s="25">
        <f>IF(OR($B539="",$E539="",$M539=""),"",IF($E539&lt;$M539,0,NETWORKDAYS($M539,$E539,calendar!$A$2:$A$80)))</f>
        <v/>
      </c>
      <c r="O539" s="25">
        <f>IF($B539="","",IF(AND($K539="Y",OR($D539="later",$J539="Y")),"Y","N"))</f>
        <v/>
      </c>
      <c r="P539" s="25">
        <f>IF(OR($B539="",$E539=""),"",$B539&amp;"_"&amp;$C539&amp;"_"&amp;$D539&amp;"_"&amp;TEXT($E539,"yyyy-mm-dd")&amp;".jpg")</f>
        <v/>
      </c>
      <c r="Q539" s="25">
        <f>IF($B539="","",IF(COUNTIF(campaigns!$A$2:$A$51,$B539)=0,"campaign_id not on campaigns; ",IF(AND($C539&lt;&gt;"",COUNTIFS(approvals!$A$2:$A$251,$B539,approvals!$B$2:$B$251,$C539)=0),"office not on this campaign (approvals tab); ",""))&amp;IF($E539="","taken date missing; ","")&amp;IF(AND($H539&lt;&gt;"",$H539&lt;&gt;$P539),"file name differs from the convention; ","")&amp;IF(AND($D539="placement",$O539="Y",COUNTIF(photos!$R$2:$R$701,$R539)&gt;1),"two usable placement photos: mark one N; ","")&amp;IF($K539&lt;&gt;"Y","info: not usable (a person, screen or whiteboard may show): never used, delete the file; ","")&amp;IF(AND($D539="placement",$J539&lt;&gt;"Y"),"info: not usable as a placement photo (no card); ","")&amp;IF(AND($D539="placement",N($N539)&gt;2),"info: placed after the first business day; ","")&amp;IF(AND($D539="later",$N539&lt;&gt;"",OR(N($N539)&lt;3,N($N539)&gt;5)),"info: later photo outside day 3 to 5; ",""))</f>
        <v/>
      </c>
      <c r="R539" s="25">
        <f>IF($B539="","",$B539&amp;"|"&amp;$C539&amp;"|"&amp;$D539&amp;"|"&amp;$O539)</f>
        <v/>
      </c>
      <c r="S539" s="25">
        <f>IF($B539="","",$R539&amp;"|"&amp;N($E539))</f>
        <v/>
      </c>
    </row>
    <row r="540">
      <c r="E540" s="9" t="n"/>
      <c r="F540" s="33" t="n"/>
      <c r="I540" s="9" t="n"/>
      <c r="M540" s="26">
        <f>IF($B540="","",IFERROR(IF(INDEX(campaigns!$BG$2:$BG$51,MATCH($B540,campaigns!$A$2:$A$51,0))="","",INDEX(campaigns!$BG$2:$BG$51,MATCH($B540,campaigns!$A$2:$A$51,0))),""))</f>
        <v/>
      </c>
      <c r="N540" s="25">
        <f>IF(OR($B540="",$E540="",$M540=""),"",IF($E540&lt;$M540,0,NETWORKDAYS($M540,$E540,calendar!$A$2:$A$80)))</f>
        <v/>
      </c>
      <c r="O540" s="25">
        <f>IF($B540="","",IF(AND($K540="Y",OR($D540="later",$J540="Y")),"Y","N"))</f>
        <v/>
      </c>
      <c r="P540" s="25">
        <f>IF(OR($B540="",$E540=""),"",$B540&amp;"_"&amp;$C540&amp;"_"&amp;$D540&amp;"_"&amp;TEXT($E540,"yyyy-mm-dd")&amp;".jpg")</f>
        <v/>
      </c>
      <c r="Q540" s="25">
        <f>IF($B540="","",IF(COUNTIF(campaigns!$A$2:$A$51,$B540)=0,"campaign_id not on campaigns; ",IF(AND($C540&lt;&gt;"",COUNTIFS(approvals!$A$2:$A$251,$B540,approvals!$B$2:$B$251,$C540)=0),"office not on this campaign (approvals tab); ",""))&amp;IF($E540="","taken date missing; ","")&amp;IF(AND($H540&lt;&gt;"",$H540&lt;&gt;$P540),"file name differs from the convention; ","")&amp;IF(AND($D540="placement",$O540="Y",COUNTIF(photos!$R$2:$R$701,$R540)&gt;1),"two usable placement photos: mark one N; ","")&amp;IF($K540&lt;&gt;"Y","info: not usable (a person, screen or whiteboard may show): never used, delete the file; ","")&amp;IF(AND($D540="placement",$J540&lt;&gt;"Y"),"info: not usable as a placement photo (no card); ","")&amp;IF(AND($D540="placement",N($N540)&gt;2),"info: placed after the first business day; ","")&amp;IF(AND($D540="later",$N540&lt;&gt;"",OR(N($N540)&lt;3,N($N540)&gt;5)),"info: later photo outside day 3 to 5; ",""))</f>
        <v/>
      </c>
      <c r="R540" s="25">
        <f>IF($B540="","",$B540&amp;"|"&amp;$C540&amp;"|"&amp;$D540&amp;"|"&amp;$O540)</f>
        <v/>
      </c>
      <c r="S540" s="25">
        <f>IF($B540="","",$R540&amp;"|"&amp;N($E540))</f>
        <v/>
      </c>
    </row>
    <row r="541">
      <c r="E541" s="9" t="n"/>
      <c r="F541" s="33" t="n"/>
      <c r="I541" s="9" t="n"/>
      <c r="M541" s="26">
        <f>IF($B541="","",IFERROR(IF(INDEX(campaigns!$BG$2:$BG$51,MATCH($B541,campaigns!$A$2:$A$51,0))="","",INDEX(campaigns!$BG$2:$BG$51,MATCH($B541,campaigns!$A$2:$A$51,0))),""))</f>
        <v/>
      </c>
      <c r="N541" s="25">
        <f>IF(OR($B541="",$E541="",$M541=""),"",IF($E541&lt;$M541,0,NETWORKDAYS($M541,$E541,calendar!$A$2:$A$80)))</f>
        <v/>
      </c>
      <c r="O541" s="25">
        <f>IF($B541="","",IF(AND($K541="Y",OR($D541="later",$J541="Y")),"Y","N"))</f>
        <v/>
      </c>
      <c r="P541" s="25">
        <f>IF(OR($B541="",$E541=""),"",$B541&amp;"_"&amp;$C541&amp;"_"&amp;$D541&amp;"_"&amp;TEXT($E541,"yyyy-mm-dd")&amp;".jpg")</f>
        <v/>
      </c>
      <c r="Q541" s="25">
        <f>IF($B541="","",IF(COUNTIF(campaigns!$A$2:$A$51,$B541)=0,"campaign_id not on campaigns; ",IF(AND($C541&lt;&gt;"",COUNTIFS(approvals!$A$2:$A$251,$B541,approvals!$B$2:$B$251,$C541)=0),"office not on this campaign (approvals tab); ",""))&amp;IF($E541="","taken date missing; ","")&amp;IF(AND($H541&lt;&gt;"",$H541&lt;&gt;$P541),"file name differs from the convention; ","")&amp;IF(AND($D541="placement",$O541="Y",COUNTIF(photos!$R$2:$R$701,$R541)&gt;1),"two usable placement photos: mark one N; ","")&amp;IF($K541&lt;&gt;"Y","info: not usable (a person, screen or whiteboard may show): never used, delete the file; ","")&amp;IF(AND($D541="placement",$J541&lt;&gt;"Y"),"info: not usable as a placement photo (no card); ","")&amp;IF(AND($D541="placement",N($N541)&gt;2),"info: placed after the first business day; ","")&amp;IF(AND($D541="later",$N541&lt;&gt;"",OR(N($N541)&lt;3,N($N541)&gt;5)),"info: later photo outside day 3 to 5; ",""))</f>
        <v/>
      </c>
      <c r="R541" s="25">
        <f>IF($B541="","",$B541&amp;"|"&amp;$C541&amp;"|"&amp;$D541&amp;"|"&amp;$O541)</f>
        <v/>
      </c>
      <c r="S541" s="25">
        <f>IF($B541="","",$R541&amp;"|"&amp;N($E541))</f>
        <v/>
      </c>
    </row>
    <row r="542">
      <c r="E542" s="9" t="n"/>
      <c r="F542" s="33" t="n"/>
      <c r="I542" s="9" t="n"/>
      <c r="M542" s="26">
        <f>IF($B542="","",IFERROR(IF(INDEX(campaigns!$BG$2:$BG$51,MATCH($B542,campaigns!$A$2:$A$51,0))="","",INDEX(campaigns!$BG$2:$BG$51,MATCH($B542,campaigns!$A$2:$A$51,0))),""))</f>
        <v/>
      </c>
      <c r="N542" s="25">
        <f>IF(OR($B542="",$E542="",$M542=""),"",IF($E542&lt;$M542,0,NETWORKDAYS($M542,$E542,calendar!$A$2:$A$80)))</f>
        <v/>
      </c>
      <c r="O542" s="25">
        <f>IF($B542="","",IF(AND($K542="Y",OR($D542="later",$J542="Y")),"Y","N"))</f>
        <v/>
      </c>
      <c r="P542" s="25">
        <f>IF(OR($B542="",$E542=""),"",$B542&amp;"_"&amp;$C542&amp;"_"&amp;$D542&amp;"_"&amp;TEXT($E542,"yyyy-mm-dd")&amp;".jpg")</f>
        <v/>
      </c>
      <c r="Q542" s="25">
        <f>IF($B542="","",IF(COUNTIF(campaigns!$A$2:$A$51,$B542)=0,"campaign_id not on campaigns; ",IF(AND($C542&lt;&gt;"",COUNTIFS(approvals!$A$2:$A$251,$B542,approvals!$B$2:$B$251,$C542)=0),"office not on this campaign (approvals tab); ",""))&amp;IF($E542="","taken date missing; ","")&amp;IF(AND($H542&lt;&gt;"",$H542&lt;&gt;$P542),"file name differs from the convention; ","")&amp;IF(AND($D542="placement",$O542="Y",COUNTIF(photos!$R$2:$R$701,$R542)&gt;1),"two usable placement photos: mark one N; ","")&amp;IF($K542&lt;&gt;"Y","info: not usable (a person, screen or whiteboard may show): never used, delete the file; ","")&amp;IF(AND($D542="placement",$J542&lt;&gt;"Y"),"info: not usable as a placement photo (no card); ","")&amp;IF(AND($D542="placement",N($N542)&gt;2),"info: placed after the first business day; ","")&amp;IF(AND($D542="later",$N542&lt;&gt;"",OR(N($N542)&lt;3,N($N542)&gt;5)),"info: later photo outside day 3 to 5; ",""))</f>
        <v/>
      </c>
      <c r="R542" s="25">
        <f>IF($B542="","",$B542&amp;"|"&amp;$C542&amp;"|"&amp;$D542&amp;"|"&amp;$O542)</f>
        <v/>
      </c>
      <c r="S542" s="25">
        <f>IF($B542="","",$R542&amp;"|"&amp;N($E542))</f>
        <v/>
      </c>
    </row>
    <row r="543">
      <c r="E543" s="9" t="n"/>
      <c r="F543" s="33" t="n"/>
      <c r="I543" s="9" t="n"/>
      <c r="M543" s="26">
        <f>IF($B543="","",IFERROR(IF(INDEX(campaigns!$BG$2:$BG$51,MATCH($B543,campaigns!$A$2:$A$51,0))="","",INDEX(campaigns!$BG$2:$BG$51,MATCH($B543,campaigns!$A$2:$A$51,0))),""))</f>
        <v/>
      </c>
      <c r="N543" s="25">
        <f>IF(OR($B543="",$E543="",$M543=""),"",IF($E543&lt;$M543,0,NETWORKDAYS($M543,$E543,calendar!$A$2:$A$80)))</f>
        <v/>
      </c>
      <c r="O543" s="25">
        <f>IF($B543="","",IF(AND($K543="Y",OR($D543="later",$J543="Y")),"Y","N"))</f>
        <v/>
      </c>
      <c r="P543" s="25">
        <f>IF(OR($B543="",$E543=""),"",$B543&amp;"_"&amp;$C543&amp;"_"&amp;$D543&amp;"_"&amp;TEXT($E543,"yyyy-mm-dd")&amp;".jpg")</f>
        <v/>
      </c>
      <c r="Q543" s="25">
        <f>IF($B543="","",IF(COUNTIF(campaigns!$A$2:$A$51,$B543)=0,"campaign_id not on campaigns; ",IF(AND($C543&lt;&gt;"",COUNTIFS(approvals!$A$2:$A$251,$B543,approvals!$B$2:$B$251,$C543)=0),"office not on this campaign (approvals tab); ",""))&amp;IF($E543="","taken date missing; ","")&amp;IF(AND($H543&lt;&gt;"",$H543&lt;&gt;$P543),"file name differs from the convention; ","")&amp;IF(AND($D543="placement",$O543="Y",COUNTIF(photos!$R$2:$R$701,$R543)&gt;1),"two usable placement photos: mark one N; ","")&amp;IF($K543&lt;&gt;"Y","info: not usable (a person, screen or whiteboard may show): never used, delete the file; ","")&amp;IF(AND($D543="placement",$J543&lt;&gt;"Y"),"info: not usable as a placement photo (no card); ","")&amp;IF(AND($D543="placement",N($N543)&gt;2),"info: placed after the first business day; ","")&amp;IF(AND($D543="later",$N543&lt;&gt;"",OR(N($N543)&lt;3,N($N543)&gt;5)),"info: later photo outside day 3 to 5; ",""))</f>
        <v/>
      </c>
      <c r="R543" s="25">
        <f>IF($B543="","",$B543&amp;"|"&amp;$C543&amp;"|"&amp;$D543&amp;"|"&amp;$O543)</f>
        <v/>
      </c>
      <c r="S543" s="25">
        <f>IF($B543="","",$R543&amp;"|"&amp;N($E543))</f>
        <v/>
      </c>
    </row>
    <row r="544">
      <c r="E544" s="9" t="n"/>
      <c r="F544" s="33" t="n"/>
      <c r="I544" s="9" t="n"/>
      <c r="M544" s="26">
        <f>IF($B544="","",IFERROR(IF(INDEX(campaigns!$BG$2:$BG$51,MATCH($B544,campaigns!$A$2:$A$51,0))="","",INDEX(campaigns!$BG$2:$BG$51,MATCH($B544,campaigns!$A$2:$A$51,0))),""))</f>
        <v/>
      </c>
      <c r="N544" s="25">
        <f>IF(OR($B544="",$E544="",$M544=""),"",IF($E544&lt;$M544,0,NETWORKDAYS($M544,$E544,calendar!$A$2:$A$80)))</f>
        <v/>
      </c>
      <c r="O544" s="25">
        <f>IF($B544="","",IF(AND($K544="Y",OR($D544="later",$J544="Y")),"Y","N"))</f>
        <v/>
      </c>
      <c r="P544" s="25">
        <f>IF(OR($B544="",$E544=""),"",$B544&amp;"_"&amp;$C544&amp;"_"&amp;$D544&amp;"_"&amp;TEXT($E544,"yyyy-mm-dd")&amp;".jpg")</f>
        <v/>
      </c>
      <c r="Q544" s="25">
        <f>IF($B544="","",IF(COUNTIF(campaigns!$A$2:$A$51,$B544)=0,"campaign_id not on campaigns; ",IF(AND($C544&lt;&gt;"",COUNTIFS(approvals!$A$2:$A$251,$B544,approvals!$B$2:$B$251,$C544)=0),"office not on this campaign (approvals tab); ",""))&amp;IF($E544="","taken date missing; ","")&amp;IF(AND($H544&lt;&gt;"",$H544&lt;&gt;$P544),"file name differs from the convention; ","")&amp;IF(AND($D544="placement",$O544="Y",COUNTIF(photos!$R$2:$R$701,$R544)&gt;1),"two usable placement photos: mark one N; ","")&amp;IF($K544&lt;&gt;"Y","info: not usable (a person, screen or whiteboard may show): never used, delete the file; ","")&amp;IF(AND($D544="placement",$J544&lt;&gt;"Y"),"info: not usable as a placement photo (no card); ","")&amp;IF(AND($D544="placement",N($N544)&gt;2),"info: placed after the first business day; ","")&amp;IF(AND($D544="later",$N544&lt;&gt;"",OR(N($N544)&lt;3,N($N544)&gt;5)),"info: later photo outside day 3 to 5; ",""))</f>
        <v/>
      </c>
      <c r="R544" s="25">
        <f>IF($B544="","",$B544&amp;"|"&amp;$C544&amp;"|"&amp;$D544&amp;"|"&amp;$O544)</f>
        <v/>
      </c>
      <c r="S544" s="25">
        <f>IF($B544="","",$R544&amp;"|"&amp;N($E544))</f>
        <v/>
      </c>
    </row>
    <row r="545">
      <c r="E545" s="9" t="n"/>
      <c r="F545" s="33" t="n"/>
      <c r="I545" s="9" t="n"/>
      <c r="M545" s="26">
        <f>IF($B545="","",IFERROR(IF(INDEX(campaigns!$BG$2:$BG$51,MATCH($B545,campaigns!$A$2:$A$51,0))="","",INDEX(campaigns!$BG$2:$BG$51,MATCH($B545,campaigns!$A$2:$A$51,0))),""))</f>
        <v/>
      </c>
      <c r="N545" s="25">
        <f>IF(OR($B545="",$E545="",$M545=""),"",IF($E545&lt;$M545,0,NETWORKDAYS($M545,$E545,calendar!$A$2:$A$80)))</f>
        <v/>
      </c>
      <c r="O545" s="25">
        <f>IF($B545="","",IF(AND($K545="Y",OR($D545="later",$J545="Y")),"Y","N"))</f>
        <v/>
      </c>
      <c r="P545" s="25">
        <f>IF(OR($B545="",$E545=""),"",$B545&amp;"_"&amp;$C545&amp;"_"&amp;$D545&amp;"_"&amp;TEXT($E545,"yyyy-mm-dd")&amp;".jpg")</f>
        <v/>
      </c>
      <c r="Q545" s="25">
        <f>IF($B545="","",IF(COUNTIF(campaigns!$A$2:$A$51,$B545)=0,"campaign_id not on campaigns; ",IF(AND($C545&lt;&gt;"",COUNTIFS(approvals!$A$2:$A$251,$B545,approvals!$B$2:$B$251,$C545)=0),"office not on this campaign (approvals tab); ",""))&amp;IF($E545="","taken date missing; ","")&amp;IF(AND($H545&lt;&gt;"",$H545&lt;&gt;$P545),"file name differs from the convention; ","")&amp;IF(AND($D545="placement",$O545="Y",COUNTIF(photos!$R$2:$R$701,$R545)&gt;1),"two usable placement photos: mark one N; ","")&amp;IF($K545&lt;&gt;"Y","info: not usable (a person, screen or whiteboard may show): never used, delete the file; ","")&amp;IF(AND($D545="placement",$J545&lt;&gt;"Y"),"info: not usable as a placement photo (no card); ","")&amp;IF(AND($D545="placement",N($N545)&gt;2),"info: placed after the first business day; ","")&amp;IF(AND($D545="later",$N545&lt;&gt;"",OR(N($N545)&lt;3,N($N545)&gt;5)),"info: later photo outside day 3 to 5; ",""))</f>
        <v/>
      </c>
      <c r="R545" s="25">
        <f>IF($B545="","",$B545&amp;"|"&amp;$C545&amp;"|"&amp;$D545&amp;"|"&amp;$O545)</f>
        <v/>
      </c>
      <c r="S545" s="25">
        <f>IF($B545="","",$R545&amp;"|"&amp;N($E545))</f>
        <v/>
      </c>
    </row>
    <row r="546">
      <c r="E546" s="9" t="n"/>
      <c r="F546" s="33" t="n"/>
      <c r="I546" s="9" t="n"/>
      <c r="M546" s="26">
        <f>IF($B546="","",IFERROR(IF(INDEX(campaigns!$BG$2:$BG$51,MATCH($B546,campaigns!$A$2:$A$51,0))="","",INDEX(campaigns!$BG$2:$BG$51,MATCH($B546,campaigns!$A$2:$A$51,0))),""))</f>
        <v/>
      </c>
      <c r="N546" s="25">
        <f>IF(OR($B546="",$E546="",$M546=""),"",IF($E546&lt;$M546,0,NETWORKDAYS($M546,$E546,calendar!$A$2:$A$80)))</f>
        <v/>
      </c>
      <c r="O546" s="25">
        <f>IF($B546="","",IF(AND($K546="Y",OR($D546="later",$J546="Y")),"Y","N"))</f>
        <v/>
      </c>
      <c r="P546" s="25">
        <f>IF(OR($B546="",$E546=""),"",$B546&amp;"_"&amp;$C546&amp;"_"&amp;$D546&amp;"_"&amp;TEXT($E546,"yyyy-mm-dd")&amp;".jpg")</f>
        <v/>
      </c>
      <c r="Q546" s="25">
        <f>IF($B546="","",IF(COUNTIF(campaigns!$A$2:$A$51,$B546)=0,"campaign_id not on campaigns; ",IF(AND($C546&lt;&gt;"",COUNTIFS(approvals!$A$2:$A$251,$B546,approvals!$B$2:$B$251,$C546)=0),"office not on this campaign (approvals tab); ",""))&amp;IF($E546="","taken date missing; ","")&amp;IF(AND($H546&lt;&gt;"",$H546&lt;&gt;$P546),"file name differs from the convention; ","")&amp;IF(AND($D546="placement",$O546="Y",COUNTIF(photos!$R$2:$R$701,$R546)&gt;1),"two usable placement photos: mark one N; ","")&amp;IF($K546&lt;&gt;"Y","info: not usable (a person, screen or whiteboard may show): never used, delete the file; ","")&amp;IF(AND($D546="placement",$J546&lt;&gt;"Y"),"info: not usable as a placement photo (no card); ","")&amp;IF(AND($D546="placement",N($N546)&gt;2),"info: placed after the first business day; ","")&amp;IF(AND($D546="later",$N546&lt;&gt;"",OR(N($N546)&lt;3,N($N546)&gt;5)),"info: later photo outside day 3 to 5; ",""))</f>
        <v/>
      </c>
      <c r="R546" s="25">
        <f>IF($B546="","",$B546&amp;"|"&amp;$C546&amp;"|"&amp;$D546&amp;"|"&amp;$O546)</f>
        <v/>
      </c>
      <c r="S546" s="25">
        <f>IF($B546="","",$R546&amp;"|"&amp;N($E546))</f>
        <v/>
      </c>
    </row>
    <row r="547">
      <c r="E547" s="9" t="n"/>
      <c r="F547" s="33" t="n"/>
      <c r="I547" s="9" t="n"/>
      <c r="M547" s="26">
        <f>IF($B547="","",IFERROR(IF(INDEX(campaigns!$BG$2:$BG$51,MATCH($B547,campaigns!$A$2:$A$51,0))="","",INDEX(campaigns!$BG$2:$BG$51,MATCH($B547,campaigns!$A$2:$A$51,0))),""))</f>
        <v/>
      </c>
      <c r="N547" s="25">
        <f>IF(OR($B547="",$E547="",$M547=""),"",IF($E547&lt;$M547,0,NETWORKDAYS($M547,$E547,calendar!$A$2:$A$80)))</f>
        <v/>
      </c>
      <c r="O547" s="25">
        <f>IF($B547="","",IF(AND($K547="Y",OR($D547="later",$J547="Y")),"Y","N"))</f>
        <v/>
      </c>
      <c r="P547" s="25">
        <f>IF(OR($B547="",$E547=""),"",$B547&amp;"_"&amp;$C547&amp;"_"&amp;$D547&amp;"_"&amp;TEXT($E547,"yyyy-mm-dd")&amp;".jpg")</f>
        <v/>
      </c>
      <c r="Q547" s="25">
        <f>IF($B547="","",IF(COUNTIF(campaigns!$A$2:$A$51,$B547)=0,"campaign_id not on campaigns; ",IF(AND($C547&lt;&gt;"",COUNTIFS(approvals!$A$2:$A$251,$B547,approvals!$B$2:$B$251,$C547)=0),"office not on this campaign (approvals tab); ",""))&amp;IF($E547="","taken date missing; ","")&amp;IF(AND($H547&lt;&gt;"",$H547&lt;&gt;$P547),"file name differs from the convention; ","")&amp;IF(AND($D547="placement",$O547="Y",COUNTIF(photos!$R$2:$R$701,$R547)&gt;1),"two usable placement photos: mark one N; ","")&amp;IF($K547&lt;&gt;"Y","info: not usable (a person, screen or whiteboard may show): never used, delete the file; ","")&amp;IF(AND($D547="placement",$J547&lt;&gt;"Y"),"info: not usable as a placement photo (no card); ","")&amp;IF(AND($D547="placement",N($N547)&gt;2),"info: placed after the first business day; ","")&amp;IF(AND($D547="later",$N547&lt;&gt;"",OR(N($N547)&lt;3,N($N547)&gt;5)),"info: later photo outside day 3 to 5; ",""))</f>
        <v/>
      </c>
      <c r="R547" s="25">
        <f>IF($B547="","",$B547&amp;"|"&amp;$C547&amp;"|"&amp;$D547&amp;"|"&amp;$O547)</f>
        <v/>
      </c>
      <c r="S547" s="25">
        <f>IF($B547="","",$R547&amp;"|"&amp;N($E547))</f>
        <v/>
      </c>
    </row>
    <row r="548">
      <c r="E548" s="9" t="n"/>
      <c r="F548" s="33" t="n"/>
      <c r="I548" s="9" t="n"/>
      <c r="M548" s="26">
        <f>IF($B548="","",IFERROR(IF(INDEX(campaigns!$BG$2:$BG$51,MATCH($B548,campaigns!$A$2:$A$51,0))="","",INDEX(campaigns!$BG$2:$BG$51,MATCH($B548,campaigns!$A$2:$A$51,0))),""))</f>
        <v/>
      </c>
      <c r="N548" s="25">
        <f>IF(OR($B548="",$E548="",$M548=""),"",IF($E548&lt;$M548,0,NETWORKDAYS($M548,$E548,calendar!$A$2:$A$80)))</f>
        <v/>
      </c>
      <c r="O548" s="25">
        <f>IF($B548="","",IF(AND($K548="Y",OR($D548="later",$J548="Y")),"Y","N"))</f>
        <v/>
      </c>
      <c r="P548" s="25">
        <f>IF(OR($B548="",$E548=""),"",$B548&amp;"_"&amp;$C548&amp;"_"&amp;$D548&amp;"_"&amp;TEXT($E548,"yyyy-mm-dd")&amp;".jpg")</f>
        <v/>
      </c>
      <c r="Q548" s="25">
        <f>IF($B548="","",IF(COUNTIF(campaigns!$A$2:$A$51,$B548)=0,"campaign_id not on campaigns; ",IF(AND($C548&lt;&gt;"",COUNTIFS(approvals!$A$2:$A$251,$B548,approvals!$B$2:$B$251,$C548)=0),"office not on this campaign (approvals tab); ",""))&amp;IF($E548="","taken date missing; ","")&amp;IF(AND($H548&lt;&gt;"",$H548&lt;&gt;$P548),"file name differs from the convention; ","")&amp;IF(AND($D548="placement",$O548="Y",COUNTIF(photos!$R$2:$R$701,$R548)&gt;1),"two usable placement photos: mark one N; ","")&amp;IF($K548&lt;&gt;"Y","info: not usable (a person, screen or whiteboard may show): never used, delete the file; ","")&amp;IF(AND($D548="placement",$J548&lt;&gt;"Y"),"info: not usable as a placement photo (no card); ","")&amp;IF(AND($D548="placement",N($N548)&gt;2),"info: placed after the first business day; ","")&amp;IF(AND($D548="later",$N548&lt;&gt;"",OR(N($N548)&lt;3,N($N548)&gt;5)),"info: later photo outside day 3 to 5; ",""))</f>
        <v/>
      </c>
      <c r="R548" s="25">
        <f>IF($B548="","",$B548&amp;"|"&amp;$C548&amp;"|"&amp;$D548&amp;"|"&amp;$O548)</f>
        <v/>
      </c>
      <c r="S548" s="25">
        <f>IF($B548="","",$R548&amp;"|"&amp;N($E548))</f>
        <v/>
      </c>
    </row>
    <row r="549">
      <c r="E549" s="9" t="n"/>
      <c r="F549" s="33" t="n"/>
      <c r="I549" s="9" t="n"/>
      <c r="M549" s="26">
        <f>IF($B549="","",IFERROR(IF(INDEX(campaigns!$BG$2:$BG$51,MATCH($B549,campaigns!$A$2:$A$51,0))="","",INDEX(campaigns!$BG$2:$BG$51,MATCH($B549,campaigns!$A$2:$A$51,0))),""))</f>
        <v/>
      </c>
      <c r="N549" s="25">
        <f>IF(OR($B549="",$E549="",$M549=""),"",IF($E549&lt;$M549,0,NETWORKDAYS($M549,$E549,calendar!$A$2:$A$80)))</f>
        <v/>
      </c>
      <c r="O549" s="25">
        <f>IF($B549="","",IF(AND($K549="Y",OR($D549="later",$J549="Y")),"Y","N"))</f>
        <v/>
      </c>
      <c r="P549" s="25">
        <f>IF(OR($B549="",$E549=""),"",$B549&amp;"_"&amp;$C549&amp;"_"&amp;$D549&amp;"_"&amp;TEXT($E549,"yyyy-mm-dd")&amp;".jpg")</f>
        <v/>
      </c>
      <c r="Q549" s="25">
        <f>IF($B549="","",IF(COUNTIF(campaigns!$A$2:$A$51,$B549)=0,"campaign_id not on campaigns; ",IF(AND($C549&lt;&gt;"",COUNTIFS(approvals!$A$2:$A$251,$B549,approvals!$B$2:$B$251,$C549)=0),"office not on this campaign (approvals tab); ",""))&amp;IF($E549="","taken date missing; ","")&amp;IF(AND($H549&lt;&gt;"",$H549&lt;&gt;$P549),"file name differs from the convention; ","")&amp;IF(AND($D549="placement",$O549="Y",COUNTIF(photos!$R$2:$R$701,$R549)&gt;1),"two usable placement photos: mark one N; ","")&amp;IF($K549&lt;&gt;"Y","info: not usable (a person, screen or whiteboard may show): never used, delete the file; ","")&amp;IF(AND($D549="placement",$J549&lt;&gt;"Y"),"info: not usable as a placement photo (no card); ","")&amp;IF(AND($D549="placement",N($N549)&gt;2),"info: placed after the first business day; ","")&amp;IF(AND($D549="later",$N549&lt;&gt;"",OR(N($N549)&lt;3,N($N549)&gt;5)),"info: later photo outside day 3 to 5; ",""))</f>
        <v/>
      </c>
      <c r="R549" s="25">
        <f>IF($B549="","",$B549&amp;"|"&amp;$C549&amp;"|"&amp;$D549&amp;"|"&amp;$O549)</f>
        <v/>
      </c>
      <c r="S549" s="25">
        <f>IF($B549="","",$R549&amp;"|"&amp;N($E549))</f>
        <v/>
      </c>
    </row>
    <row r="550">
      <c r="E550" s="9" t="n"/>
      <c r="F550" s="33" t="n"/>
      <c r="I550" s="9" t="n"/>
      <c r="M550" s="26">
        <f>IF($B550="","",IFERROR(IF(INDEX(campaigns!$BG$2:$BG$51,MATCH($B550,campaigns!$A$2:$A$51,0))="","",INDEX(campaigns!$BG$2:$BG$51,MATCH($B550,campaigns!$A$2:$A$51,0))),""))</f>
        <v/>
      </c>
      <c r="N550" s="25">
        <f>IF(OR($B550="",$E550="",$M550=""),"",IF($E550&lt;$M550,0,NETWORKDAYS($M550,$E550,calendar!$A$2:$A$80)))</f>
        <v/>
      </c>
      <c r="O550" s="25">
        <f>IF($B550="","",IF(AND($K550="Y",OR($D550="later",$J550="Y")),"Y","N"))</f>
        <v/>
      </c>
      <c r="P550" s="25">
        <f>IF(OR($B550="",$E550=""),"",$B550&amp;"_"&amp;$C550&amp;"_"&amp;$D550&amp;"_"&amp;TEXT($E550,"yyyy-mm-dd")&amp;".jpg")</f>
        <v/>
      </c>
      <c r="Q550" s="25">
        <f>IF($B550="","",IF(COUNTIF(campaigns!$A$2:$A$51,$B550)=0,"campaign_id not on campaigns; ",IF(AND($C550&lt;&gt;"",COUNTIFS(approvals!$A$2:$A$251,$B550,approvals!$B$2:$B$251,$C550)=0),"office not on this campaign (approvals tab); ",""))&amp;IF($E550="","taken date missing; ","")&amp;IF(AND($H550&lt;&gt;"",$H550&lt;&gt;$P550),"file name differs from the convention; ","")&amp;IF(AND($D550="placement",$O550="Y",COUNTIF(photos!$R$2:$R$701,$R550)&gt;1),"two usable placement photos: mark one N; ","")&amp;IF($K550&lt;&gt;"Y","info: not usable (a person, screen or whiteboard may show): never used, delete the file; ","")&amp;IF(AND($D550="placement",$J550&lt;&gt;"Y"),"info: not usable as a placement photo (no card); ","")&amp;IF(AND($D550="placement",N($N550)&gt;2),"info: placed after the first business day; ","")&amp;IF(AND($D550="later",$N550&lt;&gt;"",OR(N($N550)&lt;3,N($N550)&gt;5)),"info: later photo outside day 3 to 5; ",""))</f>
        <v/>
      </c>
      <c r="R550" s="25">
        <f>IF($B550="","",$B550&amp;"|"&amp;$C550&amp;"|"&amp;$D550&amp;"|"&amp;$O550)</f>
        <v/>
      </c>
      <c r="S550" s="25">
        <f>IF($B550="","",$R550&amp;"|"&amp;N($E550))</f>
        <v/>
      </c>
    </row>
    <row r="551">
      <c r="E551" s="9" t="n"/>
      <c r="F551" s="33" t="n"/>
      <c r="I551" s="9" t="n"/>
      <c r="M551" s="26">
        <f>IF($B551="","",IFERROR(IF(INDEX(campaigns!$BG$2:$BG$51,MATCH($B551,campaigns!$A$2:$A$51,0))="","",INDEX(campaigns!$BG$2:$BG$51,MATCH($B551,campaigns!$A$2:$A$51,0))),""))</f>
        <v/>
      </c>
      <c r="N551" s="25">
        <f>IF(OR($B551="",$E551="",$M551=""),"",IF($E551&lt;$M551,0,NETWORKDAYS($M551,$E551,calendar!$A$2:$A$80)))</f>
        <v/>
      </c>
      <c r="O551" s="25">
        <f>IF($B551="","",IF(AND($K551="Y",OR($D551="later",$J551="Y")),"Y","N"))</f>
        <v/>
      </c>
      <c r="P551" s="25">
        <f>IF(OR($B551="",$E551=""),"",$B551&amp;"_"&amp;$C551&amp;"_"&amp;$D551&amp;"_"&amp;TEXT($E551,"yyyy-mm-dd")&amp;".jpg")</f>
        <v/>
      </c>
      <c r="Q551" s="25">
        <f>IF($B551="","",IF(COUNTIF(campaigns!$A$2:$A$51,$B551)=0,"campaign_id not on campaigns; ",IF(AND($C551&lt;&gt;"",COUNTIFS(approvals!$A$2:$A$251,$B551,approvals!$B$2:$B$251,$C551)=0),"office not on this campaign (approvals tab); ",""))&amp;IF($E551="","taken date missing; ","")&amp;IF(AND($H551&lt;&gt;"",$H551&lt;&gt;$P551),"file name differs from the convention; ","")&amp;IF(AND($D551="placement",$O551="Y",COUNTIF(photos!$R$2:$R$701,$R551)&gt;1),"two usable placement photos: mark one N; ","")&amp;IF($K551&lt;&gt;"Y","info: not usable (a person, screen or whiteboard may show): never used, delete the file; ","")&amp;IF(AND($D551="placement",$J551&lt;&gt;"Y"),"info: not usable as a placement photo (no card); ","")&amp;IF(AND($D551="placement",N($N551)&gt;2),"info: placed after the first business day; ","")&amp;IF(AND($D551="later",$N551&lt;&gt;"",OR(N($N551)&lt;3,N($N551)&gt;5)),"info: later photo outside day 3 to 5; ",""))</f>
        <v/>
      </c>
      <c r="R551" s="25">
        <f>IF($B551="","",$B551&amp;"|"&amp;$C551&amp;"|"&amp;$D551&amp;"|"&amp;$O551)</f>
        <v/>
      </c>
      <c r="S551" s="25">
        <f>IF($B551="","",$R551&amp;"|"&amp;N($E551))</f>
        <v/>
      </c>
    </row>
    <row r="552">
      <c r="E552" s="9" t="n"/>
      <c r="F552" s="33" t="n"/>
      <c r="I552" s="9" t="n"/>
      <c r="M552" s="26">
        <f>IF($B552="","",IFERROR(IF(INDEX(campaigns!$BG$2:$BG$51,MATCH($B552,campaigns!$A$2:$A$51,0))="","",INDEX(campaigns!$BG$2:$BG$51,MATCH($B552,campaigns!$A$2:$A$51,0))),""))</f>
        <v/>
      </c>
      <c r="N552" s="25">
        <f>IF(OR($B552="",$E552="",$M552=""),"",IF($E552&lt;$M552,0,NETWORKDAYS($M552,$E552,calendar!$A$2:$A$80)))</f>
        <v/>
      </c>
      <c r="O552" s="25">
        <f>IF($B552="","",IF(AND($K552="Y",OR($D552="later",$J552="Y")),"Y","N"))</f>
        <v/>
      </c>
      <c r="P552" s="25">
        <f>IF(OR($B552="",$E552=""),"",$B552&amp;"_"&amp;$C552&amp;"_"&amp;$D552&amp;"_"&amp;TEXT($E552,"yyyy-mm-dd")&amp;".jpg")</f>
        <v/>
      </c>
      <c r="Q552" s="25">
        <f>IF($B552="","",IF(COUNTIF(campaigns!$A$2:$A$51,$B552)=0,"campaign_id not on campaigns; ",IF(AND($C552&lt;&gt;"",COUNTIFS(approvals!$A$2:$A$251,$B552,approvals!$B$2:$B$251,$C552)=0),"office not on this campaign (approvals tab); ",""))&amp;IF($E552="","taken date missing; ","")&amp;IF(AND($H552&lt;&gt;"",$H552&lt;&gt;$P552),"file name differs from the convention; ","")&amp;IF(AND($D552="placement",$O552="Y",COUNTIF(photos!$R$2:$R$701,$R552)&gt;1),"two usable placement photos: mark one N; ","")&amp;IF($K552&lt;&gt;"Y","info: not usable (a person, screen or whiteboard may show): never used, delete the file; ","")&amp;IF(AND($D552="placement",$J552&lt;&gt;"Y"),"info: not usable as a placement photo (no card); ","")&amp;IF(AND($D552="placement",N($N552)&gt;2),"info: placed after the first business day; ","")&amp;IF(AND($D552="later",$N552&lt;&gt;"",OR(N($N552)&lt;3,N($N552)&gt;5)),"info: later photo outside day 3 to 5; ",""))</f>
        <v/>
      </c>
      <c r="R552" s="25">
        <f>IF($B552="","",$B552&amp;"|"&amp;$C552&amp;"|"&amp;$D552&amp;"|"&amp;$O552)</f>
        <v/>
      </c>
      <c r="S552" s="25">
        <f>IF($B552="","",$R552&amp;"|"&amp;N($E552))</f>
        <v/>
      </c>
    </row>
    <row r="553">
      <c r="E553" s="9" t="n"/>
      <c r="F553" s="33" t="n"/>
      <c r="I553" s="9" t="n"/>
      <c r="M553" s="26">
        <f>IF($B553="","",IFERROR(IF(INDEX(campaigns!$BG$2:$BG$51,MATCH($B553,campaigns!$A$2:$A$51,0))="","",INDEX(campaigns!$BG$2:$BG$51,MATCH($B553,campaigns!$A$2:$A$51,0))),""))</f>
        <v/>
      </c>
      <c r="N553" s="25">
        <f>IF(OR($B553="",$E553="",$M553=""),"",IF($E553&lt;$M553,0,NETWORKDAYS($M553,$E553,calendar!$A$2:$A$80)))</f>
        <v/>
      </c>
      <c r="O553" s="25">
        <f>IF($B553="","",IF(AND($K553="Y",OR($D553="later",$J553="Y")),"Y","N"))</f>
        <v/>
      </c>
      <c r="P553" s="25">
        <f>IF(OR($B553="",$E553=""),"",$B553&amp;"_"&amp;$C553&amp;"_"&amp;$D553&amp;"_"&amp;TEXT($E553,"yyyy-mm-dd")&amp;".jpg")</f>
        <v/>
      </c>
      <c r="Q553" s="25">
        <f>IF($B553="","",IF(COUNTIF(campaigns!$A$2:$A$51,$B553)=0,"campaign_id not on campaigns; ",IF(AND($C553&lt;&gt;"",COUNTIFS(approvals!$A$2:$A$251,$B553,approvals!$B$2:$B$251,$C553)=0),"office not on this campaign (approvals tab); ",""))&amp;IF($E553="","taken date missing; ","")&amp;IF(AND($H553&lt;&gt;"",$H553&lt;&gt;$P553),"file name differs from the convention; ","")&amp;IF(AND($D553="placement",$O553="Y",COUNTIF(photos!$R$2:$R$701,$R553)&gt;1),"two usable placement photos: mark one N; ","")&amp;IF($K553&lt;&gt;"Y","info: not usable (a person, screen or whiteboard may show): never used, delete the file; ","")&amp;IF(AND($D553="placement",$J553&lt;&gt;"Y"),"info: not usable as a placement photo (no card); ","")&amp;IF(AND($D553="placement",N($N553)&gt;2),"info: placed after the first business day; ","")&amp;IF(AND($D553="later",$N553&lt;&gt;"",OR(N($N553)&lt;3,N($N553)&gt;5)),"info: later photo outside day 3 to 5; ",""))</f>
        <v/>
      </c>
      <c r="R553" s="25">
        <f>IF($B553="","",$B553&amp;"|"&amp;$C553&amp;"|"&amp;$D553&amp;"|"&amp;$O553)</f>
        <v/>
      </c>
      <c r="S553" s="25">
        <f>IF($B553="","",$R553&amp;"|"&amp;N($E553))</f>
        <v/>
      </c>
    </row>
    <row r="554">
      <c r="E554" s="9" t="n"/>
      <c r="F554" s="33" t="n"/>
      <c r="I554" s="9" t="n"/>
      <c r="M554" s="26">
        <f>IF($B554="","",IFERROR(IF(INDEX(campaigns!$BG$2:$BG$51,MATCH($B554,campaigns!$A$2:$A$51,0))="","",INDEX(campaigns!$BG$2:$BG$51,MATCH($B554,campaigns!$A$2:$A$51,0))),""))</f>
        <v/>
      </c>
      <c r="N554" s="25">
        <f>IF(OR($B554="",$E554="",$M554=""),"",IF($E554&lt;$M554,0,NETWORKDAYS($M554,$E554,calendar!$A$2:$A$80)))</f>
        <v/>
      </c>
      <c r="O554" s="25">
        <f>IF($B554="","",IF(AND($K554="Y",OR($D554="later",$J554="Y")),"Y","N"))</f>
        <v/>
      </c>
      <c r="P554" s="25">
        <f>IF(OR($B554="",$E554=""),"",$B554&amp;"_"&amp;$C554&amp;"_"&amp;$D554&amp;"_"&amp;TEXT($E554,"yyyy-mm-dd")&amp;".jpg")</f>
        <v/>
      </c>
      <c r="Q554" s="25">
        <f>IF($B554="","",IF(COUNTIF(campaigns!$A$2:$A$51,$B554)=0,"campaign_id not on campaigns; ",IF(AND($C554&lt;&gt;"",COUNTIFS(approvals!$A$2:$A$251,$B554,approvals!$B$2:$B$251,$C554)=0),"office not on this campaign (approvals tab); ",""))&amp;IF($E554="","taken date missing; ","")&amp;IF(AND($H554&lt;&gt;"",$H554&lt;&gt;$P554),"file name differs from the convention; ","")&amp;IF(AND($D554="placement",$O554="Y",COUNTIF(photos!$R$2:$R$701,$R554)&gt;1),"two usable placement photos: mark one N; ","")&amp;IF($K554&lt;&gt;"Y","info: not usable (a person, screen or whiteboard may show): never used, delete the file; ","")&amp;IF(AND($D554="placement",$J554&lt;&gt;"Y"),"info: not usable as a placement photo (no card); ","")&amp;IF(AND($D554="placement",N($N554)&gt;2),"info: placed after the first business day; ","")&amp;IF(AND($D554="later",$N554&lt;&gt;"",OR(N($N554)&lt;3,N($N554)&gt;5)),"info: later photo outside day 3 to 5; ",""))</f>
        <v/>
      </c>
      <c r="R554" s="25">
        <f>IF($B554="","",$B554&amp;"|"&amp;$C554&amp;"|"&amp;$D554&amp;"|"&amp;$O554)</f>
        <v/>
      </c>
      <c r="S554" s="25">
        <f>IF($B554="","",$R554&amp;"|"&amp;N($E554))</f>
        <v/>
      </c>
    </row>
    <row r="555">
      <c r="E555" s="9" t="n"/>
      <c r="F555" s="33" t="n"/>
      <c r="I555" s="9" t="n"/>
      <c r="M555" s="26">
        <f>IF($B555="","",IFERROR(IF(INDEX(campaigns!$BG$2:$BG$51,MATCH($B555,campaigns!$A$2:$A$51,0))="","",INDEX(campaigns!$BG$2:$BG$51,MATCH($B555,campaigns!$A$2:$A$51,0))),""))</f>
        <v/>
      </c>
      <c r="N555" s="25">
        <f>IF(OR($B555="",$E555="",$M555=""),"",IF($E555&lt;$M555,0,NETWORKDAYS($M555,$E555,calendar!$A$2:$A$80)))</f>
        <v/>
      </c>
      <c r="O555" s="25">
        <f>IF($B555="","",IF(AND($K555="Y",OR($D555="later",$J555="Y")),"Y","N"))</f>
        <v/>
      </c>
      <c r="P555" s="25">
        <f>IF(OR($B555="",$E555=""),"",$B555&amp;"_"&amp;$C555&amp;"_"&amp;$D555&amp;"_"&amp;TEXT($E555,"yyyy-mm-dd")&amp;".jpg")</f>
        <v/>
      </c>
      <c r="Q555" s="25">
        <f>IF($B555="","",IF(COUNTIF(campaigns!$A$2:$A$51,$B555)=0,"campaign_id not on campaigns; ",IF(AND($C555&lt;&gt;"",COUNTIFS(approvals!$A$2:$A$251,$B555,approvals!$B$2:$B$251,$C555)=0),"office not on this campaign (approvals tab); ",""))&amp;IF($E555="","taken date missing; ","")&amp;IF(AND($H555&lt;&gt;"",$H555&lt;&gt;$P555),"file name differs from the convention; ","")&amp;IF(AND($D555="placement",$O555="Y",COUNTIF(photos!$R$2:$R$701,$R555)&gt;1),"two usable placement photos: mark one N; ","")&amp;IF($K555&lt;&gt;"Y","info: not usable (a person, screen or whiteboard may show): never used, delete the file; ","")&amp;IF(AND($D555="placement",$J555&lt;&gt;"Y"),"info: not usable as a placement photo (no card); ","")&amp;IF(AND($D555="placement",N($N555)&gt;2),"info: placed after the first business day; ","")&amp;IF(AND($D555="later",$N555&lt;&gt;"",OR(N($N555)&lt;3,N($N555)&gt;5)),"info: later photo outside day 3 to 5; ",""))</f>
        <v/>
      </c>
      <c r="R555" s="25">
        <f>IF($B555="","",$B555&amp;"|"&amp;$C555&amp;"|"&amp;$D555&amp;"|"&amp;$O555)</f>
        <v/>
      </c>
      <c r="S555" s="25">
        <f>IF($B555="","",$R555&amp;"|"&amp;N($E555))</f>
        <v/>
      </c>
    </row>
    <row r="556">
      <c r="E556" s="9" t="n"/>
      <c r="F556" s="33" t="n"/>
      <c r="I556" s="9" t="n"/>
      <c r="M556" s="26">
        <f>IF($B556="","",IFERROR(IF(INDEX(campaigns!$BG$2:$BG$51,MATCH($B556,campaigns!$A$2:$A$51,0))="","",INDEX(campaigns!$BG$2:$BG$51,MATCH($B556,campaigns!$A$2:$A$51,0))),""))</f>
        <v/>
      </c>
      <c r="N556" s="25">
        <f>IF(OR($B556="",$E556="",$M556=""),"",IF($E556&lt;$M556,0,NETWORKDAYS($M556,$E556,calendar!$A$2:$A$80)))</f>
        <v/>
      </c>
      <c r="O556" s="25">
        <f>IF($B556="","",IF(AND($K556="Y",OR($D556="later",$J556="Y")),"Y","N"))</f>
        <v/>
      </c>
      <c r="P556" s="25">
        <f>IF(OR($B556="",$E556=""),"",$B556&amp;"_"&amp;$C556&amp;"_"&amp;$D556&amp;"_"&amp;TEXT($E556,"yyyy-mm-dd")&amp;".jpg")</f>
        <v/>
      </c>
      <c r="Q556" s="25">
        <f>IF($B556="","",IF(COUNTIF(campaigns!$A$2:$A$51,$B556)=0,"campaign_id not on campaigns; ",IF(AND($C556&lt;&gt;"",COUNTIFS(approvals!$A$2:$A$251,$B556,approvals!$B$2:$B$251,$C556)=0),"office not on this campaign (approvals tab); ",""))&amp;IF($E556="","taken date missing; ","")&amp;IF(AND($H556&lt;&gt;"",$H556&lt;&gt;$P556),"file name differs from the convention; ","")&amp;IF(AND($D556="placement",$O556="Y",COUNTIF(photos!$R$2:$R$701,$R556)&gt;1),"two usable placement photos: mark one N; ","")&amp;IF($K556&lt;&gt;"Y","info: not usable (a person, screen or whiteboard may show): never used, delete the file; ","")&amp;IF(AND($D556="placement",$J556&lt;&gt;"Y"),"info: not usable as a placement photo (no card); ","")&amp;IF(AND($D556="placement",N($N556)&gt;2),"info: placed after the first business day; ","")&amp;IF(AND($D556="later",$N556&lt;&gt;"",OR(N($N556)&lt;3,N($N556)&gt;5)),"info: later photo outside day 3 to 5; ",""))</f>
        <v/>
      </c>
      <c r="R556" s="25">
        <f>IF($B556="","",$B556&amp;"|"&amp;$C556&amp;"|"&amp;$D556&amp;"|"&amp;$O556)</f>
        <v/>
      </c>
      <c r="S556" s="25">
        <f>IF($B556="","",$R556&amp;"|"&amp;N($E556))</f>
        <v/>
      </c>
    </row>
    <row r="557">
      <c r="E557" s="9" t="n"/>
      <c r="F557" s="33" t="n"/>
      <c r="I557" s="9" t="n"/>
      <c r="M557" s="26">
        <f>IF($B557="","",IFERROR(IF(INDEX(campaigns!$BG$2:$BG$51,MATCH($B557,campaigns!$A$2:$A$51,0))="","",INDEX(campaigns!$BG$2:$BG$51,MATCH($B557,campaigns!$A$2:$A$51,0))),""))</f>
        <v/>
      </c>
      <c r="N557" s="25">
        <f>IF(OR($B557="",$E557="",$M557=""),"",IF($E557&lt;$M557,0,NETWORKDAYS($M557,$E557,calendar!$A$2:$A$80)))</f>
        <v/>
      </c>
      <c r="O557" s="25">
        <f>IF($B557="","",IF(AND($K557="Y",OR($D557="later",$J557="Y")),"Y","N"))</f>
        <v/>
      </c>
      <c r="P557" s="25">
        <f>IF(OR($B557="",$E557=""),"",$B557&amp;"_"&amp;$C557&amp;"_"&amp;$D557&amp;"_"&amp;TEXT($E557,"yyyy-mm-dd")&amp;".jpg")</f>
        <v/>
      </c>
      <c r="Q557" s="25">
        <f>IF($B557="","",IF(COUNTIF(campaigns!$A$2:$A$51,$B557)=0,"campaign_id not on campaigns; ",IF(AND($C557&lt;&gt;"",COUNTIFS(approvals!$A$2:$A$251,$B557,approvals!$B$2:$B$251,$C557)=0),"office not on this campaign (approvals tab); ",""))&amp;IF($E557="","taken date missing; ","")&amp;IF(AND($H557&lt;&gt;"",$H557&lt;&gt;$P557),"file name differs from the convention; ","")&amp;IF(AND($D557="placement",$O557="Y",COUNTIF(photos!$R$2:$R$701,$R557)&gt;1),"two usable placement photos: mark one N; ","")&amp;IF($K557&lt;&gt;"Y","info: not usable (a person, screen or whiteboard may show): never used, delete the file; ","")&amp;IF(AND($D557="placement",$J557&lt;&gt;"Y"),"info: not usable as a placement photo (no card); ","")&amp;IF(AND($D557="placement",N($N557)&gt;2),"info: placed after the first business day; ","")&amp;IF(AND($D557="later",$N557&lt;&gt;"",OR(N($N557)&lt;3,N($N557)&gt;5)),"info: later photo outside day 3 to 5; ",""))</f>
        <v/>
      </c>
      <c r="R557" s="25">
        <f>IF($B557="","",$B557&amp;"|"&amp;$C557&amp;"|"&amp;$D557&amp;"|"&amp;$O557)</f>
        <v/>
      </c>
      <c r="S557" s="25">
        <f>IF($B557="","",$R557&amp;"|"&amp;N($E557))</f>
        <v/>
      </c>
    </row>
    <row r="558">
      <c r="E558" s="9" t="n"/>
      <c r="F558" s="33" t="n"/>
      <c r="I558" s="9" t="n"/>
      <c r="M558" s="26">
        <f>IF($B558="","",IFERROR(IF(INDEX(campaigns!$BG$2:$BG$51,MATCH($B558,campaigns!$A$2:$A$51,0))="","",INDEX(campaigns!$BG$2:$BG$51,MATCH($B558,campaigns!$A$2:$A$51,0))),""))</f>
        <v/>
      </c>
      <c r="N558" s="25">
        <f>IF(OR($B558="",$E558="",$M558=""),"",IF($E558&lt;$M558,0,NETWORKDAYS($M558,$E558,calendar!$A$2:$A$80)))</f>
        <v/>
      </c>
      <c r="O558" s="25">
        <f>IF($B558="","",IF(AND($K558="Y",OR($D558="later",$J558="Y")),"Y","N"))</f>
        <v/>
      </c>
      <c r="P558" s="25">
        <f>IF(OR($B558="",$E558=""),"",$B558&amp;"_"&amp;$C558&amp;"_"&amp;$D558&amp;"_"&amp;TEXT($E558,"yyyy-mm-dd")&amp;".jpg")</f>
        <v/>
      </c>
      <c r="Q558" s="25">
        <f>IF($B558="","",IF(COUNTIF(campaigns!$A$2:$A$51,$B558)=0,"campaign_id not on campaigns; ",IF(AND($C558&lt;&gt;"",COUNTIFS(approvals!$A$2:$A$251,$B558,approvals!$B$2:$B$251,$C558)=0),"office not on this campaign (approvals tab); ",""))&amp;IF($E558="","taken date missing; ","")&amp;IF(AND($H558&lt;&gt;"",$H558&lt;&gt;$P558),"file name differs from the convention; ","")&amp;IF(AND($D558="placement",$O558="Y",COUNTIF(photos!$R$2:$R$701,$R558)&gt;1),"two usable placement photos: mark one N; ","")&amp;IF($K558&lt;&gt;"Y","info: not usable (a person, screen or whiteboard may show): never used, delete the file; ","")&amp;IF(AND($D558="placement",$J558&lt;&gt;"Y"),"info: not usable as a placement photo (no card); ","")&amp;IF(AND($D558="placement",N($N558)&gt;2),"info: placed after the first business day; ","")&amp;IF(AND($D558="later",$N558&lt;&gt;"",OR(N($N558)&lt;3,N($N558)&gt;5)),"info: later photo outside day 3 to 5; ",""))</f>
        <v/>
      </c>
      <c r="R558" s="25">
        <f>IF($B558="","",$B558&amp;"|"&amp;$C558&amp;"|"&amp;$D558&amp;"|"&amp;$O558)</f>
        <v/>
      </c>
      <c r="S558" s="25">
        <f>IF($B558="","",$R558&amp;"|"&amp;N($E558))</f>
        <v/>
      </c>
    </row>
    <row r="559">
      <c r="E559" s="9" t="n"/>
      <c r="F559" s="33" t="n"/>
      <c r="I559" s="9" t="n"/>
      <c r="M559" s="26">
        <f>IF($B559="","",IFERROR(IF(INDEX(campaigns!$BG$2:$BG$51,MATCH($B559,campaigns!$A$2:$A$51,0))="","",INDEX(campaigns!$BG$2:$BG$51,MATCH($B559,campaigns!$A$2:$A$51,0))),""))</f>
        <v/>
      </c>
      <c r="N559" s="25">
        <f>IF(OR($B559="",$E559="",$M559=""),"",IF($E559&lt;$M559,0,NETWORKDAYS($M559,$E559,calendar!$A$2:$A$80)))</f>
        <v/>
      </c>
      <c r="O559" s="25">
        <f>IF($B559="","",IF(AND($K559="Y",OR($D559="later",$J559="Y")),"Y","N"))</f>
        <v/>
      </c>
      <c r="P559" s="25">
        <f>IF(OR($B559="",$E559=""),"",$B559&amp;"_"&amp;$C559&amp;"_"&amp;$D559&amp;"_"&amp;TEXT($E559,"yyyy-mm-dd")&amp;".jpg")</f>
        <v/>
      </c>
      <c r="Q559" s="25">
        <f>IF($B559="","",IF(COUNTIF(campaigns!$A$2:$A$51,$B559)=0,"campaign_id not on campaigns; ",IF(AND($C559&lt;&gt;"",COUNTIFS(approvals!$A$2:$A$251,$B559,approvals!$B$2:$B$251,$C559)=0),"office not on this campaign (approvals tab); ",""))&amp;IF($E559="","taken date missing; ","")&amp;IF(AND($H559&lt;&gt;"",$H559&lt;&gt;$P559),"file name differs from the convention; ","")&amp;IF(AND($D559="placement",$O559="Y",COUNTIF(photos!$R$2:$R$701,$R559)&gt;1),"two usable placement photos: mark one N; ","")&amp;IF($K559&lt;&gt;"Y","info: not usable (a person, screen or whiteboard may show): never used, delete the file; ","")&amp;IF(AND($D559="placement",$J559&lt;&gt;"Y"),"info: not usable as a placement photo (no card); ","")&amp;IF(AND($D559="placement",N($N559)&gt;2),"info: placed after the first business day; ","")&amp;IF(AND($D559="later",$N559&lt;&gt;"",OR(N($N559)&lt;3,N($N559)&gt;5)),"info: later photo outside day 3 to 5; ",""))</f>
        <v/>
      </c>
      <c r="R559" s="25">
        <f>IF($B559="","",$B559&amp;"|"&amp;$C559&amp;"|"&amp;$D559&amp;"|"&amp;$O559)</f>
        <v/>
      </c>
      <c r="S559" s="25">
        <f>IF($B559="","",$R559&amp;"|"&amp;N($E559))</f>
        <v/>
      </c>
    </row>
    <row r="560">
      <c r="E560" s="9" t="n"/>
      <c r="F560" s="33" t="n"/>
      <c r="I560" s="9" t="n"/>
      <c r="M560" s="26">
        <f>IF($B560="","",IFERROR(IF(INDEX(campaigns!$BG$2:$BG$51,MATCH($B560,campaigns!$A$2:$A$51,0))="","",INDEX(campaigns!$BG$2:$BG$51,MATCH($B560,campaigns!$A$2:$A$51,0))),""))</f>
        <v/>
      </c>
      <c r="N560" s="25">
        <f>IF(OR($B560="",$E560="",$M560=""),"",IF($E560&lt;$M560,0,NETWORKDAYS($M560,$E560,calendar!$A$2:$A$80)))</f>
        <v/>
      </c>
      <c r="O560" s="25">
        <f>IF($B560="","",IF(AND($K560="Y",OR($D560="later",$J560="Y")),"Y","N"))</f>
        <v/>
      </c>
      <c r="P560" s="25">
        <f>IF(OR($B560="",$E560=""),"",$B560&amp;"_"&amp;$C560&amp;"_"&amp;$D560&amp;"_"&amp;TEXT($E560,"yyyy-mm-dd")&amp;".jpg")</f>
        <v/>
      </c>
      <c r="Q560" s="25">
        <f>IF($B560="","",IF(COUNTIF(campaigns!$A$2:$A$51,$B560)=0,"campaign_id not on campaigns; ",IF(AND($C560&lt;&gt;"",COUNTIFS(approvals!$A$2:$A$251,$B560,approvals!$B$2:$B$251,$C560)=0),"office not on this campaign (approvals tab); ",""))&amp;IF($E560="","taken date missing; ","")&amp;IF(AND($H560&lt;&gt;"",$H560&lt;&gt;$P560),"file name differs from the convention; ","")&amp;IF(AND($D560="placement",$O560="Y",COUNTIF(photos!$R$2:$R$701,$R560)&gt;1),"two usable placement photos: mark one N; ","")&amp;IF($K560&lt;&gt;"Y","info: not usable (a person, screen or whiteboard may show): never used, delete the file; ","")&amp;IF(AND($D560="placement",$J560&lt;&gt;"Y"),"info: not usable as a placement photo (no card); ","")&amp;IF(AND($D560="placement",N($N560)&gt;2),"info: placed after the first business day; ","")&amp;IF(AND($D560="later",$N560&lt;&gt;"",OR(N($N560)&lt;3,N($N560)&gt;5)),"info: later photo outside day 3 to 5; ",""))</f>
        <v/>
      </c>
      <c r="R560" s="25">
        <f>IF($B560="","",$B560&amp;"|"&amp;$C560&amp;"|"&amp;$D560&amp;"|"&amp;$O560)</f>
        <v/>
      </c>
      <c r="S560" s="25">
        <f>IF($B560="","",$R560&amp;"|"&amp;N($E560))</f>
        <v/>
      </c>
    </row>
    <row r="561">
      <c r="E561" s="9" t="n"/>
      <c r="F561" s="33" t="n"/>
      <c r="I561" s="9" t="n"/>
      <c r="M561" s="26">
        <f>IF($B561="","",IFERROR(IF(INDEX(campaigns!$BG$2:$BG$51,MATCH($B561,campaigns!$A$2:$A$51,0))="","",INDEX(campaigns!$BG$2:$BG$51,MATCH($B561,campaigns!$A$2:$A$51,0))),""))</f>
        <v/>
      </c>
      <c r="N561" s="25">
        <f>IF(OR($B561="",$E561="",$M561=""),"",IF($E561&lt;$M561,0,NETWORKDAYS($M561,$E561,calendar!$A$2:$A$80)))</f>
        <v/>
      </c>
      <c r="O561" s="25">
        <f>IF($B561="","",IF(AND($K561="Y",OR($D561="later",$J561="Y")),"Y","N"))</f>
        <v/>
      </c>
      <c r="P561" s="25">
        <f>IF(OR($B561="",$E561=""),"",$B561&amp;"_"&amp;$C561&amp;"_"&amp;$D561&amp;"_"&amp;TEXT($E561,"yyyy-mm-dd")&amp;".jpg")</f>
        <v/>
      </c>
      <c r="Q561" s="25">
        <f>IF($B561="","",IF(COUNTIF(campaigns!$A$2:$A$51,$B561)=0,"campaign_id not on campaigns; ",IF(AND($C561&lt;&gt;"",COUNTIFS(approvals!$A$2:$A$251,$B561,approvals!$B$2:$B$251,$C561)=0),"office not on this campaign (approvals tab); ",""))&amp;IF($E561="","taken date missing; ","")&amp;IF(AND($H561&lt;&gt;"",$H561&lt;&gt;$P561),"file name differs from the convention; ","")&amp;IF(AND($D561="placement",$O561="Y",COUNTIF(photos!$R$2:$R$701,$R561)&gt;1),"two usable placement photos: mark one N; ","")&amp;IF($K561&lt;&gt;"Y","info: not usable (a person, screen or whiteboard may show): never used, delete the file; ","")&amp;IF(AND($D561="placement",$J561&lt;&gt;"Y"),"info: not usable as a placement photo (no card); ","")&amp;IF(AND($D561="placement",N($N561)&gt;2),"info: placed after the first business day; ","")&amp;IF(AND($D561="later",$N561&lt;&gt;"",OR(N($N561)&lt;3,N($N561)&gt;5)),"info: later photo outside day 3 to 5; ",""))</f>
        <v/>
      </c>
      <c r="R561" s="25">
        <f>IF($B561="","",$B561&amp;"|"&amp;$C561&amp;"|"&amp;$D561&amp;"|"&amp;$O561)</f>
        <v/>
      </c>
      <c r="S561" s="25">
        <f>IF($B561="","",$R561&amp;"|"&amp;N($E561))</f>
        <v/>
      </c>
    </row>
    <row r="562">
      <c r="E562" s="9" t="n"/>
      <c r="F562" s="33" t="n"/>
      <c r="I562" s="9" t="n"/>
      <c r="M562" s="26">
        <f>IF($B562="","",IFERROR(IF(INDEX(campaigns!$BG$2:$BG$51,MATCH($B562,campaigns!$A$2:$A$51,0))="","",INDEX(campaigns!$BG$2:$BG$51,MATCH($B562,campaigns!$A$2:$A$51,0))),""))</f>
        <v/>
      </c>
      <c r="N562" s="25">
        <f>IF(OR($B562="",$E562="",$M562=""),"",IF($E562&lt;$M562,0,NETWORKDAYS($M562,$E562,calendar!$A$2:$A$80)))</f>
        <v/>
      </c>
      <c r="O562" s="25">
        <f>IF($B562="","",IF(AND($K562="Y",OR($D562="later",$J562="Y")),"Y","N"))</f>
        <v/>
      </c>
      <c r="P562" s="25">
        <f>IF(OR($B562="",$E562=""),"",$B562&amp;"_"&amp;$C562&amp;"_"&amp;$D562&amp;"_"&amp;TEXT($E562,"yyyy-mm-dd")&amp;".jpg")</f>
        <v/>
      </c>
      <c r="Q562" s="25">
        <f>IF($B562="","",IF(COUNTIF(campaigns!$A$2:$A$51,$B562)=0,"campaign_id not on campaigns; ",IF(AND($C562&lt;&gt;"",COUNTIFS(approvals!$A$2:$A$251,$B562,approvals!$B$2:$B$251,$C562)=0),"office not on this campaign (approvals tab); ",""))&amp;IF($E562="","taken date missing; ","")&amp;IF(AND($H562&lt;&gt;"",$H562&lt;&gt;$P562),"file name differs from the convention; ","")&amp;IF(AND($D562="placement",$O562="Y",COUNTIF(photos!$R$2:$R$701,$R562)&gt;1),"two usable placement photos: mark one N; ","")&amp;IF($K562&lt;&gt;"Y","info: not usable (a person, screen or whiteboard may show): never used, delete the file; ","")&amp;IF(AND($D562="placement",$J562&lt;&gt;"Y"),"info: not usable as a placement photo (no card); ","")&amp;IF(AND($D562="placement",N($N562)&gt;2),"info: placed after the first business day; ","")&amp;IF(AND($D562="later",$N562&lt;&gt;"",OR(N($N562)&lt;3,N($N562)&gt;5)),"info: later photo outside day 3 to 5; ",""))</f>
        <v/>
      </c>
      <c r="R562" s="25">
        <f>IF($B562="","",$B562&amp;"|"&amp;$C562&amp;"|"&amp;$D562&amp;"|"&amp;$O562)</f>
        <v/>
      </c>
      <c r="S562" s="25">
        <f>IF($B562="","",$R562&amp;"|"&amp;N($E562))</f>
        <v/>
      </c>
    </row>
    <row r="563">
      <c r="E563" s="9" t="n"/>
      <c r="F563" s="33" t="n"/>
      <c r="I563" s="9" t="n"/>
      <c r="M563" s="26">
        <f>IF($B563="","",IFERROR(IF(INDEX(campaigns!$BG$2:$BG$51,MATCH($B563,campaigns!$A$2:$A$51,0))="","",INDEX(campaigns!$BG$2:$BG$51,MATCH($B563,campaigns!$A$2:$A$51,0))),""))</f>
        <v/>
      </c>
      <c r="N563" s="25">
        <f>IF(OR($B563="",$E563="",$M563=""),"",IF($E563&lt;$M563,0,NETWORKDAYS($M563,$E563,calendar!$A$2:$A$80)))</f>
        <v/>
      </c>
      <c r="O563" s="25">
        <f>IF($B563="","",IF(AND($K563="Y",OR($D563="later",$J563="Y")),"Y","N"))</f>
        <v/>
      </c>
      <c r="P563" s="25">
        <f>IF(OR($B563="",$E563=""),"",$B563&amp;"_"&amp;$C563&amp;"_"&amp;$D563&amp;"_"&amp;TEXT($E563,"yyyy-mm-dd")&amp;".jpg")</f>
        <v/>
      </c>
      <c r="Q563" s="25">
        <f>IF($B563="","",IF(COUNTIF(campaigns!$A$2:$A$51,$B563)=0,"campaign_id not on campaigns; ",IF(AND($C563&lt;&gt;"",COUNTIFS(approvals!$A$2:$A$251,$B563,approvals!$B$2:$B$251,$C563)=0),"office not on this campaign (approvals tab); ",""))&amp;IF($E563="","taken date missing; ","")&amp;IF(AND($H563&lt;&gt;"",$H563&lt;&gt;$P563),"file name differs from the convention; ","")&amp;IF(AND($D563="placement",$O563="Y",COUNTIF(photos!$R$2:$R$701,$R563)&gt;1),"two usable placement photos: mark one N; ","")&amp;IF($K563&lt;&gt;"Y","info: not usable (a person, screen or whiteboard may show): never used, delete the file; ","")&amp;IF(AND($D563="placement",$J563&lt;&gt;"Y"),"info: not usable as a placement photo (no card); ","")&amp;IF(AND($D563="placement",N($N563)&gt;2),"info: placed after the first business day; ","")&amp;IF(AND($D563="later",$N563&lt;&gt;"",OR(N($N563)&lt;3,N($N563)&gt;5)),"info: later photo outside day 3 to 5; ",""))</f>
        <v/>
      </c>
      <c r="R563" s="25">
        <f>IF($B563="","",$B563&amp;"|"&amp;$C563&amp;"|"&amp;$D563&amp;"|"&amp;$O563)</f>
        <v/>
      </c>
      <c r="S563" s="25">
        <f>IF($B563="","",$R563&amp;"|"&amp;N($E563))</f>
        <v/>
      </c>
    </row>
    <row r="564">
      <c r="E564" s="9" t="n"/>
      <c r="F564" s="33" t="n"/>
      <c r="I564" s="9" t="n"/>
      <c r="M564" s="26">
        <f>IF($B564="","",IFERROR(IF(INDEX(campaigns!$BG$2:$BG$51,MATCH($B564,campaigns!$A$2:$A$51,0))="","",INDEX(campaigns!$BG$2:$BG$51,MATCH($B564,campaigns!$A$2:$A$51,0))),""))</f>
        <v/>
      </c>
      <c r="N564" s="25">
        <f>IF(OR($B564="",$E564="",$M564=""),"",IF($E564&lt;$M564,0,NETWORKDAYS($M564,$E564,calendar!$A$2:$A$80)))</f>
        <v/>
      </c>
      <c r="O564" s="25">
        <f>IF($B564="","",IF(AND($K564="Y",OR($D564="later",$J564="Y")),"Y","N"))</f>
        <v/>
      </c>
      <c r="P564" s="25">
        <f>IF(OR($B564="",$E564=""),"",$B564&amp;"_"&amp;$C564&amp;"_"&amp;$D564&amp;"_"&amp;TEXT($E564,"yyyy-mm-dd")&amp;".jpg")</f>
        <v/>
      </c>
      <c r="Q564" s="25">
        <f>IF($B564="","",IF(COUNTIF(campaigns!$A$2:$A$51,$B564)=0,"campaign_id not on campaigns; ",IF(AND($C564&lt;&gt;"",COUNTIFS(approvals!$A$2:$A$251,$B564,approvals!$B$2:$B$251,$C564)=0),"office not on this campaign (approvals tab); ",""))&amp;IF($E564="","taken date missing; ","")&amp;IF(AND($H564&lt;&gt;"",$H564&lt;&gt;$P564),"file name differs from the convention; ","")&amp;IF(AND($D564="placement",$O564="Y",COUNTIF(photos!$R$2:$R$701,$R564)&gt;1),"two usable placement photos: mark one N; ","")&amp;IF($K564&lt;&gt;"Y","info: not usable (a person, screen or whiteboard may show): never used, delete the file; ","")&amp;IF(AND($D564="placement",$J564&lt;&gt;"Y"),"info: not usable as a placement photo (no card); ","")&amp;IF(AND($D564="placement",N($N564)&gt;2),"info: placed after the first business day; ","")&amp;IF(AND($D564="later",$N564&lt;&gt;"",OR(N($N564)&lt;3,N($N564)&gt;5)),"info: later photo outside day 3 to 5; ",""))</f>
        <v/>
      </c>
      <c r="R564" s="25">
        <f>IF($B564="","",$B564&amp;"|"&amp;$C564&amp;"|"&amp;$D564&amp;"|"&amp;$O564)</f>
        <v/>
      </c>
      <c r="S564" s="25">
        <f>IF($B564="","",$R564&amp;"|"&amp;N($E564))</f>
        <v/>
      </c>
    </row>
    <row r="565">
      <c r="E565" s="9" t="n"/>
      <c r="F565" s="33" t="n"/>
      <c r="I565" s="9" t="n"/>
      <c r="M565" s="26">
        <f>IF($B565="","",IFERROR(IF(INDEX(campaigns!$BG$2:$BG$51,MATCH($B565,campaigns!$A$2:$A$51,0))="","",INDEX(campaigns!$BG$2:$BG$51,MATCH($B565,campaigns!$A$2:$A$51,0))),""))</f>
        <v/>
      </c>
      <c r="N565" s="25">
        <f>IF(OR($B565="",$E565="",$M565=""),"",IF($E565&lt;$M565,0,NETWORKDAYS($M565,$E565,calendar!$A$2:$A$80)))</f>
        <v/>
      </c>
      <c r="O565" s="25">
        <f>IF($B565="","",IF(AND($K565="Y",OR($D565="later",$J565="Y")),"Y","N"))</f>
        <v/>
      </c>
      <c r="P565" s="25">
        <f>IF(OR($B565="",$E565=""),"",$B565&amp;"_"&amp;$C565&amp;"_"&amp;$D565&amp;"_"&amp;TEXT($E565,"yyyy-mm-dd")&amp;".jpg")</f>
        <v/>
      </c>
      <c r="Q565" s="25">
        <f>IF($B565="","",IF(COUNTIF(campaigns!$A$2:$A$51,$B565)=0,"campaign_id not on campaigns; ",IF(AND($C565&lt;&gt;"",COUNTIFS(approvals!$A$2:$A$251,$B565,approvals!$B$2:$B$251,$C565)=0),"office not on this campaign (approvals tab); ",""))&amp;IF($E565="","taken date missing; ","")&amp;IF(AND($H565&lt;&gt;"",$H565&lt;&gt;$P565),"file name differs from the convention; ","")&amp;IF(AND($D565="placement",$O565="Y",COUNTIF(photos!$R$2:$R$701,$R565)&gt;1),"two usable placement photos: mark one N; ","")&amp;IF($K565&lt;&gt;"Y","info: not usable (a person, screen or whiteboard may show): never used, delete the file; ","")&amp;IF(AND($D565="placement",$J565&lt;&gt;"Y"),"info: not usable as a placement photo (no card); ","")&amp;IF(AND($D565="placement",N($N565)&gt;2),"info: placed after the first business day; ","")&amp;IF(AND($D565="later",$N565&lt;&gt;"",OR(N($N565)&lt;3,N($N565)&gt;5)),"info: later photo outside day 3 to 5; ",""))</f>
        <v/>
      </c>
      <c r="R565" s="25">
        <f>IF($B565="","",$B565&amp;"|"&amp;$C565&amp;"|"&amp;$D565&amp;"|"&amp;$O565)</f>
        <v/>
      </c>
      <c r="S565" s="25">
        <f>IF($B565="","",$R565&amp;"|"&amp;N($E565))</f>
        <v/>
      </c>
    </row>
    <row r="566">
      <c r="E566" s="9" t="n"/>
      <c r="F566" s="33" t="n"/>
      <c r="I566" s="9" t="n"/>
      <c r="M566" s="26">
        <f>IF($B566="","",IFERROR(IF(INDEX(campaigns!$BG$2:$BG$51,MATCH($B566,campaigns!$A$2:$A$51,0))="","",INDEX(campaigns!$BG$2:$BG$51,MATCH($B566,campaigns!$A$2:$A$51,0))),""))</f>
        <v/>
      </c>
      <c r="N566" s="25">
        <f>IF(OR($B566="",$E566="",$M566=""),"",IF($E566&lt;$M566,0,NETWORKDAYS($M566,$E566,calendar!$A$2:$A$80)))</f>
        <v/>
      </c>
      <c r="O566" s="25">
        <f>IF($B566="","",IF(AND($K566="Y",OR($D566="later",$J566="Y")),"Y","N"))</f>
        <v/>
      </c>
      <c r="P566" s="25">
        <f>IF(OR($B566="",$E566=""),"",$B566&amp;"_"&amp;$C566&amp;"_"&amp;$D566&amp;"_"&amp;TEXT($E566,"yyyy-mm-dd")&amp;".jpg")</f>
        <v/>
      </c>
      <c r="Q566" s="25">
        <f>IF($B566="","",IF(COUNTIF(campaigns!$A$2:$A$51,$B566)=0,"campaign_id not on campaigns; ",IF(AND($C566&lt;&gt;"",COUNTIFS(approvals!$A$2:$A$251,$B566,approvals!$B$2:$B$251,$C566)=0),"office not on this campaign (approvals tab); ",""))&amp;IF($E566="","taken date missing; ","")&amp;IF(AND($H566&lt;&gt;"",$H566&lt;&gt;$P566),"file name differs from the convention; ","")&amp;IF(AND($D566="placement",$O566="Y",COUNTIF(photos!$R$2:$R$701,$R566)&gt;1),"two usable placement photos: mark one N; ","")&amp;IF($K566&lt;&gt;"Y","info: not usable (a person, screen or whiteboard may show): never used, delete the file; ","")&amp;IF(AND($D566="placement",$J566&lt;&gt;"Y"),"info: not usable as a placement photo (no card); ","")&amp;IF(AND($D566="placement",N($N566)&gt;2),"info: placed after the first business day; ","")&amp;IF(AND($D566="later",$N566&lt;&gt;"",OR(N($N566)&lt;3,N($N566)&gt;5)),"info: later photo outside day 3 to 5; ",""))</f>
        <v/>
      </c>
      <c r="R566" s="25">
        <f>IF($B566="","",$B566&amp;"|"&amp;$C566&amp;"|"&amp;$D566&amp;"|"&amp;$O566)</f>
        <v/>
      </c>
      <c r="S566" s="25">
        <f>IF($B566="","",$R566&amp;"|"&amp;N($E566))</f>
        <v/>
      </c>
    </row>
    <row r="567">
      <c r="E567" s="9" t="n"/>
      <c r="F567" s="33" t="n"/>
      <c r="I567" s="9" t="n"/>
      <c r="M567" s="26">
        <f>IF($B567="","",IFERROR(IF(INDEX(campaigns!$BG$2:$BG$51,MATCH($B567,campaigns!$A$2:$A$51,0))="","",INDEX(campaigns!$BG$2:$BG$51,MATCH($B567,campaigns!$A$2:$A$51,0))),""))</f>
        <v/>
      </c>
      <c r="N567" s="25">
        <f>IF(OR($B567="",$E567="",$M567=""),"",IF($E567&lt;$M567,0,NETWORKDAYS($M567,$E567,calendar!$A$2:$A$80)))</f>
        <v/>
      </c>
      <c r="O567" s="25">
        <f>IF($B567="","",IF(AND($K567="Y",OR($D567="later",$J567="Y")),"Y","N"))</f>
        <v/>
      </c>
      <c r="P567" s="25">
        <f>IF(OR($B567="",$E567=""),"",$B567&amp;"_"&amp;$C567&amp;"_"&amp;$D567&amp;"_"&amp;TEXT($E567,"yyyy-mm-dd")&amp;".jpg")</f>
        <v/>
      </c>
      <c r="Q567" s="25">
        <f>IF($B567="","",IF(COUNTIF(campaigns!$A$2:$A$51,$B567)=0,"campaign_id not on campaigns; ",IF(AND($C567&lt;&gt;"",COUNTIFS(approvals!$A$2:$A$251,$B567,approvals!$B$2:$B$251,$C567)=0),"office not on this campaign (approvals tab); ",""))&amp;IF($E567="","taken date missing; ","")&amp;IF(AND($H567&lt;&gt;"",$H567&lt;&gt;$P567),"file name differs from the convention; ","")&amp;IF(AND($D567="placement",$O567="Y",COUNTIF(photos!$R$2:$R$701,$R567)&gt;1),"two usable placement photos: mark one N; ","")&amp;IF($K567&lt;&gt;"Y","info: not usable (a person, screen or whiteboard may show): never used, delete the file; ","")&amp;IF(AND($D567="placement",$J567&lt;&gt;"Y"),"info: not usable as a placement photo (no card); ","")&amp;IF(AND($D567="placement",N($N567)&gt;2),"info: placed after the first business day; ","")&amp;IF(AND($D567="later",$N567&lt;&gt;"",OR(N($N567)&lt;3,N($N567)&gt;5)),"info: later photo outside day 3 to 5; ",""))</f>
        <v/>
      </c>
      <c r="R567" s="25">
        <f>IF($B567="","",$B567&amp;"|"&amp;$C567&amp;"|"&amp;$D567&amp;"|"&amp;$O567)</f>
        <v/>
      </c>
      <c r="S567" s="25">
        <f>IF($B567="","",$R567&amp;"|"&amp;N($E567))</f>
        <v/>
      </c>
    </row>
    <row r="568">
      <c r="E568" s="9" t="n"/>
      <c r="F568" s="33" t="n"/>
      <c r="I568" s="9" t="n"/>
      <c r="M568" s="26">
        <f>IF($B568="","",IFERROR(IF(INDEX(campaigns!$BG$2:$BG$51,MATCH($B568,campaigns!$A$2:$A$51,0))="","",INDEX(campaigns!$BG$2:$BG$51,MATCH($B568,campaigns!$A$2:$A$51,0))),""))</f>
        <v/>
      </c>
      <c r="N568" s="25">
        <f>IF(OR($B568="",$E568="",$M568=""),"",IF($E568&lt;$M568,0,NETWORKDAYS($M568,$E568,calendar!$A$2:$A$80)))</f>
        <v/>
      </c>
      <c r="O568" s="25">
        <f>IF($B568="","",IF(AND($K568="Y",OR($D568="later",$J568="Y")),"Y","N"))</f>
        <v/>
      </c>
      <c r="P568" s="25">
        <f>IF(OR($B568="",$E568=""),"",$B568&amp;"_"&amp;$C568&amp;"_"&amp;$D568&amp;"_"&amp;TEXT($E568,"yyyy-mm-dd")&amp;".jpg")</f>
        <v/>
      </c>
      <c r="Q568" s="25">
        <f>IF($B568="","",IF(COUNTIF(campaigns!$A$2:$A$51,$B568)=0,"campaign_id not on campaigns; ",IF(AND($C568&lt;&gt;"",COUNTIFS(approvals!$A$2:$A$251,$B568,approvals!$B$2:$B$251,$C568)=0),"office not on this campaign (approvals tab); ",""))&amp;IF($E568="","taken date missing; ","")&amp;IF(AND($H568&lt;&gt;"",$H568&lt;&gt;$P568),"file name differs from the convention; ","")&amp;IF(AND($D568="placement",$O568="Y",COUNTIF(photos!$R$2:$R$701,$R568)&gt;1),"two usable placement photos: mark one N; ","")&amp;IF($K568&lt;&gt;"Y","info: not usable (a person, screen or whiteboard may show): never used, delete the file; ","")&amp;IF(AND($D568="placement",$J568&lt;&gt;"Y"),"info: not usable as a placement photo (no card); ","")&amp;IF(AND($D568="placement",N($N568)&gt;2),"info: placed after the first business day; ","")&amp;IF(AND($D568="later",$N568&lt;&gt;"",OR(N($N568)&lt;3,N($N568)&gt;5)),"info: later photo outside day 3 to 5; ",""))</f>
        <v/>
      </c>
      <c r="R568" s="25">
        <f>IF($B568="","",$B568&amp;"|"&amp;$C568&amp;"|"&amp;$D568&amp;"|"&amp;$O568)</f>
        <v/>
      </c>
      <c r="S568" s="25">
        <f>IF($B568="","",$R568&amp;"|"&amp;N($E568))</f>
        <v/>
      </c>
    </row>
    <row r="569">
      <c r="E569" s="9" t="n"/>
      <c r="F569" s="33" t="n"/>
      <c r="I569" s="9" t="n"/>
      <c r="M569" s="26">
        <f>IF($B569="","",IFERROR(IF(INDEX(campaigns!$BG$2:$BG$51,MATCH($B569,campaigns!$A$2:$A$51,0))="","",INDEX(campaigns!$BG$2:$BG$51,MATCH($B569,campaigns!$A$2:$A$51,0))),""))</f>
        <v/>
      </c>
      <c r="N569" s="25">
        <f>IF(OR($B569="",$E569="",$M569=""),"",IF($E569&lt;$M569,0,NETWORKDAYS($M569,$E569,calendar!$A$2:$A$80)))</f>
        <v/>
      </c>
      <c r="O569" s="25">
        <f>IF($B569="","",IF(AND($K569="Y",OR($D569="later",$J569="Y")),"Y","N"))</f>
        <v/>
      </c>
      <c r="P569" s="25">
        <f>IF(OR($B569="",$E569=""),"",$B569&amp;"_"&amp;$C569&amp;"_"&amp;$D569&amp;"_"&amp;TEXT($E569,"yyyy-mm-dd")&amp;".jpg")</f>
        <v/>
      </c>
      <c r="Q569" s="25">
        <f>IF($B569="","",IF(COUNTIF(campaigns!$A$2:$A$51,$B569)=0,"campaign_id not on campaigns; ",IF(AND($C569&lt;&gt;"",COUNTIFS(approvals!$A$2:$A$251,$B569,approvals!$B$2:$B$251,$C569)=0),"office not on this campaign (approvals tab); ",""))&amp;IF($E569="","taken date missing; ","")&amp;IF(AND($H569&lt;&gt;"",$H569&lt;&gt;$P569),"file name differs from the convention; ","")&amp;IF(AND($D569="placement",$O569="Y",COUNTIF(photos!$R$2:$R$701,$R569)&gt;1),"two usable placement photos: mark one N; ","")&amp;IF($K569&lt;&gt;"Y","info: not usable (a person, screen or whiteboard may show): never used, delete the file; ","")&amp;IF(AND($D569="placement",$J569&lt;&gt;"Y"),"info: not usable as a placement photo (no card); ","")&amp;IF(AND($D569="placement",N($N569)&gt;2),"info: placed after the first business day; ","")&amp;IF(AND($D569="later",$N569&lt;&gt;"",OR(N($N569)&lt;3,N($N569)&gt;5)),"info: later photo outside day 3 to 5; ",""))</f>
        <v/>
      </c>
      <c r="R569" s="25">
        <f>IF($B569="","",$B569&amp;"|"&amp;$C569&amp;"|"&amp;$D569&amp;"|"&amp;$O569)</f>
        <v/>
      </c>
      <c r="S569" s="25">
        <f>IF($B569="","",$R569&amp;"|"&amp;N($E569))</f>
        <v/>
      </c>
    </row>
    <row r="570">
      <c r="E570" s="9" t="n"/>
      <c r="F570" s="33" t="n"/>
      <c r="I570" s="9" t="n"/>
      <c r="M570" s="26">
        <f>IF($B570="","",IFERROR(IF(INDEX(campaigns!$BG$2:$BG$51,MATCH($B570,campaigns!$A$2:$A$51,0))="","",INDEX(campaigns!$BG$2:$BG$51,MATCH($B570,campaigns!$A$2:$A$51,0))),""))</f>
        <v/>
      </c>
      <c r="N570" s="25">
        <f>IF(OR($B570="",$E570="",$M570=""),"",IF($E570&lt;$M570,0,NETWORKDAYS($M570,$E570,calendar!$A$2:$A$80)))</f>
        <v/>
      </c>
      <c r="O570" s="25">
        <f>IF($B570="","",IF(AND($K570="Y",OR($D570="later",$J570="Y")),"Y","N"))</f>
        <v/>
      </c>
      <c r="P570" s="25">
        <f>IF(OR($B570="",$E570=""),"",$B570&amp;"_"&amp;$C570&amp;"_"&amp;$D570&amp;"_"&amp;TEXT($E570,"yyyy-mm-dd")&amp;".jpg")</f>
        <v/>
      </c>
      <c r="Q570" s="25">
        <f>IF($B570="","",IF(COUNTIF(campaigns!$A$2:$A$51,$B570)=0,"campaign_id not on campaigns; ",IF(AND($C570&lt;&gt;"",COUNTIFS(approvals!$A$2:$A$251,$B570,approvals!$B$2:$B$251,$C570)=0),"office not on this campaign (approvals tab); ",""))&amp;IF($E570="","taken date missing; ","")&amp;IF(AND($H570&lt;&gt;"",$H570&lt;&gt;$P570),"file name differs from the convention; ","")&amp;IF(AND($D570="placement",$O570="Y",COUNTIF(photos!$R$2:$R$701,$R570)&gt;1),"two usable placement photos: mark one N; ","")&amp;IF($K570&lt;&gt;"Y","info: not usable (a person, screen or whiteboard may show): never used, delete the file; ","")&amp;IF(AND($D570="placement",$J570&lt;&gt;"Y"),"info: not usable as a placement photo (no card); ","")&amp;IF(AND($D570="placement",N($N570)&gt;2),"info: placed after the first business day; ","")&amp;IF(AND($D570="later",$N570&lt;&gt;"",OR(N($N570)&lt;3,N($N570)&gt;5)),"info: later photo outside day 3 to 5; ",""))</f>
        <v/>
      </c>
      <c r="R570" s="25">
        <f>IF($B570="","",$B570&amp;"|"&amp;$C570&amp;"|"&amp;$D570&amp;"|"&amp;$O570)</f>
        <v/>
      </c>
      <c r="S570" s="25">
        <f>IF($B570="","",$R570&amp;"|"&amp;N($E570))</f>
        <v/>
      </c>
    </row>
    <row r="571">
      <c r="E571" s="9" t="n"/>
      <c r="F571" s="33" t="n"/>
      <c r="I571" s="9" t="n"/>
      <c r="M571" s="26">
        <f>IF($B571="","",IFERROR(IF(INDEX(campaigns!$BG$2:$BG$51,MATCH($B571,campaigns!$A$2:$A$51,0))="","",INDEX(campaigns!$BG$2:$BG$51,MATCH($B571,campaigns!$A$2:$A$51,0))),""))</f>
        <v/>
      </c>
      <c r="N571" s="25">
        <f>IF(OR($B571="",$E571="",$M571=""),"",IF($E571&lt;$M571,0,NETWORKDAYS($M571,$E571,calendar!$A$2:$A$80)))</f>
        <v/>
      </c>
      <c r="O571" s="25">
        <f>IF($B571="","",IF(AND($K571="Y",OR($D571="later",$J571="Y")),"Y","N"))</f>
        <v/>
      </c>
      <c r="P571" s="25">
        <f>IF(OR($B571="",$E571=""),"",$B571&amp;"_"&amp;$C571&amp;"_"&amp;$D571&amp;"_"&amp;TEXT($E571,"yyyy-mm-dd")&amp;".jpg")</f>
        <v/>
      </c>
      <c r="Q571" s="25">
        <f>IF($B571="","",IF(COUNTIF(campaigns!$A$2:$A$51,$B571)=0,"campaign_id not on campaigns; ",IF(AND($C571&lt;&gt;"",COUNTIFS(approvals!$A$2:$A$251,$B571,approvals!$B$2:$B$251,$C571)=0),"office not on this campaign (approvals tab); ",""))&amp;IF($E571="","taken date missing; ","")&amp;IF(AND($H571&lt;&gt;"",$H571&lt;&gt;$P571),"file name differs from the convention; ","")&amp;IF(AND($D571="placement",$O571="Y",COUNTIF(photos!$R$2:$R$701,$R571)&gt;1),"two usable placement photos: mark one N; ","")&amp;IF($K571&lt;&gt;"Y","info: not usable (a person, screen or whiteboard may show): never used, delete the file; ","")&amp;IF(AND($D571="placement",$J571&lt;&gt;"Y"),"info: not usable as a placement photo (no card); ","")&amp;IF(AND($D571="placement",N($N571)&gt;2),"info: placed after the first business day; ","")&amp;IF(AND($D571="later",$N571&lt;&gt;"",OR(N($N571)&lt;3,N($N571)&gt;5)),"info: later photo outside day 3 to 5; ",""))</f>
        <v/>
      </c>
      <c r="R571" s="25">
        <f>IF($B571="","",$B571&amp;"|"&amp;$C571&amp;"|"&amp;$D571&amp;"|"&amp;$O571)</f>
        <v/>
      </c>
      <c r="S571" s="25">
        <f>IF($B571="","",$R571&amp;"|"&amp;N($E571))</f>
        <v/>
      </c>
    </row>
    <row r="572">
      <c r="E572" s="9" t="n"/>
      <c r="F572" s="33" t="n"/>
      <c r="I572" s="9" t="n"/>
      <c r="M572" s="26">
        <f>IF($B572="","",IFERROR(IF(INDEX(campaigns!$BG$2:$BG$51,MATCH($B572,campaigns!$A$2:$A$51,0))="","",INDEX(campaigns!$BG$2:$BG$51,MATCH($B572,campaigns!$A$2:$A$51,0))),""))</f>
        <v/>
      </c>
      <c r="N572" s="25">
        <f>IF(OR($B572="",$E572="",$M572=""),"",IF($E572&lt;$M572,0,NETWORKDAYS($M572,$E572,calendar!$A$2:$A$80)))</f>
        <v/>
      </c>
      <c r="O572" s="25">
        <f>IF($B572="","",IF(AND($K572="Y",OR($D572="later",$J572="Y")),"Y","N"))</f>
        <v/>
      </c>
      <c r="P572" s="25">
        <f>IF(OR($B572="",$E572=""),"",$B572&amp;"_"&amp;$C572&amp;"_"&amp;$D572&amp;"_"&amp;TEXT($E572,"yyyy-mm-dd")&amp;".jpg")</f>
        <v/>
      </c>
      <c r="Q572" s="25">
        <f>IF($B572="","",IF(COUNTIF(campaigns!$A$2:$A$51,$B572)=0,"campaign_id not on campaigns; ",IF(AND($C572&lt;&gt;"",COUNTIFS(approvals!$A$2:$A$251,$B572,approvals!$B$2:$B$251,$C572)=0),"office not on this campaign (approvals tab); ",""))&amp;IF($E572="","taken date missing; ","")&amp;IF(AND($H572&lt;&gt;"",$H572&lt;&gt;$P572),"file name differs from the convention; ","")&amp;IF(AND($D572="placement",$O572="Y",COUNTIF(photos!$R$2:$R$701,$R572)&gt;1),"two usable placement photos: mark one N; ","")&amp;IF($K572&lt;&gt;"Y","info: not usable (a person, screen or whiteboard may show): never used, delete the file; ","")&amp;IF(AND($D572="placement",$J572&lt;&gt;"Y"),"info: not usable as a placement photo (no card); ","")&amp;IF(AND($D572="placement",N($N572)&gt;2),"info: placed after the first business day; ","")&amp;IF(AND($D572="later",$N572&lt;&gt;"",OR(N($N572)&lt;3,N($N572)&gt;5)),"info: later photo outside day 3 to 5; ",""))</f>
        <v/>
      </c>
      <c r="R572" s="25">
        <f>IF($B572="","",$B572&amp;"|"&amp;$C572&amp;"|"&amp;$D572&amp;"|"&amp;$O572)</f>
        <v/>
      </c>
      <c r="S572" s="25">
        <f>IF($B572="","",$R572&amp;"|"&amp;N($E572))</f>
        <v/>
      </c>
    </row>
    <row r="573">
      <c r="E573" s="9" t="n"/>
      <c r="F573" s="33" t="n"/>
      <c r="I573" s="9" t="n"/>
      <c r="M573" s="26">
        <f>IF($B573="","",IFERROR(IF(INDEX(campaigns!$BG$2:$BG$51,MATCH($B573,campaigns!$A$2:$A$51,0))="","",INDEX(campaigns!$BG$2:$BG$51,MATCH($B573,campaigns!$A$2:$A$51,0))),""))</f>
        <v/>
      </c>
      <c r="N573" s="25">
        <f>IF(OR($B573="",$E573="",$M573=""),"",IF($E573&lt;$M573,0,NETWORKDAYS($M573,$E573,calendar!$A$2:$A$80)))</f>
        <v/>
      </c>
      <c r="O573" s="25">
        <f>IF($B573="","",IF(AND($K573="Y",OR($D573="later",$J573="Y")),"Y","N"))</f>
        <v/>
      </c>
      <c r="P573" s="25">
        <f>IF(OR($B573="",$E573=""),"",$B573&amp;"_"&amp;$C573&amp;"_"&amp;$D573&amp;"_"&amp;TEXT($E573,"yyyy-mm-dd")&amp;".jpg")</f>
        <v/>
      </c>
      <c r="Q573" s="25">
        <f>IF($B573="","",IF(COUNTIF(campaigns!$A$2:$A$51,$B573)=0,"campaign_id not on campaigns; ",IF(AND($C573&lt;&gt;"",COUNTIFS(approvals!$A$2:$A$251,$B573,approvals!$B$2:$B$251,$C573)=0),"office not on this campaign (approvals tab); ",""))&amp;IF($E573="","taken date missing; ","")&amp;IF(AND($H573&lt;&gt;"",$H573&lt;&gt;$P573),"file name differs from the convention; ","")&amp;IF(AND($D573="placement",$O573="Y",COUNTIF(photos!$R$2:$R$701,$R573)&gt;1),"two usable placement photos: mark one N; ","")&amp;IF($K573&lt;&gt;"Y","info: not usable (a person, screen or whiteboard may show): never used, delete the file; ","")&amp;IF(AND($D573="placement",$J573&lt;&gt;"Y"),"info: not usable as a placement photo (no card); ","")&amp;IF(AND($D573="placement",N($N573)&gt;2),"info: placed after the first business day; ","")&amp;IF(AND($D573="later",$N573&lt;&gt;"",OR(N($N573)&lt;3,N($N573)&gt;5)),"info: later photo outside day 3 to 5; ",""))</f>
        <v/>
      </c>
      <c r="R573" s="25">
        <f>IF($B573="","",$B573&amp;"|"&amp;$C573&amp;"|"&amp;$D573&amp;"|"&amp;$O573)</f>
        <v/>
      </c>
      <c r="S573" s="25">
        <f>IF($B573="","",$R573&amp;"|"&amp;N($E573))</f>
        <v/>
      </c>
    </row>
    <row r="574">
      <c r="E574" s="9" t="n"/>
      <c r="F574" s="33" t="n"/>
      <c r="I574" s="9" t="n"/>
      <c r="M574" s="26">
        <f>IF($B574="","",IFERROR(IF(INDEX(campaigns!$BG$2:$BG$51,MATCH($B574,campaigns!$A$2:$A$51,0))="","",INDEX(campaigns!$BG$2:$BG$51,MATCH($B574,campaigns!$A$2:$A$51,0))),""))</f>
        <v/>
      </c>
      <c r="N574" s="25">
        <f>IF(OR($B574="",$E574="",$M574=""),"",IF($E574&lt;$M574,0,NETWORKDAYS($M574,$E574,calendar!$A$2:$A$80)))</f>
        <v/>
      </c>
      <c r="O574" s="25">
        <f>IF($B574="","",IF(AND($K574="Y",OR($D574="later",$J574="Y")),"Y","N"))</f>
        <v/>
      </c>
      <c r="P574" s="25">
        <f>IF(OR($B574="",$E574=""),"",$B574&amp;"_"&amp;$C574&amp;"_"&amp;$D574&amp;"_"&amp;TEXT($E574,"yyyy-mm-dd")&amp;".jpg")</f>
        <v/>
      </c>
      <c r="Q574" s="25">
        <f>IF($B574="","",IF(COUNTIF(campaigns!$A$2:$A$51,$B574)=0,"campaign_id not on campaigns; ",IF(AND($C574&lt;&gt;"",COUNTIFS(approvals!$A$2:$A$251,$B574,approvals!$B$2:$B$251,$C574)=0),"office not on this campaign (approvals tab); ",""))&amp;IF($E574="","taken date missing; ","")&amp;IF(AND($H574&lt;&gt;"",$H574&lt;&gt;$P574),"file name differs from the convention; ","")&amp;IF(AND($D574="placement",$O574="Y",COUNTIF(photos!$R$2:$R$701,$R574)&gt;1),"two usable placement photos: mark one N; ","")&amp;IF($K574&lt;&gt;"Y","info: not usable (a person, screen or whiteboard may show): never used, delete the file; ","")&amp;IF(AND($D574="placement",$J574&lt;&gt;"Y"),"info: not usable as a placement photo (no card); ","")&amp;IF(AND($D574="placement",N($N574)&gt;2),"info: placed after the first business day; ","")&amp;IF(AND($D574="later",$N574&lt;&gt;"",OR(N($N574)&lt;3,N($N574)&gt;5)),"info: later photo outside day 3 to 5; ",""))</f>
        <v/>
      </c>
      <c r="R574" s="25">
        <f>IF($B574="","",$B574&amp;"|"&amp;$C574&amp;"|"&amp;$D574&amp;"|"&amp;$O574)</f>
        <v/>
      </c>
      <c r="S574" s="25">
        <f>IF($B574="","",$R574&amp;"|"&amp;N($E574))</f>
        <v/>
      </c>
    </row>
    <row r="575">
      <c r="E575" s="9" t="n"/>
      <c r="F575" s="33" t="n"/>
      <c r="I575" s="9" t="n"/>
      <c r="M575" s="26">
        <f>IF($B575="","",IFERROR(IF(INDEX(campaigns!$BG$2:$BG$51,MATCH($B575,campaigns!$A$2:$A$51,0))="","",INDEX(campaigns!$BG$2:$BG$51,MATCH($B575,campaigns!$A$2:$A$51,0))),""))</f>
        <v/>
      </c>
      <c r="N575" s="25">
        <f>IF(OR($B575="",$E575="",$M575=""),"",IF($E575&lt;$M575,0,NETWORKDAYS($M575,$E575,calendar!$A$2:$A$80)))</f>
        <v/>
      </c>
      <c r="O575" s="25">
        <f>IF($B575="","",IF(AND($K575="Y",OR($D575="later",$J575="Y")),"Y","N"))</f>
        <v/>
      </c>
      <c r="P575" s="25">
        <f>IF(OR($B575="",$E575=""),"",$B575&amp;"_"&amp;$C575&amp;"_"&amp;$D575&amp;"_"&amp;TEXT($E575,"yyyy-mm-dd")&amp;".jpg")</f>
        <v/>
      </c>
      <c r="Q575" s="25">
        <f>IF($B575="","",IF(COUNTIF(campaigns!$A$2:$A$51,$B575)=0,"campaign_id not on campaigns; ",IF(AND($C575&lt;&gt;"",COUNTIFS(approvals!$A$2:$A$251,$B575,approvals!$B$2:$B$251,$C575)=0),"office not on this campaign (approvals tab); ",""))&amp;IF($E575="","taken date missing; ","")&amp;IF(AND($H575&lt;&gt;"",$H575&lt;&gt;$P575),"file name differs from the convention; ","")&amp;IF(AND($D575="placement",$O575="Y",COUNTIF(photos!$R$2:$R$701,$R575)&gt;1),"two usable placement photos: mark one N; ","")&amp;IF($K575&lt;&gt;"Y","info: not usable (a person, screen or whiteboard may show): never used, delete the file; ","")&amp;IF(AND($D575="placement",$J575&lt;&gt;"Y"),"info: not usable as a placement photo (no card); ","")&amp;IF(AND($D575="placement",N($N575)&gt;2),"info: placed after the first business day; ","")&amp;IF(AND($D575="later",$N575&lt;&gt;"",OR(N($N575)&lt;3,N($N575)&gt;5)),"info: later photo outside day 3 to 5; ",""))</f>
        <v/>
      </c>
      <c r="R575" s="25">
        <f>IF($B575="","",$B575&amp;"|"&amp;$C575&amp;"|"&amp;$D575&amp;"|"&amp;$O575)</f>
        <v/>
      </c>
      <c r="S575" s="25">
        <f>IF($B575="","",$R575&amp;"|"&amp;N($E575))</f>
        <v/>
      </c>
    </row>
    <row r="576">
      <c r="E576" s="9" t="n"/>
      <c r="F576" s="33" t="n"/>
      <c r="I576" s="9" t="n"/>
      <c r="M576" s="26">
        <f>IF($B576="","",IFERROR(IF(INDEX(campaigns!$BG$2:$BG$51,MATCH($B576,campaigns!$A$2:$A$51,0))="","",INDEX(campaigns!$BG$2:$BG$51,MATCH($B576,campaigns!$A$2:$A$51,0))),""))</f>
        <v/>
      </c>
      <c r="N576" s="25">
        <f>IF(OR($B576="",$E576="",$M576=""),"",IF($E576&lt;$M576,0,NETWORKDAYS($M576,$E576,calendar!$A$2:$A$80)))</f>
        <v/>
      </c>
      <c r="O576" s="25">
        <f>IF($B576="","",IF(AND($K576="Y",OR($D576="later",$J576="Y")),"Y","N"))</f>
        <v/>
      </c>
      <c r="P576" s="25">
        <f>IF(OR($B576="",$E576=""),"",$B576&amp;"_"&amp;$C576&amp;"_"&amp;$D576&amp;"_"&amp;TEXT($E576,"yyyy-mm-dd")&amp;".jpg")</f>
        <v/>
      </c>
      <c r="Q576" s="25">
        <f>IF($B576="","",IF(COUNTIF(campaigns!$A$2:$A$51,$B576)=0,"campaign_id not on campaigns; ",IF(AND($C576&lt;&gt;"",COUNTIFS(approvals!$A$2:$A$251,$B576,approvals!$B$2:$B$251,$C576)=0),"office not on this campaign (approvals tab); ",""))&amp;IF($E576="","taken date missing; ","")&amp;IF(AND($H576&lt;&gt;"",$H576&lt;&gt;$P576),"file name differs from the convention; ","")&amp;IF(AND($D576="placement",$O576="Y",COUNTIF(photos!$R$2:$R$701,$R576)&gt;1),"two usable placement photos: mark one N; ","")&amp;IF($K576&lt;&gt;"Y","info: not usable (a person, screen or whiteboard may show): never used, delete the file; ","")&amp;IF(AND($D576="placement",$J576&lt;&gt;"Y"),"info: not usable as a placement photo (no card); ","")&amp;IF(AND($D576="placement",N($N576)&gt;2),"info: placed after the first business day; ","")&amp;IF(AND($D576="later",$N576&lt;&gt;"",OR(N($N576)&lt;3,N($N576)&gt;5)),"info: later photo outside day 3 to 5; ",""))</f>
        <v/>
      </c>
      <c r="R576" s="25">
        <f>IF($B576="","",$B576&amp;"|"&amp;$C576&amp;"|"&amp;$D576&amp;"|"&amp;$O576)</f>
        <v/>
      </c>
      <c r="S576" s="25">
        <f>IF($B576="","",$R576&amp;"|"&amp;N($E576))</f>
        <v/>
      </c>
    </row>
    <row r="577">
      <c r="E577" s="9" t="n"/>
      <c r="F577" s="33" t="n"/>
      <c r="I577" s="9" t="n"/>
      <c r="M577" s="26">
        <f>IF($B577="","",IFERROR(IF(INDEX(campaigns!$BG$2:$BG$51,MATCH($B577,campaigns!$A$2:$A$51,0))="","",INDEX(campaigns!$BG$2:$BG$51,MATCH($B577,campaigns!$A$2:$A$51,0))),""))</f>
        <v/>
      </c>
      <c r="N577" s="25">
        <f>IF(OR($B577="",$E577="",$M577=""),"",IF($E577&lt;$M577,0,NETWORKDAYS($M577,$E577,calendar!$A$2:$A$80)))</f>
        <v/>
      </c>
      <c r="O577" s="25">
        <f>IF($B577="","",IF(AND($K577="Y",OR($D577="later",$J577="Y")),"Y","N"))</f>
        <v/>
      </c>
      <c r="P577" s="25">
        <f>IF(OR($B577="",$E577=""),"",$B577&amp;"_"&amp;$C577&amp;"_"&amp;$D577&amp;"_"&amp;TEXT($E577,"yyyy-mm-dd")&amp;".jpg")</f>
        <v/>
      </c>
      <c r="Q577" s="25">
        <f>IF($B577="","",IF(COUNTIF(campaigns!$A$2:$A$51,$B577)=0,"campaign_id not on campaigns; ",IF(AND($C577&lt;&gt;"",COUNTIFS(approvals!$A$2:$A$251,$B577,approvals!$B$2:$B$251,$C577)=0),"office not on this campaign (approvals tab); ",""))&amp;IF($E577="","taken date missing; ","")&amp;IF(AND($H577&lt;&gt;"",$H577&lt;&gt;$P577),"file name differs from the convention; ","")&amp;IF(AND($D577="placement",$O577="Y",COUNTIF(photos!$R$2:$R$701,$R577)&gt;1),"two usable placement photos: mark one N; ","")&amp;IF($K577&lt;&gt;"Y","info: not usable (a person, screen or whiteboard may show): never used, delete the file; ","")&amp;IF(AND($D577="placement",$J577&lt;&gt;"Y"),"info: not usable as a placement photo (no card); ","")&amp;IF(AND($D577="placement",N($N577)&gt;2),"info: placed after the first business day; ","")&amp;IF(AND($D577="later",$N577&lt;&gt;"",OR(N($N577)&lt;3,N($N577)&gt;5)),"info: later photo outside day 3 to 5; ",""))</f>
        <v/>
      </c>
      <c r="R577" s="25">
        <f>IF($B577="","",$B577&amp;"|"&amp;$C577&amp;"|"&amp;$D577&amp;"|"&amp;$O577)</f>
        <v/>
      </c>
      <c r="S577" s="25">
        <f>IF($B577="","",$R577&amp;"|"&amp;N($E577))</f>
        <v/>
      </c>
    </row>
    <row r="578">
      <c r="E578" s="9" t="n"/>
      <c r="F578" s="33" t="n"/>
      <c r="I578" s="9" t="n"/>
      <c r="M578" s="26">
        <f>IF($B578="","",IFERROR(IF(INDEX(campaigns!$BG$2:$BG$51,MATCH($B578,campaigns!$A$2:$A$51,0))="","",INDEX(campaigns!$BG$2:$BG$51,MATCH($B578,campaigns!$A$2:$A$51,0))),""))</f>
        <v/>
      </c>
      <c r="N578" s="25">
        <f>IF(OR($B578="",$E578="",$M578=""),"",IF($E578&lt;$M578,0,NETWORKDAYS($M578,$E578,calendar!$A$2:$A$80)))</f>
        <v/>
      </c>
      <c r="O578" s="25">
        <f>IF($B578="","",IF(AND($K578="Y",OR($D578="later",$J578="Y")),"Y","N"))</f>
        <v/>
      </c>
      <c r="P578" s="25">
        <f>IF(OR($B578="",$E578=""),"",$B578&amp;"_"&amp;$C578&amp;"_"&amp;$D578&amp;"_"&amp;TEXT($E578,"yyyy-mm-dd")&amp;".jpg")</f>
        <v/>
      </c>
      <c r="Q578" s="25">
        <f>IF($B578="","",IF(COUNTIF(campaigns!$A$2:$A$51,$B578)=0,"campaign_id not on campaigns; ",IF(AND($C578&lt;&gt;"",COUNTIFS(approvals!$A$2:$A$251,$B578,approvals!$B$2:$B$251,$C578)=0),"office not on this campaign (approvals tab); ",""))&amp;IF($E578="","taken date missing; ","")&amp;IF(AND($H578&lt;&gt;"",$H578&lt;&gt;$P578),"file name differs from the convention; ","")&amp;IF(AND($D578="placement",$O578="Y",COUNTIF(photos!$R$2:$R$701,$R578)&gt;1),"two usable placement photos: mark one N; ","")&amp;IF($K578&lt;&gt;"Y","info: not usable (a person, screen or whiteboard may show): never used, delete the file; ","")&amp;IF(AND($D578="placement",$J578&lt;&gt;"Y"),"info: not usable as a placement photo (no card); ","")&amp;IF(AND($D578="placement",N($N578)&gt;2),"info: placed after the first business day; ","")&amp;IF(AND($D578="later",$N578&lt;&gt;"",OR(N($N578)&lt;3,N($N578)&gt;5)),"info: later photo outside day 3 to 5; ",""))</f>
        <v/>
      </c>
      <c r="R578" s="25">
        <f>IF($B578="","",$B578&amp;"|"&amp;$C578&amp;"|"&amp;$D578&amp;"|"&amp;$O578)</f>
        <v/>
      </c>
      <c r="S578" s="25">
        <f>IF($B578="","",$R578&amp;"|"&amp;N($E578))</f>
        <v/>
      </c>
    </row>
    <row r="579">
      <c r="E579" s="9" t="n"/>
      <c r="F579" s="33" t="n"/>
      <c r="I579" s="9" t="n"/>
      <c r="M579" s="26">
        <f>IF($B579="","",IFERROR(IF(INDEX(campaigns!$BG$2:$BG$51,MATCH($B579,campaigns!$A$2:$A$51,0))="","",INDEX(campaigns!$BG$2:$BG$51,MATCH($B579,campaigns!$A$2:$A$51,0))),""))</f>
        <v/>
      </c>
      <c r="N579" s="25">
        <f>IF(OR($B579="",$E579="",$M579=""),"",IF($E579&lt;$M579,0,NETWORKDAYS($M579,$E579,calendar!$A$2:$A$80)))</f>
        <v/>
      </c>
      <c r="O579" s="25">
        <f>IF($B579="","",IF(AND($K579="Y",OR($D579="later",$J579="Y")),"Y","N"))</f>
        <v/>
      </c>
      <c r="P579" s="25">
        <f>IF(OR($B579="",$E579=""),"",$B579&amp;"_"&amp;$C579&amp;"_"&amp;$D579&amp;"_"&amp;TEXT($E579,"yyyy-mm-dd")&amp;".jpg")</f>
        <v/>
      </c>
      <c r="Q579" s="25">
        <f>IF($B579="","",IF(COUNTIF(campaigns!$A$2:$A$51,$B579)=0,"campaign_id not on campaigns; ",IF(AND($C579&lt;&gt;"",COUNTIFS(approvals!$A$2:$A$251,$B579,approvals!$B$2:$B$251,$C579)=0),"office not on this campaign (approvals tab); ",""))&amp;IF($E579="","taken date missing; ","")&amp;IF(AND($H579&lt;&gt;"",$H579&lt;&gt;$P579),"file name differs from the convention; ","")&amp;IF(AND($D579="placement",$O579="Y",COUNTIF(photos!$R$2:$R$701,$R579)&gt;1),"two usable placement photos: mark one N; ","")&amp;IF($K579&lt;&gt;"Y","info: not usable (a person, screen or whiteboard may show): never used, delete the file; ","")&amp;IF(AND($D579="placement",$J579&lt;&gt;"Y"),"info: not usable as a placement photo (no card); ","")&amp;IF(AND($D579="placement",N($N579)&gt;2),"info: placed after the first business day; ","")&amp;IF(AND($D579="later",$N579&lt;&gt;"",OR(N($N579)&lt;3,N($N579)&gt;5)),"info: later photo outside day 3 to 5; ",""))</f>
        <v/>
      </c>
      <c r="R579" s="25">
        <f>IF($B579="","",$B579&amp;"|"&amp;$C579&amp;"|"&amp;$D579&amp;"|"&amp;$O579)</f>
        <v/>
      </c>
      <c r="S579" s="25">
        <f>IF($B579="","",$R579&amp;"|"&amp;N($E579))</f>
        <v/>
      </c>
    </row>
    <row r="580">
      <c r="E580" s="9" t="n"/>
      <c r="F580" s="33" t="n"/>
      <c r="I580" s="9" t="n"/>
      <c r="M580" s="26">
        <f>IF($B580="","",IFERROR(IF(INDEX(campaigns!$BG$2:$BG$51,MATCH($B580,campaigns!$A$2:$A$51,0))="","",INDEX(campaigns!$BG$2:$BG$51,MATCH($B580,campaigns!$A$2:$A$51,0))),""))</f>
        <v/>
      </c>
      <c r="N580" s="25">
        <f>IF(OR($B580="",$E580="",$M580=""),"",IF($E580&lt;$M580,0,NETWORKDAYS($M580,$E580,calendar!$A$2:$A$80)))</f>
        <v/>
      </c>
      <c r="O580" s="25">
        <f>IF($B580="","",IF(AND($K580="Y",OR($D580="later",$J580="Y")),"Y","N"))</f>
        <v/>
      </c>
      <c r="P580" s="25">
        <f>IF(OR($B580="",$E580=""),"",$B580&amp;"_"&amp;$C580&amp;"_"&amp;$D580&amp;"_"&amp;TEXT($E580,"yyyy-mm-dd")&amp;".jpg")</f>
        <v/>
      </c>
      <c r="Q580" s="25">
        <f>IF($B580="","",IF(COUNTIF(campaigns!$A$2:$A$51,$B580)=0,"campaign_id not on campaigns; ",IF(AND($C580&lt;&gt;"",COUNTIFS(approvals!$A$2:$A$251,$B580,approvals!$B$2:$B$251,$C580)=0),"office not on this campaign (approvals tab); ",""))&amp;IF($E580="","taken date missing; ","")&amp;IF(AND($H580&lt;&gt;"",$H580&lt;&gt;$P580),"file name differs from the convention; ","")&amp;IF(AND($D580="placement",$O580="Y",COUNTIF(photos!$R$2:$R$701,$R580)&gt;1),"two usable placement photos: mark one N; ","")&amp;IF($K580&lt;&gt;"Y","info: not usable (a person, screen or whiteboard may show): never used, delete the file; ","")&amp;IF(AND($D580="placement",$J580&lt;&gt;"Y"),"info: not usable as a placement photo (no card); ","")&amp;IF(AND($D580="placement",N($N580)&gt;2),"info: placed after the first business day; ","")&amp;IF(AND($D580="later",$N580&lt;&gt;"",OR(N($N580)&lt;3,N($N580)&gt;5)),"info: later photo outside day 3 to 5; ",""))</f>
        <v/>
      </c>
      <c r="R580" s="25">
        <f>IF($B580="","",$B580&amp;"|"&amp;$C580&amp;"|"&amp;$D580&amp;"|"&amp;$O580)</f>
        <v/>
      </c>
      <c r="S580" s="25">
        <f>IF($B580="","",$R580&amp;"|"&amp;N($E580))</f>
        <v/>
      </c>
    </row>
    <row r="581">
      <c r="E581" s="9" t="n"/>
      <c r="F581" s="33" t="n"/>
      <c r="I581" s="9" t="n"/>
      <c r="M581" s="26">
        <f>IF($B581="","",IFERROR(IF(INDEX(campaigns!$BG$2:$BG$51,MATCH($B581,campaigns!$A$2:$A$51,0))="","",INDEX(campaigns!$BG$2:$BG$51,MATCH($B581,campaigns!$A$2:$A$51,0))),""))</f>
        <v/>
      </c>
      <c r="N581" s="25">
        <f>IF(OR($B581="",$E581="",$M581=""),"",IF($E581&lt;$M581,0,NETWORKDAYS($M581,$E581,calendar!$A$2:$A$80)))</f>
        <v/>
      </c>
      <c r="O581" s="25">
        <f>IF($B581="","",IF(AND($K581="Y",OR($D581="later",$J581="Y")),"Y","N"))</f>
        <v/>
      </c>
      <c r="P581" s="25">
        <f>IF(OR($B581="",$E581=""),"",$B581&amp;"_"&amp;$C581&amp;"_"&amp;$D581&amp;"_"&amp;TEXT($E581,"yyyy-mm-dd")&amp;".jpg")</f>
        <v/>
      </c>
      <c r="Q581" s="25">
        <f>IF($B581="","",IF(COUNTIF(campaigns!$A$2:$A$51,$B581)=0,"campaign_id not on campaigns; ",IF(AND($C581&lt;&gt;"",COUNTIFS(approvals!$A$2:$A$251,$B581,approvals!$B$2:$B$251,$C581)=0),"office not on this campaign (approvals tab); ",""))&amp;IF($E581="","taken date missing; ","")&amp;IF(AND($H581&lt;&gt;"",$H581&lt;&gt;$P581),"file name differs from the convention; ","")&amp;IF(AND($D581="placement",$O581="Y",COUNTIF(photos!$R$2:$R$701,$R581)&gt;1),"two usable placement photos: mark one N; ","")&amp;IF($K581&lt;&gt;"Y","info: not usable (a person, screen or whiteboard may show): never used, delete the file; ","")&amp;IF(AND($D581="placement",$J581&lt;&gt;"Y"),"info: not usable as a placement photo (no card); ","")&amp;IF(AND($D581="placement",N($N581)&gt;2),"info: placed after the first business day; ","")&amp;IF(AND($D581="later",$N581&lt;&gt;"",OR(N($N581)&lt;3,N($N581)&gt;5)),"info: later photo outside day 3 to 5; ",""))</f>
        <v/>
      </c>
      <c r="R581" s="25">
        <f>IF($B581="","",$B581&amp;"|"&amp;$C581&amp;"|"&amp;$D581&amp;"|"&amp;$O581)</f>
        <v/>
      </c>
      <c r="S581" s="25">
        <f>IF($B581="","",$R581&amp;"|"&amp;N($E581))</f>
        <v/>
      </c>
    </row>
    <row r="582">
      <c r="E582" s="9" t="n"/>
      <c r="F582" s="33" t="n"/>
      <c r="I582" s="9" t="n"/>
      <c r="M582" s="26">
        <f>IF($B582="","",IFERROR(IF(INDEX(campaigns!$BG$2:$BG$51,MATCH($B582,campaigns!$A$2:$A$51,0))="","",INDEX(campaigns!$BG$2:$BG$51,MATCH($B582,campaigns!$A$2:$A$51,0))),""))</f>
        <v/>
      </c>
      <c r="N582" s="25">
        <f>IF(OR($B582="",$E582="",$M582=""),"",IF($E582&lt;$M582,0,NETWORKDAYS($M582,$E582,calendar!$A$2:$A$80)))</f>
        <v/>
      </c>
      <c r="O582" s="25">
        <f>IF($B582="","",IF(AND($K582="Y",OR($D582="later",$J582="Y")),"Y","N"))</f>
        <v/>
      </c>
      <c r="P582" s="25">
        <f>IF(OR($B582="",$E582=""),"",$B582&amp;"_"&amp;$C582&amp;"_"&amp;$D582&amp;"_"&amp;TEXT($E582,"yyyy-mm-dd")&amp;".jpg")</f>
        <v/>
      </c>
      <c r="Q582" s="25">
        <f>IF($B582="","",IF(COUNTIF(campaigns!$A$2:$A$51,$B582)=0,"campaign_id not on campaigns; ",IF(AND($C582&lt;&gt;"",COUNTIFS(approvals!$A$2:$A$251,$B582,approvals!$B$2:$B$251,$C582)=0),"office not on this campaign (approvals tab); ",""))&amp;IF($E582="","taken date missing; ","")&amp;IF(AND($H582&lt;&gt;"",$H582&lt;&gt;$P582),"file name differs from the convention; ","")&amp;IF(AND($D582="placement",$O582="Y",COUNTIF(photos!$R$2:$R$701,$R582)&gt;1),"two usable placement photos: mark one N; ","")&amp;IF($K582&lt;&gt;"Y","info: not usable (a person, screen or whiteboard may show): never used, delete the file; ","")&amp;IF(AND($D582="placement",$J582&lt;&gt;"Y"),"info: not usable as a placement photo (no card); ","")&amp;IF(AND($D582="placement",N($N582)&gt;2),"info: placed after the first business day; ","")&amp;IF(AND($D582="later",$N582&lt;&gt;"",OR(N($N582)&lt;3,N($N582)&gt;5)),"info: later photo outside day 3 to 5; ",""))</f>
        <v/>
      </c>
      <c r="R582" s="25">
        <f>IF($B582="","",$B582&amp;"|"&amp;$C582&amp;"|"&amp;$D582&amp;"|"&amp;$O582)</f>
        <v/>
      </c>
      <c r="S582" s="25">
        <f>IF($B582="","",$R582&amp;"|"&amp;N($E582))</f>
        <v/>
      </c>
    </row>
    <row r="583">
      <c r="E583" s="9" t="n"/>
      <c r="F583" s="33" t="n"/>
      <c r="I583" s="9" t="n"/>
      <c r="M583" s="26">
        <f>IF($B583="","",IFERROR(IF(INDEX(campaigns!$BG$2:$BG$51,MATCH($B583,campaigns!$A$2:$A$51,0))="","",INDEX(campaigns!$BG$2:$BG$51,MATCH($B583,campaigns!$A$2:$A$51,0))),""))</f>
        <v/>
      </c>
      <c r="N583" s="25">
        <f>IF(OR($B583="",$E583="",$M583=""),"",IF($E583&lt;$M583,0,NETWORKDAYS($M583,$E583,calendar!$A$2:$A$80)))</f>
        <v/>
      </c>
      <c r="O583" s="25">
        <f>IF($B583="","",IF(AND($K583="Y",OR($D583="later",$J583="Y")),"Y","N"))</f>
        <v/>
      </c>
      <c r="P583" s="25">
        <f>IF(OR($B583="",$E583=""),"",$B583&amp;"_"&amp;$C583&amp;"_"&amp;$D583&amp;"_"&amp;TEXT($E583,"yyyy-mm-dd")&amp;".jpg")</f>
        <v/>
      </c>
      <c r="Q583" s="25">
        <f>IF($B583="","",IF(COUNTIF(campaigns!$A$2:$A$51,$B583)=0,"campaign_id not on campaigns; ",IF(AND($C583&lt;&gt;"",COUNTIFS(approvals!$A$2:$A$251,$B583,approvals!$B$2:$B$251,$C583)=0),"office not on this campaign (approvals tab); ",""))&amp;IF($E583="","taken date missing; ","")&amp;IF(AND($H583&lt;&gt;"",$H583&lt;&gt;$P583),"file name differs from the convention; ","")&amp;IF(AND($D583="placement",$O583="Y",COUNTIF(photos!$R$2:$R$701,$R583)&gt;1),"two usable placement photos: mark one N; ","")&amp;IF($K583&lt;&gt;"Y","info: not usable (a person, screen or whiteboard may show): never used, delete the file; ","")&amp;IF(AND($D583="placement",$J583&lt;&gt;"Y"),"info: not usable as a placement photo (no card); ","")&amp;IF(AND($D583="placement",N($N583)&gt;2),"info: placed after the first business day; ","")&amp;IF(AND($D583="later",$N583&lt;&gt;"",OR(N($N583)&lt;3,N($N583)&gt;5)),"info: later photo outside day 3 to 5; ",""))</f>
        <v/>
      </c>
      <c r="R583" s="25">
        <f>IF($B583="","",$B583&amp;"|"&amp;$C583&amp;"|"&amp;$D583&amp;"|"&amp;$O583)</f>
        <v/>
      </c>
      <c r="S583" s="25">
        <f>IF($B583="","",$R583&amp;"|"&amp;N($E583))</f>
        <v/>
      </c>
    </row>
    <row r="584">
      <c r="E584" s="9" t="n"/>
      <c r="F584" s="33" t="n"/>
      <c r="I584" s="9" t="n"/>
      <c r="M584" s="26">
        <f>IF($B584="","",IFERROR(IF(INDEX(campaigns!$BG$2:$BG$51,MATCH($B584,campaigns!$A$2:$A$51,0))="","",INDEX(campaigns!$BG$2:$BG$51,MATCH($B584,campaigns!$A$2:$A$51,0))),""))</f>
        <v/>
      </c>
      <c r="N584" s="25">
        <f>IF(OR($B584="",$E584="",$M584=""),"",IF($E584&lt;$M584,0,NETWORKDAYS($M584,$E584,calendar!$A$2:$A$80)))</f>
        <v/>
      </c>
      <c r="O584" s="25">
        <f>IF($B584="","",IF(AND($K584="Y",OR($D584="later",$J584="Y")),"Y","N"))</f>
        <v/>
      </c>
      <c r="P584" s="25">
        <f>IF(OR($B584="",$E584=""),"",$B584&amp;"_"&amp;$C584&amp;"_"&amp;$D584&amp;"_"&amp;TEXT($E584,"yyyy-mm-dd")&amp;".jpg")</f>
        <v/>
      </c>
      <c r="Q584" s="25">
        <f>IF($B584="","",IF(COUNTIF(campaigns!$A$2:$A$51,$B584)=0,"campaign_id not on campaigns; ",IF(AND($C584&lt;&gt;"",COUNTIFS(approvals!$A$2:$A$251,$B584,approvals!$B$2:$B$251,$C584)=0),"office not on this campaign (approvals tab); ",""))&amp;IF($E584="","taken date missing; ","")&amp;IF(AND($H584&lt;&gt;"",$H584&lt;&gt;$P584),"file name differs from the convention; ","")&amp;IF(AND($D584="placement",$O584="Y",COUNTIF(photos!$R$2:$R$701,$R584)&gt;1),"two usable placement photos: mark one N; ","")&amp;IF($K584&lt;&gt;"Y","info: not usable (a person, screen or whiteboard may show): never used, delete the file; ","")&amp;IF(AND($D584="placement",$J584&lt;&gt;"Y"),"info: not usable as a placement photo (no card); ","")&amp;IF(AND($D584="placement",N($N584)&gt;2),"info: placed after the first business day; ","")&amp;IF(AND($D584="later",$N584&lt;&gt;"",OR(N($N584)&lt;3,N($N584)&gt;5)),"info: later photo outside day 3 to 5; ",""))</f>
        <v/>
      </c>
      <c r="R584" s="25">
        <f>IF($B584="","",$B584&amp;"|"&amp;$C584&amp;"|"&amp;$D584&amp;"|"&amp;$O584)</f>
        <v/>
      </c>
      <c r="S584" s="25">
        <f>IF($B584="","",$R584&amp;"|"&amp;N($E584))</f>
        <v/>
      </c>
    </row>
    <row r="585">
      <c r="E585" s="9" t="n"/>
      <c r="F585" s="33" t="n"/>
      <c r="I585" s="9" t="n"/>
      <c r="M585" s="26">
        <f>IF($B585="","",IFERROR(IF(INDEX(campaigns!$BG$2:$BG$51,MATCH($B585,campaigns!$A$2:$A$51,0))="","",INDEX(campaigns!$BG$2:$BG$51,MATCH($B585,campaigns!$A$2:$A$51,0))),""))</f>
        <v/>
      </c>
      <c r="N585" s="25">
        <f>IF(OR($B585="",$E585="",$M585=""),"",IF($E585&lt;$M585,0,NETWORKDAYS($M585,$E585,calendar!$A$2:$A$80)))</f>
        <v/>
      </c>
      <c r="O585" s="25">
        <f>IF($B585="","",IF(AND($K585="Y",OR($D585="later",$J585="Y")),"Y","N"))</f>
        <v/>
      </c>
      <c r="P585" s="25">
        <f>IF(OR($B585="",$E585=""),"",$B585&amp;"_"&amp;$C585&amp;"_"&amp;$D585&amp;"_"&amp;TEXT($E585,"yyyy-mm-dd")&amp;".jpg")</f>
        <v/>
      </c>
      <c r="Q585" s="25">
        <f>IF($B585="","",IF(COUNTIF(campaigns!$A$2:$A$51,$B585)=0,"campaign_id not on campaigns; ",IF(AND($C585&lt;&gt;"",COUNTIFS(approvals!$A$2:$A$251,$B585,approvals!$B$2:$B$251,$C585)=0),"office not on this campaign (approvals tab); ",""))&amp;IF($E585="","taken date missing; ","")&amp;IF(AND($H585&lt;&gt;"",$H585&lt;&gt;$P585),"file name differs from the convention; ","")&amp;IF(AND($D585="placement",$O585="Y",COUNTIF(photos!$R$2:$R$701,$R585)&gt;1),"two usable placement photos: mark one N; ","")&amp;IF($K585&lt;&gt;"Y","info: not usable (a person, screen or whiteboard may show): never used, delete the file; ","")&amp;IF(AND($D585="placement",$J585&lt;&gt;"Y"),"info: not usable as a placement photo (no card); ","")&amp;IF(AND($D585="placement",N($N585)&gt;2),"info: placed after the first business day; ","")&amp;IF(AND($D585="later",$N585&lt;&gt;"",OR(N($N585)&lt;3,N($N585)&gt;5)),"info: later photo outside day 3 to 5; ",""))</f>
        <v/>
      </c>
      <c r="R585" s="25">
        <f>IF($B585="","",$B585&amp;"|"&amp;$C585&amp;"|"&amp;$D585&amp;"|"&amp;$O585)</f>
        <v/>
      </c>
      <c r="S585" s="25">
        <f>IF($B585="","",$R585&amp;"|"&amp;N($E585))</f>
        <v/>
      </c>
    </row>
    <row r="586">
      <c r="E586" s="9" t="n"/>
      <c r="F586" s="33" t="n"/>
      <c r="I586" s="9" t="n"/>
      <c r="M586" s="26">
        <f>IF($B586="","",IFERROR(IF(INDEX(campaigns!$BG$2:$BG$51,MATCH($B586,campaigns!$A$2:$A$51,0))="","",INDEX(campaigns!$BG$2:$BG$51,MATCH($B586,campaigns!$A$2:$A$51,0))),""))</f>
        <v/>
      </c>
      <c r="N586" s="25">
        <f>IF(OR($B586="",$E586="",$M586=""),"",IF($E586&lt;$M586,0,NETWORKDAYS($M586,$E586,calendar!$A$2:$A$80)))</f>
        <v/>
      </c>
      <c r="O586" s="25">
        <f>IF($B586="","",IF(AND($K586="Y",OR($D586="later",$J586="Y")),"Y","N"))</f>
        <v/>
      </c>
      <c r="P586" s="25">
        <f>IF(OR($B586="",$E586=""),"",$B586&amp;"_"&amp;$C586&amp;"_"&amp;$D586&amp;"_"&amp;TEXT($E586,"yyyy-mm-dd")&amp;".jpg")</f>
        <v/>
      </c>
      <c r="Q586" s="25">
        <f>IF($B586="","",IF(COUNTIF(campaigns!$A$2:$A$51,$B586)=0,"campaign_id not on campaigns; ",IF(AND($C586&lt;&gt;"",COUNTIFS(approvals!$A$2:$A$251,$B586,approvals!$B$2:$B$251,$C586)=0),"office not on this campaign (approvals tab); ",""))&amp;IF($E586="","taken date missing; ","")&amp;IF(AND($H586&lt;&gt;"",$H586&lt;&gt;$P586),"file name differs from the convention; ","")&amp;IF(AND($D586="placement",$O586="Y",COUNTIF(photos!$R$2:$R$701,$R586)&gt;1),"two usable placement photos: mark one N; ","")&amp;IF($K586&lt;&gt;"Y","info: not usable (a person, screen or whiteboard may show): never used, delete the file; ","")&amp;IF(AND($D586="placement",$J586&lt;&gt;"Y"),"info: not usable as a placement photo (no card); ","")&amp;IF(AND($D586="placement",N($N586)&gt;2),"info: placed after the first business day; ","")&amp;IF(AND($D586="later",$N586&lt;&gt;"",OR(N($N586)&lt;3,N($N586)&gt;5)),"info: later photo outside day 3 to 5; ",""))</f>
        <v/>
      </c>
      <c r="R586" s="25">
        <f>IF($B586="","",$B586&amp;"|"&amp;$C586&amp;"|"&amp;$D586&amp;"|"&amp;$O586)</f>
        <v/>
      </c>
      <c r="S586" s="25">
        <f>IF($B586="","",$R586&amp;"|"&amp;N($E586))</f>
        <v/>
      </c>
    </row>
    <row r="587">
      <c r="E587" s="9" t="n"/>
      <c r="F587" s="33" t="n"/>
      <c r="I587" s="9" t="n"/>
      <c r="M587" s="26">
        <f>IF($B587="","",IFERROR(IF(INDEX(campaigns!$BG$2:$BG$51,MATCH($B587,campaigns!$A$2:$A$51,0))="","",INDEX(campaigns!$BG$2:$BG$51,MATCH($B587,campaigns!$A$2:$A$51,0))),""))</f>
        <v/>
      </c>
      <c r="N587" s="25">
        <f>IF(OR($B587="",$E587="",$M587=""),"",IF($E587&lt;$M587,0,NETWORKDAYS($M587,$E587,calendar!$A$2:$A$80)))</f>
        <v/>
      </c>
      <c r="O587" s="25">
        <f>IF($B587="","",IF(AND($K587="Y",OR($D587="later",$J587="Y")),"Y","N"))</f>
        <v/>
      </c>
      <c r="P587" s="25">
        <f>IF(OR($B587="",$E587=""),"",$B587&amp;"_"&amp;$C587&amp;"_"&amp;$D587&amp;"_"&amp;TEXT($E587,"yyyy-mm-dd")&amp;".jpg")</f>
        <v/>
      </c>
      <c r="Q587" s="25">
        <f>IF($B587="","",IF(COUNTIF(campaigns!$A$2:$A$51,$B587)=0,"campaign_id not on campaigns; ",IF(AND($C587&lt;&gt;"",COUNTIFS(approvals!$A$2:$A$251,$B587,approvals!$B$2:$B$251,$C587)=0),"office not on this campaign (approvals tab); ",""))&amp;IF($E587="","taken date missing; ","")&amp;IF(AND($H587&lt;&gt;"",$H587&lt;&gt;$P587),"file name differs from the convention; ","")&amp;IF(AND($D587="placement",$O587="Y",COUNTIF(photos!$R$2:$R$701,$R587)&gt;1),"two usable placement photos: mark one N; ","")&amp;IF($K587&lt;&gt;"Y","info: not usable (a person, screen or whiteboard may show): never used, delete the file; ","")&amp;IF(AND($D587="placement",$J587&lt;&gt;"Y"),"info: not usable as a placement photo (no card); ","")&amp;IF(AND($D587="placement",N($N587)&gt;2),"info: placed after the first business day; ","")&amp;IF(AND($D587="later",$N587&lt;&gt;"",OR(N($N587)&lt;3,N($N587)&gt;5)),"info: later photo outside day 3 to 5; ",""))</f>
        <v/>
      </c>
      <c r="R587" s="25">
        <f>IF($B587="","",$B587&amp;"|"&amp;$C587&amp;"|"&amp;$D587&amp;"|"&amp;$O587)</f>
        <v/>
      </c>
      <c r="S587" s="25">
        <f>IF($B587="","",$R587&amp;"|"&amp;N($E587))</f>
        <v/>
      </c>
    </row>
    <row r="588">
      <c r="E588" s="9" t="n"/>
      <c r="F588" s="33" t="n"/>
      <c r="I588" s="9" t="n"/>
      <c r="M588" s="26">
        <f>IF($B588="","",IFERROR(IF(INDEX(campaigns!$BG$2:$BG$51,MATCH($B588,campaigns!$A$2:$A$51,0))="","",INDEX(campaigns!$BG$2:$BG$51,MATCH($B588,campaigns!$A$2:$A$51,0))),""))</f>
        <v/>
      </c>
      <c r="N588" s="25">
        <f>IF(OR($B588="",$E588="",$M588=""),"",IF($E588&lt;$M588,0,NETWORKDAYS($M588,$E588,calendar!$A$2:$A$80)))</f>
        <v/>
      </c>
      <c r="O588" s="25">
        <f>IF($B588="","",IF(AND($K588="Y",OR($D588="later",$J588="Y")),"Y","N"))</f>
        <v/>
      </c>
      <c r="P588" s="25">
        <f>IF(OR($B588="",$E588=""),"",$B588&amp;"_"&amp;$C588&amp;"_"&amp;$D588&amp;"_"&amp;TEXT($E588,"yyyy-mm-dd")&amp;".jpg")</f>
        <v/>
      </c>
      <c r="Q588" s="25">
        <f>IF($B588="","",IF(COUNTIF(campaigns!$A$2:$A$51,$B588)=0,"campaign_id not on campaigns; ",IF(AND($C588&lt;&gt;"",COUNTIFS(approvals!$A$2:$A$251,$B588,approvals!$B$2:$B$251,$C588)=0),"office not on this campaign (approvals tab); ",""))&amp;IF($E588="","taken date missing; ","")&amp;IF(AND($H588&lt;&gt;"",$H588&lt;&gt;$P588),"file name differs from the convention; ","")&amp;IF(AND($D588="placement",$O588="Y",COUNTIF(photos!$R$2:$R$701,$R588)&gt;1),"two usable placement photos: mark one N; ","")&amp;IF($K588&lt;&gt;"Y","info: not usable (a person, screen or whiteboard may show): never used, delete the file; ","")&amp;IF(AND($D588="placement",$J588&lt;&gt;"Y"),"info: not usable as a placement photo (no card); ","")&amp;IF(AND($D588="placement",N($N588)&gt;2),"info: placed after the first business day; ","")&amp;IF(AND($D588="later",$N588&lt;&gt;"",OR(N($N588)&lt;3,N($N588)&gt;5)),"info: later photo outside day 3 to 5; ",""))</f>
        <v/>
      </c>
      <c r="R588" s="25">
        <f>IF($B588="","",$B588&amp;"|"&amp;$C588&amp;"|"&amp;$D588&amp;"|"&amp;$O588)</f>
        <v/>
      </c>
      <c r="S588" s="25">
        <f>IF($B588="","",$R588&amp;"|"&amp;N($E588))</f>
        <v/>
      </c>
    </row>
    <row r="589">
      <c r="E589" s="9" t="n"/>
      <c r="F589" s="33" t="n"/>
      <c r="I589" s="9" t="n"/>
      <c r="M589" s="26">
        <f>IF($B589="","",IFERROR(IF(INDEX(campaigns!$BG$2:$BG$51,MATCH($B589,campaigns!$A$2:$A$51,0))="","",INDEX(campaigns!$BG$2:$BG$51,MATCH($B589,campaigns!$A$2:$A$51,0))),""))</f>
        <v/>
      </c>
      <c r="N589" s="25">
        <f>IF(OR($B589="",$E589="",$M589=""),"",IF($E589&lt;$M589,0,NETWORKDAYS($M589,$E589,calendar!$A$2:$A$80)))</f>
        <v/>
      </c>
      <c r="O589" s="25">
        <f>IF($B589="","",IF(AND($K589="Y",OR($D589="later",$J589="Y")),"Y","N"))</f>
        <v/>
      </c>
      <c r="P589" s="25">
        <f>IF(OR($B589="",$E589=""),"",$B589&amp;"_"&amp;$C589&amp;"_"&amp;$D589&amp;"_"&amp;TEXT($E589,"yyyy-mm-dd")&amp;".jpg")</f>
        <v/>
      </c>
      <c r="Q589" s="25">
        <f>IF($B589="","",IF(COUNTIF(campaigns!$A$2:$A$51,$B589)=0,"campaign_id not on campaigns; ",IF(AND($C589&lt;&gt;"",COUNTIFS(approvals!$A$2:$A$251,$B589,approvals!$B$2:$B$251,$C589)=0),"office not on this campaign (approvals tab); ",""))&amp;IF($E589="","taken date missing; ","")&amp;IF(AND($H589&lt;&gt;"",$H589&lt;&gt;$P589),"file name differs from the convention; ","")&amp;IF(AND($D589="placement",$O589="Y",COUNTIF(photos!$R$2:$R$701,$R589)&gt;1),"two usable placement photos: mark one N; ","")&amp;IF($K589&lt;&gt;"Y","info: not usable (a person, screen or whiteboard may show): never used, delete the file; ","")&amp;IF(AND($D589="placement",$J589&lt;&gt;"Y"),"info: not usable as a placement photo (no card); ","")&amp;IF(AND($D589="placement",N($N589)&gt;2),"info: placed after the first business day; ","")&amp;IF(AND($D589="later",$N589&lt;&gt;"",OR(N($N589)&lt;3,N($N589)&gt;5)),"info: later photo outside day 3 to 5; ",""))</f>
        <v/>
      </c>
      <c r="R589" s="25">
        <f>IF($B589="","",$B589&amp;"|"&amp;$C589&amp;"|"&amp;$D589&amp;"|"&amp;$O589)</f>
        <v/>
      </c>
      <c r="S589" s="25">
        <f>IF($B589="","",$R589&amp;"|"&amp;N($E589))</f>
        <v/>
      </c>
    </row>
    <row r="590">
      <c r="E590" s="9" t="n"/>
      <c r="F590" s="33" t="n"/>
      <c r="I590" s="9" t="n"/>
      <c r="M590" s="26">
        <f>IF($B590="","",IFERROR(IF(INDEX(campaigns!$BG$2:$BG$51,MATCH($B590,campaigns!$A$2:$A$51,0))="","",INDEX(campaigns!$BG$2:$BG$51,MATCH($B590,campaigns!$A$2:$A$51,0))),""))</f>
        <v/>
      </c>
      <c r="N590" s="25">
        <f>IF(OR($B590="",$E590="",$M590=""),"",IF($E590&lt;$M590,0,NETWORKDAYS($M590,$E590,calendar!$A$2:$A$80)))</f>
        <v/>
      </c>
      <c r="O590" s="25">
        <f>IF($B590="","",IF(AND($K590="Y",OR($D590="later",$J590="Y")),"Y","N"))</f>
        <v/>
      </c>
      <c r="P590" s="25">
        <f>IF(OR($B590="",$E590=""),"",$B590&amp;"_"&amp;$C590&amp;"_"&amp;$D590&amp;"_"&amp;TEXT($E590,"yyyy-mm-dd")&amp;".jpg")</f>
        <v/>
      </c>
      <c r="Q590" s="25">
        <f>IF($B590="","",IF(COUNTIF(campaigns!$A$2:$A$51,$B590)=0,"campaign_id not on campaigns; ",IF(AND($C590&lt;&gt;"",COUNTIFS(approvals!$A$2:$A$251,$B590,approvals!$B$2:$B$251,$C590)=0),"office not on this campaign (approvals tab); ",""))&amp;IF($E590="","taken date missing; ","")&amp;IF(AND($H590&lt;&gt;"",$H590&lt;&gt;$P590),"file name differs from the convention; ","")&amp;IF(AND($D590="placement",$O590="Y",COUNTIF(photos!$R$2:$R$701,$R590)&gt;1),"two usable placement photos: mark one N; ","")&amp;IF($K590&lt;&gt;"Y","info: not usable (a person, screen or whiteboard may show): never used, delete the file; ","")&amp;IF(AND($D590="placement",$J590&lt;&gt;"Y"),"info: not usable as a placement photo (no card); ","")&amp;IF(AND($D590="placement",N($N590)&gt;2),"info: placed after the first business day; ","")&amp;IF(AND($D590="later",$N590&lt;&gt;"",OR(N($N590)&lt;3,N($N590)&gt;5)),"info: later photo outside day 3 to 5; ",""))</f>
        <v/>
      </c>
      <c r="R590" s="25">
        <f>IF($B590="","",$B590&amp;"|"&amp;$C590&amp;"|"&amp;$D590&amp;"|"&amp;$O590)</f>
        <v/>
      </c>
      <c r="S590" s="25">
        <f>IF($B590="","",$R590&amp;"|"&amp;N($E590))</f>
        <v/>
      </c>
    </row>
    <row r="591">
      <c r="E591" s="9" t="n"/>
      <c r="F591" s="33" t="n"/>
      <c r="I591" s="9" t="n"/>
      <c r="M591" s="26">
        <f>IF($B591="","",IFERROR(IF(INDEX(campaigns!$BG$2:$BG$51,MATCH($B591,campaigns!$A$2:$A$51,0))="","",INDEX(campaigns!$BG$2:$BG$51,MATCH($B591,campaigns!$A$2:$A$51,0))),""))</f>
        <v/>
      </c>
      <c r="N591" s="25">
        <f>IF(OR($B591="",$E591="",$M591=""),"",IF($E591&lt;$M591,0,NETWORKDAYS($M591,$E591,calendar!$A$2:$A$80)))</f>
        <v/>
      </c>
      <c r="O591" s="25">
        <f>IF($B591="","",IF(AND($K591="Y",OR($D591="later",$J591="Y")),"Y","N"))</f>
        <v/>
      </c>
      <c r="P591" s="25">
        <f>IF(OR($B591="",$E591=""),"",$B591&amp;"_"&amp;$C591&amp;"_"&amp;$D591&amp;"_"&amp;TEXT($E591,"yyyy-mm-dd")&amp;".jpg")</f>
        <v/>
      </c>
      <c r="Q591" s="25">
        <f>IF($B591="","",IF(COUNTIF(campaigns!$A$2:$A$51,$B591)=0,"campaign_id not on campaigns; ",IF(AND($C591&lt;&gt;"",COUNTIFS(approvals!$A$2:$A$251,$B591,approvals!$B$2:$B$251,$C591)=0),"office not on this campaign (approvals tab); ",""))&amp;IF($E591="","taken date missing; ","")&amp;IF(AND($H591&lt;&gt;"",$H591&lt;&gt;$P591),"file name differs from the convention; ","")&amp;IF(AND($D591="placement",$O591="Y",COUNTIF(photos!$R$2:$R$701,$R591)&gt;1),"two usable placement photos: mark one N; ","")&amp;IF($K591&lt;&gt;"Y","info: not usable (a person, screen or whiteboard may show): never used, delete the file; ","")&amp;IF(AND($D591="placement",$J591&lt;&gt;"Y"),"info: not usable as a placement photo (no card); ","")&amp;IF(AND($D591="placement",N($N591)&gt;2),"info: placed after the first business day; ","")&amp;IF(AND($D591="later",$N591&lt;&gt;"",OR(N($N591)&lt;3,N($N591)&gt;5)),"info: later photo outside day 3 to 5; ",""))</f>
        <v/>
      </c>
      <c r="R591" s="25">
        <f>IF($B591="","",$B591&amp;"|"&amp;$C591&amp;"|"&amp;$D591&amp;"|"&amp;$O591)</f>
        <v/>
      </c>
      <c r="S591" s="25">
        <f>IF($B591="","",$R591&amp;"|"&amp;N($E591))</f>
        <v/>
      </c>
    </row>
    <row r="592">
      <c r="E592" s="9" t="n"/>
      <c r="F592" s="33" t="n"/>
      <c r="I592" s="9" t="n"/>
      <c r="M592" s="26">
        <f>IF($B592="","",IFERROR(IF(INDEX(campaigns!$BG$2:$BG$51,MATCH($B592,campaigns!$A$2:$A$51,0))="","",INDEX(campaigns!$BG$2:$BG$51,MATCH($B592,campaigns!$A$2:$A$51,0))),""))</f>
        <v/>
      </c>
      <c r="N592" s="25">
        <f>IF(OR($B592="",$E592="",$M592=""),"",IF($E592&lt;$M592,0,NETWORKDAYS($M592,$E592,calendar!$A$2:$A$80)))</f>
        <v/>
      </c>
      <c r="O592" s="25">
        <f>IF($B592="","",IF(AND($K592="Y",OR($D592="later",$J592="Y")),"Y","N"))</f>
        <v/>
      </c>
      <c r="P592" s="25">
        <f>IF(OR($B592="",$E592=""),"",$B592&amp;"_"&amp;$C592&amp;"_"&amp;$D592&amp;"_"&amp;TEXT($E592,"yyyy-mm-dd")&amp;".jpg")</f>
        <v/>
      </c>
      <c r="Q592" s="25">
        <f>IF($B592="","",IF(COUNTIF(campaigns!$A$2:$A$51,$B592)=0,"campaign_id not on campaigns; ",IF(AND($C592&lt;&gt;"",COUNTIFS(approvals!$A$2:$A$251,$B592,approvals!$B$2:$B$251,$C592)=0),"office not on this campaign (approvals tab); ",""))&amp;IF($E592="","taken date missing; ","")&amp;IF(AND($H592&lt;&gt;"",$H592&lt;&gt;$P592),"file name differs from the convention; ","")&amp;IF(AND($D592="placement",$O592="Y",COUNTIF(photos!$R$2:$R$701,$R592)&gt;1),"two usable placement photos: mark one N; ","")&amp;IF($K592&lt;&gt;"Y","info: not usable (a person, screen or whiteboard may show): never used, delete the file; ","")&amp;IF(AND($D592="placement",$J592&lt;&gt;"Y"),"info: not usable as a placement photo (no card); ","")&amp;IF(AND($D592="placement",N($N592)&gt;2),"info: placed after the first business day; ","")&amp;IF(AND($D592="later",$N592&lt;&gt;"",OR(N($N592)&lt;3,N($N592)&gt;5)),"info: later photo outside day 3 to 5; ",""))</f>
        <v/>
      </c>
      <c r="R592" s="25">
        <f>IF($B592="","",$B592&amp;"|"&amp;$C592&amp;"|"&amp;$D592&amp;"|"&amp;$O592)</f>
        <v/>
      </c>
      <c r="S592" s="25">
        <f>IF($B592="","",$R592&amp;"|"&amp;N($E592))</f>
        <v/>
      </c>
    </row>
    <row r="593">
      <c r="E593" s="9" t="n"/>
      <c r="F593" s="33" t="n"/>
      <c r="I593" s="9" t="n"/>
      <c r="M593" s="26">
        <f>IF($B593="","",IFERROR(IF(INDEX(campaigns!$BG$2:$BG$51,MATCH($B593,campaigns!$A$2:$A$51,0))="","",INDEX(campaigns!$BG$2:$BG$51,MATCH($B593,campaigns!$A$2:$A$51,0))),""))</f>
        <v/>
      </c>
      <c r="N593" s="25">
        <f>IF(OR($B593="",$E593="",$M593=""),"",IF($E593&lt;$M593,0,NETWORKDAYS($M593,$E593,calendar!$A$2:$A$80)))</f>
        <v/>
      </c>
      <c r="O593" s="25">
        <f>IF($B593="","",IF(AND($K593="Y",OR($D593="later",$J593="Y")),"Y","N"))</f>
        <v/>
      </c>
      <c r="P593" s="25">
        <f>IF(OR($B593="",$E593=""),"",$B593&amp;"_"&amp;$C593&amp;"_"&amp;$D593&amp;"_"&amp;TEXT($E593,"yyyy-mm-dd")&amp;".jpg")</f>
        <v/>
      </c>
      <c r="Q593" s="25">
        <f>IF($B593="","",IF(COUNTIF(campaigns!$A$2:$A$51,$B593)=0,"campaign_id not on campaigns; ",IF(AND($C593&lt;&gt;"",COUNTIFS(approvals!$A$2:$A$251,$B593,approvals!$B$2:$B$251,$C593)=0),"office not on this campaign (approvals tab); ",""))&amp;IF($E593="","taken date missing; ","")&amp;IF(AND($H593&lt;&gt;"",$H593&lt;&gt;$P593),"file name differs from the convention; ","")&amp;IF(AND($D593="placement",$O593="Y",COUNTIF(photos!$R$2:$R$701,$R593)&gt;1),"two usable placement photos: mark one N; ","")&amp;IF($K593&lt;&gt;"Y","info: not usable (a person, screen or whiteboard may show): never used, delete the file; ","")&amp;IF(AND($D593="placement",$J593&lt;&gt;"Y"),"info: not usable as a placement photo (no card); ","")&amp;IF(AND($D593="placement",N($N593)&gt;2),"info: placed after the first business day; ","")&amp;IF(AND($D593="later",$N593&lt;&gt;"",OR(N($N593)&lt;3,N($N593)&gt;5)),"info: later photo outside day 3 to 5; ",""))</f>
        <v/>
      </c>
      <c r="R593" s="25">
        <f>IF($B593="","",$B593&amp;"|"&amp;$C593&amp;"|"&amp;$D593&amp;"|"&amp;$O593)</f>
        <v/>
      </c>
      <c r="S593" s="25">
        <f>IF($B593="","",$R593&amp;"|"&amp;N($E593))</f>
        <v/>
      </c>
    </row>
    <row r="594">
      <c r="E594" s="9" t="n"/>
      <c r="F594" s="33" t="n"/>
      <c r="I594" s="9" t="n"/>
      <c r="M594" s="26">
        <f>IF($B594="","",IFERROR(IF(INDEX(campaigns!$BG$2:$BG$51,MATCH($B594,campaigns!$A$2:$A$51,0))="","",INDEX(campaigns!$BG$2:$BG$51,MATCH($B594,campaigns!$A$2:$A$51,0))),""))</f>
        <v/>
      </c>
      <c r="N594" s="25">
        <f>IF(OR($B594="",$E594="",$M594=""),"",IF($E594&lt;$M594,0,NETWORKDAYS($M594,$E594,calendar!$A$2:$A$80)))</f>
        <v/>
      </c>
      <c r="O594" s="25">
        <f>IF($B594="","",IF(AND($K594="Y",OR($D594="later",$J594="Y")),"Y","N"))</f>
        <v/>
      </c>
      <c r="P594" s="25">
        <f>IF(OR($B594="",$E594=""),"",$B594&amp;"_"&amp;$C594&amp;"_"&amp;$D594&amp;"_"&amp;TEXT($E594,"yyyy-mm-dd")&amp;".jpg")</f>
        <v/>
      </c>
      <c r="Q594" s="25">
        <f>IF($B594="","",IF(COUNTIF(campaigns!$A$2:$A$51,$B594)=0,"campaign_id not on campaigns; ",IF(AND($C594&lt;&gt;"",COUNTIFS(approvals!$A$2:$A$251,$B594,approvals!$B$2:$B$251,$C594)=0),"office not on this campaign (approvals tab); ",""))&amp;IF($E594="","taken date missing; ","")&amp;IF(AND($H594&lt;&gt;"",$H594&lt;&gt;$P594),"file name differs from the convention; ","")&amp;IF(AND($D594="placement",$O594="Y",COUNTIF(photos!$R$2:$R$701,$R594)&gt;1),"two usable placement photos: mark one N; ","")&amp;IF($K594&lt;&gt;"Y","info: not usable (a person, screen or whiteboard may show): never used, delete the file; ","")&amp;IF(AND($D594="placement",$J594&lt;&gt;"Y"),"info: not usable as a placement photo (no card); ","")&amp;IF(AND($D594="placement",N($N594)&gt;2),"info: placed after the first business day; ","")&amp;IF(AND($D594="later",$N594&lt;&gt;"",OR(N($N594)&lt;3,N($N594)&gt;5)),"info: later photo outside day 3 to 5; ",""))</f>
        <v/>
      </c>
      <c r="R594" s="25">
        <f>IF($B594="","",$B594&amp;"|"&amp;$C594&amp;"|"&amp;$D594&amp;"|"&amp;$O594)</f>
        <v/>
      </c>
      <c r="S594" s="25">
        <f>IF($B594="","",$R594&amp;"|"&amp;N($E594))</f>
        <v/>
      </c>
    </row>
    <row r="595">
      <c r="E595" s="9" t="n"/>
      <c r="F595" s="33" t="n"/>
      <c r="I595" s="9" t="n"/>
      <c r="M595" s="26">
        <f>IF($B595="","",IFERROR(IF(INDEX(campaigns!$BG$2:$BG$51,MATCH($B595,campaigns!$A$2:$A$51,0))="","",INDEX(campaigns!$BG$2:$BG$51,MATCH($B595,campaigns!$A$2:$A$51,0))),""))</f>
        <v/>
      </c>
      <c r="N595" s="25">
        <f>IF(OR($B595="",$E595="",$M595=""),"",IF($E595&lt;$M595,0,NETWORKDAYS($M595,$E595,calendar!$A$2:$A$80)))</f>
        <v/>
      </c>
      <c r="O595" s="25">
        <f>IF($B595="","",IF(AND($K595="Y",OR($D595="later",$J595="Y")),"Y","N"))</f>
        <v/>
      </c>
      <c r="P595" s="25">
        <f>IF(OR($B595="",$E595=""),"",$B595&amp;"_"&amp;$C595&amp;"_"&amp;$D595&amp;"_"&amp;TEXT($E595,"yyyy-mm-dd")&amp;".jpg")</f>
        <v/>
      </c>
      <c r="Q595" s="25">
        <f>IF($B595="","",IF(COUNTIF(campaigns!$A$2:$A$51,$B595)=0,"campaign_id not on campaigns; ",IF(AND($C595&lt;&gt;"",COUNTIFS(approvals!$A$2:$A$251,$B595,approvals!$B$2:$B$251,$C595)=0),"office not on this campaign (approvals tab); ",""))&amp;IF($E595="","taken date missing; ","")&amp;IF(AND($H595&lt;&gt;"",$H595&lt;&gt;$P595),"file name differs from the convention; ","")&amp;IF(AND($D595="placement",$O595="Y",COUNTIF(photos!$R$2:$R$701,$R595)&gt;1),"two usable placement photos: mark one N; ","")&amp;IF($K595&lt;&gt;"Y","info: not usable (a person, screen or whiteboard may show): never used, delete the file; ","")&amp;IF(AND($D595="placement",$J595&lt;&gt;"Y"),"info: not usable as a placement photo (no card); ","")&amp;IF(AND($D595="placement",N($N595)&gt;2),"info: placed after the first business day; ","")&amp;IF(AND($D595="later",$N595&lt;&gt;"",OR(N($N595)&lt;3,N($N595)&gt;5)),"info: later photo outside day 3 to 5; ",""))</f>
        <v/>
      </c>
      <c r="R595" s="25">
        <f>IF($B595="","",$B595&amp;"|"&amp;$C595&amp;"|"&amp;$D595&amp;"|"&amp;$O595)</f>
        <v/>
      </c>
      <c r="S595" s="25">
        <f>IF($B595="","",$R595&amp;"|"&amp;N($E595))</f>
        <v/>
      </c>
    </row>
    <row r="596">
      <c r="E596" s="9" t="n"/>
      <c r="F596" s="33" t="n"/>
      <c r="I596" s="9" t="n"/>
      <c r="M596" s="26">
        <f>IF($B596="","",IFERROR(IF(INDEX(campaigns!$BG$2:$BG$51,MATCH($B596,campaigns!$A$2:$A$51,0))="","",INDEX(campaigns!$BG$2:$BG$51,MATCH($B596,campaigns!$A$2:$A$51,0))),""))</f>
        <v/>
      </c>
      <c r="N596" s="25">
        <f>IF(OR($B596="",$E596="",$M596=""),"",IF($E596&lt;$M596,0,NETWORKDAYS($M596,$E596,calendar!$A$2:$A$80)))</f>
        <v/>
      </c>
      <c r="O596" s="25">
        <f>IF($B596="","",IF(AND($K596="Y",OR($D596="later",$J596="Y")),"Y","N"))</f>
        <v/>
      </c>
      <c r="P596" s="25">
        <f>IF(OR($B596="",$E596=""),"",$B596&amp;"_"&amp;$C596&amp;"_"&amp;$D596&amp;"_"&amp;TEXT($E596,"yyyy-mm-dd")&amp;".jpg")</f>
        <v/>
      </c>
      <c r="Q596" s="25">
        <f>IF($B596="","",IF(COUNTIF(campaigns!$A$2:$A$51,$B596)=0,"campaign_id not on campaigns; ",IF(AND($C596&lt;&gt;"",COUNTIFS(approvals!$A$2:$A$251,$B596,approvals!$B$2:$B$251,$C596)=0),"office not on this campaign (approvals tab); ",""))&amp;IF($E596="","taken date missing; ","")&amp;IF(AND($H596&lt;&gt;"",$H596&lt;&gt;$P596),"file name differs from the convention; ","")&amp;IF(AND($D596="placement",$O596="Y",COUNTIF(photos!$R$2:$R$701,$R596)&gt;1),"two usable placement photos: mark one N; ","")&amp;IF($K596&lt;&gt;"Y","info: not usable (a person, screen or whiteboard may show): never used, delete the file; ","")&amp;IF(AND($D596="placement",$J596&lt;&gt;"Y"),"info: not usable as a placement photo (no card); ","")&amp;IF(AND($D596="placement",N($N596)&gt;2),"info: placed after the first business day; ","")&amp;IF(AND($D596="later",$N596&lt;&gt;"",OR(N($N596)&lt;3,N($N596)&gt;5)),"info: later photo outside day 3 to 5; ",""))</f>
        <v/>
      </c>
      <c r="R596" s="25">
        <f>IF($B596="","",$B596&amp;"|"&amp;$C596&amp;"|"&amp;$D596&amp;"|"&amp;$O596)</f>
        <v/>
      </c>
      <c r="S596" s="25">
        <f>IF($B596="","",$R596&amp;"|"&amp;N($E596))</f>
        <v/>
      </c>
    </row>
    <row r="597">
      <c r="E597" s="9" t="n"/>
      <c r="F597" s="33" t="n"/>
      <c r="I597" s="9" t="n"/>
      <c r="M597" s="26">
        <f>IF($B597="","",IFERROR(IF(INDEX(campaigns!$BG$2:$BG$51,MATCH($B597,campaigns!$A$2:$A$51,0))="","",INDEX(campaigns!$BG$2:$BG$51,MATCH($B597,campaigns!$A$2:$A$51,0))),""))</f>
        <v/>
      </c>
      <c r="N597" s="25">
        <f>IF(OR($B597="",$E597="",$M597=""),"",IF($E597&lt;$M597,0,NETWORKDAYS($M597,$E597,calendar!$A$2:$A$80)))</f>
        <v/>
      </c>
      <c r="O597" s="25">
        <f>IF($B597="","",IF(AND($K597="Y",OR($D597="later",$J597="Y")),"Y","N"))</f>
        <v/>
      </c>
      <c r="P597" s="25">
        <f>IF(OR($B597="",$E597=""),"",$B597&amp;"_"&amp;$C597&amp;"_"&amp;$D597&amp;"_"&amp;TEXT($E597,"yyyy-mm-dd")&amp;".jpg")</f>
        <v/>
      </c>
      <c r="Q597" s="25">
        <f>IF($B597="","",IF(COUNTIF(campaigns!$A$2:$A$51,$B597)=0,"campaign_id not on campaigns; ",IF(AND($C597&lt;&gt;"",COUNTIFS(approvals!$A$2:$A$251,$B597,approvals!$B$2:$B$251,$C597)=0),"office not on this campaign (approvals tab); ",""))&amp;IF($E597="","taken date missing; ","")&amp;IF(AND($H597&lt;&gt;"",$H597&lt;&gt;$P597),"file name differs from the convention; ","")&amp;IF(AND($D597="placement",$O597="Y",COUNTIF(photos!$R$2:$R$701,$R597)&gt;1),"two usable placement photos: mark one N; ","")&amp;IF($K597&lt;&gt;"Y","info: not usable (a person, screen or whiteboard may show): never used, delete the file; ","")&amp;IF(AND($D597="placement",$J597&lt;&gt;"Y"),"info: not usable as a placement photo (no card); ","")&amp;IF(AND($D597="placement",N($N597)&gt;2),"info: placed after the first business day; ","")&amp;IF(AND($D597="later",$N597&lt;&gt;"",OR(N($N597)&lt;3,N($N597)&gt;5)),"info: later photo outside day 3 to 5; ",""))</f>
        <v/>
      </c>
      <c r="R597" s="25">
        <f>IF($B597="","",$B597&amp;"|"&amp;$C597&amp;"|"&amp;$D597&amp;"|"&amp;$O597)</f>
        <v/>
      </c>
      <c r="S597" s="25">
        <f>IF($B597="","",$R597&amp;"|"&amp;N($E597))</f>
        <v/>
      </c>
    </row>
    <row r="598">
      <c r="E598" s="9" t="n"/>
      <c r="F598" s="33" t="n"/>
      <c r="I598" s="9" t="n"/>
      <c r="M598" s="26">
        <f>IF($B598="","",IFERROR(IF(INDEX(campaigns!$BG$2:$BG$51,MATCH($B598,campaigns!$A$2:$A$51,0))="","",INDEX(campaigns!$BG$2:$BG$51,MATCH($B598,campaigns!$A$2:$A$51,0))),""))</f>
        <v/>
      </c>
      <c r="N598" s="25">
        <f>IF(OR($B598="",$E598="",$M598=""),"",IF($E598&lt;$M598,0,NETWORKDAYS($M598,$E598,calendar!$A$2:$A$80)))</f>
        <v/>
      </c>
      <c r="O598" s="25">
        <f>IF($B598="","",IF(AND($K598="Y",OR($D598="later",$J598="Y")),"Y","N"))</f>
        <v/>
      </c>
      <c r="P598" s="25">
        <f>IF(OR($B598="",$E598=""),"",$B598&amp;"_"&amp;$C598&amp;"_"&amp;$D598&amp;"_"&amp;TEXT($E598,"yyyy-mm-dd")&amp;".jpg")</f>
        <v/>
      </c>
      <c r="Q598" s="25">
        <f>IF($B598="","",IF(COUNTIF(campaigns!$A$2:$A$51,$B598)=0,"campaign_id not on campaigns; ",IF(AND($C598&lt;&gt;"",COUNTIFS(approvals!$A$2:$A$251,$B598,approvals!$B$2:$B$251,$C598)=0),"office not on this campaign (approvals tab); ",""))&amp;IF($E598="","taken date missing; ","")&amp;IF(AND($H598&lt;&gt;"",$H598&lt;&gt;$P598),"file name differs from the convention; ","")&amp;IF(AND($D598="placement",$O598="Y",COUNTIF(photos!$R$2:$R$701,$R598)&gt;1),"two usable placement photos: mark one N; ","")&amp;IF($K598&lt;&gt;"Y","info: not usable (a person, screen or whiteboard may show): never used, delete the file; ","")&amp;IF(AND($D598="placement",$J598&lt;&gt;"Y"),"info: not usable as a placement photo (no card); ","")&amp;IF(AND($D598="placement",N($N598)&gt;2),"info: placed after the first business day; ","")&amp;IF(AND($D598="later",$N598&lt;&gt;"",OR(N($N598)&lt;3,N($N598)&gt;5)),"info: later photo outside day 3 to 5; ",""))</f>
        <v/>
      </c>
      <c r="R598" s="25">
        <f>IF($B598="","",$B598&amp;"|"&amp;$C598&amp;"|"&amp;$D598&amp;"|"&amp;$O598)</f>
        <v/>
      </c>
      <c r="S598" s="25">
        <f>IF($B598="","",$R598&amp;"|"&amp;N($E598))</f>
        <v/>
      </c>
    </row>
    <row r="599">
      <c r="E599" s="9" t="n"/>
      <c r="F599" s="33" t="n"/>
      <c r="I599" s="9" t="n"/>
      <c r="M599" s="26">
        <f>IF($B599="","",IFERROR(IF(INDEX(campaigns!$BG$2:$BG$51,MATCH($B599,campaigns!$A$2:$A$51,0))="","",INDEX(campaigns!$BG$2:$BG$51,MATCH($B599,campaigns!$A$2:$A$51,0))),""))</f>
        <v/>
      </c>
      <c r="N599" s="25">
        <f>IF(OR($B599="",$E599="",$M599=""),"",IF($E599&lt;$M599,0,NETWORKDAYS($M599,$E599,calendar!$A$2:$A$80)))</f>
        <v/>
      </c>
      <c r="O599" s="25">
        <f>IF($B599="","",IF(AND($K599="Y",OR($D599="later",$J599="Y")),"Y","N"))</f>
        <v/>
      </c>
      <c r="P599" s="25">
        <f>IF(OR($B599="",$E599=""),"",$B599&amp;"_"&amp;$C599&amp;"_"&amp;$D599&amp;"_"&amp;TEXT($E599,"yyyy-mm-dd")&amp;".jpg")</f>
        <v/>
      </c>
      <c r="Q599" s="25">
        <f>IF($B599="","",IF(COUNTIF(campaigns!$A$2:$A$51,$B599)=0,"campaign_id not on campaigns; ",IF(AND($C599&lt;&gt;"",COUNTIFS(approvals!$A$2:$A$251,$B599,approvals!$B$2:$B$251,$C599)=0),"office not on this campaign (approvals tab); ",""))&amp;IF($E599="","taken date missing; ","")&amp;IF(AND($H599&lt;&gt;"",$H599&lt;&gt;$P599),"file name differs from the convention; ","")&amp;IF(AND($D599="placement",$O599="Y",COUNTIF(photos!$R$2:$R$701,$R599)&gt;1),"two usable placement photos: mark one N; ","")&amp;IF($K599&lt;&gt;"Y","info: not usable (a person, screen or whiteboard may show): never used, delete the file; ","")&amp;IF(AND($D599="placement",$J599&lt;&gt;"Y"),"info: not usable as a placement photo (no card); ","")&amp;IF(AND($D599="placement",N($N599)&gt;2),"info: placed after the first business day; ","")&amp;IF(AND($D599="later",$N599&lt;&gt;"",OR(N($N599)&lt;3,N($N599)&gt;5)),"info: later photo outside day 3 to 5; ",""))</f>
        <v/>
      </c>
      <c r="R599" s="25">
        <f>IF($B599="","",$B599&amp;"|"&amp;$C599&amp;"|"&amp;$D599&amp;"|"&amp;$O599)</f>
        <v/>
      </c>
      <c r="S599" s="25">
        <f>IF($B599="","",$R599&amp;"|"&amp;N($E599))</f>
        <v/>
      </c>
    </row>
    <row r="600">
      <c r="E600" s="9" t="n"/>
      <c r="F600" s="33" t="n"/>
      <c r="I600" s="9" t="n"/>
      <c r="M600" s="26">
        <f>IF($B600="","",IFERROR(IF(INDEX(campaigns!$BG$2:$BG$51,MATCH($B600,campaigns!$A$2:$A$51,0))="","",INDEX(campaigns!$BG$2:$BG$51,MATCH($B600,campaigns!$A$2:$A$51,0))),""))</f>
        <v/>
      </c>
      <c r="N600" s="25">
        <f>IF(OR($B600="",$E600="",$M600=""),"",IF($E600&lt;$M600,0,NETWORKDAYS($M600,$E600,calendar!$A$2:$A$80)))</f>
        <v/>
      </c>
      <c r="O600" s="25">
        <f>IF($B600="","",IF(AND($K600="Y",OR($D600="later",$J600="Y")),"Y","N"))</f>
        <v/>
      </c>
      <c r="P600" s="25">
        <f>IF(OR($B600="",$E600=""),"",$B600&amp;"_"&amp;$C600&amp;"_"&amp;$D600&amp;"_"&amp;TEXT($E600,"yyyy-mm-dd")&amp;".jpg")</f>
        <v/>
      </c>
      <c r="Q600" s="25">
        <f>IF($B600="","",IF(COUNTIF(campaigns!$A$2:$A$51,$B600)=0,"campaign_id not on campaigns; ",IF(AND($C600&lt;&gt;"",COUNTIFS(approvals!$A$2:$A$251,$B600,approvals!$B$2:$B$251,$C600)=0),"office not on this campaign (approvals tab); ",""))&amp;IF($E600="","taken date missing; ","")&amp;IF(AND($H600&lt;&gt;"",$H600&lt;&gt;$P600),"file name differs from the convention; ","")&amp;IF(AND($D600="placement",$O600="Y",COUNTIF(photos!$R$2:$R$701,$R600)&gt;1),"two usable placement photos: mark one N; ","")&amp;IF($K600&lt;&gt;"Y","info: not usable (a person, screen or whiteboard may show): never used, delete the file; ","")&amp;IF(AND($D600="placement",$J600&lt;&gt;"Y"),"info: not usable as a placement photo (no card); ","")&amp;IF(AND($D600="placement",N($N600)&gt;2),"info: placed after the first business day; ","")&amp;IF(AND($D600="later",$N600&lt;&gt;"",OR(N($N600)&lt;3,N($N600)&gt;5)),"info: later photo outside day 3 to 5; ",""))</f>
        <v/>
      </c>
      <c r="R600" s="25">
        <f>IF($B600="","",$B600&amp;"|"&amp;$C600&amp;"|"&amp;$D600&amp;"|"&amp;$O600)</f>
        <v/>
      </c>
      <c r="S600" s="25">
        <f>IF($B600="","",$R600&amp;"|"&amp;N($E600))</f>
        <v/>
      </c>
    </row>
    <row r="601">
      <c r="E601" s="9" t="n"/>
      <c r="F601" s="33" t="n"/>
      <c r="I601" s="9" t="n"/>
      <c r="M601" s="26">
        <f>IF($B601="","",IFERROR(IF(INDEX(campaigns!$BG$2:$BG$51,MATCH($B601,campaigns!$A$2:$A$51,0))="","",INDEX(campaigns!$BG$2:$BG$51,MATCH($B601,campaigns!$A$2:$A$51,0))),""))</f>
        <v/>
      </c>
      <c r="N601" s="25">
        <f>IF(OR($B601="",$E601="",$M601=""),"",IF($E601&lt;$M601,0,NETWORKDAYS($M601,$E601,calendar!$A$2:$A$80)))</f>
        <v/>
      </c>
      <c r="O601" s="25">
        <f>IF($B601="","",IF(AND($K601="Y",OR($D601="later",$J601="Y")),"Y","N"))</f>
        <v/>
      </c>
      <c r="P601" s="25">
        <f>IF(OR($B601="",$E601=""),"",$B601&amp;"_"&amp;$C601&amp;"_"&amp;$D601&amp;"_"&amp;TEXT($E601,"yyyy-mm-dd")&amp;".jpg")</f>
        <v/>
      </c>
      <c r="Q601" s="25">
        <f>IF($B601="","",IF(COUNTIF(campaigns!$A$2:$A$51,$B601)=0,"campaign_id not on campaigns; ",IF(AND($C601&lt;&gt;"",COUNTIFS(approvals!$A$2:$A$251,$B601,approvals!$B$2:$B$251,$C601)=0),"office not on this campaign (approvals tab); ",""))&amp;IF($E601="","taken date missing; ","")&amp;IF(AND($H601&lt;&gt;"",$H601&lt;&gt;$P601),"file name differs from the convention; ","")&amp;IF(AND($D601="placement",$O601="Y",COUNTIF(photos!$R$2:$R$701,$R601)&gt;1),"two usable placement photos: mark one N; ","")&amp;IF($K601&lt;&gt;"Y","info: not usable (a person, screen or whiteboard may show): never used, delete the file; ","")&amp;IF(AND($D601="placement",$J601&lt;&gt;"Y"),"info: not usable as a placement photo (no card); ","")&amp;IF(AND($D601="placement",N($N601)&gt;2),"info: placed after the first business day; ","")&amp;IF(AND($D601="later",$N601&lt;&gt;"",OR(N($N601)&lt;3,N($N601)&gt;5)),"info: later photo outside day 3 to 5; ",""))</f>
        <v/>
      </c>
      <c r="R601" s="25">
        <f>IF($B601="","",$B601&amp;"|"&amp;$C601&amp;"|"&amp;$D601&amp;"|"&amp;$O601)</f>
        <v/>
      </c>
      <c r="S601" s="25">
        <f>IF($B601="","",$R601&amp;"|"&amp;N($E601))</f>
        <v/>
      </c>
    </row>
    <row r="602">
      <c r="E602" s="9" t="n"/>
      <c r="F602" s="33" t="n"/>
      <c r="I602" s="9" t="n"/>
      <c r="M602" s="26">
        <f>IF($B602="","",IFERROR(IF(INDEX(campaigns!$BG$2:$BG$51,MATCH($B602,campaigns!$A$2:$A$51,0))="","",INDEX(campaigns!$BG$2:$BG$51,MATCH($B602,campaigns!$A$2:$A$51,0))),""))</f>
        <v/>
      </c>
      <c r="N602" s="25">
        <f>IF(OR($B602="",$E602="",$M602=""),"",IF($E602&lt;$M602,0,NETWORKDAYS($M602,$E602,calendar!$A$2:$A$80)))</f>
        <v/>
      </c>
      <c r="O602" s="25">
        <f>IF($B602="","",IF(AND($K602="Y",OR($D602="later",$J602="Y")),"Y","N"))</f>
        <v/>
      </c>
      <c r="P602" s="25">
        <f>IF(OR($B602="",$E602=""),"",$B602&amp;"_"&amp;$C602&amp;"_"&amp;$D602&amp;"_"&amp;TEXT($E602,"yyyy-mm-dd")&amp;".jpg")</f>
        <v/>
      </c>
      <c r="Q602" s="25">
        <f>IF($B602="","",IF(COUNTIF(campaigns!$A$2:$A$51,$B602)=0,"campaign_id not on campaigns; ",IF(AND($C602&lt;&gt;"",COUNTIFS(approvals!$A$2:$A$251,$B602,approvals!$B$2:$B$251,$C602)=0),"office not on this campaign (approvals tab); ",""))&amp;IF($E602="","taken date missing; ","")&amp;IF(AND($H602&lt;&gt;"",$H602&lt;&gt;$P602),"file name differs from the convention; ","")&amp;IF(AND($D602="placement",$O602="Y",COUNTIF(photos!$R$2:$R$701,$R602)&gt;1),"two usable placement photos: mark one N; ","")&amp;IF($K602&lt;&gt;"Y","info: not usable (a person, screen or whiteboard may show): never used, delete the file; ","")&amp;IF(AND($D602="placement",$J602&lt;&gt;"Y"),"info: not usable as a placement photo (no card); ","")&amp;IF(AND($D602="placement",N($N602)&gt;2),"info: placed after the first business day; ","")&amp;IF(AND($D602="later",$N602&lt;&gt;"",OR(N($N602)&lt;3,N($N602)&gt;5)),"info: later photo outside day 3 to 5; ",""))</f>
        <v/>
      </c>
      <c r="R602" s="25">
        <f>IF($B602="","",$B602&amp;"|"&amp;$C602&amp;"|"&amp;$D602&amp;"|"&amp;$O602)</f>
        <v/>
      </c>
      <c r="S602" s="25">
        <f>IF($B602="","",$R602&amp;"|"&amp;N($E602))</f>
        <v/>
      </c>
    </row>
    <row r="603">
      <c r="E603" s="9" t="n"/>
      <c r="F603" s="33" t="n"/>
      <c r="I603" s="9" t="n"/>
      <c r="M603" s="26">
        <f>IF($B603="","",IFERROR(IF(INDEX(campaigns!$BG$2:$BG$51,MATCH($B603,campaigns!$A$2:$A$51,0))="","",INDEX(campaigns!$BG$2:$BG$51,MATCH($B603,campaigns!$A$2:$A$51,0))),""))</f>
        <v/>
      </c>
      <c r="N603" s="25">
        <f>IF(OR($B603="",$E603="",$M603=""),"",IF($E603&lt;$M603,0,NETWORKDAYS($M603,$E603,calendar!$A$2:$A$80)))</f>
        <v/>
      </c>
      <c r="O603" s="25">
        <f>IF($B603="","",IF(AND($K603="Y",OR($D603="later",$J603="Y")),"Y","N"))</f>
        <v/>
      </c>
      <c r="P603" s="25">
        <f>IF(OR($B603="",$E603=""),"",$B603&amp;"_"&amp;$C603&amp;"_"&amp;$D603&amp;"_"&amp;TEXT($E603,"yyyy-mm-dd")&amp;".jpg")</f>
        <v/>
      </c>
      <c r="Q603" s="25">
        <f>IF($B603="","",IF(COUNTIF(campaigns!$A$2:$A$51,$B603)=0,"campaign_id not on campaigns; ",IF(AND($C603&lt;&gt;"",COUNTIFS(approvals!$A$2:$A$251,$B603,approvals!$B$2:$B$251,$C603)=0),"office not on this campaign (approvals tab); ",""))&amp;IF($E603="","taken date missing; ","")&amp;IF(AND($H603&lt;&gt;"",$H603&lt;&gt;$P603),"file name differs from the convention; ","")&amp;IF(AND($D603="placement",$O603="Y",COUNTIF(photos!$R$2:$R$701,$R603)&gt;1),"two usable placement photos: mark one N; ","")&amp;IF($K603&lt;&gt;"Y","info: not usable (a person, screen or whiteboard may show): never used, delete the file; ","")&amp;IF(AND($D603="placement",$J603&lt;&gt;"Y"),"info: not usable as a placement photo (no card); ","")&amp;IF(AND($D603="placement",N($N603)&gt;2),"info: placed after the first business day; ","")&amp;IF(AND($D603="later",$N603&lt;&gt;"",OR(N($N603)&lt;3,N($N603)&gt;5)),"info: later photo outside day 3 to 5; ",""))</f>
        <v/>
      </c>
      <c r="R603" s="25">
        <f>IF($B603="","",$B603&amp;"|"&amp;$C603&amp;"|"&amp;$D603&amp;"|"&amp;$O603)</f>
        <v/>
      </c>
      <c r="S603" s="25">
        <f>IF($B603="","",$R603&amp;"|"&amp;N($E603))</f>
        <v/>
      </c>
    </row>
    <row r="604">
      <c r="E604" s="9" t="n"/>
      <c r="F604" s="33" t="n"/>
      <c r="I604" s="9" t="n"/>
      <c r="M604" s="26">
        <f>IF($B604="","",IFERROR(IF(INDEX(campaigns!$BG$2:$BG$51,MATCH($B604,campaigns!$A$2:$A$51,0))="","",INDEX(campaigns!$BG$2:$BG$51,MATCH($B604,campaigns!$A$2:$A$51,0))),""))</f>
        <v/>
      </c>
      <c r="N604" s="25">
        <f>IF(OR($B604="",$E604="",$M604=""),"",IF($E604&lt;$M604,0,NETWORKDAYS($M604,$E604,calendar!$A$2:$A$80)))</f>
        <v/>
      </c>
      <c r="O604" s="25">
        <f>IF($B604="","",IF(AND($K604="Y",OR($D604="later",$J604="Y")),"Y","N"))</f>
        <v/>
      </c>
      <c r="P604" s="25">
        <f>IF(OR($B604="",$E604=""),"",$B604&amp;"_"&amp;$C604&amp;"_"&amp;$D604&amp;"_"&amp;TEXT($E604,"yyyy-mm-dd")&amp;".jpg")</f>
        <v/>
      </c>
      <c r="Q604" s="25">
        <f>IF($B604="","",IF(COUNTIF(campaigns!$A$2:$A$51,$B604)=0,"campaign_id not on campaigns; ",IF(AND($C604&lt;&gt;"",COUNTIFS(approvals!$A$2:$A$251,$B604,approvals!$B$2:$B$251,$C604)=0),"office not on this campaign (approvals tab); ",""))&amp;IF($E604="","taken date missing; ","")&amp;IF(AND($H604&lt;&gt;"",$H604&lt;&gt;$P604),"file name differs from the convention; ","")&amp;IF(AND($D604="placement",$O604="Y",COUNTIF(photos!$R$2:$R$701,$R604)&gt;1),"two usable placement photos: mark one N; ","")&amp;IF($K604&lt;&gt;"Y","info: not usable (a person, screen or whiteboard may show): never used, delete the file; ","")&amp;IF(AND($D604="placement",$J604&lt;&gt;"Y"),"info: not usable as a placement photo (no card); ","")&amp;IF(AND($D604="placement",N($N604)&gt;2),"info: placed after the first business day; ","")&amp;IF(AND($D604="later",$N604&lt;&gt;"",OR(N($N604)&lt;3,N($N604)&gt;5)),"info: later photo outside day 3 to 5; ",""))</f>
        <v/>
      </c>
      <c r="R604" s="25">
        <f>IF($B604="","",$B604&amp;"|"&amp;$C604&amp;"|"&amp;$D604&amp;"|"&amp;$O604)</f>
        <v/>
      </c>
      <c r="S604" s="25">
        <f>IF($B604="","",$R604&amp;"|"&amp;N($E604))</f>
        <v/>
      </c>
    </row>
    <row r="605">
      <c r="E605" s="9" t="n"/>
      <c r="F605" s="33" t="n"/>
      <c r="I605" s="9" t="n"/>
      <c r="M605" s="26">
        <f>IF($B605="","",IFERROR(IF(INDEX(campaigns!$BG$2:$BG$51,MATCH($B605,campaigns!$A$2:$A$51,0))="","",INDEX(campaigns!$BG$2:$BG$51,MATCH($B605,campaigns!$A$2:$A$51,0))),""))</f>
        <v/>
      </c>
      <c r="N605" s="25">
        <f>IF(OR($B605="",$E605="",$M605=""),"",IF($E605&lt;$M605,0,NETWORKDAYS($M605,$E605,calendar!$A$2:$A$80)))</f>
        <v/>
      </c>
      <c r="O605" s="25">
        <f>IF($B605="","",IF(AND($K605="Y",OR($D605="later",$J605="Y")),"Y","N"))</f>
        <v/>
      </c>
      <c r="P605" s="25">
        <f>IF(OR($B605="",$E605=""),"",$B605&amp;"_"&amp;$C605&amp;"_"&amp;$D605&amp;"_"&amp;TEXT($E605,"yyyy-mm-dd")&amp;".jpg")</f>
        <v/>
      </c>
      <c r="Q605" s="25">
        <f>IF($B605="","",IF(COUNTIF(campaigns!$A$2:$A$51,$B605)=0,"campaign_id not on campaigns; ",IF(AND($C605&lt;&gt;"",COUNTIFS(approvals!$A$2:$A$251,$B605,approvals!$B$2:$B$251,$C605)=0),"office not on this campaign (approvals tab); ",""))&amp;IF($E605="","taken date missing; ","")&amp;IF(AND($H605&lt;&gt;"",$H605&lt;&gt;$P605),"file name differs from the convention; ","")&amp;IF(AND($D605="placement",$O605="Y",COUNTIF(photos!$R$2:$R$701,$R605)&gt;1),"two usable placement photos: mark one N; ","")&amp;IF($K605&lt;&gt;"Y","info: not usable (a person, screen or whiteboard may show): never used, delete the file; ","")&amp;IF(AND($D605="placement",$J605&lt;&gt;"Y"),"info: not usable as a placement photo (no card); ","")&amp;IF(AND($D605="placement",N($N605)&gt;2),"info: placed after the first business day; ","")&amp;IF(AND($D605="later",$N605&lt;&gt;"",OR(N($N605)&lt;3,N($N605)&gt;5)),"info: later photo outside day 3 to 5; ",""))</f>
        <v/>
      </c>
      <c r="R605" s="25">
        <f>IF($B605="","",$B605&amp;"|"&amp;$C605&amp;"|"&amp;$D605&amp;"|"&amp;$O605)</f>
        <v/>
      </c>
      <c r="S605" s="25">
        <f>IF($B605="","",$R605&amp;"|"&amp;N($E605))</f>
        <v/>
      </c>
    </row>
    <row r="606">
      <c r="E606" s="9" t="n"/>
      <c r="F606" s="33" t="n"/>
      <c r="I606" s="9" t="n"/>
      <c r="M606" s="26">
        <f>IF($B606="","",IFERROR(IF(INDEX(campaigns!$BG$2:$BG$51,MATCH($B606,campaigns!$A$2:$A$51,0))="","",INDEX(campaigns!$BG$2:$BG$51,MATCH($B606,campaigns!$A$2:$A$51,0))),""))</f>
        <v/>
      </c>
      <c r="N606" s="25">
        <f>IF(OR($B606="",$E606="",$M606=""),"",IF($E606&lt;$M606,0,NETWORKDAYS($M606,$E606,calendar!$A$2:$A$80)))</f>
        <v/>
      </c>
      <c r="O606" s="25">
        <f>IF($B606="","",IF(AND($K606="Y",OR($D606="later",$J606="Y")),"Y","N"))</f>
        <v/>
      </c>
      <c r="P606" s="25">
        <f>IF(OR($B606="",$E606=""),"",$B606&amp;"_"&amp;$C606&amp;"_"&amp;$D606&amp;"_"&amp;TEXT($E606,"yyyy-mm-dd")&amp;".jpg")</f>
        <v/>
      </c>
      <c r="Q606" s="25">
        <f>IF($B606="","",IF(COUNTIF(campaigns!$A$2:$A$51,$B606)=0,"campaign_id not on campaigns; ",IF(AND($C606&lt;&gt;"",COUNTIFS(approvals!$A$2:$A$251,$B606,approvals!$B$2:$B$251,$C606)=0),"office not on this campaign (approvals tab); ",""))&amp;IF($E606="","taken date missing; ","")&amp;IF(AND($H606&lt;&gt;"",$H606&lt;&gt;$P606),"file name differs from the convention; ","")&amp;IF(AND($D606="placement",$O606="Y",COUNTIF(photos!$R$2:$R$701,$R606)&gt;1),"two usable placement photos: mark one N; ","")&amp;IF($K606&lt;&gt;"Y","info: not usable (a person, screen or whiteboard may show): never used, delete the file; ","")&amp;IF(AND($D606="placement",$J606&lt;&gt;"Y"),"info: not usable as a placement photo (no card); ","")&amp;IF(AND($D606="placement",N($N606)&gt;2),"info: placed after the first business day; ","")&amp;IF(AND($D606="later",$N606&lt;&gt;"",OR(N($N606)&lt;3,N($N606)&gt;5)),"info: later photo outside day 3 to 5; ",""))</f>
        <v/>
      </c>
      <c r="R606" s="25">
        <f>IF($B606="","",$B606&amp;"|"&amp;$C606&amp;"|"&amp;$D606&amp;"|"&amp;$O606)</f>
        <v/>
      </c>
      <c r="S606" s="25">
        <f>IF($B606="","",$R606&amp;"|"&amp;N($E606))</f>
        <v/>
      </c>
    </row>
    <row r="607">
      <c r="E607" s="9" t="n"/>
      <c r="F607" s="33" t="n"/>
      <c r="I607" s="9" t="n"/>
      <c r="M607" s="26">
        <f>IF($B607="","",IFERROR(IF(INDEX(campaigns!$BG$2:$BG$51,MATCH($B607,campaigns!$A$2:$A$51,0))="","",INDEX(campaigns!$BG$2:$BG$51,MATCH($B607,campaigns!$A$2:$A$51,0))),""))</f>
        <v/>
      </c>
      <c r="N607" s="25">
        <f>IF(OR($B607="",$E607="",$M607=""),"",IF($E607&lt;$M607,0,NETWORKDAYS($M607,$E607,calendar!$A$2:$A$80)))</f>
        <v/>
      </c>
      <c r="O607" s="25">
        <f>IF($B607="","",IF(AND($K607="Y",OR($D607="later",$J607="Y")),"Y","N"))</f>
        <v/>
      </c>
      <c r="P607" s="25">
        <f>IF(OR($B607="",$E607=""),"",$B607&amp;"_"&amp;$C607&amp;"_"&amp;$D607&amp;"_"&amp;TEXT($E607,"yyyy-mm-dd")&amp;".jpg")</f>
        <v/>
      </c>
      <c r="Q607" s="25">
        <f>IF($B607="","",IF(COUNTIF(campaigns!$A$2:$A$51,$B607)=0,"campaign_id not on campaigns; ",IF(AND($C607&lt;&gt;"",COUNTIFS(approvals!$A$2:$A$251,$B607,approvals!$B$2:$B$251,$C607)=0),"office not on this campaign (approvals tab); ",""))&amp;IF($E607="","taken date missing; ","")&amp;IF(AND($H607&lt;&gt;"",$H607&lt;&gt;$P607),"file name differs from the convention; ","")&amp;IF(AND($D607="placement",$O607="Y",COUNTIF(photos!$R$2:$R$701,$R607)&gt;1),"two usable placement photos: mark one N; ","")&amp;IF($K607&lt;&gt;"Y","info: not usable (a person, screen or whiteboard may show): never used, delete the file; ","")&amp;IF(AND($D607="placement",$J607&lt;&gt;"Y"),"info: not usable as a placement photo (no card); ","")&amp;IF(AND($D607="placement",N($N607)&gt;2),"info: placed after the first business day; ","")&amp;IF(AND($D607="later",$N607&lt;&gt;"",OR(N($N607)&lt;3,N($N607)&gt;5)),"info: later photo outside day 3 to 5; ",""))</f>
        <v/>
      </c>
      <c r="R607" s="25">
        <f>IF($B607="","",$B607&amp;"|"&amp;$C607&amp;"|"&amp;$D607&amp;"|"&amp;$O607)</f>
        <v/>
      </c>
      <c r="S607" s="25">
        <f>IF($B607="","",$R607&amp;"|"&amp;N($E607))</f>
        <v/>
      </c>
    </row>
    <row r="608">
      <c r="E608" s="9" t="n"/>
      <c r="F608" s="33" t="n"/>
      <c r="I608" s="9" t="n"/>
      <c r="M608" s="26">
        <f>IF($B608="","",IFERROR(IF(INDEX(campaigns!$BG$2:$BG$51,MATCH($B608,campaigns!$A$2:$A$51,0))="","",INDEX(campaigns!$BG$2:$BG$51,MATCH($B608,campaigns!$A$2:$A$51,0))),""))</f>
        <v/>
      </c>
      <c r="N608" s="25">
        <f>IF(OR($B608="",$E608="",$M608=""),"",IF($E608&lt;$M608,0,NETWORKDAYS($M608,$E608,calendar!$A$2:$A$80)))</f>
        <v/>
      </c>
      <c r="O608" s="25">
        <f>IF($B608="","",IF(AND($K608="Y",OR($D608="later",$J608="Y")),"Y","N"))</f>
        <v/>
      </c>
      <c r="P608" s="25">
        <f>IF(OR($B608="",$E608=""),"",$B608&amp;"_"&amp;$C608&amp;"_"&amp;$D608&amp;"_"&amp;TEXT($E608,"yyyy-mm-dd")&amp;".jpg")</f>
        <v/>
      </c>
      <c r="Q608" s="25">
        <f>IF($B608="","",IF(COUNTIF(campaigns!$A$2:$A$51,$B608)=0,"campaign_id not on campaigns; ",IF(AND($C608&lt;&gt;"",COUNTIFS(approvals!$A$2:$A$251,$B608,approvals!$B$2:$B$251,$C608)=0),"office not on this campaign (approvals tab); ",""))&amp;IF($E608="","taken date missing; ","")&amp;IF(AND($H608&lt;&gt;"",$H608&lt;&gt;$P608),"file name differs from the convention; ","")&amp;IF(AND($D608="placement",$O608="Y",COUNTIF(photos!$R$2:$R$701,$R608)&gt;1),"two usable placement photos: mark one N; ","")&amp;IF($K608&lt;&gt;"Y","info: not usable (a person, screen or whiteboard may show): never used, delete the file; ","")&amp;IF(AND($D608="placement",$J608&lt;&gt;"Y"),"info: not usable as a placement photo (no card); ","")&amp;IF(AND($D608="placement",N($N608)&gt;2),"info: placed after the first business day; ","")&amp;IF(AND($D608="later",$N608&lt;&gt;"",OR(N($N608)&lt;3,N($N608)&gt;5)),"info: later photo outside day 3 to 5; ",""))</f>
        <v/>
      </c>
      <c r="R608" s="25">
        <f>IF($B608="","",$B608&amp;"|"&amp;$C608&amp;"|"&amp;$D608&amp;"|"&amp;$O608)</f>
        <v/>
      </c>
      <c r="S608" s="25">
        <f>IF($B608="","",$R608&amp;"|"&amp;N($E608))</f>
        <v/>
      </c>
    </row>
    <row r="609">
      <c r="E609" s="9" t="n"/>
      <c r="F609" s="33" t="n"/>
      <c r="I609" s="9" t="n"/>
      <c r="M609" s="26">
        <f>IF($B609="","",IFERROR(IF(INDEX(campaigns!$BG$2:$BG$51,MATCH($B609,campaigns!$A$2:$A$51,0))="","",INDEX(campaigns!$BG$2:$BG$51,MATCH($B609,campaigns!$A$2:$A$51,0))),""))</f>
        <v/>
      </c>
      <c r="N609" s="25">
        <f>IF(OR($B609="",$E609="",$M609=""),"",IF($E609&lt;$M609,0,NETWORKDAYS($M609,$E609,calendar!$A$2:$A$80)))</f>
        <v/>
      </c>
      <c r="O609" s="25">
        <f>IF($B609="","",IF(AND($K609="Y",OR($D609="later",$J609="Y")),"Y","N"))</f>
        <v/>
      </c>
      <c r="P609" s="25">
        <f>IF(OR($B609="",$E609=""),"",$B609&amp;"_"&amp;$C609&amp;"_"&amp;$D609&amp;"_"&amp;TEXT($E609,"yyyy-mm-dd")&amp;".jpg")</f>
        <v/>
      </c>
      <c r="Q609" s="25">
        <f>IF($B609="","",IF(COUNTIF(campaigns!$A$2:$A$51,$B609)=0,"campaign_id not on campaigns; ",IF(AND($C609&lt;&gt;"",COUNTIFS(approvals!$A$2:$A$251,$B609,approvals!$B$2:$B$251,$C609)=0),"office not on this campaign (approvals tab); ",""))&amp;IF($E609="","taken date missing; ","")&amp;IF(AND($H609&lt;&gt;"",$H609&lt;&gt;$P609),"file name differs from the convention; ","")&amp;IF(AND($D609="placement",$O609="Y",COUNTIF(photos!$R$2:$R$701,$R609)&gt;1),"two usable placement photos: mark one N; ","")&amp;IF($K609&lt;&gt;"Y","info: not usable (a person, screen or whiteboard may show): never used, delete the file; ","")&amp;IF(AND($D609="placement",$J609&lt;&gt;"Y"),"info: not usable as a placement photo (no card); ","")&amp;IF(AND($D609="placement",N($N609)&gt;2),"info: placed after the first business day; ","")&amp;IF(AND($D609="later",$N609&lt;&gt;"",OR(N($N609)&lt;3,N($N609)&gt;5)),"info: later photo outside day 3 to 5; ",""))</f>
        <v/>
      </c>
      <c r="R609" s="25">
        <f>IF($B609="","",$B609&amp;"|"&amp;$C609&amp;"|"&amp;$D609&amp;"|"&amp;$O609)</f>
        <v/>
      </c>
      <c r="S609" s="25">
        <f>IF($B609="","",$R609&amp;"|"&amp;N($E609))</f>
        <v/>
      </c>
    </row>
    <row r="610">
      <c r="E610" s="9" t="n"/>
      <c r="F610" s="33" t="n"/>
      <c r="I610" s="9" t="n"/>
      <c r="M610" s="26">
        <f>IF($B610="","",IFERROR(IF(INDEX(campaigns!$BG$2:$BG$51,MATCH($B610,campaigns!$A$2:$A$51,0))="","",INDEX(campaigns!$BG$2:$BG$51,MATCH($B610,campaigns!$A$2:$A$51,0))),""))</f>
        <v/>
      </c>
      <c r="N610" s="25">
        <f>IF(OR($B610="",$E610="",$M610=""),"",IF($E610&lt;$M610,0,NETWORKDAYS($M610,$E610,calendar!$A$2:$A$80)))</f>
        <v/>
      </c>
      <c r="O610" s="25">
        <f>IF($B610="","",IF(AND($K610="Y",OR($D610="later",$J610="Y")),"Y","N"))</f>
        <v/>
      </c>
      <c r="P610" s="25">
        <f>IF(OR($B610="",$E610=""),"",$B610&amp;"_"&amp;$C610&amp;"_"&amp;$D610&amp;"_"&amp;TEXT($E610,"yyyy-mm-dd")&amp;".jpg")</f>
        <v/>
      </c>
      <c r="Q610" s="25">
        <f>IF($B610="","",IF(COUNTIF(campaigns!$A$2:$A$51,$B610)=0,"campaign_id not on campaigns; ",IF(AND($C610&lt;&gt;"",COUNTIFS(approvals!$A$2:$A$251,$B610,approvals!$B$2:$B$251,$C610)=0),"office not on this campaign (approvals tab); ",""))&amp;IF($E610="","taken date missing; ","")&amp;IF(AND($H610&lt;&gt;"",$H610&lt;&gt;$P610),"file name differs from the convention; ","")&amp;IF(AND($D610="placement",$O610="Y",COUNTIF(photos!$R$2:$R$701,$R610)&gt;1),"two usable placement photos: mark one N; ","")&amp;IF($K610&lt;&gt;"Y","info: not usable (a person, screen or whiteboard may show): never used, delete the file; ","")&amp;IF(AND($D610="placement",$J610&lt;&gt;"Y"),"info: not usable as a placement photo (no card); ","")&amp;IF(AND($D610="placement",N($N610)&gt;2),"info: placed after the first business day; ","")&amp;IF(AND($D610="later",$N610&lt;&gt;"",OR(N($N610)&lt;3,N($N610)&gt;5)),"info: later photo outside day 3 to 5; ",""))</f>
        <v/>
      </c>
      <c r="R610" s="25">
        <f>IF($B610="","",$B610&amp;"|"&amp;$C610&amp;"|"&amp;$D610&amp;"|"&amp;$O610)</f>
        <v/>
      </c>
      <c r="S610" s="25">
        <f>IF($B610="","",$R610&amp;"|"&amp;N($E610))</f>
        <v/>
      </c>
    </row>
    <row r="611">
      <c r="E611" s="9" t="n"/>
      <c r="F611" s="33" t="n"/>
      <c r="I611" s="9" t="n"/>
      <c r="M611" s="26">
        <f>IF($B611="","",IFERROR(IF(INDEX(campaigns!$BG$2:$BG$51,MATCH($B611,campaigns!$A$2:$A$51,0))="","",INDEX(campaigns!$BG$2:$BG$51,MATCH($B611,campaigns!$A$2:$A$51,0))),""))</f>
        <v/>
      </c>
      <c r="N611" s="25">
        <f>IF(OR($B611="",$E611="",$M611=""),"",IF($E611&lt;$M611,0,NETWORKDAYS($M611,$E611,calendar!$A$2:$A$80)))</f>
        <v/>
      </c>
      <c r="O611" s="25">
        <f>IF($B611="","",IF(AND($K611="Y",OR($D611="later",$J611="Y")),"Y","N"))</f>
        <v/>
      </c>
      <c r="P611" s="25">
        <f>IF(OR($B611="",$E611=""),"",$B611&amp;"_"&amp;$C611&amp;"_"&amp;$D611&amp;"_"&amp;TEXT($E611,"yyyy-mm-dd")&amp;".jpg")</f>
        <v/>
      </c>
      <c r="Q611" s="25">
        <f>IF($B611="","",IF(COUNTIF(campaigns!$A$2:$A$51,$B611)=0,"campaign_id not on campaigns; ",IF(AND($C611&lt;&gt;"",COUNTIFS(approvals!$A$2:$A$251,$B611,approvals!$B$2:$B$251,$C611)=0),"office not on this campaign (approvals tab); ",""))&amp;IF($E611="","taken date missing; ","")&amp;IF(AND($H611&lt;&gt;"",$H611&lt;&gt;$P611),"file name differs from the convention; ","")&amp;IF(AND($D611="placement",$O611="Y",COUNTIF(photos!$R$2:$R$701,$R611)&gt;1),"two usable placement photos: mark one N; ","")&amp;IF($K611&lt;&gt;"Y","info: not usable (a person, screen or whiteboard may show): never used, delete the file; ","")&amp;IF(AND($D611="placement",$J611&lt;&gt;"Y"),"info: not usable as a placement photo (no card); ","")&amp;IF(AND($D611="placement",N($N611)&gt;2),"info: placed after the first business day; ","")&amp;IF(AND($D611="later",$N611&lt;&gt;"",OR(N($N611)&lt;3,N($N611)&gt;5)),"info: later photo outside day 3 to 5; ",""))</f>
        <v/>
      </c>
      <c r="R611" s="25">
        <f>IF($B611="","",$B611&amp;"|"&amp;$C611&amp;"|"&amp;$D611&amp;"|"&amp;$O611)</f>
        <v/>
      </c>
      <c r="S611" s="25">
        <f>IF($B611="","",$R611&amp;"|"&amp;N($E611))</f>
        <v/>
      </c>
    </row>
    <row r="612">
      <c r="E612" s="9" t="n"/>
      <c r="F612" s="33" t="n"/>
      <c r="I612" s="9" t="n"/>
      <c r="M612" s="26">
        <f>IF($B612="","",IFERROR(IF(INDEX(campaigns!$BG$2:$BG$51,MATCH($B612,campaigns!$A$2:$A$51,0))="","",INDEX(campaigns!$BG$2:$BG$51,MATCH($B612,campaigns!$A$2:$A$51,0))),""))</f>
        <v/>
      </c>
      <c r="N612" s="25">
        <f>IF(OR($B612="",$E612="",$M612=""),"",IF($E612&lt;$M612,0,NETWORKDAYS($M612,$E612,calendar!$A$2:$A$80)))</f>
        <v/>
      </c>
      <c r="O612" s="25">
        <f>IF($B612="","",IF(AND($K612="Y",OR($D612="later",$J612="Y")),"Y","N"))</f>
        <v/>
      </c>
      <c r="P612" s="25">
        <f>IF(OR($B612="",$E612=""),"",$B612&amp;"_"&amp;$C612&amp;"_"&amp;$D612&amp;"_"&amp;TEXT($E612,"yyyy-mm-dd")&amp;".jpg")</f>
        <v/>
      </c>
      <c r="Q612" s="25">
        <f>IF($B612="","",IF(COUNTIF(campaigns!$A$2:$A$51,$B612)=0,"campaign_id not on campaigns; ",IF(AND($C612&lt;&gt;"",COUNTIFS(approvals!$A$2:$A$251,$B612,approvals!$B$2:$B$251,$C612)=0),"office not on this campaign (approvals tab); ",""))&amp;IF($E612="","taken date missing; ","")&amp;IF(AND($H612&lt;&gt;"",$H612&lt;&gt;$P612),"file name differs from the convention; ","")&amp;IF(AND($D612="placement",$O612="Y",COUNTIF(photos!$R$2:$R$701,$R612)&gt;1),"two usable placement photos: mark one N; ","")&amp;IF($K612&lt;&gt;"Y","info: not usable (a person, screen or whiteboard may show): never used, delete the file; ","")&amp;IF(AND($D612="placement",$J612&lt;&gt;"Y"),"info: not usable as a placement photo (no card); ","")&amp;IF(AND($D612="placement",N($N612)&gt;2),"info: placed after the first business day; ","")&amp;IF(AND($D612="later",$N612&lt;&gt;"",OR(N($N612)&lt;3,N($N612)&gt;5)),"info: later photo outside day 3 to 5; ",""))</f>
        <v/>
      </c>
      <c r="R612" s="25">
        <f>IF($B612="","",$B612&amp;"|"&amp;$C612&amp;"|"&amp;$D612&amp;"|"&amp;$O612)</f>
        <v/>
      </c>
      <c r="S612" s="25">
        <f>IF($B612="","",$R612&amp;"|"&amp;N($E612))</f>
        <v/>
      </c>
    </row>
    <row r="613">
      <c r="E613" s="9" t="n"/>
      <c r="F613" s="33" t="n"/>
      <c r="I613" s="9" t="n"/>
      <c r="M613" s="26">
        <f>IF($B613="","",IFERROR(IF(INDEX(campaigns!$BG$2:$BG$51,MATCH($B613,campaigns!$A$2:$A$51,0))="","",INDEX(campaigns!$BG$2:$BG$51,MATCH($B613,campaigns!$A$2:$A$51,0))),""))</f>
        <v/>
      </c>
      <c r="N613" s="25">
        <f>IF(OR($B613="",$E613="",$M613=""),"",IF($E613&lt;$M613,0,NETWORKDAYS($M613,$E613,calendar!$A$2:$A$80)))</f>
        <v/>
      </c>
      <c r="O613" s="25">
        <f>IF($B613="","",IF(AND($K613="Y",OR($D613="later",$J613="Y")),"Y","N"))</f>
        <v/>
      </c>
      <c r="P613" s="25">
        <f>IF(OR($B613="",$E613=""),"",$B613&amp;"_"&amp;$C613&amp;"_"&amp;$D613&amp;"_"&amp;TEXT($E613,"yyyy-mm-dd")&amp;".jpg")</f>
        <v/>
      </c>
      <c r="Q613" s="25">
        <f>IF($B613="","",IF(COUNTIF(campaigns!$A$2:$A$51,$B613)=0,"campaign_id not on campaigns; ",IF(AND($C613&lt;&gt;"",COUNTIFS(approvals!$A$2:$A$251,$B613,approvals!$B$2:$B$251,$C613)=0),"office not on this campaign (approvals tab); ",""))&amp;IF($E613="","taken date missing; ","")&amp;IF(AND($H613&lt;&gt;"",$H613&lt;&gt;$P613),"file name differs from the convention; ","")&amp;IF(AND($D613="placement",$O613="Y",COUNTIF(photos!$R$2:$R$701,$R613)&gt;1),"two usable placement photos: mark one N; ","")&amp;IF($K613&lt;&gt;"Y","info: not usable (a person, screen or whiteboard may show): never used, delete the file; ","")&amp;IF(AND($D613="placement",$J613&lt;&gt;"Y"),"info: not usable as a placement photo (no card); ","")&amp;IF(AND($D613="placement",N($N613)&gt;2),"info: placed after the first business day; ","")&amp;IF(AND($D613="later",$N613&lt;&gt;"",OR(N($N613)&lt;3,N($N613)&gt;5)),"info: later photo outside day 3 to 5; ",""))</f>
        <v/>
      </c>
      <c r="R613" s="25">
        <f>IF($B613="","",$B613&amp;"|"&amp;$C613&amp;"|"&amp;$D613&amp;"|"&amp;$O613)</f>
        <v/>
      </c>
      <c r="S613" s="25">
        <f>IF($B613="","",$R613&amp;"|"&amp;N($E613))</f>
        <v/>
      </c>
    </row>
    <row r="614">
      <c r="E614" s="9" t="n"/>
      <c r="F614" s="33" t="n"/>
      <c r="I614" s="9" t="n"/>
      <c r="M614" s="26">
        <f>IF($B614="","",IFERROR(IF(INDEX(campaigns!$BG$2:$BG$51,MATCH($B614,campaigns!$A$2:$A$51,0))="","",INDEX(campaigns!$BG$2:$BG$51,MATCH($B614,campaigns!$A$2:$A$51,0))),""))</f>
        <v/>
      </c>
      <c r="N614" s="25">
        <f>IF(OR($B614="",$E614="",$M614=""),"",IF($E614&lt;$M614,0,NETWORKDAYS($M614,$E614,calendar!$A$2:$A$80)))</f>
        <v/>
      </c>
      <c r="O614" s="25">
        <f>IF($B614="","",IF(AND($K614="Y",OR($D614="later",$J614="Y")),"Y","N"))</f>
        <v/>
      </c>
      <c r="P614" s="25">
        <f>IF(OR($B614="",$E614=""),"",$B614&amp;"_"&amp;$C614&amp;"_"&amp;$D614&amp;"_"&amp;TEXT($E614,"yyyy-mm-dd")&amp;".jpg")</f>
        <v/>
      </c>
      <c r="Q614" s="25">
        <f>IF($B614="","",IF(COUNTIF(campaigns!$A$2:$A$51,$B614)=0,"campaign_id not on campaigns; ",IF(AND($C614&lt;&gt;"",COUNTIFS(approvals!$A$2:$A$251,$B614,approvals!$B$2:$B$251,$C614)=0),"office not on this campaign (approvals tab); ",""))&amp;IF($E614="","taken date missing; ","")&amp;IF(AND($H614&lt;&gt;"",$H614&lt;&gt;$P614),"file name differs from the convention; ","")&amp;IF(AND($D614="placement",$O614="Y",COUNTIF(photos!$R$2:$R$701,$R614)&gt;1),"two usable placement photos: mark one N; ","")&amp;IF($K614&lt;&gt;"Y","info: not usable (a person, screen or whiteboard may show): never used, delete the file; ","")&amp;IF(AND($D614="placement",$J614&lt;&gt;"Y"),"info: not usable as a placement photo (no card); ","")&amp;IF(AND($D614="placement",N($N614)&gt;2),"info: placed after the first business day; ","")&amp;IF(AND($D614="later",$N614&lt;&gt;"",OR(N($N614)&lt;3,N($N614)&gt;5)),"info: later photo outside day 3 to 5; ",""))</f>
        <v/>
      </c>
      <c r="R614" s="25">
        <f>IF($B614="","",$B614&amp;"|"&amp;$C614&amp;"|"&amp;$D614&amp;"|"&amp;$O614)</f>
        <v/>
      </c>
      <c r="S614" s="25">
        <f>IF($B614="","",$R614&amp;"|"&amp;N($E614))</f>
        <v/>
      </c>
    </row>
    <row r="615">
      <c r="E615" s="9" t="n"/>
      <c r="F615" s="33" t="n"/>
      <c r="I615" s="9" t="n"/>
      <c r="M615" s="26">
        <f>IF($B615="","",IFERROR(IF(INDEX(campaigns!$BG$2:$BG$51,MATCH($B615,campaigns!$A$2:$A$51,0))="","",INDEX(campaigns!$BG$2:$BG$51,MATCH($B615,campaigns!$A$2:$A$51,0))),""))</f>
        <v/>
      </c>
      <c r="N615" s="25">
        <f>IF(OR($B615="",$E615="",$M615=""),"",IF($E615&lt;$M615,0,NETWORKDAYS($M615,$E615,calendar!$A$2:$A$80)))</f>
        <v/>
      </c>
      <c r="O615" s="25">
        <f>IF($B615="","",IF(AND($K615="Y",OR($D615="later",$J615="Y")),"Y","N"))</f>
        <v/>
      </c>
      <c r="P615" s="25">
        <f>IF(OR($B615="",$E615=""),"",$B615&amp;"_"&amp;$C615&amp;"_"&amp;$D615&amp;"_"&amp;TEXT($E615,"yyyy-mm-dd")&amp;".jpg")</f>
        <v/>
      </c>
      <c r="Q615" s="25">
        <f>IF($B615="","",IF(COUNTIF(campaigns!$A$2:$A$51,$B615)=0,"campaign_id not on campaigns; ",IF(AND($C615&lt;&gt;"",COUNTIFS(approvals!$A$2:$A$251,$B615,approvals!$B$2:$B$251,$C615)=0),"office not on this campaign (approvals tab); ",""))&amp;IF($E615="","taken date missing; ","")&amp;IF(AND($H615&lt;&gt;"",$H615&lt;&gt;$P615),"file name differs from the convention; ","")&amp;IF(AND($D615="placement",$O615="Y",COUNTIF(photos!$R$2:$R$701,$R615)&gt;1),"two usable placement photos: mark one N; ","")&amp;IF($K615&lt;&gt;"Y","info: not usable (a person, screen or whiteboard may show): never used, delete the file; ","")&amp;IF(AND($D615="placement",$J615&lt;&gt;"Y"),"info: not usable as a placement photo (no card); ","")&amp;IF(AND($D615="placement",N($N615)&gt;2),"info: placed after the first business day; ","")&amp;IF(AND($D615="later",$N615&lt;&gt;"",OR(N($N615)&lt;3,N($N615)&gt;5)),"info: later photo outside day 3 to 5; ",""))</f>
        <v/>
      </c>
      <c r="R615" s="25">
        <f>IF($B615="","",$B615&amp;"|"&amp;$C615&amp;"|"&amp;$D615&amp;"|"&amp;$O615)</f>
        <v/>
      </c>
      <c r="S615" s="25">
        <f>IF($B615="","",$R615&amp;"|"&amp;N($E615))</f>
        <v/>
      </c>
    </row>
    <row r="616">
      <c r="E616" s="9" t="n"/>
      <c r="F616" s="33" t="n"/>
      <c r="I616" s="9" t="n"/>
      <c r="M616" s="26">
        <f>IF($B616="","",IFERROR(IF(INDEX(campaigns!$BG$2:$BG$51,MATCH($B616,campaigns!$A$2:$A$51,0))="","",INDEX(campaigns!$BG$2:$BG$51,MATCH($B616,campaigns!$A$2:$A$51,0))),""))</f>
        <v/>
      </c>
      <c r="N616" s="25">
        <f>IF(OR($B616="",$E616="",$M616=""),"",IF($E616&lt;$M616,0,NETWORKDAYS($M616,$E616,calendar!$A$2:$A$80)))</f>
        <v/>
      </c>
      <c r="O616" s="25">
        <f>IF($B616="","",IF(AND($K616="Y",OR($D616="later",$J616="Y")),"Y","N"))</f>
        <v/>
      </c>
      <c r="P616" s="25">
        <f>IF(OR($B616="",$E616=""),"",$B616&amp;"_"&amp;$C616&amp;"_"&amp;$D616&amp;"_"&amp;TEXT($E616,"yyyy-mm-dd")&amp;".jpg")</f>
        <v/>
      </c>
      <c r="Q616" s="25">
        <f>IF($B616="","",IF(COUNTIF(campaigns!$A$2:$A$51,$B616)=0,"campaign_id not on campaigns; ",IF(AND($C616&lt;&gt;"",COUNTIFS(approvals!$A$2:$A$251,$B616,approvals!$B$2:$B$251,$C616)=0),"office not on this campaign (approvals tab); ",""))&amp;IF($E616="","taken date missing; ","")&amp;IF(AND($H616&lt;&gt;"",$H616&lt;&gt;$P616),"file name differs from the convention; ","")&amp;IF(AND($D616="placement",$O616="Y",COUNTIF(photos!$R$2:$R$701,$R616)&gt;1),"two usable placement photos: mark one N; ","")&amp;IF($K616&lt;&gt;"Y","info: not usable (a person, screen or whiteboard may show): never used, delete the file; ","")&amp;IF(AND($D616="placement",$J616&lt;&gt;"Y"),"info: not usable as a placement photo (no card); ","")&amp;IF(AND($D616="placement",N($N616)&gt;2),"info: placed after the first business day; ","")&amp;IF(AND($D616="later",$N616&lt;&gt;"",OR(N($N616)&lt;3,N($N616)&gt;5)),"info: later photo outside day 3 to 5; ",""))</f>
        <v/>
      </c>
      <c r="R616" s="25">
        <f>IF($B616="","",$B616&amp;"|"&amp;$C616&amp;"|"&amp;$D616&amp;"|"&amp;$O616)</f>
        <v/>
      </c>
      <c r="S616" s="25">
        <f>IF($B616="","",$R616&amp;"|"&amp;N($E616))</f>
        <v/>
      </c>
    </row>
    <row r="617">
      <c r="E617" s="9" t="n"/>
      <c r="F617" s="33" t="n"/>
      <c r="I617" s="9" t="n"/>
      <c r="M617" s="26">
        <f>IF($B617="","",IFERROR(IF(INDEX(campaigns!$BG$2:$BG$51,MATCH($B617,campaigns!$A$2:$A$51,0))="","",INDEX(campaigns!$BG$2:$BG$51,MATCH($B617,campaigns!$A$2:$A$51,0))),""))</f>
        <v/>
      </c>
      <c r="N617" s="25">
        <f>IF(OR($B617="",$E617="",$M617=""),"",IF($E617&lt;$M617,0,NETWORKDAYS($M617,$E617,calendar!$A$2:$A$80)))</f>
        <v/>
      </c>
      <c r="O617" s="25">
        <f>IF($B617="","",IF(AND($K617="Y",OR($D617="later",$J617="Y")),"Y","N"))</f>
        <v/>
      </c>
      <c r="P617" s="25">
        <f>IF(OR($B617="",$E617=""),"",$B617&amp;"_"&amp;$C617&amp;"_"&amp;$D617&amp;"_"&amp;TEXT($E617,"yyyy-mm-dd")&amp;".jpg")</f>
        <v/>
      </c>
      <c r="Q617" s="25">
        <f>IF($B617="","",IF(COUNTIF(campaigns!$A$2:$A$51,$B617)=0,"campaign_id not on campaigns; ",IF(AND($C617&lt;&gt;"",COUNTIFS(approvals!$A$2:$A$251,$B617,approvals!$B$2:$B$251,$C617)=0),"office not on this campaign (approvals tab); ",""))&amp;IF($E617="","taken date missing; ","")&amp;IF(AND($H617&lt;&gt;"",$H617&lt;&gt;$P617),"file name differs from the convention; ","")&amp;IF(AND($D617="placement",$O617="Y",COUNTIF(photos!$R$2:$R$701,$R617)&gt;1),"two usable placement photos: mark one N; ","")&amp;IF($K617&lt;&gt;"Y","info: not usable (a person, screen or whiteboard may show): never used, delete the file; ","")&amp;IF(AND($D617="placement",$J617&lt;&gt;"Y"),"info: not usable as a placement photo (no card); ","")&amp;IF(AND($D617="placement",N($N617)&gt;2),"info: placed after the first business day; ","")&amp;IF(AND($D617="later",$N617&lt;&gt;"",OR(N($N617)&lt;3,N($N617)&gt;5)),"info: later photo outside day 3 to 5; ",""))</f>
        <v/>
      </c>
      <c r="R617" s="25">
        <f>IF($B617="","",$B617&amp;"|"&amp;$C617&amp;"|"&amp;$D617&amp;"|"&amp;$O617)</f>
        <v/>
      </c>
      <c r="S617" s="25">
        <f>IF($B617="","",$R617&amp;"|"&amp;N($E617))</f>
        <v/>
      </c>
    </row>
    <row r="618">
      <c r="E618" s="9" t="n"/>
      <c r="F618" s="33" t="n"/>
      <c r="I618" s="9" t="n"/>
      <c r="M618" s="26">
        <f>IF($B618="","",IFERROR(IF(INDEX(campaigns!$BG$2:$BG$51,MATCH($B618,campaigns!$A$2:$A$51,0))="","",INDEX(campaigns!$BG$2:$BG$51,MATCH($B618,campaigns!$A$2:$A$51,0))),""))</f>
        <v/>
      </c>
      <c r="N618" s="25">
        <f>IF(OR($B618="",$E618="",$M618=""),"",IF($E618&lt;$M618,0,NETWORKDAYS($M618,$E618,calendar!$A$2:$A$80)))</f>
        <v/>
      </c>
      <c r="O618" s="25">
        <f>IF($B618="","",IF(AND($K618="Y",OR($D618="later",$J618="Y")),"Y","N"))</f>
        <v/>
      </c>
      <c r="P618" s="25">
        <f>IF(OR($B618="",$E618=""),"",$B618&amp;"_"&amp;$C618&amp;"_"&amp;$D618&amp;"_"&amp;TEXT($E618,"yyyy-mm-dd")&amp;".jpg")</f>
        <v/>
      </c>
      <c r="Q618" s="25">
        <f>IF($B618="","",IF(COUNTIF(campaigns!$A$2:$A$51,$B618)=0,"campaign_id not on campaigns; ",IF(AND($C618&lt;&gt;"",COUNTIFS(approvals!$A$2:$A$251,$B618,approvals!$B$2:$B$251,$C618)=0),"office not on this campaign (approvals tab); ",""))&amp;IF($E618="","taken date missing; ","")&amp;IF(AND($H618&lt;&gt;"",$H618&lt;&gt;$P618),"file name differs from the convention; ","")&amp;IF(AND($D618="placement",$O618="Y",COUNTIF(photos!$R$2:$R$701,$R618)&gt;1),"two usable placement photos: mark one N; ","")&amp;IF($K618&lt;&gt;"Y","info: not usable (a person, screen or whiteboard may show): never used, delete the file; ","")&amp;IF(AND($D618="placement",$J618&lt;&gt;"Y"),"info: not usable as a placement photo (no card); ","")&amp;IF(AND($D618="placement",N($N618)&gt;2),"info: placed after the first business day; ","")&amp;IF(AND($D618="later",$N618&lt;&gt;"",OR(N($N618)&lt;3,N($N618)&gt;5)),"info: later photo outside day 3 to 5; ",""))</f>
        <v/>
      </c>
      <c r="R618" s="25">
        <f>IF($B618="","",$B618&amp;"|"&amp;$C618&amp;"|"&amp;$D618&amp;"|"&amp;$O618)</f>
        <v/>
      </c>
      <c r="S618" s="25">
        <f>IF($B618="","",$R618&amp;"|"&amp;N($E618))</f>
        <v/>
      </c>
    </row>
    <row r="619">
      <c r="E619" s="9" t="n"/>
      <c r="F619" s="33" t="n"/>
      <c r="I619" s="9" t="n"/>
      <c r="M619" s="26">
        <f>IF($B619="","",IFERROR(IF(INDEX(campaigns!$BG$2:$BG$51,MATCH($B619,campaigns!$A$2:$A$51,0))="","",INDEX(campaigns!$BG$2:$BG$51,MATCH($B619,campaigns!$A$2:$A$51,0))),""))</f>
        <v/>
      </c>
      <c r="N619" s="25">
        <f>IF(OR($B619="",$E619="",$M619=""),"",IF($E619&lt;$M619,0,NETWORKDAYS($M619,$E619,calendar!$A$2:$A$80)))</f>
        <v/>
      </c>
      <c r="O619" s="25">
        <f>IF($B619="","",IF(AND($K619="Y",OR($D619="later",$J619="Y")),"Y","N"))</f>
        <v/>
      </c>
      <c r="P619" s="25">
        <f>IF(OR($B619="",$E619=""),"",$B619&amp;"_"&amp;$C619&amp;"_"&amp;$D619&amp;"_"&amp;TEXT($E619,"yyyy-mm-dd")&amp;".jpg")</f>
        <v/>
      </c>
      <c r="Q619" s="25">
        <f>IF($B619="","",IF(COUNTIF(campaigns!$A$2:$A$51,$B619)=0,"campaign_id not on campaigns; ",IF(AND($C619&lt;&gt;"",COUNTIFS(approvals!$A$2:$A$251,$B619,approvals!$B$2:$B$251,$C619)=0),"office not on this campaign (approvals tab); ",""))&amp;IF($E619="","taken date missing; ","")&amp;IF(AND($H619&lt;&gt;"",$H619&lt;&gt;$P619),"file name differs from the convention; ","")&amp;IF(AND($D619="placement",$O619="Y",COUNTIF(photos!$R$2:$R$701,$R619)&gt;1),"two usable placement photos: mark one N; ","")&amp;IF($K619&lt;&gt;"Y","info: not usable (a person, screen or whiteboard may show): never used, delete the file; ","")&amp;IF(AND($D619="placement",$J619&lt;&gt;"Y"),"info: not usable as a placement photo (no card); ","")&amp;IF(AND($D619="placement",N($N619)&gt;2),"info: placed after the first business day; ","")&amp;IF(AND($D619="later",$N619&lt;&gt;"",OR(N($N619)&lt;3,N($N619)&gt;5)),"info: later photo outside day 3 to 5; ",""))</f>
        <v/>
      </c>
      <c r="R619" s="25">
        <f>IF($B619="","",$B619&amp;"|"&amp;$C619&amp;"|"&amp;$D619&amp;"|"&amp;$O619)</f>
        <v/>
      </c>
      <c r="S619" s="25">
        <f>IF($B619="","",$R619&amp;"|"&amp;N($E619))</f>
        <v/>
      </c>
    </row>
    <row r="620">
      <c r="E620" s="9" t="n"/>
      <c r="F620" s="33" t="n"/>
      <c r="I620" s="9" t="n"/>
      <c r="M620" s="26">
        <f>IF($B620="","",IFERROR(IF(INDEX(campaigns!$BG$2:$BG$51,MATCH($B620,campaigns!$A$2:$A$51,0))="","",INDEX(campaigns!$BG$2:$BG$51,MATCH($B620,campaigns!$A$2:$A$51,0))),""))</f>
        <v/>
      </c>
      <c r="N620" s="25">
        <f>IF(OR($B620="",$E620="",$M620=""),"",IF($E620&lt;$M620,0,NETWORKDAYS($M620,$E620,calendar!$A$2:$A$80)))</f>
        <v/>
      </c>
      <c r="O620" s="25">
        <f>IF($B620="","",IF(AND($K620="Y",OR($D620="later",$J620="Y")),"Y","N"))</f>
        <v/>
      </c>
      <c r="P620" s="25">
        <f>IF(OR($B620="",$E620=""),"",$B620&amp;"_"&amp;$C620&amp;"_"&amp;$D620&amp;"_"&amp;TEXT($E620,"yyyy-mm-dd")&amp;".jpg")</f>
        <v/>
      </c>
      <c r="Q620" s="25">
        <f>IF($B620="","",IF(COUNTIF(campaigns!$A$2:$A$51,$B620)=0,"campaign_id not on campaigns; ",IF(AND($C620&lt;&gt;"",COUNTIFS(approvals!$A$2:$A$251,$B620,approvals!$B$2:$B$251,$C620)=0),"office not on this campaign (approvals tab); ",""))&amp;IF($E620="","taken date missing; ","")&amp;IF(AND($H620&lt;&gt;"",$H620&lt;&gt;$P620),"file name differs from the convention; ","")&amp;IF(AND($D620="placement",$O620="Y",COUNTIF(photos!$R$2:$R$701,$R620)&gt;1),"two usable placement photos: mark one N; ","")&amp;IF($K620&lt;&gt;"Y","info: not usable (a person, screen or whiteboard may show): never used, delete the file; ","")&amp;IF(AND($D620="placement",$J620&lt;&gt;"Y"),"info: not usable as a placement photo (no card); ","")&amp;IF(AND($D620="placement",N($N620)&gt;2),"info: placed after the first business day; ","")&amp;IF(AND($D620="later",$N620&lt;&gt;"",OR(N($N620)&lt;3,N($N620)&gt;5)),"info: later photo outside day 3 to 5; ",""))</f>
        <v/>
      </c>
      <c r="R620" s="25">
        <f>IF($B620="","",$B620&amp;"|"&amp;$C620&amp;"|"&amp;$D620&amp;"|"&amp;$O620)</f>
        <v/>
      </c>
      <c r="S620" s="25">
        <f>IF($B620="","",$R620&amp;"|"&amp;N($E620))</f>
        <v/>
      </c>
    </row>
    <row r="621">
      <c r="E621" s="9" t="n"/>
      <c r="F621" s="33" t="n"/>
      <c r="I621" s="9" t="n"/>
      <c r="M621" s="26">
        <f>IF($B621="","",IFERROR(IF(INDEX(campaigns!$BG$2:$BG$51,MATCH($B621,campaigns!$A$2:$A$51,0))="","",INDEX(campaigns!$BG$2:$BG$51,MATCH($B621,campaigns!$A$2:$A$51,0))),""))</f>
        <v/>
      </c>
      <c r="N621" s="25">
        <f>IF(OR($B621="",$E621="",$M621=""),"",IF($E621&lt;$M621,0,NETWORKDAYS($M621,$E621,calendar!$A$2:$A$80)))</f>
        <v/>
      </c>
      <c r="O621" s="25">
        <f>IF($B621="","",IF(AND($K621="Y",OR($D621="later",$J621="Y")),"Y","N"))</f>
        <v/>
      </c>
      <c r="P621" s="25">
        <f>IF(OR($B621="",$E621=""),"",$B621&amp;"_"&amp;$C621&amp;"_"&amp;$D621&amp;"_"&amp;TEXT($E621,"yyyy-mm-dd")&amp;".jpg")</f>
        <v/>
      </c>
      <c r="Q621" s="25">
        <f>IF($B621="","",IF(COUNTIF(campaigns!$A$2:$A$51,$B621)=0,"campaign_id not on campaigns; ",IF(AND($C621&lt;&gt;"",COUNTIFS(approvals!$A$2:$A$251,$B621,approvals!$B$2:$B$251,$C621)=0),"office not on this campaign (approvals tab); ",""))&amp;IF($E621="","taken date missing; ","")&amp;IF(AND($H621&lt;&gt;"",$H621&lt;&gt;$P621),"file name differs from the convention; ","")&amp;IF(AND($D621="placement",$O621="Y",COUNTIF(photos!$R$2:$R$701,$R621)&gt;1),"two usable placement photos: mark one N; ","")&amp;IF($K621&lt;&gt;"Y","info: not usable (a person, screen or whiteboard may show): never used, delete the file; ","")&amp;IF(AND($D621="placement",$J621&lt;&gt;"Y"),"info: not usable as a placement photo (no card); ","")&amp;IF(AND($D621="placement",N($N621)&gt;2),"info: placed after the first business day; ","")&amp;IF(AND($D621="later",$N621&lt;&gt;"",OR(N($N621)&lt;3,N($N621)&gt;5)),"info: later photo outside day 3 to 5; ",""))</f>
        <v/>
      </c>
      <c r="R621" s="25">
        <f>IF($B621="","",$B621&amp;"|"&amp;$C621&amp;"|"&amp;$D621&amp;"|"&amp;$O621)</f>
        <v/>
      </c>
      <c r="S621" s="25">
        <f>IF($B621="","",$R621&amp;"|"&amp;N($E621))</f>
        <v/>
      </c>
    </row>
    <row r="622">
      <c r="E622" s="9" t="n"/>
      <c r="F622" s="33" t="n"/>
      <c r="I622" s="9" t="n"/>
      <c r="M622" s="26">
        <f>IF($B622="","",IFERROR(IF(INDEX(campaigns!$BG$2:$BG$51,MATCH($B622,campaigns!$A$2:$A$51,0))="","",INDEX(campaigns!$BG$2:$BG$51,MATCH($B622,campaigns!$A$2:$A$51,0))),""))</f>
        <v/>
      </c>
      <c r="N622" s="25">
        <f>IF(OR($B622="",$E622="",$M622=""),"",IF($E622&lt;$M622,0,NETWORKDAYS($M622,$E622,calendar!$A$2:$A$80)))</f>
        <v/>
      </c>
      <c r="O622" s="25">
        <f>IF($B622="","",IF(AND($K622="Y",OR($D622="later",$J622="Y")),"Y","N"))</f>
        <v/>
      </c>
      <c r="P622" s="25">
        <f>IF(OR($B622="",$E622=""),"",$B622&amp;"_"&amp;$C622&amp;"_"&amp;$D622&amp;"_"&amp;TEXT($E622,"yyyy-mm-dd")&amp;".jpg")</f>
        <v/>
      </c>
      <c r="Q622" s="25">
        <f>IF($B622="","",IF(COUNTIF(campaigns!$A$2:$A$51,$B622)=0,"campaign_id not on campaigns; ",IF(AND($C622&lt;&gt;"",COUNTIFS(approvals!$A$2:$A$251,$B622,approvals!$B$2:$B$251,$C622)=0),"office not on this campaign (approvals tab); ",""))&amp;IF($E622="","taken date missing; ","")&amp;IF(AND($H622&lt;&gt;"",$H622&lt;&gt;$P622),"file name differs from the convention; ","")&amp;IF(AND($D622="placement",$O622="Y",COUNTIF(photos!$R$2:$R$701,$R622)&gt;1),"two usable placement photos: mark one N; ","")&amp;IF($K622&lt;&gt;"Y","info: not usable (a person, screen or whiteboard may show): never used, delete the file; ","")&amp;IF(AND($D622="placement",$J622&lt;&gt;"Y"),"info: not usable as a placement photo (no card); ","")&amp;IF(AND($D622="placement",N($N622)&gt;2),"info: placed after the first business day; ","")&amp;IF(AND($D622="later",$N622&lt;&gt;"",OR(N($N622)&lt;3,N($N622)&gt;5)),"info: later photo outside day 3 to 5; ",""))</f>
        <v/>
      </c>
      <c r="R622" s="25">
        <f>IF($B622="","",$B622&amp;"|"&amp;$C622&amp;"|"&amp;$D622&amp;"|"&amp;$O622)</f>
        <v/>
      </c>
      <c r="S622" s="25">
        <f>IF($B622="","",$R622&amp;"|"&amp;N($E622))</f>
        <v/>
      </c>
    </row>
    <row r="623">
      <c r="E623" s="9" t="n"/>
      <c r="F623" s="33" t="n"/>
      <c r="I623" s="9" t="n"/>
      <c r="M623" s="26">
        <f>IF($B623="","",IFERROR(IF(INDEX(campaigns!$BG$2:$BG$51,MATCH($B623,campaigns!$A$2:$A$51,0))="","",INDEX(campaigns!$BG$2:$BG$51,MATCH($B623,campaigns!$A$2:$A$51,0))),""))</f>
        <v/>
      </c>
      <c r="N623" s="25">
        <f>IF(OR($B623="",$E623="",$M623=""),"",IF($E623&lt;$M623,0,NETWORKDAYS($M623,$E623,calendar!$A$2:$A$80)))</f>
        <v/>
      </c>
      <c r="O623" s="25">
        <f>IF($B623="","",IF(AND($K623="Y",OR($D623="later",$J623="Y")),"Y","N"))</f>
        <v/>
      </c>
      <c r="P623" s="25">
        <f>IF(OR($B623="",$E623=""),"",$B623&amp;"_"&amp;$C623&amp;"_"&amp;$D623&amp;"_"&amp;TEXT($E623,"yyyy-mm-dd")&amp;".jpg")</f>
        <v/>
      </c>
      <c r="Q623" s="25">
        <f>IF($B623="","",IF(COUNTIF(campaigns!$A$2:$A$51,$B623)=0,"campaign_id not on campaigns; ",IF(AND($C623&lt;&gt;"",COUNTIFS(approvals!$A$2:$A$251,$B623,approvals!$B$2:$B$251,$C623)=0),"office not on this campaign (approvals tab); ",""))&amp;IF($E623="","taken date missing; ","")&amp;IF(AND($H623&lt;&gt;"",$H623&lt;&gt;$P623),"file name differs from the convention; ","")&amp;IF(AND($D623="placement",$O623="Y",COUNTIF(photos!$R$2:$R$701,$R623)&gt;1),"two usable placement photos: mark one N; ","")&amp;IF($K623&lt;&gt;"Y","info: not usable (a person, screen or whiteboard may show): never used, delete the file; ","")&amp;IF(AND($D623="placement",$J623&lt;&gt;"Y"),"info: not usable as a placement photo (no card); ","")&amp;IF(AND($D623="placement",N($N623)&gt;2),"info: placed after the first business day; ","")&amp;IF(AND($D623="later",$N623&lt;&gt;"",OR(N($N623)&lt;3,N($N623)&gt;5)),"info: later photo outside day 3 to 5; ",""))</f>
        <v/>
      </c>
      <c r="R623" s="25">
        <f>IF($B623="","",$B623&amp;"|"&amp;$C623&amp;"|"&amp;$D623&amp;"|"&amp;$O623)</f>
        <v/>
      </c>
      <c r="S623" s="25">
        <f>IF($B623="","",$R623&amp;"|"&amp;N($E623))</f>
        <v/>
      </c>
    </row>
    <row r="624">
      <c r="E624" s="9" t="n"/>
      <c r="F624" s="33" t="n"/>
      <c r="I624" s="9" t="n"/>
      <c r="M624" s="26">
        <f>IF($B624="","",IFERROR(IF(INDEX(campaigns!$BG$2:$BG$51,MATCH($B624,campaigns!$A$2:$A$51,0))="","",INDEX(campaigns!$BG$2:$BG$51,MATCH($B624,campaigns!$A$2:$A$51,0))),""))</f>
        <v/>
      </c>
      <c r="N624" s="25">
        <f>IF(OR($B624="",$E624="",$M624=""),"",IF($E624&lt;$M624,0,NETWORKDAYS($M624,$E624,calendar!$A$2:$A$80)))</f>
        <v/>
      </c>
      <c r="O624" s="25">
        <f>IF($B624="","",IF(AND($K624="Y",OR($D624="later",$J624="Y")),"Y","N"))</f>
        <v/>
      </c>
      <c r="P624" s="25">
        <f>IF(OR($B624="",$E624=""),"",$B624&amp;"_"&amp;$C624&amp;"_"&amp;$D624&amp;"_"&amp;TEXT($E624,"yyyy-mm-dd")&amp;".jpg")</f>
        <v/>
      </c>
      <c r="Q624" s="25">
        <f>IF($B624="","",IF(COUNTIF(campaigns!$A$2:$A$51,$B624)=0,"campaign_id not on campaigns; ",IF(AND($C624&lt;&gt;"",COUNTIFS(approvals!$A$2:$A$251,$B624,approvals!$B$2:$B$251,$C624)=0),"office not on this campaign (approvals tab); ",""))&amp;IF($E624="","taken date missing; ","")&amp;IF(AND($H624&lt;&gt;"",$H624&lt;&gt;$P624),"file name differs from the convention; ","")&amp;IF(AND($D624="placement",$O624="Y",COUNTIF(photos!$R$2:$R$701,$R624)&gt;1),"two usable placement photos: mark one N; ","")&amp;IF($K624&lt;&gt;"Y","info: not usable (a person, screen or whiteboard may show): never used, delete the file; ","")&amp;IF(AND($D624="placement",$J624&lt;&gt;"Y"),"info: not usable as a placement photo (no card); ","")&amp;IF(AND($D624="placement",N($N624)&gt;2),"info: placed after the first business day; ","")&amp;IF(AND($D624="later",$N624&lt;&gt;"",OR(N($N624)&lt;3,N($N624)&gt;5)),"info: later photo outside day 3 to 5; ",""))</f>
        <v/>
      </c>
      <c r="R624" s="25">
        <f>IF($B624="","",$B624&amp;"|"&amp;$C624&amp;"|"&amp;$D624&amp;"|"&amp;$O624)</f>
        <v/>
      </c>
      <c r="S624" s="25">
        <f>IF($B624="","",$R624&amp;"|"&amp;N($E624))</f>
        <v/>
      </c>
    </row>
    <row r="625">
      <c r="E625" s="9" t="n"/>
      <c r="F625" s="33" t="n"/>
      <c r="I625" s="9" t="n"/>
      <c r="M625" s="26">
        <f>IF($B625="","",IFERROR(IF(INDEX(campaigns!$BG$2:$BG$51,MATCH($B625,campaigns!$A$2:$A$51,0))="","",INDEX(campaigns!$BG$2:$BG$51,MATCH($B625,campaigns!$A$2:$A$51,0))),""))</f>
        <v/>
      </c>
      <c r="N625" s="25">
        <f>IF(OR($B625="",$E625="",$M625=""),"",IF($E625&lt;$M625,0,NETWORKDAYS($M625,$E625,calendar!$A$2:$A$80)))</f>
        <v/>
      </c>
      <c r="O625" s="25">
        <f>IF($B625="","",IF(AND($K625="Y",OR($D625="later",$J625="Y")),"Y","N"))</f>
        <v/>
      </c>
      <c r="P625" s="25">
        <f>IF(OR($B625="",$E625=""),"",$B625&amp;"_"&amp;$C625&amp;"_"&amp;$D625&amp;"_"&amp;TEXT($E625,"yyyy-mm-dd")&amp;".jpg")</f>
        <v/>
      </c>
      <c r="Q625" s="25">
        <f>IF($B625="","",IF(COUNTIF(campaigns!$A$2:$A$51,$B625)=0,"campaign_id not on campaigns; ",IF(AND($C625&lt;&gt;"",COUNTIFS(approvals!$A$2:$A$251,$B625,approvals!$B$2:$B$251,$C625)=0),"office not on this campaign (approvals tab); ",""))&amp;IF($E625="","taken date missing; ","")&amp;IF(AND($H625&lt;&gt;"",$H625&lt;&gt;$P625),"file name differs from the convention; ","")&amp;IF(AND($D625="placement",$O625="Y",COUNTIF(photos!$R$2:$R$701,$R625)&gt;1),"two usable placement photos: mark one N; ","")&amp;IF($K625&lt;&gt;"Y","info: not usable (a person, screen or whiteboard may show): never used, delete the file; ","")&amp;IF(AND($D625="placement",$J625&lt;&gt;"Y"),"info: not usable as a placement photo (no card); ","")&amp;IF(AND($D625="placement",N($N625)&gt;2),"info: placed after the first business day; ","")&amp;IF(AND($D625="later",$N625&lt;&gt;"",OR(N($N625)&lt;3,N($N625)&gt;5)),"info: later photo outside day 3 to 5; ",""))</f>
        <v/>
      </c>
      <c r="R625" s="25">
        <f>IF($B625="","",$B625&amp;"|"&amp;$C625&amp;"|"&amp;$D625&amp;"|"&amp;$O625)</f>
        <v/>
      </c>
      <c r="S625" s="25">
        <f>IF($B625="","",$R625&amp;"|"&amp;N($E625))</f>
        <v/>
      </c>
    </row>
    <row r="626">
      <c r="E626" s="9" t="n"/>
      <c r="F626" s="33" t="n"/>
      <c r="I626" s="9" t="n"/>
      <c r="M626" s="26">
        <f>IF($B626="","",IFERROR(IF(INDEX(campaigns!$BG$2:$BG$51,MATCH($B626,campaigns!$A$2:$A$51,0))="","",INDEX(campaigns!$BG$2:$BG$51,MATCH($B626,campaigns!$A$2:$A$51,0))),""))</f>
        <v/>
      </c>
      <c r="N626" s="25">
        <f>IF(OR($B626="",$E626="",$M626=""),"",IF($E626&lt;$M626,0,NETWORKDAYS($M626,$E626,calendar!$A$2:$A$80)))</f>
        <v/>
      </c>
      <c r="O626" s="25">
        <f>IF($B626="","",IF(AND($K626="Y",OR($D626="later",$J626="Y")),"Y","N"))</f>
        <v/>
      </c>
      <c r="P626" s="25">
        <f>IF(OR($B626="",$E626=""),"",$B626&amp;"_"&amp;$C626&amp;"_"&amp;$D626&amp;"_"&amp;TEXT($E626,"yyyy-mm-dd")&amp;".jpg")</f>
        <v/>
      </c>
      <c r="Q626" s="25">
        <f>IF($B626="","",IF(COUNTIF(campaigns!$A$2:$A$51,$B626)=0,"campaign_id not on campaigns; ",IF(AND($C626&lt;&gt;"",COUNTIFS(approvals!$A$2:$A$251,$B626,approvals!$B$2:$B$251,$C626)=0),"office not on this campaign (approvals tab); ",""))&amp;IF($E626="","taken date missing; ","")&amp;IF(AND($H626&lt;&gt;"",$H626&lt;&gt;$P626),"file name differs from the convention; ","")&amp;IF(AND($D626="placement",$O626="Y",COUNTIF(photos!$R$2:$R$701,$R626)&gt;1),"two usable placement photos: mark one N; ","")&amp;IF($K626&lt;&gt;"Y","info: not usable (a person, screen or whiteboard may show): never used, delete the file; ","")&amp;IF(AND($D626="placement",$J626&lt;&gt;"Y"),"info: not usable as a placement photo (no card); ","")&amp;IF(AND($D626="placement",N($N626)&gt;2),"info: placed after the first business day; ","")&amp;IF(AND($D626="later",$N626&lt;&gt;"",OR(N($N626)&lt;3,N($N626)&gt;5)),"info: later photo outside day 3 to 5; ",""))</f>
        <v/>
      </c>
      <c r="R626" s="25">
        <f>IF($B626="","",$B626&amp;"|"&amp;$C626&amp;"|"&amp;$D626&amp;"|"&amp;$O626)</f>
        <v/>
      </c>
      <c r="S626" s="25">
        <f>IF($B626="","",$R626&amp;"|"&amp;N($E626))</f>
        <v/>
      </c>
    </row>
    <row r="627">
      <c r="E627" s="9" t="n"/>
      <c r="F627" s="33" t="n"/>
      <c r="I627" s="9" t="n"/>
      <c r="M627" s="26">
        <f>IF($B627="","",IFERROR(IF(INDEX(campaigns!$BG$2:$BG$51,MATCH($B627,campaigns!$A$2:$A$51,0))="","",INDEX(campaigns!$BG$2:$BG$51,MATCH($B627,campaigns!$A$2:$A$51,0))),""))</f>
        <v/>
      </c>
      <c r="N627" s="25">
        <f>IF(OR($B627="",$E627="",$M627=""),"",IF($E627&lt;$M627,0,NETWORKDAYS($M627,$E627,calendar!$A$2:$A$80)))</f>
        <v/>
      </c>
      <c r="O627" s="25">
        <f>IF($B627="","",IF(AND($K627="Y",OR($D627="later",$J627="Y")),"Y","N"))</f>
        <v/>
      </c>
      <c r="P627" s="25">
        <f>IF(OR($B627="",$E627=""),"",$B627&amp;"_"&amp;$C627&amp;"_"&amp;$D627&amp;"_"&amp;TEXT($E627,"yyyy-mm-dd")&amp;".jpg")</f>
        <v/>
      </c>
      <c r="Q627" s="25">
        <f>IF($B627="","",IF(COUNTIF(campaigns!$A$2:$A$51,$B627)=0,"campaign_id not on campaigns; ",IF(AND($C627&lt;&gt;"",COUNTIFS(approvals!$A$2:$A$251,$B627,approvals!$B$2:$B$251,$C627)=0),"office not on this campaign (approvals tab); ",""))&amp;IF($E627="","taken date missing; ","")&amp;IF(AND($H627&lt;&gt;"",$H627&lt;&gt;$P627),"file name differs from the convention; ","")&amp;IF(AND($D627="placement",$O627="Y",COUNTIF(photos!$R$2:$R$701,$R627)&gt;1),"two usable placement photos: mark one N; ","")&amp;IF($K627&lt;&gt;"Y","info: not usable (a person, screen or whiteboard may show): never used, delete the file; ","")&amp;IF(AND($D627="placement",$J627&lt;&gt;"Y"),"info: not usable as a placement photo (no card); ","")&amp;IF(AND($D627="placement",N($N627)&gt;2),"info: placed after the first business day; ","")&amp;IF(AND($D627="later",$N627&lt;&gt;"",OR(N($N627)&lt;3,N($N627)&gt;5)),"info: later photo outside day 3 to 5; ",""))</f>
        <v/>
      </c>
      <c r="R627" s="25">
        <f>IF($B627="","",$B627&amp;"|"&amp;$C627&amp;"|"&amp;$D627&amp;"|"&amp;$O627)</f>
        <v/>
      </c>
      <c r="S627" s="25">
        <f>IF($B627="","",$R627&amp;"|"&amp;N($E627))</f>
        <v/>
      </c>
    </row>
    <row r="628">
      <c r="E628" s="9" t="n"/>
      <c r="F628" s="33" t="n"/>
      <c r="I628" s="9" t="n"/>
      <c r="M628" s="26">
        <f>IF($B628="","",IFERROR(IF(INDEX(campaigns!$BG$2:$BG$51,MATCH($B628,campaigns!$A$2:$A$51,0))="","",INDEX(campaigns!$BG$2:$BG$51,MATCH($B628,campaigns!$A$2:$A$51,0))),""))</f>
        <v/>
      </c>
      <c r="N628" s="25">
        <f>IF(OR($B628="",$E628="",$M628=""),"",IF($E628&lt;$M628,0,NETWORKDAYS($M628,$E628,calendar!$A$2:$A$80)))</f>
        <v/>
      </c>
      <c r="O628" s="25">
        <f>IF($B628="","",IF(AND($K628="Y",OR($D628="later",$J628="Y")),"Y","N"))</f>
        <v/>
      </c>
      <c r="P628" s="25">
        <f>IF(OR($B628="",$E628=""),"",$B628&amp;"_"&amp;$C628&amp;"_"&amp;$D628&amp;"_"&amp;TEXT($E628,"yyyy-mm-dd")&amp;".jpg")</f>
        <v/>
      </c>
      <c r="Q628" s="25">
        <f>IF($B628="","",IF(COUNTIF(campaigns!$A$2:$A$51,$B628)=0,"campaign_id not on campaigns; ",IF(AND($C628&lt;&gt;"",COUNTIFS(approvals!$A$2:$A$251,$B628,approvals!$B$2:$B$251,$C628)=0),"office not on this campaign (approvals tab); ",""))&amp;IF($E628="","taken date missing; ","")&amp;IF(AND($H628&lt;&gt;"",$H628&lt;&gt;$P628),"file name differs from the convention; ","")&amp;IF(AND($D628="placement",$O628="Y",COUNTIF(photos!$R$2:$R$701,$R628)&gt;1),"two usable placement photos: mark one N; ","")&amp;IF($K628&lt;&gt;"Y","info: not usable (a person, screen or whiteboard may show): never used, delete the file; ","")&amp;IF(AND($D628="placement",$J628&lt;&gt;"Y"),"info: not usable as a placement photo (no card); ","")&amp;IF(AND($D628="placement",N($N628)&gt;2),"info: placed after the first business day; ","")&amp;IF(AND($D628="later",$N628&lt;&gt;"",OR(N($N628)&lt;3,N($N628)&gt;5)),"info: later photo outside day 3 to 5; ",""))</f>
        <v/>
      </c>
      <c r="R628" s="25">
        <f>IF($B628="","",$B628&amp;"|"&amp;$C628&amp;"|"&amp;$D628&amp;"|"&amp;$O628)</f>
        <v/>
      </c>
      <c r="S628" s="25">
        <f>IF($B628="","",$R628&amp;"|"&amp;N($E628))</f>
        <v/>
      </c>
    </row>
    <row r="629">
      <c r="E629" s="9" t="n"/>
      <c r="F629" s="33" t="n"/>
      <c r="I629" s="9" t="n"/>
      <c r="M629" s="26">
        <f>IF($B629="","",IFERROR(IF(INDEX(campaigns!$BG$2:$BG$51,MATCH($B629,campaigns!$A$2:$A$51,0))="","",INDEX(campaigns!$BG$2:$BG$51,MATCH($B629,campaigns!$A$2:$A$51,0))),""))</f>
        <v/>
      </c>
      <c r="N629" s="25">
        <f>IF(OR($B629="",$E629="",$M629=""),"",IF($E629&lt;$M629,0,NETWORKDAYS($M629,$E629,calendar!$A$2:$A$80)))</f>
        <v/>
      </c>
      <c r="O629" s="25">
        <f>IF($B629="","",IF(AND($K629="Y",OR($D629="later",$J629="Y")),"Y","N"))</f>
        <v/>
      </c>
      <c r="P629" s="25">
        <f>IF(OR($B629="",$E629=""),"",$B629&amp;"_"&amp;$C629&amp;"_"&amp;$D629&amp;"_"&amp;TEXT($E629,"yyyy-mm-dd")&amp;".jpg")</f>
        <v/>
      </c>
      <c r="Q629" s="25">
        <f>IF($B629="","",IF(COUNTIF(campaigns!$A$2:$A$51,$B629)=0,"campaign_id not on campaigns; ",IF(AND($C629&lt;&gt;"",COUNTIFS(approvals!$A$2:$A$251,$B629,approvals!$B$2:$B$251,$C629)=0),"office not on this campaign (approvals tab); ",""))&amp;IF($E629="","taken date missing; ","")&amp;IF(AND($H629&lt;&gt;"",$H629&lt;&gt;$P629),"file name differs from the convention; ","")&amp;IF(AND($D629="placement",$O629="Y",COUNTIF(photos!$R$2:$R$701,$R629)&gt;1),"two usable placement photos: mark one N; ","")&amp;IF($K629&lt;&gt;"Y","info: not usable (a person, screen or whiteboard may show): never used, delete the file; ","")&amp;IF(AND($D629="placement",$J629&lt;&gt;"Y"),"info: not usable as a placement photo (no card); ","")&amp;IF(AND($D629="placement",N($N629)&gt;2),"info: placed after the first business day; ","")&amp;IF(AND($D629="later",$N629&lt;&gt;"",OR(N($N629)&lt;3,N($N629)&gt;5)),"info: later photo outside day 3 to 5; ",""))</f>
        <v/>
      </c>
      <c r="R629" s="25">
        <f>IF($B629="","",$B629&amp;"|"&amp;$C629&amp;"|"&amp;$D629&amp;"|"&amp;$O629)</f>
        <v/>
      </c>
      <c r="S629" s="25">
        <f>IF($B629="","",$R629&amp;"|"&amp;N($E629))</f>
        <v/>
      </c>
    </row>
    <row r="630">
      <c r="E630" s="9" t="n"/>
      <c r="F630" s="33" t="n"/>
      <c r="I630" s="9" t="n"/>
      <c r="M630" s="26">
        <f>IF($B630="","",IFERROR(IF(INDEX(campaigns!$BG$2:$BG$51,MATCH($B630,campaigns!$A$2:$A$51,0))="","",INDEX(campaigns!$BG$2:$BG$51,MATCH($B630,campaigns!$A$2:$A$51,0))),""))</f>
        <v/>
      </c>
      <c r="N630" s="25">
        <f>IF(OR($B630="",$E630="",$M630=""),"",IF($E630&lt;$M630,0,NETWORKDAYS($M630,$E630,calendar!$A$2:$A$80)))</f>
        <v/>
      </c>
      <c r="O630" s="25">
        <f>IF($B630="","",IF(AND($K630="Y",OR($D630="later",$J630="Y")),"Y","N"))</f>
        <v/>
      </c>
      <c r="P630" s="25">
        <f>IF(OR($B630="",$E630=""),"",$B630&amp;"_"&amp;$C630&amp;"_"&amp;$D630&amp;"_"&amp;TEXT($E630,"yyyy-mm-dd")&amp;".jpg")</f>
        <v/>
      </c>
      <c r="Q630" s="25">
        <f>IF($B630="","",IF(COUNTIF(campaigns!$A$2:$A$51,$B630)=0,"campaign_id not on campaigns; ",IF(AND($C630&lt;&gt;"",COUNTIFS(approvals!$A$2:$A$251,$B630,approvals!$B$2:$B$251,$C630)=0),"office not on this campaign (approvals tab); ",""))&amp;IF($E630="","taken date missing; ","")&amp;IF(AND($H630&lt;&gt;"",$H630&lt;&gt;$P630),"file name differs from the convention; ","")&amp;IF(AND($D630="placement",$O630="Y",COUNTIF(photos!$R$2:$R$701,$R630)&gt;1),"two usable placement photos: mark one N; ","")&amp;IF($K630&lt;&gt;"Y","info: not usable (a person, screen or whiteboard may show): never used, delete the file; ","")&amp;IF(AND($D630="placement",$J630&lt;&gt;"Y"),"info: not usable as a placement photo (no card); ","")&amp;IF(AND($D630="placement",N($N630)&gt;2),"info: placed after the first business day; ","")&amp;IF(AND($D630="later",$N630&lt;&gt;"",OR(N($N630)&lt;3,N($N630)&gt;5)),"info: later photo outside day 3 to 5; ",""))</f>
        <v/>
      </c>
      <c r="R630" s="25">
        <f>IF($B630="","",$B630&amp;"|"&amp;$C630&amp;"|"&amp;$D630&amp;"|"&amp;$O630)</f>
        <v/>
      </c>
      <c r="S630" s="25">
        <f>IF($B630="","",$R630&amp;"|"&amp;N($E630))</f>
        <v/>
      </c>
    </row>
    <row r="631">
      <c r="E631" s="9" t="n"/>
      <c r="F631" s="33" t="n"/>
      <c r="I631" s="9" t="n"/>
      <c r="M631" s="26">
        <f>IF($B631="","",IFERROR(IF(INDEX(campaigns!$BG$2:$BG$51,MATCH($B631,campaigns!$A$2:$A$51,0))="","",INDEX(campaigns!$BG$2:$BG$51,MATCH($B631,campaigns!$A$2:$A$51,0))),""))</f>
        <v/>
      </c>
      <c r="N631" s="25">
        <f>IF(OR($B631="",$E631="",$M631=""),"",IF($E631&lt;$M631,0,NETWORKDAYS($M631,$E631,calendar!$A$2:$A$80)))</f>
        <v/>
      </c>
      <c r="O631" s="25">
        <f>IF($B631="","",IF(AND($K631="Y",OR($D631="later",$J631="Y")),"Y","N"))</f>
        <v/>
      </c>
      <c r="P631" s="25">
        <f>IF(OR($B631="",$E631=""),"",$B631&amp;"_"&amp;$C631&amp;"_"&amp;$D631&amp;"_"&amp;TEXT($E631,"yyyy-mm-dd")&amp;".jpg")</f>
        <v/>
      </c>
      <c r="Q631" s="25">
        <f>IF($B631="","",IF(COUNTIF(campaigns!$A$2:$A$51,$B631)=0,"campaign_id not on campaigns; ",IF(AND($C631&lt;&gt;"",COUNTIFS(approvals!$A$2:$A$251,$B631,approvals!$B$2:$B$251,$C631)=0),"office not on this campaign (approvals tab); ",""))&amp;IF($E631="","taken date missing; ","")&amp;IF(AND($H631&lt;&gt;"",$H631&lt;&gt;$P631),"file name differs from the convention; ","")&amp;IF(AND($D631="placement",$O631="Y",COUNTIF(photos!$R$2:$R$701,$R631)&gt;1),"two usable placement photos: mark one N; ","")&amp;IF($K631&lt;&gt;"Y","info: not usable (a person, screen or whiteboard may show): never used, delete the file; ","")&amp;IF(AND($D631="placement",$J631&lt;&gt;"Y"),"info: not usable as a placement photo (no card); ","")&amp;IF(AND($D631="placement",N($N631)&gt;2),"info: placed after the first business day; ","")&amp;IF(AND($D631="later",$N631&lt;&gt;"",OR(N($N631)&lt;3,N($N631)&gt;5)),"info: later photo outside day 3 to 5; ",""))</f>
        <v/>
      </c>
      <c r="R631" s="25">
        <f>IF($B631="","",$B631&amp;"|"&amp;$C631&amp;"|"&amp;$D631&amp;"|"&amp;$O631)</f>
        <v/>
      </c>
      <c r="S631" s="25">
        <f>IF($B631="","",$R631&amp;"|"&amp;N($E631))</f>
        <v/>
      </c>
    </row>
    <row r="632">
      <c r="E632" s="9" t="n"/>
      <c r="F632" s="33" t="n"/>
      <c r="I632" s="9" t="n"/>
      <c r="M632" s="26">
        <f>IF($B632="","",IFERROR(IF(INDEX(campaigns!$BG$2:$BG$51,MATCH($B632,campaigns!$A$2:$A$51,0))="","",INDEX(campaigns!$BG$2:$BG$51,MATCH($B632,campaigns!$A$2:$A$51,0))),""))</f>
        <v/>
      </c>
      <c r="N632" s="25">
        <f>IF(OR($B632="",$E632="",$M632=""),"",IF($E632&lt;$M632,0,NETWORKDAYS($M632,$E632,calendar!$A$2:$A$80)))</f>
        <v/>
      </c>
      <c r="O632" s="25">
        <f>IF($B632="","",IF(AND($K632="Y",OR($D632="later",$J632="Y")),"Y","N"))</f>
        <v/>
      </c>
      <c r="P632" s="25">
        <f>IF(OR($B632="",$E632=""),"",$B632&amp;"_"&amp;$C632&amp;"_"&amp;$D632&amp;"_"&amp;TEXT($E632,"yyyy-mm-dd")&amp;".jpg")</f>
        <v/>
      </c>
      <c r="Q632" s="25">
        <f>IF($B632="","",IF(COUNTIF(campaigns!$A$2:$A$51,$B632)=0,"campaign_id not on campaigns; ",IF(AND($C632&lt;&gt;"",COUNTIFS(approvals!$A$2:$A$251,$B632,approvals!$B$2:$B$251,$C632)=0),"office not on this campaign (approvals tab); ",""))&amp;IF($E632="","taken date missing; ","")&amp;IF(AND($H632&lt;&gt;"",$H632&lt;&gt;$P632),"file name differs from the convention; ","")&amp;IF(AND($D632="placement",$O632="Y",COUNTIF(photos!$R$2:$R$701,$R632)&gt;1),"two usable placement photos: mark one N; ","")&amp;IF($K632&lt;&gt;"Y","info: not usable (a person, screen or whiteboard may show): never used, delete the file; ","")&amp;IF(AND($D632="placement",$J632&lt;&gt;"Y"),"info: not usable as a placement photo (no card); ","")&amp;IF(AND($D632="placement",N($N632)&gt;2),"info: placed after the first business day; ","")&amp;IF(AND($D632="later",$N632&lt;&gt;"",OR(N($N632)&lt;3,N($N632)&gt;5)),"info: later photo outside day 3 to 5; ",""))</f>
        <v/>
      </c>
      <c r="R632" s="25">
        <f>IF($B632="","",$B632&amp;"|"&amp;$C632&amp;"|"&amp;$D632&amp;"|"&amp;$O632)</f>
        <v/>
      </c>
      <c r="S632" s="25">
        <f>IF($B632="","",$R632&amp;"|"&amp;N($E632))</f>
        <v/>
      </c>
    </row>
    <row r="633">
      <c r="E633" s="9" t="n"/>
      <c r="F633" s="33" t="n"/>
      <c r="I633" s="9" t="n"/>
      <c r="M633" s="26">
        <f>IF($B633="","",IFERROR(IF(INDEX(campaigns!$BG$2:$BG$51,MATCH($B633,campaigns!$A$2:$A$51,0))="","",INDEX(campaigns!$BG$2:$BG$51,MATCH($B633,campaigns!$A$2:$A$51,0))),""))</f>
        <v/>
      </c>
      <c r="N633" s="25">
        <f>IF(OR($B633="",$E633="",$M633=""),"",IF($E633&lt;$M633,0,NETWORKDAYS($M633,$E633,calendar!$A$2:$A$80)))</f>
        <v/>
      </c>
      <c r="O633" s="25">
        <f>IF($B633="","",IF(AND($K633="Y",OR($D633="later",$J633="Y")),"Y","N"))</f>
        <v/>
      </c>
      <c r="P633" s="25">
        <f>IF(OR($B633="",$E633=""),"",$B633&amp;"_"&amp;$C633&amp;"_"&amp;$D633&amp;"_"&amp;TEXT($E633,"yyyy-mm-dd")&amp;".jpg")</f>
        <v/>
      </c>
      <c r="Q633" s="25">
        <f>IF($B633="","",IF(COUNTIF(campaigns!$A$2:$A$51,$B633)=0,"campaign_id not on campaigns; ",IF(AND($C633&lt;&gt;"",COUNTIFS(approvals!$A$2:$A$251,$B633,approvals!$B$2:$B$251,$C633)=0),"office not on this campaign (approvals tab); ",""))&amp;IF($E633="","taken date missing; ","")&amp;IF(AND($H633&lt;&gt;"",$H633&lt;&gt;$P633),"file name differs from the convention; ","")&amp;IF(AND($D633="placement",$O633="Y",COUNTIF(photos!$R$2:$R$701,$R633)&gt;1),"two usable placement photos: mark one N; ","")&amp;IF($K633&lt;&gt;"Y","info: not usable (a person, screen or whiteboard may show): never used, delete the file; ","")&amp;IF(AND($D633="placement",$J633&lt;&gt;"Y"),"info: not usable as a placement photo (no card); ","")&amp;IF(AND($D633="placement",N($N633)&gt;2),"info: placed after the first business day; ","")&amp;IF(AND($D633="later",$N633&lt;&gt;"",OR(N($N633)&lt;3,N($N633)&gt;5)),"info: later photo outside day 3 to 5; ",""))</f>
        <v/>
      </c>
      <c r="R633" s="25">
        <f>IF($B633="","",$B633&amp;"|"&amp;$C633&amp;"|"&amp;$D633&amp;"|"&amp;$O633)</f>
        <v/>
      </c>
      <c r="S633" s="25">
        <f>IF($B633="","",$R633&amp;"|"&amp;N($E633))</f>
        <v/>
      </c>
    </row>
    <row r="634">
      <c r="E634" s="9" t="n"/>
      <c r="F634" s="33" t="n"/>
      <c r="I634" s="9" t="n"/>
      <c r="M634" s="26">
        <f>IF($B634="","",IFERROR(IF(INDEX(campaigns!$BG$2:$BG$51,MATCH($B634,campaigns!$A$2:$A$51,0))="","",INDEX(campaigns!$BG$2:$BG$51,MATCH($B634,campaigns!$A$2:$A$51,0))),""))</f>
        <v/>
      </c>
      <c r="N634" s="25">
        <f>IF(OR($B634="",$E634="",$M634=""),"",IF($E634&lt;$M634,0,NETWORKDAYS($M634,$E634,calendar!$A$2:$A$80)))</f>
        <v/>
      </c>
      <c r="O634" s="25">
        <f>IF($B634="","",IF(AND($K634="Y",OR($D634="later",$J634="Y")),"Y","N"))</f>
        <v/>
      </c>
      <c r="P634" s="25">
        <f>IF(OR($B634="",$E634=""),"",$B634&amp;"_"&amp;$C634&amp;"_"&amp;$D634&amp;"_"&amp;TEXT($E634,"yyyy-mm-dd")&amp;".jpg")</f>
        <v/>
      </c>
      <c r="Q634" s="25">
        <f>IF($B634="","",IF(COUNTIF(campaigns!$A$2:$A$51,$B634)=0,"campaign_id not on campaigns; ",IF(AND($C634&lt;&gt;"",COUNTIFS(approvals!$A$2:$A$251,$B634,approvals!$B$2:$B$251,$C634)=0),"office not on this campaign (approvals tab); ",""))&amp;IF($E634="","taken date missing; ","")&amp;IF(AND($H634&lt;&gt;"",$H634&lt;&gt;$P634),"file name differs from the convention; ","")&amp;IF(AND($D634="placement",$O634="Y",COUNTIF(photos!$R$2:$R$701,$R634)&gt;1),"two usable placement photos: mark one N; ","")&amp;IF($K634&lt;&gt;"Y","info: not usable (a person, screen or whiteboard may show): never used, delete the file; ","")&amp;IF(AND($D634="placement",$J634&lt;&gt;"Y"),"info: not usable as a placement photo (no card); ","")&amp;IF(AND($D634="placement",N($N634)&gt;2),"info: placed after the first business day; ","")&amp;IF(AND($D634="later",$N634&lt;&gt;"",OR(N($N634)&lt;3,N($N634)&gt;5)),"info: later photo outside day 3 to 5; ",""))</f>
        <v/>
      </c>
      <c r="R634" s="25">
        <f>IF($B634="","",$B634&amp;"|"&amp;$C634&amp;"|"&amp;$D634&amp;"|"&amp;$O634)</f>
        <v/>
      </c>
      <c r="S634" s="25">
        <f>IF($B634="","",$R634&amp;"|"&amp;N($E634))</f>
        <v/>
      </c>
    </row>
    <row r="635">
      <c r="E635" s="9" t="n"/>
      <c r="F635" s="33" t="n"/>
      <c r="I635" s="9" t="n"/>
      <c r="M635" s="26">
        <f>IF($B635="","",IFERROR(IF(INDEX(campaigns!$BG$2:$BG$51,MATCH($B635,campaigns!$A$2:$A$51,0))="","",INDEX(campaigns!$BG$2:$BG$51,MATCH($B635,campaigns!$A$2:$A$51,0))),""))</f>
        <v/>
      </c>
      <c r="N635" s="25">
        <f>IF(OR($B635="",$E635="",$M635=""),"",IF($E635&lt;$M635,0,NETWORKDAYS($M635,$E635,calendar!$A$2:$A$80)))</f>
        <v/>
      </c>
      <c r="O635" s="25">
        <f>IF($B635="","",IF(AND($K635="Y",OR($D635="later",$J635="Y")),"Y","N"))</f>
        <v/>
      </c>
      <c r="P635" s="25">
        <f>IF(OR($B635="",$E635=""),"",$B635&amp;"_"&amp;$C635&amp;"_"&amp;$D635&amp;"_"&amp;TEXT($E635,"yyyy-mm-dd")&amp;".jpg")</f>
        <v/>
      </c>
      <c r="Q635" s="25">
        <f>IF($B635="","",IF(COUNTIF(campaigns!$A$2:$A$51,$B635)=0,"campaign_id not on campaigns; ",IF(AND($C635&lt;&gt;"",COUNTIFS(approvals!$A$2:$A$251,$B635,approvals!$B$2:$B$251,$C635)=0),"office not on this campaign (approvals tab); ",""))&amp;IF($E635="","taken date missing; ","")&amp;IF(AND($H635&lt;&gt;"",$H635&lt;&gt;$P635),"file name differs from the convention; ","")&amp;IF(AND($D635="placement",$O635="Y",COUNTIF(photos!$R$2:$R$701,$R635)&gt;1),"two usable placement photos: mark one N; ","")&amp;IF($K635&lt;&gt;"Y","info: not usable (a person, screen or whiteboard may show): never used, delete the file; ","")&amp;IF(AND($D635="placement",$J635&lt;&gt;"Y"),"info: not usable as a placement photo (no card); ","")&amp;IF(AND($D635="placement",N($N635)&gt;2),"info: placed after the first business day; ","")&amp;IF(AND($D635="later",$N635&lt;&gt;"",OR(N($N635)&lt;3,N($N635)&gt;5)),"info: later photo outside day 3 to 5; ",""))</f>
        <v/>
      </c>
      <c r="R635" s="25">
        <f>IF($B635="","",$B635&amp;"|"&amp;$C635&amp;"|"&amp;$D635&amp;"|"&amp;$O635)</f>
        <v/>
      </c>
      <c r="S635" s="25">
        <f>IF($B635="","",$R635&amp;"|"&amp;N($E635))</f>
        <v/>
      </c>
    </row>
    <row r="636">
      <c r="E636" s="9" t="n"/>
      <c r="F636" s="33" t="n"/>
      <c r="I636" s="9" t="n"/>
      <c r="M636" s="26">
        <f>IF($B636="","",IFERROR(IF(INDEX(campaigns!$BG$2:$BG$51,MATCH($B636,campaigns!$A$2:$A$51,0))="","",INDEX(campaigns!$BG$2:$BG$51,MATCH($B636,campaigns!$A$2:$A$51,0))),""))</f>
        <v/>
      </c>
      <c r="N636" s="25">
        <f>IF(OR($B636="",$E636="",$M636=""),"",IF($E636&lt;$M636,0,NETWORKDAYS($M636,$E636,calendar!$A$2:$A$80)))</f>
        <v/>
      </c>
      <c r="O636" s="25">
        <f>IF($B636="","",IF(AND($K636="Y",OR($D636="later",$J636="Y")),"Y","N"))</f>
        <v/>
      </c>
      <c r="P636" s="25">
        <f>IF(OR($B636="",$E636=""),"",$B636&amp;"_"&amp;$C636&amp;"_"&amp;$D636&amp;"_"&amp;TEXT($E636,"yyyy-mm-dd")&amp;".jpg")</f>
        <v/>
      </c>
      <c r="Q636" s="25">
        <f>IF($B636="","",IF(COUNTIF(campaigns!$A$2:$A$51,$B636)=0,"campaign_id not on campaigns; ",IF(AND($C636&lt;&gt;"",COUNTIFS(approvals!$A$2:$A$251,$B636,approvals!$B$2:$B$251,$C636)=0),"office not on this campaign (approvals tab); ",""))&amp;IF($E636="","taken date missing; ","")&amp;IF(AND($H636&lt;&gt;"",$H636&lt;&gt;$P636),"file name differs from the convention; ","")&amp;IF(AND($D636="placement",$O636="Y",COUNTIF(photos!$R$2:$R$701,$R636)&gt;1),"two usable placement photos: mark one N; ","")&amp;IF($K636&lt;&gt;"Y","info: not usable (a person, screen or whiteboard may show): never used, delete the file; ","")&amp;IF(AND($D636="placement",$J636&lt;&gt;"Y"),"info: not usable as a placement photo (no card); ","")&amp;IF(AND($D636="placement",N($N636)&gt;2),"info: placed after the first business day; ","")&amp;IF(AND($D636="later",$N636&lt;&gt;"",OR(N($N636)&lt;3,N($N636)&gt;5)),"info: later photo outside day 3 to 5; ",""))</f>
        <v/>
      </c>
      <c r="R636" s="25">
        <f>IF($B636="","",$B636&amp;"|"&amp;$C636&amp;"|"&amp;$D636&amp;"|"&amp;$O636)</f>
        <v/>
      </c>
      <c r="S636" s="25">
        <f>IF($B636="","",$R636&amp;"|"&amp;N($E636))</f>
        <v/>
      </c>
    </row>
    <row r="637">
      <c r="E637" s="9" t="n"/>
      <c r="F637" s="33" t="n"/>
      <c r="I637" s="9" t="n"/>
      <c r="M637" s="26">
        <f>IF($B637="","",IFERROR(IF(INDEX(campaigns!$BG$2:$BG$51,MATCH($B637,campaigns!$A$2:$A$51,0))="","",INDEX(campaigns!$BG$2:$BG$51,MATCH($B637,campaigns!$A$2:$A$51,0))),""))</f>
        <v/>
      </c>
      <c r="N637" s="25">
        <f>IF(OR($B637="",$E637="",$M637=""),"",IF($E637&lt;$M637,0,NETWORKDAYS($M637,$E637,calendar!$A$2:$A$80)))</f>
        <v/>
      </c>
      <c r="O637" s="25">
        <f>IF($B637="","",IF(AND($K637="Y",OR($D637="later",$J637="Y")),"Y","N"))</f>
        <v/>
      </c>
      <c r="P637" s="25">
        <f>IF(OR($B637="",$E637=""),"",$B637&amp;"_"&amp;$C637&amp;"_"&amp;$D637&amp;"_"&amp;TEXT($E637,"yyyy-mm-dd")&amp;".jpg")</f>
        <v/>
      </c>
      <c r="Q637" s="25">
        <f>IF($B637="","",IF(COUNTIF(campaigns!$A$2:$A$51,$B637)=0,"campaign_id not on campaigns; ",IF(AND($C637&lt;&gt;"",COUNTIFS(approvals!$A$2:$A$251,$B637,approvals!$B$2:$B$251,$C637)=0),"office not on this campaign (approvals tab); ",""))&amp;IF($E637="","taken date missing; ","")&amp;IF(AND($H637&lt;&gt;"",$H637&lt;&gt;$P637),"file name differs from the convention; ","")&amp;IF(AND($D637="placement",$O637="Y",COUNTIF(photos!$R$2:$R$701,$R637)&gt;1),"two usable placement photos: mark one N; ","")&amp;IF($K637&lt;&gt;"Y","info: not usable (a person, screen or whiteboard may show): never used, delete the file; ","")&amp;IF(AND($D637="placement",$J637&lt;&gt;"Y"),"info: not usable as a placement photo (no card); ","")&amp;IF(AND($D637="placement",N($N637)&gt;2),"info: placed after the first business day; ","")&amp;IF(AND($D637="later",$N637&lt;&gt;"",OR(N($N637)&lt;3,N($N637)&gt;5)),"info: later photo outside day 3 to 5; ",""))</f>
        <v/>
      </c>
      <c r="R637" s="25">
        <f>IF($B637="","",$B637&amp;"|"&amp;$C637&amp;"|"&amp;$D637&amp;"|"&amp;$O637)</f>
        <v/>
      </c>
      <c r="S637" s="25">
        <f>IF($B637="","",$R637&amp;"|"&amp;N($E637))</f>
        <v/>
      </c>
    </row>
    <row r="638">
      <c r="E638" s="9" t="n"/>
      <c r="F638" s="33" t="n"/>
      <c r="I638" s="9" t="n"/>
      <c r="M638" s="26">
        <f>IF($B638="","",IFERROR(IF(INDEX(campaigns!$BG$2:$BG$51,MATCH($B638,campaigns!$A$2:$A$51,0))="","",INDEX(campaigns!$BG$2:$BG$51,MATCH($B638,campaigns!$A$2:$A$51,0))),""))</f>
        <v/>
      </c>
      <c r="N638" s="25">
        <f>IF(OR($B638="",$E638="",$M638=""),"",IF($E638&lt;$M638,0,NETWORKDAYS($M638,$E638,calendar!$A$2:$A$80)))</f>
        <v/>
      </c>
      <c r="O638" s="25">
        <f>IF($B638="","",IF(AND($K638="Y",OR($D638="later",$J638="Y")),"Y","N"))</f>
        <v/>
      </c>
      <c r="P638" s="25">
        <f>IF(OR($B638="",$E638=""),"",$B638&amp;"_"&amp;$C638&amp;"_"&amp;$D638&amp;"_"&amp;TEXT($E638,"yyyy-mm-dd")&amp;".jpg")</f>
        <v/>
      </c>
      <c r="Q638" s="25">
        <f>IF($B638="","",IF(COUNTIF(campaigns!$A$2:$A$51,$B638)=0,"campaign_id not on campaigns; ",IF(AND($C638&lt;&gt;"",COUNTIFS(approvals!$A$2:$A$251,$B638,approvals!$B$2:$B$251,$C638)=0),"office not on this campaign (approvals tab); ",""))&amp;IF($E638="","taken date missing; ","")&amp;IF(AND($H638&lt;&gt;"",$H638&lt;&gt;$P638),"file name differs from the convention; ","")&amp;IF(AND($D638="placement",$O638="Y",COUNTIF(photos!$R$2:$R$701,$R638)&gt;1),"two usable placement photos: mark one N; ","")&amp;IF($K638&lt;&gt;"Y","info: not usable (a person, screen or whiteboard may show): never used, delete the file; ","")&amp;IF(AND($D638="placement",$J638&lt;&gt;"Y"),"info: not usable as a placement photo (no card); ","")&amp;IF(AND($D638="placement",N($N638)&gt;2),"info: placed after the first business day; ","")&amp;IF(AND($D638="later",$N638&lt;&gt;"",OR(N($N638)&lt;3,N($N638)&gt;5)),"info: later photo outside day 3 to 5; ",""))</f>
        <v/>
      </c>
      <c r="R638" s="25">
        <f>IF($B638="","",$B638&amp;"|"&amp;$C638&amp;"|"&amp;$D638&amp;"|"&amp;$O638)</f>
        <v/>
      </c>
      <c r="S638" s="25">
        <f>IF($B638="","",$R638&amp;"|"&amp;N($E638))</f>
        <v/>
      </c>
    </row>
    <row r="639">
      <c r="E639" s="9" t="n"/>
      <c r="F639" s="33" t="n"/>
      <c r="I639" s="9" t="n"/>
      <c r="M639" s="26">
        <f>IF($B639="","",IFERROR(IF(INDEX(campaigns!$BG$2:$BG$51,MATCH($B639,campaigns!$A$2:$A$51,0))="","",INDEX(campaigns!$BG$2:$BG$51,MATCH($B639,campaigns!$A$2:$A$51,0))),""))</f>
        <v/>
      </c>
      <c r="N639" s="25">
        <f>IF(OR($B639="",$E639="",$M639=""),"",IF($E639&lt;$M639,0,NETWORKDAYS($M639,$E639,calendar!$A$2:$A$80)))</f>
        <v/>
      </c>
      <c r="O639" s="25">
        <f>IF($B639="","",IF(AND($K639="Y",OR($D639="later",$J639="Y")),"Y","N"))</f>
        <v/>
      </c>
      <c r="P639" s="25">
        <f>IF(OR($B639="",$E639=""),"",$B639&amp;"_"&amp;$C639&amp;"_"&amp;$D639&amp;"_"&amp;TEXT($E639,"yyyy-mm-dd")&amp;".jpg")</f>
        <v/>
      </c>
      <c r="Q639" s="25">
        <f>IF($B639="","",IF(COUNTIF(campaigns!$A$2:$A$51,$B639)=0,"campaign_id not on campaigns; ",IF(AND($C639&lt;&gt;"",COUNTIFS(approvals!$A$2:$A$251,$B639,approvals!$B$2:$B$251,$C639)=0),"office not on this campaign (approvals tab); ",""))&amp;IF($E639="","taken date missing; ","")&amp;IF(AND($H639&lt;&gt;"",$H639&lt;&gt;$P639),"file name differs from the convention; ","")&amp;IF(AND($D639="placement",$O639="Y",COUNTIF(photos!$R$2:$R$701,$R639)&gt;1),"two usable placement photos: mark one N; ","")&amp;IF($K639&lt;&gt;"Y","info: not usable (a person, screen or whiteboard may show): never used, delete the file; ","")&amp;IF(AND($D639="placement",$J639&lt;&gt;"Y"),"info: not usable as a placement photo (no card); ","")&amp;IF(AND($D639="placement",N($N639)&gt;2),"info: placed after the first business day; ","")&amp;IF(AND($D639="later",$N639&lt;&gt;"",OR(N($N639)&lt;3,N($N639)&gt;5)),"info: later photo outside day 3 to 5; ",""))</f>
        <v/>
      </c>
      <c r="R639" s="25">
        <f>IF($B639="","",$B639&amp;"|"&amp;$C639&amp;"|"&amp;$D639&amp;"|"&amp;$O639)</f>
        <v/>
      </c>
      <c r="S639" s="25">
        <f>IF($B639="","",$R639&amp;"|"&amp;N($E639))</f>
        <v/>
      </c>
    </row>
    <row r="640">
      <c r="E640" s="9" t="n"/>
      <c r="F640" s="33" t="n"/>
      <c r="I640" s="9" t="n"/>
      <c r="M640" s="26">
        <f>IF($B640="","",IFERROR(IF(INDEX(campaigns!$BG$2:$BG$51,MATCH($B640,campaigns!$A$2:$A$51,0))="","",INDEX(campaigns!$BG$2:$BG$51,MATCH($B640,campaigns!$A$2:$A$51,0))),""))</f>
        <v/>
      </c>
      <c r="N640" s="25">
        <f>IF(OR($B640="",$E640="",$M640=""),"",IF($E640&lt;$M640,0,NETWORKDAYS($M640,$E640,calendar!$A$2:$A$80)))</f>
        <v/>
      </c>
      <c r="O640" s="25">
        <f>IF($B640="","",IF(AND($K640="Y",OR($D640="later",$J640="Y")),"Y","N"))</f>
        <v/>
      </c>
      <c r="P640" s="25">
        <f>IF(OR($B640="",$E640=""),"",$B640&amp;"_"&amp;$C640&amp;"_"&amp;$D640&amp;"_"&amp;TEXT($E640,"yyyy-mm-dd")&amp;".jpg")</f>
        <v/>
      </c>
      <c r="Q640" s="25">
        <f>IF($B640="","",IF(COUNTIF(campaigns!$A$2:$A$51,$B640)=0,"campaign_id not on campaigns; ",IF(AND($C640&lt;&gt;"",COUNTIFS(approvals!$A$2:$A$251,$B640,approvals!$B$2:$B$251,$C640)=0),"office not on this campaign (approvals tab); ",""))&amp;IF($E640="","taken date missing; ","")&amp;IF(AND($H640&lt;&gt;"",$H640&lt;&gt;$P640),"file name differs from the convention; ","")&amp;IF(AND($D640="placement",$O640="Y",COUNTIF(photos!$R$2:$R$701,$R640)&gt;1),"two usable placement photos: mark one N; ","")&amp;IF($K640&lt;&gt;"Y","info: not usable (a person, screen or whiteboard may show): never used, delete the file; ","")&amp;IF(AND($D640="placement",$J640&lt;&gt;"Y"),"info: not usable as a placement photo (no card); ","")&amp;IF(AND($D640="placement",N($N640)&gt;2),"info: placed after the first business day; ","")&amp;IF(AND($D640="later",$N640&lt;&gt;"",OR(N($N640)&lt;3,N($N640)&gt;5)),"info: later photo outside day 3 to 5; ",""))</f>
        <v/>
      </c>
      <c r="R640" s="25">
        <f>IF($B640="","",$B640&amp;"|"&amp;$C640&amp;"|"&amp;$D640&amp;"|"&amp;$O640)</f>
        <v/>
      </c>
      <c r="S640" s="25">
        <f>IF($B640="","",$R640&amp;"|"&amp;N($E640))</f>
        <v/>
      </c>
    </row>
    <row r="641">
      <c r="E641" s="9" t="n"/>
      <c r="F641" s="33" t="n"/>
      <c r="I641" s="9" t="n"/>
      <c r="M641" s="26">
        <f>IF($B641="","",IFERROR(IF(INDEX(campaigns!$BG$2:$BG$51,MATCH($B641,campaigns!$A$2:$A$51,0))="","",INDEX(campaigns!$BG$2:$BG$51,MATCH($B641,campaigns!$A$2:$A$51,0))),""))</f>
        <v/>
      </c>
      <c r="N641" s="25">
        <f>IF(OR($B641="",$E641="",$M641=""),"",IF($E641&lt;$M641,0,NETWORKDAYS($M641,$E641,calendar!$A$2:$A$80)))</f>
        <v/>
      </c>
      <c r="O641" s="25">
        <f>IF($B641="","",IF(AND($K641="Y",OR($D641="later",$J641="Y")),"Y","N"))</f>
        <v/>
      </c>
      <c r="P641" s="25">
        <f>IF(OR($B641="",$E641=""),"",$B641&amp;"_"&amp;$C641&amp;"_"&amp;$D641&amp;"_"&amp;TEXT($E641,"yyyy-mm-dd")&amp;".jpg")</f>
        <v/>
      </c>
      <c r="Q641" s="25">
        <f>IF($B641="","",IF(COUNTIF(campaigns!$A$2:$A$51,$B641)=0,"campaign_id not on campaigns; ",IF(AND($C641&lt;&gt;"",COUNTIFS(approvals!$A$2:$A$251,$B641,approvals!$B$2:$B$251,$C641)=0),"office not on this campaign (approvals tab); ",""))&amp;IF($E641="","taken date missing; ","")&amp;IF(AND($H641&lt;&gt;"",$H641&lt;&gt;$P641),"file name differs from the convention; ","")&amp;IF(AND($D641="placement",$O641="Y",COUNTIF(photos!$R$2:$R$701,$R641)&gt;1),"two usable placement photos: mark one N; ","")&amp;IF($K641&lt;&gt;"Y","info: not usable (a person, screen or whiteboard may show): never used, delete the file; ","")&amp;IF(AND($D641="placement",$J641&lt;&gt;"Y"),"info: not usable as a placement photo (no card); ","")&amp;IF(AND($D641="placement",N($N641)&gt;2),"info: placed after the first business day; ","")&amp;IF(AND($D641="later",$N641&lt;&gt;"",OR(N($N641)&lt;3,N($N641)&gt;5)),"info: later photo outside day 3 to 5; ",""))</f>
        <v/>
      </c>
      <c r="R641" s="25">
        <f>IF($B641="","",$B641&amp;"|"&amp;$C641&amp;"|"&amp;$D641&amp;"|"&amp;$O641)</f>
        <v/>
      </c>
      <c r="S641" s="25">
        <f>IF($B641="","",$R641&amp;"|"&amp;N($E641))</f>
        <v/>
      </c>
    </row>
    <row r="642">
      <c r="E642" s="9" t="n"/>
      <c r="F642" s="33" t="n"/>
      <c r="I642" s="9" t="n"/>
      <c r="M642" s="26">
        <f>IF($B642="","",IFERROR(IF(INDEX(campaigns!$BG$2:$BG$51,MATCH($B642,campaigns!$A$2:$A$51,0))="","",INDEX(campaigns!$BG$2:$BG$51,MATCH($B642,campaigns!$A$2:$A$51,0))),""))</f>
        <v/>
      </c>
      <c r="N642" s="25">
        <f>IF(OR($B642="",$E642="",$M642=""),"",IF($E642&lt;$M642,0,NETWORKDAYS($M642,$E642,calendar!$A$2:$A$80)))</f>
        <v/>
      </c>
      <c r="O642" s="25">
        <f>IF($B642="","",IF(AND($K642="Y",OR($D642="later",$J642="Y")),"Y","N"))</f>
        <v/>
      </c>
      <c r="P642" s="25">
        <f>IF(OR($B642="",$E642=""),"",$B642&amp;"_"&amp;$C642&amp;"_"&amp;$D642&amp;"_"&amp;TEXT($E642,"yyyy-mm-dd")&amp;".jpg")</f>
        <v/>
      </c>
      <c r="Q642" s="25">
        <f>IF($B642="","",IF(COUNTIF(campaigns!$A$2:$A$51,$B642)=0,"campaign_id not on campaigns; ",IF(AND($C642&lt;&gt;"",COUNTIFS(approvals!$A$2:$A$251,$B642,approvals!$B$2:$B$251,$C642)=0),"office not on this campaign (approvals tab); ",""))&amp;IF($E642="","taken date missing; ","")&amp;IF(AND($H642&lt;&gt;"",$H642&lt;&gt;$P642),"file name differs from the convention; ","")&amp;IF(AND($D642="placement",$O642="Y",COUNTIF(photos!$R$2:$R$701,$R642)&gt;1),"two usable placement photos: mark one N; ","")&amp;IF($K642&lt;&gt;"Y","info: not usable (a person, screen or whiteboard may show): never used, delete the file; ","")&amp;IF(AND($D642="placement",$J642&lt;&gt;"Y"),"info: not usable as a placement photo (no card); ","")&amp;IF(AND($D642="placement",N($N642)&gt;2),"info: placed after the first business day; ","")&amp;IF(AND($D642="later",$N642&lt;&gt;"",OR(N($N642)&lt;3,N($N642)&gt;5)),"info: later photo outside day 3 to 5; ",""))</f>
        <v/>
      </c>
      <c r="R642" s="25">
        <f>IF($B642="","",$B642&amp;"|"&amp;$C642&amp;"|"&amp;$D642&amp;"|"&amp;$O642)</f>
        <v/>
      </c>
      <c r="S642" s="25">
        <f>IF($B642="","",$R642&amp;"|"&amp;N($E642))</f>
        <v/>
      </c>
    </row>
    <row r="643">
      <c r="E643" s="9" t="n"/>
      <c r="F643" s="33" t="n"/>
      <c r="I643" s="9" t="n"/>
      <c r="M643" s="26">
        <f>IF($B643="","",IFERROR(IF(INDEX(campaigns!$BG$2:$BG$51,MATCH($B643,campaigns!$A$2:$A$51,0))="","",INDEX(campaigns!$BG$2:$BG$51,MATCH($B643,campaigns!$A$2:$A$51,0))),""))</f>
        <v/>
      </c>
      <c r="N643" s="25">
        <f>IF(OR($B643="",$E643="",$M643=""),"",IF($E643&lt;$M643,0,NETWORKDAYS($M643,$E643,calendar!$A$2:$A$80)))</f>
        <v/>
      </c>
      <c r="O643" s="25">
        <f>IF($B643="","",IF(AND($K643="Y",OR($D643="later",$J643="Y")),"Y","N"))</f>
        <v/>
      </c>
      <c r="P643" s="25">
        <f>IF(OR($B643="",$E643=""),"",$B643&amp;"_"&amp;$C643&amp;"_"&amp;$D643&amp;"_"&amp;TEXT($E643,"yyyy-mm-dd")&amp;".jpg")</f>
        <v/>
      </c>
      <c r="Q643" s="25">
        <f>IF($B643="","",IF(COUNTIF(campaigns!$A$2:$A$51,$B643)=0,"campaign_id not on campaigns; ",IF(AND($C643&lt;&gt;"",COUNTIFS(approvals!$A$2:$A$251,$B643,approvals!$B$2:$B$251,$C643)=0),"office not on this campaign (approvals tab); ",""))&amp;IF($E643="","taken date missing; ","")&amp;IF(AND($H643&lt;&gt;"",$H643&lt;&gt;$P643),"file name differs from the convention; ","")&amp;IF(AND($D643="placement",$O643="Y",COUNTIF(photos!$R$2:$R$701,$R643)&gt;1),"two usable placement photos: mark one N; ","")&amp;IF($K643&lt;&gt;"Y","info: not usable (a person, screen or whiteboard may show): never used, delete the file; ","")&amp;IF(AND($D643="placement",$J643&lt;&gt;"Y"),"info: not usable as a placement photo (no card); ","")&amp;IF(AND($D643="placement",N($N643)&gt;2),"info: placed after the first business day; ","")&amp;IF(AND($D643="later",$N643&lt;&gt;"",OR(N($N643)&lt;3,N($N643)&gt;5)),"info: later photo outside day 3 to 5; ",""))</f>
        <v/>
      </c>
      <c r="R643" s="25">
        <f>IF($B643="","",$B643&amp;"|"&amp;$C643&amp;"|"&amp;$D643&amp;"|"&amp;$O643)</f>
        <v/>
      </c>
      <c r="S643" s="25">
        <f>IF($B643="","",$R643&amp;"|"&amp;N($E643))</f>
        <v/>
      </c>
    </row>
    <row r="644">
      <c r="E644" s="9" t="n"/>
      <c r="F644" s="33" t="n"/>
      <c r="I644" s="9" t="n"/>
      <c r="M644" s="26">
        <f>IF($B644="","",IFERROR(IF(INDEX(campaigns!$BG$2:$BG$51,MATCH($B644,campaigns!$A$2:$A$51,0))="","",INDEX(campaigns!$BG$2:$BG$51,MATCH($B644,campaigns!$A$2:$A$51,0))),""))</f>
        <v/>
      </c>
      <c r="N644" s="25">
        <f>IF(OR($B644="",$E644="",$M644=""),"",IF($E644&lt;$M644,0,NETWORKDAYS($M644,$E644,calendar!$A$2:$A$80)))</f>
        <v/>
      </c>
      <c r="O644" s="25">
        <f>IF($B644="","",IF(AND($K644="Y",OR($D644="later",$J644="Y")),"Y","N"))</f>
        <v/>
      </c>
      <c r="P644" s="25">
        <f>IF(OR($B644="",$E644=""),"",$B644&amp;"_"&amp;$C644&amp;"_"&amp;$D644&amp;"_"&amp;TEXT($E644,"yyyy-mm-dd")&amp;".jpg")</f>
        <v/>
      </c>
      <c r="Q644" s="25">
        <f>IF($B644="","",IF(COUNTIF(campaigns!$A$2:$A$51,$B644)=0,"campaign_id not on campaigns; ",IF(AND($C644&lt;&gt;"",COUNTIFS(approvals!$A$2:$A$251,$B644,approvals!$B$2:$B$251,$C644)=0),"office not on this campaign (approvals tab); ",""))&amp;IF($E644="","taken date missing; ","")&amp;IF(AND($H644&lt;&gt;"",$H644&lt;&gt;$P644),"file name differs from the convention; ","")&amp;IF(AND($D644="placement",$O644="Y",COUNTIF(photos!$R$2:$R$701,$R644)&gt;1),"two usable placement photos: mark one N; ","")&amp;IF($K644&lt;&gt;"Y","info: not usable (a person, screen or whiteboard may show): never used, delete the file; ","")&amp;IF(AND($D644="placement",$J644&lt;&gt;"Y"),"info: not usable as a placement photo (no card); ","")&amp;IF(AND($D644="placement",N($N644)&gt;2),"info: placed after the first business day; ","")&amp;IF(AND($D644="later",$N644&lt;&gt;"",OR(N($N644)&lt;3,N($N644)&gt;5)),"info: later photo outside day 3 to 5; ",""))</f>
        <v/>
      </c>
      <c r="R644" s="25">
        <f>IF($B644="","",$B644&amp;"|"&amp;$C644&amp;"|"&amp;$D644&amp;"|"&amp;$O644)</f>
        <v/>
      </c>
      <c r="S644" s="25">
        <f>IF($B644="","",$R644&amp;"|"&amp;N($E644))</f>
        <v/>
      </c>
    </row>
    <row r="645">
      <c r="E645" s="9" t="n"/>
      <c r="F645" s="33" t="n"/>
      <c r="I645" s="9" t="n"/>
      <c r="M645" s="26">
        <f>IF($B645="","",IFERROR(IF(INDEX(campaigns!$BG$2:$BG$51,MATCH($B645,campaigns!$A$2:$A$51,0))="","",INDEX(campaigns!$BG$2:$BG$51,MATCH($B645,campaigns!$A$2:$A$51,0))),""))</f>
        <v/>
      </c>
      <c r="N645" s="25">
        <f>IF(OR($B645="",$E645="",$M645=""),"",IF($E645&lt;$M645,0,NETWORKDAYS($M645,$E645,calendar!$A$2:$A$80)))</f>
        <v/>
      </c>
      <c r="O645" s="25">
        <f>IF($B645="","",IF(AND($K645="Y",OR($D645="later",$J645="Y")),"Y","N"))</f>
        <v/>
      </c>
      <c r="P645" s="25">
        <f>IF(OR($B645="",$E645=""),"",$B645&amp;"_"&amp;$C645&amp;"_"&amp;$D645&amp;"_"&amp;TEXT($E645,"yyyy-mm-dd")&amp;".jpg")</f>
        <v/>
      </c>
      <c r="Q645" s="25">
        <f>IF($B645="","",IF(COUNTIF(campaigns!$A$2:$A$51,$B645)=0,"campaign_id not on campaigns; ",IF(AND($C645&lt;&gt;"",COUNTIFS(approvals!$A$2:$A$251,$B645,approvals!$B$2:$B$251,$C645)=0),"office not on this campaign (approvals tab); ",""))&amp;IF($E645="","taken date missing; ","")&amp;IF(AND($H645&lt;&gt;"",$H645&lt;&gt;$P645),"file name differs from the convention; ","")&amp;IF(AND($D645="placement",$O645="Y",COUNTIF(photos!$R$2:$R$701,$R645)&gt;1),"two usable placement photos: mark one N; ","")&amp;IF($K645&lt;&gt;"Y","info: not usable (a person, screen or whiteboard may show): never used, delete the file; ","")&amp;IF(AND($D645="placement",$J645&lt;&gt;"Y"),"info: not usable as a placement photo (no card); ","")&amp;IF(AND($D645="placement",N($N645)&gt;2),"info: placed after the first business day; ","")&amp;IF(AND($D645="later",$N645&lt;&gt;"",OR(N($N645)&lt;3,N($N645)&gt;5)),"info: later photo outside day 3 to 5; ",""))</f>
        <v/>
      </c>
      <c r="R645" s="25">
        <f>IF($B645="","",$B645&amp;"|"&amp;$C645&amp;"|"&amp;$D645&amp;"|"&amp;$O645)</f>
        <v/>
      </c>
      <c r="S645" s="25">
        <f>IF($B645="","",$R645&amp;"|"&amp;N($E645))</f>
        <v/>
      </c>
    </row>
    <row r="646">
      <c r="E646" s="9" t="n"/>
      <c r="F646" s="33" t="n"/>
      <c r="I646" s="9" t="n"/>
      <c r="M646" s="26">
        <f>IF($B646="","",IFERROR(IF(INDEX(campaigns!$BG$2:$BG$51,MATCH($B646,campaigns!$A$2:$A$51,0))="","",INDEX(campaigns!$BG$2:$BG$51,MATCH($B646,campaigns!$A$2:$A$51,0))),""))</f>
        <v/>
      </c>
      <c r="N646" s="25">
        <f>IF(OR($B646="",$E646="",$M646=""),"",IF($E646&lt;$M646,0,NETWORKDAYS($M646,$E646,calendar!$A$2:$A$80)))</f>
        <v/>
      </c>
      <c r="O646" s="25">
        <f>IF($B646="","",IF(AND($K646="Y",OR($D646="later",$J646="Y")),"Y","N"))</f>
        <v/>
      </c>
      <c r="P646" s="25">
        <f>IF(OR($B646="",$E646=""),"",$B646&amp;"_"&amp;$C646&amp;"_"&amp;$D646&amp;"_"&amp;TEXT($E646,"yyyy-mm-dd")&amp;".jpg")</f>
        <v/>
      </c>
      <c r="Q646" s="25">
        <f>IF($B646="","",IF(COUNTIF(campaigns!$A$2:$A$51,$B646)=0,"campaign_id not on campaigns; ",IF(AND($C646&lt;&gt;"",COUNTIFS(approvals!$A$2:$A$251,$B646,approvals!$B$2:$B$251,$C646)=0),"office not on this campaign (approvals tab); ",""))&amp;IF($E646="","taken date missing; ","")&amp;IF(AND($H646&lt;&gt;"",$H646&lt;&gt;$P646),"file name differs from the convention; ","")&amp;IF(AND($D646="placement",$O646="Y",COUNTIF(photos!$R$2:$R$701,$R646)&gt;1),"two usable placement photos: mark one N; ","")&amp;IF($K646&lt;&gt;"Y","info: not usable (a person, screen or whiteboard may show): never used, delete the file; ","")&amp;IF(AND($D646="placement",$J646&lt;&gt;"Y"),"info: not usable as a placement photo (no card); ","")&amp;IF(AND($D646="placement",N($N646)&gt;2),"info: placed after the first business day; ","")&amp;IF(AND($D646="later",$N646&lt;&gt;"",OR(N($N646)&lt;3,N($N646)&gt;5)),"info: later photo outside day 3 to 5; ",""))</f>
        <v/>
      </c>
      <c r="R646" s="25">
        <f>IF($B646="","",$B646&amp;"|"&amp;$C646&amp;"|"&amp;$D646&amp;"|"&amp;$O646)</f>
        <v/>
      </c>
      <c r="S646" s="25">
        <f>IF($B646="","",$R646&amp;"|"&amp;N($E646))</f>
        <v/>
      </c>
    </row>
    <row r="647">
      <c r="E647" s="9" t="n"/>
      <c r="F647" s="33" t="n"/>
      <c r="I647" s="9" t="n"/>
      <c r="M647" s="26">
        <f>IF($B647="","",IFERROR(IF(INDEX(campaigns!$BG$2:$BG$51,MATCH($B647,campaigns!$A$2:$A$51,0))="","",INDEX(campaigns!$BG$2:$BG$51,MATCH($B647,campaigns!$A$2:$A$51,0))),""))</f>
        <v/>
      </c>
      <c r="N647" s="25">
        <f>IF(OR($B647="",$E647="",$M647=""),"",IF($E647&lt;$M647,0,NETWORKDAYS($M647,$E647,calendar!$A$2:$A$80)))</f>
        <v/>
      </c>
      <c r="O647" s="25">
        <f>IF($B647="","",IF(AND($K647="Y",OR($D647="later",$J647="Y")),"Y","N"))</f>
        <v/>
      </c>
      <c r="P647" s="25">
        <f>IF(OR($B647="",$E647=""),"",$B647&amp;"_"&amp;$C647&amp;"_"&amp;$D647&amp;"_"&amp;TEXT($E647,"yyyy-mm-dd")&amp;".jpg")</f>
        <v/>
      </c>
      <c r="Q647" s="25">
        <f>IF($B647="","",IF(COUNTIF(campaigns!$A$2:$A$51,$B647)=0,"campaign_id not on campaigns; ",IF(AND($C647&lt;&gt;"",COUNTIFS(approvals!$A$2:$A$251,$B647,approvals!$B$2:$B$251,$C647)=0),"office not on this campaign (approvals tab); ",""))&amp;IF($E647="","taken date missing; ","")&amp;IF(AND($H647&lt;&gt;"",$H647&lt;&gt;$P647),"file name differs from the convention; ","")&amp;IF(AND($D647="placement",$O647="Y",COUNTIF(photos!$R$2:$R$701,$R647)&gt;1),"two usable placement photos: mark one N; ","")&amp;IF($K647&lt;&gt;"Y","info: not usable (a person, screen or whiteboard may show): never used, delete the file; ","")&amp;IF(AND($D647="placement",$J647&lt;&gt;"Y"),"info: not usable as a placement photo (no card); ","")&amp;IF(AND($D647="placement",N($N647)&gt;2),"info: placed after the first business day; ","")&amp;IF(AND($D647="later",$N647&lt;&gt;"",OR(N($N647)&lt;3,N($N647)&gt;5)),"info: later photo outside day 3 to 5; ",""))</f>
        <v/>
      </c>
      <c r="R647" s="25">
        <f>IF($B647="","",$B647&amp;"|"&amp;$C647&amp;"|"&amp;$D647&amp;"|"&amp;$O647)</f>
        <v/>
      </c>
      <c r="S647" s="25">
        <f>IF($B647="","",$R647&amp;"|"&amp;N($E647))</f>
        <v/>
      </c>
    </row>
    <row r="648">
      <c r="E648" s="9" t="n"/>
      <c r="F648" s="33" t="n"/>
      <c r="I648" s="9" t="n"/>
      <c r="M648" s="26">
        <f>IF($B648="","",IFERROR(IF(INDEX(campaigns!$BG$2:$BG$51,MATCH($B648,campaigns!$A$2:$A$51,0))="","",INDEX(campaigns!$BG$2:$BG$51,MATCH($B648,campaigns!$A$2:$A$51,0))),""))</f>
        <v/>
      </c>
      <c r="N648" s="25">
        <f>IF(OR($B648="",$E648="",$M648=""),"",IF($E648&lt;$M648,0,NETWORKDAYS($M648,$E648,calendar!$A$2:$A$80)))</f>
        <v/>
      </c>
      <c r="O648" s="25">
        <f>IF($B648="","",IF(AND($K648="Y",OR($D648="later",$J648="Y")),"Y","N"))</f>
        <v/>
      </c>
      <c r="P648" s="25">
        <f>IF(OR($B648="",$E648=""),"",$B648&amp;"_"&amp;$C648&amp;"_"&amp;$D648&amp;"_"&amp;TEXT($E648,"yyyy-mm-dd")&amp;".jpg")</f>
        <v/>
      </c>
      <c r="Q648" s="25">
        <f>IF($B648="","",IF(COUNTIF(campaigns!$A$2:$A$51,$B648)=0,"campaign_id not on campaigns; ",IF(AND($C648&lt;&gt;"",COUNTIFS(approvals!$A$2:$A$251,$B648,approvals!$B$2:$B$251,$C648)=0),"office not on this campaign (approvals tab); ",""))&amp;IF($E648="","taken date missing; ","")&amp;IF(AND($H648&lt;&gt;"",$H648&lt;&gt;$P648),"file name differs from the convention; ","")&amp;IF(AND($D648="placement",$O648="Y",COUNTIF(photos!$R$2:$R$701,$R648)&gt;1),"two usable placement photos: mark one N; ","")&amp;IF($K648&lt;&gt;"Y","info: not usable (a person, screen or whiteboard may show): never used, delete the file; ","")&amp;IF(AND($D648="placement",$J648&lt;&gt;"Y"),"info: not usable as a placement photo (no card); ","")&amp;IF(AND($D648="placement",N($N648)&gt;2),"info: placed after the first business day; ","")&amp;IF(AND($D648="later",$N648&lt;&gt;"",OR(N($N648)&lt;3,N($N648)&gt;5)),"info: later photo outside day 3 to 5; ",""))</f>
        <v/>
      </c>
      <c r="R648" s="25">
        <f>IF($B648="","",$B648&amp;"|"&amp;$C648&amp;"|"&amp;$D648&amp;"|"&amp;$O648)</f>
        <v/>
      </c>
      <c r="S648" s="25">
        <f>IF($B648="","",$R648&amp;"|"&amp;N($E648))</f>
        <v/>
      </c>
    </row>
    <row r="649">
      <c r="E649" s="9" t="n"/>
      <c r="F649" s="33" t="n"/>
      <c r="I649" s="9" t="n"/>
      <c r="M649" s="26">
        <f>IF($B649="","",IFERROR(IF(INDEX(campaigns!$BG$2:$BG$51,MATCH($B649,campaigns!$A$2:$A$51,0))="","",INDEX(campaigns!$BG$2:$BG$51,MATCH($B649,campaigns!$A$2:$A$51,0))),""))</f>
        <v/>
      </c>
      <c r="N649" s="25">
        <f>IF(OR($B649="",$E649="",$M649=""),"",IF($E649&lt;$M649,0,NETWORKDAYS($M649,$E649,calendar!$A$2:$A$80)))</f>
        <v/>
      </c>
      <c r="O649" s="25">
        <f>IF($B649="","",IF(AND($K649="Y",OR($D649="later",$J649="Y")),"Y","N"))</f>
        <v/>
      </c>
      <c r="P649" s="25">
        <f>IF(OR($B649="",$E649=""),"",$B649&amp;"_"&amp;$C649&amp;"_"&amp;$D649&amp;"_"&amp;TEXT($E649,"yyyy-mm-dd")&amp;".jpg")</f>
        <v/>
      </c>
      <c r="Q649" s="25">
        <f>IF($B649="","",IF(COUNTIF(campaigns!$A$2:$A$51,$B649)=0,"campaign_id not on campaigns; ",IF(AND($C649&lt;&gt;"",COUNTIFS(approvals!$A$2:$A$251,$B649,approvals!$B$2:$B$251,$C649)=0),"office not on this campaign (approvals tab); ",""))&amp;IF($E649="","taken date missing; ","")&amp;IF(AND($H649&lt;&gt;"",$H649&lt;&gt;$P649),"file name differs from the convention; ","")&amp;IF(AND($D649="placement",$O649="Y",COUNTIF(photos!$R$2:$R$701,$R649)&gt;1),"two usable placement photos: mark one N; ","")&amp;IF($K649&lt;&gt;"Y","info: not usable (a person, screen or whiteboard may show): never used, delete the file; ","")&amp;IF(AND($D649="placement",$J649&lt;&gt;"Y"),"info: not usable as a placement photo (no card); ","")&amp;IF(AND($D649="placement",N($N649)&gt;2),"info: placed after the first business day; ","")&amp;IF(AND($D649="later",$N649&lt;&gt;"",OR(N($N649)&lt;3,N($N649)&gt;5)),"info: later photo outside day 3 to 5; ",""))</f>
        <v/>
      </c>
      <c r="R649" s="25">
        <f>IF($B649="","",$B649&amp;"|"&amp;$C649&amp;"|"&amp;$D649&amp;"|"&amp;$O649)</f>
        <v/>
      </c>
      <c r="S649" s="25">
        <f>IF($B649="","",$R649&amp;"|"&amp;N($E649))</f>
        <v/>
      </c>
    </row>
    <row r="650">
      <c r="E650" s="9" t="n"/>
      <c r="F650" s="33" t="n"/>
      <c r="I650" s="9" t="n"/>
      <c r="M650" s="26">
        <f>IF($B650="","",IFERROR(IF(INDEX(campaigns!$BG$2:$BG$51,MATCH($B650,campaigns!$A$2:$A$51,0))="","",INDEX(campaigns!$BG$2:$BG$51,MATCH($B650,campaigns!$A$2:$A$51,0))),""))</f>
        <v/>
      </c>
      <c r="N650" s="25">
        <f>IF(OR($B650="",$E650="",$M650=""),"",IF($E650&lt;$M650,0,NETWORKDAYS($M650,$E650,calendar!$A$2:$A$80)))</f>
        <v/>
      </c>
      <c r="O650" s="25">
        <f>IF($B650="","",IF(AND($K650="Y",OR($D650="later",$J650="Y")),"Y","N"))</f>
        <v/>
      </c>
      <c r="P650" s="25">
        <f>IF(OR($B650="",$E650=""),"",$B650&amp;"_"&amp;$C650&amp;"_"&amp;$D650&amp;"_"&amp;TEXT($E650,"yyyy-mm-dd")&amp;".jpg")</f>
        <v/>
      </c>
      <c r="Q650" s="25">
        <f>IF($B650="","",IF(COUNTIF(campaigns!$A$2:$A$51,$B650)=0,"campaign_id not on campaigns; ",IF(AND($C650&lt;&gt;"",COUNTIFS(approvals!$A$2:$A$251,$B650,approvals!$B$2:$B$251,$C650)=0),"office not on this campaign (approvals tab); ",""))&amp;IF($E650="","taken date missing; ","")&amp;IF(AND($H650&lt;&gt;"",$H650&lt;&gt;$P650),"file name differs from the convention; ","")&amp;IF(AND($D650="placement",$O650="Y",COUNTIF(photos!$R$2:$R$701,$R650)&gt;1),"two usable placement photos: mark one N; ","")&amp;IF($K650&lt;&gt;"Y","info: not usable (a person, screen or whiteboard may show): never used, delete the file; ","")&amp;IF(AND($D650="placement",$J650&lt;&gt;"Y"),"info: not usable as a placement photo (no card); ","")&amp;IF(AND($D650="placement",N($N650)&gt;2),"info: placed after the first business day; ","")&amp;IF(AND($D650="later",$N650&lt;&gt;"",OR(N($N650)&lt;3,N($N650)&gt;5)),"info: later photo outside day 3 to 5; ",""))</f>
        <v/>
      </c>
      <c r="R650" s="25">
        <f>IF($B650="","",$B650&amp;"|"&amp;$C650&amp;"|"&amp;$D650&amp;"|"&amp;$O650)</f>
        <v/>
      </c>
      <c r="S650" s="25">
        <f>IF($B650="","",$R650&amp;"|"&amp;N($E650))</f>
        <v/>
      </c>
    </row>
    <row r="651">
      <c r="E651" s="9" t="n"/>
      <c r="F651" s="33" t="n"/>
      <c r="I651" s="9" t="n"/>
      <c r="M651" s="26">
        <f>IF($B651="","",IFERROR(IF(INDEX(campaigns!$BG$2:$BG$51,MATCH($B651,campaigns!$A$2:$A$51,0))="","",INDEX(campaigns!$BG$2:$BG$51,MATCH($B651,campaigns!$A$2:$A$51,0))),""))</f>
        <v/>
      </c>
      <c r="N651" s="25">
        <f>IF(OR($B651="",$E651="",$M651=""),"",IF($E651&lt;$M651,0,NETWORKDAYS($M651,$E651,calendar!$A$2:$A$80)))</f>
        <v/>
      </c>
      <c r="O651" s="25">
        <f>IF($B651="","",IF(AND($K651="Y",OR($D651="later",$J651="Y")),"Y","N"))</f>
        <v/>
      </c>
      <c r="P651" s="25">
        <f>IF(OR($B651="",$E651=""),"",$B651&amp;"_"&amp;$C651&amp;"_"&amp;$D651&amp;"_"&amp;TEXT($E651,"yyyy-mm-dd")&amp;".jpg")</f>
        <v/>
      </c>
      <c r="Q651" s="25">
        <f>IF($B651="","",IF(COUNTIF(campaigns!$A$2:$A$51,$B651)=0,"campaign_id not on campaigns; ",IF(AND($C651&lt;&gt;"",COUNTIFS(approvals!$A$2:$A$251,$B651,approvals!$B$2:$B$251,$C651)=0),"office not on this campaign (approvals tab); ",""))&amp;IF($E651="","taken date missing; ","")&amp;IF(AND($H651&lt;&gt;"",$H651&lt;&gt;$P651),"file name differs from the convention; ","")&amp;IF(AND($D651="placement",$O651="Y",COUNTIF(photos!$R$2:$R$701,$R651)&gt;1),"two usable placement photos: mark one N; ","")&amp;IF($K651&lt;&gt;"Y","info: not usable (a person, screen or whiteboard may show): never used, delete the file; ","")&amp;IF(AND($D651="placement",$J651&lt;&gt;"Y"),"info: not usable as a placement photo (no card); ","")&amp;IF(AND($D651="placement",N($N651)&gt;2),"info: placed after the first business day; ","")&amp;IF(AND($D651="later",$N651&lt;&gt;"",OR(N($N651)&lt;3,N($N651)&gt;5)),"info: later photo outside day 3 to 5; ",""))</f>
        <v/>
      </c>
      <c r="R651" s="25">
        <f>IF($B651="","",$B651&amp;"|"&amp;$C651&amp;"|"&amp;$D651&amp;"|"&amp;$O651)</f>
        <v/>
      </c>
      <c r="S651" s="25">
        <f>IF($B651="","",$R651&amp;"|"&amp;N($E651))</f>
        <v/>
      </c>
    </row>
    <row r="652">
      <c r="E652" s="9" t="n"/>
      <c r="F652" s="33" t="n"/>
      <c r="I652" s="9" t="n"/>
      <c r="M652" s="26">
        <f>IF($B652="","",IFERROR(IF(INDEX(campaigns!$BG$2:$BG$51,MATCH($B652,campaigns!$A$2:$A$51,0))="","",INDEX(campaigns!$BG$2:$BG$51,MATCH($B652,campaigns!$A$2:$A$51,0))),""))</f>
        <v/>
      </c>
      <c r="N652" s="25">
        <f>IF(OR($B652="",$E652="",$M652=""),"",IF($E652&lt;$M652,0,NETWORKDAYS($M652,$E652,calendar!$A$2:$A$80)))</f>
        <v/>
      </c>
      <c r="O652" s="25">
        <f>IF($B652="","",IF(AND($K652="Y",OR($D652="later",$J652="Y")),"Y","N"))</f>
        <v/>
      </c>
      <c r="P652" s="25">
        <f>IF(OR($B652="",$E652=""),"",$B652&amp;"_"&amp;$C652&amp;"_"&amp;$D652&amp;"_"&amp;TEXT($E652,"yyyy-mm-dd")&amp;".jpg")</f>
        <v/>
      </c>
      <c r="Q652" s="25">
        <f>IF($B652="","",IF(COUNTIF(campaigns!$A$2:$A$51,$B652)=0,"campaign_id not on campaigns; ",IF(AND($C652&lt;&gt;"",COUNTIFS(approvals!$A$2:$A$251,$B652,approvals!$B$2:$B$251,$C652)=0),"office not on this campaign (approvals tab); ",""))&amp;IF($E652="","taken date missing; ","")&amp;IF(AND($H652&lt;&gt;"",$H652&lt;&gt;$P652),"file name differs from the convention; ","")&amp;IF(AND($D652="placement",$O652="Y",COUNTIF(photos!$R$2:$R$701,$R652)&gt;1),"two usable placement photos: mark one N; ","")&amp;IF($K652&lt;&gt;"Y","info: not usable (a person, screen or whiteboard may show): never used, delete the file; ","")&amp;IF(AND($D652="placement",$J652&lt;&gt;"Y"),"info: not usable as a placement photo (no card); ","")&amp;IF(AND($D652="placement",N($N652)&gt;2),"info: placed after the first business day; ","")&amp;IF(AND($D652="later",$N652&lt;&gt;"",OR(N($N652)&lt;3,N($N652)&gt;5)),"info: later photo outside day 3 to 5; ",""))</f>
        <v/>
      </c>
      <c r="R652" s="25">
        <f>IF($B652="","",$B652&amp;"|"&amp;$C652&amp;"|"&amp;$D652&amp;"|"&amp;$O652)</f>
        <v/>
      </c>
      <c r="S652" s="25">
        <f>IF($B652="","",$R652&amp;"|"&amp;N($E652))</f>
        <v/>
      </c>
    </row>
    <row r="653">
      <c r="E653" s="9" t="n"/>
      <c r="F653" s="33" t="n"/>
      <c r="I653" s="9" t="n"/>
      <c r="M653" s="26">
        <f>IF($B653="","",IFERROR(IF(INDEX(campaigns!$BG$2:$BG$51,MATCH($B653,campaigns!$A$2:$A$51,0))="","",INDEX(campaigns!$BG$2:$BG$51,MATCH($B653,campaigns!$A$2:$A$51,0))),""))</f>
        <v/>
      </c>
      <c r="N653" s="25">
        <f>IF(OR($B653="",$E653="",$M653=""),"",IF($E653&lt;$M653,0,NETWORKDAYS($M653,$E653,calendar!$A$2:$A$80)))</f>
        <v/>
      </c>
      <c r="O653" s="25">
        <f>IF($B653="","",IF(AND($K653="Y",OR($D653="later",$J653="Y")),"Y","N"))</f>
        <v/>
      </c>
      <c r="P653" s="25">
        <f>IF(OR($B653="",$E653=""),"",$B653&amp;"_"&amp;$C653&amp;"_"&amp;$D653&amp;"_"&amp;TEXT($E653,"yyyy-mm-dd")&amp;".jpg")</f>
        <v/>
      </c>
      <c r="Q653" s="25">
        <f>IF($B653="","",IF(COUNTIF(campaigns!$A$2:$A$51,$B653)=0,"campaign_id not on campaigns; ",IF(AND($C653&lt;&gt;"",COUNTIFS(approvals!$A$2:$A$251,$B653,approvals!$B$2:$B$251,$C653)=0),"office not on this campaign (approvals tab); ",""))&amp;IF($E653="","taken date missing; ","")&amp;IF(AND($H653&lt;&gt;"",$H653&lt;&gt;$P653),"file name differs from the convention; ","")&amp;IF(AND($D653="placement",$O653="Y",COUNTIF(photos!$R$2:$R$701,$R653)&gt;1),"two usable placement photos: mark one N; ","")&amp;IF($K653&lt;&gt;"Y","info: not usable (a person, screen or whiteboard may show): never used, delete the file; ","")&amp;IF(AND($D653="placement",$J653&lt;&gt;"Y"),"info: not usable as a placement photo (no card); ","")&amp;IF(AND($D653="placement",N($N653)&gt;2),"info: placed after the first business day; ","")&amp;IF(AND($D653="later",$N653&lt;&gt;"",OR(N($N653)&lt;3,N($N653)&gt;5)),"info: later photo outside day 3 to 5; ",""))</f>
        <v/>
      </c>
      <c r="R653" s="25">
        <f>IF($B653="","",$B653&amp;"|"&amp;$C653&amp;"|"&amp;$D653&amp;"|"&amp;$O653)</f>
        <v/>
      </c>
      <c r="S653" s="25">
        <f>IF($B653="","",$R653&amp;"|"&amp;N($E653))</f>
        <v/>
      </c>
    </row>
    <row r="654">
      <c r="E654" s="9" t="n"/>
      <c r="F654" s="33" t="n"/>
      <c r="I654" s="9" t="n"/>
      <c r="M654" s="26">
        <f>IF($B654="","",IFERROR(IF(INDEX(campaigns!$BG$2:$BG$51,MATCH($B654,campaigns!$A$2:$A$51,0))="","",INDEX(campaigns!$BG$2:$BG$51,MATCH($B654,campaigns!$A$2:$A$51,0))),""))</f>
        <v/>
      </c>
      <c r="N654" s="25">
        <f>IF(OR($B654="",$E654="",$M654=""),"",IF($E654&lt;$M654,0,NETWORKDAYS($M654,$E654,calendar!$A$2:$A$80)))</f>
        <v/>
      </c>
      <c r="O654" s="25">
        <f>IF($B654="","",IF(AND($K654="Y",OR($D654="later",$J654="Y")),"Y","N"))</f>
        <v/>
      </c>
      <c r="P654" s="25">
        <f>IF(OR($B654="",$E654=""),"",$B654&amp;"_"&amp;$C654&amp;"_"&amp;$D654&amp;"_"&amp;TEXT($E654,"yyyy-mm-dd")&amp;".jpg")</f>
        <v/>
      </c>
      <c r="Q654" s="25">
        <f>IF($B654="","",IF(COUNTIF(campaigns!$A$2:$A$51,$B654)=0,"campaign_id not on campaigns; ",IF(AND($C654&lt;&gt;"",COUNTIFS(approvals!$A$2:$A$251,$B654,approvals!$B$2:$B$251,$C654)=0),"office not on this campaign (approvals tab); ",""))&amp;IF($E654="","taken date missing; ","")&amp;IF(AND($H654&lt;&gt;"",$H654&lt;&gt;$P654),"file name differs from the convention; ","")&amp;IF(AND($D654="placement",$O654="Y",COUNTIF(photos!$R$2:$R$701,$R654)&gt;1),"two usable placement photos: mark one N; ","")&amp;IF($K654&lt;&gt;"Y","info: not usable (a person, screen or whiteboard may show): never used, delete the file; ","")&amp;IF(AND($D654="placement",$J654&lt;&gt;"Y"),"info: not usable as a placement photo (no card); ","")&amp;IF(AND($D654="placement",N($N654)&gt;2),"info: placed after the first business day; ","")&amp;IF(AND($D654="later",$N654&lt;&gt;"",OR(N($N654)&lt;3,N($N654)&gt;5)),"info: later photo outside day 3 to 5; ",""))</f>
        <v/>
      </c>
      <c r="R654" s="25">
        <f>IF($B654="","",$B654&amp;"|"&amp;$C654&amp;"|"&amp;$D654&amp;"|"&amp;$O654)</f>
        <v/>
      </c>
      <c r="S654" s="25">
        <f>IF($B654="","",$R654&amp;"|"&amp;N($E654))</f>
        <v/>
      </c>
    </row>
    <row r="655">
      <c r="E655" s="9" t="n"/>
      <c r="F655" s="33" t="n"/>
      <c r="I655" s="9" t="n"/>
      <c r="M655" s="26">
        <f>IF($B655="","",IFERROR(IF(INDEX(campaigns!$BG$2:$BG$51,MATCH($B655,campaigns!$A$2:$A$51,0))="","",INDEX(campaigns!$BG$2:$BG$51,MATCH($B655,campaigns!$A$2:$A$51,0))),""))</f>
        <v/>
      </c>
      <c r="N655" s="25">
        <f>IF(OR($B655="",$E655="",$M655=""),"",IF($E655&lt;$M655,0,NETWORKDAYS($M655,$E655,calendar!$A$2:$A$80)))</f>
        <v/>
      </c>
      <c r="O655" s="25">
        <f>IF($B655="","",IF(AND($K655="Y",OR($D655="later",$J655="Y")),"Y","N"))</f>
        <v/>
      </c>
      <c r="P655" s="25">
        <f>IF(OR($B655="",$E655=""),"",$B655&amp;"_"&amp;$C655&amp;"_"&amp;$D655&amp;"_"&amp;TEXT($E655,"yyyy-mm-dd")&amp;".jpg")</f>
        <v/>
      </c>
      <c r="Q655" s="25">
        <f>IF($B655="","",IF(COUNTIF(campaigns!$A$2:$A$51,$B655)=0,"campaign_id not on campaigns; ",IF(AND($C655&lt;&gt;"",COUNTIFS(approvals!$A$2:$A$251,$B655,approvals!$B$2:$B$251,$C655)=0),"office not on this campaign (approvals tab); ",""))&amp;IF($E655="","taken date missing; ","")&amp;IF(AND($H655&lt;&gt;"",$H655&lt;&gt;$P655),"file name differs from the convention; ","")&amp;IF(AND($D655="placement",$O655="Y",COUNTIF(photos!$R$2:$R$701,$R655)&gt;1),"two usable placement photos: mark one N; ","")&amp;IF($K655&lt;&gt;"Y","info: not usable (a person, screen or whiteboard may show): never used, delete the file; ","")&amp;IF(AND($D655="placement",$J655&lt;&gt;"Y"),"info: not usable as a placement photo (no card); ","")&amp;IF(AND($D655="placement",N($N655)&gt;2),"info: placed after the first business day; ","")&amp;IF(AND($D655="later",$N655&lt;&gt;"",OR(N($N655)&lt;3,N($N655)&gt;5)),"info: later photo outside day 3 to 5; ",""))</f>
        <v/>
      </c>
      <c r="R655" s="25">
        <f>IF($B655="","",$B655&amp;"|"&amp;$C655&amp;"|"&amp;$D655&amp;"|"&amp;$O655)</f>
        <v/>
      </c>
      <c r="S655" s="25">
        <f>IF($B655="","",$R655&amp;"|"&amp;N($E655))</f>
        <v/>
      </c>
    </row>
    <row r="656">
      <c r="E656" s="9" t="n"/>
      <c r="F656" s="33" t="n"/>
      <c r="I656" s="9" t="n"/>
      <c r="M656" s="26">
        <f>IF($B656="","",IFERROR(IF(INDEX(campaigns!$BG$2:$BG$51,MATCH($B656,campaigns!$A$2:$A$51,0))="","",INDEX(campaigns!$BG$2:$BG$51,MATCH($B656,campaigns!$A$2:$A$51,0))),""))</f>
        <v/>
      </c>
      <c r="N656" s="25">
        <f>IF(OR($B656="",$E656="",$M656=""),"",IF($E656&lt;$M656,0,NETWORKDAYS($M656,$E656,calendar!$A$2:$A$80)))</f>
        <v/>
      </c>
      <c r="O656" s="25">
        <f>IF($B656="","",IF(AND($K656="Y",OR($D656="later",$J656="Y")),"Y","N"))</f>
        <v/>
      </c>
      <c r="P656" s="25">
        <f>IF(OR($B656="",$E656=""),"",$B656&amp;"_"&amp;$C656&amp;"_"&amp;$D656&amp;"_"&amp;TEXT($E656,"yyyy-mm-dd")&amp;".jpg")</f>
        <v/>
      </c>
      <c r="Q656" s="25">
        <f>IF($B656="","",IF(COUNTIF(campaigns!$A$2:$A$51,$B656)=0,"campaign_id not on campaigns; ",IF(AND($C656&lt;&gt;"",COUNTIFS(approvals!$A$2:$A$251,$B656,approvals!$B$2:$B$251,$C656)=0),"office not on this campaign (approvals tab); ",""))&amp;IF($E656="","taken date missing; ","")&amp;IF(AND($H656&lt;&gt;"",$H656&lt;&gt;$P656),"file name differs from the convention; ","")&amp;IF(AND($D656="placement",$O656="Y",COUNTIF(photos!$R$2:$R$701,$R656)&gt;1),"two usable placement photos: mark one N; ","")&amp;IF($K656&lt;&gt;"Y","info: not usable (a person, screen or whiteboard may show): never used, delete the file; ","")&amp;IF(AND($D656="placement",$J656&lt;&gt;"Y"),"info: not usable as a placement photo (no card); ","")&amp;IF(AND($D656="placement",N($N656)&gt;2),"info: placed after the first business day; ","")&amp;IF(AND($D656="later",$N656&lt;&gt;"",OR(N($N656)&lt;3,N($N656)&gt;5)),"info: later photo outside day 3 to 5; ",""))</f>
        <v/>
      </c>
      <c r="R656" s="25">
        <f>IF($B656="","",$B656&amp;"|"&amp;$C656&amp;"|"&amp;$D656&amp;"|"&amp;$O656)</f>
        <v/>
      </c>
      <c r="S656" s="25">
        <f>IF($B656="","",$R656&amp;"|"&amp;N($E656))</f>
        <v/>
      </c>
    </row>
    <row r="657">
      <c r="E657" s="9" t="n"/>
      <c r="F657" s="33" t="n"/>
      <c r="I657" s="9" t="n"/>
      <c r="M657" s="26">
        <f>IF($B657="","",IFERROR(IF(INDEX(campaigns!$BG$2:$BG$51,MATCH($B657,campaigns!$A$2:$A$51,0))="","",INDEX(campaigns!$BG$2:$BG$51,MATCH($B657,campaigns!$A$2:$A$51,0))),""))</f>
        <v/>
      </c>
      <c r="N657" s="25">
        <f>IF(OR($B657="",$E657="",$M657=""),"",IF($E657&lt;$M657,0,NETWORKDAYS($M657,$E657,calendar!$A$2:$A$80)))</f>
        <v/>
      </c>
      <c r="O657" s="25">
        <f>IF($B657="","",IF(AND($K657="Y",OR($D657="later",$J657="Y")),"Y","N"))</f>
        <v/>
      </c>
      <c r="P657" s="25">
        <f>IF(OR($B657="",$E657=""),"",$B657&amp;"_"&amp;$C657&amp;"_"&amp;$D657&amp;"_"&amp;TEXT($E657,"yyyy-mm-dd")&amp;".jpg")</f>
        <v/>
      </c>
      <c r="Q657" s="25">
        <f>IF($B657="","",IF(COUNTIF(campaigns!$A$2:$A$51,$B657)=0,"campaign_id not on campaigns; ",IF(AND($C657&lt;&gt;"",COUNTIFS(approvals!$A$2:$A$251,$B657,approvals!$B$2:$B$251,$C657)=0),"office not on this campaign (approvals tab); ",""))&amp;IF($E657="","taken date missing; ","")&amp;IF(AND($H657&lt;&gt;"",$H657&lt;&gt;$P657),"file name differs from the convention; ","")&amp;IF(AND($D657="placement",$O657="Y",COUNTIF(photos!$R$2:$R$701,$R657)&gt;1),"two usable placement photos: mark one N; ","")&amp;IF($K657&lt;&gt;"Y","info: not usable (a person, screen or whiteboard may show): never used, delete the file; ","")&amp;IF(AND($D657="placement",$J657&lt;&gt;"Y"),"info: not usable as a placement photo (no card); ","")&amp;IF(AND($D657="placement",N($N657)&gt;2),"info: placed after the first business day; ","")&amp;IF(AND($D657="later",$N657&lt;&gt;"",OR(N($N657)&lt;3,N($N657)&gt;5)),"info: later photo outside day 3 to 5; ",""))</f>
        <v/>
      </c>
      <c r="R657" s="25">
        <f>IF($B657="","",$B657&amp;"|"&amp;$C657&amp;"|"&amp;$D657&amp;"|"&amp;$O657)</f>
        <v/>
      </c>
      <c r="S657" s="25">
        <f>IF($B657="","",$R657&amp;"|"&amp;N($E657))</f>
        <v/>
      </c>
    </row>
    <row r="658">
      <c r="E658" s="9" t="n"/>
      <c r="F658" s="33" t="n"/>
      <c r="I658" s="9" t="n"/>
      <c r="M658" s="26">
        <f>IF($B658="","",IFERROR(IF(INDEX(campaigns!$BG$2:$BG$51,MATCH($B658,campaigns!$A$2:$A$51,0))="","",INDEX(campaigns!$BG$2:$BG$51,MATCH($B658,campaigns!$A$2:$A$51,0))),""))</f>
        <v/>
      </c>
      <c r="N658" s="25">
        <f>IF(OR($B658="",$E658="",$M658=""),"",IF($E658&lt;$M658,0,NETWORKDAYS($M658,$E658,calendar!$A$2:$A$80)))</f>
        <v/>
      </c>
      <c r="O658" s="25">
        <f>IF($B658="","",IF(AND($K658="Y",OR($D658="later",$J658="Y")),"Y","N"))</f>
        <v/>
      </c>
      <c r="P658" s="25">
        <f>IF(OR($B658="",$E658=""),"",$B658&amp;"_"&amp;$C658&amp;"_"&amp;$D658&amp;"_"&amp;TEXT($E658,"yyyy-mm-dd")&amp;".jpg")</f>
        <v/>
      </c>
      <c r="Q658" s="25">
        <f>IF($B658="","",IF(COUNTIF(campaigns!$A$2:$A$51,$B658)=0,"campaign_id not on campaigns; ",IF(AND($C658&lt;&gt;"",COUNTIFS(approvals!$A$2:$A$251,$B658,approvals!$B$2:$B$251,$C658)=0),"office not on this campaign (approvals tab); ",""))&amp;IF($E658="","taken date missing; ","")&amp;IF(AND($H658&lt;&gt;"",$H658&lt;&gt;$P658),"file name differs from the convention; ","")&amp;IF(AND($D658="placement",$O658="Y",COUNTIF(photos!$R$2:$R$701,$R658)&gt;1),"two usable placement photos: mark one N; ","")&amp;IF($K658&lt;&gt;"Y","info: not usable (a person, screen or whiteboard may show): never used, delete the file; ","")&amp;IF(AND($D658="placement",$J658&lt;&gt;"Y"),"info: not usable as a placement photo (no card); ","")&amp;IF(AND($D658="placement",N($N658)&gt;2),"info: placed after the first business day; ","")&amp;IF(AND($D658="later",$N658&lt;&gt;"",OR(N($N658)&lt;3,N($N658)&gt;5)),"info: later photo outside day 3 to 5; ",""))</f>
        <v/>
      </c>
      <c r="R658" s="25">
        <f>IF($B658="","",$B658&amp;"|"&amp;$C658&amp;"|"&amp;$D658&amp;"|"&amp;$O658)</f>
        <v/>
      </c>
      <c r="S658" s="25">
        <f>IF($B658="","",$R658&amp;"|"&amp;N($E658))</f>
        <v/>
      </c>
    </row>
    <row r="659">
      <c r="E659" s="9" t="n"/>
      <c r="F659" s="33" t="n"/>
      <c r="I659" s="9" t="n"/>
      <c r="M659" s="26">
        <f>IF($B659="","",IFERROR(IF(INDEX(campaigns!$BG$2:$BG$51,MATCH($B659,campaigns!$A$2:$A$51,0))="","",INDEX(campaigns!$BG$2:$BG$51,MATCH($B659,campaigns!$A$2:$A$51,0))),""))</f>
        <v/>
      </c>
      <c r="N659" s="25">
        <f>IF(OR($B659="",$E659="",$M659=""),"",IF($E659&lt;$M659,0,NETWORKDAYS($M659,$E659,calendar!$A$2:$A$80)))</f>
        <v/>
      </c>
      <c r="O659" s="25">
        <f>IF($B659="","",IF(AND($K659="Y",OR($D659="later",$J659="Y")),"Y","N"))</f>
        <v/>
      </c>
      <c r="P659" s="25">
        <f>IF(OR($B659="",$E659=""),"",$B659&amp;"_"&amp;$C659&amp;"_"&amp;$D659&amp;"_"&amp;TEXT($E659,"yyyy-mm-dd")&amp;".jpg")</f>
        <v/>
      </c>
      <c r="Q659" s="25">
        <f>IF($B659="","",IF(COUNTIF(campaigns!$A$2:$A$51,$B659)=0,"campaign_id not on campaigns; ",IF(AND($C659&lt;&gt;"",COUNTIFS(approvals!$A$2:$A$251,$B659,approvals!$B$2:$B$251,$C659)=0),"office not on this campaign (approvals tab); ",""))&amp;IF($E659="","taken date missing; ","")&amp;IF(AND($H659&lt;&gt;"",$H659&lt;&gt;$P659),"file name differs from the convention; ","")&amp;IF(AND($D659="placement",$O659="Y",COUNTIF(photos!$R$2:$R$701,$R659)&gt;1),"two usable placement photos: mark one N; ","")&amp;IF($K659&lt;&gt;"Y","info: not usable (a person, screen or whiteboard may show): never used, delete the file; ","")&amp;IF(AND($D659="placement",$J659&lt;&gt;"Y"),"info: not usable as a placement photo (no card); ","")&amp;IF(AND($D659="placement",N($N659)&gt;2),"info: placed after the first business day; ","")&amp;IF(AND($D659="later",$N659&lt;&gt;"",OR(N($N659)&lt;3,N($N659)&gt;5)),"info: later photo outside day 3 to 5; ",""))</f>
        <v/>
      </c>
      <c r="R659" s="25">
        <f>IF($B659="","",$B659&amp;"|"&amp;$C659&amp;"|"&amp;$D659&amp;"|"&amp;$O659)</f>
        <v/>
      </c>
      <c r="S659" s="25">
        <f>IF($B659="","",$R659&amp;"|"&amp;N($E659))</f>
        <v/>
      </c>
    </row>
    <row r="660">
      <c r="E660" s="9" t="n"/>
      <c r="F660" s="33" t="n"/>
      <c r="I660" s="9" t="n"/>
      <c r="M660" s="26">
        <f>IF($B660="","",IFERROR(IF(INDEX(campaigns!$BG$2:$BG$51,MATCH($B660,campaigns!$A$2:$A$51,0))="","",INDEX(campaigns!$BG$2:$BG$51,MATCH($B660,campaigns!$A$2:$A$51,0))),""))</f>
        <v/>
      </c>
      <c r="N660" s="25">
        <f>IF(OR($B660="",$E660="",$M660=""),"",IF($E660&lt;$M660,0,NETWORKDAYS($M660,$E660,calendar!$A$2:$A$80)))</f>
        <v/>
      </c>
      <c r="O660" s="25">
        <f>IF($B660="","",IF(AND($K660="Y",OR($D660="later",$J660="Y")),"Y","N"))</f>
        <v/>
      </c>
      <c r="P660" s="25">
        <f>IF(OR($B660="",$E660=""),"",$B660&amp;"_"&amp;$C660&amp;"_"&amp;$D660&amp;"_"&amp;TEXT($E660,"yyyy-mm-dd")&amp;".jpg")</f>
        <v/>
      </c>
      <c r="Q660" s="25">
        <f>IF($B660="","",IF(COUNTIF(campaigns!$A$2:$A$51,$B660)=0,"campaign_id not on campaigns; ",IF(AND($C660&lt;&gt;"",COUNTIFS(approvals!$A$2:$A$251,$B660,approvals!$B$2:$B$251,$C660)=0),"office not on this campaign (approvals tab); ",""))&amp;IF($E660="","taken date missing; ","")&amp;IF(AND($H660&lt;&gt;"",$H660&lt;&gt;$P660),"file name differs from the convention; ","")&amp;IF(AND($D660="placement",$O660="Y",COUNTIF(photos!$R$2:$R$701,$R660)&gt;1),"two usable placement photos: mark one N; ","")&amp;IF($K660&lt;&gt;"Y","info: not usable (a person, screen or whiteboard may show): never used, delete the file; ","")&amp;IF(AND($D660="placement",$J660&lt;&gt;"Y"),"info: not usable as a placement photo (no card); ","")&amp;IF(AND($D660="placement",N($N660)&gt;2),"info: placed after the first business day; ","")&amp;IF(AND($D660="later",$N660&lt;&gt;"",OR(N($N660)&lt;3,N($N660)&gt;5)),"info: later photo outside day 3 to 5; ",""))</f>
        <v/>
      </c>
      <c r="R660" s="25">
        <f>IF($B660="","",$B660&amp;"|"&amp;$C660&amp;"|"&amp;$D660&amp;"|"&amp;$O660)</f>
        <v/>
      </c>
      <c r="S660" s="25">
        <f>IF($B660="","",$R660&amp;"|"&amp;N($E660))</f>
        <v/>
      </c>
    </row>
    <row r="661">
      <c r="E661" s="9" t="n"/>
      <c r="F661" s="33" t="n"/>
      <c r="I661" s="9" t="n"/>
      <c r="M661" s="26">
        <f>IF($B661="","",IFERROR(IF(INDEX(campaigns!$BG$2:$BG$51,MATCH($B661,campaigns!$A$2:$A$51,0))="","",INDEX(campaigns!$BG$2:$BG$51,MATCH($B661,campaigns!$A$2:$A$51,0))),""))</f>
        <v/>
      </c>
      <c r="N661" s="25">
        <f>IF(OR($B661="",$E661="",$M661=""),"",IF($E661&lt;$M661,0,NETWORKDAYS($M661,$E661,calendar!$A$2:$A$80)))</f>
        <v/>
      </c>
      <c r="O661" s="25">
        <f>IF($B661="","",IF(AND($K661="Y",OR($D661="later",$J661="Y")),"Y","N"))</f>
        <v/>
      </c>
      <c r="P661" s="25">
        <f>IF(OR($B661="",$E661=""),"",$B661&amp;"_"&amp;$C661&amp;"_"&amp;$D661&amp;"_"&amp;TEXT($E661,"yyyy-mm-dd")&amp;".jpg")</f>
        <v/>
      </c>
      <c r="Q661" s="25">
        <f>IF($B661="","",IF(COUNTIF(campaigns!$A$2:$A$51,$B661)=0,"campaign_id not on campaigns; ",IF(AND($C661&lt;&gt;"",COUNTIFS(approvals!$A$2:$A$251,$B661,approvals!$B$2:$B$251,$C661)=0),"office not on this campaign (approvals tab); ",""))&amp;IF($E661="","taken date missing; ","")&amp;IF(AND($H661&lt;&gt;"",$H661&lt;&gt;$P661),"file name differs from the convention; ","")&amp;IF(AND($D661="placement",$O661="Y",COUNTIF(photos!$R$2:$R$701,$R661)&gt;1),"two usable placement photos: mark one N; ","")&amp;IF($K661&lt;&gt;"Y","info: not usable (a person, screen or whiteboard may show): never used, delete the file; ","")&amp;IF(AND($D661="placement",$J661&lt;&gt;"Y"),"info: not usable as a placement photo (no card); ","")&amp;IF(AND($D661="placement",N($N661)&gt;2),"info: placed after the first business day; ","")&amp;IF(AND($D661="later",$N661&lt;&gt;"",OR(N($N661)&lt;3,N($N661)&gt;5)),"info: later photo outside day 3 to 5; ",""))</f>
        <v/>
      </c>
      <c r="R661" s="25">
        <f>IF($B661="","",$B661&amp;"|"&amp;$C661&amp;"|"&amp;$D661&amp;"|"&amp;$O661)</f>
        <v/>
      </c>
      <c r="S661" s="25">
        <f>IF($B661="","",$R661&amp;"|"&amp;N($E661))</f>
        <v/>
      </c>
    </row>
    <row r="662">
      <c r="E662" s="9" t="n"/>
      <c r="F662" s="33" t="n"/>
      <c r="I662" s="9" t="n"/>
      <c r="M662" s="26">
        <f>IF($B662="","",IFERROR(IF(INDEX(campaigns!$BG$2:$BG$51,MATCH($B662,campaigns!$A$2:$A$51,0))="","",INDEX(campaigns!$BG$2:$BG$51,MATCH($B662,campaigns!$A$2:$A$51,0))),""))</f>
        <v/>
      </c>
      <c r="N662" s="25">
        <f>IF(OR($B662="",$E662="",$M662=""),"",IF($E662&lt;$M662,0,NETWORKDAYS($M662,$E662,calendar!$A$2:$A$80)))</f>
        <v/>
      </c>
      <c r="O662" s="25">
        <f>IF($B662="","",IF(AND($K662="Y",OR($D662="later",$J662="Y")),"Y","N"))</f>
        <v/>
      </c>
      <c r="P662" s="25">
        <f>IF(OR($B662="",$E662=""),"",$B662&amp;"_"&amp;$C662&amp;"_"&amp;$D662&amp;"_"&amp;TEXT($E662,"yyyy-mm-dd")&amp;".jpg")</f>
        <v/>
      </c>
      <c r="Q662" s="25">
        <f>IF($B662="","",IF(COUNTIF(campaigns!$A$2:$A$51,$B662)=0,"campaign_id not on campaigns; ",IF(AND($C662&lt;&gt;"",COUNTIFS(approvals!$A$2:$A$251,$B662,approvals!$B$2:$B$251,$C662)=0),"office not on this campaign (approvals tab); ",""))&amp;IF($E662="","taken date missing; ","")&amp;IF(AND($H662&lt;&gt;"",$H662&lt;&gt;$P662),"file name differs from the convention; ","")&amp;IF(AND($D662="placement",$O662="Y",COUNTIF(photos!$R$2:$R$701,$R662)&gt;1),"two usable placement photos: mark one N; ","")&amp;IF($K662&lt;&gt;"Y","info: not usable (a person, screen or whiteboard may show): never used, delete the file; ","")&amp;IF(AND($D662="placement",$J662&lt;&gt;"Y"),"info: not usable as a placement photo (no card); ","")&amp;IF(AND($D662="placement",N($N662)&gt;2),"info: placed after the first business day; ","")&amp;IF(AND($D662="later",$N662&lt;&gt;"",OR(N($N662)&lt;3,N($N662)&gt;5)),"info: later photo outside day 3 to 5; ",""))</f>
        <v/>
      </c>
      <c r="R662" s="25">
        <f>IF($B662="","",$B662&amp;"|"&amp;$C662&amp;"|"&amp;$D662&amp;"|"&amp;$O662)</f>
        <v/>
      </c>
      <c r="S662" s="25">
        <f>IF($B662="","",$R662&amp;"|"&amp;N($E662))</f>
        <v/>
      </c>
    </row>
    <row r="663">
      <c r="E663" s="9" t="n"/>
      <c r="F663" s="33" t="n"/>
      <c r="I663" s="9" t="n"/>
      <c r="M663" s="26">
        <f>IF($B663="","",IFERROR(IF(INDEX(campaigns!$BG$2:$BG$51,MATCH($B663,campaigns!$A$2:$A$51,0))="","",INDEX(campaigns!$BG$2:$BG$51,MATCH($B663,campaigns!$A$2:$A$51,0))),""))</f>
        <v/>
      </c>
      <c r="N663" s="25">
        <f>IF(OR($B663="",$E663="",$M663=""),"",IF($E663&lt;$M663,0,NETWORKDAYS($M663,$E663,calendar!$A$2:$A$80)))</f>
        <v/>
      </c>
      <c r="O663" s="25">
        <f>IF($B663="","",IF(AND($K663="Y",OR($D663="later",$J663="Y")),"Y","N"))</f>
        <v/>
      </c>
      <c r="P663" s="25">
        <f>IF(OR($B663="",$E663=""),"",$B663&amp;"_"&amp;$C663&amp;"_"&amp;$D663&amp;"_"&amp;TEXT($E663,"yyyy-mm-dd")&amp;".jpg")</f>
        <v/>
      </c>
      <c r="Q663" s="25">
        <f>IF($B663="","",IF(COUNTIF(campaigns!$A$2:$A$51,$B663)=0,"campaign_id not on campaigns; ",IF(AND($C663&lt;&gt;"",COUNTIFS(approvals!$A$2:$A$251,$B663,approvals!$B$2:$B$251,$C663)=0),"office not on this campaign (approvals tab); ",""))&amp;IF($E663="","taken date missing; ","")&amp;IF(AND($H663&lt;&gt;"",$H663&lt;&gt;$P663),"file name differs from the convention; ","")&amp;IF(AND($D663="placement",$O663="Y",COUNTIF(photos!$R$2:$R$701,$R663)&gt;1),"two usable placement photos: mark one N; ","")&amp;IF($K663&lt;&gt;"Y","info: not usable (a person, screen or whiteboard may show): never used, delete the file; ","")&amp;IF(AND($D663="placement",$J663&lt;&gt;"Y"),"info: not usable as a placement photo (no card); ","")&amp;IF(AND($D663="placement",N($N663)&gt;2),"info: placed after the first business day; ","")&amp;IF(AND($D663="later",$N663&lt;&gt;"",OR(N($N663)&lt;3,N($N663)&gt;5)),"info: later photo outside day 3 to 5; ",""))</f>
        <v/>
      </c>
      <c r="R663" s="25">
        <f>IF($B663="","",$B663&amp;"|"&amp;$C663&amp;"|"&amp;$D663&amp;"|"&amp;$O663)</f>
        <v/>
      </c>
      <c r="S663" s="25">
        <f>IF($B663="","",$R663&amp;"|"&amp;N($E663))</f>
        <v/>
      </c>
    </row>
    <row r="664">
      <c r="E664" s="9" t="n"/>
      <c r="F664" s="33" t="n"/>
      <c r="I664" s="9" t="n"/>
      <c r="M664" s="26">
        <f>IF($B664="","",IFERROR(IF(INDEX(campaigns!$BG$2:$BG$51,MATCH($B664,campaigns!$A$2:$A$51,0))="","",INDEX(campaigns!$BG$2:$BG$51,MATCH($B664,campaigns!$A$2:$A$51,0))),""))</f>
        <v/>
      </c>
      <c r="N664" s="25">
        <f>IF(OR($B664="",$E664="",$M664=""),"",IF($E664&lt;$M664,0,NETWORKDAYS($M664,$E664,calendar!$A$2:$A$80)))</f>
        <v/>
      </c>
      <c r="O664" s="25">
        <f>IF($B664="","",IF(AND($K664="Y",OR($D664="later",$J664="Y")),"Y","N"))</f>
        <v/>
      </c>
      <c r="P664" s="25">
        <f>IF(OR($B664="",$E664=""),"",$B664&amp;"_"&amp;$C664&amp;"_"&amp;$D664&amp;"_"&amp;TEXT($E664,"yyyy-mm-dd")&amp;".jpg")</f>
        <v/>
      </c>
      <c r="Q664" s="25">
        <f>IF($B664="","",IF(COUNTIF(campaigns!$A$2:$A$51,$B664)=0,"campaign_id not on campaigns; ",IF(AND($C664&lt;&gt;"",COUNTIFS(approvals!$A$2:$A$251,$B664,approvals!$B$2:$B$251,$C664)=0),"office not on this campaign (approvals tab); ",""))&amp;IF($E664="","taken date missing; ","")&amp;IF(AND($H664&lt;&gt;"",$H664&lt;&gt;$P664),"file name differs from the convention; ","")&amp;IF(AND($D664="placement",$O664="Y",COUNTIF(photos!$R$2:$R$701,$R664)&gt;1),"two usable placement photos: mark one N; ","")&amp;IF($K664&lt;&gt;"Y","info: not usable (a person, screen or whiteboard may show): never used, delete the file; ","")&amp;IF(AND($D664="placement",$J664&lt;&gt;"Y"),"info: not usable as a placement photo (no card); ","")&amp;IF(AND($D664="placement",N($N664)&gt;2),"info: placed after the first business day; ","")&amp;IF(AND($D664="later",$N664&lt;&gt;"",OR(N($N664)&lt;3,N($N664)&gt;5)),"info: later photo outside day 3 to 5; ",""))</f>
        <v/>
      </c>
      <c r="R664" s="25">
        <f>IF($B664="","",$B664&amp;"|"&amp;$C664&amp;"|"&amp;$D664&amp;"|"&amp;$O664)</f>
        <v/>
      </c>
      <c r="S664" s="25">
        <f>IF($B664="","",$R664&amp;"|"&amp;N($E664))</f>
        <v/>
      </c>
    </row>
    <row r="665">
      <c r="E665" s="9" t="n"/>
      <c r="F665" s="33" t="n"/>
      <c r="I665" s="9" t="n"/>
      <c r="M665" s="26">
        <f>IF($B665="","",IFERROR(IF(INDEX(campaigns!$BG$2:$BG$51,MATCH($B665,campaigns!$A$2:$A$51,0))="","",INDEX(campaigns!$BG$2:$BG$51,MATCH($B665,campaigns!$A$2:$A$51,0))),""))</f>
        <v/>
      </c>
      <c r="N665" s="25">
        <f>IF(OR($B665="",$E665="",$M665=""),"",IF($E665&lt;$M665,0,NETWORKDAYS($M665,$E665,calendar!$A$2:$A$80)))</f>
        <v/>
      </c>
      <c r="O665" s="25">
        <f>IF($B665="","",IF(AND($K665="Y",OR($D665="later",$J665="Y")),"Y","N"))</f>
        <v/>
      </c>
      <c r="P665" s="25">
        <f>IF(OR($B665="",$E665=""),"",$B665&amp;"_"&amp;$C665&amp;"_"&amp;$D665&amp;"_"&amp;TEXT($E665,"yyyy-mm-dd")&amp;".jpg")</f>
        <v/>
      </c>
      <c r="Q665" s="25">
        <f>IF($B665="","",IF(COUNTIF(campaigns!$A$2:$A$51,$B665)=0,"campaign_id not on campaigns; ",IF(AND($C665&lt;&gt;"",COUNTIFS(approvals!$A$2:$A$251,$B665,approvals!$B$2:$B$251,$C665)=0),"office not on this campaign (approvals tab); ",""))&amp;IF($E665="","taken date missing; ","")&amp;IF(AND($H665&lt;&gt;"",$H665&lt;&gt;$P665),"file name differs from the convention; ","")&amp;IF(AND($D665="placement",$O665="Y",COUNTIF(photos!$R$2:$R$701,$R665)&gt;1),"two usable placement photos: mark one N; ","")&amp;IF($K665&lt;&gt;"Y","info: not usable (a person, screen or whiteboard may show): never used, delete the file; ","")&amp;IF(AND($D665="placement",$J665&lt;&gt;"Y"),"info: not usable as a placement photo (no card); ","")&amp;IF(AND($D665="placement",N($N665)&gt;2),"info: placed after the first business day; ","")&amp;IF(AND($D665="later",$N665&lt;&gt;"",OR(N($N665)&lt;3,N($N665)&gt;5)),"info: later photo outside day 3 to 5; ",""))</f>
        <v/>
      </c>
      <c r="R665" s="25">
        <f>IF($B665="","",$B665&amp;"|"&amp;$C665&amp;"|"&amp;$D665&amp;"|"&amp;$O665)</f>
        <v/>
      </c>
      <c r="S665" s="25">
        <f>IF($B665="","",$R665&amp;"|"&amp;N($E665))</f>
        <v/>
      </c>
    </row>
    <row r="666">
      <c r="E666" s="9" t="n"/>
      <c r="F666" s="33" t="n"/>
      <c r="I666" s="9" t="n"/>
      <c r="M666" s="26">
        <f>IF($B666="","",IFERROR(IF(INDEX(campaigns!$BG$2:$BG$51,MATCH($B666,campaigns!$A$2:$A$51,0))="","",INDEX(campaigns!$BG$2:$BG$51,MATCH($B666,campaigns!$A$2:$A$51,0))),""))</f>
        <v/>
      </c>
      <c r="N666" s="25">
        <f>IF(OR($B666="",$E666="",$M666=""),"",IF($E666&lt;$M666,0,NETWORKDAYS($M666,$E666,calendar!$A$2:$A$80)))</f>
        <v/>
      </c>
      <c r="O666" s="25">
        <f>IF($B666="","",IF(AND($K666="Y",OR($D666="later",$J666="Y")),"Y","N"))</f>
        <v/>
      </c>
      <c r="P666" s="25">
        <f>IF(OR($B666="",$E666=""),"",$B666&amp;"_"&amp;$C666&amp;"_"&amp;$D666&amp;"_"&amp;TEXT($E666,"yyyy-mm-dd")&amp;".jpg")</f>
        <v/>
      </c>
      <c r="Q666" s="25">
        <f>IF($B666="","",IF(COUNTIF(campaigns!$A$2:$A$51,$B666)=0,"campaign_id not on campaigns; ",IF(AND($C666&lt;&gt;"",COUNTIFS(approvals!$A$2:$A$251,$B666,approvals!$B$2:$B$251,$C666)=0),"office not on this campaign (approvals tab); ",""))&amp;IF($E666="","taken date missing; ","")&amp;IF(AND($H666&lt;&gt;"",$H666&lt;&gt;$P666),"file name differs from the convention; ","")&amp;IF(AND($D666="placement",$O666="Y",COUNTIF(photos!$R$2:$R$701,$R666)&gt;1),"two usable placement photos: mark one N; ","")&amp;IF($K666&lt;&gt;"Y","info: not usable (a person, screen or whiteboard may show): never used, delete the file; ","")&amp;IF(AND($D666="placement",$J666&lt;&gt;"Y"),"info: not usable as a placement photo (no card); ","")&amp;IF(AND($D666="placement",N($N666)&gt;2),"info: placed after the first business day; ","")&amp;IF(AND($D666="later",$N666&lt;&gt;"",OR(N($N666)&lt;3,N($N666)&gt;5)),"info: later photo outside day 3 to 5; ",""))</f>
        <v/>
      </c>
      <c r="R666" s="25">
        <f>IF($B666="","",$B666&amp;"|"&amp;$C666&amp;"|"&amp;$D666&amp;"|"&amp;$O666)</f>
        <v/>
      </c>
      <c r="S666" s="25">
        <f>IF($B666="","",$R666&amp;"|"&amp;N($E666))</f>
        <v/>
      </c>
    </row>
    <row r="667">
      <c r="E667" s="9" t="n"/>
      <c r="F667" s="33" t="n"/>
      <c r="I667" s="9" t="n"/>
      <c r="M667" s="26">
        <f>IF($B667="","",IFERROR(IF(INDEX(campaigns!$BG$2:$BG$51,MATCH($B667,campaigns!$A$2:$A$51,0))="","",INDEX(campaigns!$BG$2:$BG$51,MATCH($B667,campaigns!$A$2:$A$51,0))),""))</f>
        <v/>
      </c>
      <c r="N667" s="25">
        <f>IF(OR($B667="",$E667="",$M667=""),"",IF($E667&lt;$M667,0,NETWORKDAYS($M667,$E667,calendar!$A$2:$A$80)))</f>
        <v/>
      </c>
      <c r="O667" s="25">
        <f>IF($B667="","",IF(AND($K667="Y",OR($D667="later",$J667="Y")),"Y","N"))</f>
        <v/>
      </c>
      <c r="P667" s="25">
        <f>IF(OR($B667="",$E667=""),"",$B667&amp;"_"&amp;$C667&amp;"_"&amp;$D667&amp;"_"&amp;TEXT($E667,"yyyy-mm-dd")&amp;".jpg")</f>
        <v/>
      </c>
      <c r="Q667" s="25">
        <f>IF($B667="","",IF(COUNTIF(campaigns!$A$2:$A$51,$B667)=0,"campaign_id not on campaigns; ",IF(AND($C667&lt;&gt;"",COUNTIFS(approvals!$A$2:$A$251,$B667,approvals!$B$2:$B$251,$C667)=0),"office not on this campaign (approvals tab); ",""))&amp;IF($E667="","taken date missing; ","")&amp;IF(AND($H667&lt;&gt;"",$H667&lt;&gt;$P667),"file name differs from the convention; ","")&amp;IF(AND($D667="placement",$O667="Y",COUNTIF(photos!$R$2:$R$701,$R667)&gt;1),"two usable placement photos: mark one N; ","")&amp;IF($K667&lt;&gt;"Y","info: not usable (a person, screen or whiteboard may show): never used, delete the file; ","")&amp;IF(AND($D667="placement",$J667&lt;&gt;"Y"),"info: not usable as a placement photo (no card); ","")&amp;IF(AND($D667="placement",N($N667)&gt;2),"info: placed after the first business day; ","")&amp;IF(AND($D667="later",$N667&lt;&gt;"",OR(N($N667)&lt;3,N($N667)&gt;5)),"info: later photo outside day 3 to 5; ",""))</f>
        <v/>
      </c>
      <c r="R667" s="25">
        <f>IF($B667="","",$B667&amp;"|"&amp;$C667&amp;"|"&amp;$D667&amp;"|"&amp;$O667)</f>
        <v/>
      </c>
      <c r="S667" s="25">
        <f>IF($B667="","",$R667&amp;"|"&amp;N($E667))</f>
        <v/>
      </c>
    </row>
    <row r="668">
      <c r="E668" s="9" t="n"/>
      <c r="F668" s="33" t="n"/>
      <c r="I668" s="9" t="n"/>
      <c r="M668" s="26">
        <f>IF($B668="","",IFERROR(IF(INDEX(campaigns!$BG$2:$BG$51,MATCH($B668,campaigns!$A$2:$A$51,0))="","",INDEX(campaigns!$BG$2:$BG$51,MATCH($B668,campaigns!$A$2:$A$51,0))),""))</f>
        <v/>
      </c>
      <c r="N668" s="25">
        <f>IF(OR($B668="",$E668="",$M668=""),"",IF($E668&lt;$M668,0,NETWORKDAYS($M668,$E668,calendar!$A$2:$A$80)))</f>
        <v/>
      </c>
      <c r="O668" s="25">
        <f>IF($B668="","",IF(AND($K668="Y",OR($D668="later",$J668="Y")),"Y","N"))</f>
        <v/>
      </c>
      <c r="P668" s="25">
        <f>IF(OR($B668="",$E668=""),"",$B668&amp;"_"&amp;$C668&amp;"_"&amp;$D668&amp;"_"&amp;TEXT($E668,"yyyy-mm-dd")&amp;".jpg")</f>
        <v/>
      </c>
      <c r="Q668" s="25">
        <f>IF($B668="","",IF(COUNTIF(campaigns!$A$2:$A$51,$B668)=0,"campaign_id not on campaigns; ",IF(AND($C668&lt;&gt;"",COUNTIFS(approvals!$A$2:$A$251,$B668,approvals!$B$2:$B$251,$C668)=0),"office not on this campaign (approvals tab); ",""))&amp;IF($E668="","taken date missing; ","")&amp;IF(AND($H668&lt;&gt;"",$H668&lt;&gt;$P668),"file name differs from the convention; ","")&amp;IF(AND($D668="placement",$O668="Y",COUNTIF(photos!$R$2:$R$701,$R668)&gt;1),"two usable placement photos: mark one N; ","")&amp;IF($K668&lt;&gt;"Y","info: not usable (a person, screen or whiteboard may show): never used, delete the file; ","")&amp;IF(AND($D668="placement",$J668&lt;&gt;"Y"),"info: not usable as a placement photo (no card); ","")&amp;IF(AND($D668="placement",N($N668)&gt;2),"info: placed after the first business day; ","")&amp;IF(AND($D668="later",$N668&lt;&gt;"",OR(N($N668)&lt;3,N($N668)&gt;5)),"info: later photo outside day 3 to 5; ",""))</f>
        <v/>
      </c>
      <c r="R668" s="25">
        <f>IF($B668="","",$B668&amp;"|"&amp;$C668&amp;"|"&amp;$D668&amp;"|"&amp;$O668)</f>
        <v/>
      </c>
      <c r="S668" s="25">
        <f>IF($B668="","",$R668&amp;"|"&amp;N($E668))</f>
        <v/>
      </c>
    </row>
    <row r="669">
      <c r="E669" s="9" t="n"/>
      <c r="F669" s="33" t="n"/>
      <c r="I669" s="9" t="n"/>
      <c r="M669" s="26">
        <f>IF($B669="","",IFERROR(IF(INDEX(campaigns!$BG$2:$BG$51,MATCH($B669,campaigns!$A$2:$A$51,0))="","",INDEX(campaigns!$BG$2:$BG$51,MATCH($B669,campaigns!$A$2:$A$51,0))),""))</f>
        <v/>
      </c>
      <c r="N669" s="25">
        <f>IF(OR($B669="",$E669="",$M669=""),"",IF($E669&lt;$M669,0,NETWORKDAYS($M669,$E669,calendar!$A$2:$A$80)))</f>
        <v/>
      </c>
      <c r="O669" s="25">
        <f>IF($B669="","",IF(AND($K669="Y",OR($D669="later",$J669="Y")),"Y","N"))</f>
        <v/>
      </c>
      <c r="P669" s="25">
        <f>IF(OR($B669="",$E669=""),"",$B669&amp;"_"&amp;$C669&amp;"_"&amp;$D669&amp;"_"&amp;TEXT($E669,"yyyy-mm-dd")&amp;".jpg")</f>
        <v/>
      </c>
      <c r="Q669" s="25">
        <f>IF($B669="","",IF(COUNTIF(campaigns!$A$2:$A$51,$B669)=0,"campaign_id not on campaigns; ",IF(AND($C669&lt;&gt;"",COUNTIFS(approvals!$A$2:$A$251,$B669,approvals!$B$2:$B$251,$C669)=0),"office not on this campaign (approvals tab); ",""))&amp;IF($E669="","taken date missing; ","")&amp;IF(AND($H669&lt;&gt;"",$H669&lt;&gt;$P669),"file name differs from the convention; ","")&amp;IF(AND($D669="placement",$O669="Y",COUNTIF(photos!$R$2:$R$701,$R669)&gt;1),"two usable placement photos: mark one N; ","")&amp;IF($K669&lt;&gt;"Y","info: not usable (a person, screen or whiteboard may show): never used, delete the file; ","")&amp;IF(AND($D669="placement",$J669&lt;&gt;"Y"),"info: not usable as a placement photo (no card); ","")&amp;IF(AND($D669="placement",N($N669)&gt;2),"info: placed after the first business day; ","")&amp;IF(AND($D669="later",$N669&lt;&gt;"",OR(N($N669)&lt;3,N($N669)&gt;5)),"info: later photo outside day 3 to 5; ",""))</f>
        <v/>
      </c>
      <c r="R669" s="25">
        <f>IF($B669="","",$B669&amp;"|"&amp;$C669&amp;"|"&amp;$D669&amp;"|"&amp;$O669)</f>
        <v/>
      </c>
      <c r="S669" s="25">
        <f>IF($B669="","",$R669&amp;"|"&amp;N($E669))</f>
        <v/>
      </c>
    </row>
    <row r="670">
      <c r="E670" s="9" t="n"/>
      <c r="F670" s="33" t="n"/>
      <c r="I670" s="9" t="n"/>
      <c r="M670" s="26">
        <f>IF($B670="","",IFERROR(IF(INDEX(campaigns!$BG$2:$BG$51,MATCH($B670,campaigns!$A$2:$A$51,0))="","",INDEX(campaigns!$BG$2:$BG$51,MATCH($B670,campaigns!$A$2:$A$51,0))),""))</f>
        <v/>
      </c>
      <c r="N670" s="25">
        <f>IF(OR($B670="",$E670="",$M670=""),"",IF($E670&lt;$M670,0,NETWORKDAYS($M670,$E670,calendar!$A$2:$A$80)))</f>
        <v/>
      </c>
      <c r="O670" s="25">
        <f>IF($B670="","",IF(AND($K670="Y",OR($D670="later",$J670="Y")),"Y","N"))</f>
        <v/>
      </c>
      <c r="P670" s="25">
        <f>IF(OR($B670="",$E670=""),"",$B670&amp;"_"&amp;$C670&amp;"_"&amp;$D670&amp;"_"&amp;TEXT($E670,"yyyy-mm-dd")&amp;".jpg")</f>
        <v/>
      </c>
      <c r="Q670" s="25">
        <f>IF($B670="","",IF(COUNTIF(campaigns!$A$2:$A$51,$B670)=0,"campaign_id not on campaigns; ",IF(AND($C670&lt;&gt;"",COUNTIFS(approvals!$A$2:$A$251,$B670,approvals!$B$2:$B$251,$C670)=0),"office not on this campaign (approvals tab); ",""))&amp;IF($E670="","taken date missing; ","")&amp;IF(AND($H670&lt;&gt;"",$H670&lt;&gt;$P670),"file name differs from the convention; ","")&amp;IF(AND($D670="placement",$O670="Y",COUNTIF(photos!$R$2:$R$701,$R670)&gt;1),"two usable placement photos: mark one N; ","")&amp;IF($K670&lt;&gt;"Y","info: not usable (a person, screen or whiteboard may show): never used, delete the file; ","")&amp;IF(AND($D670="placement",$J670&lt;&gt;"Y"),"info: not usable as a placement photo (no card); ","")&amp;IF(AND($D670="placement",N($N670)&gt;2),"info: placed after the first business day; ","")&amp;IF(AND($D670="later",$N670&lt;&gt;"",OR(N($N670)&lt;3,N($N670)&gt;5)),"info: later photo outside day 3 to 5; ",""))</f>
        <v/>
      </c>
      <c r="R670" s="25">
        <f>IF($B670="","",$B670&amp;"|"&amp;$C670&amp;"|"&amp;$D670&amp;"|"&amp;$O670)</f>
        <v/>
      </c>
      <c r="S670" s="25">
        <f>IF($B670="","",$R670&amp;"|"&amp;N($E670))</f>
        <v/>
      </c>
    </row>
    <row r="671">
      <c r="E671" s="9" t="n"/>
      <c r="F671" s="33" t="n"/>
      <c r="I671" s="9" t="n"/>
      <c r="M671" s="26">
        <f>IF($B671="","",IFERROR(IF(INDEX(campaigns!$BG$2:$BG$51,MATCH($B671,campaigns!$A$2:$A$51,0))="","",INDEX(campaigns!$BG$2:$BG$51,MATCH($B671,campaigns!$A$2:$A$51,0))),""))</f>
        <v/>
      </c>
      <c r="N671" s="25">
        <f>IF(OR($B671="",$E671="",$M671=""),"",IF($E671&lt;$M671,0,NETWORKDAYS($M671,$E671,calendar!$A$2:$A$80)))</f>
        <v/>
      </c>
      <c r="O671" s="25">
        <f>IF($B671="","",IF(AND($K671="Y",OR($D671="later",$J671="Y")),"Y","N"))</f>
        <v/>
      </c>
      <c r="P671" s="25">
        <f>IF(OR($B671="",$E671=""),"",$B671&amp;"_"&amp;$C671&amp;"_"&amp;$D671&amp;"_"&amp;TEXT($E671,"yyyy-mm-dd")&amp;".jpg")</f>
        <v/>
      </c>
      <c r="Q671" s="25">
        <f>IF($B671="","",IF(COUNTIF(campaigns!$A$2:$A$51,$B671)=0,"campaign_id not on campaigns; ",IF(AND($C671&lt;&gt;"",COUNTIFS(approvals!$A$2:$A$251,$B671,approvals!$B$2:$B$251,$C671)=0),"office not on this campaign (approvals tab); ",""))&amp;IF($E671="","taken date missing; ","")&amp;IF(AND($H671&lt;&gt;"",$H671&lt;&gt;$P671),"file name differs from the convention; ","")&amp;IF(AND($D671="placement",$O671="Y",COUNTIF(photos!$R$2:$R$701,$R671)&gt;1),"two usable placement photos: mark one N; ","")&amp;IF($K671&lt;&gt;"Y","info: not usable (a person, screen or whiteboard may show): never used, delete the file; ","")&amp;IF(AND($D671="placement",$J671&lt;&gt;"Y"),"info: not usable as a placement photo (no card); ","")&amp;IF(AND($D671="placement",N($N671)&gt;2),"info: placed after the first business day; ","")&amp;IF(AND($D671="later",$N671&lt;&gt;"",OR(N($N671)&lt;3,N($N671)&gt;5)),"info: later photo outside day 3 to 5; ",""))</f>
        <v/>
      </c>
      <c r="R671" s="25">
        <f>IF($B671="","",$B671&amp;"|"&amp;$C671&amp;"|"&amp;$D671&amp;"|"&amp;$O671)</f>
        <v/>
      </c>
      <c r="S671" s="25">
        <f>IF($B671="","",$R671&amp;"|"&amp;N($E671))</f>
        <v/>
      </c>
    </row>
    <row r="672">
      <c r="E672" s="9" t="n"/>
      <c r="F672" s="33" t="n"/>
      <c r="I672" s="9" t="n"/>
      <c r="M672" s="26">
        <f>IF($B672="","",IFERROR(IF(INDEX(campaigns!$BG$2:$BG$51,MATCH($B672,campaigns!$A$2:$A$51,0))="","",INDEX(campaigns!$BG$2:$BG$51,MATCH($B672,campaigns!$A$2:$A$51,0))),""))</f>
        <v/>
      </c>
      <c r="N672" s="25">
        <f>IF(OR($B672="",$E672="",$M672=""),"",IF($E672&lt;$M672,0,NETWORKDAYS($M672,$E672,calendar!$A$2:$A$80)))</f>
        <v/>
      </c>
      <c r="O672" s="25">
        <f>IF($B672="","",IF(AND($K672="Y",OR($D672="later",$J672="Y")),"Y","N"))</f>
        <v/>
      </c>
      <c r="P672" s="25">
        <f>IF(OR($B672="",$E672=""),"",$B672&amp;"_"&amp;$C672&amp;"_"&amp;$D672&amp;"_"&amp;TEXT($E672,"yyyy-mm-dd")&amp;".jpg")</f>
        <v/>
      </c>
      <c r="Q672" s="25">
        <f>IF($B672="","",IF(COUNTIF(campaigns!$A$2:$A$51,$B672)=0,"campaign_id not on campaigns; ",IF(AND($C672&lt;&gt;"",COUNTIFS(approvals!$A$2:$A$251,$B672,approvals!$B$2:$B$251,$C672)=0),"office not on this campaign (approvals tab); ",""))&amp;IF($E672="","taken date missing; ","")&amp;IF(AND($H672&lt;&gt;"",$H672&lt;&gt;$P672),"file name differs from the convention; ","")&amp;IF(AND($D672="placement",$O672="Y",COUNTIF(photos!$R$2:$R$701,$R672)&gt;1),"two usable placement photos: mark one N; ","")&amp;IF($K672&lt;&gt;"Y","info: not usable (a person, screen or whiteboard may show): never used, delete the file; ","")&amp;IF(AND($D672="placement",$J672&lt;&gt;"Y"),"info: not usable as a placement photo (no card); ","")&amp;IF(AND($D672="placement",N($N672)&gt;2),"info: placed after the first business day; ","")&amp;IF(AND($D672="later",$N672&lt;&gt;"",OR(N($N672)&lt;3,N($N672)&gt;5)),"info: later photo outside day 3 to 5; ",""))</f>
        <v/>
      </c>
      <c r="R672" s="25">
        <f>IF($B672="","",$B672&amp;"|"&amp;$C672&amp;"|"&amp;$D672&amp;"|"&amp;$O672)</f>
        <v/>
      </c>
      <c r="S672" s="25">
        <f>IF($B672="","",$R672&amp;"|"&amp;N($E672))</f>
        <v/>
      </c>
    </row>
    <row r="673">
      <c r="E673" s="9" t="n"/>
      <c r="F673" s="33" t="n"/>
      <c r="I673" s="9" t="n"/>
      <c r="M673" s="26">
        <f>IF($B673="","",IFERROR(IF(INDEX(campaigns!$BG$2:$BG$51,MATCH($B673,campaigns!$A$2:$A$51,0))="","",INDEX(campaigns!$BG$2:$BG$51,MATCH($B673,campaigns!$A$2:$A$51,0))),""))</f>
        <v/>
      </c>
      <c r="N673" s="25">
        <f>IF(OR($B673="",$E673="",$M673=""),"",IF($E673&lt;$M673,0,NETWORKDAYS($M673,$E673,calendar!$A$2:$A$80)))</f>
        <v/>
      </c>
      <c r="O673" s="25">
        <f>IF($B673="","",IF(AND($K673="Y",OR($D673="later",$J673="Y")),"Y","N"))</f>
        <v/>
      </c>
      <c r="P673" s="25">
        <f>IF(OR($B673="",$E673=""),"",$B673&amp;"_"&amp;$C673&amp;"_"&amp;$D673&amp;"_"&amp;TEXT($E673,"yyyy-mm-dd")&amp;".jpg")</f>
        <v/>
      </c>
      <c r="Q673" s="25">
        <f>IF($B673="","",IF(COUNTIF(campaigns!$A$2:$A$51,$B673)=0,"campaign_id not on campaigns; ",IF(AND($C673&lt;&gt;"",COUNTIFS(approvals!$A$2:$A$251,$B673,approvals!$B$2:$B$251,$C673)=0),"office not on this campaign (approvals tab); ",""))&amp;IF($E673="","taken date missing; ","")&amp;IF(AND($H673&lt;&gt;"",$H673&lt;&gt;$P673),"file name differs from the convention; ","")&amp;IF(AND($D673="placement",$O673="Y",COUNTIF(photos!$R$2:$R$701,$R673)&gt;1),"two usable placement photos: mark one N; ","")&amp;IF($K673&lt;&gt;"Y","info: not usable (a person, screen or whiteboard may show): never used, delete the file; ","")&amp;IF(AND($D673="placement",$J673&lt;&gt;"Y"),"info: not usable as a placement photo (no card); ","")&amp;IF(AND($D673="placement",N($N673)&gt;2),"info: placed after the first business day; ","")&amp;IF(AND($D673="later",$N673&lt;&gt;"",OR(N($N673)&lt;3,N($N673)&gt;5)),"info: later photo outside day 3 to 5; ",""))</f>
        <v/>
      </c>
      <c r="R673" s="25">
        <f>IF($B673="","",$B673&amp;"|"&amp;$C673&amp;"|"&amp;$D673&amp;"|"&amp;$O673)</f>
        <v/>
      </c>
      <c r="S673" s="25">
        <f>IF($B673="","",$R673&amp;"|"&amp;N($E673))</f>
        <v/>
      </c>
    </row>
    <row r="674">
      <c r="E674" s="9" t="n"/>
      <c r="F674" s="33" t="n"/>
      <c r="I674" s="9" t="n"/>
      <c r="M674" s="26">
        <f>IF($B674="","",IFERROR(IF(INDEX(campaigns!$BG$2:$BG$51,MATCH($B674,campaigns!$A$2:$A$51,0))="","",INDEX(campaigns!$BG$2:$BG$51,MATCH($B674,campaigns!$A$2:$A$51,0))),""))</f>
        <v/>
      </c>
      <c r="N674" s="25">
        <f>IF(OR($B674="",$E674="",$M674=""),"",IF($E674&lt;$M674,0,NETWORKDAYS($M674,$E674,calendar!$A$2:$A$80)))</f>
        <v/>
      </c>
      <c r="O674" s="25">
        <f>IF($B674="","",IF(AND($K674="Y",OR($D674="later",$J674="Y")),"Y","N"))</f>
        <v/>
      </c>
      <c r="P674" s="25">
        <f>IF(OR($B674="",$E674=""),"",$B674&amp;"_"&amp;$C674&amp;"_"&amp;$D674&amp;"_"&amp;TEXT($E674,"yyyy-mm-dd")&amp;".jpg")</f>
        <v/>
      </c>
      <c r="Q674" s="25">
        <f>IF($B674="","",IF(COUNTIF(campaigns!$A$2:$A$51,$B674)=0,"campaign_id not on campaigns; ",IF(AND($C674&lt;&gt;"",COUNTIFS(approvals!$A$2:$A$251,$B674,approvals!$B$2:$B$251,$C674)=0),"office not on this campaign (approvals tab); ",""))&amp;IF($E674="","taken date missing; ","")&amp;IF(AND($H674&lt;&gt;"",$H674&lt;&gt;$P674),"file name differs from the convention; ","")&amp;IF(AND($D674="placement",$O674="Y",COUNTIF(photos!$R$2:$R$701,$R674)&gt;1),"two usable placement photos: mark one N; ","")&amp;IF($K674&lt;&gt;"Y","info: not usable (a person, screen or whiteboard may show): never used, delete the file; ","")&amp;IF(AND($D674="placement",$J674&lt;&gt;"Y"),"info: not usable as a placement photo (no card); ","")&amp;IF(AND($D674="placement",N($N674)&gt;2),"info: placed after the first business day; ","")&amp;IF(AND($D674="later",$N674&lt;&gt;"",OR(N($N674)&lt;3,N($N674)&gt;5)),"info: later photo outside day 3 to 5; ",""))</f>
        <v/>
      </c>
      <c r="R674" s="25">
        <f>IF($B674="","",$B674&amp;"|"&amp;$C674&amp;"|"&amp;$D674&amp;"|"&amp;$O674)</f>
        <v/>
      </c>
      <c r="S674" s="25">
        <f>IF($B674="","",$R674&amp;"|"&amp;N($E674))</f>
        <v/>
      </c>
    </row>
    <row r="675">
      <c r="E675" s="9" t="n"/>
      <c r="F675" s="33" t="n"/>
      <c r="I675" s="9" t="n"/>
      <c r="M675" s="26">
        <f>IF($B675="","",IFERROR(IF(INDEX(campaigns!$BG$2:$BG$51,MATCH($B675,campaigns!$A$2:$A$51,0))="","",INDEX(campaigns!$BG$2:$BG$51,MATCH($B675,campaigns!$A$2:$A$51,0))),""))</f>
        <v/>
      </c>
      <c r="N675" s="25">
        <f>IF(OR($B675="",$E675="",$M675=""),"",IF($E675&lt;$M675,0,NETWORKDAYS($M675,$E675,calendar!$A$2:$A$80)))</f>
        <v/>
      </c>
      <c r="O675" s="25">
        <f>IF($B675="","",IF(AND($K675="Y",OR($D675="later",$J675="Y")),"Y","N"))</f>
        <v/>
      </c>
      <c r="P675" s="25">
        <f>IF(OR($B675="",$E675=""),"",$B675&amp;"_"&amp;$C675&amp;"_"&amp;$D675&amp;"_"&amp;TEXT($E675,"yyyy-mm-dd")&amp;".jpg")</f>
        <v/>
      </c>
      <c r="Q675" s="25">
        <f>IF($B675="","",IF(COUNTIF(campaigns!$A$2:$A$51,$B675)=0,"campaign_id not on campaigns; ",IF(AND($C675&lt;&gt;"",COUNTIFS(approvals!$A$2:$A$251,$B675,approvals!$B$2:$B$251,$C675)=0),"office not on this campaign (approvals tab); ",""))&amp;IF($E675="","taken date missing; ","")&amp;IF(AND($H675&lt;&gt;"",$H675&lt;&gt;$P675),"file name differs from the convention; ","")&amp;IF(AND($D675="placement",$O675="Y",COUNTIF(photos!$R$2:$R$701,$R675)&gt;1),"two usable placement photos: mark one N; ","")&amp;IF($K675&lt;&gt;"Y","info: not usable (a person, screen or whiteboard may show): never used, delete the file; ","")&amp;IF(AND($D675="placement",$J675&lt;&gt;"Y"),"info: not usable as a placement photo (no card); ","")&amp;IF(AND($D675="placement",N($N675)&gt;2),"info: placed after the first business day; ","")&amp;IF(AND($D675="later",$N675&lt;&gt;"",OR(N($N675)&lt;3,N($N675)&gt;5)),"info: later photo outside day 3 to 5; ",""))</f>
        <v/>
      </c>
      <c r="R675" s="25">
        <f>IF($B675="","",$B675&amp;"|"&amp;$C675&amp;"|"&amp;$D675&amp;"|"&amp;$O675)</f>
        <v/>
      </c>
      <c r="S675" s="25">
        <f>IF($B675="","",$R675&amp;"|"&amp;N($E675))</f>
        <v/>
      </c>
    </row>
    <row r="676">
      <c r="E676" s="9" t="n"/>
      <c r="F676" s="33" t="n"/>
      <c r="I676" s="9" t="n"/>
      <c r="M676" s="26">
        <f>IF($B676="","",IFERROR(IF(INDEX(campaigns!$BG$2:$BG$51,MATCH($B676,campaigns!$A$2:$A$51,0))="","",INDEX(campaigns!$BG$2:$BG$51,MATCH($B676,campaigns!$A$2:$A$51,0))),""))</f>
        <v/>
      </c>
      <c r="N676" s="25">
        <f>IF(OR($B676="",$E676="",$M676=""),"",IF($E676&lt;$M676,0,NETWORKDAYS($M676,$E676,calendar!$A$2:$A$80)))</f>
        <v/>
      </c>
      <c r="O676" s="25">
        <f>IF($B676="","",IF(AND($K676="Y",OR($D676="later",$J676="Y")),"Y","N"))</f>
        <v/>
      </c>
      <c r="P676" s="25">
        <f>IF(OR($B676="",$E676=""),"",$B676&amp;"_"&amp;$C676&amp;"_"&amp;$D676&amp;"_"&amp;TEXT($E676,"yyyy-mm-dd")&amp;".jpg")</f>
        <v/>
      </c>
      <c r="Q676" s="25">
        <f>IF($B676="","",IF(COUNTIF(campaigns!$A$2:$A$51,$B676)=0,"campaign_id not on campaigns; ",IF(AND($C676&lt;&gt;"",COUNTIFS(approvals!$A$2:$A$251,$B676,approvals!$B$2:$B$251,$C676)=0),"office not on this campaign (approvals tab); ",""))&amp;IF($E676="","taken date missing; ","")&amp;IF(AND($H676&lt;&gt;"",$H676&lt;&gt;$P676),"file name differs from the convention; ","")&amp;IF(AND($D676="placement",$O676="Y",COUNTIF(photos!$R$2:$R$701,$R676)&gt;1),"two usable placement photos: mark one N; ","")&amp;IF($K676&lt;&gt;"Y","info: not usable (a person, screen or whiteboard may show): never used, delete the file; ","")&amp;IF(AND($D676="placement",$J676&lt;&gt;"Y"),"info: not usable as a placement photo (no card); ","")&amp;IF(AND($D676="placement",N($N676)&gt;2),"info: placed after the first business day; ","")&amp;IF(AND($D676="later",$N676&lt;&gt;"",OR(N($N676)&lt;3,N($N676)&gt;5)),"info: later photo outside day 3 to 5; ",""))</f>
        <v/>
      </c>
      <c r="R676" s="25">
        <f>IF($B676="","",$B676&amp;"|"&amp;$C676&amp;"|"&amp;$D676&amp;"|"&amp;$O676)</f>
        <v/>
      </c>
      <c r="S676" s="25">
        <f>IF($B676="","",$R676&amp;"|"&amp;N($E676))</f>
        <v/>
      </c>
    </row>
    <row r="677">
      <c r="E677" s="9" t="n"/>
      <c r="F677" s="33" t="n"/>
      <c r="I677" s="9" t="n"/>
      <c r="M677" s="26">
        <f>IF($B677="","",IFERROR(IF(INDEX(campaigns!$BG$2:$BG$51,MATCH($B677,campaigns!$A$2:$A$51,0))="","",INDEX(campaigns!$BG$2:$BG$51,MATCH($B677,campaigns!$A$2:$A$51,0))),""))</f>
        <v/>
      </c>
      <c r="N677" s="25">
        <f>IF(OR($B677="",$E677="",$M677=""),"",IF($E677&lt;$M677,0,NETWORKDAYS($M677,$E677,calendar!$A$2:$A$80)))</f>
        <v/>
      </c>
      <c r="O677" s="25">
        <f>IF($B677="","",IF(AND($K677="Y",OR($D677="later",$J677="Y")),"Y","N"))</f>
        <v/>
      </c>
      <c r="P677" s="25">
        <f>IF(OR($B677="",$E677=""),"",$B677&amp;"_"&amp;$C677&amp;"_"&amp;$D677&amp;"_"&amp;TEXT($E677,"yyyy-mm-dd")&amp;".jpg")</f>
        <v/>
      </c>
      <c r="Q677" s="25">
        <f>IF($B677="","",IF(COUNTIF(campaigns!$A$2:$A$51,$B677)=0,"campaign_id not on campaigns; ",IF(AND($C677&lt;&gt;"",COUNTIFS(approvals!$A$2:$A$251,$B677,approvals!$B$2:$B$251,$C677)=0),"office not on this campaign (approvals tab); ",""))&amp;IF($E677="","taken date missing; ","")&amp;IF(AND($H677&lt;&gt;"",$H677&lt;&gt;$P677),"file name differs from the convention; ","")&amp;IF(AND($D677="placement",$O677="Y",COUNTIF(photos!$R$2:$R$701,$R677)&gt;1),"two usable placement photos: mark one N; ","")&amp;IF($K677&lt;&gt;"Y","info: not usable (a person, screen or whiteboard may show): never used, delete the file; ","")&amp;IF(AND($D677="placement",$J677&lt;&gt;"Y"),"info: not usable as a placement photo (no card); ","")&amp;IF(AND($D677="placement",N($N677)&gt;2),"info: placed after the first business day; ","")&amp;IF(AND($D677="later",$N677&lt;&gt;"",OR(N($N677)&lt;3,N($N677)&gt;5)),"info: later photo outside day 3 to 5; ",""))</f>
        <v/>
      </c>
      <c r="R677" s="25">
        <f>IF($B677="","",$B677&amp;"|"&amp;$C677&amp;"|"&amp;$D677&amp;"|"&amp;$O677)</f>
        <v/>
      </c>
      <c r="S677" s="25">
        <f>IF($B677="","",$R677&amp;"|"&amp;N($E677))</f>
        <v/>
      </c>
    </row>
    <row r="678">
      <c r="E678" s="9" t="n"/>
      <c r="F678" s="33" t="n"/>
      <c r="I678" s="9" t="n"/>
      <c r="M678" s="26">
        <f>IF($B678="","",IFERROR(IF(INDEX(campaigns!$BG$2:$BG$51,MATCH($B678,campaigns!$A$2:$A$51,0))="","",INDEX(campaigns!$BG$2:$BG$51,MATCH($B678,campaigns!$A$2:$A$51,0))),""))</f>
        <v/>
      </c>
      <c r="N678" s="25">
        <f>IF(OR($B678="",$E678="",$M678=""),"",IF($E678&lt;$M678,0,NETWORKDAYS($M678,$E678,calendar!$A$2:$A$80)))</f>
        <v/>
      </c>
      <c r="O678" s="25">
        <f>IF($B678="","",IF(AND($K678="Y",OR($D678="later",$J678="Y")),"Y","N"))</f>
        <v/>
      </c>
      <c r="P678" s="25">
        <f>IF(OR($B678="",$E678=""),"",$B678&amp;"_"&amp;$C678&amp;"_"&amp;$D678&amp;"_"&amp;TEXT($E678,"yyyy-mm-dd")&amp;".jpg")</f>
        <v/>
      </c>
      <c r="Q678" s="25">
        <f>IF($B678="","",IF(COUNTIF(campaigns!$A$2:$A$51,$B678)=0,"campaign_id not on campaigns; ",IF(AND($C678&lt;&gt;"",COUNTIFS(approvals!$A$2:$A$251,$B678,approvals!$B$2:$B$251,$C678)=0),"office not on this campaign (approvals tab); ",""))&amp;IF($E678="","taken date missing; ","")&amp;IF(AND($H678&lt;&gt;"",$H678&lt;&gt;$P678),"file name differs from the convention; ","")&amp;IF(AND($D678="placement",$O678="Y",COUNTIF(photos!$R$2:$R$701,$R678)&gt;1),"two usable placement photos: mark one N; ","")&amp;IF($K678&lt;&gt;"Y","info: not usable (a person, screen or whiteboard may show): never used, delete the file; ","")&amp;IF(AND($D678="placement",$J678&lt;&gt;"Y"),"info: not usable as a placement photo (no card); ","")&amp;IF(AND($D678="placement",N($N678)&gt;2),"info: placed after the first business day; ","")&amp;IF(AND($D678="later",$N678&lt;&gt;"",OR(N($N678)&lt;3,N($N678)&gt;5)),"info: later photo outside day 3 to 5; ",""))</f>
        <v/>
      </c>
      <c r="R678" s="25">
        <f>IF($B678="","",$B678&amp;"|"&amp;$C678&amp;"|"&amp;$D678&amp;"|"&amp;$O678)</f>
        <v/>
      </c>
      <c r="S678" s="25">
        <f>IF($B678="","",$R678&amp;"|"&amp;N($E678))</f>
        <v/>
      </c>
    </row>
    <row r="679">
      <c r="E679" s="9" t="n"/>
      <c r="F679" s="33" t="n"/>
      <c r="I679" s="9" t="n"/>
      <c r="M679" s="26">
        <f>IF($B679="","",IFERROR(IF(INDEX(campaigns!$BG$2:$BG$51,MATCH($B679,campaigns!$A$2:$A$51,0))="","",INDEX(campaigns!$BG$2:$BG$51,MATCH($B679,campaigns!$A$2:$A$51,0))),""))</f>
        <v/>
      </c>
      <c r="N679" s="25">
        <f>IF(OR($B679="",$E679="",$M679=""),"",IF($E679&lt;$M679,0,NETWORKDAYS($M679,$E679,calendar!$A$2:$A$80)))</f>
        <v/>
      </c>
      <c r="O679" s="25">
        <f>IF($B679="","",IF(AND($K679="Y",OR($D679="later",$J679="Y")),"Y","N"))</f>
        <v/>
      </c>
      <c r="P679" s="25">
        <f>IF(OR($B679="",$E679=""),"",$B679&amp;"_"&amp;$C679&amp;"_"&amp;$D679&amp;"_"&amp;TEXT($E679,"yyyy-mm-dd")&amp;".jpg")</f>
        <v/>
      </c>
      <c r="Q679" s="25">
        <f>IF($B679="","",IF(COUNTIF(campaigns!$A$2:$A$51,$B679)=0,"campaign_id not on campaigns; ",IF(AND($C679&lt;&gt;"",COUNTIFS(approvals!$A$2:$A$251,$B679,approvals!$B$2:$B$251,$C679)=0),"office not on this campaign (approvals tab); ",""))&amp;IF($E679="","taken date missing; ","")&amp;IF(AND($H679&lt;&gt;"",$H679&lt;&gt;$P679),"file name differs from the convention; ","")&amp;IF(AND($D679="placement",$O679="Y",COUNTIF(photos!$R$2:$R$701,$R679)&gt;1),"two usable placement photos: mark one N; ","")&amp;IF($K679&lt;&gt;"Y","info: not usable (a person, screen or whiteboard may show): never used, delete the file; ","")&amp;IF(AND($D679="placement",$J679&lt;&gt;"Y"),"info: not usable as a placement photo (no card); ","")&amp;IF(AND($D679="placement",N($N679)&gt;2),"info: placed after the first business day; ","")&amp;IF(AND($D679="later",$N679&lt;&gt;"",OR(N($N679)&lt;3,N($N679)&gt;5)),"info: later photo outside day 3 to 5; ",""))</f>
        <v/>
      </c>
      <c r="R679" s="25">
        <f>IF($B679="","",$B679&amp;"|"&amp;$C679&amp;"|"&amp;$D679&amp;"|"&amp;$O679)</f>
        <v/>
      </c>
      <c r="S679" s="25">
        <f>IF($B679="","",$R679&amp;"|"&amp;N($E679))</f>
        <v/>
      </c>
    </row>
    <row r="680">
      <c r="E680" s="9" t="n"/>
      <c r="F680" s="33" t="n"/>
      <c r="I680" s="9" t="n"/>
      <c r="M680" s="26">
        <f>IF($B680="","",IFERROR(IF(INDEX(campaigns!$BG$2:$BG$51,MATCH($B680,campaigns!$A$2:$A$51,0))="","",INDEX(campaigns!$BG$2:$BG$51,MATCH($B680,campaigns!$A$2:$A$51,0))),""))</f>
        <v/>
      </c>
      <c r="N680" s="25">
        <f>IF(OR($B680="",$E680="",$M680=""),"",IF($E680&lt;$M680,0,NETWORKDAYS($M680,$E680,calendar!$A$2:$A$80)))</f>
        <v/>
      </c>
      <c r="O680" s="25">
        <f>IF($B680="","",IF(AND($K680="Y",OR($D680="later",$J680="Y")),"Y","N"))</f>
        <v/>
      </c>
      <c r="P680" s="25">
        <f>IF(OR($B680="",$E680=""),"",$B680&amp;"_"&amp;$C680&amp;"_"&amp;$D680&amp;"_"&amp;TEXT($E680,"yyyy-mm-dd")&amp;".jpg")</f>
        <v/>
      </c>
      <c r="Q680" s="25">
        <f>IF($B680="","",IF(COUNTIF(campaigns!$A$2:$A$51,$B680)=0,"campaign_id not on campaigns; ",IF(AND($C680&lt;&gt;"",COUNTIFS(approvals!$A$2:$A$251,$B680,approvals!$B$2:$B$251,$C680)=0),"office not on this campaign (approvals tab); ",""))&amp;IF($E680="","taken date missing; ","")&amp;IF(AND($H680&lt;&gt;"",$H680&lt;&gt;$P680),"file name differs from the convention; ","")&amp;IF(AND($D680="placement",$O680="Y",COUNTIF(photos!$R$2:$R$701,$R680)&gt;1),"two usable placement photos: mark one N; ","")&amp;IF($K680&lt;&gt;"Y","info: not usable (a person, screen or whiteboard may show): never used, delete the file; ","")&amp;IF(AND($D680="placement",$J680&lt;&gt;"Y"),"info: not usable as a placement photo (no card); ","")&amp;IF(AND($D680="placement",N($N680)&gt;2),"info: placed after the first business day; ","")&amp;IF(AND($D680="later",$N680&lt;&gt;"",OR(N($N680)&lt;3,N($N680)&gt;5)),"info: later photo outside day 3 to 5; ",""))</f>
        <v/>
      </c>
      <c r="R680" s="25">
        <f>IF($B680="","",$B680&amp;"|"&amp;$C680&amp;"|"&amp;$D680&amp;"|"&amp;$O680)</f>
        <v/>
      </c>
      <c r="S680" s="25">
        <f>IF($B680="","",$R680&amp;"|"&amp;N($E680))</f>
        <v/>
      </c>
    </row>
    <row r="681">
      <c r="E681" s="9" t="n"/>
      <c r="F681" s="33" t="n"/>
      <c r="I681" s="9" t="n"/>
      <c r="M681" s="26">
        <f>IF($B681="","",IFERROR(IF(INDEX(campaigns!$BG$2:$BG$51,MATCH($B681,campaigns!$A$2:$A$51,0))="","",INDEX(campaigns!$BG$2:$BG$51,MATCH($B681,campaigns!$A$2:$A$51,0))),""))</f>
        <v/>
      </c>
      <c r="N681" s="25">
        <f>IF(OR($B681="",$E681="",$M681=""),"",IF($E681&lt;$M681,0,NETWORKDAYS($M681,$E681,calendar!$A$2:$A$80)))</f>
        <v/>
      </c>
      <c r="O681" s="25">
        <f>IF($B681="","",IF(AND($K681="Y",OR($D681="later",$J681="Y")),"Y","N"))</f>
        <v/>
      </c>
      <c r="P681" s="25">
        <f>IF(OR($B681="",$E681=""),"",$B681&amp;"_"&amp;$C681&amp;"_"&amp;$D681&amp;"_"&amp;TEXT($E681,"yyyy-mm-dd")&amp;".jpg")</f>
        <v/>
      </c>
      <c r="Q681" s="25">
        <f>IF($B681="","",IF(COUNTIF(campaigns!$A$2:$A$51,$B681)=0,"campaign_id not on campaigns; ",IF(AND($C681&lt;&gt;"",COUNTIFS(approvals!$A$2:$A$251,$B681,approvals!$B$2:$B$251,$C681)=0),"office not on this campaign (approvals tab); ",""))&amp;IF($E681="","taken date missing; ","")&amp;IF(AND($H681&lt;&gt;"",$H681&lt;&gt;$P681),"file name differs from the convention; ","")&amp;IF(AND($D681="placement",$O681="Y",COUNTIF(photos!$R$2:$R$701,$R681)&gt;1),"two usable placement photos: mark one N; ","")&amp;IF($K681&lt;&gt;"Y","info: not usable (a person, screen or whiteboard may show): never used, delete the file; ","")&amp;IF(AND($D681="placement",$J681&lt;&gt;"Y"),"info: not usable as a placement photo (no card); ","")&amp;IF(AND($D681="placement",N($N681)&gt;2),"info: placed after the first business day; ","")&amp;IF(AND($D681="later",$N681&lt;&gt;"",OR(N($N681)&lt;3,N($N681)&gt;5)),"info: later photo outside day 3 to 5; ",""))</f>
        <v/>
      </c>
      <c r="R681" s="25">
        <f>IF($B681="","",$B681&amp;"|"&amp;$C681&amp;"|"&amp;$D681&amp;"|"&amp;$O681)</f>
        <v/>
      </c>
      <c r="S681" s="25">
        <f>IF($B681="","",$R681&amp;"|"&amp;N($E681))</f>
        <v/>
      </c>
    </row>
    <row r="682">
      <c r="E682" s="9" t="n"/>
      <c r="F682" s="33" t="n"/>
      <c r="I682" s="9" t="n"/>
      <c r="M682" s="26">
        <f>IF($B682="","",IFERROR(IF(INDEX(campaigns!$BG$2:$BG$51,MATCH($B682,campaigns!$A$2:$A$51,0))="","",INDEX(campaigns!$BG$2:$BG$51,MATCH($B682,campaigns!$A$2:$A$51,0))),""))</f>
        <v/>
      </c>
      <c r="N682" s="25">
        <f>IF(OR($B682="",$E682="",$M682=""),"",IF($E682&lt;$M682,0,NETWORKDAYS($M682,$E682,calendar!$A$2:$A$80)))</f>
        <v/>
      </c>
      <c r="O682" s="25">
        <f>IF($B682="","",IF(AND($K682="Y",OR($D682="later",$J682="Y")),"Y","N"))</f>
        <v/>
      </c>
      <c r="P682" s="25">
        <f>IF(OR($B682="",$E682=""),"",$B682&amp;"_"&amp;$C682&amp;"_"&amp;$D682&amp;"_"&amp;TEXT($E682,"yyyy-mm-dd")&amp;".jpg")</f>
        <v/>
      </c>
      <c r="Q682" s="25">
        <f>IF($B682="","",IF(COUNTIF(campaigns!$A$2:$A$51,$B682)=0,"campaign_id not on campaigns; ",IF(AND($C682&lt;&gt;"",COUNTIFS(approvals!$A$2:$A$251,$B682,approvals!$B$2:$B$251,$C682)=0),"office not on this campaign (approvals tab); ",""))&amp;IF($E682="","taken date missing; ","")&amp;IF(AND($H682&lt;&gt;"",$H682&lt;&gt;$P682),"file name differs from the convention; ","")&amp;IF(AND($D682="placement",$O682="Y",COUNTIF(photos!$R$2:$R$701,$R682)&gt;1),"two usable placement photos: mark one N; ","")&amp;IF($K682&lt;&gt;"Y","info: not usable (a person, screen or whiteboard may show): never used, delete the file; ","")&amp;IF(AND($D682="placement",$J682&lt;&gt;"Y"),"info: not usable as a placement photo (no card); ","")&amp;IF(AND($D682="placement",N($N682)&gt;2),"info: placed after the first business day; ","")&amp;IF(AND($D682="later",$N682&lt;&gt;"",OR(N($N682)&lt;3,N($N682)&gt;5)),"info: later photo outside day 3 to 5; ",""))</f>
        <v/>
      </c>
      <c r="R682" s="25">
        <f>IF($B682="","",$B682&amp;"|"&amp;$C682&amp;"|"&amp;$D682&amp;"|"&amp;$O682)</f>
        <v/>
      </c>
      <c r="S682" s="25">
        <f>IF($B682="","",$R682&amp;"|"&amp;N($E682))</f>
        <v/>
      </c>
    </row>
    <row r="683">
      <c r="E683" s="9" t="n"/>
      <c r="F683" s="33" t="n"/>
      <c r="I683" s="9" t="n"/>
      <c r="M683" s="26">
        <f>IF($B683="","",IFERROR(IF(INDEX(campaigns!$BG$2:$BG$51,MATCH($B683,campaigns!$A$2:$A$51,0))="","",INDEX(campaigns!$BG$2:$BG$51,MATCH($B683,campaigns!$A$2:$A$51,0))),""))</f>
        <v/>
      </c>
      <c r="N683" s="25">
        <f>IF(OR($B683="",$E683="",$M683=""),"",IF($E683&lt;$M683,0,NETWORKDAYS($M683,$E683,calendar!$A$2:$A$80)))</f>
        <v/>
      </c>
      <c r="O683" s="25">
        <f>IF($B683="","",IF(AND($K683="Y",OR($D683="later",$J683="Y")),"Y","N"))</f>
        <v/>
      </c>
      <c r="P683" s="25">
        <f>IF(OR($B683="",$E683=""),"",$B683&amp;"_"&amp;$C683&amp;"_"&amp;$D683&amp;"_"&amp;TEXT($E683,"yyyy-mm-dd")&amp;".jpg")</f>
        <v/>
      </c>
      <c r="Q683" s="25">
        <f>IF($B683="","",IF(COUNTIF(campaigns!$A$2:$A$51,$B683)=0,"campaign_id not on campaigns; ",IF(AND($C683&lt;&gt;"",COUNTIFS(approvals!$A$2:$A$251,$B683,approvals!$B$2:$B$251,$C683)=0),"office not on this campaign (approvals tab); ",""))&amp;IF($E683="","taken date missing; ","")&amp;IF(AND($H683&lt;&gt;"",$H683&lt;&gt;$P683),"file name differs from the convention; ","")&amp;IF(AND($D683="placement",$O683="Y",COUNTIF(photos!$R$2:$R$701,$R683)&gt;1),"two usable placement photos: mark one N; ","")&amp;IF($K683&lt;&gt;"Y","info: not usable (a person, screen or whiteboard may show): never used, delete the file; ","")&amp;IF(AND($D683="placement",$J683&lt;&gt;"Y"),"info: not usable as a placement photo (no card); ","")&amp;IF(AND($D683="placement",N($N683)&gt;2),"info: placed after the first business day; ","")&amp;IF(AND($D683="later",$N683&lt;&gt;"",OR(N($N683)&lt;3,N($N683)&gt;5)),"info: later photo outside day 3 to 5; ",""))</f>
        <v/>
      </c>
      <c r="R683" s="25">
        <f>IF($B683="","",$B683&amp;"|"&amp;$C683&amp;"|"&amp;$D683&amp;"|"&amp;$O683)</f>
        <v/>
      </c>
      <c r="S683" s="25">
        <f>IF($B683="","",$R683&amp;"|"&amp;N($E683))</f>
        <v/>
      </c>
    </row>
    <row r="684">
      <c r="E684" s="9" t="n"/>
      <c r="F684" s="33" t="n"/>
      <c r="I684" s="9" t="n"/>
      <c r="M684" s="26">
        <f>IF($B684="","",IFERROR(IF(INDEX(campaigns!$BG$2:$BG$51,MATCH($B684,campaigns!$A$2:$A$51,0))="","",INDEX(campaigns!$BG$2:$BG$51,MATCH($B684,campaigns!$A$2:$A$51,0))),""))</f>
        <v/>
      </c>
      <c r="N684" s="25">
        <f>IF(OR($B684="",$E684="",$M684=""),"",IF($E684&lt;$M684,0,NETWORKDAYS($M684,$E684,calendar!$A$2:$A$80)))</f>
        <v/>
      </c>
      <c r="O684" s="25">
        <f>IF($B684="","",IF(AND($K684="Y",OR($D684="later",$J684="Y")),"Y","N"))</f>
        <v/>
      </c>
      <c r="P684" s="25">
        <f>IF(OR($B684="",$E684=""),"",$B684&amp;"_"&amp;$C684&amp;"_"&amp;$D684&amp;"_"&amp;TEXT($E684,"yyyy-mm-dd")&amp;".jpg")</f>
        <v/>
      </c>
      <c r="Q684" s="25">
        <f>IF($B684="","",IF(COUNTIF(campaigns!$A$2:$A$51,$B684)=0,"campaign_id not on campaigns; ",IF(AND($C684&lt;&gt;"",COUNTIFS(approvals!$A$2:$A$251,$B684,approvals!$B$2:$B$251,$C684)=0),"office not on this campaign (approvals tab); ",""))&amp;IF($E684="","taken date missing; ","")&amp;IF(AND($H684&lt;&gt;"",$H684&lt;&gt;$P684),"file name differs from the convention; ","")&amp;IF(AND($D684="placement",$O684="Y",COUNTIF(photos!$R$2:$R$701,$R684)&gt;1),"two usable placement photos: mark one N; ","")&amp;IF($K684&lt;&gt;"Y","info: not usable (a person, screen or whiteboard may show): never used, delete the file; ","")&amp;IF(AND($D684="placement",$J684&lt;&gt;"Y"),"info: not usable as a placement photo (no card); ","")&amp;IF(AND($D684="placement",N($N684)&gt;2),"info: placed after the first business day; ","")&amp;IF(AND($D684="later",$N684&lt;&gt;"",OR(N($N684)&lt;3,N($N684)&gt;5)),"info: later photo outside day 3 to 5; ",""))</f>
        <v/>
      </c>
      <c r="R684" s="25">
        <f>IF($B684="","",$B684&amp;"|"&amp;$C684&amp;"|"&amp;$D684&amp;"|"&amp;$O684)</f>
        <v/>
      </c>
      <c r="S684" s="25">
        <f>IF($B684="","",$R684&amp;"|"&amp;N($E684))</f>
        <v/>
      </c>
    </row>
    <row r="685">
      <c r="E685" s="9" t="n"/>
      <c r="F685" s="33" t="n"/>
      <c r="I685" s="9" t="n"/>
      <c r="M685" s="26">
        <f>IF($B685="","",IFERROR(IF(INDEX(campaigns!$BG$2:$BG$51,MATCH($B685,campaigns!$A$2:$A$51,0))="","",INDEX(campaigns!$BG$2:$BG$51,MATCH($B685,campaigns!$A$2:$A$51,0))),""))</f>
        <v/>
      </c>
      <c r="N685" s="25">
        <f>IF(OR($B685="",$E685="",$M685=""),"",IF($E685&lt;$M685,0,NETWORKDAYS($M685,$E685,calendar!$A$2:$A$80)))</f>
        <v/>
      </c>
      <c r="O685" s="25">
        <f>IF($B685="","",IF(AND($K685="Y",OR($D685="later",$J685="Y")),"Y","N"))</f>
        <v/>
      </c>
      <c r="P685" s="25">
        <f>IF(OR($B685="",$E685=""),"",$B685&amp;"_"&amp;$C685&amp;"_"&amp;$D685&amp;"_"&amp;TEXT($E685,"yyyy-mm-dd")&amp;".jpg")</f>
        <v/>
      </c>
      <c r="Q685" s="25">
        <f>IF($B685="","",IF(COUNTIF(campaigns!$A$2:$A$51,$B685)=0,"campaign_id not on campaigns; ",IF(AND($C685&lt;&gt;"",COUNTIFS(approvals!$A$2:$A$251,$B685,approvals!$B$2:$B$251,$C685)=0),"office not on this campaign (approvals tab); ",""))&amp;IF($E685="","taken date missing; ","")&amp;IF(AND($H685&lt;&gt;"",$H685&lt;&gt;$P685),"file name differs from the convention; ","")&amp;IF(AND($D685="placement",$O685="Y",COUNTIF(photos!$R$2:$R$701,$R685)&gt;1),"two usable placement photos: mark one N; ","")&amp;IF($K685&lt;&gt;"Y","info: not usable (a person, screen or whiteboard may show): never used, delete the file; ","")&amp;IF(AND($D685="placement",$J685&lt;&gt;"Y"),"info: not usable as a placement photo (no card); ","")&amp;IF(AND($D685="placement",N($N685)&gt;2),"info: placed after the first business day; ","")&amp;IF(AND($D685="later",$N685&lt;&gt;"",OR(N($N685)&lt;3,N($N685)&gt;5)),"info: later photo outside day 3 to 5; ",""))</f>
        <v/>
      </c>
      <c r="R685" s="25">
        <f>IF($B685="","",$B685&amp;"|"&amp;$C685&amp;"|"&amp;$D685&amp;"|"&amp;$O685)</f>
        <v/>
      </c>
      <c r="S685" s="25">
        <f>IF($B685="","",$R685&amp;"|"&amp;N($E685))</f>
        <v/>
      </c>
    </row>
    <row r="686">
      <c r="E686" s="9" t="n"/>
      <c r="F686" s="33" t="n"/>
      <c r="I686" s="9" t="n"/>
      <c r="M686" s="26">
        <f>IF($B686="","",IFERROR(IF(INDEX(campaigns!$BG$2:$BG$51,MATCH($B686,campaigns!$A$2:$A$51,0))="","",INDEX(campaigns!$BG$2:$BG$51,MATCH($B686,campaigns!$A$2:$A$51,0))),""))</f>
        <v/>
      </c>
      <c r="N686" s="25">
        <f>IF(OR($B686="",$E686="",$M686=""),"",IF($E686&lt;$M686,0,NETWORKDAYS($M686,$E686,calendar!$A$2:$A$80)))</f>
        <v/>
      </c>
      <c r="O686" s="25">
        <f>IF($B686="","",IF(AND($K686="Y",OR($D686="later",$J686="Y")),"Y","N"))</f>
        <v/>
      </c>
      <c r="P686" s="25">
        <f>IF(OR($B686="",$E686=""),"",$B686&amp;"_"&amp;$C686&amp;"_"&amp;$D686&amp;"_"&amp;TEXT($E686,"yyyy-mm-dd")&amp;".jpg")</f>
        <v/>
      </c>
      <c r="Q686" s="25">
        <f>IF($B686="","",IF(COUNTIF(campaigns!$A$2:$A$51,$B686)=0,"campaign_id not on campaigns; ",IF(AND($C686&lt;&gt;"",COUNTIFS(approvals!$A$2:$A$251,$B686,approvals!$B$2:$B$251,$C686)=0),"office not on this campaign (approvals tab); ",""))&amp;IF($E686="","taken date missing; ","")&amp;IF(AND($H686&lt;&gt;"",$H686&lt;&gt;$P686),"file name differs from the convention; ","")&amp;IF(AND($D686="placement",$O686="Y",COUNTIF(photos!$R$2:$R$701,$R686)&gt;1),"two usable placement photos: mark one N; ","")&amp;IF($K686&lt;&gt;"Y","info: not usable (a person, screen or whiteboard may show): never used, delete the file; ","")&amp;IF(AND($D686="placement",$J686&lt;&gt;"Y"),"info: not usable as a placement photo (no card); ","")&amp;IF(AND($D686="placement",N($N686)&gt;2),"info: placed after the first business day; ","")&amp;IF(AND($D686="later",$N686&lt;&gt;"",OR(N($N686)&lt;3,N($N686)&gt;5)),"info: later photo outside day 3 to 5; ",""))</f>
        <v/>
      </c>
      <c r="R686" s="25">
        <f>IF($B686="","",$B686&amp;"|"&amp;$C686&amp;"|"&amp;$D686&amp;"|"&amp;$O686)</f>
        <v/>
      </c>
      <c r="S686" s="25">
        <f>IF($B686="","",$R686&amp;"|"&amp;N($E686))</f>
        <v/>
      </c>
    </row>
    <row r="687">
      <c r="E687" s="9" t="n"/>
      <c r="F687" s="33" t="n"/>
      <c r="I687" s="9" t="n"/>
      <c r="M687" s="26">
        <f>IF($B687="","",IFERROR(IF(INDEX(campaigns!$BG$2:$BG$51,MATCH($B687,campaigns!$A$2:$A$51,0))="","",INDEX(campaigns!$BG$2:$BG$51,MATCH($B687,campaigns!$A$2:$A$51,0))),""))</f>
        <v/>
      </c>
      <c r="N687" s="25">
        <f>IF(OR($B687="",$E687="",$M687=""),"",IF($E687&lt;$M687,0,NETWORKDAYS($M687,$E687,calendar!$A$2:$A$80)))</f>
        <v/>
      </c>
      <c r="O687" s="25">
        <f>IF($B687="","",IF(AND($K687="Y",OR($D687="later",$J687="Y")),"Y","N"))</f>
        <v/>
      </c>
      <c r="P687" s="25">
        <f>IF(OR($B687="",$E687=""),"",$B687&amp;"_"&amp;$C687&amp;"_"&amp;$D687&amp;"_"&amp;TEXT($E687,"yyyy-mm-dd")&amp;".jpg")</f>
        <v/>
      </c>
      <c r="Q687" s="25">
        <f>IF($B687="","",IF(COUNTIF(campaigns!$A$2:$A$51,$B687)=0,"campaign_id not on campaigns; ",IF(AND($C687&lt;&gt;"",COUNTIFS(approvals!$A$2:$A$251,$B687,approvals!$B$2:$B$251,$C687)=0),"office not on this campaign (approvals tab); ",""))&amp;IF($E687="","taken date missing; ","")&amp;IF(AND($H687&lt;&gt;"",$H687&lt;&gt;$P687),"file name differs from the convention; ","")&amp;IF(AND($D687="placement",$O687="Y",COUNTIF(photos!$R$2:$R$701,$R687)&gt;1),"two usable placement photos: mark one N; ","")&amp;IF($K687&lt;&gt;"Y","info: not usable (a person, screen or whiteboard may show): never used, delete the file; ","")&amp;IF(AND($D687="placement",$J687&lt;&gt;"Y"),"info: not usable as a placement photo (no card); ","")&amp;IF(AND($D687="placement",N($N687)&gt;2),"info: placed after the first business day; ","")&amp;IF(AND($D687="later",$N687&lt;&gt;"",OR(N($N687)&lt;3,N($N687)&gt;5)),"info: later photo outside day 3 to 5; ",""))</f>
        <v/>
      </c>
      <c r="R687" s="25">
        <f>IF($B687="","",$B687&amp;"|"&amp;$C687&amp;"|"&amp;$D687&amp;"|"&amp;$O687)</f>
        <v/>
      </c>
      <c r="S687" s="25">
        <f>IF($B687="","",$R687&amp;"|"&amp;N($E687))</f>
        <v/>
      </c>
    </row>
    <row r="688">
      <c r="E688" s="9" t="n"/>
      <c r="F688" s="33" t="n"/>
      <c r="I688" s="9" t="n"/>
      <c r="M688" s="26">
        <f>IF($B688="","",IFERROR(IF(INDEX(campaigns!$BG$2:$BG$51,MATCH($B688,campaigns!$A$2:$A$51,0))="","",INDEX(campaigns!$BG$2:$BG$51,MATCH($B688,campaigns!$A$2:$A$51,0))),""))</f>
        <v/>
      </c>
      <c r="N688" s="25">
        <f>IF(OR($B688="",$E688="",$M688=""),"",IF($E688&lt;$M688,0,NETWORKDAYS($M688,$E688,calendar!$A$2:$A$80)))</f>
        <v/>
      </c>
      <c r="O688" s="25">
        <f>IF($B688="","",IF(AND($K688="Y",OR($D688="later",$J688="Y")),"Y","N"))</f>
        <v/>
      </c>
      <c r="P688" s="25">
        <f>IF(OR($B688="",$E688=""),"",$B688&amp;"_"&amp;$C688&amp;"_"&amp;$D688&amp;"_"&amp;TEXT($E688,"yyyy-mm-dd")&amp;".jpg")</f>
        <v/>
      </c>
      <c r="Q688" s="25">
        <f>IF($B688="","",IF(COUNTIF(campaigns!$A$2:$A$51,$B688)=0,"campaign_id not on campaigns; ",IF(AND($C688&lt;&gt;"",COUNTIFS(approvals!$A$2:$A$251,$B688,approvals!$B$2:$B$251,$C688)=0),"office not on this campaign (approvals tab); ",""))&amp;IF($E688="","taken date missing; ","")&amp;IF(AND($H688&lt;&gt;"",$H688&lt;&gt;$P688),"file name differs from the convention; ","")&amp;IF(AND($D688="placement",$O688="Y",COUNTIF(photos!$R$2:$R$701,$R688)&gt;1),"two usable placement photos: mark one N; ","")&amp;IF($K688&lt;&gt;"Y","info: not usable (a person, screen or whiteboard may show): never used, delete the file; ","")&amp;IF(AND($D688="placement",$J688&lt;&gt;"Y"),"info: not usable as a placement photo (no card); ","")&amp;IF(AND($D688="placement",N($N688)&gt;2),"info: placed after the first business day; ","")&amp;IF(AND($D688="later",$N688&lt;&gt;"",OR(N($N688)&lt;3,N($N688)&gt;5)),"info: later photo outside day 3 to 5; ",""))</f>
        <v/>
      </c>
      <c r="R688" s="25">
        <f>IF($B688="","",$B688&amp;"|"&amp;$C688&amp;"|"&amp;$D688&amp;"|"&amp;$O688)</f>
        <v/>
      </c>
      <c r="S688" s="25">
        <f>IF($B688="","",$R688&amp;"|"&amp;N($E688))</f>
        <v/>
      </c>
    </row>
    <row r="689">
      <c r="E689" s="9" t="n"/>
      <c r="F689" s="33" t="n"/>
      <c r="I689" s="9" t="n"/>
      <c r="M689" s="26">
        <f>IF($B689="","",IFERROR(IF(INDEX(campaigns!$BG$2:$BG$51,MATCH($B689,campaigns!$A$2:$A$51,0))="","",INDEX(campaigns!$BG$2:$BG$51,MATCH($B689,campaigns!$A$2:$A$51,0))),""))</f>
        <v/>
      </c>
      <c r="N689" s="25">
        <f>IF(OR($B689="",$E689="",$M689=""),"",IF($E689&lt;$M689,0,NETWORKDAYS($M689,$E689,calendar!$A$2:$A$80)))</f>
        <v/>
      </c>
      <c r="O689" s="25">
        <f>IF($B689="","",IF(AND($K689="Y",OR($D689="later",$J689="Y")),"Y","N"))</f>
        <v/>
      </c>
      <c r="P689" s="25">
        <f>IF(OR($B689="",$E689=""),"",$B689&amp;"_"&amp;$C689&amp;"_"&amp;$D689&amp;"_"&amp;TEXT($E689,"yyyy-mm-dd")&amp;".jpg")</f>
        <v/>
      </c>
      <c r="Q689" s="25">
        <f>IF($B689="","",IF(COUNTIF(campaigns!$A$2:$A$51,$B689)=0,"campaign_id not on campaigns; ",IF(AND($C689&lt;&gt;"",COUNTIFS(approvals!$A$2:$A$251,$B689,approvals!$B$2:$B$251,$C689)=0),"office not on this campaign (approvals tab); ",""))&amp;IF($E689="","taken date missing; ","")&amp;IF(AND($H689&lt;&gt;"",$H689&lt;&gt;$P689),"file name differs from the convention; ","")&amp;IF(AND($D689="placement",$O689="Y",COUNTIF(photos!$R$2:$R$701,$R689)&gt;1),"two usable placement photos: mark one N; ","")&amp;IF($K689&lt;&gt;"Y","info: not usable (a person, screen or whiteboard may show): never used, delete the file; ","")&amp;IF(AND($D689="placement",$J689&lt;&gt;"Y"),"info: not usable as a placement photo (no card); ","")&amp;IF(AND($D689="placement",N($N689)&gt;2),"info: placed after the first business day; ","")&amp;IF(AND($D689="later",$N689&lt;&gt;"",OR(N($N689)&lt;3,N($N689)&gt;5)),"info: later photo outside day 3 to 5; ",""))</f>
        <v/>
      </c>
      <c r="R689" s="25">
        <f>IF($B689="","",$B689&amp;"|"&amp;$C689&amp;"|"&amp;$D689&amp;"|"&amp;$O689)</f>
        <v/>
      </c>
      <c r="S689" s="25">
        <f>IF($B689="","",$R689&amp;"|"&amp;N($E689))</f>
        <v/>
      </c>
    </row>
    <row r="690">
      <c r="E690" s="9" t="n"/>
      <c r="F690" s="33" t="n"/>
      <c r="I690" s="9" t="n"/>
      <c r="M690" s="26">
        <f>IF($B690="","",IFERROR(IF(INDEX(campaigns!$BG$2:$BG$51,MATCH($B690,campaigns!$A$2:$A$51,0))="","",INDEX(campaigns!$BG$2:$BG$51,MATCH($B690,campaigns!$A$2:$A$51,0))),""))</f>
        <v/>
      </c>
      <c r="N690" s="25">
        <f>IF(OR($B690="",$E690="",$M690=""),"",IF($E690&lt;$M690,0,NETWORKDAYS($M690,$E690,calendar!$A$2:$A$80)))</f>
        <v/>
      </c>
      <c r="O690" s="25">
        <f>IF($B690="","",IF(AND($K690="Y",OR($D690="later",$J690="Y")),"Y","N"))</f>
        <v/>
      </c>
      <c r="P690" s="25">
        <f>IF(OR($B690="",$E690=""),"",$B690&amp;"_"&amp;$C690&amp;"_"&amp;$D690&amp;"_"&amp;TEXT($E690,"yyyy-mm-dd")&amp;".jpg")</f>
        <v/>
      </c>
      <c r="Q690" s="25">
        <f>IF($B690="","",IF(COUNTIF(campaigns!$A$2:$A$51,$B690)=0,"campaign_id not on campaigns; ",IF(AND($C690&lt;&gt;"",COUNTIFS(approvals!$A$2:$A$251,$B690,approvals!$B$2:$B$251,$C690)=0),"office not on this campaign (approvals tab); ",""))&amp;IF($E690="","taken date missing; ","")&amp;IF(AND($H690&lt;&gt;"",$H690&lt;&gt;$P690),"file name differs from the convention; ","")&amp;IF(AND($D690="placement",$O690="Y",COUNTIF(photos!$R$2:$R$701,$R690)&gt;1),"two usable placement photos: mark one N; ","")&amp;IF($K690&lt;&gt;"Y","info: not usable (a person, screen or whiteboard may show): never used, delete the file; ","")&amp;IF(AND($D690="placement",$J690&lt;&gt;"Y"),"info: not usable as a placement photo (no card); ","")&amp;IF(AND($D690="placement",N($N690)&gt;2),"info: placed after the first business day; ","")&amp;IF(AND($D690="later",$N690&lt;&gt;"",OR(N($N690)&lt;3,N($N690)&gt;5)),"info: later photo outside day 3 to 5; ",""))</f>
        <v/>
      </c>
      <c r="R690" s="25">
        <f>IF($B690="","",$B690&amp;"|"&amp;$C690&amp;"|"&amp;$D690&amp;"|"&amp;$O690)</f>
        <v/>
      </c>
      <c r="S690" s="25">
        <f>IF($B690="","",$R690&amp;"|"&amp;N($E690))</f>
        <v/>
      </c>
    </row>
    <row r="691">
      <c r="E691" s="9" t="n"/>
      <c r="F691" s="33" t="n"/>
      <c r="I691" s="9" t="n"/>
      <c r="M691" s="26">
        <f>IF($B691="","",IFERROR(IF(INDEX(campaigns!$BG$2:$BG$51,MATCH($B691,campaigns!$A$2:$A$51,0))="","",INDEX(campaigns!$BG$2:$BG$51,MATCH($B691,campaigns!$A$2:$A$51,0))),""))</f>
        <v/>
      </c>
      <c r="N691" s="25">
        <f>IF(OR($B691="",$E691="",$M691=""),"",IF($E691&lt;$M691,0,NETWORKDAYS($M691,$E691,calendar!$A$2:$A$80)))</f>
        <v/>
      </c>
      <c r="O691" s="25">
        <f>IF($B691="","",IF(AND($K691="Y",OR($D691="later",$J691="Y")),"Y","N"))</f>
        <v/>
      </c>
      <c r="P691" s="25">
        <f>IF(OR($B691="",$E691=""),"",$B691&amp;"_"&amp;$C691&amp;"_"&amp;$D691&amp;"_"&amp;TEXT($E691,"yyyy-mm-dd")&amp;".jpg")</f>
        <v/>
      </c>
      <c r="Q691" s="25">
        <f>IF($B691="","",IF(COUNTIF(campaigns!$A$2:$A$51,$B691)=0,"campaign_id not on campaigns; ",IF(AND($C691&lt;&gt;"",COUNTIFS(approvals!$A$2:$A$251,$B691,approvals!$B$2:$B$251,$C691)=0),"office not on this campaign (approvals tab); ",""))&amp;IF($E691="","taken date missing; ","")&amp;IF(AND($H691&lt;&gt;"",$H691&lt;&gt;$P691),"file name differs from the convention; ","")&amp;IF(AND($D691="placement",$O691="Y",COUNTIF(photos!$R$2:$R$701,$R691)&gt;1),"two usable placement photos: mark one N; ","")&amp;IF($K691&lt;&gt;"Y","info: not usable (a person, screen or whiteboard may show): never used, delete the file; ","")&amp;IF(AND($D691="placement",$J691&lt;&gt;"Y"),"info: not usable as a placement photo (no card); ","")&amp;IF(AND($D691="placement",N($N691)&gt;2),"info: placed after the first business day; ","")&amp;IF(AND($D691="later",$N691&lt;&gt;"",OR(N($N691)&lt;3,N($N691)&gt;5)),"info: later photo outside day 3 to 5; ",""))</f>
        <v/>
      </c>
      <c r="R691" s="25">
        <f>IF($B691="","",$B691&amp;"|"&amp;$C691&amp;"|"&amp;$D691&amp;"|"&amp;$O691)</f>
        <v/>
      </c>
      <c r="S691" s="25">
        <f>IF($B691="","",$R691&amp;"|"&amp;N($E691))</f>
        <v/>
      </c>
    </row>
    <row r="692">
      <c r="E692" s="9" t="n"/>
      <c r="F692" s="33" t="n"/>
      <c r="I692" s="9" t="n"/>
      <c r="M692" s="26">
        <f>IF($B692="","",IFERROR(IF(INDEX(campaigns!$BG$2:$BG$51,MATCH($B692,campaigns!$A$2:$A$51,0))="","",INDEX(campaigns!$BG$2:$BG$51,MATCH($B692,campaigns!$A$2:$A$51,0))),""))</f>
        <v/>
      </c>
      <c r="N692" s="25">
        <f>IF(OR($B692="",$E692="",$M692=""),"",IF($E692&lt;$M692,0,NETWORKDAYS($M692,$E692,calendar!$A$2:$A$80)))</f>
        <v/>
      </c>
      <c r="O692" s="25">
        <f>IF($B692="","",IF(AND($K692="Y",OR($D692="later",$J692="Y")),"Y","N"))</f>
        <v/>
      </c>
      <c r="P692" s="25">
        <f>IF(OR($B692="",$E692=""),"",$B692&amp;"_"&amp;$C692&amp;"_"&amp;$D692&amp;"_"&amp;TEXT($E692,"yyyy-mm-dd")&amp;".jpg")</f>
        <v/>
      </c>
      <c r="Q692" s="25">
        <f>IF($B692="","",IF(COUNTIF(campaigns!$A$2:$A$51,$B692)=0,"campaign_id not on campaigns; ",IF(AND($C692&lt;&gt;"",COUNTIFS(approvals!$A$2:$A$251,$B692,approvals!$B$2:$B$251,$C692)=0),"office not on this campaign (approvals tab); ",""))&amp;IF($E692="","taken date missing; ","")&amp;IF(AND($H692&lt;&gt;"",$H692&lt;&gt;$P692),"file name differs from the convention; ","")&amp;IF(AND($D692="placement",$O692="Y",COUNTIF(photos!$R$2:$R$701,$R692)&gt;1),"two usable placement photos: mark one N; ","")&amp;IF($K692&lt;&gt;"Y","info: not usable (a person, screen or whiteboard may show): never used, delete the file; ","")&amp;IF(AND($D692="placement",$J692&lt;&gt;"Y"),"info: not usable as a placement photo (no card); ","")&amp;IF(AND($D692="placement",N($N692)&gt;2),"info: placed after the first business day; ","")&amp;IF(AND($D692="later",$N692&lt;&gt;"",OR(N($N692)&lt;3,N($N692)&gt;5)),"info: later photo outside day 3 to 5; ",""))</f>
        <v/>
      </c>
      <c r="R692" s="25">
        <f>IF($B692="","",$B692&amp;"|"&amp;$C692&amp;"|"&amp;$D692&amp;"|"&amp;$O692)</f>
        <v/>
      </c>
      <c r="S692" s="25">
        <f>IF($B692="","",$R692&amp;"|"&amp;N($E692))</f>
        <v/>
      </c>
    </row>
    <row r="693">
      <c r="E693" s="9" t="n"/>
      <c r="F693" s="33" t="n"/>
      <c r="I693" s="9" t="n"/>
      <c r="M693" s="26">
        <f>IF($B693="","",IFERROR(IF(INDEX(campaigns!$BG$2:$BG$51,MATCH($B693,campaigns!$A$2:$A$51,0))="","",INDEX(campaigns!$BG$2:$BG$51,MATCH($B693,campaigns!$A$2:$A$51,0))),""))</f>
        <v/>
      </c>
      <c r="N693" s="25">
        <f>IF(OR($B693="",$E693="",$M693=""),"",IF($E693&lt;$M693,0,NETWORKDAYS($M693,$E693,calendar!$A$2:$A$80)))</f>
        <v/>
      </c>
      <c r="O693" s="25">
        <f>IF($B693="","",IF(AND($K693="Y",OR($D693="later",$J693="Y")),"Y","N"))</f>
        <v/>
      </c>
      <c r="P693" s="25">
        <f>IF(OR($B693="",$E693=""),"",$B693&amp;"_"&amp;$C693&amp;"_"&amp;$D693&amp;"_"&amp;TEXT($E693,"yyyy-mm-dd")&amp;".jpg")</f>
        <v/>
      </c>
      <c r="Q693" s="25">
        <f>IF($B693="","",IF(COUNTIF(campaigns!$A$2:$A$51,$B693)=0,"campaign_id not on campaigns; ",IF(AND($C693&lt;&gt;"",COUNTIFS(approvals!$A$2:$A$251,$B693,approvals!$B$2:$B$251,$C693)=0),"office not on this campaign (approvals tab); ",""))&amp;IF($E693="","taken date missing; ","")&amp;IF(AND($H693&lt;&gt;"",$H693&lt;&gt;$P693),"file name differs from the convention; ","")&amp;IF(AND($D693="placement",$O693="Y",COUNTIF(photos!$R$2:$R$701,$R693)&gt;1),"two usable placement photos: mark one N; ","")&amp;IF($K693&lt;&gt;"Y","info: not usable (a person, screen or whiteboard may show): never used, delete the file; ","")&amp;IF(AND($D693="placement",$J693&lt;&gt;"Y"),"info: not usable as a placement photo (no card); ","")&amp;IF(AND($D693="placement",N($N693)&gt;2),"info: placed after the first business day; ","")&amp;IF(AND($D693="later",$N693&lt;&gt;"",OR(N($N693)&lt;3,N($N693)&gt;5)),"info: later photo outside day 3 to 5; ",""))</f>
        <v/>
      </c>
      <c r="R693" s="25">
        <f>IF($B693="","",$B693&amp;"|"&amp;$C693&amp;"|"&amp;$D693&amp;"|"&amp;$O693)</f>
        <v/>
      </c>
      <c r="S693" s="25">
        <f>IF($B693="","",$R693&amp;"|"&amp;N($E693))</f>
        <v/>
      </c>
    </row>
    <row r="694">
      <c r="E694" s="9" t="n"/>
      <c r="F694" s="33" t="n"/>
      <c r="I694" s="9" t="n"/>
      <c r="M694" s="26">
        <f>IF($B694="","",IFERROR(IF(INDEX(campaigns!$BG$2:$BG$51,MATCH($B694,campaigns!$A$2:$A$51,0))="","",INDEX(campaigns!$BG$2:$BG$51,MATCH($B694,campaigns!$A$2:$A$51,0))),""))</f>
        <v/>
      </c>
      <c r="N694" s="25">
        <f>IF(OR($B694="",$E694="",$M694=""),"",IF($E694&lt;$M694,0,NETWORKDAYS($M694,$E694,calendar!$A$2:$A$80)))</f>
        <v/>
      </c>
      <c r="O694" s="25">
        <f>IF($B694="","",IF(AND($K694="Y",OR($D694="later",$J694="Y")),"Y","N"))</f>
        <v/>
      </c>
      <c r="P694" s="25">
        <f>IF(OR($B694="",$E694=""),"",$B694&amp;"_"&amp;$C694&amp;"_"&amp;$D694&amp;"_"&amp;TEXT($E694,"yyyy-mm-dd")&amp;".jpg")</f>
        <v/>
      </c>
      <c r="Q694" s="25">
        <f>IF($B694="","",IF(COUNTIF(campaigns!$A$2:$A$51,$B694)=0,"campaign_id not on campaigns; ",IF(AND($C694&lt;&gt;"",COUNTIFS(approvals!$A$2:$A$251,$B694,approvals!$B$2:$B$251,$C694)=0),"office not on this campaign (approvals tab); ",""))&amp;IF($E694="","taken date missing; ","")&amp;IF(AND($H694&lt;&gt;"",$H694&lt;&gt;$P694),"file name differs from the convention; ","")&amp;IF(AND($D694="placement",$O694="Y",COUNTIF(photos!$R$2:$R$701,$R694)&gt;1),"two usable placement photos: mark one N; ","")&amp;IF($K694&lt;&gt;"Y","info: not usable (a person, screen or whiteboard may show): never used, delete the file; ","")&amp;IF(AND($D694="placement",$J694&lt;&gt;"Y"),"info: not usable as a placement photo (no card); ","")&amp;IF(AND($D694="placement",N($N694)&gt;2),"info: placed after the first business day; ","")&amp;IF(AND($D694="later",$N694&lt;&gt;"",OR(N($N694)&lt;3,N($N694)&gt;5)),"info: later photo outside day 3 to 5; ",""))</f>
        <v/>
      </c>
      <c r="R694" s="25">
        <f>IF($B694="","",$B694&amp;"|"&amp;$C694&amp;"|"&amp;$D694&amp;"|"&amp;$O694)</f>
        <v/>
      </c>
      <c r="S694" s="25">
        <f>IF($B694="","",$R694&amp;"|"&amp;N($E694))</f>
        <v/>
      </c>
    </row>
    <row r="695">
      <c r="E695" s="9" t="n"/>
      <c r="F695" s="33" t="n"/>
      <c r="I695" s="9" t="n"/>
      <c r="M695" s="26">
        <f>IF($B695="","",IFERROR(IF(INDEX(campaigns!$BG$2:$BG$51,MATCH($B695,campaigns!$A$2:$A$51,0))="","",INDEX(campaigns!$BG$2:$BG$51,MATCH($B695,campaigns!$A$2:$A$51,0))),""))</f>
        <v/>
      </c>
      <c r="N695" s="25">
        <f>IF(OR($B695="",$E695="",$M695=""),"",IF($E695&lt;$M695,0,NETWORKDAYS($M695,$E695,calendar!$A$2:$A$80)))</f>
        <v/>
      </c>
      <c r="O695" s="25">
        <f>IF($B695="","",IF(AND($K695="Y",OR($D695="later",$J695="Y")),"Y","N"))</f>
        <v/>
      </c>
      <c r="P695" s="25">
        <f>IF(OR($B695="",$E695=""),"",$B695&amp;"_"&amp;$C695&amp;"_"&amp;$D695&amp;"_"&amp;TEXT($E695,"yyyy-mm-dd")&amp;".jpg")</f>
        <v/>
      </c>
      <c r="Q695" s="25">
        <f>IF($B695="","",IF(COUNTIF(campaigns!$A$2:$A$51,$B695)=0,"campaign_id not on campaigns; ",IF(AND($C695&lt;&gt;"",COUNTIFS(approvals!$A$2:$A$251,$B695,approvals!$B$2:$B$251,$C695)=0),"office not on this campaign (approvals tab); ",""))&amp;IF($E695="","taken date missing; ","")&amp;IF(AND($H695&lt;&gt;"",$H695&lt;&gt;$P695),"file name differs from the convention; ","")&amp;IF(AND($D695="placement",$O695="Y",COUNTIF(photos!$R$2:$R$701,$R695)&gt;1),"two usable placement photos: mark one N; ","")&amp;IF($K695&lt;&gt;"Y","info: not usable (a person, screen or whiteboard may show): never used, delete the file; ","")&amp;IF(AND($D695="placement",$J695&lt;&gt;"Y"),"info: not usable as a placement photo (no card); ","")&amp;IF(AND($D695="placement",N($N695)&gt;2),"info: placed after the first business day; ","")&amp;IF(AND($D695="later",$N695&lt;&gt;"",OR(N($N695)&lt;3,N($N695)&gt;5)),"info: later photo outside day 3 to 5; ",""))</f>
        <v/>
      </c>
      <c r="R695" s="25">
        <f>IF($B695="","",$B695&amp;"|"&amp;$C695&amp;"|"&amp;$D695&amp;"|"&amp;$O695)</f>
        <v/>
      </c>
      <c r="S695" s="25">
        <f>IF($B695="","",$R695&amp;"|"&amp;N($E695))</f>
        <v/>
      </c>
    </row>
    <row r="696">
      <c r="E696" s="9" t="n"/>
      <c r="F696" s="33" t="n"/>
      <c r="I696" s="9" t="n"/>
      <c r="M696" s="26">
        <f>IF($B696="","",IFERROR(IF(INDEX(campaigns!$BG$2:$BG$51,MATCH($B696,campaigns!$A$2:$A$51,0))="","",INDEX(campaigns!$BG$2:$BG$51,MATCH($B696,campaigns!$A$2:$A$51,0))),""))</f>
        <v/>
      </c>
      <c r="N696" s="25">
        <f>IF(OR($B696="",$E696="",$M696=""),"",IF($E696&lt;$M696,0,NETWORKDAYS($M696,$E696,calendar!$A$2:$A$80)))</f>
        <v/>
      </c>
      <c r="O696" s="25">
        <f>IF($B696="","",IF(AND($K696="Y",OR($D696="later",$J696="Y")),"Y","N"))</f>
        <v/>
      </c>
      <c r="P696" s="25">
        <f>IF(OR($B696="",$E696=""),"",$B696&amp;"_"&amp;$C696&amp;"_"&amp;$D696&amp;"_"&amp;TEXT($E696,"yyyy-mm-dd")&amp;".jpg")</f>
        <v/>
      </c>
      <c r="Q696" s="25">
        <f>IF($B696="","",IF(COUNTIF(campaigns!$A$2:$A$51,$B696)=0,"campaign_id not on campaigns; ",IF(AND($C696&lt;&gt;"",COUNTIFS(approvals!$A$2:$A$251,$B696,approvals!$B$2:$B$251,$C696)=0),"office not on this campaign (approvals tab); ",""))&amp;IF($E696="","taken date missing; ","")&amp;IF(AND($H696&lt;&gt;"",$H696&lt;&gt;$P696),"file name differs from the convention; ","")&amp;IF(AND($D696="placement",$O696="Y",COUNTIF(photos!$R$2:$R$701,$R696)&gt;1),"two usable placement photos: mark one N; ","")&amp;IF($K696&lt;&gt;"Y","info: not usable (a person, screen or whiteboard may show): never used, delete the file; ","")&amp;IF(AND($D696="placement",$J696&lt;&gt;"Y"),"info: not usable as a placement photo (no card); ","")&amp;IF(AND($D696="placement",N($N696)&gt;2),"info: placed after the first business day; ","")&amp;IF(AND($D696="later",$N696&lt;&gt;"",OR(N($N696)&lt;3,N($N696)&gt;5)),"info: later photo outside day 3 to 5; ",""))</f>
        <v/>
      </c>
      <c r="R696" s="25">
        <f>IF($B696="","",$B696&amp;"|"&amp;$C696&amp;"|"&amp;$D696&amp;"|"&amp;$O696)</f>
        <v/>
      </c>
      <c r="S696" s="25">
        <f>IF($B696="","",$R696&amp;"|"&amp;N($E696))</f>
        <v/>
      </c>
    </row>
    <row r="697">
      <c r="E697" s="9" t="n"/>
      <c r="F697" s="33" t="n"/>
      <c r="I697" s="9" t="n"/>
      <c r="M697" s="26">
        <f>IF($B697="","",IFERROR(IF(INDEX(campaigns!$BG$2:$BG$51,MATCH($B697,campaigns!$A$2:$A$51,0))="","",INDEX(campaigns!$BG$2:$BG$51,MATCH($B697,campaigns!$A$2:$A$51,0))),""))</f>
        <v/>
      </c>
      <c r="N697" s="25">
        <f>IF(OR($B697="",$E697="",$M697=""),"",IF($E697&lt;$M697,0,NETWORKDAYS($M697,$E697,calendar!$A$2:$A$80)))</f>
        <v/>
      </c>
      <c r="O697" s="25">
        <f>IF($B697="","",IF(AND($K697="Y",OR($D697="later",$J697="Y")),"Y","N"))</f>
        <v/>
      </c>
      <c r="P697" s="25">
        <f>IF(OR($B697="",$E697=""),"",$B697&amp;"_"&amp;$C697&amp;"_"&amp;$D697&amp;"_"&amp;TEXT($E697,"yyyy-mm-dd")&amp;".jpg")</f>
        <v/>
      </c>
      <c r="Q697" s="25">
        <f>IF($B697="","",IF(COUNTIF(campaigns!$A$2:$A$51,$B697)=0,"campaign_id not on campaigns; ",IF(AND($C697&lt;&gt;"",COUNTIFS(approvals!$A$2:$A$251,$B697,approvals!$B$2:$B$251,$C697)=0),"office not on this campaign (approvals tab); ",""))&amp;IF($E697="","taken date missing; ","")&amp;IF(AND($H697&lt;&gt;"",$H697&lt;&gt;$P697),"file name differs from the convention; ","")&amp;IF(AND($D697="placement",$O697="Y",COUNTIF(photos!$R$2:$R$701,$R697)&gt;1),"two usable placement photos: mark one N; ","")&amp;IF($K697&lt;&gt;"Y","info: not usable (a person, screen or whiteboard may show): never used, delete the file; ","")&amp;IF(AND($D697="placement",$J697&lt;&gt;"Y"),"info: not usable as a placement photo (no card); ","")&amp;IF(AND($D697="placement",N($N697)&gt;2),"info: placed after the first business day; ","")&amp;IF(AND($D697="later",$N697&lt;&gt;"",OR(N($N697)&lt;3,N($N697)&gt;5)),"info: later photo outside day 3 to 5; ",""))</f>
        <v/>
      </c>
      <c r="R697" s="25">
        <f>IF($B697="","",$B697&amp;"|"&amp;$C697&amp;"|"&amp;$D697&amp;"|"&amp;$O697)</f>
        <v/>
      </c>
      <c r="S697" s="25">
        <f>IF($B697="","",$R697&amp;"|"&amp;N($E697))</f>
        <v/>
      </c>
    </row>
    <row r="698">
      <c r="E698" s="9" t="n"/>
      <c r="F698" s="33" t="n"/>
      <c r="I698" s="9" t="n"/>
      <c r="M698" s="26">
        <f>IF($B698="","",IFERROR(IF(INDEX(campaigns!$BG$2:$BG$51,MATCH($B698,campaigns!$A$2:$A$51,0))="","",INDEX(campaigns!$BG$2:$BG$51,MATCH($B698,campaigns!$A$2:$A$51,0))),""))</f>
        <v/>
      </c>
      <c r="N698" s="25">
        <f>IF(OR($B698="",$E698="",$M698=""),"",IF($E698&lt;$M698,0,NETWORKDAYS($M698,$E698,calendar!$A$2:$A$80)))</f>
        <v/>
      </c>
      <c r="O698" s="25">
        <f>IF($B698="","",IF(AND($K698="Y",OR($D698="later",$J698="Y")),"Y","N"))</f>
        <v/>
      </c>
      <c r="P698" s="25">
        <f>IF(OR($B698="",$E698=""),"",$B698&amp;"_"&amp;$C698&amp;"_"&amp;$D698&amp;"_"&amp;TEXT($E698,"yyyy-mm-dd")&amp;".jpg")</f>
        <v/>
      </c>
      <c r="Q698" s="25">
        <f>IF($B698="","",IF(COUNTIF(campaigns!$A$2:$A$51,$B698)=0,"campaign_id not on campaigns; ",IF(AND($C698&lt;&gt;"",COUNTIFS(approvals!$A$2:$A$251,$B698,approvals!$B$2:$B$251,$C698)=0),"office not on this campaign (approvals tab); ",""))&amp;IF($E698="","taken date missing; ","")&amp;IF(AND($H698&lt;&gt;"",$H698&lt;&gt;$P698),"file name differs from the convention; ","")&amp;IF(AND($D698="placement",$O698="Y",COUNTIF(photos!$R$2:$R$701,$R698)&gt;1),"two usable placement photos: mark one N; ","")&amp;IF($K698&lt;&gt;"Y","info: not usable (a person, screen or whiteboard may show): never used, delete the file; ","")&amp;IF(AND($D698="placement",$J698&lt;&gt;"Y"),"info: not usable as a placement photo (no card); ","")&amp;IF(AND($D698="placement",N($N698)&gt;2),"info: placed after the first business day; ","")&amp;IF(AND($D698="later",$N698&lt;&gt;"",OR(N($N698)&lt;3,N($N698)&gt;5)),"info: later photo outside day 3 to 5; ",""))</f>
        <v/>
      </c>
      <c r="R698" s="25">
        <f>IF($B698="","",$B698&amp;"|"&amp;$C698&amp;"|"&amp;$D698&amp;"|"&amp;$O698)</f>
        <v/>
      </c>
      <c r="S698" s="25">
        <f>IF($B698="","",$R698&amp;"|"&amp;N($E698))</f>
        <v/>
      </c>
    </row>
    <row r="699">
      <c r="E699" s="9" t="n"/>
      <c r="F699" s="33" t="n"/>
      <c r="I699" s="9" t="n"/>
      <c r="M699" s="26">
        <f>IF($B699="","",IFERROR(IF(INDEX(campaigns!$BG$2:$BG$51,MATCH($B699,campaigns!$A$2:$A$51,0))="","",INDEX(campaigns!$BG$2:$BG$51,MATCH($B699,campaigns!$A$2:$A$51,0))),""))</f>
        <v/>
      </c>
      <c r="N699" s="25">
        <f>IF(OR($B699="",$E699="",$M699=""),"",IF($E699&lt;$M699,0,NETWORKDAYS($M699,$E699,calendar!$A$2:$A$80)))</f>
        <v/>
      </c>
      <c r="O699" s="25">
        <f>IF($B699="","",IF(AND($K699="Y",OR($D699="later",$J699="Y")),"Y","N"))</f>
        <v/>
      </c>
      <c r="P699" s="25">
        <f>IF(OR($B699="",$E699=""),"",$B699&amp;"_"&amp;$C699&amp;"_"&amp;$D699&amp;"_"&amp;TEXT($E699,"yyyy-mm-dd")&amp;".jpg")</f>
        <v/>
      </c>
      <c r="Q699" s="25">
        <f>IF($B699="","",IF(COUNTIF(campaigns!$A$2:$A$51,$B699)=0,"campaign_id not on campaigns; ",IF(AND($C699&lt;&gt;"",COUNTIFS(approvals!$A$2:$A$251,$B699,approvals!$B$2:$B$251,$C699)=0),"office not on this campaign (approvals tab); ",""))&amp;IF($E699="","taken date missing; ","")&amp;IF(AND($H699&lt;&gt;"",$H699&lt;&gt;$P699),"file name differs from the convention; ","")&amp;IF(AND($D699="placement",$O699="Y",COUNTIF(photos!$R$2:$R$701,$R699)&gt;1),"two usable placement photos: mark one N; ","")&amp;IF($K699&lt;&gt;"Y","info: not usable (a person, screen or whiteboard may show): never used, delete the file; ","")&amp;IF(AND($D699="placement",$J699&lt;&gt;"Y"),"info: not usable as a placement photo (no card); ","")&amp;IF(AND($D699="placement",N($N699)&gt;2),"info: placed after the first business day; ","")&amp;IF(AND($D699="later",$N699&lt;&gt;"",OR(N($N699)&lt;3,N($N699)&gt;5)),"info: later photo outside day 3 to 5; ",""))</f>
        <v/>
      </c>
      <c r="R699" s="25">
        <f>IF($B699="","",$B699&amp;"|"&amp;$C699&amp;"|"&amp;$D699&amp;"|"&amp;$O699)</f>
        <v/>
      </c>
      <c r="S699" s="25">
        <f>IF($B699="","",$R699&amp;"|"&amp;N($E699))</f>
        <v/>
      </c>
    </row>
    <row r="700">
      <c r="E700" s="9" t="n"/>
      <c r="F700" s="33" t="n"/>
      <c r="I700" s="9" t="n"/>
      <c r="M700" s="26">
        <f>IF($B700="","",IFERROR(IF(INDEX(campaigns!$BG$2:$BG$51,MATCH($B700,campaigns!$A$2:$A$51,0))="","",INDEX(campaigns!$BG$2:$BG$51,MATCH($B700,campaigns!$A$2:$A$51,0))),""))</f>
        <v/>
      </c>
      <c r="N700" s="25">
        <f>IF(OR($B700="",$E700="",$M700=""),"",IF($E700&lt;$M700,0,NETWORKDAYS($M700,$E700,calendar!$A$2:$A$80)))</f>
        <v/>
      </c>
      <c r="O700" s="25">
        <f>IF($B700="","",IF(AND($K700="Y",OR($D700="later",$J700="Y")),"Y","N"))</f>
        <v/>
      </c>
      <c r="P700" s="25">
        <f>IF(OR($B700="",$E700=""),"",$B700&amp;"_"&amp;$C700&amp;"_"&amp;$D700&amp;"_"&amp;TEXT($E700,"yyyy-mm-dd")&amp;".jpg")</f>
        <v/>
      </c>
      <c r="Q700" s="25">
        <f>IF($B700="","",IF(COUNTIF(campaigns!$A$2:$A$51,$B700)=0,"campaign_id not on campaigns; ",IF(AND($C700&lt;&gt;"",COUNTIFS(approvals!$A$2:$A$251,$B700,approvals!$B$2:$B$251,$C700)=0),"office not on this campaign (approvals tab); ",""))&amp;IF($E700="","taken date missing; ","")&amp;IF(AND($H700&lt;&gt;"",$H700&lt;&gt;$P700),"file name differs from the convention; ","")&amp;IF(AND($D700="placement",$O700="Y",COUNTIF(photos!$R$2:$R$701,$R700)&gt;1),"two usable placement photos: mark one N; ","")&amp;IF($K700&lt;&gt;"Y","info: not usable (a person, screen or whiteboard may show): never used, delete the file; ","")&amp;IF(AND($D700="placement",$J700&lt;&gt;"Y"),"info: not usable as a placement photo (no card); ","")&amp;IF(AND($D700="placement",N($N700)&gt;2),"info: placed after the first business day; ","")&amp;IF(AND($D700="later",$N700&lt;&gt;"",OR(N($N700)&lt;3,N($N700)&gt;5)),"info: later photo outside day 3 to 5; ",""))</f>
        <v/>
      </c>
      <c r="R700" s="25">
        <f>IF($B700="","",$B700&amp;"|"&amp;$C700&amp;"|"&amp;$D700&amp;"|"&amp;$O700)</f>
        <v/>
      </c>
      <c r="S700" s="25">
        <f>IF($B700="","",$R700&amp;"|"&amp;N($E700))</f>
        <v/>
      </c>
    </row>
    <row r="701">
      <c r="E701" s="9" t="n"/>
      <c r="F701" s="33" t="n"/>
      <c r="I701" s="9" t="n"/>
      <c r="M701" s="26">
        <f>IF($B701="","",IFERROR(IF(INDEX(campaigns!$BG$2:$BG$51,MATCH($B701,campaigns!$A$2:$A$51,0))="","",INDEX(campaigns!$BG$2:$BG$51,MATCH($B701,campaigns!$A$2:$A$51,0))),""))</f>
        <v/>
      </c>
      <c r="N701" s="25">
        <f>IF(OR($B701="",$E701="",$M701=""),"",IF($E701&lt;$M701,0,NETWORKDAYS($M701,$E701,calendar!$A$2:$A$80)))</f>
        <v/>
      </c>
      <c r="O701" s="25">
        <f>IF($B701="","",IF(AND($K701="Y",OR($D701="later",$J701="Y")),"Y","N"))</f>
        <v/>
      </c>
      <c r="P701" s="25">
        <f>IF(OR($B701="",$E701=""),"",$B701&amp;"_"&amp;$C701&amp;"_"&amp;$D701&amp;"_"&amp;TEXT($E701,"yyyy-mm-dd")&amp;".jpg")</f>
        <v/>
      </c>
      <c r="Q701" s="25">
        <f>IF($B701="","",IF(COUNTIF(campaigns!$A$2:$A$51,$B701)=0,"campaign_id not on campaigns; ",IF(AND($C701&lt;&gt;"",COUNTIFS(approvals!$A$2:$A$251,$B701,approvals!$B$2:$B$251,$C701)=0),"office not on this campaign (approvals tab); ",""))&amp;IF($E701="","taken date missing; ","")&amp;IF(AND($H701&lt;&gt;"",$H701&lt;&gt;$P701),"file name differs from the convention; ","")&amp;IF(AND($D701="placement",$O701="Y",COUNTIF(photos!$R$2:$R$701,$R701)&gt;1),"two usable placement photos: mark one N; ","")&amp;IF($K701&lt;&gt;"Y","info: not usable (a person, screen or whiteboard may show): never used, delete the file; ","")&amp;IF(AND($D701="placement",$J701&lt;&gt;"Y"),"info: not usable as a placement photo (no card); ","")&amp;IF(AND($D701="placement",N($N701)&gt;2),"info: placed after the first business day; ","")&amp;IF(AND($D701="later",$N701&lt;&gt;"",OR(N($N701)&lt;3,N($N701)&gt;5)),"info: later photo outside day 3 to 5; ",""))</f>
        <v/>
      </c>
      <c r="R701" s="25">
        <f>IF($B701="","",$B701&amp;"|"&amp;$C701&amp;"|"&amp;$D701&amp;"|"&amp;$O701)</f>
        <v/>
      </c>
      <c r="S701" s="25">
        <f>IF($B701="","",$R701&amp;"|"&amp;N($E701))</f>
        <v/>
      </c>
    </row>
  </sheetData>
  <conditionalFormatting sqref="Q2:Q701">
    <cfRule type="expression" priority="1" dxfId="1">
      <formula>LEN(Q2)&gt;0</formula>
    </cfRule>
  </conditionalFormatting>
  <dataValidations count="4">
    <dataValidation sqref="D2:D701" showDropDown="0" showInputMessage="0" showErrorMessage="1" allowBlank="1" errorTitle="Not on the list" error="Pick a value from the list." type="list">
      <formula1>"placement,later"</formula1>
    </dataValidation>
    <dataValidation sqref="G2:G701" showDropDown="0" showInputMessage="0" showErrorMessage="1" allowBlank="1" errorTitle="Not on the list" error="Pick a value from the list." type="list">
      <formula1>"founder,office,courier"</formula1>
    </dataValidation>
    <dataValidation sqref="J2:J701" showDropDown="0" showInputMessage="0" showErrorMessage="1" allowBlank="1" errorTitle="Not on the list" error="Pick a value from the list." type="list">
      <formula1>"Y,N"</formula1>
    </dataValidation>
    <dataValidation sqref="K2:K701" showDropDown="0" showInputMessage="0" showErrorMessage="1" allowBlank="1" errorTitle="Not on the list" error="Pick a value from the list." type="list">
      <formula1>"Y,N"</formula1>
    </dataValidation>
  </dataValidation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tabColor rgb="00EDEDED"/>
    <outlinePr summaryBelow="1" summaryRight="1"/>
    <pageSetUpPr/>
  </sheetPr>
  <dimension ref="A1:I5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6" customWidth="1" min="3" max="3"/>
    <col width="20" customWidth="1" min="4" max="4"/>
    <col width="30" customWidth="1" min="5" max="5"/>
    <col width="24" customWidth="1" min="6" max="6"/>
    <col width="60" customWidth="1" min="7" max="7"/>
    <col width="28" customWidth="1" min="8" max="8"/>
    <col width="28" customWidth="1" min="9" max="9"/>
  </cols>
  <sheetData>
    <row r="1">
      <c r="A1" s="24" t="inlineStr">
        <is>
          <t>campaign_id</t>
        </is>
      </c>
      <c r="B1" s="24" t="inlineStr">
        <is>
          <t>office_id</t>
        </is>
      </c>
      <c r="C1" s="24" t="inlineStr">
        <is>
          <t>link_type</t>
        </is>
      </c>
      <c r="D1" s="24" t="inlineStr">
        <is>
          <t>slug</t>
        </is>
      </c>
      <c r="E1" s="24" t="inlineStr">
        <is>
          <t>short_url</t>
        </is>
      </c>
      <c r="F1" s="24" t="inlineStr">
        <is>
          <t>card_code</t>
        </is>
      </c>
      <c r="G1" s="24" t="inlineStr">
        <is>
          <t>destination_url</t>
        </is>
      </c>
      <c r="H1" s="24" t="inlineStr">
        <is>
          <t>qr_file</t>
        </is>
      </c>
      <c r="I1" s="24" t="inlineStr">
        <is>
          <t>checks</t>
        </is>
      </c>
    </row>
    <row r="2">
      <c r="A2" s="25">
        <f>IF(INDEX(approvals!$A$2:$A$251,INT((ROW()-2)/2)+1)="","",INDEX(approvals!$A$2:$A$251,INT((ROW()-2)/2)+1))</f>
        <v/>
      </c>
      <c r="B2" s="25">
        <f>IF(INDEX(approvals!$A$2:$A$251,INT((ROW()-2)/2)+1)="","",INDEX(approvals!$B$2:$B$251,INT((ROW()-2)/2)+1))</f>
        <v/>
      </c>
      <c r="C2" s="25">
        <f>IF($A2="","",IF(MOD(ROW()-2,2)=0,"qr","post"))</f>
        <v/>
      </c>
      <c r="D2" s="25">
        <f>IF($A2="","",IF(LEFT($A2,7)="SAMPLE-","SAMPLE-","")&amp;LOWER(SUBSTITUTE(SUBSTITUTE($A2,"SAMPLE-",""),"CMP-","c"))&amp;"-"&amp;LOWER(SUBSTITUTE(SUBSTITUTE($B2,"SAMPLE-",""),"O-","o"))&amp;"-"&amp;IF($C2="qr","q","p"))</f>
        <v/>
      </c>
      <c r="E2" s="25">
        <f>IF($A2="","","https://"&amp;config!$B$9&amp;"/"&amp;$D2)</f>
        <v/>
      </c>
      <c r="F2" s="25">
        <f>IF($A2="","",$A2&amp;"."&amp;$B2)</f>
        <v/>
      </c>
      <c r="G2" s="25">
        <f>IF($A2="","",IF(IFERROR(IF(INDEX(campaigns!$AJ$2:$AJ$51,MATCH($A2,campaigns!$A$2:$A$51,0))="","",INDEX(campaigns!$AJ$2:$AJ$51,MATCH($A2,campaigns!$A$2:$A$51,0))),"")="","(add the survey prefill template on campaigns)",SUBSTITUTE(IFERROR(IF(INDEX(campaigns!$AJ$2:$AJ$51,MATCH($A2,campaigns!$A$2:$A$51,0))="","",INDEX(campaigns!$AJ$2:$AJ$51,MATCH($A2,campaigns!$A$2:$A$51,0))),""),"CARDCODE",$F2)&amp;"&amp;utm_source=office-pantry&amp;utm_medium="&amp;$C2&amp;"&amp;utm_campaign="&amp;LOWER($A2)&amp;"&amp;utm_content="&amp;LOWER($B2)))</f>
        <v/>
      </c>
      <c r="H2" s="25">
        <f>IF(OR($A2="",$C2&lt;&gt;"qr"),"",$D2&amp;".png")</f>
        <v/>
      </c>
      <c r="I2" s="25">
        <f>IF($A2="","",IF(AND(IFERROR(IF(INDEX(campaigns!$AJ$2:$AJ$51,MATCH($A2,campaigns!$A$2:$A$51,0))="","",INDEX(campaigns!$AJ$2:$AJ$51,MATCH($A2,campaigns!$A$2:$A$51,0))),"")="",IFERROR(IF(INDEX(campaigns!$BG$2:$BG$51,MATCH($A2,campaigns!$A$2:$A$51,0))="","",INDEX(campaigns!$BG$2:$BG$51,MATCH($A2,campaigns!$A$2:$A$51,0))),"")&lt;&gt;"",IF(config!$B$37&lt;&gt;"",config!$B$37,TODAY())&gt;=WORKDAY(N(IFERROR(IF(INDEX(campaigns!$BG$2:$BG$51,MATCH($A2,campaigns!$A$2:$A$51,0))="","",INDEX(campaigns!$BG$2:$BG$51,MATCH($A2,campaigns!$A$2:$A$51,0))),"")),-4,calendar!$A$2:$A$80)),"no prefill template yet (due T-4); ","")&amp;IF(COUNTIF(links!$D$2:$D$501,$D2)&gt;1,"DUPLICATE slug; ",""))</f>
        <v/>
      </c>
    </row>
    <row r="3">
      <c r="A3" s="25">
        <f>IF(INDEX(approvals!$A$2:$A$251,INT((ROW()-2)/2)+1)="","",INDEX(approvals!$A$2:$A$251,INT((ROW()-2)/2)+1))</f>
        <v/>
      </c>
      <c r="B3" s="25">
        <f>IF(INDEX(approvals!$A$2:$A$251,INT((ROW()-2)/2)+1)="","",INDEX(approvals!$B$2:$B$251,INT((ROW()-2)/2)+1))</f>
        <v/>
      </c>
      <c r="C3" s="25">
        <f>IF($A3="","",IF(MOD(ROW()-2,2)=0,"qr","post"))</f>
        <v/>
      </c>
      <c r="D3" s="25">
        <f>IF($A3="","",IF(LEFT($A3,7)="SAMPLE-","SAMPLE-","")&amp;LOWER(SUBSTITUTE(SUBSTITUTE($A3,"SAMPLE-",""),"CMP-","c"))&amp;"-"&amp;LOWER(SUBSTITUTE(SUBSTITUTE($B3,"SAMPLE-",""),"O-","o"))&amp;"-"&amp;IF($C3="qr","q","p"))</f>
        <v/>
      </c>
      <c r="E3" s="25">
        <f>IF($A3="","","https://"&amp;config!$B$9&amp;"/"&amp;$D3)</f>
        <v/>
      </c>
      <c r="F3" s="25">
        <f>IF($A3="","",$A3&amp;"."&amp;$B3)</f>
        <v/>
      </c>
      <c r="G3" s="25">
        <f>IF($A3="","",IF(IFERROR(IF(INDEX(campaigns!$AJ$2:$AJ$51,MATCH($A3,campaigns!$A$2:$A$51,0))="","",INDEX(campaigns!$AJ$2:$AJ$51,MATCH($A3,campaigns!$A$2:$A$51,0))),"")="","(add the survey prefill template on campaigns)",SUBSTITUTE(IFERROR(IF(INDEX(campaigns!$AJ$2:$AJ$51,MATCH($A3,campaigns!$A$2:$A$51,0))="","",INDEX(campaigns!$AJ$2:$AJ$51,MATCH($A3,campaigns!$A$2:$A$51,0))),""),"CARDCODE",$F3)&amp;"&amp;utm_source=office-pantry&amp;utm_medium="&amp;$C3&amp;"&amp;utm_campaign="&amp;LOWER($A3)&amp;"&amp;utm_content="&amp;LOWER($B3)))</f>
        <v/>
      </c>
      <c r="H3" s="25">
        <f>IF(OR($A3="",$C3&lt;&gt;"qr"),"",$D3&amp;".png")</f>
        <v/>
      </c>
      <c r="I3" s="25">
        <f>IF($A3="","",IF(AND(IFERROR(IF(INDEX(campaigns!$AJ$2:$AJ$51,MATCH($A3,campaigns!$A$2:$A$51,0))="","",INDEX(campaigns!$AJ$2:$AJ$51,MATCH($A3,campaigns!$A$2:$A$51,0))),"")="",IFERROR(IF(INDEX(campaigns!$BG$2:$BG$51,MATCH($A3,campaigns!$A$2:$A$51,0))="","",INDEX(campaigns!$BG$2:$BG$51,MATCH($A3,campaigns!$A$2:$A$51,0))),"")&lt;&gt;"",IF(config!$B$37&lt;&gt;"",config!$B$37,TODAY())&gt;=WORKDAY(N(IFERROR(IF(INDEX(campaigns!$BG$2:$BG$51,MATCH($A3,campaigns!$A$2:$A$51,0))="","",INDEX(campaigns!$BG$2:$BG$51,MATCH($A3,campaigns!$A$2:$A$51,0))),"")),-4,calendar!$A$2:$A$80)),"no prefill template yet (due T-4); ","")&amp;IF(COUNTIF(links!$D$2:$D$501,$D3)&gt;1,"DUPLICATE slug; ",""))</f>
        <v/>
      </c>
    </row>
    <row r="4">
      <c r="A4" s="25">
        <f>IF(INDEX(approvals!$A$2:$A$251,INT((ROW()-2)/2)+1)="","",INDEX(approvals!$A$2:$A$251,INT((ROW()-2)/2)+1))</f>
        <v/>
      </c>
      <c r="B4" s="25">
        <f>IF(INDEX(approvals!$A$2:$A$251,INT((ROW()-2)/2)+1)="","",INDEX(approvals!$B$2:$B$251,INT((ROW()-2)/2)+1))</f>
        <v/>
      </c>
      <c r="C4" s="25">
        <f>IF($A4="","",IF(MOD(ROW()-2,2)=0,"qr","post"))</f>
        <v/>
      </c>
      <c r="D4" s="25">
        <f>IF($A4="","",IF(LEFT($A4,7)="SAMPLE-","SAMPLE-","")&amp;LOWER(SUBSTITUTE(SUBSTITUTE($A4,"SAMPLE-",""),"CMP-","c"))&amp;"-"&amp;LOWER(SUBSTITUTE(SUBSTITUTE($B4,"SAMPLE-",""),"O-","o"))&amp;"-"&amp;IF($C4="qr","q","p"))</f>
        <v/>
      </c>
      <c r="E4" s="25">
        <f>IF($A4="","","https://"&amp;config!$B$9&amp;"/"&amp;$D4)</f>
        <v/>
      </c>
      <c r="F4" s="25">
        <f>IF($A4="","",$A4&amp;"."&amp;$B4)</f>
        <v/>
      </c>
      <c r="G4" s="25">
        <f>IF($A4="","",IF(IFERROR(IF(INDEX(campaigns!$AJ$2:$AJ$51,MATCH($A4,campaigns!$A$2:$A$51,0))="","",INDEX(campaigns!$AJ$2:$AJ$51,MATCH($A4,campaigns!$A$2:$A$51,0))),"")="","(add the survey prefill template on campaigns)",SUBSTITUTE(IFERROR(IF(INDEX(campaigns!$AJ$2:$AJ$51,MATCH($A4,campaigns!$A$2:$A$51,0))="","",INDEX(campaigns!$AJ$2:$AJ$51,MATCH($A4,campaigns!$A$2:$A$51,0))),""),"CARDCODE",$F4)&amp;"&amp;utm_source=office-pantry&amp;utm_medium="&amp;$C4&amp;"&amp;utm_campaign="&amp;LOWER($A4)&amp;"&amp;utm_content="&amp;LOWER($B4)))</f>
        <v/>
      </c>
      <c r="H4" s="25">
        <f>IF(OR($A4="",$C4&lt;&gt;"qr"),"",$D4&amp;".png")</f>
        <v/>
      </c>
      <c r="I4" s="25">
        <f>IF($A4="","",IF(AND(IFERROR(IF(INDEX(campaigns!$AJ$2:$AJ$51,MATCH($A4,campaigns!$A$2:$A$51,0))="","",INDEX(campaigns!$AJ$2:$AJ$51,MATCH($A4,campaigns!$A$2:$A$51,0))),"")="",IFERROR(IF(INDEX(campaigns!$BG$2:$BG$51,MATCH($A4,campaigns!$A$2:$A$51,0))="","",INDEX(campaigns!$BG$2:$BG$51,MATCH($A4,campaigns!$A$2:$A$51,0))),"")&lt;&gt;"",IF(config!$B$37&lt;&gt;"",config!$B$37,TODAY())&gt;=WORKDAY(N(IFERROR(IF(INDEX(campaigns!$BG$2:$BG$51,MATCH($A4,campaigns!$A$2:$A$51,0))="","",INDEX(campaigns!$BG$2:$BG$51,MATCH($A4,campaigns!$A$2:$A$51,0))),"")),-4,calendar!$A$2:$A$80)),"no prefill template yet (due T-4); ","")&amp;IF(COUNTIF(links!$D$2:$D$501,$D4)&gt;1,"DUPLICATE slug; ",""))</f>
        <v/>
      </c>
    </row>
    <row r="5">
      <c r="A5" s="25">
        <f>IF(INDEX(approvals!$A$2:$A$251,INT((ROW()-2)/2)+1)="","",INDEX(approvals!$A$2:$A$251,INT((ROW()-2)/2)+1))</f>
        <v/>
      </c>
      <c r="B5" s="25">
        <f>IF(INDEX(approvals!$A$2:$A$251,INT((ROW()-2)/2)+1)="","",INDEX(approvals!$B$2:$B$251,INT((ROW()-2)/2)+1))</f>
        <v/>
      </c>
      <c r="C5" s="25">
        <f>IF($A5="","",IF(MOD(ROW()-2,2)=0,"qr","post"))</f>
        <v/>
      </c>
      <c r="D5" s="25">
        <f>IF($A5="","",IF(LEFT($A5,7)="SAMPLE-","SAMPLE-","")&amp;LOWER(SUBSTITUTE(SUBSTITUTE($A5,"SAMPLE-",""),"CMP-","c"))&amp;"-"&amp;LOWER(SUBSTITUTE(SUBSTITUTE($B5,"SAMPLE-",""),"O-","o"))&amp;"-"&amp;IF($C5="qr","q","p"))</f>
        <v/>
      </c>
      <c r="E5" s="25">
        <f>IF($A5="","","https://"&amp;config!$B$9&amp;"/"&amp;$D5)</f>
        <v/>
      </c>
      <c r="F5" s="25">
        <f>IF($A5="","",$A5&amp;"."&amp;$B5)</f>
        <v/>
      </c>
      <c r="G5" s="25">
        <f>IF($A5="","",IF(IFERROR(IF(INDEX(campaigns!$AJ$2:$AJ$51,MATCH($A5,campaigns!$A$2:$A$51,0))="","",INDEX(campaigns!$AJ$2:$AJ$51,MATCH($A5,campaigns!$A$2:$A$51,0))),"")="","(add the survey prefill template on campaigns)",SUBSTITUTE(IFERROR(IF(INDEX(campaigns!$AJ$2:$AJ$51,MATCH($A5,campaigns!$A$2:$A$51,0))="","",INDEX(campaigns!$AJ$2:$AJ$51,MATCH($A5,campaigns!$A$2:$A$51,0))),""),"CARDCODE",$F5)&amp;"&amp;utm_source=office-pantry&amp;utm_medium="&amp;$C5&amp;"&amp;utm_campaign="&amp;LOWER($A5)&amp;"&amp;utm_content="&amp;LOWER($B5)))</f>
        <v/>
      </c>
      <c r="H5" s="25">
        <f>IF(OR($A5="",$C5&lt;&gt;"qr"),"",$D5&amp;".png")</f>
        <v/>
      </c>
      <c r="I5" s="25">
        <f>IF($A5="","",IF(AND(IFERROR(IF(INDEX(campaigns!$AJ$2:$AJ$51,MATCH($A5,campaigns!$A$2:$A$51,0))="","",INDEX(campaigns!$AJ$2:$AJ$51,MATCH($A5,campaigns!$A$2:$A$51,0))),"")="",IFERROR(IF(INDEX(campaigns!$BG$2:$BG$51,MATCH($A5,campaigns!$A$2:$A$51,0))="","",INDEX(campaigns!$BG$2:$BG$51,MATCH($A5,campaigns!$A$2:$A$51,0))),"")&lt;&gt;"",IF(config!$B$37&lt;&gt;"",config!$B$37,TODAY())&gt;=WORKDAY(N(IFERROR(IF(INDEX(campaigns!$BG$2:$BG$51,MATCH($A5,campaigns!$A$2:$A$51,0))="","",INDEX(campaigns!$BG$2:$BG$51,MATCH($A5,campaigns!$A$2:$A$51,0))),"")),-4,calendar!$A$2:$A$80)),"no prefill template yet (due T-4); ","")&amp;IF(COUNTIF(links!$D$2:$D$501,$D5)&gt;1,"DUPLICATE slug; ",""))</f>
        <v/>
      </c>
    </row>
    <row r="6">
      <c r="A6" s="25">
        <f>IF(INDEX(approvals!$A$2:$A$251,INT((ROW()-2)/2)+1)="","",INDEX(approvals!$A$2:$A$251,INT((ROW()-2)/2)+1))</f>
        <v/>
      </c>
      <c r="B6" s="25">
        <f>IF(INDEX(approvals!$A$2:$A$251,INT((ROW()-2)/2)+1)="","",INDEX(approvals!$B$2:$B$251,INT((ROW()-2)/2)+1))</f>
        <v/>
      </c>
      <c r="C6" s="25">
        <f>IF($A6="","",IF(MOD(ROW()-2,2)=0,"qr","post"))</f>
        <v/>
      </c>
      <c r="D6" s="25">
        <f>IF($A6="","",IF(LEFT($A6,7)="SAMPLE-","SAMPLE-","")&amp;LOWER(SUBSTITUTE(SUBSTITUTE($A6,"SAMPLE-",""),"CMP-","c"))&amp;"-"&amp;LOWER(SUBSTITUTE(SUBSTITUTE($B6,"SAMPLE-",""),"O-","o"))&amp;"-"&amp;IF($C6="qr","q","p"))</f>
        <v/>
      </c>
      <c r="E6" s="25">
        <f>IF($A6="","","https://"&amp;config!$B$9&amp;"/"&amp;$D6)</f>
        <v/>
      </c>
      <c r="F6" s="25">
        <f>IF($A6="","",$A6&amp;"."&amp;$B6)</f>
        <v/>
      </c>
      <c r="G6" s="25">
        <f>IF($A6="","",IF(IFERROR(IF(INDEX(campaigns!$AJ$2:$AJ$51,MATCH($A6,campaigns!$A$2:$A$51,0))="","",INDEX(campaigns!$AJ$2:$AJ$51,MATCH($A6,campaigns!$A$2:$A$51,0))),"")="","(add the survey prefill template on campaigns)",SUBSTITUTE(IFERROR(IF(INDEX(campaigns!$AJ$2:$AJ$51,MATCH($A6,campaigns!$A$2:$A$51,0))="","",INDEX(campaigns!$AJ$2:$AJ$51,MATCH($A6,campaigns!$A$2:$A$51,0))),""),"CARDCODE",$F6)&amp;"&amp;utm_source=office-pantry&amp;utm_medium="&amp;$C6&amp;"&amp;utm_campaign="&amp;LOWER($A6)&amp;"&amp;utm_content="&amp;LOWER($B6)))</f>
        <v/>
      </c>
      <c r="H6" s="25">
        <f>IF(OR($A6="",$C6&lt;&gt;"qr"),"",$D6&amp;".png")</f>
        <v/>
      </c>
      <c r="I6" s="25">
        <f>IF($A6="","",IF(AND(IFERROR(IF(INDEX(campaigns!$AJ$2:$AJ$51,MATCH($A6,campaigns!$A$2:$A$51,0))="","",INDEX(campaigns!$AJ$2:$AJ$51,MATCH($A6,campaigns!$A$2:$A$51,0))),"")="",IFERROR(IF(INDEX(campaigns!$BG$2:$BG$51,MATCH($A6,campaigns!$A$2:$A$51,0))="","",INDEX(campaigns!$BG$2:$BG$51,MATCH($A6,campaigns!$A$2:$A$51,0))),"")&lt;&gt;"",IF(config!$B$37&lt;&gt;"",config!$B$37,TODAY())&gt;=WORKDAY(N(IFERROR(IF(INDEX(campaigns!$BG$2:$BG$51,MATCH($A6,campaigns!$A$2:$A$51,0))="","",INDEX(campaigns!$BG$2:$BG$51,MATCH($A6,campaigns!$A$2:$A$51,0))),"")),-4,calendar!$A$2:$A$80)),"no prefill template yet (due T-4); ","")&amp;IF(COUNTIF(links!$D$2:$D$501,$D6)&gt;1,"DUPLICATE slug; ",""))</f>
        <v/>
      </c>
    </row>
    <row r="7">
      <c r="A7" s="25">
        <f>IF(INDEX(approvals!$A$2:$A$251,INT((ROW()-2)/2)+1)="","",INDEX(approvals!$A$2:$A$251,INT((ROW()-2)/2)+1))</f>
        <v/>
      </c>
      <c r="B7" s="25">
        <f>IF(INDEX(approvals!$A$2:$A$251,INT((ROW()-2)/2)+1)="","",INDEX(approvals!$B$2:$B$251,INT((ROW()-2)/2)+1))</f>
        <v/>
      </c>
      <c r="C7" s="25">
        <f>IF($A7="","",IF(MOD(ROW()-2,2)=0,"qr","post"))</f>
        <v/>
      </c>
      <c r="D7" s="25">
        <f>IF($A7="","",IF(LEFT($A7,7)="SAMPLE-","SAMPLE-","")&amp;LOWER(SUBSTITUTE(SUBSTITUTE($A7,"SAMPLE-",""),"CMP-","c"))&amp;"-"&amp;LOWER(SUBSTITUTE(SUBSTITUTE($B7,"SAMPLE-",""),"O-","o"))&amp;"-"&amp;IF($C7="qr","q","p"))</f>
        <v/>
      </c>
      <c r="E7" s="25">
        <f>IF($A7="","","https://"&amp;config!$B$9&amp;"/"&amp;$D7)</f>
        <v/>
      </c>
      <c r="F7" s="25">
        <f>IF($A7="","",$A7&amp;"."&amp;$B7)</f>
        <v/>
      </c>
      <c r="G7" s="25">
        <f>IF($A7="","",IF(IFERROR(IF(INDEX(campaigns!$AJ$2:$AJ$51,MATCH($A7,campaigns!$A$2:$A$51,0))="","",INDEX(campaigns!$AJ$2:$AJ$51,MATCH($A7,campaigns!$A$2:$A$51,0))),"")="","(add the survey prefill template on campaigns)",SUBSTITUTE(IFERROR(IF(INDEX(campaigns!$AJ$2:$AJ$51,MATCH($A7,campaigns!$A$2:$A$51,0))="","",INDEX(campaigns!$AJ$2:$AJ$51,MATCH($A7,campaigns!$A$2:$A$51,0))),""),"CARDCODE",$F7)&amp;"&amp;utm_source=office-pantry&amp;utm_medium="&amp;$C7&amp;"&amp;utm_campaign="&amp;LOWER($A7)&amp;"&amp;utm_content="&amp;LOWER($B7)))</f>
        <v/>
      </c>
      <c r="H7" s="25">
        <f>IF(OR($A7="",$C7&lt;&gt;"qr"),"",$D7&amp;".png")</f>
        <v/>
      </c>
      <c r="I7" s="25">
        <f>IF($A7="","",IF(AND(IFERROR(IF(INDEX(campaigns!$AJ$2:$AJ$51,MATCH($A7,campaigns!$A$2:$A$51,0))="","",INDEX(campaigns!$AJ$2:$AJ$51,MATCH($A7,campaigns!$A$2:$A$51,0))),"")="",IFERROR(IF(INDEX(campaigns!$BG$2:$BG$51,MATCH($A7,campaigns!$A$2:$A$51,0))="","",INDEX(campaigns!$BG$2:$BG$51,MATCH($A7,campaigns!$A$2:$A$51,0))),"")&lt;&gt;"",IF(config!$B$37&lt;&gt;"",config!$B$37,TODAY())&gt;=WORKDAY(N(IFERROR(IF(INDEX(campaigns!$BG$2:$BG$51,MATCH($A7,campaigns!$A$2:$A$51,0))="","",INDEX(campaigns!$BG$2:$BG$51,MATCH($A7,campaigns!$A$2:$A$51,0))),"")),-4,calendar!$A$2:$A$80)),"no prefill template yet (due T-4); ","")&amp;IF(COUNTIF(links!$D$2:$D$501,$D7)&gt;1,"DUPLICATE slug; ",""))</f>
        <v/>
      </c>
    </row>
    <row r="8">
      <c r="A8" s="25">
        <f>IF(INDEX(approvals!$A$2:$A$251,INT((ROW()-2)/2)+1)="","",INDEX(approvals!$A$2:$A$251,INT((ROW()-2)/2)+1))</f>
        <v/>
      </c>
      <c r="B8" s="25">
        <f>IF(INDEX(approvals!$A$2:$A$251,INT((ROW()-2)/2)+1)="","",INDEX(approvals!$B$2:$B$251,INT((ROW()-2)/2)+1))</f>
        <v/>
      </c>
      <c r="C8" s="25">
        <f>IF($A8="","",IF(MOD(ROW()-2,2)=0,"qr","post"))</f>
        <v/>
      </c>
      <c r="D8" s="25">
        <f>IF($A8="","",IF(LEFT($A8,7)="SAMPLE-","SAMPLE-","")&amp;LOWER(SUBSTITUTE(SUBSTITUTE($A8,"SAMPLE-",""),"CMP-","c"))&amp;"-"&amp;LOWER(SUBSTITUTE(SUBSTITUTE($B8,"SAMPLE-",""),"O-","o"))&amp;"-"&amp;IF($C8="qr","q","p"))</f>
        <v/>
      </c>
      <c r="E8" s="25">
        <f>IF($A8="","","https://"&amp;config!$B$9&amp;"/"&amp;$D8)</f>
        <v/>
      </c>
      <c r="F8" s="25">
        <f>IF($A8="","",$A8&amp;"."&amp;$B8)</f>
        <v/>
      </c>
      <c r="G8" s="25">
        <f>IF($A8="","",IF(IFERROR(IF(INDEX(campaigns!$AJ$2:$AJ$51,MATCH($A8,campaigns!$A$2:$A$51,0))="","",INDEX(campaigns!$AJ$2:$AJ$51,MATCH($A8,campaigns!$A$2:$A$51,0))),"")="","(add the survey prefill template on campaigns)",SUBSTITUTE(IFERROR(IF(INDEX(campaigns!$AJ$2:$AJ$51,MATCH($A8,campaigns!$A$2:$A$51,0))="","",INDEX(campaigns!$AJ$2:$AJ$51,MATCH($A8,campaigns!$A$2:$A$51,0))),""),"CARDCODE",$F8)&amp;"&amp;utm_source=office-pantry&amp;utm_medium="&amp;$C8&amp;"&amp;utm_campaign="&amp;LOWER($A8)&amp;"&amp;utm_content="&amp;LOWER($B8)))</f>
        <v/>
      </c>
      <c r="H8" s="25">
        <f>IF(OR($A8="",$C8&lt;&gt;"qr"),"",$D8&amp;".png")</f>
        <v/>
      </c>
      <c r="I8" s="25">
        <f>IF($A8="","",IF(AND(IFERROR(IF(INDEX(campaigns!$AJ$2:$AJ$51,MATCH($A8,campaigns!$A$2:$A$51,0))="","",INDEX(campaigns!$AJ$2:$AJ$51,MATCH($A8,campaigns!$A$2:$A$51,0))),"")="",IFERROR(IF(INDEX(campaigns!$BG$2:$BG$51,MATCH($A8,campaigns!$A$2:$A$51,0))="","",INDEX(campaigns!$BG$2:$BG$51,MATCH($A8,campaigns!$A$2:$A$51,0))),"")&lt;&gt;"",IF(config!$B$37&lt;&gt;"",config!$B$37,TODAY())&gt;=WORKDAY(N(IFERROR(IF(INDEX(campaigns!$BG$2:$BG$51,MATCH($A8,campaigns!$A$2:$A$51,0))="","",INDEX(campaigns!$BG$2:$BG$51,MATCH($A8,campaigns!$A$2:$A$51,0))),"")),-4,calendar!$A$2:$A$80)),"no prefill template yet (due T-4); ","")&amp;IF(COUNTIF(links!$D$2:$D$501,$D8)&gt;1,"DUPLICATE slug; ",""))</f>
        <v/>
      </c>
    </row>
    <row r="9">
      <c r="A9" s="25">
        <f>IF(INDEX(approvals!$A$2:$A$251,INT((ROW()-2)/2)+1)="","",INDEX(approvals!$A$2:$A$251,INT((ROW()-2)/2)+1))</f>
        <v/>
      </c>
      <c r="B9" s="25">
        <f>IF(INDEX(approvals!$A$2:$A$251,INT((ROW()-2)/2)+1)="","",INDEX(approvals!$B$2:$B$251,INT((ROW()-2)/2)+1))</f>
        <v/>
      </c>
      <c r="C9" s="25">
        <f>IF($A9="","",IF(MOD(ROW()-2,2)=0,"qr","post"))</f>
        <v/>
      </c>
      <c r="D9" s="25">
        <f>IF($A9="","",IF(LEFT($A9,7)="SAMPLE-","SAMPLE-","")&amp;LOWER(SUBSTITUTE(SUBSTITUTE($A9,"SAMPLE-",""),"CMP-","c"))&amp;"-"&amp;LOWER(SUBSTITUTE(SUBSTITUTE($B9,"SAMPLE-",""),"O-","o"))&amp;"-"&amp;IF($C9="qr","q","p"))</f>
        <v/>
      </c>
      <c r="E9" s="25">
        <f>IF($A9="","","https://"&amp;config!$B$9&amp;"/"&amp;$D9)</f>
        <v/>
      </c>
      <c r="F9" s="25">
        <f>IF($A9="","",$A9&amp;"."&amp;$B9)</f>
        <v/>
      </c>
      <c r="G9" s="25">
        <f>IF($A9="","",IF(IFERROR(IF(INDEX(campaigns!$AJ$2:$AJ$51,MATCH($A9,campaigns!$A$2:$A$51,0))="","",INDEX(campaigns!$AJ$2:$AJ$51,MATCH($A9,campaigns!$A$2:$A$51,0))),"")="","(add the survey prefill template on campaigns)",SUBSTITUTE(IFERROR(IF(INDEX(campaigns!$AJ$2:$AJ$51,MATCH($A9,campaigns!$A$2:$A$51,0))="","",INDEX(campaigns!$AJ$2:$AJ$51,MATCH($A9,campaigns!$A$2:$A$51,0))),""),"CARDCODE",$F9)&amp;"&amp;utm_source=office-pantry&amp;utm_medium="&amp;$C9&amp;"&amp;utm_campaign="&amp;LOWER($A9)&amp;"&amp;utm_content="&amp;LOWER($B9)))</f>
        <v/>
      </c>
      <c r="H9" s="25">
        <f>IF(OR($A9="",$C9&lt;&gt;"qr"),"",$D9&amp;".png")</f>
        <v/>
      </c>
      <c r="I9" s="25">
        <f>IF($A9="","",IF(AND(IFERROR(IF(INDEX(campaigns!$AJ$2:$AJ$51,MATCH($A9,campaigns!$A$2:$A$51,0))="","",INDEX(campaigns!$AJ$2:$AJ$51,MATCH($A9,campaigns!$A$2:$A$51,0))),"")="",IFERROR(IF(INDEX(campaigns!$BG$2:$BG$51,MATCH($A9,campaigns!$A$2:$A$51,0))="","",INDEX(campaigns!$BG$2:$BG$51,MATCH($A9,campaigns!$A$2:$A$51,0))),"")&lt;&gt;"",IF(config!$B$37&lt;&gt;"",config!$B$37,TODAY())&gt;=WORKDAY(N(IFERROR(IF(INDEX(campaigns!$BG$2:$BG$51,MATCH($A9,campaigns!$A$2:$A$51,0))="","",INDEX(campaigns!$BG$2:$BG$51,MATCH($A9,campaigns!$A$2:$A$51,0))),"")),-4,calendar!$A$2:$A$80)),"no prefill template yet (due T-4); ","")&amp;IF(COUNTIF(links!$D$2:$D$501,$D9)&gt;1,"DUPLICATE slug; ",""))</f>
        <v/>
      </c>
    </row>
    <row r="10">
      <c r="A10" s="25">
        <f>IF(INDEX(approvals!$A$2:$A$251,INT((ROW()-2)/2)+1)="","",INDEX(approvals!$A$2:$A$251,INT((ROW()-2)/2)+1))</f>
        <v/>
      </c>
      <c r="B10" s="25">
        <f>IF(INDEX(approvals!$A$2:$A$251,INT((ROW()-2)/2)+1)="","",INDEX(approvals!$B$2:$B$251,INT((ROW()-2)/2)+1))</f>
        <v/>
      </c>
      <c r="C10" s="25">
        <f>IF($A10="","",IF(MOD(ROW()-2,2)=0,"qr","post"))</f>
        <v/>
      </c>
      <c r="D10" s="25">
        <f>IF($A10="","",IF(LEFT($A10,7)="SAMPLE-","SAMPLE-","")&amp;LOWER(SUBSTITUTE(SUBSTITUTE($A10,"SAMPLE-",""),"CMP-","c"))&amp;"-"&amp;LOWER(SUBSTITUTE(SUBSTITUTE($B10,"SAMPLE-",""),"O-","o"))&amp;"-"&amp;IF($C10="qr","q","p"))</f>
        <v/>
      </c>
      <c r="E10" s="25">
        <f>IF($A10="","","https://"&amp;config!$B$9&amp;"/"&amp;$D10)</f>
        <v/>
      </c>
      <c r="F10" s="25">
        <f>IF($A10="","",$A10&amp;"."&amp;$B10)</f>
        <v/>
      </c>
      <c r="G10" s="25">
        <f>IF($A10="","",IF(IFERROR(IF(INDEX(campaigns!$AJ$2:$AJ$51,MATCH($A10,campaigns!$A$2:$A$51,0))="","",INDEX(campaigns!$AJ$2:$AJ$51,MATCH($A10,campaigns!$A$2:$A$51,0))),"")="","(add the survey prefill template on campaigns)",SUBSTITUTE(IFERROR(IF(INDEX(campaigns!$AJ$2:$AJ$51,MATCH($A10,campaigns!$A$2:$A$51,0))="","",INDEX(campaigns!$AJ$2:$AJ$51,MATCH($A10,campaigns!$A$2:$A$51,0))),""),"CARDCODE",$F10)&amp;"&amp;utm_source=office-pantry&amp;utm_medium="&amp;$C10&amp;"&amp;utm_campaign="&amp;LOWER($A10)&amp;"&amp;utm_content="&amp;LOWER($B10)))</f>
        <v/>
      </c>
      <c r="H10" s="25">
        <f>IF(OR($A10="",$C10&lt;&gt;"qr"),"",$D10&amp;".png")</f>
        <v/>
      </c>
      <c r="I10" s="25">
        <f>IF($A10="","",IF(AND(IFERROR(IF(INDEX(campaigns!$AJ$2:$AJ$51,MATCH($A10,campaigns!$A$2:$A$51,0))="","",INDEX(campaigns!$AJ$2:$AJ$51,MATCH($A10,campaigns!$A$2:$A$51,0))),"")="",IFERROR(IF(INDEX(campaigns!$BG$2:$BG$51,MATCH($A10,campaigns!$A$2:$A$51,0))="","",INDEX(campaigns!$BG$2:$BG$51,MATCH($A10,campaigns!$A$2:$A$51,0))),"")&lt;&gt;"",IF(config!$B$37&lt;&gt;"",config!$B$37,TODAY())&gt;=WORKDAY(N(IFERROR(IF(INDEX(campaigns!$BG$2:$BG$51,MATCH($A10,campaigns!$A$2:$A$51,0))="","",INDEX(campaigns!$BG$2:$BG$51,MATCH($A10,campaigns!$A$2:$A$51,0))),"")),-4,calendar!$A$2:$A$80)),"no prefill template yet (due T-4); ","")&amp;IF(COUNTIF(links!$D$2:$D$501,$D10)&gt;1,"DUPLICATE slug; ",""))</f>
        <v/>
      </c>
    </row>
    <row r="11">
      <c r="A11" s="25">
        <f>IF(INDEX(approvals!$A$2:$A$251,INT((ROW()-2)/2)+1)="","",INDEX(approvals!$A$2:$A$251,INT((ROW()-2)/2)+1))</f>
        <v/>
      </c>
      <c r="B11" s="25">
        <f>IF(INDEX(approvals!$A$2:$A$251,INT((ROW()-2)/2)+1)="","",INDEX(approvals!$B$2:$B$251,INT((ROW()-2)/2)+1))</f>
        <v/>
      </c>
      <c r="C11" s="25">
        <f>IF($A11="","",IF(MOD(ROW()-2,2)=0,"qr","post"))</f>
        <v/>
      </c>
      <c r="D11" s="25">
        <f>IF($A11="","",IF(LEFT($A11,7)="SAMPLE-","SAMPLE-","")&amp;LOWER(SUBSTITUTE(SUBSTITUTE($A11,"SAMPLE-",""),"CMP-","c"))&amp;"-"&amp;LOWER(SUBSTITUTE(SUBSTITUTE($B11,"SAMPLE-",""),"O-","o"))&amp;"-"&amp;IF($C11="qr","q","p"))</f>
        <v/>
      </c>
      <c r="E11" s="25">
        <f>IF($A11="","","https://"&amp;config!$B$9&amp;"/"&amp;$D11)</f>
        <v/>
      </c>
      <c r="F11" s="25">
        <f>IF($A11="","",$A11&amp;"."&amp;$B11)</f>
        <v/>
      </c>
      <c r="G11" s="25">
        <f>IF($A11="","",IF(IFERROR(IF(INDEX(campaigns!$AJ$2:$AJ$51,MATCH($A11,campaigns!$A$2:$A$51,0))="","",INDEX(campaigns!$AJ$2:$AJ$51,MATCH($A11,campaigns!$A$2:$A$51,0))),"")="","(add the survey prefill template on campaigns)",SUBSTITUTE(IFERROR(IF(INDEX(campaigns!$AJ$2:$AJ$51,MATCH($A11,campaigns!$A$2:$A$51,0))="","",INDEX(campaigns!$AJ$2:$AJ$51,MATCH($A11,campaigns!$A$2:$A$51,0))),""),"CARDCODE",$F11)&amp;"&amp;utm_source=office-pantry&amp;utm_medium="&amp;$C11&amp;"&amp;utm_campaign="&amp;LOWER($A11)&amp;"&amp;utm_content="&amp;LOWER($B11)))</f>
        <v/>
      </c>
      <c r="H11" s="25">
        <f>IF(OR($A11="",$C11&lt;&gt;"qr"),"",$D11&amp;".png")</f>
        <v/>
      </c>
      <c r="I11" s="25">
        <f>IF($A11="","",IF(AND(IFERROR(IF(INDEX(campaigns!$AJ$2:$AJ$51,MATCH($A11,campaigns!$A$2:$A$51,0))="","",INDEX(campaigns!$AJ$2:$AJ$51,MATCH($A11,campaigns!$A$2:$A$51,0))),"")="",IFERROR(IF(INDEX(campaigns!$BG$2:$BG$51,MATCH($A11,campaigns!$A$2:$A$51,0))="","",INDEX(campaigns!$BG$2:$BG$51,MATCH($A11,campaigns!$A$2:$A$51,0))),"")&lt;&gt;"",IF(config!$B$37&lt;&gt;"",config!$B$37,TODAY())&gt;=WORKDAY(N(IFERROR(IF(INDEX(campaigns!$BG$2:$BG$51,MATCH($A11,campaigns!$A$2:$A$51,0))="","",INDEX(campaigns!$BG$2:$BG$51,MATCH($A11,campaigns!$A$2:$A$51,0))),"")),-4,calendar!$A$2:$A$80)),"no prefill template yet (due T-4); ","")&amp;IF(COUNTIF(links!$D$2:$D$501,$D11)&gt;1,"DUPLICATE slug; ",""))</f>
        <v/>
      </c>
    </row>
    <row r="12">
      <c r="A12" s="25">
        <f>IF(INDEX(approvals!$A$2:$A$251,INT((ROW()-2)/2)+1)="","",INDEX(approvals!$A$2:$A$251,INT((ROW()-2)/2)+1))</f>
        <v/>
      </c>
      <c r="B12" s="25">
        <f>IF(INDEX(approvals!$A$2:$A$251,INT((ROW()-2)/2)+1)="","",INDEX(approvals!$B$2:$B$251,INT((ROW()-2)/2)+1))</f>
        <v/>
      </c>
      <c r="C12" s="25">
        <f>IF($A12="","",IF(MOD(ROW()-2,2)=0,"qr","post"))</f>
        <v/>
      </c>
      <c r="D12" s="25">
        <f>IF($A12="","",IF(LEFT($A12,7)="SAMPLE-","SAMPLE-","")&amp;LOWER(SUBSTITUTE(SUBSTITUTE($A12,"SAMPLE-",""),"CMP-","c"))&amp;"-"&amp;LOWER(SUBSTITUTE(SUBSTITUTE($B12,"SAMPLE-",""),"O-","o"))&amp;"-"&amp;IF($C12="qr","q","p"))</f>
        <v/>
      </c>
      <c r="E12" s="25">
        <f>IF($A12="","","https://"&amp;config!$B$9&amp;"/"&amp;$D12)</f>
        <v/>
      </c>
      <c r="F12" s="25">
        <f>IF($A12="","",$A12&amp;"."&amp;$B12)</f>
        <v/>
      </c>
      <c r="G12" s="25">
        <f>IF($A12="","",IF(IFERROR(IF(INDEX(campaigns!$AJ$2:$AJ$51,MATCH($A12,campaigns!$A$2:$A$51,0))="","",INDEX(campaigns!$AJ$2:$AJ$51,MATCH($A12,campaigns!$A$2:$A$51,0))),"")="","(add the survey prefill template on campaigns)",SUBSTITUTE(IFERROR(IF(INDEX(campaigns!$AJ$2:$AJ$51,MATCH($A12,campaigns!$A$2:$A$51,0))="","",INDEX(campaigns!$AJ$2:$AJ$51,MATCH($A12,campaigns!$A$2:$A$51,0))),""),"CARDCODE",$F12)&amp;"&amp;utm_source=office-pantry&amp;utm_medium="&amp;$C12&amp;"&amp;utm_campaign="&amp;LOWER($A12)&amp;"&amp;utm_content="&amp;LOWER($B12)))</f>
        <v/>
      </c>
      <c r="H12" s="25">
        <f>IF(OR($A12="",$C12&lt;&gt;"qr"),"",$D12&amp;".png")</f>
        <v/>
      </c>
      <c r="I12" s="25">
        <f>IF($A12="","",IF(AND(IFERROR(IF(INDEX(campaigns!$AJ$2:$AJ$51,MATCH($A12,campaigns!$A$2:$A$51,0))="","",INDEX(campaigns!$AJ$2:$AJ$51,MATCH($A12,campaigns!$A$2:$A$51,0))),"")="",IFERROR(IF(INDEX(campaigns!$BG$2:$BG$51,MATCH($A12,campaigns!$A$2:$A$51,0))="","",INDEX(campaigns!$BG$2:$BG$51,MATCH($A12,campaigns!$A$2:$A$51,0))),"")&lt;&gt;"",IF(config!$B$37&lt;&gt;"",config!$B$37,TODAY())&gt;=WORKDAY(N(IFERROR(IF(INDEX(campaigns!$BG$2:$BG$51,MATCH($A12,campaigns!$A$2:$A$51,0))="","",INDEX(campaigns!$BG$2:$BG$51,MATCH($A12,campaigns!$A$2:$A$51,0))),"")),-4,calendar!$A$2:$A$80)),"no prefill template yet (due T-4); ","")&amp;IF(COUNTIF(links!$D$2:$D$501,$D12)&gt;1,"DUPLICATE slug; ",""))</f>
        <v/>
      </c>
    </row>
    <row r="13">
      <c r="A13" s="25">
        <f>IF(INDEX(approvals!$A$2:$A$251,INT((ROW()-2)/2)+1)="","",INDEX(approvals!$A$2:$A$251,INT((ROW()-2)/2)+1))</f>
        <v/>
      </c>
      <c r="B13" s="25">
        <f>IF(INDEX(approvals!$A$2:$A$251,INT((ROW()-2)/2)+1)="","",INDEX(approvals!$B$2:$B$251,INT((ROW()-2)/2)+1))</f>
        <v/>
      </c>
      <c r="C13" s="25">
        <f>IF($A13="","",IF(MOD(ROW()-2,2)=0,"qr","post"))</f>
        <v/>
      </c>
      <c r="D13" s="25">
        <f>IF($A13="","",IF(LEFT($A13,7)="SAMPLE-","SAMPLE-","")&amp;LOWER(SUBSTITUTE(SUBSTITUTE($A13,"SAMPLE-",""),"CMP-","c"))&amp;"-"&amp;LOWER(SUBSTITUTE(SUBSTITUTE($B13,"SAMPLE-",""),"O-","o"))&amp;"-"&amp;IF($C13="qr","q","p"))</f>
        <v/>
      </c>
      <c r="E13" s="25">
        <f>IF($A13="","","https://"&amp;config!$B$9&amp;"/"&amp;$D13)</f>
        <v/>
      </c>
      <c r="F13" s="25">
        <f>IF($A13="","",$A13&amp;"."&amp;$B13)</f>
        <v/>
      </c>
      <c r="G13" s="25">
        <f>IF($A13="","",IF(IFERROR(IF(INDEX(campaigns!$AJ$2:$AJ$51,MATCH($A13,campaigns!$A$2:$A$51,0))="","",INDEX(campaigns!$AJ$2:$AJ$51,MATCH($A13,campaigns!$A$2:$A$51,0))),"")="","(add the survey prefill template on campaigns)",SUBSTITUTE(IFERROR(IF(INDEX(campaigns!$AJ$2:$AJ$51,MATCH($A13,campaigns!$A$2:$A$51,0))="","",INDEX(campaigns!$AJ$2:$AJ$51,MATCH($A13,campaigns!$A$2:$A$51,0))),""),"CARDCODE",$F13)&amp;"&amp;utm_source=office-pantry&amp;utm_medium="&amp;$C13&amp;"&amp;utm_campaign="&amp;LOWER($A13)&amp;"&amp;utm_content="&amp;LOWER($B13)))</f>
        <v/>
      </c>
      <c r="H13" s="25">
        <f>IF(OR($A13="",$C13&lt;&gt;"qr"),"",$D13&amp;".png")</f>
        <v/>
      </c>
      <c r="I13" s="25">
        <f>IF($A13="","",IF(AND(IFERROR(IF(INDEX(campaigns!$AJ$2:$AJ$51,MATCH($A13,campaigns!$A$2:$A$51,0))="","",INDEX(campaigns!$AJ$2:$AJ$51,MATCH($A13,campaigns!$A$2:$A$51,0))),"")="",IFERROR(IF(INDEX(campaigns!$BG$2:$BG$51,MATCH($A13,campaigns!$A$2:$A$51,0))="","",INDEX(campaigns!$BG$2:$BG$51,MATCH($A13,campaigns!$A$2:$A$51,0))),"")&lt;&gt;"",IF(config!$B$37&lt;&gt;"",config!$B$37,TODAY())&gt;=WORKDAY(N(IFERROR(IF(INDEX(campaigns!$BG$2:$BG$51,MATCH($A13,campaigns!$A$2:$A$51,0))="","",INDEX(campaigns!$BG$2:$BG$51,MATCH($A13,campaigns!$A$2:$A$51,0))),"")),-4,calendar!$A$2:$A$80)),"no prefill template yet (due T-4); ","")&amp;IF(COUNTIF(links!$D$2:$D$501,$D13)&gt;1,"DUPLICATE slug; ",""))</f>
        <v/>
      </c>
    </row>
    <row r="14">
      <c r="A14" s="25">
        <f>IF(INDEX(approvals!$A$2:$A$251,INT((ROW()-2)/2)+1)="","",INDEX(approvals!$A$2:$A$251,INT((ROW()-2)/2)+1))</f>
        <v/>
      </c>
      <c r="B14" s="25">
        <f>IF(INDEX(approvals!$A$2:$A$251,INT((ROW()-2)/2)+1)="","",INDEX(approvals!$B$2:$B$251,INT((ROW()-2)/2)+1))</f>
        <v/>
      </c>
      <c r="C14" s="25">
        <f>IF($A14="","",IF(MOD(ROW()-2,2)=0,"qr","post"))</f>
        <v/>
      </c>
      <c r="D14" s="25">
        <f>IF($A14="","",IF(LEFT($A14,7)="SAMPLE-","SAMPLE-","")&amp;LOWER(SUBSTITUTE(SUBSTITUTE($A14,"SAMPLE-",""),"CMP-","c"))&amp;"-"&amp;LOWER(SUBSTITUTE(SUBSTITUTE($B14,"SAMPLE-",""),"O-","o"))&amp;"-"&amp;IF($C14="qr","q","p"))</f>
        <v/>
      </c>
      <c r="E14" s="25">
        <f>IF($A14="","","https://"&amp;config!$B$9&amp;"/"&amp;$D14)</f>
        <v/>
      </c>
      <c r="F14" s="25">
        <f>IF($A14="","",$A14&amp;"."&amp;$B14)</f>
        <v/>
      </c>
      <c r="G14" s="25">
        <f>IF($A14="","",IF(IFERROR(IF(INDEX(campaigns!$AJ$2:$AJ$51,MATCH($A14,campaigns!$A$2:$A$51,0))="","",INDEX(campaigns!$AJ$2:$AJ$51,MATCH($A14,campaigns!$A$2:$A$51,0))),"")="","(add the survey prefill template on campaigns)",SUBSTITUTE(IFERROR(IF(INDEX(campaigns!$AJ$2:$AJ$51,MATCH($A14,campaigns!$A$2:$A$51,0))="","",INDEX(campaigns!$AJ$2:$AJ$51,MATCH($A14,campaigns!$A$2:$A$51,0))),""),"CARDCODE",$F14)&amp;"&amp;utm_source=office-pantry&amp;utm_medium="&amp;$C14&amp;"&amp;utm_campaign="&amp;LOWER($A14)&amp;"&amp;utm_content="&amp;LOWER($B14)))</f>
        <v/>
      </c>
      <c r="H14" s="25">
        <f>IF(OR($A14="",$C14&lt;&gt;"qr"),"",$D14&amp;".png")</f>
        <v/>
      </c>
      <c r="I14" s="25">
        <f>IF($A14="","",IF(AND(IFERROR(IF(INDEX(campaigns!$AJ$2:$AJ$51,MATCH($A14,campaigns!$A$2:$A$51,0))="","",INDEX(campaigns!$AJ$2:$AJ$51,MATCH($A14,campaigns!$A$2:$A$51,0))),"")="",IFERROR(IF(INDEX(campaigns!$BG$2:$BG$51,MATCH($A14,campaigns!$A$2:$A$51,0))="","",INDEX(campaigns!$BG$2:$BG$51,MATCH($A14,campaigns!$A$2:$A$51,0))),"")&lt;&gt;"",IF(config!$B$37&lt;&gt;"",config!$B$37,TODAY())&gt;=WORKDAY(N(IFERROR(IF(INDEX(campaigns!$BG$2:$BG$51,MATCH($A14,campaigns!$A$2:$A$51,0))="","",INDEX(campaigns!$BG$2:$BG$51,MATCH($A14,campaigns!$A$2:$A$51,0))),"")),-4,calendar!$A$2:$A$80)),"no prefill template yet (due T-4); ","")&amp;IF(COUNTIF(links!$D$2:$D$501,$D14)&gt;1,"DUPLICATE slug; ",""))</f>
        <v/>
      </c>
    </row>
    <row r="15">
      <c r="A15" s="25">
        <f>IF(INDEX(approvals!$A$2:$A$251,INT((ROW()-2)/2)+1)="","",INDEX(approvals!$A$2:$A$251,INT((ROW()-2)/2)+1))</f>
        <v/>
      </c>
      <c r="B15" s="25">
        <f>IF(INDEX(approvals!$A$2:$A$251,INT((ROW()-2)/2)+1)="","",INDEX(approvals!$B$2:$B$251,INT((ROW()-2)/2)+1))</f>
        <v/>
      </c>
      <c r="C15" s="25">
        <f>IF($A15="","",IF(MOD(ROW()-2,2)=0,"qr","post"))</f>
        <v/>
      </c>
      <c r="D15" s="25">
        <f>IF($A15="","",IF(LEFT($A15,7)="SAMPLE-","SAMPLE-","")&amp;LOWER(SUBSTITUTE(SUBSTITUTE($A15,"SAMPLE-",""),"CMP-","c"))&amp;"-"&amp;LOWER(SUBSTITUTE(SUBSTITUTE($B15,"SAMPLE-",""),"O-","o"))&amp;"-"&amp;IF($C15="qr","q","p"))</f>
        <v/>
      </c>
      <c r="E15" s="25">
        <f>IF($A15="","","https://"&amp;config!$B$9&amp;"/"&amp;$D15)</f>
        <v/>
      </c>
      <c r="F15" s="25">
        <f>IF($A15="","",$A15&amp;"."&amp;$B15)</f>
        <v/>
      </c>
      <c r="G15" s="25">
        <f>IF($A15="","",IF(IFERROR(IF(INDEX(campaigns!$AJ$2:$AJ$51,MATCH($A15,campaigns!$A$2:$A$51,0))="","",INDEX(campaigns!$AJ$2:$AJ$51,MATCH($A15,campaigns!$A$2:$A$51,0))),"")="","(add the survey prefill template on campaigns)",SUBSTITUTE(IFERROR(IF(INDEX(campaigns!$AJ$2:$AJ$51,MATCH($A15,campaigns!$A$2:$A$51,0))="","",INDEX(campaigns!$AJ$2:$AJ$51,MATCH($A15,campaigns!$A$2:$A$51,0))),""),"CARDCODE",$F15)&amp;"&amp;utm_source=office-pantry&amp;utm_medium="&amp;$C15&amp;"&amp;utm_campaign="&amp;LOWER($A15)&amp;"&amp;utm_content="&amp;LOWER($B15)))</f>
        <v/>
      </c>
      <c r="H15" s="25">
        <f>IF(OR($A15="",$C15&lt;&gt;"qr"),"",$D15&amp;".png")</f>
        <v/>
      </c>
      <c r="I15" s="25">
        <f>IF($A15="","",IF(AND(IFERROR(IF(INDEX(campaigns!$AJ$2:$AJ$51,MATCH($A15,campaigns!$A$2:$A$51,0))="","",INDEX(campaigns!$AJ$2:$AJ$51,MATCH($A15,campaigns!$A$2:$A$51,0))),"")="",IFERROR(IF(INDEX(campaigns!$BG$2:$BG$51,MATCH($A15,campaigns!$A$2:$A$51,0))="","",INDEX(campaigns!$BG$2:$BG$51,MATCH($A15,campaigns!$A$2:$A$51,0))),"")&lt;&gt;"",IF(config!$B$37&lt;&gt;"",config!$B$37,TODAY())&gt;=WORKDAY(N(IFERROR(IF(INDEX(campaigns!$BG$2:$BG$51,MATCH($A15,campaigns!$A$2:$A$51,0))="","",INDEX(campaigns!$BG$2:$BG$51,MATCH($A15,campaigns!$A$2:$A$51,0))),"")),-4,calendar!$A$2:$A$80)),"no prefill template yet (due T-4); ","")&amp;IF(COUNTIF(links!$D$2:$D$501,$D15)&gt;1,"DUPLICATE slug; ",""))</f>
        <v/>
      </c>
    </row>
    <row r="16">
      <c r="A16" s="25">
        <f>IF(INDEX(approvals!$A$2:$A$251,INT((ROW()-2)/2)+1)="","",INDEX(approvals!$A$2:$A$251,INT((ROW()-2)/2)+1))</f>
        <v/>
      </c>
      <c r="B16" s="25">
        <f>IF(INDEX(approvals!$A$2:$A$251,INT((ROW()-2)/2)+1)="","",INDEX(approvals!$B$2:$B$251,INT((ROW()-2)/2)+1))</f>
        <v/>
      </c>
      <c r="C16" s="25">
        <f>IF($A16="","",IF(MOD(ROW()-2,2)=0,"qr","post"))</f>
        <v/>
      </c>
      <c r="D16" s="25">
        <f>IF($A16="","",IF(LEFT($A16,7)="SAMPLE-","SAMPLE-","")&amp;LOWER(SUBSTITUTE(SUBSTITUTE($A16,"SAMPLE-",""),"CMP-","c"))&amp;"-"&amp;LOWER(SUBSTITUTE(SUBSTITUTE($B16,"SAMPLE-",""),"O-","o"))&amp;"-"&amp;IF($C16="qr","q","p"))</f>
        <v/>
      </c>
      <c r="E16" s="25">
        <f>IF($A16="","","https://"&amp;config!$B$9&amp;"/"&amp;$D16)</f>
        <v/>
      </c>
      <c r="F16" s="25">
        <f>IF($A16="","",$A16&amp;"."&amp;$B16)</f>
        <v/>
      </c>
      <c r="G16" s="25">
        <f>IF($A16="","",IF(IFERROR(IF(INDEX(campaigns!$AJ$2:$AJ$51,MATCH($A16,campaigns!$A$2:$A$51,0))="","",INDEX(campaigns!$AJ$2:$AJ$51,MATCH($A16,campaigns!$A$2:$A$51,0))),"")="","(add the survey prefill template on campaigns)",SUBSTITUTE(IFERROR(IF(INDEX(campaigns!$AJ$2:$AJ$51,MATCH($A16,campaigns!$A$2:$A$51,0))="","",INDEX(campaigns!$AJ$2:$AJ$51,MATCH($A16,campaigns!$A$2:$A$51,0))),""),"CARDCODE",$F16)&amp;"&amp;utm_source=office-pantry&amp;utm_medium="&amp;$C16&amp;"&amp;utm_campaign="&amp;LOWER($A16)&amp;"&amp;utm_content="&amp;LOWER($B16)))</f>
        <v/>
      </c>
      <c r="H16" s="25">
        <f>IF(OR($A16="",$C16&lt;&gt;"qr"),"",$D16&amp;".png")</f>
        <v/>
      </c>
      <c r="I16" s="25">
        <f>IF($A16="","",IF(AND(IFERROR(IF(INDEX(campaigns!$AJ$2:$AJ$51,MATCH($A16,campaigns!$A$2:$A$51,0))="","",INDEX(campaigns!$AJ$2:$AJ$51,MATCH($A16,campaigns!$A$2:$A$51,0))),"")="",IFERROR(IF(INDEX(campaigns!$BG$2:$BG$51,MATCH($A16,campaigns!$A$2:$A$51,0))="","",INDEX(campaigns!$BG$2:$BG$51,MATCH($A16,campaigns!$A$2:$A$51,0))),"")&lt;&gt;"",IF(config!$B$37&lt;&gt;"",config!$B$37,TODAY())&gt;=WORKDAY(N(IFERROR(IF(INDEX(campaigns!$BG$2:$BG$51,MATCH($A16,campaigns!$A$2:$A$51,0))="","",INDEX(campaigns!$BG$2:$BG$51,MATCH($A16,campaigns!$A$2:$A$51,0))),"")),-4,calendar!$A$2:$A$80)),"no prefill template yet (due T-4); ","")&amp;IF(COUNTIF(links!$D$2:$D$501,$D16)&gt;1,"DUPLICATE slug; ",""))</f>
        <v/>
      </c>
    </row>
    <row r="17">
      <c r="A17" s="25">
        <f>IF(INDEX(approvals!$A$2:$A$251,INT((ROW()-2)/2)+1)="","",INDEX(approvals!$A$2:$A$251,INT((ROW()-2)/2)+1))</f>
        <v/>
      </c>
      <c r="B17" s="25">
        <f>IF(INDEX(approvals!$A$2:$A$251,INT((ROW()-2)/2)+1)="","",INDEX(approvals!$B$2:$B$251,INT((ROW()-2)/2)+1))</f>
        <v/>
      </c>
      <c r="C17" s="25">
        <f>IF($A17="","",IF(MOD(ROW()-2,2)=0,"qr","post"))</f>
        <v/>
      </c>
      <c r="D17" s="25">
        <f>IF($A17="","",IF(LEFT($A17,7)="SAMPLE-","SAMPLE-","")&amp;LOWER(SUBSTITUTE(SUBSTITUTE($A17,"SAMPLE-",""),"CMP-","c"))&amp;"-"&amp;LOWER(SUBSTITUTE(SUBSTITUTE($B17,"SAMPLE-",""),"O-","o"))&amp;"-"&amp;IF($C17="qr","q","p"))</f>
        <v/>
      </c>
      <c r="E17" s="25">
        <f>IF($A17="","","https://"&amp;config!$B$9&amp;"/"&amp;$D17)</f>
        <v/>
      </c>
      <c r="F17" s="25">
        <f>IF($A17="","",$A17&amp;"."&amp;$B17)</f>
        <v/>
      </c>
      <c r="G17" s="25">
        <f>IF($A17="","",IF(IFERROR(IF(INDEX(campaigns!$AJ$2:$AJ$51,MATCH($A17,campaigns!$A$2:$A$51,0))="","",INDEX(campaigns!$AJ$2:$AJ$51,MATCH($A17,campaigns!$A$2:$A$51,0))),"")="","(add the survey prefill template on campaigns)",SUBSTITUTE(IFERROR(IF(INDEX(campaigns!$AJ$2:$AJ$51,MATCH($A17,campaigns!$A$2:$A$51,0))="","",INDEX(campaigns!$AJ$2:$AJ$51,MATCH($A17,campaigns!$A$2:$A$51,0))),""),"CARDCODE",$F17)&amp;"&amp;utm_source=office-pantry&amp;utm_medium="&amp;$C17&amp;"&amp;utm_campaign="&amp;LOWER($A17)&amp;"&amp;utm_content="&amp;LOWER($B17)))</f>
        <v/>
      </c>
      <c r="H17" s="25">
        <f>IF(OR($A17="",$C17&lt;&gt;"qr"),"",$D17&amp;".png")</f>
        <v/>
      </c>
      <c r="I17" s="25">
        <f>IF($A17="","",IF(AND(IFERROR(IF(INDEX(campaigns!$AJ$2:$AJ$51,MATCH($A17,campaigns!$A$2:$A$51,0))="","",INDEX(campaigns!$AJ$2:$AJ$51,MATCH($A17,campaigns!$A$2:$A$51,0))),"")="",IFERROR(IF(INDEX(campaigns!$BG$2:$BG$51,MATCH($A17,campaigns!$A$2:$A$51,0))="","",INDEX(campaigns!$BG$2:$BG$51,MATCH($A17,campaigns!$A$2:$A$51,0))),"")&lt;&gt;"",IF(config!$B$37&lt;&gt;"",config!$B$37,TODAY())&gt;=WORKDAY(N(IFERROR(IF(INDEX(campaigns!$BG$2:$BG$51,MATCH($A17,campaigns!$A$2:$A$51,0))="","",INDEX(campaigns!$BG$2:$BG$51,MATCH($A17,campaigns!$A$2:$A$51,0))),"")),-4,calendar!$A$2:$A$80)),"no prefill template yet (due T-4); ","")&amp;IF(COUNTIF(links!$D$2:$D$501,$D17)&gt;1,"DUPLICATE slug; ",""))</f>
        <v/>
      </c>
    </row>
    <row r="18">
      <c r="A18" s="25">
        <f>IF(INDEX(approvals!$A$2:$A$251,INT((ROW()-2)/2)+1)="","",INDEX(approvals!$A$2:$A$251,INT((ROW()-2)/2)+1))</f>
        <v/>
      </c>
      <c r="B18" s="25">
        <f>IF(INDEX(approvals!$A$2:$A$251,INT((ROW()-2)/2)+1)="","",INDEX(approvals!$B$2:$B$251,INT((ROW()-2)/2)+1))</f>
        <v/>
      </c>
      <c r="C18" s="25">
        <f>IF($A18="","",IF(MOD(ROW()-2,2)=0,"qr","post"))</f>
        <v/>
      </c>
      <c r="D18" s="25">
        <f>IF($A18="","",IF(LEFT($A18,7)="SAMPLE-","SAMPLE-","")&amp;LOWER(SUBSTITUTE(SUBSTITUTE($A18,"SAMPLE-",""),"CMP-","c"))&amp;"-"&amp;LOWER(SUBSTITUTE(SUBSTITUTE($B18,"SAMPLE-",""),"O-","o"))&amp;"-"&amp;IF($C18="qr","q","p"))</f>
        <v/>
      </c>
      <c r="E18" s="25">
        <f>IF($A18="","","https://"&amp;config!$B$9&amp;"/"&amp;$D18)</f>
        <v/>
      </c>
      <c r="F18" s="25">
        <f>IF($A18="","",$A18&amp;"."&amp;$B18)</f>
        <v/>
      </c>
      <c r="G18" s="25">
        <f>IF($A18="","",IF(IFERROR(IF(INDEX(campaigns!$AJ$2:$AJ$51,MATCH($A18,campaigns!$A$2:$A$51,0))="","",INDEX(campaigns!$AJ$2:$AJ$51,MATCH($A18,campaigns!$A$2:$A$51,0))),"")="","(add the survey prefill template on campaigns)",SUBSTITUTE(IFERROR(IF(INDEX(campaigns!$AJ$2:$AJ$51,MATCH($A18,campaigns!$A$2:$A$51,0))="","",INDEX(campaigns!$AJ$2:$AJ$51,MATCH($A18,campaigns!$A$2:$A$51,0))),""),"CARDCODE",$F18)&amp;"&amp;utm_source=office-pantry&amp;utm_medium="&amp;$C18&amp;"&amp;utm_campaign="&amp;LOWER($A18)&amp;"&amp;utm_content="&amp;LOWER($B18)))</f>
        <v/>
      </c>
      <c r="H18" s="25">
        <f>IF(OR($A18="",$C18&lt;&gt;"qr"),"",$D18&amp;".png")</f>
        <v/>
      </c>
      <c r="I18" s="25">
        <f>IF($A18="","",IF(AND(IFERROR(IF(INDEX(campaigns!$AJ$2:$AJ$51,MATCH($A18,campaigns!$A$2:$A$51,0))="","",INDEX(campaigns!$AJ$2:$AJ$51,MATCH($A18,campaigns!$A$2:$A$51,0))),"")="",IFERROR(IF(INDEX(campaigns!$BG$2:$BG$51,MATCH($A18,campaigns!$A$2:$A$51,0))="","",INDEX(campaigns!$BG$2:$BG$51,MATCH($A18,campaigns!$A$2:$A$51,0))),"")&lt;&gt;"",IF(config!$B$37&lt;&gt;"",config!$B$37,TODAY())&gt;=WORKDAY(N(IFERROR(IF(INDEX(campaigns!$BG$2:$BG$51,MATCH($A18,campaigns!$A$2:$A$51,0))="","",INDEX(campaigns!$BG$2:$BG$51,MATCH($A18,campaigns!$A$2:$A$51,0))),"")),-4,calendar!$A$2:$A$80)),"no prefill template yet (due T-4); ","")&amp;IF(COUNTIF(links!$D$2:$D$501,$D18)&gt;1,"DUPLICATE slug; ",""))</f>
        <v/>
      </c>
    </row>
    <row r="19">
      <c r="A19" s="25">
        <f>IF(INDEX(approvals!$A$2:$A$251,INT((ROW()-2)/2)+1)="","",INDEX(approvals!$A$2:$A$251,INT((ROW()-2)/2)+1))</f>
        <v/>
      </c>
      <c r="B19" s="25">
        <f>IF(INDEX(approvals!$A$2:$A$251,INT((ROW()-2)/2)+1)="","",INDEX(approvals!$B$2:$B$251,INT((ROW()-2)/2)+1))</f>
        <v/>
      </c>
      <c r="C19" s="25">
        <f>IF($A19="","",IF(MOD(ROW()-2,2)=0,"qr","post"))</f>
        <v/>
      </c>
      <c r="D19" s="25">
        <f>IF($A19="","",IF(LEFT($A19,7)="SAMPLE-","SAMPLE-","")&amp;LOWER(SUBSTITUTE(SUBSTITUTE($A19,"SAMPLE-",""),"CMP-","c"))&amp;"-"&amp;LOWER(SUBSTITUTE(SUBSTITUTE($B19,"SAMPLE-",""),"O-","o"))&amp;"-"&amp;IF($C19="qr","q","p"))</f>
        <v/>
      </c>
      <c r="E19" s="25">
        <f>IF($A19="","","https://"&amp;config!$B$9&amp;"/"&amp;$D19)</f>
        <v/>
      </c>
      <c r="F19" s="25">
        <f>IF($A19="","",$A19&amp;"."&amp;$B19)</f>
        <v/>
      </c>
      <c r="G19" s="25">
        <f>IF($A19="","",IF(IFERROR(IF(INDEX(campaigns!$AJ$2:$AJ$51,MATCH($A19,campaigns!$A$2:$A$51,0))="","",INDEX(campaigns!$AJ$2:$AJ$51,MATCH($A19,campaigns!$A$2:$A$51,0))),"")="","(add the survey prefill template on campaigns)",SUBSTITUTE(IFERROR(IF(INDEX(campaigns!$AJ$2:$AJ$51,MATCH($A19,campaigns!$A$2:$A$51,0))="","",INDEX(campaigns!$AJ$2:$AJ$51,MATCH($A19,campaigns!$A$2:$A$51,0))),""),"CARDCODE",$F19)&amp;"&amp;utm_source=office-pantry&amp;utm_medium="&amp;$C19&amp;"&amp;utm_campaign="&amp;LOWER($A19)&amp;"&amp;utm_content="&amp;LOWER($B19)))</f>
        <v/>
      </c>
      <c r="H19" s="25">
        <f>IF(OR($A19="",$C19&lt;&gt;"qr"),"",$D19&amp;".png")</f>
        <v/>
      </c>
      <c r="I19" s="25">
        <f>IF($A19="","",IF(AND(IFERROR(IF(INDEX(campaigns!$AJ$2:$AJ$51,MATCH($A19,campaigns!$A$2:$A$51,0))="","",INDEX(campaigns!$AJ$2:$AJ$51,MATCH($A19,campaigns!$A$2:$A$51,0))),"")="",IFERROR(IF(INDEX(campaigns!$BG$2:$BG$51,MATCH($A19,campaigns!$A$2:$A$51,0))="","",INDEX(campaigns!$BG$2:$BG$51,MATCH($A19,campaigns!$A$2:$A$51,0))),"")&lt;&gt;"",IF(config!$B$37&lt;&gt;"",config!$B$37,TODAY())&gt;=WORKDAY(N(IFERROR(IF(INDEX(campaigns!$BG$2:$BG$51,MATCH($A19,campaigns!$A$2:$A$51,0))="","",INDEX(campaigns!$BG$2:$BG$51,MATCH($A19,campaigns!$A$2:$A$51,0))),"")),-4,calendar!$A$2:$A$80)),"no prefill template yet (due T-4); ","")&amp;IF(COUNTIF(links!$D$2:$D$501,$D19)&gt;1,"DUPLICATE slug; ",""))</f>
        <v/>
      </c>
    </row>
    <row r="20">
      <c r="A20" s="25">
        <f>IF(INDEX(approvals!$A$2:$A$251,INT((ROW()-2)/2)+1)="","",INDEX(approvals!$A$2:$A$251,INT((ROW()-2)/2)+1))</f>
        <v/>
      </c>
      <c r="B20" s="25">
        <f>IF(INDEX(approvals!$A$2:$A$251,INT((ROW()-2)/2)+1)="","",INDEX(approvals!$B$2:$B$251,INT((ROW()-2)/2)+1))</f>
        <v/>
      </c>
      <c r="C20" s="25">
        <f>IF($A20="","",IF(MOD(ROW()-2,2)=0,"qr","post"))</f>
        <v/>
      </c>
      <c r="D20" s="25">
        <f>IF($A20="","",IF(LEFT($A20,7)="SAMPLE-","SAMPLE-","")&amp;LOWER(SUBSTITUTE(SUBSTITUTE($A20,"SAMPLE-",""),"CMP-","c"))&amp;"-"&amp;LOWER(SUBSTITUTE(SUBSTITUTE($B20,"SAMPLE-",""),"O-","o"))&amp;"-"&amp;IF($C20="qr","q","p"))</f>
        <v/>
      </c>
      <c r="E20" s="25">
        <f>IF($A20="","","https://"&amp;config!$B$9&amp;"/"&amp;$D20)</f>
        <v/>
      </c>
      <c r="F20" s="25">
        <f>IF($A20="","",$A20&amp;"."&amp;$B20)</f>
        <v/>
      </c>
      <c r="G20" s="25">
        <f>IF($A20="","",IF(IFERROR(IF(INDEX(campaigns!$AJ$2:$AJ$51,MATCH($A20,campaigns!$A$2:$A$51,0))="","",INDEX(campaigns!$AJ$2:$AJ$51,MATCH($A20,campaigns!$A$2:$A$51,0))),"")="","(add the survey prefill template on campaigns)",SUBSTITUTE(IFERROR(IF(INDEX(campaigns!$AJ$2:$AJ$51,MATCH($A20,campaigns!$A$2:$A$51,0))="","",INDEX(campaigns!$AJ$2:$AJ$51,MATCH($A20,campaigns!$A$2:$A$51,0))),""),"CARDCODE",$F20)&amp;"&amp;utm_source=office-pantry&amp;utm_medium="&amp;$C20&amp;"&amp;utm_campaign="&amp;LOWER($A20)&amp;"&amp;utm_content="&amp;LOWER($B20)))</f>
        <v/>
      </c>
      <c r="H20" s="25">
        <f>IF(OR($A20="",$C20&lt;&gt;"qr"),"",$D20&amp;".png")</f>
        <v/>
      </c>
      <c r="I20" s="25">
        <f>IF($A20="","",IF(AND(IFERROR(IF(INDEX(campaigns!$AJ$2:$AJ$51,MATCH($A20,campaigns!$A$2:$A$51,0))="","",INDEX(campaigns!$AJ$2:$AJ$51,MATCH($A20,campaigns!$A$2:$A$51,0))),"")="",IFERROR(IF(INDEX(campaigns!$BG$2:$BG$51,MATCH($A20,campaigns!$A$2:$A$51,0))="","",INDEX(campaigns!$BG$2:$BG$51,MATCH($A20,campaigns!$A$2:$A$51,0))),"")&lt;&gt;"",IF(config!$B$37&lt;&gt;"",config!$B$37,TODAY())&gt;=WORKDAY(N(IFERROR(IF(INDEX(campaigns!$BG$2:$BG$51,MATCH($A20,campaigns!$A$2:$A$51,0))="","",INDEX(campaigns!$BG$2:$BG$51,MATCH($A20,campaigns!$A$2:$A$51,0))),"")),-4,calendar!$A$2:$A$80)),"no prefill template yet (due T-4); ","")&amp;IF(COUNTIF(links!$D$2:$D$501,$D20)&gt;1,"DUPLICATE slug; ",""))</f>
        <v/>
      </c>
    </row>
    <row r="21">
      <c r="A21" s="25">
        <f>IF(INDEX(approvals!$A$2:$A$251,INT((ROW()-2)/2)+1)="","",INDEX(approvals!$A$2:$A$251,INT((ROW()-2)/2)+1))</f>
        <v/>
      </c>
      <c r="B21" s="25">
        <f>IF(INDEX(approvals!$A$2:$A$251,INT((ROW()-2)/2)+1)="","",INDEX(approvals!$B$2:$B$251,INT((ROW()-2)/2)+1))</f>
        <v/>
      </c>
      <c r="C21" s="25">
        <f>IF($A21="","",IF(MOD(ROW()-2,2)=0,"qr","post"))</f>
        <v/>
      </c>
      <c r="D21" s="25">
        <f>IF($A21="","",IF(LEFT($A21,7)="SAMPLE-","SAMPLE-","")&amp;LOWER(SUBSTITUTE(SUBSTITUTE($A21,"SAMPLE-",""),"CMP-","c"))&amp;"-"&amp;LOWER(SUBSTITUTE(SUBSTITUTE($B21,"SAMPLE-",""),"O-","o"))&amp;"-"&amp;IF($C21="qr","q","p"))</f>
        <v/>
      </c>
      <c r="E21" s="25">
        <f>IF($A21="","","https://"&amp;config!$B$9&amp;"/"&amp;$D21)</f>
        <v/>
      </c>
      <c r="F21" s="25">
        <f>IF($A21="","",$A21&amp;"."&amp;$B21)</f>
        <v/>
      </c>
      <c r="G21" s="25">
        <f>IF($A21="","",IF(IFERROR(IF(INDEX(campaigns!$AJ$2:$AJ$51,MATCH($A21,campaigns!$A$2:$A$51,0))="","",INDEX(campaigns!$AJ$2:$AJ$51,MATCH($A21,campaigns!$A$2:$A$51,0))),"")="","(add the survey prefill template on campaigns)",SUBSTITUTE(IFERROR(IF(INDEX(campaigns!$AJ$2:$AJ$51,MATCH($A21,campaigns!$A$2:$A$51,0))="","",INDEX(campaigns!$AJ$2:$AJ$51,MATCH($A21,campaigns!$A$2:$A$51,0))),""),"CARDCODE",$F21)&amp;"&amp;utm_source=office-pantry&amp;utm_medium="&amp;$C21&amp;"&amp;utm_campaign="&amp;LOWER($A21)&amp;"&amp;utm_content="&amp;LOWER($B21)))</f>
        <v/>
      </c>
      <c r="H21" s="25">
        <f>IF(OR($A21="",$C21&lt;&gt;"qr"),"",$D21&amp;".png")</f>
        <v/>
      </c>
      <c r="I21" s="25">
        <f>IF($A21="","",IF(AND(IFERROR(IF(INDEX(campaigns!$AJ$2:$AJ$51,MATCH($A21,campaigns!$A$2:$A$51,0))="","",INDEX(campaigns!$AJ$2:$AJ$51,MATCH($A21,campaigns!$A$2:$A$51,0))),"")="",IFERROR(IF(INDEX(campaigns!$BG$2:$BG$51,MATCH($A21,campaigns!$A$2:$A$51,0))="","",INDEX(campaigns!$BG$2:$BG$51,MATCH($A21,campaigns!$A$2:$A$51,0))),"")&lt;&gt;"",IF(config!$B$37&lt;&gt;"",config!$B$37,TODAY())&gt;=WORKDAY(N(IFERROR(IF(INDEX(campaigns!$BG$2:$BG$51,MATCH($A21,campaigns!$A$2:$A$51,0))="","",INDEX(campaigns!$BG$2:$BG$51,MATCH($A21,campaigns!$A$2:$A$51,0))),"")),-4,calendar!$A$2:$A$80)),"no prefill template yet (due T-4); ","")&amp;IF(COUNTIF(links!$D$2:$D$501,$D21)&gt;1,"DUPLICATE slug; ",""))</f>
        <v/>
      </c>
    </row>
    <row r="22">
      <c r="A22" s="25">
        <f>IF(INDEX(approvals!$A$2:$A$251,INT((ROW()-2)/2)+1)="","",INDEX(approvals!$A$2:$A$251,INT((ROW()-2)/2)+1))</f>
        <v/>
      </c>
      <c r="B22" s="25">
        <f>IF(INDEX(approvals!$A$2:$A$251,INT((ROW()-2)/2)+1)="","",INDEX(approvals!$B$2:$B$251,INT((ROW()-2)/2)+1))</f>
        <v/>
      </c>
      <c r="C22" s="25">
        <f>IF($A22="","",IF(MOD(ROW()-2,2)=0,"qr","post"))</f>
        <v/>
      </c>
      <c r="D22" s="25">
        <f>IF($A22="","",IF(LEFT($A22,7)="SAMPLE-","SAMPLE-","")&amp;LOWER(SUBSTITUTE(SUBSTITUTE($A22,"SAMPLE-",""),"CMP-","c"))&amp;"-"&amp;LOWER(SUBSTITUTE(SUBSTITUTE($B22,"SAMPLE-",""),"O-","o"))&amp;"-"&amp;IF($C22="qr","q","p"))</f>
        <v/>
      </c>
      <c r="E22" s="25">
        <f>IF($A22="","","https://"&amp;config!$B$9&amp;"/"&amp;$D22)</f>
        <v/>
      </c>
      <c r="F22" s="25">
        <f>IF($A22="","",$A22&amp;"."&amp;$B22)</f>
        <v/>
      </c>
      <c r="G22" s="25">
        <f>IF($A22="","",IF(IFERROR(IF(INDEX(campaigns!$AJ$2:$AJ$51,MATCH($A22,campaigns!$A$2:$A$51,0))="","",INDEX(campaigns!$AJ$2:$AJ$51,MATCH($A22,campaigns!$A$2:$A$51,0))),"")="","(add the survey prefill template on campaigns)",SUBSTITUTE(IFERROR(IF(INDEX(campaigns!$AJ$2:$AJ$51,MATCH($A22,campaigns!$A$2:$A$51,0))="","",INDEX(campaigns!$AJ$2:$AJ$51,MATCH($A22,campaigns!$A$2:$A$51,0))),""),"CARDCODE",$F22)&amp;"&amp;utm_source=office-pantry&amp;utm_medium="&amp;$C22&amp;"&amp;utm_campaign="&amp;LOWER($A22)&amp;"&amp;utm_content="&amp;LOWER($B22)))</f>
        <v/>
      </c>
      <c r="H22" s="25">
        <f>IF(OR($A22="",$C22&lt;&gt;"qr"),"",$D22&amp;".png")</f>
        <v/>
      </c>
      <c r="I22" s="25">
        <f>IF($A22="","",IF(AND(IFERROR(IF(INDEX(campaigns!$AJ$2:$AJ$51,MATCH($A22,campaigns!$A$2:$A$51,0))="","",INDEX(campaigns!$AJ$2:$AJ$51,MATCH($A22,campaigns!$A$2:$A$51,0))),"")="",IFERROR(IF(INDEX(campaigns!$BG$2:$BG$51,MATCH($A22,campaigns!$A$2:$A$51,0))="","",INDEX(campaigns!$BG$2:$BG$51,MATCH($A22,campaigns!$A$2:$A$51,0))),"")&lt;&gt;"",IF(config!$B$37&lt;&gt;"",config!$B$37,TODAY())&gt;=WORKDAY(N(IFERROR(IF(INDEX(campaigns!$BG$2:$BG$51,MATCH($A22,campaigns!$A$2:$A$51,0))="","",INDEX(campaigns!$BG$2:$BG$51,MATCH($A22,campaigns!$A$2:$A$51,0))),"")),-4,calendar!$A$2:$A$80)),"no prefill template yet (due T-4); ","")&amp;IF(COUNTIF(links!$D$2:$D$501,$D22)&gt;1,"DUPLICATE slug; ",""))</f>
        <v/>
      </c>
    </row>
    <row r="23">
      <c r="A23" s="25">
        <f>IF(INDEX(approvals!$A$2:$A$251,INT((ROW()-2)/2)+1)="","",INDEX(approvals!$A$2:$A$251,INT((ROW()-2)/2)+1))</f>
        <v/>
      </c>
      <c r="B23" s="25">
        <f>IF(INDEX(approvals!$A$2:$A$251,INT((ROW()-2)/2)+1)="","",INDEX(approvals!$B$2:$B$251,INT((ROW()-2)/2)+1))</f>
        <v/>
      </c>
      <c r="C23" s="25">
        <f>IF($A23="","",IF(MOD(ROW()-2,2)=0,"qr","post"))</f>
        <v/>
      </c>
      <c r="D23" s="25">
        <f>IF($A23="","",IF(LEFT($A23,7)="SAMPLE-","SAMPLE-","")&amp;LOWER(SUBSTITUTE(SUBSTITUTE($A23,"SAMPLE-",""),"CMP-","c"))&amp;"-"&amp;LOWER(SUBSTITUTE(SUBSTITUTE($B23,"SAMPLE-",""),"O-","o"))&amp;"-"&amp;IF($C23="qr","q","p"))</f>
        <v/>
      </c>
      <c r="E23" s="25">
        <f>IF($A23="","","https://"&amp;config!$B$9&amp;"/"&amp;$D23)</f>
        <v/>
      </c>
      <c r="F23" s="25">
        <f>IF($A23="","",$A23&amp;"."&amp;$B23)</f>
        <v/>
      </c>
      <c r="G23" s="25">
        <f>IF($A23="","",IF(IFERROR(IF(INDEX(campaigns!$AJ$2:$AJ$51,MATCH($A23,campaigns!$A$2:$A$51,0))="","",INDEX(campaigns!$AJ$2:$AJ$51,MATCH($A23,campaigns!$A$2:$A$51,0))),"")="","(add the survey prefill template on campaigns)",SUBSTITUTE(IFERROR(IF(INDEX(campaigns!$AJ$2:$AJ$51,MATCH($A23,campaigns!$A$2:$A$51,0))="","",INDEX(campaigns!$AJ$2:$AJ$51,MATCH($A23,campaigns!$A$2:$A$51,0))),""),"CARDCODE",$F23)&amp;"&amp;utm_source=office-pantry&amp;utm_medium="&amp;$C23&amp;"&amp;utm_campaign="&amp;LOWER($A23)&amp;"&amp;utm_content="&amp;LOWER($B23)))</f>
        <v/>
      </c>
      <c r="H23" s="25">
        <f>IF(OR($A23="",$C23&lt;&gt;"qr"),"",$D23&amp;".png")</f>
        <v/>
      </c>
      <c r="I23" s="25">
        <f>IF($A23="","",IF(AND(IFERROR(IF(INDEX(campaigns!$AJ$2:$AJ$51,MATCH($A23,campaigns!$A$2:$A$51,0))="","",INDEX(campaigns!$AJ$2:$AJ$51,MATCH($A23,campaigns!$A$2:$A$51,0))),"")="",IFERROR(IF(INDEX(campaigns!$BG$2:$BG$51,MATCH($A23,campaigns!$A$2:$A$51,0))="","",INDEX(campaigns!$BG$2:$BG$51,MATCH($A23,campaigns!$A$2:$A$51,0))),"")&lt;&gt;"",IF(config!$B$37&lt;&gt;"",config!$B$37,TODAY())&gt;=WORKDAY(N(IFERROR(IF(INDEX(campaigns!$BG$2:$BG$51,MATCH($A23,campaigns!$A$2:$A$51,0))="","",INDEX(campaigns!$BG$2:$BG$51,MATCH($A23,campaigns!$A$2:$A$51,0))),"")),-4,calendar!$A$2:$A$80)),"no prefill template yet (due T-4); ","")&amp;IF(COUNTIF(links!$D$2:$D$501,$D23)&gt;1,"DUPLICATE slug; ",""))</f>
        <v/>
      </c>
    </row>
    <row r="24">
      <c r="A24" s="25">
        <f>IF(INDEX(approvals!$A$2:$A$251,INT((ROW()-2)/2)+1)="","",INDEX(approvals!$A$2:$A$251,INT((ROW()-2)/2)+1))</f>
        <v/>
      </c>
      <c r="B24" s="25">
        <f>IF(INDEX(approvals!$A$2:$A$251,INT((ROW()-2)/2)+1)="","",INDEX(approvals!$B$2:$B$251,INT((ROW()-2)/2)+1))</f>
        <v/>
      </c>
      <c r="C24" s="25">
        <f>IF($A24="","",IF(MOD(ROW()-2,2)=0,"qr","post"))</f>
        <v/>
      </c>
      <c r="D24" s="25">
        <f>IF($A24="","",IF(LEFT($A24,7)="SAMPLE-","SAMPLE-","")&amp;LOWER(SUBSTITUTE(SUBSTITUTE($A24,"SAMPLE-",""),"CMP-","c"))&amp;"-"&amp;LOWER(SUBSTITUTE(SUBSTITUTE($B24,"SAMPLE-",""),"O-","o"))&amp;"-"&amp;IF($C24="qr","q","p"))</f>
        <v/>
      </c>
      <c r="E24" s="25">
        <f>IF($A24="","","https://"&amp;config!$B$9&amp;"/"&amp;$D24)</f>
        <v/>
      </c>
      <c r="F24" s="25">
        <f>IF($A24="","",$A24&amp;"."&amp;$B24)</f>
        <v/>
      </c>
      <c r="G24" s="25">
        <f>IF($A24="","",IF(IFERROR(IF(INDEX(campaigns!$AJ$2:$AJ$51,MATCH($A24,campaigns!$A$2:$A$51,0))="","",INDEX(campaigns!$AJ$2:$AJ$51,MATCH($A24,campaigns!$A$2:$A$51,0))),"")="","(add the survey prefill template on campaigns)",SUBSTITUTE(IFERROR(IF(INDEX(campaigns!$AJ$2:$AJ$51,MATCH($A24,campaigns!$A$2:$A$51,0))="","",INDEX(campaigns!$AJ$2:$AJ$51,MATCH($A24,campaigns!$A$2:$A$51,0))),""),"CARDCODE",$F24)&amp;"&amp;utm_source=office-pantry&amp;utm_medium="&amp;$C24&amp;"&amp;utm_campaign="&amp;LOWER($A24)&amp;"&amp;utm_content="&amp;LOWER($B24)))</f>
        <v/>
      </c>
      <c r="H24" s="25">
        <f>IF(OR($A24="",$C24&lt;&gt;"qr"),"",$D24&amp;".png")</f>
        <v/>
      </c>
      <c r="I24" s="25">
        <f>IF($A24="","",IF(AND(IFERROR(IF(INDEX(campaigns!$AJ$2:$AJ$51,MATCH($A24,campaigns!$A$2:$A$51,0))="","",INDEX(campaigns!$AJ$2:$AJ$51,MATCH($A24,campaigns!$A$2:$A$51,0))),"")="",IFERROR(IF(INDEX(campaigns!$BG$2:$BG$51,MATCH($A24,campaigns!$A$2:$A$51,0))="","",INDEX(campaigns!$BG$2:$BG$51,MATCH($A24,campaigns!$A$2:$A$51,0))),"")&lt;&gt;"",IF(config!$B$37&lt;&gt;"",config!$B$37,TODAY())&gt;=WORKDAY(N(IFERROR(IF(INDEX(campaigns!$BG$2:$BG$51,MATCH($A24,campaigns!$A$2:$A$51,0))="","",INDEX(campaigns!$BG$2:$BG$51,MATCH($A24,campaigns!$A$2:$A$51,0))),"")),-4,calendar!$A$2:$A$80)),"no prefill template yet (due T-4); ","")&amp;IF(COUNTIF(links!$D$2:$D$501,$D24)&gt;1,"DUPLICATE slug; ",""))</f>
        <v/>
      </c>
    </row>
    <row r="25">
      <c r="A25" s="25">
        <f>IF(INDEX(approvals!$A$2:$A$251,INT((ROW()-2)/2)+1)="","",INDEX(approvals!$A$2:$A$251,INT((ROW()-2)/2)+1))</f>
        <v/>
      </c>
      <c r="B25" s="25">
        <f>IF(INDEX(approvals!$A$2:$A$251,INT((ROW()-2)/2)+1)="","",INDEX(approvals!$B$2:$B$251,INT((ROW()-2)/2)+1))</f>
        <v/>
      </c>
      <c r="C25" s="25">
        <f>IF($A25="","",IF(MOD(ROW()-2,2)=0,"qr","post"))</f>
        <v/>
      </c>
      <c r="D25" s="25">
        <f>IF($A25="","",IF(LEFT($A25,7)="SAMPLE-","SAMPLE-","")&amp;LOWER(SUBSTITUTE(SUBSTITUTE($A25,"SAMPLE-",""),"CMP-","c"))&amp;"-"&amp;LOWER(SUBSTITUTE(SUBSTITUTE($B25,"SAMPLE-",""),"O-","o"))&amp;"-"&amp;IF($C25="qr","q","p"))</f>
        <v/>
      </c>
      <c r="E25" s="25">
        <f>IF($A25="","","https://"&amp;config!$B$9&amp;"/"&amp;$D25)</f>
        <v/>
      </c>
      <c r="F25" s="25">
        <f>IF($A25="","",$A25&amp;"."&amp;$B25)</f>
        <v/>
      </c>
      <c r="G25" s="25">
        <f>IF($A25="","",IF(IFERROR(IF(INDEX(campaigns!$AJ$2:$AJ$51,MATCH($A25,campaigns!$A$2:$A$51,0))="","",INDEX(campaigns!$AJ$2:$AJ$51,MATCH($A25,campaigns!$A$2:$A$51,0))),"")="","(add the survey prefill template on campaigns)",SUBSTITUTE(IFERROR(IF(INDEX(campaigns!$AJ$2:$AJ$51,MATCH($A25,campaigns!$A$2:$A$51,0))="","",INDEX(campaigns!$AJ$2:$AJ$51,MATCH($A25,campaigns!$A$2:$A$51,0))),""),"CARDCODE",$F25)&amp;"&amp;utm_source=office-pantry&amp;utm_medium="&amp;$C25&amp;"&amp;utm_campaign="&amp;LOWER($A25)&amp;"&amp;utm_content="&amp;LOWER($B25)))</f>
        <v/>
      </c>
      <c r="H25" s="25">
        <f>IF(OR($A25="",$C25&lt;&gt;"qr"),"",$D25&amp;".png")</f>
        <v/>
      </c>
      <c r="I25" s="25">
        <f>IF($A25="","",IF(AND(IFERROR(IF(INDEX(campaigns!$AJ$2:$AJ$51,MATCH($A25,campaigns!$A$2:$A$51,0))="","",INDEX(campaigns!$AJ$2:$AJ$51,MATCH($A25,campaigns!$A$2:$A$51,0))),"")="",IFERROR(IF(INDEX(campaigns!$BG$2:$BG$51,MATCH($A25,campaigns!$A$2:$A$51,0))="","",INDEX(campaigns!$BG$2:$BG$51,MATCH($A25,campaigns!$A$2:$A$51,0))),"")&lt;&gt;"",IF(config!$B$37&lt;&gt;"",config!$B$37,TODAY())&gt;=WORKDAY(N(IFERROR(IF(INDEX(campaigns!$BG$2:$BG$51,MATCH($A25,campaigns!$A$2:$A$51,0))="","",INDEX(campaigns!$BG$2:$BG$51,MATCH($A25,campaigns!$A$2:$A$51,0))),"")),-4,calendar!$A$2:$A$80)),"no prefill template yet (due T-4); ","")&amp;IF(COUNTIF(links!$D$2:$D$501,$D25)&gt;1,"DUPLICATE slug; ",""))</f>
        <v/>
      </c>
    </row>
    <row r="26">
      <c r="A26" s="25">
        <f>IF(INDEX(approvals!$A$2:$A$251,INT((ROW()-2)/2)+1)="","",INDEX(approvals!$A$2:$A$251,INT((ROW()-2)/2)+1))</f>
        <v/>
      </c>
      <c r="B26" s="25">
        <f>IF(INDEX(approvals!$A$2:$A$251,INT((ROW()-2)/2)+1)="","",INDEX(approvals!$B$2:$B$251,INT((ROW()-2)/2)+1))</f>
        <v/>
      </c>
      <c r="C26" s="25">
        <f>IF($A26="","",IF(MOD(ROW()-2,2)=0,"qr","post"))</f>
        <v/>
      </c>
      <c r="D26" s="25">
        <f>IF($A26="","",IF(LEFT($A26,7)="SAMPLE-","SAMPLE-","")&amp;LOWER(SUBSTITUTE(SUBSTITUTE($A26,"SAMPLE-",""),"CMP-","c"))&amp;"-"&amp;LOWER(SUBSTITUTE(SUBSTITUTE($B26,"SAMPLE-",""),"O-","o"))&amp;"-"&amp;IF($C26="qr","q","p"))</f>
        <v/>
      </c>
      <c r="E26" s="25">
        <f>IF($A26="","","https://"&amp;config!$B$9&amp;"/"&amp;$D26)</f>
        <v/>
      </c>
      <c r="F26" s="25">
        <f>IF($A26="","",$A26&amp;"."&amp;$B26)</f>
        <v/>
      </c>
      <c r="G26" s="25">
        <f>IF($A26="","",IF(IFERROR(IF(INDEX(campaigns!$AJ$2:$AJ$51,MATCH($A26,campaigns!$A$2:$A$51,0))="","",INDEX(campaigns!$AJ$2:$AJ$51,MATCH($A26,campaigns!$A$2:$A$51,0))),"")="","(add the survey prefill template on campaigns)",SUBSTITUTE(IFERROR(IF(INDEX(campaigns!$AJ$2:$AJ$51,MATCH($A26,campaigns!$A$2:$A$51,0))="","",INDEX(campaigns!$AJ$2:$AJ$51,MATCH($A26,campaigns!$A$2:$A$51,0))),""),"CARDCODE",$F26)&amp;"&amp;utm_source=office-pantry&amp;utm_medium="&amp;$C26&amp;"&amp;utm_campaign="&amp;LOWER($A26)&amp;"&amp;utm_content="&amp;LOWER($B26)))</f>
        <v/>
      </c>
      <c r="H26" s="25">
        <f>IF(OR($A26="",$C26&lt;&gt;"qr"),"",$D26&amp;".png")</f>
        <v/>
      </c>
      <c r="I26" s="25">
        <f>IF($A26="","",IF(AND(IFERROR(IF(INDEX(campaigns!$AJ$2:$AJ$51,MATCH($A26,campaigns!$A$2:$A$51,0))="","",INDEX(campaigns!$AJ$2:$AJ$51,MATCH($A26,campaigns!$A$2:$A$51,0))),"")="",IFERROR(IF(INDEX(campaigns!$BG$2:$BG$51,MATCH($A26,campaigns!$A$2:$A$51,0))="","",INDEX(campaigns!$BG$2:$BG$51,MATCH($A26,campaigns!$A$2:$A$51,0))),"")&lt;&gt;"",IF(config!$B$37&lt;&gt;"",config!$B$37,TODAY())&gt;=WORKDAY(N(IFERROR(IF(INDEX(campaigns!$BG$2:$BG$51,MATCH($A26,campaigns!$A$2:$A$51,0))="","",INDEX(campaigns!$BG$2:$BG$51,MATCH($A26,campaigns!$A$2:$A$51,0))),"")),-4,calendar!$A$2:$A$80)),"no prefill template yet (due T-4); ","")&amp;IF(COUNTIF(links!$D$2:$D$501,$D26)&gt;1,"DUPLICATE slug; ",""))</f>
        <v/>
      </c>
    </row>
    <row r="27">
      <c r="A27" s="25">
        <f>IF(INDEX(approvals!$A$2:$A$251,INT((ROW()-2)/2)+1)="","",INDEX(approvals!$A$2:$A$251,INT((ROW()-2)/2)+1))</f>
        <v/>
      </c>
      <c r="B27" s="25">
        <f>IF(INDEX(approvals!$A$2:$A$251,INT((ROW()-2)/2)+1)="","",INDEX(approvals!$B$2:$B$251,INT((ROW()-2)/2)+1))</f>
        <v/>
      </c>
      <c r="C27" s="25">
        <f>IF($A27="","",IF(MOD(ROW()-2,2)=0,"qr","post"))</f>
        <v/>
      </c>
      <c r="D27" s="25">
        <f>IF($A27="","",IF(LEFT($A27,7)="SAMPLE-","SAMPLE-","")&amp;LOWER(SUBSTITUTE(SUBSTITUTE($A27,"SAMPLE-",""),"CMP-","c"))&amp;"-"&amp;LOWER(SUBSTITUTE(SUBSTITUTE($B27,"SAMPLE-",""),"O-","o"))&amp;"-"&amp;IF($C27="qr","q","p"))</f>
        <v/>
      </c>
      <c r="E27" s="25">
        <f>IF($A27="","","https://"&amp;config!$B$9&amp;"/"&amp;$D27)</f>
        <v/>
      </c>
      <c r="F27" s="25">
        <f>IF($A27="","",$A27&amp;"."&amp;$B27)</f>
        <v/>
      </c>
      <c r="G27" s="25">
        <f>IF($A27="","",IF(IFERROR(IF(INDEX(campaigns!$AJ$2:$AJ$51,MATCH($A27,campaigns!$A$2:$A$51,0))="","",INDEX(campaigns!$AJ$2:$AJ$51,MATCH($A27,campaigns!$A$2:$A$51,0))),"")="","(add the survey prefill template on campaigns)",SUBSTITUTE(IFERROR(IF(INDEX(campaigns!$AJ$2:$AJ$51,MATCH($A27,campaigns!$A$2:$A$51,0))="","",INDEX(campaigns!$AJ$2:$AJ$51,MATCH($A27,campaigns!$A$2:$A$51,0))),""),"CARDCODE",$F27)&amp;"&amp;utm_source=office-pantry&amp;utm_medium="&amp;$C27&amp;"&amp;utm_campaign="&amp;LOWER($A27)&amp;"&amp;utm_content="&amp;LOWER($B27)))</f>
        <v/>
      </c>
      <c r="H27" s="25">
        <f>IF(OR($A27="",$C27&lt;&gt;"qr"),"",$D27&amp;".png")</f>
        <v/>
      </c>
      <c r="I27" s="25">
        <f>IF($A27="","",IF(AND(IFERROR(IF(INDEX(campaigns!$AJ$2:$AJ$51,MATCH($A27,campaigns!$A$2:$A$51,0))="","",INDEX(campaigns!$AJ$2:$AJ$51,MATCH($A27,campaigns!$A$2:$A$51,0))),"")="",IFERROR(IF(INDEX(campaigns!$BG$2:$BG$51,MATCH($A27,campaigns!$A$2:$A$51,0))="","",INDEX(campaigns!$BG$2:$BG$51,MATCH($A27,campaigns!$A$2:$A$51,0))),"")&lt;&gt;"",IF(config!$B$37&lt;&gt;"",config!$B$37,TODAY())&gt;=WORKDAY(N(IFERROR(IF(INDEX(campaigns!$BG$2:$BG$51,MATCH($A27,campaigns!$A$2:$A$51,0))="","",INDEX(campaigns!$BG$2:$BG$51,MATCH($A27,campaigns!$A$2:$A$51,0))),"")),-4,calendar!$A$2:$A$80)),"no prefill template yet (due T-4); ","")&amp;IF(COUNTIF(links!$D$2:$D$501,$D27)&gt;1,"DUPLICATE slug; ",""))</f>
        <v/>
      </c>
    </row>
    <row r="28">
      <c r="A28" s="25">
        <f>IF(INDEX(approvals!$A$2:$A$251,INT((ROW()-2)/2)+1)="","",INDEX(approvals!$A$2:$A$251,INT((ROW()-2)/2)+1))</f>
        <v/>
      </c>
      <c r="B28" s="25">
        <f>IF(INDEX(approvals!$A$2:$A$251,INT((ROW()-2)/2)+1)="","",INDEX(approvals!$B$2:$B$251,INT((ROW()-2)/2)+1))</f>
        <v/>
      </c>
      <c r="C28" s="25">
        <f>IF($A28="","",IF(MOD(ROW()-2,2)=0,"qr","post"))</f>
        <v/>
      </c>
      <c r="D28" s="25">
        <f>IF($A28="","",IF(LEFT($A28,7)="SAMPLE-","SAMPLE-","")&amp;LOWER(SUBSTITUTE(SUBSTITUTE($A28,"SAMPLE-",""),"CMP-","c"))&amp;"-"&amp;LOWER(SUBSTITUTE(SUBSTITUTE($B28,"SAMPLE-",""),"O-","o"))&amp;"-"&amp;IF($C28="qr","q","p"))</f>
        <v/>
      </c>
      <c r="E28" s="25">
        <f>IF($A28="","","https://"&amp;config!$B$9&amp;"/"&amp;$D28)</f>
        <v/>
      </c>
      <c r="F28" s="25">
        <f>IF($A28="","",$A28&amp;"."&amp;$B28)</f>
        <v/>
      </c>
      <c r="G28" s="25">
        <f>IF($A28="","",IF(IFERROR(IF(INDEX(campaigns!$AJ$2:$AJ$51,MATCH($A28,campaigns!$A$2:$A$51,0))="","",INDEX(campaigns!$AJ$2:$AJ$51,MATCH($A28,campaigns!$A$2:$A$51,0))),"")="","(add the survey prefill template on campaigns)",SUBSTITUTE(IFERROR(IF(INDEX(campaigns!$AJ$2:$AJ$51,MATCH($A28,campaigns!$A$2:$A$51,0))="","",INDEX(campaigns!$AJ$2:$AJ$51,MATCH($A28,campaigns!$A$2:$A$51,0))),""),"CARDCODE",$F28)&amp;"&amp;utm_source=office-pantry&amp;utm_medium="&amp;$C28&amp;"&amp;utm_campaign="&amp;LOWER($A28)&amp;"&amp;utm_content="&amp;LOWER($B28)))</f>
        <v/>
      </c>
      <c r="H28" s="25">
        <f>IF(OR($A28="",$C28&lt;&gt;"qr"),"",$D28&amp;".png")</f>
        <v/>
      </c>
      <c r="I28" s="25">
        <f>IF($A28="","",IF(AND(IFERROR(IF(INDEX(campaigns!$AJ$2:$AJ$51,MATCH($A28,campaigns!$A$2:$A$51,0))="","",INDEX(campaigns!$AJ$2:$AJ$51,MATCH($A28,campaigns!$A$2:$A$51,0))),"")="",IFERROR(IF(INDEX(campaigns!$BG$2:$BG$51,MATCH($A28,campaigns!$A$2:$A$51,0))="","",INDEX(campaigns!$BG$2:$BG$51,MATCH($A28,campaigns!$A$2:$A$51,0))),"")&lt;&gt;"",IF(config!$B$37&lt;&gt;"",config!$B$37,TODAY())&gt;=WORKDAY(N(IFERROR(IF(INDEX(campaigns!$BG$2:$BG$51,MATCH($A28,campaigns!$A$2:$A$51,0))="","",INDEX(campaigns!$BG$2:$BG$51,MATCH($A28,campaigns!$A$2:$A$51,0))),"")),-4,calendar!$A$2:$A$80)),"no prefill template yet (due T-4); ","")&amp;IF(COUNTIF(links!$D$2:$D$501,$D28)&gt;1,"DUPLICATE slug; ",""))</f>
        <v/>
      </c>
    </row>
    <row r="29">
      <c r="A29" s="25">
        <f>IF(INDEX(approvals!$A$2:$A$251,INT((ROW()-2)/2)+1)="","",INDEX(approvals!$A$2:$A$251,INT((ROW()-2)/2)+1))</f>
        <v/>
      </c>
      <c r="B29" s="25">
        <f>IF(INDEX(approvals!$A$2:$A$251,INT((ROW()-2)/2)+1)="","",INDEX(approvals!$B$2:$B$251,INT((ROW()-2)/2)+1))</f>
        <v/>
      </c>
      <c r="C29" s="25">
        <f>IF($A29="","",IF(MOD(ROW()-2,2)=0,"qr","post"))</f>
        <v/>
      </c>
      <c r="D29" s="25">
        <f>IF($A29="","",IF(LEFT($A29,7)="SAMPLE-","SAMPLE-","")&amp;LOWER(SUBSTITUTE(SUBSTITUTE($A29,"SAMPLE-",""),"CMP-","c"))&amp;"-"&amp;LOWER(SUBSTITUTE(SUBSTITUTE($B29,"SAMPLE-",""),"O-","o"))&amp;"-"&amp;IF($C29="qr","q","p"))</f>
        <v/>
      </c>
      <c r="E29" s="25">
        <f>IF($A29="","","https://"&amp;config!$B$9&amp;"/"&amp;$D29)</f>
        <v/>
      </c>
      <c r="F29" s="25">
        <f>IF($A29="","",$A29&amp;"."&amp;$B29)</f>
        <v/>
      </c>
      <c r="G29" s="25">
        <f>IF($A29="","",IF(IFERROR(IF(INDEX(campaigns!$AJ$2:$AJ$51,MATCH($A29,campaigns!$A$2:$A$51,0))="","",INDEX(campaigns!$AJ$2:$AJ$51,MATCH($A29,campaigns!$A$2:$A$51,0))),"")="","(add the survey prefill template on campaigns)",SUBSTITUTE(IFERROR(IF(INDEX(campaigns!$AJ$2:$AJ$51,MATCH($A29,campaigns!$A$2:$A$51,0))="","",INDEX(campaigns!$AJ$2:$AJ$51,MATCH($A29,campaigns!$A$2:$A$51,0))),""),"CARDCODE",$F29)&amp;"&amp;utm_source=office-pantry&amp;utm_medium="&amp;$C29&amp;"&amp;utm_campaign="&amp;LOWER($A29)&amp;"&amp;utm_content="&amp;LOWER($B29)))</f>
        <v/>
      </c>
      <c r="H29" s="25">
        <f>IF(OR($A29="",$C29&lt;&gt;"qr"),"",$D29&amp;".png")</f>
        <v/>
      </c>
      <c r="I29" s="25">
        <f>IF($A29="","",IF(AND(IFERROR(IF(INDEX(campaigns!$AJ$2:$AJ$51,MATCH($A29,campaigns!$A$2:$A$51,0))="","",INDEX(campaigns!$AJ$2:$AJ$51,MATCH($A29,campaigns!$A$2:$A$51,0))),"")="",IFERROR(IF(INDEX(campaigns!$BG$2:$BG$51,MATCH($A29,campaigns!$A$2:$A$51,0))="","",INDEX(campaigns!$BG$2:$BG$51,MATCH($A29,campaigns!$A$2:$A$51,0))),"")&lt;&gt;"",IF(config!$B$37&lt;&gt;"",config!$B$37,TODAY())&gt;=WORKDAY(N(IFERROR(IF(INDEX(campaigns!$BG$2:$BG$51,MATCH($A29,campaigns!$A$2:$A$51,0))="","",INDEX(campaigns!$BG$2:$BG$51,MATCH($A29,campaigns!$A$2:$A$51,0))),"")),-4,calendar!$A$2:$A$80)),"no prefill template yet (due T-4); ","")&amp;IF(COUNTIF(links!$D$2:$D$501,$D29)&gt;1,"DUPLICATE slug; ",""))</f>
        <v/>
      </c>
    </row>
    <row r="30">
      <c r="A30" s="25">
        <f>IF(INDEX(approvals!$A$2:$A$251,INT((ROW()-2)/2)+1)="","",INDEX(approvals!$A$2:$A$251,INT((ROW()-2)/2)+1))</f>
        <v/>
      </c>
      <c r="B30" s="25">
        <f>IF(INDEX(approvals!$A$2:$A$251,INT((ROW()-2)/2)+1)="","",INDEX(approvals!$B$2:$B$251,INT((ROW()-2)/2)+1))</f>
        <v/>
      </c>
      <c r="C30" s="25">
        <f>IF($A30="","",IF(MOD(ROW()-2,2)=0,"qr","post"))</f>
        <v/>
      </c>
      <c r="D30" s="25">
        <f>IF($A30="","",IF(LEFT($A30,7)="SAMPLE-","SAMPLE-","")&amp;LOWER(SUBSTITUTE(SUBSTITUTE($A30,"SAMPLE-",""),"CMP-","c"))&amp;"-"&amp;LOWER(SUBSTITUTE(SUBSTITUTE($B30,"SAMPLE-",""),"O-","o"))&amp;"-"&amp;IF($C30="qr","q","p"))</f>
        <v/>
      </c>
      <c r="E30" s="25">
        <f>IF($A30="","","https://"&amp;config!$B$9&amp;"/"&amp;$D30)</f>
        <v/>
      </c>
      <c r="F30" s="25">
        <f>IF($A30="","",$A30&amp;"."&amp;$B30)</f>
        <v/>
      </c>
      <c r="G30" s="25">
        <f>IF($A30="","",IF(IFERROR(IF(INDEX(campaigns!$AJ$2:$AJ$51,MATCH($A30,campaigns!$A$2:$A$51,0))="","",INDEX(campaigns!$AJ$2:$AJ$51,MATCH($A30,campaigns!$A$2:$A$51,0))),"")="","(add the survey prefill template on campaigns)",SUBSTITUTE(IFERROR(IF(INDEX(campaigns!$AJ$2:$AJ$51,MATCH($A30,campaigns!$A$2:$A$51,0))="","",INDEX(campaigns!$AJ$2:$AJ$51,MATCH($A30,campaigns!$A$2:$A$51,0))),""),"CARDCODE",$F30)&amp;"&amp;utm_source=office-pantry&amp;utm_medium="&amp;$C30&amp;"&amp;utm_campaign="&amp;LOWER($A30)&amp;"&amp;utm_content="&amp;LOWER($B30)))</f>
        <v/>
      </c>
      <c r="H30" s="25">
        <f>IF(OR($A30="",$C30&lt;&gt;"qr"),"",$D30&amp;".png")</f>
        <v/>
      </c>
      <c r="I30" s="25">
        <f>IF($A30="","",IF(AND(IFERROR(IF(INDEX(campaigns!$AJ$2:$AJ$51,MATCH($A30,campaigns!$A$2:$A$51,0))="","",INDEX(campaigns!$AJ$2:$AJ$51,MATCH($A30,campaigns!$A$2:$A$51,0))),"")="",IFERROR(IF(INDEX(campaigns!$BG$2:$BG$51,MATCH($A30,campaigns!$A$2:$A$51,0))="","",INDEX(campaigns!$BG$2:$BG$51,MATCH($A30,campaigns!$A$2:$A$51,0))),"")&lt;&gt;"",IF(config!$B$37&lt;&gt;"",config!$B$37,TODAY())&gt;=WORKDAY(N(IFERROR(IF(INDEX(campaigns!$BG$2:$BG$51,MATCH($A30,campaigns!$A$2:$A$51,0))="","",INDEX(campaigns!$BG$2:$BG$51,MATCH($A30,campaigns!$A$2:$A$51,0))),"")),-4,calendar!$A$2:$A$80)),"no prefill template yet (due T-4); ","")&amp;IF(COUNTIF(links!$D$2:$D$501,$D30)&gt;1,"DUPLICATE slug; ",""))</f>
        <v/>
      </c>
    </row>
    <row r="31">
      <c r="A31" s="25">
        <f>IF(INDEX(approvals!$A$2:$A$251,INT((ROW()-2)/2)+1)="","",INDEX(approvals!$A$2:$A$251,INT((ROW()-2)/2)+1))</f>
        <v/>
      </c>
      <c r="B31" s="25">
        <f>IF(INDEX(approvals!$A$2:$A$251,INT((ROW()-2)/2)+1)="","",INDEX(approvals!$B$2:$B$251,INT((ROW()-2)/2)+1))</f>
        <v/>
      </c>
      <c r="C31" s="25">
        <f>IF($A31="","",IF(MOD(ROW()-2,2)=0,"qr","post"))</f>
        <v/>
      </c>
      <c r="D31" s="25">
        <f>IF($A31="","",IF(LEFT($A31,7)="SAMPLE-","SAMPLE-","")&amp;LOWER(SUBSTITUTE(SUBSTITUTE($A31,"SAMPLE-",""),"CMP-","c"))&amp;"-"&amp;LOWER(SUBSTITUTE(SUBSTITUTE($B31,"SAMPLE-",""),"O-","o"))&amp;"-"&amp;IF($C31="qr","q","p"))</f>
        <v/>
      </c>
      <c r="E31" s="25">
        <f>IF($A31="","","https://"&amp;config!$B$9&amp;"/"&amp;$D31)</f>
        <v/>
      </c>
      <c r="F31" s="25">
        <f>IF($A31="","",$A31&amp;"."&amp;$B31)</f>
        <v/>
      </c>
      <c r="G31" s="25">
        <f>IF($A31="","",IF(IFERROR(IF(INDEX(campaigns!$AJ$2:$AJ$51,MATCH($A31,campaigns!$A$2:$A$51,0))="","",INDEX(campaigns!$AJ$2:$AJ$51,MATCH($A31,campaigns!$A$2:$A$51,0))),"")="","(add the survey prefill template on campaigns)",SUBSTITUTE(IFERROR(IF(INDEX(campaigns!$AJ$2:$AJ$51,MATCH($A31,campaigns!$A$2:$A$51,0))="","",INDEX(campaigns!$AJ$2:$AJ$51,MATCH($A31,campaigns!$A$2:$A$51,0))),""),"CARDCODE",$F31)&amp;"&amp;utm_source=office-pantry&amp;utm_medium="&amp;$C31&amp;"&amp;utm_campaign="&amp;LOWER($A31)&amp;"&amp;utm_content="&amp;LOWER($B31)))</f>
        <v/>
      </c>
      <c r="H31" s="25">
        <f>IF(OR($A31="",$C31&lt;&gt;"qr"),"",$D31&amp;".png")</f>
        <v/>
      </c>
      <c r="I31" s="25">
        <f>IF($A31="","",IF(AND(IFERROR(IF(INDEX(campaigns!$AJ$2:$AJ$51,MATCH($A31,campaigns!$A$2:$A$51,0))="","",INDEX(campaigns!$AJ$2:$AJ$51,MATCH($A31,campaigns!$A$2:$A$51,0))),"")="",IFERROR(IF(INDEX(campaigns!$BG$2:$BG$51,MATCH($A31,campaigns!$A$2:$A$51,0))="","",INDEX(campaigns!$BG$2:$BG$51,MATCH($A31,campaigns!$A$2:$A$51,0))),"")&lt;&gt;"",IF(config!$B$37&lt;&gt;"",config!$B$37,TODAY())&gt;=WORKDAY(N(IFERROR(IF(INDEX(campaigns!$BG$2:$BG$51,MATCH($A31,campaigns!$A$2:$A$51,0))="","",INDEX(campaigns!$BG$2:$BG$51,MATCH($A31,campaigns!$A$2:$A$51,0))),"")),-4,calendar!$A$2:$A$80)),"no prefill template yet (due T-4); ","")&amp;IF(COUNTIF(links!$D$2:$D$501,$D31)&gt;1,"DUPLICATE slug; ",""))</f>
        <v/>
      </c>
    </row>
    <row r="32">
      <c r="A32" s="25">
        <f>IF(INDEX(approvals!$A$2:$A$251,INT((ROW()-2)/2)+1)="","",INDEX(approvals!$A$2:$A$251,INT((ROW()-2)/2)+1))</f>
        <v/>
      </c>
      <c r="B32" s="25">
        <f>IF(INDEX(approvals!$A$2:$A$251,INT((ROW()-2)/2)+1)="","",INDEX(approvals!$B$2:$B$251,INT((ROW()-2)/2)+1))</f>
        <v/>
      </c>
      <c r="C32" s="25">
        <f>IF($A32="","",IF(MOD(ROW()-2,2)=0,"qr","post"))</f>
        <v/>
      </c>
      <c r="D32" s="25">
        <f>IF($A32="","",IF(LEFT($A32,7)="SAMPLE-","SAMPLE-","")&amp;LOWER(SUBSTITUTE(SUBSTITUTE($A32,"SAMPLE-",""),"CMP-","c"))&amp;"-"&amp;LOWER(SUBSTITUTE(SUBSTITUTE($B32,"SAMPLE-",""),"O-","o"))&amp;"-"&amp;IF($C32="qr","q","p"))</f>
        <v/>
      </c>
      <c r="E32" s="25">
        <f>IF($A32="","","https://"&amp;config!$B$9&amp;"/"&amp;$D32)</f>
        <v/>
      </c>
      <c r="F32" s="25">
        <f>IF($A32="","",$A32&amp;"."&amp;$B32)</f>
        <v/>
      </c>
      <c r="G32" s="25">
        <f>IF($A32="","",IF(IFERROR(IF(INDEX(campaigns!$AJ$2:$AJ$51,MATCH($A32,campaigns!$A$2:$A$51,0))="","",INDEX(campaigns!$AJ$2:$AJ$51,MATCH($A32,campaigns!$A$2:$A$51,0))),"")="","(add the survey prefill template on campaigns)",SUBSTITUTE(IFERROR(IF(INDEX(campaigns!$AJ$2:$AJ$51,MATCH($A32,campaigns!$A$2:$A$51,0))="","",INDEX(campaigns!$AJ$2:$AJ$51,MATCH($A32,campaigns!$A$2:$A$51,0))),""),"CARDCODE",$F32)&amp;"&amp;utm_source=office-pantry&amp;utm_medium="&amp;$C32&amp;"&amp;utm_campaign="&amp;LOWER($A32)&amp;"&amp;utm_content="&amp;LOWER($B32)))</f>
        <v/>
      </c>
      <c r="H32" s="25">
        <f>IF(OR($A32="",$C32&lt;&gt;"qr"),"",$D32&amp;".png")</f>
        <v/>
      </c>
      <c r="I32" s="25">
        <f>IF($A32="","",IF(AND(IFERROR(IF(INDEX(campaigns!$AJ$2:$AJ$51,MATCH($A32,campaigns!$A$2:$A$51,0))="","",INDEX(campaigns!$AJ$2:$AJ$51,MATCH($A32,campaigns!$A$2:$A$51,0))),"")="",IFERROR(IF(INDEX(campaigns!$BG$2:$BG$51,MATCH($A32,campaigns!$A$2:$A$51,0))="","",INDEX(campaigns!$BG$2:$BG$51,MATCH($A32,campaigns!$A$2:$A$51,0))),"")&lt;&gt;"",IF(config!$B$37&lt;&gt;"",config!$B$37,TODAY())&gt;=WORKDAY(N(IFERROR(IF(INDEX(campaigns!$BG$2:$BG$51,MATCH($A32,campaigns!$A$2:$A$51,0))="","",INDEX(campaigns!$BG$2:$BG$51,MATCH($A32,campaigns!$A$2:$A$51,0))),"")),-4,calendar!$A$2:$A$80)),"no prefill template yet (due T-4); ","")&amp;IF(COUNTIF(links!$D$2:$D$501,$D32)&gt;1,"DUPLICATE slug; ",""))</f>
        <v/>
      </c>
    </row>
    <row r="33">
      <c r="A33" s="25">
        <f>IF(INDEX(approvals!$A$2:$A$251,INT((ROW()-2)/2)+1)="","",INDEX(approvals!$A$2:$A$251,INT((ROW()-2)/2)+1))</f>
        <v/>
      </c>
      <c r="B33" s="25">
        <f>IF(INDEX(approvals!$A$2:$A$251,INT((ROW()-2)/2)+1)="","",INDEX(approvals!$B$2:$B$251,INT((ROW()-2)/2)+1))</f>
        <v/>
      </c>
      <c r="C33" s="25">
        <f>IF($A33="","",IF(MOD(ROW()-2,2)=0,"qr","post"))</f>
        <v/>
      </c>
      <c r="D33" s="25">
        <f>IF($A33="","",IF(LEFT($A33,7)="SAMPLE-","SAMPLE-","")&amp;LOWER(SUBSTITUTE(SUBSTITUTE($A33,"SAMPLE-",""),"CMP-","c"))&amp;"-"&amp;LOWER(SUBSTITUTE(SUBSTITUTE($B33,"SAMPLE-",""),"O-","o"))&amp;"-"&amp;IF($C33="qr","q","p"))</f>
        <v/>
      </c>
      <c r="E33" s="25">
        <f>IF($A33="","","https://"&amp;config!$B$9&amp;"/"&amp;$D33)</f>
        <v/>
      </c>
      <c r="F33" s="25">
        <f>IF($A33="","",$A33&amp;"."&amp;$B33)</f>
        <v/>
      </c>
      <c r="G33" s="25">
        <f>IF($A33="","",IF(IFERROR(IF(INDEX(campaigns!$AJ$2:$AJ$51,MATCH($A33,campaigns!$A$2:$A$51,0))="","",INDEX(campaigns!$AJ$2:$AJ$51,MATCH($A33,campaigns!$A$2:$A$51,0))),"")="","(add the survey prefill template on campaigns)",SUBSTITUTE(IFERROR(IF(INDEX(campaigns!$AJ$2:$AJ$51,MATCH($A33,campaigns!$A$2:$A$51,0))="","",INDEX(campaigns!$AJ$2:$AJ$51,MATCH($A33,campaigns!$A$2:$A$51,0))),""),"CARDCODE",$F33)&amp;"&amp;utm_source=office-pantry&amp;utm_medium="&amp;$C33&amp;"&amp;utm_campaign="&amp;LOWER($A33)&amp;"&amp;utm_content="&amp;LOWER($B33)))</f>
        <v/>
      </c>
      <c r="H33" s="25">
        <f>IF(OR($A33="",$C33&lt;&gt;"qr"),"",$D33&amp;".png")</f>
        <v/>
      </c>
      <c r="I33" s="25">
        <f>IF($A33="","",IF(AND(IFERROR(IF(INDEX(campaigns!$AJ$2:$AJ$51,MATCH($A33,campaigns!$A$2:$A$51,0))="","",INDEX(campaigns!$AJ$2:$AJ$51,MATCH($A33,campaigns!$A$2:$A$51,0))),"")="",IFERROR(IF(INDEX(campaigns!$BG$2:$BG$51,MATCH($A33,campaigns!$A$2:$A$51,0))="","",INDEX(campaigns!$BG$2:$BG$51,MATCH($A33,campaigns!$A$2:$A$51,0))),"")&lt;&gt;"",IF(config!$B$37&lt;&gt;"",config!$B$37,TODAY())&gt;=WORKDAY(N(IFERROR(IF(INDEX(campaigns!$BG$2:$BG$51,MATCH($A33,campaigns!$A$2:$A$51,0))="","",INDEX(campaigns!$BG$2:$BG$51,MATCH($A33,campaigns!$A$2:$A$51,0))),"")),-4,calendar!$A$2:$A$80)),"no prefill template yet (due T-4); ","")&amp;IF(COUNTIF(links!$D$2:$D$501,$D33)&gt;1,"DUPLICATE slug; ",""))</f>
        <v/>
      </c>
    </row>
    <row r="34">
      <c r="A34" s="25">
        <f>IF(INDEX(approvals!$A$2:$A$251,INT((ROW()-2)/2)+1)="","",INDEX(approvals!$A$2:$A$251,INT((ROW()-2)/2)+1))</f>
        <v/>
      </c>
      <c r="B34" s="25">
        <f>IF(INDEX(approvals!$A$2:$A$251,INT((ROW()-2)/2)+1)="","",INDEX(approvals!$B$2:$B$251,INT((ROW()-2)/2)+1))</f>
        <v/>
      </c>
      <c r="C34" s="25">
        <f>IF($A34="","",IF(MOD(ROW()-2,2)=0,"qr","post"))</f>
        <v/>
      </c>
      <c r="D34" s="25">
        <f>IF($A34="","",IF(LEFT($A34,7)="SAMPLE-","SAMPLE-","")&amp;LOWER(SUBSTITUTE(SUBSTITUTE($A34,"SAMPLE-",""),"CMP-","c"))&amp;"-"&amp;LOWER(SUBSTITUTE(SUBSTITUTE($B34,"SAMPLE-",""),"O-","o"))&amp;"-"&amp;IF($C34="qr","q","p"))</f>
        <v/>
      </c>
      <c r="E34" s="25">
        <f>IF($A34="","","https://"&amp;config!$B$9&amp;"/"&amp;$D34)</f>
        <v/>
      </c>
      <c r="F34" s="25">
        <f>IF($A34="","",$A34&amp;"."&amp;$B34)</f>
        <v/>
      </c>
      <c r="G34" s="25">
        <f>IF($A34="","",IF(IFERROR(IF(INDEX(campaigns!$AJ$2:$AJ$51,MATCH($A34,campaigns!$A$2:$A$51,0))="","",INDEX(campaigns!$AJ$2:$AJ$51,MATCH($A34,campaigns!$A$2:$A$51,0))),"")="","(add the survey prefill template on campaigns)",SUBSTITUTE(IFERROR(IF(INDEX(campaigns!$AJ$2:$AJ$51,MATCH($A34,campaigns!$A$2:$A$51,0))="","",INDEX(campaigns!$AJ$2:$AJ$51,MATCH($A34,campaigns!$A$2:$A$51,0))),""),"CARDCODE",$F34)&amp;"&amp;utm_source=office-pantry&amp;utm_medium="&amp;$C34&amp;"&amp;utm_campaign="&amp;LOWER($A34)&amp;"&amp;utm_content="&amp;LOWER($B34)))</f>
        <v/>
      </c>
      <c r="H34" s="25">
        <f>IF(OR($A34="",$C34&lt;&gt;"qr"),"",$D34&amp;".png")</f>
        <v/>
      </c>
      <c r="I34" s="25">
        <f>IF($A34="","",IF(AND(IFERROR(IF(INDEX(campaigns!$AJ$2:$AJ$51,MATCH($A34,campaigns!$A$2:$A$51,0))="","",INDEX(campaigns!$AJ$2:$AJ$51,MATCH($A34,campaigns!$A$2:$A$51,0))),"")="",IFERROR(IF(INDEX(campaigns!$BG$2:$BG$51,MATCH($A34,campaigns!$A$2:$A$51,0))="","",INDEX(campaigns!$BG$2:$BG$51,MATCH($A34,campaigns!$A$2:$A$51,0))),"")&lt;&gt;"",IF(config!$B$37&lt;&gt;"",config!$B$37,TODAY())&gt;=WORKDAY(N(IFERROR(IF(INDEX(campaigns!$BG$2:$BG$51,MATCH($A34,campaigns!$A$2:$A$51,0))="","",INDEX(campaigns!$BG$2:$BG$51,MATCH($A34,campaigns!$A$2:$A$51,0))),"")),-4,calendar!$A$2:$A$80)),"no prefill template yet (due T-4); ","")&amp;IF(COUNTIF(links!$D$2:$D$501,$D34)&gt;1,"DUPLICATE slug; ",""))</f>
        <v/>
      </c>
    </row>
    <row r="35">
      <c r="A35" s="25">
        <f>IF(INDEX(approvals!$A$2:$A$251,INT((ROW()-2)/2)+1)="","",INDEX(approvals!$A$2:$A$251,INT((ROW()-2)/2)+1))</f>
        <v/>
      </c>
      <c r="B35" s="25">
        <f>IF(INDEX(approvals!$A$2:$A$251,INT((ROW()-2)/2)+1)="","",INDEX(approvals!$B$2:$B$251,INT((ROW()-2)/2)+1))</f>
        <v/>
      </c>
      <c r="C35" s="25">
        <f>IF($A35="","",IF(MOD(ROW()-2,2)=0,"qr","post"))</f>
        <v/>
      </c>
      <c r="D35" s="25">
        <f>IF($A35="","",IF(LEFT($A35,7)="SAMPLE-","SAMPLE-","")&amp;LOWER(SUBSTITUTE(SUBSTITUTE($A35,"SAMPLE-",""),"CMP-","c"))&amp;"-"&amp;LOWER(SUBSTITUTE(SUBSTITUTE($B35,"SAMPLE-",""),"O-","o"))&amp;"-"&amp;IF($C35="qr","q","p"))</f>
        <v/>
      </c>
      <c r="E35" s="25">
        <f>IF($A35="","","https://"&amp;config!$B$9&amp;"/"&amp;$D35)</f>
        <v/>
      </c>
      <c r="F35" s="25">
        <f>IF($A35="","",$A35&amp;"."&amp;$B35)</f>
        <v/>
      </c>
      <c r="G35" s="25">
        <f>IF($A35="","",IF(IFERROR(IF(INDEX(campaigns!$AJ$2:$AJ$51,MATCH($A35,campaigns!$A$2:$A$51,0))="","",INDEX(campaigns!$AJ$2:$AJ$51,MATCH($A35,campaigns!$A$2:$A$51,0))),"")="","(add the survey prefill template on campaigns)",SUBSTITUTE(IFERROR(IF(INDEX(campaigns!$AJ$2:$AJ$51,MATCH($A35,campaigns!$A$2:$A$51,0))="","",INDEX(campaigns!$AJ$2:$AJ$51,MATCH($A35,campaigns!$A$2:$A$51,0))),""),"CARDCODE",$F35)&amp;"&amp;utm_source=office-pantry&amp;utm_medium="&amp;$C35&amp;"&amp;utm_campaign="&amp;LOWER($A35)&amp;"&amp;utm_content="&amp;LOWER($B35)))</f>
        <v/>
      </c>
      <c r="H35" s="25">
        <f>IF(OR($A35="",$C35&lt;&gt;"qr"),"",$D35&amp;".png")</f>
        <v/>
      </c>
      <c r="I35" s="25">
        <f>IF($A35="","",IF(AND(IFERROR(IF(INDEX(campaigns!$AJ$2:$AJ$51,MATCH($A35,campaigns!$A$2:$A$51,0))="","",INDEX(campaigns!$AJ$2:$AJ$51,MATCH($A35,campaigns!$A$2:$A$51,0))),"")="",IFERROR(IF(INDEX(campaigns!$BG$2:$BG$51,MATCH($A35,campaigns!$A$2:$A$51,0))="","",INDEX(campaigns!$BG$2:$BG$51,MATCH($A35,campaigns!$A$2:$A$51,0))),"")&lt;&gt;"",IF(config!$B$37&lt;&gt;"",config!$B$37,TODAY())&gt;=WORKDAY(N(IFERROR(IF(INDEX(campaigns!$BG$2:$BG$51,MATCH($A35,campaigns!$A$2:$A$51,0))="","",INDEX(campaigns!$BG$2:$BG$51,MATCH($A35,campaigns!$A$2:$A$51,0))),"")),-4,calendar!$A$2:$A$80)),"no prefill template yet (due T-4); ","")&amp;IF(COUNTIF(links!$D$2:$D$501,$D35)&gt;1,"DUPLICATE slug; ",""))</f>
        <v/>
      </c>
    </row>
    <row r="36">
      <c r="A36" s="25">
        <f>IF(INDEX(approvals!$A$2:$A$251,INT((ROW()-2)/2)+1)="","",INDEX(approvals!$A$2:$A$251,INT((ROW()-2)/2)+1))</f>
        <v/>
      </c>
      <c r="B36" s="25">
        <f>IF(INDEX(approvals!$A$2:$A$251,INT((ROW()-2)/2)+1)="","",INDEX(approvals!$B$2:$B$251,INT((ROW()-2)/2)+1))</f>
        <v/>
      </c>
      <c r="C36" s="25">
        <f>IF($A36="","",IF(MOD(ROW()-2,2)=0,"qr","post"))</f>
        <v/>
      </c>
      <c r="D36" s="25">
        <f>IF($A36="","",IF(LEFT($A36,7)="SAMPLE-","SAMPLE-","")&amp;LOWER(SUBSTITUTE(SUBSTITUTE($A36,"SAMPLE-",""),"CMP-","c"))&amp;"-"&amp;LOWER(SUBSTITUTE(SUBSTITUTE($B36,"SAMPLE-",""),"O-","o"))&amp;"-"&amp;IF($C36="qr","q","p"))</f>
        <v/>
      </c>
      <c r="E36" s="25">
        <f>IF($A36="","","https://"&amp;config!$B$9&amp;"/"&amp;$D36)</f>
        <v/>
      </c>
      <c r="F36" s="25">
        <f>IF($A36="","",$A36&amp;"."&amp;$B36)</f>
        <v/>
      </c>
      <c r="G36" s="25">
        <f>IF($A36="","",IF(IFERROR(IF(INDEX(campaigns!$AJ$2:$AJ$51,MATCH($A36,campaigns!$A$2:$A$51,0))="","",INDEX(campaigns!$AJ$2:$AJ$51,MATCH($A36,campaigns!$A$2:$A$51,0))),"")="","(add the survey prefill template on campaigns)",SUBSTITUTE(IFERROR(IF(INDEX(campaigns!$AJ$2:$AJ$51,MATCH($A36,campaigns!$A$2:$A$51,0))="","",INDEX(campaigns!$AJ$2:$AJ$51,MATCH($A36,campaigns!$A$2:$A$51,0))),""),"CARDCODE",$F36)&amp;"&amp;utm_source=office-pantry&amp;utm_medium="&amp;$C36&amp;"&amp;utm_campaign="&amp;LOWER($A36)&amp;"&amp;utm_content="&amp;LOWER($B36)))</f>
        <v/>
      </c>
      <c r="H36" s="25">
        <f>IF(OR($A36="",$C36&lt;&gt;"qr"),"",$D36&amp;".png")</f>
        <v/>
      </c>
      <c r="I36" s="25">
        <f>IF($A36="","",IF(AND(IFERROR(IF(INDEX(campaigns!$AJ$2:$AJ$51,MATCH($A36,campaigns!$A$2:$A$51,0))="","",INDEX(campaigns!$AJ$2:$AJ$51,MATCH($A36,campaigns!$A$2:$A$51,0))),"")="",IFERROR(IF(INDEX(campaigns!$BG$2:$BG$51,MATCH($A36,campaigns!$A$2:$A$51,0))="","",INDEX(campaigns!$BG$2:$BG$51,MATCH($A36,campaigns!$A$2:$A$51,0))),"")&lt;&gt;"",IF(config!$B$37&lt;&gt;"",config!$B$37,TODAY())&gt;=WORKDAY(N(IFERROR(IF(INDEX(campaigns!$BG$2:$BG$51,MATCH($A36,campaigns!$A$2:$A$51,0))="","",INDEX(campaigns!$BG$2:$BG$51,MATCH($A36,campaigns!$A$2:$A$51,0))),"")),-4,calendar!$A$2:$A$80)),"no prefill template yet (due T-4); ","")&amp;IF(COUNTIF(links!$D$2:$D$501,$D36)&gt;1,"DUPLICATE slug; ",""))</f>
        <v/>
      </c>
    </row>
    <row r="37">
      <c r="A37" s="25">
        <f>IF(INDEX(approvals!$A$2:$A$251,INT((ROW()-2)/2)+1)="","",INDEX(approvals!$A$2:$A$251,INT((ROW()-2)/2)+1))</f>
        <v/>
      </c>
      <c r="B37" s="25">
        <f>IF(INDEX(approvals!$A$2:$A$251,INT((ROW()-2)/2)+1)="","",INDEX(approvals!$B$2:$B$251,INT((ROW()-2)/2)+1))</f>
        <v/>
      </c>
      <c r="C37" s="25">
        <f>IF($A37="","",IF(MOD(ROW()-2,2)=0,"qr","post"))</f>
        <v/>
      </c>
      <c r="D37" s="25">
        <f>IF($A37="","",IF(LEFT($A37,7)="SAMPLE-","SAMPLE-","")&amp;LOWER(SUBSTITUTE(SUBSTITUTE($A37,"SAMPLE-",""),"CMP-","c"))&amp;"-"&amp;LOWER(SUBSTITUTE(SUBSTITUTE($B37,"SAMPLE-",""),"O-","o"))&amp;"-"&amp;IF($C37="qr","q","p"))</f>
        <v/>
      </c>
      <c r="E37" s="25">
        <f>IF($A37="","","https://"&amp;config!$B$9&amp;"/"&amp;$D37)</f>
        <v/>
      </c>
      <c r="F37" s="25">
        <f>IF($A37="","",$A37&amp;"."&amp;$B37)</f>
        <v/>
      </c>
      <c r="G37" s="25">
        <f>IF($A37="","",IF(IFERROR(IF(INDEX(campaigns!$AJ$2:$AJ$51,MATCH($A37,campaigns!$A$2:$A$51,0))="","",INDEX(campaigns!$AJ$2:$AJ$51,MATCH($A37,campaigns!$A$2:$A$51,0))),"")="","(add the survey prefill template on campaigns)",SUBSTITUTE(IFERROR(IF(INDEX(campaigns!$AJ$2:$AJ$51,MATCH($A37,campaigns!$A$2:$A$51,0))="","",INDEX(campaigns!$AJ$2:$AJ$51,MATCH($A37,campaigns!$A$2:$A$51,0))),""),"CARDCODE",$F37)&amp;"&amp;utm_source=office-pantry&amp;utm_medium="&amp;$C37&amp;"&amp;utm_campaign="&amp;LOWER($A37)&amp;"&amp;utm_content="&amp;LOWER($B37)))</f>
        <v/>
      </c>
      <c r="H37" s="25">
        <f>IF(OR($A37="",$C37&lt;&gt;"qr"),"",$D37&amp;".png")</f>
        <v/>
      </c>
      <c r="I37" s="25">
        <f>IF($A37="","",IF(AND(IFERROR(IF(INDEX(campaigns!$AJ$2:$AJ$51,MATCH($A37,campaigns!$A$2:$A$51,0))="","",INDEX(campaigns!$AJ$2:$AJ$51,MATCH($A37,campaigns!$A$2:$A$51,0))),"")="",IFERROR(IF(INDEX(campaigns!$BG$2:$BG$51,MATCH($A37,campaigns!$A$2:$A$51,0))="","",INDEX(campaigns!$BG$2:$BG$51,MATCH($A37,campaigns!$A$2:$A$51,0))),"")&lt;&gt;"",IF(config!$B$37&lt;&gt;"",config!$B$37,TODAY())&gt;=WORKDAY(N(IFERROR(IF(INDEX(campaigns!$BG$2:$BG$51,MATCH($A37,campaigns!$A$2:$A$51,0))="","",INDEX(campaigns!$BG$2:$BG$51,MATCH($A37,campaigns!$A$2:$A$51,0))),"")),-4,calendar!$A$2:$A$80)),"no prefill template yet (due T-4); ","")&amp;IF(COUNTIF(links!$D$2:$D$501,$D37)&gt;1,"DUPLICATE slug; ",""))</f>
        <v/>
      </c>
    </row>
    <row r="38">
      <c r="A38" s="25">
        <f>IF(INDEX(approvals!$A$2:$A$251,INT((ROW()-2)/2)+1)="","",INDEX(approvals!$A$2:$A$251,INT((ROW()-2)/2)+1))</f>
        <v/>
      </c>
      <c r="B38" s="25">
        <f>IF(INDEX(approvals!$A$2:$A$251,INT((ROW()-2)/2)+1)="","",INDEX(approvals!$B$2:$B$251,INT((ROW()-2)/2)+1))</f>
        <v/>
      </c>
      <c r="C38" s="25">
        <f>IF($A38="","",IF(MOD(ROW()-2,2)=0,"qr","post"))</f>
        <v/>
      </c>
      <c r="D38" s="25">
        <f>IF($A38="","",IF(LEFT($A38,7)="SAMPLE-","SAMPLE-","")&amp;LOWER(SUBSTITUTE(SUBSTITUTE($A38,"SAMPLE-",""),"CMP-","c"))&amp;"-"&amp;LOWER(SUBSTITUTE(SUBSTITUTE($B38,"SAMPLE-",""),"O-","o"))&amp;"-"&amp;IF($C38="qr","q","p"))</f>
        <v/>
      </c>
      <c r="E38" s="25">
        <f>IF($A38="","","https://"&amp;config!$B$9&amp;"/"&amp;$D38)</f>
        <v/>
      </c>
      <c r="F38" s="25">
        <f>IF($A38="","",$A38&amp;"."&amp;$B38)</f>
        <v/>
      </c>
      <c r="G38" s="25">
        <f>IF($A38="","",IF(IFERROR(IF(INDEX(campaigns!$AJ$2:$AJ$51,MATCH($A38,campaigns!$A$2:$A$51,0))="","",INDEX(campaigns!$AJ$2:$AJ$51,MATCH($A38,campaigns!$A$2:$A$51,0))),"")="","(add the survey prefill template on campaigns)",SUBSTITUTE(IFERROR(IF(INDEX(campaigns!$AJ$2:$AJ$51,MATCH($A38,campaigns!$A$2:$A$51,0))="","",INDEX(campaigns!$AJ$2:$AJ$51,MATCH($A38,campaigns!$A$2:$A$51,0))),""),"CARDCODE",$F38)&amp;"&amp;utm_source=office-pantry&amp;utm_medium="&amp;$C38&amp;"&amp;utm_campaign="&amp;LOWER($A38)&amp;"&amp;utm_content="&amp;LOWER($B38)))</f>
        <v/>
      </c>
      <c r="H38" s="25">
        <f>IF(OR($A38="",$C38&lt;&gt;"qr"),"",$D38&amp;".png")</f>
        <v/>
      </c>
      <c r="I38" s="25">
        <f>IF($A38="","",IF(AND(IFERROR(IF(INDEX(campaigns!$AJ$2:$AJ$51,MATCH($A38,campaigns!$A$2:$A$51,0))="","",INDEX(campaigns!$AJ$2:$AJ$51,MATCH($A38,campaigns!$A$2:$A$51,0))),"")="",IFERROR(IF(INDEX(campaigns!$BG$2:$BG$51,MATCH($A38,campaigns!$A$2:$A$51,0))="","",INDEX(campaigns!$BG$2:$BG$51,MATCH($A38,campaigns!$A$2:$A$51,0))),"")&lt;&gt;"",IF(config!$B$37&lt;&gt;"",config!$B$37,TODAY())&gt;=WORKDAY(N(IFERROR(IF(INDEX(campaigns!$BG$2:$BG$51,MATCH($A38,campaigns!$A$2:$A$51,0))="","",INDEX(campaigns!$BG$2:$BG$51,MATCH($A38,campaigns!$A$2:$A$51,0))),"")),-4,calendar!$A$2:$A$80)),"no prefill template yet (due T-4); ","")&amp;IF(COUNTIF(links!$D$2:$D$501,$D38)&gt;1,"DUPLICATE slug; ",""))</f>
        <v/>
      </c>
    </row>
    <row r="39">
      <c r="A39" s="25">
        <f>IF(INDEX(approvals!$A$2:$A$251,INT((ROW()-2)/2)+1)="","",INDEX(approvals!$A$2:$A$251,INT((ROW()-2)/2)+1))</f>
        <v/>
      </c>
      <c r="B39" s="25">
        <f>IF(INDEX(approvals!$A$2:$A$251,INT((ROW()-2)/2)+1)="","",INDEX(approvals!$B$2:$B$251,INT((ROW()-2)/2)+1))</f>
        <v/>
      </c>
      <c r="C39" s="25">
        <f>IF($A39="","",IF(MOD(ROW()-2,2)=0,"qr","post"))</f>
        <v/>
      </c>
      <c r="D39" s="25">
        <f>IF($A39="","",IF(LEFT($A39,7)="SAMPLE-","SAMPLE-","")&amp;LOWER(SUBSTITUTE(SUBSTITUTE($A39,"SAMPLE-",""),"CMP-","c"))&amp;"-"&amp;LOWER(SUBSTITUTE(SUBSTITUTE($B39,"SAMPLE-",""),"O-","o"))&amp;"-"&amp;IF($C39="qr","q","p"))</f>
        <v/>
      </c>
      <c r="E39" s="25">
        <f>IF($A39="","","https://"&amp;config!$B$9&amp;"/"&amp;$D39)</f>
        <v/>
      </c>
      <c r="F39" s="25">
        <f>IF($A39="","",$A39&amp;"."&amp;$B39)</f>
        <v/>
      </c>
      <c r="G39" s="25">
        <f>IF($A39="","",IF(IFERROR(IF(INDEX(campaigns!$AJ$2:$AJ$51,MATCH($A39,campaigns!$A$2:$A$51,0))="","",INDEX(campaigns!$AJ$2:$AJ$51,MATCH($A39,campaigns!$A$2:$A$51,0))),"")="","(add the survey prefill template on campaigns)",SUBSTITUTE(IFERROR(IF(INDEX(campaigns!$AJ$2:$AJ$51,MATCH($A39,campaigns!$A$2:$A$51,0))="","",INDEX(campaigns!$AJ$2:$AJ$51,MATCH($A39,campaigns!$A$2:$A$51,0))),""),"CARDCODE",$F39)&amp;"&amp;utm_source=office-pantry&amp;utm_medium="&amp;$C39&amp;"&amp;utm_campaign="&amp;LOWER($A39)&amp;"&amp;utm_content="&amp;LOWER($B39)))</f>
        <v/>
      </c>
      <c r="H39" s="25">
        <f>IF(OR($A39="",$C39&lt;&gt;"qr"),"",$D39&amp;".png")</f>
        <v/>
      </c>
      <c r="I39" s="25">
        <f>IF($A39="","",IF(AND(IFERROR(IF(INDEX(campaigns!$AJ$2:$AJ$51,MATCH($A39,campaigns!$A$2:$A$51,0))="","",INDEX(campaigns!$AJ$2:$AJ$51,MATCH($A39,campaigns!$A$2:$A$51,0))),"")="",IFERROR(IF(INDEX(campaigns!$BG$2:$BG$51,MATCH($A39,campaigns!$A$2:$A$51,0))="","",INDEX(campaigns!$BG$2:$BG$51,MATCH($A39,campaigns!$A$2:$A$51,0))),"")&lt;&gt;"",IF(config!$B$37&lt;&gt;"",config!$B$37,TODAY())&gt;=WORKDAY(N(IFERROR(IF(INDEX(campaigns!$BG$2:$BG$51,MATCH($A39,campaigns!$A$2:$A$51,0))="","",INDEX(campaigns!$BG$2:$BG$51,MATCH($A39,campaigns!$A$2:$A$51,0))),"")),-4,calendar!$A$2:$A$80)),"no prefill template yet (due T-4); ","")&amp;IF(COUNTIF(links!$D$2:$D$501,$D39)&gt;1,"DUPLICATE slug; ",""))</f>
        <v/>
      </c>
    </row>
    <row r="40">
      <c r="A40" s="25">
        <f>IF(INDEX(approvals!$A$2:$A$251,INT((ROW()-2)/2)+1)="","",INDEX(approvals!$A$2:$A$251,INT((ROW()-2)/2)+1))</f>
        <v/>
      </c>
      <c r="B40" s="25">
        <f>IF(INDEX(approvals!$A$2:$A$251,INT((ROW()-2)/2)+1)="","",INDEX(approvals!$B$2:$B$251,INT((ROW()-2)/2)+1))</f>
        <v/>
      </c>
      <c r="C40" s="25">
        <f>IF($A40="","",IF(MOD(ROW()-2,2)=0,"qr","post"))</f>
        <v/>
      </c>
      <c r="D40" s="25">
        <f>IF($A40="","",IF(LEFT($A40,7)="SAMPLE-","SAMPLE-","")&amp;LOWER(SUBSTITUTE(SUBSTITUTE($A40,"SAMPLE-",""),"CMP-","c"))&amp;"-"&amp;LOWER(SUBSTITUTE(SUBSTITUTE($B40,"SAMPLE-",""),"O-","o"))&amp;"-"&amp;IF($C40="qr","q","p"))</f>
        <v/>
      </c>
      <c r="E40" s="25">
        <f>IF($A40="","","https://"&amp;config!$B$9&amp;"/"&amp;$D40)</f>
        <v/>
      </c>
      <c r="F40" s="25">
        <f>IF($A40="","",$A40&amp;"."&amp;$B40)</f>
        <v/>
      </c>
      <c r="G40" s="25">
        <f>IF($A40="","",IF(IFERROR(IF(INDEX(campaigns!$AJ$2:$AJ$51,MATCH($A40,campaigns!$A$2:$A$51,0))="","",INDEX(campaigns!$AJ$2:$AJ$51,MATCH($A40,campaigns!$A$2:$A$51,0))),"")="","(add the survey prefill template on campaigns)",SUBSTITUTE(IFERROR(IF(INDEX(campaigns!$AJ$2:$AJ$51,MATCH($A40,campaigns!$A$2:$A$51,0))="","",INDEX(campaigns!$AJ$2:$AJ$51,MATCH($A40,campaigns!$A$2:$A$51,0))),""),"CARDCODE",$F40)&amp;"&amp;utm_source=office-pantry&amp;utm_medium="&amp;$C40&amp;"&amp;utm_campaign="&amp;LOWER($A40)&amp;"&amp;utm_content="&amp;LOWER($B40)))</f>
        <v/>
      </c>
      <c r="H40" s="25">
        <f>IF(OR($A40="",$C40&lt;&gt;"qr"),"",$D40&amp;".png")</f>
        <v/>
      </c>
      <c r="I40" s="25">
        <f>IF($A40="","",IF(AND(IFERROR(IF(INDEX(campaigns!$AJ$2:$AJ$51,MATCH($A40,campaigns!$A$2:$A$51,0))="","",INDEX(campaigns!$AJ$2:$AJ$51,MATCH($A40,campaigns!$A$2:$A$51,0))),"")="",IFERROR(IF(INDEX(campaigns!$BG$2:$BG$51,MATCH($A40,campaigns!$A$2:$A$51,0))="","",INDEX(campaigns!$BG$2:$BG$51,MATCH($A40,campaigns!$A$2:$A$51,0))),"")&lt;&gt;"",IF(config!$B$37&lt;&gt;"",config!$B$37,TODAY())&gt;=WORKDAY(N(IFERROR(IF(INDEX(campaigns!$BG$2:$BG$51,MATCH($A40,campaigns!$A$2:$A$51,0))="","",INDEX(campaigns!$BG$2:$BG$51,MATCH($A40,campaigns!$A$2:$A$51,0))),"")),-4,calendar!$A$2:$A$80)),"no prefill template yet (due T-4); ","")&amp;IF(COUNTIF(links!$D$2:$D$501,$D40)&gt;1,"DUPLICATE slug; ",""))</f>
        <v/>
      </c>
    </row>
    <row r="41">
      <c r="A41" s="25">
        <f>IF(INDEX(approvals!$A$2:$A$251,INT((ROW()-2)/2)+1)="","",INDEX(approvals!$A$2:$A$251,INT((ROW()-2)/2)+1))</f>
        <v/>
      </c>
      <c r="B41" s="25">
        <f>IF(INDEX(approvals!$A$2:$A$251,INT((ROW()-2)/2)+1)="","",INDEX(approvals!$B$2:$B$251,INT((ROW()-2)/2)+1))</f>
        <v/>
      </c>
      <c r="C41" s="25">
        <f>IF($A41="","",IF(MOD(ROW()-2,2)=0,"qr","post"))</f>
        <v/>
      </c>
      <c r="D41" s="25">
        <f>IF($A41="","",IF(LEFT($A41,7)="SAMPLE-","SAMPLE-","")&amp;LOWER(SUBSTITUTE(SUBSTITUTE($A41,"SAMPLE-",""),"CMP-","c"))&amp;"-"&amp;LOWER(SUBSTITUTE(SUBSTITUTE($B41,"SAMPLE-",""),"O-","o"))&amp;"-"&amp;IF($C41="qr","q","p"))</f>
        <v/>
      </c>
      <c r="E41" s="25">
        <f>IF($A41="","","https://"&amp;config!$B$9&amp;"/"&amp;$D41)</f>
        <v/>
      </c>
      <c r="F41" s="25">
        <f>IF($A41="","",$A41&amp;"."&amp;$B41)</f>
        <v/>
      </c>
      <c r="G41" s="25">
        <f>IF($A41="","",IF(IFERROR(IF(INDEX(campaigns!$AJ$2:$AJ$51,MATCH($A41,campaigns!$A$2:$A$51,0))="","",INDEX(campaigns!$AJ$2:$AJ$51,MATCH($A41,campaigns!$A$2:$A$51,0))),"")="","(add the survey prefill template on campaigns)",SUBSTITUTE(IFERROR(IF(INDEX(campaigns!$AJ$2:$AJ$51,MATCH($A41,campaigns!$A$2:$A$51,0))="","",INDEX(campaigns!$AJ$2:$AJ$51,MATCH($A41,campaigns!$A$2:$A$51,0))),""),"CARDCODE",$F41)&amp;"&amp;utm_source=office-pantry&amp;utm_medium="&amp;$C41&amp;"&amp;utm_campaign="&amp;LOWER($A41)&amp;"&amp;utm_content="&amp;LOWER($B41)))</f>
        <v/>
      </c>
      <c r="H41" s="25">
        <f>IF(OR($A41="",$C41&lt;&gt;"qr"),"",$D41&amp;".png")</f>
        <v/>
      </c>
      <c r="I41" s="25">
        <f>IF($A41="","",IF(AND(IFERROR(IF(INDEX(campaigns!$AJ$2:$AJ$51,MATCH($A41,campaigns!$A$2:$A$51,0))="","",INDEX(campaigns!$AJ$2:$AJ$51,MATCH($A41,campaigns!$A$2:$A$51,0))),"")="",IFERROR(IF(INDEX(campaigns!$BG$2:$BG$51,MATCH($A41,campaigns!$A$2:$A$51,0))="","",INDEX(campaigns!$BG$2:$BG$51,MATCH($A41,campaigns!$A$2:$A$51,0))),"")&lt;&gt;"",IF(config!$B$37&lt;&gt;"",config!$B$37,TODAY())&gt;=WORKDAY(N(IFERROR(IF(INDEX(campaigns!$BG$2:$BG$51,MATCH($A41,campaigns!$A$2:$A$51,0))="","",INDEX(campaigns!$BG$2:$BG$51,MATCH($A41,campaigns!$A$2:$A$51,0))),"")),-4,calendar!$A$2:$A$80)),"no prefill template yet (due T-4); ","")&amp;IF(COUNTIF(links!$D$2:$D$501,$D41)&gt;1,"DUPLICATE slug; ",""))</f>
        <v/>
      </c>
    </row>
    <row r="42">
      <c r="A42" s="25">
        <f>IF(INDEX(approvals!$A$2:$A$251,INT((ROW()-2)/2)+1)="","",INDEX(approvals!$A$2:$A$251,INT((ROW()-2)/2)+1))</f>
        <v/>
      </c>
      <c r="B42" s="25">
        <f>IF(INDEX(approvals!$A$2:$A$251,INT((ROW()-2)/2)+1)="","",INDEX(approvals!$B$2:$B$251,INT((ROW()-2)/2)+1))</f>
        <v/>
      </c>
      <c r="C42" s="25">
        <f>IF($A42="","",IF(MOD(ROW()-2,2)=0,"qr","post"))</f>
        <v/>
      </c>
      <c r="D42" s="25">
        <f>IF($A42="","",IF(LEFT($A42,7)="SAMPLE-","SAMPLE-","")&amp;LOWER(SUBSTITUTE(SUBSTITUTE($A42,"SAMPLE-",""),"CMP-","c"))&amp;"-"&amp;LOWER(SUBSTITUTE(SUBSTITUTE($B42,"SAMPLE-",""),"O-","o"))&amp;"-"&amp;IF($C42="qr","q","p"))</f>
        <v/>
      </c>
      <c r="E42" s="25">
        <f>IF($A42="","","https://"&amp;config!$B$9&amp;"/"&amp;$D42)</f>
        <v/>
      </c>
      <c r="F42" s="25">
        <f>IF($A42="","",$A42&amp;"."&amp;$B42)</f>
        <v/>
      </c>
      <c r="G42" s="25">
        <f>IF($A42="","",IF(IFERROR(IF(INDEX(campaigns!$AJ$2:$AJ$51,MATCH($A42,campaigns!$A$2:$A$51,0))="","",INDEX(campaigns!$AJ$2:$AJ$51,MATCH($A42,campaigns!$A$2:$A$51,0))),"")="","(add the survey prefill template on campaigns)",SUBSTITUTE(IFERROR(IF(INDEX(campaigns!$AJ$2:$AJ$51,MATCH($A42,campaigns!$A$2:$A$51,0))="","",INDEX(campaigns!$AJ$2:$AJ$51,MATCH($A42,campaigns!$A$2:$A$51,0))),""),"CARDCODE",$F42)&amp;"&amp;utm_source=office-pantry&amp;utm_medium="&amp;$C42&amp;"&amp;utm_campaign="&amp;LOWER($A42)&amp;"&amp;utm_content="&amp;LOWER($B42)))</f>
        <v/>
      </c>
      <c r="H42" s="25">
        <f>IF(OR($A42="",$C42&lt;&gt;"qr"),"",$D42&amp;".png")</f>
        <v/>
      </c>
      <c r="I42" s="25">
        <f>IF($A42="","",IF(AND(IFERROR(IF(INDEX(campaigns!$AJ$2:$AJ$51,MATCH($A42,campaigns!$A$2:$A$51,0))="","",INDEX(campaigns!$AJ$2:$AJ$51,MATCH($A42,campaigns!$A$2:$A$51,0))),"")="",IFERROR(IF(INDEX(campaigns!$BG$2:$BG$51,MATCH($A42,campaigns!$A$2:$A$51,0))="","",INDEX(campaigns!$BG$2:$BG$51,MATCH($A42,campaigns!$A$2:$A$51,0))),"")&lt;&gt;"",IF(config!$B$37&lt;&gt;"",config!$B$37,TODAY())&gt;=WORKDAY(N(IFERROR(IF(INDEX(campaigns!$BG$2:$BG$51,MATCH($A42,campaigns!$A$2:$A$51,0))="","",INDEX(campaigns!$BG$2:$BG$51,MATCH($A42,campaigns!$A$2:$A$51,0))),"")),-4,calendar!$A$2:$A$80)),"no prefill template yet (due T-4); ","")&amp;IF(COUNTIF(links!$D$2:$D$501,$D42)&gt;1,"DUPLICATE slug; ",""))</f>
        <v/>
      </c>
    </row>
    <row r="43">
      <c r="A43" s="25">
        <f>IF(INDEX(approvals!$A$2:$A$251,INT((ROW()-2)/2)+1)="","",INDEX(approvals!$A$2:$A$251,INT((ROW()-2)/2)+1))</f>
        <v/>
      </c>
      <c r="B43" s="25">
        <f>IF(INDEX(approvals!$A$2:$A$251,INT((ROW()-2)/2)+1)="","",INDEX(approvals!$B$2:$B$251,INT((ROW()-2)/2)+1))</f>
        <v/>
      </c>
      <c r="C43" s="25">
        <f>IF($A43="","",IF(MOD(ROW()-2,2)=0,"qr","post"))</f>
        <v/>
      </c>
      <c r="D43" s="25">
        <f>IF($A43="","",IF(LEFT($A43,7)="SAMPLE-","SAMPLE-","")&amp;LOWER(SUBSTITUTE(SUBSTITUTE($A43,"SAMPLE-",""),"CMP-","c"))&amp;"-"&amp;LOWER(SUBSTITUTE(SUBSTITUTE($B43,"SAMPLE-",""),"O-","o"))&amp;"-"&amp;IF($C43="qr","q","p"))</f>
        <v/>
      </c>
      <c r="E43" s="25">
        <f>IF($A43="","","https://"&amp;config!$B$9&amp;"/"&amp;$D43)</f>
        <v/>
      </c>
      <c r="F43" s="25">
        <f>IF($A43="","",$A43&amp;"."&amp;$B43)</f>
        <v/>
      </c>
      <c r="G43" s="25">
        <f>IF($A43="","",IF(IFERROR(IF(INDEX(campaigns!$AJ$2:$AJ$51,MATCH($A43,campaigns!$A$2:$A$51,0))="","",INDEX(campaigns!$AJ$2:$AJ$51,MATCH($A43,campaigns!$A$2:$A$51,0))),"")="","(add the survey prefill template on campaigns)",SUBSTITUTE(IFERROR(IF(INDEX(campaigns!$AJ$2:$AJ$51,MATCH($A43,campaigns!$A$2:$A$51,0))="","",INDEX(campaigns!$AJ$2:$AJ$51,MATCH($A43,campaigns!$A$2:$A$51,0))),""),"CARDCODE",$F43)&amp;"&amp;utm_source=office-pantry&amp;utm_medium="&amp;$C43&amp;"&amp;utm_campaign="&amp;LOWER($A43)&amp;"&amp;utm_content="&amp;LOWER($B43)))</f>
        <v/>
      </c>
      <c r="H43" s="25">
        <f>IF(OR($A43="",$C43&lt;&gt;"qr"),"",$D43&amp;".png")</f>
        <v/>
      </c>
      <c r="I43" s="25">
        <f>IF($A43="","",IF(AND(IFERROR(IF(INDEX(campaigns!$AJ$2:$AJ$51,MATCH($A43,campaigns!$A$2:$A$51,0))="","",INDEX(campaigns!$AJ$2:$AJ$51,MATCH($A43,campaigns!$A$2:$A$51,0))),"")="",IFERROR(IF(INDEX(campaigns!$BG$2:$BG$51,MATCH($A43,campaigns!$A$2:$A$51,0))="","",INDEX(campaigns!$BG$2:$BG$51,MATCH($A43,campaigns!$A$2:$A$51,0))),"")&lt;&gt;"",IF(config!$B$37&lt;&gt;"",config!$B$37,TODAY())&gt;=WORKDAY(N(IFERROR(IF(INDEX(campaigns!$BG$2:$BG$51,MATCH($A43,campaigns!$A$2:$A$51,0))="","",INDEX(campaigns!$BG$2:$BG$51,MATCH($A43,campaigns!$A$2:$A$51,0))),"")),-4,calendar!$A$2:$A$80)),"no prefill template yet (due T-4); ","")&amp;IF(COUNTIF(links!$D$2:$D$501,$D43)&gt;1,"DUPLICATE slug; ",""))</f>
        <v/>
      </c>
    </row>
    <row r="44">
      <c r="A44" s="25">
        <f>IF(INDEX(approvals!$A$2:$A$251,INT((ROW()-2)/2)+1)="","",INDEX(approvals!$A$2:$A$251,INT((ROW()-2)/2)+1))</f>
        <v/>
      </c>
      <c r="B44" s="25">
        <f>IF(INDEX(approvals!$A$2:$A$251,INT((ROW()-2)/2)+1)="","",INDEX(approvals!$B$2:$B$251,INT((ROW()-2)/2)+1))</f>
        <v/>
      </c>
      <c r="C44" s="25">
        <f>IF($A44="","",IF(MOD(ROW()-2,2)=0,"qr","post"))</f>
        <v/>
      </c>
      <c r="D44" s="25">
        <f>IF($A44="","",IF(LEFT($A44,7)="SAMPLE-","SAMPLE-","")&amp;LOWER(SUBSTITUTE(SUBSTITUTE($A44,"SAMPLE-",""),"CMP-","c"))&amp;"-"&amp;LOWER(SUBSTITUTE(SUBSTITUTE($B44,"SAMPLE-",""),"O-","o"))&amp;"-"&amp;IF($C44="qr","q","p"))</f>
        <v/>
      </c>
      <c r="E44" s="25">
        <f>IF($A44="","","https://"&amp;config!$B$9&amp;"/"&amp;$D44)</f>
        <v/>
      </c>
      <c r="F44" s="25">
        <f>IF($A44="","",$A44&amp;"."&amp;$B44)</f>
        <v/>
      </c>
      <c r="G44" s="25">
        <f>IF($A44="","",IF(IFERROR(IF(INDEX(campaigns!$AJ$2:$AJ$51,MATCH($A44,campaigns!$A$2:$A$51,0))="","",INDEX(campaigns!$AJ$2:$AJ$51,MATCH($A44,campaigns!$A$2:$A$51,0))),"")="","(add the survey prefill template on campaigns)",SUBSTITUTE(IFERROR(IF(INDEX(campaigns!$AJ$2:$AJ$51,MATCH($A44,campaigns!$A$2:$A$51,0))="","",INDEX(campaigns!$AJ$2:$AJ$51,MATCH($A44,campaigns!$A$2:$A$51,0))),""),"CARDCODE",$F44)&amp;"&amp;utm_source=office-pantry&amp;utm_medium="&amp;$C44&amp;"&amp;utm_campaign="&amp;LOWER($A44)&amp;"&amp;utm_content="&amp;LOWER($B44)))</f>
        <v/>
      </c>
      <c r="H44" s="25">
        <f>IF(OR($A44="",$C44&lt;&gt;"qr"),"",$D44&amp;".png")</f>
        <v/>
      </c>
      <c r="I44" s="25">
        <f>IF($A44="","",IF(AND(IFERROR(IF(INDEX(campaigns!$AJ$2:$AJ$51,MATCH($A44,campaigns!$A$2:$A$51,0))="","",INDEX(campaigns!$AJ$2:$AJ$51,MATCH($A44,campaigns!$A$2:$A$51,0))),"")="",IFERROR(IF(INDEX(campaigns!$BG$2:$BG$51,MATCH($A44,campaigns!$A$2:$A$51,0))="","",INDEX(campaigns!$BG$2:$BG$51,MATCH($A44,campaigns!$A$2:$A$51,0))),"")&lt;&gt;"",IF(config!$B$37&lt;&gt;"",config!$B$37,TODAY())&gt;=WORKDAY(N(IFERROR(IF(INDEX(campaigns!$BG$2:$BG$51,MATCH($A44,campaigns!$A$2:$A$51,0))="","",INDEX(campaigns!$BG$2:$BG$51,MATCH($A44,campaigns!$A$2:$A$51,0))),"")),-4,calendar!$A$2:$A$80)),"no prefill template yet (due T-4); ","")&amp;IF(COUNTIF(links!$D$2:$D$501,$D44)&gt;1,"DUPLICATE slug; ",""))</f>
        <v/>
      </c>
    </row>
    <row r="45">
      <c r="A45" s="25">
        <f>IF(INDEX(approvals!$A$2:$A$251,INT((ROW()-2)/2)+1)="","",INDEX(approvals!$A$2:$A$251,INT((ROW()-2)/2)+1))</f>
        <v/>
      </c>
      <c r="B45" s="25">
        <f>IF(INDEX(approvals!$A$2:$A$251,INT((ROW()-2)/2)+1)="","",INDEX(approvals!$B$2:$B$251,INT((ROW()-2)/2)+1))</f>
        <v/>
      </c>
      <c r="C45" s="25">
        <f>IF($A45="","",IF(MOD(ROW()-2,2)=0,"qr","post"))</f>
        <v/>
      </c>
      <c r="D45" s="25">
        <f>IF($A45="","",IF(LEFT($A45,7)="SAMPLE-","SAMPLE-","")&amp;LOWER(SUBSTITUTE(SUBSTITUTE($A45,"SAMPLE-",""),"CMP-","c"))&amp;"-"&amp;LOWER(SUBSTITUTE(SUBSTITUTE($B45,"SAMPLE-",""),"O-","o"))&amp;"-"&amp;IF($C45="qr","q","p"))</f>
        <v/>
      </c>
      <c r="E45" s="25">
        <f>IF($A45="","","https://"&amp;config!$B$9&amp;"/"&amp;$D45)</f>
        <v/>
      </c>
      <c r="F45" s="25">
        <f>IF($A45="","",$A45&amp;"."&amp;$B45)</f>
        <v/>
      </c>
      <c r="G45" s="25">
        <f>IF($A45="","",IF(IFERROR(IF(INDEX(campaigns!$AJ$2:$AJ$51,MATCH($A45,campaigns!$A$2:$A$51,0))="","",INDEX(campaigns!$AJ$2:$AJ$51,MATCH($A45,campaigns!$A$2:$A$51,0))),"")="","(add the survey prefill template on campaigns)",SUBSTITUTE(IFERROR(IF(INDEX(campaigns!$AJ$2:$AJ$51,MATCH($A45,campaigns!$A$2:$A$51,0))="","",INDEX(campaigns!$AJ$2:$AJ$51,MATCH($A45,campaigns!$A$2:$A$51,0))),""),"CARDCODE",$F45)&amp;"&amp;utm_source=office-pantry&amp;utm_medium="&amp;$C45&amp;"&amp;utm_campaign="&amp;LOWER($A45)&amp;"&amp;utm_content="&amp;LOWER($B45)))</f>
        <v/>
      </c>
      <c r="H45" s="25">
        <f>IF(OR($A45="",$C45&lt;&gt;"qr"),"",$D45&amp;".png")</f>
        <v/>
      </c>
      <c r="I45" s="25">
        <f>IF($A45="","",IF(AND(IFERROR(IF(INDEX(campaigns!$AJ$2:$AJ$51,MATCH($A45,campaigns!$A$2:$A$51,0))="","",INDEX(campaigns!$AJ$2:$AJ$51,MATCH($A45,campaigns!$A$2:$A$51,0))),"")="",IFERROR(IF(INDEX(campaigns!$BG$2:$BG$51,MATCH($A45,campaigns!$A$2:$A$51,0))="","",INDEX(campaigns!$BG$2:$BG$51,MATCH($A45,campaigns!$A$2:$A$51,0))),"")&lt;&gt;"",IF(config!$B$37&lt;&gt;"",config!$B$37,TODAY())&gt;=WORKDAY(N(IFERROR(IF(INDEX(campaigns!$BG$2:$BG$51,MATCH($A45,campaigns!$A$2:$A$51,0))="","",INDEX(campaigns!$BG$2:$BG$51,MATCH($A45,campaigns!$A$2:$A$51,0))),"")),-4,calendar!$A$2:$A$80)),"no prefill template yet (due T-4); ","")&amp;IF(COUNTIF(links!$D$2:$D$501,$D45)&gt;1,"DUPLICATE slug; ",""))</f>
        <v/>
      </c>
    </row>
    <row r="46">
      <c r="A46" s="25">
        <f>IF(INDEX(approvals!$A$2:$A$251,INT((ROW()-2)/2)+1)="","",INDEX(approvals!$A$2:$A$251,INT((ROW()-2)/2)+1))</f>
        <v/>
      </c>
      <c r="B46" s="25">
        <f>IF(INDEX(approvals!$A$2:$A$251,INT((ROW()-2)/2)+1)="","",INDEX(approvals!$B$2:$B$251,INT((ROW()-2)/2)+1))</f>
        <v/>
      </c>
      <c r="C46" s="25">
        <f>IF($A46="","",IF(MOD(ROW()-2,2)=0,"qr","post"))</f>
        <v/>
      </c>
      <c r="D46" s="25">
        <f>IF($A46="","",IF(LEFT($A46,7)="SAMPLE-","SAMPLE-","")&amp;LOWER(SUBSTITUTE(SUBSTITUTE($A46,"SAMPLE-",""),"CMP-","c"))&amp;"-"&amp;LOWER(SUBSTITUTE(SUBSTITUTE($B46,"SAMPLE-",""),"O-","o"))&amp;"-"&amp;IF($C46="qr","q","p"))</f>
        <v/>
      </c>
      <c r="E46" s="25">
        <f>IF($A46="","","https://"&amp;config!$B$9&amp;"/"&amp;$D46)</f>
        <v/>
      </c>
      <c r="F46" s="25">
        <f>IF($A46="","",$A46&amp;"."&amp;$B46)</f>
        <v/>
      </c>
      <c r="G46" s="25">
        <f>IF($A46="","",IF(IFERROR(IF(INDEX(campaigns!$AJ$2:$AJ$51,MATCH($A46,campaigns!$A$2:$A$51,0))="","",INDEX(campaigns!$AJ$2:$AJ$51,MATCH($A46,campaigns!$A$2:$A$51,0))),"")="","(add the survey prefill template on campaigns)",SUBSTITUTE(IFERROR(IF(INDEX(campaigns!$AJ$2:$AJ$51,MATCH($A46,campaigns!$A$2:$A$51,0))="","",INDEX(campaigns!$AJ$2:$AJ$51,MATCH($A46,campaigns!$A$2:$A$51,0))),""),"CARDCODE",$F46)&amp;"&amp;utm_source=office-pantry&amp;utm_medium="&amp;$C46&amp;"&amp;utm_campaign="&amp;LOWER($A46)&amp;"&amp;utm_content="&amp;LOWER($B46)))</f>
        <v/>
      </c>
      <c r="H46" s="25">
        <f>IF(OR($A46="",$C46&lt;&gt;"qr"),"",$D46&amp;".png")</f>
        <v/>
      </c>
      <c r="I46" s="25">
        <f>IF($A46="","",IF(AND(IFERROR(IF(INDEX(campaigns!$AJ$2:$AJ$51,MATCH($A46,campaigns!$A$2:$A$51,0))="","",INDEX(campaigns!$AJ$2:$AJ$51,MATCH($A46,campaigns!$A$2:$A$51,0))),"")="",IFERROR(IF(INDEX(campaigns!$BG$2:$BG$51,MATCH($A46,campaigns!$A$2:$A$51,0))="","",INDEX(campaigns!$BG$2:$BG$51,MATCH($A46,campaigns!$A$2:$A$51,0))),"")&lt;&gt;"",IF(config!$B$37&lt;&gt;"",config!$B$37,TODAY())&gt;=WORKDAY(N(IFERROR(IF(INDEX(campaigns!$BG$2:$BG$51,MATCH($A46,campaigns!$A$2:$A$51,0))="","",INDEX(campaigns!$BG$2:$BG$51,MATCH($A46,campaigns!$A$2:$A$51,0))),"")),-4,calendar!$A$2:$A$80)),"no prefill template yet (due T-4); ","")&amp;IF(COUNTIF(links!$D$2:$D$501,$D46)&gt;1,"DUPLICATE slug; ",""))</f>
        <v/>
      </c>
    </row>
    <row r="47">
      <c r="A47" s="25">
        <f>IF(INDEX(approvals!$A$2:$A$251,INT((ROW()-2)/2)+1)="","",INDEX(approvals!$A$2:$A$251,INT((ROW()-2)/2)+1))</f>
        <v/>
      </c>
      <c r="B47" s="25">
        <f>IF(INDEX(approvals!$A$2:$A$251,INT((ROW()-2)/2)+1)="","",INDEX(approvals!$B$2:$B$251,INT((ROW()-2)/2)+1))</f>
        <v/>
      </c>
      <c r="C47" s="25">
        <f>IF($A47="","",IF(MOD(ROW()-2,2)=0,"qr","post"))</f>
        <v/>
      </c>
      <c r="D47" s="25">
        <f>IF($A47="","",IF(LEFT($A47,7)="SAMPLE-","SAMPLE-","")&amp;LOWER(SUBSTITUTE(SUBSTITUTE($A47,"SAMPLE-",""),"CMP-","c"))&amp;"-"&amp;LOWER(SUBSTITUTE(SUBSTITUTE($B47,"SAMPLE-",""),"O-","o"))&amp;"-"&amp;IF($C47="qr","q","p"))</f>
        <v/>
      </c>
      <c r="E47" s="25">
        <f>IF($A47="","","https://"&amp;config!$B$9&amp;"/"&amp;$D47)</f>
        <v/>
      </c>
      <c r="F47" s="25">
        <f>IF($A47="","",$A47&amp;"."&amp;$B47)</f>
        <v/>
      </c>
      <c r="G47" s="25">
        <f>IF($A47="","",IF(IFERROR(IF(INDEX(campaigns!$AJ$2:$AJ$51,MATCH($A47,campaigns!$A$2:$A$51,0))="","",INDEX(campaigns!$AJ$2:$AJ$51,MATCH($A47,campaigns!$A$2:$A$51,0))),"")="","(add the survey prefill template on campaigns)",SUBSTITUTE(IFERROR(IF(INDEX(campaigns!$AJ$2:$AJ$51,MATCH($A47,campaigns!$A$2:$A$51,0))="","",INDEX(campaigns!$AJ$2:$AJ$51,MATCH($A47,campaigns!$A$2:$A$51,0))),""),"CARDCODE",$F47)&amp;"&amp;utm_source=office-pantry&amp;utm_medium="&amp;$C47&amp;"&amp;utm_campaign="&amp;LOWER($A47)&amp;"&amp;utm_content="&amp;LOWER($B47)))</f>
        <v/>
      </c>
      <c r="H47" s="25">
        <f>IF(OR($A47="",$C47&lt;&gt;"qr"),"",$D47&amp;".png")</f>
        <v/>
      </c>
      <c r="I47" s="25">
        <f>IF($A47="","",IF(AND(IFERROR(IF(INDEX(campaigns!$AJ$2:$AJ$51,MATCH($A47,campaigns!$A$2:$A$51,0))="","",INDEX(campaigns!$AJ$2:$AJ$51,MATCH($A47,campaigns!$A$2:$A$51,0))),"")="",IFERROR(IF(INDEX(campaigns!$BG$2:$BG$51,MATCH($A47,campaigns!$A$2:$A$51,0))="","",INDEX(campaigns!$BG$2:$BG$51,MATCH($A47,campaigns!$A$2:$A$51,0))),"")&lt;&gt;"",IF(config!$B$37&lt;&gt;"",config!$B$37,TODAY())&gt;=WORKDAY(N(IFERROR(IF(INDEX(campaigns!$BG$2:$BG$51,MATCH($A47,campaigns!$A$2:$A$51,0))="","",INDEX(campaigns!$BG$2:$BG$51,MATCH($A47,campaigns!$A$2:$A$51,0))),"")),-4,calendar!$A$2:$A$80)),"no prefill template yet (due T-4); ","")&amp;IF(COUNTIF(links!$D$2:$D$501,$D47)&gt;1,"DUPLICATE slug; ",""))</f>
        <v/>
      </c>
    </row>
    <row r="48">
      <c r="A48" s="25">
        <f>IF(INDEX(approvals!$A$2:$A$251,INT((ROW()-2)/2)+1)="","",INDEX(approvals!$A$2:$A$251,INT((ROW()-2)/2)+1))</f>
        <v/>
      </c>
      <c r="B48" s="25">
        <f>IF(INDEX(approvals!$A$2:$A$251,INT((ROW()-2)/2)+1)="","",INDEX(approvals!$B$2:$B$251,INT((ROW()-2)/2)+1))</f>
        <v/>
      </c>
      <c r="C48" s="25">
        <f>IF($A48="","",IF(MOD(ROW()-2,2)=0,"qr","post"))</f>
        <v/>
      </c>
      <c r="D48" s="25">
        <f>IF($A48="","",IF(LEFT($A48,7)="SAMPLE-","SAMPLE-","")&amp;LOWER(SUBSTITUTE(SUBSTITUTE($A48,"SAMPLE-",""),"CMP-","c"))&amp;"-"&amp;LOWER(SUBSTITUTE(SUBSTITUTE($B48,"SAMPLE-",""),"O-","o"))&amp;"-"&amp;IF($C48="qr","q","p"))</f>
        <v/>
      </c>
      <c r="E48" s="25">
        <f>IF($A48="","","https://"&amp;config!$B$9&amp;"/"&amp;$D48)</f>
        <v/>
      </c>
      <c r="F48" s="25">
        <f>IF($A48="","",$A48&amp;"."&amp;$B48)</f>
        <v/>
      </c>
      <c r="G48" s="25">
        <f>IF($A48="","",IF(IFERROR(IF(INDEX(campaigns!$AJ$2:$AJ$51,MATCH($A48,campaigns!$A$2:$A$51,0))="","",INDEX(campaigns!$AJ$2:$AJ$51,MATCH($A48,campaigns!$A$2:$A$51,0))),"")="","(add the survey prefill template on campaigns)",SUBSTITUTE(IFERROR(IF(INDEX(campaigns!$AJ$2:$AJ$51,MATCH($A48,campaigns!$A$2:$A$51,0))="","",INDEX(campaigns!$AJ$2:$AJ$51,MATCH($A48,campaigns!$A$2:$A$51,0))),""),"CARDCODE",$F48)&amp;"&amp;utm_source=office-pantry&amp;utm_medium="&amp;$C48&amp;"&amp;utm_campaign="&amp;LOWER($A48)&amp;"&amp;utm_content="&amp;LOWER($B48)))</f>
        <v/>
      </c>
      <c r="H48" s="25">
        <f>IF(OR($A48="",$C48&lt;&gt;"qr"),"",$D48&amp;".png")</f>
        <v/>
      </c>
      <c r="I48" s="25">
        <f>IF($A48="","",IF(AND(IFERROR(IF(INDEX(campaigns!$AJ$2:$AJ$51,MATCH($A48,campaigns!$A$2:$A$51,0))="","",INDEX(campaigns!$AJ$2:$AJ$51,MATCH($A48,campaigns!$A$2:$A$51,0))),"")="",IFERROR(IF(INDEX(campaigns!$BG$2:$BG$51,MATCH($A48,campaigns!$A$2:$A$51,0))="","",INDEX(campaigns!$BG$2:$BG$51,MATCH($A48,campaigns!$A$2:$A$51,0))),"")&lt;&gt;"",IF(config!$B$37&lt;&gt;"",config!$B$37,TODAY())&gt;=WORKDAY(N(IFERROR(IF(INDEX(campaigns!$BG$2:$BG$51,MATCH($A48,campaigns!$A$2:$A$51,0))="","",INDEX(campaigns!$BG$2:$BG$51,MATCH($A48,campaigns!$A$2:$A$51,0))),"")),-4,calendar!$A$2:$A$80)),"no prefill template yet (due T-4); ","")&amp;IF(COUNTIF(links!$D$2:$D$501,$D48)&gt;1,"DUPLICATE slug; ",""))</f>
        <v/>
      </c>
    </row>
    <row r="49">
      <c r="A49" s="25">
        <f>IF(INDEX(approvals!$A$2:$A$251,INT((ROW()-2)/2)+1)="","",INDEX(approvals!$A$2:$A$251,INT((ROW()-2)/2)+1))</f>
        <v/>
      </c>
      <c r="B49" s="25">
        <f>IF(INDEX(approvals!$A$2:$A$251,INT((ROW()-2)/2)+1)="","",INDEX(approvals!$B$2:$B$251,INT((ROW()-2)/2)+1))</f>
        <v/>
      </c>
      <c r="C49" s="25">
        <f>IF($A49="","",IF(MOD(ROW()-2,2)=0,"qr","post"))</f>
        <v/>
      </c>
      <c r="D49" s="25">
        <f>IF($A49="","",IF(LEFT($A49,7)="SAMPLE-","SAMPLE-","")&amp;LOWER(SUBSTITUTE(SUBSTITUTE($A49,"SAMPLE-",""),"CMP-","c"))&amp;"-"&amp;LOWER(SUBSTITUTE(SUBSTITUTE($B49,"SAMPLE-",""),"O-","o"))&amp;"-"&amp;IF($C49="qr","q","p"))</f>
        <v/>
      </c>
      <c r="E49" s="25">
        <f>IF($A49="","","https://"&amp;config!$B$9&amp;"/"&amp;$D49)</f>
        <v/>
      </c>
      <c r="F49" s="25">
        <f>IF($A49="","",$A49&amp;"."&amp;$B49)</f>
        <v/>
      </c>
      <c r="G49" s="25">
        <f>IF($A49="","",IF(IFERROR(IF(INDEX(campaigns!$AJ$2:$AJ$51,MATCH($A49,campaigns!$A$2:$A$51,0))="","",INDEX(campaigns!$AJ$2:$AJ$51,MATCH($A49,campaigns!$A$2:$A$51,0))),"")="","(add the survey prefill template on campaigns)",SUBSTITUTE(IFERROR(IF(INDEX(campaigns!$AJ$2:$AJ$51,MATCH($A49,campaigns!$A$2:$A$51,0))="","",INDEX(campaigns!$AJ$2:$AJ$51,MATCH($A49,campaigns!$A$2:$A$51,0))),""),"CARDCODE",$F49)&amp;"&amp;utm_source=office-pantry&amp;utm_medium="&amp;$C49&amp;"&amp;utm_campaign="&amp;LOWER($A49)&amp;"&amp;utm_content="&amp;LOWER($B49)))</f>
        <v/>
      </c>
      <c r="H49" s="25">
        <f>IF(OR($A49="",$C49&lt;&gt;"qr"),"",$D49&amp;".png")</f>
        <v/>
      </c>
      <c r="I49" s="25">
        <f>IF($A49="","",IF(AND(IFERROR(IF(INDEX(campaigns!$AJ$2:$AJ$51,MATCH($A49,campaigns!$A$2:$A$51,0))="","",INDEX(campaigns!$AJ$2:$AJ$51,MATCH($A49,campaigns!$A$2:$A$51,0))),"")="",IFERROR(IF(INDEX(campaigns!$BG$2:$BG$51,MATCH($A49,campaigns!$A$2:$A$51,0))="","",INDEX(campaigns!$BG$2:$BG$51,MATCH($A49,campaigns!$A$2:$A$51,0))),"")&lt;&gt;"",IF(config!$B$37&lt;&gt;"",config!$B$37,TODAY())&gt;=WORKDAY(N(IFERROR(IF(INDEX(campaigns!$BG$2:$BG$51,MATCH($A49,campaigns!$A$2:$A$51,0))="","",INDEX(campaigns!$BG$2:$BG$51,MATCH($A49,campaigns!$A$2:$A$51,0))),"")),-4,calendar!$A$2:$A$80)),"no prefill template yet (due T-4); ","")&amp;IF(COUNTIF(links!$D$2:$D$501,$D49)&gt;1,"DUPLICATE slug; ",""))</f>
        <v/>
      </c>
    </row>
    <row r="50">
      <c r="A50" s="25">
        <f>IF(INDEX(approvals!$A$2:$A$251,INT((ROW()-2)/2)+1)="","",INDEX(approvals!$A$2:$A$251,INT((ROW()-2)/2)+1))</f>
        <v/>
      </c>
      <c r="B50" s="25">
        <f>IF(INDEX(approvals!$A$2:$A$251,INT((ROW()-2)/2)+1)="","",INDEX(approvals!$B$2:$B$251,INT((ROW()-2)/2)+1))</f>
        <v/>
      </c>
      <c r="C50" s="25">
        <f>IF($A50="","",IF(MOD(ROW()-2,2)=0,"qr","post"))</f>
        <v/>
      </c>
      <c r="D50" s="25">
        <f>IF($A50="","",IF(LEFT($A50,7)="SAMPLE-","SAMPLE-","")&amp;LOWER(SUBSTITUTE(SUBSTITUTE($A50,"SAMPLE-",""),"CMP-","c"))&amp;"-"&amp;LOWER(SUBSTITUTE(SUBSTITUTE($B50,"SAMPLE-",""),"O-","o"))&amp;"-"&amp;IF($C50="qr","q","p"))</f>
        <v/>
      </c>
      <c r="E50" s="25">
        <f>IF($A50="","","https://"&amp;config!$B$9&amp;"/"&amp;$D50)</f>
        <v/>
      </c>
      <c r="F50" s="25">
        <f>IF($A50="","",$A50&amp;"."&amp;$B50)</f>
        <v/>
      </c>
      <c r="G50" s="25">
        <f>IF($A50="","",IF(IFERROR(IF(INDEX(campaigns!$AJ$2:$AJ$51,MATCH($A50,campaigns!$A$2:$A$51,0))="","",INDEX(campaigns!$AJ$2:$AJ$51,MATCH($A50,campaigns!$A$2:$A$51,0))),"")="","(add the survey prefill template on campaigns)",SUBSTITUTE(IFERROR(IF(INDEX(campaigns!$AJ$2:$AJ$51,MATCH($A50,campaigns!$A$2:$A$51,0))="","",INDEX(campaigns!$AJ$2:$AJ$51,MATCH($A50,campaigns!$A$2:$A$51,0))),""),"CARDCODE",$F50)&amp;"&amp;utm_source=office-pantry&amp;utm_medium="&amp;$C50&amp;"&amp;utm_campaign="&amp;LOWER($A50)&amp;"&amp;utm_content="&amp;LOWER($B50)))</f>
        <v/>
      </c>
      <c r="H50" s="25">
        <f>IF(OR($A50="",$C50&lt;&gt;"qr"),"",$D50&amp;".png")</f>
        <v/>
      </c>
      <c r="I50" s="25">
        <f>IF($A50="","",IF(AND(IFERROR(IF(INDEX(campaigns!$AJ$2:$AJ$51,MATCH($A50,campaigns!$A$2:$A$51,0))="","",INDEX(campaigns!$AJ$2:$AJ$51,MATCH($A50,campaigns!$A$2:$A$51,0))),"")="",IFERROR(IF(INDEX(campaigns!$BG$2:$BG$51,MATCH($A50,campaigns!$A$2:$A$51,0))="","",INDEX(campaigns!$BG$2:$BG$51,MATCH($A50,campaigns!$A$2:$A$51,0))),"")&lt;&gt;"",IF(config!$B$37&lt;&gt;"",config!$B$37,TODAY())&gt;=WORKDAY(N(IFERROR(IF(INDEX(campaigns!$BG$2:$BG$51,MATCH($A50,campaigns!$A$2:$A$51,0))="","",INDEX(campaigns!$BG$2:$BG$51,MATCH($A50,campaigns!$A$2:$A$51,0))),"")),-4,calendar!$A$2:$A$80)),"no prefill template yet (due T-4); ","")&amp;IF(COUNTIF(links!$D$2:$D$501,$D50)&gt;1,"DUPLICATE slug; ",""))</f>
        <v/>
      </c>
    </row>
    <row r="51">
      <c r="A51" s="25">
        <f>IF(INDEX(approvals!$A$2:$A$251,INT((ROW()-2)/2)+1)="","",INDEX(approvals!$A$2:$A$251,INT((ROW()-2)/2)+1))</f>
        <v/>
      </c>
      <c r="B51" s="25">
        <f>IF(INDEX(approvals!$A$2:$A$251,INT((ROW()-2)/2)+1)="","",INDEX(approvals!$B$2:$B$251,INT((ROW()-2)/2)+1))</f>
        <v/>
      </c>
      <c r="C51" s="25">
        <f>IF($A51="","",IF(MOD(ROW()-2,2)=0,"qr","post"))</f>
        <v/>
      </c>
      <c r="D51" s="25">
        <f>IF($A51="","",IF(LEFT($A51,7)="SAMPLE-","SAMPLE-","")&amp;LOWER(SUBSTITUTE(SUBSTITUTE($A51,"SAMPLE-",""),"CMP-","c"))&amp;"-"&amp;LOWER(SUBSTITUTE(SUBSTITUTE($B51,"SAMPLE-",""),"O-","o"))&amp;"-"&amp;IF($C51="qr","q","p"))</f>
        <v/>
      </c>
      <c r="E51" s="25">
        <f>IF($A51="","","https://"&amp;config!$B$9&amp;"/"&amp;$D51)</f>
        <v/>
      </c>
      <c r="F51" s="25">
        <f>IF($A51="","",$A51&amp;"."&amp;$B51)</f>
        <v/>
      </c>
      <c r="G51" s="25">
        <f>IF($A51="","",IF(IFERROR(IF(INDEX(campaigns!$AJ$2:$AJ$51,MATCH($A51,campaigns!$A$2:$A$51,0))="","",INDEX(campaigns!$AJ$2:$AJ$51,MATCH($A51,campaigns!$A$2:$A$51,0))),"")="","(add the survey prefill template on campaigns)",SUBSTITUTE(IFERROR(IF(INDEX(campaigns!$AJ$2:$AJ$51,MATCH($A51,campaigns!$A$2:$A$51,0))="","",INDEX(campaigns!$AJ$2:$AJ$51,MATCH($A51,campaigns!$A$2:$A$51,0))),""),"CARDCODE",$F51)&amp;"&amp;utm_source=office-pantry&amp;utm_medium="&amp;$C51&amp;"&amp;utm_campaign="&amp;LOWER($A51)&amp;"&amp;utm_content="&amp;LOWER($B51)))</f>
        <v/>
      </c>
      <c r="H51" s="25">
        <f>IF(OR($A51="",$C51&lt;&gt;"qr"),"",$D51&amp;".png")</f>
        <v/>
      </c>
      <c r="I51" s="25">
        <f>IF($A51="","",IF(AND(IFERROR(IF(INDEX(campaigns!$AJ$2:$AJ$51,MATCH($A51,campaigns!$A$2:$A$51,0))="","",INDEX(campaigns!$AJ$2:$AJ$51,MATCH($A51,campaigns!$A$2:$A$51,0))),"")="",IFERROR(IF(INDEX(campaigns!$BG$2:$BG$51,MATCH($A51,campaigns!$A$2:$A$51,0))="","",INDEX(campaigns!$BG$2:$BG$51,MATCH($A51,campaigns!$A$2:$A$51,0))),"")&lt;&gt;"",IF(config!$B$37&lt;&gt;"",config!$B$37,TODAY())&gt;=WORKDAY(N(IFERROR(IF(INDEX(campaigns!$BG$2:$BG$51,MATCH($A51,campaigns!$A$2:$A$51,0))="","",INDEX(campaigns!$BG$2:$BG$51,MATCH($A51,campaigns!$A$2:$A$51,0))),"")),-4,calendar!$A$2:$A$80)),"no prefill template yet (due T-4); ","")&amp;IF(COUNTIF(links!$D$2:$D$501,$D51)&gt;1,"DUPLICATE slug; ",""))</f>
        <v/>
      </c>
    </row>
    <row r="52">
      <c r="A52" s="25">
        <f>IF(INDEX(approvals!$A$2:$A$251,INT((ROW()-2)/2)+1)="","",INDEX(approvals!$A$2:$A$251,INT((ROW()-2)/2)+1))</f>
        <v/>
      </c>
      <c r="B52" s="25">
        <f>IF(INDEX(approvals!$A$2:$A$251,INT((ROW()-2)/2)+1)="","",INDEX(approvals!$B$2:$B$251,INT((ROW()-2)/2)+1))</f>
        <v/>
      </c>
      <c r="C52" s="25">
        <f>IF($A52="","",IF(MOD(ROW()-2,2)=0,"qr","post"))</f>
        <v/>
      </c>
      <c r="D52" s="25">
        <f>IF($A52="","",IF(LEFT($A52,7)="SAMPLE-","SAMPLE-","")&amp;LOWER(SUBSTITUTE(SUBSTITUTE($A52,"SAMPLE-",""),"CMP-","c"))&amp;"-"&amp;LOWER(SUBSTITUTE(SUBSTITUTE($B52,"SAMPLE-",""),"O-","o"))&amp;"-"&amp;IF($C52="qr","q","p"))</f>
        <v/>
      </c>
      <c r="E52" s="25">
        <f>IF($A52="","","https://"&amp;config!$B$9&amp;"/"&amp;$D52)</f>
        <v/>
      </c>
      <c r="F52" s="25">
        <f>IF($A52="","",$A52&amp;"."&amp;$B52)</f>
        <v/>
      </c>
      <c r="G52" s="25">
        <f>IF($A52="","",IF(IFERROR(IF(INDEX(campaigns!$AJ$2:$AJ$51,MATCH($A52,campaigns!$A$2:$A$51,0))="","",INDEX(campaigns!$AJ$2:$AJ$51,MATCH($A52,campaigns!$A$2:$A$51,0))),"")="","(add the survey prefill template on campaigns)",SUBSTITUTE(IFERROR(IF(INDEX(campaigns!$AJ$2:$AJ$51,MATCH($A52,campaigns!$A$2:$A$51,0))="","",INDEX(campaigns!$AJ$2:$AJ$51,MATCH($A52,campaigns!$A$2:$A$51,0))),""),"CARDCODE",$F52)&amp;"&amp;utm_source=office-pantry&amp;utm_medium="&amp;$C52&amp;"&amp;utm_campaign="&amp;LOWER($A52)&amp;"&amp;utm_content="&amp;LOWER($B52)))</f>
        <v/>
      </c>
      <c r="H52" s="25">
        <f>IF(OR($A52="",$C52&lt;&gt;"qr"),"",$D52&amp;".png")</f>
        <v/>
      </c>
      <c r="I52" s="25">
        <f>IF($A52="","",IF(AND(IFERROR(IF(INDEX(campaigns!$AJ$2:$AJ$51,MATCH($A52,campaigns!$A$2:$A$51,0))="","",INDEX(campaigns!$AJ$2:$AJ$51,MATCH($A52,campaigns!$A$2:$A$51,0))),"")="",IFERROR(IF(INDEX(campaigns!$BG$2:$BG$51,MATCH($A52,campaigns!$A$2:$A$51,0))="","",INDEX(campaigns!$BG$2:$BG$51,MATCH($A52,campaigns!$A$2:$A$51,0))),"")&lt;&gt;"",IF(config!$B$37&lt;&gt;"",config!$B$37,TODAY())&gt;=WORKDAY(N(IFERROR(IF(INDEX(campaigns!$BG$2:$BG$51,MATCH($A52,campaigns!$A$2:$A$51,0))="","",INDEX(campaigns!$BG$2:$BG$51,MATCH($A52,campaigns!$A$2:$A$51,0))),"")),-4,calendar!$A$2:$A$80)),"no prefill template yet (due T-4); ","")&amp;IF(COUNTIF(links!$D$2:$D$501,$D52)&gt;1,"DUPLICATE slug; ",""))</f>
        <v/>
      </c>
    </row>
    <row r="53">
      <c r="A53" s="25">
        <f>IF(INDEX(approvals!$A$2:$A$251,INT((ROW()-2)/2)+1)="","",INDEX(approvals!$A$2:$A$251,INT((ROW()-2)/2)+1))</f>
        <v/>
      </c>
      <c r="B53" s="25">
        <f>IF(INDEX(approvals!$A$2:$A$251,INT((ROW()-2)/2)+1)="","",INDEX(approvals!$B$2:$B$251,INT((ROW()-2)/2)+1))</f>
        <v/>
      </c>
      <c r="C53" s="25">
        <f>IF($A53="","",IF(MOD(ROW()-2,2)=0,"qr","post"))</f>
        <v/>
      </c>
      <c r="D53" s="25">
        <f>IF($A53="","",IF(LEFT($A53,7)="SAMPLE-","SAMPLE-","")&amp;LOWER(SUBSTITUTE(SUBSTITUTE($A53,"SAMPLE-",""),"CMP-","c"))&amp;"-"&amp;LOWER(SUBSTITUTE(SUBSTITUTE($B53,"SAMPLE-",""),"O-","o"))&amp;"-"&amp;IF($C53="qr","q","p"))</f>
        <v/>
      </c>
      <c r="E53" s="25">
        <f>IF($A53="","","https://"&amp;config!$B$9&amp;"/"&amp;$D53)</f>
        <v/>
      </c>
      <c r="F53" s="25">
        <f>IF($A53="","",$A53&amp;"."&amp;$B53)</f>
        <v/>
      </c>
      <c r="G53" s="25">
        <f>IF($A53="","",IF(IFERROR(IF(INDEX(campaigns!$AJ$2:$AJ$51,MATCH($A53,campaigns!$A$2:$A$51,0))="","",INDEX(campaigns!$AJ$2:$AJ$51,MATCH($A53,campaigns!$A$2:$A$51,0))),"")="","(add the survey prefill template on campaigns)",SUBSTITUTE(IFERROR(IF(INDEX(campaigns!$AJ$2:$AJ$51,MATCH($A53,campaigns!$A$2:$A$51,0))="","",INDEX(campaigns!$AJ$2:$AJ$51,MATCH($A53,campaigns!$A$2:$A$51,0))),""),"CARDCODE",$F53)&amp;"&amp;utm_source=office-pantry&amp;utm_medium="&amp;$C53&amp;"&amp;utm_campaign="&amp;LOWER($A53)&amp;"&amp;utm_content="&amp;LOWER($B53)))</f>
        <v/>
      </c>
      <c r="H53" s="25">
        <f>IF(OR($A53="",$C53&lt;&gt;"qr"),"",$D53&amp;".png")</f>
        <v/>
      </c>
      <c r="I53" s="25">
        <f>IF($A53="","",IF(AND(IFERROR(IF(INDEX(campaigns!$AJ$2:$AJ$51,MATCH($A53,campaigns!$A$2:$A$51,0))="","",INDEX(campaigns!$AJ$2:$AJ$51,MATCH($A53,campaigns!$A$2:$A$51,0))),"")="",IFERROR(IF(INDEX(campaigns!$BG$2:$BG$51,MATCH($A53,campaigns!$A$2:$A$51,0))="","",INDEX(campaigns!$BG$2:$BG$51,MATCH($A53,campaigns!$A$2:$A$51,0))),"")&lt;&gt;"",IF(config!$B$37&lt;&gt;"",config!$B$37,TODAY())&gt;=WORKDAY(N(IFERROR(IF(INDEX(campaigns!$BG$2:$BG$51,MATCH($A53,campaigns!$A$2:$A$51,0))="","",INDEX(campaigns!$BG$2:$BG$51,MATCH($A53,campaigns!$A$2:$A$51,0))),"")),-4,calendar!$A$2:$A$80)),"no prefill template yet (due T-4); ","")&amp;IF(COUNTIF(links!$D$2:$D$501,$D53)&gt;1,"DUPLICATE slug; ",""))</f>
        <v/>
      </c>
    </row>
    <row r="54">
      <c r="A54" s="25">
        <f>IF(INDEX(approvals!$A$2:$A$251,INT((ROW()-2)/2)+1)="","",INDEX(approvals!$A$2:$A$251,INT((ROW()-2)/2)+1))</f>
        <v/>
      </c>
      <c r="B54" s="25">
        <f>IF(INDEX(approvals!$A$2:$A$251,INT((ROW()-2)/2)+1)="","",INDEX(approvals!$B$2:$B$251,INT((ROW()-2)/2)+1))</f>
        <v/>
      </c>
      <c r="C54" s="25">
        <f>IF($A54="","",IF(MOD(ROW()-2,2)=0,"qr","post"))</f>
        <v/>
      </c>
      <c r="D54" s="25">
        <f>IF($A54="","",IF(LEFT($A54,7)="SAMPLE-","SAMPLE-","")&amp;LOWER(SUBSTITUTE(SUBSTITUTE($A54,"SAMPLE-",""),"CMP-","c"))&amp;"-"&amp;LOWER(SUBSTITUTE(SUBSTITUTE($B54,"SAMPLE-",""),"O-","o"))&amp;"-"&amp;IF($C54="qr","q","p"))</f>
        <v/>
      </c>
      <c r="E54" s="25">
        <f>IF($A54="","","https://"&amp;config!$B$9&amp;"/"&amp;$D54)</f>
        <v/>
      </c>
      <c r="F54" s="25">
        <f>IF($A54="","",$A54&amp;"."&amp;$B54)</f>
        <v/>
      </c>
      <c r="G54" s="25">
        <f>IF($A54="","",IF(IFERROR(IF(INDEX(campaigns!$AJ$2:$AJ$51,MATCH($A54,campaigns!$A$2:$A$51,0))="","",INDEX(campaigns!$AJ$2:$AJ$51,MATCH($A54,campaigns!$A$2:$A$51,0))),"")="","(add the survey prefill template on campaigns)",SUBSTITUTE(IFERROR(IF(INDEX(campaigns!$AJ$2:$AJ$51,MATCH($A54,campaigns!$A$2:$A$51,0))="","",INDEX(campaigns!$AJ$2:$AJ$51,MATCH($A54,campaigns!$A$2:$A$51,0))),""),"CARDCODE",$F54)&amp;"&amp;utm_source=office-pantry&amp;utm_medium="&amp;$C54&amp;"&amp;utm_campaign="&amp;LOWER($A54)&amp;"&amp;utm_content="&amp;LOWER($B54)))</f>
        <v/>
      </c>
      <c r="H54" s="25">
        <f>IF(OR($A54="",$C54&lt;&gt;"qr"),"",$D54&amp;".png")</f>
        <v/>
      </c>
      <c r="I54" s="25">
        <f>IF($A54="","",IF(AND(IFERROR(IF(INDEX(campaigns!$AJ$2:$AJ$51,MATCH($A54,campaigns!$A$2:$A$51,0))="","",INDEX(campaigns!$AJ$2:$AJ$51,MATCH($A54,campaigns!$A$2:$A$51,0))),"")="",IFERROR(IF(INDEX(campaigns!$BG$2:$BG$51,MATCH($A54,campaigns!$A$2:$A$51,0))="","",INDEX(campaigns!$BG$2:$BG$51,MATCH($A54,campaigns!$A$2:$A$51,0))),"")&lt;&gt;"",IF(config!$B$37&lt;&gt;"",config!$B$37,TODAY())&gt;=WORKDAY(N(IFERROR(IF(INDEX(campaigns!$BG$2:$BG$51,MATCH($A54,campaigns!$A$2:$A$51,0))="","",INDEX(campaigns!$BG$2:$BG$51,MATCH($A54,campaigns!$A$2:$A$51,0))),"")),-4,calendar!$A$2:$A$80)),"no prefill template yet (due T-4); ","")&amp;IF(COUNTIF(links!$D$2:$D$501,$D54)&gt;1,"DUPLICATE slug; ",""))</f>
        <v/>
      </c>
    </row>
    <row r="55">
      <c r="A55" s="25">
        <f>IF(INDEX(approvals!$A$2:$A$251,INT((ROW()-2)/2)+1)="","",INDEX(approvals!$A$2:$A$251,INT((ROW()-2)/2)+1))</f>
        <v/>
      </c>
      <c r="B55" s="25">
        <f>IF(INDEX(approvals!$A$2:$A$251,INT((ROW()-2)/2)+1)="","",INDEX(approvals!$B$2:$B$251,INT((ROW()-2)/2)+1))</f>
        <v/>
      </c>
      <c r="C55" s="25">
        <f>IF($A55="","",IF(MOD(ROW()-2,2)=0,"qr","post"))</f>
        <v/>
      </c>
      <c r="D55" s="25">
        <f>IF($A55="","",IF(LEFT($A55,7)="SAMPLE-","SAMPLE-","")&amp;LOWER(SUBSTITUTE(SUBSTITUTE($A55,"SAMPLE-",""),"CMP-","c"))&amp;"-"&amp;LOWER(SUBSTITUTE(SUBSTITUTE($B55,"SAMPLE-",""),"O-","o"))&amp;"-"&amp;IF($C55="qr","q","p"))</f>
        <v/>
      </c>
      <c r="E55" s="25">
        <f>IF($A55="","","https://"&amp;config!$B$9&amp;"/"&amp;$D55)</f>
        <v/>
      </c>
      <c r="F55" s="25">
        <f>IF($A55="","",$A55&amp;"."&amp;$B55)</f>
        <v/>
      </c>
      <c r="G55" s="25">
        <f>IF($A55="","",IF(IFERROR(IF(INDEX(campaigns!$AJ$2:$AJ$51,MATCH($A55,campaigns!$A$2:$A$51,0))="","",INDEX(campaigns!$AJ$2:$AJ$51,MATCH($A55,campaigns!$A$2:$A$51,0))),"")="","(add the survey prefill template on campaigns)",SUBSTITUTE(IFERROR(IF(INDEX(campaigns!$AJ$2:$AJ$51,MATCH($A55,campaigns!$A$2:$A$51,0))="","",INDEX(campaigns!$AJ$2:$AJ$51,MATCH($A55,campaigns!$A$2:$A$51,0))),""),"CARDCODE",$F55)&amp;"&amp;utm_source=office-pantry&amp;utm_medium="&amp;$C55&amp;"&amp;utm_campaign="&amp;LOWER($A55)&amp;"&amp;utm_content="&amp;LOWER($B55)))</f>
        <v/>
      </c>
      <c r="H55" s="25">
        <f>IF(OR($A55="",$C55&lt;&gt;"qr"),"",$D55&amp;".png")</f>
        <v/>
      </c>
      <c r="I55" s="25">
        <f>IF($A55="","",IF(AND(IFERROR(IF(INDEX(campaigns!$AJ$2:$AJ$51,MATCH($A55,campaigns!$A$2:$A$51,0))="","",INDEX(campaigns!$AJ$2:$AJ$51,MATCH($A55,campaigns!$A$2:$A$51,0))),"")="",IFERROR(IF(INDEX(campaigns!$BG$2:$BG$51,MATCH($A55,campaigns!$A$2:$A$51,0))="","",INDEX(campaigns!$BG$2:$BG$51,MATCH($A55,campaigns!$A$2:$A$51,0))),"")&lt;&gt;"",IF(config!$B$37&lt;&gt;"",config!$B$37,TODAY())&gt;=WORKDAY(N(IFERROR(IF(INDEX(campaigns!$BG$2:$BG$51,MATCH($A55,campaigns!$A$2:$A$51,0))="","",INDEX(campaigns!$BG$2:$BG$51,MATCH($A55,campaigns!$A$2:$A$51,0))),"")),-4,calendar!$A$2:$A$80)),"no prefill template yet (due T-4); ","")&amp;IF(COUNTIF(links!$D$2:$D$501,$D55)&gt;1,"DUPLICATE slug; ",""))</f>
        <v/>
      </c>
    </row>
    <row r="56">
      <c r="A56" s="25">
        <f>IF(INDEX(approvals!$A$2:$A$251,INT((ROW()-2)/2)+1)="","",INDEX(approvals!$A$2:$A$251,INT((ROW()-2)/2)+1))</f>
        <v/>
      </c>
      <c r="B56" s="25">
        <f>IF(INDEX(approvals!$A$2:$A$251,INT((ROW()-2)/2)+1)="","",INDEX(approvals!$B$2:$B$251,INT((ROW()-2)/2)+1))</f>
        <v/>
      </c>
      <c r="C56" s="25">
        <f>IF($A56="","",IF(MOD(ROW()-2,2)=0,"qr","post"))</f>
        <v/>
      </c>
      <c r="D56" s="25">
        <f>IF($A56="","",IF(LEFT($A56,7)="SAMPLE-","SAMPLE-","")&amp;LOWER(SUBSTITUTE(SUBSTITUTE($A56,"SAMPLE-",""),"CMP-","c"))&amp;"-"&amp;LOWER(SUBSTITUTE(SUBSTITUTE($B56,"SAMPLE-",""),"O-","o"))&amp;"-"&amp;IF($C56="qr","q","p"))</f>
        <v/>
      </c>
      <c r="E56" s="25">
        <f>IF($A56="","","https://"&amp;config!$B$9&amp;"/"&amp;$D56)</f>
        <v/>
      </c>
      <c r="F56" s="25">
        <f>IF($A56="","",$A56&amp;"."&amp;$B56)</f>
        <v/>
      </c>
      <c r="G56" s="25">
        <f>IF($A56="","",IF(IFERROR(IF(INDEX(campaigns!$AJ$2:$AJ$51,MATCH($A56,campaigns!$A$2:$A$51,0))="","",INDEX(campaigns!$AJ$2:$AJ$51,MATCH($A56,campaigns!$A$2:$A$51,0))),"")="","(add the survey prefill template on campaigns)",SUBSTITUTE(IFERROR(IF(INDEX(campaigns!$AJ$2:$AJ$51,MATCH($A56,campaigns!$A$2:$A$51,0))="","",INDEX(campaigns!$AJ$2:$AJ$51,MATCH($A56,campaigns!$A$2:$A$51,0))),""),"CARDCODE",$F56)&amp;"&amp;utm_source=office-pantry&amp;utm_medium="&amp;$C56&amp;"&amp;utm_campaign="&amp;LOWER($A56)&amp;"&amp;utm_content="&amp;LOWER($B56)))</f>
        <v/>
      </c>
      <c r="H56" s="25">
        <f>IF(OR($A56="",$C56&lt;&gt;"qr"),"",$D56&amp;".png")</f>
        <v/>
      </c>
      <c r="I56" s="25">
        <f>IF($A56="","",IF(AND(IFERROR(IF(INDEX(campaigns!$AJ$2:$AJ$51,MATCH($A56,campaigns!$A$2:$A$51,0))="","",INDEX(campaigns!$AJ$2:$AJ$51,MATCH($A56,campaigns!$A$2:$A$51,0))),"")="",IFERROR(IF(INDEX(campaigns!$BG$2:$BG$51,MATCH($A56,campaigns!$A$2:$A$51,0))="","",INDEX(campaigns!$BG$2:$BG$51,MATCH($A56,campaigns!$A$2:$A$51,0))),"")&lt;&gt;"",IF(config!$B$37&lt;&gt;"",config!$B$37,TODAY())&gt;=WORKDAY(N(IFERROR(IF(INDEX(campaigns!$BG$2:$BG$51,MATCH($A56,campaigns!$A$2:$A$51,0))="","",INDEX(campaigns!$BG$2:$BG$51,MATCH($A56,campaigns!$A$2:$A$51,0))),"")),-4,calendar!$A$2:$A$80)),"no prefill template yet (due T-4); ","")&amp;IF(COUNTIF(links!$D$2:$D$501,$D56)&gt;1,"DUPLICATE slug; ",""))</f>
        <v/>
      </c>
    </row>
    <row r="57">
      <c r="A57" s="25">
        <f>IF(INDEX(approvals!$A$2:$A$251,INT((ROW()-2)/2)+1)="","",INDEX(approvals!$A$2:$A$251,INT((ROW()-2)/2)+1))</f>
        <v/>
      </c>
      <c r="B57" s="25">
        <f>IF(INDEX(approvals!$A$2:$A$251,INT((ROW()-2)/2)+1)="","",INDEX(approvals!$B$2:$B$251,INT((ROW()-2)/2)+1))</f>
        <v/>
      </c>
      <c r="C57" s="25">
        <f>IF($A57="","",IF(MOD(ROW()-2,2)=0,"qr","post"))</f>
        <v/>
      </c>
      <c r="D57" s="25">
        <f>IF($A57="","",IF(LEFT($A57,7)="SAMPLE-","SAMPLE-","")&amp;LOWER(SUBSTITUTE(SUBSTITUTE($A57,"SAMPLE-",""),"CMP-","c"))&amp;"-"&amp;LOWER(SUBSTITUTE(SUBSTITUTE($B57,"SAMPLE-",""),"O-","o"))&amp;"-"&amp;IF($C57="qr","q","p"))</f>
        <v/>
      </c>
      <c r="E57" s="25">
        <f>IF($A57="","","https://"&amp;config!$B$9&amp;"/"&amp;$D57)</f>
        <v/>
      </c>
      <c r="F57" s="25">
        <f>IF($A57="","",$A57&amp;"."&amp;$B57)</f>
        <v/>
      </c>
      <c r="G57" s="25">
        <f>IF($A57="","",IF(IFERROR(IF(INDEX(campaigns!$AJ$2:$AJ$51,MATCH($A57,campaigns!$A$2:$A$51,0))="","",INDEX(campaigns!$AJ$2:$AJ$51,MATCH($A57,campaigns!$A$2:$A$51,0))),"")="","(add the survey prefill template on campaigns)",SUBSTITUTE(IFERROR(IF(INDEX(campaigns!$AJ$2:$AJ$51,MATCH($A57,campaigns!$A$2:$A$51,0))="","",INDEX(campaigns!$AJ$2:$AJ$51,MATCH($A57,campaigns!$A$2:$A$51,0))),""),"CARDCODE",$F57)&amp;"&amp;utm_source=office-pantry&amp;utm_medium="&amp;$C57&amp;"&amp;utm_campaign="&amp;LOWER($A57)&amp;"&amp;utm_content="&amp;LOWER($B57)))</f>
        <v/>
      </c>
      <c r="H57" s="25">
        <f>IF(OR($A57="",$C57&lt;&gt;"qr"),"",$D57&amp;".png")</f>
        <v/>
      </c>
      <c r="I57" s="25">
        <f>IF($A57="","",IF(AND(IFERROR(IF(INDEX(campaigns!$AJ$2:$AJ$51,MATCH($A57,campaigns!$A$2:$A$51,0))="","",INDEX(campaigns!$AJ$2:$AJ$51,MATCH($A57,campaigns!$A$2:$A$51,0))),"")="",IFERROR(IF(INDEX(campaigns!$BG$2:$BG$51,MATCH($A57,campaigns!$A$2:$A$51,0))="","",INDEX(campaigns!$BG$2:$BG$51,MATCH($A57,campaigns!$A$2:$A$51,0))),"")&lt;&gt;"",IF(config!$B$37&lt;&gt;"",config!$B$37,TODAY())&gt;=WORKDAY(N(IFERROR(IF(INDEX(campaigns!$BG$2:$BG$51,MATCH($A57,campaigns!$A$2:$A$51,0))="","",INDEX(campaigns!$BG$2:$BG$51,MATCH($A57,campaigns!$A$2:$A$51,0))),"")),-4,calendar!$A$2:$A$80)),"no prefill template yet (due T-4); ","")&amp;IF(COUNTIF(links!$D$2:$D$501,$D57)&gt;1,"DUPLICATE slug; ",""))</f>
        <v/>
      </c>
    </row>
    <row r="58">
      <c r="A58" s="25">
        <f>IF(INDEX(approvals!$A$2:$A$251,INT((ROW()-2)/2)+1)="","",INDEX(approvals!$A$2:$A$251,INT((ROW()-2)/2)+1))</f>
        <v/>
      </c>
      <c r="B58" s="25">
        <f>IF(INDEX(approvals!$A$2:$A$251,INT((ROW()-2)/2)+1)="","",INDEX(approvals!$B$2:$B$251,INT((ROW()-2)/2)+1))</f>
        <v/>
      </c>
      <c r="C58" s="25">
        <f>IF($A58="","",IF(MOD(ROW()-2,2)=0,"qr","post"))</f>
        <v/>
      </c>
      <c r="D58" s="25">
        <f>IF($A58="","",IF(LEFT($A58,7)="SAMPLE-","SAMPLE-","")&amp;LOWER(SUBSTITUTE(SUBSTITUTE($A58,"SAMPLE-",""),"CMP-","c"))&amp;"-"&amp;LOWER(SUBSTITUTE(SUBSTITUTE($B58,"SAMPLE-",""),"O-","o"))&amp;"-"&amp;IF($C58="qr","q","p"))</f>
        <v/>
      </c>
      <c r="E58" s="25">
        <f>IF($A58="","","https://"&amp;config!$B$9&amp;"/"&amp;$D58)</f>
        <v/>
      </c>
      <c r="F58" s="25">
        <f>IF($A58="","",$A58&amp;"."&amp;$B58)</f>
        <v/>
      </c>
      <c r="G58" s="25">
        <f>IF($A58="","",IF(IFERROR(IF(INDEX(campaigns!$AJ$2:$AJ$51,MATCH($A58,campaigns!$A$2:$A$51,0))="","",INDEX(campaigns!$AJ$2:$AJ$51,MATCH($A58,campaigns!$A$2:$A$51,0))),"")="","(add the survey prefill template on campaigns)",SUBSTITUTE(IFERROR(IF(INDEX(campaigns!$AJ$2:$AJ$51,MATCH($A58,campaigns!$A$2:$A$51,0))="","",INDEX(campaigns!$AJ$2:$AJ$51,MATCH($A58,campaigns!$A$2:$A$51,0))),""),"CARDCODE",$F58)&amp;"&amp;utm_source=office-pantry&amp;utm_medium="&amp;$C58&amp;"&amp;utm_campaign="&amp;LOWER($A58)&amp;"&amp;utm_content="&amp;LOWER($B58)))</f>
        <v/>
      </c>
      <c r="H58" s="25">
        <f>IF(OR($A58="",$C58&lt;&gt;"qr"),"",$D58&amp;".png")</f>
        <v/>
      </c>
      <c r="I58" s="25">
        <f>IF($A58="","",IF(AND(IFERROR(IF(INDEX(campaigns!$AJ$2:$AJ$51,MATCH($A58,campaigns!$A$2:$A$51,0))="","",INDEX(campaigns!$AJ$2:$AJ$51,MATCH($A58,campaigns!$A$2:$A$51,0))),"")="",IFERROR(IF(INDEX(campaigns!$BG$2:$BG$51,MATCH($A58,campaigns!$A$2:$A$51,0))="","",INDEX(campaigns!$BG$2:$BG$51,MATCH($A58,campaigns!$A$2:$A$51,0))),"")&lt;&gt;"",IF(config!$B$37&lt;&gt;"",config!$B$37,TODAY())&gt;=WORKDAY(N(IFERROR(IF(INDEX(campaigns!$BG$2:$BG$51,MATCH($A58,campaigns!$A$2:$A$51,0))="","",INDEX(campaigns!$BG$2:$BG$51,MATCH($A58,campaigns!$A$2:$A$51,0))),"")),-4,calendar!$A$2:$A$80)),"no prefill template yet (due T-4); ","")&amp;IF(COUNTIF(links!$D$2:$D$501,$D58)&gt;1,"DUPLICATE slug; ",""))</f>
        <v/>
      </c>
    </row>
    <row r="59">
      <c r="A59" s="25">
        <f>IF(INDEX(approvals!$A$2:$A$251,INT((ROW()-2)/2)+1)="","",INDEX(approvals!$A$2:$A$251,INT((ROW()-2)/2)+1))</f>
        <v/>
      </c>
      <c r="B59" s="25">
        <f>IF(INDEX(approvals!$A$2:$A$251,INT((ROW()-2)/2)+1)="","",INDEX(approvals!$B$2:$B$251,INT((ROW()-2)/2)+1))</f>
        <v/>
      </c>
      <c r="C59" s="25">
        <f>IF($A59="","",IF(MOD(ROW()-2,2)=0,"qr","post"))</f>
        <v/>
      </c>
      <c r="D59" s="25">
        <f>IF($A59="","",IF(LEFT($A59,7)="SAMPLE-","SAMPLE-","")&amp;LOWER(SUBSTITUTE(SUBSTITUTE($A59,"SAMPLE-",""),"CMP-","c"))&amp;"-"&amp;LOWER(SUBSTITUTE(SUBSTITUTE($B59,"SAMPLE-",""),"O-","o"))&amp;"-"&amp;IF($C59="qr","q","p"))</f>
        <v/>
      </c>
      <c r="E59" s="25">
        <f>IF($A59="","","https://"&amp;config!$B$9&amp;"/"&amp;$D59)</f>
        <v/>
      </c>
      <c r="F59" s="25">
        <f>IF($A59="","",$A59&amp;"."&amp;$B59)</f>
        <v/>
      </c>
      <c r="G59" s="25">
        <f>IF($A59="","",IF(IFERROR(IF(INDEX(campaigns!$AJ$2:$AJ$51,MATCH($A59,campaigns!$A$2:$A$51,0))="","",INDEX(campaigns!$AJ$2:$AJ$51,MATCH($A59,campaigns!$A$2:$A$51,0))),"")="","(add the survey prefill template on campaigns)",SUBSTITUTE(IFERROR(IF(INDEX(campaigns!$AJ$2:$AJ$51,MATCH($A59,campaigns!$A$2:$A$51,0))="","",INDEX(campaigns!$AJ$2:$AJ$51,MATCH($A59,campaigns!$A$2:$A$51,0))),""),"CARDCODE",$F59)&amp;"&amp;utm_source=office-pantry&amp;utm_medium="&amp;$C59&amp;"&amp;utm_campaign="&amp;LOWER($A59)&amp;"&amp;utm_content="&amp;LOWER($B59)))</f>
        <v/>
      </c>
      <c r="H59" s="25">
        <f>IF(OR($A59="",$C59&lt;&gt;"qr"),"",$D59&amp;".png")</f>
        <v/>
      </c>
      <c r="I59" s="25">
        <f>IF($A59="","",IF(AND(IFERROR(IF(INDEX(campaigns!$AJ$2:$AJ$51,MATCH($A59,campaigns!$A$2:$A$51,0))="","",INDEX(campaigns!$AJ$2:$AJ$51,MATCH($A59,campaigns!$A$2:$A$51,0))),"")="",IFERROR(IF(INDEX(campaigns!$BG$2:$BG$51,MATCH($A59,campaigns!$A$2:$A$51,0))="","",INDEX(campaigns!$BG$2:$BG$51,MATCH($A59,campaigns!$A$2:$A$51,0))),"")&lt;&gt;"",IF(config!$B$37&lt;&gt;"",config!$B$37,TODAY())&gt;=WORKDAY(N(IFERROR(IF(INDEX(campaigns!$BG$2:$BG$51,MATCH($A59,campaigns!$A$2:$A$51,0))="","",INDEX(campaigns!$BG$2:$BG$51,MATCH($A59,campaigns!$A$2:$A$51,0))),"")),-4,calendar!$A$2:$A$80)),"no prefill template yet (due T-4); ","")&amp;IF(COUNTIF(links!$D$2:$D$501,$D59)&gt;1,"DUPLICATE slug; ",""))</f>
        <v/>
      </c>
    </row>
    <row r="60">
      <c r="A60" s="25">
        <f>IF(INDEX(approvals!$A$2:$A$251,INT((ROW()-2)/2)+1)="","",INDEX(approvals!$A$2:$A$251,INT((ROW()-2)/2)+1))</f>
        <v/>
      </c>
      <c r="B60" s="25">
        <f>IF(INDEX(approvals!$A$2:$A$251,INT((ROW()-2)/2)+1)="","",INDEX(approvals!$B$2:$B$251,INT((ROW()-2)/2)+1))</f>
        <v/>
      </c>
      <c r="C60" s="25">
        <f>IF($A60="","",IF(MOD(ROW()-2,2)=0,"qr","post"))</f>
        <v/>
      </c>
      <c r="D60" s="25">
        <f>IF($A60="","",IF(LEFT($A60,7)="SAMPLE-","SAMPLE-","")&amp;LOWER(SUBSTITUTE(SUBSTITUTE($A60,"SAMPLE-",""),"CMP-","c"))&amp;"-"&amp;LOWER(SUBSTITUTE(SUBSTITUTE($B60,"SAMPLE-",""),"O-","o"))&amp;"-"&amp;IF($C60="qr","q","p"))</f>
        <v/>
      </c>
      <c r="E60" s="25">
        <f>IF($A60="","","https://"&amp;config!$B$9&amp;"/"&amp;$D60)</f>
        <v/>
      </c>
      <c r="F60" s="25">
        <f>IF($A60="","",$A60&amp;"."&amp;$B60)</f>
        <v/>
      </c>
      <c r="G60" s="25">
        <f>IF($A60="","",IF(IFERROR(IF(INDEX(campaigns!$AJ$2:$AJ$51,MATCH($A60,campaigns!$A$2:$A$51,0))="","",INDEX(campaigns!$AJ$2:$AJ$51,MATCH($A60,campaigns!$A$2:$A$51,0))),"")="","(add the survey prefill template on campaigns)",SUBSTITUTE(IFERROR(IF(INDEX(campaigns!$AJ$2:$AJ$51,MATCH($A60,campaigns!$A$2:$A$51,0))="","",INDEX(campaigns!$AJ$2:$AJ$51,MATCH($A60,campaigns!$A$2:$A$51,0))),""),"CARDCODE",$F60)&amp;"&amp;utm_source=office-pantry&amp;utm_medium="&amp;$C60&amp;"&amp;utm_campaign="&amp;LOWER($A60)&amp;"&amp;utm_content="&amp;LOWER($B60)))</f>
        <v/>
      </c>
      <c r="H60" s="25">
        <f>IF(OR($A60="",$C60&lt;&gt;"qr"),"",$D60&amp;".png")</f>
        <v/>
      </c>
      <c r="I60" s="25">
        <f>IF($A60="","",IF(AND(IFERROR(IF(INDEX(campaigns!$AJ$2:$AJ$51,MATCH($A60,campaigns!$A$2:$A$51,0))="","",INDEX(campaigns!$AJ$2:$AJ$51,MATCH($A60,campaigns!$A$2:$A$51,0))),"")="",IFERROR(IF(INDEX(campaigns!$BG$2:$BG$51,MATCH($A60,campaigns!$A$2:$A$51,0))="","",INDEX(campaigns!$BG$2:$BG$51,MATCH($A60,campaigns!$A$2:$A$51,0))),"")&lt;&gt;"",IF(config!$B$37&lt;&gt;"",config!$B$37,TODAY())&gt;=WORKDAY(N(IFERROR(IF(INDEX(campaigns!$BG$2:$BG$51,MATCH($A60,campaigns!$A$2:$A$51,0))="","",INDEX(campaigns!$BG$2:$BG$51,MATCH($A60,campaigns!$A$2:$A$51,0))),"")),-4,calendar!$A$2:$A$80)),"no prefill template yet (due T-4); ","")&amp;IF(COUNTIF(links!$D$2:$D$501,$D60)&gt;1,"DUPLICATE slug; ",""))</f>
        <v/>
      </c>
    </row>
    <row r="61">
      <c r="A61" s="25">
        <f>IF(INDEX(approvals!$A$2:$A$251,INT((ROW()-2)/2)+1)="","",INDEX(approvals!$A$2:$A$251,INT((ROW()-2)/2)+1))</f>
        <v/>
      </c>
      <c r="B61" s="25">
        <f>IF(INDEX(approvals!$A$2:$A$251,INT((ROW()-2)/2)+1)="","",INDEX(approvals!$B$2:$B$251,INT((ROW()-2)/2)+1))</f>
        <v/>
      </c>
      <c r="C61" s="25">
        <f>IF($A61="","",IF(MOD(ROW()-2,2)=0,"qr","post"))</f>
        <v/>
      </c>
      <c r="D61" s="25">
        <f>IF($A61="","",IF(LEFT($A61,7)="SAMPLE-","SAMPLE-","")&amp;LOWER(SUBSTITUTE(SUBSTITUTE($A61,"SAMPLE-",""),"CMP-","c"))&amp;"-"&amp;LOWER(SUBSTITUTE(SUBSTITUTE($B61,"SAMPLE-",""),"O-","o"))&amp;"-"&amp;IF($C61="qr","q","p"))</f>
        <v/>
      </c>
      <c r="E61" s="25">
        <f>IF($A61="","","https://"&amp;config!$B$9&amp;"/"&amp;$D61)</f>
        <v/>
      </c>
      <c r="F61" s="25">
        <f>IF($A61="","",$A61&amp;"."&amp;$B61)</f>
        <v/>
      </c>
      <c r="G61" s="25">
        <f>IF($A61="","",IF(IFERROR(IF(INDEX(campaigns!$AJ$2:$AJ$51,MATCH($A61,campaigns!$A$2:$A$51,0))="","",INDEX(campaigns!$AJ$2:$AJ$51,MATCH($A61,campaigns!$A$2:$A$51,0))),"")="","(add the survey prefill template on campaigns)",SUBSTITUTE(IFERROR(IF(INDEX(campaigns!$AJ$2:$AJ$51,MATCH($A61,campaigns!$A$2:$A$51,0))="","",INDEX(campaigns!$AJ$2:$AJ$51,MATCH($A61,campaigns!$A$2:$A$51,0))),""),"CARDCODE",$F61)&amp;"&amp;utm_source=office-pantry&amp;utm_medium="&amp;$C61&amp;"&amp;utm_campaign="&amp;LOWER($A61)&amp;"&amp;utm_content="&amp;LOWER($B61)))</f>
        <v/>
      </c>
      <c r="H61" s="25">
        <f>IF(OR($A61="",$C61&lt;&gt;"qr"),"",$D61&amp;".png")</f>
        <v/>
      </c>
      <c r="I61" s="25">
        <f>IF($A61="","",IF(AND(IFERROR(IF(INDEX(campaigns!$AJ$2:$AJ$51,MATCH($A61,campaigns!$A$2:$A$51,0))="","",INDEX(campaigns!$AJ$2:$AJ$51,MATCH($A61,campaigns!$A$2:$A$51,0))),"")="",IFERROR(IF(INDEX(campaigns!$BG$2:$BG$51,MATCH($A61,campaigns!$A$2:$A$51,0))="","",INDEX(campaigns!$BG$2:$BG$51,MATCH($A61,campaigns!$A$2:$A$51,0))),"")&lt;&gt;"",IF(config!$B$37&lt;&gt;"",config!$B$37,TODAY())&gt;=WORKDAY(N(IFERROR(IF(INDEX(campaigns!$BG$2:$BG$51,MATCH($A61,campaigns!$A$2:$A$51,0))="","",INDEX(campaigns!$BG$2:$BG$51,MATCH($A61,campaigns!$A$2:$A$51,0))),"")),-4,calendar!$A$2:$A$80)),"no prefill template yet (due T-4); ","")&amp;IF(COUNTIF(links!$D$2:$D$501,$D61)&gt;1,"DUPLICATE slug; ",""))</f>
        <v/>
      </c>
    </row>
    <row r="62">
      <c r="A62" s="25">
        <f>IF(INDEX(approvals!$A$2:$A$251,INT((ROW()-2)/2)+1)="","",INDEX(approvals!$A$2:$A$251,INT((ROW()-2)/2)+1))</f>
        <v/>
      </c>
      <c r="B62" s="25">
        <f>IF(INDEX(approvals!$A$2:$A$251,INT((ROW()-2)/2)+1)="","",INDEX(approvals!$B$2:$B$251,INT((ROW()-2)/2)+1))</f>
        <v/>
      </c>
      <c r="C62" s="25">
        <f>IF($A62="","",IF(MOD(ROW()-2,2)=0,"qr","post"))</f>
        <v/>
      </c>
      <c r="D62" s="25">
        <f>IF($A62="","",IF(LEFT($A62,7)="SAMPLE-","SAMPLE-","")&amp;LOWER(SUBSTITUTE(SUBSTITUTE($A62,"SAMPLE-",""),"CMP-","c"))&amp;"-"&amp;LOWER(SUBSTITUTE(SUBSTITUTE($B62,"SAMPLE-",""),"O-","o"))&amp;"-"&amp;IF($C62="qr","q","p"))</f>
        <v/>
      </c>
      <c r="E62" s="25">
        <f>IF($A62="","","https://"&amp;config!$B$9&amp;"/"&amp;$D62)</f>
        <v/>
      </c>
      <c r="F62" s="25">
        <f>IF($A62="","",$A62&amp;"."&amp;$B62)</f>
        <v/>
      </c>
      <c r="G62" s="25">
        <f>IF($A62="","",IF(IFERROR(IF(INDEX(campaigns!$AJ$2:$AJ$51,MATCH($A62,campaigns!$A$2:$A$51,0))="","",INDEX(campaigns!$AJ$2:$AJ$51,MATCH($A62,campaigns!$A$2:$A$51,0))),"")="","(add the survey prefill template on campaigns)",SUBSTITUTE(IFERROR(IF(INDEX(campaigns!$AJ$2:$AJ$51,MATCH($A62,campaigns!$A$2:$A$51,0))="","",INDEX(campaigns!$AJ$2:$AJ$51,MATCH($A62,campaigns!$A$2:$A$51,0))),""),"CARDCODE",$F62)&amp;"&amp;utm_source=office-pantry&amp;utm_medium="&amp;$C62&amp;"&amp;utm_campaign="&amp;LOWER($A62)&amp;"&amp;utm_content="&amp;LOWER($B62)))</f>
        <v/>
      </c>
      <c r="H62" s="25">
        <f>IF(OR($A62="",$C62&lt;&gt;"qr"),"",$D62&amp;".png")</f>
        <v/>
      </c>
      <c r="I62" s="25">
        <f>IF($A62="","",IF(AND(IFERROR(IF(INDEX(campaigns!$AJ$2:$AJ$51,MATCH($A62,campaigns!$A$2:$A$51,0))="","",INDEX(campaigns!$AJ$2:$AJ$51,MATCH($A62,campaigns!$A$2:$A$51,0))),"")="",IFERROR(IF(INDEX(campaigns!$BG$2:$BG$51,MATCH($A62,campaigns!$A$2:$A$51,0))="","",INDEX(campaigns!$BG$2:$BG$51,MATCH($A62,campaigns!$A$2:$A$51,0))),"")&lt;&gt;"",IF(config!$B$37&lt;&gt;"",config!$B$37,TODAY())&gt;=WORKDAY(N(IFERROR(IF(INDEX(campaigns!$BG$2:$BG$51,MATCH($A62,campaigns!$A$2:$A$51,0))="","",INDEX(campaigns!$BG$2:$BG$51,MATCH($A62,campaigns!$A$2:$A$51,0))),"")),-4,calendar!$A$2:$A$80)),"no prefill template yet (due T-4); ","")&amp;IF(COUNTIF(links!$D$2:$D$501,$D62)&gt;1,"DUPLICATE slug; ",""))</f>
        <v/>
      </c>
    </row>
    <row r="63">
      <c r="A63" s="25">
        <f>IF(INDEX(approvals!$A$2:$A$251,INT((ROW()-2)/2)+1)="","",INDEX(approvals!$A$2:$A$251,INT((ROW()-2)/2)+1))</f>
        <v/>
      </c>
      <c r="B63" s="25">
        <f>IF(INDEX(approvals!$A$2:$A$251,INT((ROW()-2)/2)+1)="","",INDEX(approvals!$B$2:$B$251,INT((ROW()-2)/2)+1))</f>
        <v/>
      </c>
      <c r="C63" s="25">
        <f>IF($A63="","",IF(MOD(ROW()-2,2)=0,"qr","post"))</f>
        <v/>
      </c>
      <c r="D63" s="25">
        <f>IF($A63="","",IF(LEFT($A63,7)="SAMPLE-","SAMPLE-","")&amp;LOWER(SUBSTITUTE(SUBSTITUTE($A63,"SAMPLE-",""),"CMP-","c"))&amp;"-"&amp;LOWER(SUBSTITUTE(SUBSTITUTE($B63,"SAMPLE-",""),"O-","o"))&amp;"-"&amp;IF($C63="qr","q","p"))</f>
        <v/>
      </c>
      <c r="E63" s="25">
        <f>IF($A63="","","https://"&amp;config!$B$9&amp;"/"&amp;$D63)</f>
        <v/>
      </c>
      <c r="F63" s="25">
        <f>IF($A63="","",$A63&amp;"."&amp;$B63)</f>
        <v/>
      </c>
      <c r="G63" s="25">
        <f>IF($A63="","",IF(IFERROR(IF(INDEX(campaigns!$AJ$2:$AJ$51,MATCH($A63,campaigns!$A$2:$A$51,0))="","",INDEX(campaigns!$AJ$2:$AJ$51,MATCH($A63,campaigns!$A$2:$A$51,0))),"")="","(add the survey prefill template on campaigns)",SUBSTITUTE(IFERROR(IF(INDEX(campaigns!$AJ$2:$AJ$51,MATCH($A63,campaigns!$A$2:$A$51,0))="","",INDEX(campaigns!$AJ$2:$AJ$51,MATCH($A63,campaigns!$A$2:$A$51,0))),""),"CARDCODE",$F63)&amp;"&amp;utm_source=office-pantry&amp;utm_medium="&amp;$C63&amp;"&amp;utm_campaign="&amp;LOWER($A63)&amp;"&amp;utm_content="&amp;LOWER($B63)))</f>
        <v/>
      </c>
      <c r="H63" s="25">
        <f>IF(OR($A63="",$C63&lt;&gt;"qr"),"",$D63&amp;".png")</f>
        <v/>
      </c>
      <c r="I63" s="25">
        <f>IF($A63="","",IF(AND(IFERROR(IF(INDEX(campaigns!$AJ$2:$AJ$51,MATCH($A63,campaigns!$A$2:$A$51,0))="","",INDEX(campaigns!$AJ$2:$AJ$51,MATCH($A63,campaigns!$A$2:$A$51,0))),"")="",IFERROR(IF(INDEX(campaigns!$BG$2:$BG$51,MATCH($A63,campaigns!$A$2:$A$51,0))="","",INDEX(campaigns!$BG$2:$BG$51,MATCH($A63,campaigns!$A$2:$A$51,0))),"")&lt;&gt;"",IF(config!$B$37&lt;&gt;"",config!$B$37,TODAY())&gt;=WORKDAY(N(IFERROR(IF(INDEX(campaigns!$BG$2:$BG$51,MATCH($A63,campaigns!$A$2:$A$51,0))="","",INDEX(campaigns!$BG$2:$BG$51,MATCH($A63,campaigns!$A$2:$A$51,0))),"")),-4,calendar!$A$2:$A$80)),"no prefill template yet (due T-4); ","")&amp;IF(COUNTIF(links!$D$2:$D$501,$D63)&gt;1,"DUPLICATE slug; ",""))</f>
        <v/>
      </c>
    </row>
    <row r="64">
      <c r="A64" s="25">
        <f>IF(INDEX(approvals!$A$2:$A$251,INT((ROW()-2)/2)+1)="","",INDEX(approvals!$A$2:$A$251,INT((ROW()-2)/2)+1))</f>
        <v/>
      </c>
      <c r="B64" s="25">
        <f>IF(INDEX(approvals!$A$2:$A$251,INT((ROW()-2)/2)+1)="","",INDEX(approvals!$B$2:$B$251,INT((ROW()-2)/2)+1))</f>
        <v/>
      </c>
      <c r="C64" s="25">
        <f>IF($A64="","",IF(MOD(ROW()-2,2)=0,"qr","post"))</f>
        <v/>
      </c>
      <c r="D64" s="25">
        <f>IF($A64="","",IF(LEFT($A64,7)="SAMPLE-","SAMPLE-","")&amp;LOWER(SUBSTITUTE(SUBSTITUTE($A64,"SAMPLE-",""),"CMP-","c"))&amp;"-"&amp;LOWER(SUBSTITUTE(SUBSTITUTE($B64,"SAMPLE-",""),"O-","o"))&amp;"-"&amp;IF($C64="qr","q","p"))</f>
        <v/>
      </c>
      <c r="E64" s="25">
        <f>IF($A64="","","https://"&amp;config!$B$9&amp;"/"&amp;$D64)</f>
        <v/>
      </c>
      <c r="F64" s="25">
        <f>IF($A64="","",$A64&amp;"."&amp;$B64)</f>
        <v/>
      </c>
      <c r="G64" s="25">
        <f>IF($A64="","",IF(IFERROR(IF(INDEX(campaigns!$AJ$2:$AJ$51,MATCH($A64,campaigns!$A$2:$A$51,0))="","",INDEX(campaigns!$AJ$2:$AJ$51,MATCH($A64,campaigns!$A$2:$A$51,0))),"")="","(add the survey prefill template on campaigns)",SUBSTITUTE(IFERROR(IF(INDEX(campaigns!$AJ$2:$AJ$51,MATCH($A64,campaigns!$A$2:$A$51,0))="","",INDEX(campaigns!$AJ$2:$AJ$51,MATCH($A64,campaigns!$A$2:$A$51,0))),""),"CARDCODE",$F64)&amp;"&amp;utm_source=office-pantry&amp;utm_medium="&amp;$C64&amp;"&amp;utm_campaign="&amp;LOWER($A64)&amp;"&amp;utm_content="&amp;LOWER($B64)))</f>
        <v/>
      </c>
      <c r="H64" s="25">
        <f>IF(OR($A64="",$C64&lt;&gt;"qr"),"",$D64&amp;".png")</f>
        <v/>
      </c>
      <c r="I64" s="25">
        <f>IF($A64="","",IF(AND(IFERROR(IF(INDEX(campaigns!$AJ$2:$AJ$51,MATCH($A64,campaigns!$A$2:$A$51,0))="","",INDEX(campaigns!$AJ$2:$AJ$51,MATCH($A64,campaigns!$A$2:$A$51,0))),"")="",IFERROR(IF(INDEX(campaigns!$BG$2:$BG$51,MATCH($A64,campaigns!$A$2:$A$51,0))="","",INDEX(campaigns!$BG$2:$BG$51,MATCH($A64,campaigns!$A$2:$A$51,0))),"")&lt;&gt;"",IF(config!$B$37&lt;&gt;"",config!$B$37,TODAY())&gt;=WORKDAY(N(IFERROR(IF(INDEX(campaigns!$BG$2:$BG$51,MATCH($A64,campaigns!$A$2:$A$51,0))="","",INDEX(campaigns!$BG$2:$BG$51,MATCH($A64,campaigns!$A$2:$A$51,0))),"")),-4,calendar!$A$2:$A$80)),"no prefill template yet (due T-4); ","")&amp;IF(COUNTIF(links!$D$2:$D$501,$D64)&gt;1,"DUPLICATE slug; ",""))</f>
        <v/>
      </c>
    </row>
    <row r="65">
      <c r="A65" s="25">
        <f>IF(INDEX(approvals!$A$2:$A$251,INT((ROW()-2)/2)+1)="","",INDEX(approvals!$A$2:$A$251,INT((ROW()-2)/2)+1))</f>
        <v/>
      </c>
      <c r="B65" s="25">
        <f>IF(INDEX(approvals!$A$2:$A$251,INT((ROW()-2)/2)+1)="","",INDEX(approvals!$B$2:$B$251,INT((ROW()-2)/2)+1))</f>
        <v/>
      </c>
      <c r="C65" s="25">
        <f>IF($A65="","",IF(MOD(ROW()-2,2)=0,"qr","post"))</f>
        <v/>
      </c>
      <c r="D65" s="25">
        <f>IF($A65="","",IF(LEFT($A65,7)="SAMPLE-","SAMPLE-","")&amp;LOWER(SUBSTITUTE(SUBSTITUTE($A65,"SAMPLE-",""),"CMP-","c"))&amp;"-"&amp;LOWER(SUBSTITUTE(SUBSTITUTE($B65,"SAMPLE-",""),"O-","o"))&amp;"-"&amp;IF($C65="qr","q","p"))</f>
        <v/>
      </c>
      <c r="E65" s="25">
        <f>IF($A65="","","https://"&amp;config!$B$9&amp;"/"&amp;$D65)</f>
        <v/>
      </c>
      <c r="F65" s="25">
        <f>IF($A65="","",$A65&amp;"."&amp;$B65)</f>
        <v/>
      </c>
      <c r="G65" s="25">
        <f>IF($A65="","",IF(IFERROR(IF(INDEX(campaigns!$AJ$2:$AJ$51,MATCH($A65,campaigns!$A$2:$A$51,0))="","",INDEX(campaigns!$AJ$2:$AJ$51,MATCH($A65,campaigns!$A$2:$A$51,0))),"")="","(add the survey prefill template on campaigns)",SUBSTITUTE(IFERROR(IF(INDEX(campaigns!$AJ$2:$AJ$51,MATCH($A65,campaigns!$A$2:$A$51,0))="","",INDEX(campaigns!$AJ$2:$AJ$51,MATCH($A65,campaigns!$A$2:$A$51,0))),""),"CARDCODE",$F65)&amp;"&amp;utm_source=office-pantry&amp;utm_medium="&amp;$C65&amp;"&amp;utm_campaign="&amp;LOWER($A65)&amp;"&amp;utm_content="&amp;LOWER($B65)))</f>
        <v/>
      </c>
      <c r="H65" s="25">
        <f>IF(OR($A65="",$C65&lt;&gt;"qr"),"",$D65&amp;".png")</f>
        <v/>
      </c>
      <c r="I65" s="25">
        <f>IF($A65="","",IF(AND(IFERROR(IF(INDEX(campaigns!$AJ$2:$AJ$51,MATCH($A65,campaigns!$A$2:$A$51,0))="","",INDEX(campaigns!$AJ$2:$AJ$51,MATCH($A65,campaigns!$A$2:$A$51,0))),"")="",IFERROR(IF(INDEX(campaigns!$BG$2:$BG$51,MATCH($A65,campaigns!$A$2:$A$51,0))="","",INDEX(campaigns!$BG$2:$BG$51,MATCH($A65,campaigns!$A$2:$A$51,0))),"")&lt;&gt;"",IF(config!$B$37&lt;&gt;"",config!$B$37,TODAY())&gt;=WORKDAY(N(IFERROR(IF(INDEX(campaigns!$BG$2:$BG$51,MATCH($A65,campaigns!$A$2:$A$51,0))="","",INDEX(campaigns!$BG$2:$BG$51,MATCH($A65,campaigns!$A$2:$A$51,0))),"")),-4,calendar!$A$2:$A$80)),"no prefill template yet (due T-4); ","")&amp;IF(COUNTIF(links!$D$2:$D$501,$D65)&gt;1,"DUPLICATE slug; ",""))</f>
        <v/>
      </c>
    </row>
    <row r="66">
      <c r="A66" s="25">
        <f>IF(INDEX(approvals!$A$2:$A$251,INT((ROW()-2)/2)+1)="","",INDEX(approvals!$A$2:$A$251,INT((ROW()-2)/2)+1))</f>
        <v/>
      </c>
      <c r="B66" s="25">
        <f>IF(INDEX(approvals!$A$2:$A$251,INT((ROW()-2)/2)+1)="","",INDEX(approvals!$B$2:$B$251,INT((ROW()-2)/2)+1))</f>
        <v/>
      </c>
      <c r="C66" s="25">
        <f>IF($A66="","",IF(MOD(ROW()-2,2)=0,"qr","post"))</f>
        <v/>
      </c>
      <c r="D66" s="25">
        <f>IF($A66="","",IF(LEFT($A66,7)="SAMPLE-","SAMPLE-","")&amp;LOWER(SUBSTITUTE(SUBSTITUTE($A66,"SAMPLE-",""),"CMP-","c"))&amp;"-"&amp;LOWER(SUBSTITUTE(SUBSTITUTE($B66,"SAMPLE-",""),"O-","o"))&amp;"-"&amp;IF($C66="qr","q","p"))</f>
        <v/>
      </c>
      <c r="E66" s="25">
        <f>IF($A66="","","https://"&amp;config!$B$9&amp;"/"&amp;$D66)</f>
        <v/>
      </c>
      <c r="F66" s="25">
        <f>IF($A66="","",$A66&amp;"."&amp;$B66)</f>
        <v/>
      </c>
      <c r="G66" s="25">
        <f>IF($A66="","",IF(IFERROR(IF(INDEX(campaigns!$AJ$2:$AJ$51,MATCH($A66,campaigns!$A$2:$A$51,0))="","",INDEX(campaigns!$AJ$2:$AJ$51,MATCH($A66,campaigns!$A$2:$A$51,0))),"")="","(add the survey prefill template on campaigns)",SUBSTITUTE(IFERROR(IF(INDEX(campaigns!$AJ$2:$AJ$51,MATCH($A66,campaigns!$A$2:$A$51,0))="","",INDEX(campaigns!$AJ$2:$AJ$51,MATCH($A66,campaigns!$A$2:$A$51,0))),""),"CARDCODE",$F66)&amp;"&amp;utm_source=office-pantry&amp;utm_medium="&amp;$C66&amp;"&amp;utm_campaign="&amp;LOWER($A66)&amp;"&amp;utm_content="&amp;LOWER($B66)))</f>
        <v/>
      </c>
      <c r="H66" s="25">
        <f>IF(OR($A66="",$C66&lt;&gt;"qr"),"",$D66&amp;".png")</f>
        <v/>
      </c>
      <c r="I66" s="25">
        <f>IF($A66="","",IF(AND(IFERROR(IF(INDEX(campaigns!$AJ$2:$AJ$51,MATCH($A66,campaigns!$A$2:$A$51,0))="","",INDEX(campaigns!$AJ$2:$AJ$51,MATCH($A66,campaigns!$A$2:$A$51,0))),"")="",IFERROR(IF(INDEX(campaigns!$BG$2:$BG$51,MATCH($A66,campaigns!$A$2:$A$51,0))="","",INDEX(campaigns!$BG$2:$BG$51,MATCH($A66,campaigns!$A$2:$A$51,0))),"")&lt;&gt;"",IF(config!$B$37&lt;&gt;"",config!$B$37,TODAY())&gt;=WORKDAY(N(IFERROR(IF(INDEX(campaigns!$BG$2:$BG$51,MATCH($A66,campaigns!$A$2:$A$51,0))="","",INDEX(campaigns!$BG$2:$BG$51,MATCH($A66,campaigns!$A$2:$A$51,0))),"")),-4,calendar!$A$2:$A$80)),"no prefill template yet (due T-4); ","")&amp;IF(COUNTIF(links!$D$2:$D$501,$D66)&gt;1,"DUPLICATE slug; ",""))</f>
        <v/>
      </c>
    </row>
    <row r="67">
      <c r="A67" s="25">
        <f>IF(INDEX(approvals!$A$2:$A$251,INT((ROW()-2)/2)+1)="","",INDEX(approvals!$A$2:$A$251,INT((ROW()-2)/2)+1))</f>
        <v/>
      </c>
      <c r="B67" s="25">
        <f>IF(INDEX(approvals!$A$2:$A$251,INT((ROW()-2)/2)+1)="","",INDEX(approvals!$B$2:$B$251,INT((ROW()-2)/2)+1))</f>
        <v/>
      </c>
      <c r="C67" s="25">
        <f>IF($A67="","",IF(MOD(ROW()-2,2)=0,"qr","post"))</f>
        <v/>
      </c>
      <c r="D67" s="25">
        <f>IF($A67="","",IF(LEFT($A67,7)="SAMPLE-","SAMPLE-","")&amp;LOWER(SUBSTITUTE(SUBSTITUTE($A67,"SAMPLE-",""),"CMP-","c"))&amp;"-"&amp;LOWER(SUBSTITUTE(SUBSTITUTE($B67,"SAMPLE-",""),"O-","o"))&amp;"-"&amp;IF($C67="qr","q","p"))</f>
        <v/>
      </c>
      <c r="E67" s="25">
        <f>IF($A67="","","https://"&amp;config!$B$9&amp;"/"&amp;$D67)</f>
        <v/>
      </c>
      <c r="F67" s="25">
        <f>IF($A67="","",$A67&amp;"."&amp;$B67)</f>
        <v/>
      </c>
      <c r="G67" s="25">
        <f>IF($A67="","",IF(IFERROR(IF(INDEX(campaigns!$AJ$2:$AJ$51,MATCH($A67,campaigns!$A$2:$A$51,0))="","",INDEX(campaigns!$AJ$2:$AJ$51,MATCH($A67,campaigns!$A$2:$A$51,0))),"")="","(add the survey prefill template on campaigns)",SUBSTITUTE(IFERROR(IF(INDEX(campaigns!$AJ$2:$AJ$51,MATCH($A67,campaigns!$A$2:$A$51,0))="","",INDEX(campaigns!$AJ$2:$AJ$51,MATCH($A67,campaigns!$A$2:$A$51,0))),""),"CARDCODE",$F67)&amp;"&amp;utm_source=office-pantry&amp;utm_medium="&amp;$C67&amp;"&amp;utm_campaign="&amp;LOWER($A67)&amp;"&amp;utm_content="&amp;LOWER($B67)))</f>
        <v/>
      </c>
      <c r="H67" s="25">
        <f>IF(OR($A67="",$C67&lt;&gt;"qr"),"",$D67&amp;".png")</f>
        <v/>
      </c>
      <c r="I67" s="25">
        <f>IF($A67="","",IF(AND(IFERROR(IF(INDEX(campaigns!$AJ$2:$AJ$51,MATCH($A67,campaigns!$A$2:$A$51,0))="","",INDEX(campaigns!$AJ$2:$AJ$51,MATCH($A67,campaigns!$A$2:$A$51,0))),"")="",IFERROR(IF(INDEX(campaigns!$BG$2:$BG$51,MATCH($A67,campaigns!$A$2:$A$51,0))="","",INDEX(campaigns!$BG$2:$BG$51,MATCH($A67,campaigns!$A$2:$A$51,0))),"")&lt;&gt;"",IF(config!$B$37&lt;&gt;"",config!$B$37,TODAY())&gt;=WORKDAY(N(IFERROR(IF(INDEX(campaigns!$BG$2:$BG$51,MATCH($A67,campaigns!$A$2:$A$51,0))="","",INDEX(campaigns!$BG$2:$BG$51,MATCH($A67,campaigns!$A$2:$A$51,0))),"")),-4,calendar!$A$2:$A$80)),"no prefill template yet (due T-4); ","")&amp;IF(COUNTIF(links!$D$2:$D$501,$D67)&gt;1,"DUPLICATE slug; ",""))</f>
        <v/>
      </c>
    </row>
    <row r="68">
      <c r="A68" s="25">
        <f>IF(INDEX(approvals!$A$2:$A$251,INT((ROW()-2)/2)+1)="","",INDEX(approvals!$A$2:$A$251,INT((ROW()-2)/2)+1))</f>
        <v/>
      </c>
      <c r="B68" s="25">
        <f>IF(INDEX(approvals!$A$2:$A$251,INT((ROW()-2)/2)+1)="","",INDEX(approvals!$B$2:$B$251,INT((ROW()-2)/2)+1))</f>
        <v/>
      </c>
      <c r="C68" s="25">
        <f>IF($A68="","",IF(MOD(ROW()-2,2)=0,"qr","post"))</f>
        <v/>
      </c>
      <c r="D68" s="25">
        <f>IF($A68="","",IF(LEFT($A68,7)="SAMPLE-","SAMPLE-","")&amp;LOWER(SUBSTITUTE(SUBSTITUTE($A68,"SAMPLE-",""),"CMP-","c"))&amp;"-"&amp;LOWER(SUBSTITUTE(SUBSTITUTE($B68,"SAMPLE-",""),"O-","o"))&amp;"-"&amp;IF($C68="qr","q","p"))</f>
        <v/>
      </c>
      <c r="E68" s="25">
        <f>IF($A68="","","https://"&amp;config!$B$9&amp;"/"&amp;$D68)</f>
        <v/>
      </c>
      <c r="F68" s="25">
        <f>IF($A68="","",$A68&amp;"."&amp;$B68)</f>
        <v/>
      </c>
      <c r="G68" s="25">
        <f>IF($A68="","",IF(IFERROR(IF(INDEX(campaigns!$AJ$2:$AJ$51,MATCH($A68,campaigns!$A$2:$A$51,0))="","",INDEX(campaigns!$AJ$2:$AJ$51,MATCH($A68,campaigns!$A$2:$A$51,0))),"")="","(add the survey prefill template on campaigns)",SUBSTITUTE(IFERROR(IF(INDEX(campaigns!$AJ$2:$AJ$51,MATCH($A68,campaigns!$A$2:$A$51,0))="","",INDEX(campaigns!$AJ$2:$AJ$51,MATCH($A68,campaigns!$A$2:$A$51,0))),""),"CARDCODE",$F68)&amp;"&amp;utm_source=office-pantry&amp;utm_medium="&amp;$C68&amp;"&amp;utm_campaign="&amp;LOWER($A68)&amp;"&amp;utm_content="&amp;LOWER($B68)))</f>
        <v/>
      </c>
      <c r="H68" s="25">
        <f>IF(OR($A68="",$C68&lt;&gt;"qr"),"",$D68&amp;".png")</f>
        <v/>
      </c>
      <c r="I68" s="25">
        <f>IF($A68="","",IF(AND(IFERROR(IF(INDEX(campaigns!$AJ$2:$AJ$51,MATCH($A68,campaigns!$A$2:$A$51,0))="","",INDEX(campaigns!$AJ$2:$AJ$51,MATCH($A68,campaigns!$A$2:$A$51,0))),"")="",IFERROR(IF(INDEX(campaigns!$BG$2:$BG$51,MATCH($A68,campaigns!$A$2:$A$51,0))="","",INDEX(campaigns!$BG$2:$BG$51,MATCH($A68,campaigns!$A$2:$A$51,0))),"")&lt;&gt;"",IF(config!$B$37&lt;&gt;"",config!$B$37,TODAY())&gt;=WORKDAY(N(IFERROR(IF(INDEX(campaigns!$BG$2:$BG$51,MATCH($A68,campaigns!$A$2:$A$51,0))="","",INDEX(campaigns!$BG$2:$BG$51,MATCH($A68,campaigns!$A$2:$A$51,0))),"")),-4,calendar!$A$2:$A$80)),"no prefill template yet (due T-4); ","")&amp;IF(COUNTIF(links!$D$2:$D$501,$D68)&gt;1,"DUPLICATE slug; ",""))</f>
        <v/>
      </c>
    </row>
    <row r="69">
      <c r="A69" s="25">
        <f>IF(INDEX(approvals!$A$2:$A$251,INT((ROW()-2)/2)+1)="","",INDEX(approvals!$A$2:$A$251,INT((ROW()-2)/2)+1))</f>
        <v/>
      </c>
      <c r="B69" s="25">
        <f>IF(INDEX(approvals!$A$2:$A$251,INT((ROW()-2)/2)+1)="","",INDEX(approvals!$B$2:$B$251,INT((ROW()-2)/2)+1))</f>
        <v/>
      </c>
      <c r="C69" s="25">
        <f>IF($A69="","",IF(MOD(ROW()-2,2)=0,"qr","post"))</f>
        <v/>
      </c>
      <c r="D69" s="25">
        <f>IF($A69="","",IF(LEFT($A69,7)="SAMPLE-","SAMPLE-","")&amp;LOWER(SUBSTITUTE(SUBSTITUTE($A69,"SAMPLE-",""),"CMP-","c"))&amp;"-"&amp;LOWER(SUBSTITUTE(SUBSTITUTE($B69,"SAMPLE-",""),"O-","o"))&amp;"-"&amp;IF($C69="qr","q","p"))</f>
        <v/>
      </c>
      <c r="E69" s="25">
        <f>IF($A69="","","https://"&amp;config!$B$9&amp;"/"&amp;$D69)</f>
        <v/>
      </c>
      <c r="F69" s="25">
        <f>IF($A69="","",$A69&amp;"."&amp;$B69)</f>
        <v/>
      </c>
      <c r="G69" s="25">
        <f>IF($A69="","",IF(IFERROR(IF(INDEX(campaigns!$AJ$2:$AJ$51,MATCH($A69,campaigns!$A$2:$A$51,0))="","",INDEX(campaigns!$AJ$2:$AJ$51,MATCH($A69,campaigns!$A$2:$A$51,0))),"")="","(add the survey prefill template on campaigns)",SUBSTITUTE(IFERROR(IF(INDEX(campaigns!$AJ$2:$AJ$51,MATCH($A69,campaigns!$A$2:$A$51,0))="","",INDEX(campaigns!$AJ$2:$AJ$51,MATCH($A69,campaigns!$A$2:$A$51,0))),""),"CARDCODE",$F69)&amp;"&amp;utm_source=office-pantry&amp;utm_medium="&amp;$C69&amp;"&amp;utm_campaign="&amp;LOWER($A69)&amp;"&amp;utm_content="&amp;LOWER($B69)))</f>
        <v/>
      </c>
      <c r="H69" s="25">
        <f>IF(OR($A69="",$C69&lt;&gt;"qr"),"",$D69&amp;".png")</f>
        <v/>
      </c>
      <c r="I69" s="25">
        <f>IF($A69="","",IF(AND(IFERROR(IF(INDEX(campaigns!$AJ$2:$AJ$51,MATCH($A69,campaigns!$A$2:$A$51,0))="","",INDEX(campaigns!$AJ$2:$AJ$51,MATCH($A69,campaigns!$A$2:$A$51,0))),"")="",IFERROR(IF(INDEX(campaigns!$BG$2:$BG$51,MATCH($A69,campaigns!$A$2:$A$51,0))="","",INDEX(campaigns!$BG$2:$BG$51,MATCH($A69,campaigns!$A$2:$A$51,0))),"")&lt;&gt;"",IF(config!$B$37&lt;&gt;"",config!$B$37,TODAY())&gt;=WORKDAY(N(IFERROR(IF(INDEX(campaigns!$BG$2:$BG$51,MATCH($A69,campaigns!$A$2:$A$51,0))="","",INDEX(campaigns!$BG$2:$BG$51,MATCH($A69,campaigns!$A$2:$A$51,0))),"")),-4,calendar!$A$2:$A$80)),"no prefill template yet (due T-4); ","")&amp;IF(COUNTIF(links!$D$2:$D$501,$D69)&gt;1,"DUPLICATE slug; ",""))</f>
        <v/>
      </c>
    </row>
    <row r="70">
      <c r="A70" s="25">
        <f>IF(INDEX(approvals!$A$2:$A$251,INT((ROW()-2)/2)+1)="","",INDEX(approvals!$A$2:$A$251,INT((ROW()-2)/2)+1))</f>
        <v/>
      </c>
      <c r="B70" s="25">
        <f>IF(INDEX(approvals!$A$2:$A$251,INT((ROW()-2)/2)+1)="","",INDEX(approvals!$B$2:$B$251,INT((ROW()-2)/2)+1))</f>
        <v/>
      </c>
      <c r="C70" s="25">
        <f>IF($A70="","",IF(MOD(ROW()-2,2)=0,"qr","post"))</f>
        <v/>
      </c>
      <c r="D70" s="25">
        <f>IF($A70="","",IF(LEFT($A70,7)="SAMPLE-","SAMPLE-","")&amp;LOWER(SUBSTITUTE(SUBSTITUTE($A70,"SAMPLE-",""),"CMP-","c"))&amp;"-"&amp;LOWER(SUBSTITUTE(SUBSTITUTE($B70,"SAMPLE-",""),"O-","o"))&amp;"-"&amp;IF($C70="qr","q","p"))</f>
        <v/>
      </c>
      <c r="E70" s="25">
        <f>IF($A70="","","https://"&amp;config!$B$9&amp;"/"&amp;$D70)</f>
        <v/>
      </c>
      <c r="F70" s="25">
        <f>IF($A70="","",$A70&amp;"."&amp;$B70)</f>
        <v/>
      </c>
      <c r="G70" s="25">
        <f>IF($A70="","",IF(IFERROR(IF(INDEX(campaigns!$AJ$2:$AJ$51,MATCH($A70,campaigns!$A$2:$A$51,0))="","",INDEX(campaigns!$AJ$2:$AJ$51,MATCH($A70,campaigns!$A$2:$A$51,0))),"")="","(add the survey prefill template on campaigns)",SUBSTITUTE(IFERROR(IF(INDEX(campaigns!$AJ$2:$AJ$51,MATCH($A70,campaigns!$A$2:$A$51,0))="","",INDEX(campaigns!$AJ$2:$AJ$51,MATCH($A70,campaigns!$A$2:$A$51,0))),""),"CARDCODE",$F70)&amp;"&amp;utm_source=office-pantry&amp;utm_medium="&amp;$C70&amp;"&amp;utm_campaign="&amp;LOWER($A70)&amp;"&amp;utm_content="&amp;LOWER($B70)))</f>
        <v/>
      </c>
      <c r="H70" s="25">
        <f>IF(OR($A70="",$C70&lt;&gt;"qr"),"",$D70&amp;".png")</f>
        <v/>
      </c>
      <c r="I70" s="25">
        <f>IF($A70="","",IF(AND(IFERROR(IF(INDEX(campaigns!$AJ$2:$AJ$51,MATCH($A70,campaigns!$A$2:$A$51,0))="","",INDEX(campaigns!$AJ$2:$AJ$51,MATCH($A70,campaigns!$A$2:$A$51,0))),"")="",IFERROR(IF(INDEX(campaigns!$BG$2:$BG$51,MATCH($A70,campaigns!$A$2:$A$51,0))="","",INDEX(campaigns!$BG$2:$BG$51,MATCH($A70,campaigns!$A$2:$A$51,0))),"")&lt;&gt;"",IF(config!$B$37&lt;&gt;"",config!$B$37,TODAY())&gt;=WORKDAY(N(IFERROR(IF(INDEX(campaigns!$BG$2:$BG$51,MATCH($A70,campaigns!$A$2:$A$51,0))="","",INDEX(campaigns!$BG$2:$BG$51,MATCH($A70,campaigns!$A$2:$A$51,0))),"")),-4,calendar!$A$2:$A$80)),"no prefill template yet (due T-4); ","")&amp;IF(COUNTIF(links!$D$2:$D$501,$D70)&gt;1,"DUPLICATE slug; ",""))</f>
        <v/>
      </c>
    </row>
    <row r="71">
      <c r="A71" s="25">
        <f>IF(INDEX(approvals!$A$2:$A$251,INT((ROW()-2)/2)+1)="","",INDEX(approvals!$A$2:$A$251,INT((ROW()-2)/2)+1))</f>
        <v/>
      </c>
      <c r="B71" s="25">
        <f>IF(INDEX(approvals!$A$2:$A$251,INT((ROW()-2)/2)+1)="","",INDEX(approvals!$B$2:$B$251,INT((ROW()-2)/2)+1))</f>
        <v/>
      </c>
      <c r="C71" s="25">
        <f>IF($A71="","",IF(MOD(ROW()-2,2)=0,"qr","post"))</f>
        <v/>
      </c>
      <c r="D71" s="25">
        <f>IF($A71="","",IF(LEFT($A71,7)="SAMPLE-","SAMPLE-","")&amp;LOWER(SUBSTITUTE(SUBSTITUTE($A71,"SAMPLE-",""),"CMP-","c"))&amp;"-"&amp;LOWER(SUBSTITUTE(SUBSTITUTE($B71,"SAMPLE-",""),"O-","o"))&amp;"-"&amp;IF($C71="qr","q","p"))</f>
        <v/>
      </c>
      <c r="E71" s="25">
        <f>IF($A71="","","https://"&amp;config!$B$9&amp;"/"&amp;$D71)</f>
        <v/>
      </c>
      <c r="F71" s="25">
        <f>IF($A71="","",$A71&amp;"."&amp;$B71)</f>
        <v/>
      </c>
      <c r="G71" s="25">
        <f>IF($A71="","",IF(IFERROR(IF(INDEX(campaigns!$AJ$2:$AJ$51,MATCH($A71,campaigns!$A$2:$A$51,0))="","",INDEX(campaigns!$AJ$2:$AJ$51,MATCH($A71,campaigns!$A$2:$A$51,0))),"")="","(add the survey prefill template on campaigns)",SUBSTITUTE(IFERROR(IF(INDEX(campaigns!$AJ$2:$AJ$51,MATCH($A71,campaigns!$A$2:$A$51,0))="","",INDEX(campaigns!$AJ$2:$AJ$51,MATCH($A71,campaigns!$A$2:$A$51,0))),""),"CARDCODE",$F71)&amp;"&amp;utm_source=office-pantry&amp;utm_medium="&amp;$C71&amp;"&amp;utm_campaign="&amp;LOWER($A71)&amp;"&amp;utm_content="&amp;LOWER($B71)))</f>
        <v/>
      </c>
      <c r="H71" s="25">
        <f>IF(OR($A71="",$C71&lt;&gt;"qr"),"",$D71&amp;".png")</f>
        <v/>
      </c>
      <c r="I71" s="25">
        <f>IF($A71="","",IF(AND(IFERROR(IF(INDEX(campaigns!$AJ$2:$AJ$51,MATCH($A71,campaigns!$A$2:$A$51,0))="","",INDEX(campaigns!$AJ$2:$AJ$51,MATCH($A71,campaigns!$A$2:$A$51,0))),"")="",IFERROR(IF(INDEX(campaigns!$BG$2:$BG$51,MATCH($A71,campaigns!$A$2:$A$51,0))="","",INDEX(campaigns!$BG$2:$BG$51,MATCH($A71,campaigns!$A$2:$A$51,0))),"")&lt;&gt;"",IF(config!$B$37&lt;&gt;"",config!$B$37,TODAY())&gt;=WORKDAY(N(IFERROR(IF(INDEX(campaigns!$BG$2:$BG$51,MATCH($A71,campaigns!$A$2:$A$51,0))="","",INDEX(campaigns!$BG$2:$BG$51,MATCH($A71,campaigns!$A$2:$A$51,0))),"")),-4,calendar!$A$2:$A$80)),"no prefill template yet (due T-4); ","")&amp;IF(COUNTIF(links!$D$2:$D$501,$D71)&gt;1,"DUPLICATE slug; ",""))</f>
        <v/>
      </c>
    </row>
    <row r="72">
      <c r="A72" s="25">
        <f>IF(INDEX(approvals!$A$2:$A$251,INT((ROW()-2)/2)+1)="","",INDEX(approvals!$A$2:$A$251,INT((ROW()-2)/2)+1))</f>
        <v/>
      </c>
      <c r="B72" s="25">
        <f>IF(INDEX(approvals!$A$2:$A$251,INT((ROW()-2)/2)+1)="","",INDEX(approvals!$B$2:$B$251,INT((ROW()-2)/2)+1))</f>
        <v/>
      </c>
      <c r="C72" s="25">
        <f>IF($A72="","",IF(MOD(ROW()-2,2)=0,"qr","post"))</f>
        <v/>
      </c>
      <c r="D72" s="25">
        <f>IF($A72="","",IF(LEFT($A72,7)="SAMPLE-","SAMPLE-","")&amp;LOWER(SUBSTITUTE(SUBSTITUTE($A72,"SAMPLE-",""),"CMP-","c"))&amp;"-"&amp;LOWER(SUBSTITUTE(SUBSTITUTE($B72,"SAMPLE-",""),"O-","o"))&amp;"-"&amp;IF($C72="qr","q","p"))</f>
        <v/>
      </c>
      <c r="E72" s="25">
        <f>IF($A72="","","https://"&amp;config!$B$9&amp;"/"&amp;$D72)</f>
        <v/>
      </c>
      <c r="F72" s="25">
        <f>IF($A72="","",$A72&amp;"."&amp;$B72)</f>
        <v/>
      </c>
      <c r="G72" s="25">
        <f>IF($A72="","",IF(IFERROR(IF(INDEX(campaigns!$AJ$2:$AJ$51,MATCH($A72,campaigns!$A$2:$A$51,0))="","",INDEX(campaigns!$AJ$2:$AJ$51,MATCH($A72,campaigns!$A$2:$A$51,0))),"")="","(add the survey prefill template on campaigns)",SUBSTITUTE(IFERROR(IF(INDEX(campaigns!$AJ$2:$AJ$51,MATCH($A72,campaigns!$A$2:$A$51,0))="","",INDEX(campaigns!$AJ$2:$AJ$51,MATCH($A72,campaigns!$A$2:$A$51,0))),""),"CARDCODE",$F72)&amp;"&amp;utm_source=office-pantry&amp;utm_medium="&amp;$C72&amp;"&amp;utm_campaign="&amp;LOWER($A72)&amp;"&amp;utm_content="&amp;LOWER($B72)))</f>
        <v/>
      </c>
      <c r="H72" s="25">
        <f>IF(OR($A72="",$C72&lt;&gt;"qr"),"",$D72&amp;".png")</f>
        <v/>
      </c>
      <c r="I72" s="25">
        <f>IF($A72="","",IF(AND(IFERROR(IF(INDEX(campaigns!$AJ$2:$AJ$51,MATCH($A72,campaigns!$A$2:$A$51,0))="","",INDEX(campaigns!$AJ$2:$AJ$51,MATCH($A72,campaigns!$A$2:$A$51,0))),"")="",IFERROR(IF(INDEX(campaigns!$BG$2:$BG$51,MATCH($A72,campaigns!$A$2:$A$51,0))="","",INDEX(campaigns!$BG$2:$BG$51,MATCH($A72,campaigns!$A$2:$A$51,0))),"")&lt;&gt;"",IF(config!$B$37&lt;&gt;"",config!$B$37,TODAY())&gt;=WORKDAY(N(IFERROR(IF(INDEX(campaigns!$BG$2:$BG$51,MATCH($A72,campaigns!$A$2:$A$51,0))="","",INDEX(campaigns!$BG$2:$BG$51,MATCH($A72,campaigns!$A$2:$A$51,0))),"")),-4,calendar!$A$2:$A$80)),"no prefill template yet (due T-4); ","")&amp;IF(COUNTIF(links!$D$2:$D$501,$D72)&gt;1,"DUPLICATE slug; ",""))</f>
        <v/>
      </c>
    </row>
    <row r="73">
      <c r="A73" s="25">
        <f>IF(INDEX(approvals!$A$2:$A$251,INT((ROW()-2)/2)+1)="","",INDEX(approvals!$A$2:$A$251,INT((ROW()-2)/2)+1))</f>
        <v/>
      </c>
      <c r="B73" s="25">
        <f>IF(INDEX(approvals!$A$2:$A$251,INT((ROW()-2)/2)+1)="","",INDEX(approvals!$B$2:$B$251,INT((ROW()-2)/2)+1))</f>
        <v/>
      </c>
      <c r="C73" s="25">
        <f>IF($A73="","",IF(MOD(ROW()-2,2)=0,"qr","post"))</f>
        <v/>
      </c>
      <c r="D73" s="25">
        <f>IF($A73="","",IF(LEFT($A73,7)="SAMPLE-","SAMPLE-","")&amp;LOWER(SUBSTITUTE(SUBSTITUTE($A73,"SAMPLE-",""),"CMP-","c"))&amp;"-"&amp;LOWER(SUBSTITUTE(SUBSTITUTE($B73,"SAMPLE-",""),"O-","o"))&amp;"-"&amp;IF($C73="qr","q","p"))</f>
        <v/>
      </c>
      <c r="E73" s="25">
        <f>IF($A73="","","https://"&amp;config!$B$9&amp;"/"&amp;$D73)</f>
        <v/>
      </c>
      <c r="F73" s="25">
        <f>IF($A73="","",$A73&amp;"."&amp;$B73)</f>
        <v/>
      </c>
      <c r="G73" s="25">
        <f>IF($A73="","",IF(IFERROR(IF(INDEX(campaigns!$AJ$2:$AJ$51,MATCH($A73,campaigns!$A$2:$A$51,0))="","",INDEX(campaigns!$AJ$2:$AJ$51,MATCH($A73,campaigns!$A$2:$A$51,0))),"")="","(add the survey prefill template on campaigns)",SUBSTITUTE(IFERROR(IF(INDEX(campaigns!$AJ$2:$AJ$51,MATCH($A73,campaigns!$A$2:$A$51,0))="","",INDEX(campaigns!$AJ$2:$AJ$51,MATCH($A73,campaigns!$A$2:$A$51,0))),""),"CARDCODE",$F73)&amp;"&amp;utm_source=office-pantry&amp;utm_medium="&amp;$C73&amp;"&amp;utm_campaign="&amp;LOWER($A73)&amp;"&amp;utm_content="&amp;LOWER($B73)))</f>
        <v/>
      </c>
      <c r="H73" s="25">
        <f>IF(OR($A73="",$C73&lt;&gt;"qr"),"",$D73&amp;".png")</f>
        <v/>
      </c>
      <c r="I73" s="25">
        <f>IF($A73="","",IF(AND(IFERROR(IF(INDEX(campaigns!$AJ$2:$AJ$51,MATCH($A73,campaigns!$A$2:$A$51,0))="","",INDEX(campaigns!$AJ$2:$AJ$51,MATCH($A73,campaigns!$A$2:$A$51,0))),"")="",IFERROR(IF(INDEX(campaigns!$BG$2:$BG$51,MATCH($A73,campaigns!$A$2:$A$51,0))="","",INDEX(campaigns!$BG$2:$BG$51,MATCH($A73,campaigns!$A$2:$A$51,0))),"")&lt;&gt;"",IF(config!$B$37&lt;&gt;"",config!$B$37,TODAY())&gt;=WORKDAY(N(IFERROR(IF(INDEX(campaigns!$BG$2:$BG$51,MATCH($A73,campaigns!$A$2:$A$51,0))="","",INDEX(campaigns!$BG$2:$BG$51,MATCH($A73,campaigns!$A$2:$A$51,0))),"")),-4,calendar!$A$2:$A$80)),"no prefill template yet (due T-4); ","")&amp;IF(COUNTIF(links!$D$2:$D$501,$D73)&gt;1,"DUPLICATE slug; ",""))</f>
        <v/>
      </c>
    </row>
    <row r="74">
      <c r="A74" s="25">
        <f>IF(INDEX(approvals!$A$2:$A$251,INT((ROW()-2)/2)+1)="","",INDEX(approvals!$A$2:$A$251,INT((ROW()-2)/2)+1))</f>
        <v/>
      </c>
      <c r="B74" s="25">
        <f>IF(INDEX(approvals!$A$2:$A$251,INT((ROW()-2)/2)+1)="","",INDEX(approvals!$B$2:$B$251,INT((ROW()-2)/2)+1))</f>
        <v/>
      </c>
      <c r="C74" s="25">
        <f>IF($A74="","",IF(MOD(ROW()-2,2)=0,"qr","post"))</f>
        <v/>
      </c>
      <c r="D74" s="25">
        <f>IF($A74="","",IF(LEFT($A74,7)="SAMPLE-","SAMPLE-","")&amp;LOWER(SUBSTITUTE(SUBSTITUTE($A74,"SAMPLE-",""),"CMP-","c"))&amp;"-"&amp;LOWER(SUBSTITUTE(SUBSTITUTE($B74,"SAMPLE-",""),"O-","o"))&amp;"-"&amp;IF($C74="qr","q","p"))</f>
        <v/>
      </c>
      <c r="E74" s="25">
        <f>IF($A74="","","https://"&amp;config!$B$9&amp;"/"&amp;$D74)</f>
        <v/>
      </c>
      <c r="F74" s="25">
        <f>IF($A74="","",$A74&amp;"."&amp;$B74)</f>
        <v/>
      </c>
      <c r="G74" s="25">
        <f>IF($A74="","",IF(IFERROR(IF(INDEX(campaigns!$AJ$2:$AJ$51,MATCH($A74,campaigns!$A$2:$A$51,0))="","",INDEX(campaigns!$AJ$2:$AJ$51,MATCH($A74,campaigns!$A$2:$A$51,0))),"")="","(add the survey prefill template on campaigns)",SUBSTITUTE(IFERROR(IF(INDEX(campaigns!$AJ$2:$AJ$51,MATCH($A74,campaigns!$A$2:$A$51,0))="","",INDEX(campaigns!$AJ$2:$AJ$51,MATCH($A74,campaigns!$A$2:$A$51,0))),""),"CARDCODE",$F74)&amp;"&amp;utm_source=office-pantry&amp;utm_medium="&amp;$C74&amp;"&amp;utm_campaign="&amp;LOWER($A74)&amp;"&amp;utm_content="&amp;LOWER($B74)))</f>
        <v/>
      </c>
      <c r="H74" s="25">
        <f>IF(OR($A74="",$C74&lt;&gt;"qr"),"",$D74&amp;".png")</f>
        <v/>
      </c>
      <c r="I74" s="25">
        <f>IF($A74="","",IF(AND(IFERROR(IF(INDEX(campaigns!$AJ$2:$AJ$51,MATCH($A74,campaigns!$A$2:$A$51,0))="","",INDEX(campaigns!$AJ$2:$AJ$51,MATCH($A74,campaigns!$A$2:$A$51,0))),"")="",IFERROR(IF(INDEX(campaigns!$BG$2:$BG$51,MATCH($A74,campaigns!$A$2:$A$51,0))="","",INDEX(campaigns!$BG$2:$BG$51,MATCH($A74,campaigns!$A$2:$A$51,0))),"")&lt;&gt;"",IF(config!$B$37&lt;&gt;"",config!$B$37,TODAY())&gt;=WORKDAY(N(IFERROR(IF(INDEX(campaigns!$BG$2:$BG$51,MATCH($A74,campaigns!$A$2:$A$51,0))="","",INDEX(campaigns!$BG$2:$BG$51,MATCH($A74,campaigns!$A$2:$A$51,0))),"")),-4,calendar!$A$2:$A$80)),"no prefill template yet (due T-4); ","")&amp;IF(COUNTIF(links!$D$2:$D$501,$D74)&gt;1,"DUPLICATE slug; ",""))</f>
        <v/>
      </c>
    </row>
    <row r="75">
      <c r="A75" s="25">
        <f>IF(INDEX(approvals!$A$2:$A$251,INT((ROW()-2)/2)+1)="","",INDEX(approvals!$A$2:$A$251,INT((ROW()-2)/2)+1))</f>
        <v/>
      </c>
      <c r="B75" s="25">
        <f>IF(INDEX(approvals!$A$2:$A$251,INT((ROW()-2)/2)+1)="","",INDEX(approvals!$B$2:$B$251,INT((ROW()-2)/2)+1))</f>
        <v/>
      </c>
      <c r="C75" s="25">
        <f>IF($A75="","",IF(MOD(ROW()-2,2)=0,"qr","post"))</f>
        <v/>
      </c>
      <c r="D75" s="25">
        <f>IF($A75="","",IF(LEFT($A75,7)="SAMPLE-","SAMPLE-","")&amp;LOWER(SUBSTITUTE(SUBSTITUTE($A75,"SAMPLE-",""),"CMP-","c"))&amp;"-"&amp;LOWER(SUBSTITUTE(SUBSTITUTE($B75,"SAMPLE-",""),"O-","o"))&amp;"-"&amp;IF($C75="qr","q","p"))</f>
        <v/>
      </c>
      <c r="E75" s="25">
        <f>IF($A75="","","https://"&amp;config!$B$9&amp;"/"&amp;$D75)</f>
        <v/>
      </c>
      <c r="F75" s="25">
        <f>IF($A75="","",$A75&amp;"."&amp;$B75)</f>
        <v/>
      </c>
      <c r="G75" s="25">
        <f>IF($A75="","",IF(IFERROR(IF(INDEX(campaigns!$AJ$2:$AJ$51,MATCH($A75,campaigns!$A$2:$A$51,0))="","",INDEX(campaigns!$AJ$2:$AJ$51,MATCH($A75,campaigns!$A$2:$A$51,0))),"")="","(add the survey prefill template on campaigns)",SUBSTITUTE(IFERROR(IF(INDEX(campaigns!$AJ$2:$AJ$51,MATCH($A75,campaigns!$A$2:$A$51,0))="","",INDEX(campaigns!$AJ$2:$AJ$51,MATCH($A75,campaigns!$A$2:$A$51,0))),""),"CARDCODE",$F75)&amp;"&amp;utm_source=office-pantry&amp;utm_medium="&amp;$C75&amp;"&amp;utm_campaign="&amp;LOWER($A75)&amp;"&amp;utm_content="&amp;LOWER($B75)))</f>
        <v/>
      </c>
      <c r="H75" s="25">
        <f>IF(OR($A75="",$C75&lt;&gt;"qr"),"",$D75&amp;".png")</f>
        <v/>
      </c>
      <c r="I75" s="25">
        <f>IF($A75="","",IF(AND(IFERROR(IF(INDEX(campaigns!$AJ$2:$AJ$51,MATCH($A75,campaigns!$A$2:$A$51,0))="","",INDEX(campaigns!$AJ$2:$AJ$51,MATCH($A75,campaigns!$A$2:$A$51,0))),"")="",IFERROR(IF(INDEX(campaigns!$BG$2:$BG$51,MATCH($A75,campaigns!$A$2:$A$51,0))="","",INDEX(campaigns!$BG$2:$BG$51,MATCH($A75,campaigns!$A$2:$A$51,0))),"")&lt;&gt;"",IF(config!$B$37&lt;&gt;"",config!$B$37,TODAY())&gt;=WORKDAY(N(IFERROR(IF(INDEX(campaigns!$BG$2:$BG$51,MATCH($A75,campaigns!$A$2:$A$51,0))="","",INDEX(campaigns!$BG$2:$BG$51,MATCH($A75,campaigns!$A$2:$A$51,0))),"")),-4,calendar!$A$2:$A$80)),"no prefill template yet (due T-4); ","")&amp;IF(COUNTIF(links!$D$2:$D$501,$D75)&gt;1,"DUPLICATE slug; ",""))</f>
        <v/>
      </c>
    </row>
    <row r="76">
      <c r="A76" s="25">
        <f>IF(INDEX(approvals!$A$2:$A$251,INT((ROW()-2)/2)+1)="","",INDEX(approvals!$A$2:$A$251,INT((ROW()-2)/2)+1))</f>
        <v/>
      </c>
      <c r="B76" s="25">
        <f>IF(INDEX(approvals!$A$2:$A$251,INT((ROW()-2)/2)+1)="","",INDEX(approvals!$B$2:$B$251,INT((ROW()-2)/2)+1))</f>
        <v/>
      </c>
      <c r="C76" s="25">
        <f>IF($A76="","",IF(MOD(ROW()-2,2)=0,"qr","post"))</f>
        <v/>
      </c>
      <c r="D76" s="25">
        <f>IF($A76="","",IF(LEFT($A76,7)="SAMPLE-","SAMPLE-","")&amp;LOWER(SUBSTITUTE(SUBSTITUTE($A76,"SAMPLE-",""),"CMP-","c"))&amp;"-"&amp;LOWER(SUBSTITUTE(SUBSTITUTE($B76,"SAMPLE-",""),"O-","o"))&amp;"-"&amp;IF($C76="qr","q","p"))</f>
        <v/>
      </c>
      <c r="E76" s="25">
        <f>IF($A76="","","https://"&amp;config!$B$9&amp;"/"&amp;$D76)</f>
        <v/>
      </c>
      <c r="F76" s="25">
        <f>IF($A76="","",$A76&amp;"."&amp;$B76)</f>
        <v/>
      </c>
      <c r="G76" s="25">
        <f>IF($A76="","",IF(IFERROR(IF(INDEX(campaigns!$AJ$2:$AJ$51,MATCH($A76,campaigns!$A$2:$A$51,0))="","",INDEX(campaigns!$AJ$2:$AJ$51,MATCH($A76,campaigns!$A$2:$A$51,0))),"")="","(add the survey prefill template on campaigns)",SUBSTITUTE(IFERROR(IF(INDEX(campaigns!$AJ$2:$AJ$51,MATCH($A76,campaigns!$A$2:$A$51,0))="","",INDEX(campaigns!$AJ$2:$AJ$51,MATCH($A76,campaigns!$A$2:$A$51,0))),""),"CARDCODE",$F76)&amp;"&amp;utm_source=office-pantry&amp;utm_medium="&amp;$C76&amp;"&amp;utm_campaign="&amp;LOWER($A76)&amp;"&amp;utm_content="&amp;LOWER($B76)))</f>
        <v/>
      </c>
      <c r="H76" s="25">
        <f>IF(OR($A76="",$C76&lt;&gt;"qr"),"",$D76&amp;".png")</f>
        <v/>
      </c>
      <c r="I76" s="25">
        <f>IF($A76="","",IF(AND(IFERROR(IF(INDEX(campaigns!$AJ$2:$AJ$51,MATCH($A76,campaigns!$A$2:$A$51,0))="","",INDEX(campaigns!$AJ$2:$AJ$51,MATCH($A76,campaigns!$A$2:$A$51,0))),"")="",IFERROR(IF(INDEX(campaigns!$BG$2:$BG$51,MATCH($A76,campaigns!$A$2:$A$51,0))="","",INDEX(campaigns!$BG$2:$BG$51,MATCH($A76,campaigns!$A$2:$A$51,0))),"")&lt;&gt;"",IF(config!$B$37&lt;&gt;"",config!$B$37,TODAY())&gt;=WORKDAY(N(IFERROR(IF(INDEX(campaigns!$BG$2:$BG$51,MATCH($A76,campaigns!$A$2:$A$51,0))="","",INDEX(campaigns!$BG$2:$BG$51,MATCH($A76,campaigns!$A$2:$A$51,0))),"")),-4,calendar!$A$2:$A$80)),"no prefill template yet (due T-4); ","")&amp;IF(COUNTIF(links!$D$2:$D$501,$D76)&gt;1,"DUPLICATE slug; ",""))</f>
        <v/>
      </c>
    </row>
    <row r="77">
      <c r="A77" s="25">
        <f>IF(INDEX(approvals!$A$2:$A$251,INT((ROW()-2)/2)+1)="","",INDEX(approvals!$A$2:$A$251,INT((ROW()-2)/2)+1))</f>
        <v/>
      </c>
      <c r="B77" s="25">
        <f>IF(INDEX(approvals!$A$2:$A$251,INT((ROW()-2)/2)+1)="","",INDEX(approvals!$B$2:$B$251,INT((ROW()-2)/2)+1))</f>
        <v/>
      </c>
      <c r="C77" s="25">
        <f>IF($A77="","",IF(MOD(ROW()-2,2)=0,"qr","post"))</f>
        <v/>
      </c>
      <c r="D77" s="25">
        <f>IF($A77="","",IF(LEFT($A77,7)="SAMPLE-","SAMPLE-","")&amp;LOWER(SUBSTITUTE(SUBSTITUTE($A77,"SAMPLE-",""),"CMP-","c"))&amp;"-"&amp;LOWER(SUBSTITUTE(SUBSTITUTE($B77,"SAMPLE-",""),"O-","o"))&amp;"-"&amp;IF($C77="qr","q","p"))</f>
        <v/>
      </c>
      <c r="E77" s="25">
        <f>IF($A77="","","https://"&amp;config!$B$9&amp;"/"&amp;$D77)</f>
        <v/>
      </c>
      <c r="F77" s="25">
        <f>IF($A77="","",$A77&amp;"."&amp;$B77)</f>
        <v/>
      </c>
      <c r="G77" s="25">
        <f>IF($A77="","",IF(IFERROR(IF(INDEX(campaigns!$AJ$2:$AJ$51,MATCH($A77,campaigns!$A$2:$A$51,0))="","",INDEX(campaigns!$AJ$2:$AJ$51,MATCH($A77,campaigns!$A$2:$A$51,0))),"")="","(add the survey prefill template on campaigns)",SUBSTITUTE(IFERROR(IF(INDEX(campaigns!$AJ$2:$AJ$51,MATCH($A77,campaigns!$A$2:$A$51,0))="","",INDEX(campaigns!$AJ$2:$AJ$51,MATCH($A77,campaigns!$A$2:$A$51,0))),""),"CARDCODE",$F77)&amp;"&amp;utm_source=office-pantry&amp;utm_medium="&amp;$C77&amp;"&amp;utm_campaign="&amp;LOWER($A77)&amp;"&amp;utm_content="&amp;LOWER($B77)))</f>
        <v/>
      </c>
      <c r="H77" s="25">
        <f>IF(OR($A77="",$C77&lt;&gt;"qr"),"",$D77&amp;".png")</f>
        <v/>
      </c>
      <c r="I77" s="25">
        <f>IF($A77="","",IF(AND(IFERROR(IF(INDEX(campaigns!$AJ$2:$AJ$51,MATCH($A77,campaigns!$A$2:$A$51,0))="","",INDEX(campaigns!$AJ$2:$AJ$51,MATCH($A77,campaigns!$A$2:$A$51,0))),"")="",IFERROR(IF(INDEX(campaigns!$BG$2:$BG$51,MATCH($A77,campaigns!$A$2:$A$51,0))="","",INDEX(campaigns!$BG$2:$BG$51,MATCH($A77,campaigns!$A$2:$A$51,0))),"")&lt;&gt;"",IF(config!$B$37&lt;&gt;"",config!$B$37,TODAY())&gt;=WORKDAY(N(IFERROR(IF(INDEX(campaigns!$BG$2:$BG$51,MATCH($A77,campaigns!$A$2:$A$51,0))="","",INDEX(campaigns!$BG$2:$BG$51,MATCH($A77,campaigns!$A$2:$A$51,0))),"")),-4,calendar!$A$2:$A$80)),"no prefill template yet (due T-4); ","")&amp;IF(COUNTIF(links!$D$2:$D$501,$D77)&gt;1,"DUPLICATE slug; ",""))</f>
        <v/>
      </c>
    </row>
    <row r="78">
      <c r="A78" s="25">
        <f>IF(INDEX(approvals!$A$2:$A$251,INT((ROW()-2)/2)+1)="","",INDEX(approvals!$A$2:$A$251,INT((ROW()-2)/2)+1))</f>
        <v/>
      </c>
      <c r="B78" s="25">
        <f>IF(INDEX(approvals!$A$2:$A$251,INT((ROW()-2)/2)+1)="","",INDEX(approvals!$B$2:$B$251,INT((ROW()-2)/2)+1))</f>
        <v/>
      </c>
      <c r="C78" s="25">
        <f>IF($A78="","",IF(MOD(ROW()-2,2)=0,"qr","post"))</f>
        <v/>
      </c>
      <c r="D78" s="25">
        <f>IF($A78="","",IF(LEFT($A78,7)="SAMPLE-","SAMPLE-","")&amp;LOWER(SUBSTITUTE(SUBSTITUTE($A78,"SAMPLE-",""),"CMP-","c"))&amp;"-"&amp;LOWER(SUBSTITUTE(SUBSTITUTE($B78,"SAMPLE-",""),"O-","o"))&amp;"-"&amp;IF($C78="qr","q","p"))</f>
        <v/>
      </c>
      <c r="E78" s="25">
        <f>IF($A78="","","https://"&amp;config!$B$9&amp;"/"&amp;$D78)</f>
        <v/>
      </c>
      <c r="F78" s="25">
        <f>IF($A78="","",$A78&amp;"."&amp;$B78)</f>
        <v/>
      </c>
      <c r="G78" s="25">
        <f>IF($A78="","",IF(IFERROR(IF(INDEX(campaigns!$AJ$2:$AJ$51,MATCH($A78,campaigns!$A$2:$A$51,0))="","",INDEX(campaigns!$AJ$2:$AJ$51,MATCH($A78,campaigns!$A$2:$A$51,0))),"")="","(add the survey prefill template on campaigns)",SUBSTITUTE(IFERROR(IF(INDEX(campaigns!$AJ$2:$AJ$51,MATCH($A78,campaigns!$A$2:$A$51,0))="","",INDEX(campaigns!$AJ$2:$AJ$51,MATCH($A78,campaigns!$A$2:$A$51,0))),""),"CARDCODE",$F78)&amp;"&amp;utm_source=office-pantry&amp;utm_medium="&amp;$C78&amp;"&amp;utm_campaign="&amp;LOWER($A78)&amp;"&amp;utm_content="&amp;LOWER($B78)))</f>
        <v/>
      </c>
      <c r="H78" s="25">
        <f>IF(OR($A78="",$C78&lt;&gt;"qr"),"",$D78&amp;".png")</f>
        <v/>
      </c>
      <c r="I78" s="25">
        <f>IF($A78="","",IF(AND(IFERROR(IF(INDEX(campaigns!$AJ$2:$AJ$51,MATCH($A78,campaigns!$A$2:$A$51,0))="","",INDEX(campaigns!$AJ$2:$AJ$51,MATCH($A78,campaigns!$A$2:$A$51,0))),"")="",IFERROR(IF(INDEX(campaigns!$BG$2:$BG$51,MATCH($A78,campaigns!$A$2:$A$51,0))="","",INDEX(campaigns!$BG$2:$BG$51,MATCH($A78,campaigns!$A$2:$A$51,0))),"")&lt;&gt;"",IF(config!$B$37&lt;&gt;"",config!$B$37,TODAY())&gt;=WORKDAY(N(IFERROR(IF(INDEX(campaigns!$BG$2:$BG$51,MATCH($A78,campaigns!$A$2:$A$51,0))="","",INDEX(campaigns!$BG$2:$BG$51,MATCH($A78,campaigns!$A$2:$A$51,0))),"")),-4,calendar!$A$2:$A$80)),"no prefill template yet (due T-4); ","")&amp;IF(COUNTIF(links!$D$2:$D$501,$D78)&gt;1,"DUPLICATE slug; ",""))</f>
        <v/>
      </c>
    </row>
    <row r="79">
      <c r="A79" s="25">
        <f>IF(INDEX(approvals!$A$2:$A$251,INT((ROW()-2)/2)+1)="","",INDEX(approvals!$A$2:$A$251,INT((ROW()-2)/2)+1))</f>
        <v/>
      </c>
      <c r="B79" s="25">
        <f>IF(INDEX(approvals!$A$2:$A$251,INT((ROW()-2)/2)+1)="","",INDEX(approvals!$B$2:$B$251,INT((ROW()-2)/2)+1))</f>
        <v/>
      </c>
      <c r="C79" s="25">
        <f>IF($A79="","",IF(MOD(ROW()-2,2)=0,"qr","post"))</f>
        <v/>
      </c>
      <c r="D79" s="25">
        <f>IF($A79="","",IF(LEFT($A79,7)="SAMPLE-","SAMPLE-","")&amp;LOWER(SUBSTITUTE(SUBSTITUTE($A79,"SAMPLE-",""),"CMP-","c"))&amp;"-"&amp;LOWER(SUBSTITUTE(SUBSTITUTE($B79,"SAMPLE-",""),"O-","o"))&amp;"-"&amp;IF($C79="qr","q","p"))</f>
        <v/>
      </c>
      <c r="E79" s="25">
        <f>IF($A79="","","https://"&amp;config!$B$9&amp;"/"&amp;$D79)</f>
        <v/>
      </c>
      <c r="F79" s="25">
        <f>IF($A79="","",$A79&amp;"."&amp;$B79)</f>
        <v/>
      </c>
      <c r="G79" s="25">
        <f>IF($A79="","",IF(IFERROR(IF(INDEX(campaigns!$AJ$2:$AJ$51,MATCH($A79,campaigns!$A$2:$A$51,0))="","",INDEX(campaigns!$AJ$2:$AJ$51,MATCH($A79,campaigns!$A$2:$A$51,0))),"")="","(add the survey prefill template on campaigns)",SUBSTITUTE(IFERROR(IF(INDEX(campaigns!$AJ$2:$AJ$51,MATCH($A79,campaigns!$A$2:$A$51,0))="","",INDEX(campaigns!$AJ$2:$AJ$51,MATCH($A79,campaigns!$A$2:$A$51,0))),""),"CARDCODE",$F79)&amp;"&amp;utm_source=office-pantry&amp;utm_medium="&amp;$C79&amp;"&amp;utm_campaign="&amp;LOWER($A79)&amp;"&amp;utm_content="&amp;LOWER($B79)))</f>
        <v/>
      </c>
      <c r="H79" s="25">
        <f>IF(OR($A79="",$C79&lt;&gt;"qr"),"",$D79&amp;".png")</f>
        <v/>
      </c>
      <c r="I79" s="25">
        <f>IF($A79="","",IF(AND(IFERROR(IF(INDEX(campaigns!$AJ$2:$AJ$51,MATCH($A79,campaigns!$A$2:$A$51,0))="","",INDEX(campaigns!$AJ$2:$AJ$51,MATCH($A79,campaigns!$A$2:$A$51,0))),"")="",IFERROR(IF(INDEX(campaigns!$BG$2:$BG$51,MATCH($A79,campaigns!$A$2:$A$51,0))="","",INDEX(campaigns!$BG$2:$BG$51,MATCH($A79,campaigns!$A$2:$A$51,0))),"")&lt;&gt;"",IF(config!$B$37&lt;&gt;"",config!$B$37,TODAY())&gt;=WORKDAY(N(IFERROR(IF(INDEX(campaigns!$BG$2:$BG$51,MATCH($A79,campaigns!$A$2:$A$51,0))="","",INDEX(campaigns!$BG$2:$BG$51,MATCH($A79,campaigns!$A$2:$A$51,0))),"")),-4,calendar!$A$2:$A$80)),"no prefill template yet (due T-4); ","")&amp;IF(COUNTIF(links!$D$2:$D$501,$D79)&gt;1,"DUPLICATE slug; ",""))</f>
        <v/>
      </c>
    </row>
    <row r="80">
      <c r="A80" s="25">
        <f>IF(INDEX(approvals!$A$2:$A$251,INT((ROW()-2)/2)+1)="","",INDEX(approvals!$A$2:$A$251,INT((ROW()-2)/2)+1))</f>
        <v/>
      </c>
      <c r="B80" s="25">
        <f>IF(INDEX(approvals!$A$2:$A$251,INT((ROW()-2)/2)+1)="","",INDEX(approvals!$B$2:$B$251,INT((ROW()-2)/2)+1))</f>
        <v/>
      </c>
      <c r="C80" s="25">
        <f>IF($A80="","",IF(MOD(ROW()-2,2)=0,"qr","post"))</f>
        <v/>
      </c>
      <c r="D80" s="25">
        <f>IF($A80="","",IF(LEFT($A80,7)="SAMPLE-","SAMPLE-","")&amp;LOWER(SUBSTITUTE(SUBSTITUTE($A80,"SAMPLE-",""),"CMP-","c"))&amp;"-"&amp;LOWER(SUBSTITUTE(SUBSTITUTE($B80,"SAMPLE-",""),"O-","o"))&amp;"-"&amp;IF($C80="qr","q","p"))</f>
        <v/>
      </c>
      <c r="E80" s="25">
        <f>IF($A80="","","https://"&amp;config!$B$9&amp;"/"&amp;$D80)</f>
        <v/>
      </c>
      <c r="F80" s="25">
        <f>IF($A80="","",$A80&amp;"."&amp;$B80)</f>
        <v/>
      </c>
      <c r="G80" s="25">
        <f>IF($A80="","",IF(IFERROR(IF(INDEX(campaigns!$AJ$2:$AJ$51,MATCH($A80,campaigns!$A$2:$A$51,0))="","",INDEX(campaigns!$AJ$2:$AJ$51,MATCH($A80,campaigns!$A$2:$A$51,0))),"")="","(add the survey prefill template on campaigns)",SUBSTITUTE(IFERROR(IF(INDEX(campaigns!$AJ$2:$AJ$51,MATCH($A80,campaigns!$A$2:$A$51,0))="","",INDEX(campaigns!$AJ$2:$AJ$51,MATCH($A80,campaigns!$A$2:$A$51,0))),""),"CARDCODE",$F80)&amp;"&amp;utm_source=office-pantry&amp;utm_medium="&amp;$C80&amp;"&amp;utm_campaign="&amp;LOWER($A80)&amp;"&amp;utm_content="&amp;LOWER($B80)))</f>
        <v/>
      </c>
      <c r="H80" s="25">
        <f>IF(OR($A80="",$C80&lt;&gt;"qr"),"",$D80&amp;".png")</f>
        <v/>
      </c>
      <c r="I80" s="25">
        <f>IF($A80="","",IF(AND(IFERROR(IF(INDEX(campaigns!$AJ$2:$AJ$51,MATCH($A80,campaigns!$A$2:$A$51,0))="","",INDEX(campaigns!$AJ$2:$AJ$51,MATCH($A80,campaigns!$A$2:$A$51,0))),"")="",IFERROR(IF(INDEX(campaigns!$BG$2:$BG$51,MATCH($A80,campaigns!$A$2:$A$51,0))="","",INDEX(campaigns!$BG$2:$BG$51,MATCH($A80,campaigns!$A$2:$A$51,0))),"")&lt;&gt;"",IF(config!$B$37&lt;&gt;"",config!$B$37,TODAY())&gt;=WORKDAY(N(IFERROR(IF(INDEX(campaigns!$BG$2:$BG$51,MATCH($A80,campaigns!$A$2:$A$51,0))="","",INDEX(campaigns!$BG$2:$BG$51,MATCH($A80,campaigns!$A$2:$A$51,0))),"")),-4,calendar!$A$2:$A$80)),"no prefill template yet (due T-4); ","")&amp;IF(COUNTIF(links!$D$2:$D$501,$D80)&gt;1,"DUPLICATE slug; ",""))</f>
        <v/>
      </c>
    </row>
    <row r="81">
      <c r="A81" s="25">
        <f>IF(INDEX(approvals!$A$2:$A$251,INT((ROW()-2)/2)+1)="","",INDEX(approvals!$A$2:$A$251,INT((ROW()-2)/2)+1))</f>
        <v/>
      </c>
      <c r="B81" s="25">
        <f>IF(INDEX(approvals!$A$2:$A$251,INT((ROW()-2)/2)+1)="","",INDEX(approvals!$B$2:$B$251,INT((ROW()-2)/2)+1))</f>
        <v/>
      </c>
      <c r="C81" s="25">
        <f>IF($A81="","",IF(MOD(ROW()-2,2)=0,"qr","post"))</f>
        <v/>
      </c>
      <c r="D81" s="25">
        <f>IF($A81="","",IF(LEFT($A81,7)="SAMPLE-","SAMPLE-","")&amp;LOWER(SUBSTITUTE(SUBSTITUTE($A81,"SAMPLE-",""),"CMP-","c"))&amp;"-"&amp;LOWER(SUBSTITUTE(SUBSTITUTE($B81,"SAMPLE-",""),"O-","o"))&amp;"-"&amp;IF($C81="qr","q","p"))</f>
        <v/>
      </c>
      <c r="E81" s="25">
        <f>IF($A81="","","https://"&amp;config!$B$9&amp;"/"&amp;$D81)</f>
        <v/>
      </c>
      <c r="F81" s="25">
        <f>IF($A81="","",$A81&amp;"."&amp;$B81)</f>
        <v/>
      </c>
      <c r="G81" s="25">
        <f>IF($A81="","",IF(IFERROR(IF(INDEX(campaigns!$AJ$2:$AJ$51,MATCH($A81,campaigns!$A$2:$A$51,0))="","",INDEX(campaigns!$AJ$2:$AJ$51,MATCH($A81,campaigns!$A$2:$A$51,0))),"")="","(add the survey prefill template on campaigns)",SUBSTITUTE(IFERROR(IF(INDEX(campaigns!$AJ$2:$AJ$51,MATCH($A81,campaigns!$A$2:$A$51,0))="","",INDEX(campaigns!$AJ$2:$AJ$51,MATCH($A81,campaigns!$A$2:$A$51,0))),""),"CARDCODE",$F81)&amp;"&amp;utm_source=office-pantry&amp;utm_medium="&amp;$C81&amp;"&amp;utm_campaign="&amp;LOWER($A81)&amp;"&amp;utm_content="&amp;LOWER($B81)))</f>
        <v/>
      </c>
      <c r="H81" s="25">
        <f>IF(OR($A81="",$C81&lt;&gt;"qr"),"",$D81&amp;".png")</f>
        <v/>
      </c>
      <c r="I81" s="25">
        <f>IF($A81="","",IF(AND(IFERROR(IF(INDEX(campaigns!$AJ$2:$AJ$51,MATCH($A81,campaigns!$A$2:$A$51,0))="","",INDEX(campaigns!$AJ$2:$AJ$51,MATCH($A81,campaigns!$A$2:$A$51,0))),"")="",IFERROR(IF(INDEX(campaigns!$BG$2:$BG$51,MATCH($A81,campaigns!$A$2:$A$51,0))="","",INDEX(campaigns!$BG$2:$BG$51,MATCH($A81,campaigns!$A$2:$A$51,0))),"")&lt;&gt;"",IF(config!$B$37&lt;&gt;"",config!$B$37,TODAY())&gt;=WORKDAY(N(IFERROR(IF(INDEX(campaigns!$BG$2:$BG$51,MATCH($A81,campaigns!$A$2:$A$51,0))="","",INDEX(campaigns!$BG$2:$BG$51,MATCH($A81,campaigns!$A$2:$A$51,0))),"")),-4,calendar!$A$2:$A$80)),"no prefill template yet (due T-4); ","")&amp;IF(COUNTIF(links!$D$2:$D$501,$D81)&gt;1,"DUPLICATE slug; ",""))</f>
        <v/>
      </c>
    </row>
    <row r="82">
      <c r="A82" s="25">
        <f>IF(INDEX(approvals!$A$2:$A$251,INT((ROW()-2)/2)+1)="","",INDEX(approvals!$A$2:$A$251,INT((ROW()-2)/2)+1))</f>
        <v/>
      </c>
      <c r="B82" s="25">
        <f>IF(INDEX(approvals!$A$2:$A$251,INT((ROW()-2)/2)+1)="","",INDEX(approvals!$B$2:$B$251,INT((ROW()-2)/2)+1))</f>
        <v/>
      </c>
      <c r="C82" s="25">
        <f>IF($A82="","",IF(MOD(ROW()-2,2)=0,"qr","post"))</f>
        <v/>
      </c>
      <c r="D82" s="25">
        <f>IF($A82="","",IF(LEFT($A82,7)="SAMPLE-","SAMPLE-","")&amp;LOWER(SUBSTITUTE(SUBSTITUTE($A82,"SAMPLE-",""),"CMP-","c"))&amp;"-"&amp;LOWER(SUBSTITUTE(SUBSTITUTE($B82,"SAMPLE-",""),"O-","o"))&amp;"-"&amp;IF($C82="qr","q","p"))</f>
        <v/>
      </c>
      <c r="E82" s="25">
        <f>IF($A82="","","https://"&amp;config!$B$9&amp;"/"&amp;$D82)</f>
        <v/>
      </c>
      <c r="F82" s="25">
        <f>IF($A82="","",$A82&amp;"."&amp;$B82)</f>
        <v/>
      </c>
      <c r="G82" s="25">
        <f>IF($A82="","",IF(IFERROR(IF(INDEX(campaigns!$AJ$2:$AJ$51,MATCH($A82,campaigns!$A$2:$A$51,0))="","",INDEX(campaigns!$AJ$2:$AJ$51,MATCH($A82,campaigns!$A$2:$A$51,0))),"")="","(add the survey prefill template on campaigns)",SUBSTITUTE(IFERROR(IF(INDEX(campaigns!$AJ$2:$AJ$51,MATCH($A82,campaigns!$A$2:$A$51,0))="","",INDEX(campaigns!$AJ$2:$AJ$51,MATCH($A82,campaigns!$A$2:$A$51,0))),""),"CARDCODE",$F82)&amp;"&amp;utm_source=office-pantry&amp;utm_medium="&amp;$C82&amp;"&amp;utm_campaign="&amp;LOWER($A82)&amp;"&amp;utm_content="&amp;LOWER($B82)))</f>
        <v/>
      </c>
      <c r="H82" s="25">
        <f>IF(OR($A82="",$C82&lt;&gt;"qr"),"",$D82&amp;".png")</f>
        <v/>
      </c>
      <c r="I82" s="25">
        <f>IF($A82="","",IF(AND(IFERROR(IF(INDEX(campaigns!$AJ$2:$AJ$51,MATCH($A82,campaigns!$A$2:$A$51,0))="","",INDEX(campaigns!$AJ$2:$AJ$51,MATCH($A82,campaigns!$A$2:$A$51,0))),"")="",IFERROR(IF(INDEX(campaigns!$BG$2:$BG$51,MATCH($A82,campaigns!$A$2:$A$51,0))="","",INDEX(campaigns!$BG$2:$BG$51,MATCH($A82,campaigns!$A$2:$A$51,0))),"")&lt;&gt;"",IF(config!$B$37&lt;&gt;"",config!$B$37,TODAY())&gt;=WORKDAY(N(IFERROR(IF(INDEX(campaigns!$BG$2:$BG$51,MATCH($A82,campaigns!$A$2:$A$51,0))="","",INDEX(campaigns!$BG$2:$BG$51,MATCH($A82,campaigns!$A$2:$A$51,0))),"")),-4,calendar!$A$2:$A$80)),"no prefill template yet (due T-4); ","")&amp;IF(COUNTIF(links!$D$2:$D$501,$D82)&gt;1,"DUPLICATE slug; ",""))</f>
        <v/>
      </c>
    </row>
    <row r="83">
      <c r="A83" s="25">
        <f>IF(INDEX(approvals!$A$2:$A$251,INT((ROW()-2)/2)+1)="","",INDEX(approvals!$A$2:$A$251,INT((ROW()-2)/2)+1))</f>
        <v/>
      </c>
      <c r="B83" s="25">
        <f>IF(INDEX(approvals!$A$2:$A$251,INT((ROW()-2)/2)+1)="","",INDEX(approvals!$B$2:$B$251,INT((ROW()-2)/2)+1))</f>
        <v/>
      </c>
      <c r="C83" s="25">
        <f>IF($A83="","",IF(MOD(ROW()-2,2)=0,"qr","post"))</f>
        <v/>
      </c>
      <c r="D83" s="25">
        <f>IF($A83="","",IF(LEFT($A83,7)="SAMPLE-","SAMPLE-","")&amp;LOWER(SUBSTITUTE(SUBSTITUTE($A83,"SAMPLE-",""),"CMP-","c"))&amp;"-"&amp;LOWER(SUBSTITUTE(SUBSTITUTE($B83,"SAMPLE-",""),"O-","o"))&amp;"-"&amp;IF($C83="qr","q","p"))</f>
        <v/>
      </c>
      <c r="E83" s="25">
        <f>IF($A83="","","https://"&amp;config!$B$9&amp;"/"&amp;$D83)</f>
        <v/>
      </c>
      <c r="F83" s="25">
        <f>IF($A83="","",$A83&amp;"."&amp;$B83)</f>
        <v/>
      </c>
      <c r="G83" s="25">
        <f>IF($A83="","",IF(IFERROR(IF(INDEX(campaigns!$AJ$2:$AJ$51,MATCH($A83,campaigns!$A$2:$A$51,0))="","",INDEX(campaigns!$AJ$2:$AJ$51,MATCH($A83,campaigns!$A$2:$A$51,0))),"")="","(add the survey prefill template on campaigns)",SUBSTITUTE(IFERROR(IF(INDEX(campaigns!$AJ$2:$AJ$51,MATCH($A83,campaigns!$A$2:$A$51,0))="","",INDEX(campaigns!$AJ$2:$AJ$51,MATCH($A83,campaigns!$A$2:$A$51,0))),""),"CARDCODE",$F83)&amp;"&amp;utm_source=office-pantry&amp;utm_medium="&amp;$C83&amp;"&amp;utm_campaign="&amp;LOWER($A83)&amp;"&amp;utm_content="&amp;LOWER($B83)))</f>
        <v/>
      </c>
      <c r="H83" s="25">
        <f>IF(OR($A83="",$C83&lt;&gt;"qr"),"",$D83&amp;".png")</f>
        <v/>
      </c>
      <c r="I83" s="25">
        <f>IF($A83="","",IF(AND(IFERROR(IF(INDEX(campaigns!$AJ$2:$AJ$51,MATCH($A83,campaigns!$A$2:$A$51,0))="","",INDEX(campaigns!$AJ$2:$AJ$51,MATCH($A83,campaigns!$A$2:$A$51,0))),"")="",IFERROR(IF(INDEX(campaigns!$BG$2:$BG$51,MATCH($A83,campaigns!$A$2:$A$51,0))="","",INDEX(campaigns!$BG$2:$BG$51,MATCH($A83,campaigns!$A$2:$A$51,0))),"")&lt;&gt;"",IF(config!$B$37&lt;&gt;"",config!$B$37,TODAY())&gt;=WORKDAY(N(IFERROR(IF(INDEX(campaigns!$BG$2:$BG$51,MATCH($A83,campaigns!$A$2:$A$51,0))="","",INDEX(campaigns!$BG$2:$BG$51,MATCH($A83,campaigns!$A$2:$A$51,0))),"")),-4,calendar!$A$2:$A$80)),"no prefill template yet (due T-4); ","")&amp;IF(COUNTIF(links!$D$2:$D$501,$D83)&gt;1,"DUPLICATE slug; ",""))</f>
        <v/>
      </c>
    </row>
    <row r="84">
      <c r="A84" s="25">
        <f>IF(INDEX(approvals!$A$2:$A$251,INT((ROW()-2)/2)+1)="","",INDEX(approvals!$A$2:$A$251,INT((ROW()-2)/2)+1))</f>
        <v/>
      </c>
      <c r="B84" s="25">
        <f>IF(INDEX(approvals!$A$2:$A$251,INT((ROW()-2)/2)+1)="","",INDEX(approvals!$B$2:$B$251,INT((ROW()-2)/2)+1))</f>
        <v/>
      </c>
      <c r="C84" s="25">
        <f>IF($A84="","",IF(MOD(ROW()-2,2)=0,"qr","post"))</f>
        <v/>
      </c>
      <c r="D84" s="25">
        <f>IF($A84="","",IF(LEFT($A84,7)="SAMPLE-","SAMPLE-","")&amp;LOWER(SUBSTITUTE(SUBSTITUTE($A84,"SAMPLE-",""),"CMP-","c"))&amp;"-"&amp;LOWER(SUBSTITUTE(SUBSTITUTE($B84,"SAMPLE-",""),"O-","o"))&amp;"-"&amp;IF($C84="qr","q","p"))</f>
        <v/>
      </c>
      <c r="E84" s="25">
        <f>IF($A84="","","https://"&amp;config!$B$9&amp;"/"&amp;$D84)</f>
        <v/>
      </c>
      <c r="F84" s="25">
        <f>IF($A84="","",$A84&amp;"."&amp;$B84)</f>
        <v/>
      </c>
      <c r="G84" s="25">
        <f>IF($A84="","",IF(IFERROR(IF(INDEX(campaigns!$AJ$2:$AJ$51,MATCH($A84,campaigns!$A$2:$A$51,0))="","",INDEX(campaigns!$AJ$2:$AJ$51,MATCH($A84,campaigns!$A$2:$A$51,0))),"")="","(add the survey prefill template on campaigns)",SUBSTITUTE(IFERROR(IF(INDEX(campaigns!$AJ$2:$AJ$51,MATCH($A84,campaigns!$A$2:$A$51,0))="","",INDEX(campaigns!$AJ$2:$AJ$51,MATCH($A84,campaigns!$A$2:$A$51,0))),""),"CARDCODE",$F84)&amp;"&amp;utm_source=office-pantry&amp;utm_medium="&amp;$C84&amp;"&amp;utm_campaign="&amp;LOWER($A84)&amp;"&amp;utm_content="&amp;LOWER($B84)))</f>
        <v/>
      </c>
      <c r="H84" s="25">
        <f>IF(OR($A84="",$C84&lt;&gt;"qr"),"",$D84&amp;".png")</f>
        <v/>
      </c>
      <c r="I84" s="25">
        <f>IF($A84="","",IF(AND(IFERROR(IF(INDEX(campaigns!$AJ$2:$AJ$51,MATCH($A84,campaigns!$A$2:$A$51,0))="","",INDEX(campaigns!$AJ$2:$AJ$51,MATCH($A84,campaigns!$A$2:$A$51,0))),"")="",IFERROR(IF(INDEX(campaigns!$BG$2:$BG$51,MATCH($A84,campaigns!$A$2:$A$51,0))="","",INDEX(campaigns!$BG$2:$BG$51,MATCH($A84,campaigns!$A$2:$A$51,0))),"")&lt;&gt;"",IF(config!$B$37&lt;&gt;"",config!$B$37,TODAY())&gt;=WORKDAY(N(IFERROR(IF(INDEX(campaigns!$BG$2:$BG$51,MATCH($A84,campaigns!$A$2:$A$51,0))="","",INDEX(campaigns!$BG$2:$BG$51,MATCH($A84,campaigns!$A$2:$A$51,0))),"")),-4,calendar!$A$2:$A$80)),"no prefill template yet (due T-4); ","")&amp;IF(COUNTIF(links!$D$2:$D$501,$D84)&gt;1,"DUPLICATE slug; ",""))</f>
        <v/>
      </c>
    </row>
    <row r="85">
      <c r="A85" s="25">
        <f>IF(INDEX(approvals!$A$2:$A$251,INT((ROW()-2)/2)+1)="","",INDEX(approvals!$A$2:$A$251,INT((ROW()-2)/2)+1))</f>
        <v/>
      </c>
      <c r="B85" s="25">
        <f>IF(INDEX(approvals!$A$2:$A$251,INT((ROW()-2)/2)+1)="","",INDEX(approvals!$B$2:$B$251,INT((ROW()-2)/2)+1))</f>
        <v/>
      </c>
      <c r="C85" s="25">
        <f>IF($A85="","",IF(MOD(ROW()-2,2)=0,"qr","post"))</f>
        <v/>
      </c>
      <c r="D85" s="25">
        <f>IF($A85="","",IF(LEFT($A85,7)="SAMPLE-","SAMPLE-","")&amp;LOWER(SUBSTITUTE(SUBSTITUTE($A85,"SAMPLE-",""),"CMP-","c"))&amp;"-"&amp;LOWER(SUBSTITUTE(SUBSTITUTE($B85,"SAMPLE-",""),"O-","o"))&amp;"-"&amp;IF($C85="qr","q","p"))</f>
        <v/>
      </c>
      <c r="E85" s="25">
        <f>IF($A85="","","https://"&amp;config!$B$9&amp;"/"&amp;$D85)</f>
        <v/>
      </c>
      <c r="F85" s="25">
        <f>IF($A85="","",$A85&amp;"."&amp;$B85)</f>
        <v/>
      </c>
      <c r="G85" s="25">
        <f>IF($A85="","",IF(IFERROR(IF(INDEX(campaigns!$AJ$2:$AJ$51,MATCH($A85,campaigns!$A$2:$A$51,0))="","",INDEX(campaigns!$AJ$2:$AJ$51,MATCH($A85,campaigns!$A$2:$A$51,0))),"")="","(add the survey prefill template on campaigns)",SUBSTITUTE(IFERROR(IF(INDEX(campaigns!$AJ$2:$AJ$51,MATCH($A85,campaigns!$A$2:$A$51,0))="","",INDEX(campaigns!$AJ$2:$AJ$51,MATCH($A85,campaigns!$A$2:$A$51,0))),""),"CARDCODE",$F85)&amp;"&amp;utm_source=office-pantry&amp;utm_medium="&amp;$C85&amp;"&amp;utm_campaign="&amp;LOWER($A85)&amp;"&amp;utm_content="&amp;LOWER($B85)))</f>
        <v/>
      </c>
      <c r="H85" s="25">
        <f>IF(OR($A85="",$C85&lt;&gt;"qr"),"",$D85&amp;".png")</f>
        <v/>
      </c>
      <c r="I85" s="25">
        <f>IF($A85="","",IF(AND(IFERROR(IF(INDEX(campaigns!$AJ$2:$AJ$51,MATCH($A85,campaigns!$A$2:$A$51,0))="","",INDEX(campaigns!$AJ$2:$AJ$51,MATCH($A85,campaigns!$A$2:$A$51,0))),"")="",IFERROR(IF(INDEX(campaigns!$BG$2:$BG$51,MATCH($A85,campaigns!$A$2:$A$51,0))="","",INDEX(campaigns!$BG$2:$BG$51,MATCH($A85,campaigns!$A$2:$A$51,0))),"")&lt;&gt;"",IF(config!$B$37&lt;&gt;"",config!$B$37,TODAY())&gt;=WORKDAY(N(IFERROR(IF(INDEX(campaigns!$BG$2:$BG$51,MATCH($A85,campaigns!$A$2:$A$51,0))="","",INDEX(campaigns!$BG$2:$BG$51,MATCH($A85,campaigns!$A$2:$A$51,0))),"")),-4,calendar!$A$2:$A$80)),"no prefill template yet (due T-4); ","")&amp;IF(COUNTIF(links!$D$2:$D$501,$D85)&gt;1,"DUPLICATE slug; ",""))</f>
        <v/>
      </c>
    </row>
    <row r="86">
      <c r="A86" s="25">
        <f>IF(INDEX(approvals!$A$2:$A$251,INT((ROW()-2)/2)+1)="","",INDEX(approvals!$A$2:$A$251,INT((ROW()-2)/2)+1))</f>
        <v/>
      </c>
      <c r="B86" s="25">
        <f>IF(INDEX(approvals!$A$2:$A$251,INT((ROW()-2)/2)+1)="","",INDEX(approvals!$B$2:$B$251,INT((ROW()-2)/2)+1))</f>
        <v/>
      </c>
      <c r="C86" s="25">
        <f>IF($A86="","",IF(MOD(ROW()-2,2)=0,"qr","post"))</f>
        <v/>
      </c>
      <c r="D86" s="25">
        <f>IF($A86="","",IF(LEFT($A86,7)="SAMPLE-","SAMPLE-","")&amp;LOWER(SUBSTITUTE(SUBSTITUTE($A86,"SAMPLE-",""),"CMP-","c"))&amp;"-"&amp;LOWER(SUBSTITUTE(SUBSTITUTE($B86,"SAMPLE-",""),"O-","o"))&amp;"-"&amp;IF($C86="qr","q","p"))</f>
        <v/>
      </c>
      <c r="E86" s="25">
        <f>IF($A86="","","https://"&amp;config!$B$9&amp;"/"&amp;$D86)</f>
        <v/>
      </c>
      <c r="F86" s="25">
        <f>IF($A86="","",$A86&amp;"."&amp;$B86)</f>
        <v/>
      </c>
      <c r="G86" s="25">
        <f>IF($A86="","",IF(IFERROR(IF(INDEX(campaigns!$AJ$2:$AJ$51,MATCH($A86,campaigns!$A$2:$A$51,0))="","",INDEX(campaigns!$AJ$2:$AJ$51,MATCH($A86,campaigns!$A$2:$A$51,0))),"")="","(add the survey prefill template on campaigns)",SUBSTITUTE(IFERROR(IF(INDEX(campaigns!$AJ$2:$AJ$51,MATCH($A86,campaigns!$A$2:$A$51,0))="","",INDEX(campaigns!$AJ$2:$AJ$51,MATCH($A86,campaigns!$A$2:$A$51,0))),""),"CARDCODE",$F86)&amp;"&amp;utm_source=office-pantry&amp;utm_medium="&amp;$C86&amp;"&amp;utm_campaign="&amp;LOWER($A86)&amp;"&amp;utm_content="&amp;LOWER($B86)))</f>
        <v/>
      </c>
      <c r="H86" s="25">
        <f>IF(OR($A86="",$C86&lt;&gt;"qr"),"",$D86&amp;".png")</f>
        <v/>
      </c>
      <c r="I86" s="25">
        <f>IF($A86="","",IF(AND(IFERROR(IF(INDEX(campaigns!$AJ$2:$AJ$51,MATCH($A86,campaigns!$A$2:$A$51,0))="","",INDEX(campaigns!$AJ$2:$AJ$51,MATCH($A86,campaigns!$A$2:$A$51,0))),"")="",IFERROR(IF(INDEX(campaigns!$BG$2:$BG$51,MATCH($A86,campaigns!$A$2:$A$51,0))="","",INDEX(campaigns!$BG$2:$BG$51,MATCH($A86,campaigns!$A$2:$A$51,0))),"")&lt;&gt;"",IF(config!$B$37&lt;&gt;"",config!$B$37,TODAY())&gt;=WORKDAY(N(IFERROR(IF(INDEX(campaigns!$BG$2:$BG$51,MATCH($A86,campaigns!$A$2:$A$51,0))="","",INDEX(campaigns!$BG$2:$BG$51,MATCH($A86,campaigns!$A$2:$A$51,0))),"")),-4,calendar!$A$2:$A$80)),"no prefill template yet (due T-4); ","")&amp;IF(COUNTIF(links!$D$2:$D$501,$D86)&gt;1,"DUPLICATE slug; ",""))</f>
        <v/>
      </c>
    </row>
    <row r="87">
      <c r="A87" s="25">
        <f>IF(INDEX(approvals!$A$2:$A$251,INT((ROW()-2)/2)+1)="","",INDEX(approvals!$A$2:$A$251,INT((ROW()-2)/2)+1))</f>
        <v/>
      </c>
      <c r="B87" s="25">
        <f>IF(INDEX(approvals!$A$2:$A$251,INT((ROW()-2)/2)+1)="","",INDEX(approvals!$B$2:$B$251,INT((ROW()-2)/2)+1))</f>
        <v/>
      </c>
      <c r="C87" s="25">
        <f>IF($A87="","",IF(MOD(ROW()-2,2)=0,"qr","post"))</f>
        <v/>
      </c>
      <c r="D87" s="25">
        <f>IF($A87="","",IF(LEFT($A87,7)="SAMPLE-","SAMPLE-","")&amp;LOWER(SUBSTITUTE(SUBSTITUTE($A87,"SAMPLE-",""),"CMP-","c"))&amp;"-"&amp;LOWER(SUBSTITUTE(SUBSTITUTE($B87,"SAMPLE-",""),"O-","o"))&amp;"-"&amp;IF($C87="qr","q","p"))</f>
        <v/>
      </c>
      <c r="E87" s="25">
        <f>IF($A87="","","https://"&amp;config!$B$9&amp;"/"&amp;$D87)</f>
        <v/>
      </c>
      <c r="F87" s="25">
        <f>IF($A87="","",$A87&amp;"."&amp;$B87)</f>
        <v/>
      </c>
      <c r="G87" s="25">
        <f>IF($A87="","",IF(IFERROR(IF(INDEX(campaigns!$AJ$2:$AJ$51,MATCH($A87,campaigns!$A$2:$A$51,0))="","",INDEX(campaigns!$AJ$2:$AJ$51,MATCH($A87,campaigns!$A$2:$A$51,0))),"")="","(add the survey prefill template on campaigns)",SUBSTITUTE(IFERROR(IF(INDEX(campaigns!$AJ$2:$AJ$51,MATCH($A87,campaigns!$A$2:$A$51,0))="","",INDEX(campaigns!$AJ$2:$AJ$51,MATCH($A87,campaigns!$A$2:$A$51,0))),""),"CARDCODE",$F87)&amp;"&amp;utm_source=office-pantry&amp;utm_medium="&amp;$C87&amp;"&amp;utm_campaign="&amp;LOWER($A87)&amp;"&amp;utm_content="&amp;LOWER($B87)))</f>
        <v/>
      </c>
      <c r="H87" s="25">
        <f>IF(OR($A87="",$C87&lt;&gt;"qr"),"",$D87&amp;".png")</f>
        <v/>
      </c>
      <c r="I87" s="25">
        <f>IF($A87="","",IF(AND(IFERROR(IF(INDEX(campaigns!$AJ$2:$AJ$51,MATCH($A87,campaigns!$A$2:$A$51,0))="","",INDEX(campaigns!$AJ$2:$AJ$51,MATCH($A87,campaigns!$A$2:$A$51,0))),"")="",IFERROR(IF(INDEX(campaigns!$BG$2:$BG$51,MATCH($A87,campaigns!$A$2:$A$51,0))="","",INDEX(campaigns!$BG$2:$BG$51,MATCH($A87,campaigns!$A$2:$A$51,0))),"")&lt;&gt;"",IF(config!$B$37&lt;&gt;"",config!$B$37,TODAY())&gt;=WORKDAY(N(IFERROR(IF(INDEX(campaigns!$BG$2:$BG$51,MATCH($A87,campaigns!$A$2:$A$51,0))="","",INDEX(campaigns!$BG$2:$BG$51,MATCH($A87,campaigns!$A$2:$A$51,0))),"")),-4,calendar!$A$2:$A$80)),"no prefill template yet (due T-4); ","")&amp;IF(COUNTIF(links!$D$2:$D$501,$D87)&gt;1,"DUPLICATE slug; ",""))</f>
        <v/>
      </c>
    </row>
    <row r="88">
      <c r="A88" s="25">
        <f>IF(INDEX(approvals!$A$2:$A$251,INT((ROW()-2)/2)+1)="","",INDEX(approvals!$A$2:$A$251,INT((ROW()-2)/2)+1))</f>
        <v/>
      </c>
      <c r="B88" s="25">
        <f>IF(INDEX(approvals!$A$2:$A$251,INT((ROW()-2)/2)+1)="","",INDEX(approvals!$B$2:$B$251,INT((ROW()-2)/2)+1))</f>
        <v/>
      </c>
      <c r="C88" s="25">
        <f>IF($A88="","",IF(MOD(ROW()-2,2)=0,"qr","post"))</f>
        <v/>
      </c>
      <c r="D88" s="25">
        <f>IF($A88="","",IF(LEFT($A88,7)="SAMPLE-","SAMPLE-","")&amp;LOWER(SUBSTITUTE(SUBSTITUTE($A88,"SAMPLE-",""),"CMP-","c"))&amp;"-"&amp;LOWER(SUBSTITUTE(SUBSTITUTE($B88,"SAMPLE-",""),"O-","o"))&amp;"-"&amp;IF($C88="qr","q","p"))</f>
        <v/>
      </c>
      <c r="E88" s="25">
        <f>IF($A88="","","https://"&amp;config!$B$9&amp;"/"&amp;$D88)</f>
        <v/>
      </c>
      <c r="F88" s="25">
        <f>IF($A88="","",$A88&amp;"."&amp;$B88)</f>
        <v/>
      </c>
      <c r="G88" s="25">
        <f>IF($A88="","",IF(IFERROR(IF(INDEX(campaigns!$AJ$2:$AJ$51,MATCH($A88,campaigns!$A$2:$A$51,0))="","",INDEX(campaigns!$AJ$2:$AJ$51,MATCH($A88,campaigns!$A$2:$A$51,0))),"")="","(add the survey prefill template on campaigns)",SUBSTITUTE(IFERROR(IF(INDEX(campaigns!$AJ$2:$AJ$51,MATCH($A88,campaigns!$A$2:$A$51,0))="","",INDEX(campaigns!$AJ$2:$AJ$51,MATCH($A88,campaigns!$A$2:$A$51,0))),""),"CARDCODE",$F88)&amp;"&amp;utm_source=office-pantry&amp;utm_medium="&amp;$C88&amp;"&amp;utm_campaign="&amp;LOWER($A88)&amp;"&amp;utm_content="&amp;LOWER($B88)))</f>
        <v/>
      </c>
      <c r="H88" s="25">
        <f>IF(OR($A88="",$C88&lt;&gt;"qr"),"",$D88&amp;".png")</f>
        <v/>
      </c>
      <c r="I88" s="25">
        <f>IF($A88="","",IF(AND(IFERROR(IF(INDEX(campaigns!$AJ$2:$AJ$51,MATCH($A88,campaigns!$A$2:$A$51,0))="","",INDEX(campaigns!$AJ$2:$AJ$51,MATCH($A88,campaigns!$A$2:$A$51,0))),"")="",IFERROR(IF(INDEX(campaigns!$BG$2:$BG$51,MATCH($A88,campaigns!$A$2:$A$51,0))="","",INDEX(campaigns!$BG$2:$BG$51,MATCH($A88,campaigns!$A$2:$A$51,0))),"")&lt;&gt;"",IF(config!$B$37&lt;&gt;"",config!$B$37,TODAY())&gt;=WORKDAY(N(IFERROR(IF(INDEX(campaigns!$BG$2:$BG$51,MATCH($A88,campaigns!$A$2:$A$51,0))="","",INDEX(campaigns!$BG$2:$BG$51,MATCH($A88,campaigns!$A$2:$A$51,0))),"")),-4,calendar!$A$2:$A$80)),"no prefill template yet (due T-4); ","")&amp;IF(COUNTIF(links!$D$2:$D$501,$D88)&gt;1,"DUPLICATE slug; ",""))</f>
        <v/>
      </c>
    </row>
    <row r="89">
      <c r="A89" s="25">
        <f>IF(INDEX(approvals!$A$2:$A$251,INT((ROW()-2)/2)+1)="","",INDEX(approvals!$A$2:$A$251,INT((ROW()-2)/2)+1))</f>
        <v/>
      </c>
      <c r="B89" s="25">
        <f>IF(INDEX(approvals!$A$2:$A$251,INT((ROW()-2)/2)+1)="","",INDEX(approvals!$B$2:$B$251,INT((ROW()-2)/2)+1))</f>
        <v/>
      </c>
      <c r="C89" s="25">
        <f>IF($A89="","",IF(MOD(ROW()-2,2)=0,"qr","post"))</f>
        <v/>
      </c>
      <c r="D89" s="25">
        <f>IF($A89="","",IF(LEFT($A89,7)="SAMPLE-","SAMPLE-","")&amp;LOWER(SUBSTITUTE(SUBSTITUTE($A89,"SAMPLE-",""),"CMP-","c"))&amp;"-"&amp;LOWER(SUBSTITUTE(SUBSTITUTE($B89,"SAMPLE-",""),"O-","o"))&amp;"-"&amp;IF($C89="qr","q","p"))</f>
        <v/>
      </c>
      <c r="E89" s="25">
        <f>IF($A89="","","https://"&amp;config!$B$9&amp;"/"&amp;$D89)</f>
        <v/>
      </c>
      <c r="F89" s="25">
        <f>IF($A89="","",$A89&amp;"."&amp;$B89)</f>
        <v/>
      </c>
      <c r="G89" s="25">
        <f>IF($A89="","",IF(IFERROR(IF(INDEX(campaigns!$AJ$2:$AJ$51,MATCH($A89,campaigns!$A$2:$A$51,0))="","",INDEX(campaigns!$AJ$2:$AJ$51,MATCH($A89,campaigns!$A$2:$A$51,0))),"")="","(add the survey prefill template on campaigns)",SUBSTITUTE(IFERROR(IF(INDEX(campaigns!$AJ$2:$AJ$51,MATCH($A89,campaigns!$A$2:$A$51,0))="","",INDEX(campaigns!$AJ$2:$AJ$51,MATCH($A89,campaigns!$A$2:$A$51,0))),""),"CARDCODE",$F89)&amp;"&amp;utm_source=office-pantry&amp;utm_medium="&amp;$C89&amp;"&amp;utm_campaign="&amp;LOWER($A89)&amp;"&amp;utm_content="&amp;LOWER($B89)))</f>
        <v/>
      </c>
      <c r="H89" s="25">
        <f>IF(OR($A89="",$C89&lt;&gt;"qr"),"",$D89&amp;".png")</f>
        <v/>
      </c>
      <c r="I89" s="25">
        <f>IF($A89="","",IF(AND(IFERROR(IF(INDEX(campaigns!$AJ$2:$AJ$51,MATCH($A89,campaigns!$A$2:$A$51,0))="","",INDEX(campaigns!$AJ$2:$AJ$51,MATCH($A89,campaigns!$A$2:$A$51,0))),"")="",IFERROR(IF(INDEX(campaigns!$BG$2:$BG$51,MATCH($A89,campaigns!$A$2:$A$51,0))="","",INDEX(campaigns!$BG$2:$BG$51,MATCH($A89,campaigns!$A$2:$A$51,0))),"")&lt;&gt;"",IF(config!$B$37&lt;&gt;"",config!$B$37,TODAY())&gt;=WORKDAY(N(IFERROR(IF(INDEX(campaigns!$BG$2:$BG$51,MATCH($A89,campaigns!$A$2:$A$51,0))="","",INDEX(campaigns!$BG$2:$BG$51,MATCH($A89,campaigns!$A$2:$A$51,0))),"")),-4,calendar!$A$2:$A$80)),"no prefill template yet (due T-4); ","")&amp;IF(COUNTIF(links!$D$2:$D$501,$D89)&gt;1,"DUPLICATE slug; ",""))</f>
        <v/>
      </c>
    </row>
    <row r="90">
      <c r="A90" s="25">
        <f>IF(INDEX(approvals!$A$2:$A$251,INT((ROW()-2)/2)+1)="","",INDEX(approvals!$A$2:$A$251,INT((ROW()-2)/2)+1))</f>
        <v/>
      </c>
      <c r="B90" s="25">
        <f>IF(INDEX(approvals!$A$2:$A$251,INT((ROW()-2)/2)+1)="","",INDEX(approvals!$B$2:$B$251,INT((ROW()-2)/2)+1))</f>
        <v/>
      </c>
      <c r="C90" s="25">
        <f>IF($A90="","",IF(MOD(ROW()-2,2)=0,"qr","post"))</f>
        <v/>
      </c>
      <c r="D90" s="25">
        <f>IF($A90="","",IF(LEFT($A90,7)="SAMPLE-","SAMPLE-","")&amp;LOWER(SUBSTITUTE(SUBSTITUTE($A90,"SAMPLE-",""),"CMP-","c"))&amp;"-"&amp;LOWER(SUBSTITUTE(SUBSTITUTE($B90,"SAMPLE-",""),"O-","o"))&amp;"-"&amp;IF($C90="qr","q","p"))</f>
        <v/>
      </c>
      <c r="E90" s="25">
        <f>IF($A90="","","https://"&amp;config!$B$9&amp;"/"&amp;$D90)</f>
        <v/>
      </c>
      <c r="F90" s="25">
        <f>IF($A90="","",$A90&amp;"."&amp;$B90)</f>
        <v/>
      </c>
      <c r="G90" s="25">
        <f>IF($A90="","",IF(IFERROR(IF(INDEX(campaigns!$AJ$2:$AJ$51,MATCH($A90,campaigns!$A$2:$A$51,0))="","",INDEX(campaigns!$AJ$2:$AJ$51,MATCH($A90,campaigns!$A$2:$A$51,0))),"")="","(add the survey prefill template on campaigns)",SUBSTITUTE(IFERROR(IF(INDEX(campaigns!$AJ$2:$AJ$51,MATCH($A90,campaigns!$A$2:$A$51,0))="","",INDEX(campaigns!$AJ$2:$AJ$51,MATCH($A90,campaigns!$A$2:$A$51,0))),""),"CARDCODE",$F90)&amp;"&amp;utm_source=office-pantry&amp;utm_medium="&amp;$C90&amp;"&amp;utm_campaign="&amp;LOWER($A90)&amp;"&amp;utm_content="&amp;LOWER($B90)))</f>
        <v/>
      </c>
      <c r="H90" s="25">
        <f>IF(OR($A90="",$C90&lt;&gt;"qr"),"",$D90&amp;".png")</f>
        <v/>
      </c>
      <c r="I90" s="25">
        <f>IF($A90="","",IF(AND(IFERROR(IF(INDEX(campaigns!$AJ$2:$AJ$51,MATCH($A90,campaigns!$A$2:$A$51,0))="","",INDEX(campaigns!$AJ$2:$AJ$51,MATCH($A90,campaigns!$A$2:$A$51,0))),"")="",IFERROR(IF(INDEX(campaigns!$BG$2:$BG$51,MATCH($A90,campaigns!$A$2:$A$51,0))="","",INDEX(campaigns!$BG$2:$BG$51,MATCH($A90,campaigns!$A$2:$A$51,0))),"")&lt;&gt;"",IF(config!$B$37&lt;&gt;"",config!$B$37,TODAY())&gt;=WORKDAY(N(IFERROR(IF(INDEX(campaigns!$BG$2:$BG$51,MATCH($A90,campaigns!$A$2:$A$51,0))="","",INDEX(campaigns!$BG$2:$BG$51,MATCH($A90,campaigns!$A$2:$A$51,0))),"")),-4,calendar!$A$2:$A$80)),"no prefill template yet (due T-4); ","")&amp;IF(COUNTIF(links!$D$2:$D$501,$D90)&gt;1,"DUPLICATE slug; ",""))</f>
        <v/>
      </c>
    </row>
    <row r="91">
      <c r="A91" s="25">
        <f>IF(INDEX(approvals!$A$2:$A$251,INT((ROW()-2)/2)+1)="","",INDEX(approvals!$A$2:$A$251,INT((ROW()-2)/2)+1))</f>
        <v/>
      </c>
      <c r="B91" s="25">
        <f>IF(INDEX(approvals!$A$2:$A$251,INT((ROW()-2)/2)+1)="","",INDEX(approvals!$B$2:$B$251,INT((ROW()-2)/2)+1))</f>
        <v/>
      </c>
      <c r="C91" s="25">
        <f>IF($A91="","",IF(MOD(ROW()-2,2)=0,"qr","post"))</f>
        <v/>
      </c>
      <c r="D91" s="25">
        <f>IF($A91="","",IF(LEFT($A91,7)="SAMPLE-","SAMPLE-","")&amp;LOWER(SUBSTITUTE(SUBSTITUTE($A91,"SAMPLE-",""),"CMP-","c"))&amp;"-"&amp;LOWER(SUBSTITUTE(SUBSTITUTE($B91,"SAMPLE-",""),"O-","o"))&amp;"-"&amp;IF($C91="qr","q","p"))</f>
        <v/>
      </c>
      <c r="E91" s="25">
        <f>IF($A91="","","https://"&amp;config!$B$9&amp;"/"&amp;$D91)</f>
        <v/>
      </c>
      <c r="F91" s="25">
        <f>IF($A91="","",$A91&amp;"."&amp;$B91)</f>
        <v/>
      </c>
      <c r="G91" s="25">
        <f>IF($A91="","",IF(IFERROR(IF(INDEX(campaigns!$AJ$2:$AJ$51,MATCH($A91,campaigns!$A$2:$A$51,0))="","",INDEX(campaigns!$AJ$2:$AJ$51,MATCH($A91,campaigns!$A$2:$A$51,0))),"")="","(add the survey prefill template on campaigns)",SUBSTITUTE(IFERROR(IF(INDEX(campaigns!$AJ$2:$AJ$51,MATCH($A91,campaigns!$A$2:$A$51,0))="","",INDEX(campaigns!$AJ$2:$AJ$51,MATCH($A91,campaigns!$A$2:$A$51,0))),""),"CARDCODE",$F91)&amp;"&amp;utm_source=office-pantry&amp;utm_medium="&amp;$C91&amp;"&amp;utm_campaign="&amp;LOWER($A91)&amp;"&amp;utm_content="&amp;LOWER($B91)))</f>
        <v/>
      </c>
      <c r="H91" s="25">
        <f>IF(OR($A91="",$C91&lt;&gt;"qr"),"",$D91&amp;".png")</f>
        <v/>
      </c>
      <c r="I91" s="25">
        <f>IF($A91="","",IF(AND(IFERROR(IF(INDEX(campaigns!$AJ$2:$AJ$51,MATCH($A91,campaigns!$A$2:$A$51,0))="","",INDEX(campaigns!$AJ$2:$AJ$51,MATCH($A91,campaigns!$A$2:$A$51,0))),"")="",IFERROR(IF(INDEX(campaigns!$BG$2:$BG$51,MATCH($A91,campaigns!$A$2:$A$51,0))="","",INDEX(campaigns!$BG$2:$BG$51,MATCH($A91,campaigns!$A$2:$A$51,0))),"")&lt;&gt;"",IF(config!$B$37&lt;&gt;"",config!$B$37,TODAY())&gt;=WORKDAY(N(IFERROR(IF(INDEX(campaigns!$BG$2:$BG$51,MATCH($A91,campaigns!$A$2:$A$51,0))="","",INDEX(campaigns!$BG$2:$BG$51,MATCH($A91,campaigns!$A$2:$A$51,0))),"")),-4,calendar!$A$2:$A$80)),"no prefill template yet (due T-4); ","")&amp;IF(COUNTIF(links!$D$2:$D$501,$D91)&gt;1,"DUPLICATE slug; ",""))</f>
        <v/>
      </c>
    </row>
    <row r="92">
      <c r="A92" s="25">
        <f>IF(INDEX(approvals!$A$2:$A$251,INT((ROW()-2)/2)+1)="","",INDEX(approvals!$A$2:$A$251,INT((ROW()-2)/2)+1))</f>
        <v/>
      </c>
      <c r="B92" s="25">
        <f>IF(INDEX(approvals!$A$2:$A$251,INT((ROW()-2)/2)+1)="","",INDEX(approvals!$B$2:$B$251,INT((ROW()-2)/2)+1))</f>
        <v/>
      </c>
      <c r="C92" s="25">
        <f>IF($A92="","",IF(MOD(ROW()-2,2)=0,"qr","post"))</f>
        <v/>
      </c>
      <c r="D92" s="25">
        <f>IF($A92="","",IF(LEFT($A92,7)="SAMPLE-","SAMPLE-","")&amp;LOWER(SUBSTITUTE(SUBSTITUTE($A92,"SAMPLE-",""),"CMP-","c"))&amp;"-"&amp;LOWER(SUBSTITUTE(SUBSTITUTE($B92,"SAMPLE-",""),"O-","o"))&amp;"-"&amp;IF($C92="qr","q","p"))</f>
        <v/>
      </c>
      <c r="E92" s="25">
        <f>IF($A92="","","https://"&amp;config!$B$9&amp;"/"&amp;$D92)</f>
        <v/>
      </c>
      <c r="F92" s="25">
        <f>IF($A92="","",$A92&amp;"."&amp;$B92)</f>
        <v/>
      </c>
      <c r="G92" s="25">
        <f>IF($A92="","",IF(IFERROR(IF(INDEX(campaigns!$AJ$2:$AJ$51,MATCH($A92,campaigns!$A$2:$A$51,0))="","",INDEX(campaigns!$AJ$2:$AJ$51,MATCH($A92,campaigns!$A$2:$A$51,0))),"")="","(add the survey prefill template on campaigns)",SUBSTITUTE(IFERROR(IF(INDEX(campaigns!$AJ$2:$AJ$51,MATCH($A92,campaigns!$A$2:$A$51,0))="","",INDEX(campaigns!$AJ$2:$AJ$51,MATCH($A92,campaigns!$A$2:$A$51,0))),""),"CARDCODE",$F92)&amp;"&amp;utm_source=office-pantry&amp;utm_medium="&amp;$C92&amp;"&amp;utm_campaign="&amp;LOWER($A92)&amp;"&amp;utm_content="&amp;LOWER($B92)))</f>
        <v/>
      </c>
      <c r="H92" s="25">
        <f>IF(OR($A92="",$C92&lt;&gt;"qr"),"",$D92&amp;".png")</f>
        <v/>
      </c>
      <c r="I92" s="25">
        <f>IF($A92="","",IF(AND(IFERROR(IF(INDEX(campaigns!$AJ$2:$AJ$51,MATCH($A92,campaigns!$A$2:$A$51,0))="","",INDEX(campaigns!$AJ$2:$AJ$51,MATCH($A92,campaigns!$A$2:$A$51,0))),"")="",IFERROR(IF(INDEX(campaigns!$BG$2:$BG$51,MATCH($A92,campaigns!$A$2:$A$51,0))="","",INDEX(campaigns!$BG$2:$BG$51,MATCH($A92,campaigns!$A$2:$A$51,0))),"")&lt;&gt;"",IF(config!$B$37&lt;&gt;"",config!$B$37,TODAY())&gt;=WORKDAY(N(IFERROR(IF(INDEX(campaigns!$BG$2:$BG$51,MATCH($A92,campaigns!$A$2:$A$51,0))="","",INDEX(campaigns!$BG$2:$BG$51,MATCH($A92,campaigns!$A$2:$A$51,0))),"")),-4,calendar!$A$2:$A$80)),"no prefill template yet (due T-4); ","")&amp;IF(COUNTIF(links!$D$2:$D$501,$D92)&gt;1,"DUPLICATE slug; ",""))</f>
        <v/>
      </c>
    </row>
    <row r="93">
      <c r="A93" s="25">
        <f>IF(INDEX(approvals!$A$2:$A$251,INT((ROW()-2)/2)+1)="","",INDEX(approvals!$A$2:$A$251,INT((ROW()-2)/2)+1))</f>
        <v/>
      </c>
      <c r="B93" s="25">
        <f>IF(INDEX(approvals!$A$2:$A$251,INT((ROW()-2)/2)+1)="","",INDEX(approvals!$B$2:$B$251,INT((ROW()-2)/2)+1))</f>
        <v/>
      </c>
      <c r="C93" s="25">
        <f>IF($A93="","",IF(MOD(ROW()-2,2)=0,"qr","post"))</f>
        <v/>
      </c>
      <c r="D93" s="25">
        <f>IF($A93="","",IF(LEFT($A93,7)="SAMPLE-","SAMPLE-","")&amp;LOWER(SUBSTITUTE(SUBSTITUTE($A93,"SAMPLE-",""),"CMP-","c"))&amp;"-"&amp;LOWER(SUBSTITUTE(SUBSTITUTE($B93,"SAMPLE-",""),"O-","o"))&amp;"-"&amp;IF($C93="qr","q","p"))</f>
        <v/>
      </c>
      <c r="E93" s="25">
        <f>IF($A93="","","https://"&amp;config!$B$9&amp;"/"&amp;$D93)</f>
        <v/>
      </c>
      <c r="F93" s="25">
        <f>IF($A93="","",$A93&amp;"."&amp;$B93)</f>
        <v/>
      </c>
      <c r="G93" s="25">
        <f>IF($A93="","",IF(IFERROR(IF(INDEX(campaigns!$AJ$2:$AJ$51,MATCH($A93,campaigns!$A$2:$A$51,0))="","",INDEX(campaigns!$AJ$2:$AJ$51,MATCH($A93,campaigns!$A$2:$A$51,0))),"")="","(add the survey prefill template on campaigns)",SUBSTITUTE(IFERROR(IF(INDEX(campaigns!$AJ$2:$AJ$51,MATCH($A93,campaigns!$A$2:$A$51,0))="","",INDEX(campaigns!$AJ$2:$AJ$51,MATCH($A93,campaigns!$A$2:$A$51,0))),""),"CARDCODE",$F93)&amp;"&amp;utm_source=office-pantry&amp;utm_medium="&amp;$C93&amp;"&amp;utm_campaign="&amp;LOWER($A93)&amp;"&amp;utm_content="&amp;LOWER($B93)))</f>
        <v/>
      </c>
      <c r="H93" s="25">
        <f>IF(OR($A93="",$C93&lt;&gt;"qr"),"",$D93&amp;".png")</f>
        <v/>
      </c>
      <c r="I93" s="25">
        <f>IF($A93="","",IF(AND(IFERROR(IF(INDEX(campaigns!$AJ$2:$AJ$51,MATCH($A93,campaigns!$A$2:$A$51,0))="","",INDEX(campaigns!$AJ$2:$AJ$51,MATCH($A93,campaigns!$A$2:$A$51,0))),"")="",IFERROR(IF(INDEX(campaigns!$BG$2:$BG$51,MATCH($A93,campaigns!$A$2:$A$51,0))="","",INDEX(campaigns!$BG$2:$BG$51,MATCH($A93,campaigns!$A$2:$A$51,0))),"")&lt;&gt;"",IF(config!$B$37&lt;&gt;"",config!$B$37,TODAY())&gt;=WORKDAY(N(IFERROR(IF(INDEX(campaigns!$BG$2:$BG$51,MATCH($A93,campaigns!$A$2:$A$51,0))="","",INDEX(campaigns!$BG$2:$BG$51,MATCH($A93,campaigns!$A$2:$A$51,0))),"")),-4,calendar!$A$2:$A$80)),"no prefill template yet (due T-4); ","")&amp;IF(COUNTIF(links!$D$2:$D$501,$D93)&gt;1,"DUPLICATE slug; ",""))</f>
        <v/>
      </c>
    </row>
    <row r="94">
      <c r="A94" s="25">
        <f>IF(INDEX(approvals!$A$2:$A$251,INT((ROW()-2)/2)+1)="","",INDEX(approvals!$A$2:$A$251,INT((ROW()-2)/2)+1))</f>
        <v/>
      </c>
      <c r="B94" s="25">
        <f>IF(INDEX(approvals!$A$2:$A$251,INT((ROW()-2)/2)+1)="","",INDEX(approvals!$B$2:$B$251,INT((ROW()-2)/2)+1))</f>
        <v/>
      </c>
      <c r="C94" s="25">
        <f>IF($A94="","",IF(MOD(ROW()-2,2)=0,"qr","post"))</f>
        <v/>
      </c>
      <c r="D94" s="25">
        <f>IF($A94="","",IF(LEFT($A94,7)="SAMPLE-","SAMPLE-","")&amp;LOWER(SUBSTITUTE(SUBSTITUTE($A94,"SAMPLE-",""),"CMP-","c"))&amp;"-"&amp;LOWER(SUBSTITUTE(SUBSTITUTE($B94,"SAMPLE-",""),"O-","o"))&amp;"-"&amp;IF($C94="qr","q","p"))</f>
        <v/>
      </c>
      <c r="E94" s="25">
        <f>IF($A94="","","https://"&amp;config!$B$9&amp;"/"&amp;$D94)</f>
        <v/>
      </c>
      <c r="F94" s="25">
        <f>IF($A94="","",$A94&amp;"."&amp;$B94)</f>
        <v/>
      </c>
      <c r="G94" s="25">
        <f>IF($A94="","",IF(IFERROR(IF(INDEX(campaigns!$AJ$2:$AJ$51,MATCH($A94,campaigns!$A$2:$A$51,0))="","",INDEX(campaigns!$AJ$2:$AJ$51,MATCH($A94,campaigns!$A$2:$A$51,0))),"")="","(add the survey prefill template on campaigns)",SUBSTITUTE(IFERROR(IF(INDEX(campaigns!$AJ$2:$AJ$51,MATCH($A94,campaigns!$A$2:$A$51,0))="","",INDEX(campaigns!$AJ$2:$AJ$51,MATCH($A94,campaigns!$A$2:$A$51,0))),""),"CARDCODE",$F94)&amp;"&amp;utm_source=office-pantry&amp;utm_medium="&amp;$C94&amp;"&amp;utm_campaign="&amp;LOWER($A94)&amp;"&amp;utm_content="&amp;LOWER($B94)))</f>
        <v/>
      </c>
      <c r="H94" s="25">
        <f>IF(OR($A94="",$C94&lt;&gt;"qr"),"",$D94&amp;".png")</f>
        <v/>
      </c>
      <c r="I94" s="25">
        <f>IF($A94="","",IF(AND(IFERROR(IF(INDEX(campaigns!$AJ$2:$AJ$51,MATCH($A94,campaigns!$A$2:$A$51,0))="","",INDEX(campaigns!$AJ$2:$AJ$51,MATCH($A94,campaigns!$A$2:$A$51,0))),"")="",IFERROR(IF(INDEX(campaigns!$BG$2:$BG$51,MATCH($A94,campaigns!$A$2:$A$51,0))="","",INDEX(campaigns!$BG$2:$BG$51,MATCH($A94,campaigns!$A$2:$A$51,0))),"")&lt;&gt;"",IF(config!$B$37&lt;&gt;"",config!$B$37,TODAY())&gt;=WORKDAY(N(IFERROR(IF(INDEX(campaigns!$BG$2:$BG$51,MATCH($A94,campaigns!$A$2:$A$51,0))="","",INDEX(campaigns!$BG$2:$BG$51,MATCH($A94,campaigns!$A$2:$A$51,0))),"")),-4,calendar!$A$2:$A$80)),"no prefill template yet (due T-4); ","")&amp;IF(COUNTIF(links!$D$2:$D$501,$D94)&gt;1,"DUPLICATE slug; ",""))</f>
        <v/>
      </c>
    </row>
    <row r="95">
      <c r="A95" s="25">
        <f>IF(INDEX(approvals!$A$2:$A$251,INT((ROW()-2)/2)+1)="","",INDEX(approvals!$A$2:$A$251,INT((ROW()-2)/2)+1))</f>
        <v/>
      </c>
      <c r="B95" s="25">
        <f>IF(INDEX(approvals!$A$2:$A$251,INT((ROW()-2)/2)+1)="","",INDEX(approvals!$B$2:$B$251,INT((ROW()-2)/2)+1))</f>
        <v/>
      </c>
      <c r="C95" s="25">
        <f>IF($A95="","",IF(MOD(ROW()-2,2)=0,"qr","post"))</f>
        <v/>
      </c>
      <c r="D95" s="25">
        <f>IF($A95="","",IF(LEFT($A95,7)="SAMPLE-","SAMPLE-","")&amp;LOWER(SUBSTITUTE(SUBSTITUTE($A95,"SAMPLE-",""),"CMP-","c"))&amp;"-"&amp;LOWER(SUBSTITUTE(SUBSTITUTE($B95,"SAMPLE-",""),"O-","o"))&amp;"-"&amp;IF($C95="qr","q","p"))</f>
        <v/>
      </c>
      <c r="E95" s="25">
        <f>IF($A95="","","https://"&amp;config!$B$9&amp;"/"&amp;$D95)</f>
        <v/>
      </c>
      <c r="F95" s="25">
        <f>IF($A95="","",$A95&amp;"."&amp;$B95)</f>
        <v/>
      </c>
      <c r="G95" s="25">
        <f>IF($A95="","",IF(IFERROR(IF(INDEX(campaigns!$AJ$2:$AJ$51,MATCH($A95,campaigns!$A$2:$A$51,0))="","",INDEX(campaigns!$AJ$2:$AJ$51,MATCH($A95,campaigns!$A$2:$A$51,0))),"")="","(add the survey prefill template on campaigns)",SUBSTITUTE(IFERROR(IF(INDEX(campaigns!$AJ$2:$AJ$51,MATCH($A95,campaigns!$A$2:$A$51,0))="","",INDEX(campaigns!$AJ$2:$AJ$51,MATCH($A95,campaigns!$A$2:$A$51,0))),""),"CARDCODE",$F95)&amp;"&amp;utm_source=office-pantry&amp;utm_medium="&amp;$C95&amp;"&amp;utm_campaign="&amp;LOWER($A95)&amp;"&amp;utm_content="&amp;LOWER($B95)))</f>
        <v/>
      </c>
      <c r="H95" s="25">
        <f>IF(OR($A95="",$C95&lt;&gt;"qr"),"",$D95&amp;".png")</f>
        <v/>
      </c>
      <c r="I95" s="25">
        <f>IF($A95="","",IF(AND(IFERROR(IF(INDEX(campaigns!$AJ$2:$AJ$51,MATCH($A95,campaigns!$A$2:$A$51,0))="","",INDEX(campaigns!$AJ$2:$AJ$51,MATCH($A95,campaigns!$A$2:$A$51,0))),"")="",IFERROR(IF(INDEX(campaigns!$BG$2:$BG$51,MATCH($A95,campaigns!$A$2:$A$51,0))="","",INDEX(campaigns!$BG$2:$BG$51,MATCH($A95,campaigns!$A$2:$A$51,0))),"")&lt;&gt;"",IF(config!$B$37&lt;&gt;"",config!$B$37,TODAY())&gt;=WORKDAY(N(IFERROR(IF(INDEX(campaigns!$BG$2:$BG$51,MATCH($A95,campaigns!$A$2:$A$51,0))="","",INDEX(campaigns!$BG$2:$BG$51,MATCH($A95,campaigns!$A$2:$A$51,0))),"")),-4,calendar!$A$2:$A$80)),"no prefill template yet (due T-4); ","")&amp;IF(COUNTIF(links!$D$2:$D$501,$D95)&gt;1,"DUPLICATE slug; ",""))</f>
        <v/>
      </c>
    </row>
    <row r="96">
      <c r="A96" s="25">
        <f>IF(INDEX(approvals!$A$2:$A$251,INT((ROW()-2)/2)+1)="","",INDEX(approvals!$A$2:$A$251,INT((ROW()-2)/2)+1))</f>
        <v/>
      </c>
      <c r="B96" s="25">
        <f>IF(INDEX(approvals!$A$2:$A$251,INT((ROW()-2)/2)+1)="","",INDEX(approvals!$B$2:$B$251,INT((ROW()-2)/2)+1))</f>
        <v/>
      </c>
      <c r="C96" s="25">
        <f>IF($A96="","",IF(MOD(ROW()-2,2)=0,"qr","post"))</f>
        <v/>
      </c>
      <c r="D96" s="25">
        <f>IF($A96="","",IF(LEFT($A96,7)="SAMPLE-","SAMPLE-","")&amp;LOWER(SUBSTITUTE(SUBSTITUTE($A96,"SAMPLE-",""),"CMP-","c"))&amp;"-"&amp;LOWER(SUBSTITUTE(SUBSTITUTE($B96,"SAMPLE-",""),"O-","o"))&amp;"-"&amp;IF($C96="qr","q","p"))</f>
        <v/>
      </c>
      <c r="E96" s="25">
        <f>IF($A96="","","https://"&amp;config!$B$9&amp;"/"&amp;$D96)</f>
        <v/>
      </c>
      <c r="F96" s="25">
        <f>IF($A96="","",$A96&amp;"."&amp;$B96)</f>
        <v/>
      </c>
      <c r="G96" s="25">
        <f>IF($A96="","",IF(IFERROR(IF(INDEX(campaigns!$AJ$2:$AJ$51,MATCH($A96,campaigns!$A$2:$A$51,0))="","",INDEX(campaigns!$AJ$2:$AJ$51,MATCH($A96,campaigns!$A$2:$A$51,0))),"")="","(add the survey prefill template on campaigns)",SUBSTITUTE(IFERROR(IF(INDEX(campaigns!$AJ$2:$AJ$51,MATCH($A96,campaigns!$A$2:$A$51,0))="","",INDEX(campaigns!$AJ$2:$AJ$51,MATCH($A96,campaigns!$A$2:$A$51,0))),""),"CARDCODE",$F96)&amp;"&amp;utm_source=office-pantry&amp;utm_medium="&amp;$C96&amp;"&amp;utm_campaign="&amp;LOWER($A96)&amp;"&amp;utm_content="&amp;LOWER($B96)))</f>
        <v/>
      </c>
      <c r="H96" s="25">
        <f>IF(OR($A96="",$C96&lt;&gt;"qr"),"",$D96&amp;".png")</f>
        <v/>
      </c>
      <c r="I96" s="25">
        <f>IF($A96="","",IF(AND(IFERROR(IF(INDEX(campaigns!$AJ$2:$AJ$51,MATCH($A96,campaigns!$A$2:$A$51,0))="","",INDEX(campaigns!$AJ$2:$AJ$51,MATCH($A96,campaigns!$A$2:$A$51,0))),"")="",IFERROR(IF(INDEX(campaigns!$BG$2:$BG$51,MATCH($A96,campaigns!$A$2:$A$51,0))="","",INDEX(campaigns!$BG$2:$BG$51,MATCH($A96,campaigns!$A$2:$A$51,0))),"")&lt;&gt;"",IF(config!$B$37&lt;&gt;"",config!$B$37,TODAY())&gt;=WORKDAY(N(IFERROR(IF(INDEX(campaigns!$BG$2:$BG$51,MATCH($A96,campaigns!$A$2:$A$51,0))="","",INDEX(campaigns!$BG$2:$BG$51,MATCH($A96,campaigns!$A$2:$A$51,0))),"")),-4,calendar!$A$2:$A$80)),"no prefill template yet (due T-4); ","")&amp;IF(COUNTIF(links!$D$2:$D$501,$D96)&gt;1,"DUPLICATE slug; ",""))</f>
        <v/>
      </c>
    </row>
    <row r="97">
      <c r="A97" s="25">
        <f>IF(INDEX(approvals!$A$2:$A$251,INT((ROW()-2)/2)+1)="","",INDEX(approvals!$A$2:$A$251,INT((ROW()-2)/2)+1))</f>
        <v/>
      </c>
      <c r="B97" s="25">
        <f>IF(INDEX(approvals!$A$2:$A$251,INT((ROW()-2)/2)+1)="","",INDEX(approvals!$B$2:$B$251,INT((ROW()-2)/2)+1))</f>
        <v/>
      </c>
      <c r="C97" s="25">
        <f>IF($A97="","",IF(MOD(ROW()-2,2)=0,"qr","post"))</f>
        <v/>
      </c>
      <c r="D97" s="25">
        <f>IF($A97="","",IF(LEFT($A97,7)="SAMPLE-","SAMPLE-","")&amp;LOWER(SUBSTITUTE(SUBSTITUTE($A97,"SAMPLE-",""),"CMP-","c"))&amp;"-"&amp;LOWER(SUBSTITUTE(SUBSTITUTE($B97,"SAMPLE-",""),"O-","o"))&amp;"-"&amp;IF($C97="qr","q","p"))</f>
        <v/>
      </c>
      <c r="E97" s="25">
        <f>IF($A97="","","https://"&amp;config!$B$9&amp;"/"&amp;$D97)</f>
        <v/>
      </c>
      <c r="F97" s="25">
        <f>IF($A97="","",$A97&amp;"."&amp;$B97)</f>
        <v/>
      </c>
      <c r="G97" s="25">
        <f>IF($A97="","",IF(IFERROR(IF(INDEX(campaigns!$AJ$2:$AJ$51,MATCH($A97,campaigns!$A$2:$A$51,0))="","",INDEX(campaigns!$AJ$2:$AJ$51,MATCH($A97,campaigns!$A$2:$A$51,0))),"")="","(add the survey prefill template on campaigns)",SUBSTITUTE(IFERROR(IF(INDEX(campaigns!$AJ$2:$AJ$51,MATCH($A97,campaigns!$A$2:$A$51,0))="","",INDEX(campaigns!$AJ$2:$AJ$51,MATCH($A97,campaigns!$A$2:$A$51,0))),""),"CARDCODE",$F97)&amp;"&amp;utm_source=office-pantry&amp;utm_medium="&amp;$C97&amp;"&amp;utm_campaign="&amp;LOWER($A97)&amp;"&amp;utm_content="&amp;LOWER($B97)))</f>
        <v/>
      </c>
      <c r="H97" s="25">
        <f>IF(OR($A97="",$C97&lt;&gt;"qr"),"",$D97&amp;".png")</f>
        <v/>
      </c>
      <c r="I97" s="25">
        <f>IF($A97="","",IF(AND(IFERROR(IF(INDEX(campaigns!$AJ$2:$AJ$51,MATCH($A97,campaigns!$A$2:$A$51,0))="","",INDEX(campaigns!$AJ$2:$AJ$51,MATCH($A97,campaigns!$A$2:$A$51,0))),"")="",IFERROR(IF(INDEX(campaigns!$BG$2:$BG$51,MATCH($A97,campaigns!$A$2:$A$51,0))="","",INDEX(campaigns!$BG$2:$BG$51,MATCH($A97,campaigns!$A$2:$A$51,0))),"")&lt;&gt;"",IF(config!$B$37&lt;&gt;"",config!$B$37,TODAY())&gt;=WORKDAY(N(IFERROR(IF(INDEX(campaigns!$BG$2:$BG$51,MATCH($A97,campaigns!$A$2:$A$51,0))="","",INDEX(campaigns!$BG$2:$BG$51,MATCH($A97,campaigns!$A$2:$A$51,0))),"")),-4,calendar!$A$2:$A$80)),"no prefill template yet (due T-4); ","")&amp;IF(COUNTIF(links!$D$2:$D$501,$D97)&gt;1,"DUPLICATE slug; ",""))</f>
        <v/>
      </c>
    </row>
    <row r="98">
      <c r="A98" s="25">
        <f>IF(INDEX(approvals!$A$2:$A$251,INT((ROW()-2)/2)+1)="","",INDEX(approvals!$A$2:$A$251,INT((ROW()-2)/2)+1))</f>
        <v/>
      </c>
      <c r="B98" s="25">
        <f>IF(INDEX(approvals!$A$2:$A$251,INT((ROW()-2)/2)+1)="","",INDEX(approvals!$B$2:$B$251,INT((ROW()-2)/2)+1))</f>
        <v/>
      </c>
      <c r="C98" s="25">
        <f>IF($A98="","",IF(MOD(ROW()-2,2)=0,"qr","post"))</f>
        <v/>
      </c>
      <c r="D98" s="25">
        <f>IF($A98="","",IF(LEFT($A98,7)="SAMPLE-","SAMPLE-","")&amp;LOWER(SUBSTITUTE(SUBSTITUTE($A98,"SAMPLE-",""),"CMP-","c"))&amp;"-"&amp;LOWER(SUBSTITUTE(SUBSTITUTE($B98,"SAMPLE-",""),"O-","o"))&amp;"-"&amp;IF($C98="qr","q","p"))</f>
        <v/>
      </c>
      <c r="E98" s="25">
        <f>IF($A98="","","https://"&amp;config!$B$9&amp;"/"&amp;$D98)</f>
        <v/>
      </c>
      <c r="F98" s="25">
        <f>IF($A98="","",$A98&amp;"."&amp;$B98)</f>
        <v/>
      </c>
      <c r="G98" s="25">
        <f>IF($A98="","",IF(IFERROR(IF(INDEX(campaigns!$AJ$2:$AJ$51,MATCH($A98,campaigns!$A$2:$A$51,0))="","",INDEX(campaigns!$AJ$2:$AJ$51,MATCH($A98,campaigns!$A$2:$A$51,0))),"")="","(add the survey prefill template on campaigns)",SUBSTITUTE(IFERROR(IF(INDEX(campaigns!$AJ$2:$AJ$51,MATCH($A98,campaigns!$A$2:$A$51,0))="","",INDEX(campaigns!$AJ$2:$AJ$51,MATCH($A98,campaigns!$A$2:$A$51,0))),""),"CARDCODE",$F98)&amp;"&amp;utm_source=office-pantry&amp;utm_medium="&amp;$C98&amp;"&amp;utm_campaign="&amp;LOWER($A98)&amp;"&amp;utm_content="&amp;LOWER($B98)))</f>
        <v/>
      </c>
      <c r="H98" s="25">
        <f>IF(OR($A98="",$C98&lt;&gt;"qr"),"",$D98&amp;".png")</f>
        <v/>
      </c>
      <c r="I98" s="25">
        <f>IF($A98="","",IF(AND(IFERROR(IF(INDEX(campaigns!$AJ$2:$AJ$51,MATCH($A98,campaigns!$A$2:$A$51,0))="","",INDEX(campaigns!$AJ$2:$AJ$51,MATCH($A98,campaigns!$A$2:$A$51,0))),"")="",IFERROR(IF(INDEX(campaigns!$BG$2:$BG$51,MATCH($A98,campaigns!$A$2:$A$51,0))="","",INDEX(campaigns!$BG$2:$BG$51,MATCH($A98,campaigns!$A$2:$A$51,0))),"")&lt;&gt;"",IF(config!$B$37&lt;&gt;"",config!$B$37,TODAY())&gt;=WORKDAY(N(IFERROR(IF(INDEX(campaigns!$BG$2:$BG$51,MATCH($A98,campaigns!$A$2:$A$51,0))="","",INDEX(campaigns!$BG$2:$BG$51,MATCH($A98,campaigns!$A$2:$A$51,0))),"")),-4,calendar!$A$2:$A$80)),"no prefill template yet (due T-4); ","")&amp;IF(COUNTIF(links!$D$2:$D$501,$D98)&gt;1,"DUPLICATE slug; ",""))</f>
        <v/>
      </c>
    </row>
    <row r="99">
      <c r="A99" s="25">
        <f>IF(INDEX(approvals!$A$2:$A$251,INT((ROW()-2)/2)+1)="","",INDEX(approvals!$A$2:$A$251,INT((ROW()-2)/2)+1))</f>
        <v/>
      </c>
      <c r="B99" s="25">
        <f>IF(INDEX(approvals!$A$2:$A$251,INT((ROW()-2)/2)+1)="","",INDEX(approvals!$B$2:$B$251,INT((ROW()-2)/2)+1))</f>
        <v/>
      </c>
      <c r="C99" s="25">
        <f>IF($A99="","",IF(MOD(ROW()-2,2)=0,"qr","post"))</f>
        <v/>
      </c>
      <c r="D99" s="25">
        <f>IF($A99="","",IF(LEFT($A99,7)="SAMPLE-","SAMPLE-","")&amp;LOWER(SUBSTITUTE(SUBSTITUTE($A99,"SAMPLE-",""),"CMP-","c"))&amp;"-"&amp;LOWER(SUBSTITUTE(SUBSTITUTE($B99,"SAMPLE-",""),"O-","o"))&amp;"-"&amp;IF($C99="qr","q","p"))</f>
        <v/>
      </c>
      <c r="E99" s="25">
        <f>IF($A99="","","https://"&amp;config!$B$9&amp;"/"&amp;$D99)</f>
        <v/>
      </c>
      <c r="F99" s="25">
        <f>IF($A99="","",$A99&amp;"."&amp;$B99)</f>
        <v/>
      </c>
      <c r="G99" s="25">
        <f>IF($A99="","",IF(IFERROR(IF(INDEX(campaigns!$AJ$2:$AJ$51,MATCH($A99,campaigns!$A$2:$A$51,0))="","",INDEX(campaigns!$AJ$2:$AJ$51,MATCH($A99,campaigns!$A$2:$A$51,0))),"")="","(add the survey prefill template on campaigns)",SUBSTITUTE(IFERROR(IF(INDEX(campaigns!$AJ$2:$AJ$51,MATCH($A99,campaigns!$A$2:$A$51,0))="","",INDEX(campaigns!$AJ$2:$AJ$51,MATCH($A99,campaigns!$A$2:$A$51,0))),""),"CARDCODE",$F99)&amp;"&amp;utm_source=office-pantry&amp;utm_medium="&amp;$C99&amp;"&amp;utm_campaign="&amp;LOWER($A99)&amp;"&amp;utm_content="&amp;LOWER($B99)))</f>
        <v/>
      </c>
      <c r="H99" s="25">
        <f>IF(OR($A99="",$C99&lt;&gt;"qr"),"",$D99&amp;".png")</f>
        <v/>
      </c>
      <c r="I99" s="25">
        <f>IF($A99="","",IF(AND(IFERROR(IF(INDEX(campaigns!$AJ$2:$AJ$51,MATCH($A99,campaigns!$A$2:$A$51,0))="","",INDEX(campaigns!$AJ$2:$AJ$51,MATCH($A99,campaigns!$A$2:$A$51,0))),"")="",IFERROR(IF(INDEX(campaigns!$BG$2:$BG$51,MATCH($A99,campaigns!$A$2:$A$51,0))="","",INDEX(campaigns!$BG$2:$BG$51,MATCH($A99,campaigns!$A$2:$A$51,0))),"")&lt;&gt;"",IF(config!$B$37&lt;&gt;"",config!$B$37,TODAY())&gt;=WORKDAY(N(IFERROR(IF(INDEX(campaigns!$BG$2:$BG$51,MATCH($A99,campaigns!$A$2:$A$51,0))="","",INDEX(campaigns!$BG$2:$BG$51,MATCH($A99,campaigns!$A$2:$A$51,0))),"")),-4,calendar!$A$2:$A$80)),"no prefill template yet (due T-4); ","")&amp;IF(COUNTIF(links!$D$2:$D$501,$D99)&gt;1,"DUPLICATE slug; ",""))</f>
        <v/>
      </c>
    </row>
    <row r="100">
      <c r="A100" s="25">
        <f>IF(INDEX(approvals!$A$2:$A$251,INT((ROW()-2)/2)+1)="","",INDEX(approvals!$A$2:$A$251,INT((ROW()-2)/2)+1))</f>
        <v/>
      </c>
      <c r="B100" s="25">
        <f>IF(INDEX(approvals!$A$2:$A$251,INT((ROW()-2)/2)+1)="","",INDEX(approvals!$B$2:$B$251,INT((ROW()-2)/2)+1))</f>
        <v/>
      </c>
      <c r="C100" s="25">
        <f>IF($A100="","",IF(MOD(ROW()-2,2)=0,"qr","post"))</f>
        <v/>
      </c>
      <c r="D100" s="25">
        <f>IF($A100="","",IF(LEFT($A100,7)="SAMPLE-","SAMPLE-","")&amp;LOWER(SUBSTITUTE(SUBSTITUTE($A100,"SAMPLE-",""),"CMP-","c"))&amp;"-"&amp;LOWER(SUBSTITUTE(SUBSTITUTE($B100,"SAMPLE-",""),"O-","o"))&amp;"-"&amp;IF($C100="qr","q","p"))</f>
        <v/>
      </c>
      <c r="E100" s="25">
        <f>IF($A100="","","https://"&amp;config!$B$9&amp;"/"&amp;$D100)</f>
        <v/>
      </c>
      <c r="F100" s="25">
        <f>IF($A100="","",$A100&amp;"."&amp;$B100)</f>
        <v/>
      </c>
      <c r="G100" s="25">
        <f>IF($A100="","",IF(IFERROR(IF(INDEX(campaigns!$AJ$2:$AJ$51,MATCH($A100,campaigns!$A$2:$A$51,0))="","",INDEX(campaigns!$AJ$2:$AJ$51,MATCH($A100,campaigns!$A$2:$A$51,0))),"")="","(add the survey prefill template on campaigns)",SUBSTITUTE(IFERROR(IF(INDEX(campaigns!$AJ$2:$AJ$51,MATCH($A100,campaigns!$A$2:$A$51,0))="","",INDEX(campaigns!$AJ$2:$AJ$51,MATCH($A100,campaigns!$A$2:$A$51,0))),""),"CARDCODE",$F100)&amp;"&amp;utm_source=office-pantry&amp;utm_medium="&amp;$C100&amp;"&amp;utm_campaign="&amp;LOWER($A100)&amp;"&amp;utm_content="&amp;LOWER($B100)))</f>
        <v/>
      </c>
      <c r="H100" s="25">
        <f>IF(OR($A100="",$C100&lt;&gt;"qr"),"",$D100&amp;".png")</f>
        <v/>
      </c>
      <c r="I100" s="25">
        <f>IF($A100="","",IF(AND(IFERROR(IF(INDEX(campaigns!$AJ$2:$AJ$51,MATCH($A100,campaigns!$A$2:$A$51,0))="","",INDEX(campaigns!$AJ$2:$AJ$51,MATCH($A100,campaigns!$A$2:$A$51,0))),"")="",IFERROR(IF(INDEX(campaigns!$BG$2:$BG$51,MATCH($A100,campaigns!$A$2:$A$51,0))="","",INDEX(campaigns!$BG$2:$BG$51,MATCH($A100,campaigns!$A$2:$A$51,0))),"")&lt;&gt;"",IF(config!$B$37&lt;&gt;"",config!$B$37,TODAY())&gt;=WORKDAY(N(IFERROR(IF(INDEX(campaigns!$BG$2:$BG$51,MATCH($A100,campaigns!$A$2:$A$51,0))="","",INDEX(campaigns!$BG$2:$BG$51,MATCH($A100,campaigns!$A$2:$A$51,0))),"")),-4,calendar!$A$2:$A$80)),"no prefill template yet (due T-4); ","")&amp;IF(COUNTIF(links!$D$2:$D$501,$D100)&gt;1,"DUPLICATE slug; ",""))</f>
        <v/>
      </c>
    </row>
    <row r="101">
      <c r="A101" s="25">
        <f>IF(INDEX(approvals!$A$2:$A$251,INT((ROW()-2)/2)+1)="","",INDEX(approvals!$A$2:$A$251,INT((ROW()-2)/2)+1))</f>
        <v/>
      </c>
      <c r="B101" s="25">
        <f>IF(INDEX(approvals!$A$2:$A$251,INT((ROW()-2)/2)+1)="","",INDEX(approvals!$B$2:$B$251,INT((ROW()-2)/2)+1))</f>
        <v/>
      </c>
      <c r="C101" s="25">
        <f>IF($A101="","",IF(MOD(ROW()-2,2)=0,"qr","post"))</f>
        <v/>
      </c>
      <c r="D101" s="25">
        <f>IF($A101="","",IF(LEFT($A101,7)="SAMPLE-","SAMPLE-","")&amp;LOWER(SUBSTITUTE(SUBSTITUTE($A101,"SAMPLE-",""),"CMP-","c"))&amp;"-"&amp;LOWER(SUBSTITUTE(SUBSTITUTE($B101,"SAMPLE-",""),"O-","o"))&amp;"-"&amp;IF($C101="qr","q","p"))</f>
        <v/>
      </c>
      <c r="E101" s="25">
        <f>IF($A101="","","https://"&amp;config!$B$9&amp;"/"&amp;$D101)</f>
        <v/>
      </c>
      <c r="F101" s="25">
        <f>IF($A101="","",$A101&amp;"."&amp;$B101)</f>
        <v/>
      </c>
      <c r="G101" s="25">
        <f>IF($A101="","",IF(IFERROR(IF(INDEX(campaigns!$AJ$2:$AJ$51,MATCH($A101,campaigns!$A$2:$A$51,0))="","",INDEX(campaigns!$AJ$2:$AJ$51,MATCH($A101,campaigns!$A$2:$A$51,0))),"")="","(add the survey prefill template on campaigns)",SUBSTITUTE(IFERROR(IF(INDEX(campaigns!$AJ$2:$AJ$51,MATCH($A101,campaigns!$A$2:$A$51,0))="","",INDEX(campaigns!$AJ$2:$AJ$51,MATCH($A101,campaigns!$A$2:$A$51,0))),""),"CARDCODE",$F101)&amp;"&amp;utm_source=office-pantry&amp;utm_medium="&amp;$C101&amp;"&amp;utm_campaign="&amp;LOWER($A101)&amp;"&amp;utm_content="&amp;LOWER($B101)))</f>
        <v/>
      </c>
      <c r="H101" s="25">
        <f>IF(OR($A101="",$C101&lt;&gt;"qr"),"",$D101&amp;".png")</f>
        <v/>
      </c>
      <c r="I101" s="25">
        <f>IF($A101="","",IF(AND(IFERROR(IF(INDEX(campaigns!$AJ$2:$AJ$51,MATCH($A101,campaigns!$A$2:$A$51,0))="","",INDEX(campaigns!$AJ$2:$AJ$51,MATCH($A101,campaigns!$A$2:$A$51,0))),"")="",IFERROR(IF(INDEX(campaigns!$BG$2:$BG$51,MATCH($A101,campaigns!$A$2:$A$51,0))="","",INDEX(campaigns!$BG$2:$BG$51,MATCH($A101,campaigns!$A$2:$A$51,0))),"")&lt;&gt;"",IF(config!$B$37&lt;&gt;"",config!$B$37,TODAY())&gt;=WORKDAY(N(IFERROR(IF(INDEX(campaigns!$BG$2:$BG$51,MATCH($A101,campaigns!$A$2:$A$51,0))="","",INDEX(campaigns!$BG$2:$BG$51,MATCH($A101,campaigns!$A$2:$A$51,0))),"")),-4,calendar!$A$2:$A$80)),"no prefill template yet (due T-4); ","")&amp;IF(COUNTIF(links!$D$2:$D$501,$D101)&gt;1,"DUPLICATE slug; ",""))</f>
        <v/>
      </c>
    </row>
    <row r="102">
      <c r="A102" s="25">
        <f>IF(INDEX(approvals!$A$2:$A$251,INT((ROW()-2)/2)+1)="","",INDEX(approvals!$A$2:$A$251,INT((ROW()-2)/2)+1))</f>
        <v/>
      </c>
      <c r="B102" s="25">
        <f>IF(INDEX(approvals!$A$2:$A$251,INT((ROW()-2)/2)+1)="","",INDEX(approvals!$B$2:$B$251,INT((ROW()-2)/2)+1))</f>
        <v/>
      </c>
      <c r="C102" s="25">
        <f>IF($A102="","",IF(MOD(ROW()-2,2)=0,"qr","post"))</f>
        <v/>
      </c>
      <c r="D102" s="25">
        <f>IF($A102="","",IF(LEFT($A102,7)="SAMPLE-","SAMPLE-","")&amp;LOWER(SUBSTITUTE(SUBSTITUTE($A102,"SAMPLE-",""),"CMP-","c"))&amp;"-"&amp;LOWER(SUBSTITUTE(SUBSTITUTE($B102,"SAMPLE-",""),"O-","o"))&amp;"-"&amp;IF($C102="qr","q","p"))</f>
        <v/>
      </c>
      <c r="E102" s="25">
        <f>IF($A102="","","https://"&amp;config!$B$9&amp;"/"&amp;$D102)</f>
        <v/>
      </c>
      <c r="F102" s="25">
        <f>IF($A102="","",$A102&amp;"."&amp;$B102)</f>
        <v/>
      </c>
      <c r="G102" s="25">
        <f>IF($A102="","",IF(IFERROR(IF(INDEX(campaigns!$AJ$2:$AJ$51,MATCH($A102,campaigns!$A$2:$A$51,0))="","",INDEX(campaigns!$AJ$2:$AJ$51,MATCH($A102,campaigns!$A$2:$A$51,0))),"")="","(add the survey prefill template on campaigns)",SUBSTITUTE(IFERROR(IF(INDEX(campaigns!$AJ$2:$AJ$51,MATCH($A102,campaigns!$A$2:$A$51,0))="","",INDEX(campaigns!$AJ$2:$AJ$51,MATCH($A102,campaigns!$A$2:$A$51,0))),""),"CARDCODE",$F102)&amp;"&amp;utm_source=office-pantry&amp;utm_medium="&amp;$C102&amp;"&amp;utm_campaign="&amp;LOWER($A102)&amp;"&amp;utm_content="&amp;LOWER($B102)))</f>
        <v/>
      </c>
      <c r="H102" s="25">
        <f>IF(OR($A102="",$C102&lt;&gt;"qr"),"",$D102&amp;".png")</f>
        <v/>
      </c>
      <c r="I102" s="25">
        <f>IF($A102="","",IF(AND(IFERROR(IF(INDEX(campaigns!$AJ$2:$AJ$51,MATCH($A102,campaigns!$A$2:$A$51,0))="","",INDEX(campaigns!$AJ$2:$AJ$51,MATCH($A102,campaigns!$A$2:$A$51,0))),"")="",IFERROR(IF(INDEX(campaigns!$BG$2:$BG$51,MATCH($A102,campaigns!$A$2:$A$51,0))="","",INDEX(campaigns!$BG$2:$BG$51,MATCH($A102,campaigns!$A$2:$A$51,0))),"")&lt;&gt;"",IF(config!$B$37&lt;&gt;"",config!$B$37,TODAY())&gt;=WORKDAY(N(IFERROR(IF(INDEX(campaigns!$BG$2:$BG$51,MATCH($A102,campaigns!$A$2:$A$51,0))="","",INDEX(campaigns!$BG$2:$BG$51,MATCH($A102,campaigns!$A$2:$A$51,0))),"")),-4,calendar!$A$2:$A$80)),"no prefill template yet (due T-4); ","")&amp;IF(COUNTIF(links!$D$2:$D$501,$D102)&gt;1,"DUPLICATE slug; ",""))</f>
        <v/>
      </c>
    </row>
    <row r="103">
      <c r="A103" s="25">
        <f>IF(INDEX(approvals!$A$2:$A$251,INT((ROW()-2)/2)+1)="","",INDEX(approvals!$A$2:$A$251,INT((ROW()-2)/2)+1))</f>
        <v/>
      </c>
      <c r="B103" s="25">
        <f>IF(INDEX(approvals!$A$2:$A$251,INT((ROW()-2)/2)+1)="","",INDEX(approvals!$B$2:$B$251,INT((ROW()-2)/2)+1))</f>
        <v/>
      </c>
      <c r="C103" s="25">
        <f>IF($A103="","",IF(MOD(ROW()-2,2)=0,"qr","post"))</f>
        <v/>
      </c>
      <c r="D103" s="25">
        <f>IF($A103="","",IF(LEFT($A103,7)="SAMPLE-","SAMPLE-","")&amp;LOWER(SUBSTITUTE(SUBSTITUTE($A103,"SAMPLE-",""),"CMP-","c"))&amp;"-"&amp;LOWER(SUBSTITUTE(SUBSTITUTE($B103,"SAMPLE-",""),"O-","o"))&amp;"-"&amp;IF($C103="qr","q","p"))</f>
        <v/>
      </c>
      <c r="E103" s="25">
        <f>IF($A103="","","https://"&amp;config!$B$9&amp;"/"&amp;$D103)</f>
        <v/>
      </c>
      <c r="F103" s="25">
        <f>IF($A103="","",$A103&amp;"."&amp;$B103)</f>
        <v/>
      </c>
      <c r="G103" s="25">
        <f>IF($A103="","",IF(IFERROR(IF(INDEX(campaigns!$AJ$2:$AJ$51,MATCH($A103,campaigns!$A$2:$A$51,0))="","",INDEX(campaigns!$AJ$2:$AJ$51,MATCH($A103,campaigns!$A$2:$A$51,0))),"")="","(add the survey prefill template on campaigns)",SUBSTITUTE(IFERROR(IF(INDEX(campaigns!$AJ$2:$AJ$51,MATCH($A103,campaigns!$A$2:$A$51,0))="","",INDEX(campaigns!$AJ$2:$AJ$51,MATCH($A103,campaigns!$A$2:$A$51,0))),""),"CARDCODE",$F103)&amp;"&amp;utm_source=office-pantry&amp;utm_medium="&amp;$C103&amp;"&amp;utm_campaign="&amp;LOWER($A103)&amp;"&amp;utm_content="&amp;LOWER($B103)))</f>
        <v/>
      </c>
      <c r="H103" s="25">
        <f>IF(OR($A103="",$C103&lt;&gt;"qr"),"",$D103&amp;".png")</f>
        <v/>
      </c>
      <c r="I103" s="25">
        <f>IF($A103="","",IF(AND(IFERROR(IF(INDEX(campaigns!$AJ$2:$AJ$51,MATCH($A103,campaigns!$A$2:$A$51,0))="","",INDEX(campaigns!$AJ$2:$AJ$51,MATCH($A103,campaigns!$A$2:$A$51,0))),"")="",IFERROR(IF(INDEX(campaigns!$BG$2:$BG$51,MATCH($A103,campaigns!$A$2:$A$51,0))="","",INDEX(campaigns!$BG$2:$BG$51,MATCH($A103,campaigns!$A$2:$A$51,0))),"")&lt;&gt;"",IF(config!$B$37&lt;&gt;"",config!$B$37,TODAY())&gt;=WORKDAY(N(IFERROR(IF(INDEX(campaigns!$BG$2:$BG$51,MATCH($A103,campaigns!$A$2:$A$51,0))="","",INDEX(campaigns!$BG$2:$BG$51,MATCH($A103,campaigns!$A$2:$A$51,0))),"")),-4,calendar!$A$2:$A$80)),"no prefill template yet (due T-4); ","")&amp;IF(COUNTIF(links!$D$2:$D$501,$D103)&gt;1,"DUPLICATE slug; ",""))</f>
        <v/>
      </c>
    </row>
    <row r="104">
      <c r="A104" s="25">
        <f>IF(INDEX(approvals!$A$2:$A$251,INT((ROW()-2)/2)+1)="","",INDEX(approvals!$A$2:$A$251,INT((ROW()-2)/2)+1))</f>
        <v/>
      </c>
      <c r="B104" s="25">
        <f>IF(INDEX(approvals!$A$2:$A$251,INT((ROW()-2)/2)+1)="","",INDEX(approvals!$B$2:$B$251,INT((ROW()-2)/2)+1))</f>
        <v/>
      </c>
      <c r="C104" s="25">
        <f>IF($A104="","",IF(MOD(ROW()-2,2)=0,"qr","post"))</f>
        <v/>
      </c>
      <c r="D104" s="25">
        <f>IF($A104="","",IF(LEFT($A104,7)="SAMPLE-","SAMPLE-","")&amp;LOWER(SUBSTITUTE(SUBSTITUTE($A104,"SAMPLE-",""),"CMP-","c"))&amp;"-"&amp;LOWER(SUBSTITUTE(SUBSTITUTE($B104,"SAMPLE-",""),"O-","o"))&amp;"-"&amp;IF($C104="qr","q","p"))</f>
        <v/>
      </c>
      <c r="E104" s="25">
        <f>IF($A104="","","https://"&amp;config!$B$9&amp;"/"&amp;$D104)</f>
        <v/>
      </c>
      <c r="F104" s="25">
        <f>IF($A104="","",$A104&amp;"."&amp;$B104)</f>
        <v/>
      </c>
      <c r="G104" s="25">
        <f>IF($A104="","",IF(IFERROR(IF(INDEX(campaigns!$AJ$2:$AJ$51,MATCH($A104,campaigns!$A$2:$A$51,0))="","",INDEX(campaigns!$AJ$2:$AJ$51,MATCH($A104,campaigns!$A$2:$A$51,0))),"")="","(add the survey prefill template on campaigns)",SUBSTITUTE(IFERROR(IF(INDEX(campaigns!$AJ$2:$AJ$51,MATCH($A104,campaigns!$A$2:$A$51,0))="","",INDEX(campaigns!$AJ$2:$AJ$51,MATCH($A104,campaigns!$A$2:$A$51,0))),""),"CARDCODE",$F104)&amp;"&amp;utm_source=office-pantry&amp;utm_medium="&amp;$C104&amp;"&amp;utm_campaign="&amp;LOWER($A104)&amp;"&amp;utm_content="&amp;LOWER($B104)))</f>
        <v/>
      </c>
      <c r="H104" s="25">
        <f>IF(OR($A104="",$C104&lt;&gt;"qr"),"",$D104&amp;".png")</f>
        <v/>
      </c>
      <c r="I104" s="25">
        <f>IF($A104="","",IF(AND(IFERROR(IF(INDEX(campaigns!$AJ$2:$AJ$51,MATCH($A104,campaigns!$A$2:$A$51,0))="","",INDEX(campaigns!$AJ$2:$AJ$51,MATCH($A104,campaigns!$A$2:$A$51,0))),"")="",IFERROR(IF(INDEX(campaigns!$BG$2:$BG$51,MATCH($A104,campaigns!$A$2:$A$51,0))="","",INDEX(campaigns!$BG$2:$BG$51,MATCH($A104,campaigns!$A$2:$A$51,0))),"")&lt;&gt;"",IF(config!$B$37&lt;&gt;"",config!$B$37,TODAY())&gt;=WORKDAY(N(IFERROR(IF(INDEX(campaigns!$BG$2:$BG$51,MATCH($A104,campaigns!$A$2:$A$51,0))="","",INDEX(campaigns!$BG$2:$BG$51,MATCH($A104,campaigns!$A$2:$A$51,0))),"")),-4,calendar!$A$2:$A$80)),"no prefill template yet (due T-4); ","")&amp;IF(COUNTIF(links!$D$2:$D$501,$D104)&gt;1,"DUPLICATE slug; ",""))</f>
        <v/>
      </c>
    </row>
    <row r="105">
      <c r="A105" s="25">
        <f>IF(INDEX(approvals!$A$2:$A$251,INT((ROW()-2)/2)+1)="","",INDEX(approvals!$A$2:$A$251,INT((ROW()-2)/2)+1))</f>
        <v/>
      </c>
      <c r="B105" s="25">
        <f>IF(INDEX(approvals!$A$2:$A$251,INT((ROW()-2)/2)+1)="","",INDEX(approvals!$B$2:$B$251,INT((ROW()-2)/2)+1))</f>
        <v/>
      </c>
      <c r="C105" s="25">
        <f>IF($A105="","",IF(MOD(ROW()-2,2)=0,"qr","post"))</f>
        <v/>
      </c>
      <c r="D105" s="25">
        <f>IF($A105="","",IF(LEFT($A105,7)="SAMPLE-","SAMPLE-","")&amp;LOWER(SUBSTITUTE(SUBSTITUTE($A105,"SAMPLE-",""),"CMP-","c"))&amp;"-"&amp;LOWER(SUBSTITUTE(SUBSTITUTE($B105,"SAMPLE-",""),"O-","o"))&amp;"-"&amp;IF($C105="qr","q","p"))</f>
        <v/>
      </c>
      <c r="E105" s="25">
        <f>IF($A105="","","https://"&amp;config!$B$9&amp;"/"&amp;$D105)</f>
        <v/>
      </c>
      <c r="F105" s="25">
        <f>IF($A105="","",$A105&amp;"."&amp;$B105)</f>
        <v/>
      </c>
      <c r="G105" s="25">
        <f>IF($A105="","",IF(IFERROR(IF(INDEX(campaigns!$AJ$2:$AJ$51,MATCH($A105,campaigns!$A$2:$A$51,0))="","",INDEX(campaigns!$AJ$2:$AJ$51,MATCH($A105,campaigns!$A$2:$A$51,0))),"")="","(add the survey prefill template on campaigns)",SUBSTITUTE(IFERROR(IF(INDEX(campaigns!$AJ$2:$AJ$51,MATCH($A105,campaigns!$A$2:$A$51,0))="","",INDEX(campaigns!$AJ$2:$AJ$51,MATCH($A105,campaigns!$A$2:$A$51,0))),""),"CARDCODE",$F105)&amp;"&amp;utm_source=office-pantry&amp;utm_medium="&amp;$C105&amp;"&amp;utm_campaign="&amp;LOWER($A105)&amp;"&amp;utm_content="&amp;LOWER($B105)))</f>
        <v/>
      </c>
      <c r="H105" s="25">
        <f>IF(OR($A105="",$C105&lt;&gt;"qr"),"",$D105&amp;".png")</f>
        <v/>
      </c>
      <c r="I105" s="25">
        <f>IF($A105="","",IF(AND(IFERROR(IF(INDEX(campaigns!$AJ$2:$AJ$51,MATCH($A105,campaigns!$A$2:$A$51,0))="","",INDEX(campaigns!$AJ$2:$AJ$51,MATCH($A105,campaigns!$A$2:$A$51,0))),"")="",IFERROR(IF(INDEX(campaigns!$BG$2:$BG$51,MATCH($A105,campaigns!$A$2:$A$51,0))="","",INDEX(campaigns!$BG$2:$BG$51,MATCH($A105,campaigns!$A$2:$A$51,0))),"")&lt;&gt;"",IF(config!$B$37&lt;&gt;"",config!$B$37,TODAY())&gt;=WORKDAY(N(IFERROR(IF(INDEX(campaigns!$BG$2:$BG$51,MATCH($A105,campaigns!$A$2:$A$51,0))="","",INDEX(campaigns!$BG$2:$BG$51,MATCH($A105,campaigns!$A$2:$A$51,0))),"")),-4,calendar!$A$2:$A$80)),"no prefill template yet (due T-4); ","")&amp;IF(COUNTIF(links!$D$2:$D$501,$D105)&gt;1,"DUPLICATE slug; ",""))</f>
        <v/>
      </c>
    </row>
    <row r="106">
      <c r="A106" s="25">
        <f>IF(INDEX(approvals!$A$2:$A$251,INT((ROW()-2)/2)+1)="","",INDEX(approvals!$A$2:$A$251,INT((ROW()-2)/2)+1))</f>
        <v/>
      </c>
      <c r="B106" s="25">
        <f>IF(INDEX(approvals!$A$2:$A$251,INT((ROW()-2)/2)+1)="","",INDEX(approvals!$B$2:$B$251,INT((ROW()-2)/2)+1))</f>
        <v/>
      </c>
      <c r="C106" s="25">
        <f>IF($A106="","",IF(MOD(ROW()-2,2)=0,"qr","post"))</f>
        <v/>
      </c>
      <c r="D106" s="25">
        <f>IF($A106="","",IF(LEFT($A106,7)="SAMPLE-","SAMPLE-","")&amp;LOWER(SUBSTITUTE(SUBSTITUTE($A106,"SAMPLE-",""),"CMP-","c"))&amp;"-"&amp;LOWER(SUBSTITUTE(SUBSTITUTE($B106,"SAMPLE-",""),"O-","o"))&amp;"-"&amp;IF($C106="qr","q","p"))</f>
        <v/>
      </c>
      <c r="E106" s="25">
        <f>IF($A106="","","https://"&amp;config!$B$9&amp;"/"&amp;$D106)</f>
        <v/>
      </c>
      <c r="F106" s="25">
        <f>IF($A106="","",$A106&amp;"."&amp;$B106)</f>
        <v/>
      </c>
      <c r="G106" s="25">
        <f>IF($A106="","",IF(IFERROR(IF(INDEX(campaigns!$AJ$2:$AJ$51,MATCH($A106,campaigns!$A$2:$A$51,0))="","",INDEX(campaigns!$AJ$2:$AJ$51,MATCH($A106,campaigns!$A$2:$A$51,0))),"")="","(add the survey prefill template on campaigns)",SUBSTITUTE(IFERROR(IF(INDEX(campaigns!$AJ$2:$AJ$51,MATCH($A106,campaigns!$A$2:$A$51,0))="","",INDEX(campaigns!$AJ$2:$AJ$51,MATCH($A106,campaigns!$A$2:$A$51,0))),""),"CARDCODE",$F106)&amp;"&amp;utm_source=office-pantry&amp;utm_medium="&amp;$C106&amp;"&amp;utm_campaign="&amp;LOWER($A106)&amp;"&amp;utm_content="&amp;LOWER($B106)))</f>
        <v/>
      </c>
      <c r="H106" s="25">
        <f>IF(OR($A106="",$C106&lt;&gt;"qr"),"",$D106&amp;".png")</f>
        <v/>
      </c>
      <c r="I106" s="25">
        <f>IF($A106="","",IF(AND(IFERROR(IF(INDEX(campaigns!$AJ$2:$AJ$51,MATCH($A106,campaigns!$A$2:$A$51,0))="","",INDEX(campaigns!$AJ$2:$AJ$51,MATCH($A106,campaigns!$A$2:$A$51,0))),"")="",IFERROR(IF(INDEX(campaigns!$BG$2:$BG$51,MATCH($A106,campaigns!$A$2:$A$51,0))="","",INDEX(campaigns!$BG$2:$BG$51,MATCH($A106,campaigns!$A$2:$A$51,0))),"")&lt;&gt;"",IF(config!$B$37&lt;&gt;"",config!$B$37,TODAY())&gt;=WORKDAY(N(IFERROR(IF(INDEX(campaigns!$BG$2:$BG$51,MATCH($A106,campaigns!$A$2:$A$51,0))="","",INDEX(campaigns!$BG$2:$BG$51,MATCH($A106,campaigns!$A$2:$A$51,0))),"")),-4,calendar!$A$2:$A$80)),"no prefill template yet (due T-4); ","")&amp;IF(COUNTIF(links!$D$2:$D$501,$D106)&gt;1,"DUPLICATE slug; ",""))</f>
        <v/>
      </c>
    </row>
    <row r="107">
      <c r="A107" s="25">
        <f>IF(INDEX(approvals!$A$2:$A$251,INT((ROW()-2)/2)+1)="","",INDEX(approvals!$A$2:$A$251,INT((ROW()-2)/2)+1))</f>
        <v/>
      </c>
      <c r="B107" s="25">
        <f>IF(INDEX(approvals!$A$2:$A$251,INT((ROW()-2)/2)+1)="","",INDEX(approvals!$B$2:$B$251,INT((ROW()-2)/2)+1))</f>
        <v/>
      </c>
      <c r="C107" s="25">
        <f>IF($A107="","",IF(MOD(ROW()-2,2)=0,"qr","post"))</f>
        <v/>
      </c>
      <c r="D107" s="25">
        <f>IF($A107="","",IF(LEFT($A107,7)="SAMPLE-","SAMPLE-","")&amp;LOWER(SUBSTITUTE(SUBSTITUTE($A107,"SAMPLE-",""),"CMP-","c"))&amp;"-"&amp;LOWER(SUBSTITUTE(SUBSTITUTE($B107,"SAMPLE-",""),"O-","o"))&amp;"-"&amp;IF($C107="qr","q","p"))</f>
        <v/>
      </c>
      <c r="E107" s="25">
        <f>IF($A107="","","https://"&amp;config!$B$9&amp;"/"&amp;$D107)</f>
        <v/>
      </c>
      <c r="F107" s="25">
        <f>IF($A107="","",$A107&amp;"."&amp;$B107)</f>
        <v/>
      </c>
      <c r="G107" s="25">
        <f>IF($A107="","",IF(IFERROR(IF(INDEX(campaigns!$AJ$2:$AJ$51,MATCH($A107,campaigns!$A$2:$A$51,0))="","",INDEX(campaigns!$AJ$2:$AJ$51,MATCH($A107,campaigns!$A$2:$A$51,0))),"")="","(add the survey prefill template on campaigns)",SUBSTITUTE(IFERROR(IF(INDEX(campaigns!$AJ$2:$AJ$51,MATCH($A107,campaigns!$A$2:$A$51,0))="","",INDEX(campaigns!$AJ$2:$AJ$51,MATCH($A107,campaigns!$A$2:$A$51,0))),""),"CARDCODE",$F107)&amp;"&amp;utm_source=office-pantry&amp;utm_medium="&amp;$C107&amp;"&amp;utm_campaign="&amp;LOWER($A107)&amp;"&amp;utm_content="&amp;LOWER($B107)))</f>
        <v/>
      </c>
      <c r="H107" s="25">
        <f>IF(OR($A107="",$C107&lt;&gt;"qr"),"",$D107&amp;".png")</f>
        <v/>
      </c>
      <c r="I107" s="25">
        <f>IF($A107="","",IF(AND(IFERROR(IF(INDEX(campaigns!$AJ$2:$AJ$51,MATCH($A107,campaigns!$A$2:$A$51,0))="","",INDEX(campaigns!$AJ$2:$AJ$51,MATCH($A107,campaigns!$A$2:$A$51,0))),"")="",IFERROR(IF(INDEX(campaigns!$BG$2:$BG$51,MATCH($A107,campaigns!$A$2:$A$51,0))="","",INDEX(campaigns!$BG$2:$BG$51,MATCH($A107,campaigns!$A$2:$A$51,0))),"")&lt;&gt;"",IF(config!$B$37&lt;&gt;"",config!$B$37,TODAY())&gt;=WORKDAY(N(IFERROR(IF(INDEX(campaigns!$BG$2:$BG$51,MATCH($A107,campaigns!$A$2:$A$51,0))="","",INDEX(campaigns!$BG$2:$BG$51,MATCH($A107,campaigns!$A$2:$A$51,0))),"")),-4,calendar!$A$2:$A$80)),"no prefill template yet (due T-4); ","")&amp;IF(COUNTIF(links!$D$2:$D$501,$D107)&gt;1,"DUPLICATE slug; ",""))</f>
        <v/>
      </c>
    </row>
    <row r="108">
      <c r="A108" s="25">
        <f>IF(INDEX(approvals!$A$2:$A$251,INT((ROW()-2)/2)+1)="","",INDEX(approvals!$A$2:$A$251,INT((ROW()-2)/2)+1))</f>
        <v/>
      </c>
      <c r="B108" s="25">
        <f>IF(INDEX(approvals!$A$2:$A$251,INT((ROW()-2)/2)+1)="","",INDEX(approvals!$B$2:$B$251,INT((ROW()-2)/2)+1))</f>
        <v/>
      </c>
      <c r="C108" s="25">
        <f>IF($A108="","",IF(MOD(ROW()-2,2)=0,"qr","post"))</f>
        <v/>
      </c>
      <c r="D108" s="25">
        <f>IF($A108="","",IF(LEFT($A108,7)="SAMPLE-","SAMPLE-","")&amp;LOWER(SUBSTITUTE(SUBSTITUTE($A108,"SAMPLE-",""),"CMP-","c"))&amp;"-"&amp;LOWER(SUBSTITUTE(SUBSTITUTE($B108,"SAMPLE-",""),"O-","o"))&amp;"-"&amp;IF($C108="qr","q","p"))</f>
        <v/>
      </c>
      <c r="E108" s="25">
        <f>IF($A108="","","https://"&amp;config!$B$9&amp;"/"&amp;$D108)</f>
        <v/>
      </c>
      <c r="F108" s="25">
        <f>IF($A108="","",$A108&amp;"."&amp;$B108)</f>
        <v/>
      </c>
      <c r="G108" s="25">
        <f>IF($A108="","",IF(IFERROR(IF(INDEX(campaigns!$AJ$2:$AJ$51,MATCH($A108,campaigns!$A$2:$A$51,0))="","",INDEX(campaigns!$AJ$2:$AJ$51,MATCH($A108,campaigns!$A$2:$A$51,0))),"")="","(add the survey prefill template on campaigns)",SUBSTITUTE(IFERROR(IF(INDEX(campaigns!$AJ$2:$AJ$51,MATCH($A108,campaigns!$A$2:$A$51,0))="","",INDEX(campaigns!$AJ$2:$AJ$51,MATCH($A108,campaigns!$A$2:$A$51,0))),""),"CARDCODE",$F108)&amp;"&amp;utm_source=office-pantry&amp;utm_medium="&amp;$C108&amp;"&amp;utm_campaign="&amp;LOWER($A108)&amp;"&amp;utm_content="&amp;LOWER($B108)))</f>
        <v/>
      </c>
      <c r="H108" s="25">
        <f>IF(OR($A108="",$C108&lt;&gt;"qr"),"",$D108&amp;".png")</f>
        <v/>
      </c>
      <c r="I108" s="25">
        <f>IF($A108="","",IF(AND(IFERROR(IF(INDEX(campaigns!$AJ$2:$AJ$51,MATCH($A108,campaigns!$A$2:$A$51,0))="","",INDEX(campaigns!$AJ$2:$AJ$51,MATCH($A108,campaigns!$A$2:$A$51,0))),"")="",IFERROR(IF(INDEX(campaigns!$BG$2:$BG$51,MATCH($A108,campaigns!$A$2:$A$51,0))="","",INDEX(campaigns!$BG$2:$BG$51,MATCH($A108,campaigns!$A$2:$A$51,0))),"")&lt;&gt;"",IF(config!$B$37&lt;&gt;"",config!$B$37,TODAY())&gt;=WORKDAY(N(IFERROR(IF(INDEX(campaigns!$BG$2:$BG$51,MATCH($A108,campaigns!$A$2:$A$51,0))="","",INDEX(campaigns!$BG$2:$BG$51,MATCH($A108,campaigns!$A$2:$A$51,0))),"")),-4,calendar!$A$2:$A$80)),"no prefill template yet (due T-4); ","")&amp;IF(COUNTIF(links!$D$2:$D$501,$D108)&gt;1,"DUPLICATE slug; ",""))</f>
        <v/>
      </c>
    </row>
    <row r="109">
      <c r="A109" s="25">
        <f>IF(INDEX(approvals!$A$2:$A$251,INT((ROW()-2)/2)+1)="","",INDEX(approvals!$A$2:$A$251,INT((ROW()-2)/2)+1))</f>
        <v/>
      </c>
      <c r="B109" s="25">
        <f>IF(INDEX(approvals!$A$2:$A$251,INT((ROW()-2)/2)+1)="","",INDEX(approvals!$B$2:$B$251,INT((ROW()-2)/2)+1))</f>
        <v/>
      </c>
      <c r="C109" s="25">
        <f>IF($A109="","",IF(MOD(ROW()-2,2)=0,"qr","post"))</f>
        <v/>
      </c>
      <c r="D109" s="25">
        <f>IF($A109="","",IF(LEFT($A109,7)="SAMPLE-","SAMPLE-","")&amp;LOWER(SUBSTITUTE(SUBSTITUTE($A109,"SAMPLE-",""),"CMP-","c"))&amp;"-"&amp;LOWER(SUBSTITUTE(SUBSTITUTE($B109,"SAMPLE-",""),"O-","o"))&amp;"-"&amp;IF($C109="qr","q","p"))</f>
        <v/>
      </c>
      <c r="E109" s="25">
        <f>IF($A109="","","https://"&amp;config!$B$9&amp;"/"&amp;$D109)</f>
        <v/>
      </c>
      <c r="F109" s="25">
        <f>IF($A109="","",$A109&amp;"."&amp;$B109)</f>
        <v/>
      </c>
      <c r="G109" s="25">
        <f>IF($A109="","",IF(IFERROR(IF(INDEX(campaigns!$AJ$2:$AJ$51,MATCH($A109,campaigns!$A$2:$A$51,0))="","",INDEX(campaigns!$AJ$2:$AJ$51,MATCH($A109,campaigns!$A$2:$A$51,0))),"")="","(add the survey prefill template on campaigns)",SUBSTITUTE(IFERROR(IF(INDEX(campaigns!$AJ$2:$AJ$51,MATCH($A109,campaigns!$A$2:$A$51,0))="","",INDEX(campaigns!$AJ$2:$AJ$51,MATCH($A109,campaigns!$A$2:$A$51,0))),""),"CARDCODE",$F109)&amp;"&amp;utm_source=office-pantry&amp;utm_medium="&amp;$C109&amp;"&amp;utm_campaign="&amp;LOWER($A109)&amp;"&amp;utm_content="&amp;LOWER($B109)))</f>
        <v/>
      </c>
      <c r="H109" s="25">
        <f>IF(OR($A109="",$C109&lt;&gt;"qr"),"",$D109&amp;".png")</f>
        <v/>
      </c>
      <c r="I109" s="25">
        <f>IF($A109="","",IF(AND(IFERROR(IF(INDEX(campaigns!$AJ$2:$AJ$51,MATCH($A109,campaigns!$A$2:$A$51,0))="","",INDEX(campaigns!$AJ$2:$AJ$51,MATCH($A109,campaigns!$A$2:$A$51,0))),"")="",IFERROR(IF(INDEX(campaigns!$BG$2:$BG$51,MATCH($A109,campaigns!$A$2:$A$51,0))="","",INDEX(campaigns!$BG$2:$BG$51,MATCH($A109,campaigns!$A$2:$A$51,0))),"")&lt;&gt;"",IF(config!$B$37&lt;&gt;"",config!$B$37,TODAY())&gt;=WORKDAY(N(IFERROR(IF(INDEX(campaigns!$BG$2:$BG$51,MATCH($A109,campaigns!$A$2:$A$51,0))="","",INDEX(campaigns!$BG$2:$BG$51,MATCH($A109,campaigns!$A$2:$A$51,0))),"")),-4,calendar!$A$2:$A$80)),"no prefill template yet (due T-4); ","")&amp;IF(COUNTIF(links!$D$2:$D$501,$D109)&gt;1,"DUPLICATE slug; ",""))</f>
        <v/>
      </c>
    </row>
    <row r="110">
      <c r="A110" s="25">
        <f>IF(INDEX(approvals!$A$2:$A$251,INT((ROW()-2)/2)+1)="","",INDEX(approvals!$A$2:$A$251,INT((ROW()-2)/2)+1))</f>
        <v/>
      </c>
      <c r="B110" s="25">
        <f>IF(INDEX(approvals!$A$2:$A$251,INT((ROW()-2)/2)+1)="","",INDEX(approvals!$B$2:$B$251,INT((ROW()-2)/2)+1))</f>
        <v/>
      </c>
      <c r="C110" s="25">
        <f>IF($A110="","",IF(MOD(ROW()-2,2)=0,"qr","post"))</f>
        <v/>
      </c>
      <c r="D110" s="25">
        <f>IF($A110="","",IF(LEFT($A110,7)="SAMPLE-","SAMPLE-","")&amp;LOWER(SUBSTITUTE(SUBSTITUTE($A110,"SAMPLE-",""),"CMP-","c"))&amp;"-"&amp;LOWER(SUBSTITUTE(SUBSTITUTE($B110,"SAMPLE-",""),"O-","o"))&amp;"-"&amp;IF($C110="qr","q","p"))</f>
        <v/>
      </c>
      <c r="E110" s="25">
        <f>IF($A110="","","https://"&amp;config!$B$9&amp;"/"&amp;$D110)</f>
        <v/>
      </c>
      <c r="F110" s="25">
        <f>IF($A110="","",$A110&amp;"."&amp;$B110)</f>
        <v/>
      </c>
      <c r="G110" s="25">
        <f>IF($A110="","",IF(IFERROR(IF(INDEX(campaigns!$AJ$2:$AJ$51,MATCH($A110,campaigns!$A$2:$A$51,0))="","",INDEX(campaigns!$AJ$2:$AJ$51,MATCH($A110,campaigns!$A$2:$A$51,0))),"")="","(add the survey prefill template on campaigns)",SUBSTITUTE(IFERROR(IF(INDEX(campaigns!$AJ$2:$AJ$51,MATCH($A110,campaigns!$A$2:$A$51,0))="","",INDEX(campaigns!$AJ$2:$AJ$51,MATCH($A110,campaigns!$A$2:$A$51,0))),""),"CARDCODE",$F110)&amp;"&amp;utm_source=office-pantry&amp;utm_medium="&amp;$C110&amp;"&amp;utm_campaign="&amp;LOWER($A110)&amp;"&amp;utm_content="&amp;LOWER($B110)))</f>
        <v/>
      </c>
      <c r="H110" s="25">
        <f>IF(OR($A110="",$C110&lt;&gt;"qr"),"",$D110&amp;".png")</f>
        <v/>
      </c>
      <c r="I110" s="25">
        <f>IF($A110="","",IF(AND(IFERROR(IF(INDEX(campaigns!$AJ$2:$AJ$51,MATCH($A110,campaigns!$A$2:$A$51,0))="","",INDEX(campaigns!$AJ$2:$AJ$51,MATCH($A110,campaigns!$A$2:$A$51,0))),"")="",IFERROR(IF(INDEX(campaigns!$BG$2:$BG$51,MATCH($A110,campaigns!$A$2:$A$51,0))="","",INDEX(campaigns!$BG$2:$BG$51,MATCH($A110,campaigns!$A$2:$A$51,0))),"")&lt;&gt;"",IF(config!$B$37&lt;&gt;"",config!$B$37,TODAY())&gt;=WORKDAY(N(IFERROR(IF(INDEX(campaigns!$BG$2:$BG$51,MATCH($A110,campaigns!$A$2:$A$51,0))="","",INDEX(campaigns!$BG$2:$BG$51,MATCH($A110,campaigns!$A$2:$A$51,0))),"")),-4,calendar!$A$2:$A$80)),"no prefill template yet (due T-4); ","")&amp;IF(COUNTIF(links!$D$2:$D$501,$D110)&gt;1,"DUPLICATE slug; ",""))</f>
        <v/>
      </c>
    </row>
    <row r="111">
      <c r="A111" s="25">
        <f>IF(INDEX(approvals!$A$2:$A$251,INT((ROW()-2)/2)+1)="","",INDEX(approvals!$A$2:$A$251,INT((ROW()-2)/2)+1))</f>
        <v/>
      </c>
      <c r="B111" s="25">
        <f>IF(INDEX(approvals!$A$2:$A$251,INT((ROW()-2)/2)+1)="","",INDEX(approvals!$B$2:$B$251,INT((ROW()-2)/2)+1))</f>
        <v/>
      </c>
      <c r="C111" s="25">
        <f>IF($A111="","",IF(MOD(ROW()-2,2)=0,"qr","post"))</f>
        <v/>
      </c>
      <c r="D111" s="25">
        <f>IF($A111="","",IF(LEFT($A111,7)="SAMPLE-","SAMPLE-","")&amp;LOWER(SUBSTITUTE(SUBSTITUTE($A111,"SAMPLE-",""),"CMP-","c"))&amp;"-"&amp;LOWER(SUBSTITUTE(SUBSTITUTE($B111,"SAMPLE-",""),"O-","o"))&amp;"-"&amp;IF($C111="qr","q","p"))</f>
        <v/>
      </c>
      <c r="E111" s="25">
        <f>IF($A111="","","https://"&amp;config!$B$9&amp;"/"&amp;$D111)</f>
        <v/>
      </c>
      <c r="F111" s="25">
        <f>IF($A111="","",$A111&amp;"."&amp;$B111)</f>
        <v/>
      </c>
      <c r="G111" s="25">
        <f>IF($A111="","",IF(IFERROR(IF(INDEX(campaigns!$AJ$2:$AJ$51,MATCH($A111,campaigns!$A$2:$A$51,0))="","",INDEX(campaigns!$AJ$2:$AJ$51,MATCH($A111,campaigns!$A$2:$A$51,0))),"")="","(add the survey prefill template on campaigns)",SUBSTITUTE(IFERROR(IF(INDEX(campaigns!$AJ$2:$AJ$51,MATCH($A111,campaigns!$A$2:$A$51,0))="","",INDEX(campaigns!$AJ$2:$AJ$51,MATCH($A111,campaigns!$A$2:$A$51,0))),""),"CARDCODE",$F111)&amp;"&amp;utm_source=office-pantry&amp;utm_medium="&amp;$C111&amp;"&amp;utm_campaign="&amp;LOWER($A111)&amp;"&amp;utm_content="&amp;LOWER($B111)))</f>
        <v/>
      </c>
      <c r="H111" s="25">
        <f>IF(OR($A111="",$C111&lt;&gt;"qr"),"",$D111&amp;".png")</f>
        <v/>
      </c>
      <c r="I111" s="25">
        <f>IF($A111="","",IF(AND(IFERROR(IF(INDEX(campaigns!$AJ$2:$AJ$51,MATCH($A111,campaigns!$A$2:$A$51,0))="","",INDEX(campaigns!$AJ$2:$AJ$51,MATCH($A111,campaigns!$A$2:$A$51,0))),"")="",IFERROR(IF(INDEX(campaigns!$BG$2:$BG$51,MATCH($A111,campaigns!$A$2:$A$51,0))="","",INDEX(campaigns!$BG$2:$BG$51,MATCH($A111,campaigns!$A$2:$A$51,0))),"")&lt;&gt;"",IF(config!$B$37&lt;&gt;"",config!$B$37,TODAY())&gt;=WORKDAY(N(IFERROR(IF(INDEX(campaigns!$BG$2:$BG$51,MATCH($A111,campaigns!$A$2:$A$51,0))="","",INDEX(campaigns!$BG$2:$BG$51,MATCH($A111,campaigns!$A$2:$A$51,0))),"")),-4,calendar!$A$2:$A$80)),"no prefill template yet (due T-4); ","")&amp;IF(COUNTIF(links!$D$2:$D$501,$D111)&gt;1,"DUPLICATE slug; ",""))</f>
        <v/>
      </c>
    </row>
    <row r="112">
      <c r="A112" s="25">
        <f>IF(INDEX(approvals!$A$2:$A$251,INT((ROW()-2)/2)+1)="","",INDEX(approvals!$A$2:$A$251,INT((ROW()-2)/2)+1))</f>
        <v/>
      </c>
      <c r="B112" s="25">
        <f>IF(INDEX(approvals!$A$2:$A$251,INT((ROW()-2)/2)+1)="","",INDEX(approvals!$B$2:$B$251,INT((ROW()-2)/2)+1))</f>
        <v/>
      </c>
      <c r="C112" s="25">
        <f>IF($A112="","",IF(MOD(ROW()-2,2)=0,"qr","post"))</f>
        <v/>
      </c>
      <c r="D112" s="25">
        <f>IF($A112="","",IF(LEFT($A112,7)="SAMPLE-","SAMPLE-","")&amp;LOWER(SUBSTITUTE(SUBSTITUTE($A112,"SAMPLE-",""),"CMP-","c"))&amp;"-"&amp;LOWER(SUBSTITUTE(SUBSTITUTE($B112,"SAMPLE-",""),"O-","o"))&amp;"-"&amp;IF($C112="qr","q","p"))</f>
        <v/>
      </c>
      <c r="E112" s="25">
        <f>IF($A112="","","https://"&amp;config!$B$9&amp;"/"&amp;$D112)</f>
        <v/>
      </c>
      <c r="F112" s="25">
        <f>IF($A112="","",$A112&amp;"."&amp;$B112)</f>
        <v/>
      </c>
      <c r="G112" s="25">
        <f>IF($A112="","",IF(IFERROR(IF(INDEX(campaigns!$AJ$2:$AJ$51,MATCH($A112,campaigns!$A$2:$A$51,0))="","",INDEX(campaigns!$AJ$2:$AJ$51,MATCH($A112,campaigns!$A$2:$A$51,0))),"")="","(add the survey prefill template on campaigns)",SUBSTITUTE(IFERROR(IF(INDEX(campaigns!$AJ$2:$AJ$51,MATCH($A112,campaigns!$A$2:$A$51,0))="","",INDEX(campaigns!$AJ$2:$AJ$51,MATCH($A112,campaigns!$A$2:$A$51,0))),""),"CARDCODE",$F112)&amp;"&amp;utm_source=office-pantry&amp;utm_medium="&amp;$C112&amp;"&amp;utm_campaign="&amp;LOWER($A112)&amp;"&amp;utm_content="&amp;LOWER($B112)))</f>
        <v/>
      </c>
      <c r="H112" s="25">
        <f>IF(OR($A112="",$C112&lt;&gt;"qr"),"",$D112&amp;".png")</f>
        <v/>
      </c>
      <c r="I112" s="25">
        <f>IF($A112="","",IF(AND(IFERROR(IF(INDEX(campaigns!$AJ$2:$AJ$51,MATCH($A112,campaigns!$A$2:$A$51,0))="","",INDEX(campaigns!$AJ$2:$AJ$51,MATCH($A112,campaigns!$A$2:$A$51,0))),"")="",IFERROR(IF(INDEX(campaigns!$BG$2:$BG$51,MATCH($A112,campaigns!$A$2:$A$51,0))="","",INDEX(campaigns!$BG$2:$BG$51,MATCH($A112,campaigns!$A$2:$A$51,0))),"")&lt;&gt;"",IF(config!$B$37&lt;&gt;"",config!$B$37,TODAY())&gt;=WORKDAY(N(IFERROR(IF(INDEX(campaigns!$BG$2:$BG$51,MATCH($A112,campaigns!$A$2:$A$51,0))="","",INDEX(campaigns!$BG$2:$BG$51,MATCH($A112,campaigns!$A$2:$A$51,0))),"")),-4,calendar!$A$2:$A$80)),"no prefill template yet (due T-4); ","")&amp;IF(COUNTIF(links!$D$2:$D$501,$D112)&gt;1,"DUPLICATE slug; ",""))</f>
        <v/>
      </c>
    </row>
    <row r="113">
      <c r="A113" s="25">
        <f>IF(INDEX(approvals!$A$2:$A$251,INT((ROW()-2)/2)+1)="","",INDEX(approvals!$A$2:$A$251,INT((ROW()-2)/2)+1))</f>
        <v/>
      </c>
      <c r="B113" s="25">
        <f>IF(INDEX(approvals!$A$2:$A$251,INT((ROW()-2)/2)+1)="","",INDEX(approvals!$B$2:$B$251,INT((ROW()-2)/2)+1))</f>
        <v/>
      </c>
      <c r="C113" s="25">
        <f>IF($A113="","",IF(MOD(ROW()-2,2)=0,"qr","post"))</f>
        <v/>
      </c>
      <c r="D113" s="25">
        <f>IF($A113="","",IF(LEFT($A113,7)="SAMPLE-","SAMPLE-","")&amp;LOWER(SUBSTITUTE(SUBSTITUTE($A113,"SAMPLE-",""),"CMP-","c"))&amp;"-"&amp;LOWER(SUBSTITUTE(SUBSTITUTE($B113,"SAMPLE-",""),"O-","o"))&amp;"-"&amp;IF($C113="qr","q","p"))</f>
        <v/>
      </c>
      <c r="E113" s="25">
        <f>IF($A113="","","https://"&amp;config!$B$9&amp;"/"&amp;$D113)</f>
        <v/>
      </c>
      <c r="F113" s="25">
        <f>IF($A113="","",$A113&amp;"."&amp;$B113)</f>
        <v/>
      </c>
      <c r="G113" s="25">
        <f>IF($A113="","",IF(IFERROR(IF(INDEX(campaigns!$AJ$2:$AJ$51,MATCH($A113,campaigns!$A$2:$A$51,0))="","",INDEX(campaigns!$AJ$2:$AJ$51,MATCH($A113,campaigns!$A$2:$A$51,0))),"")="","(add the survey prefill template on campaigns)",SUBSTITUTE(IFERROR(IF(INDEX(campaigns!$AJ$2:$AJ$51,MATCH($A113,campaigns!$A$2:$A$51,0))="","",INDEX(campaigns!$AJ$2:$AJ$51,MATCH($A113,campaigns!$A$2:$A$51,0))),""),"CARDCODE",$F113)&amp;"&amp;utm_source=office-pantry&amp;utm_medium="&amp;$C113&amp;"&amp;utm_campaign="&amp;LOWER($A113)&amp;"&amp;utm_content="&amp;LOWER($B113)))</f>
        <v/>
      </c>
      <c r="H113" s="25">
        <f>IF(OR($A113="",$C113&lt;&gt;"qr"),"",$D113&amp;".png")</f>
        <v/>
      </c>
      <c r="I113" s="25">
        <f>IF($A113="","",IF(AND(IFERROR(IF(INDEX(campaigns!$AJ$2:$AJ$51,MATCH($A113,campaigns!$A$2:$A$51,0))="","",INDEX(campaigns!$AJ$2:$AJ$51,MATCH($A113,campaigns!$A$2:$A$51,0))),"")="",IFERROR(IF(INDEX(campaigns!$BG$2:$BG$51,MATCH($A113,campaigns!$A$2:$A$51,0))="","",INDEX(campaigns!$BG$2:$BG$51,MATCH($A113,campaigns!$A$2:$A$51,0))),"")&lt;&gt;"",IF(config!$B$37&lt;&gt;"",config!$B$37,TODAY())&gt;=WORKDAY(N(IFERROR(IF(INDEX(campaigns!$BG$2:$BG$51,MATCH($A113,campaigns!$A$2:$A$51,0))="","",INDEX(campaigns!$BG$2:$BG$51,MATCH($A113,campaigns!$A$2:$A$51,0))),"")),-4,calendar!$A$2:$A$80)),"no prefill template yet (due T-4); ","")&amp;IF(COUNTIF(links!$D$2:$D$501,$D113)&gt;1,"DUPLICATE slug; ",""))</f>
        <v/>
      </c>
    </row>
    <row r="114">
      <c r="A114" s="25">
        <f>IF(INDEX(approvals!$A$2:$A$251,INT((ROW()-2)/2)+1)="","",INDEX(approvals!$A$2:$A$251,INT((ROW()-2)/2)+1))</f>
        <v/>
      </c>
      <c r="B114" s="25">
        <f>IF(INDEX(approvals!$A$2:$A$251,INT((ROW()-2)/2)+1)="","",INDEX(approvals!$B$2:$B$251,INT((ROW()-2)/2)+1))</f>
        <v/>
      </c>
      <c r="C114" s="25">
        <f>IF($A114="","",IF(MOD(ROW()-2,2)=0,"qr","post"))</f>
        <v/>
      </c>
      <c r="D114" s="25">
        <f>IF($A114="","",IF(LEFT($A114,7)="SAMPLE-","SAMPLE-","")&amp;LOWER(SUBSTITUTE(SUBSTITUTE($A114,"SAMPLE-",""),"CMP-","c"))&amp;"-"&amp;LOWER(SUBSTITUTE(SUBSTITUTE($B114,"SAMPLE-",""),"O-","o"))&amp;"-"&amp;IF($C114="qr","q","p"))</f>
        <v/>
      </c>
      <c r="E114" s="25">
        <f>IF($A114="","","https://"&amp;config!$B$9&amp;"/"&amp;$D114)</f>
        <v/>
      </c>
      <c r="F114" s="25">
        <f>IF($A114="","",$A114&amp;"."&amp;$B114)</f>
        <v/>
      </c>
      <c r="G114" s="25">
        <f>IF($A114="","",IF(IFERROR(IF(INDEX(campaigns!$AJ$2:$AJ$51,MATCH($A114,campaigns!$A$2:$A$51,0))="","",INDEX(campaigns!$AJ$2:$AJ$51,MATCH($A114,campaigns!$A$2:$A$51,0))),"")="","(add the survey prefill template on campaigns)",SUBSTITUTE(IFERROR(IF(INDEX(campaigns!$AJ$2:$AJ$51,MATCH($A114,campaigns!$A$2:$A$51,0))="","",INDEX(campaigns!$AJ$2:$AJ$51,MATCH($A114,campaigns!$A$2:$A$51,0))),""),"CARDCODE",$F114)&amp;"&amp;utm_source=office-pantry&amp;utm_medium="&amp;$C114&amp;"&amp;utm_campaign="&amp;LOWER($A114)&amp;"&amp;utm_content="&amp;LOWER($B114)))</f>
        <v/>
      </c>
      <c r="H114" s="25">
        <f>IF(OR($A114="",$C114&lt;&gt;"qr"),"",$D114&amp;".png")</f>
        <v/>
      </c>
      <c r="I114" s="25">
        <f>IF($A114="","",IF(AND(IFERROR(IF(INDEX(campaigns!$AJ$2:$AJ$51,MATCH($A114,campaigns!$A$2:$A$51,0))="","",INDEX(campaigns!$AJ$2:$AJ$51,MATCH($A114,campaigns!$A$2:$A$51,0))),"")="",IFERROR(IF(INDEX(campaigns!$BG$2:$BG$51,MATCH($A114,campaigns!$A$2:$A$51,0))="","",INDEX(campaigns!$BG$2:$BG$51,MATCH($A114,campaigns!$A$2:$A$51,0))),"")&lt;&gt;"",IF(config!$B$37&lt;&gt;"",config!$B$37,TODAY())&gt;=WORKDAY(N(IFERROR(IF(INDEX(campaigns!$BG$2:$BG$51,MATCH($A114,campaigns!$A$2:$A$51,0))="","",INDEX(campaigns!$BG$2:$BG$51,MATCH($A114,campaigns!$A$2:$A$51,0))),"")),-4,calendar!$A$2:$A$80)),"no prefill template yet (due T-4); ","")&amp;IF(COUNTIF(links!$D$2:$D$501,$D114)&gt;1,"DUPLICATE slug; ",""))</f>
        <v/>
      </c>
    </row>
    <row r="115">
      <c r="A115" s="25">
        <f>IF(INDEX(approvals!$A$2:$A$251,INT((ROW()-2)/2)+1)="","",INDEX(approvals!$A$2:$A$251,INT((ROW()-2)/2)+1))</f>
        <v/>
      </c>
      <c r="B115" s="25">
        <f>IF(INDEX(approvals!$A$2:$A$251,INT((ROW()-2)/2)+1)="","",INDEX(approvals!$B$2:$B$251,INT((ROW()-2)/2)+1))</f>
        <v/>
      </c>
      <c r="C115" s="25">
        <f>IF($A115="","",IF(MOD(ROW()-2,2)=0,"qr","post"))</f>
        <v/>
      </c>
      <c r="D115" s="25">
        <f>IF($A115="","",IF(LEFT($A115,7)="SAMPLE-","SAMPLE-","")&amp;LOWER(SUBSTITUTE(SUBSTITUTE($A115,"SAMPLE-",""),"CMP-","c"))&amp;"-"&amp;LOWER(SUBSTITUTE(SUBSTITUTE($B115,"SAMPLE-",""),"O-","o"))&amp;"-"&amp;IF($C115="qr","q","p"))</f>
        <v/>
      </c>
      <c r="E115" s="25">
        <f>IF($A115="","","https://"&amp;config!$B$9&amp;"/"&amp;$D115)</f>
        <v/>
      </c>
      <c r="F115" s="25">
        <f>IF($A115="","",$A115&amp;"."&amp;$B115)</f>
        <v/>
      </c>
      <c r="G115" s="25">
        <f>IF($A115="","",IF(IFERROR(IF(INDEX(campaigns!$AJ$2:$AJ$51,MATCH($A115,campaigns!$A$2:$A$51,0))="","",INDEX(campaigns!$AJ$2:$AJ$51,MATCH($A115,campaigns!$A$2:$A$51,0))),"")="","(add the survey prefill template on campaigns)",SUBSTITUTE(IFERROR(IF(INDEX(campaigns!$AJ$2:$AJ$51,MATCH($A115,campaigns!$A$2:$A$51,0))="","",INDEX(campaigns!$AJ$2:$AJ$51,MATCH($A115,campaigns!$A$2:$A$51,0))),""),"CARDCODE",$F115)&amp;"&amp;utm_source=office-pantry&amp;utm_medium="&amp;$C115&amp;"&amp;utm_campaign="&amp;LOWER($A115)&amp;"&amp;utm_content="&amp;LOWER($B115)))</f>
        <v/>
      </c>
      <c r="H115" s="25">
        <f>IF(OR($A115="",$C115&lt;&gt;"qr"),"",$D115&amp;".png")</f>
        <v/>
      </c>
      <c r="I115" s="25">
        <f>IF($A115="","",IF(AND(IFERROR(IF(INDEX(campaigns!$AJ$2:$AJ$51,MATCH($A115,campaigns!$A$2:$A$51,0))="","",INDEX(campaigns!$AJ$2:$AJ$51,MATCH($A115,campaigns!$A$2:$A$51,0))),"")="",IFERROR(IF(INDEX(campaigns!$BG$2:$BG$51,MATCH($A115,campaigns!$A$2:$A$51,0))="","",INDEX(campaigns!$BG$2:$BG$51,MATCH($A115,campaigns!$A$2:$A$51,0))),"")&lt;&gt;"",IF(config!$B$37&lt;&gt;"",config!$B$37,TODAY())&gt;=WORKDAY(N(IFERROR(IF(INDEX(campaigns!$BG$2:$BG$51,MATCH($A115,campaigns!$A$2:$A$51,0))="","",INDEX(campaigns!$BG$2:$BG$51,MATCH($A115,campaigns!$A$2:$A$51,0))),"")),-4,calendar!$A$2:$A$80)),"no prefill template yet (due T-4); ","")&amp;IF(COUNTIF(links!$D$2:$D$501,$D115)&gt;1,"DUPLICATE slug; ",""))</f>
        <v/>
      </c>
    </row>
    <row r="116">
      <c r="A116" s="25">
        <f>IF(INDEX(approvals!$A$2:$A$251,INT((ROW()-2)/2)+1)="","",INDEX(approvals!$A$2:$A$251,INT((ROW()-2)/2)+1))</f>
        <v/>
      </c>
      <c r="B116" s="25">
        <f>IF(INDEX(approvals!$A$2:$A$251,INT((ROW()-2)/2)+1)="","",INDEX(approvals!$B$2:$B$251,INT((ROW()-2)/2)+1))</f>
        <v/>
      </c>
      <c r="C116" s="25">
        <f>IF($A116="","",IF(MOD(ROW()-2,2)=0,"qr","post"))</f>
        <v/>
      </c>
      <c r="D116" s="25">
        <f>IF($A116="","",IF(LEFT($A116,7)="SAMPLE-","SAMPLE-","")&amp;LOWER(SUBSTITUTE(SUBSTITUTE($A116,"SAMPLE-",""),"CMP-","c"))&amp;"-"&amp;LOWER(SUBSTITUTE(SUBSTITUTE($B116,"SAMPLE-",""),"O-","o"))&amp;"-"&amp;IF($C116="qr","q","p"))</f>
        <v/>
      </c>
      <c r="E116" s="25">
        <f>IF($A116="","","https://"&amp;config!$B$9&amp;"/"&amp;$D116)</f>
        <v/>
      </c>
      <c r="F116" s="25">
        <f>IF($A116="","",$A116&amp;"."&amp;$B116)</f>
        <v/>
      </c>
      <c r="G116" s="25">
        <f>IF($A116="","",IF(IFERROR(IF(INDEX(campaigns!$AJ$2:$AJ$51,MATCH($A116,campaigns!$A$2:$A$51,0))="","",INDEX(campaigns!$AJ$2:$AJ$51,MATCH($A116,campaigns!$A$2:$A$51,0))),"")="","(add the survey prefill template on campaigns)",SUBSTITUTE(IFERROR(IF(INDEX(campaigns!$AJ$2:$AJ$51,MATCH($A116,campaigns!$A$2:$A$51,0))="","",INDEX(campaigns!$AJ$2:$AJ$51,MATCH($A116,campaigns!$A$2:$A$51,0))),""),"CARDCODE",$F116)&amp;"&amp;utm_source=office-pantry&amp;utm_medium="&amp;$C116&amp;"&amp;utm_campaign="&amp;LOWER($A116)&amp;"&amp;utm_content="&amp;LOWER($B116)))</f>
        <v/>
      </c>
      <c r="H116" s="25">
        <f>IF(OR($A116="",$C116&lt;&gt;"qr"),"",$D116&amp;".png")</f>
        <v/>
      </c>
      <c r="I116" s="25">
        <f>IF($A116="","",IF(AND(IFERROR(IF(INDEX(campaigns!$AJ$2:$AJ$51,MATCH($A116,campaigns!$A$2:$A$51,0))="","",INDEX(campaigns!$AJ$2:$AJ$51,MATCH($A116,campaigns!$A$2:$A$51,0))),"")="",IFERROR(IF(INDEX(campaigns!$BG$2:$BG$51,MATCH($A116,campaigns!$A$2:$A$51,0))="","",INDEX(campaigns!$BG$2:$BG$51,MATCH($A116,campaigns!$A$2:$A$51,0))),"")&lt;&gt;"",IF(config!$B$37&lt;&gt;"",config!$B$37,TODAY())&gt;=WORKDAY(N(IFERROR(IF(INDEX(campaigns!$BG$2:$BG$51,MATCH($A116,campaigns!$A$2:$A$51,0))="","",INDEX(campaigns!$BG$2:$BG$51,MATCH($A116,campaigns!$A$2:$A$51,0))),"")),-4,calendar!$A$2:$A$80)),"no prefill template yet (due T-4); ","")&amp;IF(COUNTIF(links!$D$2:$D$501,$D116)&gt;1,"DUPLICATE slug; ",""))</f>
        <v/>
      </c>
    </row>
    <row r="117">
      <c r="A117" s="25">
        <f>IF(INDEX(approvals!$A$2:$A$251,INT((ROW()-2)/2)+1)="","",INDEX(approvals!$A$2:$A$251,INT((ROW()-2)/2)+1))</f>
        <v/>
      </c>
      <c r="B117" s="25">
        <f>IF(INDEX(approvals!$A$2:$A$251,INT((ROW()-2)/2)+1)="","",INDEX(approvals!$B$2:$B$251,INT((ROW()-2)/2)+1))</f>
        <v/>
      </c>
      <c r="C117" s="25">
        <f>IF($A117="","",IF(MOD(ROW()-2,2)=0,"qr","post"))</f>
        <v/>
      </c>
      <c r="D117" s="25">
        <f>IF($A117="","",IF(LEFT($A117,7)="SAMPLE-","SAMPLE-","")&amp;LOWER(SUBSTITUTE(SUBSTITUTE($A117,"SAMPLE-",""),"CMP-","c"))&amp;"-"&amp;LOWER(SUBSTITUTE(SUBSTITUTE($B117,"SAMPLE-",""),"O-","o"))&amp;"-"&amp;IF($C117="qr","q","p"))</f>
        <v/>
      </c>
      <c r="E117" s="25">
        <f>IF($A117="","","https://"&amp;config!$B$9&amp;"/"&amp;$D117)</f>
        <v/>
      </c>
      <c r="F117" s="25">
        <f>IF($A117="","",$A117&amp;"."&amp;$B117)</f>
        <v/>
      </c>
      <c r="G117" s="25">
        <f>IF($A117="","",IF(IFERROR(IF(INDEX(campaigns!$AJ$2:$AJ$51,MATCH($A117,campaigns!$A$2:$A$51,0))="","",INDEX(campaigns!$AJ$2:$AJ$51,MATCH($A117,campaigns!$A$2:$A$51,0))),"")="","(add the survey prefill template on campaigns)",SUBSTITUTE(IFERROR(IF(INDEX(campaigns!$AJ$2:$AJ$51,MATCH($A117,campaigns!$A$2:$A$51,0))="","",INDEX(campaigns!$AJ$2:$AJ$51,MATCH($A117,campaigns!$A$2:$A$51,0))),""),"CARDCODE",$F117)&amp;"&amp;utm_source=office-pantry&amp;utm_medium="&amp;$C117&amp;"&amp;utm_campaign="&amp;LOWER($A117)&amp;"&amp;utm_content="&amp;LOWER($B117)))</f>
        <v/>
      </c>
      <c r="H117" s="25">
        <f>IF(OR($A117="",$C117&lt;&gt;"qr"),"",$D117&amp;".png")</f>
        <v/>
      </c>
      <c r="I117" s="25">
        <f>IF($A117="","",IF(AND(IFERROR(IF(INDEX(campaigns!$AJ$2:$AJ$51,MATCH($A117,campaigns!$A$2:$A$51,0))="","",INDEX(campaigns!$AJ$2:$AJ$51,MATCH($A117,campaigns!$A$2:$A$51,0))),"")="",IFERROR(IF(INDEX(campaigns!$BG$2:$BG$51,MATCH($A117,campaigns!$A$2:$A$51,0))="","",INDEX(campaigns!$BG$2:$BG$51,MATCH($A117,campaigns!$A$2:$A$51,0))),"")&lt;&gt;"",IF(config!$B$37&lt;&gt;"",config!$B$37,TODAY())&gt;=WORKDAY(N(IFERROR(IF(INDEX(campaigns!$BG$2:$BG$51,MATCH($A117,campaigns!$A$2:$A$51,0))="","",INDEX(campaigns!$BG$2:$BG$51,MATCH($A117,campaigns!$A$2:$A$51,0))),"")),-4,calendar!$A$2:$A$80)),"no prefill template yet (due T-4); ","")&amp;IF(COUNTIF(links!$D$2:$D$501,$D117)&gt;1,"DUPLICATE slug; ",""))</f>
        <v/>
      </c>
    </row>
    <row r="118">
      <c r="A118" s="25">
        <f>IF(INDEX(approvals!$A$2:$A$251,INT((ROW()-2)/2)+1)="","",INDEX(approvals!$A$2:$A$251,INT((ROW()-2)/2)+1))</f>
        <v/>
      </c>
      <c r="B118" s="25">
        <f>IF(INDEX(approvals!$A$2:$A$251,INT((ROW()-2)/2)+1)="","",INDEX(approvals!$B$2:$B$251,INT((ROW()-2)/2)+1))</f>
        <v/>
      </c>
      <c r="C118" s="25">
        <f>IF($A118="","",IF(MOD(ROW()-2,2)=0,"qr","post"))</f>
        <v/>
      </c>
      <c r="D118" s="25">
        <f>IF($A118="","",IF(LEFT($A118,7)="SAMPLE-","SAMPLE-","")&amp;LOWER(SUBSTITUTE(SUBSTITUTE($A118,"SAMPLE-",""),"CMP-","c"))&amp;"-"&amp;LOWER(SUBSTITUTE(SUBSTITUTE($B118,"SAMPLE-",""),"O-","o"))&amp;"-"&amp;IF($C118="qr","q","p"))</f>
        <v/>
      </c>
      <c r="E118" s="25">
        <f>IF($A118="","","https://"&amp;config!$B$9&amp;"/"&amp;$D118)</f>
        <v/>
      </c>
      <c r="F118" s="25">
        <f>IF($A118="","",$A118&amp;"."&amp;$B118)</f>
        <v/>
      </c>
      <c r="G118" s="25">
        <f>IF($A118="","",IF(IFERROR(IF(INDEX(campaigns!$AJ$2:$AJ$51,MATCH($A118,campaigns!$A$2:$A$51,0))="","",INDEX(campaigns!$AJ$2:$AJ$51,MATCH($A118,campaigns!$A$2:$A$51,0))),"")="","(add the survey prefill template on campaigns)",SUBSTITUTE(IFERROR(IF(INDEX(campaigns!$AJ$2:$AJ$51,MATCH($A118,campaigns!$A$2:$A$51,0))="","",INDEX(campaigns!$AJ$2:$AJ$51,MATCH($A118,campaigns!$A$2:$A$51,0))),""),"CARDCODE",$F118)&amp;"&amp;utm_source=office-pantry&amp;utm_medium="&amp;$C118&amp;"&amp;utm_campaign="&amp;LOWER($A118)&amp;"&amp;utm_content="&amp;LOWER($B118)))</f>
        <v/>
      </c>
      <c r="H118" s="25">
        <f>IF(OR($A118="",$C118&lt;&gt;"qr"),"",$D118&amp;".png")</f>
        <v/>
      </c>
      <c r="I118" s="25">
        <f>IF($A118="","",IF(AND(IFERROR(IF(INDEX(campaigns!$AJ$2:$AJ$51,MATCH($A118,campaigns!$A$2:$A$51,0))="","",INDEX(campaigns!$AJ$2:$AJ$51,MATCH($A118,campaigns!$A$2:$A$51,0))),"")="",IFERROR(IF(INDEX(campaigns!$BG$2:$BG$51,MATCH($A118,campaigns!$A$2:$A$51,0))="","",INDEX(campaigns!$BG$2:$BG$51,MATCH($A118,campaigns!$A$2:$A$51,0))),"")&lt;&gt;"",IF(config!$B$37&lt;&gt;"",config!$B$37,TODAY())&gt;=WORKDAY(N(IFERROR(IF(INDEX(campaigns!$BG$2:$BG$51,MATCH($A118,campaigns!$A$2:$A$51,0))="","",INDEX(campaigns!$BG$2:$BG$51,MATCH($A118,campaigns!$A$2:$A$51,0))),"")),-4,calendar!$A$2:$A$80)),"no prefill template yet (due T-4); ","")&amp;IF(COUNTIF(links!$D$2:$D$501,$D118)&gt;1,"DUPLICATE slug; ",""))</f>
        <v/>
      </c>
    </row>
    <row r="119">
      <c r="A119" s="25">
        <f>IF(INDEX(approvals!$A$2:$A$251,INT((ROW()-2)/2)+1)="","",INDEX(approvals!$A$2:$A$251,INT((ROW()-2)/2)+1))</f>
        <v/>
      </c>
      <c r="B119" s="25">
        <f>IF(INDEX(approvals!$A$2:$A$251,INT((ROW()-2)/2)+1)="","",INDEX(approvals!$B$2:$B$251,INT((ROW()-2)/2)+1))</f>
        <v/>
      </c>
      <c r="C119" s="25">
        <f>IF($A119="","",IF(MOD(ROW()-2,2)=0,"qr","post"))</f>
        <v/>
      </c>
      <c r="D119" s="25">
        <f>IF($A119="","",IF(LEFT($A119,7)="SAMPLE-","SAMPLE-","")&amp;LOWER(SUBSTITUTE(SUBSTITUTE($A119,"SAMPLE-",""),"CMP-","c"))&amp;"-"&amp;LOWER(SUBSTITUTE(SUBSTITUTE($B119,"SAMPLE-",""),"O-","o"))&amp;"-"&amp;IF($C119="qr","q","p"))</f>
        <v/>
      </c>
      <c r="E119" s="25">
        <f>IF($A119="","","https://"&amp;config!$B$9&amp;"/"&amp;$D119)</f>
        <v/>
      </c>
      <c r="F119" s="25">
        <f>IF($A119="","",$A119&amp;"."&amp;$B119)</f>
        <v/>
      </c>
      <c r="G119" s="25">
        <f>IF($A119="","",IF(IFERROR(IF(INDEX(campaigns!$AJ$2:$AJ$51,MATCH($A119,campaigns!$A$2:$A$51,0))="","",INDEX(campaigns!$AJ$2:$AJ$51,MATCH($A119,campaigns!$A$2:$A$51,0))),"")="","(add the survey prefill template on campaigns)",SUBSTITUTE(IFERROR(IF(INDEX(campaigns!$AJ$2:$AJ$51,MATCH($A119,campaigns!$A$2:$A$51,0))="","",INDEX(campaigns!$AJ$2:$AJ$51,MATCH($A119,campaigns!$A$2:$A$51,0))),""),"CARDCODE",$F119)&amp;"&amp;utm_source=office-pantry&amp;utm_medium="&amp;$C119&amp;"&amp;utm_campaign="&amp;LOWER($A119)&amp;"&amp;utm_content="&amp;LOWER($B119)))</f>
        <v/>
      </c>
      <c r="H119" s="25">
        <f>IF(OR($A119="",$C119&lt;&gt;"qr"),"",$D119&amp;".png")</f>
        <v/>
      </c>
      <c r="I119" s="25">
        <f>IF($A119="","",IF(AND(IFERROR(IF(INDEX(campaigns!$AJ$2:$AJ$51,MATCH($A119,campaigns!$A$2:$A$51,0))="","",INDEX(campaigns!$AJ$2:$AJ$51,MATCH($A119,campaigns!$A$2:$A$51,0))),"")="",IFERROR(IF(INDEX(campaigns!$BG$2:$BG$51,MATCH($A119,campaigns!$A$2:$A$51,0))="","",INDEX(campaigns!$BG$2:$BG$51,MATCH($A119,campaigns!$A$2:$A$51,0))),"")&lt;&gt;"",IF(config!$B$37&lt;&gt;"",config!$B$37,TODAY())&gt;=WORKDAY(N(IFERROR(IF(INDEX(campaigns!$BG$2:$BG$51,MATCH($A119,campaigns!$A$2:$A$51,0))="","",INDEX(campaigns!$BG$2:$BG$51,MATCH($A119,campaigns!$A$2:$A$51,0))),"")),-4,calendar!$A$2:$A$80)),"no prefill template yet (due T-4); ","")&amp;IF(COUNTIF(links!$D$2:$D$501,$D119)&gt;1,"DUPLICATE slug; ",""))</f>
        <v/>
      </c>
    </row>
    <row r="120">
      <c r="A120" s="25">
        <f>IF(INDEX(approvals!$A$2:$A$251,INT((ROW()-2)/2)+1)="","",INDEX(approvals!$A$2:$A$251,INT((ROW()-2)/2)+1))</f>
        <v/>
      </c>
      <c r="B120" s="25">
        <f>IF(INDEX(approvals!$A$2:$A$251,INT((ROW()-2)/2)+1)="","",INDEX(approvals!$B$2:$B$251,INT((ROW()-2)/2)+1))</f>
        <v/>
      </c>
      <c r="C120" s="25">
        <f>IF($A120="","",IF(MOD(ROW()-2,2)=0,"qr","post"))</f>
        <v/>
      </c>
      <c r="D120" s="25">
        <f>IF($A120="","",IF(LEFT($A120,7)="SAMPLE-","SAMPLE-","")&amp;LOWER(SUBSTITUTE(SUBSTITUTE($A120,"SAMPLE-",""),"CMP-","c"))&amp;"-"&amp;LOWER(SUBSTITUTE(SUBSTITUTE($B120,"SAMPLE-",""),"O-","o"))&amp;"-"&amp;IF($C120="qr","q","p"))</f>
        <v/>
      </c>
      <c r="E120" s="25">
        <f>IF($A120="","","https://"&amp;config!$B$9&amp;"/"&amp;$D120)</f>
        <v/>
      </c>
      <c r="F120" s="25">
        <f>IF($A120="","",$A120&amp;"."&amp;$B120)</f>
        <v/>
      </c>
      <c r="G120" s="25">
        <f>IF($A120="","",IF(IFERROR(IF(INDEX(campaigns!$AJ$2:$AJ$51,MATCH($A120,campaigns!$A$2:$A$51,0))="","",INDEX(campaigns!$AJ$2:$AJ$51,MATCH($A120,campaigns!$A$2:$A$51,0))),"")="","(add the survey prefill template on campaigns)",SUBSTITUTE(IFERROR(IF(INDEX(campaigns!$AJ$2:$AJ$51,MATCH($A120,campaigns!$A$2:$A$51,0))="","",INDEX(campaigns!$AJ$2:$AJ$51,MATCH($A120,campaigns!$A$2:$A$51,0))),""),"CARDCODE",$F120)&amp;"&amp;utm_source=office-pantry&amp;utm_medium="&amp;$C120&amp;"&amp;utm_campaign="&amp;LOWER($A120)&amp;"&amp;utm_content="&amp;LOWER($B120)))</f>
        <v/>
      </c>
      <c r="H120" s="25">
        <f>IF(OR($A120="",$C120&lt;&gt;"qr"),"",$D120&amp;".png")</f>
        <v/>
      </c>
      <c r="I120" s="25">
        <f>IF($A120="","",IF(AND(IFERROR(IF(INDEX(campaigns!$AJ$2:$AJ$51,MATCH($A120,campaigns!$A$2:$A$51,0))="","",INDEX(campaigns!$AJ$2:$AJ$51,MATCH($A120,campaigns!$A$2:$A$51,0))),"")="",IFERROR(IF(INDEX(campaigns!$BG$2:$BG$51,MATCH($A120,campaigns!$A$2:$A$51,0))="","",INDEX(campaigns!$BG$2:$BG$51,MATCH($A120,campaigns!$A$2:$A$51,0))),"")&lt;&gt;"",IF(config!$B$37&lt;&gt;"",config!$B$37,TODAY())&gt;=WORKDAY(N(IFERROR(IF(INDEX(campaigns!$BG$2:$BG$51,MATCH($A120,campaigns!$A$2:$A$51,0))="","",INDEX(campaigns!$BG$2:$BG$51,MATCH($A120,campaigns!$A$2:$A$51,0))),"")),-4,calendar!$A$2:$A$80)),"no prefill template yet (due T-4); ","")&amp;IF(COUNTIF(links!$D$2:$D$501,$D120)&gt;1,"DUPLICATE slug; ",""))</f>
        <v/>
      </c>
    </row>
    <row r="121">
      <c r="A121" s="25">
        <f>IF(INDEX(approvals!$A$2:$A$251,INT((ROW()-2)/2)+1)="","",INDEX(approvals!$A$2:$A$251,INT((ROW()-2)/2)+1))</f>
        <v/>
      </c>
      <c r="B121" s="25">
        <f>IF(INDEX(approvals!$A$2:$A$251,INT((ROW()-2)/2)+1)="","",INDEX(approvals!$B$2:$B$251,INT((ROW()-2)/2)+1))</f>
        <v/>
      </c>
      <c r="C121" s="25">
        <f>IF($A121="","",IF(MOD(ROW()-2,2)=0,"qr","post"))</f>
        <v/>
      </c>
      <c r="D121" s="25">
        <f>IF($A121="","",IF(LEFT($A121,7)="SAMPLE-","SAMPLE-","")&amp;LOWER(SUBSTITUTE(SUBSTITUTE($A121,"SAMPLE-",""),"CMP-","c"))&amp;"-"&amp;LOWER(SUBSTITUTE(SUBSTITUTE($B121,"SAMPLE-",""),"O-","o"))&amp;"-"&amp;IF($C121="qr","q","p"))</f>
        <v/>
      </c>
      <c r="E121" s="25">
        <f>IF($A121="","","https://"&amp;config!$B$9&amp;"/"&amp;$D121)</f>
        <v/>
      </c>
      <c r="F121" s="25">
        <f>IF($A121="","",$A121&amp;"."&amp;$B121)</f>
        <v/>
      </c>
      <c r="G121" s="25">
        <f>IF($A121="","",IF(IFERROR(IF(INDEX(campaigns!$AJ$2:$AJ$51,MATCH($A121,campaigns!$A$2:$A$51,0))="","",INDEX(campaigns!$AJ$2:$AJ$51,MATCH($A121,campaigns!$A$2:$A$51,0))),"")="","(add the survey prefill template on campaigns)",SUBSTITUTE(IFERROR(IF(INDEX(campaigns!$AJ$2:$AJ$51,MATCH($A121,campaigns!$A$2:$A$51,0))="","",INDEX(campaigns!$AJ$2:$AJ$51,MATCH($A121,campaigns!$A$2:$A$51,0))),""),"CARDCODE",$F121)&amp;"&amp;utm_source=office-pantry&amp;utm_medium="&amp;$C121&amp;"&amp;utm_campaign="&amp;LOWER($A121)&amp;"&amp;utm_content="&amp;LOWER($B121)))</f>
        <v/>
      </c>
      <c r="H121" s="25">
        <f>IF(OR($A121="",$C121&lt;&gt;"qr"),"",$D121&amp;".png")</f>
        <v/>
      </c>
      <c r="I121" s="25">
        <f>IF($A121="","",IF(AND(IFERROR(IF(INDEX(campaigns!$AJ$2:$AJ$51,MATCH($A121,campaigns!$A$2:$A$51,0))="","",INDEX(campaigns!$AJ$2:$AJ$51,MATCH($A121,campaigns!$A$2:$A$51,0))),"")="",IFERROR(IF(INDEX(campaigns!$BG$2:$BG$51,MATCH($A121,campaigns!$A$2:$A$51,0))="","",INDEX(campaigns!$BG$2:$BG$51,MATCH($A121,campaigns!$A$2:$A$51,0))),"")&lt;&gt;"",IF(config!$B$37&lt;&gt;"",config!$B$37,TODAY())&gt;=WORKDAY(N(IFERROR(IF(INDEX(campaigns!$BG$2:$BG$51,MATCH($A121,campaigns!$A$2:$A$51,0))="","",INDEX(campaigns!$BG$2:$BG$51,MATCH($A121,campaigns!$A$2:$A$51,0))),"")),-4,calendar!$A$2:$A$80)),"no prefill template yet (due T-4); ","")&amp;IF(COUNTIF(links!$D$2:$D$501,$D121)&gt;1,"DUPLICATE slug; ",""))</f>
        <v/>
      </c>
    </row>
    <row r="122">
      <c r="A122" s="25">
        <f>IF(INDEX(approvals!$A$2:$A$251,INT((ROW()-2)/2)+1)="","",INDEX(approvals!$A$2:$A$251,INT((ROW()-2)/2)+1))</f>
        <v/>
      </c>
      <c r="B122" s="25">
        <f>IF(INDEX(approvals!$A$2:$A$251,INT((ROW()-2)/2)+1)="","",INDEX(approvals!$B$2:$B$251,INT((ROW()-2)/2)+1))</f>
        <v/>
      </c>
      <c r="C122" s="25">
        <f>IF($A122="","",IF(MOD(ROW()-2,2)=0,"qr","post"))</f>
        <v/>
      </c>
      <c r="D122" s="25">
        <f>IF($A122="","",IF(LEFT($A122,7)="SAMPLE-","SAMPLE-","")&amp;LOWER(SUBSTITUTE(SUBSTITUTE($A122,"SAMPLE-",""),"CMP-","c"))&amp;"-"&amp;LOWER(SUBSTITUTE(SUBSTITUTE($B122,"SAMPLE-",""),"O-","o"))&amp;"-"&amp;IF($C122="qr","q","p"))</f>
        <v/>
      </c>
      <c r="E122" s="25">
        <f>IF($A122="","","https://"&amp;config!$B$9&amp;"/"&amp;$D122)</f>
        <v/>
      </c>
      <c r="F122" s="25">
        <f>IF($A122="","",$A122&amp;"."&amp;$B122)</f>
        <v/>
      </c>
      <c r="G122" s="25">
        <f>IF($A122="","",IF(IFERROR(IF(INDEX(campaigns!$AJ$2:$AJ$51,MATCH($A122,campaigns!$A$2:$A$51,0))="","",INDEX(campaigns!$AJ$2:$AJ$51,MATCH($A122,campaigns!$A$2:$A$51,0))),"")="","(add the survey prefill template on campaigns)",SUBSTITUTE(IFERROR(IF(INDEX(campaigns!$AJ$2:$AJ$51,MATCH($A122,campaigns!$A$2:$A$51,0))="","",INDEX(campaigns!$AJ$2:$AJ$51,MATCH($A122,campaigns!$A$2:$A$51,0))),""),"CARDCODE",$F122)&amp;"&amp;utm_source=office-pantry&amp;utm_medium="&amp;$C122&amp;"&amp;utm_campaign="&amp;LOWER($A122)&amp;"&amp;utm_content="&amp;LOWER($B122)))</f>
        <v/>
      </c>
      <c r="H122" s="25">
        <f>IF(OR($A122="",$C122&lt;&gt;"qr"),"",$D122&amp;".png")</f>
        <v/>
      </c>
      <c r="I122" s="25">
        <f>IF($A122="","",IF(AND(IFERROR(IF(INDEX(campaigns!$AJ$2:$AJ$51,MATCH($A122,campaigns!$A$2:$A$51,0))="","",INDEX(campaigns!$AJ$2:$AJ$51,MATCH($A122,campaigns!$A$2:$A$51,0))),"")="",IFERROR(IF(INDEX(campaigns!$BG$2:$BG$51,MATCH($A122,campaigns!$A$2:$A$51,0))="","",INDEX(campaigns!$BG$2:$BG$51,MATCH($A122,campaigns!$A$2:$A$51,0))),"")&lt;&gt;"",IF(config!$B$37&lt;&gt;"",config!$B$37,TODAY())&gt;=WORKDAY(N(IFERROR(IF(INDEX(campaigns!$BG$2:$BG$51,MATCH($A122,campaigns!$A$2:$A$51,0))="","",INDEX(campaigns!$BG$2:$BG$51,MATCH($A122,campaigns!$A$2:$A$51,0))),"")),-4,calendar!$A$2:$A$80)),"no prefill template yet (due T-4); ","")&amp;IF(COUNTIF(links!$D$2:$D$501,$D122)&gt;1,"DUPLICATE slug; ",""))</f>
        <v/>
      </c>
    </row>
    <row r="123">
      <c r="A123" s="25">
        <f>IF(INDEX(approvals!$A$2:$A$251,INT((ROW()-2)/2)+1)="","",INDEX(approvals!$A$2:$A$251,INT((ROW()-2)/2)+1))</f>
        <v/>
      </c>
      <c r="B123" s="25">
        <f>IF(INDEX(approvals!$A$2:$A$251,INT((ROW()-2)/2)+1)="","",INDEX(approvals!$B$2:$B$251,INT((ROW()-2)/2)+1))</f>
        <v/>
      </c>
      <c r="C123" s="25">
        <f>IF($A123="","",IF(MOD(ROW()-2,2)=0,"qr","post"))</f>
        <v/>
      </c>
      <c r="D123" s="25">
        <f>IF($A123="","",IF(LEFT($A123,7)="SAMPLE-","SAMPLE-","")&amp;LOWER(SUBSTITUTE(SUBSTITUTE($A123,"SAMPLE-",""),"CMP-","c"))&amp;"-"&amp;LOWER(SUBSTITUTE(SUBSTITUTE($B123,"SAMPLE-",""),"O-","o"))&amp;"-"&amp;IF($C123="qr","q","p"))</f>
        <v/>
      </c>
      <c r="E123" s="25">
        <f>IF($A123="","","https://"&amp;config!$B$9&amp;"/"&amp;$D123)</f>
        <v/>
      </c>
      <c r="F123" s="25">
        <f>IF($A123="","",$A123&amp;"."&amp;$B123)</f>
        <v/>
      </c>
      <c r="G123" s="25">
        <f>IF($A123="","",IF(IFERROR(IF(INDEX(campaigns!$AJ$2:$AJ$51,MATCH($A123,campaigns!$A$2:$A$51,0))="","",INDEX(campaigns!$AJ$2:$AJ$51,MATCH($A123,campaigns!$A$2:$A$51,0))),"")="","(add the survey prefill template on campaigns)",SUBSTITUTE(IFERROR(IF(INDEX(campaigns!$AJ$2:$AJ$51,MATCH($A123,campaigns!$A$2:$A$51,0))="","",INDEX(campaigns!$AJ$2:$AJ$51,MATCH($A123,campaigns!$A$2:$A$51,0))),""),"CARDCODE",$F123)&amp;"&amp;utm_source=office-pantry&amp;utm_medium="&amp;$C123&amp;"&amp;utm_campaign="&amp;LOWER($A123)&amp;"&amp;utm_content="&amp;LOWER($B123)))</f>
        <v/>
      </c>
      <c r="H123" s="25">
        <f>IF(OR($A123="",$C123&lt;&gt;"qr"),"",$D123&amp;".png")</f>
        <v/>
      </c>
      <c r="I123" s="25">
        <f>IF($A123="","",IF(AND(IFERROR(IF(INDEX(campaigns!$AJ$2:$AJ$51,MATCH($A123,campaigns!$A$2:$A$51,0))="","",INDEX(campaigns!$AJ$2:$AJ$51,MATCH($A123,campaigns!$A$2:$A$51,0))),"")="",IFERROR(IF(INDEX(campaigns!$BG$2:$BG$51,MATCH($A123,campaigns!$A$2:$A$51,0))="","",INDEX(campaigns!$BG$2:$BG$51,MATCH($A123,campaigns!$A$2:$A$51,0))),"")&lt;&gt;"",IF(config!$B$37&lt;&gt;"",config!$B$37,TODAY())&gt;=WORKDAY(N(IFERROR(IF(INDEX(campaigns!$BG$2:$BG$51,MATCH($A123,campaigns!$A$2:$A$51,0))="","",INDEX(campaigns!$BG$2:$BG$51,MATCH($A123,campaigns!$A$2:$A$51,0))),"")),-4,calendar!$A$2:$A$80)),"no prefill template yet (due T-4); ","")&amp;IF(COUNTIF(links!$D$2:$D$501,$D123)&gt;1,"DUPLICATE slug; ",""))</f>
        <v/>
      </c>
    </row>
    <row r="124">
      <c r="A124" s="25">
        <f>IF(INDEX(approvals!$A$2:$A$251,INT((ROW()-2)/2)+1)="","",INDEX(approvals!$A$2:$A$251,INT((ROW()-2)/2)+1))</f>
        <v/>
      </c>
      <c r="B124" s="25">
        <f>IF(INDEX(approvals!$A$2:$A$251,INT((ROW()-2)/2)+1)="","",INDEX(approvals!$B$2:$B$251,INT((ROW()-2)/2)+1))</f>
        <v/>
      </c>
      <c r="C124" s="25">
        <f>IF($A124="","",IF(MOD(ROW()-2,2)=0,"qr","post"))</f>
        <v/>
      </c>
      <c r="D124" s="25">
        <f>IF($A124="","",IF(LEFT($A124,7)="SAMPLE-","SAMPLE-","")&amp;LOWER(SUBSTITUTE(SUBSTITUTE($A124,"SAMPLE-",""),"CMP-","c"))&amp;"-"&amp;LOWER(SUBSTITUTE(SUBSTITUTE($B124,"SAMPLE-",""),"O-","o"))&amp;"-"&amp;IF($C124="qr","q","p"))</f>
        <v/>
      </c>
      <c r="E124" s="25">
        <f>IF($A124="","","https://"&amp;config!$B$9&amp;"/"&amp;$D124)</f>
        <v/>
      </c>
      <c r="F124" s="25">
        <f>IF($A124="","",$A124&amp;"."&amp;$B124)</f>
        <v/>
      </c>
      <c r="G124" s="25">
        <f>IF($A124="","",IF(IFERROR(IF(INDEX(campaigns!$AJ$2:$AJ$51,MATCH($A124,campaigns!$A$2:$A$51,0))="","",INDEX(campaigns!$AJ$2:$AJ$51,MATCH($A124,campaigns!$A$2:$A$51,0))),"")="","(add the survey prefill template on campaigns)",SUBSTITUTE(IFERROR(IF(INDEX(campaigns!$AJ$2:$AJ$51,MATCH($A124,campaigns!$A$2:$A$51,0))="","",INDEX(campaigns!$AJ$2:$AJ$51,MATCH($A124,campaigns!$A$2:$A$51,0))),""),"CARDCODE",$F124)&amp;"&amp;utm_source=office-pantry&amp;utm_medium="&amp;$C124&amp;"&amp;utm_campaign="&amp;LOWER($A124)&amp;"&amp;utm_content="&amp;LOWER($B124)))</f>
        <v/>
      </c>
      <c r="H124" s="25">
        <f>IF(OR($A124="",$C124&lt;&gt;"qr"),"",$D124&amp;".png")</f>
        <v/>
      </c>
      <c r="I124" s="25">
        <f>IF($A124="","",IF(AND(IFERROR(IF(INDEX(campaigns!$AJ$2:$AJ$51,MATCH($A124,campaigns!$A$2:$A$51,0))="","",INDEX(campaigns!$AJ$2:$AJ$51,MATCH($A124,campaigns!$A$2:$A$51,0))),"")="",IFERROR(IF(INDEX(campaigns!$BG$2:$BG$51,MATCH($A124,campaigns!$A$2:$A$51,0))="","",INDEX(campaigns!$BG$2:$BG$51,MATCH($A124,campaigns!$A$2:$A$51,0))),"")&lt;&gt;"",IF(config!$B$37&lt;&gt;"",config!$B$37,TODAY())&gt;=WORKDAY(N(IFERROR(IF(INDEX(campaigns!$BG$2:$BG$51,MATCH($A124,campaigns!$A$2:$A$51,0))="","",INDEX(campaigns!$BG$2:$BG$51,MATCH($A124,campaigns!$A$2:$A$51,0))),"")),-4,calendar!$A$2:$A$80)),"no prefill template yet (due T-4); ","")&amp;IF(COUNTIF(links!$D$2:$D$501,$D124)&gt;1,"DUPLICATE slug; ",""))</f>
        <v/>
      </c>
    </row>
    <row r="125">
      <c r="A125" s="25">
        <f>IF(INDEX(approvals!$A$2:$A$251,INT((ROW()-2)/2)+1)="","",INDEX(approvals!$A$2:$A$251,INT((ROW()-2)/2)+1))</f>
        <v/>
      </c>
      <c r="B125" s="25">
        <f>IF(INDEX(approvals!$A$2:$A$251,INT((ROW()-2)/2)+1)="","",INDEX(approvals!$B$2:$B$251,INT((ROW()-2)/2)+1))</f>
        <v/>
      </c>
      <c r="C125" s="25">
        <f>IF($A125="","",IF(MOD(ROW()-2,2)=0,"qr","post"))</f>
        <v/>
      </c>
      <c r="D125" s="25">
        <f>IF($A125="","",IF(LEFT($A125,7)="SAMPLE-","SAMPLE-","")&amp;LOWER(SUBSTITUTE(SUBSTITUTE($A125,"SAMPLE-",""),"CMP-","c"))&amp;"-"&amp;LOWER(SUBSTITUTE(SUBSTITUTE($B125,"SAMPLE-",""),"O-","o"))&amp;"-"&amp;IF($C125="qr","q","p"))</f>
        <v/>
      </c>
      <c r="E125" s="25">
        <f>IF($A125="","","https://"&amp;config!$B$9&amp;"/"&amp;$D125)</f>
        <v/>
      </c>
      <c r="F125" s="25">
        <f>IF($A125="","",$A125&amp;"."&amp;$B125)</f>
        <v/>
      </c>
      <c r="G125" s="25">
        <f>IF($A125="","",IF(IFERROR(IF(INDEX(campaigns!$AJ$2:$AJ$51,MATCH($A125,campaigns!$A$2:$A$51,0))="","",INDEX(campaigns!$AJ$2:$AJ$51,MATCH($A125,campaigns!$A$2:$A$51,0))),"")="","(add the survey prefill template on campaigns)",SUBSTITUTE(IFERROR(IF(INDEX(campaigns!$AJ$2:$AJ$51,MATCH($A125,campaigns!$A$2:$A$51,0))="","",INDEX(campaigns!$AJ$2:$AJ$51,MATCH($A125,campaigns!$A$2:$A$51,0))),""),"CARDCODE",$F125)&amp;"&amp;utm_source=office-pantry&amp;utm_medium="&amp;$C125&amp;"&amp;utm_campaign="&amp;LOWER($A125)&amp;"&amp;utm_content="&amp;LOWER($B125)))</f>
        <v/>
      </c>
      <c r="H125" s="25">
        <f>IF(OR($A125="",$C125&lt;&gt;"qr"),"",$D125&amp;".png")</f>
        <v/>
      </c>
      <c r="I125" s="25">
        <f>IF($A125="","",IF(AND(IFERROR(IF(INDEX(campaigns!$AJ$2:$AJ$51,MATCH($A125,campaigns!$A$2:$A$51,0))="","",INDEX(campaigns!$AJ$2:$AJ$51,MATCH($A125,campaigns!$A$2:$A$51,0))),"")="",IFERROR(IF(INDEX(campaigns!$BG$2:$BG$51,MATCH($A125,campaigns!$A$2:$A$51,0))="","",INDEX(campaigns!$BG$2:$BG$51,MATCH($A125,campaigns!$A$2:$A$51,0))),"")&lt;&gt;"",IF(config!$B$37&lt;&gt;"",config!$B$37,TODAY())&gt;=WORKDAY(N(IFERROR(IF(INDEX(campaigns!$BG$2:$BG$51,MATCH($A125,campaigns!$A$2:$A$51,0))="","",INDEX(campaigns!$BG$2:$BG$51,MATCH($A125,campaigns!$A$2:$A$51,0))),"")),-4,calendar!$A$2:$A$80)),"no prefill template yet (due T-4); ","")&amp;IF(COUNTIF(links!$D$2:$D$501,$D125)&gt;1,"DUPLICATE slug; ",""))</f>
        <v/>
      </c>
    </row>
    <row r="126">
      <c r="A126" s="25">
        <f>IF(INDEX(approvals!$A$2:$A$251,INT((ROW()-2)/2)+1)="","",INDEX(approvals!$A$2:$A$251,INT((ROW()-2)/2)+1))</f>
        <v/>
      </c>
      <c r="B126" s="25">
        <f>IF(INDEX(approvals!$A$2:$A$251,INT((ROW()-2)/2)+1)="","",INDEX(approvals!$B$2:$B$251,INT((ROW()-2)/2)+1))</f>
        <v/>
      </c>
      <c r="C126" s="25">
        <f>IF($A126="","",IF(MOD(ROW()-2,2)=0,"qr","post"))</f>
        <v/>
      </c>
      <c r="D126" s="25">
        <f>IF($A126="","",IF(LEFT($A126,7)="SAMPLE-","SAMPLE-","")&amp;LOWER(SUBSTITUTE(SUBSTITUTE($A126,"SAMPLE-",""),"CMP-","c"))&amp;"-"&amp;LOWER(SUBSTITUTE(SUBSTITUTE($B126,"SAMPLE-",""),"O-","o"))&amp;"-"&amp;IF($C126="qr","q","p"))</f>
        <v/>
      </c>
      <c r="E126" s="25">
        <f>IF($A126="","","https://"&amp;config!$B$9&amp;"/"&amp;$D126)</f>
        <v/>
      </c>
      <c r="F126" s="25">
        <f>IF($A126="","",$A126&amp;"."&amp;$B126)</f>
        <v/>
      </c>
      <c r="G126" s="25">
        <f>IF($A126="","",IF(IFERROR(IF(INDEX(campaigns!$AJ$2:$AJ$51,MATCH($A126,campaigns!$A$2:$A$51,0))="","",INDEX(campaigns!$AJ$2:$AJ$51,MATCH($A126,campaigns!$A$2:$A$51,0))),"")="","(add the survey prefill template on campaigns)",SUBSTITUTE(IFERROR(IF(INDEX(campaigns!$AJ$2:$AJ$51,MATCH($A126,campaigns!$A$2:$A$51,0))="","",INDEX(campaigns!$AJ$2:$AJ$51,MATCH($A126,campaigns!$A$2:$A$51,0))),""),"CARDCODE",$F126)&amp;"&amp;utm_source=office-pantry&amp;utm_medium="&amp;$C126&amp;"&amp;utm_campaign="&amp;LOWER($A126)&amp;"&amp;utm_content="&amp;LOWER($B126)))</f>
        <v/>
      </c>
      <c r="H126" s="25">
        <f>IF(OR($A126="",$C126&lt;&gt;"qr"),"",$D126&amp;".png")</f>
        <v/>
      </c>
      <c r="I126" s="25">
        <f>IF($A126="","",IF(AND(IFERROR(IF(INDEX(campaigns!$AJ$2:$AJ$51,MATCH($A126,campaigns!$A$2:$A$51,0))="","",INDEX(campaigns!$AJ$2:$AJ$51,MATCH($A126,campaigns!$A$2:$A$51,0))),"")="",IFERROR(IF(INDEX(campaigns!$BG$2:$BG$51,MATCH($A126,campaigns!$A$2:$A$51,0))="","",INDEX(campaigns!$BG$2:$BG$51,MATCH($A126,campaigns!$A$2:$A$51,0))),"")&lt;&gt;"",IF(config!$B$37&lt;&gt;"",config!$B$37,TODAY())&gt;=WORKDAY(N(IFERROR(IF(INDEX(campaigns!$BG$2:$BG$51,MATCH($A126,campaigns!$A$2:$A$51,0))="","",INDEX(campaigns!$BG$2:$BG$51,MATCH($A126,campaigns!$A$2:$A$51,0))),"")),-4,calendar!$A$2:$A$80)),"no prefill template yet (due T-4); ","")&amp;IF(COUNTIF(links!$D$2:$D$501,$D126)&gt;1,"DUPLICATE slug; ",""))</f>
        <v/>
      </c>
    </row>
    <row r="127">
      <c r="A127" s="25">
        <f>IF(INDEX(approvals!$A$2:$A$251,INT((ROW()-2)/2)+1)="","",INDEX(approvals!$A$2:$A$251,INT((ROW()-2)/2)+1))</f>
        <v/>
      </c>
      <c r="B127" s="25">
        <f>IF(INDEX(approvals!$A$2:$A$251,INT((ROW()-2)/2)+1)="","",INDEX(approvals!$B$2:$B$251,INT((ROW()-2)/2)+1))</f>
        <v/>
      </c>
      <c r="C127" s="25">
        <f>IF($A127="","",IF(MOD(ROW()-2,2)=0,"qr","post"))</f>
        <v/>
      </c>
      <c r="D127" s="25">
        <f>IF($A127="","",IF(LEFT($A127,7)="SAMPLE-","SAMPLE-","")&amp;LOWER(SUBSTITUTE(SUBSTITUTE($A127,"SAMPLE-",""),"CMP-","c"))&amp;"-"&amp;LOWER(SUBSTITUTE(SUBSTITUTE($B127,"SAMPLE-",""),"O-","o"))&amp;"-"&amp;IF($C127="qr","q","p"))</f>
        <v/>
      </c>
      <c r="E127" s="25">
        <f>IF($A127="","","https://"&amp;config!$B$9&amp;"/"&amp;$D127)</f>
        <v/>
      </c>
      <c r="F127" s="25">
        <f>IF($A127="","",$A127&amp;"."&amp;$B127)</f>
        <v/>
      </c>
      <c r="G127" s="25">
        <f>IF($A127="","",IF(IFERROR(IF(INDEX(campaigns!$AJ$2:$AJ$51,MATCH($A127,campaigns!$A$2:$A$51,0))="","",INDEX(campaigns!$AJ$2:$AJ$51,MATCH($A127,campaigns!$A$2:$A$51,0))),"")="","(add the survey prefill template on campaigns)",SUBSTITUTE(IFERROR(IF(INDEX(campaigns!$AJ$2:$AJ$51,MATCH($A127,campaigns!$A$2:$A$51,0))="","",INDEX(campaigns!$AJ$2:$AJ$51,MATCH($A127,campaigns!$A$2:$A$51,0))),""),"CARDCODE",$F127)&amp;"&amp;utm_source=office-pantry&amp;utm_medium="&amp;$C127&amp;"&amp;utm_campaign="&amp;LOWER($A127)&amp;"&amp;utm_content="&amp;LOWER($B127)))</f>
        <v/>
      </c>
      <c r="H127" s="25">
        <f>IF(OR($A127="",$C127&lt;&gt;"qr"),"",$D127&amp;".png")</f>
        <v/>
      </c>
      <c r="I127" s="25">
        <f>IF($A127="","",IF(AND(IFERROR(IF(INDEX(campaigns!$AJ$2:$AJ$51,MATCH($A127,campaigns!$A$2:$A$51,0))="","",INDEX(campaigns!$AJ$2:$AJ$51,MATCH($A127,campaigns!$A$2:$A$51,0))),"")="",IFERROR(IF(INDEX(campaigns!$BG$2:$BG$51,MATCH($A127,campaigns!$A$2:$A$51,0))="","",INDEX(campaigns!$BG$2:$BG$51,MATCH($A127,campaigns!$A$2:$A$51,0))),"")&lt;&gt;"",IF(config!$B$37&lt;&gt;"",config!$B$37,TODAY())&gt;=WORKDAY(N(IFERROR(IF(INDEX(campaigns!$BG$2:$BG$51,MATCH($A127,campaigns!$A$2:$A$51,0))="","",INDEX(campaigns!$BG$2:$BG$51,MATCH($A127,campaigns!$A$2:$A$51,0))),"")),-4,calendar!$A$2:$A$80)),"no prefill template yet (due T-4); ","")&amp;IF(COUNTIF(links!$D$2:$D$501,$D127)&gt;1,"DUPLICATE slug; ",""))</f>
        <v/>
      </c>
    </row>
    <row r="128">
      <c r="A128" s="25">
        <f>IF(INDEX(approvals!$A$2:$A$251,INT((ROW()-2)/2)+1)="","",INDEX(approvals!$A$2:$A$251,INT((ROW()-2)/2)+1))</f>
        <v/>
      </c>
      <c r="B128" s="25">
        <f>IF(INDEX(approvals!$A$2:$A$251,INT((ROW()-2)/2)+1)="","",INDEX(approvals!$B$2:$B$251,INT((ROW()-2)/2)+1))</f>
        <v/>
      </c>
      <c r="C128" s="25">
        <f>IF($A128="","",IF(MOD(ROW()-2,2)=0,"qr","post"))</f>
        <v/>
      </c>
      <c r="D128" s="25">
        <f>IF($A128="","",IF(LEFT($A128,7)="SAMPLE-","SAMPLE-","")&amp;LOWER(SUBSTITUTE(SUBSTITUTE($A128,"SAMPLE-",""),"CMP-","c"))&amp;"-"&amp;LOWER(SUBSTITUTE(SUBSTITUTE($B128,"SAMPLE-",""),"O-","o"))&amp;"-"&amp;IF($C128="qr","q","p"))</f>
        <v/>
      </c>
      <c r="E128" s="25">
        <f>IF($A128="","","https://"&amp;config!$B$9&amp;"/"&amp;$D128)</f>
        <v/>
      </c>
      <c r="F128" s="25">
        <f>IF($A128="","",$A128&amp;"."&amp;$B128)</f>
        <v/>
      </c>
      <c r="G128" s="25">
        <f>IF($A128="","",IF(IFERROR(IF(INDEX(campaigns!$AJ$2:$AJ$51,MATCH($A128,campaigns!$A$2:$A$51,0))="","",INDEX(campaigns!$AJ$2:$AJ$51,MATCH($A128,campaigns!$A$2:$A$51,0))),"")="","(add the survey prefill template on campaigns)",SUBSTITUTE(IFERROR(IF(INDEX(campaigns!$AJ$2:$AJ$51,MATCH($A128,campaigns!$A$2:$A$51,0))="","",INDEX(campaigns!$AJ$2:$AJ$51,MATCH($A128,campaigns!$A$2:$A$51,0))),""),"CARDCODE",$F128)&amp;"&amp;utm_source=office-pantry&amp;utm_medium="&amp;$C128&amp;"&amp;utm_campaign="&amp;LOWER($A128)&amp;"&amp;utm_content="&amp;LOWER($B128)))</f>
        <v/>
      </c>
      <c r="H128" s="25">
        <f>IF(OR($A128="",$C128&lt;&gt;"qr"),"",$D128&amp;".png")</f>
        <v/>
      </c>
      <c r="I128" s="25">
        <f>IF($A128="","",IF(AND(IFERROR(IF(INDEX(campaigns!$AJ$2:$AJ$51,MATCH($A128,campaigns!$A$2:$A$51,0))="","",INDEX(campaigns!$AJ$2:$AJ$51,MATCH($A128,campaigns!$A$2:$A$51,0))),"")="",IFERROR(IF(INDEX(campaigns!$BG$2:$BG$51,MATCH($A128,campaigns!$A$2:$A$51,0))="","",INDEX(campaigns!$BG$2:$BG$51,MATCH($A128,campaigns!$A$2:$A$51,0))),"")&lt;&gt;"",IF(config!$B$37&lt;&gt;"",config!$B$37,TODAY())&gt;=WORKDAY(N(IFERROR(IF(INDEX(campaigns!$BG$2:$BG$51,MATCH($A128,campaigns!$A$2:$A$51,0))="","",INDEX(campaigns!$BG$2:$BG$51,MATCH($A128,campaigns!$A$2:$A$51,0))),"")),-4,calendar!$A$2:$A$80)),"no prefill template yet (due T-4); ","")&amp;IF(COUNTIF(links!$D$2:$D$501,$D128)&gt;1,"DUPLICATE slug; ",""))</f>
        <v/>
      </c>
    </row>
    <row r="129">
      <c r="A129" s="25">
        <f>IF(INDEX(approvals!$A$2:$A$251,INT((ROW()-2)/2)+1)="","",INDEX(approvals!$A$2:$A$251,INT((ROW()-2)/2)+1))</f>
        <v/>
      </c>
      <c r="B129" s="25">
        <f>IF(INDEX(approvals!$A$2:$A$251,INT((ROW()-2)/2)+1)="","",INDEX(approvals!$B$2:$B$251,INT((ROW()-2)/2)+1))</f>
        <v/>
      </c>
      <c r="C129" s="25">
        <f>IF($A129="","",IF(MOD(ROW()-2,2)=0,"qr","post"))</f>
        <v/>
      </c>
      <c r="D129" s="25">
        <f>IF($A129="","",IF(LEFT($A129,7)="SAMPLE-","SAMPLE-","")&amp;LOWER(SUBSTITUTE(SUBSTITUTE($A129,"SAMPLE-",""),"CMP-","c"))&amp;"-"&amp;LOWER(SUBSTITUTE(SUBSTITUTE($B129,"SAMPLE-",""),"O-","o"))&amp;"-"&amp;IF($C129="qr","q","p"))</f>
        <v/>
      </c>
      <c r="E129" s="25">
        <f>IF($A129="","","https://"&amp;config!$B$9&amp;"/"&amp;$D129)</f>
        <v/>
      </c>
      <c r="F129" s="25">
        <f>IF($A129="","",$A129&amp;"."&amp;$B129)</f>
        <v/>
      </c>
      <c r="G129" s="25">
        <f>IF($A129="","",IF(IFERROR(IF(INDEX(campaigns!$AJ$2:$AJ$51,MATCH($A129,campaigns!$A$2:$A$51,0))="","",INDEX(campaigns!$AJ$2:$AJ$51,MATCH($A129,campaigns!$A$2:$A$51,0))),"")="","(add the survey prefill template on campaigns)",SUBSTITUTE(IFERROR(IF(INDEX(campaigns!$AJ$2:$AJ$51,MATCH($A129,campaigns!$A$2:$A$51,0))="","",INDEX(campaigns!$AJ$2:$AJ$51,MATCH($A129,campaigns!$A$2:$A$51,0))),""),"CARDCODE",$F129)&amp;"&amp;utm_source=office-pantry&amp;utm_medium="&amp;$C129&amp;"&amp;utm_campaign="&amp;LOWER($A129)&amp;"&amp;utm_content="&amp;LOWER($B129)))</f>
        <v/>
      </c>
      <c r="H129" s="25">
        <f>IF(OR($A129="",$C129&lt;&gt;"qr"),"",$D129&amp;".png")</f>
        <v/>
      </c>
      <c r="I129" s="25">
        <f>IF($A129="","",IF(AND(IFERROR(IF(INDEX(campaigns!$AJ$2:$AJ$51,MATCH($A129,campaigns!$A$2:$A$51,0))="","",INDEX(campaigns!$AJ$2:$AJ$51,MATCH($A129,campaigns!$A$2:$A$51,0))),"")="",IFERROR(IF(INDEX(campaigns!$BG$2:$BG$51,MATCH($A129,campaigns!$A$2:$A$51,0))="","",INDEX(campaigns!$BG$2:$BG$51,MATCH($A129,campaigns!$A$2:$A$51,0))),"")&lt;&gt;"",IF(config!$B$37&lt;&gt;"",config!$B$37,TODAY())&gt;=WORKDAY(N(IFERROR(IF(INDEX(campaigns!$BG$2:$BG$51,MATCH($A129,campaigns!$A$2:$A$51,0))="","",INDEX(campaigns!$BG$2:$BG$51,MATCH($A129,campaigns!$A$2:$A$51,0))),"")),-4,calendar!$A$2:$A$80)),"no prefill template yet (due T-4); ","")&amp;IF(COUNTIF(links!$D$2:$D$501,$D129)&gt;1,"DUPLICATE slug; ",""))</f>
        <v/>
      </c>
    </row>
    <row r="130">
      <c r="A130" s="25">
        <f>IF(INDEX(approvals!$A$2:$A$251,INT((ROW()-2)/2)+1)="","",INDEX(approvals!$A$2:$A$251,INT((ROW()-2)/2)+1))</f>
        <v/>
      </c>
      <c r="B130" s="25">
        <f>IF(INDEX(approvals!$A$2:$A$251,INT((ROW()-2)/2)+1)="","",INDEX(approvals!$B$2:$B$251,INT((ROW()-2)/2)+1))</f>
        <v/>
      </c>
      <c r="C130" s="25">
        <f>IF($A130="","",IF(MOD(ROW()-2,2)=0,"qr","post"))</f>
        <v/>
      </c>
      <c r="D130" s="25">
        <f>IF($A130="","",IF(LEFT($A130,7)="SAMPLE-","SAMPLE-","")&amp;LOWER(SUBSTITUTE(SUBSTITUTE($A130,"SAMPLE-",""),"CMP-","c"))&amp;"-"&amp;LOWER(SUBSTITUTE(SUBSTITUTE($B130,"SAMPLE-",""),"O-","o"))&amp;"-"&amp;IF($C130="qr","q","p"))</f>
        <v/>
      </c>
      <c r="E130" s="25">
        <f>IF($A130="","","https://"&amp;config!$B$9&amp;"/"&amp;$D130)</f>
        <v/>
      </c>
      <c r="F130" s="25">
        <f>IF($A130="","",$A130&amp;"."&amp;$B130)</f>
        <v/>
      </c>
      <c r="G130" s="25">
        <f>IF($A130="","",IF(IFERROR(IF(INDEX(campaigns!$AJ$2:$AJ$51,MATCH($A130,campaigns!$A$2:$A$51,0))="","",INDEX(campaigns!$AJ$2:$AJ$51,MATCH($A130,campaigns!$A$2:$A$51,0))),"")="","(add the survey prefill template on campaigns)",SUBSTITUTE(IFERROR(IF(INDEX(campaigns!$AJ$2:$AJ$51,MATCH($A130,campaigns!$A$2:$A$51,0))="","",INDEX(campaigns!$AJ$2:$AJ$51,MATCH($A130,campaigns!$A$2:$A$51,0))),""),"CARDCODE",$F130)&amp;"&amp;utm_source=office-pantry&amp;utm_medium="&amp;$C130&amp;"&amp;utm_campaign="&amp;LOWER($A130)&amp;"&amp;utm_content="&amp;LOWER($B130)))</f>
        <v/>
      </c>
      <c r="H130" s="25">
        <f>IF(OR($A130="",$C130&lt;&gt;"qr"),"",$D130&amp;".png")</f>
        <v/>
      </c>
      <c r="I130" s="25">
        <f>IF($A130="","",IF(AND(IFERROR(IF(INDEX(campaigns!$AJ$2:$AJ$51,MATCH($A130,campaigns!$A$2:$A$51,0))="","",INDEX(campaigns!$AJ$2:$AJ$51,MATCH($A130,campaigns!$A$2:$A$51,0))),"")="",IFERROR(IF(INDEX(campaigns!$BG$2:$BG$51,MATCH($A130,campaigns!$A$2:$A$51,0))="","",INDEX(campaigns!$BG$2:$BG$51,MATCH($A130,campaigns!$A$2:$A$51,0))),"")&lt;&gt;"",IF(config!$B$37&lt;&gt;"",config!$B$37,TODAY())&gt;=WORKDAY(N(IFERROR(IF(INDEX(campaigns!$BG$2:$BG$51,MATCH($A130,campaigns!$A$2:$A$51,0))="","",INDEX(campaigns!$BG$2:$BG$51,MATCH($A130,campaigns!$A$2:$A$51,0))),"")),-4,calendar!$A$2:$A$80)),"no prefill template yet (due T-4); ","")&amp;IF(COUNTIF(links!$D$2:$D$501,$D130)&gt;1,"DUPLICATE slug; ",""))</f>
        <v/>
      </c>
    </row>
    <row r="131">
      <c r="A131" s="25">
        <f>IF(INDEX(approvals!$A$2:$A$251,INT((ROW()-2)/2)+1)="","",INDEX(approvals!$A$2:$A$251,INT((ROW()-2)/2)+1))</f>
        <v/>
      </c>
      <c r="B131" s="25">
        <f>IF(INDEX(approvals!$A$2:$A$251,INT((ROW()-2)/2)+1)="","",INDEX(approvals!$B$2:$B$251,INT((ROW()-2)/2)+1))</f>
        <v/>
      </c>
      <c r="C131" s="25">
        <f>IF($A131="","",IF(MOD(ROW()-2,2)=0,"qr","post"))</f>
        <v/>
      </c>
      <c r="D131" s="25">
        <f>IF($A131="","",IF(LEFT($A131,7)="SAMPLE-","SAMPLE-","")&amp;LOWER(SUBSTITUTE(SUBSTITUTE($A131,"SAMPLE-",""),"CMP-","c"))&amp;"-"&amp;LOWER(SUBSTITUTE(SUBSTITUTE($B131,"SAMPLE-",""),"O-","o"))&amp;"-"&amp;IF($C131="qr","q","p"))</f>
        <v/>
      </c>
      <c r="E131" s="25">
        <f>IF($A131="","","https://"&amp;config!$B$9&amp;"/"&amp;$D131)</f>
        <v/>
      </c>
      <c r="F131" s="25">
        <f>IF($A131="","",$A131&amp;"."&amp;$B131)</f>
        <v/>
      </c>
      <c r="G131" s="25">
        <f>IF($A131="","",IF(IFERROR(IF(INDEX(campaigns!$AJ$2:$AJ$51,MATCH($A131,campaigns!$A$2:$A$51,0))="","",INDEX(campaigns!$AJ$2:$AJ$51,MATCH($A131,campaigns!$A$2:$A$51,0))),"")="","(add the survey prefill template on campaigns)",SUBSTITUTE(IFERROR(IF(INDEX(campaigns!$AJ$2:$AJ$51,MATCH($A131,campaigns!$A$2:$A$51,0))="","",INDEX(campaigns!$AJ$2:$AJ$51,MATCH($A131,campaigns!$A$2:$A$51,0))),""),"CARDCODE",$F131)&amp;"&amp;utm_source=office-pantry&amp;utm_medium="&amp;$C131&amp;"&amp;utm_campaign="&amp;LOWER($A131)&amp;"&amp;utm_content="&amp;LOWER($B131)))</f>
        <v/>
      </c>
      <c r="H131" s="25">
        <f>IF(OR($A131="",$C131&lt;&gt;"qr"),"",$D131&amp;".png")</f>
        <v/>
      </c>
      <c r="I131" s="25">
        <f>IF($A131="","",IF(AND(IFERROR(IF(INDEX(campaigns!$AJ$2:$AJ$51,MATCH($A131,campaigns!$A$2:$A$51,0))="","",INDEX(campaigns!$AJ$2:$AJ$51,MATCH($A131,campaigns!$A$2:$A$51,0))),"")="",IFERROR(IF(INDEX(campaigns!$BG$2:$BG$51,MATCH($A131,campaigns!$A$2:$A$51,0))="","",INDEX(campaigns!$BG$2:$BG$51,MATCH($A131,campaigns!$A$2:$A$51,0))),"")&lt;&gt;"",IF(config!$B$37&lt;&gt;"",config!$B$37,TODAY())&gt;=WORKDAY(N(IFERROR(IF(INDEX(campaigns!$BG$2:$BG$51,MATCH($A131,campaigns!$A$2:$A$51,0))="","",INDEX(campaigns!$BG$2:$BG$51,MATCH($A131,campaigns!$A$2:$A$51,0))),"")),-4,calendar!$A$2:$A$80)),"no prefill template yet (due T-4); ","")&amp;IF(COUNTIF(links!$D$2:$D$501,$D131)&gt;1,"DUPLICATE slug; ",""))</f>
        <v/>
      </c>
    </row>
    <row r="132">
      <c r="A132" s="25">
        <f>IF(INDEX(approvals!$A$2:$A$251,INT((ROW()-2)/2)+1)="","",INDEX(approvals!$A$2:$A$251,INT((ROW()-2)/2)+1))</f>
        <v/>
      </c>
      <c r="B132" s="25">
        <f>IF(INDEX(approvals!$A$2:$A$251,INT((ROW()-2)/2)+1)="","",INDEX(approvals!$B$2:$B$251,INT((ROW()-2)/2)+1))</f>
        <v/>
      </c>
      <c r="C132" s="25">
        <f>IF($A132="","",IF(MOD(ROW()-2,2)=0,"qr","post"))</f>
        <v/>
      </c>
      <c r="D132" s="25">
        <f>IF($A132="","",IF(LEFT($A132,7)="SAMPLE-","SAMPLE-","")&amp;LOWER(SUBSTITUTE(SUBSTITUTE($A132,"SAMPLE-",""),"CMP-","c"))&amp;"-"&amp;LOWER(SUBSTITUTE(SUBSTITUTE($B132,"SAMPLE-",""),"O-","o"))&amp;"-"&amp;IF($C132="qr","q","p"))</f>
        <v/>
      </c>
      <c r="E132" s="25">
        <f>IF($A132="","","https://"&amp;config!$B$9&amp;"/"&amp;$D132)</f>
        <v/>
      </c>
      <c r="F132" s="25">
        <f>IF($A132="","",$A132&amp;"."&amp;$B132)</f>
        <v/>
      </c>
      <c r="G132" s="25">
        <f>IF($A132="","",IF(IFERROR(IF(INDEX(campaigns!$AJ$2:$AJ$51,MATCH($A132,campaigns!$A$2:$A$51,0))="","",INDEX(campaigns!$AJ$2:$AJ$51,MATCH($A132,campaigns!$A$2:$A$51,0))),"")="","(add the survey prefill template on campaigns)",SUBSTITUTE(IFERROR(IF(INDEX(campaigns!$AJ$2:$AJ$51,MATCH($A132,campaigns!$A$2:$A$51,0))="","",INDEX(campaigns!$AJ$2:$AJ$51,MATCH($A132,campaigns!$A$2:$A$51,0))),""),"CARDCODE",$F132)&amp;"&amp;utm_source=office-pantry&amp;utm_medium="&amp;$C132&amp;"&amp;utm_campaign="&amp;LOWER($A132)&amp;"&amp;utm_content="&amp;LOWER($B132)))</f>
        <v/>
      </c>
      <c r="H132" s="25">
        <f>IF(OR($A132="",$C132&lt;&gt;"qr"),"",$D132&amp;".png")</f>
        <v/>
      </c>
      <c r="I132" s="25">
        <f>IF($A132="","",IF(AND(IFERROR(IF(INDEX(campaigns!$AJ$2:$AJ$51,MATCH($A132,campaigns!$A$2:$A$51,0))="","",INDEX(campaigns!$AJ$2:$AJ$51,MATCH($A132,campaigns!$A$2:$A$51,0))),"")="",IFERROR(IF(INDEX(campaigns!$BG$2:$BG$51,MATCH($A132,campaigns!$A$2:$A$51,0))="","",INDEX(campaigns!$BG$2:$BG$51,MATCH($A132,campaigns!$A$2:$A$51,0))),"")&lt;&gt;"",IF(config!$B$37&lt;&gt;"",config!$B$37,TODAY())&gt;=WORKDAY(N(IFERROR(IF(INDEX(campaigns!$BG$2:$BG$51,MATCH($A132,campaigns!$A$2:$A$51,0))="","",INDEX(campaigns!$BG$2:$BG$51,MATCH($A132,campaigns!$A$2:$A$51,0))),"")),-4,calendar!$A$2:$A$80)),"no prefill template yet (due T-4); ","")&amp;IF(COUNTIF(links!$D$2:$D$501,$D132)&gt;1,"DUPLICATE slug; ",""))</f>
        <v/>
      </c>
    </row>
    <row r="133">
      <c r="A133" s="25">
        <f>IF(INDEX(approvals!$A$2:$A$251,INT((ROW()-2)/2)+1)="","",INDEX(approvals!$A$2:$A$251,INT((ROW()-2)/2)+1))</f>
        <v/>
      </c>
      <c r="B133" s="25">
        <f>IF(INDEX(approvals!$A$2:$A$251,INT((ROW()-2)/2)+1)="","",INDEX(approvals!$B$2:$B$251,INT((ROW()-2)/2)+1))</f>
        <v/>
      </c>
      <c r="C133" s="25">
        <f>IF($A133="","",IF(MOD(ROW()-2,2)=0,"qr","post"))</f>
        <v/>
      </c>
      <c r="D133" s="25">
        <f>IF($A133="","",IF(LEFT($A133,7)="SAMPLE-","SAMPLE-","")&amp;LOWER(SUBSTITUTE(SUBSTITUTE($A133,"SAMPLE-",""),"CMP-","c"))&amp;"-"&amp;LOWER(SUBSTITUTE(SUBSTITUTE($B133,"SAMPLE-",""),"O-","o"))&amp;"-"&amp;IF($C133="qr","q","p"))</f>
        <v/>
      </c>
      <c r="E133" s="25">
        <f>IF($A133="","","https://"&amp;config!$B$9&amp;"/"&amp;$D133)</f>
        <v/>
      </c>
      <c r="F133" s="25">
        <f>IF($A133="","",$A133&amp;"."&amp;$B133)</f>
        <v/>
      </c>
      <c r="G133" s="25">
        <f>IF($A133="","",IF(IFERROR(IF(INDEX(campaigns!$AJ$2:$AJ$51,MATCH($A133,campaigns!$A$2:$A$51,0))="","",INDEX(campaigns!$AJ$2:$AJ$51,MATCH($A133,campaigns!$A$2:$A$51,0))),"")="","(add the survey prefill template on campaigns)",SUBSTITUTE(IFERROR(IF(INDEX(campaigns!$AJ$2:$AJ$51,MATCH($A133,campaigns!$A$2:$A$51,0))="","",INDEX(campaigns!$AJ$2:$AJ$51,MATCH($A133,campaigns!$A$2:$A$51,0))),""),"CARDCODE",$F133)&amp;"&amp;utm_source=office-pantry&amp;utm_medium="&amp;$C133&amp;"&amp;utm_campaign="&amp;LOWER($A133)&amp;"&amp;utm_content="&amp;LOWER($B133)))</f>
        <v/>
      </c>
      <c r="H133" s="25">
        <f>IF(OR($A133="",$C133&lt;&gt;"qr"),"",$D133&amp;".png")</f>
        <v/>
      </c>
      <c r="I133" s="25">
        <f>IF($A133="","",IF(AND(IFERROR(IF(INDEX(campaigns!$AJ$2:$AJ$51,MATCH($A133,campaigns!$A$2:$A$51,0))="","",INDEX(campaigns!$AJ$2:$AJ$51,MATCH($A133,campaigns!$A$2:$A$51,0))),"")="",IFERROR(IF(INDEX(campaigns!$BG$2:$BG$51,MATCH($A133,campaigns!$A$2:$A$51,0))="","",INDEX(campaigns!$BG$2:$BG$51,MATCH($A133,campaigns!$A$2:$A$51,0))),"")&lt;&gt;"",IF(config!$B$37&lt;&gt;"",config!$B$37,TODAY())&gt;=WORKDAY(N(IFERROR(IF(INDEX(campaigns!$BG$2:$BG$51,MATCH($A133,campaigns!$A$2:$A$51,0))="","",INDEX(campaigns!$BG$2:$BG$51,MATCH($A133,campaigns!$A$2:$A$51,0))),"")),-4,calendar!$A$2:$A$80)),"no prefill template yet (due T-4); ","")&amp;IF(COUNTIF(links!$D$2:$D$501,$D133)&gt;1,"DUPLICATE slug; ",""))</f>
        <v/>
      </c>
    </row>
    <row r="134">
      <c r="A134" s="25">
        <f>IF(INDEX(approvals!$A$2:$A$251,INT((ROW()-2)/2)+1)="","",INDEX(approvals!$A$2:$A$251,INT((ROW()-2)/2)+1))</f>
        <v/>
      </c>
      <c r="B134" s="25">
        <f>IF(INDEX(approvals!$A$2:$A$251,INT((ROW()-2)/2)+1)="","",INDEX(approvals!$B$2:$B$251,INT((ROW()-2)/2)+1))</f>
        <v/>
      </c>
      <c r="C134" s="25">
        <f>IF($A134="","",IF(MOD(ROW()-2,2)=0,"qr","post"))</f>
        <v/>
      </c>
      <c r="D134" s="25">
        <f>IF($A134="","",IF(LEFT($A134,7)="SAMPLE-","SAMPLE-","")&amp;LOWER(SUBSTITUTE(SUBSTITUTE($A134,"SAMPLE-",""),"CMP-","c"))&amp;"-"&amp;LOWER(SUBSTITUTE(SUBSTITUTE($B134,"SAMPLE-",""),"O-","o"))&amp;"-"&amp;IF($C134="qr","q","p"))</f>
        <v/>
      </c>
      <c r="E134" s="25">
        <f>IF($A134="","","https://"&amp;config!$B$9&amp;"/"&amp;$D134)</f>
        <v/>
      </c>
      <c r="F134" s="25">
        <f>IF($A134="","",$A134&amp;"."&amp;$B134)</f>
        <v/>
      </c>
      <c r="G134" s="25">
        <f>IF($A134="","",IF(IFERROR(IF(INDEX(campaigns!$AJ$2:$AJ$51,MATCH($A134,campaigns!$A$2:$A$51,0))="","",INDEX(campaigns!$AJ$2:$AJ$51,MATCH($A134,campaigns!$A$2:$A$51,0))),"")="","(add the survey prefill template on campaigns)",SUBSTITUTE(IFERROR(IF(INDEX(campaigns!$AJ$2:$AJ$51,MATCH($A134,campaigns!$A$2:$A$51,0))="","",INDEX(campaigns!$AJ$2:$AJ$51,MATCH($A134,campaigns!$A$2:$A$51,0))),""),"CARDCODE",$F134)&amp;"&amp;utm_source=office-pantry&amp;utm_medium="&amp;$C134&amp;"&amp;utm_campaign="&amp;LOWER($A134)&amp;"&amp;utm_content="&amp;LOWER($B134)))</f>
        <v/>
      </c>
      <c r="H134" s="25">
        <f>IF(OR($A134="",$C134&lt;&gt;"qr"),"",$D134&amp;".png")</f>
        <v/>
      </c>
      <c r="I134" s="25">
        <f>IF($A134="","",IF(AND(IFERROR(IF(INDEX(campaigns!$AJ$2:$AJ$51,MATCH($A134,campaigns!$A$2:$A$51,0))="","",INDEX(campaigns!$AJ$2:$AJ$51,MATCH($A134,campaigns!$A$2:$A$51,0))),"")="",IFERROR(IF(INDEX(campaigns!$BG$2:$BG$51,MATCH($A134,campaigns!$A$2:$A$51,0))="","",INDEX(campaigns!$BG$2:$BG$51,MATCH($A134,campaigns!$A$2:$A$51,0))),"")&lt;&gt;"",IF(config!$B$37&lt;&gt;"",config!$B$37,TODAY())&gt;=WORKDAY(N(IFERROR(IF(INDEX(campaigns!$BG$2:$BG$51,MATCH($A134,campaigns!$A$2:$A$51,0))="","",INDEX(campaigns!$BG$2:$BG$51,MATCH($A134,campaigns!$A$2:$A$51,0))),"")),-4,calendar!$A$2:$A$80)),"no prefill template yet (due T-4); ","")&amp;IF(COUNTIF(links!$D$2:$D$501,$D134)&gt;1,"DUPLICATE slug; ",""))</f>
        <v/>
      </c>
    </row>
    <row r="135">
      <c r="A135" s="25">
        <f>IF(INDEX(approvals!$A$2:$A$251,INT((ROW()-2)/2)+1)="","",INDEX(approvals!$A$2:$A$251,INT((ROW()-2)/2)+1))</f>
        <v/>
      </c>
      <c r="B135" s="25">
        <f>IF(INDEX(approvals!$A$2:$A$251,INT((ROW()-2)/2)+1)="","",INDEX(approvals!$B$2:$B$251,INT((ROW()-2)/2)+1))</f>
        <v/>
      </c>
      <c r="C135" s="25">
        <f>IF($A135="","",IF(MOD(ROW()-2,2)=0,"qr","post"))</f>
        <v/>
      </c>
      <c r="D135" s="25">
        <f>IF($A135="","",IF(LEFT($A135,7)="SAMPLE-","SAMPLE-","")&amp;LOWER(SUBSTITUTE(SUBSTITUTE($A135,"SAMPLE-",""),"CMP-","c"))&amp;"-"&amp;LOWER(SUBSTITUTE(SUBSTITUTE($B135,"SAMPLE-",""),"O-","o"))&amp;"-"&amp;IF($C135="qr","q","p"))</f>
        <v/>
      </c>
      <c r="E135" s="25">
        <f>IF($A135="","","https://"&amp;config!$B$9&amp;"/"&amp;$D135)</f>
        <v/>
      </c>
      <c r="F135" s="25">
        <f>IF($A135="","",$A135&amp;"."&amp;$B135)</f>
        <v/>
      </c>
      <c r="G135" s="25">
        <f>IF($A135="","",IF(IFERROR(IF(INDEX(campaigns!$AJ$2:$AJ$51,MATCH($A135,campaigns!$A$2:$A$51,0))="","",INDEX(campaigns!$AJ$2:$AJ$51,MATCH($A135,campaigns!$A$2:$A$51,0))),"")="","(add the survey prefill template on campaigns)",SUBSTITUTE(IFERROR(IF(INDEX(campaigns!$AJ$2:$AJ$51,MATCH($A135,campaigns!$A$2:$A$51,0))="","",INDEX(campaigns!$AJ$2:$AJ$51,MATCH($A135,campaigns!$A$2:$A$51,0))),""),"CARDCODE",$F135)&amp;"&amp;utm_source=office-pantry&amp;utm_medium="&amp;$C135&amp;"&amp;utm_campaign="&amp;LOWER($A135)&amp;"&amp;utm_content="&amp;LOWER($B135)))</f>
        <v/>
      </c>
      <c r="H135" s="25">
        <f>IF(OR($A135="",$C135&lt;&gt;"qr"),"",$D135&amp;".png")</f>
        <v/>
      </c>
      <c r="I135" s="25">
        <f>IF($A135="","",IF(AND(IFERROR(IF(INDEX(campaigns!$AJ$2:$AJ$51,MATCH($A135,campaigns!$A$2:$A$51,0))="","",INDEX(campaigns!$AJ$2:$AJ$51,MATCH($A135,campaigns!$A$2:$A$51,0))),"")="",IFERROR(IF(INDEX(campaigns!$BG$2:$BG$51,MATCH($A135,campaigns!$A$2:$A$51,0))="","",INDEX(campaigns!$BG$2:$BG$51,MATCH($A135,campaigns!$A$2:$A$51,0))),"")&lt;&gt;"",IF(config!$B$37&lt;&gt;"",config!$B$37,TODAY())&gt;=WORKDAY(N(IFERROR(IF(INDEX(campaigns!$BG$2:$BG$51,MATCH($A135,campaigns!$A$2:$A$51,0))="","",INDEX(campaigns!$BG$2:$BG$51,MATCH($A135,campaigns!$A$2:$A$51,0))),"")),-4,calendar!$A$2:$A$80)),"no prefill template yet (due T-4); ","")&amp;IF(COUNTIF(links!$D$2:$D$501,$D135)&gt;1,"DUPLICATE slug; ",""))</f>
        <v/>
      </c>
    </row>
    <row r="136">
      <c r="A136" s="25">
        <f>IF(INDEX(approvals!$A$2:$A$251,INT((ROW()-2)/2)+1)="","",INDEX(approvals!$A$2:$A$251,INT((ROW()-2)/2)+1))</f>
        <v/>
      </c>
      <c r="B136" s="25">
        <f>IF(INDEX(approvals!$A$2:$A$251,INT((ROW()-2)/2)+1)="","",INDEX(approvals!$B$2:$B$251,INT((ROW()-2)/2)+1))</f>
        <v/>
      </c>
      <c r="C136" s="25">
        <f>IF($A136="","",IF(MOD(ROW()-2,2)=0,"qr","post"))</f>
        <v/>
      </c>
      <c r="D136" s="25">
        <f>IF($A136="","",IF(LEFT($A136,7)="SAMPLE-","SAMPLE-","")&amp;LOWER(SUBSTITUTE(SUBSTITUTE($A136,"SAMPLE-",""),"CMP-","c"))&amp;"-"&amp;LOWER(SUBSTITUTE(SUBSTITUTE($B136,"SAMPLE-",""),"O-","o"))&amp;"-"&amp;IF($C136="qr","q","p"))</f>
        <v/>
      </c>
      <c r="E136" s="25">
        <f>IF($A136="","","https://"&amp;config!$B$9&amp;"/"&amp;$D136)</f>
        <v/>
      </c>
      <c r="F136" s="25">
        <f>IF($A136="","",$A136&amp;"."&amp;$B136)</f>
        <v/>
      </c>
      <c r="G136" s="25">
        <f>IF($A136="","",IF(IFERROR(IF(INDEX(campaigns!$AJ$2:$AJ$51,MATCH($A136,campaigns!$A$2:$A$51,0))="","",INDEX(campaigns!$AJ$2:$AJ$51,MATCH($A136,campaigns!$A$2:$A$51,0))),"")="","(add the survey prefill template on campaigns)",SUBSTITUTE(IFERROR(IF(INDEX(campaigns!$AJ$2:$AJ$51,MATCH($A136,campaigns!$A$2:$A$51,0))="","",INDEX(campaigns!$AJ$2:$AJ$51,MATCH($A136,campaigns!$A$2:$A$51,0))),""),"CARDCODE",$F136)&amp;"&amp;utm_source=office-pantry&amp;utm_medium="&amp;$C136&amp;"&amp;utm_campaign="&amp;LOWER($A136)&amp;"&amp;utm_content="&amp;LOWER($B136)))</f>
        <v/>
      </c>
      <c r="H136" s="25">
        <f>IF(OR($A136="",$C136&lt;&gt;"qr"),"",$D136&amp;".png")</f>
        <v/>
      </c>
      <c r="I136" s="25">
        <f>IF($A136="","",IF(AND(IFERROR(IF(INDEX(campaigns!$AJ$2:$AJ$51,MATCH($A136,campaigns!$A$2:$A$51,0))="","",INDEX(campaigns!$AJ$2:$AJ$51,MATCH($A136,campaigns!$A$2:$A$51,0))),"")="",IFERROR(IF(INDEX(campaigns!$BG$2:$BG$51,MATCH($A136,campaigns!$A$2:$A$51,0))="","",INDEX(campaigns!$BG$2:$BG$51,MATCH($A136,campaigns!$A$2:$A$51,0))),"")&lt;&gt;"",IF(config!$B$37&lt;&gt;"",config!$B$37,TODAY())&gt;=WORKDAY(N(IFERROR(IF(INDEX(campaigns!$BG$2:$BG$51,MATCH($A136,campaigns!$A$2:$A$51,0))="","",INDEX(campaigns!$BG$2:$BG$51,MATCH($A136,campaigns!$A$2:$A$51,0))),"")),-4,calendar!$A$2:$A$80)),"no prefill template yet (due T-4); ","")&amp;IF(COUNTIF(links!$D$2:$D$501,$D136)&gt;1,"DUPLICATE slug; ",""))</f>
        <v/>
      </c>
    </row>
    <row r="137">
      <c r="A137" s="25">
        <f>IF(INDEX(approvals!$A$2:$A$251,INT((ROW()-2)/2)+1)="","",INDEX(approvals!$A$2:$A$251,INT((ROW()-2)/2)+1))</f>
        <v/>
      </c>
      <c r="B137" s="25">
        <f>IF(INDEX(approvals!$A$2:$A$251,INT((ROW()-2)/2)+1)="","",INDEX(approvals!$B$2:$B$251,INT((ROW()-2)/2)+1))</f>
        <v/>
      </c>
      <c r="C137" s="25">
        <f>IF($A137="","",IF(MOD(ROW()-2,2)=0,"qr","post"))</f>
        <v/>
      </c>
      <c r="D137" s="25">
        <f>IF($A137="","",IF(LEFT($A137,7)="SAMPLE-","SAMPLE-","")&amp;LOWER(SUBSTITUTE(SUBSTITUTE($A137,"SAMPLE-",""),"CMP-","c"))&amp;"-"&amp;LOWER(SUBSTITUTE(SUBSTITUTE($B137,"SAMPLE-",""),"O-","o"))&amp;"-"&amp;IF($C137="qr","q","p"))</f>
        <v/>
      </c>
      <c r="E137" s="25">
        <f>IF($A137="","","https://"&amp;config!$B$9&amp;"/"&amp;$D137)</f>
        <v/>
      </c>
      <c r="F137" s="25">
        <f>IF($A137="","",$A137&amp;"."&amp;$B137)</f>
        <v/>
      </c>
      <c r="G137" s="25">
        <f>IF($A137="","",IF(IFERROR(IF(INDEX(campaigns!$AJ$2:$AJ$51,MATCH($A137,campaigns!$A$2:$A$51,0))="","",INDEX(campaigns!$AJ$2:$AJ$51,MATCH($A137,campaigns!$A$2:$A$51,0))),"")="","(add the survey prefill template on campaigns)",SUBSTITUTE(IFERROR(IF(INDEX(campaigns!$AJ$2:$AJ$51,MATCH($A137,campaigns!$A$2:$A$51,0))="","",INDEX(campaigns!$AJ$2:$AJ$51,MATCH($A137,campaigns!$A$2:$A$51,0))),""),"CARDCODE",$F137)&amp;"&amp;utm_source=office-pantry&amp;utm_medium="&amp;$C137&amp;"&amp;utm_campaign="&amp;LOWER($A137)&amp;"&amp;utm_content="&amp;LOWER($B137)))</f>
        <v/>
      </c>
      <c r="H137" s="25">
        <f>IF(OR($A137="",$C137&lt;&gt;"qr"),"",$D137&amp;".png")</f>
        <v/>
      </c>
      <c r="I137" s="25">
        <f>IF($A137="","",IF(AND(IFERROR(IF(INDEX(campaigns!$AJ$2:$AJ$51,MATCH($A137,campaigns!$A$2:$A$51,0))="","",INDEX(campaigns!$AJ$2:$AJ$51,MATCH($A137,campaigns!$A$2:$A$51,0))),"")="",IFERROR(IF(INDEX(campaigns!$BG$2:$BG$51,MATCH($A137,campaigns!$A$2:$A$51,0))="","",INDEX(campaigns!$BG$2:$BG$51,MATCH($A137,campaigns!$A$2:$A$51,0))),"")&lt;&gt;"",IF(config!$B$37&lt;&gt;"",config!$B$37,TODAY())&gt;=WORKDAY(N(IFERROR(IF(INDEX(campaigns!$BG$2:$BG$51,MATCH($A137,campaigns!$A$2:$A$51,0))="","",INDEX(campaigns!$BG$2:$BG$51,MATCH($A137,campaigns!$A$2:$A$51,0))),"")),-4,calendar!$A$2:$A$80)),"no prefill template yet (due T-4); ","")&amp;IF(COUNTIF(links!$D$2:$D$501,$D137)&gt;1,"DUPLICATE slug; ",""))</f>
        <v/>
      </c>
    </row>
    <row r="138">
      <c r="A138" s="25">
        <f>IF(INDEX(approvals!$A$2:$A$251,INT((ROW()-2)/2)+1)="","",INDEX(approvals!$A$2:$A$251,INT((ROW()-2)/2)+1))</f>
        <v/>
      </c>
      <c r="B138" s="25">
        <f>IF(INDEX(approvals!$A$2:$A$251,INT((ROW()-2)/2)+1)="","",INDEX(approvals!$B$2:$B$251,INT((ROW()-2)/2)+1))</f>
        <v/>
      </c>
      <c r="C138" s="25">
        <f>IF($A138="","",IF(MOD(ROW()-2,2)=0,"qr","post"))</f>
        <v/>
      </c>
      <c r="D138" s="25">
        <f>IF($A138="","",IF(LEFT($A138,7)="SAMPLE-","SAMPLE-","")&amp;LOWER(SUBSTITUTE(SUBSTITUTE($A138,"SAMPLE-",""),"CMP-","c"))&amp;"-"&amp;LOWER(SUBSTITUTE(SUBSTITUTE($B138,"SAMPLE-",""),"O-","o"))&amp;"-"&amp;IF($C138="qr","q","p"))</f>
        <v/>
      </c>
      <c r="E138" s="25">
        <f>IF($A138="","","https://"&amp;config!$B$9&amp;"/"&amp;$D138)</f>
        <v/>
      </c>
      <c r="F138" s="25">
        <f>IF($A138="","",$A138&amp;"."&amp;$B138)</f>
        <v/>
      </c>
      <c r="G138" s="25">
        <f>IF($A138="","",IF(IFERROR(IF(INDEX(campaigns!$AJ$2:$AJ$51,MATCH($A138,campaigns!$A$2:$A$51,0))="","",INDEX(campaigns!$AJ$2:$AJ$51,MATCH($A138,campaigns!$A$2:$A$51,0))),"")="","(add the survey prefill template on campaigns)",SUBSTITUTE(IFERROR(IF(INDEX(campaigns!$AJ$2:$AJ$51,MATCH($A138,campaigns!$A$2:$A$51,0))="","",INDEX(campaigns!$AJ$2:$AJ$51,MATCH($A138,campaigns!$A$2:$A$51,0))),""),"CARDCODE",$F138)&amp;"&amp;utm_source=office-pantry&amp;utm_medium="&amp;$C138&amp;"&amp;utm_campaign="&amp;LOWER($A138)&amp;"&amp;utm_content="&amp;LOWER($B138)))</f>
        <v/>
      </c>
      <c r="H138" s="25">
        <f>IF(OR($A138="",$C138&lt;&gt;"qr"),"",$D138&amp;".png")</f>
        <v/>
      </c>
      <c r="I138" s="25">
        <f>IF($A138="","",IF(AND(IFERROR(IF(INDEX(campaigns!$AJ$2:$AJ$51,MATCH($A138,campaigns!$A$2:$A$51,0))="","",INDEX(campaigns!$AJ$2:$AJ$51,MATCH($A138,campaigns!$A$2:$A$51,0))),"")="",IFERROR(IF(INDEX(campaigns!$BG$2:$BG$51,MATCH($A138,campaigns!$A$2:$A$51,0))="","",INDEX(campaigns!$BG$2:$BG$51,MATCH($A138,campaigns!$A$2:$A$51,0))),"")&lt;&gt;"",IF(config!$B$37&lt;&gt;"",config!$B$37,TODAY())&gt;=WORKDAY(N(IFERROR(IF(INDEX(campaigns!$BG$2:$BG$51,MATCH($A138,campaigns!$A$2:$A$51,0))="","",INDEX(campaigns!$BG$2:$BG$51,MATCH($A138,campaigns!$A$2:$A$51,0))),"")),-4,calendar!$A$2:$A$80)),"no prefill template yet (due T-4); ","")&amp;IF(COUNTIF(links!$D$2:$D$501,$D138)&gt;1,"DUPLICATE slug; ",""))</f>
        <v/>
      </c>
    </row>
    <row r="139">
      <c r="A139" s="25">
        <f>IF(INDEX(approvals!$A$2:$A$251,INT((ROW()-2)/2)+1)="","",INDEX(approvals!$A$2:$A$251,INT((ROW()-2)/2)+1))</f>
        <v/>
      </c>
      <c r="B139" s="25">
        <f>IF(INDEX(approvals!$A$2:$A$251,INT((ROW()-2)/2)+1)="","",INDEX(approvals!$B$2:$B$251,INT((ROW()-2)/2)+1))</f>
        <v/>
      </c>
      <c r="C139" s="25">
        <f>IF($A139="","",IF(MOD(ROW()-2,2)=0,"qr","post"))</f>
        <v/>
      </c>
      <c r="D139" s="25">
        <f>IF($A139="","",IF(LEFT($A139,7)="SAMPLE-","SAMPLE-","")&amp;LOWER(SUBSTITUTE(SUBSTITUTE($A139,"SAMPLE-",""),"CMP-","c"))&amp;"-"&amp;LOWER(SUBSTITUTE(SUBSTITUTE($B139,"SAMPLE-",""),"O-","o"))&amp;"-"&amp;IF($C139="qr","q","p"))</f>
        <v/>
      </c>
      <c r="E139" s="25">
        <f>IF($A139="","","https://"&amp;config!$B$9&amp;"/"&amp;$D139)</f>
        <v/>
      </c>
      <c r="F139" s="25">
        <f>IF($A139="","",$A139&amp;"."&amp;$B139)</f>
        <v/>
      </c>
      <c r="G139" s="25">
        <f>IF($A139="","",IF(IFERROR(IF(INDEX(campaigns!$AJ$2:$AJ$51,MATCH($A139,campaigns!$A$2:$A$51,0))="","",INDEX(campaigns!$AJ$2:$AJ$51,MATCH($A139,campaigns!$A$2:$A$51,0))),"")="","(add the survey prefill template on campaigns)",SUBSTITUTE(IFERROR(IF(INDEX(campaigns!$AJ$2:$AJ$51,MATCH($A139,campaigns!$A$2:$A$51,0))="","",INDEX(campaigns!$AJ$2:$AJ$51,MATCH($A139,campaigns!$A$2:$A$51,0))),""),"CARDCODE",$F139)&amp;"&amp;utm_source=office-pantry&amp;utm_medium="&amp;$C139&amp;"&amp;utm_campaign="&amp;LOWER($A139)&amp;"&amp;utm_content="&amp;LOWER($B139)))</f>
        <v/>
      </c>
      <c r="H139" s="25">
        <f>IF(OR($A139="",$C139&lt;&gt;"qr"),"",$D139&amp;".png")</f>
        <v/>
      </c>
      <c r="I139" s="25">
        <f>IF($A139="","",IF(AND(IFERROR(IF(INDEX(campaigns!$AJ$2:$AJ$51,MATCH($A139,campaigns!$A$2:$A$51,0))="","",INDEX(campaigns!$AJ$2:$AJ$51,MATCH($A139,campaigns!$A$2:$A$51,0))),"")="",IFERROR(IF(INDEX(campaigns!$BG$2:$BG$51,MATCH($A139,campaigns!$A$2:$A$51,0))="","",INDEX(campaigns!$BG$2:$BG$51,MATCH($A139,campaigns!$A$2:$A$51,0))),"")&lt;&gt;"",IF(config!$B$37&lt;&gt;"",config!$B$37,TODAY())&gt;=WORKDAY(N(IFERROR(IF(INDEX(campaigns!$BG$2:$BG$51,MATCH($A139,campaigns!$A$2:$A$51,0))="","",INDEX(campaigns!$BG$2:$BG$51,MATCH($A139,campaigns!$A$2:$A$51,0))),"")),-4,calendar!$A$2:$A$80)),"no prefill template yet (due T-4); ","")&amp;IF(COUNTIF(links!$D$2:$D$501,$D139)&gt;1,"DUPLICATE slug; ",""))</f>
        <v/>
      </c>
    </row>
    <row r="140">
      <c r="A140" s="25">
        <f>IF(INDEX(approvals!$A$2:$A$251,INT((ROW()-2)/2)+1)="","",INDEX(approvals!$A$2:$A$251,INT((ROW()-2)/2)+1))</f>
        <v/>
      </c>
      <c r="B140" s="25">
        <f>IF(INDEX(approvals!$A$2:$A$251,INT((ROW()-2)/2)+1)="","",INDEX(approvals!$B$2:$B$251,INT((ROW()-2)/2)+1))</f>
        <v/>
      </c>
      <c r="C140" s="25">
        <f>IF($A140="","",IF(MOD(ROW()-2,2)=0,"qr","post"))</f>
        <v/>
      </c>
      <c r="D140" s="25">
        <f>IF($A140="","",IF(LEFT($A140,7)="SAMPLE-","SAMPLE-","")&amp;LOWER(SUBSTITUTE(SUBSTITUTE($A140,"SAMPLE-",""),"CMP-","c"))&amp;"-"&amp;LOWER(SUBSTITUTE(SUBSTITUTE($B140,"SAMPLE-",""),"O-","o"))&amp;"-"&amp;IF($C140="qr","q","p"))</f>
        <v/>
      </c>
      <c r="E140" s="25">
        <f>IF($A140="","","https://"&amp;config!$B$9&amp;"/"&amp;$D140)</f>
        <v/>
      </c>
      <c r="F140" s="25">
        <f>IF($A140="","",$A140&amp;"."&amp;$B140)</f>
        <v/>
      </c>
      <c r="G140" s="25">
        <f>IF($A140="","",IF(IFERROR(IF(INDEX(campaigns!$AJ$2:$AJ$51,MATCH($A140,campaigns!$A$2:$A$51,0))="","",INDEX(campaigns!$AJ$2:$AJ$51,MATCH($A140,campaigns!$A$2:$A$51,0))),"")="","(add the survey prefill template on campaigns)",SUBSTITUTE(IFERROR(IF(INDEX(campaigns!$AJ$2:$AJ$51,MATCH($A140,campaigns!$A$2:$A$51,0))="","",INDEX(campaigns!$AJ$2:$AJ$51,MATCH($A140,campaigns!$A$2:$A$51,0))),""),"CARDCODE",$F140)&amp;"&amp;utm_source=office-pantry&amp;utm_medium="&amp;$C140&amp;"&amp;utm_campaign="&amp;LOWER($A140)&amp;"&amp;utm_content="&amp;LOWER($B140)))</f>
        <v/>
      </c>
      <c r="H140" s="25">
        <f>IF(OR($A140="",$C140&lt;&gt;"qr"),"",$D140&amp;".png")</f>
        <v/>
      </c>
      <c r="I140" s="25">
        <f>IF($A140="","",IF(AND(IFERROR(IF(INDEX(campaigns!$AJ$2:$AJ$51,MATCH($A140,campaigns!$A$2:$A$51,0))="","",INDEX(campaigns!$AJ$2:$AJ$51,MATCH($A140,campaigns!$A$2:$A$51,0))),"")="",IFERROR(IF(INDEX(campaigns!$BG$2:$BG$51,MATCH($A140,campaigns!$A$2:$A$51,0))="","",INDEX(campaigns!$BG$2:$BG$51,MATCH($A140,campaigns!$A$2:$A$51,0))),"")&lt;&gt;"",IF(config!$B$37&lt;&gt;"",config!$B$37,TODAY())&gt;=WORKDAY(N(IFERROR(IF(INDEX(campaigns!$BG$2:$BG$51,MATCH($A140,campaigns!$A$2:$A$51,0))="","",INDEX(campaigns!$BG$2:$BG$51,MATCH($A140,campaigns!$A$2:$A$51,0))),"")),-4,calendar!$A$2:$A$80)),"no prefill template yet (due T-4); ","")&amp;IF(COUNTIF(links!$D$2:$D$501,$D140)&gt;1,"DUPLICATE slug; ",""))</f>
        <v/>
      </c>
    </row>
    <row r="141">
      <c r="A141" s="25">
        <f>IF(INDEX(approvals!$A$2:$A$251,INT((ROW()-2)/2)+1)="","",INDEX(approvals!$A$2:$A$251,INT((ROW()-2)/2)+1))</f>
        <v/>
      </c>
      <c r="B141" s="25">
        <f>IF(INDEX(approvals!$A$2:$A$251,INT((ROW()-2)/2)+1)="","",INDEX(approvals!$B$2:$B$251,INT((ROW()-2)/2)+1))</f>
        <v/>
      </c>
      <c r="C141" s="25">
        <f>IF($A141="","",IF(MOD(ROW()-2,2)=0,"qr","post"))</f>
        <v/>
      </c>
      <c r="D141" s="25">
        <f>IF($A141="","",IF(LEFT($A141,7)="SAMPLE-","SAMPLE-","")&amp;LOWER(SUBSTITUTE(SUBSTITUTE($A141,"SAMPLE-",""),"CMP-","c"))&amp;"-"&amp;LOWER(SUBSTITUTE(SUBSTITUTE($B141,"SAMPLE-",""),"O-","o"))&amp;"-"&amp;IF($C141="qr","q","p"))</f>
        <v/>
      </c>
      <c r="E141" s="25">
        <f>IF($A141="","","https://"&amp;config!$B$9&amp;"/"&amp;$D141)</f>
        <v/>
      </c>
      <c r="F141" s="25">
        <f>IF($A141="","",$A141&amp;"."&amp;$B141)</f>
        <v/>
      </c>
      <c r="G141" s="25">
        <f>IF($A141="","",IF(IFERROR(IF(INDEX(campaigns!$AJ$2:$AJ$51,MATCH($A141,campaigns!$A$2:$A$51,0))="","",INDEX(campaigns!$AJ$2:$AJ$51,MATCH($A141,campaigns!$A$2:$A$51,0))),"")="","(add the survey prefill template on campaigns)",SUBSTITUTE(IFERROR(IF(INDEX(campaigns!$AJ$2:$AJ$51,MATCH($A141,campaigns!$A$2:$A$51,0))="","",INDEX(campaigns!$AJ$2:$AJ$51,MATCH($A141,campaigns!$A$2:$A$51,0))),""),"CARDCODE",$F141)&amp;"&amp;utm_source=office-pantry&amp;utm_medium="&amp;$C141&amp;"&amp;utm_campaign="&amp;LOWER($A141)&amp;"&amp;utm_content="&amp;LOWER($B141)))</f>
        <v/>
      </c>
      <c r="H141" s="25">
        <f>IF(OR($A141="",$C141&lt;&gt;"qr"),"",$D141&amp;".png")</f>
        <v/>
      </c>
      <c r="I141" s="25">
        <f>IF($A141="","",IF(AND(IFERROR(IF(INDEX(campaigns!$AJ$2:$AJ$51,MATCH($A141,campaigns!$A$2:$A$51,0))="","",INDEX(campaigns!$AJ$2:$AJ$51,MATCH($A141,campaigns!$A$2:$A$51,0))),"")="",IFERROR(IF(INDEX(campaigns!$BG$2:$BG$51,MATCH($A141,campaigns!$A$2:$A$51,0))="","",INDEX(campaigns!$BG$2:$BG$51,MATCH($A141,campaigns!$A$2:$A$51,0))),"")&lt;&gt;"",IF(config!$B$37&lt;&gt;"",config!$B$37,TODAY())&gt;=WORKDAY(N(IFERROR(IF(INDEX(campaigns!$BG$2:$BG$51,MATCH($A141,campaigns!$A$2:$A$51,0))="","",INDEX(campaigns!$BG$2:$BG$51,MATCH($A141,campaigns!$A$2:$A$51,0))),"")),-4,calendar!$A$2:$A$80)),"no prefill template yet (due T-4); ","")&amp;IF(COUNTIF(links!$D$2:$D$501,$D141)&gt;1,"DUPLICATE slug; ",""))</f>
        <v/>
      </c>
    </row>
    <row r="142">
      <c r="A142" s="25">
        <f>IF(INDEX(approvals!$A$2:$A$251,INT((ROW()-2)/2)+1)="","",INDEX(approvals!$A$2:$A$251,INT((ROW()-2)/2)+1))</f>
        <v/>
      </c>
      <c r="B142" s="25">
        <f>IF(INDEX(approvals!$A$2:$A$251,INT((ROW()-2)/2)+1)="","",INDEX(approvals!$B$2:$B$251,INT((ROW()-2)/2)+1))</f>
        <v/>
      </c>
      <c r="C142" s="25">
        <f>IF($A142="","",IF(MOD(ROW()-2,2)=0,"qr","post"))</f>
        <v/>
      </c>
      <c r="D142" s="25">
        <f>IF($A142="","",IF(LEFT($A142,7)="SAMPLE-","SAMPLE-","")&amp;LOWER(SUBSTITUTE(SUBSTITUTE($A142,"SAMPLE-",""),"CMP-","c"))&amp;"-"&amp;LOWER(SUBSTITUTE(SUBSTITUTE($B142,"SAMPLE-",""),"O-","o"))&amp;"-"&amp;IF($C142="qr","q","p"))</f>
        <v/>
      </c>
      <c r="E142" s="25">
        <f>IF($A142="","","https://"&amp;config!$B$9&amp;"/"&amp;$D142)</f>
        <v/>
      </c>
      <c r="F142" s="25">
        <f>IF($A142="","",$A142&amp;"."&amp;$B142)</f>
        <v/>
      </c>
      <c r="G142" s="25">
        <f>IF($A142="","",IF(IFERROR(IF(INDEX(campaigns!$AJ$2:$AJ$51,MATCH($A142,campaigns!$A$2:$A$51,0))="","",INDEX(campaigns!$AJ$2:$AJ$51,MATCH($A142,campaigns!$A$2:$A$51,0))),"")="","(add the survey prefill template on campaigns)",SUBSTITUTE(IFERROR(IF(INDEX(campaigns!$AJ$2:$AJ$51,MATCH($A142,campaigns!$A$2:$A$51,0))="","",INDEX(campaigns!$AJ$2:$AJ$51,MATCH($A142,campaigns!$A$2:$A$51,0))),""),"CARDCODE",$F142)&amp;"&amp;utm_source=office-pantry&amp;utm_medium="&amp;$C142&amp;"&amp;utm_campaign="&amp;LOWER($A142)&amp;"&amp;utm_content="&amp;LOWER($B142)))</f>
        <v/>
      </c>
      <c r="H142" s="25">
        <f>IF(OR($A142="",$C142&lt;&gt;"qr"),"",$D142&amp;".png")</f>
        <v/>
      </c>
      <c r="I142" s="25">
        <f>IF($A142="","",IF(AND(IFERROR(IF(INDEX(campaigns!$AJ$2:$AJ$51,MATCH($A142,campaigns!$A$2:$A$51,0))="","",INDEX(campaigns!$AJ$2:$AJ$51,MATCH($A142,campaigns!$A$2:$A$51,0))),"")="",IFERROR(IF(INDEX(campaigns!$BG$2:$BG$51,MATCH($A142,campaigns!$A$2:$A$51,0))="","",INDEX(campaigns!$BG$2:$BG$51,MATCH($A142,campaigns!$A$2:$A$51,0))),"")&lt;&gt;"",IF(config!$B$37&lt;&gt;"",config!$B$37,TODAY())&gt;=WORKDAY(N(IFERROR(IF(INDEX(campaigns!$BG$2:$BG$51,MATCH($A142,campaigns!$A$2:$A$51,0))="","",INDEX(campaigns!$BG$2:$BG$51,MATCH($A142,campaigns!$A$2:$A$51,0))),"")),-4,calendar!$A$2:$A$80)),"no prefill template yet (due T-4); ","")&amp;IF(COUNTIF(links!$D$2:$D$501,$D142)&gt;1,"DUPLICATE slug; ",""))</f>
        <v/>
      </c>
    </row>
    <row r="143">
      <c r="A143" s="25">
        <f>IF(INDEX(approvals!$A$2:$A$251,INT((ROW()-2)/2)+1)="","",INDEX(approvals!$A$2:$A$251,INT((ROW()-2)/2)+1))</f>
        <v/>
      </c>
      <c r="B143" s="25">
        <f>IF(INDEX(approvals!$A$2:$A$251,INT((ROW()-2)/2)+1)="","",INDEX(approvals!$B$2:$B$251,INT((ROW()-2)/2)+1))</f>
        <v/>
      </c>
      <c r="C143" s="25">
        <f>IF($A143="","",IF(MOD(ROW()-2,2)=0,"qr","post"))</f>
        <v/>
      </c>
      <c r="D143" s="25">
        <f>IF($A143="","",IF(LEFT($A143,7)="SAMPLE-","SAMPLE-","")&amp;LOWER(SUBSTITUTE(SUBSTITUTE($A143,"SAMPLE-",""),"CMP-","c"))&amp;"-"&amp;LOWER(SUBSTITUTE(SUBSTITUTE($B143,"SAMPLE-",""),"O-","o"))&amp;"-"&amp;IF($C143="qr","q","p"))</f>
        <v/>
      </c>
      <c r="E143" s="25">
        <f>IF($A143="","","https://"&amp;config!$B$9&amp;"/"&amp;$D143)</f>
        <v/>
      </c>
      <c r="F143" s="25">
        <f>IF($A143="","",$A143&amp;"."&amp;$B143)</f>
        <v/>
      </c>
      <c r="G143" s="25">
        <f>IF($A143="","",IF(IFERROR(IF(INDEX(campaigns!$AJ$2:$AJ$51,MATCH($A143,campaigns!$A$2:$A$51,0))="","",INDEX(campaigns!$AJ$2:$AJ$51,MATCH($A143,campaigns!$A$2:$A$51,0))),"")="","(add the survey prefill template on campaigns)",SUBSTITUTE(IFERROR(IF(INDEX(campaigns!$AJ$2:$AJ$51,MATCH($A143,campaigns!$A$2:$A$51,0))="","",INDEX(campaigns!$AJ$2:$AJ$51,MATCH($A143,campaigns!$A$2:$A$51,0))),""),"CARDCODE",$F143)&amp;"&amp;utm_source=office-pantry&amp;utm_medium="&amp;$C143&amp;"&amp;utm_campaign="&amp;LOWER($A143)&amp;"&amp;utm_content="&amp;LOWER($B143)))</f>
        <v/>
      </c>
      <c r="H143" s="25">
        <f>IF(OR($A143="",$C143&lt;&gt;"qr"),"",$D143&amp;".png")</f>
        <v/>
      </c>
      <c r="I143" s="25">
        <f>IF($A143="","",IF(AND(IFERROR(IF(INDEX(campaigns!$AJ$2:$AJ$51,MATCH($A143,campaigns!$A$2:$A$51,0))="","",INDEX(campaigns!$AJ$2:$AJ$51,MATCH($A143,campaigns!$A$2:$A$51,0))),"")="",IFERROR(IF(INDEX(campaigns!$BG$2:$BG$51,MATCH($A143,campaigns!$A$2:$A$51,0))="","",INDEX(campaigns!$BG$2:$BG$51,MATCH($A143,campaigns!$A$2:$A$51,0))),"")&lt;&gt;"",IF(config!$B$37&lt;&gt;"",config!$B$37,TODAY())&gt;=WORKDAY(N(IFERROR(IF(INDEX(campaigns!$BG$2:$BG$51,MATCH($A143,campaigns!$A$2:$A$51,0))="","",INDEX(campaigns!$BG$2:$BG$51,MATCH($A143,campaigns!$A$2:$A$51,0))),"")),-4,calendar!$A$2:$A$80)),"no prefill template yet (due T-4); ","")&amp;IF(COUNTIF(links!$D$2:$D$501,$D143)&gt;1,"DUPLICATE slug; ",""))</f>
        <v/>
      </c>
    </row>
    <row r="144">
      <c r="A144" s="25">
        <f>IF(INDEX(approvals!$A$2:$A$251,INT((ROW()-2)/2)+1)="","",INDEX(approvals!$A$2:$A$251,INT((ROW()-2)/2)+1))</f>
        <v/>
      </c>
      <c r="B144" s="25">
        <f>IF(INDEX(approvals!$A$2:$A$251,INT((ROW()-2)/2)+1)="","",INDEX(approvals!$B$2:$B$251,INT((ROW()-2)/2)+1))</f>
        <v/>
      </c>
      <c r="C144" s="25">
        <f>IF($A144="","",IF(MOD(ROW()-2,2)=0,"qr","post"))</f>
        <v/>
      </c>
      <c r="D144" s="25">
        <f>IF($A144="","",IF(LEFT($A144,7)="SAMPLE-","SAMPLE-","")&amp;LOWER(SUBSTITUTE(SUBSTITUTE($A144,"SAMPLE-",""),"CMP-","c"))&amp;"-"&amp;LOWER(SUBSTITUTE(SUBSTITUTE($B144,"SAMPLE-",""),"O-","o"))&amp;"-"&amp;IF($C144="qr","q","p"))</f>
        <v/>
      </c>
      <c r="E144" s="25">
        <f>IF($A144="","","https://"&amp;config!$B$9&amp;"/"&amp;$D144)</f>
        <v/>
      </c>
      <c r="F144" s="25">
        <f>IF($A144="","",$A144&amp;"."&amp;$B144)</f>
        <v/>
      </c>
      <c r="G144" s="25">
        <f>IF($A144="","",IF(IFERROR(IF(INDEX(campaigns!$AJ$2:$AJ$51,MATCH($A144,campaigns!$A$2:$A$51,0))="","",INDEX(campaigns!$AJ$2:$AJ$51,MATCH($A144,campaigns!$A$2:$A$51,0))),"")="","(add the survey prefill template on campaigns)",SUBSTITUTE(IFERROR(IF(INDEX(campaigns!$AJ$2:$AJ$51,MATCH($A144,campaigns!$A$2:$A$51,0))="","",INDEX(campaigns!$AJ$2:$AJ$51,MATCH($A144,campaigns!$A$2:$A$51,0))),""),"CARDCODE",$F144)&amp;"&amp;utm_source=office-pantry&amp;utm_medium="&amp;$C144&amp;"&amp;utm_campaign="&amp;LOWER($A144)&amp;"&amp;utm_content="&amp;LOWER($B144)))</f>
        <v/>
      </c>
      <c r="H144" s="25">
        <f>IF(OR($A144="",$C144&lt;&gt;"qr"),"",$D144&amp;".png")</f>
        <v/>
      </c>
      <c r="I144" s="25">
        <f>IF($A144="","",IF(AND(IFERROR(IF(INDEX(campaigns!$AJ$2:$AJ$51,MATCH($A144,campaigns!$A$2:$A$51,0))="","",INDEX(campaigns!$AJ$2:$AJ$51,MATCH($A144,campaigns!$A$2:$A$51,0))),"")="",IFERROR(IF(INDEX(campaigns!$BG$2:$BG$51,MATCH($A144,campaigns!$A$2:$A$51,0))="","",INDEX(campaigns!$BG$2:$BG$51,MATCH($A144,campaigns!$A$2:$A$51,0))),"")&lt;&gt;"",IF(config!$B$37&lt;&gt;"",config!$B$37,TODAY())&gt;=WORKDAY(N(IFERROR(IF(INDEX(campaigns!$BG$2:$BG$51,MATCH($A144,campaigns!$A$2:$A$51,0))="","",INDEX(campaigns!$BG$2:$BG$51,MATCH($A144,campaigns!$A$2:$A$51,0))),"")),-4,calendar!$A$2:$A$80)),"no prefill template yet (due T-4); ","")&amp;IF(COUNTIF(links!$D$2:$D$501,$D144)&gt;1,"DUPLICATE slug; ",""))</f>
        <v/>
      </c>
    </row>
    <row r="145">
      <c r="A145" s="25">
        <f>IF(INDEX(approvals!$A$2:$A$251,INT((ROW()-2)/2)+1)="","",INDEX(approvals!$A$2:$A$251,INT((ROW()-2)/2)+1))</f>
        <v/>
      </c>
      <c r="B145" s="25">
        <f>IF(INDEX(approvals!$A$2:$A$251,INT((ROW()-2)/2)+1)="","",INDEX(approvals!$B$2:$B$251,INT((ROW()-2)/2)+1))</f>
        <v/>
      </c>
      <c r="C145" s="25">
        <f>IF($A145="","",IF(MOD(ROW()-2,2)=0,"qr","post"))</f>
        <v/>
      </c>
      <c r="D145" s="25">
        <f>IF($A145="","",IF(LEFT($A145,7)="SAMPLE-","SAMPLE-","")&amp;LOWER(SUBSTITUTE(SUBSTITUTE($A145,"SAMPLE-",""),"CMP-","c"))&amp;"-"&amp;LOWER(SUBSTITUTE(SUBSTITUTE($B145,"SAMPLE-",""),"O-","o"))&amp;"-"&amp;IF($C145="qr","q","p"))</f>
        <v/>
      </c>
      <c r="E145" s="25">
        <f>IF($A145="","","https://"&amp;config!$B$9&amp;"/"&amp;$D145)</f>
        <v/>
      </c>
      <c r="F145" s="25">
        <f>IF($A145="","",$A145&amp;"."&amp;$B145)</f>
        <v/>
      </c>
      <c r="G145" s="25">
        <f>IF($A145="","",IF(IFERROR(IF(INDEX(campaigns!$AJ$2:$AJ$51,MATCH($A145,campaigns!$A$2:$A$51,0))="","",INDEX(campaigns!$AJ$2:$AJ$51,MATCH($A145,campaigns!$A$2:$A$51,0))),"")="","(add the survey prefill template on campaigns)",SUBSTITUTE(IFERROR(IF(INDEX(campaigns!$AJ$2:$AJ$51,MATCH($A145,campaigns!$A$2:$A$51,0))="","",INDEX(campaigns!$AJ$2:$AJ$51,MATCH($A145,campaigns!$A$2:$A$51,0))),""),"CARDCODE",$F145)&amp;"&amp;utm_source=office-pantry&amp;utm_medium="&amp;$C145&amp;"&amp;utm_campaign="&amp;LOWER($A145)&amp;"&amp;utm_content="&amp;LOWER($B145)))</f>
        <v/>
      </c>
      <c r="H145" s="25">
        <f>IF(OR($A145="",$C145&lt;&gt;"qr"),"",$D145&amp;".png")</f>
        <v/>
      </c>
      <c r="I145" s="25">
        <f>IF($A145="","",IF(AND(IFERROR(IF(INDEX(campaigns!$AJ$2:$AJ$51,MATCH($A145,campaigns!$A$2:$A$51,0))="","",INDEX(campaigns!$AJ$2:$AJ$51,MATCH($A145,campaigns!$A$2:$A$51,0))),"")="",IFERROR(IF(INDEX(campaigns!$BG$2:$BG$51,MATCH($A145,campaigns!$A$2:$A$51,0))="","",INDEX(campaigns!$BG$2:$BG$51,MATCH($A145,campaigns!$A$2:$A$51,0))),"")&lt;&gt;"",IF(config!$B$37&lt;&gt;"",config!$B$37,TODAY())&gt;=WORKDAY(N(IFERROR(IF(INDEX(campaigns!$BG$2:$BG$51,MATCH($A145,campaigns!$A$2:$A$51,0))="","",INDEX(campaigns!$BG$2:$BG$51,MATCH($A145,campaigns!$A$2:$A$51,0))),"")),-4,calendar!$A$2:$A$80)),"no prefill template yet (due T-4); ","")&amp;IF(COUNTIF(links!$D$2:$D$501,$D145)&gt;1,"DUPLICATE slug; ",""))</f>
        <v/>
      </c>
    </row>
    <row r="146">
      <c r="A146" s="25">
        <f>IF(INDEX(approvals!$A$2:$A$251,INT((ROW()-2)/2)+1)="","",INDEX(approvals!$A$2:$A$251,INT((ROW()-2)/2)+1))</f>
        <v/>
      </c>
      <c r="B146" s="25">
        <f>IF(INDEX(approvals!$A$2:$A$251,INT((ROW()-2)/2)+1)="","",INDEX(approvals!$B$2:$B$251,INT((ROW()-2)/2)+1))</f>
        <v/>
      </c>
      <c r="C146" s="25">
        <f>IF($A146="","",IF(MOD(ROW()-2,2)=0,"qr","post"))</f>
        <v/>
      </c>
      <c r="D146" s="25">
        <f>IF($A146="","",IF(LEFT($A146,7)="SAMPLE-","SAMPLE-","")&amp;LOWER(SUBSTITUTE(SUBSTITUTE($A146,"SAMPLE-",""),"CMP-","c"))&amp;"-"&amp;LOWER(SUBSTITUTE(SUBSTITUTE($B146,"SAMPLE-",""),"O-","o"))&amp;"-"&amp;IF($C146="qr","q","p"))</f>
        <v/>
      </c>
      <c r="E146" s="25">
        <f>IF($A146="","","https://"&amp;config!$B$9&amp;"/"&amp;$D146)</f>
        <v/>
      </c>
      <c r="F146" s="25">
        <f>IF($A146="","",$A146&amp;"."&amp;$B146)</f>
        <v/>
      </c>
      <c r="G146" s="25">
        <f>IF($A146="","",IF(IFERROR(IF(INDEX(campaigns!$AJ$2:$AJ$51,MATCH($A146,campaigns!$A$2:$A$51,0))="","",INDEX(campaigns!$AJ$2:$AJ$51,MATCH($A146,campaigns!$A$2:$A$51,0))),"")="","(add the survey prefill template on campaigns)",SUBSTITUTE(IFERROR(IF(INDEX(campaigns!$AJ$2:$AJ$51,MATCH($A146,campaigns!$A$2:$A$51,0))="","",INDEX(campaigns!$AJ$2:$AJ$51,MATCH($A146,campaigns!$A$2:$A$51,0))),""),"CARDCODE",$F146)&amp;"&amp;utm_source=office-pantry&amp;utm_medium="&amp;$C146&amp;"&amp;utm_campaign="&amp;LOWER($A146)&amp;"&amp;utm_content="&amp;LOWER($B146)))</f>
        <v/>
      </c>
      <c r="H146" s="25">
        <f>IF(OR($A146="",$C146&lt;&gt;"qr"),"",$D146&amp;".png")</f>
        <v/>
      </c>
      <c r="I146" s="25">
        <f>IF($A146="","",IF(AND(IFERROR(IF(INDEX(campaigns!$AJ$2:$AJ$51,MATCH($A146,campaigns!$A$2:$A$51,0))="","",INDEX(campaigns!$AJ$2:$AJ$51,MATCH($A146,campaigns!$A$2:$A$51,0))),"")="",IFERROR(IF(INDEX(campaigns!$BG$2:$BG$51,MATCH($A146,campaigns!$A$2:$A$51,0))="","",INDEX(campaigns!$BG$2:$BG$51,MATCH($A146,campaigns!$A$2:$A$51,0))),"")&lt;&gt;"",IF(config!$B$37&lt;&gt;"",config!$B$37,TODAY())&gt;=WORKDAY(N(IFERROR(IF(INDEX(campaigns!$BG$2:$BG$51,MATCH($A146,campaigns!$A$2:$A$51,0))="","",INDEX(campaigns!$BG$2:$BG$51,MATCH($A146,campaigns!$A$2:$A$51,0))),"")),-4,calendar!$A$2:$A$80)),"no prefill template yet (due T-4); ","")&amp;IF(COUNTIF(links!$D$2:$D$501,$D146)&gt;1,"DUPLICATE slug; ",""))</f>
        <v/>
      </c>
    </row>
    <row r="147">
      <c r="A147" s="25">
        <f>IF(INDEX(approvals!$A$2:$A$251,INT((ROW()-2)/2)+1)="","",INDEX(approvals!$A$2:$A$251,INT((ROW()-2)/2)+1))</f>
        <v/>
      </c>
      <c r="B147" s="25">
        <f>IF(INDEX(approvals!$A$2:$A$251,INT((ROW()-2)/2)+1)="","",INDEX(approvals!$B$2:$B$251,INT((ROW()-2)/2)+1))</f>
        <v/>
      </c>
      <c r="C147" s="25">
        <f>IF($A147="","",IF(MOD(ROW()-2,2)=0,"qr","post"))</f>
        <v/>
      </c>
      <c r="D147" s="25">
        <f>IF($A147="","",IF(LEFT($A147,7)="SAMPLE-","SAMPLE-","")&amp;LOWER(SUBSTITUTE(SUBSTITUTE($A147,"SAMPLE-",""),"CMP-","c"))&amp;"-"&amp;LOWER(SUBSTITUTE(SUBSTITUTE($B147,"SAMPLE-",""),"O-","o"))&amp;"-"&amp;IF($C147="qr","q","p"))</f>
        <v/>
      </c>
      <c r="E147" s="25">
        <f>IF($A147="","","https://"&amp;config!$B$9&amp;"/"&amp;$D147)</f>
        <v/>
      </c>
      <c r="F147" s="25">
        <f>IF($A147="","",$A147&amp;"."&amp;$B147)</f>
        <v/>
      </c>
      <c r="G147" s="25">
        <f>IF($A147="","",IF(IFERROR(IF(INDEX(campaigns!$AJ$2:$AJ$51,MATCH($A147,campaigns!$A$2:$A$51,0))="","",INDEX(campaigns!$AJ$2:$AJ$51,MATCH($A147,campaigns!$A$2:$A$51,0))),"")="","(add the survey prefill template on campaigns)",SUBSTITUTE(IFERROR(IF(INDEX(campaigns!$AJ$2:$AJ$51,MATCH($A147,campaigns!$A$2:$A$51,0))="","",INDEX(campaigns!$AJ$2:$AJ$51,MATCH($A147,campaigns!$A$2:$A$51,0))),""),"CARDCODE",$F147)&amp;"&amp;utm_source=office-pantry&amp;utm_medium="&amp;$C147&amp;"&amp;utm_campaign="&amp;LOWER($A147)&amp;"&amp;utm_content="&amp;LOWER($B147)))</f>
        <v/>
      </c>
      <c r="H147" s="25">
        <f>IF(OR($A147="",$C147&lt;&gt;"qr"),"",$D147&amp;".png")</f>
        <v/>
      </c>
      <c r="I147" s="25">
        <f>IF($A147="","",IF(AND(IFERROR(IF(INDEX(campaigns!$AJ$2:$AJ$51,MATCH($A147,campaigns!$A$2:$A$51,0))="","",INDEX(campaigns!$AJ$2:$AJ$51,MATCH($A147,campaigns!$A$2:$A$51,0))),"")="",IFERROR(IF(INDEX(campaigns!$BG$2:$BG$51,MATCH($A147,campaigns!$A$2:$A$51,0))="","",INDEX(campaigns!$BG$2:$BG$51,MATCH($A147,campaigns!$A$2:$A$51,0))),"")&lt;&gt;"",IF(config!$B$37&lt;&gt;"",config!$B$37,TODAY())&gt;=WORKDAY(N(IFERROR(IF(INDEX(campaigns!$BG$2:$BG$51,MATCH($A147,campaigns!$A$2:$A$51,0))="","",INDEX(campaigns!$BG$2:$BG$51,MATCH($A147,campaigns!$A$2:$A$51,0))),"")),-4,calendar!$A$2:$A$80)),"no prefill template yet (due T-4); ","")&amp;IF(COUNTIF(links!$D$2:$D$501,$D147)&gt;1,"DUPLICATE slug; ",""))</f>
        <v/>
      </c>
    </row>
    <row r="148">
      <c r="A148" s="25">
        <f>IF(INDEX(approvals!$A$2:$A$251,INT((ROW()-2)/2)+1)="","",INDEX(approvals!$A$2:$A$251,INT((ROW()-2)/2)+1))</f>
        <v/>
      </c>
      <c r="B148" s="25">
        <f>IF(INDEX(approvals!$A$2:$A$251,INT((ROW()-2)/2)+1)="","",INDEX(approvals!$B$2:$B$251,INT((ROW()-2)/2)+1))</f>
        <v/>
      </c>
      <c r="C148" s="25">
        <f>IF($A148="","",IF(MOD(ROW()-2,2)=0,"qr","post"))</f>
        <v/>
      </c>
      <c r="D148" s="25">
        <f>IF($A148="","",IF(LEFT($A148,7)="SAMPLE-","SAMPLE-","")&amp;LOWER(SUBSTITUTE(SUBSTITUTE($A148,"SAMPLE-",""),"CMP-","c"))&amp;"-"&amp;LOWER(SUBSTITUTE(SUBSTITUTE($B148,"SAMPLE-",""),"O-","o"))&amp;"-"&amp;IF($C148="qr","q","p"))</f>
        <v/>
      </c>
      <c r="E148" s="25">
        <f>IF($A148="","","https://"&amp;config!$B$9&amp;"/"&amp;$D148)</f>
        <v/>
      </c>
      <c r="F148" s="25">
        <f>IF($A148="","",$A148&amp;"."&amp;$B148)</f>
        <v/>
      </c>
      <c r="G148" s="25">
        <f>IF($A148="","",IF(IFERROR(IF(INDEX(campaigns!$AJ$2:$AJ$51,MATCH($A148,campaigns!$A$2:$A$51,0))="","",INDEX(campaigns!$AJ$2:$AJ$51,MATCH($A148,campaigns!$A$2:$A$51,0))),"")="","(add the survey prefill template on campaigns)",SUBSTITUTE(IFERROR(IF(INDEX(campaigns!$AJ$2:$AJ$51,MATCH($A148,campaigns!$A$2:$A$51,0))="","",INDEX(campaigns!$AJ$2:$AJ$51,MATCH($A148,campaigns!$A$2:$A$51,0))),""),"CARDCODE",$F148)&amp;"&amp;utm_source=office-pantry&amp;utm_medium="&amp;$C148&amp;"&amp;utm_campaign="&amp;LOWER($A148)&amp;"&amp;utm_content="&amp;LOWER($B148)))</f>
        <v/>
      </c>
      <c r="H148" s="25">
        <f>IF(OR($A148="",$C148&lt;&gt;"qr"),"",$D148&amp;".png")</f>
        <v/>
      </c>
      <c r="I148" s="25">
        <f>IF($A148="","",IF(AND(IFERROR(IF(INDEX(campaigns!$AJ$2:$AJ$51,MATCH($A148,campaigns!$A$2:$A$51,0))="","",INDEX(campaigns!$AJ$2:$AJ$51,MATCH($A148,campaigns!$A$2:$A$51,0))),"")="",IFERROR(IF(INDEX(campaigns!$BG$2:$BG$51,MATCH($A148,campaigns!$A$2:$A$51,0))="","",INDEX(campaigns!$BG$2:$BG$51,MATCH($A148,campaigns!$A$2:$A$51,0))),"")&lt;&gt;"",IF(config!$B$37&lt;&gt;"",config!$B$37,TODAY())&gt;=WORKDAY(N(IFERROR(IF(INDEX(campaigns!$BG$2:$BG$51,MATCH($A148,campaigns!$A$2:$A$51,0))="","",INDEX(campaigns!$BG$2:$BG$51,MATCH($A148,campaigns!$A$2:$A$51,0))),"")),-4,calendar!$A$2:$A$80)),"no prefill template yet (due T-4); ","")&amp;IF(COUNTIF(links!$D$2:$D$501,$D148)&gt;1,"DUPLICATE slug; ",""))</f>
        <v/>
      </c>
    </row>
    <row r="149">
      <c r="A149" s="25">
        <f>IF(INDEX(approvals!$A$2:$A$251,INT((ROW()-2)/2)+1)="","",INDEX(approvals!$A$2:$A$251,INT((ROW()-2)/2)+1))</f>
        <v/>
      </c>
      <c r="B149" s="25">
        <f>IF(INDEX(approvals!$A$2:$A$251,INT((ROW()-2)/2)+1)="","",INDEX(approvals!$B$2:$B$251,INT((ROW()-2)/2)+1))</f>
        <v/>
      </c>
      <c r="C149" s="25">
        <f>IF($A149="","",IF(MOD(ROW()-2,2)=0,"qr","post"))</f>
        <v/>
      </c>
      <c r="D149" s="25">
        <f>IF($A149="","",IF(LEFT($A149,7)="SAMPLE-","SAMPLE-","")&amp;LOWER(SUBSTITUTE(SUBSTITUTE($A149,"SAMPLE-",""),"CMP-","c"))&amp;"-"&amp;LOWER(SUBSTITUTE(SUBSTITUTE($B149,"SAMPLE-",""),"O-","o"))&amp;"-"&amp;IF($C149="qr","q","p"))</f>
        <v/>
      </c>
      <c r="E149" s="25">
        <f>IF($A149="","","https://"&amp;config!$B$9&amp;"/"&amp;$D149)</f>
        <v/>
      </c>
      <c r="F149" s="25">
        <f>IF($A149="","",$A149&amp;"."&amp;$B149)</f>
        <v/>
      </c>
      <c r="G149" s="25">
        <f>IF($A149="","",IF(IFERROR(IF(INDEX(campaigns!$AJ$2:$AJ$51,MATCH($A149,campaigns!$A$2:$A$51,0))="","",INDEX(campaigns!$AJ$2:$AJ$51,MATCH($A149,campaigns!$A$2:$A$51,0))),"")="","(add the survey prefill template on campaigns)",SUBSTITUTE(IFERROR(IF(INDEX(campaigns!$AJ$2:$AJ$51,MATCH($A149,campaigns!$A$2:$A$51,0))="","",INDEX(campaigns!$AJ$2:$AJ$51,MATCH($A149,campaigns!$A$2:$A$51,0))),""),"CARDCODE",$F149)&amp;"&amp;utm_source=office-pantry&amp;utm_medium="&amp;$C149&amp;"&amp;utm_campaign="&amp;LOWER($A149)&amp;"&amp;utm_content="&amp;LOWER($B149)))</f>
        <v/>
      </c>
      <c r="H149" s="25">
        <f>IF(OR($A149="",$C149&lt;&gt;"qr"),"",$D149&amp;".png")</f>
        <v/>
      </c>
      <c r="I149" s="25">
        <f>IF($A149="","",IF(AND(IFERROR(IF(INDEX(campaigns!$AJ$2:$AJ$51,MATCH($A149,campaigns!$A$2:$A$51,0))="","",INDEX(campaigns!$AJ$2:$AJ$51,MATCH($A149,campaigns!$A$2:$A$51,0))),"")="",IFERROR(IF(INDEX(campaigns!$BG$2:$BG$51,MATCH($A149,campaigns!$A$2:$A$51,0))="","",INDEX(campaigns!$BG$2:$BG$51,MATCH($A149,campaigns!$A$2:$A$51,0))),"")&lt;&gt;"",IF(config!$B$37&lt;&gt;"",config!$B$37,TODAY())&gt;=WORKDAY(N(IFERROR(IF(INDEX(campaigns!$BG$2:$BG$51,MATCH($A149,campaigns!$A$2:$A$51,0))="","",INDEX(campaigns!$BG$2:$BG$51,MATCH($A149,campaigns!$A$2:$A$51,0))),"")),-4,calendar!$A$2:$A$80)),"no prefill template yet (due T-4); ","")&amp;IF(COUNTIF(links!$D$2:$D$501,$D149)&gt;1,"DUPLICATE slug; ",""))</f>
        <v/>
      </c>
    </row>
    <row r="150">
      <c r="A150" s="25">
        <f>IF(INDEX(approvals!$A$2:$A$251,INT((ROW()-2)/2)+1)="","",INDEX(approvals!$A$2:$A$251,INT((ROW()-2)/2)+1))</f>
        <v/>
      </c>
      <c r="B150" s="25">
        <f>IF(INDEX(approvals!$A$2:$A$251,INT((ROW()-2)/2)+1)="","",INDEX(approvals!$B$2:$B$251,INT((ROW()-2)/2)+1))</f>
        <v/>
      </c>
      <c r="C150" s="25">
        <f>IF($A150="","",IF(MOD(ROW()-2,2)=0,"qr","post"))</f>
        <v/>
      </c>
      <c r="D150" s="25">
        <f>IF($A150="","",IF(LEFT($A150,7)="SAMPLE-","SAMPLE-","")&amp;LOWER(SUBSTITUTE(SUBSTITUTE($A150,"SAMPLE-",""),"CMP-","c"))&amp;"-"&amp;LOWER(SUBSTITUTE(SUBSTITUTE($B150,"SAMPLE-",""),"O-","o"))&amp;"-"&amp;IF($C150="qr","q","p"))</f>
        <v/>
      </c>
      <c r="E150" s="25">
        <f>IF($A150="","","https://"&amp;config!$B$9&amp;"/"&amp;$D150)</f>
        <v/>
      </c>
      <c r="F150" s="25">
        <f>IF($A150="","",$A150&amp;"."&amp;$B150)</f>
        <v/>
      </c>
      <c r="G150" s="25">
        <f>IF($A150="","",IF(IFERROR(IF(INDEX(campaigns!$AJ$2:$AJ$51,MATCH($A150,campaigns!$A$2:$A$51,0))="","",INDEX(campaigns!$AJ$2:$AJ$51,MATCH($A150,campaigns!$A$2:$A$51,0))),"")="","(add the survey prefill template on campaigns)",SUBSTITUTE(IFERROR(IF(INDEX(campaigns!$AJ$2:$AJ$51,MATCH($A150,campaigns!$A$2:$A$51,0))="","",INDEX(campaigns!$AJ$2:$AJ$51,MATCH($A150,campaigns!$A$2:$A$51,0))),""),"CARDCODE",$F150)&amp;"&amp;utm_source=office-pantry&amp;utm_medium="&amp;$C150&amp;"&amp;utm_campaign="&amp;LOWER($A150)&amp;"&amp;utm_content="&amp;LOWER($B150)))</f>
        <v/>
      </c>
      <c r="H150" s="25">
        <f>IF(OR($A150="",$C150&lt;&gt;"qr"),"",$D150&amp;".png")</f>
        <v/>
      </c>
      <c r="I150" s="25">
        <f>IF($A150="","",IF(AND(IFERROR(IF(INDEX(campaigns!$AJ$2:$AJ$51,MATCH($A150,campaigns!$A$2:$A$51,0))="","",INDEX(campaigns!$AJ$2:$AJ$51,MATCH($A150,campaigns!$A$2:$A$51,0))),"")="",IFERROR(IF(INDEX(campaigns!$BG$2:$BG$51,MATCH($A150,campaigns!$A$2:$A$51,0))="","",INDEX(campaigns!$BG$2:$BG$51,MATCH($A150,campaigns!$A$2:$A$51,0))),"")&lt;&gt;"",IF(config!$B$37&lt;&gt;"",config!$B$37,TODAY())&gt;=WORKDAY(N(IFERROR(IF(INDEX(campaigns!$BG$2:$BG$51,MATCH($A150,campaigns!$A$2:$A$51,0))="","",INDEX(campaigns!$BG$2:$BG$51,MATCH($A150,campaigns!$A$2:$A$51,0))),"")),-4,calendar!$A$2:$A$80)),"no prefill template yet (due T-4); ","")&amp;IF(COUNTIF(links!$D$2:$D$501,$D150)&gt;1,"DUPLICATE slug; ",""))</f>
        <v/>
      </c>
    </row>
    <row r="151">
      <c r="A151" s="25">
        <f>IF(INDEX(approvals!$A$2:$A$251,INT((ROW()-2)/2)+1)="","",INDEX(approvals!$A$2:$A$251,INT((ROW()-2)/2)+1))</f>
        <v/>
      </c>
      <c r="B151" s="25">
        <f>IF(INDEX(approvals!$A$2:$A$251,INT((ROW()-2)/2)+1)="","",INDEX(approvals!$B$2:$B$251,INT((ROW()-2)/2)+1))</f>
        <v/>
      </c>
      <c r="C151" s="25">
        <f>IF($A151="","",IF(MOD(ROW()-2,2)=0,"qr","post"))</f>
        <v/>
      </c>
      <c r="D151" s="25">
        <f>IF($A151="","",IF(LEFT($A151,7)="SAMPLE-","SAMPLE-","")&amp;LOWER(SUBSTITUTE(SUBSTITUTE($A151,"SAMPLE-",""),"CMP-","c"))&amp;"-"&amp;LOWER(SUBSTITUTE(SUBSTITUTE($B151,"SAMPLE-",""),"O-","o"))&amp;"-"&amp;IF($C151="qr","q","p"))</f>
        <v/>
      </c>
      <c r="E151" s="25">
        <f>IF($A151="","","https://"&amp;config!$B$9&amp;"/"&amp;$D151)</f>
        <v/>
      </c>
      <c r="F151" s="25">
        <f>IF($A151="","",$A151&amp;"."&amp;$B151)</f>
        <v/>
      </c>
      <c r="G151" s="25">
        <f>IF($A151="","",IF(IFERROR(IF(INDEX(campaigns!$AJ$2:$AJ$51,MATCH($A151,campaigns!$A$2:$A$51,0))="","",INDEX(campaigns!$AJ$2:$AJ$51,MATCH($A151,campaigns!$A$2:$A$51,0))),"")="","(add the survey prefill template on campaigns)",SUBSTITUTE(IFERROR(IF(INDEX(campaigns!$AJ$2:$AJ$51,MATCH($A151,campaigns!$A$2:$A$51,0))="","",INDEX(campaigns!$AJ$2:$AJ$51,MATCH($A151,campaigns!$A$2:$A$51,0))),""),"CARDCODE",$F151)&amp;"&amp;utm_source=office-pantry&amp;utm_medium="&amp;$C151&amp;"&amp;utm_campaign="&amp;LOWER($A151)&amp;"&amp;utm_content="&amp;LOWER($B151)))</f>
        <v/>
      </c>
      <c r="H151" s="25">
        <f>IF(OR($A151="",$C151&lt;&gt;"qr"),"",$D151&amp;".png")</f>
        <v/>
      </c>
      <c r="I151" s="25">
        <f>IF($A151="","",IF(AND(IFERROR(IF(INDEX(campaigns!$AJ$2:$AJ$51,MATCH($A151,campaigns!$A$2:$A$51,0))="","",INDEX(campaigns!$AJ$2:$AJ$51,MATCH($A151,campaigns!$A$2:$A$51,0))),"")="",IFERROR(IF(INDEX(campaigns!$BG$2:$BG$51,MATCH($A151,campaigns!$A$2:$A$51,0))="","",INDEX(campaigns!$BG$2:$BG$51,MATCH($A151,campaigns!$A$2:$A$51,0))),"")&lt;&gt;"",IF(config!$B$37&lt;&gt;"",config!$B$37,TODAY())&gt;=WORKDAY(N(IFERROR(IF(INDEX(campaigns!$BG$2:$BG$51,MATCH($A151,campaigns!$A$2:$A$51,0))="","",INDEX(campaigns!$BG$2:$BG$51,MATCH($A151,campaigns!$A$2:$A$51,0))),"")),-4,calendar!$A$2:$A$80)),"no prefill template yet (due T-4); ","")&amp;IF(COUNTIF(links!$D$2:$D$501,$D151)&gt;1,"DUPLICATE slug; ",""))</f>
        <v/>
      </c>
    </row>
    <row r="152">
      <c r="A152" s="25">
        <f>IF(INDEX(approvals!$A$2:$A$251,INT((ROW()-2)/2)+1)="","",INDEX(approvals!$A$2:$A$251,INT((ROW()-2)/2)+1))</f>
        <v/>
      </c>
      <c r="B152" s="25">
        <f>IF(INDEX(approvals!$A$2:$A$251,INT((ROW()-2)/2)+1)="","",INDEX(approvals!$B$2:$B$251,INT((ROW()-2)/2)+1))</f>
        <v/>
      </c>
      <c r="C152" s="25">
        <f>IF($A152="","",IF(MOD(ROW()-2,2)=0,"qr","post"))</f>
        <v/>
      </c>
      <c r="D152" s="25">
        <f>IF($A152="","",IF(LEFT($A152,7)="SAMPLE-","SAMPLE-","")&amp;LOWER(SUBSTITUTE(SUBSTITUTE($A152,"SAMPLE-",""),"CMP-","c"))&amp;"-"&amp;LOWER(SUBSTITUTE(SUBSTITUTE($B152,"SAMPLE-",""),"O-","o"))&amp;"-"&amp;IF($C152="qr","q","p"))</f>
        <v/>
      </c>
      <c r="E152" s="25">
        <f>IF($A152="","","https://"&amp;config!$B$9&amp;"/"&amp;$D152)</f>
        <v/>
      </c>
      <c r="F152" s="25">
        <f>IF($A152="","",$A152&amp;"."&amp;$B152)</f>
        <v/>
      </c>
      <c r="G152" s="25">
        <f>IF($A152="","",IF(IFERROR(IF(INDEX(campaigns!$AJ$2:$AJ$51,MATCH($A152,campaigns!$A$2:$A$51,0))="","",INDEX(campaigns!$AJ$2:$AJ$51,MATCH($A152,campaigns!$A$2:$A$51,0))),"")="","(add the survey prefill template on campaigns)",SUBSTITUTE(IFERROR(IF(INDEX(campaigns!$AJ$2:$AJ$51,MATCH($A152,campaigns!$A$2:$A$51,0))="","",INDEX(campaigns!$AJ$2:$AJ$51,MATCH($A152,campaigns!$A$2:$A$51,0))),""),"CARDCODE",$F152)&amp;"&amp;utm_source=office-pantry&amp;utm_medium="&amp;$C152&amp;"&amp;utm_campaign="&amp;LOWER($A152)&amp;"&amp;utm_content="&amp;LOWER($B152)))</f>
        <v/>
      </c>
      <c r="H152" s="25">
        <f>IF(OR($A152="",$C152&lt;&gt;"qr"),"",$D152&amp;".png")</f>
        <v/>
      </c>
      <c r="I152" s="25">
        <f>IF($A152="","",IF(AND(IFERROR(IF(INDEX(campaigns!$AJ$2:$AJ$51,MATCH($A152,campaigns!$A$2:$A$51,0))="","",INDEX(campaigns!$AJ$2:$AJ$51,MATCH($A152,campaigns!$A$2:$A$51,0))),"")="",IFERROR(IF(INDEX(campaigns!$BG$2:$BG$51,MATCH($A152,campaigns!$A$2:$A$51,0))="","",INDEX(campaigns!$BG$2:$BG$51,MATCH($A152,campaigns!$A$2:$A$51,0))),"")&lt;&gt;"",IF(config!$B$37&lt;&gt;"",config!$B$37,TODAY())&gt;=WORKDAY(N(IFERROR(IF(INDEX(campaigns!$BG$2:$BG$51,MATCH($A152,campaigns!$A$2:$A$51,0))="","",INDEX(campaigns!$BG$2:$BG$51,MATCH($A152,campaigns!$A$2:$A$51,0))),"")),-4,calendar!$A$2:$A$80)),"no prefill template yet (due T-4); ","")&amp;IF(COUNTIF(links!$D$2:$D$501,$D152)&gt;1,"DUPLICATE slug; ",""))</f>
        <v/>
      </c>
    </row>
    <row r="153">
      <c r="A153" s="25">
        <f>IF(INDEX(approvals!$A$2:$A$251,INT((ROW()-2)/2)+1)="","",INDEX(approvals!$A$2:$A$251,INT((ROW()-2)/2)+1))</f>
        <v/>
      </c>
      <c r="B153" s="25">
        <f>IF(INDEX(approvals!$A$2:$A$251,INT((ROW()-2)/2)+1)="","",INDEX(approvals!$B$2:$B$251,INT((ROW()-2)/2)+1))</f>
        <v/>
      </c>
      <c r="C153" s="25">
        <f>IF($A153="","",IF(MOD(ROW()-2,2)=0,"qr","post"))</f>
        <v/>
      </c>
      <c r="D153" s="25">
        <f>IF($A153="","",IF(LEFT($A153,7)="SAMPLE-","SAMPLE-","")&amp;LOWER(SUBSTITUTE(SUBSTITUTE($A153,"SAMPLE-",""),"CMP-","c"))&amp;"-"&amp;LOWER(SUBSTITUTE(SUBSTITUTE($B153,"SAMPLE-",""),"O-","o"))&amp;"-"&amp;IF($C153="qr","q","p"))</f>
        <v/>
      </c>
      <c r="E153" s="25">
        <f>IF($A153="","","https://"&amp;config!$B$9&amp;"/"&amp;$D153)</f>
        <v/>
      </c>
      <c r="F153" s="25">
        <f>IF($A153="","",$A153&amp;"."&amp;$B153)</f>
        <v/>
      </c>
      <c r="G153" s="25">
        <f>IF($A153="","",IF(IFERROR(IF(INDEX(campaigns!$AJ$2:$AJ$51,MATCH($A153,campaigns!$A$2:$A$51,0))="","",INDEX(campaigns!$AJ$2:$AJ$51,MATCH($A153,campaigns!$A$2:$A$51,0))),"")="","(add the survey prefill template on campaigns)",SUBSTITUTE(IFERROR(IF(INDEX(campaigns!$AJ$2:$AJ$51,MATCH($A153,campaigns!$A$2:$A$51,0))="","",INDEX(campaigns!$AJ$2:$AJ$51,MATCH($A153,campaigns!$A$2:$A$51,0))),""),"CARDCODE",$F153)&amp;"&amp;utm_source=office-pantry&amp;utm_medium="&amp;$C153&amp;"&amp;utm_campaign="&amp;LOWER($A153)&amp;"&amp;utm_content="&amp;LOWER($B153)))</f>
        <v/>
      </c>
      <c r="H153" s="25">
        <f>IF(OR($A153="",$C153&lt;&gt;"qr"),"",$D153&amp;".png")</f>
        <v/>
      </c>
      <c r="I153" s="25">
        <f>IF($A153="","",IF(AND(IFERROR(IF(INDEX(campaigns!$AJ$2:$AJ$51,MATCH($A153,campaigns!$A$2:$A$51,0))="","",INDEX(campaigns!$AJ$2:$AJ$51,MATCH($A153,campaigns!$A$2:$A$51,0))),"")="",IFERROR(IF(INDEX(campaigns!$BG$2:$BG$51,MATCH($A153,campaigns!$A$2:$A$51,0))="","",INDEX(campaigns!$BG$2:$BG$51,MATCH($A153,campaigns!$A$2:$A$51,0))),"")&lt;&gt;"",IF(config!$B$37&lt;&gt;"",config!$B$37,TODAY())&gt;=WORKDAY(N(IFERROR(IF(INDEX(campaigns!$BG$2:$BG$51,MATCH($A153,campaigns!$A$2:$A$51,0))="","",INDEX(campaigns!$BG$2:$BG$51,MATCH($A153,campaigns!$A$2:$A$51,0))),"")),-4,calendar!$A$2:$A$80)),"no prefill template yet (due T-4); ","")&amp;IF(COUNTIF(links!$D$2:$D$501,$D153)&gt;1,"DUPLICATE slug; ",""))</f>
        <v/>
      </c>
    </row>
    <row r="154">
      <c r="A154" s="25">
        <f>IF(INDEX(approvals!$A$2:$A$251,INT((ROW()-2)/2)+1)="","",INDEX(approvals!$A$2:$A$251,INT((ROW()-2)/2)+1))</f>
        <v/>
      </c>
      <c r="B154" s="25">
        <f>IF(INDEX(approvals!$A$2:$A$251,INT((ROW()-2)/2)+1)="","",INDEX(approvals!$B$2:$B$251,INT((ROW()-2)/2)+1))</f>
        <v/>
      </c>
      <c r="C154" s="25">
        <f>IF($A154="","",IF(MOD(ROW()-2,2)=0,"qr","post"))</f>
        <v/>
      </c>
      <c r="D154" s="25">
        <f>IF($A154="","",IF(LEFT($A154,7)="SAMPLE-","SAMPLE-","")&amp;LOWER(SUBSTITUTE(SUBSTITUTE($A154,"SAMPLE-",""),"CMP-","c"))&amp;"-"&amp;LOWER(SUBSTITUTE(SUBSTITUTE($B154,"SAMPLE-",""),"O-","o"))&amp;"-"&amp;IF($C154="qr","q","p"))</f>
        <v/>
      </c>
      <c r="E154" s="25">
        <f>IF($A154="","","https://"&amp;config!$B$9&amp;"/"&amp;$D154)</f>
        <v/>
      </c>
      <c r="F154" s="25">
        <f>IF($A154="","",$A154&amp;"."&amp;$B154)</f>
        <v/>
      </c>
      <c r="G154" s="25">
        <f>IF($A154="","",IF(IFERROR(IF(INDEX(campaigns!$AJ$2:$AJ$51,MATCH($A154,campaigns!$A$2:$A$51,0))="","",INDEX(campaigns!$AJ$2:$AJ$51,MATCH($A154,campaigns!$A$2:$A$51,0))),"")="","(add the survey prefill template on campaigns)",SUBSTITUTE(IFERROR(IF(INDEX(campaigns!$AJ$2:$AJ$51,MATCH($A154,campaigns!$A$2:$A$51,0))="","",INDEX(campaigns!$AJ$2:$AJ$51,MATCH($A154,campaigns!$A$2:$A$51,0))),""),"CARDCODE",$F154)&amp;"&amp;utm_source=office-pantry&amp;utm_medium="&amp;$C154&amp;"&amp;utm_campaign="&amp;LOWER($A154)&amp;"&amp;utm_content="&amp;LOWER($B154)))</f>
        <v/>
      </c>
      <c r="H154" s="25">
        <f>IF(OR($A154="",$C154&lt;&gt;"qr"),"",$D154&amp;".png")</f>
        <v/>
      </c>
      <c r="I154" s="25">
        <f>IF($A154="","",IF(AND(IFERROR(IF(INDEX(campaigns!$AJ$2:$AJ$51,MATCH($A154,campaigns!$A$2:$A$51,0))="","",INDEX(campaigns!$AJ$2:$AJ$51,MATCH($A154,campaigns!$A$2:$A$51,0))),"")="",IFERROR(IF(INDEX(campaigns!$BG$2:$BG$51,MATCH($A154,campaigns!$A$2:$A$51,0))="","",INDEX(campaigns!$BG$2:$BG$51,MATCH($A154,campaigns!$A$2:$A$51,0))),"")&lt;&gt;"",IF(config!$B$37&lt;&gt;"",config!$B$37,TODAY())&gt;=WORKDAY(N(IFERROR(IF(INDEX(campaigns!$BG$2:$BG$51,MATCH($A154,campaigns!$A$2:$A$51,0))="","",INDEX(campaigns!$BG$2:$BG$51,MATCH($A154,campaigns!$A$2:$A$51,0))),"")),-4,calendar!$A$2:$A$80)),"no prefill template yet (due T-4); ","")&amp;IF(COUNTIF(links!$D$2:$D$501,$D154)&gt;1,"DUPLICATE slug; ",""))</f>
        <v/>
      </c>
    </row>
    <row r="155">
      <c r="A155" s="25">
        <f>IF(INDEX(approvals!$A$2:$A$251,INT((ROW()-2)/2)+1)="","",INDEX(approvals!$A$2:$A$251,INT((ROW()-2)/2)+1))</f>
        <v/>
      </c>
      <c r="B155" s="25">
        <f>IF(INDEX(approvals!$A$2:$A$251,INT((ROW()-2)/2)+1)="","",INDEX(approvals!$B$2:$B$251,INT((ROW()-2)/2)+1))</f>
        <v/>
      </c>
      <c r="C155" s="25">
        <f>IF($A155="","",IF(MOD(ROW()-2,2)=0,"qr","post"))</f>
        <v/>
      </c>
      <c r="D155" s="25">
        <f>IF($A155="","",IF(LEFT($A155,7)="SAMPLE-","SAMPLE-","")&amp;LOWER(SUBSTITUTE(SUBSTITUTE($A155,"SAMPLE-",""),"CMP-","c"))&amp;"-"&amp;LOWER(SUBSTITUTE(SUBSTITUTE($B155,"SAMPLE-",""),"O-","o"))&amp;"-"&amp;IF($C155="qr","q","p"))</f>
        <v/>
      </c>
      <c r="E155" s="25">
        <f>IF($A155="","","https://"&amp;config!$B$9&amp;"/"&amp;$D155)</f>
        <v/>
      </c>
      <c r="F155" s="25">
        <f>IF($A155="","",$A155&amp;"."&amp;$B155)</f>
        <v/>
      </c>
      <c r="G155" s="25">
        <f>IF($A155="","",IF(IFERROR(IF(INDEX(campaigns!$AJ$2:$AJ$51,MATCH($A155,campaigns!$A$2:$A$51,0))="","",INDEX(campaigns!$AJ$2:$AJ$51,MATCH($A155,campaigns!$A$2:$A$51,0))),"")="","(add the survey prefill template on campaigns)",SUBSTITUTE(IFERROR(IF(INDEX(campaigns!$AJ$2:$AJ$51,MATCH($A155,campaigns!$A$2:$A$51,0))="","",INDEX(campaigns!$AJ$2:$AJ$51,MATCH($A155,campaigns!$A$2:$A$51,0))),""),"CARDCODE",$F155)&amp;"&amp;utm_source=office-pantry&amp;utm_medium="&amp;$C155&amp;"&amp;utm_campaign="&amp;LOWER($A155)&amp;"&amp;utm_content="&amp;LOWER($B155)))</f>
        <v/>
      </c>
      <c r="H155" s="25">
        <f>IF(OR($A155="",$C155&lt;&gt;"qr"),"",$D155&amp;".png")</f>
        <v/>
      </c>
      <c r="I155" s="25">
        <f>IF($A155="","",IF(AND(IFERROR(IF(INDEX(campaigns!$AJ$2:$AJ$51,MATCH($A155,campaigns!$A$2:$A$51,0))="","",INDEX(campaigns!$AJ$2:$AJ$51,MATCH($A155,campaigns!$A$2:$A$51,0))),"")="",IFERROR(IF(INDEX(campaigns!$BG$2:$BG$51,MATCH($A155,campaigns!$A$2:$A$51,0))="","",INDEX(campaigns!$BG$2:$BG$51,MATCH($A155,campaigns!$A$2:$A$51,0))),"")&lt;&gt;"",IF(config!$B$37&lt;&gt;"",config!$B$37,TODAY())&gt;=WORKDAY(N(IFERROR(IF(INDEX(campaigns!$BG$2:$BG$51,MATCH($A155,campaigns!$A$2:$A$51,0))="","",INDEX(campaigns!$BG$2:$BG$51,MATCH($A155,campaigns!$A$2:$A$51,0))),"")),-4,calendar!$A$2:$A$80)),"no prefill template yet (due T-4); ","")&amp;IF(COUNTIF(links!$D$2:$D$501,$D155)&gt;1,"DUPLICATE slug; ",""))</f>
        <v/>
      </c>
    </row>
    <row r="156">
      <c r="A156" s="25">
        <f>IF(INDEX(approvals!$A$2:$A$251,INT((ROW()-2)/2)+1)="","",INDEX(approvals!$A$2:$A$251,INT((ROW()-2)/2)+1))</f>
        <v/>
      </c>
      <c r="B156" s="25">
        <f>IF(INDEX(approvals!$A$2:$A$251,INT((ROW()-2)/2)+1)="","",INDEX(approvals!$B$2:$B$251,INT((ROW()-2)/2)+1))</f>
        <v/>
      </c>
      <c r="C156" s="25">
        <f>IF($A156="","",IF(MOD(ROW()-2,2)=0,"qr","post"))</f>
        <v/>
      </c>
      <c r="D156" s="25">
        <f>IF($A156="","",IF(LEFT($A156,7)="SAMPLE-","SAMPLE-","")&amp;LOWER(SUBSTITUTE(SUBSTITUTE($A156,"SAMPLE-",""),"CMP-","c"))&amp;"-"&amp;LOWER(SUBSTITUTE(SUBSTITUTE($B156,"SAMPLE-",""),"O-","o"))&amp;"-"&amp;IF($C156="qr","q","p"))</f>
        <v/>
      </c>
      <c r="E156" s="25">
        <f>IF($A156="","","https://"&amp;config!$B$9&amp;"/"&amp;$D156)</f>
        <v/>
      </c>
      <c r="F156" s="25">
        <f>IF($A156="","",$A156&amp;"."&amp;$B156)</f>
        <v/>
      </c>
      <c r="G156" s="25">
        <f>IF($A156="","",IF(IFERROR(IF(INDEX(campaigns!$AJ$2:$AJ$51,MATCH($A156,campaigns!$A$2:$A$51,0))="","",INDEX(campaigns!$AJ$2:$AJ$51,MATCH($A156,campaigns!$A$2:$A$51,0))),"")="","(add the survey prefill template on campaigns)",SUBSTITUTE(IFERROR(IF(INDEX(campaigns!$AJ$2:$AJ$51,MATCH($A156,campaigns!$A$2:$A$51,0))="","",INDEX(campaigns!$AJ$2:$AJ$51,MATCH($A156,campaigns!$A$2:$A$51,0))),""),"CARDCODE",$F156)&amp;"&amp;utm_source=office-pantry&amp;utm_medium="&amp;$C156&amp;"&amp;utm_campaign="&amp;LOWER($A156)&amp;"&amp;utm_content="&amp;LOWER($B156)))</f>
        <v/>
      </c>
      <c r="H156" s="25">
        <f>IF(OR($A156="",$C156&lt;&gt;"qr"),"",$D156&amp;".png")</f>
        <v/>
      </c>
      <c r="I156" s="25">
        <f>IF($A156="","",IF(AND(IFERROR(IF(INDEX(campaigns!$AJ$2:$AJ$51,MATCH($A156,campaigns!$A$2:$A$51,0))="","",INDEX(campaigns!$AJ$2:$AJ$51,MATCH($A156,campaigns!$A$2:$A$51,0))),"")="",IFERROR(IF(INDEX(campaigns!$BG$2:$BG$51,MATCH($A156,campaigns!$A$2:$A$51,0))="","",INDEX(campaigns!$BG$2:$BG$51,MATCH($A156,campaigns!$A$2:$A$51,0))),"")&lt;&gt;"",IF(config!$B$37&lt;&gt;"",config!$B$37,TODAY())&gt;=WORKDAY(N(IFERROR(IF(INDEX(campaigns!$BG$2:$BG$51,MATCH($A156,campaigns!$A$2:$A$51,0))="","",INDEX(campaigns!$BG$2:$BG$51,MATCH($A156,campaigns!$A$2:$A$51,0))),"")),-4,calendar!$A$2:$A$80)),"no prefill template yet (due T-4); ","")&amp;IF(COUNTIF(links!$D$2:$D$501,$D156)&gt;1,"DUPLICATE slug; ",""))</f>
        <v/>
      </c>
    </row>
    <row r="157">
      <c r="A157" s="25">
        <f>IF(INDEX(approvals!$A$2:$A$251,INT((ROW()-2)/2)+1)="","",INDEX(approvals!$A$2:$A$251,INT((ROW()-2)/2)+1))</f>
        <v/>
      </c>
      <c r="B157" s="25">
        <f>IF(INDEX(approvals!$A$2:$A$251,INT((ROW()-2)/2)+1)="","",INDEX(approvals!$B$2:$B$251,INT((ROW()-2)/2)+1))</f>
        <v/>
      </c>
      <c r="C157" s="25">
        <f>IF($A157="","",IF(MOD(ROW()-2,2)=0,"qr","post"))</f>
        <v/>
      </c>
      <c r="D157" s="25">
        <f>IF($A157="","",IF(LEFT($A157,7)="SAMPLE-","SAMPLE-","")&amp;LOWER(SUBSTITUTE(SUBSTITUTE($A157,"SAMPLE-",""),"CMP-","c"))&amp;"-"&amp;LOWER(SUBSTITUTE(SUBSTITUTE($B157,"SAMPLE-",""),"O-","o"))&amp;"-"&amp;IF($C157="qr","q","p"))</f>
        <v/>
      </c>
      <c r="E157" s="25">
        <f>IF($A157="","","https://"&amp;config!$B$9&amp;"/"&amp;$D157)</f>
        <v/>
      </c>
      <c r="F157" s="25">
        <f>IF($A157="","",$A157&amp;"."&amp;$B157)</f>
        <v/>
      </c>
      <c r="G157" s="25">
        <f>IF($A157="","",IF(IFERROR(IF(INDEX(campaigns!$AJ$2:$AJ$51,MATCH($A157,campaigns!$A$2:$A$51,0))="","",INDEX(campaigns!$AJ$2:$AJ$51,MATCH($A157,campaigns!$A$2:$A$51,0))),"")="","(add the survey prefill template on campaigns)",SUBSTITUTE(IFERROR(IF(INDEX(campaigns!$AJ$2:$AJ$51,MATCH($A157,campaigns!$A$2:$A$51,0))="","",INDEX(campaigns!$AJ$2:$AJ$51,MATCH($A157,campaigns!$A$2:$A$51,0))),""),"CARDCODE",$F157)&amp;"&amp;utm_source=office-pantry&amp;utm_medium="&amp;$C157&amp;"&amp;utm_campaign="&amp;LOWER($A157)&amp;"&amp;utm_content="&amp;LOWER($B157)))</f>
        <v/>
      </c>
      <c r="H157" s="25">
        <f>IF(OR($A157="",$C157&lt;&gt;"qr"),"",$D157&amp;".png")</f>
        <v/>
      </c>
      <c r="I157" s="25">
        <f>IF($A157="","",IF(AND(IFERROR(IF(INDEX(campaigns!$AJ$2:$AJ$51,MATCH($A157,campaigns!$A$2:$A$51,0))="","",INDEX(campaigns!$AJ$2:$AJ$51,MATCH($A157,campaigns!$A$2:$A$51,0))),"")="",IFERROR(IF(INDEX(campaigns!$BG$2:$BG$51,MATCH($A157,campaigns!$A$2:$A$51,0))="","",INDEX(campaigns!$BG$2:$BG$51,MATCH($A157,campaigns!$A$2:$A$51,0))),"")&lt;&gt;"",IF(config!$B$37&lt;&gt;"",config!$B$37,TODAY())&gt;=WORKDAY(N(IFERROR(IF(INDEX(campaigns!$BG$2:$BG$51,MATCH($A157,campaigns!$A$2:$A$51,0))="","",INDEX(campaigns!$BG$2:$BG$51,MATCH($A157,campaigns!$A$2:$A$51,0))),"")),-4,calendar!$A$2:$A$80)),"no prefill template yet (due T-4); ","")&amp;IF(COUNTIF(links!$D$2:$D$501,$D157)&gt;1,"DUPLICATE slug; ",""))</f>
        <v/>
      </c>
    </row>
    <row r="158">
      <c r="A158" s="25">
        <f>IF(INDEX(approvals!$A$2:$A$251,INT((ROW()-2)/2)+1)="","",INDEX(approvals!$A$2:$A$251,INT((ROW()-2)/2)+1))</f>
        <v/>
      </c>
      <c r="B158" s="25">
        <f>IF(INDEX(approvals!$A$2:$A$251,INT((ROW()-2)/2)+1)="","",INDEX(approvals!$B$2:$B$251,INT((ROW()-2)/2)+1))</f>
        <v/>
      </c>
      <c r="C158" s="25">
        <f>IF($A158="","",IF(MOD(ROW()-2,2)=0,"qr","post"))</f>
        <v/>
      </c>
      <c r="D158" s="25">
        <f>IF($A158="","",IF(LEFT($A158,7)="SAMPLE-","SAMPLE-","")&amp;LOWER(SUBSTITUTE(SUBSTITUTE($A158,"SAMPLE-",""),"CMP-","c"))&amp;"-"&amp;LOWER(SUBSTITUTE(SUBSTITUTE($B158,"SAMPLE-",""),"O-","o"))&amp;"-"&amp;IF($C158="qr","q","p"))</f>
        <v/>
      </c>
      <c r="E158" s="25">
        <f>IF($A158="","","https://"&amp;config!$B$9&amp;"/"&amp;$D158)</f>
        <v/>
      </c>
      <c r="F158" s="25">
        <f>IF($A158="","",$A158&amp;"."&amp;$B158)</f>
        <v/>
      </c>
      <c r="G158" s="25">
        <f>IF($A158="","",IF(IFERROR(IF(INDEX(campaigns!$AJ$2:$AJ$51,MATCH($A158,campaigns!$A$2:$A$51,0))="","",INDEX(campaigns!$AJ$2:$AJ$51,MATCH($A158,campaigns!$A$2:$A$51,0))),"")="","(add the survey prefill template on campaigns)",SUBSTITUTE(IFERROR(IF(INDEX(campaigns!$AJ$2:$AJ$51,MATCH($A158,campaigns!$A$2:$A$51,0))="","",INDEX(campaigns!$AJ$2:$AJ$51,MATCH($A158,campaigns!$A$2:$A$51,0))),""),"CARDCODE",$F158)&amp;"&amp;utm_source=office-pantry&amp;utm_medium="&amp;$C158&amp;"&amp;utm_campaign="&amp;LOWER($A158)&amp;"&amp;utm_content="&amp;LOWER($B158)))</f>
        <v/>
      </c>
      <c r="H158" s="25">
        <f>IF(OR($A158="",$C158&lt;&gt;"qr"),"",$D158&amp;".png")</f>
        <v/>
      </c>
      <c r="I158" s="25">
        <f>IF($A158="","",IF(AND(IFERROR(IF(INDEX(campaigns!$AJ$2:$AJ$51,MATCH($A158,campaigns!$A$2:$A$51,0))="","",INDEX(campaigns!$AJ$2:$AJ$51,MATCH($A158,campaigns!$A$2:$A$51,0))),"")="",IFERROR(IF(INDEX(campaigns!$BG$2:$BG$51,MATCH($A158,campaigns!$A$2:$A$51,0))="","",INDEX(campaigns!$BG$2:$BG$51,MATCH($A158,campaigns!$A$2:$A$51,0))),"")&lt;&gt;"",IF(config!$B$37&lt;&gt;"",config!$B$37,TODAY())&gt;=WORKDAY(N(IFERROR(IF(INDEX(campaigns!$BG$2:$BG$51,MATCH($A158,campaigns!$A$2:$A$51,0))="","",INDEX(campaigns!$BG$2:$BG$51,MATCH($A158,campaigns!$A$2:$A$51,0))),"")),-4,calendar!$A$2:$A$80)),"no prefill template yet (due T-4); ","")&amp;IF(COUNTIF(links!$D$2:$D$501,$D158)&gt;1,"DUPLICATE slug; ",""))</f>
        <v/>
      </c>
    </row>
    <row r="159">
      <c r="A159" s="25">
        <f>IF(INDEX(approvals!$A$2:$A$251,INT((ROW()-2)/2)+1)="","",INDEX(approvals!$A$2:$A$251,INT((ROW()-2)/2)+1))</f>
        <v/>
      </c>
      <c r="B159" s="25">
        <f>IF(INDEX(approvals!$A$2:$A$251,INT((ROW()-2)/2)+1)="","",INDEX(approvals!$B$2:$B$251,INT((ROW()-2)/2)+1))</f>
        <v/>
      </c>
      <c r="C159" s="25">
        <f>IF($A159="","",IF(MOD(ROW()-2,2)=0,"qr","post"))</f>
        <v/>
      </c>
      <c r="D159" s="25">
        <f>IF($A159="","",IF(LEFT($A159,7)="SAMPLE-","SAMPLE-","")&amp;LOWER(SUBSTITUTE(SUBSTITUTE($A159,"SAMPLE-",""),"CMP-","c"))&amp;"-"&amp;LOWER(SUBSTITUTE(SUBSTITUTE($B159,"SAMPLE-",""),"O-","o"))&amp;"-"&amp;IF($C159="qr","q","p"))</f>
        <v/>
      </c>
      <c r="E159" s="25">
        <f>IF($A159="","","https://"&amp;config!$B$9&amp;"/"&amp;$D159)</f>
        <v/>
      </c>
      <c r="F159" s="25">
        <f>IF($A159="","",$A159&amp;"."&amp;$B159)</f>
        <v/>
      </c>
      <c r="G159" s="25">
        <f>IF($A159="","",IF(IFERROR(IF(INDEX(campaigns!$AJ$2:$AJ$51,MATCH($A159,campaigns!$A$2:$A$51,0))="","",INDEX(campaigns!$AJ$2:$AJ$51,MATCH($A159,campaigns!$A$2:$A$51,0))),"")="","(add the survey prefill template on campaigns)",SUBSTITUTE(IFERROR(IF(INDEX(campaigns!$AJ$2:$AJ$51,MATCH($A159,campaigns!$A$2:$A$51,0))="","",INDEX(campaigns!$AJ$2:$AJ$51,MATCH($A159,campaigns!$A$2:$A$51,0))),""),"CARDCODE",$F159)&amp;"&amp;utm_source=office-pantry&amp;utm_medium="&amp;$C159&amp;"&amp;utm_campaign="&amp;LOWER($A159)&amp;"&amp;utm_content="&amp;LOWER($B159)))</f>
        <v/>
      </c>
      <c r="H159" s="25">
        <f>IF(OR($A159="",$C159&lt;&gt;"qr"),"",$D159&amp;".png")</f>
        <v/>
      </c>
      <c r="I159" s="25">
        <f>IF($A159="","",IF(AND(IFERROR(IF(INDEX(campaigns!$AJ$2:$AJ$51,MATCH($A159,campaigns!$A$2:$A$51,0))="","",INDEX(campaigns!$AJ$2:$AJ$51,MATCH($A159,campaigns!$A$2:$A$51,0))),"")="",IFERROR(IF(INDEX(campaigns!$BG$2:$BG$51,MATCH($A159,campaigns!$A$2:$A$51,0))="","",INDEX(campaigns!$BG$2:$BG$51,MATCH($A159,campaigns!$A$2:$A$51,0))),"")&lt;&gt;"",IF(config!$B$37&lt;&gt;"",config!$B$37,TODAY())&gt;=WORKDAY(N(IFERROR(IF(INDEX(campaigns!$BG$2:$BG$51,MATCH($A159,campaigns!$A$2:$A$51,0))="","",INDEX(campaigns!$BG$2:$BG$51,MATCH($A159,campaigns!$A$2:$A$51,0))),"")),-4,calendar!$A$2:$A$80)),"no prefill template yet (due T-4); ","")&amp;IF(COUNTIF(links!$D$2:$D$501,$D159)&gt;1,"DUPLICATE slug; ",""))</f>
        <v/>
      </c>
    </row>
    <row r="160">
      <c r="A160" s="25">
        <f>IF(INDEX(approvals!$A$2:$A$251,INT((ROW()-2)/2)+1)="","",INDEX(approvals!$A$2:$A$251,INT((ROW()-2)/2)+1))</f>
        <v/>
      </c>
      <c r="B160" s="25">
        <f>IF(INDEX(approvals!$A$2:$A$251,INT((ROW()-2)/2)+1)="","",INDEX(approvals!$B$2:$B$251,INT((ROW()-2)/2)+1))</f>
        <v/>
      </c>
      <c r="C160" s="25">
        <f>IF($A160="","",IF(MOD(ROW()-2,2)=0,"qr","post"))</f>
        <v/>
      </c>
      <c r="D160" s="25">
        <f>IF($A160="","",IF(LEFT($A160,7)="SAMPLE-","SAMPLE-","")&amp;LOWER(SUBSTITUTE(SUBSTITUTE($A160,"SAMPLE-",""),"CMP-","c"))&amp;"-"&amp;LOWER(SUBSTITUTE(SUBSTITUTE($B160,"SAMPLE-",""),"O-","o"))&amp;"-"&amp;IF($C160="qr","q","p"))</f>
        <v/>
      </c>
      <c r="E160" s="25">
        <f>IF($A160="","","https://"&amp;config!$B$9&amp;"/"&amp;$D160)</f>
        <v/>
      </c>
      <c r="F160" s="25">
        <f>IF($A160="","",$A160&amp;"."&amp;$B160)</f>
        <v/>
      </c>
      <c r="G160" s="25">
        <f>IF($A160="","",IF(IFERROR(IF(INDEX(campaigns!$AJ$2:$AJ$51,MATCH($A160,campaigns!$A$2:$A$51,0))="","",INDEX(campaigns!$AJ$2:$AJ$51,MATCH($A160,campaigns!$A$2:$A$51,0))),"")="","(add the survey prefill template on campaigns)",SUBSTITUTE(IFERROR(IF(INDEX(campaigns!$AJ$2:$AJ$51,MATCH($A160,campaigns!$A$2:$A$51,0))="","",INDEX(campaigns!$AJ$2:$AJ$51,MATCH($A160,campaigns!$A$2:$A$51,0))),""),"CARDCODE",$F160)&amp;"&amp;utm_source=office-pantry&amp;utm_medium="&amp;$C160&amp;"&amp;utm_campaign="&amp;LOWER($A160)&amp;"&amp;utm_content="&amp;LOWER($B160)))</f>
        <v/>
      </c>
      <c r="H160" s="25">
        <f>IF(OR($A160="",$C160&lt;&gt;"qr"),"",$D160&amp;".png")</f>
        <v/>
      </c>
      <c r="I160" s="25">
        <f>IF($A160="","",IF(AND(IFERROR(IF(INDEX(campaigns!$AJ$2:$AJ$51,MATCH($A160,campaigns!$A$2:$A$51,0))="","",INDEX(campaigns!$AJ$2:$AJ$51,MATCH($A160,campaigns!$A$2:$A$51,0))),"")="",IFERROR(IF(INDEX(campaigns!$BG$2:$BG$51,MATCH($A160,campaigns!$A$2:$A$51,0))="","",INDEX(campaigns!$BG$2:$BG$51,MATCH($A160,campaigns!$A$2:$A$51,0))),"")&lt;&gt;"",IF(config!$B$37&lt;&gt;"",config!$B$37,TODAY())&gt;=WORKDAY(N(IFERROR(IF(INDEX(campaigns!$BG$2:$BG$51,MATCH($A160,campaigns!$A$2:$A$51,0))="","",INDEX(campaigns!$BG$2:$BG$51,MATCH($A160,campaigns!$A$2:$A$51,0))),"")),-4,calendar!$A$2:$A$80)),"no prefill template yet (due T-4); ","")&amp;IF(COUNTIF(links!$D$2:$D$501,$D160)&gt;1,"DUPLICATE slug; ",""))</f>
        <v/>
      </c>
    </row>
    <row r="161">
      <c r="A161" s="25">
        <f>IF(INDEX(approvals!$A$2:$A$251,INT((ROW()-2)/2)+1)="","",INDEX(approvals!$A$2:$A$251,INT((ROW()-2)/2)+1))</f>
        <v/>
      </c>
      <c r="B161" s="25">
        <f>IF(INDEX(approvals!$A$2:$A$251,INT((ROW()-2)/2)+1)="","",INDEX(approvals!$B$2:$B$251,INT((ROW()-2)/2)+1))</f>
        <v/>
      </c>
      <c r="C161" s="25">
        <f>IF($A161="","",IF(MOD(ROW()-2,2)=0,"qr","post"))</f>
        <v/>
      </c>
      <c r="D161" s="25">
        <f>IF($A161="","",IF(LEFT($A161,7)="SAMPLE-","SAMPLE-","")&amp;LOWER(SUBSTITUTE(SUBSTITUTE($A161,"SAMPLE-",""),"CMP-","c"))&amp;"-"&amp;LOWER(SUBSTITUTE(SUBSTITUTE($B161,"SAMPLE-",""),"O-","o"))&amp;"-"&amp;IF($C161="qr","q","p"))</f>
        <v/>
      </c>
      <c r="E161" s="25">
        <f>IF($A161="","","https://"&amp;config!$B$9&amp;"/"&amp;$D161)</f>
        <v/>
      </c>
      <c r="F161" s="25">
        <f>IF($A161="","",$A161&amp;"."&amp;$B161)</f>
        <v/>
      </c>
      <c r="G161" s="25">
        <f>IF($A161="","",IF(IFERROR(IF(INDEX(campaigns!$AJ$2:$AJ$51,MATCH($A161,campaigns!$A$2:$A$51,0))="","",INDEX(campaigns!$AJ$2:$AJ$51,MATCH($A161,campaigns!$A$2:$A$51,0))),"")="","(add the survey prefill template on campaigns)",SUBSTITUTE(IFERROR(IF(INDEX(campaigns!$AJ$2:$AJ$51,MATCH($A161,campaigns!$A$2:$A$51,0))="","",INDEX(campaigns!$AJ$2:$AJ$51,MATCH($A161,campaigns!$A$2:$A$51,0))),""),"CARDCODE",$F161)&amp;"&amp;utm_source=office-pantry&amp;utm_medium="&amp;$C161&amp;"&amp;utm_campaign="&amp;LOWER($A161)&amp;"&amp;utm_content="&amp;LOWER($B161)))</f>
        <v/>
      </c>
      <c r="H161" s="25">
        <f>IF(OR($A161="",$C161&lt;&gt;"qr"),"",$D161&amp;".png")</f>
        <v/>
      </c>
      <c r="I161" s="25">
        <f>IF($A161="","",IF(AND(IFERROR(IF(INDEX(campaigns!$AJ$2:$AJ$51,MATCH($A161,campaigns!$A$2:$A$51,0))="","",INDEX(campaigns!$AJ$2:$AJ$51,MATCH($A161,campaigns!$A$2:$A$51,0))),"")="",IFERROR(IF(INDEX(campaigns!$BG$2:$BG$51,MATCH($A161,campaigns!$A$2:$A$51,0))="","",INDEX(campaigns!$BG$2:$BG$51,MATCH($A161,campaigns!$A$2:$A$51,0))),"")&lt;&gt;"",IF(config!$B$37&lt;&gt;"",config!$B$37,TODAY())&gt;=WORKDAY(N(IFERROR(IF(INDEX(campaigns!$BG$2:$BG$51,MATCH($A161,campaigns!$A$2:$A$51,0))="","",INDEX(campaigns!$BG$2:$BG$51,MATCH($A161,campaigns!$A$2:$A$51,0))),"")),-4,calendar!$A$2:$A$80)),"no prefill template yet (due T-4); ","")&amp;IF(COUNTIF(links!$D$2:$D$501,$D161)&gt;1,"DUPLICATE slug; ",""))</f>
        <v/>
      </c>
    </row>
    <row r="162">
      <c r="A162" s="25">
        <f>IF(INDEX(approvals!$A$2:$A$251,INT((ROW()-2)/2)+1)="","",INDEX(approvals!$A$2:$A$251,INT((ROW()-2)/2)+1))</f>
        <v/>
      </c>
      <c r="B162" s="25">
        <f>IF(INDEX(approvals!$A$2:$A$251,INT((ROW()-2)/2)+1)="","",INDEX(approvals!$B$2:$B$251,INT((ROW()-2)/2)+1))</f>
        <v/>
      </c>
      <c r="C162" s="25">
        <f>IF($A162="","",IF(MOD(ROW()-2,2)=0,"qr","post"))</f>
        <v/>
      </c>
      <c r="D162" s="25">
        <f>IF($A162="","",IF(LEFT($A162,7)="SAMPLE-","SAMPLE-","")&amp;LOWER(SUBSTITUTE(SUBSTITUTE($A162,"SAMPLE-",""),"CMP-","c"))&amp;"-"&amp;LOWER(SUBSTITUTE(SUBSTITUTE($B162,"SAMPLE-",""),"O-","o"))&amp;"-"&amp;IF($C162="qr","q","p"))</f>
        <v/>
      </c>
      <c r="E162" s="25">
        <f>IF($A162="","","https://"&amp;config!$B$9&amp;"/"&amp;$D162)</f>
        <v/>
      </c>
      <c r="F162" s="25">
        <f>IF($A162="","",$A162&amp;"."&amp;$B162)</f>
        <v/>
      </c>
      <c r="G162" s="25">
        <f>IF($A162="","",IF(IFERROR(IF(INDEX(campaigns!$AJ$2:$AJ$51,MATCH($A162,campaigns!$A$2:$A$51,0))="","",INDEX(campaigns!$AJ$2:$AJ$51,MATCH($A162,campaigns!$A$2:$A$51,0))),"")="","(add the survey prefill template on campaigns)",SUBSTITUTE(IFERROR(IF(INDEX(campaigns!$AJ$2:$AJ$51,MATCH($A162,campaigns!$A$2:$A$51,0))="","",INDEX(campaigns!$AJ$2:$AJ$51,MATCH($A162,campaigns!$A$2:$A$51,0))),""),"CARDCODE",$F162)&amp;"&amp;utm_source=office-pantry&amp;utm_medium="&amp;$C162&amp;"&amp;utm_campaign="&amp;LOWER($A162)&amp;"&amp;utm_content="&amp;LOWER($B162)))</f>
        <v/>
      </c>
      <c r="H162" s="25">
        <f>IF(OR($A162="",$C162&lt;&gt;"qr"),"",$D162&amp;".png")</f>
        <v/>
      </c>
      <c r="I162" s="25">
        <f>IF($A162="","",IF(AND(IFERROR(IF(INDEX(campaigns!$AJ$2:$AJ$51,MATCH($A162,campaigns!$A$2:$A$51,0))="","",INDEX(campaigns!$AJ$2:$AJ$51,MATCH($A162,campaigns!$A$2:$A$51,0))),"")="",IFERROR(IF(INDEX(campaigns!$BG$2:$BG$51,MATCH($A162,campaigns!$A$2:$A$51,0))="","",INDEX(campaigns!$BG$2:$BG$51,MATCH($A162,campaigns!$A$2:$A$51,0))),"")&lt;&gt;"",IF(config!$B$37&lt;&gt;"",config!$B$37,TODAY())&gt;=WORKDAY(N(IFERROR(IF(INDEX(campaigns!$BG$2:$BG$51,MATCH($A162,campaigns!$A$2:$A$51,0))="","",INDEX(campaigns!$BG$2:$BG$51,MATCH($A162,campaigns!$A$2:$A$51,0))),"")),-4,calendar!$A$2:$A$80)),"no prefill template yet (due T-4); ","")&amp;IF(COUNTIF(links!$D$2:$D$501,$D162)&gt;1,"DUPLICATE slug; ",""))</f>
        <v/>
      </c>
    </row>
    <row r="163">
      <c r="A163" s="25">
        <f>IF(INDEX(approvals!$A$2:$A$251,INT((ROW()-2)/2)+1)="","",INDEX(approvals!$A$2:$A$251,INT((ROW()-2)/2)+1))</f>
        <v/>
      </c>
      <c r="B163" s="25">
        <f>IF(INDEX(approvals!$A$2:$A$251,INT((ROW()-2)/2)+1)="","",INDEX(approvals!$B$2:$B$251,INT((ROW()-2)/2)+1))</f>
        <v/>
      </c>
      <c r="C163" s="25">
        <f>IF($A163="","",IF(MOD(ROW()-2,2)=0,"qr","post"))</f>
        <v/>
      </c>
      <c r="D163" s="25">
        <f>IF($A163="","",IF(LEFT($A163,7)="SAMPLE-","SAMPLE-","")&amp;LOWER(SUBSTITUTE(SUBSTITUTE($A163,"SAMPLE-",""),"CMP-","c"))&amp;"-"&amp;LOWER(SUBSTITUTE(SUBSTITUTE($B163,"SAMPLE-",""),"O-","o"))&amp;"-"&amp;IF($C163="qr","q","p"))</f>
        <v/>
      </c>
      <c r="E163" s="25">
        <f>IF($A163="","","https://"&amp;config!$B$9&amp;"/"&amp;$D163)</f>
        <v/>
      </c>
      <c r="F163" s="25">
        <f>IF($A163="","",$A163&amp;"."&amp;$B163)</f>
        <v/>
      </c>
      <c r="G163" s="25">
        <f>IF($A163="","",IF(IFERROR(IF(INDEX(campaigns!$AJ$2:$AJ$51,MATCH($A163,campaigns!$A$2:$A$51,0))="","",INDEX(campaigns!$AJ$2:$AJ$51,MATCH($A163,campaigns!$A$2:$A$51,0))),"")="","(add the survey prefill template on campaigns)",SUBSTITUTE(IFERROR(IF(INDEX(campaigns!$AJ$2:$AJ$51,MATCH($A163,campaigns!$A$2:$A$51,0))="","",INDEX(campaigns!$AJ$2:$AJ$51,MATCH($A163,campaigns!$A$2:$A$51,0))),""),"CARDCODE",$F163)&amp;"&amp;utm_source=office-pantry&amp;utm_medium="&amp;$C163&amp;"&amp;utm_campaign="&amp;LOWER($A163)&amp;"&amp;utm_content="&amp;LOWER($B163)))</f>
        <v/>
      </c>
      <c r="H163" s="25">
        <f>IF(OR($A163="",$C163&lt;&gt;"qr"),"",$D163&amp;".png")</f>
        <v/>
      </c>
      <c r="I163" s="25">
        <f>IF($A163="","",IF(AND(IFERROR(IF(INDEX(campaigns!$AJ$2:$AJ$51,MATCH($A163,campaigns!$A$2:$A$51,0))="","",INDEX(campaigns!$AJ$2:$AJ$51,MATCH($A163,campaigns!$A$2:$A$51,0))),"")="",IFERROR(IF(INDEX(campaigns!$BG$2:$BG$51,MATCH($A163,campaigns!$A$2:$A$51,0))="","",INDEX(campaigns!$BG$2:$BG$51,MATCH($A163,campaigns!$A$2:$A$51,0))),"")&lt;&gt;"",IF(config!$B$37&lt;&gt;"",config!$B$37,TODAY())&gt;=WORKDAY(N(IFERROR(IF(INDEX(campaigns!$BG$2:$BG$51,MATCH($A163,campaigns!$A$2:$A$51,0))="","",INDEX(campaigns!$BG$2:$BG$51,MATCH($A163,campaigns!$A$2:$A$51,0))),"")),-4,calendar!$A$2:$A$80)),"no prefill template yet (due T-4); ","")&amp;IF(COUNTIF(links!$D$2:$D$501,$D163)&gt;1,"DUPLICATE slug; ",""))</f>
        <v/>
      </c>
    </row>
    <row r="164">
      <c r="A164" s="25">
        <f>IF(INDEX(approvals!$A$2:$A$251,INT((ROW()-2)/2)+1)="","",INDEX(approvals!$A$2:$A$251,INT((ROW()-2)/2)+1))</f>
        <v/>
      </c>
      <c r="B164" s="25">
        <f>IF(INDEX(approvals!$A$2:$A$251,INT((ROW()-2)/2)+1)="","",INDEX(approvals!$B$2:$B$251,INT((ROW()-2)/2)+1))</f>
        <v/>
      </c>
      <c r="C164" s="25">
        <f>IF($A164="","",IF(MOD(ROW()-2,2)=0,"qr","post"))</f>
        <v/>
      </c>
      <c r="D164" s="25">
        <f>IF($A164="","",IF(LEFT($A164,7)="SAMPLE-","SAMPLE-","")&amp;LOWER(SUBSTITUTE(SUBSTITUTE($A164,"SAMPLE-",""),"CMP-","c"))&amp;"-"&amp;LOWER(SUBSTITUTE(SUBSTITUTE($B164,"SAMPLE-",""),"O-","o"))&amp;"-"&amp;IF($C164="qr","q","p"))</f>
        <v/>
      </c>
      <c r="E164" s="25">
        <f>IF($A164="","","https://"&amp;config!$B$9&amp;"/"&amp;$D164)</f>
        <v/>
      </c>
      <c r="F164" s="25">
        <f>IF($A164="","",$A164&amp;"."&amp;$B164)</f>
        <v/>
      </c>
      <c r="G164" s="25">
        <f>IF($A164="","",IF(IFERROR(IF(INDEX(campaigns!$AJ$2:$AJ$51,MATCH($A164,campaigns!$A$2:$A$51,0))="","",INDEX(campaigns!$AJ$2:$AJ$51,MATCH($A164,campaigns!$A$2:$A$51,0))),"")="","(add the survey prefill template on campaigns)",SUBSTITUTE(IFERROR(IF(INDEX(campaigns!$AJ$2:$AJ$51,MATCH($A164,campaigns!$A$2:$A$51,0))="","",INDEX(campaigns!$AJ$2:$AJ$51,MATCH($A164,campaigns!$A$2:$A$51,0))),""),"CARDCODE",$F164)&amp;"&amp;utm_source=office-pantry&amp;utm_medium="&amp;$C164&amp;"&amp;utm_campaign="&amp;LOWER($A164)&amp;"&amp;utm_content="&amp;LOWER($B164)))</f>
        <v/>
      </c>
      <c r="H164" s="25">
        <f>IF(OR($A164="",$C164&lt;&gt;"qr"),"",$D164&amp;".png")</f>
        <v/>
      </c>
      <c r="I164" s="25">
        <f>IF($A164="","",IF(AND(IFERROR(IF(INDEX(campaigns!$AJ$2:$AJ$51,MATCH($A164,campaigns!$A$2:$A$51,0))="","",INDEX(campaigns!$AJ$2:$AJ$51,MATCH($A164,campaigns!$A$2:$A$51,0))),"")="",IFERROR(IF(INDEX(campaigns!$BG$2:$BG$51,MATCH($A164,campaigns!$A$2:$A$51,0))="","",INDEX(campaigns!$BG$2:$BG$51,MATCH($A164,campaigns!$A$2:$A$51,0))),"")&lt;&gt;"",IF(config!$B$37&lt;&gt;"",config!$B$37,TODAY())&gt;=WORKDAY(N(IFERROR(IF(INDEX(campaigns!$BG$2:$BG$51,MATCH($A164,campaigns!$A$2:$A$51,0))="","",INDEX(campaigns!$BG$2:$BG$51,MATCH($A164,campaigns!$A$2:$A$51,0))),"")),-4,calendar!$A$2:$A$80)),"no prefill template yet (due T-4); ","")&amp;IF(COUNTIF(links!$D$2:$D$501,$D164)&gt;1,"DUPLICATE slug; ",""))</f>
        <v/>
      </c>
    </row>
    <row r="165">
      <c r="A165" s="25">
        <f>IF(INDEX(approvals!$A$2:$A$251,INT((ROW()-2)/2)+1)="","",INDEX(approvals!$A$2:$A$251,INT((ROW()-2)/2)+1))</f>
        <v/>
      </c>
      <c r="B165" s="25">
        <f>IF(INDEX(approvals!$A$2:$A$251,INT((ROW()-2)/2)+1)="","",INDEX(approvals!$B$2:$B$251,INT((ROW()-2)/2)+1))</f>
        <v/>
      </c>
      <c r="C165" s="25">
        <f>IF($A165="","",IF(MOD(ROW()-2,2)=0,"qr","post"))</f>
        <v/>
      </c>
      <c r="D165" s="25">
        <f>IF($A165="","",IF(LEFT($A165,7)="SAMPLE-","SAMPLE-","")&amp;LOWER(SUBSTITUTE(SUBSTITUTE($A165,"SAMPLE-",""),"CMP-","c"))&amp;"-"&amp;LOWER(SUBSTITUTE(SUBSTITUTE($B165,"SAMPLE-",""),"O-","o"))&amp;"-"&amp;IF($C165="qr","q","p"))</f>
        <v/>
      </c>
      <c r="E165" s="25">
        <f>IF($A165="","","https://"&amp;config!$B$9&amp;"/"&amp;$D165)</f>
        <v/>
      </c>
      <c r="F165" s="25">
        <f>IF($A165="","",$A165&amp;"."&amp;$B165)</f>
        <v/>
      </c>
      <c r="G165" s="25">
        <f>IF($A165="","",IF(IFERROR(IF(INDEX(campaigns!$AJ$2:$AJ$51,MATCH($A165,campaigns!$A$2:$A$51,0))="","",INDEX(campaigns!$AJ$2:$AJ$51,MATCH($A165,campaigns!$A$2:$A$51,0))),"")="","(add the survey prefill template on campaigns)",SUBSTITUTE(IFERROR(IF(INDEX(campaigns!$AJ$2:$AJ$51,MATCH($A165,campaigns!$A$2:$A$51,0))="","",INDEX(campaigns!$AJ$2:$AJ$51,MATCH($A165,campaigns!$A$2:$A$51,0))),""),"CARDCODE",$F165)&amp;"&amp;utm_source=office-pantry&amp;utm_medium="&amp;$C165&amp;"&amp;utm_campaign="&amp;LOWER($A165)&amp;"&amp;utm_content="&amp;LOWER($B165)))</f>
        <v/>
      </c>
      <c r="H165" s="25">
        <f>IF(OR($A165="",$C165&lt;&gt;"qr"),"",$D165&amp;".png")</f>
        <v/>
      </c>
      <c r="I165" s="25">
        <f>IF($A165="","",IF(AND(IFERROR(IF(INDEX(campaigns!$AJ$2:$AJ$51,MATCH($A165,campaigns!$A$2:$A$51,0))="","",INDEX(campaigns!$AJ$2:$AJ$51,MATCH($A165,campaigns!$A$2:$A$51,0))),"")="",IFERROR(IF(INDEX(campaigns!$BG$2:$BG$51,MATCH($A165,campaigns!$A$2:$A$51,0))="","",INDEX(campaigns!$BG$2:$BG$51,MATCH($A165,campaigns!$A$2:$A$51,0))),"")&lt;&gt;"",IF(config!$B$37&lt;&gt;"",config!$B$37,TODAY())&gt;=WORKDAY(N(IFERROR(IF(INDEX(campaigns!$BG$2:$BG$51,MATCH($A165,campaigns!$A$2:$A$51,0))="","",INDEX(campaigns!$BG$2:$BG$51,MATCH($A165,campaigns!$A$2:$A$51,0))),"")),-4,calendar!$A$2:$A$80)),"no prefill template yet (due T-4); ","")&amp;IF(COUNTIF(links!$D$2:$D$501,$D165)&gt;1,"DUPLICATE slug; ",""))</f>
        <v/>
      </c>
    </row>
    <row r="166">
      <c r="A166" s="25">
        <f>IF(INDEX(approvals!$A$2:$A$251,INT((ROW()-2)/2)+1)="","",INDEX(approvals!$A$2:$A$251,INT((ROW()-2)/2)+1))</f>
        <v/>
      </c>
      <c r="B166" s="25">
        <f>IF(INDEX(approvals!$A$2:$A$251,INT((ROW()-2)/2)+1)="","",INDEX(approvals!$B$2:$B$251,INT((ROW()-2)/2)+1))</f>
        <v/>
      </c>
      <c r="C166" s="25">
        <f>IF($A166="","",IF(MOD(ROW()-2,2)=0,"qr","post"))</f>
        <v/>
      </c>
      <c r="D166" s="25">
        <f>IF($A166="","",IF(LEFT($A166,7)="SAMPLE-","SAMPLE-","")&amp;LOWER(SUBSTITUTE(SUBSTITUTE($A166,"SAMPLE-",""),"CMP-","c"))&amp;"-"&amp;LOWER(SUBSTITUTE(SUBSTITUTE($B166,"SAMPLE-",""),"O-","o"))&amp;"-"&amp;IF($C166="qr","q","p"))</f>
        <v/>
      </c>
      <c r="E166" s="25">
        <f>IF($A166="","","https://"&amp;config!$B$9&amp;"/"&amp;$D166)</f>
        <v/>
      </c>
      <c r="F166" s="25">
        <f>IF($A166="","",$A166&amp;"."&amp;$B166)</f>
        <v/>
      </c>
      <c r="G166" s="25">
        <f>IF($A166="","",IF(IFERROR(IF(INDEX(campaigns!$AJ$2:$AJ$51,MATCH($A166,campaigns!$A$2:$A$51,0))="","",INDEX(campaigns!$AJ$2:$AJ$51,MATCH($A166,campaigns!$A$2:$A$51,0))),"")="","(add the survey prefill template on campaigns)",SUBSTITUTE(IFERROR(IF(INDEX(campaigns!$AJ$2:$AJ$51,MATCH($A166,campaigns!$A$2:$A$51,0))="","",INDEX(campaigns!$AJ$2:$AJ$51,MATCH($A166,campaigns!$A$2:$A$51,0))),""),"CARDCODE",$F166)&amp;"&amp;utm_source=office-pantry&amp;utm_medium="&amp;$C166&amp;"&amp;utm_campaign="&amp;LOWER($A166)&amp;"&amp;utm_content="&amp;LOWER($B166)))</f>
        <v/>
      </c>
      <c r="H166" s="25">
        <f>IF(OR($A166="",$C166&lt;&gt;"qr"),"",$D166&amp;".png")</f>
        <v/>
      </c>
      <c r="I166" s="25">
        <f>IF($A166="","",IF(AND(IFERROR(IF(INDEX(campaigns!$AJ$2:$AJ$51,MATCH($A166,campaigns!$A$2:$A$51,0))="","",INDEX(campaigns!$AJ$2:$AJ$51,MATCH($A166,campaigns!$A$2:$A$51,0))),"")="",IFERROR(IF(INDEX(campaigns!$BG$2:$BG$51,MATCH($A166,campaigns!$A$2:$A$51,0))="","",INDEX(campaigns!$BG$2:$BG$51,MATCH($A166,campaigns!$A$2:$A$51,0))),"")&lt;&gt;"",IF(config!$B$37&lt;&gt;"",config!$B$37,TODAY())&gt;=WORKDAY(N(IFERROR(IF(INDEX(campaigns!$BG$2:$BG$51,MATCH($A166,campaigns!$A$2:$A$51,0))="","",INDEX(campaigns!$BG$2:$BG$51,MATCH($A166,campaigns!$A$2:$A$51,0))),"")),-4,calendar!$A$2:$A$80)),"no prefill template yet (due T-4); ","")&amp;IF(COUNTIF(links!$D$2:$D$501,$D166)&gt;1,"DUPLICATE slug; ",""))</f>
        <v/>
      </c>
    </row>
    <row r="167">
      <c r="A167" s="25">
        <f>IF(INDEX(approvals!$A$2:$A$251,INT((ROW()-2)/2)+1)="","",INDEX(approvals!$A$2:$A$251,INT((ROW()-2)/2)+1))</f>
        <v/>
      </c>
      <c r="B167" s="25">
        <f>IF(INDEX(approvals!$A$2:$A$251,INT((ROW()-2)/2)+1)="","",INDEX(approvals!$B$2:$B$251,INT((ROW()-2)/2)+1))</f>
        <v/>
      </c>
      <c r="C167" s="25">
        <f>IF($A167="","",IF(MOD(ROW()-2,2)=0,"qr","post"))</f>
        <v/>
      </c>
      <c r="D167" s="25">
        <f>IF($A167="","",IF(LEFT($A167,7)="SAMPLE-","SAMPLE-","")&amp;LOWER(SUBSTITUTE(SUBSTITUTE($A167,"SAMPLE-",""),"CMP-","c"))&amp;"-"&amp;LOWER(SUBSTITUTE(SUBSTITUTE($B167,"SAMPLE-",""),"O-","o"))&amp;"-"&amp;IF($C167="qr","q","p"))</f>
        <v/>
      </c>
      <c r="E167" s="25">
        <f>IF($A167="","","https://"&amp;config!$B$9&amp;"/"&amp;$D167)</f>
        <v/>
      </c>
      <c r="F167" s="25">
        <f>IF($A167="","",$A167&amp;"."&amp;$B167)</f>
        <v/>
      </c>
      <c r="G167" s="25">
        <f>IF($A167="","",IF(IFERROR(IF(INDEX(campaigns!$AJ$2:$AJ$51,MATCH($A167,campaigns!$A$2:$A$51,0))="","",INDEX(campaigns!$AJ$2:$AJ$51,MATCH($A167,campaigns!$A$2:$A$51,0))),"")="","(add the survey prefill template on campaigns)",SUBSTITUTE(IFERROR(IF(INDEX(campaigns!$AJ$2:$AJ$51,MATCH($A167,campaigns!$A$2:$A$51,0))="","",INDEX(campaigns!$AJ$2:$AJ$51,MATCH($A167,campaigns!$A$2:$A$51,0))),""),"CARDCODE",$F167)&amp;"&amp;utm_source=office-pantry&amp;utm_medium="&amp;$C167&amp;"&amp;utm_campaign="&amp;LOWER($A167)&amp;"&amp;utm_content="&amp;LOWER($B167)))</f>
        <v/>
      </c>
      <c r="H167" s="25">
        <f>IF(OR($A167="",$C167&lt;&gt;"qr"),"",$D167&amp;".png")</f>
        <v/>
      </c>
      <c r="I167" s="25">
        <f>IF($A167="","",IF(AND(IFERROR(IF(INDEX(campaigns!$AJ$2:$AJ$51,MATCH($A167,campaigns!$A$2:$A$51,0))="","",INDEX(campaigns!$AJ$2:$AJ$51,MATCH($A167,campaigns!$A$2:$A$51,0))),"")="",IFERROR(IF(INDEX(campaigns!$BG$2:$BG$51,MATCH($A167,campaigns!$A$2:$A$51,0))="","",INDEX(campaigns!$BG$2:$BG$51,MATCH($A167,campaigns!$A$2:$A$51,0))),"")&lt;&gt;"",IF(config!$B$37&lt;&gt;"",config!$B$37,TODAY())&gt;=WORKDAY(N(IFERROR(IF(INDEX(campaigns!$BG$2:$BG$51,MATCH($A167,campaigns!$A$2:$A$51,0))="","",INDEX(campaigns!$BG$2:$BG$51,MATCH($A167,campaigns!$A$2:$A$51,0))),"")),-4,calendar!$A$2:$A$80)),"no prefill template yet (due T-4); ","")&amp;IF(COUNTIF(links!$D$2:$D$501,$D167)&gt;1,"DUPLICATE slug; ",""))</f>
        <v/>
      </c>
    </row>
    <row r="168">
      <c r="A168" s="25">
        <f>IF(INDEX(approvals!$A$2:$A$251,INT((ROW()-2)/2)+1)="","",INDEX(approvals!$A$2:$A$251,INT((ROW()-2)/2)+1))</f>
        <v/>
      </c>
      <c r="B168" s="25">
        <f>IF(INDEX(approvals!$A$2:$A$251,INT((ROW()-2)/2)+1)="","",INDEX(approvals!$B$2:$B$251,INT((ROW()-2)/2)+1))</f>
        <v/>
      </c>
      <c r="C168" s="25">
        <f>IF($A168="","",IF(MOD(ROW()-2,2)=0,"qr","post"))</f>
        <v/>
      </c>
      <c r="D168" s="25">
        <f>IF($A168="","",IF(LEFT($A168,7)="SAMPLE-","SAMPLE-","")&amp;LOWER(SUBSTITUTE(SUBSTITUTE($A168,"SAMPLE-",""),"CMP-","c"))&amp;"-"&amp;LOWER(SUBSTITUTE(SUBSTITUTE($B168,"SAMPLE-",""),"O-","o"))&amp;"-"&amp;IF($C168="qr","q","p"))</f>
        <v/>
      </c>
      <c r="E168" s="25">
        <f>IF($A168="","","https://"&amp;config!$B$9&amp;"/"&amp;$D168)</f>
        <v/>
      </c>
      <c r="F168" s="25">
        <f>IF($A168="","",$A168&amp;"."&amp;$B168)</f>
        <v/>
      </c>
      <c r="G168" s="25">
        <f>IF($A168="","",IF(IFERROR(IF(INDEX(campaigns!$AJ$2:$AJ$51,MATCH($A168,campaigns!$A$2:$A$51,0))="","",INDEX(campaigns!$AJ$2:$AJ$51,MATCH($A168,campaigns!$A$2:$A$51,0))),"")="","(add the survey prefill template on campaigns)",SUBSTITUTE(IFERROR(IF(INDEX(campaigns!$AJ$2:$AJ$51,MATCH($A168,campaigns!$A$2:$A$51,0))="","",INDEX(campaigns!$AJ$2:$AJ$51,MATCH($A168,campaigns!$A$2:$A$51,0))),""),"CARDCODE",$F168)&amp;"&amp;utm_source=office-pantry&amp;utm_medium="&amp;$C168&amp;"&amp;utm_campaign="&amp;LOWER($A168)&amp;"&amp;utm_content="&amp;LOWER($B168)))</f>
        <v/>
      </c>
      <c r="H168" s="25">
        <f>IF(OR($A168="",$C168&lt;&gt;"qr"),"",$D168&amp;".png")</f>
        <v/>
      </c>
      <c r="I168" s="25">
        <f>IF($A168="","",IF(AND(IFERROR(IF(INDEX(campaigns!$AJ$2:$AJ$51,MATCH($A168,campaigns!$A$2:$A$51,0))="","",INDEX(campaigns!$AJ$2:$AJ$51,MATCH($A168,campaigns!$A$2:$A$51,0))),"")="",IFERROR(IF(INDEX(campaigns!$BG$2:$BG$51,MATCH($A168,campaigns!$A$2:$A$51,0))="","",INDEX(campaigns!$BG$2:$BG$51,MATCH($A168,campaigns!$A$2:$A$51,0))),"")&lt;&gt;"",IF(config!$B$37&lt;&gt;"",config!$B$37,TODAY())&gt;=WORKDAY(N(IFERROR(IF(INDEX(campaigns!$BG$2:$BG$51,MATCH($A168,campaigns!$A$2:$A$51,0))="","",INDEX(campaigns!$BG$2:$BG$51,MATCH($A168,campaigns!$A$2:$A$51,0))),"")),-4,calendar!$A$2:$A$80)),"no prefill template yet (due T-4); ","")&amp;IF(COUNTIF(links!$D$2:$D$501,$D168)&gt;1,"DUPLICATE slug; ",""))</f>
        <v/>
      </c>
    </row>
    <row r="169">
      <c r="A169" s="25">
        <f>IF(INDEX(approvals!$A$2:$A$251,INT((ROW()-2)/2)+1)="","",INDEX(approvals!$A$2:$A$251,INT((ROW()-2)/2)+1))</f>
        <v/>
      </c>
      <c r="B169" s="25">
        <f>IF(INDEX(approvals!$A$2:$A$251,INT((ROW()-2)/2)+1)="","",INDEX(approvals!$B$2:$B$251,INT((ROW()-2)/2)+1))</f>
        <v/>
      </c>
      <c r="C169" s="25">
        <f>IF($A169="","",IF(MOD(ROW()-2,2)=0,"qr","post"))</f>
        <v/>
      </c>
      <c r="D169" s="25">
        <f>IF($A169="","",IF(LEFT($A169,7)="SAMPLE-","SAMPLE-","")&amp;LOWER(SUBSTITUTE(SUBSTITUTE($A169,"SAMPLE-",""),"CMP-","c"))&amp;"-"&amp;LOWER(SUBSTITUTE(SUBSTITUTE($B169,"SAMPLE-",""),"O-","o"))&amp;"-"&amp;IF($C169="qr","q","p"))</f>
        <v/>
      </c>
      <c r="E169" s="25">
        <f>IF($A169="","","https://"&amp;config!$B$9&amp;"/"&amp;$D169)</f>
        <v/>
      </c>
      <c r="F169" s="25">
        <f>IF($A169="","",$A169&amp;"."&amp;$B169)</f>
        <v/>
      </c>
      <c r="G169" s="25">
        <f>IF($A169="","",IF(IFERROR(IF(INDEX(campaigns!$AJ$2:$AJ$51,MATCH($A169,campaigns!$A$2:$A$51,0))="","",INDEX(campaigns!$AJ$2:$AJ$51,MATCH($A169,campaigns!$A$2:$A$51,0))),"")="","(add the survey prefill template on campaigns)",SUBSTITUTE(IFERROR(IF(INDEX(campaigns!$AJ$2:$AJ$51,MATCH($A169,campaigns!$A$2:$A$51,0))="","",INDEX(campaigns!$AJ$2:$AJ$51,MATCH($A169,campaigns!$A$2:$A$51,0))),""),"CARDCODE",$F169)&amp;"&amp;utm_source=office-pantry&amp;utm_medium="&amp;$C169&amp;"&amp;utm_campaign="&amp;LOWER($A169)&amp;"&amp;utm_content="&amp;LOWER($B169)))</f>
        <v/>
      </c>
      <c r="H169" s="25">
        <f>IF(OR($A169="",$C169&lt;&gt;"qr"),"",$D169&amp;".png")</f>
        <v/>
      </c>
      <c r="I169" s="25">
        <f>IF($A169="","",IF(AND(IFERROR(IF(INDEX(campaigns!$AJ$2:$AJ$51,MATCH($A169,campaigns!$A$2:$A$51,0))="","",INDEX(campaigns!$AJ$2:$AJ$51,MATCH($A169,campaigns!$A$2:$A$51,0))),"")="",IFERROR(IF(INDEX(campaigns!$BG$2:$BG$51,MATCH($A169,campaigns!$A$2:$A$51,0))="","",INDEX(campaigns!$BG$2:$BG$51,MATCH($A169,campaigns!$A$2:$A$51,0))),"")&lt;&gt;"",IF(config!$B$37&lt;&gt;"",config!$B$37,TODAY())&gt;=WORKDAY(N(IFERROR(IF(INDEX(campaigns!$BG$2:$BG$51,MATCH($A169,campaigns!$A$2:$A$51,0))="","",INDEX(campaigns!$BG$2:$BG$51,MATCH($A169,campaigns!$A$2:$A$51,0))),"")),-4,calendar!$A$2:$A$80)),"no prefill template yet (due T-4); ","")&amp;IF(COUNTIF(links!$D$2:$D$501,$D169)&gt;1,"DUPLICATE slug; ",""))</f>
        <v/>
      </c>
    </row>
    <row r="170">
      <c r="A170" s="25">
        <f>IF(INDEX(approvals!$A$2:$A$251,INT((ROW()-2)/2)+1)="","",INDEX(approvals!$A$2:$A$251,INT((ROW()-2)/2)+1))</f>
        <v/>
      </c>
      <c r="B170" s="25">
        <f>IF(INDEX(approvals!$A$2:$A$251,INT((ROW()-2)/2)+1)="","",INDEX(approvals!$B$2:$B$251,INT((ROW()-2)/2)+1))</f>
        <v/>
      </c>
      <c r="C170" s="25">
        <f>IF($A170="","",IF(MOD(ROW()-2,2)=0,"qr","post"))</f>
        <v/>
      </c>
      <c r="D170" s="25">
        <f>IF($A170="","",IF(LEFT($A170,7)="SAMPLE-","SAMPLE-","")&amp;LOWER(SUBSTITUTE(SUBSTITUTE($A170,"SAMPLE-",""),"CMP-","c"))&amp;"-"&amp;LOWER(SUBSTITUTE(SUBSTITUTE($B170,"SAMPLE-",""),"O-","o"))&amp;"-"&amp;IF($C170="qr","q","p"))</f>
        <v/>
      </c>
      <c r="E170" s="25">
        <f>IF($A170="","","https://"&amp;config!$B$9&amp;"/"&amp;$D170)</f>
        <v/>
      </c>
      <c r="F170" s="25">
        <f>IF($A170="","",$A170&amp;"."&amp;$B170)</f>
        <v/>
      </c>
      <c r="G170" s="25">
        <f>IF($A170="","",IF(IFERROR(IF(INDEX(campaigns!$AJ$2:$AJ$51,MATCH($A170,campaigns!$A$2:$A$51,0))="","",INDEX(campaigns!$AJ$2:$AJ$51,MATCH($A170,campaigns!$A$2:$A$51,0))),"")="","(add the survey prefill template on campaigns)",SUBSTITUTE(IFERROR(IF(INDEX(campaigns!$AJ$2:$AJ$51,MATCH($A170,campaigns!$A$2:$A$51,0))="","",INDEX(campaigns!$AJ$2:$AJ$51,MATCH($A170,campaigns!$A$2:$A$51,0))),""),"CARDCODE",$F170)&amp;"&amp;utm_source=office-pantry&amp;utm_medium="&amp;$C170&amp;"&amp;utm_campaign="&amp;LOWER($A170)&amp;"&amp;utm_content="&amp;LOWER($B170)))</f>
        <v/>
      </c>
      <c r="H170" s="25">
        <f>IF(OR($A170="",$C170&lt;&gt;"qr"),"",$D170&amp;".png")</f>
        <v/>
      </c>
      <c r="I170" s="25">
        <f>IF($A170="","",IF(AND(IFERROR(IF(INDEX(campaigns!$AJ$2:$AJ$51,MATCH($A170,campaigns!$A$2:$A$51,0))="","",INDEX(campaigns!$AJ$2:$AJ$51,MATCH($A170,campaigns!$A$2:$A$51,0))),"")="",IFERROR(IF(INDEX(campaigns!$BG$2:$BG$51,MATCH($A170,campaigns!$A$2:$A$51,0))="","",INDEX(campaigns!$BG$2:$BG$51,MATCH($A170,campaigns!$A$2:$A$51,0))),"")&lt;&gt;"",IF(config!$B$37&lt;&gt;"",config!$B$37,TODAY())&gt;=WORKDAY(N(IFERROR(IF(INDEX(campaigns!$BG$2:$BG$51,MATCH($A170,campaigns!$A$2:$A$51,0))="","",INDEX(campaigns!$BG$2:$BG$51,MATCH($A170,campaigns!$A$2:$A$51,0))),"")),-4,calendar!$A$2:$A$80)),"no prefill template yet (due T-4); ","")&amp;IF(COUNTIF(links!$D$2:$D$501,$D170)&gt;1,"DUPLICATE slug; ",""))</f>
        <v/>
      </c>
    </row>
    <row r="171">
      <c r="A171" s="25">
        <f>IF(INDEX(approvals!$A$2:$A$251,INT((ROW()-2)/2)+1)="","",INDEX(approvals!$A$2:$A$251,INT((ROW()-2)/2)+1))</f>
        <v/>
      </c>
      <c r="B171" s="25">
        <f>IF(INDEX(approvals!$A$2:$A$251,INT((ROW()-2)/2)+1)="","",INDEX(approvals!$B$2:$B$251,INT((ROW()-2)/2)+1))</f>
        <v/>
      </c>
      <c r="C171" s="25">
        <f>IF($A171="","",IF(MOD(ROW()-2,2)=0,"qr","post"))</f>
        <v/>
      </c>
      <c r="D171" s="25">
        <f>IF($A171="","",IF(LEFT($A171,7)="SAMPLE-","SAMPLE-","")&amp;LOWER(SUBSTITUTE(SUBSTITUTE($A171,"SAMPLE-",""),"CMP-","c"))&amp;"-"&amp;LOWER(SUBSTITUTE(SUBSTITUTE($B171,"SAMPLE-",""),"O-","o"))&amp;"-"&amp;IF($C171="qr","q","p"))</f>
        <v/>
      </c>
      <c r="E171" s="25">
        <f>IF($A171="","","https://"&amp;config!$B$9&amp;"/"&amp;$D171)</f>
        <v/>
      </c>
      <c r="F171" s="25">
        <f>IF($A171="","",$A171&amp;"."&amp;$B171)</f>
        <v/>
      </c>
      <c r="G171" s="25">
        <f>IF($A171="","",IF(IFERROR(IF(INDEX(campaigns!$AJ$2:$AJ$51,MATCH($A171,campaigns!$A$2:$A$51,0))="","",INDEX(campaigns!$AJ$2:$AJ$51,MATCH($A171,campaigns!$A$2:$A$51,0))),"")="","(add the survey prefill template on campaigns)",SUBSTITUTE(IFERROR(IF(INDEX(campaigns!$AJ$2:$AJ$51,MATCH($A171,campaigns!$A$2:$A$51,0))="","",INDEX(campaigns!$AJ$2:$AJ$51,MATCH($A171,campaigns!$A$2:$A$51,0))),""),"CARDCODE",$F171)&amp;"&amp;utm_source=office-pantry&amp;utm_medium="&amp;$C171&amp;"&amp;utm_campaign="&amp;LOWER($A171)&amp;"&amp;utm_content="&amp;LOWER($B171)))</f>
        <v/>
      </c>
      <c r="H171" s="25">
        <f>IF(OR($A171="",$C171&lt;&gt;"qr"),"",$D171&amp;".png")</f>
        <v/>
      </c>
      <c r="I171" s="25">
        <f>IF($A171="","",IF(AND(IFERROR(IF(INDEX(campaigns!$AJ$2:$AJ$51,MATCH($A171,campaigns!$A$2:$A$51,0))="","",INDEX(campaigns!$AJ$2:$AJ$51,MATCH($A171,campaigns!$A$2:$A$51,0))),"")="",IFERROR(IF(INDEX(campaigns!$BG$2:$BG$51,MATCH($A171,campaigns!$A$2:$A$51,0))="","",INDEX(campaigns!$BG$2:$BG$51,MATCH($A171,campaigns!$A$2:$A$51,0))),"")&lt;&gt;"",IF(config!$B$37&lt;&gt;"",config!$B$37,TODAY())&gt;=WORKDAY(N(IFERROR(IF(INDEX(campaigns!$BG$2:$BG$51,MATCH($A171,campaigns!$A$2:$A$51,0))="","",INDEX(campaigns!$BG$2:$BG$51,MATCH($A171,campaigns!$A$2:$A$51,0))),"")),-4,calendar!$A$2:$A$80)),"no prefill template yet (due T-4); ","")&amp;IF(COUNTIF(links!$D$2:$D$501,$D171)&gt;1,"DUPLICATE slug; ",""))</f>
        <v/>
      </c>
    </row>
    <row r="172">
      <c r="A172" s="25">
        <f>IF(INDEX(approvals!$A$2:$A$251,INT((ROW()-2)/2)+1)="","",INDEX(approvals!$A$2:$A$251,INT((ROW()-2)/2)+1))</f>
        <v/>
      </c>
      <c r="B172" s="25">
        <f>IF(INDEX(approvals!$A$2:$A$251,INT((ROW()-2)/2)+1)="","",INDEX(approvals!$B$2:$B$251,INT((ROW()-2)/2)+1))</f>
        <v/>
      </c>
      <c r="C172" s="25">
        <f>IF($A172="","",IF(MOD(ROW()-2,2)=0,"qr","post"))</f>
        <v/>
      </c>
      <c r="D172" s="25">
        <f>IF($A172="","",IF(LEFT($A172,7)="SAMPLE-","SAMPLE-","")&amp;LOWER(SUBSTITUTE(SUBSTITUTE($A172,"SAMPLE-",""),"CMP-","c"))&amp;"-"&amp;LOWER(SUBSTITUTE(SUBSTITUTE($B172,"SAMPLE-",""),"O-","o"))&amp;"-"&amp;IF($C172="qr","q","p"))</f>
        <v/>
      </c>
      <c r="E172" s="25">
        <f>IF($A172="","","https://"&amp;config!$B$9&amp;"/"&amp;$D172)</f>
        <v/>
      </c>
      <c r="F172" s="25">
        <f>IF($A172="","",$A172&amp;"."&amp;$B172)</f>
        <v/>
      </c>
      <c r="G172" s="25">
        <f>IF($A172="","",IF(IFERROR(IF(INDEX(campaigns!$AJ$2:$AJ$51,MATCH($A172,campaigns!$A$2:$A$51,0))="","",INDEX(campaigns!$AJ$2:$AJ$51,MATCH($A172,campaigns!$A$2:$A$51,0))),"")="","(add the survey prefill template on campaigns)",SUBSTITUTE(IFERROR(IF(INDEX(campaigns!$AJ$2:$AJ$51,MATCH($A172,campaigns!$A$2:$A$51,0))="","",INDEX(campaigns!$AJ$2:$AJ$51,MATCH($A172,campaigns!$A$2:$A$51,0))),""),"CARDCODE",$F172)&amp;"&amp;utm_source=office-pantry&amp;utm_medium="&amp;$C172&amp;"&amp;utm_campaign="&amp;LOWER($A172)&amp;"&amp;utm_content="&amp;LOWER($B172)))</f>
        <v/>
      </c>
      <c r="H172" s="25">
        <f>IF(OR($A172="",$C172&lt;&gt;"qr"),"",$D172&amp;".png")</f>
        <v/>
      </c>
      <c r="I172" s="25">
        <f>IF($A172="","",IF(AND(IFERROR(IF(INDEX(campaigns!$AJ$2:$AJ$51,MATCH($A172,campaigns!$A$2:$A$51,0))="","",INDEX(campaigns!$AJ$2:$AJ$51,MATCH($A172,campaigns!$A$2:$A$51,0))),"")="",IFERROR(IF(INDEX(campaigns!$BG$2:$BG$51,MATCH($A172,campaigns!$A$2:$A$51,0))="","",INDEX(campaigns!$BG$2:$BG$51,MATCH($A172,campaigns!$A$2:$A$51,0))),"")&lt;&gt;"",IF(config!$B$37&lt;&gt;"",config!$B$37,TODAY())&gt;=WORKDAY(N(IFERROR(IF(INDEX(campaigns!$BG$2:$BG$51,MATCH($A172,campaigns!$A$2:$A$51,0))="","",INDEX(campaigns!$BG$2:$BG$51,MATCH($A172,campaigns!$A$2:$A$51,0))),"")),-4,calendar!$A$2:$A$80)),"no prefill template yet (due T-4); ","")&amp;IF(COUNTIF(links!$D$2:$D$501,$D172)&gt;1,"DUPLICATE slug; ",""))</f>
        <v/>
      </c>
    </row>
    <row r="173">
      <c r="A173" s="25">
        <f>IF(INDEX(approvals!$A$2:$A$251,INT((ROW()-2)/2)+1)="","",INDEX(approvals!$A$2:$A$251,INT((ROW()-2)/2)+1))</f>
        <v/>
      </c>
      <c r="B173" s="25">
        <f>IF(INDEX(approvals!$A$2:$A$251,INT((ROW()-2)/2)+1)="","",INDEX(approvals!$B$2:$B$251,INT((ROW()-2)/2)+1))</f>
        <v/>
      </c>
      <c r="C173" s="25">
        <f>IF($A173="","",IF(MOD(ROW()-2,2)=0,"qr","post"))</f>
        <v/>
      </c>
      <c r="D173" s="25">
        <f>IF($A173="","",IF(LEFT($A173,7)="SAMPLE-","SAMPLE-","")&amp;LOWER(SUBSTITUTE(SUBSTITUTE($A173,"SAMPLE-",""),"CMP-","c"))&amp;"-"&amp;LOWER(SUBSTITUTE(SUBSTITUTE($B173,"SAMPLE-",""),"O-","o"))&amp;"-"&amp;IF($C173="qr","q","p"))</f>
        <v/>
      </c>
      <c r="E173" s="25">
        <f>IF($A173="","","https://"&amp;config!$B$9&amp;"/"&amp;$D173)</f>
        <v/>
      </c>
      <c r="F173" s="25">
        <f>IF($A173="","",$A173&amp;"."&amp;$B173)</f>
        <v/>
      </c>
      <c r="G173" s="25">
        <f>IF($A173="","",IF(IFERROR(IF(INDEX(campaigns!$AJ$2:$AJ$51,MATCH($A173,campaigns!$A$2:$A$51,0))="","",INDEX(campaigns!$AJ$2:$AJ$51,MATCH($A173,campaigns!$A$2:$A$51,0))),"")="","(add the survey prefill template on campaigns)",SUBSTITUTE(IFERROR(IF(INDEX(campaigns!$AJ$2:$AJ$51,MATCH($A173,campaigns!$A$2:$A$51,0))="","",INDEX(campaigns!$AJ$2:$AJ$51,MATCH($A173,campaigns!$A$2:$A$51,0))),""),"CARDCODE",$F173)&amp;"&amp;utm_source=office-pantry&amp;utm_medium="&amp;$C173&amp;"&amp;utm_campaign="&amp;LOWER($A173)&amp;"&amp;utm_content="&amp;LOWER($B173)))</f>
        <v/>
      </c>
      <c r="H173" s="25">
        <f>IF(OR($A173="",$C173&lt;&gt;"qr"),"",$D173&amp;".png")</f>
        <v/>
      </c>
      <c r="I173" s="25">
        <f>IF($A173="","",IF(AND(IFERROR(IF(INDEX(campaigns!$AJ$2:$AJ$51,MATCH($A173,campaigns!$A$2:$A$51,0))="","",INDEX(campaigns!$AJ$2:$AJ$51,MATCH($A173,campaigns!$A$2:$A$51,0))),"")="",IFERROR(IF(INDEX(campaigns!$BG$2:$BG$51,MATCH($A173,campaigns!$A$2:$A$51,0))="","",INDEX(campaigns!$BG$2:$BG$51,MATCH($A173,campaigns!$A$2:$A$51,0))),"")&lt;&gt;"",IF(config!$B$37&lt;&gt;"",config!$B$37,TODAY())&gt;=WORKDAY(N(IFERROR(IF(INDEX(campaigns!$BG$2:$BG$51,MATCH($A173,campaigns!$A$2:$A$51,0))="","",INDEX(campaigns!$BG$2:$BG$51,MATCH($A173,campaigns!$A$2:$A$51,0))),"")),-4,calendar!$A$2:$A$80)),"no prefill template yet (due T-4); ","")&amp;IF(COUNTIF(links!$D$2:$D$501,$D173)&gt;1,"DUPLICATE slug; ",""))</f>
        <v/>
      </c>
    </row>
    <row r="174">
      <c r="A174" s="25">
        <f>IF(INDEX(approvals!$A$2:$A$251,INT((ROW()-2)/2)+1)="","",INDEX(approvals!$A$2:$A$251,INT((ROW()-2)/2)+1))</f>
        <v/>
      </c>
      <c r="B174" s="25">
        <f>IF(INDEX(approvals!$A$2:$A$251,INT((ROW()-2)/2)+1)="","",INDEX(approvals!$B$2:$B$251,INT((ROW()-2)/2)+1))</f>
        <v/>
      </c>
      <c r="C174" s="25">
        <f>IF($A174="","",IF(MOD(ROW()-2,2)=0,"qr","post"))</f>
        <v/>
      </c>
      <c r="D174" s="25">
        <f>IF($A174="","",IF(LEFT($A174,7)="SAMPLE-","SAMPLE-","")&amp;LOWER(SUBSTITUTE(SUBSTITUTE($A174,"SAMPLE-",""),"CMP-","c"))&amp;"-"&amp;LOWER(SUBSTITUTE(SUBSTITUTE($B174,"SAMPLE-",""),"O-","o"))&amp;"-"&amp;IF($C174="qr","q","p"))</f>
        <v/>
      </c>
      <c r="E174" s="25">
        <f>IF($A174="","","https://"&amp;config!$B$9&amp;"/"&amp;$D174)</f>
        <v/>
      </c>
      <c r="F174" s="25">
        <f>IF($A174="","",$A174&amp;"."&amp;$B174)</f>
        <v/>
      </c>
      <c r="G174" s="25">
        <f>IF($A174="","",IF(IFERROR(IF(INDEX(campaigns!$AJ$2:$AJ$51,MATCH($A174,campaigns!$A$2:$A$51,0))="","",INDEX(campaigns!$AJ$2:$AJ$51,MATCH($A174,campaigns!$A$2:$A$51,0))),"")="","(add the survey prefill template on campaigns)",SUBSTITUTE(IFERROR(IF(INDEX(campaigns!$AJ$2:$AJ$51,MATCH($A174,campaigns!$A$2:$A$51,0))="","",INDEX(campaigns!$AJ$2:$AJ$51,MATCH($A174,campaigns!$A$2:$A$51,0))),""),"CARDCODE",$F174)&amp;"&amp;utm_source=office-pantry&amp;utm_medium="&amp;$C174&amp;"&amp;utm_campaign="&amp;LOWER($A174)&amp;"&amp;utm_content="&amp;LOWER($B174)))</f>
        <v/>
      </c>
      <c r="H174" s="25">
        <f>IF(OR($A174="",$C174&lt;&gt;"qr"),"",$D174&amp;".png")</f>
        <v/>
      </c>
      <c r="I174" s="25">
        <f>IF($A174="","",IF(AND(IFERROR(IF(INDEX(campaigns!$AJ$2:$AJ$51,MATCH($A174,campaigns!$A$2:$A$51,0))="","",INDEX(campaigns!$AJ$2:$AJ$51,MATCH($A174,campaigns!$A$2:$A$51,0))),"")="",IFERROR(IF(INDEX(campaigns!$BG$2:$BG$51,MATCH($A174,campaigns!$A$2:$A$51,0))="","",INDEX(campaigns!$BG$2:$BG$51,MATCH($A174,campaigns!$A$2:$A$51,0))),"")&lt;&gt;"",IF(config!$B$37&lt;&gt;"",config!$B$37,TODAY())&gt;=WORKDAY(N(IFERROR(IF(INDEX(campaigns!$BG$2:$BG$51,MATCH($A174,campaigns!$A$2:$A$51,0))="","",INDEX(campaigns!$BG$2:$BG$51,MATCH($A174,campaigns!$A$2:$A$51,0))),"")),-4,calendar!$A$2:$A$80)),"no prefill template yet (due T-4); ","")&amp;IF(COUNTIF(links!$D$2:$D$501,$D174)&gt;1,"DUPLICATE slug; ",""))</f>
        <v/>
      </c>
    </row>
    <row r="175">
      <c r="A175" s="25">
        <f>IF(INDEX(approvals!$A$2:$A$251,INT((ROW()-2)/2)+1)="","",INDEX(approvals!$A$2:$A$251,INT((ROW()-2)/2)+1))</f>
        <v/>
      </c>
      <c r="B175" s="25">
        <f>IF(INDEX(approvals!$A$2:$A$251,INT((ROW()-2)/2)+1)="","",INDEX(approvals!$B$2:$B$251,INT((ROW()-2)/2)+1))</f>
        <v/>
      </c>
      <c r="C175" s="25">
        <f>IF($A175="","",IF(MOD(ROW()-2,2)=0,"qr","post"))</f>
        <v/>
      </c>
      <c r="D175" s="25">
        <f>IF($A175="","",IF(LEFT($A175,7)="SAMPLE-","SAMPLE-","")&amp;LOWER(SUBSTITUTE(SUBSTITUTE($A175,"SAMPLE-",""),"CMP-","c"))&amp;"-"&amp;LOWER(SUBSTITUTE(SUBSTITUTE($B175,"SAMPLE-",""),"O-","o"))&amp;"-"&amp;IF($C175="qr","q","p"))</f>
        <v/>
      </c>
      <c r="E175" s="25">
        <f>IF($A175="","","https://"&amp;config!$B$9&amp;"/"&amp;$D175)</f>
        <v/>
      </c>
      <c r="F175" s="25">
        <f>IF($A175="","",$A175&amp;"."&amp;$B175)</f>
        <v/>
      </c>
      <c r="G175" s="25">
        <f>IF($A175="","",IF(IFERROR(IF(INDEX(campaigns!$AJ$2:$AJ$51,MATCH($A175,campaigns!$A$2:$A$51,0))="","",INDEX(campaigns!$AJ$2:$AJ$51,MATCH($A175,campaigns!$A$2:$A$51,0))),"")="","(add the survey prefill template on campaigns)",SUBSTITUTE(IFERROR(IF(INDEX(campaigns!$AJ$2:$AJ$51,MATCH($A175,campaigns!$A$2:$A$51,0))="","",INDEX(campaigns!$AJ$2:$AJ$51,MATCH($A175,campaigns!$A$2:$A$51,0))),""),"CARDCODE",$F175)&amp;"&amp;utm_source=office-pantry&amp;utm_medium="&amp;$C175&amp;"&amp;utm_campaign="&amp;LOWER($A175)&amp;"&amp;utm_content="&amp;LOWER($B175)))</f>
        <v/>
      </c>
      <c r="H175" s="25">
        <f>IF(OR($A175="",$C175&lt;&gt;"qr"),"",$D175&amp;".png")</f>
        <v/>
      </c>
      <c r="I175" s="25">
        <f>IF($A175="","",IF(AND(IFERROR(IF(INDEX(campaigns!$AJ$2:$AJ$51,MATCH($A175,campaigns!$A$2:$A$51,0))="","",INDEX(campaigns!$AJ$2:$AJ$51,MATCH($A175,campaigns!$A$2:$A$51,0))),"")="",IFERROR(IF(INDEX(campaigns!$BG$2:$BG$51,MATCH($A175,campaigns!$A$2:$A$51,0))="","",INDEX(campaigns!$BG$2:$BG$51,MATCH($A175,campaigns!$A$2:$A$51,0))),"")&lt;&gt;"",IF(config!$B$37&lt;&gt;"",config!$B$37,TODAY())&gt;=WORKDAY(N(IFERROR(IF(INDEX(campaigns!$BG$2:$BG$51,MATCH($A175,campaigns!$A$2:$A$51,0))="","",INDEX(campaigns!$BG$2:$BG$51,MATCH($A175,campaigns!$A$2:$A$51,0))),"")),-4,calendar!$A$2:$A$80)),"no prefill template yet (due T-4); ","")&amp;IF(COUNTIF(links!$D$2:$D$501,$D175)&gt;1,"DUPLICATE slug; ",""))</f>
        <v/>
      </c>
    </row>
    <row r="176">
      <c r="A176" s="25">
        <f>IF(INDEX(approvals!$A$2:$A$251,INT((ROW()-2)/2)+1)="","",INDEX(approvals!$A$2:$A$251,INT((ROW()-2)/2)+1))</f>
        <v/>
      </c>
      <c r="B176" s="25">
        <f>IF(INDEX(approvals!$A$2:$A$251,INT((ROW()-2)/2)+1)="","",INDEX(approvals!$B$2:$B$251,INT((ROW()-2)/2)+1))</f>
        <v/>
      </c>
      <c r="C176" s="25">
        <f>IF($A176="","",IF(MOD(ROW()-2,2)=0,"qr","post"))</f>
        <v/>
      </c>
      <c r="D176" s="25">
        <f>IF($A176="","",IF(LEFT($A176,7)="SAMPLE-","SAMPLE-","")&amp;LOWER(SUBSTITUTE(SUBSTITUTE($A176,"SAMPLE-",""),"CMP-","c"))&amp;"-"&amp;LOWER(SUBSTITUTE(SUBSTITUTE($B176,"SAMPLE-",""),"O-","o"))&amp;"-"&amp;IF($C176="qr","q","p"))</f>
        <v/>
      </c>
      <c r="E176" s="25">
        <f>IF($A176="","","https://"&amp;config!$B$9&amp;"/"&amp;$D176)</f>
        <v/>
      </c>
      <c r="F176" s="25">
        <f>IF($A176="","",$A176&amp;"."&amp;$B176)</f>
        <v/>
      </c>
      <c r="G176" s="25">
        <f>IF($A176="","",IF(IFERROR(IF(INDEX(campaigns!$AJ$2:$AJ$51,MATCH($A176,campaigns!$A$2:$A$51,0))="","",INDEX(campaigns!$AJ$2:$AJ$51,MATCH($A176,campaigns!$A$2:$A$51,0))),"")="","(add the survey prefill template on campaigns)",SUBSTITUTE(IFERROR(IF(INDEX(campaigns!$AJ$2:$AJ$51,MATCH($A176,campaigns!$A$2:$A$51,0))="","",INDEX(campaigns!$AJ$2:$AJ$51,MATCH($A176,campaigns!$A$2:$A$51,0))),""),"CARDCODE",$F176)&amp;"&amp;utm_source=office-pantry&amp;utm_medium="&amp;$C176&amp;"&amp;utm_campaign="&amp;LOWER($A176)&amp;"&amp;utm_content="&amp;LOWER($B176)))</f>
        <v/>
      </c>
      <c r="H176" s="25">
        <f>IF(OR($A176="",$C176&lt;&gt;"qr"),"",$D176&amp;".png")</f>
        <v/>
      </c>
      <c r="I176" s="25">
        <f>IF($A176="","",IF(AND(IFERROR(IF(INDEX(campaigns!$AJ$2:$AJ$51,MATCH($A176,campaigns!$A$2:$A$51,0))="","",INDEX(campaigns!$AJ$2:$AJ$51,MATCH($A176,campaigns!$A$2:$A$51,0))),"")="",IFERROR(IF(INDEX(campaigns!$BG$2:$BG$51,MATCH($A176,campaigns!$A$2:$A$51,0))="","",INDEX(campaigns!$BG$2:$BG$51,MATCH($A176,campaigns!$A$2:$A$51,0))),"")&lt;&gt;"",IF(config!$B$37&lt;&gt;"",config!$B$37,TODAY())&gt;=WORKDAY(N(IFERROR(IF(INDEX(campaigns!$BG$2:$BG$51,MATCH($A176,campaigns!$A$2:$A$51,0))="","",INDEX(campaigns!$BG$2:$BG$51,MATCH($A176,campaigns!$A$2:$A$51,0))),"")),-4,calendar!$A$2:$A$80)),"no prefill template yet (due T-4); ","")&amp;IF(COUNTIF(links!$D$2:$D$501,$D176)&gt;1,"DUPLICATE slug; ",""))</f>
        <v/>
      </c>
    </row>
    <row r="177">
      <c r="A177" s="25">
        <f>IF(INDEX(approvals!$A$2:$A$251,INT((ROW()-2)/2)+1)="","",INDEX(approvals!$A$2:$A$251,INT((ROW()-2)/2)+1))</f>
        <v/>
      </c>
      <c r="B177" s="25">
        <f>IF(INDEX(approvals!$A$2:$A$251,INT((ROW()-2)/2)+1)="","",INDEX(approvals!$B$2:$B$251,INT((ROW()-2)/2)+1))</f>
        <v/>
      </c>
      <c r="C177" s="25">
        <f>IF($A177="","",IF(MOD(ROW()-2,2)=0,"qr","post"))</f>
        <v/>
      </c>
      <c r="D177" s="25">
        <f>IF($A177="","",IF(LEFT($A177,7)="SAMPLE-","SAMPLE-","")&amp;LOWER(SUBSTITUTE(SUBSTITUTE($A177,"SAMPLE-",""),"CMP-","c"))&amp;"-"&amp;LOWER(SUBSTITUTE(SUBSTITUTE($B177,"SAMPLE-",""),"O-","o"))&amp;"-"&amp;IF($C177="qr","q","p"))</f>
        <v/>
      </c>
      <c r="E177" s="25">
        <f>IF($A177="","","https://"&amp;config!$B$9&amp;"/"&amp;$D177)</f>
        <v/>
      </c>
      <c r="F177" s="25">
        <f>IF($A177="","",$A177&amp;"."&amp;$B177)</f>
        <v/>
      </c>
      <c r="G177" s="25">
        <f>IF($A177="","",IF(IFERROR(IF(INDEX(campaigns!$AJ$2:$AJ$51,MATCH($A177,campaigns!$A$2:$A$51,0))="","",INDEX(campaigns!$AJ$2:$AJ$51,MATCH($A177,campaigns!$A$2:$A$51,0))),"")="","(add the survey prefill template on campaigns)",SUBSTITUTE(IFERROR(IF(INDEX(campaigns!$AJ$2:$AJ$51,MATCH($A177,campaigns!$A$2:$A$51,0))="","",INDEX(campaigns!$AJ$2:$AJ$51,MATCH($A177,campaigns!$A$2:$A$51,0))),""),"CARDCODE",$F177)&amp;"&amp;utm_source=office-pantry&amp;utm_medium="&amp;$C177&amp;"&amp;utm_campaign="&amp;LOWER($A177)&amp;"&amp;utm_content="&amp;LOWER($B177)))</f>
        <v/>
      </c>
      <c r="H177" s="25">
        <f>IF(OR($A177="",$C177&lt;&gt;"qr"),"",$D177&amp;".png")</f>
        <v/>
      </c>
      <c r="I177" s="25">
        <f>IF($A177="","",IF(AND(IFERROR(IF(INDEX(campaigns!$AJ$2:$AJ$51,MATCH($A177,campaigns!$A$2:$A$51,0))="","",INDEX(campaigns!$AJ$2:$AJ$51,MATCH($A177,campaigns!$A$2:$A$51,0))),"")="",IFERROR(IF(INDEX(campaigns!$BG$2:$BG$51,MATCH($A177,campaigns!$A$2:$A$51,0))="","",INDEX(campaigns!$BG$2:$BG$51,MATCH($A177,campaigns!$A$2:$A$51,0))),"")&lt;&gt;"",IF(config!$B$37&lt;&gt;"",config!$B$37,TODAY())&gt;=WORKDAY(N(IFERROR(IF(INDEX(campaigns!$BG$2:$BG$51,MATCH($A177,campaigns!$A$2:$A$51,0))="","",INDEX(campaigns!$BG$2:$BG$51,MATCH($A177,campaigns!$A$2:$A$51,0))),"")),-4,calendar!$A$2:$A$80)),"no prefill template yet (due T-4); ","")&amp;IF(COUNTIF(links!$D$2:$D$501,$D177)&gt;1,"DUPLICATE slug; ",""))</f>
        <v/>
      </c>
    </row>
    <row r="178">
      <c r="A178" s="25">
        <f>IF(INDEX(approvals!$A$2:$A$251,INT((ROW()-2)/2)+1)="","",INDEX(approvals!$A$2:$A$251,INT((ROW()-2)/2)+1))</f>
        <v/>
      </c>
      <c r="B178" s="25">
        <f>IF(INDEX(approvals!$A$2:$A$251,INT((ROW()-2)/2)+1)="","",INDEX(approvals!$B$2:$B$251,INT((ROW()-2)/2)+1))</f>
        <v/>
      </c>
      <c r="C178" s="25">
        <f>IF($A178="","",IF(MOD(ROW()-2,2)=0,"qr","post"))</f>
        <v/>
      </c>
      <c r="D178" s="25">
        <f>IF($A178="","",IF(LEFT($A178,7)="SAMPLE-","SAMPLE-","")&amp;LOWER(SUBSTITUTE(SUBSTITUTE($A178,"SAMPLE-",""),"CMP-","c"))&amp;"-"&amp;LOWER(SUBSTITUTE(SUBSTITUTE($B178,"SAMPLE-",""),"O-","o"))&amp;"-"&amp;IF($C178="qr","q","p"))</f>
        <v/>
      </c>
      <c r="E178" s="25">
        <f>IF($A178="","","https://"&amp;config!$B$9&amp;"/"&amp;$D178)</f>
        <v/>
      </c>
      <c r="F178" s="25">
        <f>IF($A178="","",$A178&amp;"."&amp;$B178)</f>
        <v/>
      </c>
      <c r="G178" s="25">
        <f>IF($A178="","",IF(IFERROR(IF(INDEX(campaigns!$AJ$2:$AJ$51,MATCH($A178,campaigns!$A$2:$A$51,0))="","",INDEX(campaigns!$AJ$2:$AJ$51,MATCH($A178,campaigns!$A$2:$A$51,0))),"")="","(add the survey prefill template on campaigns)",SUBSTITUTE(IFERROR(IF(INDEX(campaigns!$AJ$2:$AJ$51,MATCH($A178,campaigns!$A$2:$A$51,0))="","",INDEX(campaigns!$AJ$2:$AJ$51,MATCH($A178,campaigns!$A$2:$A$51,0))),""),"CARDCODE",$F178)&amp;"&amp;utm_source=office-pantry&amp;utm_medium="&amp;$C178&amp;"&amp;utm_campaign="&amp;LOWER($A178)&amp;"&amp;utm_content="&amp;LOWER($B178)))</f>
        <v/>
      </c>
      <c r="H178" s="25">
        <f>IF(OR($A178="",$C178&lt;&gt;"qr"),"",$D178&amp;".png")</f>
        <v/>
      </c>
      <c r="I178" s="25">
        <f>IF($A178="","",IF(AND(IFERROR(IF(INDEX(campaigns!$AJ$2:$AJ$51,MATCH($A178,campaigns!$A$2:$A$51,0))="","",INDEX(campaigns!$AJ$2:$AJ$51,MATCH($A178,campaigns!$A$2:$A$51,0))),"")="",IFERROR(IF(INDEX(campaigns!$BG$2:$BG$51,MATCH($A178,campaigns!$A$2:$A$51,0))="","",INDEX(campaigns!$BG$2:$BG$51,MATCH($A178,campaigns!$A$2:$A$51,0))),"")&lt;&gt;"",IF(config!$B$37&lt;&gt;"",config!$B$37,TODAY())&gt;=WORKDAY(N(IFERROR(IF(INDEX(campaigns!$BG$2:$BG$51,MATCH($A178,campaigns!$A$2:$A$51,0))="","",INDEX(campaigns!$BG$2:$BG$51,MATCH($A178,campaigns!$A$2:$A$51,0))),"")),-4,calendar!$A$2:$A$80)),"no prefill template yet (due T-4); ","")&amp;IF(COUNTIF(links!$D$2:$D$501,$D178)&gt;1,"DUPLICATE slug; ",""))</f>
        <v/>
      </c>
    </row>
    <row r="179">
      <c r="A179" s="25">
        <f>IF(INDEX(approvals!$A$2:$A$251,INT((ROW()-2)/2)+1)="","",INDEX(approvals!$A$2:$A$251,INT((ROW()-2)/2)+1))</f>
        <v/>
      </c>
      <c r="B179" s="25">
        <f>IF(INDEX(approvals!$A$2:$A$251,INT((ROW()-2)/2)+1)="","",INDEX(approvals!$B$2:$B$251,INT((ROW()-2)/2)+1))</f>
        <v/>
      </c>
      <c r="C179" s="25">
        <f>IF($A179="","",IF(MOD(ROW()-2,2)=0,"qr","post"))</f>
        <v/>
      </c>
      <c r="D179" s="25">
        <f>IF($A179="","",IF(LEFT($A179,7)="SAMPLE-","SAMPLE-","")&amp;LOWER(SUBSTITUTE(SUBSTITUTE($A179,"SAMPLE-",""),"CMP-","c"))&amp;"-"&amp;LOWER(SUBSTITUTE(SUBSTITUTE($B179,"SAMPLE-",""),"O-","o"))&amp;"-"&amp;IF($C179="qr","q","p"))</f>
        <v/>
      </c>
      <c r="E179" s="25">
        <f>IF($A179="","","https://"&amp;config!$B$9&amp;"/"&amp;$D179)</f>
        <v/>
      </c>
      <c r="F179" s="25">
        <f>IF($A179="","",$A179&amp;"."&amp;$B179)</f>
        <v/>
      </c>
      <c r="G179" s="25">
        <f>IF($A179="","",IF(IFERROR(IF(INDEX(campaigns!$AJ$2:$AJ$51,MATCH($A179,campaigns!$A$2:$A$51,0))="","",INDEX(campaigns!$AJ$2:$AJ$51,MATCH($A179,campaigns!$A$2:$A$51,0))),"")="","(add the survey prefill template on campaigns)",SUBSTITUTE(IFERROR(IF(INDEX(campaigns!$AJ$2:$AJ$51,MATCH($A179,campaigns!$A$2:$A$51,0))="","",INDEX(campaigns!$AJ$2:$AJ$51,MATCH($A179,campaigns!$A$2:$A$51,0))),""),"CARDCODE",$F179)&amp;"&amp;utm_source=office-pantry&amp;utm_medium="&amp;$C179&amp;"&amp;utm_campaign="&amp;LOWER($A179)&amp;"&amp;utm_content="&amp;LOWER($B179)))</f>
        <v/>
      </c>
      <c r="H179" s="25">
        <f>IF(OR($A179="",$C179&lt;&gt;"qr"),"",$D179&amp;".png")</f>
        <v/>
      </c>
      <c r="I179" s="25">
        <f>IF($A179="","",IF(AND(IFERROR(IF(INDEX(campaigns!$AJ$2:$AJ$51,MATCH($A179,campaigns!$A$2:$A$51,0))="","",INDEX(campaigns!$AJ$2:$AJ$51,MATCH($A179,campaigns!$A$2:$A$51,0))),"")="",IFERROR(IF(INDEX(campaigns!$BG$2:$BG$51,MATCH($A179,campaigns!$A$2:$A$51,0))="","",INDEX(campaigns!$BG$2:$BG$51,MATCH($A179,campaigns!$A$2:$A$51,0))),"")&lt;&gt;"",IF(config!$B$37&lt;&gt;"",config!$B$37,TODAY())&gt;=WORKDAY(N(IFERROR(IF(INDEX(campaigns!$BG$2:$BG$51,MATCH($A179,campaigns!$A$2:$A$51,0))="","",INDEX(campaigns!$BG$2:$BG$51,MATCH($A179,campaigns!$A$2:$A$51,0))),"")),-4,calendar!$A$2:$A$80)),"no prefill template yet (due T-4); ","")&amp;IF(COUNTIF(links!$D$2:$D$501,$D179)&gt;1,"DUPLICATE slug; ",""))</f>
        <v/>
      </c>
    </row>
    <row r="180">
      <c r="A180" s="25">
        <f>IF(INDEX(approvals!$A$2:$A$251,INT((ROW()-2)/2)+1)="","",INDEX(approvals!$A$2:$A$251,INT((ROW()-2)/2)+1))</f>
        <v/>
      </c>
      <c r="B180" s="25">
        <f>IF(INDEX(approvals!$A$2:$A$251,INT((ROW()-2)/2)+1)="","",INDEX(approvals!$B$2:$B$251,INT((ROW()-2)/2)+1))</f>
        <v/>
      </c>
      <c r="C180" s="25">
        <f>IF($A180="","",IF(MOD(ROW()-2,2)=0,"qr","post"))</f>
        <v/>
      </c>
      <c r="D180" s="25">
        <f>IF($A180="","",IF(LEFT($A180,7)="SAMPLE-","SAMPLE-","")&amp;LOWER(SUBSTITUTE(SUBSTITUTE($A180,"SAMPLE-",""),"CMP-","c"))&amp;"-"&amp;LOWER(SUBSTITUTE(SUBSTITUTE($B180,"SAMPLE-",""),"O-","o"))&amp;"-"&amp;IF($C180="qr","q","p"))</f>
        <v/>
      </c>
      <c r="E180" s="25">
        <f>IF($A180="","","https://"&amp;config!$B$9&amp;"/"&amp;$D180)</f>
        <v/>
      </c>
      <c r="F180" s="25">
        <f>IF($A180="","",$A180&amp;"."&amp;$B180)</f>
        <v/>
      </c>
      <c r="G180" s="25">
        <f>IF($A180="","",IF(IFERROR(IF(INDEX(campaigns!$AJ$2:$AJ$51,MATCH($A180,campaigns!$A$2:$A$51,0))="","",INDEX(campaigns!$AJ$2:$AJ$51,MATCH($A180,campaigns!$A$2:$A$51,0))),"")="","(add the survey prefill template on campaigns)",SUBSTITUTE(IFERROR(IF(INDEX(campaigns!$AJ$2:$AJ$51,MATCH($A180,campaigns!$A$2:$A$51,0))="","",INDEX(campaigns!$AJ$2:$AJ$51,MATCH($A180,campaigns!$A$2:$A$51,0))),""),"CARDCODE",$F180)&amp;"&amp;utm_source=office-pantry&amp;utm_medium="&amp;$C180&amp;"&amp;utm_campaign="&amp;LOWER($A180)&amp;"&amp;utm_content="&amp;LOWER($B180)))</f>
        <v/>
      </c>
      <c r="H180" s="25">
        <f>IF(OR($A180="",$C180&lt;&gt;"qr"),"",$D180&amp;".png")</f>
        <v/>
      </c>
      <c r="I180" s="25">
        <f>IF($A180="","",IF(AND(IFERROR(IF(INDEX(campaigns!$AJ$2:$AJ$51,MATCH($A180,campaigns!$A$2:$A$51,0))="","",INDEX(campaigns!$AJ$2:$AJ$51,MATCH($A180,campaigns!$A$2:$A$51,0))),"")="",IFERROR(IF(INDEX(campaigns!$BG$2:$BG$51,MATCH($A180,campaigns!$A$2:$A$51,0))="","",INDEX(campaigns!$BG$2:$BG$51,MATCH($A180,campaigns!$A$2:$A$51,0))),"")&lt;&gt;"",IF(config!$B$37&lt;&gt;"",config!$B$37,TODAY())&gt;=WORKDAY(N(IFERROR(IF(INDEX(campaigns!$BG$2:$BG$51,MATCH($A180,campaigns!$A$2:$A$51,0))="","",INDEX(campaigns!$BG$2:$BG$51,MATCH($A180,campaigns!$A$2:$A$51,0))),"")),-4,calendar!$A$2:$A$80)),"no prefill template yet (due T-4); ","")&amp;IF(COUNTIF(links!$D$2:$D$501,$D180)&gt;1,"DUPLICATE slug; ",""))</f>
        <v/>
      </c>
    </row>
    <row r="181">
      <c r="A181" s="25">
        <f>IF(INDEX(approvals!$A$2:$A$251,INT((ROW()-2)/2)+1)="","",INDEX(approvals!$A$2:$A$251,INT((ROW()-2)/2)+1))</f>
        <v/>
      </c>
      <c r="B181" s="25">
        <f>IF(INDEX(approvals!$A$2:$A$251,INT((ROW()-2)/2)+1)="","",INDEX(approvals!$B$2:$B$251,INT((ROW()-2)/2)+1))</f>
        <v/>
      </c>
      <c r="C181" s="25">
        <f>IF($A181="","",IF(MOD(ROW()-2,2)=0,"qr","post"))</f>
        <v/>
      </c>
      <c r="D181" s="25">
        <f>IF($A181="","",IF(LEFT($A181,7)="SAMPLE-","SAMPLE-","")&amp;LOWER(SUBSTITUTE(SUBSTITUTE($A181,"SAMPLE-",""),"CMP-","c"))&amp;"-"&amp;LOWER(SUBSTITUTE(SUBSTITUTE($B181,"SAMPLE-",""),"O-","o"))&amp;"-"&amp;IF($C181="qr","q","p"))</f>
        <v/>
      </c>
      <c r="E181" s="25">
        <f>IF($A181="","","https://"&amp;config!$B$9&amp;"/"&amp;$D181)</f>
        <v/>
      </c>
      <c r="F181" s="25">
        <f>IF($A181="","",$A181&amp;"."&amp;$B181)</f>
        <v/>
      </c>
      <c r="G181" s="25">
        <f>IF($A181="","",IF(IFERROR(IF(INDEX(campaigns!$AJ$2:$AJ$51,MATCH($A181,campaigns!$A$2:$A$51,0))="","",INDEX(campaigns!$AJ$2:$AJ$51,MATCH($A181,campaigns!$A$2:$A$51,0))),"")="","(add the survey prefill template on campaigns)",SUBSTITUTE(IFERROR(IF(INDEX(campaigns!$AJ$2:$AJ$51,MATCH($A181,campaigns!$A$2:$A$51,0))="","",INDEX(campaigns!$AJ$2:$AJ$51,MATCH($A181,campaigns!$A$2:$A$51,0))),""),"CARDCODE",$F181)&amp;"&amp;utm_source=office-pantry&amp;utm_medium="&amp;$C181&amp;"&amp;utm_campaign="&amp;LOWER($A181)&amp;"&amp;utm_content="&amp;LOWER($B181)))</f>
        <v/>
      </c>
      <c r="H181" s="25">
        <f>IF(OR($A181="",$C181&lt;&gt;"qr"),"",$D181&amp;".png")</f>
        <v/>
      </c>
      <c r="I181" s="25">
        <f>IF($A181="","",IF(AND(IFERROR(IF(INDEX(campaigns!$AJ$2:$AJ$51,MATCH($A181,campaigns!$A$2:$A$51,0))="","",INDEX(campaigns!$AJ$2:$AJ$51,MATCH($A181,campaigns!$A$2:$A$51,0))),"")="",IFERROR(IF(INDEX(campaigns!$BG$2:$BG$51,MATCH($A181,campaigns!$A$2:$A$51,0))="","",INDEX(campaigns!$BG$2:$BG$51,MATCH($A181,campaigns!$A$2:$A$51,0))),"")&lt;&gt;"",IF(config!$B$37&lt;&gt;"",config!$B$37,TODAY())&gt;=WORKDAY(N(IFERROR(IF(INDEX(campaigns!$BG$2:$BG$51,MATCH($A181,campaigns!$A$2:$A$51,0))="","",INDEX(campaigns!$BG$2:$BG$51,MATCH($A181,campaigns!$A$2:$A$51,0))),"")),-4,calendar!$A$2:$A$80)),"no prefill template yet (due T-4); ","")&amp;IF(COUNTIF(links!$D$2:$D$501,$D181)&gt;1,"DUPLICATE slug; ",""))</f>
        <v/>
      </c>
    </row>
    <row r="182">
      <c r="A182" s="25">
        <f>IF(INDEX(approvals!$A$2:$A$251,INT((ROW()-2)/2)+1)="","",INDEX(approvals!$A$2:$A$251,INT((ROW()-2)/2)+1))</f>
        <v/>
      </c>
      <c r="B182" s="25">
        <f>IF(INDEX(approvals!$A$2:$A$251,INT((ROW()-2)/2)+1)="","",INDEX(approvals!$B$2:$B$251,INT((ROW()-2)/2)+1))</f>
        <v/>
      </c>
      <c r="C182" s="25">
        <f>IF($A182="","",IF(MOD(ROW()-2,2)=0,"qr","post"))</f>
        <v/>
      </c>
      <c r="D182" s="25">
        <f>IF($A182="","",IF(LEFT($A182,7)="SAMPLE-","SAMPLE-","")&amp;LOWER(SUBSTITUTE(SUBSTITUTE($A182,"SAMPLE-",""),"CMP-","c"))&amp;"-"&amp;LOWER(SUBSTITUTE(SUBSTITUTE($B182,"SAMPLE-",""),"O-","o"))&amp;"-"&amp;IF($C182="qr","q","p"))</f>
        <v/>
      </c>
      <c r="E182" s="25">
        <f>IF($A182="","","https://"&amp;config!$B$9&amp;"/"&amp;$D182)</f>
        <v/>
      </c>
      <c r="F182" s="25">
        <f>IF($A182="","",$A182&amp;"."&amp;$B182)</f>
        <v/>
      </c>
      <c r="G182" s="25">
        <f>IF($A182="","",IF(IFERROR(IF(INDEX(campaigns!$AJ$2:$AJ$51,MATCH($A182,campaigns!$A$2:$A$51,0))="","",INDEX(campaigns!$AJ$2:$AJ$51,MATCH($A182,campaigns!$A$2:$A$51,0))),"")="","(add the survey prefill template on campaigns)",SUBSTITUTE(IFERROR(IF(INDEX(campaigns!$AJ$2:$AJ$51,MATCH($A182,campaigns!$A$2:$A$51,0))="","",INDEX(campaigns!$AJ$2:$AJ$51,MATCH($A182,campaigns!$A$2:$A$51,0))),""),"CARDCODE",$F182)&amp;"&amp;utm_source=office-pantry&amp;utm_medium="&amp;$C182&amp;"&amp;utm_campaign="&amp;LOWER($A182)&amp;"&amp;utm_content="&amp;LOWER($B182)))</f>
        <v/>
      </c>
      <c r="H182" s="25">
        <f>IF(OR($A182="",$C182&lt;&gt;"qr"),"",$D182&amp;".png")</f>
        <v/>
      </c>
      <c r="I182" s="25">
        <f>IF($A182="","",IF(AND(IFERROR(IF(INDEX(campaigns!$AJ$2:$AJ$51,MATCH($A182,campaigns!$A$2:$A$51,0))="","",INDEX(campaigns!$AJ$2:$AJ$51,MATCH($A182,campaigns!$A$2:$A$51,0))),"")="",IFERROR(IF(INDEX(campaigns!$BG$2:$BG$51,MATCH($A182,campaigns!$A$2:$A$51,0))="","",INDEX(campaigns!$BG$2:$BG$51,MATCH($A182,campaigns!$A$2:$A$51,0))),"")&lt;&gt;"",IF(config!$B$37&lt;&gt;"",config!$B$37,TODAY())&gt;=WORKDAY(N(IFERROR(IF(INDEX(campaigns!$BG$2:$BG$51,MATCH($A182,campaigns!$A$2:$A$51,0))="","",INDEX(campaigns!$BG$2:$BG$51,MATCH($A182,campaigns!$A$2:$A$51,0))),"")),-4,calendar!$A$2:$A$80)),"no prefill template yet (due T-4); ","")&amp;IF(COUNTIF(links!$D$2:$D$501,$D182)&gt;1,"DUPLICATE slug; ",""))</f>
        <v/>
      </c>
    </row>
    <row r="183">
      <c r="A183" s="25">
        <f>IF(INDEX(approvals!$A$2:$A$251,INT((ROW()-2)/2)+1)="","",INDEX(approvals!$A$2:$A$251,INT((ROW()-2)/2)+1))</f>
        <v/>
      </c>
      <c r="B183" s="25">
        <f>IF(INDEX(approvals!$A$2:$A$251,INT((ROW()-2)/2)+1)="","",INDEX(approvals!$B$2:$B$251,INT((ROW()-2)/2)+1))</f>
        <v/>
      </c>
      <c r="C183" s="25">
        <f>IF($A183="","",IF(MOD(ROW()-2,2)=0,"qr","post"))</f>
        <v/>
      </c>
      <c r="D183" s="25">
        <f>IF($A183="","",IF(LEFT($A183,7)="SAMPLE-","SAMPLE-","")&amp;LOWER(SUBSTITUTE(SUBSTITUTE($A183,"SAMPLE-",""),"CMP-","c"))&amp;"-"&amp;LOWER(SUBSTITUTE(SUBSTITUTE($B183,"SAMPLE-",""),"O-","o"))&amp;"-"&amp;IF($C183="qr","q","p"))</f>
        <v/>
      </c>
      <c r="E183" s="25">
        <f>IF($A183="","","https://"&amp;config!$B$9&amp;"/"&amp;$D183)</f>
        <v/>
      </c>
      <c r="F183" s="25">
        <f>IF($A183="","",$A183&amp;"."&amp;$B183)</f>
        <v/>
      </c>
      <c r="G183" s="25">
        <f>IF($A183="","",IF(IFERROR(IF(INDEX(campaigns!$AJ$2:$AJ$51,MATCH($A183,campaigns!$A$2:$A$51,0))="","",INDEX(campaigns!$AJ$2:$AJ$51,MATCH($A183,campaigns!$A$2:$A$51,0))),"")="","(add the survey prefill template on campaigns)",SUBSTITUTE(IFERROR(IF(INDEX(campaigns!$AJ$2:$AJ$51,MATCH($A183,campaigns!$A$2:$A$51,0))="","",INDEX(campaigns!$AJ$2:$AJ$51,MATCH($A183,campaigns!$A$2:$A$51,0))),""),"CARDCODE",$F183)&amp;"&amp;utm_source=office-pantry&amp;utm_medium="&amp;$C183&amp;"&amp;utm_campaign="&amp;LOWER($A183)&amp;"&amp;utm_content="&amp;LOWER($B183)))</f>
        <v/>
      </c>
      <c r="H183" s="25">
        <f>IF(OR($A183="",$C183&lt;&gt;"qr"),"",$D183&amp;".png")</f>
        <v/>
      </c>
      <c r="I183" s="25">
        <f>IF($A183="","",IF(AND(IFERROR(IF(INDEX(campaigns!$AJ$2:$AJ$51,MATCH($A183,campaigns!$A$2:$A$51,0))="","",INDEX(campaigns!$AJ$2:$AJ$51,MATCH($A183,campaigns!$A$2:$A$51,0))),"")="",IFERROR(IF(INDEX(campaigns!$BG$2:$BG$51,MATCH($A183,campaigns!$A$2:$A$51,0))="","",INDEX(campaigns!$BG$2:$BG$51,MATCH($A183,campaigns!$A$2:$A$51,0))),"")&lt;&gt;"",IF(config!$B$37&lt;&gt;"",config!$B$37,TODAY())&gt;=WORKDAY(N(IFERROR(IF(INDEX(campaigns!$BG$2:$BG$51,MATCH($A183,campaigns!$A$2:$A$51,0))="","",INDEX(campaigns!$BG$2:$BG$51,MATCH($A183,campaigns!$A$2:$A$51,0))),"")),-4,calendar!$A$2:$A$80)),"no prefill template yet (due T-4); ","")&amp;IF(COUNTIF(links!$D$2:$D$501,$D183)&gt;1,"DUPLICATE slug; ",""))</f>
        <v/>
      </c>
    </row>
    <row r="184">
      <c r="A184" s="25">
        <f>IF(INDEX(approvals!$A$2:$A$251,INT((ROW()-2)/2)+1)="","",INDEX(approvals!$A$2:$A$251,INT((ROW()-2)/2)+1))</f>
        <v/>
      </c>
      <c r="B184" s="25">
        <f>IF(INDEX(approvals!$A$2:$A$251,INT((ROW()-2)/2)+1)="","",INDEX(approvals!$B$2:$B$251,INT((ROW()-2)/2)+1))</f>
        <v/>
      </c>
      <c r="C184" s="25">
        <f>IF($A184="","",IF(MOD(ROW()-2,2)=0,"qr","post"))</f>
        <v/>
      </c>
      <c r="D184" s="25">
        <f>IF($A184="","",IF(LEFT($A184,7)="SAMPLE-","SAMPLE-","")&amp;LOWER(SUBSTITUTE(SUBSTITUTE($A184,"SAMPLE-",""),"CMP-","c"))&amp;"-"&amp;LOWER(SUBSTITUTE(SUBSTITUTE($B184,"SAMPLE-",""),"O-","o"))&amp;"-"&amp;IF($C184="qr","q","p"))</f>
        <v/>
      </c>
      <c r="E184" s="25">
        <f>IF($A184="","","https://"&amp;config!$B$9&amp;"/"&amp;$D184)</f>
        <v/>
      </c>
      <c r="F184" s="25">
        <f>IF($A184="","",$A184&amp;"."&amp;$B184)</f>
        <v/>
      </c>
      <c r="G184" s="25">
        <f>IF($A184="","",IF(IFERROR(IF(INDEX(campaigns!$AJ$2:$AJ$51,MATCH($A184,campaigns!$A$2:$A$51,0))="","",INDEX(campaigns!$AJ$2:$AJ$51,MATCH($A184,campaigns!$A$2:$A$51,0))),"")="","(add the survey prefill template on campaigns)",SUBSTITUTE(IFERROR(IF(INDEX(campaigns!$AJ$2:$AJ$51,MATCH($A184,campaigns!$A$2:$A$51,0))="","",INDEX(campaigns!$AJ$2:$AJ$51,MATCH($A184,campaigns!$A$2:$A$51,0))),""),"CARDCODE",$F184)&amp;"&amp;utm_source=office-pantry&amp;utm_medium="&amp;$C184&amp;"&amp;utm_campaign="&amp;LOWER($A184)&amp;"&amp;utm_content="&amp;LOWER($B184)))</f>
        <v/>
      </c>
      <c r="H184" s="25">
        <f>IF(OR($A184="",$C184&lt;&gt;"qr"),"",$D184&amp;".png")</f>
        <v/>
      </c>
      <c r="I184" s="25">
        <f>IF($A184="","",IF(AND(IFERROR(IF(INDEX(campaigns!$AJ$2:$AJ$51,MATCH($A184,campaigns!$A$2:$A$51,0))="","",INDEX(campaigns!$AJ$2:$AJ$51,MATCH($A184,campaigns!$A$2:$A$51,0))),"")="",IFERROR(IF(INDEX(campaigns!$BG$2:$BG$51,MATCH($A184,campaigns!$A$2:$A$51,0))="","",INDEX(campaigns!$BG$2:$BG$51,MATCH($A184,campaigns!$A$2:$A$51,0))),"")&lt;&gt;"",IF(config!$B$37&lt;&gt;"",config!$B$37,TODAY())&gt;=WORKDAY(N(IFERROR(IF(INDEX(campaigns!$BG$2:$BG$51,MATCH($A184,campaigns!$A$2:$A$51,0))="","",INDEX(campaigns!$BG$2:$BG$51,MATCH($A184,campaigns!$A$2:$A$51,0))),"")),-4,calendar!$A$2:$A$80)),"no prefill template yet (due T-4); ","")&amp;IF(COUNTIF(links!$D$2:$D$501,$D184)&gt;1,"DUPLICATE slug; ",""))</f>
        <v/>
      </c>
    </row>
    <row r="185">
      <c r="A185" s="25">
        <f>IF(INDEX(approvals!$A$2:$A$251,INT((ROW()-2)/2)+1)="","",INDEX(approvals!$A$2:$A$251,INT((ROW()-2)/2)+1))</f>
        <v/>
      </c>
      <c r="B185" s="25">
        <f>IF(INDEX(approvals!$A$2:$A$251,INT((ROW()-2)/2)+1)="","",INDEX(approvals!$B$2:$B$251,INT((ROW()-2)/2)+1))</f>
        <v/>
      </c>
      <c r="C185" s="25">
        <f>IF($A185="","",IF(MOD(ROW()-2,2)=0,"qr","post"))</f>
        <v/>
      </c>
      <c r="D185" s="25">
        <f>IF($A185="","",IF(LEFT($A185,7)="SAMPLE-","SAMPLE-","")&amp;LOWER(SUBSTITUTE(SUBSTITUTE($A185,"SAMPLE-",""),"CMP-","c"))&amp;"-"&amp;LOWER(SUBSTITUTE(SUBSTITUTE($B185,"SAMPLE-",""),"O-","o"))&amp;"-"&amp;IF($C185="qr","q","p"))</f>
        <v/>
      </c>
      <c r="E185" s="25">
        <f>IF($A185="","","https://"&amp;config!$B$9&amp;"/"&amp;$D185)</f>
        <v/>
      </c>
      <c r="F185" s="25">
        <f>IF($A185="","",$A185&amp;"."&amp;$B185)</f>
        <v/>
      </c>
      <c r="G185" s="25">
        <f>IF($A185="","",IF(IFERROR(IF(INDEX(campaigns!$AJ$2:$AJ$51,MATCH($A185,campaigns!$A$2:$A$51,0))="","",INDEX(campaigns!$AJ$2:$AJ$51,MATCH($A185,campaigns!$A$2:$A$51,0))),"")="","(add the survey prefill template on campaigns)",SUBSTITUTE(IFERROR(IF(INDEX(campaigns!$AJ$2:$AJ$51,MATCH($A185,campaigns!$A$2:$A$51,0))="","",INDEX(campaigns!$AJ$2:$AJ$51,MATCH($A185,campaigns!$A$2:$A$51,0))),""),"CARDCODE",$F185)&amp;"&amp;utm_source=office-pantry&amp;utm_medium="&amp;$C185&amp;"&amp;utm_campaign="&amp;LOWER($A185)&amp;"&amp;utm_content="&amp;LOWER($B185)))</f>
        <v/>
      </c>
      <c r="H185" s="25">
        <f>IF(OR($A185="",$C185&lt;&gt;"qr"),"",$D185&amp;".png")</f>
        <v/>
      </c>
      <c r="I185" s="25">
        <f>IF($A185="","",IF(AND(IFERROR(IF(INDEX(campaigns!$AJ$2:$AJ$51,MATCH($A185,campaigns!$A$2:$A$51,0))="","",INDEX(campaigns!$AJ$2:$AJ$51,MATCH($A185,campaigns!$A$2:$A$51,0))),"")="",IFERROR(IF(INDEX(campaigns!$BG$2:$BG$51,MATCH($A185,campaigns!$A$2:$A$51,0))="","",INDEX(campaigns!$BG$2:$BG$51,MATCH($A185,campaigns!$A$2:$A$51,0))),"")&lt;&gt;"",IF(config!$B$37&lt;&gt;"",config!$B$37,TODAY())&gt;=WORKDAY(N(IFERROR(IF(INDEX(campaigns!$BG$2:$BG$51,MATCH($A185,campaigns!$A$2:$A$51,0))="","",INDEX(campaigns!$BG$2:$BG$51,MATCH($A185,campaigns!$A$2:$A$51,0))),"")),-4,calendar!$A$2:$A$80)),"no prefill template yet (due T-4); ","")&amp;IF(COUNTIF(links!$D$2:$D$501,$D185)&gt;1,"DUPLICATE slug; ",""))</f>
        <v/>
      </c>
    </row>
    <row r="186">
      <c r="A186" s="25">
        <f>IF(INDEX(approvals!$A$2:$A$251,INT((ROW()-2)/2)+1)="","",INDEX(approvals!$A$2:$A$251,INT((ROW()-2)/2)+1))</f>
        <v/>
      </c>
      <c r="B186" s="25">
        <f>IF(INDEX(approvals!$A$2:$A$251,INT((ROW()-2)/2)+1)="","",INDEX(approvals!$B$2:$B$251,INT((ROW()-2)/2)+1))</f>
        <v/>
      </c>
      <c r="C186" s="25">
        <f>IF($A186="","",IF(MOD(ROW()-2,2)=0,"qr","post"))</f>
        <v/>
      </c>
      <c r="D186" s="25">
        <f>IF($A186="","",IF(LEFT($A186,7)="SAMPLE-","SAMPLE-","")&amp;LOWER(SUBSTITUTE(SUBSTITUTE($A186,"SAMPLE-",""),"CMP-","c"))&amp;"-"&amp;LOWER(SUBSTITUTE(SUBSTITUTE($B186,"SAMPLE-",""),"O-","o"))&amp;"-"&amp;IF($C186="qr","q","p"))</f>
        <v/>
      </c>
      <c r="E186" s="25">
        <f>IF($A186="","","https://"&amp;config!$B$9&amp;"/"&amp;$D186)</f>
        <v/>
      </c>
      <c r="F186" s="25">
        <f>IF($A186="","",$A186&amp;"."&amp;$B186)</f>
        <v/>
      </c>
      <c r="G186" s="25">
        <f>IF($A186="","",IF(IFERROR(IF(INDEX(campaigns!$AJ$2:$AJ$51,MATCH($A186,campaigns!$A$2:$A$51,0))="","",INDEX(campaigns!$AJ$2:$AJ$51,MATCH($A186,campaigns!$A$2:$A$51,0))),"")="","(add the survey prefill template on campaigns)",SUBSTITUTE(IFERROR(IF(INDEX(campaigns!$AJ$2:$AJ$51,MATCH($A186,campaigns!$A$2:$A$51,0))="","",INDEX(campaigns!$AJ$2:$AJ$51,MATCH($A186,campaigns!$A$2:$A$51,0))),""),"CARDCODE",$F186)&amp;"&amp;utm_source=office-pantry&amp;utm_medium="&amp;$C186&amp;"&amp;utm_campaign="&amp;LOWER($A186)&amp;"&amp;utm_content="&amp;LOWER($B186)))</f>
        <v/>
      </c>
      <c r="H186" s="25">
        <f>IF(OR($A186="",$C186&lt;&gt;"qr"),"",$D186&amp;".png")</f>
        <v/>
      </c>
      <c r="I186" s="25">
        <f>IF($A186="","",IF(AND(IFERROR(IF(INDEX(campaigns!$AJ$2:$AJ$51,MATCH($A186,campaigns!$A$2:$A$51,0))="","",INDEX(campaigns!$AJ$2:$AJ$51,MATCH($A186,campaigns!$A$2:$A$51,0))),"")="",IFERROR(IF(INDEX(campaigns!$BG$2:$BG$51,MATCH($A186,campaigns!$A$2:$A$51,0))="","",INDEX(campaigns!$BG$2:$BG$51,MATCH($A186,campaigns!$A$2:$A$51,0))),"")&lt;&gt;"",IF(config!$B$37&lt;&gt;"",config!$B$37,TODAY())&gt;=WORKDAY(N(IFERROR(IF(INDEX(campaigns!$BG$2:$BG$51,MATCH($A186,campaigns!$A$2:$A$51,0))="","",INDEX(campaigns!$BG$2:$BG$51,MATCH($A186,campaigns!$A$2:$A$51,0))),"")),-4,calendar!$A$2:$A$80)),"no prefill template yet (due T-4); ","")&amp;IF(COUNTIF(links!$D$2:$D$501,$D186)&gt;1,"DUPLICATE slug; ",""))</f>
        <v/>
      </c>
    </row>
    <row r="187">
      <c r="A187" s="25">
        <f>IF(INDEX(approvals!$A$2:$A$251,INT((ROW()-2)/2)+1)="","",INDEX(approvals!$A$2:$A$251,INT((ROW()-2)/2)+1))</f>
        <v/>
      </c>
      <c r="B187" s="25">
        <f>IF(INDEX(approvals!$A$2:$A$251,INT((ROW()-2)/2)+1)="","",INDEX(approvals!$B$2:$B$251,INT((ROW()-2)/2)+1))</f>
        <v/>
      </c>
      <c r="C187" s="25">
        <f>IF($A187="","",IF(MOD(ROW()-2,2)=0,"qr","post"))</f>
        <v/>
      </c>
      <c r="D187" s="25">
        <f>IF($A187="","",IF(LEFT($A187,7)="SAMPLE-","SAMPLE-","")&amp;LOWER(SUBSTITUTE(SUBSTITUTE($A187,"SAMPLE-",""),"CMP-","c"))&amp;"-"&amp;LOWER(SUBSTITUTE(SUBSTITUTE($B187,"SAMPLE-",""),"O-","o"))&amp;"-"&amp;IF($C187="qr","q","p"))</f>
        <v/>
      </c>
      <c r="E187" s="25">
        <f>IF($A187="","","https://"&amp;config!$B$9&amp;"/"&amp;$D187)</f>
        <v/>
      </c>
      <c r="F187" s="25">
        <f>IF($A187="","",$A187&amp;"."&amp;$B187)</f>
        <v/>
      </c>
      <c r="G187" s="25">
        <f>IF($A187="","",IF(IFERROR(IF(INDEX(campaigns!$AJ$2:$AJ$51,MATCH($A187,campaigns!$A$2:$A$51,0))="","",INDEX(campaigns!$AJ$2:$AJ$51,MATCH($A187,campaigns!$A$2:$A$51,0))),"")="","(add the survey prefill template on campaigns)",SUBSTITUTE(IFERROR(IF(INDEX(campaigns!$AJ$2:$AJ$51,MATCH($A187,campaigns!$A$2:$A$51,0))="","",INDEX(campaigns!$AJ$2:$AJ$51,MATCH($A187,campaigns!$A$2:$A$51,0))),""),"CARDCODE",$F187)&amp;"&amp;utm_source=office-pantry&amp;utm_medium="&amp;$C187&amp;"&amp;utm_campaign="&amp;LOWER($A187)&amp;"&amp;utm_content="&amp;LOWER($B187)))</f>
        <v/>
      </c>
      <c r="H187" s="25">
        <f>IF(OR($A187="",$C187&lt;&gt;"qr"),"",$D187&amp;".png")</f>
        <v/>
      </c>
      <c r="I187" s="25">
        <f>IF($A187="","",IF(AND(IFERROR(IF(INDEX(campaigns!$AJ$2:$AJ$51,MATCH($A187,campaigns!$A$2:$A$51,0))="","",INDEX(campaigns!$AJ$2:$AJ$51,MATCH($A187,campaigns!$A$2:$A$51,0))),"")="",IFERROR(IF(INDEX(campaigns!$BG$2:$BG$51,MATCH($A187,campaigns!$A$2:$A$51,0))="","",INDEX(campaigns!$BG$2:$BG$51,MATCH($A187,campaigns!$A$2:$A$51,0))),"")&lt;&gt;"",IF(config!$B$37&lt;&gt;"",config!$B$37,TODAY())&gt;=WORKDAY(N(IFERROR(IF(INDEX(campaigns!$BG$2:$BG$51,MATCH($A187,campaigns!$A$2:$A$51,0))="","",INDEX(campaigns!$BG$2:$BG$51,MATCH($A187,campaigns!$A$2:$A$51,0))),"")),-4,calendar!$A$2:$A$80)),"no prefill template yet (due T-4); ","")&amp;IF(COUNTIF(links!$D$2:$D$501,$D187)&gt;1,"DUPLICATE slug; ",""))</f>
        <v/>
      </c>
    </row>
    <row r="188">
      <c r="A188" s="25">
        <f>IF(INDEX(approvals!$A$2:$A$251,INT((ROW()-2)/2)+1)="","",INDEX(approvals!$A$2:$A$251,INT((ROW()-2)/2)+1))</f>
        <v/>
      </c>
      <c r="B188" s="25">
        <f>IF(INDEX(approvals!$A$2:$A$251,INT((ROW()-2)/2)+1)="","",INDEX(approvals!$B$2:$B$251,INT((ROW()-2)/2)+1))</f>
        <v/>
      </c>
      <c r="C188" s="25">
        <f>IF($A188="","",IF(MOD(ROW()-2,2)=0,"qr","post"))</f>
        <v/>
      </c>
      <c r="D188" s="25">
        <f>IF($A188="","",IF(LEFT($A188,7)="SAMPLE-","SAMPLE-","")&amp;LOWER(SUBSTITUTE(SUBSTITUTE($A188,"SAMPLE-",""),"CMP-","c"))&amp;"-"&amp;LOWER(SUBSTITUTE(SUBSTITUTE($B188,"SAMPLE-",""),"O-","o"))&amp;"-"&amp;IF($C188="qr","q","p"))</f>
        <v/>
      </c>
      <c r="E188" s="25">
        <f>IF($A188="","","https://"&amp;config!$B$9&amp;"/"&amp;$D188)</f>
        <v/>
      </c>
      <c r="F188" s="25">
        <f>IF($A188="","",$A188&amp;"."&amp;$B188)</f>
        <v/>
      </c>
      <c r="G188" s="25">
        <f>IF($A188="","",IF(IFERROR(IF(INDEX(campaigns!$AJ$2:$AJ$51,MATCH($A188,campaigns!$A$2:$A$51,0))="","",INDEX(campaigns!$AJ$2:$AJ$51,MATCH($A188,campaigns!$A$2:$A$51,0))),"")="","(add the survey prefill template on campaigns)",SUBSTITUTE(IFERROR(IF(INDEX(campaigns!$AJ$2:$AJ$51,MATCH($A188,campaigns!$A$2:$A$51,0))="","",INDEX(campaigns!$AJ$2:$AJ$51,MATCH($A188,campaigns!$A$2:$A$51,0))),""),"CARDCODE",$F188)&amp;"&amp;utm_source=office-pantry&amp;utm_medium="&amp;$C188&amp;"&amp;utm_campaign="&amp;LOWER($A188)&amp;"&amp;utm_content="&amp;LOWER($B188)))</f>
        <v/>
      </c>
      <c r="H188" s="25">
        <f>IF(OR($A188="",$C188&lt;&gt;"qr"),"",$D188&amp;".png")</f>
        <v/>
      </c>
      <c r="I188" s="25">
        <f>IF($A188="","",IF(AND(IFERROR(IF(INDEX(campaigns!$AJ$2:$AJ$51,MATCH($A188,campaigns!$A$2:$A$51,0))="","",INDEX(campaigns!$AJ$2:$AJ$51,MATCH($A188,campaigns!$A$2:$A$51,0))),"")="",IFERROR(IF(INDEX(campaigns!$BG$2:$BG$51,MATCH($A188,campaigns!$A$2:$A$51,0))="","",INDEX(campaigns!$BG$2:$BG$51,MATCH($A188,campaigns!$A$2:$A$51,0))),"")&lt;&gt;"",IF(config!$B$37&lt;&gt;"",config!$B$37,TODAY())&gt;=WORKDAY(N(IFERROR(IF(INDEX(campaigns!$BG$2:$BG$51,MATCH($A188,campaigns!$A$2:$A$51,0))="","",INDEX(campaigns!$BG$2:$BG$51,MATCH($A188,campaigns!$A$2:$A$51,0))),"")),-4,calendar!$A$2:$A$80)),"no prefill template yet (due T-4); ","")&amp;IF(COUNTIF(links!$D$2:$D$501,$D188)&gt;1,"DUPLICATE slug; ",""))</f>
        <v/>
      </c>
    </row>
    <row r="189">
      <c r="A189" s="25">
        <f>IF(INDEX(approvals!$A$2:$A$251,INT((ROW()-2)/2)+1)="","",INDEX(approvals!$A$2:$A$251,INT((ROW()-2)/2)+1))</f>
        <v/>
      </c>
      <c r="B189" s="25">
        <f>IF(INDEX(approvals!$A$2:$A$251,INT((ROW()-2)/2)+1)="","",INDEX(approvals!$B$2:$B$251,INT((ROW()-2)/2)+1))</f>
        <v/>
      </c>
      <c r="C189" s="25">
        <f>IF($A189="","",IF(MOD(ROW()-2,2)=0,"qr","post"))</f>
        <v/>
      </c>
      <c r="D189" s="25">
        <f>IF($A189="","",IF(LEFT($A189,7)="SAMPLE-","SAMPLE-","")&amp;LOWER(SUBSTITUTE(SUBSTITUTE($A189,"SAMPLE-",""),"CMP-","c"))&amp;"-"&amp;LOWER(SUBSTITUTE(SUBSTITUTE($B189,"SAMPLE-",""),"O-","o"))&amp;"-"&amp;IF($C189="qr","q","p"))</f>
        <v/>
      </c>
      <c r="E189" s="25">
        <f>IF($A189="","","https://"&amp;config!$B$9&amp;"/"&amp;$D189)</f>
        <v/>
      </c>
      <c r="F189" s="25">
        <f>IF($A189="","",$A189&amp;"."&amp;$B189)</f>
        <v/>
      </c>
      <c r="G189" s="25">
        <f>IF($A189="","",IF(IFERROR(IF(INDEX(campaigns!$AJ$2:$AJ$51,MATCH($A189,campaigns!$A$2:$A$51,0))="","",INDEX(campaigns!$AJ$2:$AJ$51,MATCH($A189,campaigns!$A$2:$A$51,0))),"")="","(add the survey prefill template on campaigns)",SUBSTITUTE(IFERROR(IF(INDEX(campaigns!$AJ$2:$AJ$51,MATCH($A189,campaigns!$A$2:$A$51,0))="","",INDEX(campaigns!$AJ$2:$AJ$51,MATCH($A189,campaigns!$A$2:$A$51,0))),""),"CARDCODE",$F189)&amp;"&amp;utm_source=office-pantry&amp;utm_medium="&amp;$C189&amp;"&amp;utm_campaign="&amp;LOWER($A189)&amp;"&amp;utm_content="&amp;LOWER($B189)))</f>
        <v/>
      </c>
      <c r="H189" s="25">
        <f>IF(OR($A189="",$C189&lt;&gt;"qr"),"",$D189&amp;".png")</f>
        <v/>
      </c>
      <c r="I189" s="25">
        <f>IF($A189="","",IF(AND(IFERROR(IF(INDEX(campaigns!$AJ$2:$AJ$51,MATCH($A189,campaigns!$A$2:$A$51,0))="","",INDEX(campaigns!$AJ$2:$AJ$51,MATCH($A189,campaigns!$A$2:$A$51,0))),"")="",IFERROR(IF(INDEX(campaigns!$BG$2:$BG$51,MATCH($A189,campaigns!$A$2:$A$51,0))="","",INDEX(campaigns!$BG$2:$BG$51,MATCH($A189,campaigns!$A$2:$A$51,0))),"")&lt;&gt;"",IF(config!$B$37&lt;&gt;"",config!$B$37,TODAY())&gt;=WORKDAY(N(IFERROR(IF(INDEX(campaigns!$BG$2:$BG$51,MATCH($A189,campaigns!$A$2:$A$51,0))="","",INDEX(campaigns!$BG$2:$BG$51,MATCH($A189,campaigns!$A$2:$A$51,0))),"")),-4,calendar!$A$2:$A$80)),"no prefill template yet (due T-4); ","")&amp;IF(COUNTIF(links!$D$2:$D$501,$D189)&gt;1,"DUPLICATE slug; ",""))</f>
        <v/>
      </c>
    </row>
    <row r="190">
      <c r="A190" s="25">
        <f>IF(INDEX(approvals!$A$2:$A$251,INT((ROW()-2)/2)+1)="","",INDEX(approvals!$A$2:$A$251,INT((ROW()-2)/2)+1))</f>
        <v/>
      </c>
      <c r="B190" s="25">
        <f>IF(INDEX(approvals!$A$2:$A$251,INT((ROW()-2)/2)+1)="","",INDEX(approvals!$B$2:$B$251,INT((ROW()-2)/2)+1))</f>
        <v/>
      </c>
      <c r="C190" s="25">
        <f>IF($A190="","",IF(MOD(ROW()-2,2)=0,"qr","post"))</f>
        <v/>
      </c>
      <c r="D190" s="25">
        <f>IF($A190="","",IF(LEFT($A190,7)="SAMPLE-","SAMPLE-","")&amp;LOWER(SUBSTITUTE(SUBSTITUTE($A190,"SAMPLE-",""),"CMP-","c"))&amp;"-"&amp;LOWER(SUBSTITUTE(SUBSTITUTE($B190,"SAMPLE-",""),"O-","o"))&amp;"-"&amp;IF($C190="qr","q","p"))</f>
        <v/>
      </c>
      <c r="E190" s="25">
        <f>IF($A190="","","https://"&amp;config!$B$9&amp;"/"&amp;$D190)</f>
        <v/>
      </c>
      <c r="F190" s="25">
        <f>IF($A190="","",$A190&amp;"."&amp;$B190)</f>
        <v/>
      </c>
      <c r="G190" s="25">
        <f>IF($A190="","",IF(IFERROR(IF(INDEX(campaigns!$AJ$2:$AJ$51,MATCH($A190,campaigns!$A$2:$A$51,0))="","",INDEX(campaigns!$AJ$2:$AJ$51,MATCH($A190,campaigns!$A$2:$A$51,0))),"")="","(add the survey prefill template on campaigns)",SUBSTITUTE(IFERROR(IF(INDEX(campaigns!$AJ$2:$AJ$51,MATCH($A190,campaigns!$A$2:$A$51,0))="","",INDEX(campaigns!$AJ$2:$AJ$51,MATCH($A190,campaigns!$A$2:$A$51,0))),""),"CARDCODE",$F190)&amp;"&amp;utm_source=office-pantry&amp;utm_medium="&amp;$C190&amp;"&amp;utm_campaign="&amp;LOWER($A190)&amp;"&amp;utm_content="&amp;LOWER($B190)))</f>
        <v/>
      </c>
      <c r="H190" s="25">
        <f>IF(OR($A190="",$C190&lt;&gt;"qr"),"",$D190&amp;".png")</f>
        <v/>
      </c>
      <c r="I190" s="25">
        <f>IF($A190="","",IF(AND(IFERROR(IF(INDEX(campaigns!$AJ$2:$AJ$51,MATCH($A190,campaigns!$A$2:$A$51,0))="","",INDEX(campaigns!$AJ$2:$AJ$51,MATCH($A190,campaigns!$A$2:$A$51,0))),"")="",IFERROR(IF(INDEX(campaigns!$BG$2:$BG$51,MATCH($A190,campaigns!$A$2:$A$51,0))="","",INDEX(campaigns!$BG$2:$BG$51,MATCH($A190,campaigns!$A$2:$A$51,0))),"")&lt;&gt;"",IF(config!$B$37&lt;&gt;"",config!$B$37,TODAY())&gt;=WORKDAY(N(IFERROR(IF(INDEX(campaigns!$BG$2:$BG$51,MATCH($A190,campaigns!$A$2:$A$51,0))="","",INDEX(campaigns!$BG$2:$BG$51,MATCH($A190,campaigns!$A$2:$A$51,0))),"")),-4,calendar!$A$2:$A$80)),"no prefill template yet (due T-4); ","")&amp;IF(COUNTIF(links!$D$2:$D$501,$D190)&gt;1,"DUPLICATE slug; ",""))</f>
        <v/>
      </c>
    </row>
    <row r="191">
      <c r="A191" s="25">
        <f>IF(INDEX(approvals!$A$2:$A$251,INT((ROW()-2)/2)+1)="","",INDEX(approvals!$A$2:$A$251,INT((ROW()-2)/2)+1))</f>
        <v/>
      </c>
      <c r="B191" s="25">
        <f>IF(INDEX(approvals!$A$2:$A$251,INT((ROW()-2)/2)+1)="","",INDEX(approvals!$B$2:$B$251,INT((ROW()-2)/2)+1))</f>
        <v/>
      </c>
      <c r="C191" s="25">
        <f>IF($A191="","",IF(MOD(ROW()-2,2)=0,"qr","post"))</f>
        <v/>
      </c>
      <c r="D191" s="25">
        <f>IF($A191="","",IF(LEFT($A191,7)="SAMPLE-","SAMPLE-","")&amp;LOWER(SUBSTITUTE(SUBSTITUTE($A191,"SAMPLE-",""),"CMP-","c"))&amp;"-"&amp;LOWER(SUBSTITUTE(SUBSTITUTE($B191,"SAMPLE-",""),"O-","o"))&amp;"-"&amp;IF($C191="qr","q","p"))</f>
        <v/>
      </c>
      <c r="E191" s="25">
        <f>IF($A191="","","https://"&amp;config!$B$9&amp;"/"&amp;$D191)</f>
        <v/>
      </c>
      <c r="F191" s="25">
        <f>IF($A191="","",$A191&amp;"."&amp;$B191)</f>
        <v/>
      </c>
      <c r="G191" s="25">
        <f>IF($A191="","",IF(IFERROR(IF(INDEX(campaigns!$AJ$2:$AJ$51,MATCH($A191,campaigns!$A$2:$A$51,0))="","",INDEX(campaigns!$AJ$2:$AJ$51,MATCH($A191,campaigns!$A$2:$A$51,0))),"")="","(add the survey prefill template on campaigns)",SUBSTITUTE(IFERROR(IF(INDEX(campaigns!$AJ$2:$AJ$51,MATCH($A191,campaigns!$A$2:$A$51,0))="","",INDEX(campaigns!$AJ$2:$AJ$51,MATCH($A191,campaigns!$A$2:$A$51,0))),""),"CARDCODE",$F191)&amp;"&amp;utm_source=office-pantry&amp;utm_medium="&amp;$C191&amp;"&amp;utm_campaign="&amp;LOWER($A191)&amp;"&amp;utm_content="&amp;LOWER($B191)))</f>
        <v/>
      </c>
      <c r="H191" s="25">
        <f>IF(OR($A191="",$C191&lt;&gt;"qr"),"",$D191&amp;".png")</f>
        <v/>
      </c>
      <c r="I191" s="25">
        <f>IF($A191="","",IF(AND(IFERROR(IF(INDEX(campaigns!$AJ$2:$AJ$51,MATCH($A191,campaigns!$A$2:$A$51,0))="","",INDEX(campaigns!$AJ$2:$AJ$51,MATCH($A191,campaigns!$A$2:$A$51,0))),"")="",IFERROR(IF(INDEX(campaigns!$BG$2:$BG$51,MATCH($A191,campaigns!$A$2:$A$51,0))="","",INDEX(campaigns!$BG$2:$BG$51,MATCH($A191,campaigns!$A$2:$A$51,0))),"")&lt;&gt;"",IF(config!$B$37&lt;&gt;"",config!$B$37,TODAY())&gt;=WORKDAY(N(IFERROR(IF(INDEX(campaigns!$BG$2:$BG$51,MATCH($A191,campaigns!$A$2:$A$51,0))="","",INDEX(campaigns!$BG$2:$BG$51,MATCH($A191,campaigns!$A$2:$A$51,0))),"")),-4,calendar!$A$2:$A$80)),"no prefill template yet (due T-4); ","")&amp;IF(COUNTIF(links!$D$2:$D$501,$D191)&gt;1,"DUPLICATE slug; ",""))</f>
        <v/>
      </c>
    </row>
    <row r="192">
      <c r="A192" s="25">
        <f>IF(INDEX(approvals!$A$2:$A$251,INT((ROW()-2)/2)+1)="","",INDEX(approvals!$A$2:$A$251,INT((ROW()-2)/2)+1))</f>
        <v/>
      </c>
      <c r="B192" s="25">
        <f>IF(INDEX(approvals!$A$2:$A$251,INT((ROW()-2)/2)+1)="","",INDEX(approvals!$B$2:$B$251,INT((ROW()-2)/2)+1))</f>
        <v/>
      </c>
      <c r="C192" s="25">
        <f>IF($A192="","",IF(MOD(ROW()-2,2)=0,"qr","post"))</f>
        <v/>
      </c>
      <c r="D192" s="25">
        <f>IF($A192="","",IF(LEFT($A192,7)="SAMPLE-","SAMPLE-","")&amp;LOWER(SUBSTITUTE(SUBSTITUTE($A192,"SAMPLE-",""),"CMP-","c"))&amp;"-"&amp;LOWER(SUBSTITUTE(SUBSTITUTE($B192,"SAMPLE-",""),"O-","o"))&amp;"-"&amp;IF($C192="qr","q","p"))</f>
        <v/>
      </c>
      <c r="E192" s="25">
        <f>IF($A192="","","https://"&amp;config!$B$9&amp;"/"&amp;$D192)</f>
        <v/>
      </c>
      <c r="F192" s="25">
        <f>IF($A192="","",$A192&amp;"."&amp;$B192)</f>
        <v/>
      </c>
      <c r="G192" s="25">
        <f>IF($A192="","",IF(IFERROR(IF(INDEX(campaigns!$AJ$2:$AJ$51,MATCH($A192,campaigns!$A$2:$A$51,0))="","",INDEX(campaigns!$AJ$2:$AJ$51,MATCH($A192,campaigns!$A$2:$A$51,0))),"")="","(add the survey prefill template on campaigns)",SUBSTITUTE(IFERROR(IF(INDEX(campaigns!$AJ$2:$AJ$51,MATCH($A192,campaigns!$A$2:$A$51,0))="","",INDEX(campaigns!$AJ$2:$AJ$51,MATCH($A192,campaigns!$A$2:$A$51,0))),""),"CARDCODE",$F192)&amp;"&amp;utm_source=office-pantry&amp;utm_medium="&amp;$C192&amp;"&amp;utm_campaign="&amp;LOWER($A192)&amp;"&amp;utm_content="&amp;LOWER($B192)))</f>
        <v/>
      </c>
      <c r="H192" s="25">
        <f>IF(OR($A192="",$C192&lt;&gt;"qr"),"",$D192&amp;".png")</f>
        <v/>
      </c>
      <c r="I192" s="25">
        <f>IF($A192="","",IF(AND(IFERROR(IF(INDEX(campaigns!$AJ$2:$AJ$51,MATCH($A192,campaigns!$A$2:$A$51,0))="","",INDEX(campaigns!$AJ$2:$AJ$51,MATCH($A192,campaigns!$A$2:$A$51,0))),"")="",IFERROR(IF(INDEX(campaigns!$BG$2:$BG$51,MATCH($A192,campaigns!$A$2:$A$51,0))="","",INDEX(campaigns!$BG$2:$BG$51,MATCH($A192,campaigns!$A$2:$A$51,0))),"")&lt;&gt;"",IF(config!$B$37&lt;&gt;"",config!$B$37,TODAY())&gt;=WORKDAY(N(IFERROR(IF(INDEX(campaigns!$BG$2:$BG$51,MATCH($A192,campaigns!$A$2:$A$51,0))="","",INDEX(campaigns!$BG$2:$BG$51,MATCH($A192,campaigns!$A$2:$A$51,0))),"")),-4,calendar!$A$2:$A$80)),"no prefill template yet (due T-4); ","")&amp;IF(COUNTIF(links!$D$2:$D$501,$D192)&gt;1,"DUPLICATE slug; ",""))</f>
        <v/>
      </c>
    </row>
    <row r="193">
      <c r="A193" s="25">
        <f>IF(INDEX(approvals!$A$2:$A$251,INT((ROW()-2)/2)+1)="","",INDEX(approvals!$A$2:$A$251,INT((ROW()-2)/2)+1))</f>
        <v/>
      </c>
      <c r="B193" s="25">
        <f>IF(INDEX(approvals!$A$2:$A$251,INT((ROW()-2)/2)+1)="","",INDEX(approvals!$B$2:$B$251,INT((ROW()-2)/2)+1))</f>
        <v/>
      </c>
      <c r="C193" s="25">
        <f>IF($A193="","",IF(MOD(ROW()-2,2)=0,"qr","post"))</f>
        <v/>
      </c>
      <c r="D193" s="25">
        <f>IF($A193="","",IF(LEFT($A193,7)="SAMPLE-","SAMPLE-","")&amp;LOWER(SUBSTITUTE(SUBSTITUTE($A193,"SAMPLE-",""),"CMP-","c"))&amp;"-"&amp;LOWER(SUBSTITUTE(SUBSTITUTE($B193,"SAMPLE-",""),"O-","o"))&amp;"-"&amp;IF($C193="qr","q","p"))</f>
        <v/>
      </c>
      <c r="E193" s="25">
        <f>IF($A193="","","https://"&amp;config!$B$9&amp;"/"&amp;$D193)</f>
        <v/>
      </c>
      <c r="F193" s="25">
        <f>IF($A193="","",$A193&amp;"."&amp;$B193)</f>
        <v/>
      </c>
      <c r="G193" s="25">
        <f>IF($A193="","",IF(IFERROR(IF(INDEX(campaigns!$AJ$2:$AJ$51,MATCH($A193,campaigns!$A$2:$A$51,0))="","",INDEX(campaigns!$AJ$2:$AJ$51,MATCH($A193,campaigns!$A$2:$A$51,0))),"")="","(add the survey prefill template on campaigns)",SUBSTITUTE(IFERROR(IF(INDEX(campaigns!$AJ$2:$AJ$51,MATCH($A193,campaigns!$A$2:$A$51,0))="","",INDEX(campaigns!$AJ$2:$AJ$51,MATCH($A193,campaigns!$A$2:$A$51,0))),""),"CARDCODE",$F193)&amp;"&amp;utm_source=office-pantry&amp;utm_medium="&amp;$C193&amp;"&amp;utm_campaign="&amp;LOWER($A193)&amp;"&amp;utm_content="&amp;LOWER($B193)))</f>
        <v/>
      </c>
      <c r="H193" s="25">
        <f>IF(OR($A193="",$C193&lt;&gt;"qr"),"",$D193&amp;".png")</f>
        <v/>
      </c>
      <c r="I193" s="25">
        <f>IF($A193="","",IF(AND(IFERROR(IF(INDEX(campaigns!$AJ$2:$AJ$51,MATCH($A193,campaigns!$A$2:$A$51,0))="","",INDEX(campaigns!$AJ$2:$AJ$51,MATCH($A193,campaigns!$A$2:$A$51,0))),"")="",IFERROR(IF(INDEX(campaigns!$BG$2:$BG$51,MATCH($A193,campaigns!$A$2:$A$51,0))="","",INDEX(campaigns!$BG$2:$BG$51,MATCH($A193,campaigns!$A$2:$A$51,0))),"")&lt;&gt;"",IF(config!$B$37&lt;&gt;"",config!$B$37,TODAY())&gt;=WORKDAY(N(IFERROR(IF(INDEX(campaigns!$BG$2:$BG$51,MATCH($A193,campaigns!$A$2:$A$51,0))="","",INDEX(campaigns!$BG$2:$BG$51,MATCH($A193,campaigns!$A$2:$A$51,0))),"")),-4,calendar!$A$2:$A$80)),"no prefill template yet (due T-4); ","")&amp;IF(COUNTIF(links!$D$2:$D$501,$D193)&gt;1,"DUPLICATE slug; ",""))</f>
        <v/>
      </c>
    </row>
    <row r="194">
      <c r="A194" s="25">
        <f>IF(INDEX(approvals!$A$2:$A$251,INT((ROW()-2)/2)+1)="","",INDEX(approvals!$A$2:$A$251,INT((ROW()-2)/2)+1))</f>
        <v/>
      </c>
      <c r="B194" s="25">
        <f>IF(INDEX(approvals!$A$2:$A$251,INT((ROW()-2)/2)+1)="","",INDEX(approvals!$B$2:$B$251,INT((ROW()-2)/2)+1))</f>
        <v/>
      </c>
      <c r="C194" s="25">
        <f>IF($A194="","",IF(MOD(ROW()-2,2)=0,"qr","post"))</f>
        <v/>
      </c>
      <c r="D194" s="25">
        <f>IF($A194="","",IF(LEFT($A194,7)="SAMPLE-","SAMPLE-","")&amp;LOWER(SUBSTITUTE(SUBSTITUTE($A194,"SAMPLE-",""),"CMP-","c"))&amp;"-"&amp;LOWER(SUBSTITUTE(SUBSTITUTE($B194,"SAMPLE-",""),"O-","o"))&amp;"-"&amp;IF($C194="qr","q","p"))</f>
        <v/>
      </c>
      <c r="E194" s="25">
        <f>IF($A194="","","https://"&amp;config!$B$9&amp;"/"&amp;$D194)</f>
        <v/>
      </c>
      <c r="F194" s="25">
        <f>IF($A194="","",$A194&amp;"."&amp;$B194)</f>
        <v/>
      </c>
      <c r="G194" s="25">
        <f>IF($A194="","",IF(IFERROR(IF(INDEX(campaigns!$AJ$2:$AJ$51,MATCH($A194,campaigns!$A$2:$A$51,0))="","",INDEX(campaigns!$AJ$2:$AJ$51,MATCH($A194,campaigns!$A$2:$A$51,0))),"")="","(add the survey prefill template on campaigns)",SUBSTITUTE(IFERROR(IF(INDEX(campaigns!$AJ$2:$AJ$51,MATCH($A194,campaigns!$A$2:$A$51,0))="","",INDEX(campaigns!$AJ$2:$AJ$51,MATCH($A194,campaigns!$A$2:$A$51,0))),""),"CARDCODE",$F194)&amp;"&amp;utm_source=office-pantry&amp;utm_medium="&amp;$C194&amp;"&amp;utm_campaign="&amp;LOWER($A194)&amp;"&amp;utm_content="&amp;LOWER($B194)))</f>
        <v/>
      </c>
      <c r="H194" s="25">
        <f>IF(OR($A194="",$C194&lt;&gt;"qr"),"",$D194&amp;".png")</f>
        <v/>
      </c>
      <c r="I194" s="25">
        <f>IF($A194="","",IF(AND(IFERROR(IF(INDEX(campaigns!$AJ$2:$AJ$51,MATCH($A194,campaigns!$A$2:$A$51,0))="","",INDEX(campaigns!$AJ$2:$AJ$51,MATCH($A194,campaigns!$A$2:$A$51,0))),"")="",IFERROR(IF(INDEX(campaigns!$BG$2:$BG$51,MATCH($A194,campaigns!$A$2:$A$51,0))="","",INDEX(campaigns!$BG$2:$BG$51,MATCH($A194,campaigns!$A$2:$A$51,0))),"")&lt;&gt;"",IF(config!$B$37&lt;&gt;"",config!$B$37,TODAY())&gt;=WORKDAY(N(IFERROR(IF(INDEX(campaigns!$BG$2:$BG$51,MATCH($A194,campaigns!$A$2:$A$51,0))="","",INDEX(campaigns!$BG$2:$BG$51,MATCH($A194,campaigns!$A$2:$A$51,0))),"")),-4,calendar!$A$2:$A$80)),"no prefill template yet (due T-4); ","")&amp;IF(COUNTIF(links!$D$2:$D$501,$D194)&gt;1,"DUPLICATE slug; ",""))</f>
        <v/>
      </c>
    </row>
    <row r="195">
      <c r="A195" s="25">
        <f>IF(INDEX(approvals!$A$2:$A$251,INT((ROW()-2)/2)+1)="","",INDEX(approvals!$A$2:$A$251,INT((ROW()-2)/2)+1))</f>
        <v/>
      </c>
      <c r="B195" s="25">
        <f>IF(INDEX(approvals!$A$2:$A$251,INT((ROW()-2)/2)+1)="","",INDEX(approvals!$B$2:$B$251,INT((ROW()-2)/2)+1))</f>
        <v/>
      </c>
      <c r="C195" s="25">
        <f>IF($A195="","",IF(MOD(ROW()-2,2)=0,"qr","post"))</f>
        <v/>
      </c>
      <c r="D195" s="25">
        <f>IF($A195="","",IF(LEFT($A195,7)="SAMPLE-","SAMPLE-","")&amp;LOWER(SUBSTITUTE(SUBSTITUTE($A195,"SAMPLE-",""),"CMP-","c"))&amp;"-"&amp;LOWER(SUBSTITUTE(SUBSTITUTE($B195,"SAMPLE-",""),"O-","o"))&amp;"-"&amp;IF($C195="qr","q","p"))</f>
        <v/>
      </c>
      <c r="E195" s="25">
        <f>IF($A195="","","https://"&amp;config!$B$9&amp;"/"&amp;$D195)</f>
        <v/>
      </c>
      <c r="F195" s="25">
        <f>IF($A195="","",$A195&amp;"."&amp;$B195)</f>
        <v/>
      </c>
      <c r="G195" s="25">
        <f>IF($A195="","",IF(IFERROR(IF(INDEX(campaigns!$AJ$2:$AJ$51,MATCH($A195,campaigns!$A$2:$A$51,0))="","",INDEX(campaigns!$AJ$2:$AJ$51,MATCH($A195,campaigns!$A$2:$A$51,0))),"")="","(add the survey prefill template on campaigns)",SUBSTITUTE(IFERROR(IF(INDEX(campaigns!$AJ$2:$AJ$51,MATCH($A195,campaigns!$A$2:$A$51,0))="","",INDEX(campaigns!$AJ$2:$AJ$51,MATCH($A195,campaigns!$A$2:$A$51,0))),""),"CARDCODE",$F195)&amp;"&amp;utm_source=office-pantry&amp;utm_medium="&amp;$C195&amp;"&amp;utm_campaign="&amp;LOWER($A195)&amp;"&amp;utm_content="&amp;LOWER($B195)))</f>
        <v/>
      </c>
      <c r="H195" s="25">
        <f>IF(OR($A195="",$C195&lt;&gt;"qr"),"",$D195&amp;".png")</f>
        <v/>
      </c>
      <c r="I195" s="25">
        <f>IF($A195="","",IF(AND(IFERROR(IF(INDEX(campaigns!$AJ$2:$AJ$51,MATCH($A195,campaigns!$A$2:$A$51,0))="","",INDEX(campaigns!$AJ$2:$AJ$51,MATCH($A195,campaigns!$A$2:$A$51,0))),"")="",IFERROR(IF(INDEX(campaigns!$BG$2:$BG$51,MATCH($A195,campaigns!$A$2:$A$51,0))="","",INDEX(campaigns!$BG$2:$BG$51,MATCH($A195,campaigns!$A$2:$A$51,0))),"")&lt;&gt;"",IF(config!$B$37&lt;&gt;"",config!$B$37,TODAY())&gt;=WORKDAY(N(IFERROR(IF(INDEX(campaigns!$BG$2:$BG$51,MATCH($A195,campaigns!$A$2:$A$51,0))="","",INDEX(campaigns!$BG$2:$BG$51,MATCH($A195,campaigns!$A$2:$A$51,0))),"")),-4,calendar!$A$2:$A$80)),"no prefill template yet (due T-4); ","")&amp;IF(COUNTIF(links!$D$2:$D$501,$D195)&gt;1,"DUPLICATE slug; ",""))</f>
        <v/>
      </c>
    </row>
    <row r="196">
      <c r="A196" s="25">
        <f>IF(INDEX(approvals!$A$2:$A$251,INT((ROW()-2)/2)+1)="","",INDEX(approvals!$A$2:$A$251,INT((ROW()-2)/2)+1))</f>
        <v/>
      </c>
      <c r="B196" s="25">
        <f>IF(INDEX(approvals!$A$2:$A$251,INT((ROW()-2)/2)+1)="","",INDEX(approvals!$B$2:$B$251,INT((ROW()-2)/2)+1))</f>
        <v/>
      </c>
      <c r="C196" s="25">
        <f>IF($A196="","",IF(MOD(ROW()-2,2)=0,"qr","post"))</f>
        <v/>
      </c>
      <c r="D196" s="25">
        <f>IF($A196="","",IF(LEFT($A196,7)="SAMPLE-","SAMPLE-","")&amp;LOWER(SUBSTITUTE(SUBSTITUTE($A196,"SAMPLE-",""),"CMP-","c"))&amp;"-"&amp;LOWER(SUBSTITUTE(SUBSTITUTE($B196,"SAMPLE-",""),"O-","o"))&amp;"-"&amp;IF($C196="qr","q","p"))</f>
        <v/>
      </c>
      <c r="E196" s="25">
        <f>IF($A196="","","https://"&amp;config!$B$9&amp;"/"&amp;$D196)</f>
        <v/>
      </c>
      <c r="F196" s="25">
        <f>IF($A196="","",$A196&amp;"."&amp;$B196)</f>
        <v/>
      </c>
      <c r="G196" s="25">
        <f>IF($A196="","",IF(IFERROR(IF(INDEX(campaigns!$AJ$2:$AJ$51,MATCH($A196,campaigns!$A$2:$A$51,0))="","",INDEX(campaigns!$AJ$2:$AJ$51,MATCH($A196,campaigns!$A$2:$A$51,0))),"")="","(add the survey prefill template on campaigns)",SUBSTITUTE(IFERROR(IF(INDEX(campaigns!$AJ$2:$AJ$51,MATCH($A196,campaigns!$A$2:$A$51,0))="","",INDEX(campaigns!$AJ$2:$AJ$51,MATCH($A196,campaigns!$A$2:$A$51,0))),""),"CARDCODE",$F196)&amp;"&amp;utm_source=office-pantry&amp;utm_medium="&amp;$C196&amp;"&amp;utm_campaign="&amp;LOWER($A196)&amp;"&amp;utm_content="&amp;LOWER($B196)))</f>
        <v/>
      </c>
      <c r="H196" s="25">
        <f>IF(OR($A196="",$C196&lt;&gt;"qr"),"",$D196&amp;".png")</f>
        <v/>
      </c>
      <c r="I196" s="25">
        <f>IF($A196="","",IF(AND(IFERROR(IF(INDEX(campaigns!$AJ$2:$AJ$51,MATCH($A196,campaigns!$A$2:$A$51,0))="","",INDEX(campaigns!$AJ$2:$AJ$51,MATCH($A196,campaigns!$A$2:$A$51,0))),"")="",IFERROR(IF(INDEX(campaigns!$BG$2:$BG$51,MATCH($A196,campaigns!$A$2:$A$51,0))="","",INDEX(campaigns!$BG$2:$BG$51,MATCH($A196,campaigns!$A$2:$A$51,0))),"")&lt;&gt;"",IF(config!$B$37&lt;&gt;"",config!$B$37,TODAY())&gt;=WORKDAY(N(IFERROR(IF(INDEX(campaigns!$BG$2:$BG$51,MATCH($A196,campaigns!$A$2:$A$51,0))="","",INDEX(campaigns!$BG$2:$BG$51,MATCH($A196,campaigns!$A$2:$A$51,0))),"")),-4,calendar!$A$2:$A$80)),"no prefill template yet (due T-4); ","")&amp;IF(COUNTIF(links!$D$2:$D$501,$D196)&gt;1,"DUPLICATE slug; ",""))</f>
        <v/>
      </c>
    </row>
    <row r="197">
      <c r="A197" s="25">
        <f>IF(INDEX(approvals!$A$2:$A$251,INT((ROW()-2)/2)+1)="","",INDEX(approvals!$A$2:$A$251,INT((ROW()-2)/2)+1))</f>
        <v/>
      </c>
      <c r="B197" s="25">
        <f>IF(INDEX(approvals!$A$2:$A$251,INT((ROW()-2)/2)+1)="","",INDEX(approvals!$B$2:$B$251,INT((ROW()-2)/2)+1))</f>
        <v/>
      </c>
      <c r="C197" s="25">
        <f>IF($A197="","",IF(MOD(ROW()-2,2)=0,"qr","post"))</f>
        <v/>
      </c>
      <c r="D197" s="25">
        <f>IF($A197="","",IF(LEFT($A197,7)="SAMPLE-","SAMPLE-","")&amp;LOWER(SUBSTITUTE(SUBSTITUTE($A197,"SAMPLE-",""),"CMP-","c"))&amp;"-"&amp;LOWER(SUBSTITUTE(SUBSTITUTE($B197,"SAMPLE-",""),"O-","o"))&amp;"-"&amp;IF($C197="qr","q","p"))</f>
        <v/>
      </c>
      <c r="E197" s="25">
        <f>IF($A197="","","https://"&amp;config!$B$9&amp;"/"&amp;$D197)</f>
        <v/>
      </c>
      <c r="F197" s="25">
        <f>IF($A197="","",$A197&amp;"."&amp;$B197)</f>
        <v/>
      </c>
      <c r="G197" s="25">
        <f>IF($A197="","",IF(IFERROR(IF(INDEX(campaigns!$AJ$2:$AJ$51,MATCH($A197,campaigns!$A$2:$A$51,0))="","",INDEX(campaigns!$AJ$2:$AJ$51,MATCH($A197,campaigns!$A$2:$A$51,0))),"")="","(add the survey prefill template on campaigns)",SUBSTITUTE(IFERROR(IF(INDEX(campaigns!$AJ$2:$AJ$51,MATCH($A197,campaigns!$A$2:$A$51,0))="","",INDEX(campaigns!$AJ$2:$AJ$51,MATCH($A197,campaigns!$A$2:$A$51,0))),""),"CARDCODE",$F197)&amp;"&amp;utm_source=office-pantry&amp;utm_medium="&amp;$C197&amp;"&amp;utm_campaign="&amp;LOWER($A197)&amp;"&amp;utm_content="&amp;LOWER($B197)))</f>
        <v/>
      </c>
      <c r="H197" s="25">
        <f>IF(OR($A197="",$C197&lt;&gt;"qr"),"",$D197&amp;".png")</f>
        <v/>
      </c>
      <c r="I197" s="25">
        <f>IF($A197="","",IF(AND(IFERROR(IF(INDEX(campaigns!$AJ$2:$AJ$51,MATCH($A197,campaigns!$A$2:$A$51,0))="","",INDEX(campaigns!$AJ$2:$AJ$51,MATCH($A197,campaigns!$A$2:$A$51,0))),"")="",IFERROR(IF(INDEX(campaigns!$BG$2:$BG$51,MATCH($A197,campaigns!$A$2:$A$51,0))="","",INDEX(campaigns!$BG$2:$BG$51,MATCH($A197,campaigns!$A$2:$A$51,0))),"")&lt;&gt;"",IF(config!$B$37&lt;&gt;"",config!$B$37,TODAY())&gt;=WORKDAY(N(IFERROR(IF(INDEX(campaigns!$BG$2:$BG$51,MATCH($A197,campaigns!$A$2:$A$51,0))="","",INDEX(campaigns!$BG$2:$BG$51,MATCH($A197,campaigns!$A$2:$A$51,0))),"")),-4,calendar!$A$2:$A$80)),"no prefill template yet (due T-4); ","")&amp;IF(COUNTIF(links!$D$2:$D$501,$D197)&gt;1,"DUPLICATE slug; ",""))</f>
        <v/>
      </c>
    </row>
    <row r="198">
      <c r="A198" s="25">
        <f>IF(INDEX(approvals!$A$2:$A$251,INT((ROW()-2)/2)+1)="","",INDEX(approvals!$A$2:$A$251,INT((ROW()-2)/2)+1))</f>
        <v/>
      </c>
      <c r="B198" s="25">
        <f>IF(INDEX(approvals!$A$2:$A$251,INT((ROW()-2)/2)+1)="","",INDEX(approvals!$B$2:$B$251,INT((ROW()-2)/2)+1))</f>
        <v/>
      </c>
      <c r="C198" s="25">
        <f>IF($A198="","",IF(MOD(ROW()-2,2)=0,"qr","post"))</f>
        <v/>
      </c>
      <c r="D198" s="25">
        <f>IF($A198="","",IF(LEFT($A198,7)="SAMPLE-","SAMPLE-","")&amp;LOWER(SUBSTITUTE(SUBSTITUTE($A198,"SAMPLE-",""),"CMP-","c"))&amp;"-"&amp;LOWER(SUBSTITUTE(SUBSTITUTE($B198,"SAMPLE-",""),"O-","o"))&amp;"-"&amp;IF($C198="qr","q","p"))</f>
        <v/>
      </c>
      <c r="E198" s="25">
        <f>IF($A198="","","https://"&amp;config!$B$9&amp;"/"&amp;$D198)</f>
        <v/>
      </c>
      <c r="F198" s="25">
        <f>IF($A198="","",$A198&amp;"."&amp;$B198)</f>
        <v/>
      </c>
      <c r="G198" s="25">
        <f>IF($A198="","",IF(IFERROR(IF(INDEX(campaigns!$AJ$2:$AJ$51,MATCH($A198,campaigns!$A$2:$A$51,0))="","",INDEX(campaigns!$AJ$2:$AJ$51,MATCH($A198,campaigns!$A$2:$A$51,0))),"")="","(add the survey prefill template on campaigns)",SUBSTITUTE(IFERROR(IF(INDEX(campaigns!$AJ$2:$AJ$51,MATCH($A198,campaigns!$A$2:$A$51,0))="","",INDEX(campaigns!$AJ$2:$AJ$51,MATCH($A198,campaigns!$A$2:$A$51,0))),""),"CARDCODE",$F198)&amp;"&amp;utm_source=office-pantry&amp;utm_medium="&amp;$C198&amp;"&amp;utm_campaign="&amp;LOWER($A198)&amp;"&amp;utm_content="&amp;LOWER($B198)))</f>
        <v/>
      </c>
      <c r="H198" s="25">
        <f>IF(OR($A198="",$C198&lt;&gt;"qr"),"",$D198&amp;".png")</f>
        <v/>
      </c>
      <c r="I198" s="25">
        <f>IF($A198="","",IF(AND(IFERROR(IF(INDEX(campaigns!$AJ$2:$AJ$51,MATCH($A198,campaigns!$A$2:$A$51,0))="","",INDEX(campaigns!$AJ$2:$AJ$51,MATCH($A198,campaigns!$A$2:$A$51,0))),"")="",IFERROR(IF(INDEX(campaigns!$BG$2:$BG$51,MATCH($A198,campaigns!$A$2:$A$51,0))="","",INDEX(campaigns!$BG$2:$BG$51,MATCH($A198,campaigns!$A$2:$A$51,0))),"")&lt;&gt;"",IF(config!$B$37&lt;&gt;"",config!$B$37,TODAY())&gt;=WORKDAY(N(IFERROR(IF(INDEX(campaigns!$BG$2:$BG$51,MATCH($A198,campaigns!$A$2:$A$51,0))="","",INDEX(campaigns!$BG$2:$BG$51,MATCH($A198,campaigns!$A$2:$A$51,0))),"")),-4,calendar!$A$2:$A$80)),"no prefill template yet (due T-4); ","")&amp;IF(COUNTIF(links!$D$2:$D$501,$D198)&gt;1,"DUPLICATE slug; ",""))</f>
        <v/>
      </c>
    </row>
    <row r="199">
      <c r="A199" s="25">
        <f>IF(INDEX(approvals!$A$2:$A$251,INT((ROW()-2)/2)+1)="","",INDEX(approvals!$A$2:$A$251,INT((ROW()-2)/2)+1))</f>
        <v/>
      </c>
      <c r="B199" s="25">
        <f>IF(INDEX(approvals!$A$2:$A$251,INT((ROW()-2)/2)+1)="","",INDEX(approvals!$B$2:$B$251,INT((ROW()-2)/2)+1))</f>
        <v/>
      </c>
      <c r="C199" s="25">
        <f>IF($A199="","",IF(MOD(ROW()-2,2)=0,"qr","post"))</f>
        <v/>
      </c>
      <c r="D199" s="25">
        <f>IF($A199="","",IF(LEFT($A199,7)="SAMPLE-","SAMPLE-","")&amp;LOWER(SUBSTITUTE(SUBSTITUTE($A199,"SAMPLE-",""),"CMP-","c"))&amp;"-"&amp;LOWER(SUBSTITUTE(SUBSTITUTE($B199,"SAMPLE-",""),"O-","o"))&amp;"-"&amp;IF($C199="qr","q","p"))</f>
        <v/>
      </c>
      <c r="E199" s="25">
        <f>IF($A199="","","https://"&amp;config!$B$9&amp;"/"&amp;$D199)</f>
        <v/>
      </c>
      <c r="F199" s="25">
        <f>IF($A199="","",$A199&amp;"."&amp;$B199)</f>
        <v/>
      </c>
      <c r="G199" s="25">
        <f>IF($A199="","",IF(IFERROR(IF(INDEX(campaigns!$AJ$2:$AJ$51,MATCH($A199,campaigns!$A$2:$A$51,0))="","",INDEX(campaigns!$AJ$2:$AJ$51,MATCH($A199,campaigns!$A$2:$A$51,0))),"")="","(add the survey prefill template on campaigns)",SUBSTITUTE(IFERROR(IF(INDEX(campaigns!$AJ$2:$AJ$51,MATCH($A199,campaigns!$A$2:$A$51,0))="","",INDEX(campaigns!$AJ$2:$AJ$51,MATCH($A199,campaigns!$A$2:$A$51,0))),""),"CARDCODE",$F199)&amp;"&amp;utm_source=office-pantry&amp;utm_medium="&amp;$C199&amp;"&amp;utm_campaign="&amp;LOWER($A199)&amp;"&amp;utm_content="&amp;LOWER($B199)))</f>
        <v/>
      </c>
      <c r="H199" s="25">
        <f>IF(OR($A199="",$C199&lt;&gt;"qr"),"",$D199&amp;".png")</f>
        <v/>
      </c>
      <c r="I199" s="25">
        <f>IF($A199="","",IF(AND(IFERROR(IF(INDEX(campaigns!$AJ$2:$AJ$51,MATCH($A199,campaigns!$A$2:$A$51,0))="","",INDEX(campaigns!$AJ$2:$AJ$51,MATCH($A199,campaigns!$A$2:$A$51,0))),"")="",IFERROR(IF(INDEX(campaigns!$BG$2:$BG$51,MATCH($A199,campaigns!$A$2:$A$51,0))="","",INDEX(campaigns!$BG$2:$BG$51,MATCH($A199,campaigns!$A$2:$A$51,0))),"")&lt;&gt;"",IF(config!$B$37&lt;&gt;"",config!$B$37,TODAY())&gt;=WORKDAY(N(IFERROR(IF(INDEX(campaigns!$BG$2:$BG$51,MATCH($A199,campaigns!$A$2:$A$51,0))="","",INDEX(campaigns!$BG$2:$BG$51,MATCH($A199,campaigns!$A$2:$A$51,0))),"")),-4,calendar!$A$2:$A$80)),"no prefill template yet (due T-4); ","")&amp;IF(COUNTIF(links!$D$2:$D$501,$D199)&gt;1,"DUPLICATE slug; ",""))</f>
        <v/>
      </c>
    </row>
    <row r="200">
      <c r="A200" s="25">
        <f>IF(INDEX(approvals!$A$2:$A$251,INT((ROW()-2)/2)+1)="","",INDEX(approvals!$A$2:$A$251,INT((ROW()-2)/2)+1))</f>
        <v/>
      </c>
      <c r="B200" s="25">
        <f>IF(INDEX(approvals!$A$2:$A$251,INT((ROW()-2)/2)+1)="","",INDEX(approvals!$B$2:$B$251,INT((ROW()-2)/2)+1))</f>
        <v/>
      </c>
      <c r="C200" s="25">
        <f>IF($A200="","",IF(MOD(ROW()-2,2)=0,"qr","post"))</f>
        <v/>
      </c>
      <c r="D200" s="25">
        <f>IF($A200="","",IF(LEFT($A200,7)="SAMPLE-","SAMPLE-","")&amp;LOWER(SUBSTITUTE(SUBSTITUTE($A200,"SAMPLE-",""),"CMP-","c"))&amp;"-"&amp;LOWER(SUBSTITUTE(SUBSTITUTE($B200,"SAMPLE-",""),"O-","o"))&amp;"-"&amp;IF($C200="qr","q","p"))</f>
        <v/>
      </c>
      <c r="E200" s="25">
        <f>IF($A200="","","https://"&amp;config!$B$9&amp;"/"&amp;$D200)</f>
        <v/>
      </c>
      <c r="F200" s="25">
        <f>IF($A200="","",$A200&amp;"."&amp;$B200)</f>
        <v/>
      </c>
      <c r="G200" s="25">
        <f>IF($A200="","",IF(IFERROR(IF(INDEX(campaigns!$AJ$2:$AJ$51,MATCH($A200,campaigns!$A$2:$A$51,0))="","",INDEX(campaigns!$AJ$2:$AJ$51,MATCH($A200,campaigns!$A$2:$A$51,0))),"")="","(add the survey prefill template on campaigns)",SUBSTITUTE(IFERROR(IF(INDEX(campaigns!$AJ$2:$AJ$51,MATCH($A200,campaigns!$A$2:$A$51,0))="","",INDEX(campaigns!$AJ$2:$AJ$51,MATCH($A200,campaigns!$A$2:$A$51,0))),""),"CARDCODE",$F200)&amp;"&amp;utm_source=office-pantry&amp;utm_medium="&amp;$C200&amp;"&amp;utm_campaign="&amp;LOWER($A200)&amp;"&amp;utm_content="&amp;LOWER($B200)))</f>
        <v/>
      </c>
      <c r="H200" s="25">
        <f>IF(OR($A200="",$C200&lt;&gt;"qr"),"",$D200&amp;".png")</f>
        <v/>
      </c>
      <c r="I200" s="25">
        <f>IF($A200="","",IF(AND(IFERROR(IF(INDEX(campaigns!$AJ$2:$AJ$51,MATCH($A200,campaigns!$A$2:$A$51,0))="","",INDEX(campaigns!$AJ$2:$AJ$51,MATCH($A200,campaigns!$A$2:$A$51,0))),"")="",IFERROR(IF(INDEX(campaigns!$BG$2:$BG$51,MATCH($A200,campaigns!$A$2:$A$51,0))="","",INDEX(campaigns!$BG$2:$BG$51,MATCH($A200,campaigns!$A$2:$A$51,0))),"")&lt;&gt;"",IF(config!$B$37&lt;&gt;"",config!$B$37,TODAY())&gt;=WORKDAY(N(IFERROR(IF(INDEX(campaigns!$BG$2:$BG$51,MATCH($A200,campaigns!$A$2:$A$51,0))="","",INDEX(campaigns!$BG$2:$BG$51,MATCH($A200,campaigns!$A$2:$A$51,0))),"")),-4,calendar!$A$2:$A$80)),"no prefill template yet (due T-4); ","")&amp;IF(COUNTIF(links!$D$2:$D$501,$D200)&gt;1,"DUPLICATE slug; ",""))</f>
        <v/>
      </c>
    </row>
    <row r="201">
      <c r="A201" s="25">
        <f>IF(INDEX(approvals!$A$2:$A$251,INT((ROW()-2)/2)+1)="","",INDEX(approvals!$A$2:$A$251,INT((ROW()-2)/2)+1))</f>
        <v/>
      </c>
      <c r="B201" s="25">
        <f>IF(INDEX(approvals!$A$2:$A$251,INT((ROW()-2)/2)+1)="","",INDEX(approvals!$B$2:$B$251,INT((ROW()-2)/2)+1))</f>
        <v/>
      </c>
      <c r="C201" s="25">
        <f>IF($A201="","",IF(MOD(ROW()-2,2)=0,"qr","post"))</f>
        <v/>
      </c>
      <c r="D201" s="25">
        <f>IF($A201="","",IF(LEFT($A201,7)="SAMPLE-","SAMPLE-","")&amp;LOWER(SUBSTITUTE(SUBSTITUTE($A201,"SAMPLE-",""),"CMP-","c"))&amp;"-"&amp;LOWER(SUBSTITUTE(SUBSTITUTE($B201,"SAMPLE-",""),"O-","o"))&amp;"-"&amp;IF($C201="qr","q","p"))</f>
        <v/>
      </c>
      <c r="E201" s="25">
        <f>IF($A201="","","https://"&amp;config!$B$9&amp;"/"&amp;$D201)</f>
        <v/>
      </c>
      <c r="F201" s="25">
        <f>IF($A201="","",$A201&amp;"."&amp;$B201)</f>
        <v/>
      </c>
      <c r="G201" s="25">
        <f>IF($A201="","",IF(IFERROR(IF(INDEX(campaigns!$AJ$2:$AJ$51,MATCH($A201,campaigns!$A$2:$A$51,0))="","",INDEX(campaigns!$AJ$2:$AJ$51,MATCH($A201,campaigns!$A$2:$A$51,0))),"")="","(add the survey prefill template on campaigns)",SUBSTITUTE(IFERROR(IF(INDEX(campaigns!$AJ$2:$AJ$51,MATCH($A201,campaigns!$A$2:$A$51,0))="","",INDEX(campaigns!$AJ$2:$AJ$51,MATCH($A201,campaigns!$A$2:$A$51,0))),""),"CARDCODE",$F201)&amp;"&amp;utm_source=office-pantry&amp;utm_medium="&amp;$C201&amp;"&amp;utm_campaign="&amp;LOWER($A201)&amp;"&amp;utm_content="&amp;LOWER($B201)))</f>
        <v/>
      </c>
      <c r="H201" s="25">
        <f>IF(OR($A201="",$C201&lt;&gt;"qr"),"",$D201&amp;".png")</f>
        <v/>
      </c>
      <c r="I201" s="25">
        <f>IF($A201="","",IF(AND(IFERROR(IF(INDEX(campaigns!$AJ$2:$AJ$51,MATCH($A201,campaigns!$A$2:$A$51,0))="","",INDEX(campaigns!$AJ$2:$AJ$51,MATCH($A201,campaigns!$A$2:$A$51,0))),"")="",IFERROR(IF(INDEX(campaigns!$BG$2:$BG$51,MATCH($A201,campaigns!$A$2:$A$51,0))="","",INDEX(campaigns!$BG$2:$BG$51,MATCH($A201,campaigns!$A$2:$A$51,0))),"")&lt;&gt;"",IF(config!$B$37&lt;&gt;"",config!$B$37,TODAY())&gt;=WORKDAY(N(IFERROR(IF(INDEX(campaigns!$BG$2:$BG$51,MATCH($A201,campaigns!$A$2:$A$51,0))="","",INDEX(campaigns!$BG$2:$BG$51,MATCH($A201,campaigns!$A$2:$A$51,0))),"")),-4,calendar!$A$2:$A$80)),"no prefill template yet (due T-4); ","")&amp;IF(COUNTIF(links!$D$2:$D$501,$D201)&gt;1,"DUPLICATE slug; ",""))</f>
        <v/>
      </c>
    </row>
    <row r="202">
      <c r="A202" s="25">
        <f>IF(INDEX(approvals!$A$2:$A$251,INT((ROW()-2)/2)+1)="","",INDEX(approvals!$A$2:$A$251,INT((ROW()-2)/2)+1))</f>
        <v/>
      </c>
      <c r="B202" s="25">
        <f>IF(INDEX(approvals!$A$2:$A$251,INT((ROW()-2)/2)+1)="","",INDEX(approvals!$B$2:$B$251,INT((ROW()-2)/2)+1))</f>
        <v/>
      </c>
      <c r="C202" s="25">
        <f>IF($A202="","",IF(MOD(ROW()-2,2)=0,"qr","post"))</f>
        <v/>
      </c>
      <c r="D202" s="25">
        <f>IF($A202="","",IF(LEFT($A202,7)="SAMPLE-","SAMPLE-","")&amp;LOWER(SUBSTITUTE(SUBSTITUTE($A202,"SAMPLE-",""),"CMP-","c"))&amp;"-"&amp;LOWER(SUBSTITUTE(SUBSTITUTE($B202,"SAMPLE-",""),"O-","o"))&amp;"-"&amp;IF($C202="qr","q","p"))</f>
        <v/>
      </c>
      <c r="E202" s="25">
        <f>IF($A202="","","https://"&amp;config!$B$9&amp;"/"&amp;$D202)</f>
        <v/>
      </c>
      <c r="F202" s="25">
        <f>IF($A202="","",$A202&amp;"."&amp;$B202)</f>
        <v/>
      </c>
      <c r="G202" s="25">
        <f>IF($A202="","",IF(IFERROR(IF(INDEX(campaigns!$AJ$2:$AJ$51,MATCH($A202,campaigns!$A$2:$A$51,0))="","",INDEX(campaigns!$AJ$2:$AJ$51,MATCH($A202,campaigns!$A$2:$A$51,0))),"")="","(add the survey prefill template on campaigns)",SUBSTITUTE(IFERROR(IF(INDEX(campaigns!$AJ$2:$AJ$51,MATCH($A202,campaigns!$A$2:$A$51,0))="","",INDEX(campaigns!$AJ$2:$AJ$51,MATCH($A202,campaigns!$A$2:$A$51,0))),""),"CARDCODE",$F202)&amp;"&amp;utm_source=office-pantry&amp;utm_medium="&amp;$C202&amp;"&amp;utm_campaign="&amp;LOWER($A202)&amp;"&amp;utm_content="&amp;LOWER($B202)))</f>
        <v/>
      </c>
      <c r="H202" s="25">
        <f>IF(OR($A202="",$C202&lt;&gt;"qr"),"",$D202&amp;".png")</f>
        <v/>
      </c>
      <c r="I202" s="25">
        <f>IF($A202="","",IF(AND(IFERROR(IF(INDEX(campaigns!$AJ$2:$AJ$51,MATCH($A202,campaigns!$A$2:$A$51,0))="","",INDEX(campaigns!$AJ$2:$AJ$51,MATCH($A202,campaigns!$A$2:$A$51,0))),"")="",IFERROR(IF(INDEX(campaigns!$BG$2:$BG$51,MATCH($A202,campaigns!$A$2:$A$51,0))="","",INDEX(campaigns!$BG$2:$BG$51,MATCH($A202,campaigns!$A$2:$A$51,0))),"")&lt;&gt;"",IF(config!$B$37&lt;&gt;"",config!$B$37,TODAY())&gt;=WORKDAY(N(IFERROR(IF(INDEX(campaigns!$BG$2:$BG$51,MATCH($A202,campaigns!$A$2:$A$51,0))="","",INDEX(campaigns!$BG$2:$BG$51,MATCH($A202,campaigns!$A$2:$A$51,0))),"")),-4,calendar!$A$2:$A$80)),"no prefill template yet (due T-4); ","")&amp;IF(COUNTIF(links!$D$2:$D$501,$D202)&gt;1,"DUPLICATE slug; ",""))</f>
        <v/>
      </c>
    </row>
    <row r="203">
      <c r="A203" s="25">
        <f>IF(INDEX(approvals!$A$2:$A$251,INT((ROW()-2)/2)+1)="","",INDEX(approvals!$A$2:$A$251,INT((ROW()-2)/2)+1))</f>
        <v/>
      </c>
      <c r="B203" s="25">
        <f>IF(INDEX(approvals!$A$2:$A$251,INT((ROW()-2)/2)+1)="","",INDEX(approvals!$B$2:$B$251,INT((ROW()-2)/2)+1))</f>
        <v/>
      </c>
      <c r="C203" s="25">
        <f>IF($A203="","",IF(MOD(ROW()-2,2)=0,"qr","post"))</f>
        <v/>
      </c>
      <c r="D203" s="25">
        <f>IF($A203="","",IF(LEFT($A203,7)="SAMPLE-","SAMPLE-","")&amp;LOWER(SUBSTITUTE(SUBSTITUTE($A203,"SAMPLE-",""),"CMP-","c"))&amp;"-"&amp;LOWER(SUBSTITUTE(SUBSTITUTE($B203,"SAMPLE-",""),"O-","o"))&amp;"-"&amp;IF($C203="qr","q","p"))</f>
        <v/>
      </c>
      <c r="E203" s="25">
        <f>IF($A203="","","https://"&amp;config!$B$9&amp;"/"&amp;$D203)</f>
        <v/>
      </c>
      <c r="F203" s="25">
        <f>IF($A203="","",$A203&amp;"."&amp;$B203)</f>
        <v/>
      </c>
      <c r="G203" s="25">
        <f>IF($A203="","",IF(IFERROR(IF(INDEX(campaigns!$AJ$2:$AJ$51,MATCH($A203,campaigns!$A$2:$A$51,0))="","",INDEX(campaigns!$AJ$2:$AJ$51,MATCH($A203,campaigns!$A$2:$A$51,0))),"")="","(add the survey prefill template on campaigns)",SUBSTITUTE(IFERROR(IF(INDEX(campaigns!$AJ$2:$AJ$51,MATCH($A203,campaigns!$A$2:$A$51,0))="","",INDEX(campaigns!$AJ$2:$AJ$51,MATCH($A203,campaigns!$A$2:$A$51,0))),""),"CARDCODE",$F203)&amp;"&amp;utm_source=office-pantry&amp;utm_medium="&amp;$C203&amp;"&amp;utm_campaign="&amp;LOWER($A203)&amp;"&amp;utm_content="&amp;LOWER($B203)))</f>
        <v/>
      </c>
      <c r="H203" s="25">
        <f>IF(OR($A203="",$C203&lt;&gt;"qr"),"",$D203&amp;".png")</f>
        <v/>
      </c>
      <c r="I203" s="25">
        <f>IF($A203="","",IF(AND(IFERROR(IF(INDEX(campaigns!$AJ$2:$AJ$51,MATCH($A203,campaigns!$A$2:$A$51,0))="","",INDEX(campaigns!$AJ$2:$AJ$51,MATCH($A203,campaigns!$A$2:$A$51,0))),"")="",IFERROR(IF(INDEX(campaigns!$BG$2:$BG$51,MATCH($A203,campaigns!$A$2:$A$51,0))="","",INDEX(campaigns!$BG$2:$BG$51,MATCH($A203,campaigns!$A$2:$A$51,0))),"")&lt;&gt;"",IF(config!$B$37&lt;&gt;"",config!$B$37,TODAY())&gt;=WORKDAY(N(IFERROR(IF(INDEX(campaigns!$BG$2:$BG$51,MATCH($A203,campaigns!$A$2:$A$51,0))="","",INDEX(campaigns!$BG$2:$BG$51,MATCH($A203,campaigns!$A$2:$A$51,0))),"")),-4,calendar!$A$2:$A$80)),"no prefill template yet (due T-4); ","")&amp;IF(COUNTIF(links!$D$2:$D$501,$D203)&gt;1,"DUPLICATE slug; ",""))</f>
        <v/>
      </c>
    </row>
    <row r="204">
      <c r="A204" s="25">
        <f>IF(INDEX(approvals!$A$2:$A$251,INT((ROW()-2)/2)+1)="","",INDEX(approvals!$A$2:$A$251,INT((ROW()-2)/2)+1))</f>
        <v/>
      </c>
      <c r="B204" s="25">
        <f>IF(INDEX(approvals!$A$2:$A$251,INT((ROW()-2)/2)+1)="","",INDEX(approvals!$B$2:$B$251,INT((ROW()-2)/2)+1))</f>
        <v/>
      </c>
      <c r="C204" s="25">
        <f>IF($A204="","",IF(MOD(ROW()-2,2)=0,"qr","post"))</f>
        <v/>
      </c>
      <c r="D204" s="25">
        <f>IF($A204="","",IF(LEFT($A204,7)="SAMPLE-","SAMPLE-","")&amp;LOWER(SUBSTITUTE(SUBSTITUTE($A204,"SAMPLE-",""),"CMP-","c"))&amp;"-"&amp;LOWER(SUBSTITUTE(SUBSTITUTE($B204,"SAMPLE-",""),"O-","o"))&amp;"-"&amp;IF($C204="qr","q","p"))</f>
        <v/>
      </c>
      <c r="E204" s="25">
        <f>IF($A204="","","https://"&amp;config!$B$9&amp;"/"&amp;$D204)</f>
        <v/>
      </c>
      <c r="F204" s="25">
        <f>IF($A204="","",$A204&amp;"."&amp;$B204)</f>
        <v/>
      </c>
      <c r="G204" s="25">
        <f>IF($A204="","",IF(IFERROR(IF(INDEX(campaigns!$AJ$2:$AJ$51,MATCH($A204,campaigns!$A$2:$A$51,0))="","",INDEX(campaigns!$AJ$2:$AJ$51,MATCH($A204,campaigns!$A$2:$A$51,0))),"")="","(add the survey prefill template on campaigns)",SUBSTITUTE(IFERROR(IF(INDEX(campaigns!$AJ$2:$AJ$51,MATCH($A204,campaigns!$A$2:$A$51,0))="","",INDEX(campaigns!$AJ$2:$AJ$51,MATCH($A204,campaigns!$A$2:$A$51,0))),""),"CARDCODE",$F204)&amp;"&amp;utm_source=office-pantry&amp;utm_medium="&amp;$C204&amp;"&amp;utm_campaign="&amp;LOWER($A204)&amp;"&amp;utm_content="&amp;LOWER($B204)))</f>
        <v/>
      </c>
      <c r="H204" s="25">
        <f>IF(OR($A204="",$C204&lt;&gt;"qr"),"",$D204&amp;".png")</f>
        <v/>
      </c>
      <c r="I204" s="25">
        <f>IF($A204="","",IF(AND(IFERROR(IF(INDEX(campaigns!$AJ$2:$AJ$51,MATCH($A204,campaigns!$A$2:$A$51,0))="","",INDEX(campaigns!$AJ$2:$AJ$51,MATCH($A204,campaigns!$A$2:$A$51,0))),"")="",IFERROR(IF(INDEX(campaigns!$BG$2:$BG$51,MATCH($A204,campaigns!$A$2:$A$51,0))="","",INDEX(campaigns!$BG$2:$BG$51,MATCH($A204,campaigns!$A$2:$A$51,0))),"")&lt;&gt;"",IF(config!$B$37&lt;&gt;"",config!$B$37,TODAY())&gt;=WORKDAY(N(IFERROR(IF(INDEX(campaigns!$BG$2:$BG$51,MATCH($A204,campaigns!$A$2:$A$51,0))="","",INDEX(campaigns!$BG$2:$BG$51,MATCH($A204,campaigns!$A$2:$A$51,0))),"")),-4,calendar!$A$2:$A$80)),"no prefill template yet (due T-4); ","")&amp;IF(COUNTIF(links!$D$2:$D$501,$D204)&gt;1,"DUPLICATE slug; ",""))</f>
        <v/>
      </c>
    </row>
    <row r="205">
      <c r="A205" s="25">
        <f>IF(INDEX(approvals!$A$2:$A$251,INT((ROW()-2)/2)+1)="","",INDEX(approvals!$A$2:$A$251,INT((ROW()-2)/2)+1))</f>
        <v/>
      </c>
      <c r="B205" s="25">
        <f>IF(INDEX(approvals!$A$2:$A$251,INT((ROW()-2)/2)+1)="","",INDEX(approvals!$B$2:$B$251,INT((ROW()-2)/2)+1))</f>
        <v/>
      </c>
      <c r="C205" s="25">
        <f>IF($A205="","",IF(MOD(ROW()-2,2)=0,"qr","post"))</f>
        <v/>
      </c>
      <c r="D205" s="25">
        <f>IF($A205="","",IF(LEFT($A205,7)="SAMPLE-","SAMPLE-","")&amp;LOWER(SUBSTITUTE(SUBSTITUTE($A205,"SAMPLE-",""),"CMP-","c"))&amp;"-"&amp;LOWER(SUBSTITUTE(SUBSTITUTE($B205,"SAMPLE-",""),"O-","o"))&amp;"-"&amp;IF($C205="qr","q","p"))</f>
        <v/>
      </c>
      <c r="E205" s="25">
        <f>IF($A205="","","https://"&amp;config!$B$9&amp;"/"&amp;$D205)</f>
        <v/>
      </c>
      <c r="F205" s="25">
        <f>IF($A205="","",$A205&amp;"."&amp;$B205)</f>
        <v/>
      </c>
      <c r="G205" s="25">
        <f>IF($A205="","",IF(IFERROR(IF(INDEX(campaigns!$AJ$2:$AJ$51,MATCH($A205,campaigns!$A$2:$A$51,0))="","",INDEX(campaigns!$AJ$2:$AJ$51,MATCH($A205,campaigns!$A$2:$A$51,0))),"")="","(add the survey prefill template on campaigns)",SUBSTITUTE(IFERROR(IF(INDEX(campaigns!$AJ$2:$AJ$51,MATCH($A205,campaigns!$A$2:$A$51,0))="","",INDEX(campaigns!$AJ$2:$AJ$51,MATCH($A205,campaigns!$A$2:$A$51,0))),""),"CARDCODE",$F205)&amp;"&amp;utm_source=office-pantry&amp;utm_medium="&amp;$C205&amp;"&amp;utm_campaign="&amp;LOWER($A205)&amp;"&amp;utm_content="&amp;LOWER($B205)))</f>
        <v/>
      </c>
      <c r="H205" s="25">
        <f>IF(OR($A205="",$C205&lt;&gt;"qr"),"",$D205&amp;".png")</f>
        <v/>
      </c>
      <c r="I205" s="25">
        <f>IF($A205="","",IF(AND(IFERROR(IF(INDEX(campaigns!$AJ$2:$AJ$51,MATCH($A205,campaigns!$A$2:$A$51,0))="","",INDEX(campaigns!$AJ$2:$AJ$51,MATCH($A205,campaigns!$A$2:$A$51,0))),"")="",IFERROR(IF(INDEX(campaigns!$BG$2:$BG$51,MATCH($A205,campaigns!$A$2:$A$51,0))="","",INDEX(campaigns!$BG$2:$BG$51,MATCH($A205,campaigns!$A$2:$A$51,0))),"")&lt;&gt;"",IF(config!$B$37&lt;&gt;"",config!$B$37,TODAY())&gt;=WORKDAY(N(IFERROR(IF(INDEX(campaigns!$BG$2:$BG$51,MATCH($A205,campaigns!$A$2:$A$51,0))="","",INDEX(campaigns!$BG$2:$BG$51,MATCH($A205,campaigns!$A$2:$A$51,0))),"")),-4,calendar!$A$2:$A$80)),"no prefill template yet (due T-4); ","")&amp;IF(COUNTIF(links!$D$2:$D$501,$D205)&gt;1,"DUPLICATE slug; ",""))</f>
        <v/>
      </c>
    </row>
    <row r="206">
      <c r="A206" s="25">
        <f>IF(INDEX(approvals!$A$2:$A$251,INT((ROW()-2)/2)+1)="","",INDEX(approvals!$A$2:$A$251,INT((ROW()-2)/2)+1))</f>
        <v/>
      </c>
      <c r="B206" s="25">
        <f>IF(INDEX(approvals!$A$2:$A$251,INT((ROW()-2)/2)+1)="","",INDEX(approvals!$B$2:$B$251,INT((ROW()-2)/2)+1))</f>
        <v/>
      </c>
      <c r="C206" s="25">
        <f>IF($A206="","",IF(MOD(ROW()-2,2)=0,"qr","post"))</f>
        <v/>
      </c>
      <c r="D206" s="25">
        <f>IF($A206="","",IF(LEFT($A206,7)="SAMPLE-","SAMPLE-","")&amp;LOWER(SUBSTITUTE(SUBSTITUTE($A206,"SAMPLE-",""),"CMP-","c"))&amp;"-"&amp;LOWER(SUBSTITUTE(SUBSTITUTE($B206,"SAMPLE-",""),"O-","o"))&amp;"-"&amp;IF($C206="qr","q","p"))</f>
        <v/>
      </c>
      <c r="E206" s="25">
        <f>IF($A206="","","https://"&amp;config!$B$9&amp;"/"&amp;$D206)</f>
        <v/>
      </c>
      <c r="F206" s="25">
        <f>IF($A206="","",$A206&amp;"."&amp;$B206)</f>
        <v/>
      </c>
      <c r="G206" s="25">
        <f>IF($A206="","",IF(IFERROR(IF(INDEX(campaigns!$AJ$2:$AJ$51,MATCH($A206,campaigns!$A$2:$A$51,0))="","",INDEX(campaigns!$AJ$2:$AJ$51,MATCH($A206,campaigns!$A$2:$A$51,0))),"")="","(add the survey prefill template on campaigns)",SUBSTITUTE(IFERROR(IF(INDEX(campaigns!$AJ$2:$AJ$51,MATCH($A206,campaigns!$A$2:$A$51,0))="","",INDEX(campaigns!$AJ$2:$AJ$51,MATCH($A206,campaigns!$A$2:$A$51,0))),""),"CARDCODE",$F206)&amp;"&amp;utm_source=office-pantry&amp;utm_medium="&amp;$C206&amp;"&amp;utm_campaign="&amp;LOWER($A206)&amp;"&amp;utm_content="&amp;LOWER($B206)))</f>
        <v/>
      </c>
      <c r="H206" s="25">
        <f>IF(OR($A206="",$C206&lt;&gt;"qr"),"",$D206&amp;".png")</f>
        <v/>
      </c>
      <c r="I206" s="25">
        <f>IF($A206="","",IF(AND(IFERROR(IF(INDEX(campaigns!$AJ$2:$AJ$51,MATCH($A206,campaigns!$A$2:$A$51,0))="","",INDEX(campaigns!$AJ$2:$AJ$51,MATCH($A206,campaigns!$A$2:$A$51,0))),"")="",IFERROR(IF(INDEX(campaigns!$BG$2:$BG$51,MATCH($A206,campaigns!$A$2:$A$51,0))="","",INDEX(campaigns!$BG$2:$BG$51,MATCH($A206,campaigns!$A$2:$A$51,0))),"")&lt;&gt;"",IF(config!$B$37&lt;&gt;"",config!$B$37,TODAY())&gt;=WORKDAY(N(IFERROR(IF(INDEX(campaigns!$BG$2:$BG$51,MATCH($A206,campaigns!$A$2:$A$51,0))="","",INDEX(campaigns!$BG$2:$BG$51,MATCH($A206,campaigns!$A$2:$A$51,0))),"")),-4,calendar!$A$2:$A$80)),"no prefill template yet (due T-4); ","")&amp;IF(COUNTIF(links!$D$2:$D$501,$D206)&gt;1,"DUPLICATE slug; ",""))</f>
        <v/>
      </c>
    </row>
    <row r="207">
      <c r="A207" s="25">
        <f>IF(INDEX(approvals!$A$2:$A$251,INT((ROW()-2)/2)+1)="","",INDEX(approvals!$A$2:$A$251,INT((ROW()-2)/2)+1))</f>
        <v/>
      </c>
      <c r="B207" s="25">
        <f>IF(INDEX(approvals!$A$2:$A$251,INT((ROW()-2)/2)+1)="","",INDEX(approvals!$B$2:$B$251,INT((ROW()-2)/2)+1))</f>
        <v/>
      </c>
      <c r="C207" s="25">
        <f>IF($A207="","",IF(MOD(ROW()-2,2)=0,"qr","post"))</f>
        <v/>
      </c>
      <c r="D207" s="25">
        <f>IF($A207="","",IF(LEFT($A207,7)="SAMPLE-","SAMPLE-","")&amp;LOWER(SUBSTITUTE(SUBSTITUTE($A207,"SAMPLE-",""),"CMP-","c"))&amp;"-"&amp;LOWER(SUBSTITUTE(SUBSTITUTE($B207,"SAMPLE-",""),"O-","o"))&amp;"-"&amp;IF($C207="qr","q","p"))</f>
        <v/>
      </c>
      <c r="E207" s="25">
        <f>IF($A207="","","https://"&amp;config!$B$9&amp;"/"&amp;$D207)</f>
        <v/>
      </c>
      <c r="F207" s="25">
        <f>IF($A207="","",$A207&amp;"."&amp;$B207)</f>
        <v/>
      </c>
      <c r="G207" s="25">
        <f>IF($A207="","",IF(IFERROR(IF(INDEX(campaigns!$AJ$2:$AJ$51,MATCH($A207,campaigns!$A$2:$A$51,0))="","",INDEX(campaigns!$AJ$2:$AJ$51,MATCH($A207,campaigns!$A$2:$A$51,0))),"")="","(add the survey prefill template on campaigns)",SUBSTITUTE(IFERROR(IF(INDEX(campaigns!$AJ$2:$AJ$51,MATCH($A207,campaigns!$A$2:$A$51,0))="","",INDEX(campaigns!$AJ$2:$AJ$51,MATCH($A207,campaigns!$A$2:$A$51,0))),""),"CARDCODE",$F207)&amp;"&amp;utm_source=office-pantry&amp;utm_medium="&amp;$C207&amp;"&amp;utm_campaign="&amp;LOWER($A207)&amp;"&amp;utm_content="&amp;LOWER($B207)))</f>
        <v/>
      </c>
      <c r="H207" s="25">
        <f>IF(OR($A207="",$C207&lt;&gt;"qr"),"",$D207&amp;".png")</f>
        <v/>
      </c>
      <c r="I207" s="25">
        <f>IF($A207="","",IF(AND(IFERROR(IF(INDEX(campaigns!$AJ$2:$AJ$51,MATCH($A207,campaigns!$A$2:$A$51,0))="","",INDEX(campaigns!$AJ$2:$AJ$51,MATCH($A207,campaigns!$A$2:$A$51,0))),"")="",IFERROR(IF(INDEX(campaigns!$BG$2:$BG$51,MATCH($A207,campaigns!$A$2:$A$51,0))="","",INDEX(campaigns!$BG$2:$BG$51,MATCH($A207,campaigns!$A$2:$A$51,0))),"")&lt;&gt;"",IF(config!$B$37&lt;&gt;"",config!$B$37,TODAY())&gt;=WORKDAY(N(IFERROR(IF(INDEX(campaigns!$BG$2:$BG$51,MATCH($A207,campaigns!$A$2:$A$51,0))="","",INDEX(campaigns!$BG$2:$BG$51,MATCH($A207,campaigns!$A$2:$A$51,0))),"")),-4,calendar!$A$2:$A$80)),"no prefill template yet (due T-4); ","")&amp;IF(COUNTIF(links!$D$2:$D$501,$D207)&gt;1,"DUPLICATE slug; ",""))</f>
        <v/>
      </c>
    </row>
    <row r="208">
      <c r="A208" s="25">
        <f>IF(INDEX(approvals!$A$2:$A$251,INT((ROW()-2)/2)+1)="","",INDEX(approvals!$A$2:$A$251,INT((ROW()-2)/2)+1))</f>
        <v/>
      </c>
      <c r="B208" s="25">
        <f>IF(INDEX(approvals!$A$2:$A$251,INT((ROW()-2)/2)+1)="","",INDEX(approvals!$B$2:$B$251,INT((ROW()-2)/2)+1))</f>
        <v/>
      </c>
      <c r="C208" s="25">
        <f>IF($A208="","",IF(MOD(ROW()-2,2)=0,"qr","post"))</f>
        <v/>
      </c>
      <c r="D208" s="25">
        <f>IF($A208="","",IF(LEFT($A208,7)="SAMPLE-","SAMPLE-","")&amp;LOWER(SUBSTITUTE(SUBSTITUTE($A208,"SAMPLE-",""),"CMP-","c"))&amp;"-"&amp;LOWER(SUBSTITUTE(SUBSTITUTE($B208,"SAMPLE-",""),"O-","o"))&amp;"-"&amp;IF($C208="qr","q","p"))</f>
        <v/>
      </c>
      <c r="E208" s="25">
        <f>IF($A208="","","https://"&amp;config!$B$9&amp;"/"&amp;$D208)</f>
        <v/>
      </c>
      <c r="F208" s="25">
        <f>IF($A208="","",$A208&amp;"."&amp;$B208)</f>
        <v/>
      </c>
      <c r="G208" s="25">
        <f>IF($A208="","",IF(IFERROR(IF(INDEX(campaigns!$AJ$2:$AJ$51,MATCH($A208,campaigns!$A$2:$A$51,0))="","",INDEX(campaigns!$AJ$2:$AJ$51,MATCH($A208,campaigns!$A$2:$A$51,0))),"")="","(add the survey prefill template on campaigns)",SUBSTITUTE(IFERROR(IF(INDEX(campaigns!$AJ$2:$AJ$51,MATCH($A208,campaigns!$A$2:$A$51,0))="","",INDEX(campaigns!$AJ$2:$AJ$51,MATCH($A208,campaigns!$A$2:$A$51,0))),""),"CARDCODE",$F208)&amp;"&amp;utm_source=office-pantry&amp;utm_medium="&amp;$C208&amp;"&amp;utm_campaign="&amp;LOWER($A208)&amp;"&amp;utm_content="&amp;LOWER($B208)))</f>
        <v/>
      </c>
      <c r="H208" s="25">
        <f>IF(OR($A208="",$C208&lt;&gt;"qr"),"",$D208&amp;".png")</f>
        <v/>
      </c>
      <c r="I208" s="25">
        <f>IF($A208="","",IF(AND(IFERROR(IF(INDEX(campaigns!$AJ$2:$AJ$51,MATCH($A208,campaigns!$A$2:$A$51,0))="","",INDEX(campaigns!$AJ$2:$AJ$51,MATCH($A208,campaigns!$A$2:$A$51,0))),"")="",IFERROR(IF(INDEX(campaigns!$BG$2:$BG$51,MATCH($A208,campaigns!$A$2:$A$51,0))="","",INDEX(campaigns!$BG$2:$BG$51,MATCH($A208,campaigns!$A$2:$A$51,0))),"")&lt;&gt;"",IF(config!$B$37&lt;&gt;"",config!$B$37,TODAY())&gt;=WORKDAY(N(IFERROR(IF(INDEX(campaigns!$BG$2:$BG$51,MATCH($A208,campaigns!$A$2:$A$51,0))="","",INDEX(campaigns!$BG$2:$BG$51,MATCH($A208,campaigns!$A$2:$A$51,0))),"")),-4,calendar!$A$2:$A$80)),"no prefill template yet (due T-4); ","")&amp;IF(COUNTIF(links!$D$2:$D$501,$D208)&gt;1,"DUPLICATE slug; ",""))</f>
        <v/>
      </c>
    </row>
    <row r="209">
      <c r="A209" s="25">
        <f>IF(INDEX(approvals!$A$2:$A$251,INT((ROW()-2)/2)+1)="","",INDEX(approvals!$A$2:$A$251,INT((ROW()-2)/2)+1))</f>
        <v/>
      </c>
      <c r="B209" s="25">
        <f>IF(INDEX(approvals!$A$2:$A$251,INT((ROW()-2)/2)+1)="","",INDEX(approvals!$B$2:$B$251,INT((ROW()-2)/2)+1))</f>
        <v/>
      </c>
      <c r="C209" s="25">
        <f>IF($A209="","",IF(MOD(ROW()-2,2)=0,"qr","post"))</f>
        <v/>
      </c>
      <c r="D209" s="25">
        <f>IF($A209="","",IF(LEFT($A209,7)="SAMPLE-","SAMPLE-","")&amp;LOWER(SUBSTITUTE(SUBSTITUTE($A209,"SAMPLE-",""),"CMP-","c"))&amp;"-"&amp;LOWER(SUBSTITUTE(SUBSTITUTE($B209,"SAMPLE-",""),"O-","o"))&amp;"-"&amp;IF($C209="qr","q","p"))</f>
        <v/>
      </c>
      <c r="E209" s="25">
        <f>IF($A209="","","https://"&amp;config!$B$9&amp;"/"&amp;$D209)</f>
        <v/>
      </c>
      <c r="F209" s="25">
        <f>IF($A209="","",$A209&amp;"."&amp;$B209)</f>
        <v/>
      </c>
      <c r="G209" s="25">
        <f>IF($A209="","",IF(IFERROR(IF(INDEX(campaigns!$AJ$2:$AJ$51,MATCH($A209,campaigns!$A$2:$A$51,0))="","",INDEX(campaigns!$AJ$2:$AJ$51,MATCH($A209,campaigns!$A$2:$A$51,0))),"")="","(add the survey prefill template on campaigns)",SUBSTITUTE(IFERROR(IF(INDEX(campaigns!$AJ$2:$AJ$51,MATCH($A209,campaigns!$A$2:$A$51,0))="","",INDEX(campaigns!$AJ$2:$AJ$51,MATCH($A209,campaigns!$A$2:$A$51,0))),""),"CARDCODE",$F209)&amp;"&amp;utm_source=office-pantry&amp;utm_medium="&amp;$C209&amp;"&amp;utm_campaign="&amp;LOWER($A209)&amp;"&amp;utm_content="&amp;LOWER($B209)))</f>
        <v/>
      </c>
      <c r="H209" s="25">
        <f>IF(OR($A209="",$C209&lt;&gt;"qr"),"",$D209&amp;".png")</f>
        <v/>
      </c>
      <c r="I209" s="25">
        <f>IF($A209="","",IF(AND(IFERROR(IF(INDEX(campaigns!$AJ$2:$AJ$51,MATCH($A209,campaigns!$A$2:$A$51,0))="","",INDEX(campaigns!$AJ$2:$AJ$51,MATCH($A209,campaigns!$A$2:$A$51,0))),"")="",IFERROR(IF(INDEX(campaigns!$BG$2:$BG$51,MATCH($A209,campaigns!$A$2:$A$51,0))="","",INDEX(campaigns!$BG$2:$BG$51,MATCH($A209,campaigns!$A$2:$A$51,0))),"")&lt;&gt;"",IF(config!$B$37&lt;&gt;"",config!$B$37,TODAY())&gt;=WORKDAY(N(IFERROR(IF(INDEX(campaigns!$BG$2:$BG$51,MATCH($A209,campaigns!$A$2:$A$51,0))="","",INDEX(campaigns!$BG$2:$BG$51,MATCH($A209,campaigns!$A$2:$A$51,0))),"")),-4,calendar!$A$2:$A$80)),"no prefill template yet (due T-4); ","")&amp;IF(COUNTIF(links!$D$2:$D$501,$D209)&gt;1,"DUPLICATE slug; ",""))</f>
        <v/>
      </c>
    </row>
    <row r="210">
      <c r="A210" s="25">
        <f>IF(INDEX(approvals!$A$2:$A$251,INT((ROW()-2)/2)+1)="","",INDEX(approvals!$A$2:$A$251,INT((ROW()-2)/2)+1))</f>
        <v/>
      </c>
      <c r="B210" s="25">
        <f>IF(INDEX(approvals!$A$2:$A$251,INT((ROW()-2)/2)+1)="","",INDEX(approvals!$B$2:$B$251,INT((ROW()-2)/2)+1))</f>
        <v/>
      </c>
      <c r="C210" s="25">
        <f>IF($A210="","",IF(MOD(ROW()-2,2)=0,"qr","post"))</f>
        <v/>
      </c>
      <c r="D210" s="25">
        <f>IF($A210="","",IF(LEFT($A210,7)="SAMPLE-","SAMPLE-","")&amp;LOWER(SUBSTITUTE(SUBSTITUTE($A210,"SAMPLE-",""),"CMP-","c"))&amp;"-"&amp;LOWER(SUBSTITUTE(SUBSTITUTE($B210,"SAMPLE-",""),"O-","o"))&amp;"-"&amp;IF($C210="qr","q","p"))</f>
        <v/>
      </c>
      <c r="E210" s="25">
        <f>IF($A210="","","https://"&amp;config!$B$9&amp;"/"&amp;$D210)</f>
        <v/>
      </c>
      <c r="F210" s="25">
        <f>IF($A210="","",$A210&amp;"."&amp;$B210)</f>
        <v/>
      </c>
      <c r="G210" s="25">
        <f>IF($A210="","",IF(IFERROR(IF(INDEX(campaigns!$AJ$2:$AJ$51,MATCH($A210,campaigns!$A$2:$A$51,0))="","",INDEX(campaigns!$AJ$2:$AJ$51,MATCH($A210,campaigns!$A$2:$A$51,0))),"")="","(add the survey prefill template on campaigns)",SUBSTITUTE(IFERROR(IF(INDEX(campaigns!$AJ$2:$AJ$51,MATCH($A210,campaigns!$A$2:$A$51,0))="","",INDEX(campaigns!$AJ$2:$AJ$51,MATCH($A210,campaigns!$A$2:$A$51,0))),""),"CARDCODE",$F210)&amp;"&amp;utm_source=office-pantry&amp;utm_medium="&amp;$C210&amp;"&amp;utm_campaign="&amp;LOWER($A210)&amp;"&amp;utm_content="&amp;LOWER($B210)))</f>
        <v/>
      </c>
      <c r="H210" s="25">
        <f>IF(OR($A210="",$C210&lt;&gt;"qr"),"",$D210&amp;".png")</f>
        <v/>
      </c>
      <c r="I210" s="25">
        <f>IF($A210="","",IF(AND(IFERROR(IF(INDEX(campaigns!$AJ$2:$AJ$51,MATCH($A210,campaigns!$A$2:$A$51,0))="","",INDEX(campaigns!$AJ$2:$AJ$51,MATCH($A210,campaigns!$A$2:$A$51,0))),"")="",IFERROR(IF(INDEX(campaigns!$BG$2:$BG$51,MATCH($A210,campaigns!$A$2:$A$51,0))="","",INDEX(campaigns!$BG$2:$BG$51,MATCH($A210,campaigns!$A$2:$A$51,0))),"")&lt;&gt;"",IF(config!$B$37&lt;&gt;"",config!$B$37,TODAY())&gt;=WORKDAY(N(IFERROR(IF(INDEX(campaigns!$BG$2:$BG$51,MATCH($A210,campaigns!$A$2:$A$51,0))="","",INDEX(campaigns!$BG$2:$BG$51,MATCH($A210,campaigns!$A$2:$A$51,0))),"")),-4,calendar!$A$2:$A$80)),"no prefill template yet (due T-4); ","")&amp;IF(COUNTIF(links!$D$2:$D$501,$D210)&gt;1,"DUPLICATE slug; ",""))</f>
        <v/>
      </c>
    </row>
    <row r="211">
      <c r="A211" s="25">
        <f>IF(INDEX(approvals!$A$2:$A$251,INT((ROW()-2)/2)+1)="","",INDEX(approvals!$A$2:$A$251,INT((ROW()-2)/2)+1))</f>
        <v/>
      </c>
      <c r="B211" s="25">
        <f>IF(INDEX(approvals!$A$2:$A$251,INT((ROW()-2)/2)+1)="","",INDEX(approvals!$B$2:$B$251,INT((ROW()-2)/2)+1))</f>
        <v/>
      </c>
      <c r="C211" s="25">
        <f>IF($A211="","",IF(MOD(ROW()-2,2)=0,"qr","post"))</f>
        <v/>
      </c>
      <c r="D211" s="25">
        <f>IF($A211="","",IF(LEFT($A211,7)="SAMPLE-","SAMPLE-","")&amp;LOWER(SUBSTITUTE(SUBSTITUTE($A211,"SAMPLE-",""),"CMP-","c"))&amp;"-"&amp;LOWER(SUBSTITUTE(SUBSTITUTE($B211,"SAMPLE-",""),"O-","o"))&amp;"-"&amp;IF($C211="qr","q","p"))</f>
        <v/>
      </c>
      <c r="E211" s="25">
        <f>IF($A211="","","https://"&amp;config!$B$9&amp;"/"&amp;$D211)</f>
        <v/>
      </c>
      <c r="F211" s="25">
        <f>IF($A211="","",$A211&amp;"."&amp;$B211)</f>
        <v/>
      </c>
      <c r="G211" s="25">
        <f>IF($A211="","",IF(IFERROR(IF(INDEX(campaigns!$AJ$2:$AJ$51,MATCH($A211,campaigns!$A$2:$A$51,0))="","",INDEX(campaigns!$AJ$2:$AJ$51,MATCH($A211,campaigns!$A$2:$A$51,0))),"")="","(add the survey prefill template on campaigns)",SUBSTITUTE(IFERROR(IF(INDEX(campaigns!$AJ$2:$AJ$51,MATCH($A211,campaigns!$A$2:$A$51,0))="","",INDEX(campaigns!$AJ$2:$AJ$51,MATCH($A211,campaigns!$A$2:$A$51,0))),""),"CARDCODE",$F211)&amp;"&amp;utm_source=office-pantry&amp;utm_medium="&amp;$C211&amp;"&amp;utm_campaign="&amp;LOWER($A211)&amp;"&amp;utm_content="&amp;LOWER($B211)))</f>
        <v/>
      </c>
      <c r="H211" s="25">
        <f>IF(OR($A211="",$C211&lt;&gt;"qr"),"",$D211&amp;".png")</f>
        <v/>
      </c>
      <c r="I211" s="25">
        <f>IF($A211="","",IF(AND(IFERROR(IF(INDEX(campaigns!$AJ$2:$AJ$51,MATCH($A211,campaigns!$A$2:$A$51,0))="","",INDEX(campaigns!$AJ$2:$AJ$51,MATCH($A211,campaigns!$A$2:$A$51,0))),"")="",IFERROR(IF(INDEX(campaigns!$BG$2:$BG$51,MATCH($A211,campaigns!$A$2:$A$51,0))="","",INDEX(campaigns!$BG$2:$BG$51,MATCH($A211,campaigns!$A$2:$A$51,0))),"")&lt;&gt;"",IF(config!$B$37&lt;&gt;"",config!$B$37,TODAY())&gt;=WORKDAY(N(IFERROR(IF(INDEX(campaigns!$BG$2:$BG$51,MATCH($A211,campaigns!$A$2:$A$51,0))="","",INDEX(campaigns!$BG$2:$BG$51,MATCH($A211,campaigns!$A$2:$A$51,0))),"")),-4,calendar!$A$2:$A$80)),"no prefill template yet (due T-4); ","")&amp;IF(COUNTIF(links!$D$2:$D$501,$D211)&gt;1,"DUPLICATE slug; ",""))</f>
        <v/>
      </c>
    </row>
    <row r="212">
      <c r="A212" s="25">
        <f>IF(INDEX(approvals!$A$2:$A$251,INT((ROW()-2)/2)+1)="","",INDEX(approvals!$A$2:$A$251,INT((ROW()-2)/2)+1))</f>
        <v/>
      </c>
      <c r="B212" s="25">
        <f>IF(INDEX(approvals!$A$2:$A$251,INT((ROW()-2)/2)+1)="","",INDEX(approvals!$B$2:$B$251,INT((ROW()-2)/2)+1))</f>
        <v/>
      </c>
      <c r="C212" s="25">
        <f>IF($A212="","",IF(MOD(ROW()-2,2)=0,"qr","post"))</f>
        <v/>
      </c>
      <c r="D212" s="25">
        <f>IF($A212="","",IF(LEFT($A212,7)="SAMPLE-","SAMPLE-","")&amp;LOWER(SUBSTITUTE(SUBSTITUTE($A212,"SAMPLE-",""),"CMP-","c"))&amp;"-"&amp;LOWER(SUBSTITUTE(SUBSTITUTE($B212,"SAMPLE-",""),"O-","o"))&amp;"-"&amp;IF($C212="qr","q","p"))</f>
        <v/>
      </c>
      <c r="E212" s="25">
        <f>IF($A212="","","https://"&amp;config!$B$9&amp;"/"&amp;$D212)</f>
        <v/>
      </c>
      <c r="F212" s="25">
        <f>IF($A212="","",$A212&amp;"."&amp;$B212)</f>
        <v/>
      </c>
      <c r="G212" s="25">
        <f>IF($A212="","",IF(IFERROR(IF(INDEX(campaigns!$AJ$2:$AJ$51,MATCH($A212,campaigns!$A$2:$A$51,0))="","",INDEX(campaigns!$AJ$2:$AJ$51,MATCH($A212,campaigns!$A$2:$A$51,0))),"")="","(add the survey prefill template on campaigns)",SUBSTITUTE(IFERROR(IF(INDEX(campaigns!$AJ$2:$AJ$51,MATCH($A212,campaigns!$A$2:$A$51,0))="","",INDEX(campaigns!$AJ$2:$AJ$51,MATCH($A212,campaigns!$A$2:$A$51,0))),""),"CARDCODE",$F212)&amp;"&amp;utm_source=office-pantry&amp;utm_medium="&amp;$C212&amp;"&amp;utm_campaign="&amp;LOWER($A212)&amp;"&amp;utm_content="&amp;LOWER($B212)))</f>
        <v/>
      </c>
      <c r="H212" s="25">
        <f>IF(OR($A212="",$C212&lt;&gt;"qr"),"",$D212&amp;".png")</f>
        <v/>
      </c>
      <c r="I212" s="25">
        <f>IF($A212="","",IF(AND(IFERROR(IF(INDEX(campaigns!$AJ$2:$AJ$51,MATCH($A212,campaigns!$A$2:$A$51,0))="","",INDEX(campaigns!$AJ$2:$AJ$51,MATCH($A212,campaigns!$A$2:$A$51,0))),"")="",IFERROR(IF(INDEX(campaigns!$BG$2:$BG$51,MATCH($A212,campaigns!$A$2:$A$51,0))="","",INDEX(campaigns!$BG$2:$BG$51,MATCH($A212,campaigns!$A$2:$A$51,0))),"")&lt;&gt;"",IF(config!$B$37&lt;&gt;"",config!$B$37,TODAY())&gt;=WORKDAY(N(IFERROR(IF(INDEX(campaigns!$BG$2:$BG$51,MATCH($A212,campaigns!$A$2:$A$51,0))="","",INDEX(campaigns!$BG$2:$BG$51,MATCH($A212,campaigns!$A$2:$A$51,0))),"")),-4,calendar!$A$2:$A$80)),"no prefill template yet (due T-4); ","")&amp;IF(COUNTIF(links!$D$2:$D$501,$D212)&gt;1,"DUPLICATE slug; ",""))</f>
        <v/>
      </c>
    </row>
    <row r="213">
      <c r="A213" s="25">
        <f>IF(INDEX(approvals!$A$2:$A$251,INT((ROW()-2)/2)+1)="","",INDEX(approvals!$A$2:$A$251,INT((ROW()-2)/2)+1))</f>
        <v/>
      </c>
      <c r="B213" s="25">
        <f>IF(INDEX(approvals!$A$2:$A$251,INT((ROW()-2)/2)+1)="","",INDEX(approvals!$B$2:$B$251,INT((ROW()-2)/2)+1))</f>
        <v/>
      </c>
      <c r="C213" s="25">
        <f>IF($A213="","",IF(MOD(ROW()-2,2)=0,"qr","post"))</f>
        <v/>
      </c>
      <c r="D213" s="25">
        <f>IF($A213="","",IF(LEFT($A213,7)="SAMPLE-","SAMPLE-","")&amp;LOWER(SUBSTITUTE(SUBSTITUTE($A213,"SAMPLE-",""),"CMP-","c"))&amp;"-"&amp;LOWER(SUBSTITUTE(SUBSTITUTE($B213,"SAMPLE-",""),"O-","o"))&amp;"-"&amp;IF($C213="qr","q","p"))</f>
        <v/>
      </c>
      <c r="E213" s="25">
        <f>IF($A213="","","https://"&amp;config!$B$9&amp;"/"&amp;$D213)</f>
        <v/>
      </c>
      <c r="F213" s="25">
        <f>IF($A213="","",$A213&amp;"."&amp;$B213)</f>
        <v/>
      </c>
      <c r="G213" s="25">
        <f>IF($A213="","",IF(IFERROR(IF(INDEX(campaigns!$AJ$2:$AJ$51,MATCH($A213,campaigns!$A$2:$A$51,0))="","",INDEX(campaigns!$AJ$2:$AJ$51,MATCH($A213,campaigns!$A$2:$A$51,0))),"")="","(add the survey prefill template on campaigns)",SUBSTITUTE(IFERROR(IF(INDEX(campaigns!$AJ$2:$AJ$51,MATCH($A213,campaigns!$A$2:$A$51,0))="","",INDEX(campaigns!$AJ$2:$AJ$51,MATCH($A213,campaigns!$A$2:$A$51,0))),""),"CARDCODE",$F213)&amp;"&amp;utm_source=office-pantry&amp;utm_medium="&amp;$C213&amp;"&amp;utm_campaign="&amp;LOWER($A213)&amp;"&amp;utm_content="&amp;LOWER($B213)))</f>
        <v/>
      </c>
      <c r="H213" s="25">
        <f>IF(OR($A213="",$C213&lt;&gt;"qr"),"",$D213&amp;".png")</f>
        <v/>
      </c>
      <c r="I213" s="25">
        <f>IF($A213="","",IF(AND(IFERROR(IF(INDEX(campaigns!$AJ$2:$AJ$51,MATCH($A213,campaigns!$A$2:$A$51,0))="","",INDEX(campaigns!$AJ$2:$AJ$51,MATCH($A213,campaigns!$A$2:$A$51,0))),"")="",IFERROR(IF(INDEX(campaigns!$BG$2:$BG$51,MATCH($A213,campaigns!$A$2:$A$51,0))="","",INDEX(campaigns!$BG$2:$BG$51,MATCH($A213,campaigns!$A$2:$A$51,0))),"")&lt;&gt;"",IF(config!$B$37&lt;&gt;"",config!$B$37,TODAY())&gt;=WORKDAY(N(IFERROR(IF(INDEX(campaigns!$BG$2:$BG$51,MATCH($A213,campaigns!$A$2:$A$51,0))="","",INDEX(campaigns!$BG$2:$BG$51,MATCH($A213,campaigns!$A$2:$A$51,0))),"")),-4,calendar!$A$2:$A$80)),"no prefill template yet (due T-4); ","")&amp;IF(COUNTIF(links!$D$2:$D$501,$D213)&gt;1,"DUPLICATE slug; ",""))</f>
        <v/>
      </c>
    </row>
    <row r="214">
      <c r="A214" s="25">
        <f>IF(INDEX(approvals!$A$2:$A$251,INT((ROW()-2)/2)+1)="","",INDEX(approvals!$A$2:$A$251,INT((ROW()-2)/2)+1))</f>
        <v/>
      </c>
      <c r="B214" s="25">
        <f>IF(INDEX(approvals!$A$2:$A$251,INT((ROW()-2)/2)+1)="","",INDEX(approvals!$B$2:$B$251,INT((ROW()-2)/2)+1))</f>
        <v/>
      </c>
      <c r="C214" s="25">
        <f>IF($A214="","",IF(MOD(ROW()-2,2)=0,"qr","post"))</f>
        <v/>
      </c>
      <c r="D214" s="25">
        <f>IF($A214="","",IF(LEFT($A214,7)="SAMPLE-","SAMPLE-","")&amp;LOWER(SUBSTITUTE(SUBSTITUTE($A214,"SAMPLE-",""),"CMP-","c"))&amp;"-"&amp;LOWER(SUBSTITUTE(SUBSTITUTE($B214,"SAMPLE-",""),"O-","o"))&amp;"-"&amp;IF($C214="qr","q","p"))</f>
        <v/>
      </c>
      <c r="E214" s="25">
        <f>IF($A214="","","https://"&amp;config!$B$9&amp;"/"&amp;$D214)</f>
        <v/>
      </c>
      <c r="F214" s="25">
        <f>IF($A214="","",$A214&amp;"."&amp;$B214)</f>
        <v/>
      </c>
      <c r="G214" s="25">
        <f>IF($A214="","",IF(IFERROR(IF(INDEX(campaigns!$AJ$2:$AJ$51,MATCH($A214,campaigns!$A$2:$A$51,0))="","",INDEX(campaigns!$AJ$2:$AJ$51,MATCH($A214,campaigns!$A$2:$A$51,0))),"")="","(add the survey prefill template on campaigns)",SUBSTITUTE(IFERROR(IF(INDEX(campaigns!$AJ$2:$AJ$51,MATCH($A214,campaigns!$A$2:$A$51,0))="","",INDEX(campaigns!$AJ$2:$AJ$51,MATCH($A214,campaigns!$A$2:$A$51,0))),""),"CARDCODE",$F214)&amp;"&amp;utm_source=office-pantry&amp;utm_medium="&amp;$C214&amp;"&amp;utm_campaign="&amp;LOWER($A214)&amp;"&amp;utm_content="&amp;LOWER($B214)))</f>
        <v/>
      </c>
      <c r="H214" s="25">
        <f>IF(OR($A214="",$C214&lt;&gt;"qr"),"",$D214&amp;".png")</f>
        <v/>
      </c>
      <c r="I214" s="25">
        <f>IF($A214="","",IF(AND(IFERROR(IF(INDEX(campaigns!$AJ$2:$AJ$51,MATCH($A214,campaigns!$A$2:$A$51,0))="","",INDEX(campaigns!$AJ$2:$AJ$51,MATCH($A214,campaigns!$A$2:$A$51,0))),"")="",IFERROR(IF(INDEX(campaigns!$BG$2:$BG$51,MATCH($A214,campaigns!$A$2:$A$51,0))="","",INDEX(campaigns!$BG$2:$BG$51,MATCH($A214,campaigns!$A$2:$A$51,0))),"")&lt;&gt;"",IF(config!$B$37&lt;&gt;"",config!$B$37,TODAY())&gt;=WORKDAY(N(IFERROR(IF(INDEX(campaigns!$BG$2:$BG$51,MATCH($A214,campaigns!$A$2:$A$51,0))="","",INDEX(campaigns!$BG$2:$BG$51,MATCH($A214,campaigns!$A$2:$A$51,0))),"")),-4,calendar!$A$2:$A$80)),"no prefill template yet (due T-4); ","")&amp;IF(COUNTIF(links!$D$2:$D$501,$D214)&gt;1,"DUPLICATE slug; ",""))</f>
        <v/>
      </c>
    </row>
    <row r="215">
      <c r="A215" s="25">
        <f>IF(INDEX(approvals!$A$2:$A$251,INT((ROW()-2)/2)+1)="","",INDEX(approvals!$A$2:$A$251,INT((ROW()-2)/2)+1))</f>
        <v/>
      </c>
      <c r="B215" s="25">
        <f>IF(INDEX(approvals!$A$2:$A$251,INT((ROW()-2)/2)+1)="","",INDEX(approvals!$B$2:$B$251,INT((ROW()-2)/2)+1))</f>
        <v/>
      </c>
      <c r="C215" s="25">
        <f>IF($A215="","",IF(MOD(ROW()-2,2)=0,"qr","post"))</f>
        <v/>
      </c>
      <c r="D215" s="25">
        <f>IF($A215="","",IF(LEFT($A215,7)="SAMPLE-","SAMPLE-","")&amp;LOWER(SUBSTITUTE(SUBSTITUTE($A215,"SAMPLE-",""),"CMP-","c"))&amp;"-"&amp;LOWER(SUBSTITUTE(SUBSTITUTE($B215,"SAMPLE-",""),"O-","o"))&amp;"-"&amp;IF($C215="qr","q","p"))</f>
        <v/>
      </c>
      <c r="E215" s="25">
        <f>IF($A215="","","https://"&amp;config!$B$9&amp;"/"&amp;$D215)</f>
        <v/>
      </c>
      <c r="F215" s="25">
        <f>IF($A215="","",$A215&amp;"."&amp;$B215)</f>
        <v/>
      </c>
      <c r="G215" s="25">
        <f>IF($A215="","",IF(IFERROR(IF(INDEX(campaigns!$AJ$2:$AJ$51,MATCH($A215,campaigns!$A$2:$A$51,0))="","",INDEX(campaigns!$AJ$2:$AJ$51,MATCH($A215,campaigns!$A$2:$A$51,0))),"")="","(add the survey prefill template on campaigns)",SUBSTITUTE(IFERROR(IF(INDEX(campaigns!$AJ$2:$AJ$51,MATCH($A215,campaigns!$A$2:$A$51,0))="","",INDEX(campaigns!$AJ$2:$AJ$51,MATCH($A215,campaigns!$A$2:$A$51,0))),""),"CARDCODE",$F215)&amp;"&amp;utm_source=office-pantry&amp;utm_medium="&amp;$C215&amp;"&amp;utm_campaign="&amp;LOWER($A215)&amp;"&amp;utm_content="&amp;LOWER($B215)))</f>
        <v/>
      </c>
      <c r="H215" s="25">
        <f>IF(OR($A215="",$C215&lt;&gt;"qr"),"",$D215&amp;".png")</f>
        <v/>
      </c>
      <c r="I215" s="25">
        <f>IF($A215="","",IF(AND(IFERROR(IF(INDEX(campaigns!$AJ$2:$AJ$51,MATCH($A215,campaigns!$A$2:$A$51,0))="","",INDEX(campaigns!$AJ$2:$AJ$51,MATCH($A215,campaigns!$A$2:$A$51,0))),"")="",IFERROR(IF(INDEX(campaigns!$BG$2:$BG$51,MATCH($A215,campaigns!$A$2:$A$51,0))="","",INDEX(campaigns!$BG$2:$BG$51,MATCH($A215,campaigns!$A$2:$A$51,0))),"")&lt;&gt;"",IF(config!$B$37&lt;&gt;"",config!$B$37,TODAY())&gt;=WORKDAY(N(IFERROR(IF(INDEX(campaigns!$BG$2:$BG$51,MATCH($A215,campaigns!$A$2:$A$51,0))="","",INDEX(campaigns!$BG$2:$BG$51,MATCH($A215,campaigns!$A$2:$A$51,0))),"")),-4,calendar!$A$2:$A$80)),"no prefill template yet (due T-4); ","")&amp;IF(COUNTIF(links!$D$2:$D$501,$D215)&gt;1,"DUPLICATE slug; ",""))</f>
        <v/>
      </c>
    </row>
    <row r="216">
      <c r="A216" s="25">
        <f>IF(INDEX(approvals!$A$2:$A$251,INT((ROW()-2)/2)+1)="","",INDEX(approvals!$A$2:$A$251,INT((ROW()-2)/2)+1))</f>
        <v/>
      </c>
      <c r="B216" s="25">
        <f>IF(INDEX(approvals!$A$2:$A$251,INT((ROW()-2)/2)+1)="","",INDEX(approvals!$B$2:$B$251,INT((ROW()-2)/2)+1))</f>
        <v/>
      </c>
      <c r="C216" s="25">
        <f>IF($A216="","",IF(MOD(ROW()-2,2)=0,"qr","post"))</f>
        <v/>
      </c>
      <c r="D216" s="25">
        <f>IF($A216="","",IF(LEFT($A216,7)="SAMPLE-","SAMPLE-","")&amp;LOWER(SUBSTITUTE(SUBSTITUTE($A216,"SAMPLE-",""),"CMP-","c"))&amp;"-"&amp;LOWER(SUBSTITUTE(SUBSTITUTE($B216,"SAMPLE-",""),"O-","o"))&amp;"-"&amp;IF($C216="qr","q","p"))</f>
        <v/>
      </c>
      <c r="E216" s="25">
        <f>IF($A216="","","https://"&amp;config!$B$9&amp;"/"&amp;$D216)</f>
        <v/>
      </c>
      <c r="F216" s="25">
        <f>IF($A216="","",$A216&amp;"."&amp;$B216)</f>
        <v/>
      </c>
      <c r="G216" s="25">
        <f>IF($A216="","",IF(IFERROR(IF(INDEX(campaigns!$AJ$2:$AJ$51,MATCH($A216,campaigns!$A$2:$A$51,0))="","",INDEX(campaigns!$AJ$2:$AJ$51,MATCH($A216,campaigns!$A$2:$A$51,0))),"")="","(add the survey prefill template on campaigns)",SUBSTITUTE(IFERROR(IF(INDEX(campaigns!$AJ$2:$AJ$51,MATCH($A216,campaigns!$A$2:$A$51,0))="","",INDEX(campaigns!$AJ$2:$AJ$51,MATCH($A216,campaigns!$A$2:$A$51,0))),""),"CARDCODE",$F216)&amp;"&amp;utm_source=office-pantry&amp;utm_medium="&amp;$C216&amp;"&amp;utm_campaign="&amp;LOWER($A216)&amp;"&amp;utm_content="&amp;LOWER($B216)))</f>
        <v/>
      </c>
      <c r="H216" s="25">
        <f>IF(OR($A216="",$C216&lt;&gt;"qr"),"",$D216&amp;".png")</f>
        <v/>
      </c>
      <c r="I216" s="25">
        <f>IF($A216="","",IF(AND(IFERROR(IF(INDEX(campaigns!$AJ$2:$AJ$51,MATCH($A216,campaigns!$A$2:$A$51,0))="","",INDEX(campaigns!$AJ$2:$AJ$51,MATCH($A216,campaigns!$A$2:$A$51,0))),"")="",IFERROR(IF(INDEX(campaigns!$BG$2:$BG$51,MATCH($A216,campaigns!$A$2:$A$51,0))="","",INDEX(campaigns!$BG$2:$BG$51,MATCH($A216,campaigns!$A$2:$A$51,0))),"")&lt;&gt;"",IF(config!$B$37&lt;&gt;"",config!$B$37,TODAY())&gt;=WORKDAY(N(IFERROR(IF(INDEX(campaigns!$BG$2:$BG$51,MATCH($A216,campaigns!$A$2:$A$51,0))="","",INDEX(campaigns!$BG$2:$BG$51,MATCH($A216,campaigns!$A$2:$A$51,0))),"")),-4,calendar!$A$2:$A$80)),"no prefill template yet (due T-4); ","")&amp;IF(COUNTIF(links!$D$2:$D$501,$D216)&gt;1,"DUPLICATE slug; ",""))</f>
        <v/>
      </c>
    </row>
    <row r="217">
      <c r="A217" s="25">
        <f>IF(INDEX(approvals!$A$2:$A$251,INT((ROW()-2)/2)+1)="","",INDEX(approvals!$A$2:$A$251,INT((ROW()-2)/2)+1))</f>
        <v/>
      </c>
      <c r="B217" s="25">
        <f>IF(INDEX(approvals!$A$2:$A$251,INT((ROW()-2)/2)+1)="","",INDEX(approvals!$B$2:$B$251,INT((ROW()-2)/2)+1))</f>
        <v/>
      </c>
      <c r="C217" s="25">
        <f>IF($A217="","",IF(MOD(ROW()-2,2)=0,"qr","post"))</f>
        <v/>
      </c>
      <c r="D217" s="25">
        <f>IF($A217="","",IF(LEFT($A217,7)="SAMPLE-","SAMPLE-","")&amp;LOWER(SUBSTITUTE(SUBSTITUTE($A217,"SAMPLE-",""),"CMP-","c"))&amp;"-"&amp;LOWER(SUBSTITUTE(SUBSTITUTE($B217,"SAMPLE-",""),"O-","o"))&amp;"-"&amp;IF($C217="qr","q","p"))</f>
        <v/>
      </c>
      <c r="E217" s="25">
        <f>IF($A217="","","https://"&amp;config!$B$9&amp;"/"&amp;$D217)</f>
        <v/>
      </c>
      <c r="F217" s="25">
        <f>IF($A217="","",$A217&amp;"."&amp;$B217)</f>
        <v/>
      </c>
      <c r="G217" s="25">
        <f>IF($A217="","",IF(IFERROR(IF(INDEX(campaigns!$AJ$2:$AJ$51,MATCH($A217,campaigns!$A$2:$A$51,0))="","",INDEX(campaigns!$AJ$2:$AJ$51,MATCH($A217,campaigns!$A$2:$A$51,0))),"")="","(add the survey prefill template on campaigns)",SUBSTITUTE(IFERROR(IF(INDEX(campaigns!$AJ$2:$AJ$51,MATCH($A217,campaigns!$A$2:$A$51,0))="","",INDEX(campaigns!$AJ$2:$AJ$51,MATCH($A217,campaigns!$A$2:$A$51,0))),""),"CARDCODE",$F217)&amp;"&amp;utm_source=office-pantry&amp;utm_medium="&amp;$C217&amp;"&amp;utm_campaign="&amp;LOWER($A217)&amp;"&amp;utm_content="&amp;LOWER($B217)))</f>
        <v/>
      </c>
      <c r="H217" s="25">
        <f>IF(OR($A217="",$C217&lt;&gt;"qr"),"",$D217&amp;".png")</f>
        <v/>
      </c>
      <c r="I217" s="25">
        <f>IF($A217="","",IF(AND(IFERROR(IF(INDEX(campaigns!$AJ$2:$AJ$51,MATCH($A217,campaigns!$A$2:$A$51,0))="","",INDEX(campaigns!$AJ$2:$AJ$51,MATCH($A217,campaigns!$A$2:$A$51,0))),"")="",IFERROR(IF(INDEX(campaigns!$BG$2:$BG$51,MATCH($A217,campaigns!$A$2:$A$51,0))="","",INDEX(campaigns!$BG$2:$BG$51,MATCH($A217,campaigns!$A$2:$A$51,0))),"")&lt;&gt;"",IF(config!$B$37&lt;&gt;"",config!$B$37,TODAY())&gt;=WORKDAY(N(IFERROR(IF(INDEX(campaigns!$BG$2:$BG$51,MATCH($A217,campaigns!$A$2:$A$51,0))="","",INDEX(campaigns!$BG$2:$BG$51,MATCH($A217,campaigns!$A$2:$A$51,0))),"")),-4,calendar!$A$2:$A$80)),"no prefill template yet (due T-4); ","")&amp;IF(COUNTIF(links!$D$2:$D$501,$D217)&gt;1,"DUPLICATE slug; ",""))</f>
        <v/>
      </c>
    </row>
    <row r="218">
      <c r="A218" s="25">
        <f>IF(INDEX(approvals!$A$2:$A$251,INT((ROW()-2)/2)+1)="","",INDEX(approvals!$A$2:$A$251,INT((ROW()-2)/2)+1))</f>
        <v/>
      </c>
      <c r="B218" s="25">
        <f>IF(INDEX(approvals!$A$2:$A$251,INT((ROW()-2)/2)+1)="","",INDEX(approvals!$B$2:$B$251,INT((ROW()-2)/2)+1))</f>
        <v/>
      </c>
      <c r="C218" s="25">
        <f>IF($A218="","",IF(MOD(ROW()-2,2)=0,"qr","post"))</f>
        <v/>
      </c>
      <c r="D218" s="25">
        <f>IF($A218="","",IF(LEFT($A218,7)="SAMPLE-","SAMPLE-","")&amp;LOWER(SUBSTITUTE(SUBSTITUTE($A218,"SAMPLE-",""),"CMP-","c"))&amp;"-"&amp;LOWER(SUBSTITUTE(SUBSTITUTE($B218,"SAMPLE-",""),"O-","o"))&amp;"-"&amp;IF($C218="qr","q","p"))</f>
        <v/>
      </c>
      <c r="E218" s="25">
        <f>IF($A218="","","https://"&amp;config!$B$9&amp;"/"&amp;$D218)</f>
        <v/>
      </c>
      <c r="F218" s="25">
        <f>IF($A218="","",$A218&amp;"."&amp;$B218)</f>
        <v/>
      </c>
      <c r="G218" s="25">
        <f>IF($A218="","",IF(IFERROR(IF(INDEX(campaigns!$AJ$2:$AJ$51,MATCH($A218,campaigns!$A$2:$A$51,0))="","",INDEX(campaigns!$AJ$2:$AJ$51,MATCH($A218,campaigns!$A$2:$A$51,0))),"")="","(add the survey prefill template on campaigns)",SUBSTITUTE(IFERROR(IF(INDEX(campaigns!$AJ$2:$AJ$51,MATCH($A218,campaigns!$A$2:$A$51,0))="","",INDEX(campaigns!$AJ$2:$AJ$51,MATCH($A218,campaigns!$A$2:$A$51,0))),""),"CARDCODE",$F218)&amp;"&amp;utm_source=office-pantry&amp;utm_medium="&amp;$C218&amp;"&amp;utm_campaign="&amp;LOWER($A218)&amp;"&amp;utm_content="&amp;LOWER($B218)))</f>
        <v/>
      </c>
      <c r="H218" s="25">
        <f>IF(OR($A218="",$C218&lt;&gt;"qr"),"",$D218&amp;".png")</f>
        <v/>
      </c>
      <c r="I218" s="25">
        <f>IF($A218="","",IF(AND(IFERROR(IF(INDEX(campaigns!$AJ$2:$AJ$51,MATCH($A218,campaigns!$A$2:$A$51,0))="","",INDEX(campaigns!$AJ$2:$AJ$51,MATCH($A218,campaigns!$A$2:$A$51,0))),"")="",IFERROR(IF(INDEX(campaigns!$BG$2:$BG$51,MATCH($A218,campaigns!$A$2:$A$51,0))="","",INDEX(campaigns!$BG$2:$BG$51,MATCH($A218,campaigns!$A$2:$A$51,0))),"")&lt;&gt;"",IF(config!$B$37&lt;&gt;"",config!$B$37,TODAY())&gt;=WORKDAY(N(IFERROR(IF(INDEX(campaigns!$BG$2:$BG$51,MATCH($A218,campaigns!$A$2:$A$51,0))="","",INDEX(campaigns!$BG$2:$BG$51,MATCH($A218,campaigns!$A$2:$A$51,0))),"")),-4,calendar!$A$2:$A$80)),"no prefill template yet (due T-4); ","")&amp;IF(COUNTIF(links!$D$2:$D$501,$D218)&gt;1,"DUPLICATE slug; ",""))</f>
        <v/>
      </c>
    </row>
    <row r="219">
      <c r="A219" s="25">
        <f>IF(INDEX(approvals!$A$2:$A$251,INT((ROW()-2)/2)+1)="","",INDEX(approvals!$A$2:$A$251,INT((ROW()-2)/2)+1))</f>
        <v/>
      </c>
      <c r="B219" s="25">
        <f>IF(INDEX(approvals!$A$2:$A$251,INT((ROW()-2)/2)+1)="","",INDEX(approvals!$B$2:$B$251,INT((ROW()-2)/2)+1))</f>
        <v/>
      </c>
      <c r="C219" s="25">
        <f>IF($A219="","",IF(MOD(ROW()-2,2)=0,"qr","post"))</f>
        <v/>
      </c>
      <c r="D219" s="25">
        <f>IF($A219="","",IF(LEFT($A219,7)="SAMPLE-","SAMPLE-","")&amp;LOWER(SUBSTITUTE(SUBSTITUTE($A219,"SAMPLE-",""),"CMP-","c"))&amp;"-"&amp;LOWER(SUBSTITUTE(SUBSTITUTE($B219,"SAMPLE-",""),"O-","o"))&amp;"-"&amp;IF($C219="qr","q","p"))</f>
        <v/>
      </c>
      <c r="E219" s="25">
        <f>IF($A219="","","https://"&amp;config!$B$9&amp;"/"&amp;$D219)</f>
        <v/>
      </c>
      <c r="F219" s="25">
        <f>IF($A219="","",$A219&amp;"."&amp;$B219)</f>
        <v/>
      </c>
      <c r="G219" s="25">
        <f>IF($A219="","",IF(IFERROR(IF(INDEX(campaigns!$AJ$2:$AJ$51,MATCH($A219,campaigns!$A$2:$A$51,0))="","",INDEX(campaigns!$AJ$2:$AJ$51,MATCH($A219,campaigns!$A$2:$A$51,0))),"")="","(add the survey prefill template on campaigns)",SUBSTITUTE(IFERROR(IF(INDEX(campaigns!$AJ$2:$AJ$51,MATCH($A219,campaigns!$A$2:$A$51,0))="","",INDEX(campaigns!$AJ$2:$AJ$51,MATCH($A219,campaigns!$A$2:$A$51,0))),""),"CARDCODE",$F219)&amp;"&amp;utm_source=office-pantry&amp;utm_medium="&amp;$C219&amp;"&amp;utm_campaign="&amp;LOWER($A219)&amp;"&amp;utm_content="&amp;LOWER($B219)))</f>
        <v/>
      </c>
      <c r="H219" s="25">
        <f>IF(OR($A219="",$C219&lt;&gt;"qr"),"",$D219&amp;".png")</f>
        <v/>
      </c>
      <c r="I219" s="25">
        <f>IF($A219="","",IF(AND(IFERROR(IF(INDEX(campaigns!$AJ$2:$AJ$51,MATCH($A219,campaigns!$A$2:$A$51,0))="","",INDEX(campaigns!$AJ$2:$AJ$51,MATCH($A219,campaigns!$A$2:$A$51,0))),"")="",IFERROR(IF(INDEX(campaigns!$BG$2:$BG$51,MATCH($A219,campaigns!$A$2:$A$51,0))="","",INDEX(campaigns!$BG$2:$BG$51,MATCH($A219,campaigns!$A$2:$A$51,0))),"")&lt;&gt;"",IF(config!$B$37&lt;&gt;"",config!$B$37,TODAY())&gt;=WORKDAY(N(IFERROR(IF(INDEX(campaigns!$BG$2:$BG$51,MATCH($A219,campaigns!$A$2:$A$51,0))="","",INDEX(campaigns!$BG$2:$BG$51,MATCH($A219,campaigns!$A$2:$A$51,0))),"")),-4,calendar!$A$2:$A$80)),"no prefill template yet (due T-4); ","")&amp;IF(COUNTIF(links!$D$2:$D$501,$D219)&gt;1,"DUPLICATE slug; ",""))</f>
        <v/>
      </c>
    </row>
    <row r="220">
      <c r="A220" s="25">
        <f>IF(INDEX(approvals!$A$2:$A$251,INT((ROW()-2)/2)+1)="","",INDEX(approvals!$A$2:$A$251,INT((ROW()-2)/2)+1))</f>
        <v/>
      </c>
      <c r="B220" s="25">
        <f>IF(INDEX(approvals!$A$2:$A$251,INT((ROW()-2)/2)+1)="","",INDEX(approvals!$B$2:$B$251,INT((ROW()-2)/2)+1))</f>
        <v/>
      </c>
      <c r="C220" s="25">
        <f>IF($A220="","",IF(MOD(ROW()-2,2)=0,"qr","post"))</f>
        <v/>
      </c>
      <c r="D220" s="25">
        <f>IF($A220="","",IF(LEFT($A220,7)="SAMPLE-","SAMPLE-","")&amp;LOWER(SUBSTITUTE(SUBSTITUTE($A220,"SAMPLE-",""),"CMP-","c"))&amp;"-"&amp;LOWER(SUBSTITUTE(SUBSTITUTE($B220,"SAMPLE-",""),"O-","o"))&amp;"-"&amp;IF($C220="qr","q","p"))</f>
        <v/>
      </c>
      <c r="E220" s="25">
        <f>IF($A220="","","https://"&amp;config!$B$9&amp;"/"&amp;$D220)</f>
        <v/>
      </c>
      <c r="F220" s="25">
        <f>IF($A220="","",$A220&amp;"."&amp;$B220)</f>
        <v/>
      </c>
      <c r="G220" s="25">
        <f>IF($A220="","",IF(IFERROR(IF(INDEX(campaigns!$AJ$2:$AJ$51,MATCH($A220,campaigns!$A$2:$A$51,0))="","",INDEX(campaigns!$AJ$2:$AJ$51,MATCH($A220,campaigns!$A$2:$A$51,0))),"")="","(add the survey prefill template on campaigns)",SUBSTITUTE(IFERROR(IF(INDEX(campaigns!$AJ$2:$AJ$51,MATCH($A220,campaigns!$A$2:$A$51,0))="","",INDEX(campaigns!$AJ$2:$AJ$51,MATCH($A220,campaigns!$A$2:$A$51,0))),""),"CARDCODE",$F220)&amp;"&amp;utm_source=office-pantry&amp;utm_medium="&amp;$C220&amp;"&amp;utm_campaign="&amp;LOWER($A220)&amp;"&amp;utm_content="&amp;LOWER($B220)))</f>
        <v/>
      </c>
      <c r="H220" s="25">
        <f>IF(OR($A220="",$C220&lt;&gt;"qr"),"",$D220&amp;".png")</f>
        <v/>
      </c>
      <c r="I220" s="25">
        <f>IF($A220="","",IF(AND(IFERROR(IF(INDEX(campaigns!$AJ$2:$AJ$51,MATCH($A220,campaigns!$A$2:$A$51,0))="","",INDEX(campaigns!$AJ$2:$AJ$51,MATCH($A220,campaigns!$A$2:$A$51,0))),"")="",IFERROR(IF(INDEX(campaigns!$BG$2:$BG$51,MATCH($A220,campaigns!$A$2:$A$51,0))="","",INDEX(campaigns!$BG$2:$BG$51,MATCH($A220,campaigns!$A$2:$A$51,0))),"")&lt;&gt;"",IF(config!$B$37&lt;&gt;"",config!$B$37,TODAY())&gt;=WORKDAY(N(IFERROR(IF(INDEX(campaigns!$BG$2:$BG$51,MATCH($A220,campaigns!$A$2:$A$51,0))="","",INDEX(campaigns!$BG$2:$BG$51,MATCH($A220,campaigns!$A$2:$A$51,0))),"")),-4,calendar!$A$2:$A$80)),"no prefill template yet (due T-4); ","")&amp;IF(COUNTIF(links!$D$2:$D$501,$D220)&gt;1,"DUPLICATE slug; ",""))</f>
        <v/>
      </c>
    </row>
    <row r="221">
      <c r="A221" s="25">
        <f>IF(INDEX(approvals!$A$2:$A$251,INT((ROW()-2)/2)+1)="","",INDEX(approvals!$A$2:$A$251,INT((ROW()-2)/2)+1))</f>
        <v/>
      </c>
      <c r="B221" s="25">
        <f>IF(INDEX(approvals!$A$2:$A$251,INT((ROW()-2)/2)+1)="","",INDEX(approvals!$B$2:$B$251,INT((ROW()-2)/2)+1))</f>
        <v/>
      </c>
      <c r="C221" s="25">
        <f>IF($A221="","",IF(MOD(ROW()-2,2)=0,"qr","post"))</f>
        <v/>
      </c>
      <c r="D221" s="25">
        <f>IF($A221="","",IF(LEFT($A221,7)="SAMPLE-","SAMPLE-","")&amp;LOWER(SUBSTITUTE(SUBSTITUTE($A221,"SAMPLE-",""),"CMP-","c"))&amp;"-"&amp;LOWER(SUBSTITUTE(SUBSTITUTE($B221,"SAMPLE-",""),"O-","o"))&amp;"-"&amp;IF($C221="qr","q","p"))</f>
        <v/>
      </c>
      <c r="E221" s="25">
        <f>IF($A221="","","https://"&amp;config!$B$9&amp;"/"&amp;$D221)</f>
        <v/>
      </c>
      <c r="F221" s="25">
        <f>IF($A221="","",$A221&amp;"."&amp;$B221)</f>
        <v/>
      </c>
      <c r="G221" s="25">
        <f>IF($A221="","",IF(IFERROR(IF(INDEX(campaigns!$AJ$2:$AJ$51,MATCH($A221,campaigns!$A$2:$A$51,0))="","",INDEX(campaigns!$AJ$2:$AJ$51,MATCH($A221,campaigns!$A$2:$A$51,0))),"")="","(add the survey prefill template on campaigns)",SUBSTITUTE(IFERROR(IF(INDEX(campaigns!$AJ$2:$AJ$51,MATCH($A221,campaigns!$A$2:$A$51,0))="","",INDEX(campaigns!$AJ$2:$AJ$51,MATCH($A221,campaigns!$A$2:$A$51,0))),""),"CARDCODE",$F221)&amp;"&amp;utm_source=office-pantry&amp;utm_medium="&amp;$C221&amp;"&amp;utm_campaign="&amp;LOWER($A221)&amp;"&amp;utm_content="&amp;LOWER($B221)))</f>
        <v/>
      </c>
      <c r="H221" s="25">
        <f>IF(OR($A221="",$C221&lt;&gt;"qr"),"",$D221&amp;".png")</f>
        <v/>
      </c>
      <c r="I221" s="25">
        <f>IF($A221="","",IF(AND(IFERROR(IF(INDEX(campaigns!$AJ$2:$AJ$51,MATCH($A221,campaigns!$A$2:$A$51,0))="","",INDEX(campaigns!$AJ$2:$AJ$51,MATCH($A221,campaigns!$A$2:$A$51,0))),"")="",IFERROR(IF(INDEX(campaigns!$BG$2:$BG$51,MATCH($A221,campaigns!$A$2:$A$51,0))="","",INDEX(campaigns!$BG$2:$BG$51,MATCH($A221,campaigns!$A$2:$A$51,0))),"")&lt;&gt;"",IF(config!$B$37&lt;&gt;"",config!$B$37,TODAY())&gt;=WORKDAY(N(IFERROR(IF(INDEX(campaigns!$BG$2:$BG$51,MATCH($A221,campaigns!$A$2:$A$51,0))="","",INDEX(campaigns!$BG$2:$BG$51,MATCH($A221,campaigns!$A$2:$A$51,0))),"")),-4,calendar!$A$2:$A$80)),"no prefill template yet (due T-4); ","")&amp;IF(COUNTIF(links!$D$2:$D$501,$D221)&gt;1,"DUPLICATE slug; ",""))</f>
        <v/>
      </c>
    </row>
    <row r="222">
      <c r="A222" s="25">
        <f>IF(INDEX(approvals!$A$2:$A$251,INT((ROW()-2)/2)+1)="","",INDEX(approvals!$A$2:$A$251,INT((ROW()-2)/2)+1))</f>
        <v/>
      </c>
      <c r="B222" s="25">
        <f>IF(INDEX(approvals!$A$2:$A$251,INT((ROW()-2)/2)+1)="","",INDEX(approvals!$B$2:$B$251,INT((ROW()-2)/2)+1))</f>
        <v/>
      </c>
      <c r="C222" s="25">
        <f>IF($A222="","",IF(MOD(ROW()-2,2)=0,"qr","post"))</f>
        <v/>
      </c>
      <c r="D222" s="25">
        <f>IF($A222="","",IF(LEFT($A222,7)="SAMPLE-","SAMPLE-","")&amp;LOWER(SUBSTITUTE(SUBSTITUTE($A222,"SAMPLE-",""),"CMP-","c"))&amp;"-"&amp;LOWER(SUBSTITUTE(SUBSTITUTE($B222,"SAMPLE-",""),"O-","o"))&amp;"-"&amp;IF($C222="qr","q","p"))</f>
        <v/>
      </c>
      <c r="E222" s="25">
        <f>IF($A222="","","https://"&amp;config!$B$9&amp;"/"&amp;$D222)</f>
        <v/>
      </c>
      <c r="F222" s="25">
        <f>IF($A222="","",$A222&amp;"."&amp;$B222)</f>
        <v/>
      </c>
      <c r="G222" s="25">
        <f>IF($A222="","",IF(IFERROR(IF(INDEX(campaigns!$AJ$2:$AJ$51,MATCH($A222,campaigns!$A$2:$A$51,0))="","",INDEX(campaigns!$AJ$2:$AJ$51,MATCH($A222,campaigns!$A$2:$A$51,0))),"")="","(add the survey prefill template on campaigns)",SUBSTITUTE(IFERROR(IF(INDEX(campaigns!$AJ$2:$AJ$51,MATCH($A222,campaigns!$A$2:$A$51,0))="","",INDEX(campaigns!$AJ$2:$AJ$51,MATCH($A222,campaigns!$A$2:$A$51,0))),""),"CARDCODE",$F222)&amp;"&amp;utm_source=office-pantry&amp;utm_medium="&amp;$C222&amp;"&amp;utm_campaign="&amp;LOWER($A222)&amp;"&amp;utm_content="&amp;LOWER($B222)))</f>
        <v/>
      </c>
      <c r="H222" s="25">
        <f>IF(OR($A222="",$C222&lt;&gt;"qr"),"",$D222&amp;".png")</f>
        <v/>
      </c>
      <c r="I222" s="25">
        <f>IF($A222="","",IF(AND(IFERROR(IF(INDEX(campaigns!$AJ$2:$AJ$51,MATCH($A222,campaigns!$A$2:$A$51,0))="","",INDEX(campaigns!$AJ$2:$AJ$51,MATCH($A222,campaigns!$A$2:$A$51,0))),"")="",IFERROR(IF(INDEX(campaigns!$BG$2:$BG$51,MATCH($A222,campaigns!$A$2:$A$51,0))="","",INDEX(campaigns!$BG$2:$BG$51,MATCH($A222,campaigns!$A$2:$A$51,0))),"")&lt;&gt;"",IF(config!$B$37&lt;&gt;"",config!$B$37,TODAY())&gt;=WORKDAY(N(IFERROR(IF(INDEX(campaigns!$BG$2:$BG$51,MATCH($A222,campaigns!$A$2:$A$51,0))="","",INDEX(campaigns!$BG$2:$BG$51,MATCH($A222,campaigns!$A$2:$A$51,0))),"")),-4,calendar!$A$2:$A$80)),"no prefill template yet (due T-4); ","")&amp;IF(COUNTIF(links!$D$2:$D$501,$D222)&gt;1,"DUPLICATE slug; ",""))</f>
        <v/>
      </c>
    </row>
    <row r="223">
      <c r="A223" s="25">
        <f>IF(INDEX(approvals!$A$2:$A$251,INT((ROW()-2)/2)+1)="","",INDEX(approvals!$A$2:$A$251,INT((ROW()-2)/2)+1))</f>
        <v/>
      </c>
      <c r="B223" s="25">
        <f>IF(INDEX(approvals!$A$2:$A$251,INT((ROW()-2)/2)+1)="","",INDEX(approvals!$B$2:$B$251,INT((ROW()-2)/2)+1))</f>
        <v/>
      </c>
      <c r="C223" s="25">
        <f>IF($A223="","",IF(MOD(ROW()-2,2)=0,"qr","post"))</f>
        <v/>
      </c>
      <c r="D223" s="25">
        <f>IF($A223="","",IF(LEFT($A223,7)="SAMPLE-","SAMPLE-","")&amp;LOWER(SUBSTITUTE(SUBSTITUTE($A223,"SAMPLE-",""),"CMP-","c"))&amp;"-"&amp;LOWER(SUBSTITUTE(SUBSTITUTE($B223,"SAMPLE-",""),"O-","o"))&amp;"-"&amp;IF($C223="qr","q","p"))</f>
        <v/>
      </c>
      <c r="E223" s="25">
        <f>IF($A223="","","https://"&amp;config!$B$9&amp;"/"&amp;$D223)</f>
        <v/>
      </c>
      <c r="F223" s="25">
        <f>IF($A223="","",$A223&amp;"."&amp;$B223)</f>
        <v/>
      </c>
      <c r="G223" s="25">
        <f>IF($A223="","",IF(IFERROR(IF(INDEX(campaigns!$AJ$2:$AJ$51,MATCH($A223,campaigns!$A$2:$A$51,0))="","",INDEX(campaigns!$AJ$2:$AJ$51,MATCH($A223,campaigns!$A$2:$A$51,0))),"")="","(add the survey prefill template on campaigns)",SUBSTITUTE(IFERROR(IF(INDEX(campaigns!$AJ$2:$AJ$51,MATCH($A223,campaigns!$A$2:$A$51,0))="","",INDEX(campaigns!$AJ$2:$AJ$51,MATCH($A223,campaigns!$A$2:$A$51,0))),""),"CARDCODE",$F223)&amp;"&amp;utm_source=office-pantry&amp;utm_medium="&amp;$C223&amp;"&amp;utm_campaign="&amp;LOWER($A223)&amp;"&amp;utm_content="&amp;LOWER($B223)))</f>
        <v/>
      </c>
      <c r="H223" s="25">
        <f>IF(OR($A223="",$C223&lt;&gt;"qr"),"",$D223&amp;".png")</f>
        <v/>
      </c>
      <c r="I223" s="25">
        <f>IF($A223="","",IF(AND(IFERROR(IF(INDEX(campaigns!$AJ$2:$AJ$51,MATCH($A223,campaigns!$A$2:$A$51,0))="","",INDEX(campaigns!$AJ$2:$AJ$51,MATCH($A223,campaigns!$A$2:$A$51,0))),"")="",IFERROR(IF(INDEX(campaigns!$BG$2:$BG$51,MATCH($A223,campaigns!$A$2:$A$51,0))="","",INDEX(campaigns!$BG$2:$BG$51,MATCH($A223,campaigns!$A$2:$A$51,0))),"")&lt;&gt;"",IF(config!$B$37&lt;&gt;"",config!$B$37,TODAY())&gt;=WORKDAY(N(IFERROR(IF(INDEX(campaigns!$BG$2:$BG$51,MATCH($A223,campaigns!$A$2:$A$51,0))="","",INDEX(campaigns!$BG$2:$BG$51,MATCH($A223,campaigns!$A$2:$A$51,0))),"")),-4,calendar!$A$2:$A$80)),"no prefill template yet (due T-4); ","")&amp;IF(COUNTIF(links!$D$2:$D$501,$D223)&gt;1,"DUPLICATE slug; ",""))</f>
        <v/>
      </c>
    </row>
    <row r="224">
      <c r="A224" s="25">
        <f>IF(INDEX(approvals!$A$2:$A$251,INT((ROW()-2)/2)+1)="","",INDEX(approvals!$A$2:$A$251,INT((ROW()-2)/2)+1))</f>
        <v/>
      </c>
      <c r="B224" s="25">
        <f>IF(INDEX(approvals!$A$2:$A$251,INT((ROW()-2)/2)+1)="","",INDEX(approvals!$B$2:$B$251,INT((ROW()-2)/2)+1))</f>
        <v/>
      </c>
      <c r="C224" s="25">
        <f>IF($A224="","",IF(MOD(ROW()-2,2)=0,"qr","post"))</f>
        <v/>
      </c>
      <c r="D224" s="25">
        <f>IF($A224="","",IF(LEFT($A224,7)="SAMPLE-","SAMPLE-","")&amp;LOWER(SUBSTITUTE(SUBSTITUTE($A224,"SAMPLE-",""),"CMP-","c"))&amp;"-"&amp;LOWER(SUBSTITUTE(SUBSTITUTE($B224,"SAMPLE-",""),"O-","o"))&amp;"-"&amp;IF($C224="qr","q","p"))</f>
        <v/>
      </c>
      <c r="E224" s="25">
        <f>IF($A224="","","https://"&amp;config!$B$9&amp;"/"&amp;$D224)</f>
        <v/>
      </c>
      <c r="F224" s="25">
        <f>IF($A224="","",$A224&amp;"."&amp;$B224)</f>
        <v/>
      </c>
      <c r="G224" s="25">
        <f>IF($A224="","",IF(IFERROR(IF(INDEX(campaigns!$AJ$2:$AJ$51,MATCH($A224,campaigns!$A$2:$A$51,0))="","",INDEX(campaigns!$AJ$2:$AJ$51,MATCH($A224,campaigns!$A$2:$A$51,0))),"")="","(add the survey prefill template on campaigns)",SUBSTITUTE(IFERROR(IF(INDEX(campaigns!$AJ$2:$AJ$51,MATCH($A224,campaigns!$A$2:$A$51,0))="","",INDEX(campaigns!$AJ$2:$AJ$51,MATCH($A224,campaigns!$A$2:$A$51,0))),""),"CARDCODE",$F224)&amp;"&amp;utm_source=office-pantry&amp;utm_medium="&amp;$C224&amp;"&amp;utm_campaign="&amp;LOWER($A224)&amp;"&amp;utm_content="&amp;LOWER($B224)))</f>
        <v/>
      </c>
      <c r="H224" s="25">
        <f>IF(OR($A224="",$C224&lt;&gt;"qr"),"",$D224&amp;".png")</f>
        <v/>
      </c>
      <c r="I224" s="25">
        <f>IF($A224="","",IF(AND(IFERROR(IF(INDEX(campaigns!$AJ$2:$AJ$51,MATCH($A224,campaigns!$A$2:$A$51,0))="","",INDEX(campaigns!$AJ$2:$AJ$51,MATCH($A224,campaigns!$A$2:$A$51,0))),"")="",IFERROR(IF(INDEX(campaigns!$BG$2:$BG$51,MATCH($A224,campaigns!$A$2:$A$51,0))="","",INDEX(campaigns!$BG$2:$BG$51,MATCH($A224,campaigns!$A$2:$A$51,0))),"")&lt;&gt;"",IF(config!$B$37&lt;&gt;"",config!$B$37,TODAY())&gt;=WORKDAY(N(IFERROR(IF(INDEX(campaigns!$BG$2:$BG$51,MATCH($A224,campaigns!$A$2:$A$51,0))="","",INDEX(campaigns!$BG$2:$BG$51,MATCH($A224,campaigns!$A$2:$A$51,0))),"")),-4,calendar!$A$2:$A$80)),"no prefill template yet (due T-4); ","")&amp;IF(COUNTIF(links!$D$2:$D$501,$D224)&gt;1,"DUPLICATE slug; ",""))</f>
        <v/>
      </c>
    </row>
    <row r="225">
      <c r="A225" s="25">
        <f>IF(INDEX(approvals!$A$2:$A$251,INT((ROW()-2)/2)+1)="","",INDEX(approvals!$A$2:$A$251,INT((ROW()-2)/2)+1))</f>
        <v/>
      </c>
      <c r="B225" s="25">
        <f>IF(INDEX(approvals!$A$2:$A$251,INT((ROW()-2)/2)+1)="","",INDEX(approvals!$B$2:$B$251,INT((ROW()-2)/2)+1))</f>
        <v/>
      </c>
      <c r="C225" s="25">
        <f>IF($A225="","",IF(MOD(ROW()-2,2)=0,"qr","post"))</f>
        <v/>
      </c>
      <c r="D225" s="25">
        <f>IF($A225="","",IF(LEFT($A225,7)="SAMPLE-","SAMPLE-","")&amp;LOWER(SUBSTITUTE(SUBSTITUTE($A225,"SAMPLE-",""),"CMP-","c"))&amp;"-"&amp;LOWER(SUBSTITUTE(SUBSTITUTE($B225,"SAMPLE-",""),"O-","o"))&amp;"-"&amp;IF($C225="qr","q","p"))</f>
        <v/>
      </c>
      <c r="E225" s="25">
        <f>IF($A225="","","https://"&amp;config!$B$9&amp;"/"&amp;$D225)</f>
        <v/>
      </c>
      <c r="F225" s="25">
        <f>IF($A225="","",$A225&amp;"."&amp;$B225)</f>
        <v/>
      </c>
      <c r="G225" s="25">
        <f>IF($A225="","",IF(IFERROR(IF(INDEX(campaigns!$AJ$2:$AJ$51,MATCH($A225,campaigns!$A$2:$A$51,0))="","",INDEX(campaigns!$AJ$2:$AJ$51,MATCH($A225,campaigns!$A$2:$A$51,0))),"")="","(add the survey prefill template on campaigns)",SUBSTITUTE(IFERROR(IF(INDEX(campaigns!$AJ$2:$AJ$51,MATCH($A225,campaigns!$A$2:$A$51,0))="","",INDEX(campaigns!$AJ$2:$AJ$51,MATCH($A225,campaigns!$A$2:$A$51,0))),""),"CARDCODE",$F225)&amp;"&amp;utm_source=office-pantry&amp;utm_medium="&amp;$C225&amp;"&amp;utm_campaign="&amp;LOWER($A225)&amp;"&amp;utm_content="&amp;LOWER($B225)))</f>
        <v/>
      </c>
      <c r="H225" s="25">
        <f>IF(OR($A225="",$C225&lt;&gt;"qr"),"",$D225&amp;".png")</f>
        <v/>
      </c>
      <c r="I225" s="25">
        <f>IF($A225="","",IF(AND(IFERROR(IF(INDEX(campaigns!$AJ$2:$AJ$51,MATCH($A225,campaigns!$A$2:$A$51,0))="","",INDEX(campaigns!$AJ$2:$AJ$51,MATCH($A225,campaigns!$A$2:$A$51,0))),"")="",IFERROR(IF(INDEX(campaigns!$BG$2:$BG$51,MATCH($A225,campaigns!$A$2:$A$51,0))="","",INDEX(campaigns!$BG$2:$BG$51,MATCH($A225,campaigns!$A$2:$A$51,0))),"")&lt;&gt;"",IF(config!$B$37&lt;&gt;"",config!$B$37,TODAY())&gt;=WORKDAY(N(IFERROR(IF(INDEX(campaigns!$BG$2:$BG$51,MATCH($A225,campaigns!$A$2:$A$51,0))="","",INDEX(campaigns!$BG$2:$BG$51,MATCH($A225,campaigns!$A$2:$A$51,0))),"")),-4,calendar!$A$2:$A$80)),"no prefill template yet (due T-4); ","")&amp;IF(COUNTIF(links!$D$2:$D$501,$D225)&gt;1,"DUPLICATE slug; ",""))</f>
        <v/>
      </c>
    </row>
    <row r="226">
      <c r="A226" s="25">
        <f>IF(INDEX(approvals!$A$2:$A$251,INT((ROW()-2)/2)+1)="","",INDEX(approvals!$A$2:$A$251,INT((ROW()-2)/2)+1))</f>
        <v/>
      </c>
      <c r="B226" s="25">
        <f>IF(INDEX(approvals!$A$2:$A$251,INT((ROW()-2)/2)+1)="","",INDEX(approvals!$B$2:$B$251,INT((ROW()-2)/2)+1))</f>
        <v/>
      </c>
      <c r="C226" s="25">
        <f>IF($A226="","",IF(MOD(ROW()-2,2)=0,"qr","post"))</f>
        <v/>
      </c>
      <c r="D226" s="25">
        <f>IF($A226="","",IF(LEFT($A226,7)="SAMPLE-","SAMPLE-","")&amp;LOWER(SUBSTITUTE(SUBSTITUTE($A226,"SAMPLE-",""),"CMP-","c"))&amp;"-"&amp;LOWER(SUBSTITUTE(SUBSTITUTE($B226,"SAMPLE-",""),"O-","o"))&amp;"-"&amp;IF($C226="qr","q","p"))</f>
        <v/>
      </c>
      <c r="E226" s="25">
        <f>IF($A226="","","https://"&amp;config!$B$9&amp;"/"&amp;$D226)</f>
        <v/>
      </c>
      <c r="F226" s="25">
        <f>IF($A226="","",$A226&amp;"."&amp;$B226)</f>
        <v/>
      </c>
      <c r="G226" s="25">
        <f>IF($A226="","",IF(IFERROR(IF(INDEX(campaigns!$AJ$2:$AJ$51,MATCH($A226,campaigns!$A$2:$A$51,0))="","",INDEX(campaigns!$AJ$2:$AJ$51,MATCH($A226,campaigns!$A$2:$A$51,0))),"")="","(add the survey prefill template on campaigns)",SUBSTITUTE(IFERROR(IF(INDEX(campaigns!$AJ$2:$AJ$51,MATCH($A226,campaigns!$A$2:$A$51,0))="","",INDEX(campaigns!$AJ$2:$AJ$51,MATCH($A226,campaigns!$A$2:$A$51,0))),""),"CARDCODE",$F226)&amp;"&amp;utm_source=office-pantry&amp;utm_medium="&amp;$C226&amp;"&amp;utm_campaign="&amp;LOWER($A226)&amp;"&amp;utm_content="&amp;LOWER($B226)))</f>
        <v/>
      </c>
      <c r="H226" s="25">
        <f>IF(OR($A226="",$C226&lt;&gt;"qr"),"",$D226&amp;".png")</f>
        <v/>
      </c>
      <c r="I226" s="25">
        <f>IF($A226="","",IF(AND(IFERROR(IF(INDEX(campaigns!$AJ$2:$AJ$51,MATCH($A226,campaigns!$A$2:$A$51,0))="","",INDEX(campaigns!$AJ$2:$AJ$51,MATCH($A226,campaigns!$A$2:$A$51,0))),"")="",IFERROR(IF(INDEX(campaigns!$BG$2:$BG$51,MATCH($A226,campaigns!$A$2:$A$51,0))="","",INDEX(campaigns!$BG$2:$BG$51,MATCH($A226,campaigns!$A$2:$A$51,0))),"")&lt;&gt;"",IF(config!$B$37&lt;&gt;"",config!$B$37,TODAY())&gt;=WORKDAY(N(IFERROR(IF(INDEX(campaigns!$BG$2:$BG$51,MATCH($A226,campaigns!$A$2:$A$51,0))="","",INDEX(campaigns!$BG$2:$BG$51,MATCH($A226,campaigns!$A$2:$A$51,0))),"")),-4,calendar!$A$2:$A$80)),"no prefill template yet (due T-4); ","")&amp;IF(COUNTIF(links!$D$2:$D$501,$D226)&gt;1,"DUPLICATE slug; ",""))</f>
        <v/>
      </c>
    </row>
    <row r="227">
      <c r="A227" s="25">
        <f>IF(INDEX(approvals!$A$2:$A$251,INT((ROW()-2)/2)+1)="","",INDEX(approvals!$A$2:$A$251,INT((ROW()-2)/2)+1))</f>
        <v/>
      </c>
      <c r="B227" s="25">
        <f>IF(INDEX(approvals!$A$2:$A$251,INT((ROW()-2)/2)+1)="","",INDEX(approvals!$B$2:$B$251,INT((ROW()-2)/2)+1))</f>
        <v/>
      </c>
      <c r="C227" s="25">
        <f>IF($A227="","",IF(MOD(ROW()-2,2)=0,"qr","post"))</f>
        <v/>
      </c>
      <c r="D227" s="25">
        <f>IF($A227="","",IF(LEFT($A227,7)="SAMPLE-","SAMPLE-","")&amp;LOWER(SUBSTITUTE(SUBSTITUTE($A227,"SAMPLE-",""),"CMP-","c"))&amp;"-"&amp;LOWER(SUBSTITUTE(SUBSTITUTE($B227,"SAMPLE-",""),"O-","o"))&amp;"-"&amp;IF($C227="qr","q","p"))</f>
        <v/>
      </c>
      <c r="E227" s="25">
        <f>IF($A227="","","https://"&amp;config!$B$9&amp;"/"&amp;$D227)</f>
        <v/>
      </c>
      <c r="F227" s="25">
        <f>IF($A227="","",$A227&amp;"."&amp;$B227)</f>
        <v/>
      </c>
      <c r="G227" s="25">
        <f>IF($A227="","",IF(IFERROR(IF(INDEX(campaigns!$AJ$2:$AJ$51,MATCH($A227,campaigns!$A$2:$A$51,0))="","",INDEX(campaigns!$AJ$2:$AJ$51,MATCH($A227,campaigns!$A$2:$A$51,0))),"")="","(add the survey prefill template on campaigns)",SUBSTITUTE(IFERROR(IF(INDEX(campaigns!$AJ$2:$AJ$51,MATCH($A227,campaigns!$A$2:$A$51,0))="","",INDEX(campaigns!$AJ$2:$AJ$51,MATCH($A227,campaigns!$A$2:$A$51,0))),""),"CARDCODE",$F227)&amp;"&amp;utm_source=office-pantry&amp;utm_medium="&amp;$C227&amp;"&amp;utm_campaign="&amp;LOWER($A227)&amp;"&amp;utm_content="&amp;LOWER($B227)))</f>
        <v/>
      </c>
      <c r="H227" s="25">
        <f>IF(OR($A227="",$C227&lt;&gt;"qr"),"",$D227&amp;".png")</f>
        <v/>
      </c>
      <c r="I227" s="25">
        <f>IF($A227="","",IF(AND(IFERROR(IF(INDEX(campaigns!$AJ$2:$AJ$51,MATCH($A227,campaigns!$A$2:$A$51,0))="","",INDEX(campaigns!$AJ$2:$AJ$51,MATCH($A227,campaigns!$A$2:$A$51,0))),"")="",IFERROR(IF(INDEX(campaigns!$BG$2:$BG$51,MATCH($A227,campaigns!$A$2:$A$51,0))="","",INDEX(campaigns!$BG$2:$BG$51,MATCH($A227,campaigns!$A$2:$A$51,0))),"")&lt;&gt;"",IF(config!$B$37&lt;&gt;"",config!$B$37,TODAY())&gt;=WORKDAY(N(IFERROR(IF(INDEX(campaigns!$BG$2:$BG$51,MATCH($A227,campaigns!$A$2:$A$51,0))="","",INDEX(campaigns!$BG$2:$BG$51,MATCH($A227,campaigns!$A$2:$A$51,0))),"")),-4,calendar!$A$2:$A$80)),"no prefill template yet (due T-4); ","")&amp;IF(COUNTIF(links!$D$2:$D$501,$D227)&gt;1,"DUPLICATE slug; ",""))</f>
        <v/>
      </c>
    </row>
    <row r="228">
      <c r="A228" s="25">
        <f>IF(INDEX(approvals!$A$2:$A$251,INT((ROW()-2)/2)+1)="","",INDEX(approvals!$A$2:$A$251,INT((ROW()-2)/2)+1))</f>
        <v/>
      </c>
      <c r="B228" s="25">
        <f>IF(INDEX(approvals!$A$2:$A$251,INT((ROW()-2)/2)+1)="","",INDEX(approvals!$B$2:$B$251,INT((ROW()-2)/2)+1))</f>
        <v/>
      </c>
      <c r="C228" s="25">
        <f>IF($A228="","",IF(MOD(ROW()-2,2)=0,"qr","post"))</f>
        <v/>
      </c>
      <c r="D228" s="25">
        <f>IF($A228="","",IF(LEFT($A228,7)="SAMPLE-","SAMPLE-","")&amp;LOWER(SUBSTITUTE(SUBSTITUTE($A228,"SAMPLE-",""),"CMP-","c"))&amp;"-"&amp;LOWER(SUBSTITUTE(SUBSTITUTE($B228,"SAMPLE-",""),"O-","o"))&amp;"-"&amp;IF($C228="qr","q","p"))</f>
        <v/>
      </c>
      <c r="E228" s="25">
        <f>IF($A228="","","https://"&amp;config!$B$9&amp;"/"&amp;$D228)</f>
        <v/>
      </c>
      <c r="F228" s="25">
        <f>IF($A228="","",$A228&amp;"."&amp;$B228)</f>
        <v/>
      </c>
      <c r="G228" s="25">
        <f>IF($A228="","",IF(IFERROR(IF(INDEX(campaigns!$AJ$2:$AJ$51,MATCH($A228,campaigns!$A$2:$A$51,0))="","",INDEX(campaigns!$AJ$2:$AJ$51,MATCH($A228,campaigns!$A$2:$A$51,0))),"")="","(add the survey prefill template on campaigns)",SUBSTITUTE(IFERROR(IF(INDEX(campaigns!$AJ$2:$AJ$51,MATCH($A228,campaigns!$A$2:$A$51,0))="","",INDEX(campaigns!$AJ$2:$AJ$51,MATCH($A228,campaigns!$A$2:$A$51,0))),""),"CARDCODE",$F228)&amp;"&amp;utm_source=office-pantry&amp;utm_medium="&amp;$C228&amp;"&amp;utm_campaign="&amp;LOWER($A228)&amp;"&amp;utm_content="&amp;LOWER($B228)))</f>
        <v/>
      </c>
      <c r="H228" s="25">
        <f>IF(OR($A228="",$C228&lt;&gt;"qr"),"",$D228&amp;".png")</f>
        <v/>
      </c>
      <c r="I228" s="25">
        <f>IF($A228="","",IF(AND(IFERROR(IF(INDEX(campaigns!$AJ$2:$AJ$51,MATCH($A228,campaigns!$A$2:$A$51,0))="","",INDEX(campaigns!$AJ$2:$AJ$51,MATCH($A228,campaigns!$A$2:$A$51,0))),"")="",IFERROR(IF(INDEX(campaigns!$BG$2:$BG$51,MATCH($A228,campaigns!$A$2:$A$51,0))="","",INDEX(campaigns!$BG$2:$BG$51,MATCH($A228,campaigns!$A$2:$A$51,0))),"")&lt;&gt;"",IF(config!$B$37&lt;&gt;"",config!$B$37,TODAY())&gt;=WORKDAY(N(IFERROR(IF(INDEX(campaigns!$BG$2:$BG$51,MATCH($A228,campaigns!$A$2:$A$51,0))="","",INDEX(campaigns!$BG$2:$BG$51,MATCH($A228,campaigns!$A$2:$A$51,0))),"")),-4,calendar!$A$2:$A$80)),"no prefill template yet (due T-4); ","")&amp;IF(COUNTIF(links!$D$2:$D$501,$D228)&gt;1,"DUPLICATE slug; ",""))</f>
        <v/>
      </c>
    </row>
    <row r="229">
      <c r="A229" s="25">
        <f>IF(INDEX(approvals!$A$2:$A$251,INT((ROW()-2)/2)+1)="","",INDEX(approvals!$A$2:$A$251,INT((ROW()-2)/2)+1))</f>
        <v/>
      </c>
      <c r="B229" s="25">
        <f>IF(INDEX(approvals!$A$2:$A$251,INT((ROW()-2)/2)+1)="","",INDEX(approvals!$B$2:$B$251,INT((ROW()-2)/2)+1))</f>
        <v/>
      </c>
      <c r="C229" s="25">
        <f>IF($A229="","",IF(MOD(ROW()-2,2)=0,"qr","post"))</f>
        <v/>
      </c>
      <c r="D229" s="25">
        <f>IF($A229="","",IF(LEFT($A229,7)="SAMPLE-","SAMPLE-","")&amp;LOWER(SUBSTITUTE(SUBSTITUTE($A229,"SAMPLE-",""),"CMP-","c"))&amp;"-"&amp;LOWER(SUBSTITUTE(SUBSTITUTE($B229,"SAMPLE-",""),"O-","o"))&amp;"-"&amp;IF($C229="qr","q","p"))</f>
        <v/>
      </c>
      <c r="E229" s="25">
        <f>IF($A229="","","https://"&amp;config!$B$9&amp;"/"&amp;$D229)</f>
        <v/>
      </c>
      <c r="F229" s="25">
        <f>IF($A229="","",$A229&amp;"."&amp;$B229)</f>
        <v/>
      </c>
      <c r="G229" s="25">
        <f>IF($A229="","",IF(IFERROR(IF(INDEX(campaigns!$AJ$2:$AJ$51,MATCH($A229,campaigns!$A$2:$A$51,0))="","",INDEX(campaigns!$AJ$2:$AJ$51,MATCH($A229,campaigns!$A$2:$A$51,0))),"")="","(add the survey prefill template on campaigns)",SUBSTITUTE(IFERROR(IF(INDEX(campaigns!$AJ$2:$AJ$51,MATCH($A229,campaigns!$A$2:$A$51,0))="","",INDEX(campaigns!$AJ$2:$AJ$51,MATCH($A229,campaigns!$A$2:$A$51,0))),""),"CARDCODE",$F229)&amp;"&amp;utm_source=office-pantry&amp;utm_medium="&amp;$C229&amp;"&amp;utm_campaign="&amp;LOWER($A229)&amp;"&amp;utm_content="&amp;LOWER($B229)))</f>
        <v/>
      </c>
      <c r="H229" s="25">
        <f>IF(OR($A229="",$C229&lt;&gt;"qr"),"",$D229&amp;".png")</f>
        <v/>
      </c>
      <c r="I229" s="25">
        <f>IF($A229="","",IF(AND(IFERROR(IF(INDEX(campaigns!$AJ$2:$AJ$51,MATCH($A229,campaigns!$A$2:$A$51,0))="","",INDEX(campaigns!$AJ$2:$AJ$51,MATCH($A229,campaigns!$A$2:$A$51,0))),"")="",IFERROR(IF(INDEX(campaigns!$BG$2:$BG$51,MATCH($A229,campaigns!$A$2:$A$51,0))="","",INDEX(campaigns!$BG$2:$BG$51,MATCH($A229,campaigns!$A$2:$A$51,0))),"")&lt;&gt;"",IF(config!$B$37&lt;&gt;"",config!$B$37,TODAY())&gt;=WORKDAY(N(IFERROR(IF(INDEX(campaigns!$BG$2:$BG$51,MATCH($A229,campaigns!$A$2:$A$51,0))="","",INDEX(campaigns!$BG$2:$BG$51,MATCH($A229,campaigns!$A$2:$A$51,0))),"")),-4,calendar!$A$2:$A$80)),"no prefill template yet (due T-4); ","")&amp;IF(COUNTIF(links!$D$2:$D$501,$D229)&gt;1,"DUPLICATE slug; ",""))</f>
        <v/>
      </c>
    </row>
    <row r="230">
      <c r="A230" s="25">
        <f>IF(INDEX(approvals!$A$2:$A$251,INT((ROW()-2)/2)+1)="","",INDEX(approvals!$A$2:$A$251,INT((ROW()-2)/2)+1))</f>
        <v/>
      </c>
      <c r="B230" s="25">
        <f>IF(INDEX(approvals!$A$2:$A$251,INT((ROW()-2)/2)+1)="","",INDEX(approvals!$B$2:$B$251,INT((ROW()-2)/2)+1))</f>
        <v/>
      </c>
      <c r="C230" s="25">
        <f>IF($A230="","",IF(MOD(ROW()-2,2)=0,"qr","post"))</f>
        <v/>
      </c>
      <c r="D230" s="25">
        <f>IF($A230="","",IF(LEFT($A230,7)="SAMPLE-","SAMPLE-","")&amp;LOWER(SUBSTITUTE(SUBSTITUTE($A230,"SAMPLE-",""),"CMP-","c"))&amp;"-"&amp;LOWER(SUBSTITUTE(SUBSTITUTE($B230,"SAMPLE-",""),"O-","o"))&amp;"-"&amp;IF($C230="qr","q","p"))</f>
        <v/>
      </c>
      <c r="E230" s="25">
        <f>IF($A230="","","https://"&amp;config!$B$9&amp;"/"&amp;$D230)</f>
        <v/>
      </c>
      <c r="F230" s="25">
        <f>IF($A230="","",$A230&amp;"."&amp;$B230)</f>
        <v/>
      </c>
      <c r="G230" s="25">
        <f>IF($A230="","",IF(IFERROR(IF(INDEX(campaigns!$AJ$2:$AJ$51,MATCH($A230,campaigns!$A$2:$A$51,0))="","",INDEX(campaigns!$AJ$2:$AJ$51,MATCH($A230,campaigns!$A$2:$A$51,0))),"")="","(add the survey prefill template on campaigns)",SUBSTITUTE(IFERROR(IF(INDEX(campaigns!$AJ$2:$AJ$51,MATCH($A230,campaigns!$A$2:$A$51,0))="","",INDEX(campaigns!$AJ$2:$AJ$51,MATCH($A230,campaigns!$A$2:$A$51,0))),""),"CARDCODE",$F230)&amp;"&amp;utm_source=office-pantry&amp;utm_medium="&amp;$C230&amp;"&amp;utm_campaign="&amp;LOWER($A230)&amp;"&amp;utm_content="&amp;LOWER($B230)))</f>
        <v/>
      </c>
      <c r="H230" s="25">
        <f>IF(OR($A230="",$C230&lt;&gt;"qr"),"",$D230&amp;".png")</f>
        <v/>
      </c>
      <c r="I230" s="25">
        <f>IF($A230="","",IF(AND(IFERROR(IF(INDEX(campaigns!$AJ$2:$AJ$51,MATCH($A230,campaigns!$A$2:$A$51,0))="","",INDEX(campaigns!$AJ$2:$AJ$51,MATCH($A230,campaigns!$A$2:$A$51,0))),"")="",IFERROR(IF(INDEX(campaigns!$BG$2:$BG$51,MATCH($A230,campaigns!$A$2:$A$51,0))="","",INDEX(campaigns!$BG$2:$BG$51,MATCH($A230,campaigns!$A$2:$A$51,0))),"")&lt;&gt;"",IF(config!$B$37&lt;&gt;"",config!$B$37,TODAY())&gt;=WORKDAY(N(IFERROR(IF(INDEX(campaigns!$BG$2:$BG$51,MATCH($A230,campaigns!$A$2:$A$51,0))="","",INDEX(campaigns!$BG$2:$BG$51,MATCH($A230,campaigns!$A$2:$A$51,0))),"")),-4,calendar!$A$2:$A$80)),"no prefill template yet (due T-4); ","")&amp;IF(COUNTIF(links!$D$2:$D$501,$D230)&gt;1,"DUPLICATE slug; ",""))</f>
        <v/>
      </c>
    </row>
    <row r="231">
      <c r="A231" s="25">
        <f>IF(INDEX(approvals!$A$2:$A$251,INT((ROW()-2)/2)+1)="","",INDEX(approvals!$A$2:$A$251,INT((ROW()-2)/2)+1))</f>
        <v/>
      </c>
      <c r="B231" s="25">
        <f>IF(INDEX(approvals!$A$2:$A$251,INT((ROW()-2)/2)+1)="","",INDEX(approvals!$B$2:$B$251,INT((ROW()-2)/2)+1))</f>
        <v/>
      </c>
      <c r="C231" s="25">
        <f>IF($A231="","",IF(MOD(ROW()-2,2)=0,"qr","post"))</f>
        <v/>
      </c>
      <c r="D231" s="25">
        <f>IF($A231="","",IF(LEFT($A231,7)="SAMPLE-","SAMPLE-","")&amp;LOWER(SUBSTITUTE(SUBSTITUTE($A231,"SAMPLE-",""),"CMP-","c"))&amp;"-"&amp;LOWER(SUBSTITUTE(SUBSTITUTE($B231,"SAMPLE-",""),"O-","o"))&amp;"-"&amp;IF($C231="qr","q","p"))</f>
        <v/>
      </c>
      <c r="E231" s="25">
        <f>IF($A231="","","https://"&amp;config!$B$9&amp;"/"&amp;$D231)</f>
        <v/>
      </c>
      <c r="F231" s="25">
        <f>IF($A231="","",$A231&amp;"."&amp;$B231)</f>
        <v/>
      </c>
      <c r="G231" s="25">
        <f>IF($A231="","",IF(IFERROR(IF(INDEX(campaigns!$AJ$2:$AJ$51,MATCH($A231,campaigns!$A$2:$A$51,0))="","",INDEX(campaigns!$AJ$2:$AJ$51,MATCH($A231,campaigns!$A$2:$A$51,0))),"")="","(add the survey prefill template on campaigns)",SUBSTITUTE(IFERROR(IF(INDEX(campaigns!$AJ$2:$AJ$51,MATCH($A231,campaigns!$A$2:$A$51,0))="","",INDEX(campaigns!$AJ$2:$AJ$51,MATCH($A231,campaigns!$A$2:$A$51,0))),""),"CARDCODE",$F231)&amp;"&amp;utm_source=office-pantry&amp;utm_medium="&amp;$C231&amp;"&amp;utm_campaign="&amp;LOWER($A231)&amp;"&amp;utm_content="&amp;LOWER($B231)))</f>
        <v/>
      </c>
      <c r="H231" s="25">
        <f>IF(OR($A231="",$C231&lt;&gt;"qr"),"",$D231&amp;".png")</f>
        <v/>
      </c>
      <c r="I231" s="25">
        <f>IF($A231="","",IF(AND(IFERROR(IF(INDEX(campaigns!$AJ$2:$AJ$51,MATCH($A231,campaigns!$A$2:$A$51,0))="","",INDEX(campaigns!$AJ$2:$AJ$51,MATCH($A231,campaigns!$A$2:$A$51,0))),"")="",IFERROR(IF(INDEX(campaigns!$BG$2:$BG$51,MATCH($A231,campaigns!$A$2:$A$51,0))="","",INDEX(campaigns!$BG$2:$BG$51,MATCH($A231,campaigns!$A$2:$A$51,0))),"")&lt;&gt;"",IF(config!$B$37&lt;&gt;"",config!$B$37,TODAY())&gt;=WORKDAY(N(IFERROR(IF(INDEX(campaigns!$BG$2:$BG$51,MATCH($A231,campaigns!$A$2:$A$51,0))="","",INDEX(campaigns!$BG$2:$BG$51,MATCH($A231,campaigns!$A$2:$A$51,0))),"")),-4,calendar!$A$2:$A$80)),"no prefill template yet (due T-4); ","")&amp;IF(COUNTIF(links!$D$2:$D$501,$D231)&gt;1,"DUPLICATE slug; ",""))</f>
        <v/>
      </c>
    </row>
    <row r="232">
      <c r="A232" s="25">
        <f>IF(INDEX(approvals!$A$2:$A$251,INT((ROW()-2)/2)+1)="","",INDEX(approvals!$A$2:$A$251,INT((ROW()-2)/2)+1))</f>
        <v/>
      </c>
      <c r="B232" s="25">
        <f>IF(INDEX(approvals!$A$2:$A$251,INT((ROW()-2)/2)+1)="","",INDEX(approvals!$B$2:$B$251,INT((ROW()-2)/2)+1))</f>
        <v/>
      </c>
      <c r="C232" s="25">
        <f>IF($A232="","",IF(MOD(ROW()-2,2)=0,"qr","post"))</f>
        <v/>
      </c>
      <c r="D232" s="25">
        <f>IF($A232="","",IF(LEFT($A232,7)="SAMPLE-","SAMPLE-","")&amp;LOWER(SUBSTITUTE(SUBSTITUTE($A232,"SAMPLE-",""),"CMP-","c"))&amp;"-"&amp;LOWER(SUBSTITUTE(SUBSTITUTE($B232,"SAMPLE-",""),"O-","o"))&amp;"-"&amp;IF($C232="qr","q","p"))</f>
        <v/>
      </c>
      <c r="E232" s="25">
        <f>IF($A232="","","https://"&amp;config!$B$9&amp;"/"&amp;$D232)</f>
        <v/>
      </c>
      <c r="F232" s="25">
        <f>IF($A232="","",$A232&amp;"."&amp;$B232)</f>
        <v/>
      </c>
      <c r="G232" s="25">
        <f>IF($A232="","",IF(IFERROR(IF(INDEX(campaigns!$AJ$2:$AJ$51,MATCH($A232,campaigns!$A$2:$A$51,0))="","",INDEX(campaigns!$AJ$2:$AJ$51,MATCH($A232,campaigns!$A$2:$A$51,0))),"")="","(add the survey prefill template on campaigns)",SUBSTITUTE(IFERROR(IF(INDEX(campaigns!$AJ$2:$AJ$51,MATCH($A232,campaigns!$A$2:$A$51,0))="","",INDEX(campaigns!$AJ$2:$AJ$51,MATCH($A232,campaigns!$A$2:$A$51,0))),""),"CARDCODE",$F232)&amp;"&amp;utm_source=office-pantry&amp;utm_medium="&amp;$C232&amp;"&amp;utm_campaign="&amp;LOWER($A232)&amp;"&amp;utm_content="&amp;LOWER($B232)))</f>
        <v/>
      </c>
      <c r="H232" s="25">
        <f>IF(OR($A232="",$C232&lt;&gt;"qr"),"",$D232&amp;".png")</f>
        <v/>
      </c>
      <c r="I232" s="25">
        <f>IF($A232="","",IF(AND(IFERROR(IF(INDEX(campaigns!$AJ$2:$AJ$51,MATCH($A232,campaigns!$A$2:$A$51,0))="","",INDEX(campaigns!$AJ$2:$AJ$51,MATCH($A232,campaigns!$A$2:$A$51,0))),"")="",IFERROR(IF(INDEX(campaigns!$BG$2:$BG$51,MATCH($A232,campaigns!$A$2:$A$51,0))="","",INDEX(campaigns!$BG$2:$BG$51,MATCH($A232,campaigns!$A$2:$A$51,0))),"")&lt;&gt;"",IF(config!$B$37&lt;&gt;"",config!$B$37,TODAY())&gt;=WORKDAY(N(IFERROR(IF(INDEX(campaigns!$BG$2:$BG$51,MATCH($A232,campaigns!$A$2:$A$51,0))="","",INDEX(campaigns!$BG$2:$BG$51,MATCH($A232,campaigns!$A$2:$A$51,0))),"")),-4,calendar!$A$2:$A$80)),"no prefill template yet (due T-4); ","")&amp;IF(COUNTIF(links!$D$2:$D$501,$D232)&gt;1,"DUPLICATE slug; ",""))</f>
        <v/>
      </c>
    </row>
    <row r="233">
      <c r="A233" s="25">
        <f>IF(INDEX(approvals!$A$2:$A$251,INT((ROW()-2)/2)+1)="","",INDEX(approvals!$A$2:$A$251,INT((ROW()-2)/2)+1))</f>
        <v/>
      </c>
      <c r="B233" s="25">
        <f>IF(INDEX(approvals!$A$2:$A$251,INT((ROW()-2)/2)+1)="","",INDEX(approvals!$B$2:$B$251,INT((ROW()-2)/2)+1))</f>
        <v/>
      </c>
      <c r="C233" s="25">
        <f>IF($A233="","",IF(MOD(ROW()-2,2)=0,"qr","post"))</f>
        <v/>
      </c>
      <c r="D233" s="25">
        <f>IF($A233="","",IF(LEFT($A233,7)="SAMPLE-","SAMPLE-","")&amp;LOWER(SUBSTITUTE(SUBSTITUTE($A233,"SAMPLE-",""),"CMP-","c"))&amp;"-"&amp;LOWER(SUBSTITUTE(SUBSTITUTE($B233,"SAMPLE-",""),"O-","o"))&amp;"-"&amp;IF($C233="qr","q","p"))</f>
        <v/>
      </c>
      <c r="E233" s="25">
        <f>IF($A233="","","https://"&amp;config!$B$9&amp;"/"&amp;$D233)</f>
        <v/>
      </c>
      <c r="F233" s="25">
        <f>IF($A233="","",$A233&amp;"."&amp;$B233)</f>
        <v/>
      </c>
      <c r="G233" s="25">
        <f>IF($A233="","",IF(IFERROR(IF(INDEX(campaigns!$AJ$2:$AJ$51,MATCH($A233,campaigns!$A$2:$A$51,0))="","",INDEX(campaigns!$AJ$2:$AJ$51,MATCH($A233,campaigns!$A$2:$A$51,0))),"")="","(add the survey prefill template on campaigns)",SUBSTITUTE(IFERROR(IF(INDEX(campaigns!$AJ$2:$AJ$51,MATCH($A233,campaigns!$A$2:$A$51,0))="","",INDEX(campaigns!$AJ$2:$AJ$51,MATCH($A233,campaigns!$A$2:$A$51,0))),""),"CARDCODE",$F233)&amp;"&amp;utm_source=office-pantry&amp;utm_medium="&amp;$C233&amp;"&amp;utm_campaign="&amp;LOWER($A233)&amp;"&amp;utm_content="&amp;LOWER($B233)))</f>
        <v/>
      </c>
      <c r="H233" s="25">
        <f>IF(OR($A233="",$C233&lt;&gt;"qr"),"",$D233&amp;".png")</f>
        <v/>
      </c>
      <c r="I233" s="25">
        <f>IF($A233="","",IF(AND(IFERROR(IF(INDEX(campaigns!$AJ$2:$AJ$51,MATCH($A233,campaigns!$A$2:$A$51,0))="","",INDEX(campaigns!$AJ$2:$AJ$51,MATCH($A233,campaigns!$A$2:$A$51,0))),"")="",IFERROR(IF(INDEX(campaigns!$BG$2:$BG$51,MATCH($A233,campaigns!$A$2:$A$51,0))="","",INDEX(campaigns!$BG$2:$BG$51,MATCH($A233,campaigns!$A$2:$A$51,0))),"")&lt;&gt;"",IF(config!$B$37&lt;&gt;"",config!$B$37,TODAY())&gt;=WORKDAY(N(IFERROR(IF(INDEX(campaigns!$BG$2:$BG$51,MATCH($A233,campaigns!$A$2:$A$51,0))="","",INDEX(campaigns!$BG$2:$BG$51,MATCH($A233,campaigns!$A$2:$A$51,0))),"")),-4,calendar!$A$2:$A$80)),"no prefill template yet (due T-4); ","")&amp;IF(COUNTIF(links!$D$2:$D$501,$D233)&gt;1,"DUPLICATE slug; ",""))</f>
        <v/>
      </c>
    </row>
    <row r="234">
      <c r="A234" s="25">
        <f>IF(INDEX(approvals!$A$2:$A$251,INT((ROW()-2)/2)+1)="","",INDEX(approvals!$A$2:$A$251,INT((ROW()-2)/2)+1))</f>
        <v/>
      </c>
      <c r="B234" s="25">
        <f>IF(INDEX(approvals!$A$2:$A$251,INT((ROW()-2)/2)+1)="","",INDEX(approvals!$B$2:$B$251,INT((ROW()-2)/2)+1))</f>
        <v/>
      </c>
      <c r="C234" s="25">
        <f>IF($A234="","",IF(MOD(ROW()-2,2)=0,"qr","post"))</f>
        <v/>
      </c>
      <c r="D234" s="25">
        <f>IF($A234="","",IF(LEFT($A234,7)="SAMPLE-","SAMPLE-","")&amp;LOWER(SUBSTITUTE(SUBSTITUTE($A234,"SAMPLE-",""),"CMP-","c"))&amp;"-"&amp;LOWER(SUBSTITUTE(SUBSTITUTE($B234,"SAMPLE-",""),"O-","o"))&amp;"-"&amp;IF($C234="qr","q","p"))</f>
        <v/>
      </c>
      <c r="E234" s="25">
        <f>IF($A234="","","https://"&amp;config!$B$9&amp;"/"&amp;$D234)</f>
        <v/>
      </c>
      <c r="F234" s="25">
        <f>IF($A234="","",$A234&amp;"."&amp;$B234)</f>
        <v/>
      </c>
      <c r="G234" s="25">
        <f>IF($A234="","",IF(IFERROR(IF(INDEX(campaigns!$AJ$2:$AJ$51,MATCH($A234,campaigns!$A$2:$A$51,0))="","",INDEX(campaigns!$AJ$2:$AJ$51,MATCH($A234,campaigns!$A$2:$A$51,0))),"")="","(add the survey prefill template on campaigns)",SUBSTITUTE(IFERROR(IF(INDEX(campaigns!$AJ$2:$AJ$51,MATCH($A234,campaigns!$A$2:$A$51,0))="","",INDEX(campaigns!$AJ$2:$AJ$51,MATCH($A234,campaigns!$A$2:$A$51,0))),""),"CARDCODE",$F234)&amp;"&amp;utm_source=office-pantry&amp;utm_medium="&amp;$C234&amp;"&amp;utm_campaign="&amp;LOWER($A234)&amp;"&amp;utm_content="&amp;LOWER($B234)))</f>
        <v/>
      </c>
      <c r="H234" s="25">
        <f>IF(OR($A234="",$C234&lt;&gt;"qr"),"",$D234&amp;".png")</f>
        <v/>
      </c>
      <c r="I234" s="25">
        <f>IF($A234="","",IF(AND(IFERROR(IF(INDEX(campaigns!$AJ$2:$AJ$51,MATCH($A234,campaigns!$A$2:$A$51,0))="","",INDEX(campaigns!$AJ$2:$AJ$51,MATCH($A234,campaigns!$A$2:$A$51,0))),"")="",IFERROR(IF(INDEX(campaigns!$BG$2:$BG$51,MATCH($A234,campaigns!$A$2:$A$51,0))="","",INDEX(campaigns!$BG$2:$BG$51,MATCH($A234,campaigns!$A$2:$A$51,0))),"")&lt;&gt;"",IF(config!$B$37&lt;&gt;"",config!$B$37,TODAY())&gt;=WORKDAY(N(IFERROR(IF(INDEX(campaigns!$BG$2:$BG$51,MATCH($A234,campaigns!$A$2:$A$51,0))="","",INDEX(campaigns!$BG$2:$BG$51,MATCH($A234,campaigns!$A$2:$A$51,0))),"")),-4,calendar!$A$2:$A$80)),"no prefill template yet (due T-4); ","")&amp;IF(COUNTIF(links!$D$2:$D$501,$D234)&gt;1,"DUPLICATE slug; ",""))</f>
        <v/>
      </c>
    </row>
    <row r="235">
      <c r="A235" s="25">
        <f>IF(INDEX(approvals!$A$2:$A$251,INT((ROW()-2)/2)+1)="","",INDEX(approvals!$A$2:$A$251,INT((ROW()-2)/2)+1))</f>
        <v/>
      </c>
      <c r="B235" s="25">
        <f>IF(INDEX(approvals!$A$2:$A$251,INT((ROW()-2)/2)+1)="","",INDEX(approvals!$B$2:$B$251,INT((ROW()-2)/2)+1))</f>
        <v/>
      </c>
      <c r="C235" s="25">
        <f>IF($A235="","",IF(MOD(ROW()-2,2)=0,"qr","post"))</f>
        <v/>
      </c>
      <c r="D235" s="25">
        <f>IF($A235="","",IF(LEFT($A235,7)="SAMPLE-","SAMPLE-","")&amp;LOWER(SUBSTITUTE(SUBSTITUTE($A235,"SAMPLE-",""),"CMP-","c"))&amp;"-"&amp;LOWER(SUBSTITUTE(SUBSTITUTE($B235,"SAMPLE-",""),"O-","o"))&amp;"-"&amp;IF($C235="qr","q","p"))</f>
        <v/>
      </c>
      <c r="E235" s="25">
        <f>IF($A235="","","https://"&amp;config!$B$9&amp;"/"&amp;$D235)</f>
        <v/>
      </c>
      <c r="F235" s="25">
        <f>IF($A235="","",$A235&amp;"."&amp;$B235)</f>
        <v/>
      </c>
      <c r="G235" s="25">
        <f>IF($A235="","",IF(IFERROR(IF(INDEX(campaigns!$AJ$2:$AJ$51,MATCH($A235,campaigns!$A$2:$A$51,0))="","",INDEX(campaigns!$AJ$2:$AJ$51,MATCH($A235,campaigns!$A$2:$A$51,0))),"")="","(add the survey prefill template on campaigns)",SUBSTITUTE(IFERROR(IF(INDEX(campaigns!$AJ$2:$AJ$51,MATCH($A235,campaigns!$A$2:$A$51,0))="","",INDEX(campaigns!$AJ$2:$AJ$51,MATCH($A235,campaigns!$A$2:$A$51,0))),""),"CARDCODE",$F235)&amp;"&amp;utm_source=office-pantry&amp;utm_medium="&amp;$C235&amp;"&amp;utm_campaign="&amp;LOWER($A235)&amp;"&amp;utm_content="&amp;LOWER($B235)))</f>
        <v/>
      </c>
      <c r="H235" s="25">
        <f>IF(OR($A235="",$C235&lt;&gt;"qr"),"",$D235&amp;".png")</f>
        <v/>
      </c>
      <c r="I235" s="25">
        <f>IF($A235="","",IF(AND(IFERROR(IF(INDEX(campaigns!$AJ$2:$AJ$51,MATCH($A235,campaigns!$A$2:$A$51,0))="","",INDEX(campaigns!$AJ$2:$AJ$51,MATCH($A235,campaigns!$A$2:$A$51,0))),"")="",IFERROR(IF(INDEX(campaigns!$BG$2:$BG$51,MATCH($A235,campaigns!$A$2:$A$51,0))="","",INDEX(campaigns!$BG$2:$BG$51,MATCH($A235,campaigns!$A$2:$A$51,0))),"")&lt;&gt;"",IF(config!$B$37&lt;&gt;"",config!$B$37,TODAY())&gt;=WORKDAY(N(IFERROR(IF(INDEX(campaigns!$BG$2:$BG$51,MATCH($A235,campaigns!$A$2:$A$51,0))="","",INDEX(campaigns!$BG$2:$BG$51,MATCH($A235,campaigns!$A$2:$A$51,0))),"")),-4,calendar!$A$2:$A$80)),"no prefill template yet (due T-4); ","")&amp;IF(COUNTIF(links!$D$2:$D$501,$D235)&gt;1,"DUPLICATE slug; ",""))</f>
        <v/>
      </c>
    </row>
    <row r="236">
      <c r="A236" s="25">
        <f>IF(INDEX(approvals!$A$2:$A$251,INT((ROW()-2)/2)+1)="","",INDEX(approvals!$A$2:$A$251,INT((ROW()-2)/2)+1))</f>
        <v/>
      </c>
      <c r="B236" s="25">
        <f>IF(INDEX(approvals!$A$2:$A$251,INT((ROW()-2)/2)+1)="","",INDEX(approvals!$B$2:$B$251,INT((ROW()-2)/2)+1))</f>
        <v/>
      </c>
      <c r="C236" s="25">
        <f>IF($A236="","",IF(MOD(ROW()-2,2)=0,"qr","post"))</f>
        <v/>
      </c>
      <c r="D236" s="25">
        <f>IF($A236="","",IF(LEFT($A236,7)="SAMPLE-","SAMPLE-","")&amp;LOWER(SUBSTITUTE(SUBSTITUTE($A236,"SAMPLE-",""),"CMP-","c"))&amp;"-"&amp;LOWER(SUBSTITUTE(SUBSTITUTE($B236,"SAMPLE-",""),"O-","o"))&amp;"-"&amp;IF($C236="qr","q","p"))</f>
        <v/>
      </c>
      <c r="E236" s="25">
        <f>IF($A236="","","https://"&amp;config!$B$9&amp;"/"&amp;$D236)</f>
        <v/>
      </c>
      <c r="F236" s="25">
        <f>IF($A236="","",$A236&amp;"."&amp;$B236)</f>
        <v/>
      </c>
      <c r="G236" s="25">
        <f>IF($A236="","",IF(IFERROR(IF(INDEX(campaigns!$AJ$2:$AJ$51,MATCH($A236,campaigns!$A$2:$A$51,0))="","",INDEX(campaigns!$AJ$2:$AJ$51,MATCH($A236,campaigns!$A$2:$A$51,0))),"")="","(add the survey prefill template on campaigns)",SUBSTITUTE(IFERROR(IF(INDEX(campaigns!$AJ$2:$AJ$51,MATCH($A236,campaigns!$A$2:$A$51,0))="","",INDEX(campaigns!$AJ$2:$AJ$51,MATCH($A236,campaigns!$A$2:$A$51,0))),""),"CARDCODE",$F236)&amp;"&amp;utm_source=office-pantry&amp;utm_medium="&amp;$C236&amp;"&amp;utm_campaign="&amp;LOWER($A236)&amp;"&amp;utm_content="&amp;LOWER($B236)))</f>
        <v/>
      </c>
      <c r="H236" s="25">
        <f>IF(OR($A236="",$C236&lt;&gt;"qr"),"",$D236&amp;".png")</f>
        <v/>
      </c>
      <c r="I236" s="25">
        <f>IF($A236="","",IF(AND(IFERROR(IF(INDEX(campaigns!$AJ$2:$AJ$51,MATCH($A236,campaigns!$A$2:$A$51,0))="","",INDEX(campaigns!$AJ$2:$AJ$51,MATCH($A236,campaigns!$A$2:$A$51,0))),"")="",IFERROR(IF(INDEX(campaigns!$BG$2:$BG$51,MATCH($A236,campaigns!$A$2:$A$51,0))="","",INDEX(campaigns!$BG$2:$BG$51,MATCH($A236,campaigns!$A$2:$A$51,0))),"")&lt;&gt;"",IF(config!$B$37&lt;&gt;"",config!$B$37,TODAY())&gt;=WORKDAY(N(IFERROR(IF(INDEX(campaigns!$BG$2:$BG$51,MATCH($A236,campaigns!$A$2:$A$51,0))="","",INDEX(campaigns!$BG$2:$BG$51,MATCH($A236,campaigns!$A$2:$A$51,0))),"")),-4,calendar!$A$2:$A$80)),"no prefill template yet (due T-4); ","")&amp;IF(COUNTIF(links!$D$2:$D$501,$D236)&gt;1,"DUPLICATE slug; ",""))</f>
        <v/>
      </c>
    </row>
    <row r="237">
      <c r="A237" s="25">
        <f>IF(INDEX(approvals!$A$2:$A$251,INT((ROW()-2)/2)+1)="","",INDEX(approvals!$A$2:$A$251,INT((ROW()-2)/2)+1))</f>
        <v/>
      </c>
      <c r="B237" s="25">
        <f>IF(INDEX(approvals!$A$2:$A$251,INT((ROW()-2)/2)+1)="","",INDEX(approvals!$B$2:$B$251,INT((ROW()-2)/2)+1))</f>
        <v/>
      </c>
      <c r="C237" s="25">
        <f>IF($A237="","",IF(MOD(ROW()-2,2)=0,"qr","post"))</f>
        <v/>
      </c>
      <c r="D237" s="25">
        <f>IF($A237="","",IF(LEFT($A237,7)="SAMPLE-","SAMPLE-","")&amp;LOWER(SUBSTITUTE(SUBSTITUTE($A237,"SAMPLE-",""),"CMP-","c"))&amp;"-"&amp;LOWER(SUBSTITUTE(SUBSTITUTE($B237,"SAMPLE-",""),"O-","o"))&amp;"-"&amp;IF($C237="qr","q","p"))</f>
        <v/>
      </c>
      <c r="E237" s="25">
        <f>IF($A237="","","https://"&amp;config!$B$9&amp;"/"&amp;$D237)</f>
        <v/>
      </c>
      <c r="F237" s="25">
        <f>IF($A237="","",$A237&amp;"."&amp;$B237)</f>
        <v/>
      </c>
      <c r="G237" s="25">
        <f>IF($A237="","",IF(IFERROR(IF(INDEX(campaigns!$AJ$2:$AJ$51,MATCH($A237,campaigns!$A$2:$A$51,0))="","",INDEX(campaigns!$AJ$2:$AJ$51,MATCH($A237,campaigns!$A$2:$A$51,0))),"")="","(add the survey prefill template on campaigns)",SUBSTITUTE(IFERROR(IF(INDEX(campaigns!$AJ$2:$AJ$51,MATCH($A237,campaigns!$A$2:$A$51,0))="","",INDEX(campaigns!$AJ$2:$AJ$51,MATCH($A237,campaigns!$A$2:$A$51,0))),""),"CARDCODE",$F237)&amp;"&amp;utm_source=office-pantry&amp;utm_medium="&amp;$C237&amp;"&amp;utm_campaign="&amp;LOWER($A237)&amp;"&amp;utm_content="&amp;LOWER($B237)))</f>
        <v/>
      </c>
      <c r="H237" s="25">
        <f>IF(OR($A237="",$C237&lt;&gt;"qr"),"",$D237&amp;".png")</f>
        <v/>
      </c>
      <c r="I237" s="25">
        <f>IF($A237="","",IF(AND(IFERROR(IF(INDEX(campaigns!$AJ$2:$AJ$51,MATCH($A237,campaigns!$A$2:$A$51,0))="","",INDEX(campaigns!$AJ$2:$AJ$51,MATCH($A237,campaigns!$A$2:$A$51,0))),"")="",IFERROR(IF(INDEX(campaigns!$BG$2:$BG$51,MATCH($A237,campaigns!$A$2:$A$51,0))="","",INDEX(campaigns!$BG$2:$BG$51,MATCH($A237,campaigns!$A$2:$A$51,0))),"")&lt;&gt;"",IF(config!$B$37&lt;&gt;"",config!$B$37,TODAY())&gt;=WORKDAY(N(IFERROR(IF(INDEX(campaigns!$BG$2:$BG$51,MATCH($A237,campaigns!$A$2:$A$51,0))="","",INDEX(campaigns!$BG$2:$BG$51,MATCH($A237,campaigns!$A$2:$A$51,0))),"")),-4,calendar!$A$2:$A$80)),"no prefill template yet (due T-4); ","")&amp;IF(COUNTIF(links!$D$2:$D$501,$D237)&gt;1,"DUPLICATE slug; ",""))</f>
        <v/>
      </c>
    </row>
    <row r="238">
      <c r="A238" s="25">
        <f>IF(INDEX(approvals!$A$2:$A$251,INT((ROW()-2)/2)+1)="","",INDEX(approvals!$A$2:$A$251,INT((ROW()-2)/2)+1))</f>
        <v/>
      </c>
      <c r="B238" s="25">
        <f>IF(INDEX(approvals!$A$2:$A$251,INT((ROW()-2)/2)+1)="","",INDEX(approvals!$B$2:$B$251,INT((ROW()-2)/2)+1))</f>
        <v/>
      </c>
      <c r="C238" s="25">
        <f>IF($A238="","",IF(MOD(ROW()-2,2)=0,"qr","post"))</f>
        <v/>
      </c>
      <c r="D238" s="25">
        <f>IF($A238="","",IF(LEFT($A238,7)="SAMPLE-","SAMPLE-","")&amp;LOWER(SUBSTITUTE(SUBSTITUTE($A238,"SAMPLE-",""),"CMP-","c"))&amp;"-"&amp;LOWER(SUBSTITUTE(SUBSTITUTE($B238,"SAMPLE-",""),"O-","o"))&amp;"-"&amp;IF($C238="qr","q","p"))</f>
        <v/>
      </c>
      <c r="E238" s="25">
        <f>IF($A238="","","https://"&amp;config!$B$9&amp;"/"&amp;$D238)</f>
        <v/>
      </c>
      <c r="F238" s="25">
        <f>IF($A238="","",$A238&amp;"."&amp;$B238)</f>
        <v/>
      </c>
      <c r="G238" s="25">
        <f>IF($A238="","",IF(IFERROR(IF(INDEX(campaigns!$AJ$2:$AJ$51,MATCH($A238,campaigns!$A$2:$A$51,0))="","",INDEX(campaigns!$AJ$2:$AJ$51,MATCH($A238,campaigns!$A$2:$A$51,0))),"")="","(add the survey prefill template on campaigns)",SUBSTITUTE(IFERROR(IF(INDEX(campaigns!$AJ$2:$AJ$51,MATCH($A238,campaigns!$A$2:$A$51,0))="","",INDEX(campaigns!$AJ$2:$AJ$51,MATCH($A238,campaigns!$A$2:$A$51,0))),""),"CARDCODE",$F238)&amp;"&amp;utm_source=office-pantry&amp;utm_medium="&amp;$C238&amp;"&amp;utm_campaign="&amp;LOWER($A238)&amp;"&amp;utm_content="&amp;LOWER($B238)))</f>
        <v/>
      </c>
      <c r="H238" s="25">
        <f>IF(OR($A238="",$C238&lt;&gt;"qr"),"",$D238&amp;".png")</f>
        <v/>
      </c>
      <c r="I238" s="25">
        <f>IF($A238="","",IF(AND(IFERROR(IF(INDEX(campaigns!$AJ$2:$AJ$51,MATCH($A238,campaigns!$A$2:$A$51,0))="","",INDEX(campaigns!$AJ$2:$AJ$51,MATCH($A238,campaigns!$A$2:$A$51,0))),"")="",IFERROR(IF(INDEX(campaigns!$BG$2:$BG$51,MATCH($A238,campaigns!$A$2:$A$51,0))="","",INDEX(campaigns!$BG$2:$BG$51,MATCH($A238,campaigns!$A$2:$A$51,0))),"")&lt;&gt;"",IF(config!$B$37&lt;&gt;"",config!$B$37,TODAY())&gt;=WORKDAY(N(IFERROR(IF(INDEX(campaigns!$BG$2:$BG$51,MATCH($A238,campaigns!$A$2:$A$51,0))="","",INDEX(campaigns!$BG$2:$BG$51,MATCH($A238,campaigns!$A$2:$A$51,0))),"")),-4,calendar!$A$2:$A$80)),"no prefill template yet (due T-4); ","")&amp;IF(COUNTIF(links!$D$2:$D$501,$D238)&gt;1,"DUPLICATE slug; ",""))</f>
        <v/>
      </c>
    </row>
    <row r="239">
      <c r="A239" s="25">
        <f>IF(INDEX(approvals!$A$2:$A$251,INT((ROW()-2)/2)+1)="","",INDEX(approvals!$A$2:$A$251,INT((ROW()-2)/2)+1))</f>
        <v/>
      </c>
      <c r="B239" s="25">
        <f>IF(INDEX(approvals!$A$2:$A$251,INT((ROW()-2)/2)+1)="","",INDEX(approvals!$B$2:$B$251,INT((ROW()-2)/2)+1))</f>
        <v/>
      </c>
      <c r="C239" s="25">
        <f>IF($A239="","",IF(MOD(ROW()-2,2)=0,"qr","post"))</f>
        <v/>
      </c>
      <c r="D239" s="25">
        <f>IF($A239="","",IF(LEFT($A239,7)="SAMPLE-","SAMPLE-","")&amp;LOWER(SUBSTITUTE(SUBSTITUTE($A239,"SAMPLE-",""),"CMP-","c"))&amp;"-"&amp;LOWER(SUBSTITUTE(SUBSTITUTE($B239,"SAMPLE-",""),"O-","o"))&amp;"-"&amp;IF($C239="qr","q","p"))</f>
        <v/>
      </c>
      <c r="E239" s="25">
        <f>IF($A239="","","https://"&amp;config!$B$9&amp;"/"&amp;$D239)</f>
        <v/>
      </c>
      <c r="F239" s="25">
        <f>IF($A239="","",$A239&amp;"."&amp;$B239)</f>
        <v/>
      </c>
      <c r="G239" s="25">
        <f>IF($A239="","",IF(IFERROR(IF(INDEX(campaigns!$AJ$2:$AJ$51,MATCH($A239,campaigns!$A$2:$A$51,0))="","",INDEX(campaigns!$AJ$2:$AJ$51,MATCH($A239,campaigns!$A$2:$A$51,0))),"")="","(add the survey prefill template on campaigns)",SUBSTITUTE(IFERROR(IF(INDEX(campaigns!$AJ$2:$AJ$51,MATCH($A239,campaigns!$A$2:$A$51,0))="","",INDEX(campaigns!$AJ$2:$AJ$51,MATCH($A239,campaigns!$A$2:$A$51,0))),""),"CARDCODE",$F239)&amp;"&amp;utm_source=office-pantry&amp;utm_medium="&amp;$C239&amp;"&amp;utm_campaign="&amp;LOWER($A239)&amp;"&amp;utm_content="&amp;LOWER($B239)))</f>
        <v/>
      </c>
      <c r="H239" s="25">
        <f>IF(OR($A239="",$C239&lt;&gt;"qr"),"",$D239&amp;".png")</f>
        <v/>
      </c>
      <c r="I239" s="25">
        <f>IF($A239="","",IF(AND(IFERROR(IF(INDEX(campaigns!$AJ$2:$AJ$51,MATCH($A239,campaigns!$A$2:$A$51,0))="","",INDEX(campaigns!$AJ$2:$AJ$51,MATCH($A239,campaigns!$A$2:$A$51,0))),"")="",IFERROR(IF(INDEX(campaigns!$BG$2:$BG$51,MATCH($A239,campaigns!$A$2:$A$51,0))="","",INDEX(campaigns!$BG$2:$BG$51,MATCH($A239,campaigns!$A$2:$A$51,0))),"")&lt;&gt;"",IF(config!$B$37&lt;&gt;"",config!$B$37,TODAY())&gt;=WORKDAY(N(IFERROR(IF(INDEX(campaigns!$BG$2:$BG$51,MATCH($A239,campaigns!$A$2:$A$51,0))="","",INDEX(campaigns!$BG$2:$BG$51,MATCH($A239,campaigns!$A$2:$A$51,0))),"")),-4,calendar!$A$2:$A$80)),"no prefill template yet (due T-4); ","")&amp;IF(COUNTIF(links!$D$2:$D$501,$D239)&gt;1,"DUPLICATE slug; ",""))</f>
        <v/>
      </c>
    </row>
    <row r="240">
      <c r="A240" s="25">
        <f>IF(INDEX(approvals!$A$2:$A$251,INT((ROW()-2)/2)+1)="","",INDEX(approvals!$A$2:$A$251,INT((ROW()-2)/2)+1))</f>
        <v/>
      </c>
      <c r="B240" s="25">
        <f>IF(INDEX(approvals!$A$2:$A$251,INT((ROW()-2)/2)+1)="","",INDEX(approvals!$B$2:$B$251,INT((ROW()-2)/2)+1))</f>
        <v/>
      </c>
      <c r="C240" s="25">
        <f>IF($A240="","",IF(MOD(ROW()-2,2)=0,"qr","post"))</f>
        <v/>
      </c>
      <c r="D240" s="25">
        <f>IF($A240="","",IF(LEFT($A240,7)="SAMPLE-","SAMPLE-","")&amp;LOWER(SUBSTITUTE(SUBSTITUTE($A240,"SAMPLE-",""),"CMP-","c"))&amp;"-"&amp;LOWER(SUBSTITUTE(SUBSTITUTE($B240,"SAMPLE-",""),"O-","o"))&amp;"-"&amp;IF($C240="qr","q","p"))</f>
        <v/>
      </c>
      <c r="E240" s="25">
        <f>IF($A240="","","https://"&amp;config!$B$9&amp;"/"&amp;$D240)</f>
        <v/>
      </c>
      <c r="F240" s="25">
        <f>IF($A240="","",$A240&amp;"."&amp;$B240)</f>
        <v/>
      </c>
      <c r="G240" s="25">
        <f>IF($A240="","",IF(IFERROR(IF(INDEX(campaigns!$AJ$2:$AJ$51,MATCH($A240,campaigns!$A$2:$A$51,0))="","",INDEX(campaigns!$AJ$2:$AJ$51,MATCH($A240,campaigns!$A$2:$A$51,0))),"")="","(add the survey prefill template on campaigns)",SUBSTITUTE(IFERROR(IF(INDEX(campaigns!$AJ$2:$AJ$51,MATCH($A240,campaigns!$A$2:$A$51,0))="","",INDEX(campaigns!$AJ$2:$AJ$51,MATCH($A240,campaigns!$A$2:$A$51,0))),""),"CARDCODE",$F240)&amp;"&amp;utm_source=office-pantry&amp;utm_medium="&amp;$C240&amp;"&amp;utm_campaign="&amp;LOWER($A240)&amp;"&amp;utm_content="&amp;LOWER($B240)))</f>
        <v/>
      </c>
      <c r="H240" s="25">
        <f>IF(OR($A240="",$C240&lt;&gt;"qr"),"",$D240&amp;".png")</f>
        <v/>
      </c>
      <c r="I240" s="25">
        <f>IF($A240="","",IF(AND(IFERROR(IF(INDEX(campaigns!$AJ$2:$AJ$51,MATCH($A240,campaigns!$A$2:$A$51,0))="","",INDEX(campaigns!$AJ$2:$AJ$51,MATCH($A240,campaigns!$A$2:$A$51,0))),"")="",IFERROR(IF(INDEX(campaigns!$BG$2:$BG$51,MATCH($A240,campaigns!$A$2:$A$51,0))="","",INDEX(campaigns!$BG$2:$BG$51,MATCH($A240,campaigns!$A$2:$A$51,0))),"")&lt;&gt;"",IF(config!$B$37&lt;&gt;"",config!$B$37,TODAY())&gt;=WORKDAY(N(IFERROR(IF(INDEX(campaigns!$BG$2:$BG$51,MATCH($A240,campaigns!$A$2:$A$51,0))="","",INDEX(campaigns!$BG$2:$BG$51,MATCH($A240,campaigns!$A$2:$A$51,0))),"")),-4,calendar!$A$2:$A$80)),"no prefill template yet (due T-4); ","")&amp;IF(COUNTIF(links!$D$2:$D$501,$D240)&gt;1,"DUPLICATE slug; ",""))</f>
        <v/>
      </c>
    </row>
    <row r="241">
      <c r="A241" s="25">
        <f>IF(INDEX(approvals!$A$2:$A$251,INT((ROW()-2)/2)+1)="","",INDEX(approvals!$A$2:$A$251,INT((ROW()-2)/2)+1))</f>
        <v/>
      </c>
      <c r="B241" s="25">
        <f>IF(INDEX(approvals!$A$2:$A$251,INT((ROW()-2)/2)+1)="","",INDEX(approvals!$B$2:$B$251,INT((ROW()-2)/2)+1))</f>
        <v/>
      </c>
      <c r="C241" s="25">
        <f>IF($A241="","",IF(MOD(ROW()-2,2)=0,"qr","post"))</f>
        <v/>
      </c>
      <c r="D241" s="25">
        <f>IF($A241="","",IF(LEFT($A241,7)="SAMPLE-","SAMPLE-","")&amp;LOWER(SUBSTITUTE(SUBSTITUTE($A241,"SAMPLE-",""),"CMP-","c"))&amp;"-"&amp;LOWER(SUBSTITUTE(SUBSTITUTE($B241,"SAMPLE-",""),"O-","o"))&amp;"-"&amp;IF($C241="qr","q","p"))</f>
        <v/>
      </c>
      <c r="E241" s="25">
        <f>IF($A241="","","https://"&amp;config!$B$9&amp;"/"&amp;$D241)</f>
        <v/>
      </c>
      <c r="F241" s="25">
        <f>IF($A241="","",$A241&amp;"."&amp;$B241)</f>
        <v/>
      </c>
      <c r="G241" s="25">
        <f>IF($A241="","",IF(IFERROR(IF(INDEX(campaigns!$AJ$2:$AJ$51,MATCH($A241,campaigns!$A$2:$A$51,0))="","",INDEX(campaigns!$AJ$2:$AJ$51,MATCH($A241,campaigns!$A$2:$A$51,0))),"")="","(add the survey prefill template on campaigns)",SUBSTITUTE(IFERROR(IF(INDEX(campaigns!$AJ$2:$AJ$51,MATCH($A241,campaigns!$A$2:$A$51,0))="","",INDEX(campaigns!$AJ$2:$AJ$51,MATCH($A241,campaigns!$A$2:$A$51,0))),""),"CARDCODE",$F241)&amp;"&amp;utm_source=office-pantry&amp;utm_medium="&amp;$C241&amp;"&amp;utm_campaign="&amp;LOWER($A241)&amp;"&amp;utm_content="&amp;LOWER($B241)))</f>
        <v/>
      </c>
      <c r="H241" s="25">
        <f>IF(OR($A241="",$C241&lt;&gt;"qr"),"",$D241&amp;".png")</f>
        <v/>
      </c>
      <c r="I241" s="25">
        <f>IF($A241="","",IF(AND(IFERROR(IF(INDEX(campaigns!$AJ$2:$AJ$51,MATCH($A241,campaigns!$A$2:$A$51,0))="","",INDEX(campaigns!$AJ$2:$AJ$51,MATCH($A241,campaigns!$A$2:$A$51,0))),"")="",IFERROR(IF(INDEX(campaigns!$BG$2:$BG$51,MATCH($A241,campaigns!$A$2:$A$51,0))="","",INDEX(campaigns!$BG$2:$BG$51,MATCH($A241,campaigns!$A$2:$A$51,0))),"")&lt;&gt;"",IF(config!$B$37&lt;&gt;"",config!$B$37,TODAY())&gt;=WORKDAY(N(IFERROR(IF(INDEX(campaigns!$BG$2:$BG$51,MATCH($A241,campaigns!$A$2:$A$51,0))="","",INDEX(campaigns!$BG$2:$BG$51,MATCH($A241,campaigns!$A$2:$A$51,0))),"")),-4,calendar!$A$2:$A$80)),"no prefill template yet (due T-4); ","")&amp;IF(COUNTIF(links!$D$2:$D$501,$D241)&gt;1,"DUPLICATE slug; ",""))</f>
        <v/>
      </c>
    </row>
    <row r="242">
      <c r="A242" s="25">
        <f>IF(INDEX(approvals!$A$2:$A$251,INT((ROW()-2)/2)+1)="","",INDEX(approvals!$A$2:$A$251,INT((ROW()-2)/2)+1))</f>
        <v/>
      </c>
      <c r="B242" s="25">
        <f>IF(INDEX(approvals!$A$2:$A$251,INT((ROW()-2)/2)+1)="","",INDEX(approvals!$B$2:$B$251,INT((ROW()-2)/2)+1))</f>
        <v/>
      </c>
      <c r="C242" s="25">
        <f>IF($A242="","",IF(MOD(ROW()-2,2)=0,"qr","post"))</f>
        <v/>
      </c>
      <c r="D242" s="25">
        <f>IF($A242="","",IF(LEFT($A242,7)="SAMPLE-","SAMPLE-","")&amp;LOWER(SUBSTITUTE(SUBSTITUTE($A242,"SAMPLE-",""),"CMP-","c"))&amp;"-"&amp;LOWER(SUBSTITUTE(SUBSTITUTE($B242,"SAMPLE-",""),"O-","o"))&amp;"-"&amp;IF($C242="qr","q","p"))</f>
        <v/>
      </c>
      <c r="E242" s="25">
        <f>IF($A242="","","https://"&amp;config!$B$9&amp;"/"&amp;$D242)</f>
        <v/>
      </c>
      <c r="F242" s="25">
        <f>IF($A242="","",$A242&amp;"."&amp;$B242)</f>
        <v/>
      </c>
      <c r="G242" s="25">
        <f>IF($A242="","",IF(IFERROR(IF(INDEX(campaigns!$AJ$2:$AJ$51,MATCH($A242,campaigns!$A$2:$A$51,0))="","",INDEX(campaigns!$AJ$2:$AJ$51,MATCH($A242,campaigns!$A$2:$A$51,0))),"")="","(add the survey prefill template on campaigns)",SUBSTITUTE(IFERROR(IF(INDEX(campaigns!$AJ$2:$AJ$51,MATCH($A242,campaigns!$A$2:$A$51,0))="","",INDEX(campaigns!$AJ$2:$AJ$51,MATCH($A242,campaigns!$A$2:$A$51,0))),""),"CARDCODE",$F242)&amp;"&amp;utm_source=office-pantry&amp;utm_medium="&amp;$C242&amp;"&amp;utm_campaign="&amp;LOWER($A242)&amp;"&amp;utm_content="&amp;LOWER($B242)))</f>
        <v/>
      </c>
      <c r="H242" s="25">
        <f>IF(OR($A242="",$C242&lt;&gt;"qr"),"",$D242&amp;".png")</f>
        <v/>
      </c>
      <c r="I242" s="25">
        <f>IF($A242="","",IF(AND(IFERROR(IF(INDEX(campaigns!$AJ$2:$AJ$51,MATCH($A242,campaigns!$A$2:$A$51,0))="","",INDEX(campaigns!$AJ$2:$AJ$51,MATCH($A242,campaigns!$A$2:$A$51,0))),"")="",IFERROR(IF(INDEX(campaigns!$BG$2:$BG$51,MATCH($A242,campaigns!$A$2:$A$51,0))="","",INDEX(campaigns!$BG$2:$BG$51,MATCH($A242,campaigns!$A$2:$A$51,0))),"")&lt;&gt;"",IF(config!$B$37&lt;&gt;"",config!$B$37,TODAY())&gt;=WORKDAY(N(IFERROR(IF(INDEX(campaigns!$BG$2:$BG$51,MATCH($A242,campaigns!$A$2:$A$51,0))="","",INDEX(campaigns!$BG$2:$BG$51,MATCH($A242,campaigns!$A$2:$A$51,0))),"")),-4,calendar!$A$2:$A$80)),"no prefill template yet (due T-4); ","")&amp;IF(COUNTIF(links!$D$2:$D$501,$D242)&gt;1,"DUPLICATE slug; ",""))</f>
        <v/>
      </c>
    </row>
    <row r="243">
      <c r="A243" s="25">
        <f>IF(INDEX(approvals!$A$2:$A$251,INT((ROW()-2)/2)+1)="","",INDEX(approvals!$A$2:$A$251,INT((ROW()-2)/2)+1))</f>
        <v/>
      </c>
      <c r="B243" s="25">
        <f>IF(INDEX(approvals!$A$2:$A$251,INT((ROW()-2)/2)+1)="","",INDEX(approvals!$B$2:$B$251,INT((ROW()-2)/2)+1))</f>
        <v/>
      </c>
      <c r="C243" s="25">
        <f>IF($A243="","",IF(MOD(ROW()-2,2)=0,"qr","post"))</f>
        <v/>
      </c>
      <c r="D243" s="25">
        <f>IF($A243="","",IF(LEFT($A243,7)="SAMPLE-","SAMPLE-","")&amp;LOWER(SUBSTITUTE(SUBSTITUTE($A243,"SAMPLE-",""),"CMP-","c"))&amp;"-"&amp;LOWER(SUBSTITUTE(SUBSTITUTE($B243,"SAMPLE-",""),"O-","o"))&amp;"-"&amp;IF($C243="qr","q","p"))</f>
        <v/>
      </c>
      <c r="E243" s="25">
        <f>IF($A243="","","https://"&amp;config!$B$9&amp;"/"&amp;$D243)</f>
        <v/>
      </c>
      <c r="F243" s="25">
        <f>IF($A243="","",$A243&amp;"."&amp;$B243)</f>
        <v/>
      </c>
      <c r="G243" s="25">
        <f>IF($A243="","",IF(IFERROR(IF(INDEX(campaigns!$AJ$2:$AJ$51,MATCH($A243,campaigns!$A$2:$A$51,0))="","",INDEX(campaigns!$AJ$2:$AJ$51,MATCH($A243,campaigns!$A$2:$A$51,0))),"")="","(add the survey prefill template on campaigns)",SUBSTITUTE(IFERROR(IF(INDEX(campaigns!$AJ$2:$AJ$51,MATCH($A243,campaigns!$A$2:$A$51,0))="","",INDEX(campaigns!$AJ$2:$AJ$51,MATCH($A243,campaigns!$A$2:$A$51,0))),""),"CARDCODE",$F243)&amp;"&amp;utm_source=office-pantry&amp;utm_medium="&amp;$C243&amp;"&amp;utm_campaign="&amp;LOWER($A243)&amp;"&amp;utm_content="&amp;LOWER($B243)))</f>
        <v/>
      </c>
      <c r="H243" s="25">
        <f>IF(OR($A243="",$C243&lt;&gt;"qr"),"",$D243&amp;".png")</f>
        <v/>
      </c>
      <c r="I243" s="25">
        <f>IF($A243="","",IF(AND(IFERROR(IF(INDEX(campaigns!$AJ$2:$AJ$51,MATCH($A243,campaigns!$A$2:$A$51,0))="","",INDEX(campaigns!$AJ$2:$AJ$51,MATCH($A243,campaigns!$A$2:$A$51,0))),"")="",IFERROR(IF(INDEX(campaigns!$BG$2:$BG$51,MATCH($A243,campaigns!$A$2:$A$51,0))="","",INDEX(campaigns!$BG$2:$BG$51,MATCH($A243,campaigns!$A$2:$A$51,0))),"")&lt;&gt;"",IF(config!$B$37&lt;&gt;"",config!$B$37,TODAY())&gt;=WORKDAY(N(IFERROR(IF(INDEX(campaigns!$BG$2:$BG$51,MATCH($A243,campaigns!$A$2:$A$51,0))="","",INDEX(campaigns!$BG$2:$BG$51,MATCH($A243,campaigns!$A$2:$A$51,0))),"")),-4,calendar!$A$2:$A$80)),"no prefill template yet (due T-4); ","")&amp;IF(COUNTIF(links!$D$2:$D$501,$D243)&gt;1,"DUPLICATE slug; ",""))</f>
        <v/>
      </c>
    </row>
    <row r="244">
      <c r="A244" s="25">
        <f>IF(INDEX(approvals!$A$2:$A$251,INT((ROW()-2)/2)+1)="","",INDEX(approvals!$A$2:$A$251,INT((ROW()-2)/2)+1))</f>
        <v/>
      </c>
      <c r="B244" s="25">
        <f>IF(INDEX(approvals!$A$2:$A$251,INT((ROW()-2)/2)+1)="","",INDEX(approvals!$B$2:$B$251,INT((ROW()-2)/2)+1))</f>
        <v/>
      </c>
      <c r="C244" s="25">
        <f>IF($A244="","",IF(MOD(ROW()-2,2)=0,"qr","post"))</f>
        <v/>
      </c>
      <c r="D244" s="25">
        <f>IF($A244="","",IF(LEFT($A244,7)="SAMPLE-","SAMPLE-","")&amp;LOWER(SUBSTITUTE(SUBSTITUTE($A244,"SAMPLE-",""),"CMP-","c"))&amp;"-"&amp;LOWER(SUBSTITUTE(SUBSTITUTE($B244,"SAMPLE-",""),"O-","o"))&amp;"-"&amp;IF($C244="qr","q","p"))</f>
        <v/>
      </c>
      <c r="E244" s="25">
        <f>IF($A244="","","https://"&amp;config!$B$9&amp;"/"&amp;$D244)</f>
        <v/>
      </c>
      <c r="F244" s="25">
        <f>IF($A244="","",$A244&amp;"."&amp;$B244)</f>
        <v/>
      </c>
      <c r="G244" s="25">
        <f>IF($A244="","",IF(IFERROR(IF(INDEX(campaigns!$AJ$2:$AJ$51,MATCH($A244,campaigns!$A$2:$A$51,0))="","",INDEX(campaigns!$AJ$2:$AJ$51,MATCH($A244,campaigns!$A$2:$A$51,0))),"")="","(add the survey prefill template on campaigns)",SUBSTITUTE(IFERROR(IF(INDEX(campaigns!$AJ$2:$AJ$51,MATCH($A244,campaigns!$A$2:$A$51,0))="","",INDEX(campaigns!$AJ$2:$AJ$51,MATCH($A244,campaigns!$A$2:$A$51,0))),""),"CARDCODE",$F244)&amp;"&amp;utm_source=office-pantry&amp;utm_medium="&amp;$C244&amp;"&amp;utm_campaign="&amp;LOWER($A244)&amp;"&amp;utm_content="&amp;LOWER($B244)))</f>
        <v/>
      </c>
      <c r="H244" s="25">
        <f>IF(OR($A244="",$C244&lt;&gt;"qr"),"",$D244&amp;".png")</f>
        <v/>
      </c>
      <c r="I244" s="25">
        <f>IF($A244="","",IF(AND(IFERROR(IF(INDEX(campaigns!$AJ$2:$AJ$51,MATCH($A244,campaigns!$A$2:$A$51,0))="","",INDEX(campaigns!$AJ$2:$AJ$51,MATCH($A244,campaigns!$A$2:$A$51,0))),"")="",IFERROR(IF(INDEX(campaigns!$BG$2:$BG$51,MATCH($A244,campaigns!$A$2:$A$51,0))="","",INDEX(campaigns!$BG$2:$BG$51,MATCH($A244,campaigns!$A$2:$A$51,0))),"")&lt;&gt;"",IF(config!$B$37&lt;&gt;"",config!$B$37,TODAY())&gt;=WORKDAY(N(IFERROR(IF(INDEX(campaigns!$BG$2:$BG$51,MATCH($A244,campaigns!$A$2:$A$51,0))="","",INDEX(campaigns!$BG$2:$BG$51,MATCH($A244,campaigns!$A$2:$A$51,0))),"")),-4,calendar!$A$2:$A$80)),"no prefill template yet (due T-4); ","")&amp;IF(COUNTIF(links!$D$2:$D$501,$D244)&gt;1,"DUPLICATE slug; ",""))</f>
        <v/>
      </c>
    </row>
    <row r="245">
      <c r="A245" s="25">
        <f>IF(INDEX(approvals!$A$2:$A$251,INT((ROW()-2)/2)+1)="","",INDEX(approvals!$A$2:$A$251,INT((ROW()-2)/2)+1))</f>
        <v/>
      </c>
      <c r="B245" s="25">
        <f>IF(INDEX(approvals!$A$2:$A$251,INT((ROW()-2)/2)+1)="","",INDEX(approvals!$B$2:$B$251,INT((ROW()-2)/2)+1))</f>
        <v/>
      </c>
      <c r="C245" s="25">
        <f>IF($A245="","",IF(MOD(ROW()-2,2)=0,"qr","post"))</f>
        <v/>
      </c>
      <c r="D245" s="25">
        <f>IF($A245="","",IF(LEFT($A245,7)="SAMPLE-","SAMPLE-","")&amp;LOWER(SUBSTITUTE(SUBSTITUTE($A245,"SAMPLE-",""),"CMP-","c"))&amp;"-"&amp;LOWER(SUBSTITUTE(SUBSTITUTE($B245,"SAMPLE-",""),"O-","o"))&amp;"-"&amp;IF($C245="qr","q","p"))</f>
        <v/>
      </c>
      <c r="E245" s="25">
        <f>IF($A245="","","https://"&amp;config!$B$9&amp;"/"&amp;$D245)</f>
        <v/>
      </c>
      <c r="F245" s="25">
        <f>IF($A245="","",$A245&amp;"."&amp;$B245)</f>
        <v/>
      </c>
      <c r="G245" s="25">
        <f>IF($A245="","",IF(IFERROR(IF(INDEX(campaigns!$AJ$2:$AJ$51,MATCH($A245,campaigns!$A$2:$A$51,0))="","",INDEX(campaigns!$AJ$2:$AJ$51,MATCH($A245,campaigns!$A$2:$A$51,0))),"")="","(add the survey prefill template on campaigns)",SUBSTITUTE(IFERROR(IF(INDEX(campaigns!$AJ$2:$AJ$51,MATCH($A245,campaigns!$A$2:$A$51,0))="","",INDEX(campaigns!$AJ$2:$AJ$51,MATCH($A245,campaigns!$A$2:$A$51,0))),""),"CARDCODE",$F245)&amp;"&amp;utm_source=office-pantry&amp;utm_medium="&amp;$C245&amp;"&amp;utm_campaign="&amp;LOWER($A245)&amp;"&amp;utm_content="&amp;LOWER($B245)))</f>
        <v/>
      </c>
      <c r="H245" s="25">
        <f>IF(OR($A245="",$C245&lt;&gt;"qr"),"",$D245&amp;".png")</f>
        <v/>
      </c>
      <c r="I245" s="25">
        <f>IF($A245="","",IF(AND(IFERROR(IF(INDEX(campaigns!$AJ$2:$AJ$51,MATCH($A245,campaigns!$A$2:$A$51,0))="","",INDEX(campaigns!$AJ$2:$AJ$51,MATCH($A245,campaigns!$A$2:$A$51,0))),"")="",IFERROR(IF(INDEX(campaigns!$BG$2:$BG$51,MATCH($A245,campaigns!$A$2:$A$51,0))="","",INDEX(campaigns!$BG$2:$BG$51,MATCH($A245,campaigns!$A$2:$A$51,0))),"")&lt;&gt;"",IF(config!$B$37&lt;&gt;"",config!$B$37,TODAY())&gt;=WORKDAY(N(IFERROR(IF(INDEX(campaigns!$BG$2:$BG$51,MATCH($A245,campaigns!$A$2:$A$51,0))="","",INDEX(campaigns!$BG$2:$BG$51,MATCH($A245,campaigns!$A$2:$A$51,0))),"")),-4,calendar!$A$2:$A$80)),"no prefill template yet (due T-4); ","")&amp;IF(COUNTIF(links!$D$2:$D$501,$D245)&gt;1,"DUPLICATE slug; ",""))</f>
        <v/>
      </c>
    </row>
    <row r="246">
      <c r="A246" s="25">
        <f>IF(INDEX(approvals!$A$2:$A$251,INT((ROW()-2)/2)+1)="","",INDEX(approvals!$A$2:$A$251,INT((ROW()-2)/2)+1))</f>
        <v/>
      </c>
      <c r="B246" s="25">
        <f>IF(INDEX(approvals!$A$2:$A$251,INT((ROW()-2)/2)+1)="","",INDEX(approvals!$B$2:$B$251,INT((ROW()-2)/2)+1))</f>
        <v/>
      </c>
      <c r="C246" s="25">
        <f>IF($A246="","",IF(MOD(ROW()-2,2)=0,"qr","post"))</f>
        <v/>
      </c>
      <c r="D246" s="25">
        <f>IF($A246="","",IF(LEFT($A246,7)="SAMPLE-","SAMPLE-","")&amp;LOWER(SUBSTITUTE(SUBSTITUTE($A246,"SAMPLE-",""),"CMP-","c"))&amp;"-"&amp;LOWER(SUBSTITUTE(SUBSTITUTE($B246,"SAMPLE-",""),"O-","o"))&amp;"-"&amp;IF($C246="qr","q","p"))</f>
        <v/>
      </c>
      <c r="E246" s="25">
        <f>IF($A246="","","https://"&amp;config!$B$9&amp;"/"&amp;$D246)</f>
        <v/>
      </c>
      <c r="F246" s="25">
        <f>IF($A246="","",$A246&amp;"."&amp;$B246)</f>
        <v/>
      </c>
      <c r="G246" s="25">
        <f>IF($A246="","",IF(IFERROR(IF(INDEX(campaigns!$AJ$2:$AJ$51,MATCH($A246,campaigns!$A$2:$A$51,0))="","",INDEX(campaigns!$AJ$2:$AJ$51,MATCH($A246,campaigns!$A$2:$A$51,0))),"")="","(add the survey prefill template on campaigns)",SUBSTITUTE(IFERROR(IF(INDEX(campaigns!$AJ$2:$AJ$51,MATCH($A246,campaigns!$A$2:$A$51,0))="","",INDEX(campaigns!$AJ$2:$AJ$51,MATCH($A246,campaigns!$A$2:$A$51,0))),""),"CARDCODE",$F246)&amp;"&amp;utm_source=office-pantry&amp;utm_medium="&amp;$C246&amp;"&amp;utm_campaign="&amp;LOWER($A246)&amp;"&amp;utm_content="&amp;LOWER($B246)))</f>
        <v/>
      </c>
      <c r="H246" s="25">
        <f>IF(OR($A246="",$C246&lt;&gt;"qr"),"",$D246&amp;".png")</f>
        <v/>
      </c>
      <c r="I246" s="25">
        <f>IF($A246="","",IF(AND(IFERROR(IF(INDEX(campaigns!$AJ$2:$AJ$51,MATCH($A246,campaigns!$A$2:$A$51,0))="","",INDEX(campaigns!$AJ$2:$AJ$51,MATCH($A246,campaigns!$A$2:$A$51,0))),"")="",IFERROR(IF(INDEX(campaigns!$BG$2:$BG$51,MATCH($A246,campaigns!$A$2:$A$51,0))="","",INDEX(campaigns!$BG$2:$BG$51,MATCH($A246,campaigns!$A$2:$A$51,0))),"")&lt;&gt;"",IF(config!$B$37&lt;&gt;"",config!$B$37,TODAY())&gt;=WORKDAY(N(IFERROR(IF(INDEX(campaigns!$BG$2:$BG$51,MATCH($A246,campaigns!$A$2:$A$51,0))="","",INDEX(campaigns!$BG$2:$BG$51,MATCH($A246,campaigns!$A$2:$A$51,0))),"")),-4,calendar!$A$2:$A$80)),"no prefill template yet (due T-4); ","")&amp;IF(COUNTIF(links!$D$2:$D$501,$D246)&gt;1,"DUPLICATE slug; ",""))</f>
        <v/>
      </c>
    </row>
    <row r="247">
      <c r="A247" s="25">
        <f>IF(INDEX(approvals!$A$2:$A$251,INT((ROW()-2)/2)+1)="","",INDEX(approvals!$A$2:$A$251,INT((ROW()-2)/2)+1))</f>
        <v/>
      </c>
      <c r="B247" s="25">
        <f>IF(INDEX(approvals!$A$2:$A$251,INT((ROW()-2)/2)+1)="","",INDEX(approvals!$B$2:$B$251,INT((ROW()-2)/2)+1))</f>
        <v/>
      </c>
      <c r="C247" s="25">
        <f>IF($A247="","",IF(MOD(ROW()-2,2)=0,"qr","post"))</f>
        <v/>
      </c>
      <c r="D247" s="25">
        <f>IF($A247="","",IF(LEFT($A247,7)="SAMPLE-","SAMPLE-","")&amp;LOWER(SUBSTITUTE(SUBSTITUTE($A247,"SAMPLE-",""),"CMP-","c"))&amp;"-"&amp;LOWER(SUBSTITUTE(SUBSTITUTE($B247,"SAMPLE-",""),"O-","o"))&amp;"-"&amp;IF($C247="qr","q","p"))</f>
        <v/>
      </c>
      <c r="E247" s="25">
        <f>IF($A247="","","https://"&amp;config!$B$9&amp;"/"&amp;$D247)</f>
        <v/>
      </c>
      <c r="F247" s="25">
        <f>IF($A247="","",$A247&amp;"."&amp;$B247)</f>
        <v/>
      </c>
      <c r="G247" s="25">
        <f>IF($A247="","",IF(IFERROR(IF(INDEX(campaigns!$AJ$2:$AJ$51,MATCH($A247,campaigns!$A$2:$A$51,0))="","",INDEX(campaigns!$AJ$2:$AJ$51,MATCH($A247,campaigns!$A$2:$A$51,0))),"")="","(add the survey prefill template on campaigns)",SUBSTITUTE(IFERROR(IF(INDEX(campaigns!$AJ$2:$AJ$51,MATCH($A247,campaigns!$A$2:$A$51,0))="","",INDEX(campaigns!$AJ$2:$AJ$51,MATCH($A247,campaigns!$A$2:$A$51,0))),""),"CARDCODE",$F247)&amp;"&amp;utm_source=office-pantry&amp;utm_medium="&amp;$C247&amp;"&amp;utm_campaign="&amp;LOWER($A247)&amp;"&amp;utm_content="&amp;LOWER($B247)))</f>
        <v/>
      </c>
      <c r="H247" s="25">
        <f>IF(OR($A247="",$C247&lt;&gt;"qr"),"",$D247&amp;".png")</f>
        <v/>
      </c>
      <c r="I247" s="25">
        <f>IF($A247="","",IF(AND(IFERROR(IF(INDEX(campaigns!$AJ$2:$AJ$51,MATCH($A247,campaigns!$A$2:$A$51,0))="","",INDEX(campaigns!$AJ$2:$AJ$51,MATCH($A247,campaigns!$A$2:$A$51,0))),"")="",IFERROR(IF(INDEX(campaigns!$BG$2:$BG$51,MATCH($A247,campaigns!$A$2:$A$51,0))="","",INDEX(campaigns!$BG$2:$BG$51,MATCH($A247,campaigns!$A$2:$A$51,0))),"")&lt;&gt;"",IF(config!$B$37&lt;&gt;"",config!$B$37,TODAY())&gt;=WORKDAY(N(IFERROR(IF(INDEX(campaigns!$BG$2:$BG$51,MATCH($A247,campaigns!$A$2:$A$51,0))="","",INDEX(campaigns!$BG$2:$BG$51,MATCH($A247,campaigns!$A$2:$A$51,0))),"")),-4,calendar!$A$2:$A$80)),"no prefill template yet (due T-4); ","")&amp;IF(COUNTIF(links!$D$2:$D$501,$D247)&gt;1,"DUPLICATE slug; ",""))</f>
        <v/>
      </c>
    </row>
    <row r="248">
      <c r="A248" s="25">
        <f>IF(INDEX(approvals!$A$2:$A$251,INT((ROW()-2)/2)+1)="","",INDEX(approvals!$A$2:$A$251,INT((ROW()-2)/2)+1))</f>
        <v/>
      </c>
      <c r="B248" s="25">
        <f>IF(INDEX(approvals!$A$2:$A$251,INT((ROW()-2)/2)+1)="","",INDEX(approvals!$B$2:$B$251,INT((ROW()-2)/2)+1))</f>
        <v/>
      </c>
      <c r="C248" s="25">
        <f>IF($A248="","",IF(MOD(ROW()-2,2)=0,"qr","post"))</f>
        <v/>
      </c>
      <c r="D248" s="25">
        <f>IF($A248="","",IF(LEFT($A248,7)="SAMPLE-","SAMPLE-","")&amp;LOWER(SUBSTITUTE(SUBSTITUTE($A248,"SAMPLE-",""),"CMP-","c"))&amp;"-"&amp;LOWER(SUBSTITUTE(SUBSTITUTE($B248,"SAMPLE-",""),"O-","o"))&amp;"-"&amp;IF($C248="qr","q","p"))</f>
        <v/>
      </c>
      <c r="E248" s="25">
        <f>IF($A248="","","https://"&amp;config!$B$9&amp;"/"&amp;$D248)</f>
        <v/>
      </c>
      <c r="F248" s="25">
        <f>IF($A248="","",$A248&amp;"."&amp;$B248)</f>
        <v/>
      </c>
      <c r="G248" s="25">
        <f>IF($A248="","",IF(IFERROR(IF(INDEX(campaigns!$AJ$2:$AJ$51,MATCH($A248,campaigns!$A$2:$A$51,0))="","",INDEX(campaigns!$AJ$2:$AJ$51,MATCH($A248,campaigns!$A$2:$A$51,0))),"")="","(add the survey prefill template on campaigns)",SUBSTITUTE(IFERROR(IF(INDEX(campaigns!$AJ$2:$AJ$51,MATCH($A248,campaigns!$A$2:$A$51,0))="","",INDEX(campaigns!$AJ$2:$AJ$51,MATCH($A248,campaigns!$A$2:$A$51,0))),""),"CARDCODE",$F248)&amp;"&amp;utm_source=office-pantry&amp;utm_medium="&amp;$C248&amp;"&amp;utm_campaign="&amp;LOWER($A248)&amp;"&amp;utm_content="&amp;LOWER($B248)))</f>
        <v/>
      </c>
      <c r="H248" s="25">
        <f>IF(OR($A248="",$C248&lt;&gt;"qr"),"",$D248&amp;".png")</f>
        <v/>
      </c>
      <c r="I248" s="25">
        <f>IF($A248="","",IF(AND(IFERROR(IF(INDEX(campaigns!$AJ$2:$AJ$51,MATCH($A248,campaigns!$A$2:$A$51,0))="","",INDEX(campaigns!$AJ$2:$AJ$51,MATCH($A248,campaigns!$A$2:$A$51,0))),"")="",IFERROR(IF(INDEX(campaigns!$BG$2:$BG$51,MATCH($A248,campaigns!$A$2:$A$51,0))="","",INDEX(campaigns!$BG$2:$BG$51,MATCH($A248,campaigns!$A$2:$A$51,0))),"")&lt;&gt;"",IF(config!$B$37&lt;&gt;"",config!$B$37,TODAY())&gt;=WORKDAY(N(IFERROR(IF(INDEX(campaigns!$BG$2:$BG$51,MATCH($A248,campaigns!$A$2:$A$51,0))="","",INDEX(campaigns!$BG$2:$BG$51,MATCH($A248,campaigns!$A$2:$A$51,0))),"")),-4,calendar!$A$2:$A$80)),"no prefill template yet (due T-4); ","")&amp;IF(COUNTIF(links!$D$2:$D$501,$D248)&gt;1,"DUPLICATE slug; ",""))</f>
        <v/>
      </c>
    </row>
    <row r="249">
      <c r="A249" s="25">
        <f>IF(INDEX(approvals!$A$2:$A$251,INT((ROW()-2)/2)+1)="","",INDEX(approvals!$A$2:$A$251,INT((ROW()-2)/2)+1))</f>
        <v/>
      </c>
      <c r="B249" s="25">
        <f>IF(INDEX(approvals!$A$2:$A$251,INT((ROW()-2)/2)+1)="","",INDEX(approvals!$B$2:$B$251,INT((ROW()-2)/2)+1))</f>
        <v/>
      </c>
      <c r="C249" s="25">
        <f>IF($A249="","",IF(MOD(ROW()-2,2)=0,"qr","post"))</f>
        <v/>
      </c>
      <c r="D249" s="25">
        <f>IF($A249="","",IF(LEFT($A249,7)="SAMPLE-","SAMPLE-","")&amp;LOWER(SUBSTITUTE(SUBSTITUTE($A249,"SAMPLE-",""),"CMP-","c"))&amp;"-"&amp;LOWER(SUBSTITUTE(SUBSTITUTE($B249,"SAMPLE-",""),"O-","o"))&amp;"-"&amp;IF($C249="qr","q","p"))</f>
        <v/>
      </c>
      <c r="E249" s="25">
        <f>IF($A249="","","https://"&amp;config!$B$9&amp;"/"&amp;$D249)</f>
        <v/>
      </c>
      <c r="F249" s="25">
        <f>IF($A249="","",$A249&amp;"."&amp;$B249)</f>
        <v/>
      </c>
      <c r="G249" s="25">
        <f>IF($A249="","",IF(IFERROR(IF(INDEX(campaigns!$AJ$2:$AJ$51,MATCH($A249,campaigns!$A$2:$A$51,0))="","",INDEX(campaigns!$AJ$2:$AJ$51,MATCH($A249,campaigns!$A$2:$A$51,0))),"")="","(add the survey prefill template on campaigns)",SUBSTITUTE(IFERROR(IF(INDEX(campaigns!$AJ$2:$AJ$51,MATCH($A249,campaigns!$A$2:$A$51,0))="","",INDEX(campaigns!$AJ$2:$AJ$51,MATCH($A249,campaigns!$A$2:$A$51,0))),""),"CARDCODE",$F249)&amp;"&amp;utm_source=office-pantry&amp;utm_medium="&amp;$C249&amp;"&amp;utm_campaign="&amp;LOWER($A249)&amp;"&amp;utm_content="&amp;LOWER($B249)))</f>
        <v/>
      </c>
      <c r="H249" s="25">
        <f>IF(OR($A249="",$C249&lt;&gt;"qr"),"",$D249&amp;".png")</f>
        <v/>
      </c>
      <c r="I249" s="25">
        <f>IF($A249="","",IF(AND(IFERROR(IF(INDEX(campaigns!$AJ$2:$AJ$51,MATCH($A249,campaigns!$A$2:$A$51,0))="","",INDEX(campaigns!$AJ$2:$AJ$51,MATCH($A249,campaigns!$A$2:$A$51,0))),"")="",IFERROR(IF(INDEX(campaigns!$BG$2:$BG$51,MATCH($A249,campaigns!$A$2:$A$51,0))="","",INDEX(campaigns!$BG$2:$BG$51,MATCH($A249,campaigns!$A$2:$A$51,0))),"")&lt;&gt;"",IF(config!$B$37&lt;&gt;"",config!$B$37,TODAY())&gt;=WORKDAY(N(IFERROR(IF(INDEX(campaigns!$BG$2:$BG$51,MATCH($A249,campaigns!$A$2:$A$51,0))="","",INDEX(campaigns!$BG$2:$BG$51,MATCH($A249,campaigns!$A$2:$A$51,0))),"")),-4,calendar!$A$2:$A$80)),"no prefill template yet (due T-4); ","")&amp;IF(COUNTIF(links!$D$2:$D$501,$D249)&gt;1,"DUPLICATE slug; ",""))</f>
        <v/>
      </c>
    </row>
    <row r="250">
      <c r="A250" s="25">
        <f>IF(INDEX(approvals!$A$2:$A$251,INT((ROW()-2)/2)+1)="","",INDEX(approvals!$A$2:$A$251,INT((ROW()-2)/2)+1))</f>
        <v/>
      </c>
      <c r="B250" s="25">
        <f>IF(INDEX(approvals!$A$2:$A$251,INT((ROW()-2)/2)+1)="","",INDEX(approvals!$B$2:$B$251,INT((ROW()-2)/2)+1))</f>
        <v/>
      </c>
      <c r="C250" s="25">
        <f>IF($A250="","",IF(MOD(ROW()-2,2)=0,"qr","post"))</f>
        <v/>
      </c>
      <c r="D250" s="25">
        <f>IF($A250="","",IF(LEFT($A250,7)="SAMPLE-","SAMPLE-","")&amp;LOWER(SUBSTITUTE(SUBSTITUTE($A250,"SAMPLE-",""),"CMP-","c"))&amp;"-"&amp;LOWER(SUBSTITUTE(SUBSTITUTE($B250,"SAMPLE-",""),"O-","o"))&amp;"-"&amp;IF($C250="qr","q","p"))</f>
        <v/>
      </c>
      <c r="E250" s="25">
        <f>IF($A250="","","https://"&amp;config!$B$9&amp;"/"&amp;$D250)</f>
        <v/>
      </c>
      <c r="F250" s="25">
        <f>IF($A250="","",$A250&amp;"."&amp;$B250)</f>
        <v/>
      </c>
      <c r="G250" s="25">
        <f>IF($A250="","",IF(IFERROR(IF(INDEX(campaigns!$AJ$2:$AJ$51,MATCH($A250,campaigns!$A$2:$A$51,0))="","",INDEX(campaigns!$AJ$2:$AJ$51,MATCH($A250,campaigns!$A$2:$A$51,0))),"")="","(add the survey prefill template on campaigns)",SUBSTITUTE(IFERROR(IF(INDEX(campaigns!$AJ$2:$AJ$51,MATCH($A250,campaigns!$A$2:$A$51,0))="","",INDEX(campaigns!$AJ$2:$AJ$51,MATCH($A250,campaigns!$A$2:$A$51,0))),""),"CARDCODE",$F250)&amp;"&amp;utm_source=office-pantry&amp;utm_medium="&amp;$C250&amp;"&amp;utm_campaign="&amp;LOWER($A250)&amp;"&amp;utm_content="&amp;LOWER($B250)))</f>
        <v/>
      </c>
      <c r="H250" s="25">
        <f>IF(OR($A250="",$C250&lt;&gt;"qr"),"",$D250&amp;".png")</f>
        <v/>
      </c>
      <c r="I250" s="25">
        <f>IF($A250="","",IF(AND(IFERROR(IF(INDEX(campaigns!$AJ$2:$AJ$51,MATCH($A250,campaigns!$A$2:$A$51,0))="","",INDEX(campaigns!$AJ$2:$AJ$51,MATCH($A250,campaigns!$A$2:$A$51,0))),"")="",IFERROR(IF(INDEX(campaigns!$BG$2:$BG$51,MATCH($A250,campaigns!$A$2:$A$51,0))="","",INDEX(campaigns!$BG$2:$BG$51,MATCH($A250,campaigns!$A$2:$A$51,0))),"")&lt;&gt;"",IF(config!$B$37&lt;&gt;"",config!$B$37,TODAY())&gt;=WORKDAY(N(IFERROR(IF(INDEX(campaigns!$BG$2:$BG$51,MATCH($A250,campaigns!$A$2:$A$51,0))="","",INDEX(campaigns!$BG$2:$BG$51,MATCH($A250,campaigns!$A$2:$A$51,0))),"")),-4,calendar!$A$2:$A$80)),"no prefill template yet (due T-4); ","")&amp;IF(COUNTIF(links!$D$2:$D$501,$D250)&gt;1,"DUPLICATE slug; ",""))</f>
        <v/>
      </c>
    </row>
    <row r="251">
      <c r="A251" s="25">
        <f>IF(INDEX(approvals!$A$2:$A$251,INT((ROW()-2)/2)+1)="","",INDEX(approvals!$A$2:$A$251,INT((ROW()-2)/2)+1))</f>
        <v/>
      </c>
      <c r="B251" s="25">
        <f>IF(INDEX(approvals!$A$2:$A$251,INT((ROW()-2)/2)+1)="","",INDEX(approvals!$B$2:$B$251,INT((ROW()-2)/2)+1))</f>
        <v/>
      </c>
      <c r="C251" s="25">
        <f>IF($A251="","",IF(MOD(ROW()-2,2)=0,"qr","post"))</f>
        <v/>
      </c>
      <c r="D251" s="25">
        <f>IF($A251="","",IF(LEFT($A251,7)="SAMPLE-","SAMPLE-","")&amp;LOWER(SUBSTITUTE(SUBSTITUTE($A251,"SAMPLE-",""),"CMP-","c"))&amp;"-"&amp;LOWER(SUBSTITUTE(SUBSTITUTE($B251,"SAMPLE-",""),"O-","o"))&amp;"-"&amp;IF($C251="qr","q","p"))</f>
        <v/>
      </c>
      <c r="E251" s="25">
        <f>IF($A251="","","https://"&amp;config!$B$9&amp;"/"&amp;$D251)</f>
        <v/>
      </c>
      <c r="F251" s="25">
        <f>IF($A251="","",$A251&amp;"."&amp;$B251)</f>
        <v/>
      </c>
      <c r="G251" s="25">
        <f>IF($A251="","",IF(IFERROR(IF(INDEX(campaigns!$AJ$2:$AJ$51,MATCH($A251,campaigns!$A$2:$A$51,0))="","",INDEX(campaigns!$AJ$2:$AJ$51,MATCH($A251,campaigns!$A$2:$A$51,0))),"")="","(add the survey prefill template on campaigns)",SUBSTITUTE(IFERROR(IF(INDEX(campaigns!$AJ$2:$AJ$51,MATCH($A251,campaigns!$A$2:$A$51,0))="","",INDEX(campaigns!$AJ$2:$AJ$51,MATCH($A251,campaigns!$A$2:$A$51,0))),""),"CARDCODE",$F251)&amp;"&amp;utm_source=office-pantry&amp;utm_medium="&amp;$C251&amp;"&amp;utm_campaign="&amp;LOWER($A251)&amp;"&amp;utm_content="&amp;LOWER($B251)))</f>
        <v/>
      </c>
      <c r="H251" s="25">
        <f>IF(OR($A251="",$C251&lt;&gt;"qr"),"",$D251&amp;".png")</f>
        <v/>
      </c>
      <c r="I251" s="25">
        <f>IF($A251="","",IF(AND(IFERROR(IF(INDEX(campaigns!$AJ$2:$AJ$51,MATCH($A251,campaigns!$A$2:$A$51,0))="","",INDEX(campaigns!$AJ$2:$AJ$51,MATCH($A251,campaigns!$A$2:$A$51,0))),"")="",IFERROR(IF(INDEX(campaigns!$BG$2:$BG$51,MATCH($A251,campaigns!$A$2:$A$51,0))="","",INDEX(campaigns!$BG$2:$BG$51,MATCH($A251,campaigns!$A$2:$A$51,0))),"")&lt;&gt;"",IF(config!$B$37&lt;&gt;"",config!$B$37,TODAY())&gt;=WORKDAY(N(IFERROR(IF(INDEX(campaigns!$BG$2:$BG$51,MATCH($A251,campaigns!$A$2:$A$51,0))="","",INDEX(campaigns!$BG$2:$BG$51,MATCH($A251,campaigns!$A$2:$A$51,0))),"")),-4,calendar!$A$2:$A$80)),"no prefill template yet (due T-4); ","")&amp;IF(COUNTIF(links!$D$2:$D$501,$D251)&gt;1,"DUPLICATE slug; ",""))</f>
        <v/>
      </c>
    </row>
    <row r="252">
      <c r="A252" s="25">
        <f>IF(INDEX(approvals!$A$2:$A$251,INT((ROW()-2)/2)+1)="","",INDEX(approvals!$A$2:$A$251,INT((ROW()-2)/2)+1))</f>
        <v/>
      </c>
      <c r="B252" s="25">
        <f>IF(INDEX(approvals!$A$2:$A$251,INT((ROW()-2)/2)+1)="","",INDEX(approvals!$B$2:$B$251,INT((ROW()-2)/2)+1))</f>
        <v/>
      </c>
      <c r="C252" s="25">
        <f>IF($A252="","",IF(MOD(ROW()-2,2)=0,"qr","post"))</f>
        <v/>
      </c>
      <c r="D252" s="25">
        <f>IF($A252="","",IF(LEFT($A252,7)="SAMPLE-","SAMPLE-","")&amp;LOWER(SUBSTITUTE(SUBSTITUTE($A252,"SAMPLE-",""),"CMP-","c"))&amp;"-"&amp;LOWER(SUBSTITUTE(SUBSTITUTE($B252,"SAMPLE-",""),"O-","o"))&amp;"-"&amp;IF($C252="qr","q","p"))</f>
        <v/>
      </c>
      <c r="E252" s="25">
        <f>IF($A252="","","https://"&amp;config!$B$9&amp;"/"&amp;$D252)</f>
        <v/>
      </c>
      <c r="F252" s="25">
        <f>IF($A252="","",$A252&amp;"."&amp;$B252)</f>
        <v/>
      </c>
      <c r="G252" s="25">
        <f>IF($A252="","",IF(IFERROR(IF(INDEX(campaigns!$AJ$2:$AJ$51,MATCH($A252,campaigns!$A$2:$A$51,0))="","",INDEX(campaigns!$AJ$2:$AJ$51,MATCH($A252,campaigns!$A$2:$A$51,0))),"")="","(add the survey prefill template on campaigns)",SUBSTITUTE(IFERROR(IF(INDEX(campaigns!$AJ$2:$AJ$51,MATCH($A252,campaigns!$A$2:$A$51,0))="","",INDEX(campaigns!$AJ$2:$AJ$51,MATCH($A252,campaigns!$A$2:$A$51,0))),""),"CARDCODE",$F252)&amp;"&amp;utm_source=office-pantry&amp;utm_medium="&amp;$C252&amp;"&amp;utm_campaign="&amp;LOWER($A252)&amp;"&amp;utm_content="&amp;LOWER($B252)))</f>
        <v/>
      </c>
      <c r="H252" s="25">
        <f>IF(OR($A252="",$C252&lt;&gt;"qr"),"",$D252&amp;".png")</f>
        <v/>
      </c>
      <c r="I252" s="25">
        <f>IF($A252="","",IF(AND(IFERROR(IF(INDEX(campaigns!$AJ$2:$AJ$51,MATCH($A252,campaigns!$A$2:$A$51,0))="","",INDEX(campaigns!$AJ$2:$AJ$51,MATCH($A252,campaigns!$A$2:$A$51,0))),"")="",IFERROR(IF(INDEX(campaigns!$BG$2:$BG$51,MATCH($A252,campaigns!$A$2:$A$51,0))="","",INDEX(campaigns!$BG$2:$BG$51,MATCH($A252,campaigns!$A$2:$A$51,0))),"")&lt;&gt;"",IF(config!$B$37&lt;&gt;"",config!$B$37,TODAY())&gt;=WORKDAY(N(IFERROR(IF(INDEX(campaigns!$BG$2:$BG$51,MATCH($A252,campaigns!$A$2:$A$51,0))="","",INDEX(campaigns!$BG$2:$BG$51,MATCH($A252,campaigns!$A$2:$A$51,0))),"")),-4,calendar!$A$2:$A$80)),"no prefill template yet (due T-4); ","")&amp;IF(COUNTIF(links!$D$2:$D$501,$D252)&gt;1,"DUPLICATE slug; ",""))</f>
        <v/>
      </c>
    </row>
    <row r="253">
      <c r="A253" s="25">
        <f>IF(INDEX(approvals!$A$2:$A$251,INT((ROW()-2)/2)+1)="","",INDEX(approvals!$A$2:$A$251,INT((ROW()-2)/2)+1))</f>
        <v/>
      </c>
      <c r="B253" s="25">
        <f>IF(INDEX(approvals!$A$2:$A$251,INT((ROW()-2)/2)+1)="","",INDEX(approvals!$B$2:$B$251,INT((ROW()-2)/2)+1))</f>
        <v/>
      </c>
      <c r="C253" s="25">
        <f>IF($A253="","",IF(MOD(ROW()-2,2)=0,"qr","post"))</f>
        <v/>
      </c>
      <c r="D253" s="25">
        <f>IF($A253="","",IF(LEFT($A253,7)="SAMPLE-","SAMPLE-","")&amp;LOWER(SUBSTITUTE(SUBSTITUTE($A253,"SAMPLE-",""),"CMP-","c"))&amp;"-"&amp;LOWER(SUBSTITUTE(SUBSTITUTE($B253,"SAMPLE-",""),"O-","o"))&amp;"-"&amp;IF($C253="qr","q","p"))</f>
        <v/>
      </c>
      <c r="E253" s="25">
        <f>IF($A253="","","https://"&amp;config!$B$9&amp;"/"&amp;$D253)</f>
        <v/>
      </c>
      <c r="F253" s="25">
        <f>IF($A253="","",$A253&amp;"."&amp;$B253)</f>
        <v/>
      </c>
      <c r="G253" s="25">
        <f>IF($A253="","",IF(IFERROR(IF(INDEX(campaigns!$AJ$2:$AJ$51,MATCH($A253,campaigns!$A$2:$A$51,0))="","",INDEX(campaigns!$AJ$2:$AJ$51,MATCH($A253,campaigns!$A$2:$A$51,0))),"")="","(add the survey prefill template on campaigns)",SUBSTITUTE(IFERROR(IF(INDEX(campaigns!$AJ$2:$AJ$51,MATCH($A253,campaigns!$A$2:$A$51,0))="","",INDEX(campaigns!$AJ$2:$AJ$51,MATCH($A253,campaigns!$A$2:$A$51,0))),""),"CARDCODE",$F253)&amp;"&amp;utm_source=office-pantry&amp;utm_medium="&amp;$C253&amp;"&amp;utm_campaign="&amp;LOWER($A253)&amp;"&amp;utm_content="&amp;LOWER($B253)))</f>
        <v/>
      </c>
      <c r="H253" s="25">
        <f>IF(OR($A253="",$C253&lt;&gt;"qr"),"",$D253&amp;".png")</f>
        <v/>
      </c>
      <c r="I253" s="25">
        <f>IF($A253="","",IF(AND(IFERROR(IF(INDEX(campaigns!$AJ$2:$AJ$51,MATCH($A253,campaigns!$A$2:$A$51,0))="","",INDEX(campaigns!$AJ$2:$AJ$51,MATCH($A253,campaigns!$A$2:$A$51,0))),"")="",IFERROR(IF(INDEX(campaigns!$BG$2:$BG$51,MATCH($A253,campaigns!$A$2:$A$51,0))="","",INDEX(campaigns!$BG$2:$BG$51,MATCH($A253,campaigns!$A$2:$A$51,0))),"")&lt;&gt;"",IF(config!$B$37&lt;&gt;"",config!$B$37,TODAY())&gt;=WORKDAY(N(IFERROR(IF(INDEX(campaigns!$BG$2:$BG$51,MATCH($A253,campaigns!$A$2:$A$51,0))="","",INDEX(campaigns!$BG$2:$BG$51,MATCH($A253,campaigns!$A$2:$A$51,0))),"")),-4,calendar!$A$2:$A$80)),"no prefill template yet (due T-4); ","")&amp;IF(COUNTIF(links!$D$2:$D$501,$D253)&gt;1,"DUPLICATE slug; ",""))</f>
        <v/>
      </c>
    </row>
    <row r="254">
      <c r="A254" s="25">
        <f>IF(INDEX(approvals!$A$2:$A$251,INT((ROW()-2)/2)+1)="","",INDEX(approvals!$A$2:$A$251,INT((ROW()-2)/2)+1))</f>
        <v/>
      </c>
      <c r="B254" s="25">
        <f>IF(INDEX(approvals!$A$2:$A$251,INT((ROW()-2)/2)+1)="","",INDEX(approvals!$B$2:$B$251,INT((ROW()-2)/2)+1))</f>
        <v/>
      </c>
      <c r="C254" s="25">
        <f>IF($A254="","",IF(MOD(ROW()-2,2)=0,"qr","post"))</f>
        <v/>
      </c>
      <c r="D254" s="25">
        <f>IF($A254="","",IF(LEFT($A254,7)="SAMPLE-","SAMPLE-","")&amp;LOWER(SUBSTITUTE(SUBSTITUTE($A254,"SAMPLE-",""),"CMP-","c"))&amp;"-"&amp;LOWER(SUBSTITUTE(SUBSTITUTE($B254,"SAMPLE-",""),"O-","o"))&amp;"-"&amp;IF($C254="qr","q","p"))</f>
        <v/>
      </c>
      <c r="E254" s="25">
        <f>IF($A254="","","https://"&amp;config!$B$9&amp;"/"&amp;$D254)</f>
        <v/>
      </c>
      <c r="F254" s="25">
        <f>IF($A254="","",$A254&amp;"."&amp;$B254)</f>
        <v/>
      </c>
      <c r="G254" s="25">
        <f>IF($A254="","",IF(IFERROR(IF(INDEX(campaigns!$AJ$2:$AJ$51,MATCH($A254,campaigns!$A$2:$A$51,0))="","",INDEX(campaigns!$AJ$2:$AJ$51,MATCH($A254,campaigns!$A$2:$A$51,0))),"")="","(add the survey prefill template on campaigns)",SUBSTITUTE(IFERROR(IF(INDEX(campaigns!$AJ$2:$AJ$51,MATCH($A254,campaigns!$A$2:$A$51,0))="","",INDEX(campaigns!$AJ$2:$AJ$51,MATCH($A254,campaigns!$A$2:$A$51,0))),""),"CARDCODE",$F254)&amp;"&amp;utm_source=office-pantry&amp;utm_medium="&amp;$C254&amp;"&amp;utm_campaign="&amp;LOWER($A254)&amp;"&amp;utm_content="&amp;LOWER($B254)))</f>
        <v/>
      </c>
      <c r="H254" s="25">
        <f>IF(OR($A254="",$C254&lt;&gt;"qr"),"",$D254&amp;".png")</f>
        <v/>
      </c>
      <c r="I254" s="25">
        <f>IF($A254="","",IF(AND(IFERROR(IF(INDEX(campaigns!$AJ$2:$AJ$51,MATCH($A254,campaigns!$A$2:$A$51,0))="","",INDEX(campaigns!$AJ$2:$AJ$51,MATCH($A254,campaigns!$A$2:$A$51,0))),"")="",IFERROR(IF(INDEX(campaigns!$BG$2:$BG$51,MATCH($A254,campaigns!$A$2:$A$51,0))="","",INDEX(campaigns!$BG$2:$BG$51,MATCH($A254,campaigns!$A$2:$A$51,0))),"")&lt;&gt;"",IF(config!$B$37&lt;&gt;"",config!$B$37,TODAY())&gt;=WORKDAY(N(IFERROR(IF(INDEX(campaigns!$BG$2:$BG$51,MATCH($A254,campaigns!$A$2:$A$51,0))="","",INDEX(campaigns!$BG$2:$BG$51,MATCH($A254,campaigns!$A$2:$A$51,0))),"")),-4,calendar!$A$2:$A$80)),"no prefill template yet (due T-4); ","")&amp;IF(COUNTIF(links!$D$2:$D$501,$D254)&gt;1,"DUPLICATE slug; ",""))</f>
        <v/>
      </c>
    </row>
    <row r="255">
      <c r="A255" s="25">
        <f>IF(INDEX(approvals!$A$2:$A$251,INT((ROW()-2)/2)+1)="","",INDEX(approvals!$A$2:$A$251,INT((ROW()-2)/2)+1))</f>
        <v/>
      </c>
      <c r="B255" s="25">
        <f>IF(INDEX(approvals!$A$2:$A$251,INT((ROW()-2)/2)+1)="","",INDEX(approvals!$B$2:$B$251,INT((ROW()-2)/2)+1))</f>
        <v/>
      </c>
      <c r="C255" s="25">
        <f>IF($A255="","",IF(MOD(ROW()-2,2)=0,"qr","post"))</f>
        <v/>
      </c>
      <c r="D255" s="25">
        <f>IF($A255="","",IF(LEFT($A255,7)="SAMPLE-","SAMPLE-","")&amp;LOWER(SUBSTITUTE(SUBSTITUTE($A255,"SAMPLE-",""),"CMP-","c"))&amp;"-"&amp;LOWER(SUBSTITUTE(SUBSTITUTE($B255,"SAMPLE-",""),"O-","o"))&amp;"-"&amp;IF($C255="qr","q","p"))</f>
        <v/>
      </c>
      <c r="E255" s="25">
        <f>IF($A255="","","https://"&amp;config!$B$9&amp;"/"&amp;$D255)</f>
        <v/>
      </c>
      <c r="F255" s="25">
        <f>IF($A255="","",$A255&amp;"."&amp;$B255)</f>
        <v/>
      </c>
      <c r="G255" s="25">
        <f>IF($A255="","",IF(IFERROR(IF(INDEX(campaigns!$AJ$2:$AJ$51,MATCH($A255,campaigns!$A$2:$A$51,0))="","",INDEX(campaigns!$AJ$2:$AJ$51,MATCH($A255,campaigns!$A$2:$A$51,0))),"")="","(add the survey prefill template on campaigns)",SUBSTITUTE(IFERROR(IF(INDEX(campaigns!$AJ$2:$AJ$51,MATCH($A255,campaigns!$A$2:$A$51,0))="","",INDEX(campaigns!$AJ$2:$AJ$51,MATCH($A255,campaigns!$A$2:$A$51,0))),""),"CARDCODE",$F255)&amp;"&amp;utm_source=office-pantry&amp;utm_medium="&amp;$C255&amp;"&amp;utm_campaign="&amp;LOWER($A255)&amp;"&amp;utm_content="&amp;LOWER($B255)))</f>
        <v/>
      </c>
      <c r="H255" s="25">
        <f>IF(OR($A255="",$C255&lt;&gt;"qr"),"",$D255&amp;".png")</f>
        <v/>
      </c>
      <c r="I255" s="25">
        <f>IF($A255="","",IF(AND(IFERROR(IF(INDEX(campaigns!$AJ$2:$AJ$51,MATCH($A255,campaigns!$A$2:$A$51,0))="","",INDEX(campaigns!$AJ$2:$AJ$51,MATCH($A255,campaigns!$A$2:$A$51,0))),"")="",IFERROR(IF(INDEX(campaigns!$BG$2:$BG$51,MATCH($A255,campaigns!$A$2:$A$51,0))="","",INDEX(campaigns!$BG$2:$BG$51,MATCH($A255,campaigns!$A$2:$A$51,0))),"")&lt;&gt;"",IF(config!$B$37&lt;&gt;"",config!$B$37,TODAY())&gt;=WORKDAY(N(IFERROR(IF(INDEX(campaigns!$BG$2:$BG$51,MATCH($A255,campaigns!$A$2:$A$51,0))="","",INDEX(campaigns!$BG$2:$BG$51,MATCH($A255,campaigns!$A$2:$A$51,0))),"")),-4,calendar!$A$2:$A$80)),"no prefill template yet (due T-4); ","")&amp;IF(COUNTIF(links!$D$2:$D$501,$D255)&gt;1,"DUPLICATE slug; ",""))</f>
        <v/>
      </c>
    </row>
    <row r="256">
      <c r="A256" s="25">
        <f>IF(INDEX(approvals!$A$2:$A$251,INT((ROW()-2)/2)+1)="","",INDEX(approvals!$A$2:$A$251,INT((ROW()-2)/2)+1))</f>
        <v/>
      </c>
      <c r="B256" s="25">
        <f>IF(INDEX(approvals!$A$2:$A$251,INT((ROW()-2)/2)+1)="","",INDEX(approvals!$B$2:$B$251,INT((ROW()-2)/2)+1))</f>
        <v/>
      </c>
      <c r="C256" s="25">
        <f>IF($A256="","",IF(MOD(ROW()-2,2)=0,"qr","post"))</f>
        <v/>
      </c>
      <c r="D256" s="25">
        <f>IF($A256="","",IF(LEFT($A256,7)="SAMPLE-","SAMPLE-","")&amp;LOWER(SUBSTITUTE(SUBSTITUTE($A256,"SAMPLE-",""),"CMP-","c"))&amp;"-"&amp;LOWER(SUBSTITUTE(SUBSTITUTE($B256,"SAMPLE-",""),"O-","o"))&amp;"-"&amp;IF($C256="qr","q","p"))</f>
        <v/>
      </c>
      <c r="E256" s="25">
        <f>IF($A256="","","https://"&amp;config!$B$9&amp;"/"&amp;$D256)</f>
        <v/>
      </c>
      <c r="F256" s="25">
        <f>IF($A256="","",$A256&amp;"."&amp;$B256)</f>
        <v/>
      </c>
      <c r="G256" s="25">
        <f>IF($A256="","",IF(IFERROR(IF(INDEX(campaigns!$AJ$2:$AJ$51,MATCH($A256,campaigns!$A$2:$A$51,0))="","",INDEX(campaigns!$AJ$2:$AJ$51,MATCH($A256,campaigns!$A$2:$A$51,0))),"")="","(add the survey prefill template on campaigns)",SUBSTITUTE(IFERROR(IF(INDEX(campaigns!$AJ$2:$AJ$51,MATCH($A256,campaigns!$A$2:$A$51,0))="","",INDEX(campaigns!$AJ$2:$AJ$51,MATCH($A256,campaigns!$A$2:$A$51,0))),""),"CARDCODE",$F256)&amp;"&amp;utm_source=office-pantry&amp;utm_medium="&amp;$C256&amp;"&amp;utm_campaign="&amp;LOWER($A256)&amp;"&amp;utm_content="&amp;LOWER($B256)))</f>
        <v/>
      </c>
      <c r="H256" s="25">
        <f>IF(OR($A256="",$C256&lt;&gt;"qr"),"",$D256&amp;".png")</f>
        <v/>
      </c>
      <c r="I256" s="25">
        <f>IF($A256="","",IF(AND(IFERROR(IF(INDEX(campaigns!$AJ$2:$AJ$51,MATCH($A256,campaigns!$A$2:$A$51,0))="","",INDEX(campaigns!$AJ$2:$AJ$51,MATCH($A256,campaigns!$A$2:$A$51,0))),"")="",IFERROR(IF(INDEX(campaigns!$BG$2:$BG$51,MATCH($A256,campaigns!$A$2:$A$51,0))="","",INDEX(campaigns!$BG$2:$BG$51,MATCH($A256,campaigns!$A$2:$A$51,0))),"")&lt;&gt;"",IF(config!$B$37&lt;&gt;"",config!$B$37,TODAY())&gt;=WORKDAY(N(IFERROR(IF(INDEX(campaigns!$BG$2:$BG$51,MATCH($A256,campaigns!$A$2:$A$51,0))="","",INDEX(campaigns!$BG$2:$BG$51,MATCH($A256,campaigns!$A$2:$A$51,0))),"")),-4,calendar!$A$2:$A$80)),"no prefill template yet (due T-4); ","")&amp;IF(COUNTIF(links!$D$2:$D$501,$D256)&gt;1,"DUPLICATE slug; ",""))</f>
        <v/>
      </c>
    </row>
    <row r="257">
      <c r="A257" s="25">
        <f>IF(INDEX(approvals!$A$2:$A$251,INT((ROW()-2)/2)+1)="","",INDEX(approvals!$A$2:$A$251,INT((ROW()-2)/2)+1))</f>
        <v/>
      </c>
      <c r="B257" s="25">
        <f>IF(INDEX(approvals!$A$2:$A$251,INT((ROW()-2)/2)+1)="","",INDEX(approvals!$B$2:$B$251,INT((ROW()-2)/2)+1))</f>
        <v/>
      </c>
      <c r="C257" s="25">
        <f>IF($A257="","",IF(MOD(ROW()-2,2)=0,"qr","post"))</f>
        <v/>
      </c>
      <c r="D257" s="25">
        <f>IF($A257="","",IF(LEFT($A257,7)="SAMPLE-","SAMPLE-","")&amp;LOWER(SUBSTITUTE(SUBSTITUTE($A257,"SAMPLE-",""),"CMP-","c"))&amp;"-"&amp;LOWER(SUBSTITUTE(SUBSTITUTE($B257,"SAMPLE-",""),"O-","o"))&amp;"-"&amp;IF($C257="qr","q","p"))</f>
        <v/>
      </c>
      <c r="E257" s="25">
        <f>IF($A257="","","https://"&amp;config!$B$9&amp;"/"&amp;$D257)</f>
        <v/>
      </c>
      <c r="F257" s="25">
        <f>IF($A257="","",$A257&amp;"."&amp;$B257)</f>
        <v/>
      </c>
      <c r="G257" s="25">
        <f>IF($A257="","",IF(IFERROR(IF(INDEX(campaigns!$AJ$2:$AJ$51,MATCH($A257,campaigns!$A$2:$A$51,0))="","",INDEX(campaigns!$AJ$2:$AJ$51,MATCH($A257,campaigns!$A$2:$A$51,0))),"")="","(add the survey prefill template on campaigns)",SUBSTITUTE(IFERROR(IF(INDEX(campaigns!$AJ$2:$AJ$51,MATCH($A257,campaigns!$A$2:$A$51,0))="","",INDEX(campaigns!$AJ$2:$AJ$51,MATCH($A257,campaigns!$A$2:$A$51,0))),""),"CARDCODE",$F257)&amp;"&amp;utm_source=office-pantry&amp;utm_medium="&amp;$C257&amp;"&amp;utm_campaign="&amp;LOWER($A257)&amp;"&amp;utm_content="&amp;LOWER($B257)))</f>
        <v/>
      </c>
      <c r="H257" s="25">
        <f>IF(OR($A257="",$C257&lt;&gt;"qr"),"",$D257&amp;".png")</f>
        <v/>
      </c>
      <c r="I257" s="25">
        <f>IF($A257="","",IF(AND(IFERROR(IF(INDEX(campaigns!$AJ$2:$AJ$51,MATCH($A257,campaigns!$A$2:$A$51,0))="","",INDEX(campaigns!$AJ$2:$AJ$51,MATCH($A257,campaigns!$A$2:$A$51,0))),"")="",IFERROR(IF(INDEX(campaigns!$BG$2:$BG$51,MATCH($A257,campaigns!$A$2:$A$51,0))="","",INDEX(campaigns!$BG$2:$BG$51,MATCH($A257,campaigns!$A$2:$A$51,0))),"")&lt;&gt;"",IF(config!$B$37&lt;&gt;"",config!$B$37,TODAY())&gt;=WORKDAY(N(IFERROR(IF(INDEX(campaigns!$BG$2:$BG$51,MATCH($A257,campaigns!$A$2:$A$51,0))="","",INDEX(campaigns!$BG$2:$BG$51,MATCH($A257,campaigns!$A$2:$A$51,0))),"")),-4,calendar!$A$2:$A$80)),"no prefill template yet (due T-4); ","")&amp;IF(COUNTIF(links!$D$2:$D$501,$D257)&gt;1,"DUPLICATE slug; ",""))</f>
        <v/>
      </c>
    </row>
    <row r="258">
      <c r="A258" s="25">
        <f>IF(INDEX(approvals!$A$2:$A$251,INT((ROW()-2)/2)+1)="","",INDEX(approvals!$A$2:$A$251,INT((ROW()-2)/2)+1))</f>
        <v/>
      </c>
      <c r="B258" s="25">
        <f>IF(INDEX(approvals!$A$2:$A$251,INT((ROW()-2)/2)+1)="","",INDEX(approvals!$B$2:$B$251,INT((ROW()-2)/2)+1))</f>
        <v/>
      </c>
      <c r="C258" s="25">
        <f>IF($A258="","",IF(MOD(ROW()-2,2)=0,"qr","post"))</f>
        <v/>
      </c>
      <c r="D258" s="25">
        <f>IF($A258="","",IF(LEFT($A258,7)="SAMPLE-","SAMPLE-","")&amp;LOWER(SUBSTITUTE(SUBSTITUTE($A258,"SAMPLE-",""),"CMP-","c"))&amp;"-"&amp;LOWER(SUBSTITUTE(SUBSTITUTE($B258,"SAMPLE-",""),"O-","o"))&amp;"-"&amp;IF($C258="qr","q","p"))</f>
        <v/>
      </c>
      <c r="E258" s="25">
        <f>IF($A258="","","https://"&amp;config!$B$9&amp;"/"&amp;$D258)</f>
        <v/>
      </c>
      <c r="F258" s="25">
        <f>IF($A258="","",$A258&amp;"."&amp;$B258)</f>
        <v/>
      </c>
      <c r="G258" s="25">
        <f>IF($A258="","",IF(IFERROR(IF(INDEX(campaigns!$AJ$2:$AJ$51,MATCH($A258,campaigns!$A$2:$A$51,0))="","",INDEX(campaigns!$AJ$2:$AJ$51,MATCH($A258,campaigns!$A$2:$A$51,0))),"")="","(add the survey prefill template on campaigns)",SUBSTITUTE(IFERROR(IF(INDEX(campaigns!$AJ$2:$AJ$51,MATCH($A258,campaigns!$A$2:$A$51,0))="","",INDEX(campaigns!$AJ$2:$AJ$51,MATCH($A258,campaigns!$A$2:$A$51,0))),""),"CARDCODE",$F258)&amp;"&amp;utm_source=office-pantry&amp;utm_medium="&amp;$C258&amp;"&amp;utm_campaign="&amp;LOWER($A258)&amp;"&amp;utm_content="&amp;LOWER($B258)))</f>
        <v/>
      </c>
      <c r="H258" s="25">
        <f>IF(OR($A258="",$C258&lt;&gt;"qr"),"",$D258&amp;".png")</f>
        <v/>
      </c>
      <c r="I258" s="25">
        <f>IF($A258="","",IF(AND(IFERROR(IF(INDEX(campaigns!$AJ$2:$AJ$51,MATCH($A258,campaigns!$A$2:$A$51,0))="","",INDEX(campaigns!$AJ$2:$AJ$51,MATCH($A258,campaigns!$A$2:$A$51,0))),"")="",IFERROR(IF(INDEX(campaigns!$BG$2:$BG$51,MATCH($A258,campaigns!$A$2:$A$51,0))="","",INDEX(campaigns!$BG$2:$BG$51,MATCH($A258,campaigns!$A$2:$A$51,0))),"")&lt;&gt;"",IF(config!$B$37&lt;&gt;"",config!$B$37,TODAY())&gt;=WORKDAY(N(IFERROR(IF(INDEX(campaigns!$BG$2:$BG$51,MATCH($A258,campaigns!$A$2:$A$51,0))="","",INDEX(campaigns!$BG$2:$BG$51,MATCH($A258,campaigns!$A$2:$A$51,0))),"")),-4,calendar!$A$2:$A$80)),"no prefill template yet (due T-4); ","")&amp;IF(COUNTIF(links!$D$2:$D$501,$D258)&gt;1,"DUPLICATE slug; ",""))</f>
        <v/>
      </c>
    </row>
    <row r="259">
      <c r="A259" s="25">
        <f>IF(INDEX(approvals!$A$2:$A$251,INT((ROW()-2)/2)+1)="","",INDEX(approvals!$A$2:$A$251,INT((ROW()-2)/2)+1))</f>
        <v/>
      </c>
      <c r="B259" s="25">
        <f>IF(INDEX(approvals!$A$2:$A$251,INT((ROW()-2)/2)+1)="","",INDEX(approvals!$B$2:$B$251,INT((ROW()-2)/2)+1))</f>
        <v/>
      </c>
      <c r="C259" s="25">
        <f>IF($A259="","",IF(MOD(ROW()-2,2)=0,"qr","post"))</f>
        <v/>
      </c>
      <c r="D259" s="25">
        <f>IF($A259="","",IF(LEFT($A259,7)="SAMPLE-","SAMPLE-","")&amp;LOWER(SUBSTITUTE(SUBSTITUTE($A259,"SAMPLE-",""),"CMP-","c"))&amp;"-"&amp;LOWER(SUBSTITUTE(SUBSTITUTE($B259,"SAMPLE-",""),"O-","o"))&amp;"-"&amp;IF($C259="qr","q","p"))</f>
        <v/>
      </c>
      <c r="E259" s="25">
        <f>IF($A259="","","https://"&amp;config!$B$9&amp;"/"&amp;$D259)</f>
        <v/>
      </c>
      <c r="F259" s="25">
        <f>IF($A259="","",$A259&amp;"."&amp;$B259)</f>
        <v/>
      </c>
      <c r="G259" s="25">
        <f>IF($A259="","",IF(IFERROR(IF(INDEX(campaigns!$AJ$2:$AJ$51,MATCH($A259,campaigns!$A$2:$A$51,0))="","",INDEX(campaigns!$AJ$2:$AJ$51,MATCH($A259,campaigns!$A$2:$A$51,0))),"")="","(add the survey prefill template on campaigns)",SUBSTITUTE(IFERROR(IF(INDEX(campaigns!$AJ$2:$AJ$51,MATCH($A259,campaigns!$A$2:$A$51,0))="","",INDEX(campaigns!$AJ$2:$AJ$51,MATCH($A259,campaigns!$A$2:$A$51,0))),""),"CARDCODE",$F259)&amp;"&amp;utm_source=office-pantry&amp;utm_medium="&amp;$C259&amp;"&amp;utm_campaign="&amp;LOWER($A259)&amp;"&amp;utm_content="&amp;LOWER($B259)))</f>
        <v/>
      </c>
      <c r="H259" s="25">
        <f>IF(OR($A259="",$C259&lt;&gt;"qr"),"",$D259&amp;".png")</f>
        <v/>
      </c>
      <c r="I259" s="25">
        <f>IF($A259="","",IF(AND(IFERROR(IF(INDEX(campaigns!$AJ$2:$AJ$51,MATCH($A259,campaigns!$A$2:$A$51,0))="","",INDEX(campaigns!$AJ$2:$AJ$51,MATCH($A259,campaigns!$A$2:$A$51,0))),"")="",IFERROR(IF(INDEX(campaigns!$BG$2:$BG$51,MATCH($A259,campaigns!$A$2:$A$51,0))="","",INDEX(campaigns!$BG$2:$BG$51,MATCH($A259,campaigns!$A$2:$A$51,0))),"")&lt;&gt;"",IF(config!$B$37&lt;&gt;"",config!$B$37,TODAY())&gt;=WORKDAY(N(IFERROR(IF(INDEX(campaigns!$BG$2:$BG$51,MATCH($A259,campaigns!$A$2:$A$51,0))="","",INDEX(campaigns!$BG$2:$BG$51,MATCH($A259,campaigns!$A$2:$A$51,0))),"")),-4,calendar!$A$2:$A$80)),"no prefill template yet (due T-4); ","")&amp;IF(COUNTIF(links!$D$2:$D$501,$D259)&gt;1,"DUPLICATE slug; ",""))</f>
        <v/>
      </c>
    </row>
    <row r="260">
      <c r="A260" s="25">
        <f>IF(INDEX(approvals!$A$2:$A$251,INT((ROW()-2)/2)+1)="","",INDEX(approvals!$A$2:$A$251,INT((ROW()-2)/2)+1))</f>
        <v/>
      </c>
      <c r="B260" s="25">
        <f>IF(INDEX(approvals!$A$2:$A$251,INT((ROW()-2)/2)+1)="","",INDEX(approvals!$B$2:$B$251,INT((ROW()-2)/2)+1))</f>
        <v/>
      </c>
      <c r="C260" s="25">
        <f>IF($A260="","",IF(MOD(ROW()-2,2)=0,"qr","post"))</f>
        <v/>
      </c>
      <c r="D260" s="25">
        <f>IF($A260="","",IF(LEFT($A260,7)="SAMPLE-","SAMPLE-","")&amp;LOWER(SUBSTITUTE(SUBSTITUTE($A260,"SAMPLE-",""),"CMP-","c"))&amp;"-"&amp;LOWER(SUBSTITUTE(SUBSTITUTE($B260,"SAMPLE-",""),"O-","o"))&amp;"-"&amp;IF($C260="qr","q","p"))</f>
        <v/>
      </c>
      <c r="E260" s="25">
        <f>IF($A260="","","https://"&amp;config!$B$9&amp;"/"&amp;$D260)</f>
        <v/>
      </c>
      <c r="F260" s="25">
        <f>IF($A260="","",$A260&amp;"."&amp;$B260)</f>
        <v/>
      </c>
      <c r="G260" s="25">
        <f>IF($A260="","",IF(IFERROR(IF(INDEX(campaigns!$AJ$2:$AJ$51,MATCH($A260,campaigns!$A$2:$A$51,0))="","",INDEX(campaigns!$AJ$2:$AJ$51,MATCH($A260,campaigns!$A$2:$A$51,0))),"")="","(add the survey prefill template on campaigns)",SUBSTITUTE(IFERROR(IF(INDEX(campaigns!$AJ$2:$AJ$51,MATCH($A260,campaigns!$A$2:$A$51,0))="","",INDEX(campaigns!$AJ$2:$AJ$51,MATCH($A260,campaigns!$A$2:$A$51,0))),""),"CARDCODE",$F260)&amp;"&amp;utm_source=office-pantry&amp;utm_medium="&amp;$C260&amp;"&amp;utm_campaign="&amp;LOWER($A260)&amp;"&amp;utm_content="&amp;LOWER($B260)))</f>
        <v/>
      </c>
      <c r="H260" s="25">
        <f>IF(OR($A260="",$C260&lt;&gt;"qr"),"",$D260&amp;".png")</f>
        <v/>
      </c>
      <c r="I260" s="25">
        <f>IF($A260="","",IF(AND(IFERROR(IF(INDEX(campaigns!$AJ$2:$AJ$51,MATCH($A260,campaigns!$A$2:$A$51,0))="","",INDEX(campaigns!$AJ$2:$AJ$51,MATCH($A260,campaigns!$A$2:$A$51,0))),"")="",IFERROR(IF(INDEX(campaigns!$BG$2:$BG$51,MATCH($A260,campaigns!$A$2:$A$51,0))="","",INDEX(campaigns!$BG$2:$BG$51,MATCH($A260,campaigns!$A$2:$A$51,0))),"")&lt;&gt;"",IF(config!$B$37&lt;&gt;"",config!$B$37,TODAY())&gt;=WORKDAY(N(IFERROR(IF(INDEX(campaigns!$BG$2:$BG$51,MATCH($A260,campaigns!$A$2:$A$51,0))="","",INDEX(campaigns!$BG$2:$BG$51,MATCH($A260,campaigns!$A$2:$A$51,0))),"")),-4,calendar!$A$2:$A$80)),"no prefill template yet (due T-4); ","")&amp;IF(COUNTIF(links!$D$2:$D$501,$D260)&gt;1,"DUPLICATE slug; ",""))</f>
        <v/>
      </c>
    </row>
    <row r="261">
      <c r="A261" s="25">
        <f>IF(INDEX(approvals!$A$2:$A$251,INT((ROW()-2)/2)+1)="","",INDEX(approvals!$A$2:$A$251,INT((ROW()-2)/2)+1))</f>
        <v/>
      </c>
      <c r="B261" s="25">
        <f>IF(INDEX(approvals!$A$2:$A$251,INT((ROW()-2)/2)+1)="","",INDEX(approvals!$B$2:$B$251,INT((ROW()-2)/2)+1))</f>
        <v/>
      </c>
      <c r="C261" s="25">
        <f>IF($A261="","",IF(MOD(ROW()-2,2)=0,"qr","post"))</f>
        <v/>
      </c>
      <c r="D261" s="25">
        <f>IF($A261="","",IF(LEFT($A261,7)="SAMPLE-","SAMPLE-","")&amp;LOWER(SUBSTITUTE(SUBSTITUTE($A261,"SAMPLE-",""),"CMP-","c"))&amp;"-"&amp;LOWER(SUBSTITUTE(SUBSTITUTE($B261,"SAMPLE-",""),"O-","o"))&amp;"-"&amp;IF($C261="qr","q","p"))</f>
        <v/>
      </c>
      <c r="E261" s="25">
        <f>IF($A261="","","https://"&amp;config!$B$9&amp;"/"&amp;$D261)</f>
        <v/>
      </c>
      <c r="F261" s="25">
        <f>IF($A261="","",$A261&amp;"."&amp;$B261)</f>
        <v/>
      </c>
      <c r="G261" s="25">
        <f>IF($A261="","",IF(IFERROR(IF(INDEX(campaigns!$AJ$2:$AJ$51,MATCH($A261,campaigns!$A$2:$A$51,0))="","",INDEX(campaigns!$AJ$2:$AJ$51,MATCH($A261,campaigns!$A$2:$A$51,0))),"")="","(add the survey prefill template on campaigns)",SUBSTITUTE(IFERROR(IF(INDEX(campaigns!$AJ$2:$AJ$51,MATCH($A261,campaigns!$A$2:$A$51,0))="","",INDEX(campaigns!$AJ$2:$AJ$51,MATCH($A261,campaigns!$A$2:$A$51,0))),""),"CARDCODE",$F261)&amp;"&amp;utm_source=office-pantry&amp;utm_medium="&amp;$C261&amp;"&amp;utm_campaign="&amp;LOWER($A261)&amp;"&amp;utm_content="&amp;LOWER($B261)))</f>
        <v/>
      </c>
      <c r="H261" s="25">
        <f>IF(OR($A261="",$C261&lt;&gt;"qr"),"",$D261&amp;".png")</f>
        <v/>
      </c>
      <c r="I261" s="25">
        <f>IF($A261="","",IF(AND(IFERROR(IF(INDEX(campaigns!$AJ$2:$AJ$51,MATCH($A261,campaigns!$A$2:$A$51,0))="","",INDEX(campaigns!$AJ$2:$AJ$51,MATCH($A261,campaigns!$A$2:$A$51,0))),"")="",IFERROR(IF(INDEX(campaigns!$BG$2:$BG$51,MATCH($A261,campaigns!$A$2:$A$51,0))="","",INDEX(campaigns!$BG$2:$BG$51,MATCH($A261,campaigns!$A$2:$A$51,0))),"")&lt;&gt;"",IF(config!$B$37&lt;&gt;"",config!$B$37,TODAY())&gt;=WORKDAY(N(IFERROR(IF(INDEX(campaigns!$BG$2:$BG$51,MATCH($A261,campaigns!$A$2:$A$51,0))="","",INDEX(campaigns!$BG$2:$BG$51,MATCH($A261,campaigns!$A$2:$A$51,0))),"")),-4,calendar!$A$2:$A$80)),"no prefill template yet (due T-4); ","")&amp;IF(COUNTIF(links!$D$2:$D$501,$D261)&gt;1,"DUPLICATE slug; ",""))</f>
        <v/>
      </c>
    </row>
    <row r="262">
      <c r="A262" s="25">
        <f>IF(INDEX(approvals!$A$2:$A$251,INT((ROW()-2)/2)+1)="","",INDEX(approvals!$A$2:$A$251,INT((ROW()-2)/2)+1))</f>
        <v/>
      </c>
      <c r="B262" s="25">
        <f>IF(INDEX(approvals!$A$2:$A$251,INT((ROW()-2)/2)+1)="","",INDEX(approvals!$B$2:$B$251,INT((ROW()-2)/2)+1))</f>
        <v/>
      </c>
      <c r="C262" s="25">
        <f>IF($A262="","",IF(MOD(ROW()-2,2)=0,"qr","post"))</f>
        <v/>
      </c>
      <c r="D262" s="25">
        <f>IF($A262="","",IF(LEFT($A262,7)="SAMPLE-","SAMPLE-","")&amp;LOWER(SUBSTITUTE(SUBSTITUTE($A262,"SAMPLE-",""),"CMP-","c"))&amp;"-"&amp;LOWER(SUBSTITUTE(SUBSTITUTE($B262,"SAMPLE-",""),"O-","o"))&amp;"-"&amp;IF($C262="qr","q","p"))</f>
        <v/>
      </c>
      <c r="E262" s="25">
        <f>IF($A262="","","https://"&amp;config!$B$9&amp;"/"&amp;$D262)</f>
        <v/>
      </c>
      <c r="F262" s="25">
        <f>IF($A262="","",$A262&amp;"."&amp;$B262)</f>
        <v/>
      </c>
      <c r="G262" s="25">
        <f>IF($A262="","",IF(IFERROR(IF(INDEX(campaigns!$AJ$2:$AJ$51,MATCH($A262,campaigns!$A$2:$A$51,0))="","",INDEX(campaigns!$AJ$2:$AJ$51,MATCH($A262,campaigns!$A$2:$A$51,0))),"")="","(add the survey prefill template on campaigns)",SUBSTITUTE(IFERROR(IF(INDEX(campaigns!$AJ$2:$AJ$51,MATCH($A262,campaigns!$A$2:$A$51,0))="","",INDEX(campaigns!$AJ$2:$AJ$51,MATCH($A262,campaigns!$A$2:$A$51,0))),""),"CARDCODE",$F262)&amp;"&amp;utm_source=office-pantry&amp;utm_medium="&amp;$C262&amp;"&amp;utm_campaign="&amp;LOWER($A262)&amp;"&amp;utm_content="&amp;LOWER($B262)))</f>
        <v/>
      </c>
      <c r="H262" s="25">
        <f>IF(OR($A262="",$C262&lt;&gt;"qr"),"",$D262&amp;".png")</f>
        <v/>
      </c>
      <c r="I262" s="25">
        <f>IF($A262="","",IF(AND(IFERROR(IF(INDEX(campaigns!$AJ$2:$AJ$51,MATCH($A262,campaigns!$A$2:$A$51,0))="","",INDEX(campaigns!$AJ$2:$AJ$51,MATCH($A262,campaigns!$A$2:$A$51,0))),"")="",IFERROR(IF(INDEX(campaigns!$BG$2:$BG$51,MATCH($A262,campaigns!$A$2:$A$51,0))="","",INDEX(campaigns!$BG$2:$BG$51,MATCH($A262,campaigns!$A$2:$A$51,0))),"")&lt;&gt;"",IF(config!$B$37&lt;&gt;"",config!$B$37,TODAY())&gt;=WORKDAY(N(IFERROR(IF(INDEX(campaigns!$BG$2:$BG$51,MATCH($A262,campaigns!$A$2:$A$51,0))="","",INDEX(campaigns!$BG$2:$BG$51,MATCH($A262,campaigns!$A$2:$A$51,0))),"")),-4,calendar!$A$2:$A$80)),"no prefill template yet (due T-4); ","")&amp;IF(COUNTIF(links!$D$2:$D$501,$D262)&gt;1,"DUPLICATE slug; ",""))</f>
        <v/>
      </c>
    </row>
    <row r="263">
      <c r="A263" s="25">
        <f>IF(INDEX(approvals!$A$2:$A$251,INT((ROW()-2)/2)+1)="","",INDEX(approvals!$A$2:$A$251,INT((ROW()-2)/2)+1))</f>
        <v/>
      </c>
      <c r="B263" s="25">
        <f>IF(INDEX(approvals!$A$2:$A$251,INT((ROW()-2)/2)+1)="","",INDEX(approvals!$B$2:$B$251,INT((ROW()-2)/2)+1))</f>
        <v/>
      </c>
      <c r="C263" s="25">
        <f>IF($A263="","",IF(MOD(ROW()-2,2)=0,"qr","post"))</f>
        <v/>
      </c>
      <c r="D263" s="25">
        <f>IF($A263="","",IF(LEFT($A263,7)="SAMPLE-","SAMPLE-","")&amp;LOWER(SUBSTITUTE(SUBSTITUTE($A263,"SAMPLE-",""),"CMP-","c"))&amp;"-"&amp;LOWER(SUBSTITUTE(SUBSTITUTE($B263,"SAMPLE-",""),"O-","o"))&amp;"-"&amp;IF($C263="qr","q","p"))</f>
        <v/>
      </c>
      <c r="E263" s="25">
        <f>IF($A263="","","https://"&amp;config!$B$9&amp;"/"&amp;$D263)</f>
        <v/>
      </c>
      <c r="F263" s="25">
        <f>IF($A263="","",$A263&amp;"."&amp;$B263)</f>
        <v/>
      </c>
      <c r="G263" s="25">
        <f>IF($A263="","",IF(IFERROR(IF(INDEX(campaigns!$AJ$2:$AJ$51,MATCH($A263,campaigns!$A$2:$A$51,0))="","",INDEX(campaigns!$AJ$2:$AJ$51,MATCH($A263,campaigns!$A$2:$A$51,0))),"")="","(add the survey prefill template on campaigns)",SUBSTITUTE(IFERROR(IF(INDEX(campaigns!$AJ$2:$AJ$51,MATCH($A263,campaigns!$A$2:$A$51,0))="","",INDEX(campaigns!$AJ$2:$AJ$51,MATCH($A263,campaigns!$A$2:$A$51,0))),""),"CARDCODE",$F263)&amp;"&amp;utm_source=office-pantry&amp;utm_medium="&amp;$C263&amp;"&amp;utm_campaign="&amp;LOWER($A263)&amp;"&amp;utm_content="&amp;LOWER($B263)))</f>
        <v/>
      </c>
      <c r="H263" s="25">
        <f>IF(OR($A263="",$C263&lt;&gt;"qr"),"",$D263&amp;".png")</f>
        <v/>
      </c>
      <c r="I263" s="25">
        <f>IF($A263="","",IF(AND(IFERROR(IF(INDEX(campaigns!$AJ$2:$AJ$51,MATCH($A263,campaigns!$A$2:$A$51,0))="","",INDEX(campaigns!$AJ$2:$AJ$51,MATCH($A263,campaigns!$A$2:$A$51,0))),"")="",IFERROR(IF(INDEX(campaigns!$BG$2:$BG$51,MATCH($A263,campaigns!$A$2:$A$51,0))="","",INDEX(campaigns!$BG$2:$BG$51,MATCH($A263,campaigns!$A$2:$A$51,0))),"")&lt;&gt;"",IF(config!$B$37&lt;&gt;"",config!$B$37,TODAY())&gt;=WORKDAY(N(IFERROR(IF(INDEX(campaigns!$BG$2:$BG$51,MATCH($A263,campaigns!$A$2:$A$51,0))="","",INDEX(campaigns!$BG$2:$BG$51,MATCH($A263,campaigns!$A$2:$A$51,0))),"")),-4,calendar!$A$2:$A$80)),"no prefill template yet (due T-4); ","")&amp;IF(COUNTIF(links!$D$2:$D$501,$D263)&gt;1,"DUPLICATE slug; ",""))</f>
        <v/>
      </c>
    </row>
    <row r="264">
      <c r="A264" s="25">
        <f>IF(INDEX(approvals!$A$2:$A$251,INT((ROW()-2)/2)+1)="","",INDEX(approvals!$A$2:$A$251,INT((ROW()-2)/2)+1))</f>
        <v/>
      </c>
      <c r="B264" s="25">
        <f>IF(INDEX(approvals!$A$2:$A$251,INT((ROW()-2)/2)+1)="","",INDEX(approvals!$B$2:$B$251,INT((ROW()-2)/2)+1))</f>
        <v/>
      </c>
      <c r="C264" s="25">
        <f>IF($A264="","",IF(MOD(ROW()-2,2)=0,"qr","post"))</f>
        <v/>
      </c>
      <c r="D264" s="25">
        <f>IF($A264="","",IF(LEFT($A264,7)="SAMPLE-","SAMPLE-","")&amp;LOWER(SUBSTITUTE(SUBSTITUTE($A264,"SAMPLE-",""),"CMP-","c"))&amp;"-"&amp;LOWER(SUBSTITUTE(SUBSTITUTE($B264,"SAMPLE-",""),"O-","o"))&amp;"-"&amp;IF($C264="qr","q","p"))</f>
        <v/>
      </c>
      <c r="E264" s="25">
        <f>IF($A264="","","https://"&amp;config!$B$9&amp;"/"&amp;$D264)</f>
        <v/>
      </c>
      <c r="F264" s="25">
        <f>IF($A264="","",$A264&amp;"."&amp;$B264)</f>
        <v/>
      </c>
      <c r="G264" s="25">
        <f>IF($A264="","",IF(IFERROR(IF(INDEX(campaigns!$AJ$2:$AJ$51,MATCH($A264,campaigns!$A$2:$A$51,0))="","",INDEX(campaigns!$AJ$2:$AJ$51,MATCH($A264,campaigns!$A$2:$A$51,0))),"")="","(add the survey prefill template on campaigns)",SUBSTITUTE(IFERROR(IF(INDEX(campaigns!$AJ$2:$AJ$51,MATCH($A264,campaigns!$A$2:$A$51,0))="","",INDEX(campaigns!$AJ$2:$AJ$51,MATCH($A264,campaigns!$A$2:$A$51,0))),""),"CARDCODE",$F264)&amp;"&amp;utm_source=office-pantry&amp;utm_medium="&amp;$C264&amp;"&amp;utm_campaign="&amp;LOWER($A264)&amp;"&amp;utm_content="&amp;LOWER($B264)))</f>
        <v/>
      </c>
      <c r="H264" s="25">
        <f>IF(OR($A264="",$C264&lt;&gt;"qr"),"",$D264&amp;".png")</f>
        <v/>
      </c>
      <c r="I264" s="25">
        <f>IF($A264="","",IF(AND(IFERROR(IF(INDEX(campaigns!$AJ$2:$AJ$51,MATCH($A264,campaigns!$A$2:$A$51,0))="","",INDEX(campaigns!$AJ$2:$AJ$51,MATCH($A264,campaigns!$A$2:$A$51,0))),"")="",IFERROR(IF(INDEX(campaigns!$BG$2:$BG$51,MATCH($A264,campaigns!$A$2:$A$51,0))="","",INDEX(campaigns!$BG$2:$BG$51,MATCH($A264,campaigns!$A$2:$A$51,0))),"")&lt;&gt;"",IF(config!$B$37&lt;&gt;"",config!$B$37,TODAY())&gt;=WORKDAY(N(IFERROR(IF(INDEX(campaigns!$BG$2:$BG$51,MATCH($A264,campaigns!$A$2:$A$51,0))="","",INDEX(campaigns!$BG$2:$BG$51,MATCH($A264,campaigns!$A$2:$A$51,0))),"")),-4,calendar!$A$2:$A$80)),"no prefill template yet (due T-4); ","")&amp;IF(COUNTIF(links!$D$2:$D$501,$D264)&gt;1,"DUPLICATE slug; ",""))</f>
        <v/>
      </c>
    </row>
    <row r="265">
      <c r="A265" s="25">
        <f>IF(INDEX(approvals!$A$2:$A$251,INT((ROW()-2)/2)+1)="","",INDEX(approvals!$A$2:$A$251,INT((ROW()-2)/2)+1))</f>
        <v/>
      </c>
      <c r="B265" s="25">
        <f>IF(INDEX(approvals!$A$2:$A$251,INT((ROW()-2)/2)+1)="","",INDEX(approvals!$B$2:$B$251,INT((ROW()-2)/2)+1))</f>
        <v/>
      </c>
      <c r="C265" s="25">
        <f>IF($A265="","",IF(MOD(ROW()-2,2)=0,"qr","post"))</f>
        <v/>
      </c>
      <c r="D265" s="25">
        <f>IF($A265="","",IF(LEFT($A265,7)="SAMPLE-","SAMPLE-","")&amp;LOWER(SUBSTITUTE(SUBSTITUTE($A265,"SAMPLE-",""),"CMP-","c"))&amp;"-"&amp;LOWER(SUBSTITUTE(SUBSTITUTE($B265,"SAMPLE-",""),"O-","o"))&amp;"-"&amp;IF($C265="qr","q","p"))</f>
        <v/>
      </c>
      <c r="E265" s="25">
        <f>IF($A265="","","https://"&amp;config!$B$9&amp;"/"&amp;$D265)</f>
        <v/>
      </c>
      <c r="F265" s="25">
        <f>IF($A265="","",$A265&amp;"."&amp;$B265)</f>
        <v/>
      </c>
      <c r="G265" s="25">
        <f>IF($A265="","",IF(IFERROR(IF(INDEX(campaigns!$AJ$2:$AJ$51,MATCH($A265,campaigns!$A$2:$A$51,0))="","",INDEX(campaigns!$AJ$2:$AJ$51,MATCH($A265,campaigns!$A$2:$A$51,0))),"")="","(add the survey prefill template on campaigns)",SUBSTITUTE(IFERROR(IF(INDEX(campaigns!$AJ$2:$AJ$51,MATCH($A265,campaigns!$A$2:$A$51,0))="","",INDEX(campaigns!$AJ$2:$AJ$51,MATCH($A265,campaigns!$A$2:$A$51,0))),""),"CARDCODE",$F265)&amp;"&amp;utm_source=office-pantry&amp;utm_medium="&amp;$C265&amp;"&amp;utm_campaign="&amp;LOWER($A265)&amp;"&amp;utm_content="&amp;LOWER($B265)))</f>
        <v/>
      </c>
      <c r="H265" s="25">
        <f>IF(OR($A265="",$C265&lt;&gt;"qr"),"",$D265&amp;".png")</f>
        <v/>
      </c>
      <c r="I265" s="25">
        <f>IF($A265="","",IF(AND(IFERROR(IF(INDEX(campaigns!$AJ$2:$AJ$51,MATCH($A265,campaigns!$A$2:$A$51,0))="","",INDEX(campaigns!$AJ$2:$AJ$51,MATCH($A265,campaigns!$A$2:$A$51,0))),"")="",IFERROR(IF(INDEX(campaigns!$BG$2:$BG$51,MATCH($A265,campaigns!$A$2:$A$51,0))="","",INDEX(campaigns!$BG$2:$BG$51,MATCH($A265,campaigns!$A$2:$A$51,0))),"")&lt;&gt;"",IF(config!$B$37&lt;&gt;"",config!$B$37,TODAY())&gt;=WORKDAY(N(IFERROR(IF(INDEX(campaigns!$BG$2:$BG$51,MATCH($A265,campaigns!$A$2:$A$51,0))="","",INDEX(campaigns!$BG$2:$BG$51,MATCH($A265,campaigns!$A$2:$A$51,0))),"")),-4,calendar!$A$2:$A$80)),"no prefill template yet (due T-4); ","")&amp;IF(COUNTIF(links!$D$2:$D$501,$D265)&gt;1,"DUPLICATE slug; ",""))</f>
        <v/>
      </c>
    </row>
    <row r="266">
      <c r="A266" s="25">
        <f>IF(INDEX(approvals!$A$2:$A$251,INT((ROW()-2)/2)+1)="","",INDEX(approvals!$A$2:$A$251,INT((ROW()-2)/2)+1))</f>
        <v/>
      </c>
      <c r="B266" s="25">
        <f>IF(INDEX(approvals!$A$2:$A$251,INT((ROW()-2)/2)+1)="","",INDEX(approvals!$B$2:$B$251,INT((ROW()-2)/2)+1))</f>
        <v/>
      </c>
      <c r="C266" s="25">
        <f>IF($A266="","",IF(MOD(ROW()-2,2)=0,"qr","post"))</f>
        <v/>
      </c>
      <c r="D266" s="25">
        <f>IF($A266="","",IF(LEFT($A266,7)="SAMPLE-","SAMPLE-","")&amp;LOWER(SUBSTITUTE(SUBSTITUTE($A266,"SAMPLE-",""),"CMP-","c"))&amp;"-"&amp;LOWER(SUBSTITUTE(SUBSTITUTE($B266,"SAMPLE-",""),"O-","o"))&amp;"-"&amp;IF($C266="qr","q","p"))</f>
        <v/>
      </c>
      <c r="E266" s="25">
        <f>IF($A266="","","https://"&amp;config!$B$9&amp;"/"&amp;$D266)</f>
        <v/>
      </c>
      <c r="F266" s="25">
        <f>IF($A266="","",$A266&amp;"."&amp;$B266)</f>
        <v/>
      </c>
      <c r="G266" s="25">
        <f>IF($A266="","",IF(IFERROR(IF(INDEX(campaigns!$AJ$2:$AJ$51,MATCH($A266,campaigns!$A$2:$A$51,0))="","",INDEX(campaigns!$AJ$2:$AJ$51,MATCH($A266,campaigns!$A$2:$A$51,0))),"")="","(add the survey prefill template on campaigns)",SUBSTITUTE(IFERROR(IF(INDEX(campaigns!$AJ$2:$AJ$51,MATCH($A266,campaigns!$A$2:$A$51,0))="","",INDEX(campaigns!$AJ$2:$AJ$51,MATCH($A266,campaigns!$A$2:$A$51,0))),""),"CARDCODE",$F266)&amp;"&amp;utm_source=office-pantry&amp;utm_medium="&amp;$C266&amp;"&amp;utm_campaign="&amp;LOWER($A266)&amp;"&amp;utm_content="&amp;LOWER($B266)))</f>
        <v/>
      </c>
      <c r="H266" s="25">
        <f>IF(OR($A266="",$C266&lt;&gt;"qr"),"",$D266&amp;".png")</f>
        <v/>
      </c>
      <c r="I266" s="25">
        <f>IF($A266="","",IF(AND(IFERROR(IF(INDEX(campaigns!$AJ$2:$AJ$51,MATCH($A266,campaigns!$A$2:$A$51,0))="","",INDEX(campaigns!$AJ$2:$AJ$51,MATCH($A266,campaigns!$A$2:$A$51,0))),"")="",IFERROR(IF(INDEX(campaigns!$BG$2:$BG$51,MATCH($A266,campaigns!$A$2:$A$51,0))="","",INDEX(campaigns!$BG$2:$BG$51,MATCH($A266,campaigns!$A$2:$A$51,0))),"")&lt;&gt;"",IF(config!$B$37&lt;&gt;"",config!$B$37,TODAY())&gt;=WORKDAY(N(IFERROR(IF(INDEX(campaigns!$BG$2:$BG$51,MATCH($A266,campaigns!$A$2:$A$51,0))="","",INDEX(campaigns!$BG$2:$BG$51,MATCH($A266,campaigns!$A$2:$A$51,0))),"")),-4,calendar!$A$2:$A$80)),"no prefill template yet (due T-4); ","")&amp;IF(COUNTIF(links!$D$2:$D$501,$D266)&gt;1,"DUPLICATE slug; ",""))</f>
        <v/>
      </c>
    </row>
    <row r="267">
      <c r="A267" s="25">
        <f>IF(INDEX(approvals!$A$2:$A$251,INT((ROW()-2)/2)+1)="","",INDEX(approvals!$A$2:$A$251,INT((ROW()-2)/2)+1))</f>
        <v/>
      </c>
      <c r="B267" s="25">
        <f>IF(INDEX(approvals!$A$2:$A$251,INT((ROW()-2)/2)+1)="","",INDEX(approvals!$B$2:$B$251,INT((ROW()-2)/2)+1))</f>
        <v/>
      </c>
      <c r="C267" s="25">
        <f>IF($A267="","",IF(MOD(ROW()-2,2)=0,"qr","post"))</f>
        <v/>
      </c>
      <c r="D267" s="25">
        <f>IF($A267="","",IF(LEFT($A267,7)="SAMPLE-","SAMPLE-","")&amp;LOWER(SUBSTITUTE(SUBSTITUTE($A267,"SAMPLE-",""),"CMP-","c"))&amp;"-"&amp;LOWER(SUBSTITUTE(SUBSTITUTE($B267,"SAMPLE-",""),"O-","o"))&amp;"-"&amp;IF($C267="qr","q","p"))</f>
        <v/>
      </c>
      <c r="E267" s="25">
        <f>IF($A267="","","https://"&amp;config!$B$9&amp;"/"&amp;$D267)</f>
        <v/>
      </c>
      <c r="F267" s="25">
        <f>IF($A267="","",$A267&amp;"."&amp;$B267)</f>
        <v/>
      </c>
      <c r="G267" s="25">
        <f>IF($A267="","",IF(IFERROR(IF(INDEX(campaigns!$AJ$2:$AJ$51,MATCH($A267,campaigns!$A$2:$A$51,0))="","",INDEX(campaigns!$AJ$2:$AJ$51,MATCH($A267,campaigns!$A$2:$A$51,0))),"")="","(add the survey prefill template on campaigns)",SUBSTITUTE(IFERROR(IF(INDEX(campaigns!$AJ$2:$AJ$51,MATCH($A267,campaigns!$A$2:$A$51,0))="","",INDEX(campaigns!$AJ$2:$AJ$51,MATCH($A267,campaigns!$A$2:$A$51,0))),""),"CARDCODE",$F267)&amp;"&amp;utm_source=office-pantry&amp;utm_medium="&amp;$C267&amp;"&amp;utm_campaign="&amp;LOWER($A267)&amp;"&amp;utm_content="&amp;LOWER($B267)))</f>
        <v/>
      </c>
      <c r="H267" s="25">
        <f>IF(OR($A267="",$C267&lt;&gt;"qr"),"",$D267&amp;".png")</f>
        <v/>
      </c>
      <c r="I267" s="25">
        <f>IF($A267="","",IF(AND(IFERROR(IF(INDEX(campaigns!$AJ$2:$AJ$51,MATCH($A267,campaigns!$A$2:$A$51,0))="","",INDEX(campaigns!$AJ$2:$AJ$51,MATCH($A267,campaigns!$A$2:$A$51,0))),"")="",IFERROR(IF(INDEX(campaigns!$BG$2:$BG$51,MATCH($A267,campaigns!$A$2:$A$51,0))="","",INDEX(campaigns!$BG$2:$BG$51,MATCH($A267,campaigns!$A$2:$A$51,0))),"")&lt;&gt;"",IF(config!$B$37&lt;&gt;"",config!$B$37,TODAY())&gt;=WORKDAY(N(IFERROR(IF(INDEX(campaigns!$BG$2:$BG$51,MATCH($A267,campaigns!$A$2:$A$51,0))="","",INDEX(campaigns!$BG$2:$BG$51,MATCH($A267,campaigns!$A$2:$A$51,0))),"")),-4,calendar!$A$2:$A$80)),"no prefill template yet (due T-4); ","")&amp;IF(COUNTIF(links!$D$2:$D$501,$D267)&gt;1,"DUPLICATE slug; ",""))</f>
        <v/>
      </c>
    </row>
    <row r="268">
      <c r="A268" s="25">
        <f>IF(INDEX(approvals!$A$2:$A$251,INT((ROW()-2)/2)+1)="","",INDEX(approvals!$A$2:$A$251,INT((ROW()-2)/2)+1))</f>
        <v/>
      </c>
      <c r="B268" s="25">
        <f>IF(INDEX(approvals!$A$2:$A$251,INT((ROW()-2)/2)+1)="","",INDEX(approvals!$B$2:$B$251,INT((ROW()-2)/2)+1))</f>
        <v/>
      </c>
      <c r="C268" s="25">
        <f>IF($A268="","",IF(MOD(ROW()-2,2)=0,"qr","post"))</f>
        <v/>
      </c>
      <c r="D268" s="25">
        <f>IF($A268="","",IF(LEFT($A268,7)="SAMPLE-","SAMPLE-","")&amp;LOWER(SUBSTITUTE(SUBSTITUTE($A268,"SAMPLE-",""),"CMP-","c"))&amp;"-"&amp;LOWER(SUBSTITUTE(SUBSTITUTE($B268,"SAMPLE-",""),"O-","o"))&amp;"-"&amp;IF($C268="qr","q","p"))</f>
        <v/>
      </c>
      <c r="E268" s="25">
        <f>IF($A268="","","https://"&amp;config!$B$9&amp;"/"&amp;$D268)</f>
        <v/>
      </c>
      <c r="F268" s="25">
        <f>IF($A268="","",$A268&amp;"."&amp;$B268)</f>
        <v/>
      </c>
      <c r="G268" s="25">
        <f>IF($A268="","",IF(IFERROR(IF(INDEX(campaigns!$AJ$2:$AJ$51,MATCH($A268,campaigns!$A$2:$A$51,0))="","",INDEX(campaigns!$AJ$2:$AJ$51,MATCH($A268,campaigns!$A$2:$A$51,0))),"")="","(add the survey prefill template on campaigns)",SUBSTITUTE(IFERROR(IF(INDEX(campaigns!$AJ$2:$AJ$51,MATCH($A268,campaigns!$A$2:$A$51,0))="","",INDEX(campaigns!$AJ$2:$AJ$51,MATCH($A268,campaigns!$A$2:$A$51,0))),""),"CARDCODE",$F268)&amp;"&amp;utm_source=office-pantry&amp;utm_medium="&amp;$C268&amp;"&amp;utm_campaign="&amp;LOWER($A268)&amp;"&amp;utm_content="&amp;LOWER($B268)))</f>
        <v/>
      </c>
      <c r="H268" s="25">
        <f>IF(OR($A268="",$C268&lt;&gt;"qr"),"",$D268&amp;".png")</f>
        <v/>
      </c>
      <c r="I268" s="25">
        <f>IF($A268="","",IF(AND(IFERROR(IF(INDEX(campaigns!$AJ$2:$AJ$51,MATCH($A268,campaigns!$A$2:$A$51,0))="","",INDEX(campaigns!$AJ$2:$AJ$51,MATCH($A268,campaigns!$A$2:$A$51,0))),"")="",IFERROR(IF(INDEX(campaigns!$BG$2:$BG$51,MATCH($A268,campaigns!$A$2:$A$51,0))="","",INDEX(campaigns!$BG$2:$BG$51,MATCH($A268,campaigns!$A$2:$A$51,0))),"")&lt;&gt;"",IF(config!$B$37&lt;&gt;"",config!$B$37,TODAY())&gt;=WORKDAY(N(IFERROR(IF(INDEX(campaigns!$BG$2:$BG$51,MATCH($A268,campaigns!$A$2:$A$51,0))="","",INDEX(campaigns!$BG$2:$BG$51,MATCH($A268,campaigns!$A$2:$A$51,0))),"")),-4,calendar!$A$2:$A$80)),"no prefill template yet (due T-4); ","")&amp;IF(COUNTIF(links!$D$2:$D$501,$D268)&gt;1,"DUPLICATE slug; ",""))</f>
        <v/>
      </c>
    </row>
    <row r="269">
      <c r="A269" s="25">
        <f>IF(INDEX(approvals!$A$2:$A$251,INT((ROW()-2)/2)+1)="","",INDEX(approvals!$A$2:$A$251,INT((ROW()-2)/2)+1))</f>
        <v/>
      </c>
      <c r="B269" s="25">
        <f>IF(INDEX(approvals!$A$2:$A$251,INT((ROW()-2)/2)+1)="","",INDEX(approvals!$B$2:$B$251,INT((ROW()-2)/2)+1))</f>
        <v/>
      </c>
      <c r="C269" s="25">
        <f>IF($A269="","",IF(MOD(ROW()-2,2)=0,"qr","post"))</f>
        <v/>
      </c>
      <c r="D269" s="25">
        <f>IF($A269="","",IF(LEFT($A269,7)="SAMPLE-","SAMPLE-","")&amp;LOWER(SUBSTITUTE(SUBSTITUTE($A269,"SAMPLE-",""),"CMP-","c"))&amp;"-"&amp;LOWER(SUBSTITUTE(SUBSTITUTE($B269,"SAMPLE-",""),"O-","o"))&amp;"-"&amp;IF($C269="qr","q","p"))</f>
        <v/>
      </c>
      <c r="E269" s="25">
        <f>IF($A269="","","https://"&amp;config!$B$9&amp;"/"&amp;$D269)</f>
        <v/>
      </c>
      <c r="F269" s="25">
        <f>IF($A269="","",$A269&amp;"."&amp;$B269)</f>
        <v/>
      </c>
      <c r="G269" s="25">
        <f>IF($A269="","",IF(IFERROR(IF(INDEX(campaigns!$AJ$2:$AJ$51,MATCH($A269,campaigns!$A$2:$A$51,0))="","",INDEX(campaigns!$AJ$2:$AJ$51,MATCH($A269,campaigns!$A$2:$A$51,0))),"")="","(add the survey prefill template on campaigns)",SUBSTITUTE(IFERROR(IF(INDEX(campaigns!$AJ$2:$AJ$51,MATCH($A269,campaigns!$A$2:$A$51,0))="","",INDEX(campaigns!$AJ$2:$AJ$51,MATCH($A269,campaigns!$A$2:$A$51,0))),""),"CARDCODE",$F269)&amp;"&amp;utm_source=office-pantry&amp;utm_medium="&amp;$C269&amp;"&amp;utm_campaign="&amp;LOWER($A269)&amp;"&amp;utm_content="&amp;LOWER($B269)))</f>
        <v/>
      </c>
      <c r="H269" s="25">
        <f>IF(OR($A269="",$C269&lt;&gt;"qr"),"",$D269&amp;".png")</f>
        <v/>
      </c>
      <c r="I269" s="25">
        <f>IF($A269="","",IF(AND(IFERROR(IF(INDEX(campaigns!$AJ$2:$AJ$51,MATCH($A269,campaigns!$A$2:$A$51,0))="","",INDEX(campaigns!$AJ$2:$AJ$51,MATCH($A269,campaigns!$A$2:$A$51,0))),"")="",IFERROR(IF(INDEX(campaigns!$BG$2:$BG$51,MATCH($A269,campaigns!$A$2:$A$51,0))="","",INDEX(campaigns!$BG$2:$BG$51,MATCH($A269,campaigns!$A$2:$A$51,0))),"")&lt;&gt;"",IF(config!$B$37&lt;&gt;"",config!$B$37,TODAY())&gt;=WORKDAY(N(IFERROR(IF(INDEX(campaigns!$BG$2:$BG$51,MATCH($A269,campaigns!$A$2:$A$51,0))="","",INDEX(campaigns!$BG$2:$BG$51,MATCH($A269,campaigns!$A$2:$A$51,0))),"")),-4,calendar!$A$2:$A$80)),"no prefill template yet (due T-4); ","")&amp;IF(COUNTIF(links!$D$2:$D$501,$D269)&gt;1,"DUPLICATE slug; ",""))</f>
        <v/>
      </c>
    </row>
    <row r="270">
      <c r="A270" s="25">
        <f>IF(INDEX(approvals!$A$2:$A$251,INT((ROW()-2)/2)+1)="","",INDEX(approvals!$A$2:$A$251,INT((ROW()-2)/2)+1))</f>
        <v/>
      </c>
      <c r="B270" s="25">
        <f>IF(INDEX(approvals!$A$2:$A$251,INT((ROW()-2)/2)+1)="","",INDEX(approvals!$B$2:$B$251,INT((ROW()-2)/2)+1))</f>
        <v/>
      </c>
      <c r="C270" s="25">
        <f>IF($A270="","",IF(MOD(ROW()-2,2)=0,"qr","post"))</f>
        <v/>
      </c>
      <c r="D270" s="25">
        <f>IF($A270="","",IF(LEFT($A270,7)="SAMPLE-","SAMPLE-","")&amp;LOWER(SUBSTITUTE(SUBSTITUTE($A270,"SAMPLE-",""),"CMP-","c"))&amp;"-"&amp;LOWER(SUBSTITUTE(SUBSTITUTE($B270,"SAMPLE-",""),"O-","o"))&amp;"-"&amp;IF($C270="qr","q","p"))</f>
        <v/>
      </c>
      <c r="E270" s="25">
        <f>IF($A270="","","https://"&amp;config!$B$9&amp;"/"&amp;$D270)</f>
        <v/>
      </c>
      <c r="F270" s="25">
        <f>IF($A270="","",$A270&amp;"."&amp;$B270)</f>
        <v/>
      </c>
      <c r="G270" s="25">
        <f>IF($A270="","",IF(IFERROR(IF(INDEX(campaigns!$AJ$2:$AJ$51,MATCH($A270,campaigns!$A$2:$A$51,0))="","",INDEX(campaigns!$AJ$2:$AJ$51,MATCH($A270,campaigns!$A$2:$A$51,0))),"")="","(add the survey prefill template on campaigns)",SUBSTITUTE(IFERROR(IF(INDEX(campaigns!$AJ$2:$AJ$51,MATCH($A270,campaigns!$A$2:$A$51,0))="","",INDEX(campaigns!$AJ$2:$AJ$51,MATCH($A270,campaigns!$A$2:$A$51,0))),""),"CARDCODE",$F270)&amp;"&amp;utm_source=office-pantry&amp;utm_medium="&amp;$C270&amp;"&amp;utm_campaign="&amp;LOWER($A270)&amp;"&amp;utm_content="&amp;LOWER($B270)))</f>
        <v/>
      </c>
      <c r="H270" s="25">
        <f>IF(OR($A270="",$C270&lt;&gt;"qr"),"",$D270&amp;".png")</f>
        <v/>
      </c>
      <c r="I270" s="25">
        <f>IF($A270="","",IF(AND(IFERROR(IF(INDEX(campaigns!$AJ$2:$AJ$51,MATCH($A270,campaigns!$A$2:$A$51,0))="","",INDEX(campaigns!$AJ$2:$AJ$51,MATCH($A270,campaigns!$A$2:$A$51,0))),"")="",IFERROR(IF(INDEX(campaigns!$BG$2:$BG$51,MATCH($A270,campaigns!$A$2:$A$51,0))="","",INDEX(campaigns!$BG$2:$BG$51,MATCH($A270,campaigns!$A$2:$A$51,0))),"")&lt;&gt;"",IF(config!$B$37&lt;&gt;"",config!$B$37,TODAY())&gt;=WORKDAY(N(IFERROR(IF(INDEX(campaigns!$BG$2:$BG$51,MATCH($A270,campaigns!$A$2:$A$51,0))="","",INDEX(campaigns!$BG$2:$BG$51,MATCH($A270,campaigns!$A$2:$A$51,0))),"")),-4,calendar!$A$2:$A$80)),"no prefill template yet (due T-4); ","")&amp;IF(COUNTIF(links!$D$2:$D$501,$D270)&gt;1,"DUPLICATE slug; ",""))</f>
        <v/>
      </c>
    </row>
    <row r="271">
      <c r="A271" s="25">
        <f>IF(INDEX(approvals!$A$2:$A$251,INT((ROW()-2)/2)+1)="","",INDEX(approvals!$A$2:$A$251,INT((ROW()-2)/2)+1))</f>
        <v/>
      </c>
      <c r="B271" s="25">
        <f>IF(INDEX(approvals!$A$2:$A$251,INT((ROW()-2)/2)+1)="","",INDEX(approvals!$B$2:$B$251,INT((ROW()-2)/2)+1))</f>
        <v/>
      </c>
      <c r="C271" s="25">
        <f>IF($A271="","",IF(MOD(ROW()-2,2)=0,"qr","post"))</f>
        <v/>
      </c>
      <c r="D271" s="25">
        <f>IF($A271="","",IF(LEFT($A271,7)="SAMPLE-","SAMPLE-","")&amp;LOWER(SUBSTITUTE(SUBSTITUTE($A271,"SAMPLE-",""),"CMP-","c"))&amp;"-"&amp;LOWER(SUBSTITUTE(SUBSTITUTE($B271,"SAMPLE-",""),"O-","o"))&amp;"-"&amp;IF($C271="qr","q","p"))</f>
        <v/>
      </c>
      <c r="E271" s="25">
        <f>IF($A271="","","https://"&amp;config!$B$9&amp;"/"&amp;$D271)</f>
        <v/>
      </c>
      <c r="F271" s="25">
        <f>IF($A271="","",$A271&amp;"."&amp;$B271)</f>
        <v/>
      </c>
      <c r="G271" s="25">
        <f>IF($A271="","",IF(IFERROR(IF(INDEX(campaigns!$AJ$2:$AJ$51,MATCH($A271,campaigns!$A$2:$A$51,0))="","",INDEX(campaigns!$AJ$2:$AJ$51,MATCH($A271,campaigns!$A$2:$A$51,0))),"")="","(add the survey prefill template on campaigns)",SUBSTITUTE(IFERROR(IF(INDEX(campaigns!$AJ$2:$AJ$51,MATCH($A271,campaigns!$A$2:$A$51,0))="","",INDEX(campaigns!$AJ$2:$AJ$51,MATCH($A271,campaigns!$A$2:$A$51,0))),""),"CARDCODE",$F271)&amp;"&amp;utm_source=office-pantry&amp;utm_medium="&amp;$C271&amp;"&amp;utm_campaign="&amp;LOWER($A271)&amp;"&amp;utm_content="&amp;LOWER($B271)))</f>
        <v/>
      </c>
      <c r="H271" s="25">
        <f>IF(OR($A271="",$C271&lt;&gt;"qr"),"",$D271&amp;".png")</f>
        <v/>
      </c>
      <c r="I271" s="25">
        <f>IF($A271="","",IF(AND(IFERROR(IF(INDEX(campaigns!$AJ$2:$AJ$51,MATCH($A271,campaigns!$A$2:$A$51,0))="","",INDEX(campaigns!$AJ$2:$AJ$51,MATCH($A271,campaigns!$A$2:$A$51,0))),"")="",IFERROR(IF(INDEX(campaigns!$BG$2:$BG$51,MATCH($A271,campaigns!$A$2:$A$51,0))="","",INDEX(campaigns!$BG$2:$BG$51,MATCH($A271,campaigns!$A$2:$A$51,0))),"")&lt;&gt;"",IF(config!$B$37&lt;&gt;"",config!$B$37,TODAY())&gt;=WORKDAY(N(IFERROR(IF(INDEX(campaigns!$BG$2:$BG$51,MATCH($A271,campaigns!$A$2:$A$51,0))="","",INDEX(campaigns!$BG$2:$BG$51,MATCH($A271,campaigns!$A$2:$A$51,0))),"")),-4,calendar!$A$2:$A$80)),"no prefill template yet (due T-4); ","")&amp;IF(COUNTIF(links!$D$2:$D$501,$D271)&gt;1,"DUPLICATE slug; ",""))</f>
        <v/>
      </c>
    </row>
    <row r="272">
      <c r="A272" s="25">
        <f>IF(INDEX(approvals!$A$2:$A$251,INT((ROW()-2)/2)+1)="","",INDEX(approvals!$A$2:$A$251,INT((ROW()-2)/2)+1))</f>
        <v/>
      </c>
      <c r="B272" s="25">
        <f>IF(INDEX(approvals!$A$2:$A$251,INT((ROW()-2)/2)+1)="","",INDEX(approvals!$B$2:$B$251,INT((ROW()-2)/2)+1))</f>
        <v/>
      </c>
      <c r="C272" s="25">
        <f>IF($A272="","",IF(MOD(ROW()-2,2)=0,"qr","post"))</f>
        <v/>
      </c>
      <c r="D272" s="25">
        <f>IF($A272="","",IF(LEFT($A272,7)="SAMPLE-","SAMPLE-","")&amp;LOWER(SUBSTITUTE(SUBSTITUTE($A272,"SAMPLE-",""),"CMP-","c"))&amp;"-"&amp;LOWER(SUBSTITUTE(SUBSTITUTE($B272,"SAMPLE-",""),"O-","o"))&amp;"-"&amp;IF($C272="qr","q","p"))</f>
        <v/>
      </c>
      <c r="E272" s="25">
        <f>IF($A272="","","https://"&amp;config!$B$9&amp;"/"&amp;$D272)</f>
        <v/>
      </c>
      <c r="F272" s="25">
        <f>IF($A272="","",$A272&amp;"."&amp;$B272)</f>
        <v/>
      </c>
      <c r="G272" s="25">
        <f>IF($A272="","",IF(IFERROR(IF(INDEX(campaigns!$AJ$2:$AJ$51,MATCH($A272,campaigns!$A$2:$A$51,0))="","",INDEX(campaigns!$AJ$2:$AJ$51,MATCH($A272,campaigns!$A$2:$A$51,0))),"")="","(add the survey prefill template on campaigns)",SUBSTITUTE(IFERROR(IF(INDEX(campaigns!$AJ$2:$AJ$51,MATCH($A272,campaigns!$A$2:$A$51,0))="","",INDEX(campaigns!$AJ$2:$AJ$51,MATCH($A272,campaigns!$A$2:$A$51,0))),""),"CARDCODE",$F272)&amp;"&amp;utm_source=office-pantry&amp;utm_medium="&amp;$C272&amp;"&amp;utm_campaign="&amp;LOWER($A272)&amp;"&amp;utm_content="&amp;LOWER($B272)))</f>
        <v/>
      </c>
      <c r="H272" s="25">
        <f>IF(OR($A272="",$C272&lt;&gt;"qr"),"",$D272&amp;".png")</f>
        <v/>
      </c>
      <c r="I272" s="25">
        <f>IF($A272="","",IF(AND(IFERROR(IF(INDEX(campaigns!$AJ$2:$AJ$51,MATCH($A272,campaigns!$A$2:$A$51,0))="","",INDEX(campaigns!$AJ$2:$AJ$51,MATCH($A272,campaigns!$A$2:$A$51,0))),"")="",IFERROR(IF(INDEX(campaigns!$BG$2:$BG$51,MATCH($A272,campaigns!$A$2:$A$51,0))="","",INDEX(campaigns!$BG$2:$BG$51,MATCH($A272,campaigns!$A$2:$A$51,0))),"")&lt;&gt;"",IF(config!$B$37&lt;&gt;"",config!$B$37,TODAY())&gt;=WORKDAY(N(IFERROR(IF(INDEX(campaigns!$BG$2:$BG$51,MATCH($A272,campaigns!$A$2:$A$51,0))="","",INDEX(campaigns!$BG$2:$BG$51,MATCH($A272,campaigns!$A$2:$A$51,0))),"")),-4,calendar!$A$2:$A$80)),"no prefill template yet (due T-4); ","")&amp;IF(COUNTIF(links!$D$2:$D$501,$D272)&gt;1,"DUPLICATE slug; ",""))</f>
        <v/>
      </c>
    </row>
    <row r="273">
      <c r="A273" s="25">
        <f>IF(INDEX(approvals!$A$2:$A$251,INT((ROW()-2)/2)+1)="","",INDEX(approvals!$A$2:$A$251,INT((ROW()-2)/2)+1))</f>
        <v/>
      </c>
      <c r="B273" s="25">
        <f>IF(INDEX(approvals!$A$2:$A$251,INT((ROW()-2)/2)+1)="","",INDEX(approvals!$B$2:$B$251,INT((ROW()-2)/2)+1))</f>
        <v/>
      </c>
      <c r="C273" s="25">
        <f>IF($A273="","",IF(MOD(ROW()-2,2)=0,"qr","post"))</f>
        <v/>
      </c>
      <c r="D273" s="25">
        <f>IF($A273="","",IF(LEFT($A273,7)="SAMPLE-","SAMPLE-","")&amp;LOWER(SUBSTITUTE(SUBSTITUTE($A273,"SAMPLE-",""),"CMP-","c"))&amp;"-"&amp;LOWER(SUBSTITUTE(SUBSTITUTE($B273,"SAMPLE-",""),"O-","o"))&amp;"-"&amp;IF($C273="qr","q","p"))</f>
        <v/>
      </c>
      <c r="E273" s="25">
        <f>IF($A273="","","https://"&amp;config!$B$9&amp;"/"&amp;$D273)</f>
        <v/>
      </c>
      <c r="F273" s="25">
        <f>IF($A273="","",$A273&amp;"."&amp;$B273)</f>
        <v/>
      </c>
      <c r="G273" s="25">
        <f>IF($A273="","",IF(IFERROR(IF(INDEX(campaigns!$AJ$2:$AJ$51,MATCH($A273,campaigns!$A$2:$A$51,0))="","",INDEX(campaigns!$AJ$2:$AJ$51,MATCH($A273,campaigns!$A$2:$A$51,0))),"")="","(add the survey prefill template on campaigns)",SUBSTITUTE(IFERROR(IF(INDEX(campaigns!$AJ$2:$AJ$51,MATCH($A273,campaigns!$A$2:$A$51,0))="","",INDEX(campaigns!$AJ$2:$AJ$51,MATCH($A273,campaigns!$A$2:$A$51,0))),""),"CARDCODE",$F273)&amp;"&amp;utm_source=office-pantry&amp;utm_medium="&amp;$C273&amp;"&amp;utm_campaign="&amp;LOWER($A273)&amp;"&amp;utm_content="&amp;LOWER($B273)))</f>
        <v/>
      </c>
      <c r="H273" s="25">
        <f>IF(OR($A273="",$C273&lt;&gt;"qr"),"",$D273&amp;".png")</f>
        <v/>
      </c>
      <c r="I273" s="25">
        <f>IF($A273="","",IF(AND(IFERROR(IF(INDEX(campaigns!$AJ$2:$AJ$51,MATCH($A273,campaigns!$A$2:$A$51,0))="","",INDEX(campaigns!$AJ$2:$AJ$51,MATCH($A273,campaigns!$A$2:$A$51,0))),"")="",IFERROR(IF(INDEX(campaigns!$BG$2:$BG$51,MATCH($A273,campaigns!$A$2:$A$51,0))="","",INDEX(campaigns!$BG$2:$BG$51,MATCH($A273,campaigns!$A$2:$A$51,0))),"")&lt;&gt;"",IF(config!$B$37&lt;&gt;"",config!$B$37,TODAY())&gt;=WORKDAY(N(IFERROR(IF(INDEX(campaigns!$BG$2:$BG$51,MATCH($A273,campaigns!$A$2:$A$51,0))="","",INDEX(campaigns!$BG$2:$BG$51,MATCH($A273,campaigns!$A$2:$A$51,0))),"")),-4,calendar!$A$2:$A$80)),"no prefill template yet (due T-4); ","")&amp;IF(COUNTIF(links!$D$2:$D$501,$D273)&gt;1,"DUPLICATE slug; ",""))</f>
        <v/>
      </c>
    </row>
    <row r="274">
      <c r="A274" s="25">
        <f>IF(INDEX(approvals!$A$2:$A$251,INT((ROW()-2)/2)+1)="","",INDEX(approvals!$A$2:$A$251,INT((ROW()-2)/2)+1))</f>
        <v/>
      </c>
      <c r="B274" s="25">
        <f>IF(INDEX(approvals!$A$2:$A$251,INT((ROW()-2)/2)+1)="","",INDEX(approvals!$B$2:$B$251,INT((ROW()-2)/2)+1))</f>
        <v/>
      </c>
      <c r="C274" s="25">
        <f>IF($A274="","",IF(MOD(ROW()-2,2)=0,"qr","post"))</f>
        <v/>
      </c>
      <c r="D274" s="25">
        <f>IF($A274="","",IF(LEFT($A274,7)="SAMPLE-","SAMPLE-","")&amp;LOWER(SUBSTITUTE(SUBSTITUTE($A274,"SAMPLE-",""),"CMP-","c"))&amp;"-"&amp;LOWER(SUBSTITUTE(SUBSTITUTE($B274,"SAMPLE-",""),"O-","o"))&amp;"-"&amp;IF($C274="qr","q","p"))</f>
        <v/>
      </c>
      <c r="E274" s="25">
        <f>IF($A274="","","https://"&amp;config!$B$9&amp;"/"&amp;$D274)</f>
        <v/>
      </c>
      <c r="F274" s="25">
        <f>IF($A274="","",$A274&amp;"."&amp;$B274)</f>
        <v/>
      </c>
      <c r="G274" s="25">
        <f>IF($A274="","",IF(IFERROR(IF(INDEX(campaigns!$AJ$2:$AJ$51,MATCH($A274,campaigns!$A$2:$A$51,0))="","",INDEX(campaigns!$AJ$2:$AJ$51,MATCH($A274,campaigns!$A$2:$A$51,0))),"")="","(add the survey prefill template on campaigns)",SUBSTITUTE(IFERROR(IF(INDEX(campaigns!$AJ$2:$AJ$51,MATCH($A274,campaigns!$A$2:$A$51,0))="","",INDEX(campaigns!$AJ$2:$AJ$51,MATCH($A274,campaigns!$A$2:$A$51,0))),""),"CARDCODE",$F274)&amp;"&amp;utm_source=office-pantry&amp;utm_medium="&amp;$C274&amp;"&amp;utm_campaign="&amp;LOWER($A274)&amp;"&amp;utm_content="&amp;LOWER($B274)))</f>
        <v/>
      </c>
      <c r="H274" s="25">
        <f>IF(OR($A274="",$C274&lt;&gt;"qr"),"",$D274&amp;".png")</f>
        <v/>
      </c>
      <c r="I274" s="25">
        <f>IF($A274="","",IF(AND(IFERROR(IF(INDEX(campaigns!$AJ$2:$AJ$51,MATCH($A274,campaigns!$A$2:$A$51,0))="","",INDEX(campaigns!$AJ$2:$AJ$51,MATCH($A274,campaigns!$A$2:$A$51,0))),"")="",IFERROR(IF(INDEX(campaigns!$BG$2:$BG$51,MATCH($A274,campaigns!$A$2:$A$51,0))="","",INDEX(campaigns!$BG$2:$BG$51,MATCH($A274,campaigns!$A$2:$A$51,0))),"")&lt;&gt;"",IF(config!$B$37&lt;&gt;"",config!$B$37,TODAY())&gt;=WORKDAY(N(IFERROR(IF(INDEX(campaigns!$BG$2:$BG$51,MATCH($A274,campaigns!$A$2:$A$51,0))="","",INDEX(campaigns!$BG$2:$BG$51,MATCH($A274,campaigns!$A$2:$A$51,0))),"")),-4,calendar!$A$2:$A$80)),"no prefill template yet (due T-4); ","")&amp;IF(COUNTIF(links!$D$2:$D$501,$D274)&gt;1,"DUPLICATE slug; ",""))</f>
        <v/>
      </c>
    </row>
    <row r="275">
      <c r="A275" s="25">
        <f>IF(INDEX(approvals!$A$2:$A$251,INT((ROW()-2)/2)+1)="","",INDEX(approvals!$A$2:$A$251,INT((ROW()-2)/2)+1))</f>
        <v/>
      </c>
      <c r="B275" s="25">
        <f>IF(INDEX(approvals!$A$2:$A$251,INT((ROW()-2)/2)+1)="","",INDEX(approvals!$B$2:$B$251,INT((ROW()-2)/2)+1))</f>
        <v/>
      </c>
      <c r="C275" s="25">
        <f>IF($A275="","",IF(MOD(ROW()-2,2)=0,"qr","post"))</f>
        <v/>
      </c>
      <c r="D275" s="25">
        <f>IF($A275="","",IF(LEFT($A275,7)="SAMPLE-","SAMPLE-","")&amp;LOWER(SUBSTITUTE(SUBSTITUTE($A275,"SAMPLE-",""),"CMP-","c"))&amp;"-"&amp;LOWER(SUBSTITUTE(SUBSTITUTE($B275,"SAMPLE-",""),"O-","o"))&amp;"-"&amp;IF($C275="qr","q","p"))</f>
        <v/>
      </c>
      <c r="E275" s="25">
        <f>IF($A275="","","https://"&amp;config!$B$9&amp;"/"&amp;$D275)</f>
        <v/>
      </c>
      <c r="F275" s="25">
        <f>IF($A275="","",$A275&amp;"."&amp;$B275)</f>
        <v/>
      </c>
      <c r="G275" s="25">
        <f>IF($A275="","",IF(IFERROR(IF(INDEX(campaigns!$AJ$2:$AJ$51,MATCH($A275,campaigns!$A$2:$A$51,0))="","",INDEX(campaigns!$AJ$2:$AJ$51,MATCH($A275,campaigns!$A$2:$A$51,0))),"")="","(add the survey prefill template on campaigns)",SUBSTITUTE(IFERROR(IF(INDEX(campaigns!$AJ$2:$AJ$51,MATCH($A275,campaigns!$A$2:$A$51,0))="","",INDEX(campaigns!$AJ$2:$AJ$51,MATCH($A275,campaigns!$A$2:$A$51,0))),""),"CARDCODE",$F275)&amp;"&amp;utm_source=office-pantry&amp;utm_medium="&amp;$C275&amp;"&amp;utm_campaign="&amp;LOWER($A275)&amp;"&amp;utm_content="&amp;LOWER($B275)))</f>
        <v/>
      </c>
      <c r="H275" s="25">
        <f>IF(OR($A275="",$C275&lt;&gt;"qr"),"",$D275&amp;".png")</f>
        <v/>
      </c>
      <c r="I275" s="25">
        <f>IF($A275="","",IF(AND(IFERROR(IF(INDEX(campaigns!$AJ$2:$AJ$51,MATCH($A275,campaigns!$A$2:$A$51,0))="","",INDEX(campaigns!$AJ$2:$AJ$51,MATCH($A275,campaigns!$A$2:$A$51,0))),"")="",IFERROR(IF(INDEX(campaigns!$BG$2:$BG$51,MATCH($A275,campaigns!$A$2:$A$51,0))="","",INDEX(campaigns!$BG$2:$BG$51,MATCH($A275,campaigns!$A$2:$A$51,0))),"")&lt;&gt;"",IF(config!$B$37&lt;&gt;"",config!$B$37,TODAY())&gt;=WORKDAY(N(IFERROR(IF(INDEX(campaigns!$BG$2:$BG$51,MATCH($A275,campaigns!$A$2:$A$51,0))="","",INDEX(campaigns!$BG$2:$BG$51,MATCH($A275,campaigns!$A$2:$A$51,0))),"")),-4,calendar!$A$2:$A$80)),"no prefill template yet (due T-4); ","")&amp;IF(COUNTIF(links!$D$2:$D$501,$D275)&gt;1,"DUPLICATE slug; ",""))</f>
        <v/>
      </c>
    </row>
    <row r="276">
      <c r="A276" s="25">
        <f>IF(INDEX(approvals!$A$2:$A$251,INT((ROW()-2)/2)+1)="","",INDEX(approvals!$A$2:$A$251,INT((ROW()-2)/2)+1))</f>
        <v/>
      </c>
      <c r="B276" s="25">
        <f>IF(INDEX(approvals!$A$2:$A$251,INT((ROW()-2)/2)+1)="","",INDEX(approvals!$B$2:$B$251,INT((ROW()-2)/2)+1))</f>
        <v/>
      </c>
      <c r="C276" s="25">
        <f>IF($A276="","",IF(MOD(ROW()-2,2)=0,"qr","post"))</f>
        <v/>
      </c>
      <c r="D276" s="25">
        <f>IF($A276="","",IF(LEFT($A276,7)="SAMPLE-","SAMPLE-","")&amp;LOWER(SUBSTITUTE(SUBSTITUTE($A276,"SAMPLE-",""),"CMP-","c"))&amp;"-"&amp;LOWER(SUBSTITUTE(SUBSTITUTE($B276,"SAMPLE-",""),"O-","o"))&amp;"-"&amp;IF($C276="qr","q","p"))</f>
        <v/>
      </c>
      <c r="E276" s="25">
        <f>IF($A276="","","https://"&amp;config!$B$9&amp;"/"&amp;$D276)</f>
        <v/>
      </c>
      <c r="F276" s="25">
        <f>IF($A276="","",$A276&amp;"."&amp;$B276)</f>
        <v/>
      </c>
      <c r="G276" s="25">
        <f>IF($A276="","",IF(IFERROR(IF(INDEX(campaigns!$AJ$2:$AJ$51,MATCH($A276,campaigns!$A$2:$A$51,0))="","",INDEX(campaigns!$AJ$2:$AJ$51,MATCH($A276,campaigns!$A$2:$A$51,0))),"")="","(add the survey prefill template on campaigns)",SUBSTITUTE(IFERROR(IF(INDEX(campaigns!$AJ$2:$AJ$51,MATCH($A276,campaigns!$A$2:$A$51,0))="","",INDEX(campaigns!$AJ$2:$AJ$51,MATCH($A276,campaigns!$A$2:$A$51,0))),""),"CARDCODE",$F276)&amp;"&amp;utm_source=office-pantry&amp;utm_medium="&amp;$C276&amp;"&amp;utm_campaign="&amp;LOWER($A276)&amp;"&amp;utm_content="&amp;LOWER($B276)))</f>
        <v/>
      </c>
      <c r="H276" s="25">
        <f>IF(OR($A276="",$C276&lt;&gt;"qr"),"",$D276&amp;".png")</f>
        <v/>
      </c>
      <c r="I276" s="25">
        <f>IF($A276="","",IF(AND(IFERROR(IF(INDEX(campaigns!$AJ$2:$AJ$51,MATCH($A276,campaigns!$A$2:$A$51,0))="","",INDEX(campaigns!$AJ$2:$AJ$51,MATCH($A276,campaigns!$A$2:$A$51,0))),"")="",IFERROR(IF(INDEX(campaigns!$BG$2:$BG$51,MATCH($A276,campaigns!$A$2:$A$51,0))="","",INDEX(campaigns!$BG$2:$BG$51,MATCH($A276,campaigns!$A$2:$A$51,0))),"")&lt;&gt;"",IF(config!$B$37&lt;&gt;"",config!$B$37,TODAY())&gt;=WORKDAY(N(IFERROR(IF(INDEX(campaigns!$BG$2:$BG$51,MATCH($A276,campaigns!$A$2:$A$51,0))="","",INDEX(campaigns!$BG$2:$BG$51,MATCH($A276,campaigns!$A$2:$A$51,0))),"")),-4,calendar!$A$2:$A$80)),"no prefill template yet (due T-4); ","")&amp;IF(COUNTIF(links!$D$2:$D$501,$D276)&gt;1,"DUPLICATE slug; ",""))</f>
        <v/>
      </c>
    </row>
    <row r="277">
      <c r="A277" s="25">
        <f>IF(INDEX(approvals!$A$2:$A$251,INT((ROW()-2)/2)+1)="","",INDEX(approvals!$A$2:$A$251,INT((ROW()-2)/2)+1))</f>
        <v/>
      </c>
      <c r="B277" s="25">
        <f>IF(INDEX(approvals!$A$2:$A$251,INT((ROW()-2)/2)+1)="","",INDEX(approvals!$B$2:$B$251,INT((ROW()-2)/2)+1))</f>
        <v/>
      </c>
      <c r="C277" s="25">
        <f>IF($A277="","",IF(MOD(ROW()-2,2)=0,"qr","post"))</f>
        <v/>
      </c>
      <c r="D277" s="25">
        <f>IF($A277="","",IF(LEFT($A277,7)="SAMPLE-","SAMPLE-","")&amp;LOWER(SUBSTITUTE(SUBSTITUTE($A277,"SAMPLE-",""),"CMP-","c"))&amp;"-"&amp;LOWER(SUBSTITUTE(SUBSTITUTE($B277,"SAMPLE-",""),"O-","o"))&amp;"-"&amp;IF($C277="qr","q","p"))</f>
        <v/>
      </c>
      <c r="E277" s="25">
        <f>IF($A277="","","https://"&amp;config!$B$9&amp;"/"&amp;$D277)</f>
        <v/>
      </c>
      <c r="F277" s="25">
        <f>IF($A277="","",$A277&amp;"."&amp;$B277)</f>
        <v/>
      </c>
      <c r="G277" s="25">
        <f>IF($A277="","",IF(IFERROR(IF(INDEX(campaigns!$AJ$2:$AJ$51,MATCH($A277,campaigns!$A$2:$A$51,0))="","",INDEX(campaigns!$AJ$2:$AJ$51,MATCH($A277,campaigns!$A$2:$A$51,0))),"")="","(add the survey prefill template on campaigns)",SUBSTITUTE(IFERROR(IF(INDEX(campaigns!$AJ$2:$AJ$51,MATCH($A277,campaigns!$A$2:$A$51,0))="","",INDEX(campaigns!$AJ$2:$AJ$51,MATCH($A277,campaigns!$A$2:$A$51,0))),""),"CARDCODE",$F277)&amp;"&amp;utm_source=office-pantry&amp;utm_medium="&amp;$C277&amp;"&amp;utm_campaign="&amp;LOWER($A277)&amp;"&amp;utm_content="&amp;LOWER($B277)))</f>
        <v/>
      </c>
      <c r="H277" s="25">
        <f>IF(OR($A277="",$C277&lt;&gt;"qr"),"",$D277&amp;".png")</f>
        <v/>
      </c>
      <c r="I277" s="25">
        <f>IF($A277="","",IF(AND(IFERROR(IF(INDEX(campaigns!$AJ$2:$AJ$51,MATCH($A277,campaigns!$A$2:$A$51,0))="","",INDEX(campaigns!$AJ$2:$AJ$51,MATCH($A277,campaigns!$A$2:$A$51,0))),"")="",IFERROR(IF(INDEX(campaigns!$BG$2:$BG$51,MATCH($A277,campaigns!$A$2:$A$51,0))="","",INDEX(campaigns!$BG$2:$BG$51,MATCH($A277,campaigns!$A$2:$A$51,0))),"")&lt;&gt;"",IF(config!$B$37&lt;&gt;"",config!$B$37,TODAY())&gt;=WORKDAY(N(IFERROR(IF(INDEX(campaigns!$BG$2:$BG$51,MATCH($A277,campaigns!$A$2:$A$51,0))="","",INDEX(campaigns!$BG$2:$BG$51,MATCH($A277,campaigns!$A$2:$A$51,0))),"")),-4,calendar!$A$2:$A$80)),"no prefill template yet (due T-4); ","")&amp;IF(COUNTIF(links!$D$2:$D$501,$D277)&gt;1,"DUPLICATE slug; ",""))</f>
        <v/>
      </c>
    </row>
    <row r="278">
      <c r="A278" s="25">
        <f>IF(INDEX(approvals!$A$2:$A$251,INT((ROW()-2)/2)+1)="","",INDEX(approvals!$A$2:$A$251,INT((ROW()-2)/2)+1))</f>
        <v/>
      </c>
      <c r="B278" s="25">
        <f>IF(INDEX(approvals!$A$2:$A$251,INT((ROW()-2)/2)+1)="","",INDEX(approvals!$B$2:$B$251,INT((ROW()-2)/2)+1))</f>
        <v/>
      </c>
      <c r="C278" s="25">
        <f>IF($A278="","",IF(MOD(ROW()-2,2)=0,"qr","post"))</f>
        <v/>
      </c>
      <c r="D278" s="25">
        <f>IF($A278="","",IF(LEFT($A278,7)="SAMPLE-","SAMPLE-","")&amp;LOWER(SUBSTITUTE(SUBSTITUTE($A278,"SAMPLE-",""),"CMP-","c"))&amp;"-"&amp;LOWER(SUBSTITUTE(SUBSTITUTE($B278,"SAMPLE-",""),"O-","o"))&amp;"-"&amp;IF($C278="qr","q","p"))</f>
        <v/>
      </c>
      <c r="E278" s="25">
        <f>IF($A278="","","https://"&amp;config!$B$9&amp;"/"&amp;$D278)</f>
        <v/>
      </c>
      <c r="F278" s="25">
        <f>IF($A278="","",$A278&amp;"."&amp;$B278)</f>
        <v/>
      </c>
      <c r="G278" s="25">
        <f>IF($A278="","",IF(IFERROR(IF(INDEX(campaigns!$AJ$2:$AJ$51,MATCH($A278,campaigns!$A$2:$A$51,0))="","",INDEX(campaigns!$AJ$2:$AJ$51,MATCH($A278,campaigns!$A$2:$A$51,0))),"")="","(add the survey prefill template on campaigns)",SUBSTITUTE(IFERROR(IF(INDEX(campaigns!$AJ$2:$AJ$51,MATCH($A278,campaigns!$A$2:$A$51,0))="","",INDEX(campaigns!$AJ$2:$AJ$51,MATCH($A278,campaigns!$A$2:$A$51,0))),""),"CARDCODE",$F278)&amp;"&amp;utm_source=office-pantry&amp;utm_medium="&amp;$C278&amp;"&amp;utm_campaign="&amp;LOWER($A278)&amp;"&amp;utm_content="&amp;LOWER($B278)))</f>
        <v/>
      </c>
      <c r="H278" s="25">
        <f>IF(OR($A278="",$C278&lt;&gt;"qr"),"",$D278&amp;".png")</f>
        <v/>
      </c>
      <c r="I278" s="25">
        <f>IF($A278="","",IF(AND(IFERROR(IF(INDEX(campaigns!$AJ$2:$AJ$51,MATCH($A278,campaigns!$A$2:$A$51,0))="","",INDEX(campaigns!$AJ$2:$AJ$51,MATCH($A278,campaigns!$A$2:$A$51,0))),"")="",IFERROR(IF(INDEX(campaigns!$BG$2:$BG$51,MATCH($A278,campaigns!$A$2:$A$51,0))="","",INDEX(campaigns!$BG$2:$BG$51,MATCH($A278,campaigns!$A$2:$A$51,0))),"")&lt;&gt;"",IF(config!$B$37&lt;&gt;"",config!$B$37,TODAY())&gt;=WORKDAY(N(IFERROR(IF(INDEX(campaigns!$BG$2:$BG$51,MATCH($A278,campaigns!$A$2:$A$51,0))="","",INDEX(campaigns!$BG$2:$BG$51,MATCH($A278,campaigns!$A$2:$A$51,0))),"")),-4,calendar!$A$2:$A$80)),"no prefill template yet (due T-4); ","")&amp;IF(COUNTIF(links!$D$2:$D$501,$D278)&gt;1,"DUPLICATE slug; ",""))</f>
        <v/>
      </c>
    </row>
    <row r="279">
      <c r="A279" s="25">
        <f>IF(INDEX(approvals!$A$2:$A$251,INT((ROW()-2)/2)+1)="","",INDEX(approvals!$A$2:$A$251,INT((ROW()-2)/2)+1))</f>
        <v/>
      </c>
      <c r="B279" s="25">
        <f>IF(INDEX(approvals!$A$2:$A$251,INT((ROW()-2)/2)+1)="","",INDEX(approvals!$B$2:$B$251,INT((ROW()-2)/2)+1))</f>
        <v/>
      </c>
      <c r="C279" s="25">
        <f>IF($A279="","",IF(MOD(ROW()-2,2)=0,"qr","post"))</f>
        <v/>
      </c>
      <c r="D279" s="25">
        <f>IF($A279="","",IF(LEFT($A279,7)="SAMPLE-","SAMPLE-","")&amp;LOWER(SUBSTITUTE(SUBSTITUTE($A279,"SAMPLE-",""),"CMP-","c"))&amp;"-"&amp;LOWER(SUBSTITUTE(SUBSTITUTE($B279,"SAMPLE-",""),"O-","o"))&amp;"-"&amp;IF($C279="qr","q","p"))</f>
        <v/>
      </c>
      <c r="E279" s="25">
        <f>IF($A279="","","https://"&amp;config!$B$9&amp;"/"&amp;$D279)</f>
        <v/>
      </c>
      <c r="F279" s="25">
        <f>IF($A279="","",$A279&amp;"."&amp;$B279)</f>
        <v/>
      </c>
      <c r="G279" s="25">
        <f>IF($A279="","",IF(IFERROR(IF(INDEX(campaigns!$AJ$2:$AJ$51,MATCH($A279,campaigns!$A$2:$A$51,0))="","",INDEX(campaigns!$AJ$2:$AJ$51,MATCH($A279,campaigns!$A$2:$A$51,0))),"")="","(add the survey prefill template on campaigns)",SUBSTITUTE(IFERROR(IF(INDEX(campaigns!$AJ$2:$AJ$51,MATCH($A279,campaigns!$A$2:$A$51,0))="","",INDEX(campaigns!$AJ$2:$AJ$51,MATCH($A279,campaigns!$A$2:$A$51,0))),""),"CARDCODE",$F279)&amp;"&amp;utm_source=office-pantry&amp;utm_medium="&amp;$C279&amp;"&amp;utm_campaign="&amp;LOWER($A279)&amp;"&amp;utm_content="&amp;LOWER($B279)))</f>
        <v/>
      </c>
      <c r="H279" s="25">
        <f>IF(OR($A279="",$C279&lt;&gt;"qr"),"",$D279&amp;".png")</f>
        <v/>
      </c>
      <c r="I279" s="25">
        <f>IF($A279="","",IF(AND(IFERROR(IF(INDEX(campaigns!$AJ$2:$AJ$51,MATCH($A279,campaigns!$A$2:$A$51,0))="","",INDEX(campaigns!$AJ$2:$AJ$51,MATCH($A279,campaigns!$A$2:$A$51,0))),"")="",IFERROR(IF(INDEX(campaigns!$BG$2:$BG$51,MATCH($A279,campaigns!$A$2:$A$51,0))="","",INDEX(campaigns!$BG$2:$BG$51,MATCH($A279,campaigns!$A$2:$A$51,0))),"")&lt;&gt;"",IF(config!$B$37&lt;&gt;"",config!$B$37,TODAY())&gt;=WORKDAY(N(IFERROR(IF(INDEX(campaigns!$BG$2:$BG$51,MATCH($A279,campaigns!$A$2:$A$51,0))="","",INDEX(campaigns!$BG$2:$BG$51,MATCH($A279,campaigns!$A$2:$A$51,0))),"")),-4,calendar!$A$2:$A$80)),"no prefill template yet (due T-4); ","")&amp;IF(COUNTIF(links!$D$2:$D$501,$D279)&gt;1,"DUPLICATE slug; ",""))</f>
        <v/>
      </c>
    </row>
    <row r="280">
      <c r="A280" s="25">
        <f>IF(INDEX(approvals!$A$2:$A$251,INT((ROW()-2)/2)+1)="","",INDEX(approvals!$A$2:$A$251,INT((ROW()-2)/2)+1))</f>
        <v/>
      </c>
      <c r="B280" s="25">
        <f>IF(INDEX(approvals!$A$2:$A$251,INT((ROW()-2)/2)+1)="","",INDEX(approvals!$B$2:$B$251,INT((ROW()-2)/2)+1))</f>
        <v/>
      </c>
      <c r="C280" s="25">
        <f>IF($A280="","",IF(MOD(ROW()-2,2)=0,"qr","post"))</f>
        <v/>
      </c>
      <c r="D280" s="25">
        <f>IF($A280="","",IF(LEFT($A280,7)="SAMPLE-","SAMPLE-","")&amp;LOWER(SUBSTITUTE(SUBSTITUTE($A280,"SAMPLE-",""),"CMP-","c"))&amp;"-"&amp;LOWER(SUBSTITUTE(SUBSTITUTE($B280,"SAMPLE-",""),"O-","o"))&amp;"-"&amp;IF($C280="qr","q","p"))</f>
        <v/>
      </c>
      <c r="E280" s="25">
        <f>IF($A280="","","https://"&amp;config!$B$9&amp;"/"&amp;$D280)</f>
        <v/>
      </c>
      <c r="F280" s="25">
        <f>IF($A280="","",$A280&amp;"."&amp;$B280)</f>
        <v/>
      </c>
      <c r="G280" s="25">
        <f>IF($A280="","",IF(IFERROR(IF(INDEX(campaigns!$AJ$2:$AJ$51,MATCH($A280,campaigns!$A$2:$A$51,0))="","",INDEX(campaigns!$AJ$2:$AJ$51,MATCH($A280,campaigns!$A$2:$A$51,0))),"")="","(add the survey prefill template on campaigns)",SUBSTITUTE(IFERROR(IF(INDEX(campaigns!$AJ$2:$AJ$51,MATCH($A280,campaigns!$A$2:$A$51,0))="","",INDEX(campaigns!$AJ$2:$AJ$51,MATCH($A280,campaigns!$A$2:$A$51,0))),""),"CARDCODE",$F280)&amp;"&amp;utm_source=office-pantry&amp;utm_medium="&amp;$C280&amp;"&amp;utm_campaign="&amp;LOWER($A280)&amp;"&amp;utm_content="&amp;LOWER($B280)))</f>
        <v/>
      </c>
      <c r="H280" s="25">
        <f>IF(OR($A280="",$C280&lt;&gt;"qr"),"",$D280&amp;".png")</f>
        <v/>
      </c>
      <c r="I280" s="25">
        <f>IF($A280="","",IF(AND(IFERROR(IF(INDEX(campaigns!$AJ$2:$AJ$51,MATCH($A280,campaigns!$A$2:$A$51,0))="","",INDEX(campaigns!$AJ$2:$AJ$51,MATCH($A280,campaigns!$A$2:$A$51,0))),"")="",IFERROR(IF(INDEX(campaigns!$BG$2:$BG$51,MATCH($A280,campaigns!$A$2:$A$51,0))="","",INDEX(campaigns!$BG$2:$BG$51,MATCH($A280,campaigns!$A$2:$A$51,0))),"")&lt;&gt;"",IF(config!$B$37&lt;&gt;"",config!$B$37,TODAY())&gt;=WORKDAY(N(IFERROR(IF(INDEX(campaigns!$BG$2:$BG$51,MATCH($A280,campaigns!$A$2:$A$51,0))="","",INDEX(campaigns!$BG$2:$BG$51,MATCH($A280,campaigns!$A$2:$A$51,0))),"")),-4,calendar!$A$2:$A$80)),"no prefill template yet (due T-4); ","")&amp;IF(COUNTIF(links!$D$2:$D$501,$D280)&gt;1,"DUPLICATE slug; ",""))</f>
        <v/>
      </c>
    </row>
    <row r="281">
      <c r="A281" s="25">
        <f>IF(INDEX(approvals!$A$2:$A$251,INT((ROW()-2)/2)+1)="","",INDEX(approvals!$A$2:$A$251,INT((ROW()-2)/2)+1))</f>
        <v/>
      </c>
      <c r="B281" s="25">
        <f>IF(INDEX(approvals!$A$2:$A$251,INT((ROW()-2)/2)+1)="","",INDEX(approvals!$B$2:$B$251,INT((ROW()-2)/2)+1))</f>
        <v/>
      </c>
      <c r="C281" s="25">
        <f>IF($A281="","",IF(MOD(ROW()-2,2)=0,"qr","post"))</f>
        <v/>
      </c>
      <c r="D281" s="25">
        <f>IF($A281="","",IF(LEFT($A281,7)="SAMPLE-","SAMPLE-","")&amp;LOWER(SUBSTITUTE(SUBSTITUTE($A281,"SAMPLE-",""),"CMP-","c"))&amp;"-"&amp;LOWER(SUBSTITUTE(SUBSTITUTE($B281,"SAMPLE-",""),"O-","o"))&amp;"-"&amp;IF($C281="qr","q","p"))</f>
        <v/>
      </c>
      <c r="E281" s="25">
        <f>IF($A281="","","https://"&amp;config!$B$9&amp;"/"&amp;$D281)</f>
        <v/>
      </c>
      <c r="F281" s="25">
        <f>IF($A281="","",$A281&amp;"."&amp;$B281)</f>
        <v/>
      </c>
      <c r="G281" s="25">
        <f>IF($A281="","",IF(IFERROR(IF(INDEX(campaigns!$AJ$2:$AJ$51,MATCH($A281,campaigns!$A$2:$A$51,0))="","",INDEX(campaigns!$AJ$2:$AJ$51,MATCH($A281,campaigns!$A$2:$A$51,0))),"")="","(add the survey prefill template on campaigns)",SUBSTITUTE(IFERROR(IF(INDEX(campaigns!$AJ$2:$AJ$51,MATCH($A281,campaigns!$A$2:$A$51,0))="","",INDEX(campaigns!$AJ$2:$AJ$51,MATCH($A281,campaigns!$A$2:$A$51,0))),""),"CARDCODE",$F281)&amp;"&amp;utm_source=office-pantry&amp;utm_medium="&amp;$C281&amp;"&amp;utm_campaign="&amp;LOWER($A281)&amp;"&amp;utm_content="&amp;LOWER($B281)))</f>
        <v/>
      </c>
      <c r="H281" s="25">
        <f>IF(OR($A281="",$C281&lt;&gt;"qr"),"",$D281&amp;".png")</f>
        <v/>
      </c>
      <c r="I281" s="25">
        <f>IF($A281="","",IF(AND(IFERROR(IF(INDEX(campaigns!$AJ$2:$AJ$51,MATCH($A281,campaigns!$A$2:$A$51,0))="","",INDEX(campaigns!$AJ$2:$AJ$51,MATCH($A281,campaigns!$A$2:$A$51,0))),"")="",IFERROR(IF(INDEX(campaigns!$BG$2:$BG$51,MATCH($A281,campaigns!$A$2:$A$51,0))="","",INDEX(campaigns!$BG$2:$BG$51,MATCH($A281,campaigns!$A$2:$A$51,0))),"")&lt;&gt;"",IF(config!$B$37&lt;&gt;"",config!$B$37,TODAY())&gt;=WORKDAY(N(IFERROR(IF(INDEX(campaigns!$BG$2:$BG$51,MATCH($A281,campaigns!$A$2:$A$51,0))="","",INDEX(campaigns!$BG$2:$BG$51,MATCH($A281,campaigns!$A$2:$A$51,0))),"")),-4,calendar!$A$2:$A$80)),"no prefill template yet (due T-4); ","")&amp;IF(COUNTIF(links!$D$2:$D$501,$D281)&gt;1,"DUPLICATE slug; ",""))</f>
        <v/>
      </c>
    </row>
    <row r="282">
      <c r="A282" s="25">
        <f>IF(INDEX(approvals!$A$2:$A$251,INT((ROW()-2)/2)+1)="","",INDEX(approvals!$A$2:$A$251,INT((ROW()-2)/2)+1))</f>
        <v/>
      </c>
      <c r="B282" s="25">
        <f>IF(INDEX(approvals!$A$2:$A$251,INT((ROW()-2)/2)+1)="","",INDEX(approvals!$B$2:$B$251,INT((ROW()-2)/2)+1))</f>
        <v/>
      </c>
      <c r="C282" s="25">
        <f>IF($A282="","",IF(MOD(ROW()-2,2)=0,"qr","post"))</f>
        <v/>
      </c>
      <c r="D282" s="25">
        <f>IF($A282="","",IF(LEFT($A282,7)="SAMPLE-","SAMPLE-","")&amp;LOWER(SUBSTITUTE(SUBSTITUTE($A282,"SAMPLE-",""),"CMP-","c"))&amp;"-"&amp;LOWER(SUBSTITUTE(SUBSTITUTE($B282,"SAMPLE-",""),"O-","o"))&amp;"-"&amp;IF($C282="qr","q","p"))</f>
        <v/>
      </c>
      <c r="E282" s="25">
        <f>IF($A282="","","https://"&amp;config!$B$9&amp;"/"&amp;$D282)</f>
        <v/>
      </c>
      <c r="F282" s="25">
        <f>IF($A282="","",$A282&amp;"."&amp;$B282)</f>
        <v/>
      </c>
      <c r="G282" s="25">
        <f>IF($A282="","",IF(IFERROR(IF(INDEX(campaigns!$AJ$2:$AJ$51,MATCH($A282,campaigns!$A$2:$A$51,0))="","",INDEX(campaigns!$AJ$2:$AJ$51,MATCH($A282,campaigns!$A$2:$A$51,0))),"")="","(add the survey prefill template on campaigns)",SUBSTITUTE(IFERROR(IF(INDEX(campaigns!$AJ$2:$AJ$51,MATCH($A282,campaigns!$A$2:$A$51,0))="","",INDEX(campaigns!$AJ$2:$AJ$51,MATCH($A282,campaigns!$A$2:$A$51,0))),""),"CARDCODE",$F282)&amp;"&amp;utm_source=office-pantry&amp;utm_medium="&amp;$C282&amp;"&amp;utm_campaign="&amp;LOWER($A282)&amp;"&amp;utm_content="&amp;LOWER($B282)))</f>
        <v/>
      </c>
      <c r="H282" s="25">
        <f>IF(OR($A282="",$C282&lt;&gt;"qr"),"",$D282&amp;".png")</f>
        <v/>
      </c>
      <c r="I282" s="25">
        <f>IF($A282="","",IF(AND(IFERROR(IF(INDEX(campaigns!$AJ$2:$AJ$51,MATCH($A282,campaigns!$A$2:$A$51,0))="","",INDEX(campaigns!$AJ$2:$AJ$51,MATCH($A282,campaigns!$A$2:$A$51,0))),"")="",IFERROR(IF(INDEX(campaigns!$BG$2:$BG$51,MATCH($A282,campaigns!$A$2:$A$51,0))="","",INDEX(campaigns!$BG$2:$BG$51,MATCH($A282,campaigns!$A$2:$A$51,0))),"")&lt;&gt;"",IF(config!$B$37&lt;&gt;"",config!$B$37,TODAY())&gt;=WORKDAY(N(IFERROR(IF(INDEX(campaigns!$BG$2:$BG$51,MATCH($A282,campaigns!$A$2:$A$51,0))="","",INDEX(campaigns!$BG$2:$BG$51,MATCH($A282,campaigns!$A$2:$A$51,0))),"")),-4,calendar!$A$2:$A$80)),"no prefill template yet (due T-4); ","")&amp;IF(COUNTIF(links!$D$2:$D$501,$D282)&gt;1,"DUPLICATE slug; ",""))</f>
        <v/>
      </c>
    </row>
    <row r="283">
      <c r="A283" s="25">
        <f>IF(INDEX(approvals!$A$2:$A$251,INT((ROW()-2)/2)+1)="","",INDEX(approvals!$A$2:$A$251,INT((ROW()-2)/2)+1))</f>
        <v/>
      </c>
      <c r="B283" s="25">
        <f>IF(INDEX(approvals!$A$2:$A$251,INT((ROW()-2)/2)+1)="","",INDEX(approvals!$B$2:$B$251,INT((ROW()-2)/2)+1))</f>
        <v/>
      </c>
      <c r="C283" s="25">
        <f>IF($A283="","",IF(MOD(ROW()-2,2)=0,"qr","post"))</f>
        <v/>
      </c>
      <c r="D283" s="25">
        <f>IF($A283="","",IF(LEFT($A283,7)="SAMPLE-","SAMPLE-","")&amp;LOWER(SUBSTITUTE(SUBSTITUTE($A283,"SAMPLE-",""),"CMP-","c"))&amp;"-"&amp;LOWER(SUBSTITUTE(SUBSTITUTE($B283,"SAMPLE-",""),"O-","o"))&amp;"-"&amp;IF($C283="qr","q","p"))</f>
        <v/>
      </c>
      <c r="E283" s="25">
        <f>IF($A283="","","https://"&amp;config!$B$9&amp;"/"&amp;$D283)</f>
        <v/>
      </c>
      <c r="F283" s="25">
        <f>IF($A283="","",$A283&amp;"."&amp;$B283)</f>
        <v/>
      </c>
      <c r="G283" s="25">
        <f>IF($A283="","",IF(IFERROR(IF(INDEX(campaigns!$AJ$2:$AJ$51,MATCH($A283,campaigns!$A$2:$A$51,0))="","",INDEX(campaigns!$AJ$2:$AJ$51,MATCH($A283,campaigns!$A$2:$A$51,0))),"")="","(add the survey prefill template on campaigns)",SUBSTITUTE(IFERROR(IF(INDEX(campaigns!$AJ$2:$AJ$51,MATCH($A283,campaigns!$A$2:$A$51,0))="","",INDEX(campaigns!$AJ$2:$AJ$51,MATCH($A283,campaigns!$A$2:$A$51,0))),""),"CARDCODE",$F283)&amp;"&amp;utm_source=office-pantry&amp;utm_medium="&amp;$C283&amp;"&amp;utm_campaign="&amp;LOWER($A283)&amp;"&amp;utm_content="&amp;LOWER($B283)))</f>
        <v/>
      </c>
      <c r="H283" s="25">
        <f>IF(OR($A283="",$C283&lt;&gt;"qr"),"",$D283&amp;".png")</f>
        <v/>
      </c>
      <c r="I283" s="25">
        <f>IF($A283="","",IF(AND(IFERROR(IF(INDEX(campaigns!$AJ$2:$AJ$51,MATCH($A283,campaigns!$A$2:$A$51,0))="","",INDEX(campaigns!$AJ$2:$AJ$51,MATCH($A283,campaigns!$A$2:$A$51,0))),"")="",IFERROR(IF(INDEX(campaigns!$BG$2:$BG$51,MATCH($A283,campaigns!$A$2:$A$51,0))="","",INDEX(campaigns!$BG$2:$BG$51,MATCH($A283,campaigns!$A$2:$A$51,0))),"")&lt;&gt;"",IF(config!$B$37&lt;&gt;"",config!$B$37,TODAY())&gt;=WORKDAY(N(IFERROR(IF(INDEX(campaigns!$BG$2:$BG$51,MATCH($A283,campaigns!$A$2:$A$51,0))="","",INDEX(campaigns!$BG$2:$BG$51,MATCH($A283,campaigns!$A$2:$A$51,0))),"")),-4,calendar!$A$2:$A$80)),"no prefill template yet (due T-4); ","")&amp;IF(COUNTIF(links!$D$2:$D$501,$D283)&gt;1,"DUPLICATE slug; ",""))</f>
        <v/>
      </c>
    </row>
    <row r="284">
      <c r="A284" s="25">
        <f>IF(INDEX(approvals!$A$2:$A$251,INT((ROW()-2)/2)+1)="","",INDEX(approvals!$A$2:$A$251,INT((ROW()-2)/2)+1))</f>
        <v/>
      </c>
      <c r="B284" s="25">
        <f>IF(INDEX(approvals!$A$2:$A$251,INT((ROW()-2)/2)+1)="","",INDEX(approvals!$B$2:$B$251,INT((ROW()-2)/2)+1))</f>
        <v/>
      </c>
      <c r="C284" s="25">
        <f>IF($A284="","",IF(MOD(ROW()-2,2)=0,"qr","post"))</f>
        <v/>
      </c>
      <c r="D284" s="25">
        <f>IF($A284="","",IF(LEFT($A284,7)="SAMPLE-","SAMPLE-","")&amp;LOWER(SUBSTITUTE(SUBSTITUTE($A284,"SAMPLE-",""),"CMP-","c"))&amp;"-"&amp;LOWER(SUBSTITUTE(SUBSTITUTE($B284,"SAMPLE-",""),"O-","o"))&amp;"-"&amp;IF($C284="qr","q","p"))</f>
        <v/>
      </c>
      <c r="E284" s="25">
        <f>IF($A284="","","https://"&amp;config!$B$9&amp;"/"&amp;$D284)</f>
        <v/>
      </c>
      <c r="F284" s="25">
        <f>IF($A284="","",$A284&amp;"."&amp;$B284)</f>
        <v/>
      </c>
      <c r="G284" s="25">
        <f>IF($A284="","",IF(IFERROR(IF(INDEX(campaigns!$AJ$2:$AJ$51,MATCH($A284,campaigns!$A$2:$A$51,0))="","",INDEX(campaigns!$AJ$2:$AJ$51,MATCH($A284,campaigns!$A$2:$A$51,0))),"")="","(add the survey prefill template on campaigns)",SUBSTITUTE(IFERROR(IF(INDEX(campaigns!$AJ$2:$AJ$51,MATCH($A284,campaigns!$A$2:$A$51,0))="","",INDEX(campaigns!$AJ$2:$AJ$51,MATCH($A284,campaigns!$A$2:$A$51,0))),""),"CARDCODE",$F284)&amp;"&amp;utm_source=office-pantry&amp;utm_medium="&amp;$C284&amp;"&amp;utm_campaign="&amp;LOWER($A284)&amp;"&amp;utm_content="&amp;LOWER($B284)))</f>
        <v/>
      </c>
      <c r="H284" s="25">
        <f>IF(OR($A284="",$C284&lt;&gt;"qr"),"",$D284&amp;".png")</f>
        <v/>
      </c>
      <c r="I284" s="25">
        <f>IF($A284="","",IF(AND(IFERROR(IF(INDEX(campaigns!$AJ$2:$AJ$51,MATCH($A284,campaigns!$A$2:$A$51,0))="","",INDEX(campaigns!$AJ$2:$AJ$51,MATCH($A284,campaigns!$A$2:$A$51,0))),"")="",IFERROR(IF(INDEX(campaigns!$BG$2:$BG$51,MATCH($A284,campaigns!$A$2:$A$51,0))="","",INDEX(campaigns!$BG$2:$BG$51,MATCH($A284,campaigns!$A$2:$A$51,0))),"")&lt;&gt;"",IF(config!$B$37&lt;&gt;"",config!$B$37,TODAY())&gt;=WORKDAY(N(IFERROR(IF(INDEX(campaigns!$BG$2:$BG$51,MATCH($A284,campaigns!$A$2:$A$51,0))="","",INDEX(campaigns!$BG$2:$BG$51,MATCH($A284,campaigns!$A$2:$A$51,0))),"")),-4,calendar!$A$2:$A$80)),"no prefill template yet (due T-4); ","")&amp;IF(COUNTIF(links!$D$2:$D$501,$D284)&gt;1,"DUPLICATE slug; ",""))</f>
        <v/>
      </c>
    </row>
    <row r="285">
      <c r="A285" s="25">
        <f>IF(INDEX(approvals!$A$2:$A$251,INT((ROW()-2)/2)+1)="","",INDEX(approvals!$A$2:$A$251,INT((ROW()-2)/2)+1))</f>
        <v/>
      </c>
      <c r="B285" s="25">
        <f>IF(INDEX(approvals!$A$2:$A$251,INT((ROW()-2)/2)+1)="","",INDEX(approvals!$B$2:$B$251,INT((ROW()-2)/2)+1))</f>
        <v/>
      </c>
      <c r="C285" s="25">
        <f>IF($A285="","",IF(MOD(ROW()-2,2)=0,"qr","post"))</f>
        <v/>
      </c>
      <c r="D285" s="25">
        <f>IF($A285="","",IF(LEFT($A285,7)="SAMPLE-","SAMPLE-","")&amp;LOWER(SUBSTITUTE(SUBSTITUTE($A285,"SAMPLE-",""),"CMP-","c"))&amp;"-"&amp;LOWER(SUBSTITUTE(SUBSTITUTE($B285,"SAMPLE-",""),"O-","o"))&amp;"-"&amp;IF($C285="qr","q","p"))</f>
        <v/>
      </c>
      <c r="E285" s="25">
        <f>IF($A285="","","https://"&amp;config!$B$9&amp;"/"&amp;$D285)</f>
        <v/>
      </c>
      <c r="F285" s="25">
        <f>IF($A285="","",$A285&amp;"."&amp;$B285)</f>
        <v/>
      </c>
      <c r="G285" s="25">
        <f>IF($A285="","",IF(IFERROR(IF(INDEX(campaigns!$AJ$2:$AJ$51,MATCH($A285,campaigns!$A$2:$A$51,0))="","",INDEX(campaigns!$AJ$2:$AJ$51,MATCH($A285,campaigns!$A$2:$A$51,0))),"")="","(add the survey prefill template on campaigns)",SUBSTITUTE(IFERROR(IF(INDEX(campaigns!$AJ$2:$AJ$51,MATCH($A285,campaigns!$A$2:$A$51,0))="","",INDEX(campaigns!$AJ$2:$AJ$51,MATCH($A285,campaigns!$A$2:$A$51,0))),""),"CARDCODE",$F285)&amp;"&amp;utm_source=office-pantry&amp;utm_medium="&amp;$C285&amp;"&amp;utm_campaign="&amp;LOWER($A285)&amp;"&amp;utm_content="&amp;LOWER($B285)))</f>
        <v/>
      </c>
      <c r="H285" s="25">
        <f>IF(OR($A285="",$C285&lt;&gt;"qr"),"",$D285&amp;".png")</f>
        <v/>
      </c>
      <c r="I285" s="25">
        <f>IF($A285="","",IF(AND(IFERROR(IF(INDEX(campaigns!$AJ$2:$AJ$51,MATCH($A285,campaigns!$A$2:$A$51,0))="","",INDEX(campaigns!$AJ$2:$AJ$51,MATCH($A285,campaigns!$A$2:$A$51,0))),"")="",IFERROR(IF(INDEX(campaigns!$BG$2:$BG$51,MATCH($A285,campaigns!$A$2:$A$51,0))="","",INDEX(campaigns!$BG$2:$BG$51,MATCH($A285,campaigns!$A$2:$A$51,0))),"")&lt;&gt;"",IF(config!$B$37&lt;&gt;"",config!$B$37,TODAY())&gt;=WORKDAY(N(IFERROR(IF(INDEX(campaigns!$BG$2:$BG$51,MATCH($A285,campaigns!$A$2:$A$51,0))="","",INDEX(campaigns!$BG$2:$BG$51,MATCH($A285,campaigns!$A$2:$A$51,0))),"")),-4,calendar!$A$2:$A$80)),"no prefill template yet (due T-4); ","")&amp;IF(COUNTIF(links!$D$2:$D$501,$D285)&gt;1,"DUPLICATE slug; ",""))</f>
        <v/>
      </c>
    </row>
    <row r="286">
      <c r="A286" s="25">
        <f>IF(INDEX(approvals!$A$2:$A$251,INT((ROW()-2)/2)+1)="","",INDEX(approvals!$A$2:$A$251,INT((ROW()-2)/2)+1))</f>
        <v/>
      </c>
      <c r="B286" s="25">
        <f>IF(INDEX(approvals!$A$2:$A$251,INT((ROW()-2)/2)+1)="","",INDEX(approvals!$B$2:$B$251,INT((ROW()-2)/2)+1))</f>
        <v/>
      </c>
      <c r="C286" s="25">
        <f>IF($A286="","",IF(MOD(ROW()-2,2)=0,"qr","post"))</f>
        <v/>
      </c>
      <c r="D286" s="25">
        <f>IF($A286="","",IF(LEFT($A286,7)="SAMPLE-","SAMPLE-","")&amp;LOWER(SUBSTITUTE(SUBSTITUTE($A286,"SAMPLE-",""),"CMP-","c"))&amp;"-"&amp;LOWER(SUBSTITUTE(SUBSTITUTE($B286,"SAMPLE-",""),"O-","o"))&amp;"-"&amp;IF($C286="qr","q","p"))</f>
        <v/>
      </c>
      <c r="E286" s="25">
        <f>IF($A286="","","https://"&amp;config!$B$9&amp;"/"&amp;$D286)</f>
        <v/>
      </c>
      <c r="F286" s="25">
        <f>IF($A286="","",$A286&amp;"."&amp;$B286)</f>
        <v/>
      </c>
      <c r="G286" s="25">
        <f>IF($A286="","",IF(IFERROR(IF(INDEX(campaigns!$AJ$2:$AJ$51,MATCH($A286,campaigns!$A$2:$A$51,0))="","",INDEX(campaigns!$AJ$2:$AJ$51,MATCH($A286,campaigns!$A$2:$A$51,0))),"")="","(add the survey prefill template on campaigns)",SUBSTITUTE(IFERROR(IF(INDEX(campaigns!$AJ$2:$AJ$51,MATCH($A286,campaigns!$A$2:$A$51,0))="","",INDEX(campaigns!$AJ$2:$AJ$51,MATCH($A286,campaigns!$A$2:$A$51,0))),""),"CARDCODE",$F286)&amp;"&amp;utm_source=office-pantry&amp;utm_medium="&amp;$C286&amp;"&amp;utm_campaign="&amp;LOWER($A286)&amp;"&amp;utm_content="&amp;LOWER($B286)))</f>
        <v/>
      </c>
      <c r="H286" s="25">
        <f>IF(OR($A286="",$C286&lt;&gt;"qr"),"",$D286&amp;".png")</f>
        <v/>
      </c>
      <c r="I286" s="25">
        <f>IF($A286="","",IF(AND(IFERROR(IF(INDEX(campaigns!$AJ$2:$AJ$51,MATCH($A286,campaigns!$A$2:$A$51,0))="","",INDEX(campaigns!$AJ$2:$AJ$51,MATCH($A286,campaigns!$A$2:$A$51,0))),"")="",IFERROR(IF(INDEX(campaigns!$BG$2:$BG$51,MATCH($A286,campaigns!$A$2:$A$51,0))="","",INDEX(campaigns!$BG$2:$BG$51,MATCH($A286,campaigns!$A$2:$A$51,0))),"")&lt;&gt;"",IF(config!$B$37&lt;&gt;"",config!$B$37,TODAY())&gt;=WORKDAY(N(IFERROR(IF(INDEX(campaigns!$BG$2:$BG$51,MATCH($A286,campaigns!$A$2:$A$51,0))="","",INDEX(campaigns!$BG$2:$BG$51,MATCH($A286,campaigns!$A$2:$A$51,0))),"")),-4,calendar!$A$2:$A$80)),"no prefill template yet (due T-4); ","")&amp;IF(COUNTIF(links!$D$2:$D$501,$D286)&gt;1,"DUPLICATE slug; ",""))</f>
        <v/>
      </c>
    </row>
    <row r="287">
      <c r="A287" s="25">
        <f>IF(INDEX(approvals!$A$2:$A$251,INT((ROW()-2)/2)+1)="","",INDEX(approvals!$A$2:$A$251,INT((ROW()-2)/2)+1))</f>
        <v/>
      </c>
      <c r="B287" s="25">
        <f>IF(INDEX(approvals!$A$2:$A$251,INT((ROW()-2)/2)+1)="","",INDEX(approvals!$B$2:$B$251,INT((ROW()-2)/2)+1))</f>
        <v/>
      </c>
      <c r="C287" s="25">
        <f>IF($A287="","",IF(MOD(ROW()-2,2)=0,"qr","post"))</f>
        <v/>
      </c>
      <c r="D287" s="25">
        <f>IF($A287="","",IF(LEFT($A287,7)="SAMPLE-","SAMPLE-","")&amp;LOWER(SUBSTITUTE(SUBSTITUTE($A287,"SAMPLE-",""),"CMP-","c"))&amp;"-"&amp;LOWER(SUBSTITUTE(SUBSTITUTE($B287,"SAMPLE-",""),"O-","o"))&amp;"-"&amp;IF($C287="qr","q","p"))</f>
        <v/>
      </c>
      <c r="E287" s="25">
        <f>IF($A287="","","https://"&amp;config!$B$9&amp;"/"&amp;$D287)</f>
        <v/>
      </c>
      <c r="F287" s="25">
        <f>IF($A287="","",$A287&amp;"."&amp;$B287)</f>
        <v/>
      </c>
      <c r="G287" s="25">
        <f>IF($A287="","",IF(IFERROR(IF(INDEX(campaigns!$AJ$2:$AJ$51,MATCH($A287,campaigns!$A$2:$A$51,0))="","",INDEX(campaigns!$AJ$2:$AJ$51,MATCH($A287,campaigns!$A$2:$A$51,0))),"")="","(add the survey prefill template on campaigns)",SUBSTITUTE(IFERROR(IF(INDEX(campaigns!$AJ$2:$AJ$51,MATCH($A287,campaigns!$A$2:$A$51,0))="","",INDEX(campaigns!$AJ$2:$AJ$51,MATCH($A287,campaigns!$A$2:$A$51,0))),""),"CARDCODE",$F287)&amp;"&amp;utm_source=office-pantry&amp;utm_medium="&amp;$C287&amp;"&amp;utm_campaign="&amp;LOWER($A287)&amp;"&amp;utm_content="&amp;LOWER($B287)))</f>
        <v/>
      </c>
      <c r="H287" s="25">
        <f>IF(OR($A287="",$C287&lt;&gt;"qr"),"",$D287&amp;".png")</f>
        <v/>
      </c>
      <c r="I287" s="25">
        <f>IF($A287="","",IF(AND(IFERROR(IF(INDEX(campaigns!$AJ$2:$AJ$51,MATCH($A287,campaigns!$A$2:$A$51,0))="","",INDEX(campaigns!$AJ$2:$AJ$51,MATCH($A287,campaigns!$A$2:$A$51,0))),"")="",IFERROR(IF(INDEX(campaigns!$BG$2:$BG$51,MATCH($A287,campaigns!$A$2:$A$51,0))="","",INDEX(campaigns!$BG$2:$BG$51,MATCH($A287,campaigns!$A$2:$A$51,0))),"")&lt;&gt;"",IF(config!$B$37&lt;&gt;"",config!$B$37,TODAY())&gt;=WORKDAY(N(IFERROR(IF(INDEX(campaigns!$BG$2:$BG$51,MATCH($A287,campaigns!$A$2:$A$51,0))="","",INDEX(campaigns!$BG$2:$BG$51,MATCH($A287,campaigns!$A$2:$A$51,0))),"")),-4,calendar!$A$2:$A$80)),"no prefill template yet (due T-4); ","")&amp;IF(COUNTIF(links!$D$2:$D$501,$D287)&gt;1,"DUPLICATE slug; ",""))</f>
        <v/>
      </c>
    </row>
    <row r="288">
      <c r="A288" s="25">
        <f>IF(INDEX(approvals!$A$2:$A$251,INT((ROW()-2)/2)+1)="","",INDEX(approvals!$A$2:$A$251,INT((ROW()-2)/2)+1))</f>
        <v/>
      </c>
      <c r="B288" s="25">
        <f>IF(INDEX(approvals!$A$2:$A$251,INT((ROW()-2)/2)+1)="","",INDEX(approvals!$B$2:$B$251,INT((ROW()-2)/2)+1))</f>
        <v/>
      </c>
      <c r="C288" s="25">
        <f>IF($A288="","",IF(MOD(ROW()-2,2)=0,"qr","post"))</f>
        <v/>
      </c>
      <c r="D288" s="25">
        <f>IF($A288="","",IF(LEFT($A288,7)="SAMPLE-","SAMPLE-","")&amp;LOWER(SUBSTITUTE(SUBSTITUTE($A288,"SAMPLE-",""),"CMP-","c"))&amp;"-"&amp;LOWER(SUBSTITUTE(SUBSTITUTE($B288,"SAMPLE-",""),"O-","o"))&amp;"-"&amp;IF($C288="qr","q","p"))</f>
        <v/>
      </c>
      <c r="E288" s="25">
        <f>IF($A288="","","https://"&amp;config!$B$9&amp;"/"&amp;$D288)</f>
        <v/>
      </c>
      <c r="F288" s="25">
        <f>IF($A288="","",$A288&amp;"."&amp;$B288)</f>
        <v/>
      </c>
      <c r="G288" s="25">
        <f>IF($A288="","",IF(IFERROR(IF(INDEX(campaigns!$AJ$2:$AJ$51,MATCH($A288,campaigns!$A$2:$A$51,0))="","",INDEX(campaigns!$AJ$2:$AJ$51,MATCH($A288,campaigns!$A$2:$A$51,0))),"")="","(add the survey prefill template on campaigns)",SUBSTITUTE(IFERROR(IF(INDEX(campaigns!$AJ$2:$AJ$51,MATCH($A288,campaigns!$A$2:$A$51,0))="","",INDEX(campaigns!$AJ$2:$AJ$51,MATCH($A288,campaigns!$A$2:$A$51,0))),""),"CARDCODE",$F288)&amp;"&amp;utm_source=office-pantry&amp;utm_medium="&amp;$C288&amp;"&amp;utm_campaign="&amp;LOWER($A288)&amp;"&amp;utm_content="&amp;LOWER($B288)))</f>
        <v/>
      </c>
      <c r="H288" s="25">
        <f>IF(OR($A288="",$C288&lt;&gt;"qr"),"",$D288&amp;".png")</f>
        <v/>
      </c>
      <c r="I288" s="25">
        <f>IF($A288="","",IF(AND(IFERROR(IF(INDEX(campaigns!$AJ$2:$AJ$51,MATCH($A288,campaigns!$A$2:$A$51,0))="","",INDEX(campaigns!$AJ$2:$AJ$51,MATCH($A288,campaigns!$A$2:$A$51,0))),"")="",IFERROR(IF(INDEX(campaigns!$BG$2:$BG$51,MATCH($A288,campaigns!$A$2:$A$51,0))="","",INDEX(campaigns!$BG$2:$BG$51,MATCH($A288,campaigns!$A$2:$A$51,0))),"")&lt;&gt;"",IF(config!$B$37&lt;&gt;"",config!$B$37,TODAY())&gt;=WORKDAY(N(IFERROR(IF(INDEX(campaigns!$BG$2:$BG$51,MATCH($A288,campaigns!$A$2:$A$51,0))="","",INDEX(campaigns!$BG$2:$BG$51,MATCH($A288,campaigns!$A$2:$A$51,0))),"")),-4,calendar!$A$2:$A$80)),"no prefill template yet (due T-4); ","")&amp;IF(COUNTIF(links!$D$2:$D$501,$D288)&gt;1,"DUPLICATE slug; ",""))</f>
        <v/>
      </c>
    </row>
    <row r="289">
      <c r="A289" s="25">
        <f>IF(INDEX(approvals!$A$2:$A$251,INT((ROW()-2)/2)+1)="","",INDEX(approvals!$A$2:$A$251,INT((ROW()-2)/2)+1))</f>
        <v/>
      </c>
      <c r="B289" s="25">
        <f>IF(INDEX(approvals!$A$2:$A$251,INT((ROW()-2)/2)+1)="","",INDEX(approvals!$B$2:$B$251,INT((ROW()-2)/2)+1))</f>
        <v/>
      </c>
      <c r="C289" s="25">
        <f>IF($A289="","",IF(MOD(ROW()-2,2)=0,"qr","post"))</f>
        <v/>
      </c>
      <c r="D289" s="25">
        <f>IF($A289="","",IF(LEFT($A289,7)="SAMPLE-","SAMPLE-","")&amp;LOWER(SUBSTITUTE(SUBSTITUTE($A289,"SAMPLE-",""),"CMP-","c"))&amp;"-"&amp;LOWER(SUBSTITUTE(SUBSTITUTE($B289,"SAMPLE-",""),"O-","o"))&amp;"-"&amp;IF($C289="qr","q","p"))</f>
        <v/>
      </c>
      <c r="E289" s="25">
        <f>IF($A289="","","https://"&amp;config!$B$9&amp;"/"&amp;$D289)</f>
        <v/>
      </c>
      <c r="F289" s="25">
        <f>IF($A289="","",$A289&amp;"."&amp;$B289)</f>
        <v/>
      </c>
      <c r="G289" s="25">
        <f>IF($A289="","",IF(IFERROR(IF(INDEX(campaigns!$AJ$2:$AJ$51,MATCH($A289,campaigns!$A$2:$A$51,0))="","",INDEX(campaigns!$AJ$2:$AJ$51,MATCH($A289,campaigns!$A$2:$A$51,0))),"")="","(add the survey prefill template on campaigns)",SUBSTITUTE(IFERROR(IF(INDEX(campaigns!$AJ$2:$AJ$51,MATCH($A289,campaigns!$A$2:$A$51,0))="","",INDEX(campaigns!$AJ$2:$AJ$51,MATCH($A289,campaigns!$A$2:$A$51,0))),""),"CARDCODE",$F289)&amp;"&amp;utm_source=office-pantry&amp;utm_medium="&amp;$C289&amp;"&amp;utm_campaign="&amp;LOWER($A289)&amp;"&amp;utm_content="&amp;LOWER($B289)))</f>
        <v/>
      </c>
      <c r="H289" s="25">
        <f>IF(OR($A289="",$C289&lt;&gt;"qr"),"",$D289&amp;".png")</f>
        <v/>
      </c>
      <c r="I289" s="25">
        <f>IF($A289="","",IF(AND(IFERROR(IF(INDEX(campaigns!$AJ$2:$AJ$51,MATCH($A289,campaigns!$A$2:$A$51,0))="","",INDEX(campaigns!$AJ$2:$AJ$51,MATCH($A289,campaigns!$A$2:$A$51,0))),"")="",IFERROR(IF(INDEX(campaigns!$BG$2:$BG$51,MATCH($A289,campaigns!$A$2:$A$51,0))="","",INDEX(campaigns!$BG$2:$BG$51,MATCH($A289,campaigns!$A$2:$A$51,0))),"")&lt;&gt;"",IF(config!$B$37&lt;&gt;"",config!$B$37,TODAY())&gt;=WORKDAY(N(IFERROR(IF(INDEX(campaigns!$BG$2:$BG$51,MATCH($A289,campaigns!$A$2:$A$51,0))="","",INDEX(campaigns!$BG$2:$BG$51,MATCH($A289,campaigns!$A$2:$A$51,0))),"")),-4,calendar!$A$2:$A$80)),"no prefill template yet (due T-4); ","")&amp;IF(COUNTIF(links!$D$2:$D$501,$D289)&gt;1,"DUPLICATE slug; ",""))</f>
        <v/>
      </c>
    </row>
    <row r="290">
      <c r="A290" s="25">
        <f>IF(INDEX(approvals!$A$2:$A$251,INT((ROW()-2)/2)+1)="","",INDEX(approvals!$A$2:$A$251,INT((ROW()-2)/2)+1))</f>
        <v/>
      </c>
      <c r="B290" s="25">
        <f>IF(INDEX(approvals!$A$2:$A$251,INT((ROW()-2)/2)+1)="","",INDEX(approvals!$B$2:$B$251,INT((ROW()-2)/2)+1))</f>
        <v/>
      </c>
      <c r="C290" s="25">
        <f>IF($A290="","",IF(MOD(ROW()-2,2)=0,"qr","post"))</f>
        <v/>
      </c>
      <c r="D290" s="25">
        <f>IF($A290="","",IF(LEFT($A290,7)="SAMPLE-","SAMPLE-","")&amp;LOWER(SUBSTITUTE(SUBSTITUTE($A290,"SAMPLE-",""),"CMP-","c"))&amp;"-"&amp;LOWER(SUBSTITUTE(SUBSTITUTE($B290,"SAMPLE-",""),"O-","o"))&amp;"-"&amp;IF($C290="qr","q","p"))</f>
        <v/>
      </c>
      <c r="E290" s="25">
        <f>IF($A290="","","https://"&amp;config!$B$9&amp;"/"&amp;$D290)</f>
        <v/>
      </c>
      <c r="F290" s="25">
        <f>IF($A290="","",$A290&amp;"."&amp;$B290)</f>
        <v/>
      </c>
      <c r="G290" s="25">
        <f>IF($A290="","",IF(IFERROR(IF(INDEX(campaigns!$AJ$2:$AJ$51,MATCH($A290,campaigns!$A$2:$A$51,0))="","",INDEX(campaigns!$AJ$2:$AJ$51,MATCH($A290,campaigns!$A$2:$A$51,0))),"")="","(add the survey prefill template on campaigns)",SUBSTITUTE(IFERROR(IF(INDEX(campaigns!$AJ$2:$AJ$51,MATCH($A290,campaigns!$A$2:$A$51,0))="","",INDEX(campaigns!$AJ$2:$AJ$51,MATCH($A290,campaigns!$A$2:$A$51,0))),""),"CARDCODE",$F290)&amp;"&amp;utm_source=office-pantry&amp;utm_medium="&amp;$C290&amp;"&amp;utm_campaign="&amp;LOWER($A290)&amp;"&amp;utm_content="&amp;LOWER($B290)))</f>
        <v/>
      </c>
      <c r="H290" s="25">
        <f>IF(OR($A290="",$C290&lt;&gt;"qr"),"",$D290&amp;".png")</f>
        <v/>
      </c>
      <c r="I290" s="25">
        <f>IF($A290="","",IF(AND(IFERROR(IF(INDEX(campaigns!$AJ$2:$AJ$51,MATCH($A290,campaigns!$A$2:$A$51,0))="","",INDEX(campaigns!$AJ$2:$AJ$51,MATCH($A290,campaigns!$A$2:$A$51,0))),"")="",IFERROR(IF(INDEX(campaigns!$BG$2:$BG$51,MATCH($A290,campaigns!$A$2:$A$51,0))="","",INDEX(campaigns!$BG$2:$BG$51,MATCH($A290,campaigns!$A$2:$A$51,0))),"")&lt;&gt;"",IF(config!$B$37&lt;&gt;"",config!$B$37,TODAY())&gt;=WORKDAY(N(IFERROR(IF(INDEX(campaigns!$BG$2:$BG$51,MATCH($A290,campaigns!$A$2:$A$51,0))="","",INDEX(campaigns!$BG$2:$BG$51,MATCH($A290,campaigns!$A$2:$A$51,0))),"")),-4,calendar!$A$2:$A$80)),"no prefill template yet (due T-4); ","")&amp;IF(COUNTIF(links!$D$2:$D$501,$D290)&gt;1,"DUPLICATE slug; ",""))</f>
        <v/>
      </c>
    </row>
    <row r="291">
      <c r="A291" s="25">
        <f>IF(INDEX(approvals!$A$2:$A$251,INT((ROW()-2)/2)+1)="","",INDEX(approvals!$A$2:$A$251,INT((ROW()-2)/2)+1))</f>
        <v/>
      </c>
      <c r="B291" s="25">
        <f>IF(INDEX(approvals!$A$2:$A$251,INT((ROW()-2)/2)+1)="","",INDEX(approvals!$B$2:$B$251,INT((ROW()-2)/2)+1))</f>
        <v/>
      </c>
      <c r="C291" s="25">
        <f>IF($A291="","",IF(MOD(ROW()-2,2)=0,"qr","post"))</f>
        <v/>
      </c>
      <c r="D291" s="25">
        <f>IF($A291="","",IF(LEFT($A291,7)="SAMPLE-","SAMPLE-","")&amp;LOWER(SUBSTITUTE(SUBSTITUTE($A291,"SAMPLE-",""),"CMP-","c"))&amp;"-"&amp;LOWER(SUBSTITUTE(SUBSTITUTE($B291,"SAMPLE-",""),"O-","o"))&amp;"-"&amp;IF($C291="qr","q","p"))</f>
        <v/>
      </c>
      <c r="E291" s="25">
        <f>IF($A291="","","https://"&amp;config!$B$9&amp;"/"&amp;$D291)</f>
        <v/>
      </c>
      <c r="F291" s="25">
        <f>IF($A291="","",$A291&amp;"."&amp;$B291)</f>
        <v/>
      </c>
      <c r="G291" s="25">
        <f>IF($A291="","",IF(IFERROR(IF(INDEX(campaigns!$AJ$2:$AJ$51,MATCH($A291,campaigns!$A$2:$A$51,0))="","",INDEX(campaigns!$AJ$2:$AJ$51,MATCH($A291,campaigns!$A$2:$A$51,0))),"")="","(add the survey prefill template on campaigns)",SUBSTITUTE(IFERROR(IF(INDEX(campaigns!$AJ$2:$AJ$51,MATCH($A291,campaigns!$A$2:$A$51,0))="","",INDEX(campaigns!$AJ$2:$AJ$51,MATCH($A291,campaigns!$A$2:$A$51,0))),""),"CARDCODE",$F291)&amp;"&amp;utm_source=office-pantry&amp;utm_medium="&amp;$C291&amp;"&amp;utm_campaign="&amp;LOWER($A291)&amp;"&amp;utm_content="&amp;LOWER($B291)))</f>
        <v/>
      </c>
      <c r="H291" s="25">
        <f>IF(OR($A291="",$C291&lt;&gt;"qr"),"",$D291&amp;".png")</f>
        <v/>
      </c>
      <c r="I291" s="25">
        <f>IF($A291="","",IF(AND(IFERROR(IF(INDEX(campaigns!$AJ$2:$AJ$51,MATCH($A291,campaigns!$A$2:$A$51,0))="","",INDEX(campaigns!$AJ$2:$AJ$51,MATCH($A291,campaigns!$A$2:$A$51,0))),"")="",IFERROR(IF(INDEX(campaigns!$BG$2:$BG$51,MATCH($A291,campaigns!$A$2:$A$51,0))="","",INDEX(campaigns!$BG$2:$BG$51,MATCH($A291,campaigns!$A$2:$A$51,0))),"")&lt;&gt;"",IF(config!$B$37&lt;&gt;"",config!$B$37,TODAY())&gt;=WORKDAY(N(IFERROR(IF(INDEX(campaigns!$BG$2:$BG$51,MATCH($A291,campaigns!$A$2:$A$51,0))="","",INDEX(campaigns!$BG$2:$BG$51,MATCH($A291,campaigns!$A$2:$A$51,0))),"")),-4,calendar!$A$2:$A$80)),"no prefill template yet (due T-4); ","")&amp;IF(COUNTIF(links!$D$2:$D$501,$D291)&gt;1,"DUPLICATE slug; ",""))</f>
        <v/>
      </c>
    </row>
    <row r="292">
      <c r="A292" s="25">
        <f>IF(INDEX(approvals!$A$2:$A$251,INT((ROW()-2)/2)+1)="","",INDEX(approvals!$A$2:$A$251,INT((ROW()-2)/2)+1))</f>
        <v/>
      </c>
      <c r="B292" s="25">
        <f>IF(INDEX(approvals!$A$2:$A$251,INT((ROW()-2)/2)+1)="","",INDEX(approvals!$B$2:$B$251,INT((ROW()-2)/2)+1))</f>
        <v/>
      </c>
      <c r="C292" s="25">
        <f>IF($A292="","",IF(MOD(ROW()-2,2)=0,"qr","post"))</f>
        <v/>
      </c>
      <c r="D292" s="25">
        <f>IF($A292="","",IF(LEFT($A292,7)="SAMPLE-","SAMPLE-","")&amp;LOWER(SUBSTITUTE(SUBSTITUTE($A292,"SAMPLE-",""),"CMP-","c"))&amp;"-"&amp;LOWER(SUBSTITUTE(SUBSTITUTE($B292,"SAMPLE-",""),"O-","o"))&amp;"-"&amp;IF($C292="qr","q","p"))</f>
        <v/>
      </c>
      <c r="E292" s="25">
        <f>IF($A292="","","https://"&amp;config!$B$9&amp;"/"&amp;$D292)</f>
        <v/>
      </c>
      <c r="F292" s="25">
        <f>IF($A292="","",$A292&amp;"."&amp;$B292)</f>
        <v/>
      </c>
      <c r="G292" s="25">
        <f>IF($A292="","",IF(IFERROR(IF(INDEX(campaigns!$AJ$2:$AJ$51,MATCH($A292,campaigns!$A$2:$A$51,0))="","",INDEX(campaigns!$AJ$2:$AJ$51,MATCH($A292,campaigns!$A$2:$A$51,0))),"")="","(add the survey prefill template on campaigns)",SUBSTITUTE(IFERROR(IF(INDEX(campaigns!$AJ$2:$AJ$51,MATCH($A292,campaigns!$A$2:$A$51,0))="","",INDEX(campaigns!$AJ$2:$AJ$51,MATCH($A292,campaigns!$A$2:$A$51,0))),""),"CARDCODE",$F292)&amp;"&amp;utm_source=office-pantry&amp;utm_medium="&amp;$C292&amp;"&amp;utm_campaign="&amp;LOWER($A292)&amp;"&amp;utm_content="&amp;LOWER($B292)))</f>
        <v/>
      </c>
      <c r="H292" s="25">
        <f>IF(OR($A292="",$C292&lt;&gt;"qr"),"",$D292&amp;".png")</f>
        <v/>
      </c>
      <c r="I292" s="25">
        <f>IF($A292="","",IF(AND(IFERROR(IF(INDEX(campaigns!$AJ$2:$AJ$51,MATCH($A292,campaigns!$A$2:$A$51,0))="","",INDEX(campaigns!$AJ$2:$AJ$51,MATCH($A292,campaigns!$A$2:$A$51,0))),"")="",IFERROR(IF(INDEX(campaigns!$BG$2:$BG$51,MATCH($A292,campaigns!$A$2:$A$51,0))="","",INDEX(campaigns!$BG$2:$BG$51,MATCH($A292,campaigns!$A$2:$A$51,0))),"")&lt;&gt;"",IF(config!$B$37&lt;&gt;"",config!$B$37,TODAY())&gt;=WORKDAY(N(IFERROR(IF(INDEX(campaigns!$BG$2:$BG$51,MATCH($A292,campaigns!$A$2:$A$51,0))="","",INDEX(campaigns!$BG$2:$BG$51,MATCH($A292,campaigns!$A$2:$A$51,0))),"")),-4,calendar!$A$2:$A$80)),"no prefill template yet (due T-4); ","")&amp;IF(COUNTIF(links!$D$2:$D$501,$D292)&gt;1,"DUPLICATE slug; ",""))</f>
        <v/>
      </c>
    </row>
    <row r="293">
      <c r="A293" s="25">
        <f>IF(INDEX(approvals!$A$2:$A$251,INT((ROW()-2)/2)+1)="","",INDEX(approvals!$A$2:$A$251,INT((ROW()-2)/2)+1))</f>
        <v/>
      </c>
      <c r="B293" s="25">
        <f>IF(INDEX(approvals!$A$2:$A$251,INT((ROW()-2)/2)+1)="","",INDEX(approvals!$B$2:$B$251,INT((ROW()-2)/2)+1))</f>
        <v/>
      </c>
      <c r="C293" s="25">
        <f>IF($A293="","",IF(MOD(ROW()-2,2)=0,"qr","post"))</f>
        <v/>
      </c>
      <c r="D293" s="25">
        <f>IF($A293="","",IF(LEFT($A293,7)="SAMPLE-","SAMPLE-","")&amp;LOWER(SUBSTITUTE(SUBSTITUTE($A293,"SAMPLE-",""),"CMP-","c"))&amp;"-"&amp;LOWER(SUBSTITUTE(SUBSTITUTE($B293,"SAMPLE-",""),"O-","o"))&amp;"-"&amp;IF($C293="qr","q","p"))</f>
        <v/>
      </c>
      <c r="E293" s="25">
        <f>IF($A293="","","https://"&amp;config!$B$9&amp;"/"&amp;$D293)</f>
        <v/>
      </c>
      <c r="F293" s="25">
        <f>IF($A293="","",$A293&amp;"."&amp;$B293)</f>
        <v/>
      </c>
      <c r="G293" s="25">
        <f>IF($A293="","",IF(IFERROR(IF(INDEX(campaigns!$AJ$2:$AJ$51,MATCH($A293,campaigns!$A$2:$A$51,0))="","",INDEX(campaigns!$AJ$2:$AJ$51,MATCH($A293,campaigns!$A$2:$A$51,0))),"")="","(add the survey prefill template on campaigns)",SUBSTITUTE(IFERROR(IF(INDEX(campaigns!$AJ$2:$AJ$51,MATCH($A293,campaigns!$A$2:$A$51,0))="","",INDEX(campaigns!$AJ$2:$AJ$51,MATCH($A293,campaigns!$A$2:$A$51,0))),""),"CARDCODE",$F293)&amp;"&amp;utm_source=office-pantry&amp;utm_medium="&amp;$C293&amp;"&amp;utm_campaign="&amp;LOWER($A293)&amp;"&amp;utm_content="&amp;LOWER($B293)))</f>
        <v/>
      </c>
      <c r="H293" s="25">
        <f>IF(OR($A293="",$C293&lt;&gt;"qr"),"",$D293&amp;".png")</f>
        <v/>
      </c>
      <c r="I293" s="25">
        <f>IF($A293="","",IF(AND(IFERROR(IF(INDEX(campaigns!$AJ$2:$AJ$51,MATCH($A293,campaigns!$A$2:$A$51,0))="","",INDEX(campaigns!$AJ$2:$AJ$51,MATCH($A293,campaigns!$A$2:$A$51,0))),"")="",IFERROR(IF(INDEX(campaigns!$BG$2:$BG$51,MATCH($A293,campaigns!$A$2:$A$51,0))="","",INDEX(campaigns!$BG$2:$BG$51,MATCH($A293,campaigns!$A$2:$A$51,0))),"")&lt;&gt;"",IF(config!$B$37&lt;&gt;"",config!$B$37,TODAY())&gt;=WORKDAY(N(IFERROR(IF(INDEX(campaigns!$BG$2:$BG$51,MATCH($A293,campaigns!$A$2:$A$51,0))="","",INDEX(campaigns!$BG$2:$BG$51,MATCH($A293,campaigns!$A$2:$A$51,0))),"")),-4,calendar!$A$2:$A$80)),"no prefill template yet (due T-4); ","")&amp;IF(COUNTIF(links!$D$2:$D$501,$D293)&gt;1,"DUPLICATE slug; ",""))</f>
        <v/>
      </c>
    </row>
    <row r="294">
      <c r="A294" s="25">
        <f>IF(INDEX(approvals!$A$2:$A$251,INT((ROW()-2)/2)+1)="","",INDEX(approvals!$A$2:$A$251,INT((ROW()-2)/2)+1))</f>
        <v/>
      </c>
      <c r="B294" s="25">
        <f>IF(INDEX(approvals!$A$2:$A$251,INT((ROW()-2)/2)+1)="","",INDEX(approvals!$B$2:$B$251,INT((ROW()-2)/2)+1))</f>
        <v/>
      </c>
      <c r="C294" s="25">
        <f>IF($A294="","",IF(MOD(ROW()-2,2)=0,"qr","post"))</f>
        <v/>
      </c>
      <c r="D294" s="25">
        <f>IF($A294="","",IF(LEFT($A294,7)="SAMPLE-","SAMPLE-","")&amp;LOWER(SUBSTITUTE(SUBSTITUTE($A294,"SAMPLE-",""),"CMP-","c"))&amp;"-"&amp;LOWER(SUBSTITUTE(SUBSTITUTE($B294,"SAMPLE-",""),"O-","o"))&amp;"-"&amp;IF($C294="qr","q","p"))</f>
        <v/>
      </c>
      <c r="E294" s="25">
        <f>IF($A294="","","https://"&amp;config!$B$9&amp;"/"&amp;$D294)</f>
        <v/>
      </c>
      <c r="F294" s="25">
        <f>IF($A294="","",$A294&amp;"."&amp;$B294)</f>
        <v/>
      </c>
      <c r="G294" s="25">
        <f>IF($A294="","",IF(IFERROR(IF(INDEX(campaigns!$AJ$2:$AJ$51,MATCH($A294,campaigns!$A$2:$A$51,0))="","",INDEX(campaigns!$AJ$2:$AJ$51,MATCH($A294,campaigns!$A$2:$A$51,0))),"")="","(add the survey prefill template on campaigns)",SUBSTITUTE(IFERROR(IF(INDEX(campaigns!$AJ$2:$AJ$51,MATCH($A294,campaigns!$A$2:$A$51,0))="","",INDEX(campaigns!$AJ$2:$AJ$51,MATCH($A294,campaigns!$A$2:$A$51,0))),""),"CARDCODE",$F294)&amp;"&amp;utm_source=office-pantry&amp;utm_medium="&amp;$C294&amp;"&amp;utm_campaign="&amp;LOWER($A294)&amp;"&amp;utm_content="&amp;LOWER($B294)))</f>
        <v/>
      </c>
      <c r="H294" s="25">
        <f>IF(OR($A294="",$C294&lt;&gt;"qr"),"",$D294&amp;".png")</f>
        <v/>
      </c>
      <c r="I294" s="25">
        <f>IF($A294="","",IF(AND(IFERROR(IF(INDEX(campaigns!$AJ$2:$AJ$51,MATCH($A294,campaigns!$A$2:$A$51,0))="","",INDEX(campaigns!$AJ$2:$AJ$51,MATCH($A294,campaigns!$A$2:$A$51,0))),"")="",IFERROR(IF(INDEX(campaigns!$BG$2:$BG$51,MATCH($A294,campaigns!$A$2:$A$51,0))="","",INDEX(campaigns!$BG$2:$BG$51,MATCH($A294,campaigns!$A$2:$A$51,0))),"")&lt;&gt;"",IF(config!$B$37&lt;&gt;"",config!$B$37,TODAY())&gt;=WORKDAY(N(IFERROR(IF(INDEX(campaigns!$BG$2:$BG$51,MATCH($A294,campaigns!$A$2:$A$51,0))="","",INDEX(campaigns!$BG$2:$BG$51,MATCH($A294,campaigns!$A$2:$A$51,0))),"")),-4,calendar!$A$2:$A$80)),"no prefill template yet (due T-4); ","")&amp;IF(COUNTIF(links!$D$2:$D$501,$D294)&gt;1,"DUPLICATE slug; ",""))</f>
        <v/>
      </c>
    </row>
    <row r="295">
      <c r="A295" s="25">
        <f>IF(INDEX(approvals!$A$2:$A$251,INT((ROW()-2)/2)+1)="","",INDEX(approvals!$A$2:$A$251,INT((ROW()-2)/2)+1))</f>
        <v/>
      </c>
      <c r="B295" s="25">
        <f>IF(INDEX(approvals!$A$2:$A$251,INT((ROW()-2)/2)+1)="","",INDEX(approvals!$B$2:$B$251,INT((ROW()-2)/2)+1))</f>
        <v/>
      </c>
      <c r="C295" s="25">
        <f>IF($A295="","",IF(MOD(ROW()-2,2)=0,"qr","post"))</f>
        <v/>
      </c>
      <c r="D295" s="25">
        <f>IF($A295="","",IF(LEFT($A295,7)="SAMPLE-","SAMPLE-","")&amp;LOWER(SUBSTITUTE(SUBSTITUTE($A295,"SAMPLE-",""),"CMP-","c"))&amp;"-"&amp;LOWER(SUBSTITUTE(SUBSTITUTE($B295,"SAMPLE-",""),"O-","o"))&amp;"-"&amp;IF($C295="qr","q","p"))</f>
        <v/>
      </c>
      <c r="E295" s="25">
        <f>IF($A295="","","https://"&amp;config!$B$9&amp;"/"&amp;$D295)</f>
        <v/>
      </c>
      <c r="F295" s="25">
        <f>IF($A295="","",$A295&amp;"."&amp;$B295)</f>
        <v/>
      </c>
      <c r="G295" s="25">
        <f>IF($A295="","",IF(IFERROR(IF(INDEX(campaigns!$AJ$2:$AJ$51,MATCH($A295,campaigns!$A$2:$A$51,0))="","",INDEX(campaigns!$AJ$2:$AJ$51,MATCH($A295,campaigns!$A$2:$A$51,0))),"")="","(add the survey prefill template on campaigns)",SUBSTITUTE(IFERROR(IF(INDEX(campaigns!$AJ$2:$AJ$51,MATCH($A295,campaigns!$A$2:$A$51,0))="","",INDEX(campaigns!$AJ$2:$AJ$51,MATCH($A295,campaigns!$A$2:$A$51,0))),""),"CARDCODE",$F295)&amp;"&amp;utm_source=office-pantry&amp;utm_medium="&amp;$C295&amp;"&amp;utm_campaign="&amp;LOWER($A295)&amp;"&amp;utm_content="&amp;LOWER($B295)))</f>
        <v/>
      </c>
      <c r="H295" s="25">
        <f>IF(OR($A295="",$C295&lt;&gt;"qr"),"",$D295&amp;".png")</f>
        <v/>
      </c>
      <c r="I295" s="25">
        <f>IF($A295="","",IF(AND(IFERROR(IF(INDEX(campaigns!$AJ$2:$AJ$51,MATCH($A295,campaigns!$A$2:$A$51,0))="","",INDEX(campaigns!$AJ$2:$AJ$51,MATCH($A295,campaigns!$A$2:$A$51,0))),"")="",IFERROR(IF(INDEX(campaigns!$BG$2:$BG$51,MATCH($A295,campaigns!$A$2:$A$51,0))="","",INDEX(campaigns!$BG$2:$BG$51,MATCH($A295,campaigns!$A$2:$A$51,0))),"")&lt;&gt;"",IF(config!$B$37&lt;&gt;"",config!$B$37,TODAY())&gt;=WORKDAY(N(IFERROR(IF(INDEX(campaigns!$BG$2:$BG$51,MATCH($A295,campaigns!$A$2:$A$51,0))="","",INDEX(campaigns!$BG$2:$BG$51,MATCH($A295,campaigns!$A$2:$A$51,0))),"")),-4,calendar!$A$2:$A$80)),"no prefill template yet (due T-4); ","")&amp;IF(COUNTIF(links!$D$2:$D$501,$D295)&gt;1,"DUPLICATE slug; ",""))</f>
        <v/>
      </c>
    </row>
    <row r="296">
      <c r="A296" s="25">
        <f>IF(INDEX(approvals!$A$2:$A$251,INT((ROW()-2)/2)+1)="","",INDEX(approvals!$A$2:$A$251,INT((ROW()-2)/2)+1))</f>
        <v/>
      </c>
      <c r="B296" s="25">
        <f>IF(INDEX(approvals!$A$2:$A$251,INT((ROW()-2)/2)+1)="","",INDEX(approvals!$B$2:$B$251,INT((ROW()-2)/2)+1))</f>
        <v/>
      </c>
      <c r="C296" s="25">
        <f>IF($A296="","",IF(MOD(ROW()-2,2)=0,"qr","post"))</f>
        <v/>
      </c>
      <c r="D296" s="25">
        <f>IF($A296="","",IF(LEFT($A296,7)="SAMPLE-","SAMPLE-","")&amp;LOWER(SUBSTITUTE(SUBSTITUTE($A296,"SAMPLE-",""),"CMP-","c"))&amp;"-"&amp;LOWER(SUBSTITUTE(SUBSTITUTE($B296,"SAMPLE-",""),"O-","o"))&amp;"-"&amp;IF($C296="qr","q","p"))</f>
        <v/>
      </c>
      <c r="E296" s="25">
        <f>IF($A296="","","https://"&amp;config!$B$9&amp;"/"&amp;$D296)</f>
        <v/>
      </c>
      <c r="F296" s="25">
        <f>IF($A296="","",$A296&amp;"."&amp;$B296)</f>
        <v/>
      </c>
      <c r="G296" s="25">
        <f>IF($A296="","",IF(IFERROR(IF(INDEX(campaigns!$AJ$2:$AJ$51,MATCH($A296,campaigns!$A$2:$A$51,0))="","",INDEX(campaigns!$AJ$2:$AJ$51,MATCH($A296,campaigns!$A$2:$A$51,0))),"")="","(add the survey prefill template on campaigns)",SUBSTITUTE(IFERROR(IF(INDEX(campaigns!$AJ$2:$AJ$51,MATCH($A296,campaigns!$A$2:$A$51,0))="","",INDEX(campaigns!$AJ$2:$AJ$51,MATCH($A296,campaigns!$A$2:$A$51,0))),""),"CARDCODE",$F296)&amp;"&amp;utm_source=office-pantry&amp;utm_medium="&amp;$C296&amp;"&amp;utm_campaign="&amp;LOWER($A296)&amp;"&amp;utm_content="&amp;LOWER($B296)))</f>
        <v/>
      </c>
      <c r="H296" s="25">
        <f>IF(OR($A296="",$C296&lt;&gt;"qr"),"",$D296&amp;".png")</f>
        <v/>
      </c>
      <c r="I296" s="25">
        <f>IF($A296="","",IF(AND(IFERROR(IF(INDEX(campaigns!$AJ$2:$AJ$51,MATCH($A296,campaigns!$A$2:$A$51,0))="","",INDEX(campaigns!$AJ$2:$AJ$51,MATCH($A296,campaigns!$A$2:$A$51,0))),"")="",IFERROR(IF(INDEX(campaigns!$BG$2:$BG$51,MATCH($A296,campaigns!$A$2:$A$51,0))="","",INDEX(campaigns!$BG$2:$BG$51,MATCH($A296,campaigns!$A$2:$A$51,0))),"")&lt;&gt;"",IF(config!$B$37&lt;&gt;"",config!$B$37,TODAY())&gt;=WORKDAY(N(IFERROR(IF(INDEX(campaigns!$BG$2:$BG$51,MATCH($A296,campaigns!$A$2:$A$51,0))="","",INDEX(campaigns!$BG$2:$BG$51,MATCH($A296,campaigns!$A$2:$A$51,0))),"")),-4,calendar!$A$2:$A$80)),"no prefill template yet (due T-4); ","")&amp;IF(COUNTIF(links!$D$2:$D$501,$D296)&gt;1,"DUPLICATE slug; ",""))</f>
        <v/>
      </c>
    </row>
    <row r="297">
      <c r="A297" s="25">
        <f>IF(INDEX(approvals!$A$2:$A$251,INT((ROW()-2)/2)+1)="","",INDEX(approvals!$A$2:$A$251,INT((ROW()-2)/2)+1))</f>
        <v/>
      </c>
      <c r="B297" s="25">
        <f>IF(INDEX(approvals!$A$2:$A$251,INT((ROW()-2)/2)+1)="","",INDEX(approvals!$B$2:$B$251,INT((ROW()-2)/2)+1))</f>
        <v/>
      </c>
      <c r="C297" s="25">
        <f>IF($A297="","",IF(MOD(ROW()-2,2)=0,"qr","post"))</f>
        <v/>
      </c>
      <c r="D297" s="25">
        <f>IF($A297="","",IF(LEFT($A297,7)="SAMPLE-","SAMPLE-","")&amp;LOWER(SUBSTITUTE(SUBSTITUTE($A297,"SAMPLE-",""),"CMP-","c"))&amp;"-"&amp;LOWER(SUBSTITUTE(SUBSTITUTE($B297,"SAMPLE-",""),"O-","o"))&amp;"-"&amp;IF($C297="qr","q","p"))</f>
        <v/>
      </c>
      <c r="E297" s="25">
        <f>IF($A297="","","https://"&amp;config!$B$9&amp;"/"&amp;$D297)</f>
        <v/>
      </c>
      <c r="F297" s="25">
        <f>IF($A297="","",$A297&amp;"."&amp;$B297)</f>
        <v/>
      </c>
      <c r="G297" s="25">
        <f>IF($A297="","",IF(IFERROR(IF(INDEX(campaigns!$AJ$2:$AJ$51,MATCH($A297,campaigns!$A$2:$A$51,0))="","",INDEX(campaigns!$AJ$2:$AJ$51,MATCH($A297,campaigns!$A$2:$A$51,0))),"")="","(add the survey prefill template on campaigns)",SUBSTITUTE(IFERROR(IF(INDEX(campaigns!$AJ$2:$AJ$51,MATCH($A297,campaigns!$A$2:$A$51,0))="","",INDEX(campaigns!$AJ$2:$AJ$51,MATCH($A297,campaigns!$A$2:$A$51,0))),""),"CARDCODE",$F297)&amp;"&amp;utm_source=office-pantry&amp;utm_medium="&amp;$C297&amp;"&amp;utm_campaign="&amp;LOWER($A297)&amp;"&amp;utm_content="&amp;LOWER($B297)))</f>
        <v/>
      </c>
      <c r="H297" s="25">
        <f>IF(OR($A297="",$C297&lt;&gt;"qr"),"",$D297&amp;".png")</f>
        <v/>
      </c>
      <c r="I297" s="25">
        <f>IF($A297="","",IF(AND(IFERROR(IF(INDEX(campaigns!$AJ$2:$AJ$51,MATCH($A297,campaigns!$A$2:$A$51,0))="","",INDEX(campaigns!$AJ$2:$AJ$51,MATCH($A297,campaigns!$A$2:$A$51,0))),"")="",IFERROR(IF(INDEX(campaigns!$BG$2:$BG$51,MATCH($A297,campaigns!$A$2:$A$51,0))="","",INDEX(campaigns!$BG$2:$BG$51,MATCH($A297,campaigns!$A$2:$A$51,0))),"")&lt;&gt;"",IF(config!$B$37&lt;&gt;"",config!$B$37,TODAY())&gt;=WORKDAY(N(IFERROR(IF(INDEX(campaigns!$BG$2:$BG$51,MATCH($A297,campaigns!$A$2:$A$51,0))="","",INDEX(campaigns!$BG$2:$BG$51,MATCH($A297,campaigns!$A$2:$A$51,0))),"")),-4,calendar!$A$2:$A$80)),"no prefill template yet (due T-4); ","")&amp;IF(COUNTIF(links!$D$2:$D$501,$D297)&gt;1,"DUPLICATE slug; ",""))</f>
        <v/>
      </c>
    </row>
    <row r="298">
      <c r="A298" s="25">
        <f>IF(INDEX(approvals!$A$2:$A$251,INT((ROW()-2)/2)+1)="","",INDEX(approvals!$A$2:$A$251,INT((ROW()-2)/2)+1))</f>
        <v/>
      </c>
      <c r="B298" s="25">
        <f>IF(INDEX(approvals!$A$2:$A$251,INT((ROW()-2)/2)+1)="","",INDEX(approvals!$B$2:$B$251,INT((ROW()-2)/2)+1))</f>
        <v/>
      </c>
      <c r="C298" s="25">
        <f>IF($A298="","",IF(MOD(ROW()-2,2)=0,"qr","post"))</f>
        <v/>
      </c>
      <c r="D298" s="25">
        <f>IF($A298="","",IF(LEFT($A298,7)="SAMPLE-","SAMPLE-","")&amp;LOWER(SUBSTITUTE(SUBSTITUTE($A298,"SAMPLE-",""),"CMP-","c"))&amp;"-"&amp;LOWER(SUBSTITUTE(SUBSTITUTE($B298,"SAMPLE-",""),"O-","o"))&amp;"-"&amp;IF($C298="qr","q","p"))</f>
        <v/>
      </c>
      <c r="E298" s="25">
        <f>IF($A298="","","https://"&amp;config!$B$9&amp;"/"&amp;$D298)</f>
        <v/>
      </c>
      <c r="F298" s="25">
        <f>IF($A298="","",$A298&amp;"."&amp;$B298)</f>
        <v/>
      </c>
      <c r="G298" s="25">
        <f>IF($A298="","",IF(IFERROR(IF(INDEX(campaigns!$AJ$2:$AJ$51,MATCH($A298,campaigns!$A$2:$A$51,0))="","",INDEX(campaigns!$AJ$2:$AJ$51,MATCH($A298,campaigns!$A$2:$A$51,0))),"")="","(add the survey prefill template on campaigns)",SUBSTITUTE(IFERROR(IF(INDEX(campaigns!$AJ$2:$AJ$51,MATCH($A298,campaigns!$A$2:$A$51,0))="","",INDEX(campaigns!$AJ$2:$AJ$51,MATCH($A298,campaigns!$A$2:$A$51,0))),""),"CARDCODE",$F298)&amp;"&amp;utm_source=office-pantry&amp;utm_medium="&amp;$C298&amp;"&amp;utm_campaign="&amp;LOWER($A298)&amp;"&amp;utm_content="&amp;LOWER($B298)))</f>
        <v/>
      </c>
      <c r="H298" s="25">
        <f>IF(OR($A298="",$C298&lt;&gt;"qr"),"",$D298&amp;".png")</f>
        <v/>
      </c>
      <c r="I298" s="25">
        <f>IF($A298="","",IF(AND(IFERROR(IF(INDEX(campaigns!$AJ$2:$AJ$51,MATCH($A298,campaigns!$A$2:$A$51,0))="","",INDEX(campaigns!$AJ$2:$AJ$51,MATCH($A298,campaigns!$A$2:$A$51,0))),"")="",IFERROR(IF(INDEX(campaigns!$BG$2:$BG$51,MATCH($A298,campaigns!$A$2:$A$51,0))="","",INDEX(campaigns!$BG$2:$BG$51,MATCH($A298,campaigns!$A$2:$A$51,0))),"")&lt;&gt;"",IF(config!$B$37&lt;&gt;"",config!$B$37,TODAY())&gt;=WORKDAY(N(IFERROR(IF(INDEX(campaigns!$BG$2:$BG$51,MATCH($A298,campaigns!$A$2:$A$51,0))="","",INDEX(campaigns!$BG$2:$BG$51,MATCH($A298,campaigns!$A$2:$A$51,0))),"")),-4,calendar!$A$2:$A$80)),"no prefill template yet (due T-4); ","")&amp;IF(COUNTIF(links!$D$2:$D$501,$D298)&gt;1,"DUPLICATE slug; ",""))</f>
        <v/>
      </c>
    </row>
    <row r="299">
      <c r="A299" s="25">
        <f>IF(INDEX(approvals!$A$2:$A$251,INT((ROW()-2)/2)+1)="","",INDEX(approvals!$A$2:$A$251,INT((ROW()-2)/2)+1))</f>
        <v/>
      </c>
      <c r="B299" s="25">
        <f>IF(INDEX(approvals!$A$2:$A$251,INT((ROW()-2)/2)+1)="","",INDEX(approvals!$B$2:$B$251,INT((ROW()-2)/2)+1))</f>
        <v/>
      </c>
      <c r="C299" s="25">
        <f>IF($A299="","",IF(MOD(ROW()-2,2)=0,"qr","post"))</f>
        <v/>
      </c>
      <c r="D299" s="25">
        <f>IF($A299="","",IF(LEFT($A299,7)="SAMPLE-","SAMPLE-","")&amp;LOWER(SUBSTITUTE(SUBSTITUTE($A299,"SAMPLE-",""),"CMP-","c"))&amp;"-"&amp;LOWER(SUBSTITUTE(SUBSTITUTE($B299,"SAMPLE-",""),"O-","o"))&amp;"-"&amp;IF($C299="qr","q","p"))</f>
        <v/>
      </c>
      <c r="E299" s="25">
        <f>IF($A299="","","https://"&amp;config!$B$9&amp;"/"&amp;$D299)</f>
        <v/>
      </c>
      <c r="F299" s="25">
        <f>IF($A299="","",$A299&amp;"."&amp;$B299)</f>
        <v/>
      </c>
      <c r="G299" s="25">
        <f>IF($A299="","",IF(IFERROR(IF(INDEX(campaigns!$AJ$2:$AJ$51,MATCH($A299,campaigns!$A$2:$A$51,0))="","",INDEX(campaigns!$AJ$2:$AJ$51,MATCH($A299,campaigns!$A$2:$A$51,0))),"")="","(add the survey prefill template on campaigns)",SUBSTITUTE(IFERROR(IF(INDEX(campaigns!$AJ$2:$AJ$51,MATCH($A299,campaigns!$A$2:$A$51,0))="","",INDEX(campaigns!$AJ$2:$AJ$51,MATCH($A299,campaigns!$A$2:$A$51,0))),""),"CARDCODE",$F299)&amp;"&amp;utm_source=office-pantry&amp;utm_medium="&amp;$C299&amp;"&amp;utm_campaign="&amp;LOWER($A299)&amp;"&amp;utm_content="&amp;LOWER($B299)))</f>
        <v/>
      </c>
      <c r="H299" s="25">
        <f>IF(OR($A299="",$C299&lt;&gt;"qr"),"",$D299&amp;".png")</f>
        <v/>
      </c>
      <c r="I299" s="25">
        <f>IF($A299="","",IF(AND(IFERROR(IF(INDEX(campaigns!$AJ$2:$AJ$51,MATCH($A299,campaigns!$A$2:$A$51,0))="","",INDEX(campaigns!$AJ$2:$AJ$51,MATCH($A299,campaigns!$A$2:$A$51,0))),"")="",IFERROR(IF(INDEX(campaigns!$BG$2:$BG$51,MATCH($A299,campaigns!$A$2:$A$51,0))="","",INDEX(campaigns!$BG$2:$BG$51,MATCH($A299,campaigns!$A$2:$A$51,0))),"")&lt;&gt;"",IF(config!$B$37&lt;&gt;"",config!$B$37,TODAY())&gt;=WORKDAY(N(IFERROR(IF(INDEX(campaigns!$BG$2:$BG$51,MATCH($A299,campaigns!$A$2:$A$51,0))="","",INDEX(campaigns!$BG$2:$BG$51,MATCH($A299,campaigns!$A$2:$A$51,0))),"")),-4,calendar!$A$2:$A$80)),"no prefill template yet (due T-4); ","")&amp;IF(COUNTIF(links!$D$2:$D$501,$D299)&gt;1,"DUPLICATE slug; ",""))</f>
        <v/>
      </c>
    </row>
    <row r="300">
      <c r="A300" s="25">
        <f>IF(INDEX(approvals!$A$2:$A$251,INT((ROW()-2)/2)+1)="","",INDEX(approvals!$A$2:$A$251,INT((ROW()-2)/2)+1))</f>
        <v/>
      </c>
      <c r="B300" s="25">
        <f>IF(INDEX(approvals!$A$2:$A$251,INT((ROW()-2)/2)+1)="","",INDEX(approvals!$B$2:$B$251,INT((ROW()-2)/2)+1))</f>
        <v/>
      </c>
      <c r="C300" s="25">
        <f>IF($A300="","",IF(MOD(ROW()-2,2)=0,"qr","post"))</f>
        <v/>
      </c>
      <c r="D300" s="25">
        <f>IF($A300="","",IF(LEFT($A300,7)="SAMPLE-","SAMPLE-","")&amp;LOWER(SUBSTITUTE(SUBSTITUTE($A300,"SAMPLE-",""),"CMP-","c"))&amp;"-"&amp;LOWER(SUBSTITUTE(SUBSTITUTE($B300,"SAMPLE-",""),"O-","o"))&amp;"-"&amp;IF($C300="qr","q","p"))</f>
        <v/>
      </c>
      <c r="E300" s="25">
        <f>IF($A300="","","https://"&amp;config!$B$9&amp;"/"&amp;$D300)</f>
        <v/>
      </c>
      <c r="F300" s="25">
        <f>IF($A300="","",$A300&amp;"."&amp;$B300)</f>
        <v/>
      </c>
      <c r="G300" s="25">
        <f>IF($A300="","",IF(IFERROR(IF(INDEX(campaigns!$AJ$2:$AJ$51,MATCH($A300,campaigns!$A$2:$A$51,0))="","",INDEX(campaigns!$AJ$2:$AJ$51,MATCH($A300,campaigns!$A$2:$A$51,0))),"")="","(add the survey prefill template on campaigns)",SUBSTITUTE(IFERROR(IF(INDEX(campaigns!$AJ$2:$AJ$51,MATCH($A300,campaigns!$A$2:$A$51,0))="","",INDEX(campaigns!$AJ$2:$AJ$51,MATCH($A300,campaigns!$A$2:$A$51,0))),""),"CARDCODE",$F300)&amp;"&amp;utm_source=office-pantry&amp;utm_medium="&amp;$C300&amp;"&amp;utm_campaign="&amp;LOWER($A300)&amp;"&amp;utm_content="&amp;LOWER($B300)))</f>
        <v/>
      </c>
      <c r="H300" s="25">
        <f>IF(OR($A300="",$C300&lt;&gt;"qr"),"",$D300&amp;".png")</f>
        <v/>
      </c>
      <c r="I300" s="25">
        <f>IF($A300="","",IF(AND(IFERROR(IF(INDEX(campaigns!$AJ$2:$AJ$51,MATCH($A300,campaigns!$A$2:$A$51,0))="","",INDEX(campaigns!$AJ$2:$AJ$51,MATCH($A300,campaigns!$A$2:$A$51,0))),"")="",IFERROR(IF(INDEX(campaigns!$BG$2:$BG$51,MATCH($A300,campaigns!$A$2:$A$51,0))="","",INDEX(campaigns!$BG$2:$BG$51,MATCH($A300,campaigns!$A$2:$A$51,0))),"")&lt;&gt;"",IF(config!$B$37&lt;&gt;"",config!$B$37,TODAY())&gt;=WORKDAY(N(IFERROR(IF(INDEX(campaigns!$BG$2:$BG$51,MATCH($A300,campaigns!$A$2:$A$51,0))="","",INDEX(campaigns!$BG$2:$BG$51,MATCH($A300,campaigns!$A$2:$A$51,0))),"")),-4,calendar!$A$2:$A$80)),"no prefill template yet (due T-4); ","")&amp;IF(COUNTIF(links!$D$2:$D$501,$D300)&gt;1,"DUPLICATE slug; ",""))</f>
        <v/>
      </c>
    </row>
    <row r="301">
      <c r="A301" s="25">
        <f>IF(INDEX(approvals!$A$2:$A$251,INT((ROW()-2)/2)+1)="","",INDEX(approvals!$A$2:$A$251,INT((ROW()-2)/2)+1))</f>
        <v/>
      </c>
      <c r="B301" s="25">
        <f>IF(INDEX(approvals!$A$2:$A$251,INT((ROW()-2)/2)+1)="","",INDEX(approvals!$B$2:$B$251,INT((ROW()-2)/2)+1))</f>
        <v/>
      </c>
      <c r="C301" s="25">
        <f>IF($A301="","",IF(MOD(ROW()-2,2)=0,"qr","post"))</f>
        <v/>
      </c>
      <c r="D301" s="25">
        <f>IF($A301="","",IF(LEFT($A301,7)="SAMPLE-","SAMPLE-","")&amp;LOWER(SUBSTITUTE(SUBSTITUTE($A301,"SAMPLE-",""),"CMP-","c"))&amp;"-"&amp;LOWER(SUBSTITUTE(SUBSTITUTE($B301,"SAMPLE-",""),"O-","o"))&amp;"-"&amp;IF($C301="qr","q","p"))</f>
        <v/>
      </c>
      <c r="E301" s="25">
        <f>IF($A301="","","https://"&amp;config!$B$9&amp;"/"&amp;$D301)</f>
        <v/>
      </c>
      <c r="F301" s="25">
        <f>IF($A301="","",$A301&amp;"."&amp;$B301)</f>
        <v/>
      </c>
      <c r="G301" s="25">
        <f>IF($A301="","",IF(IFERROR(IF(INDEX(campaigns!$AJ$2:$AJ$51,MATCH($A301,campaigns!$A$2:$A$51,0))="","",INDEX(campaigns!$AJ$2:$AJ$51,MATCH($A301,campaigns!$A$2:$A$51,0))),"")="","(add the survey prefill template on campaigns)",SUBSTITUTE(IFERROR(IF(INDEX(campaigns!$AJ$2:$AJ$51,MATCH($A301,campaigns!$A$2:$A$51,0))="","",INDEX(campaigns!$AJ$2:$AJ$51,MATCH($A301,campaigns!$A$2:$A$51,0))),""),"CARDCODE",$F301)&amp;"&amp;utm_source=office-pantry&amp;utm_medium="&amp;$C301&amp;"&amp;utm_campaign="&amp;LOWER($A301)&amp;"&amp;utm_content="&amp;LOWER($B301)))</f>
        <v/>
      </c>
      <c r="H301" s="25">
        <f>IF(OR($A301="",$C301&lt;&gt;"qr"),"",$D301&amp;".png")</f>
        <v/>
      </c>
      <c r="I301" s="25">
        <f>IF($A301="","",IF(AND(IFERROR(IF(INDEX(campaigns!$AJ$2:$AJ$51,MATCH($A301,campaigns!$A$2:$A$51,0))="","",INDEX(campaigns!$AJ$2:$AJ$51,MATCH($A301,campaigns!$A$2:$A$51,0))),"")="",IFERROR(IF(INDEX(campaigns!$BG$2:$BG$51,MATCH($A301,campaigns!$A$2:$A$51,0))="","",INDEX(campaigns!$BG$2:$BG$51,MATCH($A301,campaigns!$A$2:$A$51,0))),"")&lt;&gt;"",IF(config!$B$37&lt;&gt;"",config!$B$37,TODAY())&gt;=WORKDAY(N(IFERROR(IF(INDEX(campaigns!$BG$2:$BG$51,MATCH($A301,campaigns!$A$2:$A$51,0))="","",INDEX(campaigns!$BG$2:$BG$51,MATCH($A301,campaigns!$A$2:$A$51,0))),"")),-4,calendar!$A$2:$A$80)),"no prefill template yet (due T-4); ","")&amp;IF(COUNTIF(links!$D$2:$D$501,$D301)&gt;1,"DUPLICATE slug; ",""))</f>
        <v/>
      </c>
    </row>
    <row r="302">
      <c r="A302" s="25">
        <f>IF(INDEX(approvals!$A$2:$A$251,INT((ROW()-2)/2)+1)="","",INDEX(approvals!$A$2:$A$251,INT((ROW()-2)/2)+1))</f>
        <v/>
      </c>
      <c r="B302" s="25">
        <f>IF(INDEX(approvals!$A$2:$A$251,INT((ROW()-2)/2)+1)="","",INDEX(approvals!$B$2:$B$251,INT((ROW()-2)/2)+1))</f>
        <v/>
      </c>
      <c r="C302" s="25">
        <f>IF($A302="","",IF(MOD(ROW()-2,2)=0,"qr","post"))</f>
        <v/>
      </c>
      <c r="D302" s="25">
        <f>IF($A302="","",IF(LEFT($A302,7)="SAMPLE-","SAMPLE-","")&amp;LOWER(SUBSTITUTE(SUBSTITUTE($A302,"SAMPLE-",""),"CMP-","c"))&amp;"-"&amp;LOWER(SUBSTITUTE(SUBSTITUTE($B302,"SAMPLE-",""),"O-","o"))&amp;"-"&amp;IF($C302="qr","q","p"))</f>
        <v/>
      </c>
      <c r="E302" s="25">
        <f>IF($A302="","","https://"&amp;config!$B$9&amp;"/"&amp;$D302)</f>
        <v/>
      </c>
      <c r="F302" s="25">
        <f>IF($A302="","",$A302&amp;"."&amp;$B302)</f>
        <v/>
      </c>
      <c r="G302" s="25">
        <f>IF($A302="","",IF(IFERROR(IF(INDEX(campaigns!$AJ$2:$AJ$51,MATCH($A302,campaigns!$A$2:$A$51,0))="","",INDEX(campaigns!$AJ$2:$AJ$51,MATCH($A302,campaigns!$A$2:$A$51,0))),"")="","(add the survey prefill template on campaigns)",SUBSTITUTE(IFERROR(IF(INDEX(campaigns!$AJ$2:$AJ$51,MATCH($A302,campaigns!$A$2:$A$51,0))="","",INDEX(campaigns!$AJ$2:$AJ$51,MATCH($A302,campaigns!$A$2:$A$51,0))),""),"CARDCODE",$F302)&amp;"&amp;utm_source=office-pantry&amp;utm_medium="&amp;$C302&amp;"&amp;utm_campaign="&amp;LOWER($A302)&amp;"&amp;utm_content="&amp;LOWER($B302)))</f>
        <v/>
      </c>
      <c r="H302" s="25">
        <f>IF(OR($A302="",$C302&lt;&gt;"qr"),"",$D302&amp;".png")</f>
        <v/>
      </c>
      <c r="I302" s="25">
        <f>IF($A302="","",IF(AND(IFERROR(IF(INDEX(campaigns!$AJ$2:$AJ$51,MATCH($A302,campaigns!$A$2:$A$51,0))="","",INDEX(campaigns!$AJ$2:$AJ$51,MATCH($A302,campaigns!$A$2:$A$51,0))),"")="",IFERROR(IF(INDEX(campaigns!$BG$2:$BG$51,MATCH($A302,campaigns!$A$2:$A$51,0))="","",INDEX(campaigns!$BG$2:$BG$51,MATCH($A302,campaigns!$A$2:$A$51,0))),"")&lt;&gt;"",IF(config!$B$37&lt;&gt;"",config!$B$37,TODAY())&gt;=WORKDAY(N(IFERROR(IF(INDEX(campaigns!$BG$2:$BG$51,MATCH($A302,campaigns!$A$2:$A$51,0))="","",INDEX(campaigns!$BG$2:$BG$51,MATCH($A302,campaigns!$A$2:$A$51,0))),"")),-4,calendar!$A$2:$A$80)),"no prefill template yet (due T-4); ","")&amp;IF(COUNTIF(links!$D$2:$D$501,$D302)&gt;1,"DUPLICATE slug; ",""))</f>
        <v/>
      </c>
    </row>
    <row r="303">
      <c r="A303" s="25">
        <f>IF(INDEX(approvals!$A$2:$A$251,INT((ROW()-2)/2)+1)="","",INDEX(approvals!$A$2:$A$251,INT((ROW()-2)/2)+1))</f>
        <v/>
      </c>
      <c r="B303" s="25">
        <f>IF(INDEX(approvals!$A$2:$A$251,INT((ROW()-2)/2)+1)="","",INDEX(approvals!$B$2:$B$251,INT((ROW()-2)/2)+1))</f>
        <v/>
      </c>
      <c r="C303" s="25">
        <f>IF($A303="","",IF(MOD(ROW()-2,2)=0,"qr","post"))</f>
        <v/>
      </c>
      <c r="D303" s="25">
        <f>IF($A303="","",IF(LEFT($A303,7)="SAMPLE-","SAMPLE-","")&amp;LOWER(SUBSTITUTE(SUBSTITUTE($A303,"SAMPLE-",""),"CMP-","c"))&amp;"-"&amp;LOWER(SUBSTITUTE(SUBSTITUTE($B303,"SAMPLE-",""),"O-","o"))&amp;"-"&amp;IF($C303="qr","q","p"))</f>
        <v/>
      </c>
      <c r="E303" s="25">
        <f>IF($A303="","","https://"&amp;config!$B$9&amp;"/"&amp;$D303)</f>
        <v/>
      </c>
      <c r="F303" s="25">
        <f>IF($A303="","",$A303&amp;"."&amp;$B303)</f>
        <v/>
      </c>
      <c r="G303" s="25">
        <f>IF($A303="","",IF(IFERROR(IF(INDEX(campaigns!$AJ$2:$AJ$51,MATCH($A303,campaigns!$A$2:$A$51,0))="","",INDEX(campaigns!$AJ$2:$AJ$51,MATCH($A303,campaigns!$A$2:$A$51,0))),"")="","(add the survey prefill template on campaigns)",SUBSTITUTE(IFERROR(IF(INDEX(campaigns!$AJ$2:$AJ$51,MATCH($A303,campaigns!$A$2:$A$51,0))="","",INDEX(campaigns!$AJ$2:$AJ$51,MATCH($A303,campaigns!$A$2:$A$51,0))),""),"CARDCODE",$F303)&amp;"&amp;utm_source=office-pantry&amp;utm_medium="&amp;$C303&amp;"&amp;utm_campaign="&amp;LOWER($A303)&amp;"&amp;utm_content="&amp;LOWER($B303)))</f>
        <v/>
      </c>
      <c r="H303" s="25">
        <f>IF(OR($A303="",$C303&lt;&gt;"qr"),"",$D303&amp;".png")</f>
        <v/>
      </c>
      <c r="I303" s="25">
        <f>IF($A303="","",IF(AND(IFERROR(IF(INDEX(campaigns!$AJ$2:$AJ$51,MATCH($A303,campaigns!$A$2:$A$51,0))="","",INDEX(campaigns!$AJ$2:$AJ$51,MATCH($A303,campaigns!$A$2:$A$51,0))),"")="",IFERROR(IF(INDEX(campaigns!$BG$2:$BG$51,MATCH($A303,campaigns!$A$2:$A$51,0))="","",INDEX(campaigns!$BG$2:$BG$51,MATCH($A303,campaigns!$A$2:$A$51,0))),"")&lt;&gt;"",IF(config!$B$37&lt;&gt;"",config!$B$37,TODAY())&gt;=WORKDAY(N(IFERROR(IF(INDEX(campaigns!$BG$2:$BG$51,MATCH($A303,campaigns!$A$2:$A$51,0))="","",INDEX(campaigns!$BG$2:$BG$51,MATCH($A303,campaigns!$A$2:$A$51,0))),"")),-4,calendar!$A$2:$A$80)),"no prefill template yet (due T-4); ","")&amp;IF(COUNTIF(links!$D$2:$D$501,$D303)&gt;1,"DUPLICATE slug; ",""))</f>
        <v/>
      </c>
    </row>
    <row r="304">
      <c r="A304" s="25">
        <f>IF(INDEX(approvals!$A$2:$A$251,INT((ROW()-2)/2)+1)="","",INDEX(approvals!$A$2:$A$251,INT((ROW()-2)/2)+1))</f>
        <v/>
      </c>
      <c r="B304" s="25">
        <f>IF(INDEX(approvals!$A$2:$A$251,INT((ROW()-2)/2)+1)="","",INDEX(approvals!$B$2:$B$251,INT((ROW()-2)/2)+1))</f>
        <v/>
      </c>
      <c r="C304" s="25">
        <f>IF($A304="","",IF(MOD(ROW()-2,2)=0,"qr","post"))</f>
        <v/>
      </c>
      <c r="D304" s="25">
        <f>IF($A304="","",IF(LEFT($A304,7)="SAMPLE-","SAMPLE-","")&amp;LOWER(SUBSTITUTE(SUBSTITUTE($A304,"SAMPLE-",""),"CMP-","c"))&amp;"-"&amp;LOWER(SUBSTITUTE(SUBSTITUTE($B304,"SAMPLE-",""),"O-","o"))&amp;"-"&amp;IF($C304="qr","q","p"))</f>
        <v/>
      </c>
      <c r="E304" s="25">
        <f>IF($A304="","","https://"&amp;config!$B$9&amp;"/"&amp;$D304)</f>
        <v/>
      </c>
      <c r="F304" s="25">
        <f>IF($A304="","",$A304&amp;"."&amp;$B304)</f>
        <v/>
      </c>
      <c r="G304" s="25">
        <f>IF($A304="","",IF(IFERROR(IF(INDEX(campaigns!$AJ$2:$AJ$51,MATCH($A304,campaigns!$A$2:$A$51,0))="","",INDEX(campaigns!$AJ$2:$AJ$51,MATCH($A304,campaigns!$A$2:$A$51,0))),"")="","(add the survey prefill template on campaigns)",SUBSTITUTE(IFERROR(IF(INDEX(campaigns!$AJ$2:$AJ$51,MATCH($A304,campaigns!$A$2:$A$51,0))="","",INDEX(campaigns!$AJ$2:$AJ$51,MATCH($A304,campaigns!$A$2:$A$51,0))),""),"CARDCODE",$F304)&amp;"&amp;utm_source=office-pantry&amp;utm_medium="&amp;$C304&amp;"&amp;utm_campaign="&amp;LOWER($A304)&amp;"&amp;utm_content="&amp;LOWER($B304)))</f>
        <v/>
      </c>
      <c r="H304" s="25">
        <f>IF(OR($A304="",$C304&lt;&gt;"qr"),"",$D304&amp;".png")</f>
        <v/>
      </c>
      <c r="I304" s="25">
        <f>IF($A304="","",IF(AND(IFERROR(IF(INDEX(campaigns!$AJ$2:$AJ$51,MATCH($A304,campaigns!$A$2:$A$51,0))="","",INDEX(campaigns!$AJ$2:$AJ$51,MATCH($A304,campaigns!$A$2:$A$51,0))),"")="",IFERROR(IF(INDEX(campaigns!$BG$2:$BG$51,MATCH($A304,campaigns!$A$2:$A$51,0))="","",INDEX(campaigns!$BG$2:$BG$51,MATCH($A304,campaigns!$A$2:$A$51,0))),"")&lt;&gt;"",IF(config!$B$37&lt;&gt;"",config!$B$37,TODAY())&gt;=WORKDAY(N(IFERROR(IF(INDEX(campaigns!$BG$2:$BG$51,MATCH($A304,campaigns!$A$2:$A$51,0))="","",INDEX(campaigns!$BG$2:$BG$51,MATCH($A304,campaigns!$A$2:$A$51,0))),"")),-4,calendar!$A$2:$A$80)),"no prefill template yet (due T-4); ","")&amp;IF(COUNTIF(links!$D$2:$D$501,$D304)&gt;1,"DUPLICATE slug; ",""))</f>
        <v/>
      </c>
    </row>
    <row r="305">
      <c r="A305" s="25">
        <f>IF(INDEX(approvals!$A$2:$A$251,INT((ROW()-2)/2)+1)="","",INDEX(approvals!$A$2:$A$251,INT((ROW()-2)/2)+1))</f>
        <v/>
      </c>
      <c r="B305" s="25">
        <f>IF(INDEX(approvals!$A$2:$A$251,INT((ROW()-2)/2)+1)="","",INDEX(approvals!$B$2:$B$251,INT((ROW()-2)/2)+1))</f>
        <v/>
      </c>
      <c r="C305" s="25">
        <f>IF($A305="","",IF(MOD(ROW()-2,2)=0,"qr","post"))</f>
        <v/>
      </c>
      <c r="D305" s="25">
        <f>IF($A305="","",IF(LEFT($A305,7)="SAMPLE-","SAMPLE-","")&amp;LOWER(SUBSTITUTE(SUBSTITUTE($A305,"SAMPLE-",""),"CMP-","c"))&amp;"-"&amp;LOWER(SUBSTITUTE(SUBSTITUTE($B305,"SAMPLE-",""),"O-","o"))&amp;"-"&amp;IF($C305="qr","q","p"))</f>
        <v/>
      </c>
      <c r="E305" s="25">
        <f>IF($A305="","","https://"&amp;config!$B$9&amp;"/"&amp;$D305)</f>
        <v/>
      </c>
      <c r="F305" s="25">
        <f>IF($A305="","",$A305&amp;"."&amp;$B305)</f>
        <v/>
      </c>
      <c r="G305" s="25">
        <f>IF($A305="","",IF(IFERROR(IF(INDEX(campaigns!$AJ$2:$AJ$51,MATCH($A305,campaigns!$A$2:$A$51,0))="","",INDEX(campaigns!$AJ$2:$AJ$51,MATCH($A305,campaigns!$A$2:$A$51,0))),"")="","(add the survey prefill template on campaigns)",SUBSTITUTE(IFERROR(IF(INDEX(campaigns!$AJ$2:$AJ$51,MATCH($A305,campaigns!$A$2:$A$51,0))="","",INDEX(campaigns!$AJ$2:$AJ$51,MATCH($A305,campaigns!$A$2:$A$51,0))),""),"CARDCODE",$F305)&amp;"&amp;utm_source=office-pantry&amp;utm_medium="&amp;$C305&amp;"&amp;utm_campaign="&amp;LOWER($A305)&amp;"&amp;utm_content="&amp;LOWER($B305)))</f>
        <v/>
      </c>
      <c r="H305" s="25">
        <f>IF(OR($A305="",$C305&lt;&gt;"qr"),"",$D305&amp;".png")</f>
        <v/>
      </c>
      <c r="I305" s="25">
        <f>IF($A305="","",IF(AND(IFERROR(IF(INDEX(campaigns!$AJ$2:$AJ$51,MATCH($A305,campaigns!$A$2:$A$51,0))="","",INDEX(campaigns!$AJ$2:$AJ$51,MATCH($A305,campaigns!$A$2:$A$51,0))),"")="",IFERROR(IF(INDEX(campaigns!$BG$2:$BG$51,MATCH($A305,campaigns!$A$2:$A$51,0))="","",INDEX(campaigns!$BG$2:$BG$51,MATCH($A305,campaigns!$A$2:$A$51,0))),"")&lt;&gt;"",IF(config!$B$37&lt;&gt;"",config!$B$37,TODAY())&gt;=WORKDAY(N(IFERROR(IF(INDEX(campaigns!$BG$2:$BG$51,MATCH($A305,campaigns!$A$2:$A$51,0))="","",INDEX(campaigns!$BG$2:$BG$51,MATCH($A305,campaigns!$A$2:$A$51,0))),"")),-4,calendar!$A$2:$A$80)),"no prefill template yet (due T-4); ","")&amp;IF(COUNTIF(links!$D$2:$D$501,$D305)&gt;1,"DUPLICATE slug; ",""))</f>
        <v/>
      </c>
    </row>
    <row r="306">
      <c r="A306" s="25">
        <f>IF(INDEX(approvals!$A$2:$A$251,INT((ROW()-2)/2)+1)="","",INDEX(approvals!$A$2:$A$251,INT((ROW()-2)/2)+1))</f>
        <v/>
      </c>
      <c r="B306" s="25">
        <f>IF(INDEX(approvals!$A$2:$A$251,INT((ROW()-2)/2)+1)="","",INDEX(approvals!$B$2:$B$251,INT((ROW()-2)/2)+1))</f>
        <v/>
      </c>
      <c r="C306" s="25">
        <f>IF($A306="","",IF(MOD(ROW()-2,2)=0,"qr","post"))</f>
        <v/>
      </c>
      <c r="D306" s="25">
        <f>IF($A306="","",IF(LEFT($A306,7)="SAMPLE-","SAMPLE-","")&amp;LOWER(SUBSTITUTE(SUBSTITUTE($A306,"SAMPLE-",""),"CMP-","c"))&amp;"-"&amp;LOWER(SUBSTITUTE(SUBSTITUTE($B306,"SAMPLE-",""),"O-","o"))&amp;"-"&amp;IF($C306="qr","q","p"))</f>
        <v/>
      </c>
      <c r="E306" s="25">
        <f>IF($A306="","","https://"&amp;config!$B$9&amp;"/"&amp;$D306)</f>
        <v/>
      </c>
      <c r="F306" s="25">
        <f>IF($A306="","",$A306&amp;"."&amp;$B306)</f>
        <v/>
      </c>
      <c r="G306" s="25">
        <f>IF($A306="","",IF(IFERROR(IF(INDEX(campaigns!$AJ$2:$AJ$51,MATCH($A306,campaigns!$A$2:$A$51,0))="","",INDEX(campaigns!$AJ$2:$AJ$51,MATCH($A306,campaigns!$A$2:$A$51,0))),"")="","(add the survey prefill template on campaigns)",SUBSTITUTE(IFERROR(IF(INDEX(campaigns!$AJ$2:$AJ$51,MATCH($A306,campaigns!$A$2:$A$51,0))="","",INDEX(campaigns!$AJ$2:$AJ$51,MATCH($A306,campaigns!$A$2:$A$51,0))),""),"CARDCODE",$F306)&amp;"&amp;utm_source=office-pantry&amp;utm_medium="&amp;$C306&amp;"&amp;utm_campaign="&amp;LOWER($A306)&amp;"&amp;utm_content="&amp;LOWER($B306)))</f>
        <v/>
      </c>
      <c r="H306" s="25">
        <f>IF(OR($A306="",$C306&lt;&gt;"qr"),"",$D306&amp;".png")</f>
        <v/>
      </c>
      <c r="I306" s="25">
        <f>IF($A306="","",IF(AND(IFERROR(IF(INDEX(campaigns!$AJ$2:$AJ$51,MATCH($A306,campaigns!$A$2:$A$51,0))="","",INDEX(campaigns!$AJ$2:$AJ$51,MATCH($A306,campaigns!$A$2:$A$51,0))),"")="",IFERROR(IF(INDEX(campaigns!$BG$2:$BG$51,MATCH($A306,campaigns!$A$2:$A$51,0))="","",INDEX(campaigns!$BG$2:$BG$51,MATCH($A306,campaigns!$A$2:$A$51,0))),"")&lt;&gt;"",IF(config!$B$37&lt;&gt;"",config!$B$37,TODAY())&gt;=WORKDAY(N(IFERROR(IF(INDEX(campaigns!$BG$2:$BG$51,MATCH($A306,campaigns!$A$2:$A$51,0))="","",INDEX(campaigns!$BG$2:$BG$51,MATCH($A306,campaigns!$A$2:$A$51,0))),"")),-4,calendar!$A$2:$A$80)),"no prefill template yet (due T-4); ","")&amp;IF(COUNTIF(links!$D$2:$D$501,$D306)&gt;1,"DUPLICATE slug; ",""))</f>
        <v/>
      </c>
    </row>
    <row r="307">
      <c r="A307" s="25">
        <f>IF(INDEX(approvals!$A$2:$A$251,INT((ROW()-2)/2)+1)="","",INDEX(approvals!$A$2:$A$251,INT((ROW()-2)/2)+1))</f>
        <v/>
      </c>
      <c r="B307" s="25">
        <f>IF(INDEX(approvals!$A$2:$A$251,INT((ROW()-2)/2)+1)="","",INDEX(approvals!$B$2:$B$251,INT((ROW()-2)/2)+1))</f>
        <v/>
      </c>
      <c r="C307" s="25">
        <f>IF($A307="","",IF(MOD(ROW()-2,2)=0,"qr","post"))</f>
        <v/>
      </c>
      <c r="D307" s="25">
        <f>IF($A307="","",IF(LEFT($A307,7)="SAMPLE-","SAMPLE-","")&amp;LOWER(SUBSTITUTE(SUBSTITUTE($A307,"SAMPLE-",""),"CMP-","c"))&amp;"-"&amp;LOWER(SUBSTITUTE(SUBSTITUTE($B307,"SAMPLE-",""),"O-","o"))&amp;"-"&amp;IF($C307="qr","q","p"))</f>
        <v/>
      </c>
      <c r="E307" s="25">
        <f>IF($A307="","","https://"&amp;config!$B$9&amp;"/"&amp;$D307)</f>
        <v/>
      </c>
      <c r="F307" s="25">
        <f>IF($A307="","",$A307&amp;"."&amp;$B307)</f>
        <v/>
      </c>
      <c r="G307" s="25">
        <f>IF($A307="","",IF(IFERROR(IF(INDEX(campaigns!$AJ$2:$AJ$51,MATCH($A307,campaigns!$A$2:$A$51,0))="","",INDEX(campaigns!$AJ$2:$AJ$51,MATCH($A307,campaigns!$A$2:$A$51,0))),"")="","(add the survey prefill template on campaigns)",SUBSTITUTE(IFERROR(IF(INDEX(campaigns!$AJ$2:$AJ$51,MATCH($A307,campaigns!$A$2:$A$51,0))="","",INDEX(campaigns!$AJ$2:$AJ$51,MATCH($A307,campaigns!$A$2:$A$51,0))),""),"CARDCODE",$F307)&amp;"&amp;utm_source=office-pantry&amp;utm_medium="&amp;$C307&amp;"&amp;utm_campaign="&amp;LOWER($A307)&amp;"&amp;utm_content="&amp;LOWER($B307)))</f>
        <v/>
      </c>
      <c r="H307" s="25">
        <f>IF(OR($A307="",$C307&lt;&gt;"qr"),"",$D307&amp;".png")</f>
        <v/>
      </c>
      <c r="I307" s="25">
        <f>IF($A307="","",IF(AND(IFERROR(IF(INDEX(campaigns!$AJ$2:$AJ$51,MATCH($A307,campaigns!$A$2:$A$51,0))="","",INDEX(campaigns!$AJ$2:$AJ$51,MATCH($A307,campaigns!$A$2:$A$51,0))),"")="",IFERROR(IF(INDEX(campaigns!$BG$2:$BG$51,MATCH($A307,campaigns!$A$2:$A$51,0))="","",INDEX(campaigns!$BG$2:$BG$51,MATCH($A307,campaigns!$A$2:$A$51,0))),"")&lt;&gt;"",IF(config!$B$37&lt;&gt;"",config!$B$37,TODAY())&gt;=WORKDAY(N(IFERROR(IF(INDEX(campaigns!$BG$2:$BG$51,MATCH($A307,campaigns!$A$2:$A$51,0))="","",INDEX(campaigns!$BG$2:$BG$51,MATCH($A307,campaigns!$A$2:$A$51,0))),"")),-4,calendar!$A$2:$A$80)),"no prefill template yet (due T-4); ","")&amp;IF(COUNTIF(links!$D$2:$D$501,$D307)&gt;1,"DUPLICATE slug; ",""))</f>
        <v/>
      </c>
    </row>
    <row r="308">
      <c r="A308" s="25">
        <f>IF(INDEX(approvals!$A$2:$A$251,INT((ROW()-2)/2)+1)="","",INDEX(approvals!$A$2:$A$251,INT((ROW()-2)/2)+1))</f>
        <v/>
      </c>
      <c r="B308" s="25">
        <f>IF(INDEX(approvals!$A$2:$A$251,INT((ROW()-2)/2)+1)="","",INDEX(approvals!$B$2:$B$251,INT((ROW()-2)/2)+1))</f>
        <v/>
      </c>
      <c r="C308" s="25">
        <f>IF($A308="","",IF(MOD(ROW()-2,2)=0,"qr","post"))</f>
        <v/>
      </c>
      <c r="D308" s="25">
        <f>IF($A308="","",IF(LEFT($A308,7)="SAMPLE-","SAMPLE-","")&amp;LOWER(SUBSTITUTE(SUBSTITUTE($A308,"SAMPLE-",""),"CMP-","c"))&amp;"-"&amp;LOWER(SUBSTITUTE(SUBSTITUTE($B308,"SAMPLE-",""),"O-","o"))&amp;"-"&amp;IF($C308="qr","q","p"))</f>
        <v/>
      </c>
      <c r="E308" s="25">
        <f>IF($A308="","","https://"&amp;config!$B$9&amp;"/"&amp;$D308)</f>
        <v/>
      </c>
      <c r="F308" s="25">
        <f>IF($A308="","",$A308&amp;"."&amp;$B308)</f>
        <v/>
      </c>
      <c r="G308" s="25">
        <f>IF($A308="","",IF(IFERROR(IF(INDEX(campaigns!$AJ$2:$AJ$51,MATCH($A308,campaigns!$A$2:$A$51,0))="","",INDEX(campaigns!$AJ$2:$AJ$51,MATCH($A308,campaigns!$A$2:$A$51,0))),"")="","(add the survey prefill template on campaigns)",SUBSTITUTE(IFERROR(IF(INDEX(campaigns!$AJ$2:$AJ$51,MATCH($A308,campaigns!$A$2:$A$51,0))="","",INDEX(campaigns!$AJ$2:$AJ$51,MATCH($A308,campaigns!$A$2:$A$51,0))),""),"CARDCODE",$F308)&amp;"&amp;utm_source=office-pantry&amp;utm_medium="&amp;$C308&amp;"&amp;utm_campaign="&amp;LOWER($A308)&amp;"&amp;utm_content="&amp;LOWER($B308)))</f>
        <v/>
      </c>
      <c r="H308" s="25">
        <f>IF(OR($A308="",$C308&lt;&gt;"qr"),"",$D308&amp;".png")</f>
        <v/>
      </c>
      <c r="I308" s="25">
        <f>IF($A308="","",IF(AND(IFERROR(IF(INDEX(campaigns!$AJ$2:$AJ$51,MATCH($A308,campaigns!$A$2:$A$51,0))="","",INDEX(campaigns!$AJ$2:$AJ$51,MATCH($A308,campaigns!$A$2:$A$51,0))),"")="",IFERROR(IF(INDEX(campaigns!$BG$2:$BG$51,MATCH($A308,campaigns!$A$2:$A$51,0))="","",INDEX(campaigns!$BG$2:$BG$51,MATCH($A308,campaigns!$A$2:$A$51,0))),"")&lt;&gt;"",IF(config!$B$37&lt;&gt;"",config!$B$37,TODAY())&gt;=WORKDAY(N(IFERROR(IF(INDEX(campaigns!$BG$2:$BG$51,MATCH($A308,campaigns!$A$2:$A$51,0))="","",INDEX(campaigns!$BG$2:$BG$51,MATCH($A308,campaigns!$A$2:$A$51,0))),"")),-4,calendar!$A$2:$A$80)),"no prefill template yet (due T-4); ","")&amp;IF(COUNTIF(links!$D$2:$D$501,$D308)&gt;1,"DUPLICATE slug; ",""))</f>
        <v/>
      </c>
    </row>
    <row r="309">
      <c r="A309" s="25">
        <f>IF(INDEX(approvals!$A$2:$A$251,INT((ROW()-2)/2)+1)="","",INDEX(approvals!$A$2:$A$251,INT((ROW()-2)/2)+1))</f>
        <v/>
      </c>
      <c r="B309" s="25">
        <f>IF(INDEX(approvals!$A$2:$A$251,INT((ROW()-2)/2)+1)="","",INDEX(approvals!$B$2:$B$251,INT((ROW()-2)/2)+1))</f>
        <v/>
      </c>
      <c r="C309" s="25">
        <f>IF($A309="","",IF(MOD(ROW()-2,2)=0,"qr","post"))</f>
        <v/>
      </c>
      <c r="D309" s="25">
        <f>IF($A309="","",IF(LEFT($A309,7)="SAMPLE-","SAMPLE-","")&amp;LOWER(SUBSTITUTE(SUBSTITUTE($A309,"SAMPLE-",""),"CMP-","c"))&amp;"-"&amp;LOWER(SUBSTITUTE(SUBSTITUTE($B309,"SAMPLE-",""),"O-","o"))&amp;"-"&amp;IF($C309="qr","q","p"))</f>
        <v/>
      </c>
      <c r="E309" s="25">
        <f>IF($A309="","","https://"&amp;config!$B$9&amp;"/"&amp;$D309)</f>
        <v/>
      </c>
      <c r="F309" s="25">
        <f>IF($A309="","",$A309&amp;"."&amp;$B309)</f>
        <v/>
      </c>
      <c r="G309" s="25">
        <f>IF($A309="","",IF(IFERROR(IF(INDEX(campaigns!$AJ$2:$AJ$51,MATCH($A309,campaigns!$A$2:$A$51,0))="","",INDEX(campaigns!$AJ$2:$AJ$51,MATCH($A309,campaigns!$A$2:$A$51,0))),"")="","(add the survey prefill template on campaigns)",SUBSTITUTE(IFERROR(IF(INDEX(campaigns!$AJ$2:$AJ$51,MATCH($A309,campaigns!$A$2:$A$51,0))="","",INDEX(campaigns!$AJ$2:$AJ$51,MATCH($A309,campaigns!$A$2:$A$51,0))),""),"CARDCODE",$F309)&amp;"&amp;utm_source=office-pantry&amp;utm_medium="&amp;$C309&amp;"&amp;utm_campaign="&amp;LOWER($A309)&amp;"&amp;utm_content="&amp;LOWER($B309)))</f>
        <v/>
      </c>
      <c r="H309" s="25">
        <f>IF(OR($A309="",$C309&lt;&gt;"qr"),"",$D309&amp;".png")</f>
        <v/>
      </c>
      <c r="I309" s="25">
        <f>IF($A309="","",IF(AND(IFERROR(IF(INDEX(campaigns!$AJ$2:$AJ$51,MATCH($A309,campaigns!$A$2:$A$51,0))="","",INDEX(campaigns!$AJ$2:$AJ$51,MATCH($A309,campaigns!$A$2:$A$51,0))),"")="",IFERROR(IF(INDEX(campaigns!$BG$2:$BG$51,MATCH($A309,campaigns!$A$2:$A$51,0))="","",INDEX(campaigns!$BG$2:$BG$51,MATCH($A309,campaigns!$A$2:$A$51,0))),"")&lt;&gt;"",IF(config!$B$37&lt;&gt;"",config!$B$37,TODAY())&gt;=WORKDAY(N(IFERROR(IF(INDEX(campaigns!$BG$2:$BG$51,MATCH($A309,campaigns!$A$2:$A$51,0))="","",INDEX(campaigns!$BG$2:$BG$51,MATCH($A309,campaigns!$A$2:$A$51,0))),"")),-4,calendar!$A$2:$A$80)),"no prefill template yet (due T-4); ","")&amp;IF(COUNTIF(links!$D$2:$D$501,$D309)&gt;1,"DUPLICATE slug; ",""))</f>
        <v/>
      </c>
    </row>
    <row r="310">
      <c r="A310" s="25">
        <f>IF(INDEX(approvals!$A$2:$A$251,INT((ROW()-2)/2)+1)="","",INDEX(approvals!$A$2:$A$251,INT((ROW()-2)/2)+1))</f>
        <v/>
      </c>
      <c r="B310" s="25">
        <f>IF(INDEX(approvals!$A$2:$A$251,INT((ROW()-2)/2)+1)="","",INDEX(approvals!$B$2:$B$251,INT((ROW()-2)/2)+1))</f>
        <v/>
      </c>
      <c r="C310" s="25">
        <f>IF($A310="","",IF(MOD(ROW()-2,2)=0,"qr","post"))</f>
        <v/>
      </c>
      <c r="D310" s="25">
        <f>IF($A310="","",IF(LEFT($A310,7)="SAMPLE-","SAMPLE-","")&amp;LOWER(SUBSTITUTE(SUBSTITUTE($A310,"SAMPLE-",""),"CMP-","c"))&amp;"-"&amp;LOWER(SUBSTITUTE(SUBSTITUTE($B310,"SAMPLE-",""),"O-","o"))&amp;"-"&amp;IF($C310="qr","q","p"))</f>
        <v/>
      </c>
      <c r="E310" s="25">
        <f>IF($A310="","","https://"&amp;config!$B$9&amp;"/"&amp;$D310)</f>
        <v/>
      </c>
      <c r="F310" s="25">
        <f>IF($A310="","",$A310&amp;"."&amp;$B310)</f>
        <v/>
      </c>
      <c r="G310" s="25">
        <f>IF($A310="","",IF(IFERROR(IF(INDEX(campaigns!$AJ$2:$AJ$51,MATCH($A310,campaigns!$A$2:$A$51,0))="","",INDEX(campaigns!$AJ$2:$AJ$51,MATCH($A310,campaigns!$A$2:$A$51,0))),"")="","(add the survey prefill template on campaigns)",SUBSTITUTE(IFERROR(IF(INDEX(campaigns!$AJ$2:$AJ$51,MATCH($A310,campaigns!$A$2:$A$51,0))="","",INDEX(campaigns!$AJ$2:$AJ$51,MATCH($A310,campaigns!$A$2:$A$51,0))),""),"CARDCODE",$F310)&amp;"&amp;utm_source=office-pantry&amp;utm_medium="&amp;$C310&amp;"&amp;utm_campaign="&amp;LOWER($A310)&amp;"&amp;utm_content="&amp;LOWER($B310)))</f>
        <v/>
      </c>
      <c r="H310" s="25">
        <f>IF(OR($A310="",$C310&lt;&gt;"qr"),"",$D310&amp;".png")</f>
        <v/>
      </c>
      <c r="I310" s="25">
        <f>IF($A310="","",IF(AND(IFERROR(IF(INDEX(campaigns!$AJ$2:$AJ$51,MATCH($A310,campaigns!$A$2:$A$51,0))="","",INDEX(campaigns!$AJ$2:$AJ$51,MATCH($A310,campaigns!$A$2:$A$51,0))),"")="",IFERROR(IF(INDEX(campaigns!$BG$2:$BG$51,MATCH($A310,campaigns!$A$2:$A$51,0))="","",INDEX(campaigns!$BG$2:$BG$51,MATCH($A310,campaigns!$A$2:$A$51,0))),"")&lt;&gt;"",IF(config!$B$37&lt;&gt;"",config!$B$37,TODAY())&gt;=WORKDAY(N(IFERROR(IF(INDEX(campaigns!$BG$2:$BG$51,MATCH($A310,campaigns!$A$2:$A$51,0))="","",INDEX(campaigns!$BG$2:$BG$51,MATCH($A310,campaigns!$A$2:$A$51,0))),"")),-4,calendar!$A$2:$A$80)),"no prefill template yet (due T-4); ","")&amp;IF(COUNTIF(links!$D$2:$D$501,$D310)&gt;1,"DUPLICATE slug; ",""))</f>
        <v/>
      </c>
    </row>
    <row r="311">
      <c r="A311" s="25">
        <f>IF(INDEX(approvals!$A$2:$A$251,INT((ROW()-2)/2)+1)="","",INDEX(approvals!$A$2:$A$251,INT((ROW()-2)/2)+1))</f>
        <v/>
      </c>
      <c r="B311" s="25">
        <f>IF(INDEX(approvals!$A$2:$A$251,INT((ROW()-2)/2)+1)="","",INDEX(approvals!$B$2:$B$251,INT((ROW()-2)/2)+1))</f>
        <v/>
      </c>
      <c r="C311" s="25">
        <f>IF($A311="","",IF(MOD(ROW()-2,2)=0,"qr","post"))</f>
        <v/>
      </c>
      <c r="D311" s="25">
        <f>IF($A311="","",IF(LEFT($A311,7)="SAMPLE-","SAMPLE-","")&amp;LOWER(SUBSTITUTE(SUBSTITUTE($A311,"SAMPLE-",""),"CMP-","c"))&amp;"-"&amp;LOWER(SUBSTITUTE(SUBSTITUTE($B311,"SAMPLE-",""),"O-","o"))&amp;"-"&amp;IF($C311="qr","q","p"))</f>
        <v/>
      </c>
      <c r="E311" s="25">
        <f>IF($A311="","","https://"&amp;config!$B$9&amp;"/"&amp;$D311)</f>
        <v/>
      </c>
      <c r="F311" s="25">
        <f>IF($A311="","",$A311&amp;"."&amp;$B311)</f>
        <v/>
      </c>
      <c r="G311" s="25">
        <f>IF($A311="","",IF(IFERROR(IF(INDEX(campaigns!$AJ$2:$AJ$51,MATCH($A311,campaigns!$A$2:$A$51,0))="","",INDEX(campaigns!$AJ$2:$AJ$51,MATCH($A311,campaigns!$A$2:$A$51,0))),"")="","(add the survey prefill template on campaigns)",SUBSTITUTE(IFERROR(IF(INDEX(campaigns!$AJ$2:$AJ$51,MATCH($A311,campaigns!$A$2:$A$51,0))="","",INDEX(campaigns!$AJ$2:$AJ$51,MATCH($A311,campaigns!$A$2:$A$51,0))),""),"CARDCODE",$F311)&amp;"&amp;utm_source=office-pantry&amp;utm_medium="&amp;$C311&amp;"&amp;utm_campaign="&amp;LOWER($A311)&amp;"&amp;utm_content="&amp;LOWER($B311)))</f>
        <v/>
      </c>
      <c r="H311" s="25">
        <f>IF(OR($A311="",$C311&lt;&gt;"qr"),"",$D311&amp;".png")</f>
        <v/>
      </c>
      <c r="I311" s="25">
        <f>IF($A311="","",IF(AND(IFERROR(IF(INDEX(campaigns!$AJ$2:$AJ$51,MATCH($A311,campaigns!$A$2:$A$51,0))="","",INDEX(campaigns!$AJ$2:$AJ$51,MATCH($A311,campaigns!$A$2:$A$51,0))),"")="",IFERROR(IF(INDEX(campaigns!$BG$2:$BG$51,MATCH($A311,campaigns!$A$2:$A$51,0))="","",INDEX(campaigns!$BG$2:$BG$51,MATCH($A311,campaigns!$A$2:$A$51,0))),"")&lt;&gt;"",IF(config!$B$37&lt;&gt;"",config!$B$37,TODAY())&gt;=WORKDAY(N(IFERROR(IF(INDEX(campaigns!$BG$2:$BG$51,MATCH($A311,campaigns!$A$2:$A$51,0))="","",INDEX(campaigns!$BG$2:$BG$51,MATCH($A311,campaigns!$A$2:$A$51,0))),"")),-4,calendar!$A$2:$A$80)),"no prefill template yet (due T-4); ","")&amp;IF(COUNTIF(links!$D$2:$D$501,$D311)&gt;1,"DUPLICATE slug; ",""))</f>
        <v/>
      </c>
    </row>
    <row r="312">
      <c r="A312" s="25">
        <f>IF(INDEX(approvals!$A$2:$A$251,INT((ROW()-2)/2)+1)="","",INDEX(approvals!$A$2:$A$251,INT((ROW()-2)/2)+1))</f>
        <v/>
      </c>
      <c r="B312" s="25">
        <f>IF(INDEX(approvals!$A$2:$A$251,INT((ROW()-2)/2)+1)="","",INDEX(approvals!$B$2:$B$251,INT((ROW()-2)/2)+1))</f>
        <v/>
      </c>
      <c r="C312" s="25">
        <f>IF($A312="","",IF(MOD(ROW()-2,2)=0,"qr","post"))</f>
        <v/>
      </c>
      <c r="D312" s="25">
        <f>IF($A312="","",IF(LEFT($A312,7)="SAMPLE-","SAMPLE-","")&amp;LOWER(SUBSTITUTE(SUBSTITUTE($A312,"SAMPLE-",""),"CMP-","c"))&amp;"-"&amp;LOWER(SUBSTITUTE(SUBSTITUTE($B312,"SAMPLE-",""),"O-","o"))&amp;"-"&amp;IF($C312="qr","q","p"))</f>
        <v/>
      </c>
      <c r="E312" s="25">
        <f>IF($A312="","","https://"&amp;config!$B$9&amp;"/"&amp;$D312)</f>
        <v/>
      </c>
      <c r="F312" s="25">
        <f>IF($A312="","",$A312&amp;"."&amp;$B312)</f>
        <v/>
      </c>
      <c r="G312" s="25">
        <f>IF($A312="","",IF(IFERROR(IF(INDEX(campaigns!$AJ$2:$AJ$51,MATCH($A312,campaigns!$A$2:$A$51,0))="","",INDEX(campaigns!$AJ$2:$AJ$51,MATCH($A312,campaigns!$A$2:$A$51,0))),"")="","(add the survey prefill template on campaigns)",SUBSTITUTE(IFERROR(IF(INDEX(campaigns!$AJ$2:$AJ$51,MATCH($A312,campaigns!$A$2:$A$51,0))="","",INDEX(campaigns!$AJ$2:$AJ$51,MATCH($A312,campaigns!$A$2:$A$51,0))),""),"CARDCODE",$F312)&amp;"&amp;utm_source=office-pantry&amp;utm_medium="&amp;$C312&amp;"&amp;utm_campaign="&amp;LOWER($A312)&amp;"&amp;utm_content="&amp;LOWER($B312)))</f>
        <v/>
      </c>
      <c r="H312" s="25">
        <f>IF(OR($A312="",$C312&lt;&gt;"qr"),"",$D312&amp;".png")</f>
        <v/>
      </c>
      <c r="I312" s="25">
        <f>IF($A312="","",IF(AND(IFERROR(IF(INDEX(campaigns!$AJ$2:$AJ$51,MATCH($A312,campaigns!$A$2:$A$51,0))="","",INDEX(campaigns!$AJ$2:$AJ$51,MATCH($A312,campaigns!$A$2:$A$51,0))),"")="",IFERROR(IF(INDEX(campaigns!$BG$2:$BG$51,MATCH($A312,campaigns!$A$2:$A$51,0))="","",INDEX(campaigns!$BG$2:$BG$51,MATCH($A312,campaigns!$A$2:$A$51,0))),"")&lt;&gt;"",IF(config!$B$37&lt;&gt;"",config!$B$37,TODAY())&gt;=WORKDAY(N(IFERROR(IF(INDEX(campaigns!$BG$2:$BG$51,MATCH($A312,campaigns!$A$2:$A$51,0))="","",INDEX(campaigns!$BG$2:$BG$51,MATCH($A312,campaigns!$A$2:$A$51,0))),"")),-4,calendar!$A$2:$A$80)),"no prefill template yet (due T-4); ","")&amp;IF(COUNTIF(links!$D$2:$D$501,$D312)&gt;1,"DUPLICATE slug; ",""))</f>
        <v/>
      </c>
    </row>
    <row r="313">
      <c r="A313" s="25">
        <f>IF(INDEX(approvals!$A$2:$A$251,INT((ROW()-2)/2)+1)="","",INDEX(approvals!$A$2:$A$251,INT((ROW()-2)/2)+1))</f>
        <v/>
      </c>
      <c r="B313" s="25">
        <f>IF(INDEX(approvals!$A$2:$A$251,INT((ROW()-2)/2)+1)="","",INDEX(approvals!$B$2:$B$251,INT((ROW()-2)/2)+1))</f>
        <v/>
      </c>
      <c r="C313" s="25">
        <f>IF($A313="","",IF(MOD(ROW()-2,2)=0,"qr","post"))</f>
        <v/>
      </c>
      <c r="D313" s="25">
        <f>IF($A313="","",IF(LEFT($A313,7)="SAMPLE-","SAMPLE-","")&amp;LOWER(SUBSTITUTE(SUBSTITUTE($A313,"SAMPLE-",""),"CMP-","c"))&amp;"-"&amp;LOWER(SUBSTITUTE(SUBSTITUTE($B313,"SAMPLE-",""),"O-","o"))&amp;"-"&amp;IF($C313="qr","q","p"))</f>
        <v/>
      </c>
      <c r="E313" s="25">
        <f>IF($A313="","","https://"&amp;config!$B$9&amp;"/"&amp;$D313)</f>
        <v/>
      </c>
      <c r="F313" s="25">
        <f>IF($A313="","",$A313&amp;"."&amp;$B313)</f>
        <v/>
      </c>
      <c r="G313" s="25">
        <f>IF($A313="","",IF(IFERROR(IF(INDEX(campaigns!$AJ$2:$AJ$51,MATCH($A313,campaigns!$A$2:$A$51,0))="","",INDEX(campaigns!$AJ$2:$AJ$51,MATCH($A313,campaigns!$A$2:$A$51,0))),"")="","(add the survey prefill template on campaigns)",SUBSTITUTE(IFERROR(IF(INDEX(campaigns!$AJ$2:$AJ$51,MATCH($A313,campaigns!$A$2:$A$51,0))="","",INDEX(campaigns!$AJ$2:$AJ$51,MATCH($A313,campaigns!$A$2:$A$51,0))),""),"CARDCODE",$F313)&amp;"&amp;utm_source=office-pantry&amp;utm_medium="&amp;$C313&amp;"&amp;utm_campaign="&amp;LOWER($A313)&amp;"&amp;utm_content="&amp;LOWER($B313)))</f>
        <v/>
      </c>
      <c r="H313" s="25">
        <f>IF(OR($A313="",$C313&lt;&gt;"qr"),"",$D313&amp;".png")</f>
        <v/>
      </c>
      <c r="I313" s="25">
        <f>IF($A313="","",IF(AND(IFERROR(IF(INDEX(campaigns!$AJ$2:$AJ$51,MATCH($A313,campaigns!$A$2:$A$51,0))="","",INDEX(campaigns!$AJ$2:$AJ$51,MATCH($A313,campaigns!$A$2:$A$51,0))),"")="",IFERROR(IF(INDEX(campaigns!$BG$2:$BG$51,MATCH($A313,campaigns!$A$2:$A$51,0))="","",INDEX(campaigns!$BG$2:$BG$51,MATCH($A313,campaigns!$A$2:$A$51,0))),"")&lt;&gt;"",IF(config!$B$37&lt;&gt;"",config!$B$37,TODAY())&gt;=WORKDAY(N(IFERROR(IF(INDEX(campaigns!$BG$2:$BG$51,MATCH($A313,campaigns!$A$2:$A$51,0))="","",INDEX(campaigns!$BG$2:$BG$51,MATCH($A313,campaigns!$A$2:$A$51,0))),"")),-4,calendar!$A$2:$A$80)),"no prefill template yet (due T-4); ","")&amp;IF(COUNTIF(links!$D$2:$D$501,$D313)&gt;1,"DUPLICATE slug; ",""))</f>
        <v/>
      </c>
    </row>
    <row r="314">
      <c r="A314" s="25">
        <f>IF(INDEX(approvals!$A$2:$A$251,INT((ROW()-2)/2)+1)="","",INDEX(approvals!$A$2:$A$251,INT((ROW()-2)/2)+1))</f>
        <v/>
      </c>
      <c r="B314" s="25">
        <f>IF(INDEX(approvals!$A$2:$A$251,INT((ROW()-2)/2)+1)="","",INDEX(approvals!$B$2:$B$251,INT((ROW()-2)/2)+1))</f>
        <v/>
      </c>
      <c r="C314" s="25">
        <f>IF($A314="","",IF(MOD(ROW()-2,2)=0,"qr","post"))</f>
        <v/>
      </c>
      <c r="D314" s="25">
        <f>IF($A314="","",IF(LEFT($A314,7)="SAMPLE-","SAMPLE-","")&amp;LOWER(SUBSTITUTE(SUBSTITUTE($A314,"SAMPLE-",""),"CMP-","c"))&amp;"-"&amp;LOWER(SUBSTITUTE(SUBSTITUTE($B314,"SAMPLE-",""),"O-","o"))&amp;"-"&amp;IF($C314="qr","q","p"))</f>
        <v/>
      </c>
      <c r="E314" s="25">
        <f>IF($A314="","","https://"&amp;config!$B$9&amp;"/"&amp;$D314)</f>
        <v/>
      </c>
      <c r="F314" s="25">
        <f>IF($A314="","",$A314&amp;"."&amp;$B314)</f>
        <v/>
      </c>
      <c r="G314" s="25">
        <f>IF($A314="","",IF(IFERROR(IF(INDEX(campaigns!$AJ$2:$AJ$51,MATCH($A314,campaigns!$A$2:$A$51,0))="","",INDEX(campaigns!$AJ$2:$AJ$51,MATCH($A314,campaigns!$A$2:$A$51,0))),"")="","(add the survey prefill template on campaigns)",SUBSTITUTE(IFERROR(IF(INDEX(campaigns!$AJ$2:$AJ$51,MATCH($A314,campaigns!$A$2:$A$51,0))="","",INDEX(campaigns!$AJ$2:$AJ$51,MATCH($A314,campaigns!$A$2:$A$51,0))),""),"CARDCODE",$F314)&amp;"&amp;utm_source=office-pantry&amp;utm_medium="&amp;$C314&amp;"&amp;utm_campaign="&amp;LOWER($A314)&amp;"&amp;utm_content="&amp;LOWER($B314)))</f>
        <v/>
      </c>
      <c r="H314" s="25">
        <f>IF(OR($A314="",$C314&lt;&gt;"qr"),"",$D314&amp;".png")</f>
        <v/>
      </c>
      <c r="I314" s="25">
        <f>IF($A314="","",IF(AND(IFERROR(IF(INDEX(campaigns!$AJ$2:$AJ$51,MATCH($A314,campaigns!$A$2:$A$51,0))="","",INDEX(campaigns!$AJ$2:$AJ$51,MATCH($A314,campaigns!$A$2:$A$51,0))),"")="",IFERROR(IF(INDEX(campaigns!$BG$2:$BG$51,MATCH($A314,campaigns!$A$2:$A$51,0))="","",INDEX(campaigns!$BG$2:$BG$51,MATCH($A314,campaigns!$A$2:$A$51,0))),"")&lt;&gt;"",IF(config!$B$37&lt;&gt;"",config!$B$37,TODAY())&gt;=WORKDAY(N(IFERROR(IF(INDEX(campaigns!$BG$2:$BG$51,MATCH($A314,campaigns!$A$2:$A$51,0))="","",INDEX(campaigns!$BG$2:$BG$51,MATCH($A314,campaigns!$A$2:$A$51,0))),"")),-4,calendar!$A$2:$A$80)),"no prefill template yet (due T-4); ","")&amp;IF(COUNTIF(links!$D$2:$D$501,$D314)&gt;1,"DUPLICATE slug; ",""))</f>
        <v/>
      </c>
    </row>
    <row r="315">
      <c r="A315" s="25">
        <f>IF(INDEX(approvals!$A$2:$A$251,INT((ROW()-2)/2)+1)="","",INDEX(approvals!$A$2:$A$251,INT((ROW()-2)/2)+1))</f>
        <v/>
      </c>
      <c r="B315" s="25">
        <f>IF(INDEX(approvals!$A$2:$A$251,INT((ROW()-2)/2)+1)="","",INDEX(approvals!$B$2:$B$251,INT((ROW()-2)/2)+1))</f>
        <v/>
      </c>
      <c r="C315" s="25">
        <f>IF($A315="","",IF(MOD(ROW()-2,2)=0,"qr","post"))</f>
        <v/>
      </c>
      <c r="D315" s="25">
        <f>IF($A315="","",IF(LEFT($A315,7)="SAMPLE-","SAMPLE-","")&amp;LOWER(SUBSTITUTE(SUBSTITUTE($A315,"SAMPLE-",""),"CMP-","c"))&amp;"-"&amp;LOWER(SUBSTITUTE(SUBSTITUTE($B315,"SAMPLE-",""),"O-","o"))&amp;"-"&amp;IF($C315="qr","q","p"))</f>
        <v/>
      </c>
      <c r="E315" s="25">
        <f>IF($A315="","","https://"&amp;config!$B$9&amp;"/"&amp;$D315)</f>
        <v/>
      </c>
      <c r="F315" s="25">
        <f>IF($A315="","",$A315&amp;"."&amp;$B315)</f>
        <v/>
      </c>
      <c r="G315" s="25">
        <f>IF($A315="","",IF(IFERROR(IF(INDEX(campaigns!$AJ$2:$AJ$51,MATCH($A315,campaigns!$A$2:$A$51,0))="","",INDEX(campaigns!$AJ$2:$AJ$51,MATCH($A315,campaigns!$A$2:$A$51,0))),"")="","(add the survey prefill template on campaigns)",SUBSTITUTE(IFERROR(IF(INDEX(campaigns!$AJ$2:$AJ$51,MATCH($A315,campaigns!$A$2:$A$51,0))="","",INDEX(campaigns!$AJ$2:$AJ$51,MATCH($A315,campaigns!$A$2:$A$51,0))),""),"CARDCODE",$F315)&amp;"&amp;utm_source=office-pantry&amp;utm_medium="&amp;$C315&amp;"&amp;utm_campaign="&amp;LOWER($A315)&amp;"&amp;utm_content="&amp;LOWER($B315)))</f>
        <v/>
      </c>
      <c r="H315" s="25">
        <f>IF(OR($A315="",$C315&lt;&gt;"qr"),"",$D315&amp;".png")</f>
        <v/>
      </c>
      <c r="I315" s="25">
        <f>IF($A315="","",IF(AND(IFERROR(IF(INDEX(campaigns!$AJ$2:$AJ$51,MATCH($A315,campaigns!$A$2:$A$51,0))="","",INDEX(campaigns!$AJ$2:$AJ$51,MATCH($A315,campaigns!$A$2:$A$51,0))),"")="",IFERROR(IF(INDEX(campaigns!$BG$2:$BG$51,MATCH($A315,campaigns!$A$2:$A$51,0))="","",INDEX(campaigns!$BG$2:$BG$51,MATCH($A315,campaigns!$A$2:$A$51,0))),"")&lt;&gt;"",IF(config!$B$37&lt;&gt;"",config!$B$37,TODAY())&gt;=WORKDAY(N(IFERROR(IF(INDEX(campaigns!$BG$2:$BG$51,MATCH($A315,campaigns!$A$2:$A$51,0))="","",INDEX(campaigns!$BG$2:$BG$51,MATCH($A315,campaigns!$A$2:$A$51,0))),"")),-4,calendar!$A$2:$A$80)),"no prefill template yet (due T-4); ","")&amp;IF(COUNTIF(links!$D$2:$D$501,$D315)&gt;1,"DUPLICATE slug; ",""))</f>
        <v/>
      </c>
    </row>
    <row r="316">
      <c r="A316" s="25">
        <f>IF(INDEX(approvals!$A$2:$A$251,INT((ROW()-2)/2)+1)="","",INDEX(approvals!$A$2:$A$251,INT((ROW()-2)/2)+1))</f>
        <v/>
      </c>
      <c r="B316" s="25">
        <f>IF(INDEX(approvals!$A$2:$A$251,INT((ROW()-2)/2)+1)="","",INDEX(approvals!$B$2:$B$251,INT((ROW()-2)/2)+1))</f>
        <v/>
      </c>
      <c r="C316" s="25">
        <f>IF($A316="","",IF(MOD(ROW()-2,2)=0,"qr","post"))</f>
        <v/>
      </c>
      <c r="D316" s="25">
        <f>IF($A316="","",IF(LEFT($A316,7)="SAMPLE-","SAMPLE-","")&amp;LOWER(SUBSTITUTE(SUBSTITUTE($A316,"SAMPLE-",""),"CMP-","c"))&amp;"-"&amp;LOWER(SUBSTITUTE(SUBSTITUTE($B316,"SAMPLE-",""),"O-","o"))&amp;"-"&amp;IF($C316="qr","q","p"))</f>
        <v/>
      </c>
      <c r="E316" s="25">
        <f>IF($A316="","","https://"&amp;config!$B$9&amp;"/"&amp;$D316)</f>
        <v/>
      </c>
      <c r="F316" s="25">
        <f>IF($A316="","",$A316&amp;"."&amp;$B316)</f>
        <v/>
      </c>
      <c r="G316" s="25">
        <f>IF($A316="","",IF(IFERROR(IF(INDEX(campaigns!$AJ$2:$AJ$51,MATCH($A316,campaigns!$A$2:$A$51,0))="","",INDEX(campaigns!$AJ$2:$AJ$51,MATCH($A316,campaigns!$A$2:$A$51,0))),"")="","(add the survey prefill template on campaigns)",SUBSTITUTE(IFERROR(IF(INDEX(campaigns!$AJ$2:$AJ$51,MATCH($A316,campaigns!$A$2:$A$51,0))="","",INDEX(campaigns!$AJ$2:$AJ$51,MATCH($A316,campaigns!$A$2:$A$51,0))),""),"CARDCODE",$F316)&amp;"&amp;utm_source=office-pantry&amp;utm_medium="&amp;$C316&amp;"&amp;utm_campaign="&amp;LOWER($A316)&amp;"&amp;utm_content="&amp;LOWER($B316)))</f>
        <v/>
      </c>
      <c r="H316" s="25">
        <f>IF(OR($A316="",$C316&lt;&gt;"qr"),"",$D316&amp;".png")</f>
        <v/>
      </c>
      <c r="I316" s="25">
        <f>IF($A316="","",IF(AND(IFERROR(IF(INDEX(campaigns!$AJ$2:$AJ$51,MATCH($A316,campaigns!$A$2:$A$51,0))="","",INDEX(campaigns!$AJ$2:$AJ$51,MATCH($A316,campaigns!$A$2:$A$51,0))),"")="",IFERROR(IF(INDEX(campaigns!$BG$2:$BG$51,MATCH($A316,campaigns!$A$2:$A$51,0))="","",INDEX(campaigns!$BG$2:$BG$51,MATCH($A316,campaigns!$A$2:$A$51,0))),"")&lt;&gt;"",IF(config!$B$37&lt;&gt;"",config!$B$37,TODAY())&gt;=WORKDAY(N(IFERROR(IF(INDEX(campaigns!$BG$2:$BG$51,MATCH($A316,campaigns!$A$2:$A$51,0))="","",INDEX(campaigns!$BG$2:$BG$51,MATCH($A316,campaigns!$A$2:$A$51,0))),"")),-4,calendar!$A$2:$A$80)),"no prefill template yet (due T-4); ","")&amp;IF(COUNTIF(links!$D$2:$D$501,$D316)&gt;1,"DUPLICATE slug; ",""))</f>
        <v/>
      </c>
    </row>
    <row r="317">
      <c r="A317" s="25">
        <f>IF(INDEX(approvals!$A$2:$A$251,INT((ROW()-2)/2)+1)="","",INDEX(approvals!$A$2:$A$251,INT((ROW()-2)/2)+1))</f>
        <v/>
      </c>
      <c r="B317" s="25">
        <f>IF(INDEX(approvals!$A$2:$A$251,INT((ROW()-2)/2)+1)="","",INDEX(approvals!$B$2:$B$251,INT((ROW()-2)/2)+1))</f>
        <v/>
      </c>
      <c r="C317" s="25">
        <f>IF($A317="","",IF(MOD(ROW()-2,2)=0,"qr","post"))</f>
        <v/>
      </c>
      <c r="D317" s="25">
        <f>IF($A317="","",IF(LEFT($A317,7)="SAMPLE-","SAMPLE-","")&amp;LOWER(SUBSTITUTE(SUBSTITUTE($A317,"SAMPLE-",""),"CMP-","c"))&amp;"-"&amp;LOWER(SUBSTITUTE(SUBSTITUTE($B317,"SAMPLE-",""),"O-","o"))&amp;"-"&amp;IF($C317="qr","q","p"))</f>
        <v/>
      </c>
      <c r="E317" s="25">
        <f>IF($A317="","","https://"&amp;config!$B$9&amp;"/"&amp;$D317)</f>
        <v/>
      </c>
      <c r="F317" s="25">
        <f>IF($A317="","",$A317&amp;"."&amp;$B317)</f>
        <v/>
      </c>
      <c r="G317" s="25">
        <f>IF($A317="","",IF(IFERROR(IF(INDEX(campaigns!$AJ$2:$AJ$51,MATCH($A317,campaigns!$A$2:$A$51,0))="","",INDEX(campaigns!$AJ$2:$AJ$51,MATCH($A317,campaigns!$A$2:$A$51,0))),"")="","(add the survey prefill template on campaigns)",SUBSTITUTE(IFERROR(IF(INDEX(campaigns!$AJ$2:$AJ$51,MATCH($A317,campaigns!$A$2:$A$51,0))="","",INDEX(campaigns!$AJ$2:$AJ$51,MATCH($A317,campaigns!$A$2:$A$51,0))),""),"CARDCODE",$F317)&amp;"&amp;utm_source=office-pantry&amp;utm_medium="&amp;$C317&amp;"&amp;utm_campaign="&amp;LOWER($A317)&amp;"&amp;utm_content="&amp;LOWER($B317)))</f>
        <v/>
      </c>
      <c r="H317" s="25">
        <f>IF(OR($A317="",$C317&lt;&gt;"qr"),"",$D317&amp;".png")</f>
        <v/>
      </c>
      <c r="I317" s="25">
        <f>IF($A317="","",IF(AND(IFERROR(IF(INDEX(campaigns!$AJ$2:$AJ$51,MATCH($A317,campaigns!$A$2:$A$51,0))="","",INDEX(campaigns!$AJ$2:$AJ$51,MATCH($A317,campaigns!$A$2:$A$51,0))),"")="",IFERROR(IF(INDEX(campaigns!$BG$2:$BG$51,MATCH($A317,campaigns!$A$2:$A$51,0))="","",INDEX(campaigns!$BG$2:$BG$51,MATCH($A317,campaigns!$A$2:$A$51,0))),"")&lt;&gt;"",IF(config!$B$37&lt;&gt;"",config!$B$37,TODAY())&gt;=WORKDAY(N(IFERROR(IF(INDEX(campaigns!$BG$2:$BG$51,MATCH($A317,campaigns!$A$2:$A$51,0))="","",INDEX(campaigns!$BG$2:$BG$51,MATCH($A317,campaigns!$A$2:$A$51,0))),"")),-4,calendar!$A$2:$A$80)),"no prefill template yet (due T-4); ","")&amp;IF(COUNTIF(links!$D$2:$D$501,$D317)&gt;1,"DUPLICATE slug; ",""))</f>
        <v/>
      </c>
    </row>
    <row r="318">
      <c r="A318" s="25">
        <f>IF(INDEX(approvals!$A$2:$A$251,INT((ROW()-2)/2)+1)="","",INDEX(approvals!$A$2:$A$251,INT((ROW()-2)/2)+1))</f>
        <v/>
      </c>
      <c r="B318" s="25">
        <f>IF(INDEX(approvals!$A$2:$A$251,INT((ROW()-2)/2)+1)="","",INDEX(approvals!$B$2:$B$251,INT((ROW()-2)/2)+1))</f>
        <v/>
      </c>
      <c r="C318" s="25">
        <f>IF($A318="","",IF(MOD(ROW()-2,2)=0,"qr","post"))</f>
        <v/>
      </c>
      <c r="D318" s="25">
        <f>IF($A318="","",IF(LEFT($A318,7)="SAMPLE-","SAMPLE-","")&amp;LOWER(SUBSTITUTE(SUBSTITUTE($A318,"SAMPLE-",""),"CMP-","c"))&amp;"-"&amp;LOWER(SUBSTITUTE(SUBSTITUTE($B318,"SAMPLE-",""),"O-","o"))&amp;"-"&amp;IF($C318="qr","q","p"))</f>
        <v/>
      </c>
      <c r="E318" s="25">
        <f>IF($A318="","","https://"&amp;config!$B$9&amp;"/"&amp;$D318)</f>
        <v/>
      </c>
      <c r="F318" s="25">
        <f>IF($A318="","",$A318&amp;"."&amp;$B318)</f>
        <v/>
      </c>
      <c r="G318" s="25">
        <f>IF($A318="","",IF(IFERROR(IF(INDEX(campaigns!$AJ$2:$AJ$51,MATCH($A318,campaigns!$A$2:$A$51,0))="","",INDEX(campaigns!$AJ$2:$AJ$51,MATCH($A318,campaigns!$A$2:$A$51,0))),"")="","(add the survey prefill template on campaigns)",SUBSTITUTE(IFERROR(IF(INDEX(campaigns!$AJ$2:$AJ$51,MATCH($A318,campaigns!$A$2:$A$51,0))="","",INDEX(campaigns!$AJ$2:$AJ$51,MATCH($A318,campaigns!$A$2:$A$51,0))),""),"CARDCODE",$F318)&amp;"&amp;utm_source=office-pantry&amp;utm_medium="&amp;$C318&amp;"&amp;utm_campaign="&amp;LOWER($A318)&amp;"&amp;utm_content="&amp;LOWER($B318)))</f>
        <v/>
      </c>
      <c r="H318" s="25">
        <f>IF(OR($A318="",$C318&lt;&gt;"qr"),"",$D318&amp;".png")</f>
        <v/>
      </c>
      <c r="I318" s="25">
        <f>IF($A318="","",IF(AND(IFERROR(IF(INDEX(campaigns!$AJ$2:$AJ$51,MATCH($A318,campaigns!$A$2:$A$51,0))="","",INDEX(campaigns!$AJ$2:$AJ$51,MATCH($A318,campaigns!$A$2:$A$51,0))),"")="",IFERROR(IF(INDEX(campaigns!$BG$2:$BG$51,MATCH($A318,campaigns!$A$2:$A$51,0))="","",INDEX(campaigns!$BG$2:$BG$51,MATCH($A318,campaigns!$A$2:$A$51,0))),"")&lt;&gt;"",IF(config!$B$37&lt;&gt;"",config!$B$37,TODAY())&gt;=WORKDAY(N(IFERROR(IF(INDEX(campaigns!$BG$2:$BG$51,MATCH($A318,campaigns!$A$2:$A$51,0))="","",INDEX(campaigns!$BG$2:$BG$51,MATCH($A318,campaigns!$A$2:$A$51,0))),"")),-4,calendar!$A$2:$A$80)),"no prefill template yet (due T-4); ","")&amp;IF(COUNTIF(links!$D$2:$D$501,$D318)&gt;1,"DUPLICATE slug; ",""))</f>
        <v/>
      </c>
    </row>
    <row r="319">
      <c r="A319" s="25">
        <f>IF(INDEX(approvals!$A$2:$A$251,INT((ROW()-2)/2)+1)="","",INDEX(approvals!$A$2:$A$251,INT((ROW()-2)/2)+1))</f>
        <v/>
      </c>
      <c r="B319" s="25">
        <f>IF(INDEX(approvals!$A$2:$A$251,INT((ROW()-2)/2)+1)="","",INDEX(approvals!$B$2:$B$251,INT((ROW()-2)/2)+1))</f>
        <v/>
      </c>
      <c r="C319" s="25">
        <f>IF($A319="","",IF(MOD(ROW()-2,2)=0,"qr","post"))</f>
        <v/>
      </c>
      <c r="D319" s="25">
        <f>IF($A319="","",IF(LEFT($A319,7)="SAMPLE-","SAMPLE-","")&amp;LOWER(SUBSTITUTE(SUBSTITUTE($A319,"SAMPLE-",""),"CMP-","c"))&amp;"-"&amp;LOWER(SUBSTITUTE(SUBSTITUTE($B319,"SAMPLE-",""),"O-","o"))&amp;"-"&amp;IF($C319="qr","q","p"))</f>
        <v/>
      </c>
      <c r="E319" s="25">
        <f>IF($A319="","","https://"&amp;config!$B$9&amp;"/"&amp;$D319)</f>
        <v/>
      </c>
      <c r="F319" s="25">
        <f>IF($A319="","",$A319&amp;"."&amp;$B319)</f>
        <v/>
      </c>
      <c r="G319" s="25">
        <f>IF($A319="","",IF(IFERROR(IF(INDEX(campaigns!$AJ$2:$AJ$51,MATCH($A319,campaigns!$A$2:$A$51,0))="","",INDEX(campaigns!$AJ$2:$AJ$51,MATCH($A319,campaigns!$A$2:$A$51,0))),"")="","(add the survey prefill template on campaigns)",SUBSTITUTE(IFERROR(IF(INDEX(campaigns!$AJ$2:$AJ$51,MATCH($A319,campaigns!$A$2:$A$51,0))="","",INDEX(campaigns!$AJ$2:$AJ$51,MATCH($A319,campaigns!$A$2:$A$51,0))),""),"CARDCODE",$F319)&amp;"&amp;utm_source=office-pantry&amp;utm_medium="&amp;$C319&amp;"&amp;utm_campaign="&amp;LOWER($A319)&amp;"&amp;utm_content="&amp;LOWER($B319)))</f>
        <v/>
      </c>
      <c r="H319" s="25">
        <f>IF(OR($A319="",$C319&lt;&gt;"qr"),"",$D319&amp;".png")</f>
        <v/>
      </c>
      <c r="I319" s="25">
        <f>IF($A319="","",IF(AND(IFERROR(IF(INDEX(campaigns!$AJ$2:$AJ$51,MATCH($A319,campaigns!$A$2:$A$51,0))="","",INDEX(campaigns!$AJ$2:$AJ$51,MATCH($A319,campaigns!$A$2:$A$51,0))),"")="",IFERROR(IF(INDEX(campaigns!$BG$2:$BG$51,MATCH($A319,campaigns!$A$2:$A$51,0))="","",INDEX(campaigns!$BG$2:$BG$51,MATCH($A319,campaigns!$A$2:$A$51,0))),"")&lt;&gt;"",IF(config!$B$37&lt;&gt;"",config!$B$37,TODAY())&gt;=WORKDAY(N(IFERROR(IF(INDEX(campaigns!$BG$2:$BG$51,MATCH($A319,campaigns!$A$2:$A$51,0))="","",INDEX(campaigns!$BG$2:$BG$51,MATCH($A319,campaigns!$A$2:$A$51,0))),"")),-4,calendar!$A$2:$A$80)),"no prefill template yet (due T-4); ","")&amp;IF(COUNTIF(links!$D$2:$D$501,$D319)&gt;1,"DUPLICATE slug; ",""))</f>
        <v/>
      </c>
    </row>
    <row r="320">
      <c r="A320" s="25">
        <f>IF(INDEX(approvals!$A$2:$A$251,INT((ROW()-2)/2)+1)="","",INDEX(approvals!$A$2:$A$251,INT((ROW()-2)/2)+1))</f>
        <v/>
      </c>
      <c r="B320" s="25">
        <f>IF(INDEX(approvals!$A$2:$A$251,INT((ROW()-2)/2)+1)="","",INDEX(approvals!$B$2:$B$251,INT((ROW()-2)/2)+1))</f>
        <v/>
      </c>
      <c r="C320" s="25">
        <f>IF($A320="","",IF(MOD(ROW()-2,2)=0,"qr","post"))</f>
        <v/>
      </c>
      <c r="D320" s="25">
        <f>IF($A320="","",IF(LEFT($A320,7)="SAMPLE-","SAMPLE-","")&amp;LOWER(SUBSTITUTE(SUBSTITUTE($A320,"SAMPLE-",""),"CMP-","c"))&amp;"-"&amp;LOWER(SUBSTITUTE(SUBSTITUTE($B320,"SAMPLE-",""),"O-","o"))&amp;"-"&amp;IF($C320="qr","q","p"))</f>
        <v/>
      </c>
      <c r="E320" s="25">
        <f>IF($A320="","","https://"&amp;config!$B$9&amp;"/"&amp;$D320)</f>
        <v/>
      </c>
      <c r="F320" s="25">
        <f>IF($A320="","",$A320&amp;"."&amp;$B320)</f>
        <v/>
      </c>
      <c r="G320" s="25">
        <f>IF($A320="","",IF(IFERROR(IF(INDEX(campaigns!$AJ$2:$AJ$51,MATCH($A320,campaigns!$A$2:$A$51,0))="","",INDEX(campaigns!$AJ$2:$AJ$51,MATCH($A320,campaigns!$A$2:$A$51,0))),"")="","(add the survey prefill template on campaigns)",SUBSTITUTE(IFERROR(IF(INDEX(campaigns!$AJ$2:$AJ$51,MATCH($A320,campaigns!$A$2:$A$51,0))="","",INDEX(campaigns!$AJ$2:$AJ$51,MATCH($A320,campaigns!$A$2:$A$51,0))),""),"CARDCODE",$F320)&amp;"&amp;utm_source=office-pantry&amp;utm_medium="&amp;$C320&amp;"&amp;utm_campaign="&amp;LOWER($A320)&amp;"&amp;utm_content="&amp;LOWER($B320)))</f>
        <v/>
      </c>
      <c r="H320" s="25">
        <f>IF(OR($A320="",$C320&lt;&gt;"qr"),"",$D320&amp;".png")</f>
        <v/>
      </c>
      <c r="I320" s="25">
        <f>IF($A320="","",IF(AND(IFERROR(IF(INDEX(campaigns!$AJ$2:$AJ$51,MATCH($A320,campaigns!$A$2:$A$51,0))="","",INDEX(campaigns!$AJ$2:$AJ$51,MATCH($A320,campaigns!$A$2:$A$51,0))),"")="",IFERROR(IF(INDEX(campaigns!$BG$2:$BG$51,MATCH($A320,campaigns!$A$2:$A$51,0))="","",INDEX(campaigns!$BG$2:$BG$51,MATCH($A320,campaigns!$A$2:$A$51,0))),"")&lt;&gt;"",IF(config!$B$37&lt;&gt;"",config!$B$37,TODAY())&gt;=WORKDAY(N(IFERROR(IF(INDEX(campaigns!$BG$2:$BG$51,MATCH($A320,campaigns!$A$2:$A$51,0))="","",INDEX(campaigns!$BG$2:$BG$51,MATCH($A320,campaigns!$A$2:$A$51,0))),"")),-4,calendar!$A$2:$A$80)),"no prefill template yet (due T-4); ","")&amp;IF(COUNTIF(links!$D$2:$D$501,$D320)&gt;1,"DUPLICATE slug; ",""))</f>
        <v/>
      </c>
    </row>
    <row r="321">
      <c r="A321" s="25">
        <f>IF(INDEX(approvals!$A$2:$A$251,INT((ROW()-2)/2)+1)="","",INDEX(approvals!$A$2:$A$251,INT((ROW()-2)/2)+1))</f>
        <v/>
      </c>
      <c r="B321" s="25">
        <f>IF(INDEX(approvals!$A$2:$A$251,INT((ROW()-2)/2)+1)="","",INDEX(approvals!$B$2:$B$251,INT((ROW()-2)/2)+1))</f>
        <v/>
      </c>
      <c r="C321" s="25">
        <f>IF($A321="","",IF(MOD(ROW()-2,2)=0,"qr","post"))</f>
        <v/>
      </c>
      <c r="D321" s="25">
        <f>IF($A321="","",IF(LEFT($A321,7)="SAMPLE-","SAMPLE-","")&amp;LOWER(SUBSTITUTE(SUBSTITUTE($A321,"SAMPLE-",""),"CMP-","c"))&amp;"-"&amp;LOWER(SUBSTITUTE(SUBSTITUTE($B321,"SAMPLE-",""),"O-","o"))&amp;"-"&amp;IF($C321="qr","q","p"))</f>
        <v/>
      </c>
      <c r="E321" s="25">
        <f>IF($A321="","","https://"&amp;config!$B$9&amp;"/"&amp;$D321)</f>
        <v/>
      </c>
      <c r="F321" s="25">
        <f>IF($A321="","",$A321&amp;"."&amp;$B321)</f>
        <v/>
      </c>
      <c r="G321" s="25">
        <f>IF($A321="","",IF(IFERROR(IF(INDEX(campaigns!$AJ$2:$AJ$51,MATCH($A321,campaigns!$A$2:$A$51,0))="","",INDEX(campaigns!$AJ$2:$AJ$51,MATCH($A321,campaigns!$A$2:$A$51,0))),"")="","(add the survey prefill template on campaigns)",SUBSTITUTE(IFERROR(IF(INDEX(campaigns!$AJ$2:$AJ$51,MATCH($A321,campaigns!$A$2:$A$51,0))="","",INDEX(campaigns!$AJ$2:$AJ$51,MATCH($A321,campaigns!$A$2:$A$51,0))),""),"CARDCODE",$F321)&amp;"&amp;utm_source=office-pantry&amp;utm_medium="&amp;$C321&amp;"&amp;utm_campaign="&amp;LOWER($A321)&amp;"&amp;utm_content="&amp;LOWER($B321)))</f>
        <v/>
      </c>
      <c r="H321" s="25">
        <f>IF(OR($A321="",$C321&lt;&gt;"qr"),"",$D321&amp;".png")</f>
        <v/>
      </c>
      <c r="I321" s="25">
        <f>IF($A321="","",IF(AND(IFERROR(IF(INDEX(campaigns!$AJ$2:$AJ$51,MATCH($A321,campaigns!$A$2:$A$51,0))="","",INDEX(campaigns!$AJ$2:$AJ$51,MATCH($A321,campaigns!$A$2:$A$51,0))),"")="",IFERROR(IF(INDEX(campaigns!$BG$2:$BG$51,MATCH($A321,campaigns!$A$2:$A$51,0))="","",INDEX(campaigns!$BG$2:$BG$51,MATCH($A321,campaigns!$A$2:$A$51,0))),"")&lt;&gt;"",IF(config!$B$37&lt;&gt;"",config!$B$37,TODAY())&gt;=WORKDAY(N(IFERROR(IF(INDEX(campaigns!$BG$2:$BG$51,MATCH($A321,campaigns!$A$2:$A$51,0))="","",INDEX(campaigns!$BG$2:$BG$51,MATCH($A321,campaigns!$A$2:$A$51,0))),"")),-4,calendar!$A$2:$A$80)),"no prefill template yet (due T-4); ","")&amp;IF(COUNTIF(links!$D$2:$D$501,$D321)&gt;1,"DUPLICATE slug; ",""))</f>
        <v/>
      </c>
    </row>
    <row r="322">
      <c r="A322" s="25">
        <f>IF(INDEX(approvals!$A$2:$A$251,INT((ROW()-2)/2)+1)="","",INDEX(approvals!$A$2:$A$251,INT((ROW()-2)/2)+1))</f>
        <v/>
      </c>
      <c r="B322" s="25">
        <f>IF(INDEX(approvals!$A$2:$A$251,INT((ROW()-2)/2)+1)="","",INDEX(approvals!$B$2:$B$251,INT((ROW()-2)/2)+1))</f>
        <v/>
      </c>
      <c r="C322" s="25">
        <f>IF($A322="","",IF(MOD(ROW()-2,2)=0,"qr","post"))</f>
        <v/>
      </c>
      <c r="D322" s="25">
        <f>IF($A322="","",IF(LEFT($A322,7)="SAMPLE-","SAMPLE-","")&amp;LOWER(SUBSTITUTE(SUBSTITUTE($A322,"SAMPLE-",""),"CMP-","c"))&amp;"-"&amp;LOWER(SUBSTITUTE(SUBSTITUTE($B322,"SAMPLE-",""),"O-","o"))&amp;"-"&amp;IF($C322="qr","q","p"))</f>
        <v/>
      </c>
      <c r="E322" s="25">
        <f>IF($A322="","","https://"&amp;config!$B$9&amp;"/"&amp;$D322)</f>
        <v/>
      </c>
      <c r="F322" s="25">
        <f>IF($A322="","",$A322&amp;"."&amp;$B322)</f>
        <v/>
      </c>
      <c r="G322" s="25">
        <f>IF($A322="","",IF(IFERROR(IF(INDEX(campaigns!$AJ$2:$AJ$51,MATCH($A322,campaigns!$A$2:$A$51,0))="","",INDEX(campaigns!$AJ$2:$AJ$51,MATCH($A322,campaigns!$A$2:$A$51,0))),"")="","(add the survey prefill template on campaigns)",SUBSTITUTE(IFERROR(IF(INDEX(campaigns!$AJ$2:$AJ$51,MATCH($A322,campaigns!$A$2:$A$51,0))="","",INDEX(campaigns!$AJ$2:$AJ$51,MATCH($A322,campaigns!$A$2:$A$51,0))),""),"CARDCODE",$F322)&amp;"&amp;utm_source=office-pantry&amp;utm_medium="&amp;$C322&amp;"&amp;utm_campaign="&amp;LOWER($A322)&amp;"&amp;utm_content="&amp;LOWER($B322)))</f>
        <v/>
      </c>
      <c r="H322" s="25">
        <f>IF(OR($A322="",$C322&lt;&gt;"qr"),"",$D322&amp;".png")</f>
        <v/>
      </c>
      <c r="I322" s="25">
        <f>IF($A322="","",IF(AND(IFERROR(IF(INDEX(campaigns!$AJ$2:$AJ$51,MATCH($A322,campaigns!$A$2:$A$51,0))="","",INDEX(campaigns!$AJ$2:$AJ$51,MATCH($A322,campaigns!$A$2:$A$51,0))),"")="",IFERROR(IF(INDEX(campaigns!$BG$2:$BG$51,MATCH($A322,campaigns!$A$2:$A$51,0))="","",INDEX(campaigns!$BG$2:$BG$51,MATCH($A322,campaigns!$A$2:$A$51,0))),"")&lt;&gt;"",IF(config!$B$37&lt;&gt;"",config!$B$37,TODAY())&gt;=WORKDAY(N(IFERROR(IF(INDEX(campaigns!$BG$2:$BG$51,MATCH($A322,campaigns!$A$2:$A$51,0))="","",INDEX(campaigns!$BG$2:$BG$51,MATCH($A322,campaigns!$A$2:$A$51,0))),"")),-4,calendar!$A$2:$A$80)),"no prefill template yet (due T-4); ","")&amp;IF(COUNTIF(links!$D$2:$D$501,$D322)&gt;1,"DUPLICATE slug; ",""))</f>
        <v/>
      </c>
    </row>
    <row r="323">
      <c r="A323" s="25">
        <f>IF(INDEX(approvals!$A$2:$A$251,INT((ROW()-2)/2)+1)="","",INDEX(approvals!$A$2:$A$251,INT((ROW()-2)/2)+1))</f>
        <v/>
      </c>
      <c r="B323" s="25">
        <f>IF(INDEX(approvals!$A$2:$A$251,INT((ROW()-2)/2)+1)="","",INDEX(approvals!$B$2:$B$251,INT((ROW()-2)/2)+1))</f>
        <v/>
      </c>
      <c r="C323" s="25">
        <f>IF($A323="","",IF(MOD(ROW()-2,2)=0,"qr","post"))</f>
        <v/>
      </c>
      <c r="D323" s="25">
        <f>IF($A323="","",IF(LEFT($A323,7)="SAMPLE-","SAMPLE-","")&amp;LOWER(SUBSTITUTE(SUBSTITUTE($A323,"SAMPLE-",""),"CMP-","c"))&amp;"-"&amp;LOWER(SUBSTITUTE(SUBSTITUTE($B323,"SAMPLE-",""),"O-","o"))&amp;"-"&amp;IF($C323="qr","q","p"))</f>
        <v/>
      </c>
      <c r="E323" s="25">
        <f>IF($A323="","","https://"&amp;config!$B$9&amp;"/"&amp;$D323)</f>
        <v/>
      </c>
      <c r="F323" s="25">
        <f>IF($A323="","",$A323&amp;"."&amp;$B323)</f>
        <v/>
      </c>
      <c r="G323" s="25">
        <f>IF($A323="","",IF(IFERROR(IF(INDEX(campaigns!$AJ$2:$AJ$51,MATCH($A323,campaigns!$A$2:$A$51,0))="","",INDEX(campaigns!$AJ$2:$AJ$51,MATCH($A323,campaigns!$A$2:$A$51,0))),"")="","(add the survey prefill template on campaigns)",SUBSTITUTE(IFERROR(IF(INDEX(campaigns!$AJ$2:$AJ$51,MATCH($A323,campaigns!$A$2:$A$51,0))="","",INDEX(campaigns!$AJ$2:$AJ$51,MATCH($A323,campaigns!$A$2:$A$51,0))),""),"CARDCODE",$F323)&amp;"&amp;utm_source=office-pantry&amp;utm_medium="&amp;$C323&amp;"&amp;utm_campaign="&amp;LOWER($A323)&amp;"&amp;utm_content="&amp;LOWER($B323)))</f>
        <v/>
      </c>
      <c r="H323" s="25">
        <f>IF(OR($A323="",$C323&lt;&gt;"qr"),"",$D323&amp;".png")</f>
        <v/>
      </c>
      <c r="I323" s="25">
        <f>IF($A323="","",IF(AND(IFERROR(IF(INDEX(campaigns!$AJ$2:$AJ$51,MATCH($A323,campaigns!$A$2:$A$51,0))="","",INDEX(campaigns!$AJ$2:$AJ$51,MATCH($A323,campaigns!$A$2:$A$51,0))),"")="",IFERROR(IF(INDEX(campaigns!$BG$2:$BG$51,MATCH($A323,campaigns!$A$2:$A$51,0))="","",INDEX(campaigns!$BG$2:$BG$51,MATCH($A323,campaigns!$A$2:$A$51,0))),"")&lt;&gt;"",IF(config!$B$37&lt;&gt;"",config!$B$37,TODAY())&gt;=WORKDAY(N(IFERROR(IF(INDEX(campaigns!$BG$2:$BG$51,MATCH($A323,campaigns!$A$2:$A$51,0))="","",INDEX(campaigns!$BG$2:$BG$51,MATCH($A323,campaigns!$A$2:$A$51,0))),"")),-4,calendar!$A$2:$A$80)),"no prefill template yet (due T-4); ","")&amp;IF(COUNTIF(links!$D$2:$D$501,$D323)&gt;1,"DUPLICATE slug; ",""))</f>
        <v/>
      </c>
    </row>
    <row r="324">
      <c r="A324" s="25">
        <f>IF(INDEX(approvals!$A$2:$A$251,INT((ROW()-2)/2)+1)="","",INDEX(approvals!$A$2:$A$251,INT((ROW()-2)/2)+1))</f>
        <v/>
      </c>
      <c r="B324" s="25">
        <f>IF(INDEX(approvals!$A$2:$A$251,INT((ROW()-2)/2)+1)="","",INDEX(approvals!$B$2:$B$251,INT((ROW()-2)/2)+1))</f>
        <v/>
      </c>
      <c r="C324" s="25">
        <f>IF($A324="","",IF(MOD(ROW()-2,2)=0,"qr","post"))</f>
        <v/>
      </c>
      <c r="D324" s="25">
        <f>IF($A324="","",IF(LEFT($A324,7)="SAMPLE-","SAMPLE-","")&amp;LOWER(SUBSTITUTE(SUBSTITUTE($A324,"SAMPLE-",""),"CMP-","c"))&amp;"-"&amp;LOWER(SUBSTITUTE(SUBSTITUTE($B324,"SAMPLE-",""),"O-","o"))&amp;"-"&amp;IF($C324="qr","q","p"))</f>
        <v/>
      </c>
      <c r="E324" s="25">
        <f>IF($A324="","","https://"&amp;config!$B$9&amp;"/"&amp;$D324)</f>
        <v/>
      </c>
      <c r="F324" s="25">
        <f>IF($A324="","",$A324&amp;"."&amp;$B324)</f>
        <v/>
      </c>
      <c r="G324" s="25">
        <f>IF($A324="","",IF(IFERROR(IF(INDEX(campaigns!$AJ$2:$AJ$51,MATCH($A324,campaigns!$A$2:$A$51,0))="","",INDEX(campaigns!$AJ$2:$AJ$51,MATCH($A324,campaigns!$A$2:$A$51,0))),"")="","(add the survey prefill template on campaigns)",SUBSTITUTE(IFERROR(IF(INDEX(campaigns!$AJ$2:$AJ$51,MATCH($A324,campaigns!$A$2:$A$51,0))="","",INDEX(campaigns!$AJ$2:$AJ$51,MATCH($A324,campaigns!$A$2:$A$51,0))),""),"CARDCODE",$F324)&amp;"&amp;utm_source=office-pantry&amp;utm_medium="&amp;$C324&amp;"&amp;utm_campaign="&amp;LOWER($A324)&amp;"&amp;utm_content="&amp;LOWER($B324)))</f>
        <v/>
      </c>
      <c r="H324" s="25">
        <f>IF(OR($A324="",$C324&lt;&gt;"qr"),"",$D324&amp;".png")</f>
        <v/>
      </c>
      <c r="I324" s="25">
        <f>IF($A324="","",IF(AND(IFERROR(IF(INDEX(campaigns!$AJ$2:$AJ$51,MATCH($A324,campaigns!$A$2:$A$51,0))="","",INDEX(campaigns!$AJ$2:$AJ$51,MATCH($A324,campaigns!$A$2:$A$51,0))),"")="",IFERROR(IF(INDEX(campaigns!$BG$2:$BG$51,MATCH($A324,campaigns!$A$2:$A$51,0))="","",INDEX(campaigns!$BG$2:$BG$51,MATCH($A324,campaigns!$A$2:$A$51,0))),"")&lt;&gt;"",IF(config!$B$37&lt;&gt;"",config!$B$37,TODAY())&gt;=WORKDAY(N(IFERROR(IF(INDEX(campaigns!$BG$2:$BG$51,MATCH($A324,campaigns!$A$2:$A$51,0))="","",INDEX(campaigns!$BG$2:$BG$51,MATCH($A324,campaigns!$A$2:$A$51,0))),"")),-4,calendar!$A$2:$A$80)),"no prefill template yet (due T-4); ","")&amp;IF(COUNTIF(links!$D$2:$D$501,$D324)&gt;1,"DUPLICATE slug; ",""))</f>
        <v/>
      </c>
    </row>
    <row r="325">
      <c r="A325" s="25">
        <f>IF(INDEX(approvals!$A$2:$A$251,INT((ROW()-2)/2)+1)="","",INDEX(approvals!$A$2:$A$251,INT((ROW()-2)/2)+1))</f>
        <v/>
      </c>
      <c r="B325" s="25">
        <f>IF(INDEX(approvals!$A$2:$A$251,INT((ROW()-2)/2)+1)="","",INDEX(approvals!$B$2:$B$251,INT((ROW()-2)/2)+1))</f>
        <v/>
      </c>
      <c r="C325" s="25">
        <f>IF($A325="","",IF(MOD(ROW()-2,2)=0,"qr","post"))</f>
        <v/>
      </c>
      <c r="D325" s="25">
        <f>IF($A325="","",IF(LEFT($A325,7)="SAMPLE-","SAMPLE-","")&amp;LOWER(SUBSTITUTE(SUBSTITUTE($A325,"SAMPLE-",""),"CMP-","c"))&amp;"-"&amp;LOWER(SUBSTITUTE(SUBSTITUTE($B325,"SAMPLE-",""),"O-","o"))&amp;"-"&amp;IF($C325="qr","q","p"))</f>
        <v/>
      </c>
      <c r="E325" s="25">
        <f>IF($A325="","","https://"&amp;config!$B$9&amp;"/"&amp;$D325)</f>
        <v/>
      </c>
      <c r="F325" s="25">
        <f>IF($A325="","",$A325&amp;"."&amp;$B325)</f>
        <v/>
      </c>
      <c r="G325" s="25">
        <f>IF($A325="","",IF(IFERROR(IF(INDEX(campaigns!$AJ$2:$AJ$51,MATCH($A325,campaigns!$A$2:$A$51,0))="","",INDEX(campaigns!$AJ$2:$AJ$51,MATCH($A325,campaigns!$A$2:$A$51,0))),"")="","(add the survey prefill template on campaigns)",SUBSTITUTE(IFERROR(IF(INDEX(campaigns!$AJ$2:$AJ$51,MATCH($A325,campaigns!$A$2:$A$51,0))="","",INDEX(campaigns!$AJ$2:$AJ$51,MATCH($A325,campaigns!$A$2:$A$51,0))),""),"CARDCODE",$F325)&amp;"&amp;utm_source=office-pantry&amp;utm_medium="&amp;$C325&amp;"&amp;utm_campaign="&amp;LOWER($A325)&amp;"&amp;utm_content="&amp;LOWER($B325)))</f>
        <v/>
      </c>
      <c r="H325" s="25">
        <f>IF(OR($A325="",$C325&lt;&gt;"qr"),"",$D325&amp;".png")</f>
        <v/>
      </c>
      <c r="I325" s="25">
        <f>IF($A325="","",IF(AND(IFERROR(IF(INDEX(campaigns!$AJ$2:$AJ$51,MATCH($A325,campaigns!$A$2:$A$51,0))="","",INDEX(campaigns!$AJ$2:$AJ$51,MATCH($A325,campaigns!$A$2:$A$51,0))),"")="",IFERROR(IF(INDEX(campaigns!$BG$2:$BG$51,MATCH($A325,campaigns!$A$2:$A$51,0))="","",INDEX(campaigns!$BG$2:$BG$51,MATCH($A325,campaigns!$A$2:$A$51,0))),"")&lt;&gt;"",IF(config!$B$37&lt;&gt;"",config!$B$37,TODAY())&gt;=WORKDAY(N(IFERROR(IF(INDEX(campaigns!$BG$2:$BG$51,MATCH($A325,campaigns!$A$2:$A$51,0))="","",INDEX(campaigns!$BG$2:$BG$51,MATCH($A325,campaigns!$A$2:$A$51,0))),"")),-4,calendar!$A$2:$A$80)),"no prefill template yet (due T-4); ","")&amp;IF(COUNTIF(links!$D$2:$D$501,$D325)&gt;1,"DUPLICATE slug; ",""))</f>
        <v/>
      </c>
    </row>
    <row r="326">
      <c r="A326" s="25">
        <f>IF(INDEX(approvals!$A$2:$A$251,INT((ROW()-2)/2)+1)="","",INDEX(approvals!$A$2:$A$251,INT((ROW()-2)/2)+1))</f>
        <v/>
      </c>
      <c r="B326" s="25">
        <f>IF(INDEX(approvals!$A$2:$A$251,INT((ROW()-2)/2)+1)="","",INDEX(approvals!$B$2:$B$251,INT((ROW()-2)/2)+1))</f>
        <v/>
      </c>
      <c r="C326" s="25">
        <f>IF($A326="","",IF(MOD(ROW()-2,2)=0,"qr","post"))</f>
        <v/>
      </c>
      <c r="D326" s="25">
        <f>IF($A326="","",IF(LEFT($A326,7)="SAMPLE-","SAMPLE-","")&amp;LOWER(SUBSTITUTE(SUBSTITUTE($A326,"SAMPLE-",""),"CMP-","c"))&amp;"-"&amp;LOWER(SUBSTITUTE(SUBSTITUTE($B326,"SAMPLE-",""),"O-","o"))&amp;"-"&amp;IF($C326="qr","q","p"))</f>
        <v/>
      </c>
      <c r="E326" s="25">
        <f>IF($A326="","","https://"&amp;config!$B$9&amp;"/"&amp;$D326)</f>
        <v/>
      </c>
      <c r="F326" s="25">
        <f>IF($A326="","",$A326&amp;"."&amp;$B326)</f>
        <v/>
      </c>
      <c r="G326" s="25">
        <f>IF($A326="","",IF(IFERROR(IF(INDEX(campaigns!$AJ$2:$AJ$51,MATCH($A326,campaigns!$A$2:$A$51,0))="","",INDEX(campaigns!$AJ$2:$AJ$51,MATCH($A326,campaigns!$A$2:$A$51,0))),"")="","(add the survey prefill template on campaigns)",SUBSTITUTE(IFERROR(IF(INDEX(campaigns!$AJ$2:$AJ$51,MATCH($A326,campaigns!$A$2:$A$51,0))="","",INDEX(campaigns!$AJ$2:$AJ$51,MATCH($A326,campaigns!$A$2:$A$51,0))),""),"CARDCODE",$F326)&amp;"&amp;utm_source=office-pantry&amp;utm_medium="&amp;$C326&amp;"&amp;utm_campaign="&amp;LOWER($A326)&amp;"&amp;utm_content="&amp;LOWER($B326)))</f>
        <v/>
      </c>
      <c r="H326" s="25">
        <f>IF(OR($A326="",$C326&lt;&gt;"qr"),"",$D326&amp;".png")</f>
        <v/>
      </c>
      <c r="I326" s="25">
        <f>IF($A326="","",IF(AND(IFERROR(IF(INDEX(campaigns!$AJ$2:$AJ$51,MATCH($A326,campaigns!$A$2:$A$51,0))="","",INDEX(campaigns!$AJ$2:$AJ$51,MATCH($A326,campaigns!$A$2:$A$51,0))),"")="",IFERROR(IF(INDEX(campaigns!$BG$2:$BG$51,MATCH($A326,campaigns!$A$2:$A$51,0))="","",INDEX(campaigns!$BG$2:$BG$51,MATCH($A326,campaigns!$A$2:$A$51,0))),"")&lt;&gt;"",IF(config!$B$37&lt;&gt;"",config!$B$37,TODAY())&gt;=WORKDAY(N(IFERROR(IF(INDEX(campaigns!$BG$2:$BG$51,MATCH($A326,campaigns!$A$2:$A$51,0))="","",INDEX(campaigns!$BG$2:$BG$51,MATCH($A326,campaigns!$A$2:$A$51,0))),"")),-4,calendar!$A$2:$A$80)),"no prefill template yet (due T-4); ","")&amp;IF(COUNTIF(links!$D$2:$D$501,$D326)&gt;1,"DUPLICATE slug; ",""))</f>
        <v/>
      </c>
    </row>
    <row r="327">
      <c r="A327" s="25">
        <f>IF(INDEX(approvals!$A$2:$A$251,INT((ROW()-2)/2)+1)="","",INDEX(approvals!$A$2:$A$251,INT((ROW()-2)/2)+1))</f>
        <v/>
      </c>
      <c r="B327" s="25">
        <f>IF(INDEX(approvals!$A$2:$A$251,INT((ROW()-2)/2)+1)="","",INDEX(approvals!$B$2:$B$251,INT((ROW()-2)/2)+1))</f>
        <v/>
      </c>
      <c r="C327" s="25">
        <f>IF($A327="","",IF(MOD(ROW()-2,2)=0,"qr","post"))</f>
        <v/>
      </c>
      <c r="D327" s="25">
        <f>IF($A327="","",IF(LEFT($A327,7)="SAMPLE-","SAMPLE-","")&amp;LOWER(SUBSTITUTE(SUBSTITUTE($A327,"SAMPLE-",""),"CMP-","c"))&amp;"-"&amp;LOWER(SUBSTITUTE(SUBSTITUTE($B327,"SAMPLE-",""),"O-","o"))&amp;"-"&amp;IF($C327="qr","q","p"))</f>
        <v/>
      </c>
      <c r="E327" s="25">
        <f>IF($A327="","","https://"&amp;config!$B$9&amp;"/"&amp;$D327)</f>
        <v/>
      </c>
      <c r="F327" s="25">
        <f>IF($A327="","",$A327&amp;"."&amp;$B327)</f>
        <v/>
      </c>
      <c r="G327" s="25">
        <f>IF($A327="","",IF(IFERROR(IF(INDEX(campaigns!$AJ$2:$AJ$51,MATCH($A327,campaigns!$A$2:$A$51,0))="","",INDEX(campaigns!$AJ$2:$AJ$51,MATCH($A327,campaigns!$A$2:$A$51,0))),"")="","(add the survey prefill template on campaigns)",SUBSTITUTE(IFERROR(IF(INDEX(campaigns!$AJ$2:$AJ$51,MATCH($A327,campaigns!$A$2:$A$51,0))="","",INDEX(campaigns!$AJ$2:$AJ$51,MATCH($A327,campaigns!$A$2:$A$51,0))),""),"CARDCODE",$F327)&amp;"&amp;utm_source=office-pantry&amp;utm_medium="&amp;$C327&amp;"&amp;utm_campaign="&amp;LOWER($A327)&amp;"&amp;utm_content="&amp;LOWER($B327)))</f>
        <v/>
      </c>
      <c r="H327" s="25">
        <f>IF(OR($A327="",$C327&lt;&gt;"qr"),"",$D327&amp;".png")</f>
        <v/>
      </c>
      <c r="I327" s="25">
        <f>IF($A327="","",IF(AND(IFERROR(IF(INDEX(campaigns!$AJ$2:$AJ$51,MATCH($A327,campaigns!$A$2:$A$51,0))="","",INDEX(campaigns!$AJ$2:$AJ$51,MATCH($A327,campaigns!$A$2:$A$51,0))),"")="",IFERROR(IF(INDEX(campaigns!$BG$2:$BG$51,MATCH($A327,campaigns!$A$2:$A$51,0))="","",INDEX(campaigns!$BG$2:$BG$51,MATCH($A327,campaigns!$A$2:$A$51,0))),"")&lt;&gt;"",IF(config!$B$37&lt;&gt;"",config!$B$37,TODAY())&gt;=WORKDAY(N(IFERROR(IF(INDEX(campaigns!$BG$2:$BG$51,MATCH($A327,campaigns!$A$2:$A$51,0))="","",INDEX(campaigns!$BG$2:$BG$51,MATCH($A327,campaigns!$A$2:$A$51,0))),"")),-4,calendar!$A$2:$A$80)),"no prefill template yet (due T-4); ","")&amp;IF(COUNTIF(links!$D$2:$D$501,$D327)&gt;1,"DUPLICATE slug; ",""))</f>
        <v/>
      </c>
    </row>
    <row r="328">
      <c r="A328" s="25">
        <f>IF(INDEX(approvals!$A$2:$A$251,INT((ROW()-2)/2)+1)="","",INDEX(approvals!$A$2:$A$251,INT((ROW()-2)/2)+1))</f>
        <v/>
      </c>
      <c r="B328" s="25">
        <f>IF(INDEX(approvals!$A$2:$A$251,INT((ROW()-2)/2)+1)="","",INDEX(approvals!$B$2:$B$251,INT((ROW()-2)/2)+1))</f>
        <v/>
      </c>
      <c r="C328" s="25">
        <f>IF($A328="","",IF(MOD(ROW()-2,2)=0,"qr","post"))</f>
        <v/>
      </c>
      <c r="D328" s="25">
        <f>IF($A328="","",IF(LEFT($A328,7)="SAMPLE-","SAMPLE-","")&amp;LOWER(SUBSTITUTE(SUBSTITUTE($A328,"SAMPLE-",""),"CMP-","c"))&amp;"-"&amp;LOWER(SUBSTITUTE(SUBSTITUTE($B328,"SAMPLE-",""),"O-","o"))&amp;"-"&amp;IF($C328="qr","q","p"))</f>
        <v/>
      </c>
      <c r="E328" s="25">
        <f>IF($A328="","","https://"&amp;config!$B$9&amp;"/"&amp;$D328)</f>
        <v/>
      </c>
      <c r="F328" s="25">
        <f>IF($A328="","",$A328&amp;"."&amp;$B328)</f>
        <v/>
      </c>
      <c r="G328" s="25">
        <f>IF($A328="","",IF(IFERROR(IF(INDEX(campaigns!$AJ$2:$AJ$51,MATCH($A328,campaigns!$A$2:$A$51,0))="","",INDEX(campaigns!$AJ$2:$AJ$51,MATCH($A328,campaigns!$A$2:$A$51,0))),"")="","(add the survey prefill template on campaigns)",SUBSTITUTE(IFERROR(IF(INDEX(campaigns!$AJ$2:$AJ$51,MATCH($A328,campaigns!$A$2:$A$51,0))="","",INDEX(campaigns!$AJ$2:$AJ$51,MATCH($A328,campaigns!$A$2:$A$51,0))),""),"CARDCODE",$F328)&amp;"&amp;utm_source=office-pantry&amp;utm_medium="&amp;$C328&amp;"&amp;utm_campaign="&amp;LOWER($A328)&amp;"&amp;utm_content="&amp;LOWER($B328)))</f>
        <v/>
      </c>
      <c r="H328" s="25">
        <f>IF(OR($A328="",$C328&lt;&gt;"qr"),"",$D328&amp;".png")</f>
        <v/>
      </c>
      <c r="I328" s="25">
        <f>IF($A328="","",IF(AND(IFERROR(IF(INDEX(campaigns!$AJ$2:$AJ$51,MATCH($A328,campaigns!$A$2:$A$51,0))="","",INDEX(campaigns!$AJ$2:$AJ$51,MATCH($A328,campaigns!$A$2:$A$51,0))),"")="",IFERROR(IF(INDEX(campaigns!$BG$2:$BG$51,MATCH($A328,campaigns!$A$2:$A$51,0))="","",INDEX(campaigns!$BG$2:$BG$51,MATCH($A328,campaigns!$A$2:$A$51,0))),"")&lt;&gt;"",IF(config!$B$37&lt;&gt;"",config!$B$37,TODAY())&gt;=WORKDAY(N(IFERROR(IF(INDEX(campaigns!$BG$2:$BG$51,MATCH($A328,campaigns!$A$2:$A$51,0))="","",INDEX(campaigns!$BG$2:$BG$51,MATCH($A328,campaigns!$A$2:$A$51,0))),"")),-4,calendar!$A$2:$A$80)),"no prefill template yet (due T-4); ","")&amp;IF(COUNTIF(links!$D$2:$D$501,$D328)&gt;1,"DUPLICATE slug; ",""))</f>
        <v/>
      </c>
    </row>
    <row r="329">
      <c r="A329" s="25">
        <f>IF(INDEX(approvals!$A$2:$A$251,INT((ROW()-2)/2)+1)="","",INDEX(approvals!$A$2:$A$251,INT((ROW()-2)/2)+1))</f>
        <v/>
      </c>
      <c r="B329" s="25">
        <f>IF(INDEX(approvals!$A$2:$A$251,INT((ROW()-2)/2)+1)="","",INDEX(approvals!$B$2:$B$251,INT((ROW()-2)/2)+1))</f>
        <v/>
      </c>
      <c r="C329" s="25">
        <f>IF($A329="","",IF(MOD(ROW()-2,2)=0,"qr","post"))</f>
        <v/>
      </c>
      <c r="D329" s="25">
        <f>IF($A329="","",IF(LEFT($A329,7)="SAMPLE-","SAMPLE-","")&amp;LOWER(SUBSTITUTE(SUBSTITUTE($A329,"SAMPLE-",""),"CMP-","c"))&amp;"-"&amp;LOWER(SUBSTITUTE(SUBSTITUTE($B329,"SAMPLE-",""),"O-","o"))&amp;"-"&amp;IF($C329="qr","q","p"))</f>
        <v/>
      </c>
      <c r="E329" s="25">
        <f>IF($A329="","","https://"&amp;config!$B$9&amp;"/"&amp;$D329)</f>
        <v/>
      </c>
      <c r="F329" s="25">
        <f>IF($A329="","",$A329&amp;"."&amp;$B329)</f>
        <v/>
      </c>
      <c r="G329" s="25">
        <f>IF($A329="","",IF(IFERROR(IF(INDEX(campaigns!$AJ$2:$AJ$51,MATCH($A329,campaigns!$A$2:$A$51,0))="","",INDEX(campaigns!$AJ$2:$AJ$51,MATCH($A329,campaigns!$A$2:$A$51,0))),"")="","(add the survey prefill template on campaigns)",SUBSTITUTE(IFERROR(IF(INDEX(campaigns!$AJ$2:$AJ$51,MATCH($A329,campaigns!$A$2:$A$51,0))="","",INDEX(campaigns!$AJ$2:$AJ$51,MATCH($A329,campaigns!$A$2:$A$51,0))),""),"CARDCODE",$F329)&amp;"&amp;utm_source=office-pantry&amp;utm_medium="&amp;$C329&amp;"&amp;utm_campaign="&amp;LOWER($A329)&amp;"&amp;utm_content="&amp;LOWER($B329)))</f>
        <v/>
      </c>
      <c r="H329" s="25">
        <f>IF(OR($A329="",$C329&lt;&gt;"qr"),"",$D329&amp;".png")</f>
        <v/>
      </c>
      <c r="I329" s="25">
        <f>IF($A329="","",IF(AND(IFERROR(IF(INDEX(campaigns!$AJ$2:$AJ$51,MATCH($A329,campaigns!$A$2:$A$51,0))="","",INDEX(campaigns!$AJ$2:$AJ$51,MATCH($A329,campaigns!$A$2:$A$51,0))),"")="",IFERROR(IF(INDEX(campaigns!$BG$2:$BG$51,MATCH($A329,campaigns!$A$2:$A$51,0))="","",INDEX(campaigns!$BG$2:$BG$51,MATCH($A329,campaigns!$A$2:$A$51,0))),"")&lt;&gt;"",IF(config!$B$37&lt;&gt;"",config!$B$37,TODAY())&gt;=WORKDAY(N(IFERROR(IF(INDEX(campaigns!$BG$2:$BG$51,MATCH($A329,campaigns!$A$2:$A$51,0))="","",INDEX(campaigns!$BG$2:$BG$51,MATCH($A329,campaigns!$A$2:$A$51,0))),"")),-4,calendar!$A$2:$A$80)),"no prefill template yet (due T-4); ","")&amp;IF(COUNTIF(links!$D$2:$D$501,$D329)&gt;1,"DUPLICATE slug; ",""))</f>
        <v/>
      </c>
    </row>
    <row r="330">
      <c r="A330" s="25">
        <f>IF(INDEX(approvals!$A$2:$A$251,INT((ROW()-2)/2)+1)="","",INDEX(approvals!$A$2:$A$251,INT((ROW()-2)/2)+1))</f>
        <v/>
      </c>
      <c r="B330" s="25">
        <f>IF(INDEX(approvals!$A$2:$A$251,INT((ROW()-2)/2)+1)="","",INDEX(approvals!$B$2:$B$251,INT((ROW()-2)/2)+1))</f>
        <v/>
      </c>
      <c r="C330" s="25">
        <f>IF($A330="","",IF(MOD(ROW()-2,2)=0,"qr","post"))</f>
        <v/>
      </c>
      <c r="D330" s="25">
        <f>IF($A330="","",IF(LEFT($A330,7)="SAMPLE-","SAMPLE-","")&amp;LOWER(SUBSTITUTE(SUBSTITUTE($A330,"SAMPLE-",""),"CMP-","c"))&amp;"-"&amp;LOWER(SUBSTITUTE(SUBSTITUTE($B330,"SAMPLE-",""),"O-","o"))&amp;"-"&amp;IF($C330="qr","q","p"))</f>
        <v/>
      </c>
      <c r="E330" s="25">
        <f>IF($A330="","","https://"&amp;config!$B$9&amp;"/"&amp;$D330)</f>
        <v/>
      </c>
      <c r="F330" s="25">
        <f>IF($A330="","",$A330&amp;"."&amp;$B330)</f>
        <v/>
      </c>
      <c r="G330" s="25">
        <f>IF($A330="","",IF(IFERROR(IF(INDEX(campaigns!$AJ$2:$AJ$51,MATCH($A330,campaigns!$A$2:$A$51,0))="","",INDEX(campaigns!$AJ$2:$AJ$51,MATCH($A330,campaigns!$A$2:$A$51,0))),"")="","(add the survey prefill template on campaigns)",SUBSTITUTE(IFERROR(IF(INDEX(campaigns!$AJ$2:$AJ$51,MATCH($A330,campaigns!$A$2:$A$51,0))="","",INDEX(campaigns!$AJ$2:$AJ$51,MATCH($A330,campaigns!$A$2:$A$51,0))),""),"CARDCODE",$F330)&amp;"&amp;utm_source=office-pantry&amp;utm_medium="&amp;$C330&amp;"&amp;utm_campaign="&amp;LOWER($A330)&amp;"&amp;utm_content="&amp;LOWER($B330)))</f>
        <v/>
      </c>
      <c r="H330" s="25">
        <f>IF(OR($A330="",$C330&lt;&gt;"qr"),"",$D330&amp;".png")</f>
        <v/>
      </c>
      <c r="I330" s="25">
        <f>IF($A330="","",IF(AND(IFERROR(IF(INDEX(campaigns!$AJ$2:$AJ$51,MATCH($A330,campaigns!$A$2:$A$51,0))="","",INDEX(campaigns!$AJ$2:$AJ$51,MATCH($A330,campaigns!$A$2:$A$51,0))),"")="",IFERROR(IF(INDEX(campaigns!$BG$2:$BG$51,MATCH($A330,campaigns!$A$2:$A$51,0))="","",INDEX(campaigns!$BG$2:$BG$51,MATCH($A330,campaigns!$A$2:$A$51,0))),"")&lt;&gt;"",IF(config!$B$37&lt;&gt;"",config!$B$37,TODAY())&gt;=WORKDAY(N(IFERROR(IF(INDEX(campaigns!$BG$2:$BG$51,MATCH($A330,campaigns!$A$2:$A$51,0))="","",INDEX(campaigns!$BG$2:$BG$51,MATCH($A330,campaigns!$A$2:$A$51,0))),"")),-4,calendar!$A$2:$A$80)),"no prefill template yet (due T-4); ","")&amp;IF(COUNTIF(links!$D$2:$D$501,$D330)&gt;1,"DUPLICATE slug; ",""))</f>
        <v/>
      </c>
    </row>
    <row r="331">
      <c r="A331" s="25">
        <f>IF(INDEX(approvals!$A$2:$A$251,INT((ROW()-2)/2)+1)="","",INDEX(approvals!$A$2:$A$251,INT((ROW()-2)/2)+1))</f>
        <v/>
      </c>
      <c r="B331" s="25">
        <f>IF(INDEX(approvals!$A$2:$A$251,INT((ROW()-2)/2)+1)="","",INDEX(approvals!$B$2:$B$251,INT((ROW()-2)/2)+1))</f>
        <v/>
      </c>
      <c r="C331" s="25">
        <f>IF($A331="","",IF(MOD(ROW()-2,2)=0,"qr","post"))</f>
        <v/>
      </c>
      <c r="D331" s="25">
        <f>IF($A331="","",IF(LEFT($A331,7)="SAMPLE-","SAMPLE-","")&amp;LOWER(SUBSTITUTE(SUBSTITUTE($A331,"SAMPLE-",""),"CMP-","c"))&amp;"-"&amp;LOWER(SUBSTITUTE(SUBSTITUTE($B331,"SAMPLE-",""),"O-","o"))&amp;"-"&amp;IF($C331="qr","q","p"))</f>
        <v/>
      </c>
      <c r="E331" s="25">
        <f>IF($A331="","","https://"&amp;config!$B$9&amp;"/"&amp;$D331)</f>
        <v/>
      </c>
      <c r="F331" s="25">
        <f>IF($A331="","",$A331&amp;"."&amp;$B331)</f>
        <v/>
      </c>
      <c r="G331" s="25">
        <f>IF($A331="","",IF(IFERROR(IF(INDEX(campaigns!$AJ$2:$AJ$51,MATCH($A331,campaigns!$A$2:$A$51,0))="","",INDEX(campaigns!$AJ$2:$AJ$51,MATCH($A331,campaigns!$A$2:$A$51,0))),"")="","(add the survey prefill template on campaigns)",SUBSTITUTE(IFERROR(IF(INDEX(campaigns!$AJ$2:$AJ$51,MATCH($A331,campaigns!$A$2:$A$51,0))="","",INDEX(campaigns!$AJ$2:$AJ$51,MATCH($A331,campaigns!$A$2:$A$51,0))),""),"CARDCODE",$F331)&amp;"&amp;utm_source=office-pantry&amp;utm_medium="&amp;$C331&amp;"&amp;utm_campaign="&amp;LOWER($A331)&amp;"&amp;utm_content="&amp;LOWER($B331)))</f>
        <v/>
      </c>
      <c r="H331" s="25">
        <f>IF(OR($A331="",$C331&lt;&gt;"qr"),"",$D331&amp;".png")</f>
        <v/>
      </c>
      <c r="I331" s="25">
        <f>IF($A331="","",IF(AND(IFERROR(IF(INDEX(campaigns!$AJ$2:$AJ$51,MATCH($A331,campaigns!$A$2:$A$51,0))="","",INDEX(campaigns!$AJ$2:$AJ$51,MATCH($A331,campaigns!$A$2:$A$51,0))),"")="",IFERROR(IF(INDEX(campaigns!$BG$2:$BG$51,MATCH($A331,campaigns!$A$2:$A$51,0))="","",INDEX(campaigns!$BG$2:$BG$51,MATCH($A331,campaigns!$A$2:$A$51,0))),"")&lt;&gt;"",IF(config!$B$37&lt;&gt;"",config!$B$37,TODAY())&gt;=WORKDAY(N(IFERROR(IF(INDEX(campaigns!$BG$2:$BG$51,MATCH($A331,campaigns!$A$2:$A$51,0))="","",INDEX(campaigns!$BG$2:$BG$51,MATCH($A331,campaigns!$A$2:$A$51,0))),"")),-4,calendar!$A$2:$A$80)),"no prefill template yet (due T-4); ","")&amp;IF(COUNTIF(links!$D$2:$D$501,$D331)&gt;1,"DUPLICATE slug; ",""))</f>
        <v/>
      </c>
    </row>
    <row r="332">
      <c r="A332" s="25">
        <f>IF(INDEX(approvals!$A$2:$A$251,INT((ROW()-2)/2)+1)="","",INDEX(approvals!$A$2:$A$251,INT((ROW()-2)/2)+1))</f>
        <v/>
      </c>
      <c r="B332" s="25">
        <f>IF(INDEX(approvals!$A$2:$A$251,INT((ROW()-2)/2)+1)="","",INDEX(approvals!$B$2:$B$251,INT((ROW()-2)/2)+1))</f>
        <v/>
      </c>
      <c r="C332" s="25">
        <f>IF($A332="","",IF(MOD(ROW()-2,2)=0,"qr","post"))</f>
        <v/>
      </c>
      <c r="D332" s="25">
        <f>IF($A332="","",IF(LEFT($A332,7)="SAMPLE-","SAMPLE-","")&amp;LOWER(SUBSTITUTE(SUBSTITUTE($A332,"SAMPLE-",""),"CMP-","c"))&amp;"-"&amp;LOWER(SUBSTITUTE(SUBSTITUTE($B332,"SAMPLE-",""),"O-","o"))&amp;"-"&amp;IF($C332="qr","q","p"))</f>
        <v/>
      </c>
      <c r="E332" s="25">
        <f>IF($A332="","","https://"&amp;config!$B$9&amp;"/"&amp;$D332)</f>
        <v/>
      </c>
      <c r="F332" s="25">
        <f>IF($A332="","",$A332&amp;"."&amp;$B332)</f>
        <v/>
      </c>
      <c r="G332" s="25">
        <f>IF($A332="","",IF(IFERROR(IF(INDEX(campaigns!$AJ$2:$AJ$51,MATCH($A332,campaigns!$A$2:$A$51,0))="","",INDEX(campaigns!$AJ$2:$AJ$51,MATCH($A332,campaigns!$A$2:$A$51,0))),"")="","(add the survey prefill template on campaigns)",SUBSTITUTE(IFERROR(IF(INDEX(campaigns!$AJ$2:$AJ$51,MATCH($A332,campaigns!$A$2:$A$51,0))="","",INDEX(campaigns!$AJ$2:$AJ$51,MATCH($A332,campaigns!$A$2:$A$51,0))),""),"CARDCODE",$F332)&amp;"&amp;utm_source=office-pantry&amp;utm_medium="&amp;$C332&amp;"&amp;utm_campaign="&amp;LOWER($A332)&amp;"&amp;utm_content="&amp;LOWER($B332)))</f>
        <v/>
      </c>
      <c r="H332" s="25">
        <f>IF(OR($A332="",$C332&lt;&gt;"qr"),"",$D332&amp;".png")</f>
        <v/>
      </c>
      <c r="I332" s="25">
        <f>IF($A332="","",IF(AND(IFERROR(IF(INDEX(campaigns!$AJ$2:$AJ$51,MATCH($A332,campaigns!$A$2:$A$51,0))="","",INDEX(campaigns!$AJ$2:$AJ$51,MATCH($A332,campaigns!$A$2:$A$51,0))),"")="",IFERROR(IF(INDEX(campaigns!$BG$2:$BG$51,MATCH($A332,campaigns!$A$2:$A$51,0))="","",INDEX(campaigns!$BG$2:$BG$51,MATCH($A332,campaigns!$A$2:$A$51,0))),"")&lt;&gt;"",IF(config!$B$37&lt;&gt;"",config!$B$37,TODAY())&gt;=WORKDAY(N(IFERROR(IF(INDEX(campaigns!$BG$2:$BG$51,MATCH($A332,campaigns!$A$2:$A$51,0))="","",INDEX(campaigns!$BG$2:$BG$51,MATCH($A332,campaigns!$A$2:$A$51,0))),"")),-4,calendar!$A$2:$A$80)),"no prefill template yet (due T-4); ","")&amp;IF(COUNTIF(links!$D$2:$D$501,$D332)&gt;1,"DUPLICATE slug; ",""))</f>
        <v/>
      </c>
    </row>
    <row r="333">
      <c r="A333" s="25">
        <f>IF(INDEX(approvals!$A$2:$A$251,INT((ROW()-2)/2)+1)="","",INDEX(approvals!$A$2:$A$251,INT((ROW()-2)/2)+1))</f>
        <v/>
      </c>
      <c r="B333" s="25">
        <f>IF(INDEX(approvals!$A$2:$A$251,INT((ROW()-2)/2)+1)="","",INDEX(approvals!$B$2:$B$251,INT((ROW()-2)/2)+1))</f>
        <v/>
      </c>
      <c r="C333" s="25">
        <f>IF($A333="","",IF(MOD(ROW()-2,2)=0,"qr","post"))</f>
        <v/>
      </c>
      <c r="D333" s="25">
        <f>IF($A333="","",IF(LEFT($A333,7)="SAMPLE-","SAMPLE-","")&amp;LOWER(SUBSTITUTE(SUBSTITUTE($A333,"SAMPLE-",""),"CMP-","c"))&amp;"-"&amp;LOWER(SUBSTITUTE(SUBSTITUTE($B333,"SAMPLE-",""),"O-","o"))&amp;"-"&amp;IF($C333="qr","q","p"))</f>
        <v/>
      </c>
      <c r="E333" s="25">
        <f>IF($A333="","","https://"&amp;config!$B$9&amp;"/"&amp;$D333)</f>
        <v/>
      </c>
      <c r="F333" s="25">
        <f>IF($A333="","",$A333&amp;"."&amp;$B333)</f>
        <v/>
      </c>
      <c r="G333" s="25">
        <f>IF($A333="","",IF(IFERROR(IF(INDEX(campaigns!$AJ$2:$AJ$51,MATCH($A333,campaigns!$A$2:$A$51,0))="","",INDEX(campaigns!$AJ$2:$AJ$51,MATCH($A333,campaigns!$A$2:$A$51,0))),"")="","(add the survey prefill template on campaigns)",SUBSTITUTE(IFERROR(IF(INDEX(campaigns!$AJ$2:$AJ$51,MATCH($A333,campaigns!$A$2:$A$51,0))="","",INDEX(campaigns!$AJ$2:$AJ$51,MATCH($A333,campaigns!$A$2:$A$51,0))),""),"CARDCODE",$F333)&amp;"&amp;utm_source=office-pantry&amp;utm_medium="&amp;$C333&amp;"&amp;utm_campaign="&amp;LOWER($A333)&amp;"&amp;utm_content="&amp;LOWER($B333)))</f>
        <v/>
      </c>
      <c r="H333" s="25">
        <f>IF(OR($A333="",$C333&lt;&gt;"qr"),"",$D333&amp;".png")</f>
        <v/>
      </c>
      <c r="I333" s="25">
        <f>IF($A333="","",IF(AND(IFERROR(IF(INDEX(campaigns!$AJ$2:$AJ$51,MATCH($A333,campaigns!$A$2:$A$51,0))="","",INDEX(campaigns!$AJ$2:$AJ$51,MATCH($A333,campaigns!$A$2:$A$51,0))),"")="",IFERROR(IF(INDEX(campaigns!$BG$2:$BG$51,MATCH($A333,campaigns!$A$2:$A$51,0))="","",INDEX(campaigns!$BG$2:$BG$51,MATCH($A333,campaigns!$A$2:$A$51,0))),"")&lt;&gt;"",IF(config!$B$37&lt;&gt;"",config!$B$37,TODAY())&gt;=WORKDAY(N(IFERROR(IF(INDEX(campaigns!$BG$2:$BG$51,MATCH($A333,campaigns!$A$2:$A$51,0))="","",INDEX(campaigns!$BG$2:$BG$51,MATCH($A333,campaigns!$A$2:$A$51,0))),"")),-4,calendar!$A$2:$A$80)),"no prefill template yet (due T-4); ","")&amp;IF(COUNTIF(links!$D$2:$D$501,$D333)&gt;1,"DUPLICATE slug; ",""))</f>
        <v/>
      </c>
    </row>
    <row r="334">
      <c r="A334" s="25">
        <f>IF(INDEX(approvals!$A$2:$A$251,INT((ROW()-2)/2)+1)="","",INDEX(approvals!$A$2:$A$251,INT((ROW()-2)/2)+1))</f>
        <v/>
      </c>
      <c r="B334" s="25">
        <f>IF(INDEX(approvals!$A$2:$A$251,INT((ROW()-2)/2)+1)="","",INDEX(approvals!$B$2:$B$251,INT((ROW()-2)/2)+1))</f>
        <v/>
      </c>
      <c r="C334" s="25">
        <f>IF($A334="","",IF(MOD(ROW()-2,2)=0,"qr","post"))</f>
        <v/>
      </c>
      <c r="D334" s="25">
        <f>IF($A334="","",IF(LEFT($A334,7)="SAMPLE-","SAMPLE-","")&amp;LOWER(SUBSTITUTE(SUBSTITUTE($A334,"SAMPLE-",""),"CMP-","c"))&amp;"-"&amp;LOWER(SUBSTITUTE(SUBSTITUTE($B334,"SAMPLE-",""),"O-","o"))&amp;"-"&amp;IF($C334="qr","q","p"))</f>
        <v/>
      </c>
      <c r="E334" s="25">
        <f>IF($A334="","","https://"&amp;config!$B$9&amp;"/"&amp;$D334)</f>
        <v/>
      </c>
      <c r="F334" s="25">
        <f>IF($A334="","",$A334&amp;"."&amp;$B334)</f>
        <v/>
      </c>
      <c r="G334" s="25">
        <f>IF($A334="","",IF(IFERROR(IF(INDEX(campaigns!$AJ$2:$AJ$51,MATCH($A334,campaigns!$A$2:$A$51,0))="","",INDEX(campaigns!$AJ$2:$AJ$51,MATCH($A334,campaigns!$A$2:$A$51,0))),"")="","(add the survey prefill template on campaigns)",SUBSTITUTE(IFERROR(IF(INDEX(campaigns!$AJ$2:$AJ$51,MATCH($A334,campaigns!$A$2:$A$51,0))="","",INDEX(campaigns!$AJ$2:$AJ$51,MATCH($A334,campaigns!$A$2:$A$51,0))),""),"CARDCODE",$F334)&amp;"&amp;utm_source=office-pantry&amp;utm_medium="&amp;$C334&amp;"&amp;utm_campaign="&amp;LOWER($A334)&amp;"&amp;utm_content="&amp;LOWER($B334)))</f>
        <v/>
      </c>
      <c r="H334" s="25">
        <f>IF(OR($A334="",$C334&lt;&gt;"qr"),"",$D334&amp;".png")</f>
        <v/>
      </c>
      <c r="I334" s="25">
        <f>IF($A334="","",IF(AND(IFERROR(IF(INDEX(campaigns!$AJ$2:$AJ$51,MATCH($A334,campaigns!$A$2:$A$51,0))="","",INDEX(campaigns!$AJ$2:$AJ$51,MATCH($A334,campaigns!$A$2:$A$51,0))),"")="",IFERROR(IF(INDEX(campaigns!$BG$2:$BG$51,MATCH($A334,campaigns!$A$2:$A$51,0))="","",INDEX(campaigns!$BG$2:$BG$51,MATCH($A334,campaigns!$A$2:$A$51,0))),"")&lt;&gt;"",IF(config!$B$37&lt;&gt;"",config!$B$37,TODAY())&gt;=WORKDAY(N(IFERROR(IF(INDEX(campaigns!$BG$2:$BG$51,MATCH($A334,campaigns!$A$2:$A$51,0))="","",INDEX(campaigns!$BG$2:$BG$51,MATCH($A334,campaigns!$A$2:$A$51,0))),"")),-4,calendar!$A$2:$A$80)),"no prefill template yet (due T-4); ","")&amp;IF(COUNTIF(links!$D$2:$D$501,$D334)&gt;1,"DUPLICATE slug; ",""))</f>
        <v/>
      </c>
    </row>
    <row r="335">
      <c r="A335" s="25">
        <f>IF(INDEX(approvals!$A$2:$A$251,INT((ROW()-2)/2)+1)="","",INDEX(approvals!$A$2:$A$251,INT((ROW()-2)/2)+1))</f>
        <v/>
      </c>
      <c r="B335" s="25">
        <f>IF(INDEX(approvals!$A$2:$A$251,INT((ROW()-2)/2)+1)="","",INDEX(approvals!$B$2:$B$251,INT((ROW()-2)/2)+1))</f>
        <v/>
      </c>
      <c r="C335" s="25">
        <f>IF($A335="","",IF(MOD(ROW()-2,2)=0,"qr","post"))</f>
        <v/>
      </c>
      <c r="D335" s="25">
        <f>IF($A335="","",IF(LEFT($A335,7)="SAMPLE-","SAMPLE-","")&amp;LOWER(SUBSTITUTE(SUBSTITUTE($A335,"SAMPLE-",""),"CMP-","c"))&amp;"-"&amp;LOWER(SUBSTITUTE(SUBSTITUTE($B335,"SAMPLE-",""),"O-","o"))&amp;"-"&amp;IF($C335="qr","q","p"))</f>
        <v/>
      </c>
      <c r="E335" s="25">
        <f>IF($A335="","","https://"&amp;config!$B$9&amp;"/"&amp;$D335)</f>
        <v/>
      </c>
      <c r="F335" s="25">
        <f>IF($A335="","",$A335&amp;"."&amp;$B335)</f>
        <v/>
      </c>
      <c r="G335" s="25">
        <f>IF($A335="","",IF(IFERROR(IF(INDEX(campaigns!$AJ$2:$AJ$51,MATCH($A335,campaigns!$A$2:$A$51,0))="","",INDEX(campaigns!$AJ$2:$AJ$51,MATCH($A335,campaigns!$A$2:$A$51,0))),"")="","(add the survey prefill template on campaigns)",SUBSTITUTE(IFERROR(IF(INDEX(campaigns!$AJ$2:$AJ$51,MATCH($A335,campaigns!$A$2:$A$51,0))="","",INDEX(campaigns!$AJ$2:$AJ$51,MATCH($A335,campaigns!$A$2:$A$51,0))),""),"CARDCODE",$F335)&amp;"&amp;utm_source=office-pantry&amp;utm_medium="&amp;$C335&amp;"&amp;utm_campaign="&amp;LOWER($A335)&amp;"&amp;utm_content="&amp;LOWER($B335)))</f>
        <v/>
      </c>
      <c r="H335" s="25">
        <f>IF(OR($A335="",$C335&lt;&gt;"qr"),"",$D335&amp;".png")</f>
        <v/>
      </c>
      <c r="I335" s="25">
        <f>IF($A335="","",IF(AND(IFERROR(IF(INDEX(campaigns!$AJ$2:$AJ$51,MATCH($A335,campaigns!$A$2:$A$51,0))="","",INDEX(campaigns!$AJ$2:$AJ$51,MATCH($A335,campaigns!$A$2:$A$51,0))),"")="",IFERROR(IF(INDEX(campaigns!$BG$2:$BG$51,MATCH($A335,campaigns!$A$2:$A$51,0))="","",INDEX(campaigns!$BG$2:$BG$51,MATCH($A335,campaigns!$A$2:$A$51,0))),"")&lt;&gt;"",IF(config!$B$37&lt;&gt;"",config!$B$37,TODAY())&gt;=WORKDAY(N(IFERROR(IF(INDEX(campaigns!$BG$2:$BG$51,MATCH($A335,campaigns!$A$2:$A$51,0))="","",INDEX(campaigns!$BG$2:$BG$51,MATCH($A335,campaigns!$A$2:$A$51,0))),"")),-4,calendar!$A$2:$A$80)),"no prefill template yet (due T-4); ","")&amp;IF(COUNTIF(links!$D$2:$D$501,$D335)&gt;1,"DUPLICATE slug; ",""))</f>
        <v/>
      </c>
    </row>
    <row r="336">
      <c r="A336" s="25">
        <f>IF(INDEX(approvals!$A$2:$A$251,INT((ROW()-2)/2)+1)="","",INDEX(approvals!$A$2:$A$251,INT((ROW()-2)/2)+1))</f>
        <v/>
      </c>
      <c r="B336" s="25">
        <f>IF(INDEX(approvals!$A$2:$A$251,INT((ROW()-2)/2)+1)="","",INDEX(approvals!$B$2:$B$251,INT((ROW()-2)/2)+1))</f>
        <v/>
      </c>
      <c r="C336" s="25">
        <f>IF($A336="","",IF(MOD(ROW()-2,2)=0,"qr","post"))</f>
        <v/>
      </c>
      <c r="D336" s="25">
        <f>IF($A336="","",IF(LEFT($A336,7)="SAMPLE-","SAMPLE-","")&amp;LOWER(SUBSTITUTE(SUBSTITUTE($A336,"SAMPLE-",""),"CMP-","c"))&amp;"-"&amp;LOWER(SUBSTITUTE(SUBSTITUTE($B336,"SAMPLE-",""),"O-","o"))&amp;"-"&amp;IF($C336="qr","q","p"))</f>
        <v/>
      </c>
      <c r="E336" s="25">
        <f>IF($A336="","","https://"&amp;config!$B$9&amp;"/"&amp;$D336)</f>
        <v/>
      </c>
      <c r="F336" s="25">
        <f>IF($A336="","",$A336&amp;"."&amp;$B336)</f>
        <v/>
      </c>
      <c r="G336" s="25">
        <f>IF($A336="","",IF(IFERROR(IF(INDEX(campaigns!$AJ$2:$AJ$51,MATCH($A336,campaigns!$A$2:$A$51,0))="","",INDEX(campaigns!$AJ$2:$AJ$51,MATCH($A336,campaigns!$A$2:$A$51,0))),"")="","(add the survey prefill template on campaigns)",SUBSTITUTE(IFERROR(IF(INDEX(campaigns!$AJ$2:$AJ$51,MATCH($A336,campaigns!$A$2:$A$51,0))="","",INDEX(campaigns!$AJ$2:$AJ$51,MATCH($A336,campaigns!$A$2:$A$51,0))),""),"CARDCODE",$F336)&amp;"&amp;utm_source=office-pantry&amp;utm_medium="&amp;$C336&amp;"&amp;utm_campaign="&amp;LOWER($A336)&amp;"&amp;utm_content="&amp;LOWER($B336)))</f>
        <v/>
      </c>
      <c r="H336" s="25">
        <f>IF(OR($A336="",$C336&lt;&gt;"qr"),"",$D336&amp;".png")</f>
        <v/>
      </c>
      <c r="I336" s="25">
        <f>IF($A336="","",IF(AND(IFERROR(IF(INDEX(campaigns!$AJ$2:$AJ$51,MATCH($A336,campaigns!$A$2:$A$51,0))="","",INDEX(campaigns!$AJ$2:$AJ$51,MATCH($A336,campaigns!$A$2:$A$51,0))),"")="",IFERROR(IF(INDEX(campaigns!$BG$2:$BG$51,MATCH($A336,campaigns!$A$2:$A$51,0))="","",INDEX(campaigns!$BG$2:$BG$51,MATCH($A336,campaigns!$A$2:$A$51,0))),"")&lt;&gt;"",IF(config!$B$37&lt;&gt;"",config!$B$37,TODAY())&gt;=WORKDAY(N(IFERROR(IF(INDEX(campaigns!$BG$2:$BG$51,MATCH($A336,campaigns!$A$2:$A$51,0))="","",INDEX(campaigns!$BG$2:$BG$51,MATCH($A336,campaigns!$A$2:$A$51,0))),"")),-4,calendar!$A$2:$A$80)),"no prefill template yet (due T-4); ","")&amp;IF(COUNTIF(links!$D$2:$D$501,$D336)&gt;1,"DUPLICATE slug; ",""))</f>
        <v/>
      </c>
    </row>
    <row r="337">
      <c r="A337" s="25">
        <f>IF(INDEX(approvals!$A$2:$A$251,INT((ROW()-2)/2)+1)="","",INDEX(approvals!$A$2:$A$251,INT((ROW()-2)/2)+1))</f>
        <v/>
      </c>
      <c r="B337" s="25">
        <f>IF(INDEX(approvals!$A$2:$A$251,INT((ROW()-2)/2)+1)="","",INDEX(approvals!$B$2:$B$251,INT((ROW()-2)/2)+1))</f>
        <v/>
      </c>
      <c r="C337" s="25">
        <f>IF($A337="","",IF(MOD(ROW()-2,2)=0,"qr","post"))</f>
        <v/>
      </c>
      <c r="D337" s="25">
        <f>IF($A337="","",IF(LEFT($A337,7)="SAMPLE-","SAMPLE-","")&amp;LOWER(SUBSTITUTE(SUBSTITUTE($A337,"SAMPLE-",""),"CMP-","c"))&amp;"-"&amp;LOWER(SUBSTITUTE(SUBSTITUTE($B337,"SAMPLE-",""),"O-","o"))&amp;"-"&amp;IF($C337="qr","q","p"))</f>
        <v/>
      </c>
      <c r="E337" s="25">
        <f>IF($A337="","","https://"&amp;config!$B$9&amp;"/"&amp;$D337)</f>
        <v/>
      </c>
      <c r="F337" s="25">
        <f>IF($A337="","",$A337&amp;"."&amp;$B337)</f>
        <v/>
      </c>
      <c r="G337" s="25">
        <f>IF($A337="","",IF(IFERROR(IF(INDEX(campaigns!$AJ$2:$AJ$51,MATCH($A337,campaigns!$A$2:$A$51,0))="","",INDEX(campaigns!$AJ$2:$AJ$51,MATCH($A337,campaigns!$A$2:$A$51,0))),"")="","(add the survey prefill template on campaigns)",SUBSTITUTE(IFERROR(IF(INDEX(campaigns!$AJ$2:$AJ$51,MATCH($A337,campaigns!$A$2:$A$51,0))="","",INDEX(campaigns!$AJ$2:$AJ$51,MATCH($A337,campaigns!$A$2:$A$51,0))),""),"CARDCODE",$F337)&amp;"&amp;utm_source=office-pantry&amp;utm_medium="&amp;$C337&amp;"&amp;utm_campaign="&amp;LOWER($A337)&amp;"&amp;utm_content="&amp;LOWER($B337)))</f>
        <v/>
      </c>
      <c r="H337" s="25">
        <f>IF(OR($A337="",$C337&lt;&gt;"qr"),"",$D337&amp;".png")</f>
        <v/>
      </c>
      <c r="I337" s="25">
        <f>IF($A337="","",IF(AND(IFERROR(IF(INDEX(campaigns!$AJ$2:$AJ$51,MATCH($A337,campaigns!$A$2:$A$51,0))="","",INDEX(campaigns!$AJ$2:$AJ$51,MATCH($A337,campaigns!$A$2:$A$51,0))),"")="",IFERROR(IF(INDEX(campaigns!$BG$2:$BG$51,MATCH($A337,campaigns!$A$2:$A$51,0))="","",INDEX(campaigns!$BG$2:$BG$51,MATCH($A337,campaigns!$A$2:$A$51,0))),"")&lt;&gt;"",IF(config!$B$37&lt;&gt;"",config!$B$37,TODAY())&gt;=WORKDAY(N(IFERROR(IF(INDEX(campaigns!$BG$2:$BG$51,MATCH($A337,campaigns!$A$2:$A$51,0))="","",INDEX(campaigns!$BG$2:$BG$51,MATCH($A337,campaigns!$A$2:$A$51,0))),"")),-4,calendar!$A$2:$A$80)),"no prefill template yet (due T-4); ","")&amp;IF(COUNTIF(links!$D$2:$D$501,$D337)&gt;1,"DUPLICATE slug; ",""))</f>
        <v/>
      </c>
    </row>
    <row r="338">
      <c r="A338" s="25">
        <f>IF(INDEX(approvals!$A$2:$A$251,INT((ROW()-2)/2)+1)="","",INDEX(approvals!$A$2:$A$251,INT((ROW()-2)/2)+1))</f>
        <v/>
      </c>
      <c r="B338" s="25">
        <f>IF(INDEX(approvals!$A$2:$A$251,INT((ROW()-2)/2)+1)="","",INDEX(approvals!$B$2:$B$251,INT((ROW()-2)/2)+1))</f>
        <v/>
      </c>
      <c r="C338" s="25">
        <f>IF($A338="","",IF(MOD(ROW()-2,2)=0,"qr","post"))</f>
        <v/>
      </c>
      <c r="D338" s="25">
        <f>IF($A338="","",IF(LEFT($A338,7)="SAMPLE-","SAMPLE-","")&amp;LOWER(SUBSTITUTE(SUBSTITUTE($A338,"SAMPLE-",""),"CMP-","c"))&amp;"-"&amp;LOWER(SUBSTITUTE(SUBSTITUTE($B338,"SAMPLE-",""),"O-","o"))&amp;"-"&amp;IF($C338="qr","q","p"))</f>
        <v/>
      </c>
      <c r="E338" s="25">
        <f>IF($A338="","","https://"&amp;config!$B$9&amp;"/"&amp;$D338)</f>
        <v/>
      </c>
      <c r="F338" s="25">
        <f>IF($A338="","",$A338&amp;"."&amp;$B338)</f>
        <v/>
      </c>
      <c r="G338" s="25">
        <f>IF($A338="","",IF(IFERROR(IF(INDEX(campaigns!$AJ$2:$AJ$51,MATCH($A338,campaigns!$A$2:$A$51,0))="","",INDEX(campaigns!$AJ$2:$AJ$51,MATCH($A338,campaigns!$A$2:$A$51,0))),"")="","(add the survey prefill template on campaigns)",SUBSTITUTE(IFERROR(IF(INDEX(campaigns!$AJ$2:$AJ$51,MATCH($A338,campaigns!$A$2:$A$51,0))="","",INDEX(campaigns!$AJ$2:$AJ$51,MATCH($A338,campaigns!$A$2:$A$51,0))),""),"CARDCODE",$F338)&amp;"&amp;utm_source=office-pantry&amp;utm_medium="&amp;$C338&amp;"&amp;utm_campaign="&amp;LOWER($A338)&amp;"&amp;utm_content="&amp;LOWER($B338)))</f>
        <v/>
      </c>
      <c r="H338" s="25">
        <f>IF(OR($A338="",$C338&lt;&gt;"qr"),"",$D338&amp;".png")</f>
        <v/>
      </c>
      <c r="I338" s="25">
        <f>IF($A338="","",IF(AND(IFERROR(IF(INDEX(campaigns!$AJ$2:$AJ$51,MATCH($A338,campaigns!$A$2:$A$51,0))="","",INDEX(campaigns!$AJ$2:$AJ$51,MATCH($A338,campaigns!$A$2:$A$51,0))),"")="",IFERROR(IF(INDEX(campaigns!$BG$2:$BG$51,MATCH($A338,campaigns!$A$2:$A$51,0))="","",INDEX(campaigns!$BG$2:$BG$51,MATCH($A338,campaigns!$A$2:$A$51,0))),"")&lt;&gt;"",IF(config!$B$37&lt;&gt;"",config!$B$37,TODAY())&gt;=WORKDAY(N(IFERROR(IF(INDEX(campaigns!$BG$2:$BG$51,MATCH($A338,campaigns!$A$2:$A$51,0))="","",INDEX(campaigns!$BG$2:$BG$51,MATCH($A338,campaigns!$A$2:$A$51,0))),"")),-4,calendar!$A$2:$A$80)),"no prefill template yet (due T-4); ","")&amp;IF(COUNTIF(links!$D$2:$D$501,$D338)&gt;1,"DUPLICATE slug; ",""))</f>
        <v/>
      </c>
    </row>
    <row r="339">
      <c r="A339" s="25">
        <f>IF(INDEX(approvals!$A$2:$A$251,INT((ROW()-2)/2)+1)="","",INDEX(approvals!$A$2:$A$251,INT((ROW()-2)/2)+1))</f>
        <v/>
      </c>
      <c r="B339" s="25">
        <f>IF(INDEX(approvals!$A$2:$A$251,INT((ROW()-2)/2)+1)="","",INDEX(approvals!$B$2:$B$251,INT((ROW()-2)/2)+1))</f>
        <v/>
      </c>
      <c r="C339" s="25">
        <f>IF($A339="","",IF(MOD(ROW()-2,2)=0,"qr","post"))</f>
        <v/>
      </c>
      <c r="D339" s="25">
        <f>IF($A339="","",IF(LEFT($A339,7)="SAMPLE-","SAMPLE-","")&amp;LOWER(SUBSTITUTE(SUBSTITUTE($A339,"SAMPLE-",""),"CMP-","c"))&amp;"-"&amp;LOWER(SUBSTITUTE(SUBSTITUTE($B339,"SAMPLE-",""),"O-","o"))&amp;"-"&amp;IF($C339="qr","q","p"))</f>
        <v/>
      </c>
      <c r="E339" s="25">
        <f>IF($A339="","","https://"&amp;config!$B$9&amp;"/"&amp;$D339)</f>
        <v/>
      </c>
      <c r="F339" s="25">
        <f>IF($A339="","",$A339&amp;"."&amp;$B339)</f>
        <v/>
      </c>
      <c r="G339" s="25">
        <f>IF($A339="","",IF(IFERROR(IF(INDEX(campaigns!$AJ$2:$AJ$51,MATCH($A339,campaigns!$A$2:$A$51,0))="","",INDEX(campaigns!$AJ$2:$AJ$51,MATCH($A339,campaigns!$A$2:$A$51,0))),"")="","(add the survey prefill template on campaigns)",SUBSTITUTE(IFERROR(IF(INDEX(campaigns!$AJ$2:$AJ$51,MATCH($A339,campaigns!$A$2:$A$51,0))="","",INDEX(campaigns!$AJ$2:$AJ$51,MATCH($A339,campaigns!$A$2:$A$51,0))),""),"CARDCODE",$F339)&amp;"&amp;utm_source=office-pantry&amp;utm_medium="&amp;$C339&amp;"&amp;utm_campaign="&amp;LOWER($A339)&amp;"&amp;utm_content="&amp;LOWER($B339)))</f>
        <v/>
      </c>
      <c r="H339" s="25">
        <f>IF(OR($A339="",$C339&lt;&gt;"qr"),"",$D339&amp;".png")</f>
        <v/>
      </c>
      <c r="I339" s="25">
        <f>IF($A339="","",IF(AND(IFERROR(IF(INDEX(campaigns!$AJ$2:$AJ$51,MATCH($A339,campaigns!$A$2:$A$51,0))="","",INDEX(campaigns!$AJ$2:$AJ$51,MATCH($A339,campaigns!$A$2:$A$51,0))),"")="",IFERROR(IF(INDEX(campaigns!$BG$2:$BG$51,MATCH($A339,campaigns!$A$2:$A$51,0))="","",INDEX(campaigns!$BG$2:$BG$51,MATCH($A339,campaigns!$A$2:$A$51,0))),"")&lt;&gt;"",IF(config!$B$37&lt;&gt;"",config!$B$37,TODAY())&gt;=WORKDAY(N(IFERROR(IF(INDEX(campaigns!$BG$2:$BG$51,MATCH($A339,campaigns!$A$2:$A$51,0))="","",INDEX(campaigns!$BG$2:$BG$51,MATCH($A339,campaigns!$A$2:$A$51,0))),"")),-4,calendar!$A$2:$A$80)),"no prefill template yet (due T-4); ","")&amp;IF(COUNTIF(links!$D$2:$D$501,$D339)&gt;1,"DUPLICATE slug; ",""))</f>
        <v/>
      </c>
    </row>
    <row r="340">
      <c r="A340" s="25">
        <f>IF(INDEX(approvals!$A$2:$A$251,INT((ROW()-2)/2)+1)="","",INDEX(approvals!$A$2:$A$251,INT((ROW()-2)/2)+1))</f>
        <v/>
      </c>
      <c r="B340" s="25">
        <f>IF(INDEX(approvals!$A$2:$A$251,INT((ROW()-2)/2)+1)="","",INDEX(approvals!$B$2:$B$251,INT((ROW()-2)/2)+1))</f>
        <v/>
      </c>
      <c r="C340" s="25">
        <f>IF($A340="","",IF(MOD(ROW()-2,2)=0,"qr","post"))</f>
        <v/>
      </c>
      <c r="D340" s="25">
        <f>IF($A340="","",IF(LEFT($A340,7)="SAMPLE-","SAMPLE-","")&amp;LOWER(SUBSTITUTE(SUBSTITUTE($A340,"SAMPLE-",""),"CMP-","c"))&amp;"-"&amp;LOWER(SUBSTITUTE(SUBSTITUTE($B340,"SAMPLE-",""),"O-","o"))&amp;"-"&amp;IF($C340="qr","q","p"))</f>
        <v/>
      </c>
      <c r="E340" s="25">
        <f>IF($A340="","","https://"&amp;config!$B$9&amp;"/"&amp;$D340)</f>
        <v/>
      </c>
      <c r="F340" s="25">
        <f>IF($A340="","",$A340&amp;"."&amp;$B340)</f>
        <v/>
      </c>
      <c r="G340" s="25">
        <f>IF($A340="","",IF(IFERROR(IF(INDEX(campaigns!$AJ$2:$AJ$51,MATCH($A340,campaigns!$A$2:$A$51,0))="","",INDEX(campaigns!$AJ$2:$AJ$51,MATCH($A340,campaigns!$A$2:$A$51,0))),"")="","(add the survey prefill template on campaigns)",SUBSTITUTE(IFERROR(IF(INDEX(campaigns!$AJ$2:$AJ$51,MATCH($A340,campaigns!$A$2:$A$51,0))="","",INDEX(campaigns!$AJ$2:$AJ$51,MATCH($A340,campaigns!$A$2:$A$51,0))),""),"CARDCODE",$F340)&amp;"&amp;utm_source=office-pantry&amp;utm_medium="&amp;$C340&amp;"&amp;utm_campaign="&amp;LOWER($A340)&amp;"&amp;utm_content="&amp;LOWER($B340)))</f>
        <v/>
      </c>
      <c r="H340" s="25">
        <f>IF(OR($A340="",$C340&lt;&gt;"qr"),"",$D340&amp;".png")</f>
        <v/>
      </c>
      <c r="I340" s="25">
        <f>IF($A340="","",IF(AND(IFERROR(IF(INDEX(campaigns!$AJ$2:$AJ$51,MATCH($A340,campaigns!$A$2:$A$51,0))="","",INDEX(campaigns!$AJ$2:$AJ$51,MATCH($A340,campaigns!$A$2:$A$51,0))),"")="",IFERROR(IF(INDEX(campaigns!$BG$2:$BG$51,MATCH($A340,campaigns!$A$2:$A$51,0))="","",INDEX(campaigns!$BG$2:$BG$51,MATCH($A340,campaigns!$A$2:$A$51,0))),"")&lt;&gt;"",IF(config!$B$37&lt;&gt;"",config!$B$37,TODAY())&gt;=WORKDAY(N(IFERROR(IF(INDEX(campaigns!$BG$2:$BG$51,MATCH($A340,campaigns!$A$2:$A$51,0))="","",INDEX(campaigns!$BG$2:$BG$51,MATCH($A340,campaigns!$A$2:$A$51,0))),"")),-4,calendar!$A$2:$A$80)),"no prefill template yet (due T-4); ","")&amp;IF(COUNTIF(links!$D$2:$D$501,$D340)&gt;1,"DUPLICATE slug; ",""))</f>
        <v/>
      </c>
    </row>
    <row r="341">
      <c r="A341" s="25">
        <f>IF(INDEX(approvals!$A$2:$A$251,INT((ROW()-2)/2)+1)="","",INDEX(approvals!$A$2:$A$251,INT((ROW()-2)/2)+1))</f>
        <v/>
      </c>
      <c r="B341" s="25">
        <f>IF(INDEX(approvals!$A$2:$A$251,INT((ROW()-2)/2)+1)="","",INDEX(approvals!$B$2:$B$251,INT((ROW()-2)/2)+1))</f>
        <v/>
      </c>
      <c r="C341" s="25">
        <f>IF($A341="","",IF(MOD(ROW()-2,2)=0,"qr","post"))</f>
        <v/>
      </c>
      <c r="D341" s="25">
        <f>IF($A341="","",IF(LEFT($A341,7)="SAMPLE-","SAMPLE-","")&amp;LOWER(SUBSTITUTE(SUBSTITUTE($A341,"SAMPLE-",""),"CMP-","c"))&amp;"-"&amp;LOWER(SUBSTITUTE(SUBSTITUTE($B341,"SAMPLE-",""),"O-","o"))&amp;"-"&amp;IF($C341="qr","q","p"))</f>
        <v/>
      </c>
      <c r="E341" s="25">
        <f>IF($A341="","","https://"&amp;config!$B$9&amp;"/"&amp;$D341)</f>
        <v/>
      </c>
      <c r="F341" s="25">
        <f>IF($A341="","",$A341&amp;"."&amp;$B341)</f>
        <v/>
      </c>
      <c r="G341" s="25">
        <f>IF($A341="","",IF(IFERROR(IF(INDEX(campaigns!$AJ$2:$AJ$51,MATCH($A341,campaigns!$A$2:$A$51,0))="","",INDEX(campaigns!$AJ$2:$AJ$51,MATCH($A341,campaigns!$A$2:$A$51,0))),"")="","(add the survey prefill template on campaigns)",SUBSTITUTE(IFERROR(IF(INDEX(campaigns!$AJ$2:$AJ$51,MATCH($A341,campaigns!$A$2:$A$51,0))="","",INDEX(campaigns!$AJ$2:$AJ$51,MATCH($A341,campaigns!$A$2:$A$51,0))),""),"CARDCODE",$F341)&amp;"&amp;utm_source=office-pantry&amp;utm_medium="&amp;$C341&amp;"&amp;utm_campaign="&amp;LOWER($A341)&amp;"&amp;utm_content="&amp;LOWER($B341)))</f>
        <v/>
      </c>
      <c r="H341" s="25">
        <f>IF(OR($A341="",$C341&lt;&gt;"qr"),"",$D341&amp;".png")</f>
        <v/>
      </c>
      <c r="I341" s="25">
        <f>IF($A341="","",IF(AND(IFERROR(IF(INDEX(campaigns!$AJ$2:$AJ$51,MATCH($A341,campaigns!$A$2:$A$51,0))="","",INDEX(campaigns!$AJ$2:$AJ$51,MATCH($A341,campaigns!$A$2:$A$51,0))),"")="",IFERROR(IF(INDEX(campaigns!$BG$2:$BG$51,MATCH($A341,campaigns!$A$2:$A$51,0))="","",INDEX(campaigns!$BG$2:$BG$51,MATCH($A341,campaigns!$A$2:$A$51,0))),"")&lt;&gt;"",IF(config!$B$37&lt;&gt;"",config!$B$37,TODAY())&gt;=WORKDAY(N(IFERROR(IF(INDEX(campaigns!$BG$2:$BG$51,MATCH($A341,campaigns!$A$2:$A$51,0))="","",INDEX(campaigns!$BG$2:$BG$51,MATCH($A341,campaigns!$A$2:$A$51,0))),"")),-4,calendar!$A$2:$A$80)),"no prefill template yet (due T-4); ","")&amp;IF(COUNTIF(links!$D$2:$D$501,$D341)&gt;1,"DUPLICATE slug; ",""))</f>
        <v/>
      </c>
    </row>
    <row r="342">
      <c r="A342" s="25">
        <f>IF(INDEX(approvals!$A$2:$A$251,INT((ROW()-2)/2)+1)="","",INDEX(approvals!$A$2:$A$251,INT((ROW()-2)/2)+1))</f>
        <v/>
      </c>
      <c r="B342" s="25">
        <f>IF(INDEX(approvals!$A$2:$A$251,INT((ROW()-2)/2)+1)="","",INDEX(approvals!$B$2:$B$251,INT((ROW()-2)/2)+1))</f>
        <v/>
      </c>
      <c r="C342" s="25">
        <f>IF($A342="","",IF(MOD(ROW()-2,2)=0,"qr","post"))</f>
        <v/>
      </c>
      <c r="D342" s="25">
        <f>IF($A342="","",IF(LEFT($A342,7)="SAMPLE-","SAMPLE-","")&amp;LOWER(SUBSTITUTE(SUBSTITUTE($A342,"SAMPLE-",""),"CMP-","c"))&amp;"-"&amp;LOWER(SUBSTITUTE(SUBSTITUTE($B342,"SAMPLE-",""),"O-","o"))&amp;"-"&amp;IF($C342="qr","q","p"))</f>
        <v/>
      </c>
      <c r="E342" s="25">
        <f>IF($A342="","","https://"&amp;config!$B$9&amp;"/"&amp;$D342)</f>
        <v/>
      </c>
      <c r="F342" s="25">
        <f>IF($A342="","",$A342&amp;"."&amp;$B342)</f>
        <v/>
      </c>
      <c r="G342" s="25">
        <f>IF($A342="","",IF(IFERROR(IF(INDEX(campaigns!$AJ$2:$AJ$51,MATCH($A342,campaigns!$A$2:$A$51,0))="","",INDEX(campaigns!$AJ$2:$AJ$51,MATCH($A342,campaigns!$A$2:$A$51,0))),"")="","(add the survey prefill template on campaigns)",SUBSTITUTE(IFERROR(IF(INDEX(campaigns!$AJ$2:$AJ$51,MATCH($A342,campaigns!$A$2:$A$51,0))="","",INDEX(campaigns!$AJ$2:$AJ$51,MATCH($A342,campaigns!$A$2:$A$51,0))),""),"CARDCODE",$F342)&amp;"&amp;utm_source=office-pantry&amp;utm_medium="&amp;$C342&amp;"&amp;utm_campaign="&amp;LOWER($A342)&amp;"&amp;utm_content="&amp;LOWER($B342)))</f>
        <v/>
      </c>
      <c r="H342" s="25">
        <f>IF(OR($A342="",$C342&lt;&gt;"qr"),"",$D342&amp;".png")</f>
        <v/>
      </c>
      <c r="I342" s="25">
        <f>IF($A342="","",IF(AND(IFERROR(IF(INDEX(campaigns!$AJ$2:$AJ$51,MATCH($A342,campaigns!$A$2:$A$51,0))="","",INDEX(campaigns!$AJ$2:$AJ$51,MATCH($A342,campaigns!$A$2:$A$51,0))),"")="",IFERROR(IF(INDEX(campaigns!$BG$2:$BG$51,MATCH($A342,campaigns!$A$2:$A$51,0))="","",INDEX(campaigns!$BG$2:$BG$51,MATCH($A342,campaigns!$A$2:$A$51,0))),"")&lt;&gt;"",IF(config!$B$37&lt;&gt;"",config!$B$37,TODAY())&gt;=WORKDAY(N(IFERROR(IF(INDEX(campaigns!$BG$2:$BG$51,MATCH($A342,campaigns!$A$2:$A$51,0))="","",INDEX(campaigns!$BG$2:$BG$51,MATCH($A342,campaigns!$A$2:$A$51,0))),"")),-4,calendar!$A$2:$A$80)),"no prefill template yet (due T-4); ","")&amp;IF(COUNTIF(links!$D$2:$D$501,$D342)&gt;1,"DUPLICATE slug; ",""))</f>
        <v/>
      </c>
    </row>
    <row r="343">
      <c r="A343" s="25">
        <f>IF(INDEX(approvals!$A$2:$A$251,INT((ROW()-2)/2)+1)="","",INDEX(approvals!$A$2:$A$251,INT((ROW()-2)/2)+1))</f>
        <v/>
      </c>
      <c r="B343" s="25">
        <f>IF(INDEX(approvals!$A$2:$A$251,INT((ROW()-2)/2)+1)="","",INDEX(approvals!$B$2:$B$251,INT((ROW()-2)/2)+1))</f>
        <v/>
      </c>
      <c r="C343" s="25">
        <f>IF($A343="","",IF(MOD(ROW()-2,2)=0,"qr","post"))</f>
        <v/>
      </c>
      <c r="D343" s="25">
        <f>IF($A343="","",IF(LEFT($A343,7)="SAMPLE-","SAMPLE-","")&amp;LOWER(SUBSTITUTE(SUBSTITUTE($A343,"SAMPLE-",""),"CMP-","c"))&amp;"-"&amp;LOWER(SUBSTITUTE(SUBSTITUTE($B343,"SAMPLE-",""),"O-","o"))&amp;"-"&amp;IF($C343="qr","q","p"))</f>
        <v/>
      </c>
      <c r="E343" s="25">
        <f>IF($A343="","","https://"&amp;config!$B$9&amp;"/"&amp;$D343)</f>
        <v/>
      </c>
      <c r="F343" s="25">
        <f>IF($A343="","",$A343&amp;"."&amp;$B343)</f>
        <v/>
      </c>
      <c r="G343" s="25">
        <f>IF($A343="","",IF(IFERROR(IF(INDEX(campaigns!$AJ$2:$AJ$51,MATCH($A343,campaigns!$A$2:$A$51,0))="","",INDEX(campaigns!$AJ$2:$AJ$51,MATCH($A343,campaigns!$A$2:$A$51,0))),"")="","(add the survey prefill template on campaigns)",SUBSTITUTE(IFERROR(IF(INDEX(campaigns!$AJ$2:$AJ$51,MATCH($A343,campaigns!$A$2:$A$51,0))="","",INDEX(campaigns!$AJ$2:$AJ$51,MATCH($A343,campaigns!$A$2:$A$51,0))),""),"CARDCODE",$F343)&amp;"&amp;utm_source=office-pantry&amp;utm_medium="&amp;$C343&amp;"&amp;utm_campaign="&amp;LOWER($A343)&amp;"&amp;utm_content="&amp;LOWER($B343)))</f>
        <v/>
      </c>
      <c r="H343" s="25">
        <f>IF(OR($A343="",$C343&lt;&gt;"qr"),"",$D343&amp;".png")</f>
        <v/>
      </c>
      <c r="I343" s="25">
        <f>IF($A343="","",IF(AND(IFERROR(IF(INDEX(campaigns!$AJ$2:$AJ$51,MATCH($A343,campaigns!$A$2:$A$51,0))="","",INDEX(campaigns!$AJ$2:$AJ$51,MATCH($A343,campaigns!$A$2:$A$51,0))),"")="",IFERROR(IF(INDEX(campaigns!$BG$2:$BG$51,MATCH($A343,campaigns!$A$2:$A$51,0))="","",INDEX(campaigns!$BG$2:$BG$51,MATCH($A343,campaigns!$A$2:$A$51,0))),"")&lt;&gt;"",IF(config!$B$37&lt;&gt;"",config!$B$37,TODAY())&gt;=WORKDAY(N(IFERROR(IF(INDEX(campaigns!$BG$2:$BG$51,MATCH($A343,campaigns!$A$2:$A$51,0))="","",INDEX(campaigns!$BG$2:$BG$51,MATCH($A343,campaigns!$A$2:$A$51,0))),"")),-4,calendar!$A$2:$A$80)),"no prefill template yet (due T-4); ","")&amp;IF(COUNTIF(links!$D$2:$D$501,$D343)&gt;1,"DUPLICATE slug; ",""))</f>
        <v/>
      </c>
    </row>
    <row r="344">
      <c r="A344" s="25">
        <f>IF(INDEX(approvals!$A$2:$A$251,INT((ROW()-2)/2)+1)="","",INDEX(approvals!$A$2:$A$251,INT((ROW()-2)/2)+1))</f>
        <v/>
      </c>
      <c r="B344" s="25">
        <f>IF(INDEX(approvals!$A$2:$A$251,INT((ROW()-2)/2)+1)="","",INDEX(approvals!$B$2:$B$251,INT((ROW()-2)/2)+1))</f>
        <v/>
      </c>
      <c r="C344" s="25">
        <f>IF($A344="","",IF(MOD(ROW()-2,2)=0,"qr","post"))</f>
        <v/>
      </c>
      <c r="D344" s="25">
        <f>IF($A344="","",IF(LEFT($A344,7)="SAMPLE-","SAMPLE-","")&amp;LOWER(SUBSTITUTE(SUBSTITUTE($A344,"SAMPLE-",""),"CMP-","c"))&amp;"-"&amp;LOWER(SUBSTITUTE(SUBSTITUTE($B344,"SAMPLE-",""),"O-","o"))&amp;"-"&amp;IF($C344="qr","q","p"))</f>
        <v/>
      </c>
      <c r="E344" s="25">
        <f>IF($A344="","","https://"&amp;config!$B$9&amp;"/"&amp;$D344)</f>
        <v/>
      </c>
      <c r="F344" s="25">
        <f>IF($A344="","",$A344&amp;"."&amp;$B344)</f>
        <v/>
      </c>
      <c r="G344" s="25">
        <f>IF($A344="","",IF(IFERROR(IF(INDEX(campaigns!$AJ$2:$AJ$51,MATCH($A344,campaigns!$A$2:$A$51,0))="","",INDEX(campaigns!$AJ$2:$AJ$51,MATCH($A344,campaigns!$A$2:$A$51,0))),"")="","(add the survey prefill template on campaigns)",SUBSTITUTE(IFERROR(IF(INDEX(campaigns!$AJ$2:$AJ$51,MATCH($A344,campaigns!$A$2:$A$51,0))="","",INDEX(campaigns!$AJ$2:$AJ$51,MATCH($A344,campaigns!$A$2:$A$51,0))),""),"CARDCODE",$F344)&amp;"&amp;utm_source=office-pantry&amp;utm_medium="&amp;$C344&amp;"&amp;utm_campaign="&amp;LOWER($A344)&amp;"&amp;utm_content="&amp;LOWER($B344)))</f>
        <v/>
      </c>
      <c r="H344" s="25">
        <f>IF(OR($A344="",$C344&lt;&gt;"qr"),"",$D344&amp;".png")</f>
        <v/>
      </c>
      <c r="I344" s="25">
        <f>IF($A344="","",IF(AND(IFERROR(IF(INDEX(campaigns!$AJ$2:$AJ$51,MATCH($A344,campaigns!$A$2:$A$51,0))="","",INDEX(campaigns!$AJ$2:$AJ$51,MATCH($A344,campaigns!$A$2:$A$51,0))),"")="",IFERROR(IF(INDEX(campaigns!$BG$2:$BG$51,MATCH($A344,campaigns!$A$2:$A$51,0))="","",INDEX(campaigns!$BG$2:$BG$51,MATCH($A344,campaigns!$A$2:$A$51,0))),"")&lt;&gt;"",IF(config!$B$37&lt;&gt;"",config!$B$37,TODAY())&gt;=WORKDAY(N(IFERROR(IF(INDEX(campaigns!$BG$2:$BG$51,MATCH($A344,campaigns!$A$2:$A$51,0))="","",INDEX(campaigns!$BG$2:$BG$51,MATCH($A344,campaigns!$A$2:$A$51,0))),"")),-4,calendar!$A$2:$A$80)),"no prefill template yet (due T-4); ","")&amp;IF(COUNTIF(links!$D$2:$D$501,$D344)&gt;1,"DUPLICATE slug; ",""))</f>
        <v/>
      </c>
    </row>
    <row r="345">
      <c r="A345" s="25">
        <f>IF(INDEX(approvals!$A$2:$A$251,INT((ROW()-2)/2)+1)="","",INDEX(approvals!$A$2:$A$251,INT((ROW()-2)/2)+1))</f>
        <v/>
      </c>
      <c r="B345" s="25">
        <f>IF(INDEX(approvals!$A$2:$A$251,INT((ROW()-2)/2)+1)="","",INDEX(approvals!$B$2:$B$251,INT((ROW()-2)/2)+1))</f>
        <v/>
      </c>
      <c r="C345" s="25">
        <f>IF($A345="","",IF(MOD(ROW()-2,2)=0,"qr","post"))</f>
        <v/>
      </c>
      <c r="D345" s="25">
        <f>IF($A345="","",IF(LEFT($A345,7)="SAMPLE-","SAMPLE-","")&amp;LOWER(SUBSTITUTE(SUBSTITUTE($A345,"SAMPLE-",""),"CMP-","c"))&amp;"-"&amp;LOWER(SUBSTITUTE(SUBSTITUTE($B345,"SAMPLE-",""),"O-","o"))&amp;"-"&amp;IF($C345="qr","q","p"))</f>
        <v/>
      </c>
      <c r="E345" s="25">
        <f>IF($A345="","","https://"&amp;config!$B$9&amp;"/"&amp;$D345)</f>
        <v/>
      </c>
      <c r="F345" s="25">
        <f>IF($A345="","",$A345&amp;"."&amp;$B345)</f>
        <v/>
      </c>
      <c r="G345" s="25">
        <f>IF($A345="","",IF(IFERROR(IF(INDEX(campaigns!$AJ$2:$AJ$51,MATCH($A345,campaigns!$A$2:$A$51,0))="","",INDEX(campaigns!$AJ$2:$AJ$51,MATCH($A345,campaigns!$A$2:$A$51,0))),"")="","(add the survey prefill template on campaigns)",SUBSTITUTE(IFERROR(IF(INDEX(campaigns!$AJ$2:$AJ$51,MATCH($A345,campaigns!$A$2:$A$51,0))="","",INDEX(campaigns!$AJ$2:$AJ$51,MATCH($A345,campaigns!$A$2:$A$51,0))),""),"CARDCODE",$F345)&amp;"&amp;utm_source=office-pantry&amp;utm_medium="&amp;$C345&amp;"&amp;utm_campaign="&amp;LOWER($A345)&amp;"&amp;utm_content="&amp;LOWER($B345)))</f>
        <v/>
      </c>
      <c r="H345" s="25">
        <f>IF(OR($A345="",$C345&lt;&gt;"qr"),"",$D345&amp;".png")</f>
        <v/>
      </c>
      <c r="I345" s="25">
        <f>IF($A345="","",IF(AND(IFERROR(IF(INDEX(campaigns!$AJ$2:$AJ$51,MATCH($A345,campaigns!$A$2:$A$51,0))="","",INDEX(campaigns!$AJ$2:$AJ$51,MATCH($A345,campaigns!$A$2:$A$51,0))),"")="",IFERROR(IF(INDEX(campaigns!$BG$2:$BG$51,MATCH($A345,campaigns!$A$2:$A$51,0))="","",INDEX(campaigns!$BG$2:$BG$51,MATCH($A345,campaigns!$A$2:$A$51,0))),"")&lt;&gt;"",IF(config!$B$37&lt;&gt;"",config!$B$37,TODAY())&gt;=WORKDAY(N(IFERROR(IF(INDEX(campaigns!$BG$2:$BG$51,MATCH($A345,campaigns!$A$2:$A$51,0))="","",INDEX(campaigns!$BG$2:$BG$51,MATCH($A345,campaigns!$A$2:$A$51,0))),"")),-4,calendar!$A$2:$A$80)),"no prefill template yet (due T-4); ","")&amp;IF(COUNTIF(links!$D$2:$D$501,$D345)&gt;1,"DUPLICATE slug; ",""))</f>
        <v/>
      </c>
    </row>
    <row r="346">
      <c r="A346" s="25">
        <f>IF(INDEX(approvals!$A$2:$A$251,INT((ROW()-2)/2)+1)="","",INDEX(approvals!$A$2:$A$251,INT((ROW()-2)/2)+1))</f>
        <v/>
      </c>
      <c r="B346" s="25">
        <f>IF(INDEX(approvals!$A$2:$A$251,INT((ROW()-2)/2)+1)="","",INDEX(approvals!$B$2:$B$251,INT((ROW()-2)/2)+1))</f>
        <v/>
      </c>
      <c r="C346" s="25">
        <f>IF($A346="","",IF(MOD(ROW()-2,2)=0,"qr","post"))</f>
        <v/>
      </c>
      <c r="D346" s="25">
        <f>IF($A346="","",IF(LEFT($A346,7)="SAMPLE-","SAMPLE-","")&amp;LOWER(SUBSTITUTE(SUBSTITUTE($A346,"SAMPLE-",""),"CMP-","c"))&amp;"-"&amp;LOWER(SUBSTITUTE(SUBSTITUTE($B346,"SAMPLE-",""),"O-","o"))&amp;"-"&amp;IF($C346="qr","q","p"))</f>
        <v/>
      </c>
      <c r="E346" s="25">
        <f>IF($A346="","","https://"&amp;config!$B$9&amp;"/"&amp;$D346)</f>
        <v/>
      </c>
      <c r="F346" s="25">
        <f>IF($A346="","",$A346&amp;"."&amp;$B346)</f>
        <v/>
      </c>
      <c r="G346" s="25">
        <f>IF($A346="","",IF(IFERROR(IF(INDEX(campaigns!$AJ$2:$AJ$51,MATCH($A346,campaigns!$A$2:$A$51,0))="","",INDEX(campaigns!$AJ$2:$AJ$51,MATCH($A346,campaigns!$A$2:$A$51,0))),"")="","(add the survey prefill template on campaigns)",SUBSTITUTE(IFERROR(IF(INDEX(campaigns!$AJ$2:$AJ$51,MATCH($A346,campaigns!$A$2:$A$51,0))="","",INDEX(campaigns!$AJ$2:$AJ$51,MATCH($A346,campaigns!$A$2:$A$51,0))),""),"CARDCODE",$F346)&amp;"&amp;utm_source=office-pantry&amp;utm_medium="&amp;$C346&amp;"&amp;utm_campaign="&amp;LOWER($A346)&amp;"&amp;utm_content="&amp;LOWER($B346)))</f>
        <v/>
      </c>
      <c r="H346" s="25">
        <f>IF(OR($A346="",$C346&lt;&gt;"qr"),"",$D346&amp;".png")</f>
        <v/>
      </c>
      <c r="I346" s="25">
        <f>IF($A346="","",IF(AND(IFERROR(IF(INDEX(campaigns!$AJ$2:$AJ$51,MATCH($A346,campaigns!$A$2:$A$51,0))="","",INDEX(campaigns!$AJ$2:$AJ$51,MATCH($A346,campaigns!$A$2:$A$51,0))),"")="",IFERROR(IF(INDEX(campaigns!$BG$2:$BG$51,MATCH($A346,campaigns!$A$2:$A$51,0))="","",INDEX(campaigns!$BG$2:$BG$51,MATCH($A346,campaigns!$A$2:$A$51,0))),"")&lt;&gt;"",IF(config!$B$37&lt;&gt;"",config!$B$37,TODAY())&gt;=WORKDAY(N(IFERROR(IF(INDEX(campaigns!$BG$2:$BG$51,MATCH($A346,campaigns!$A$2:$A$51,0))="","",INDEX(campaigns!$BG$2:$BG$51,MATCH($A346,campaigns!$A$2:$A$51,0))),"")),-4,calendar!$A$2:$A$80)),"no prefill template yet (due T-4); ","")&amp;IF(COUNTIF(links!$D$2:$D$501,$D346)&gt;1,"DUPLICATE slug; ",""))</f>
        <v/>
      </c>
    </row>
    <row r="347">
      <c r="A347" s="25">
        <f>IF(INDEX(approvals!$A$2:$A$251,INT((ROW()-2)/2)+1)="","",INDEX(approvals!$A$2:$A$251,INT((ROW()-2)/2)+1))</f>
        <v/>
      </c>
      <c r="B347" s="25">
        <f>IF(INDEX(approvals!$A$2:$A$251,INT((ROW()-2)/2)+1)="","",INDEX(approvals!$B$2:$B$251,INT((ROW()-2)/2)+1))</f>
        <v/>
      </c>
      <c r="C347" s="25">
        <f>IF($A347="","",IF(MOD(ROW()-2,2)=0,"qr","post"))</f>
        <v/>
      </c>
      <c r="D347" s="25">
        <f>IF($A347="","",IF(LEFT($A347,7)="SAMPLE-","SAMPLE-","")&amp;LOWER(SUBSTITUTE(SUBSTITUTE($A347,"SAMPLE-",""),"CMP-","c"))&amp;"-"&amp;LOWER(SUBSTITUTE(SUBSTITUTE($B347,"SAMPLE-",""),"O-","o"))&amp;"-"&amp;IF($C347="qr","q","p"))</f>
        <v/>
      </c>
      <c r="E347" s="25">
        <f>IF($A347="","","https://"&amp;config!$B$9&amp;"/"&amp;$D347)</f>
        <v/>
      </c>
      <c r="F347" s="25">
        <f>IF($A347="","",$A347&amp;"."&amp;$B347)</f>
        <v/>
      </c>
      <c r="G347" s="25">
        <f>IF($A347="","",IF(IFERROR(IF(INDEX(campaigns!$AJ$2:$AJ$51,MATCH($A347,campaigns!$A$2:$A$51,0))="","",INDEX(campaigns!$AJ$2:$AJ$51,MATCH($A347,campaigns!$A$2:$A$51,0))),"")="","(add the survey prefill template on campaigns)",SUBSTITUTE(IFERROR(IF(INDEX(campaigns!$AJ$2:$AJ$51,MATCH($A347,campaigns!$A$2:$A$51,0))="","",INDEX(campaigns!$AJ$2:$AJ$51,MATCH($A347,campaigns!$A$2:$A$51,0))),""),"CARDCODE",$F347)&amp;"&amp;utm_source=office-pantry&amp;utm_medium="&amp;$C347&amp;"&amp;utm_campaign="&amp;LOWER($A347)&amp;"&amp;utm_content="&amp;LOWER($B347)))</f>
        <v/>
      </c>
      <c r="H347" s="25">
        <f>IF(OR($A347="",$C347&lt;&gt;"qr"),"",$D347&amp;".png")</f>
        <v/>
      </c>
      <c r="I347" s="25">
        <f>IF($A347="","",IF(AND(IFERROR(IF(INDEX(campaigns!$AJ$2:$AJ$51,MATCH($A347,campaigns!$A$2:$A$51,0))="","",INDEX(campaigns!$AJ$2:$AJ$51,MATCH($A347,campaigns!$A$2:$A$51,0))),"")="",IFERROR(IF(INDEX(campaigns!$BG$2:$BG$51,MATCH($A347,campaigns!$A$2:$A$51,0))="","",INDEX(campaigns!$BG$2:$BG$51,MATCH($A347,campaigns!$A$2:$A$51,0))),"")&lt;&gt;"",IF(config!$B$37&lt;&gt;"",config!$B$37,TODAY())&gt;=WORKDAY(N(IFERROR(IF(INDEX(campaigns!$BG$2:$BG$51,MATCH($A347,campaigns!$A$2:$A$51,0))="","",INDEX(campaigns!$BG$2:$BG$51,MATCH($A347,campaigns!$A$2:$A$51,0))),"")),-4,calendar!$A$2:$A$80)),"no prefill template yet (due T-4); ","")&amp;IF(COUNTIF(links!$D$2:$D$501,$D347)&gt;1,"DUPLICATE slug; ",""))</f>
        <v/>
      </c>
    </row>
    <row r="348">
      <c r="A348" s="25">
        <f>IF(INDEX(approvals!$A$2:$A$251,INT((ROW()-2)/2)+1)="","",INDEX(approvals!$A$2:$A$251,INT((ROW()-2)/2)+1))</f>
        <v/>
      </c>
      <c r="B348" s="25">
        <f>IF(INDEX(approvals!$A$2:$A$251,INT((ROW()-2)/2)+1)="","",INDEX(approvals!$B$2:$B$251,INT((ROW()-2)/2)+1))</f>
        <v/>
      </c>
      <c r="C348" s="25">
        <f>IF($A348="","",IF(MOD(ROW()-2,2)=0,"qr","post"))</f>
        <v/>
      </c>
      <c r="D348" s="25">
        <f>IF($A348="","",IF(LEFT($A348,7)="SAMPLE-","SAMPLE-","")&amp;LOWER(SUBSTITUTE(SUBSTITUTE($A348,"SAMPLE-",""),"CMP-","c"))&amp;"-"&amp;LOWER(SUBSTITUTE(SUBSTITUTE($B348,"SAMPLE-",""),"O-","o"))&amp;"-"&amp;IF($C348="qr","q","p"))</f>
        <v/>
      </c>
      <c r="E348" s="25">
        <f>IF($A348="","","https://"&amp;config!$B$9&amp;"/"&amp;$D348)</f>
        <v/>
      </c>
      <c r="F348" s="25">
        <f>IF($A348="","",$A348&amp;"."&amp;$B348)</f>
        <v/>
      </c>
      <c r="G348" s="25">
        <f>IF($A348="","",IF(IFERROR(IF(INDEX(campaigns!$AJ$2:$AJ$51,MATCH($A348,campaigns!$A$2:$A$51,0))="","",INDEX(campaigns!$AJ$2:$AJ$51,MATCH($A348,campaigns!$A$2:$A$51,0))),"")="","(add the survey prefill template on campaigns)",SUBSTITUTE(IFERROR(IF(INDEX(campaigns!$AJ$2:$AJ$51,MATCH($A348,campaigns!$A$2:$A$51,0))="","",INDEX(campaigns!$AJ$2:$AJ$51,MATCH($A348,campaigns!$A$2:$A$51,0))),""),"CARDCODE",$F348)&amp;"&amp;utm_source=office-pantry&amp;utm_medium="&amp;$C348&amp;"&amp;utm_campaign="&amp;LOWER($A348)&amp;"&amp;utm_content="&amp;LOWER($B348)))</f>
        <v/>
      </c>
      <c r="H348" s="25">
        <f>IF(OR($A348="",$C348&lt;&gt;"qr"),"",$D348&amp;".png")</f>
        <v/>
      </c>
      <c r="I348" s="25">
        <f>IF($A348="","",IF(AND(IFERROR(IF(INDEX(campaigns!$AJ$2:$AJ$51,MATCH($A348,campaigns!$A$2:$A$51,0))="","",INDEX(campaigns!$AJ$2:$AJ$51,MATCH($A348,campaigns!$A$2:$A$51,0))),"")="",IFERROR(IF(INDEX(campaigns!$BG$2:$BG$51,MATCH($A348,campaigns!$A$2:$A$51,0))="","",INDEX(campaigns!$BG$2:$BG$51,MATCH($A348,campaigns!$A$2:$A$51,0))),"")&lt;&gt;"",IF(config!$B$37&lt;&gt;"",config!$B$37,TODAY())&gt;=WORKDAY(N(IFERROR(IF(INDEX(campaigns!$BG$2:$BG$51,MATCH($A348,campaigns!$A$2:$A$51,0))="","",INDEX(campaigns!$BG$2:$BG$51,MATCH($A348,campaigns!$A$2:$A$51,0))),"")),-4,calendar!$A$2:$A$80)),"no prefill template yet (due T-4); ","")&amp;IF(COUNTIF(links!$D$2:$D$501,$D348)&gt;1,"DUPLICATE slug; ",""))</f>
        <v/>
      </c>
    </row>
    <row r="349">
      <c r="A349" s="25">
        <f>IF(INDEX(approvals!$A$2:$A$251,INT((ROW()-2)/2)+1)="","",INDEX(approvals!$A$2:$A$251,INT((ROW()-2)/2)+1))</f>
        <v/>
      </c>
      <c r="B349" s="25">
        <f>IF(INDEX(approvals!$A$2:$A$251,INT((ROW()-2)/2)+1)="","",INDEX(approvals!$B$2:$B$251,INT((ROW()-2)/2)+1))</f>
        <v/>
      </c>
      <c r="C349" s="25">
        <f>IF($A349="","",IF(MOD(ROW()-2,2)=0,"qr","post"))</f>
        <v/>
      </c>
      <c r="D349" s="25">
        <f>IF($A349="","",IF(LEFT($A349,7)="SAMPLE-","SAMPLE-","")&amp;LOWER(SUBSTITUTE(SUBSTITUTE($A349,"SAMPLE-",""),"CMP-","c"))&amp;"-"&amp;LOWER(SUBSTITUTE(SUBSTITUTE($B349,"SAMPLE-",""),"O-","o"))&amp;"-"&amp;IF($C349="qr","q","p"))</f>
        <v/>
      </c>
      <c r="E349" s="25">
        <f>IF($A349="","","https://"&amp;config!$B$9&amp;"/"&amp;$D349)</f>
        <v/>
      </c>
      <c r="F349" s="25">
        <f>IF($A349="","",$A349&amp;"."&amp;$B349)</f>
        <v/>
      </c>
      <c r="G349" s="25">
        <f>IF($A349="","",IF(IFERROR(IF(INDEX(campaigns!$AJ$2:$AJ$51,MATCH($A349,campaigns!$A$2:$A$51,0))="","",INDEX(campaigns!$AJ$2:$AJ$51,MATCH($A349,campaigns!$A$2:$A$51,0))),"")="","(add the survey prefill template on campaigns)",SUBSTITUTE(IFERROR(IF(INDEX(campaigns!$AJ$2:$AJ$51,MATCH($A349,campaigns!$A$2:$A$51,0))="","",INDEX(campaigns!$AJ$2:$AJ$51,MATCH($A349,campaigns!$A$2:$A$51,0))),""),"CARDCODE",$F349)&amp;"&amp;utm_source=office-pantry&amp;utm_medium="&amp;$C349&amp;"&amp;utm_campaign="&amp;LOWER($A349)&amp;"&amp;utm_content="&amp;LOWER($B349)))</f>
        <v/>
      </c>
      <c r="H349" s="25">
        <f>IF(OR($A349="",$C349&lt;&gt;"qr"),"",$D349&amp;".png")</f>
        <v/>
      </c>
      <c r="I349" s="25">
        <f>IF($A349="","",IF(AND(IFERROR(IF(INDEX(campaigns!$AJ$2:$AJ$51,MATCH($A349,campaigns!$A$2:$A$51,0))="","",INDEX(campaigns!$AJ$2:$AJ$51,MATCH($A349,campaigns!$A$2:$A$51,0))),"")="",IFERROR(IF(INDEX(campaigns!$BG$2:$BG$51,MATCH($A349,campaigns!$A$2:$A$51,0))="","",INDEX(campaigns!$BG$2:$BG$51,MATCH($A349,campaigns!$A$2:$A$51,0))),"")&lt;&gt;"",IF(config!$B$37&lt;&gt;"",config!$B$37,TODAY())&gt;=WORKDAY(N(IFERROR(IF(INDEX(campaigns!$BG$2:$BG$51,MATCH($A349,campaigns!$A$2:$A$51,0))="","",INDEX(campaigns!$BG$2:$BG$51,MATCH($A349,campaigns!$A$2:$A$51,0))),"")),-4,calendar!$A$2:$A$80)),"no prefill template yet (due T-4); ","")&amp;IF(COUNTIF(links!$D$2:$D$501,$D349)&gt;1,"DUPLICATE slug; ",""))</f>
        <v/>
      </c>
    </row>
    <row r="350">
      <c r="A350" s="25">
        <f>IF(INDEX(approvals!$A$2:$A$251,INT((ROW()-2)/2)+1)="","",INDEX(approvals!$A$2:$A$251,INT((ROW()-2)/2)+1))</f>
        <v/>
      </c>
      <c r="B350" s="25">
        <f>IF(INDEX(approvals!$A$2:$A$251,INT((ROW()-2)/2)+1)="","",INDEX(approvals!$B$2:$B$251,INT((ROW()-2)/2)+1))</f>
        <v/>
      </c>
      <c r="C350" s="25">
        <f>IF($A350="","",IF(MOD(ROW()-2,2)=0,"qr","post"))</f>
        <v/>
      </c>
      <c r="D350" s="25">
        <f>IF($A350="","",IF(LEFT($A350,7)="SAMPLE-","SAMPLE-","")&amp;LOWER(SUBSTITUTE(SUBSTITUTE($A350,"SAMPLE-",""),"CMP-","c"))&amp;"-"&amp;LOWER(SUBSTITUTE(SUBSTITUTE($B350,"SAMPLE-",""),"O-","o"))&amp;"-"&amp;IF($C350="qr","q","p"))</f>
        <v/>
      </c>
      <c r="E350" s="25">
        <f>IF($A350="","","https://"&amp;config!$B$9&amp;"/"&amp;$D350)</f>
        <v/>
      </c>
      <c r="F350" s="25">
        <f>IF($A350="","",$A350&amp;"."&amp;$B350)</f>
        <v/>
      </c>
      <c r="G350" s="25">
        <f>IF($A350="","",IF(IFERROR(IF(INDEX(campaigns!$AJ$2:$AJ$51,MATCH($A350,campaigns!$A$2:$A$51,0))="","",INDEX(campaigns!$AJ$2:$AJ$51,MATCH($A350,campaigns!$A$2:$A$51,0))),"")="","(add the survey prefill template on campaigns)",SUBSTITUTE(IFERROR(IF(INDEX(campaigns!$AJ$2:$AJ$51,MATCH($A350,campaigns!$A$2:$A$51,0))="","",INDEX(campaigns!$AJ$2:$AJ$51,MATCH($A350,campaigns!$A$2:$A$51,0))),""),"CARDCODE",$F350)&amp;"&amp;utm_source=office-pantry&amp;utm_medium="&amp;$C350&amp;"&amp;utm_campaign="&amp;LOWER($A350)&amp;"&amp;utm_content="&amp;LOWER($B350)))</f>
        <v/>
      </c>
      <c r="H350" s="25">
        <f>IF(OR($A350="",$C350&lt;&gt;"qr"),"",$D350&amp;".png")</f>
        <v/>
      </c>
      <c r="I350" s="25">
        <f>IF($A350="","",IF(AND(IFERROR(IF(INDEX(campaigns!$AJ$2:$AJ$51,MATCH($A350,campaigns!$A$2:$A$51,0))="","",INDEX(campaigns!$AJ$2:$AJ$51,MATCH($A350,campaigns!$A$2:$A$51,0))),"")="",IFERROR(IF(INDEX(campaigns!$BG$2:$BG$51,MATCH($A350,campaigns!$A$2:$A$51,0))="","",INDEX(campaigns!$BG$2:$BG$51,MATCH($A350,campaigns!$A$2:$A$51,0))),"")&lt;&gt;"",IF(config!$B$37&lt;&gt;"",config!$B$37,TODAY())&gt;=WORKDAY(N(IFERROR(IF(INDEX(campaigns!$BG$2:$BG$51,MATCH($A350,campaigns!$A$2:$A$51,0))="","",INDEX(campaigns!$BG$2:$BG$51,MATCH($A350,campaigns!$A$2:$A$51,0))),"")),-4,calendar!$A$2:$A$80)),"no prefill template yet (due T-4); ","")&amp;IF(COUNTIF(links!$D$2:$D$501,$D350)&gt;1,"DUPLICATE slug; ",""))</f>
        <v/>
      </c>
    </row>
    <row r="351">
      <c r="A351" s="25">
        <f>IF(INDEX(approvals!$A$2:$A$251,INT((ROW()-2)/2)+1)="","",INDEX(approvals!$A$2:$A$251,INT((ROW()-2)/2)+1))</f>
        <v/>
      </c>
      <c r="B351" s="25">
        <f>IF(INDEX(approvals!$A$2:$A$251,INT((ROW()-2)/2)+1)="","",INDEX(approvals!$B$2:$B$251,INT((ROW()-2)/2)+1))</f>
        <v/>
      </c>
      <c r="C351" s="25">
        <f>IF($A351="","",IF(MOD(ROW()-2,2)=0,"qr","post"))</f>
        <v/>
      </c>
      <c r="D351" s="25">
        <f>IF($A351="","",IF(LEFT($A351,7)="SAMPLE-","SAMPLE-","")&amp;LOWER(SUBSTITUTE(SUBSTITUTE($A351,"SAMPLE-",""),"CMP-","c"))&amp;"-"&amp;LOWER(SUBSTITUTE(SUBSTITUTE($B351,"SAMPLE-",""),"O-","o"))&amp;"-"&amp;IF($C351="qr","q","p"))</f>
        <v/>
      </c>
      <c r="E351" s="25">
        <f>IF($A351="","","https://"&amp;config!$B$9&amp;"/"&amp;$D351)</f>
        <v/>
      </c>
      <c r="F351" s="25">
        <f>IF($A351="","",$A351&amp;"."&amp;$B351)</f>
        <v/>
      </c>
      <c r="G351" s="25">
        <f>IF($A351="","",IF(IFERROR(IF(INDEX(campaigns!$AJ$2:$AJ$51,MATCH($A351,campaigns!$A$2:$A$51,0))="","",INDEX(campaigns!$AJ$2:$AJ$51,MATCH($A351,campaigns!$A$2:$A$51,0))),"")="","(add the survey prefill template on campaigns)",SUBSTITUTE(IFERROR(IF(INDEX(campaigns!$AJ$2:$AJ$51,MATCH($A351,campaigns!$A$2:$A$51,0))="","",INDEX(campaigns!$AJ$2:$AJ$51,MATCH($A351,campaigns!$A$2:$A$51,0))),""),"CARDCODE",$F351)&amp;"&amp;utm_source=office-pantry&amp;utm_medium="&amp;$C351&amp;"&amp;utm_campaign="&amp;LOWER($A351)&amp;"&amp;utm_content="&amp;LOWER($B351)))</f>
        <v/>
      </c>
      <c r="H351" s="25">
        <f>IF(OR($A351="",$C351&lt;&gt;"qr"),"",$D351&amp;".png")</f>
        <v/>
      </c>
      <c r="I351" s="25">
        <f>IF($A351="","",IF(AND(IFERROR(IF(INDEX(campaigns!$AJ$2:$AJ$51,MATCH($A351,campaigns!$A$2:$A$51,0))="","",INDEX(campaigns!$AJ$2:$AJ$51,MATCH($A351,campaigns!$A$2:$A$51,0))),"")="",IFERROR(IF(INDEX(campaigns!$BG$2:$BG$51,MATCH($A351,campaigns!$A$2:$A$51,0))="","",INDEX(campaigns!$BG$2:$BG$51,MATCH($A351,campaigns!$A$2:$A$51,0))),"")&lt;&gt;"",IF(config!$B$37&lt;&gt;"",config!$B$37,TODAY())&gt;=WORKDAY(N(IFERROR(IF(INDEX(campaigns!$BG$2:$BG$51,MATCH($A351,campaigns!$A$2:$A$51,0))="","",INDEX(campaigns!$BG$2:$BG$51,MATCH($A351,campaigns!$A$2:$A$51,0))),"")),-4,calendar!$A$2:$A$80)),"no prefill template yet (due T-4); ","")&amp;IF(COUNTIF(links!$D$2:$D$501,$D351)&gt;1,"DUPLICATE slug; ",""))</f>
        <v/>
      </c>
    </row>
    <row r="352">
      <c r="A352" s="25">
        <f>IF(INDEX(approvals!$A$2:$A$251,INT((ROW()-2)/2)+1)="","",INDEX(approvals!$A$2:$A$251,INT((ROW()-2)/2)+1))</f>
        <v/>
      </c>
      <c r="B352" s="25">
        <f>IF(INDEX(approvals!$A$2:$A$251,INT((ROW()-2)/2)+1)="","",INDEX(approvals!$B$2:$B$251,INT((ROW()-2)/2)+1))</f>
        <v/>
      </c>
      <c r="C352" s="25">
        <f>IF($A352="","",IF(MOD(ROW()-2,2)=0,"qr","post"))</f>
        <v/>
      </c>
      <c r="D352" s="25">
        <f>IF($A352="","",IF(LEFT($A352,7)="SAMPLE-","SAMPLE-","")&amp;LOWER(SUBSTITUTE(SUBSTITUTE($A352,"SAMPLE-",""),"CMP-","c"))&amp;"-"&amp;LOWER(SUBSTITUTE(SUBSTITUTE($B352,"SAMPLE-",""),"O-","o"))&amp;"-"&amp;IF($C352="qr","q","p"))</f>
        <v/>
      </c>
      <c r="E352" s="25">
        <f>IF($A352="","","https://"&amp;config!$B$9&amp;"/"&amp;$D352)</f>
        <v/>
      </c>
      <c r="F352" s="25">
        <f>IF($A352="","",$A352&amp;"."&amp;$B352)</f>
        <v/>
      </c>
      <c r="G352" s="25">
        <f>IF($A352="","",IF(IFERROR(IF(INDEX(campaigns!$AJ$2:$AJ$51,MATCH($A352,campaigns!$A$2:$A$51,0))="","",INDEX(campaigns!$AJ$2:$AJ$51,MATCH($A352,campaigns!$A$2:$A$51,0))),"")="","(add the survey prefill template on campaigns)",SUBSTITUTE(IFERROR(IF(INDEX(campaigns!$AJ$2:$AJ$51,MATCH($A352,campaigns!$A$2:$A$51,0))="","",INDEX(campaigns!$AJ$2:$AJ$51,MATCH($A352,campaigns!$A$2:$A$51,0))),""),"CARDCODE",$F352)&amp;"&amp;utm_source=office-pantry&amp;utm_medium="&amp;$C352&amp;"&amp;utm_campaign="&amp;LOWER($A352)&amp;"&amp;utm_content="&amp;LOWER($B352)))</f>
        <v/>
      </c>
      <c r="H352" s="25">
        <f>IF(OR($A352="",$C352&lt;&gt;"qr"),"",$D352&amp;".png")</f>
        <v/>
      </c>
      <c r="I352" s="25">
        <f>IF($A352="","",IF(AND(IFERROR(IF(INDEX(campaigns!$AJ$2:$AJ$51,MATCH($A352,campaigns!$A$2:$A$51,0))="","",INDEX(campaigns!$AJ$2:$AJ$51,MATCH($A352,campaigns!$A$2:$A$51,0))),"")="",IFERROR(IF(INDEX(campaigns!$BG$2:$BG$51,MATCH($A352,campaigns!$A$2:$A$51,0))="","",INDEX(campaigns!$BG$2:$BG$51,MATCH($A352,campaigns!$A$2:$A$51,0))),"")&lt;&gt;"",IF(config!$B$37&lt;&gt;"",config!$B$37,TODAY())&gt;=WORKDAY(N(IFERROR(IF(INDEX(campaigns!$BG$2:$BG$51,MATCH($A352,campaigns!$A$2:$A$51,0))="","",INDEX(campaigns!$BG$2:$BG$51,MATCH($A352,campaigns!$A$2:$A$51,0))),"")),-4,calendar!$A$2:$A$80)),"no prefill template yet (due T-4); ","")&amp;IF(COUNTIF(links!$D$2:$D$501,$D352)&gt;1,"DUPLICATE slug; ",""))</f>
        <v/>
      </c>
    </row>
    <row r="353">
      <c r="A353" s="25">
        <f>IF(INDEX(approvals!$A$2:$A$251,INT((ROW()-2)/2)+1)="","",INDEX(approvals!$A$2:$A$251,INT((ROW()-2)/2)+1))</f>
        <v/>
      </c>
      <c r="B353" s="25">
        <f>IF(INDEX(approvals!$A$2:$A$251,INT((ROW()-2)/2)+1)="","",INDEX(approvals!$B$2:$B$251,INT((ROW()-2)/2)+1))</f>
        <v/>
      </c>
      <c r="C353" s="25">
        <f>IF($A353="","",IF(MOD(ROW()-2,2)=0,"qr","post"))</f>
        <v/>
      </c>
      <c r="D353" s="25">
        <f>IF($A353="","",IF(LEFT($A353,7)="SAMPLE-","SAMPLE-","")&amp;LOWER(SUBSTITUTE(SUBSTITUTE($A353,"SAMPLE-",""),"CMP-","c"))&amp;"-"&amp;LOWER(SUBSTITUTE(SUBSTITUTE($B353,"SAMPLE-",""),"O-","o"))&amp;"-"&amp;IF($C353="qr","q","p"))</f>
        <v/>
      </c>
      <c r="E353" s="25">
        <f>IF($A353="","","https://"&amp;config!$B$9&amp;"/"&amp;$D353)</f>
        <v/>
      </c>
      <c r="F353" s="25">
        <f>IF($A353="","",$A353&amp;"."&amp;$B353)</f>
        <v/>
      </c>
      <c r="G353" s="25">
        <f>IF($A353="","",IF(IFERROR(IF(INDEX(campaigns!$AJ$2:$AJ$51,MATCH($A353,campaigns!$A$2:$A$51,0))="","",INDEX(campaigns!$AJ$2:$AJ$51,MATCH($A353,campaigns!$A$2:$A$51,0))),"")="","(add the survey prefill template on campaigns)",SUBSTITUTE(IFERROR(IF(INDEX(campaigns!$AJ$2:$AJ$51,MATCH($A353,campaigns!$A$2:$A$51,0))="","",INDEX(campaigns!$AJ$2:$AJ$51,MATCH($A353,campaigns!$A$2:$A$51,0))),""),"CARDCODE",$F353)&amp;"&amp;utm_source=office-pantry&amp;utm_medium="&amp;$C353&amp;"&amp;utm_campaign="&amp;LOWER($A353)&amp;"&amp;utm_content="&amp;LOWER($B353)))</f>
        <v/>
      </c>
      <c r="H353" s="25">
        <f>IF(OR($A353="",$C353&lt;&gt;"qr"),"",$D353&amp;".png")</f>
        <v/>
      </c>
      <c r="I353" s="25">
        <f>IF($A353="","",IF(AND(IFERROR(IF(INDEX(campaigns!$AJ$2:$AJ$51,MATCH($A353,campaigns!$A$2:$A$51,0))="","",INDEX(campaigns!$AJ$2:$AJ$51,MATCH($A353,campaigns!$A$2:$A$51,0))),"")="",IFERROR(IF(INDEX(campaigns!$BG$2:$BG$51,MATCH($A353,campaigns!$A$2:$A$51,0))="","",INDEX(campaigns!$BG$2:$BG$51,MATCH($A353,campaigns!$A$2:$A$51,0))),"")&lt;&gt;"",IF(config!$B$37&lt;&gt;"",config!$B$37,TODAY())&gt;=WORKDAY(N(IFERROR(IF(INDEX(campaigns!$BG$2:$BG$51,MATCH($A353,campaigns!$A$2:$A$51,0))="","",INDEX(campaigns!$BG$2:$BG$51,MATCH($A353,campaigns!$A$2:$A$51,0))),"")),-4,calendar!$A$2:$A$80)),"no prefill template yet (due T-4); ","")&amp;IF(COUNTIF(links!$D$2:$D$501,$D353)&gt;1,"DUPLICATE slug; ",""))</f>
        <v/>
      </c>
    </row>
    <row r="354">
      <c r="A354" s="25">
        <f>IF(INDEX(approvals!$A$2:$A$251,INT((ROW()-2)/2)+1)="","",INDEX(approvals!$A$2:$A$251,INT((ROW()-2)/2)+1))</f>
        <v/>
      </c>
      <c r="B354" s="25">
        <f>IF(INDEX(approvals!$A$2:$A$251,INT((ROW()-2)/2)+1)="","",INDEX(approvals!$B$2:$B$251,INT((ROW()-2)/2)+1))</f>
        <v/>
      </c>
      <c r="C354" s="25">
        <f>IF($A354="","",IF(MOD(ROW()-2,2)=0,"qr","post"))</f>
        <v/>
      </c>
      <c r="D354" s="25">
        <f>IF($A354="","",IF(LEFT($A354,7)="SAMPLE-","SAMPLE-","")&amp;LOWER(SUBSTITUTE(SUBSTITUTE($A354,"SAMPLE-",""),"CMP-","c"))&amp;"-"&amp;LOWER(SUBSTITUTE(SUBSTITUTE($B354,"SAMPLE-",""),"O-","o"))&amp;"-"&amp;IF($C354="qr","q","p"))</f>
        <v/>
      </c>
      <c r="E354" s="25">
        <f>IF($A354="","","https://"&amp;config!$B$9&amp;"/"&amp;$D354)</f>
        <v/>
      </c>
      <c r="F354" s="25">
        <f>IF($A354="","",$A354&amp;"."&amp;$B354)</f>
        <v/>
      </c>
      <c r="G354" s="25">
        <f>IF($A354="","",IF(IFERROR(IF(INDEX(campaigns!$AJ$2:$AJ$51,MATCH($A354,campaigns!$A$2:$A$51,0))="","",INDEX(campaigns!$AJ$2:$AJ$51,MATCH($A354,campaigns!$A$2:$A$51,0))),"")="","(add the survey prefill template on campaigns)",SUBSTITUTE(IFERROR(IF(INDEX(campaigns!$AJ$2:$AJ$51,MATCH($A354,campaigns!$A$2:$A$51,0))="","",INDEX(campaigns!$AJ$2:$AJ$51,MATCH($A354,campaigns!$A$2:$A$51,0))),""),"CARDCODE",$F354)&amp;"&amp;utm_source=office-pantry&amp;utm_medium="&amp;$C354&amp;"&amp;utm_campaign="&amp;LOWER($A354)&amp;"&amp;utm_content="&amp;LOWER($B354)))</f>
        <v/>
      </c>
      <c r="H354" s="25">
        <f>IF(OR($A354="",$C354&lt;&gt;"qr"),"",$D354&amp;".png")</f>
        <v/>
      </c>
      <c r="I354" s="25">
        <f>IF($A354="","",IF(AND(IFERROR(IF(INDEX(campaigns!$AJ$2:$AJ$51,MATCH($A354,campaigns!$A$2:$A$51,0))="","",INDEX(campaigns!$AJ$2:$AJ$51,MATCH($A354,campaigns!$A$2:$A$51,0))),"")="",IFERROR(IF(INDEX(campaigns!$BG$2:$BG$51,MATCH($A354,campaigns!$A$2:$A$51,0))="","",INDEX(campaigns!$BG$2:$BG$51,MATCH($A354,campaigns!$A$2:$A$51,0))),"")&lt;&gt;"",IF(config!$B$37&lt;&gt;"",config!$B$37,TODAY())&gt;=WORKDAY(N(IFERROR(IF(INDEX(campaigns!$BG$2:$BG$51,MATCH($A354,campaigns!$A$2:$A$51,0))="","",INDEX(campaigns!$BG$2:$BG$51,MATCH($A354,campaigns!$A$2:$A$51,0))),"")),-4,calendar!$A$2:$A$80)),"no prefill template yet (due T-4); ","")&amp;IF(COUNTIF(links!$D$2:$D$501,$D354)&gt;1,"DUPLICATE slug; ",""))</f>
        <v/>
      </c>
    </row>
    <row r="355">
      <c r="A355" s="25">
        <f>IF(INDEX(approvals!$A$2:$A$251,INT((ROW()-2)/2)+1)="","",INDEX(approvals!$A$2:$A$251,INT((ROW()-2)/2)+1))</f>
        <v/>
      </c>
      <c r="B355" s="25">
        <f>IF(INDEX(approvals!$A$2:$A$251,INT((ROW()-2)/2)+1)="","",INDEX(approvals!$B$2:$B$251,INT((ROW()-2)/2)+1))</f>
        <v/>
      </c>
      <c r="C355" s="25">
        <f>IF($A355="","",IF(MOD(ROW()-2,2)=0,"qr","post"))</f>
        <v/>
      </c>
      <c r="D355" s="25">
        <f>IF($A355="","",IF(LEFT($A355,7)="SAMPLE-","SAMPLE-","")&amp;LOWER(SUBSTITUTE(SUBSTITUTE($A355,"SAMPLE-",""),"CMP-","c"))&amp;"-"&amp;LOWER(SUBSTITUTE(SUBSTITUTE($B355,"SAMPLE-",""),"O-","o"))&amp;"-"&amp;IF($C355="qr","q","p"))</f>
        <v/>
      </c>
      <c r="E355" s="25">
        <f>IF($A355="","","https://"&amp;config!$B$9&amp;"/"&amp;$D355)</f>
        <v/>
      </c>
      <c r="F355" s="25">
        <f>IF($A355="","",$A355&amp;"."&amp;$B355)</f>
        <v/>
      </c>
      <c r="G355" s="25">
        <f>IF($A355="","",IF(IFERROR(IF(INDEX(campaigns!$AJ$2:$AJ$51,MATCH($A355,campaigns!$A$2:$A$51,0))="","",INDEX(campaigns!$AJ$2:$AJ$51,MATCH($A355,campaigns!$A$2:$A$51,0))),"")="","(add the survey prefill template on campaigns)",SUBSTITUTE(IFERROR(IF(INDEX(campaigns!$AJ$2:$AJ$51,MATCH($A355,campaigns!$A$2:$A$51,0))="","",INDEX(campaigns!$AJ$2:$AJ$51,MATCH($A355,campaigns!$A$2:$A$51,0))),""),"CARDCODE",$F355)&amp;"&amp;utm_source=office-pantry&amp;utm_medium="&amp;$C355&amp;"&amp;utm_campaign="&amp;LOWER($A355)&amp;"&amp;utm_content="&amp;LOWER($B355)))</f>
        <v/>
      </c>
      <c r="H355" s="25">
        <f>IF(OR($A355="",$C355&lt;&gt;"qr"),"",$D355&amp;".png")</f>
        <v/>
      </c>
      <c r="I355" s="25">
        <f>IF($A355="","",IF(AND(IFERROR(IF(INDEX(campaigns!$AJ$2:$AJ$51,MATCH($A355,campaigns!$A$2:$A$51,0))="","",INDEX(campaigns!$AJ$2:$AJ$51,MATCH($A355,campaigns!$A$2:$A$51,0))),"")="",IFERROR(IF(INDEX(campaigns!$BG$2:$BG$51,MATCH($A355,campaigns!$A$2:$A$51,0))="","",INDEX(campaigns!$BG$2:$BG$51,MATCH($A355,campaigns!$A$2:$A$51,0))),"")&lt;&gt;"",IF(config!$B$37&lt;&gt;"",config!$B$37,TODAY())&gt;=WORKDAY(N(IFERROR(IF(INDEX(campaigns!$BG$2:$BG$51,MATCH($A355,campaigns!$A$2:$A$51,0))="","",INDEX(campaigns!$BG$2:$BG$51,MATCH($A355,campaigns!$A$2:$A$51,0))),"")),-4,calendar!$A$2:$A$80)),"no prefill template yet (due T-4); ","")&amp;IF(COUNTIF(links!$D$2:$D$501,$D355)&gt;1,"DUPLICATE slug; ",""))</f>
        <v/>
      </c>
    </row>
    <row r="356">
      <c r="A356" s="25">
        <f>IF(INDEX(approvals!$A$2:$A$251,INT((ROW()-2)/2)+1)="","",INDEX(approvals!$A$2:$A$251,INT((ROW()-2)/2)+1))</f>
        <v/>
      </c>
      <c r="B356" s="25">
        <f>IF(INDEX(approvals!$A$2:$A$251,INT((ROW()-2)/2)+1)="","",INDEX(approvals!$B$2:$B$251,INT((ROW()-2)/2)+1))</f>
        <v/>
      </c>
      <c r="C356" s="25">
        <f>IF($A356="","",IF(MOD(ROW()-2,2)=0,"qr","post"))</f>
        <v/>
      </c>
      <c r="D356" s="25">
        <f>IF($A356="","",IF(LEFT($A356,7)="SAMPLE-","SAMPLE-","")&amp;LOWER(SUBSTITUTE(SUBSTITUTE($A356,"SAMPLE-",""),"CMP-","c"))&amp;"-"&amp;LOWER(SUBSTITUTE(SUBSTITUTE($B356,"SAMPLE-",""),"O-","o"))&amp;"-"&amp;IF($C356="qr","q","p"))</f>
        <v/>
      </c>
      <c r="E356" s="25">
        <f>IF($A356="","","https://"&amp;config!$B$9&amp;"/"&amp;$D356)</f>
        <v/>
      </c>
      <c r="F356" s="25">
        <f>IF($A356="","",$A356&amp;"."&amp;$B356)</f>
        <v/>
      </c>
      <c r="G356" s="25">
        <f>IF($A356="","",IF(IFERROR(IF(INDEX(campaigns!$AJ$2:$AJ$51,MATCH($A356,campaigns!$A$2:$A$51,0))="","",INDEX(campaigns!$AJ$2:$AJ$51,MATCH($A356,campaigns!$A$2:$A$51,0))),"")="","(add the survey prefill template on campaigns)",SUBSTITUTE(IFERROR(IF(INDEX(campaigns!$AJ$2:$AJ$51,MATCH($A356,campaigns!$A$2:$A$51,0))="","",INDEX(campaigns!$AJ$2:$AJ$51,MATCH($A356,campaigns!$A$2:$A$51,0))),""),"CARDCODE",$F356)&amp;"&amp;utm_source=office-pantry&amp;utm_medium="&amp;$C356&amp;"&amp;utm_campaign="&amp;LOWER($A356)&amp;"&amp;utm_content="&amp;LOWER($B356)))</f>
        <v/>
      </c>
      <c r="H356" s="25">
        <f>IF(OR($A356="",$C356&lt;&gt;"qr"),"",$D356&amp;".png")</f>
        <v/>
      </c>
      <c r="I356" s="25">
        <f>IF($A356="","",IF(AND(IFERROR(IF(INDEX(campaigns!$AJ$2:$AJ$51,MATCH($A356,campaigns!$A$2:$A$51,0))="","",INDEX(campaigns!$AJ$2:$AJ$51,MATCH($A356,campaigns!$A$2:$A$51,0))),"")="",IFERROR(IF(INDEX(campaigns!$BG$2:$BG$51,MATCH($A356,campaigns!$A$2:$A$51,0))="","",INDEX(campaigns!$BG$2:$BG$51,MATCH($A356,campaigns!$A$2:$A$51,0))),"")&lt;&gt;"",IF(config!$B$37&lt;&gt;"",config!$B$37,TODAY())&gt;=WORKDAY(N(IFERROR(IF(INDEX(campaigns!$BG$2:$BG$51,MATCH($A356,campaigns!$A$2:$A$51,0))="","",INDEX(campaigns!$BG$2:$BG$51,MATCH($A356,campaigns!$A$2:$A$51,0))),"")),-4,calendar!$A$2:$A$80)),"no prefill template yet (due T-4); ","")&amp;IF(COUNTIF(links!$D$2:$D$501,$D356)&gt;1,"DUPLICATE slug; ",""))</f>
        <v/>
      </c>
    </row>
    <row r="357">
      <c r="A357" s="25">
        <f>IF(INDEX(approvals!$A$2:$A$251,INT((ROW()-2)/2)+1)="","",INDEX(approvals!$A$2:$A$251,INT((ROW()-2)/2)+1))</f>
        <v/>
      </c>
      <c r="B357" s="25">
        <f>IF(INDEX(approvals!$A$2:$A$251,INT((ROW()-2)/2)+1)="","",INDEX(approvals!$B$2:$B$251,INT((ROW()-2)/2)+1))</f>
        <v/>
      </c>
      <c r="C357" s="25">
        <f>IF($A357="","",IF(MOD(ROW()-2,2)=0,"qr","post"))</f>
        <v/>
      </c>
      <c r="D357" s="25">
        <f>IF($A357="","",IF(LEFT($A357,7)="SAMPLE-","SAMPLE-","")&amp;LOWER(SUBSTITUTE(SUBSTITUTE($A357,"SAMPLE-",""),"CMP-","c"))&amp;"-"&amp;LOWER(SUBSTITUTE(SUBSTITUTE($B357,"SAMPLE-",""),"O-","o"))&amp;"-"&amp;IF($C357="qr","q","p"))</f>
        <v/>
      </c>
      <c r="E357" s="25">
        <f>IF($A357="","","https://"&amp;config!$B$9&amp;"/"&amp;$D357)</f>
        <v/>
      </c>
      <c r="F357" s="25">
        <f>IF($A357="","",$A357&amp;"."&amp;$B357)</f>
        <v/>
      </c>
      <c r="G357" s="25">
        <f>IF($A357="","",IF(IFERROR(IF(INDEX(campaigns!$AJ$2:$AJ$51,MATCH($A357,campaigns!$A$2:$A$51,0))="","",INDEX(campaigns!$AJ$2:$AJ$51,MATCH($A357,campaigns!$A$2:$A$51,0))),"")="","(add the survey prefill template on campaigns)",SUBSTITUTE(IFERROR(IF(INDEX(campaigns!$AJ$2:$AJ$51,MATCH($A357,campaigns!$A$2:$A$51,0))="","",INDEX(campaigns!$AJ$2:$AJ$51,MATCH($A357,campaigns!$A$2:$A$51,0))),""),"CARDCODE",$F357)&amp;"&amp;utm_source=office-pantry&amp;utm_medium="&amp;$C357&amp;"&amp;utm_campaign="&amp;LOWER($A357)&amp;"&amp;utm_content="&amp;LOWER($B357)))</f>
        <v/>
      </c>
      <c r="H357" s="25">
        <f>IF(OR($A357="",$C357&lt;&gt;"qr"),"",$D357&amp;".png")</f>
        <v/>
      </c>
      <c r="I357" s="25">
        <f>IF($A357="","",IF(AND(IFERROR(IF(INDEX(campaigns!$AJ$2:$AJ$51,MATCH($A357,campaigns!$A$2:$A$51,0))="","",INDEX(campaigns!$AJ$2:$AJ$51,MATCH($A357,campaigns!$A$2:$A$51,0))),"")="",IFERROR(IF(INDEX(campaigns!$BG$2:$BG$51,MATCH($A357,campaigns!$A$2:$A$51,0))="","",INDEX(campaigns!$BG$2:$BG$51,MATCH($A357,campaigns!$A$2:$A$51,0))),"")&lt;&gt;"",IF(config!$B$37&lt;&gt;"",config!$B$37,TODAY())&gt;=WORKDAY(N(IFERROR(IF(INDEX(campaigns!$BG$2:$BG$51,MATCH($A357,campaigns!$A$2:$A$51,0))="","",INDEX(campaigns!$BG$2:$BG$51,MATCH($A357,campaigns!$A$2:$A$51,0))),"")),-4,calendar!$A$2:$A$80)),"no prefill template yet (due T-4); ","")&amp;IF(COUNTIF(links!$D$2:$D$501,$D357)&gt;1,"DUPLICATE slug; ",""))</f>
        <v/>
      </c>
    </row>
    <row r="358">
      <c r="A358" s="25">
        <f>IF(INDEX(approvals!$A$2:$A$251,INT((ROW()-2)/2)+1)="","",INDEX(approvals!$A$2:$A$251,INT((ROW()-2)/2)+1))</f>
        <v/>
      </c>
      <c r="B358" s="25">
        <f>IF(INDEX(approvals!$A$2:$A$251,INT((ROW()-2)/2)+1)="","",INDEX(approvals!$B$2:$B$251,INT((ROW()-2)/2)+1))</f>
        <v/>
      </c>
      <c r="C358" s="25">
        <f>IF($A358="","",IF(MOD(ROW()-2,2)=0,"qr","post"))</f>
        <v/>
      </c>
      <c r="D358" s="25">
        <f>IF($A358="","",IF(LEFT($A358,7)="SAMPLE-","SAMPLE-","")&amp;LOWER(SUBSTITUTE(SUBSTITUTE($A358,"SAMPLE-",""),"CMP-","c"))&amp;"-"&amp;LOWER(SUBSTITUTE(SUBSTITUTE($B358,"SAMPLE-",""),"O-","o"))&amp;"-"&amp;IF($C358="qr","q","p"))</f>
        <v/>
      </c>
      <c r="E358" s="25">
        <f>IF($A358="","","https://"&amp;config!$B$9&amp;"/"&amp;$D358)</f>
        <v/>
      </c>
      <c r="F358" s="25">
        <f>IF($A358="","",$A358&amp;"."&amp;$B358)</f>
        <v/>
      </c>
      <c r="G358" s="25">
        <f>IF($A358="","",IF(IFERROR(IF(INDEX(campaigns!$AJ$2:$AJ$51,MATCH($A358,campaigns!$A$2:$A$51,0))="","",INDEX(campaigns!$AJ$2:$AJ$51,MATCH($A358,campaigns!$A$2:$A$51,0))),"")="","(add the survey prefill template on campaigns)",SUBSTITUTE(IFERROR(IF(INDEX(campaigns!$AJ$2:$AJ$51,MATCH($A358,campaigns!$A$2:$A$51,0))="","",INDEX(campaigns!$AJ$2:$AJ$51,MATCH($A358,campaigns!$A$2:$A$51,0))),""),"CARDCODE",$F358)&amp;"&amp;utm_source=office-pantry&amp;utm_medium="&amp;$C358&amp;"&amp;utm_campaign="&amp;LOWER($A358)&amp;"&amp;utm_content="&amp;LOWER($B358)))</f>
        <v/>
      </c>
      <c r="H358" s="25">
        <f>IF(OR($A358="",$C358&lt;&gt;"qr"),"",$D358&amp;".png")</f>
        <v/>
      </c>
      <c r="I358" s="25">
        <f>IF($A358="","",IF(AND(IFERROR(IF(INDEX(campaigns!$AJ$2:$AJ$51,MATCH($A358,campaigns!$A$2:$A$51,0))="","",INDEX(campaigns!$AJ$2:$AJ$51,MATCH($A358,campaigns!$A$2:$A$51,0))),"")="",IFERROR(IF(INDEX(campaigns!$BG$2:$BG$51,MATCH($A358,campaigns!$A$2:$A$51,0))="","",INDEX(campaigns!$BG$2:$BG$51,MATCH($A358,campaigns!$A$2:$A$51,0))),"")&lt;&gt;"",IF(config!$B$37&lt;&gt;"",config!$B$37,TODAY())&gt;=WORKDAY(N(IFERROR(IF(INDEX(campaigns!$BG$2:$BG$51,MATCH($A358,campaigns!$A$2:$A$51,0))="","",INDEX(campaigns!$BG$2:$BG$51,MATCH($A358,campaigns!$A$2:$A$51,0))),"")),-4,calendar!$A$2:$A$80)),"no prefill template yet (due T-4); ","")&amp;IF(COUNTIF(links!$D$2:$D$501,$D358)&gt;1,"DUPLICATE slug; ",""))</f>
        <v/>
      </c>
    </row>
    <row r="359">
      <c r="A359" s="25">
        <f>IF(INDEX(approvals!$A$2:$A$251,INT((ROW()-2)/2)+1)="","",INDEX(approvals!$A$2:$A$251,INT((ROW()-2)/2)+1))</f>
        <v/>
      </c>
      <c r="B359" s="25">
        <f>IF(INDEX(approvals!$A$2:$A$251,INT((ROW()-2)/2)+1)="","",INDEX(approvals!$B$2:$B$251,INT((ROW()-2)/2)+1))</f>
        <v/>
      </c>
      <c r="C359" s="25">
        <f>IF($A359="","",IF(MOD(ROW()-2,2)=0,"qr","post"))</f>
        <v/>
      </c>
      <c r="D359" s="25">
        <f>IF($A359="","",IF(LEFT($A359,7)="SAMPLE-","SAMPLE-","")&amp;LOWER(SUBSTITUTE(SUBSTITUTE($A359,"SAMPLE-",""),"CMP-","c"))&amp;"-"&amp;LOWER(SUBSTITUTE(SUBSTITUTE($B359,"SAMPLE-",""),"O-","o"))&amp;"-"&amp;IF($C359="qr","q","p"))</f>
        <v/>
      </c>
      <c r="E359" s="25">
        <f>IF($A359="","","https://"&amp;config!$B$9&amp;"/"&amp;$D359)</f>
        <v/>
      </c>
      <c r="F359" s="25">
        <f>IF($A359="","",$A359&amp;"."&amp;$B359)</f>
        <v/>
      </c>
      <c r="G359" s="25">
        <f>IF($A359="","",IF(IFERROR(IF(INDEX(campaigns!$AJ$2:$AJ$51,MATCH($A359,campaigns!$A$2:$A$51,0))="","",INDEX(campaigns!$AJ$2:$AJ$51,MATCH($A359,campaigns!$A$2:$A$51,0))),"")="","(add the survey prefill template on campaigns)",SUBSTITUTE(IFERROR(IF(INDEX(campaigns!$AJ$2:$AJ$51,MATCH($A359,campaigns!$A$2:$A$51,0))="","",INDEX(campaigns!$AJ$2:$AJ$51,MATCH($A359,campaigns!$A$2:$A$51,0))),""),"CARDCODE",$F359)&amp;"&amp;utm_source=office-pantry&amp;utm_medium="&amp;$C359&amp;"&amp;utm_campaign="&amp;LOWER($A359)&amp;"&amp;utm_content="&amp;LOWER($B359)))</f>
        <v/>
      </c>
      <c r="H359" s="25">
        <f>IF(OR($A359="",$C359&lt;&gt;"qr"),"",$D359&amp;".png")</f>
        <v/>
      </c>
      <c r="I359" s="25">
        <f>IF($A359="","",IF(AND(IFERROR(IF(INDEX(campaigns!$AJ$2:$AJ$51,MATCH($A359,campaigns!$A$2:$A$51,0))="","",INDEX(campaigns!$AJ$2:$AJ$51,MATCH($A359,campaigns!$A$2:$A$51,0))),"")="",IFERROR(IF(INDEX(campaigns!$BG$2:$BG$51,MATCH($A359,campaigns!$A$2:$A$51,0))="","",INDEX(campaigns!$BG$2:$BG$51,MATCH($A359,campaigns!$A$2:$A$51,0))),"")&lt;&gt;"",IF(config!$B$37&lt;&gt;"",config!$B$37,TODAY())&gt;=WORKDAY(N(IFERROR(IF(INDEX(campaigns!$BG$2:$BG$51,MATCH($A359,campaigns!$A$2:$A$51,0))="","",INDEX(campaigns!$BG$2:$BG$51,MATCH($A359,campaigns!$A$2:$A$51,0))),"")),-4,calendar!$A$2:$A$80)),"no prefill template yet (due T-4); ","")&amp;IF(COUNTIF(links!$D$2:$D$501,$D359)&gt;1,"DUPLICATE slug; ",""))</f>
        <v/>
      </c>
    </row>
    <row r="360">
      <c r="A360" s="25">
        <f>IF(INDEX(approvals!$A$2:$A$251,INT((ROW()-2)/2)+1)="","",INDEX(approvals!$A$2:$A$251,INT((ROW()-2)/2)+1))</f>
        <v/>
      </c>
      <c r="B360" s="25">
        <f>IF(INDEX(approvals!$A$2:$A$251,INT((ROW()-2)/2)+1)="","",INDEX(approvals!$B$2:$B$251,INT((ROW()-2)/2)+1))</f>
        <v/>
      </c>
      <c r="C360" s="25">
        <f>IF($A360="","",IF(MOD(ROW()-2,2)=0,"qr","post"))</f>
        <v/>
      </c>
      <c r="D360" s="25">
        <f>IF($A360="","",IF(LEFT($A360,7)="SAMPLE-","SAMPLE-","")&amp;LOWER(SUBSTITUTE(SUBSTITUTE($A360,"SAMPLE-",""),"CMP-","c"))&amp;"-"&amp;LOWER(SUBSTITUTE(SUBSTITUTE($B360,"SAMPLE-",""),"O-","o"))&amp;"-"&amp;IF($C360="qr","q","p"))</f>
        <v/>
      </c>
      <c r="E360" s="25">
        <f>IF($A360="","","https://"&amp;config!$B$9&amp;"/"&amp;$D360)</f>
        <v/>
      </c>
      <c r="F360" s="25">
        <f>IF($A360="","",$A360&amp;"."&amp;$B360)</f>
        <v/>
      </c>
      <c r="G360" s="25">
        <f>IF($A360="","",IF(IFERROR(IF(INDEX(campaigns!$AJ$2:$AJ$51,MATCH($A360,campaigns!$A$2:$A$51,0))="","",INDEX(campaigns!$AJ$2:$AJ$51,MATCH($A360,campaigns!$A$2:$A$51,0))),"")="","(add the survey prefill template on campaigns)",SUBSTITUTE(IFERROR(IF(INDEX(campaigns!$AJ$2:$AJ$51,MATCH($A360,campaigns!$A$2:$A$51,0))="","",INDEX(campaigns!$AJ$2:$AJ$51,MATCH($A360,campaigns!$A$2:$A$51,0))),""),"CARDCODE",$F360)&amp;"&amp;utm_source=office-pantry&amp;utm_medium="&amp;$C360&amp;"&amp;utm_campaign="&amp;LOWER($A360)&amp;"&amp;utm_content="&amp;LOWER($B360)))</f>
        <v/>
      </c>
      <c r="H360" s="25">
        <f>IF(OR($A360="",$C360&lt;&gt;"qr"),"",$D360&amp;".png")</f>
        <v/>
      </c>
      <c r="I360" s="25">
        <f>IF($A360="","",IF(AND(IFERROR(IF(INDEX(campaigns!$AJ$2:$AJ$51,MATCH($A360,campaigns!$A$2:$A$51,0))="","",INDEX(campaigns!$AJ$2:$AJ$51,MATCH($A360,campaigns!$A$2:$A$51,0))),"")="",IFERROR(IF(INDEX(campaigns!$BG$2:$BG$51,MATCH($A360,campaigns!$A$2:$A$51,0))="","",INDEX(campaigns!$BG$2:$BG$51,MATCH($A360,campaigns!$A$2:$A$51,0))),"")&lt;&gt;"",IF(config!$B$37&lt;&gt;"",config!$B$37,TODAY())&gt;=WORKDAY(N(IFERROR(IF(INDEX(campaigns!$BG$2:$BG$51,MATCH($A360,campaigns!$A$2:$A$51,0))="","",INDEX(campaigns!$BG$2:$BG$51,MATCH($A360,campaigns!$A$2:$A$51,0))),"")),-4,calendar!$A$2:$A$80)),"no prefill template yet (due T-4); ","")&amp;IF(COUNTIF(links!$D$2:$D$501,$D360)&gt;1,"DUPLICATE slug; ",""))</f>
        <v/>
      </c>
    </row>
    <row r="361">
      <c r="A361" s="25">
        <f>IF(INDEX(approvals!$A$2:$A$251,INT((ROW()-2)/2)+1)="","",INDEX(approvals!$A$2:$A$251,INT((ROW()-2)/2)+1))</f>
        <v/>
      </c>
      <c r="B361" s="25">
        <f>IF(INDEX(approvals!$A$2:$A$251,INT((ROW()-2)/2)+1)="","",INDEX(approvals!$B$2:$B$251,INT((ROW()-2)/2)+1))</f>
        <v/>
      </c>
      <c r="C361" s="25">
        <f>IF($A361="","",IF(MOD(ROW()-2,2)=0,"qr","post"))</f>
        <v/>
      </c>
      <c r="D361" s="25">
        <f>IF($A361="","",IF(LEFT($A361,7)="SAMPLE-","SAMPLE-","")&amp;LOWER(SUBSTITUTE(SUBSTITUTE($A361,"SAMPLE-",""),"CMP-","c"))&amp;"-"&amp;LOWER(SUBSTITUTE(SUBSTITUTE($B361,"SAMPLE-",""),"O-","o"))&amp;"-"&amp;IF($C361="qr","q","p"))</f>
        <v/>
      </c>
      <c r="E361" s="25">
        <f>IF($A361="","","https://"&amp;config!$B$9&amp;"/"&amp;$D361)</f>
        <v/>
      </c>
      <c r="F361" s="25">
        <f>IF($A361="","",$A361&amp;"."&amp;$B361)</f>
        <v/>
      </c>
      <c r="G361" s="25">
        <f>IF($A361="","",IF(IFERROR(IF(INDEX(campaigns!$AJ$2:$AJ$51,MATCH($A361,campaigns!$A$2:$A$51,0))="","",INDEX(campaigns!$AJ$2:$AJ$51,MATCH($A361,campaigns!$A$2:$A$51,0))),"")="","(add the survey prefill template on campaigns)",SUBSTITUTE(IFERROR(IF(INDEX(campaigns!$AJ$2:$AJ$51,MATCH($A361,campaigns!$A$2:$A$51,0))="","",INDEX(campaigns!$AJ$2:$AJ$51,MATCH($A361,campaigns!$A$2:$A$51,0))),""),"CARDCODE",$F361)&amp;"&amp;utm_source=office-pantry&amp;utm_medium="&amp;$C361&amp;"&amp;utm_campaign="&amp;LOWER($A361)&amp;"&amp;utm_content="&amp;LOWER($B361)))</f>
        <v/>
      </c>
      <c r="H361" s="25">
        <f>IF(OR($A361="",$C361&lt;&gt;"qr"),"",$D361&amp;".png")</f>
        <v/>
      </c>
      <c r="I361" s="25">
        <f>IF($A361="","",IF(AND(IFERROR(IF(INDEX(campaigns!$AJ$2:$AJ$51,MATCH($A361,campaigns!$A$2:$A$51,0))="","",INDEX(campaigns!$AJ$2:$AJ$51,MATCH($A361,campaigns!$A$2:$A$51,0))),"")="",IFERROR(IF(INDEX(campaigns!$BG$2:$BG$51,MATCH($A361,campaigns!$A$2:$A$51,0))="","",INDEX(campaigns!$BG$2:$BG$51,MATCH($A361,campaigns!$A$2:$A$51,0))),"")&lt;&gt;"",IF(config!$B$37&lt;&gt;"",config!$B$37,TODAY())&gt;=WORKDAY(N(IFERROR(IF(INDEX(campaigns!$BG$2:$BG$51,MATCH($A361,campaigns!$A$2:$A$51,0))="","",INDEX(campaigns!$BG$2:$BG$51,MATCH($A361,campaigns!$A$2:$A$51,0))),"")),-4,calendar!$A$2:$A$80)),"no prefill template yet (due T-4); ","")&amp;IF(COUNTIF(links!$D$2:$D$501,$D361)&gt;1,"DUPLICATE slug; ",""))</f>
        <v/>
      </c>
    </row>
    <row r="362">
      <c r="A362" s="25">
        <f>IF(INDEX(approvals!$A$2:$A$251,INT((ROW()-2)/2)+1)="","",INDEX(approvals!$A$2:$A$251,INT((ROW()-2)/2)+1))</f>
        <v/>
      </c>
      <c r="B362" s="25">
        <f>IF(INDEX(approvals!$A$2:$A$251,INT((ROW()-2)/2)+1)="","",INDEX(approvals!$B$2:$B$251,INT((ROW()-2)/2)+1))</f>
        <v/>
      </c>
      <c r="C362" s="25">
        <f>IF($A362="","",IF(MOD(ROW()-2,2)=0,"qr","post"))</f>
        <v/>
      </c>
      <c r="D362" s="25">
        <f>IF($A362="","",IF(LEFT($A362,7)="SAMPLE-","SAMPLE-","")&amp;LOWER(SUBSTITUTE(SUBSTITUTE($A362,"SAMPLE-",""),"CMP-","c"))&amp;"-"&amp;LOWER(SUBSTITUTE(SUBSTITUTE($B362,"SAMPLE-",""),"O-","o"))&amp;"-"&amp;IF($C362="qr","q","p"))</f>
        <v/>
      </c>
      <c r="E362" s="25">
        <f>IF($A362="","","https://"&amp;config!$B$9&amp;"/"&amp;$D362)</f>
        <v/>
      </c>
      <c r="F362" s="25">
        <f>IF($A362="","",$A362&amp;"."&amp;$B362)</f>
        <v/>
      </c>
      <c r="G362" s="25">
        <f>IF($A362="","",IF(IFERROR(IF(INDEX(campaigns!$AJ$2:$AJ$51,MATCH($A362,campaigns!$A$2:$A$51,0))="","",INDEX(campaigns!$AJ$2:$AJ$51,MATCH($A362,campaigns!$A$2:$A$51,0))),"")="","(add the survey prefill template on campaigns)",SUBSTITUTE(IFERROR(IF(INDEX(campaigns!$AJ$2:$AJ$51,MATCH($A362,campaigns!$A$2:$A$51,0))="","",INDEX(campaigns!$AJ$2:$AJ$51,MATCH($A362,campaigns!$A$2:$A$51,0))),""),"CARDCODE",$F362)&amp;"&amp;utm_source=office-pantry&amp;utm_medium="&amp;$C362&amp;"&amp;utm_campaign="&amp;LOWER($A362)&amp;"&amp;utm_content="&amp;LOWER($B362)))</f>
        <v/>
      </c>
      <c r="H362" s="25">
        <f>IF(OR($A362="",$C362&lt;&gt;"qr"),"",$D362&amp;".png")</f>
        <v/>
      </c>
      <c r="I362" s="25">
        <f>IF($A362="","",IF(AND(IFERROR(IF(INDEX(campaigns!$AJ$2:$AJ$51,MATCH($A362,campaigns!$A$2:$A$51,0))="","",INDEX(campaigns!$AJ$2:$AJ$51,MATCH($A362,campaigns!$A$2:$A$51,0))),"")="",IFERROR(IF(INDEX(campaigns!$BG$2:$BG$51,MATCH($A362,campaigns!$A$2:$A$51,0))="","",INDEX(campaigns!$BG$2:$BG$51,MATCH($A362,campaigns!$A$2:$A$51,0))),"")&lt;&gt;"",IF(config!$B$37&lt;&gt;"",config!$B$37,TODAY())&gt;=WORKDAY(N(IFERROR(IF(INDEX(campaigns!$BG$2:$BG$51,MATCH($A362,campaigns!$A$2:$A$51,0))="","",INDEX(campaigns!$BG$2:$BG$51,MATCH($A362,campaigns!$A$2:$A$51,0))),"")),-4,calendar!$A$2:$A$80)),"no prefill template yet (due T-4); ","")&amp;IF(COUNTIF(links!$D$2:$D$501,$D362)&gt;1,"DUPLICATE slug; ",""))</f>
        <v/>
      </c>
    </row>
    <row r="363">
      <c r="A363" s="25">
        <f>IF(INDEX(approvals!$A$2:$A$251,INT((ROW()-2)/2)+1)="","",INDEX(approvals!$A$2:$A$251,INT((ROW()-2)/2)+1))</f>
        <v/>
      </c>
      <c r="B363" s="25">
        <f>IF(INDEX(approvals!$A$2:$A$251,INT((ROW()-2)/2)+1)="","",INDEX(approvals!$B$2:$B$251,INT((ROW()-2)/2)+1))</f>
        <v/>
      </c>
      <c r="C363" s="25">
        <f>IF($A363="","",IF(MOD(ROW()-2,2)=0,"qr","post"))</f>
        <v/>
      </c>
      <c r="D363" s="25">
        <f>IF($A363="","",IF(LEFT($A363,7)="SAMPLE-","SAMPLE-","")&amp;LOWER(SUBSTITUTE(SUBSTITUTE($A363,"SAMPLE-",""),"CMP-","c"))&amp;"-"&amp;LOWER(SUBSTITUTE(SUBSTITUTE($B363,"SAMPLE-",""),"O-","o"))&amp;"-"&amp;IF($C363="qr","q","p"))</f>
        <v/>
      </c>
      <c r="E363" s="25">
        <f>IF($A363="","","https://"&amp;config!$B$9&amp;"/"&amp;$D363)</f>
        <v/>
      </c>
      <c r="F363" s="25">
        <f>IF($A363="","",$A363&amp;"."&amp;$B363)</f>
        <v/>
      </c>
      <c r="G363" s="25">
        <f>IF($A363="","",IF(IFERROR(IF(INDEX(campaigns!$AJ$2:$AJ$51,MATCH($A363,campaigns!$A$2:$A$51,0))="","",INDEX(campaigns!$AJ$2:$AJ$51,MATCH($A363,campaigns!$A$2:$A$51,0))),"")="","(add the survey prefill template on campaigns)",SUBSTITUTE(IFERROR(IF(INDEX(campaigns!$AJ$2:$AJ$51,MATCH($A363,campaigns!$A$2:$A$51,0))="","",INDEX(campaigns!$AJ$2:$AJ$51,MATCH($A363,campaigns!$A$2:$A$51,0))),""),"CARDCODE",$F363)&amp;"&amp;utm_source=office-pantry&amp;utm_medium="&amp;$C363&amp;"&amp;utm_campaign="&amp;LOWER($A363)&amp;"&amp;utm_content="&amp;LOWER($B363)))</f>
        <v/>
      </c>
      <c r="H363" s="25">
        <f>IF(OR($A363="",$C363&lt;&gt;"qr"),"",$D363&amp;".png")</f>
        <v/>
      </c>
      <c r="I363" s="25">
        <f>IF($A363="","",IF(AND(IFERROR(IF(INDEX(campaigns!$AJ$2:$AJ$51,MATCH($A363,campaigns!$A$2:$A$51,0))="","",INDEX(campaigns!$AJ$2:$AJ$51,MATCH($A363,campaigns!$A$2:$A$51,0))),"")="",IFERROR(IF(INDEX(campaigns!$BG$2:$BG$51,MATCH($A363,campaigns!$A$2:$A$51,0))="","",INDEX(campaigns!$BG$2:$BG$51,MATCH($A363,campaigns!$A$2:$A$51,0))),"")&lt;&gt;"",IF(config!$B$37&lt;&gt;"",config!$B$37,TODAY())&gt;=WORKDAY(N(IFERROR(IF(INDEX(campaigns!$BG$2:$BG$51,MATCH($A363,campaigns!$A$2:$A$51,0))="","",INDEX(campaigns!$BG$2:$BG$51,MATCH($A363,campaigns!$A$2:$A$51,0))),"")),-4,calendar!$A$2:$A$80)),"no prefill template yet (due T-4); ","")&amp;IF(COUNTIF(links!$D$2:$D$501,$D363)&gt;1,"DUPLICATE slug; ",""))</f>
        <v/>
      </c>
    </row>
    <row r="364">
      <c r="A364" s="25">
        <f>IF(INDEX(approvals!$A$2:$A$251,INT((ROW()-2)/2)+1)="","",INDEX(approvals!$A$2:$A$251,INT((ROW()-2)/2)+1))</f>
        <v/>
      </c>
      <c r="B364" s="25">
        <f>IF(INDEX(approvals!$A$2:$A$251,INT((ROW()-2)/2)+1)="","",INDEX(approvals!$B$2:$B$251,INT((ROW()-2)/2)+1))</f>
        <v/>
      </c>
      <c r="C364" s="25">
        <f>IF($A364="","",IF(MOD(ROW()-2,2)=0,"qr","post"))</f>
        <v/>
      </c>
      <c r="D364" s="25">
        <f>IF($A364="","",IF(LEFT($A364,7)="SAMPLE-","SAMPLE-","")&amp;LOWER(SUBSTITUTE(SUBSTITUTE($A364,"SAMPLE-",""),"CMP-","c"))&amp;"-"&amp;LOWER(SUBSTITUTE(SUBSTITUTE($B364,"SAMPLE-",""),"O-","o"))&amp;"-"&amp;IF($C364="qr","q","p"))</f>
        <v/>
      </c>
      <c r="E364" s="25">
        <f>IF($A364="","","https://"&amp;config!$B$9&amp;"/"&amp;$D364)</f>
        <v/>
      </c>
      <c r="F364" s="25">
        <f>IF($A364="","",$A364&amp;"."&amp;$B364)</f>
        <v/>
      </c>
      <c r="G364" s="25">
        <f>IF($A364="","",IF(IFERROR(IF(INDEX(campaigns!$AJ$2:$AJ$51,MATCH($A364,campaigns!$A$2:$A$51,0))="","",INDEX(campaigns!$AJ$2:$AJ$51,MATCH($A364,campaigns!$A$2:$A$51,0))),"")="","(add the survey prefill template on campaigns)",SUBSTITUTE(IFERROR(IF(INDEX(campaigns!$AJ$2:$AJ$51,MATCH($A364,campaigns!$A$2:$A$51,0))="","",INDEX(campaigns!$AJ$2:$AJ$51,MATCH($A364,campaigns!$A$2:$A$51,0))),""),"CARDCODE",$F364)&amp;"&amp;utm_source=office-pantry&amp;utm_medium="&amp;$C364&amp;"&amp;utm_campaign="&amp;LOWER($A364)&amp;"&amp;utm_content="&amp;LOWER($B364)))</f>
        <v/>
      </c>
      <c r="H364" s="25">
        <f>IF(OR($A364="",$C364&lt;&gt;"qr"),"",$D364&amp;".png")</f>
        <v/>
      </c>
      <c r="I364" s="25">
        <f>IF($A364="","",IF(AND(IFERROR(IF(INDEX(campaigns!$AJ$2:$AJ$51,MATCH($A364,campaigns!$A$2:$A$51,0))="","",INDEX(campaigns!$AJ$2:$AJ$51,MATCH($A364,campaigns!$A$2:$A$51,0))),"")="",IFERROR(IF(INDEX(campaigns!$BG$2:$BG$51,MATCH($A364,campaigns!$A$2:$A$51,0))="","",INDEX(campaigns!$BG$2:$BG$51,MATCH($A364,campaigns!$A$2:$A$51,0))),"")&lt;&gt;"",IF(config!$B$37&lt;&gt;"",config!$B$37,TODAY())&gt;=WORKDAY(N(IFERROR(IF(INDEX(campaigns!$BG$2:$BG$51,MATCH($A364,campaigns!$A$2:$A$51,0))="","",INDEX(campaigns!$BG$2:$BG$51,MATCH($A364,campaigns!$A$2:$A$51,0))),"")),-4,calendar!$A$2:$A$80)),"no prefill template yet (due T-4); ","")&amp;IF(COUNTIF(links!$D$2:$D$501,$D364)&gt;1,"DUPLICATE slug; ",""))</f>
        <v/>
      </c>
    </row>
    <row r="365">
      <c r="A365" s="25">
        <f>IF(INDEX(approvals!$A$2:$A$251,INT((ROW()-2)/2)+1)="","",INDEX(approvals!$A$2:$A$251,INT((ROW()-2)/2)+1))</f>
        <v/>
      </c>
      <c r="B365" s="25">
        <f>IF(INDEX(approvals!$A$2:$A$251,INT((ROW()-2)/2)+1)="","",INDEX(approvals!$B$2:$B$251,INT((ROW()-2)/2)+1))</f>
        <v/>
      </c>
      <c r="C365" s="25">
        <f>IF($A365="","",IF(MOD(ROW()-2,2)=0,"qr","post"))</f>
        <v/>
      </c>
      <c r="D365" s="25">
        <f>IF($A365="","",IF(LEFT($A365,7)="SAMPLE-","SAMPLE-","")&amp;LOWER(SUBSTITUTE(SUBSTITUTE($A365,"SAMPLE-",""),"CMP-","c"))&amp;"-"&amp;LOWER(SUBSTITUTE(SUBSTITUTE($B365,"SAMPLE-",""),"O-","o"))&amp;"-"&amp;IF($C365="qr","q","p"))</f>
        <v/>
      </c>
      <c r="E365" s="25">
        <f>IF($A365="","","https://"&amp;config!$B$9&amp;"/"&amp;$D365)</f>
        <v/>
      </c>
      <c r="F365" s="25">
        <f>IF($A365="","",$A365&amp;"."&amp;$B365)</f>
        <v/>
      </c>
      <c r="G365" s="25">
        <f>IF($A365="","",IF(IFERROR(IF(INDEX(campaigns!$AJ$2:$AJ$51,MATCH($A365,campaigns!$A$2:$A$51,0))="","",INDEX(campaigns!$AJ$2:$AJ$51,MATCH($A365,campaigns!$A$2:$A$51,0))),"")="","(add the survey prefill template on campaigns)",SUBSTITUTE(IFERROR(IF(INDEX(campaigns!$AJ$2:$AJ$51,MATCH($A365,campaigns!$A$2:$A$51,0))="","",INDEX(campaigns!$AJ$2:$AJ$51,MATCH($A365,campaigns!$A$2:$A$51,0))),""),"CARDCODE",$F365)&amp;"&amp;utm_source=office-pantry&amp;utm_medium="&amp;$C365&amp;"&amp;utm_campaign="&amp;LOWER($A365)&amp;"&amp;utm_content="&amp;LOWER($B365)))</f>
        <v/>
      </c>
      <c r="H365" s="25">
        <f>IF(OR($A365="",$C365&lt;&gt;"qr"),"",$D365&amp;".png")</f>
        <v/>
      </c>
      <c r="I365" s="25">
        <f>IF($A365="","",IF(AND(IFERROR(IF(INDEX(campaigns!$AJ$2:$AJ$51,MATCH($A365,campaigns!$A$2:$A$51,0))="","",INDEX(campaigns!$AJ$2:$AJ$51,MATCH($A365,campaigns!$A$2:$A$51,0))),"")="",IFERROR(IF(INDEX(campaigns!$BG$2:$BG$51,MATCH($A365,campaigns!$A$2:$A$51,0))="","",INDEX(campaigns!$BG$2:$BG$51,MATCH($A365,campaigns!$A$2:$A$51,0))),"")&lt;&gt;"",IF(config!$B$37&lt;&gt;"",config!$B$37,TODAY())&gt;=WORKDAY(N(IFERROR(IF(INDEX(campaigns!$BG$2:$BG$51,MATCH($A365,campaigns!$A$2:$A$51,0))="","",INDEX(campaigns!$BG$2:$BG$51,MATCH($A365,campaigns!$A$2:$A$51,0))),"")),-4,calendar!$A$2:$A$80)),"no prefill template yet (due T-4); ","")&amp;IF(COUNTIF(links!$D$2:$D$501,$D365)&gt;1,"DUPLICATE slug; ",""))</f>
        <v/>
      </c>
    </row>
    <row r="366">
      <c r="A366" s="25">
        <f>IF(INDEX(approvals!$A$2:$A$251,INT((ROW()-2)/2)+1)="","",INDEX(approvals!$A$2:$A$251,INT((ROW()-2)/2)+1))</f>
        <v/>
      </c>
      <c r="B366" s="25">
        <f>IF(INDEX(approvals!$A$2:$A$251,INT((ROW()-2)/2)+1)="","",INDEX(approvals!$B$2:$B$251,INT((ROW()-2)/2)+1))</f>
        <v/>
      </c>
      <c r="C366" s="25">
        <f>IF($A366="","",IF(MOD(ROW()-2,2)=0,"qr","post"))</f>
        <v/>
      </c>
      <c r="D366" s="25">
        <f>IF($A366="","",IF(LEFT($A366,7)="SAMPLE-","SAMPLE-","")&amp;LOWER(SUBSTITUTE(SUBSTITUTE($A366,"SAMPLE-",""),"CMP-","c"))&amp;"-"&amp;LOWER(SUBSTITUTE(SUBSTITUTE($B366,"SAMPLE-",""),"O-","o"))&amp;"-"&amp;IF($C366="qr","q","p"))</f>
        <v/>
      </c>
      <c r="E366" s="25">
        <f>IF($A366="","","https://"&amp;config!$B$9&amp;"/"&amp;$D366)</f>
        <v/>
      </c>
      <c r="F366" s="25">
        <f>IF($A366="","",$A366&amp;"."&amp;$B366)</f>
        <v/>
      </c>
      <c r="G366" s="25">
        <f>IF($A366="","",IF(IFERROR(IF(INDEX(campaigns!$AJ$2:$AJ$51,MATCH($A366,campaigns!$A$2:$A$51,0))="","",INDEX(campaigns!$AJ$2:$AJ$51,MATCH($A366,campaigns!$A$2:$A$51,0))),"")="","(add the survey prefill template on campaigns)",SUBSTITUTE(IFERROR(IF(INDEX(campaigns!$AJ$2:$AJ$51,MATCH($A366,campaigns!$A$2:$A$51,0))="","",INDEX(campaigns!$AJ$2:$AJ$51,MATCH($A366,campaigns!$A$2:$A$51,0))),""),"CARDCODE",$F366)&amp;"&amp;utm_source=office-pantry&amp;utm_medium="&amp;$C366&amp;"&amp;utm_campaign="&amp;LOWER($A366)&amp;"&amp;utm_content="&amp;LOWER($B366)))</f>
        <v/>
      </c>
      <c r="H366" s="25">
        <f>IF(OR($A366="",$C366&lt;&gt;"qr"),"",$D366&amp;".png")</f>
        <v/>
      </c>
      <c r="I366" s="25">
        <f>IF($A366="","",IF(AND(IFERROR(IF(INDEX(campaigns!$AJ$2:$AJ$51,MATCH($A366,campaigns!$A$2:$A$51,0))="","",INDEX(campaigns!$AJ$2:$AJ$51,MATCH($A366,campaigns!$A$2:$A$51,0))),"")="",IFERROR(IF(INDEX(campaigns!$BG$2:$BG$51,MATCH($A366,campaigns!$A$2:$A$51,0))="","",INDEX(campaigns!$BG$2:$BG$51,MATCH($A366,campaigns!$A$2:$A$51,0))),"")&lt;&gt;"",IF(config!$B$37&lt;&gt;"",config!$B$37,TODAY())&gt;=WORKDAY(N(IFERROR(IF(INDEX(campaigns!$BG$2:$BG$51,MATCH($A366,campaigns!$A$2:$A$51,0))="","",INDEX(campaigns!$BG$2:$BG$51,MATCH($A366,campaigns!$A$2:$A$51,0))),"")),-4,calendar!$A$2:$A$80)),"no prefill template yet (due T-4); ","")&amp;IF(COUNTIF(links!$D$2:$D$501,$D366)&gt;1,"DUPLICATE slug; ",""))</f>
        <v/>
      </c>
    </row>
    <row r="367">
      <c r="A367" s="25">
        <f>IF(INDEX(approvals!$A$2:$A$251,INT((ROW()-2)/2)+1)="","",INDEX(approvals!$A$2:$A$251,INT((ROW()-2)/2)+1))</f>
        <v/>
      </c>
      <c r="B367" s="25">
        <f>IF(INDEX(approvals!$A$2:$A$251,INT((ROW()-2)/2)+1)="","",INDEX(approvals!$B$2:$B$251,INT((ROW()-2)/2)+1))</f>
        <v/>
      </c>
      <c r="C367" s="25">
        <f>IF($A367="","",IF(MOD(ROW()-2,2)=0,"qr","post"))</f>
        <v/>
      </c>
      <c r="D367" s="25">
        <f>IF($A367="","",IF(LEFT($A367,7)="SAMPLE-","SAMPLE-","")&amp;LOWER(SUBSTITUTE(SUBSTITUTE($A367,"SAMPLE-",""),"CMP-","c"))&amp;"-"&amp;LOWER(SUBSTITUTE(SUBSTITUTE($B367,"SAMPLE-",""),"O-","o"))&amp;"-"&amp;IF($C367="qr","q","p"))</f>
        <v/>
      </c>
      <c r="E367" s="25">
        <f>IF($A367="","","https://"&amp;config!$B$9&amp;"/"&amp;$D367)</f>
        <v/>
      </c>
      <c r="F367" s="25">
        <f>IF($A367="","",$A367&amp;"."&amp;$B367)</f>
        <v/>
      </c>
      <c r="G367" s="25">
        <f>IF($A367="","",IF(IFERROR(IF(INDEX(campaigns!$AJ$2:$AJ$51,MATCH($A367,campaigns!$A$2:$A$51,0))="","",INDEX(campaigns!$AJ$2:$AJ$51,MATCH($A367,campaigns!$A$2:$A$51,0))),"")="","(add the survey prefill template on campaigns)",SUBSTITUTE(IFERROR(IF(INDEX(campaigns!$AJ$2:$AJ$51,MATCH($A367,campaigns!$A$2:$A$51,0))="","",INDEX(campaigns!$AJ$2:$AJ$51,MATCH($A367,campaigns!$A$2:$A$51,0))),""),"CARDCODE",$F367)&amp;"&amp;utm_source=office-pantry&amp;utm_medium="&amp;$C367&amp;"&amp;utm_campaign="&amp;LOWER($A367)&amp;"&amp;utm_content="&amp;LOWER($B367)))</f>
        <v/>
      </c>
      <c r="H367" s="25">
        <f>IF(OR($A367="",$C367&lt;&gt;"qr"),"",$D367&amp;".png")</f>
        <v/>
      </c>
      <c r="I367" s="25">
        <f>IF($A367="","",IF(AND(IFERROR(IF(INDEX(campaigns!$AJ$2:$AJ$51,MATCH($A367,campaigns!$A$2:$A$51,0))="","",INDEX(campaigns!$AJ$2:$AJ$51,MATCH($A367,campaigns!$A$2:$A$51,0))),"")="",IFERROR(IF(INDEX(campaigns!$BG$2:$BG$51,MATCH($A367,campaigns!$A$2:$A$51,0))="","",INDEX(campaigns!$BG$2:$BG$51,MATCH($A367,campaigns!$A$2:$A$51,0))),"")&lt;&gt;"",IF(config!$B$37&lt;&gt;"",config!$B$37,TODAY())&gt;=WORKDAY(N(IFERROR(IF(INDEX(campaigns!$BG$2:$BG$51,MATCH($A367,campaigns!$A$2:$A$51,0))="","",INDEX(campaigns!$BG$2:$BG$51,MATCH($A367,campaigns!$A$2:$A$51,0))),"")),-4,calendar!$A$2:$A$80)),"no prefill template yet (due T-4); ","")&amp;IF(COUNTIF(links!$D$2:$D$501,$D367)&gt;1,"DUPLICATE slug; ",""))</f>
        <v/>
      </c>
    </row>
    <row r="368">
      <c r="A368" s="25">
        <f>IF(INDEX(approvals!$A$2:$A$251,INT((ROW()-2)/2)+1)="","",INDEX(approvals!$A$2:$A$251,INT((ROW()-2)/2)+1))</f>
        <v/>
      </c>
      <c r="B368" s="25">
        <f>IF(INDEX(approvals!$A$2:$A$251,INT((ROW()-2)/2)+1)="","",INDEX(approvals!$B$2:$B$251,INT((ROW()-2)/2)+1))</f>
        <v/>
      </c>
      <c r="C368" s="25">
        <f>IF($A368="","",IF(MOD(ROW()-2,2)=0,"qr","post"))</f>
        <v/>
      </c>
      <c r="D368" s="25">
        <f>IF($A368="","",IF(LEFT($A368,7)="SAMPLE-","SAMPLE-","")&amp;LOWER(SUBSTITUTE(SUBSTITUTE($A368,"SAMPLE-",""),"CMP-","c"))&amp;"-"&amp;LOWER(SUBSTITUTE(SUBSTITUTE($B368,"SAMPLE-",""),"O-","o"))&amp;"-"&amp;IF($C368="qr","q","p"))</f>
        <v/>
      </c>
      <c r="E368" s="25">
        <f>IF($A368="","","https://"&amp;config!$B$9&amp;"/"&amp;$D368)</f>
        <v/>
      </c>
      <c r="F368" s="25">
        <f>IF($A368="","",$A368&amp;"."&amp;$B368)</f>
        <v/>
      </c>
      <c r="G368" s="25">
        <f>IF($A368="","",IF(IFERROR(IF(INDEX(campaigns!$AJ$2:$AJ$51,MATCH($A368,campaigns!$A$2:$A$51,0))="","",INDEX(campaigns!$AJ$2:$AJ$51,MATCH($A368,campaigns!$A$2:$A$51,0))),"")="","(add the survey prefill template on campaigns)",SUBSTITUTE(IFERROR(IF(INDEX(campaigns!$AJ$2:$AJ$51,MATCH($A368,campaigns!$A$2:$A$51,0))="","",INDEX(campaigns!$AJ$2:$AJ$51,MATCH($A368,campaigns!$A$2:$A$51,0))),""),"CARDCODE",$F368)&amp;"&amp;utm_source=office-pantry&amp;utm_medium="&amp;$C368&amp;"&amp;utm_campaign="&amp;LOWER($A368)&amp;"&amp;utm_content="&amp;LOWER($B368)))</f>
        <v/>
      </c>
      <c r="H368" s="25">
        <f>IF(OR($A368="",$C368&lt;&gt;"qr"),"",$D368&amp;".png")</f>
        <v/>
      </c>
      <c r="I368" s="25">
        <f>IF($A368="","",IF(AND(IFERROR(IF(INDEX(campaigns!$AJ$2:$AJ$51,MATCH($A368,campaigns!$A$2:$A$51,0))="","",INDEX(campaigns!$AJ$2:$AJ$51,MATCH($A368,campaigns!$A$2:$A$51,0))),"")="",IFERROR(IF(INDEX(campaigns!$BG$2:$BG$51,MATCH($A368,campaigns!$A$2:$A$51,0))="","",INDEX(campaigns!$BG$2:$BG$51,MATCH($A368,campaigns!$A$2:$A$51,0))),"")&lt;&gt;"",IF(config!$B$37&lt;&gt;"",config!$B$37,TODAY())&gt;=WORKDAY(N(IFERROR(IF(INDEX(campaigns!$BG$2:$BG$51,MATCH($A368,campaigns!$A$2:$A$51,0))="","",INDEX(campaigns!$BG$2:$BG$51,MATCH($A368,campaigns!$A$2:$A$51,0))),"")),-4,calendar!$A$2:$A$80)),"no prefill template yet (due T-4); ","")&amp;IF(COUNTIF(links!$D$2:$D$501,$D368)&gt;1,"DUPLICATE slug; ",""))</f>
        <v/>
      </c>
    </row>
    <row r="369">
      <c r="A369" s="25">
        <f>IF(INDEX(approvals!$A$2:$A$251,INT((ROW()-2)/2)+1)="","",INDEX(approvals!$A$2:$A$251,INT((ROW()-2)/2)+1))</f>
        <v/>
      </c>
      <c r="B369" s="25">
        <f>IF(INDEX(approvals!$A$2:$A$251,INT((ROW()-2)/2)+1)="","",INDEX(approvals!$B$2:$B$251,INT((ROW()-2)/2)+1))</f>
        <v/>
      </c>
      <c r="C369" s="25">
        <f>IF($A369="","",IF(MOD(ROW()-2,2)=0,"qr","post"))</f>
        <v/>
      </c>
      <c r="D369" s="25">
        <f>IF($A369="","",IF(LEFT($A369,7)="SAMPLE-","SAMPLE-","")&amp;LOWER(SUBSTITUTE(SUBSTITUTE($A369,"SAMPLE-",""),"CMP-","c"))&amp;"-"&amp;LOWER(SUBSTITUTE(SUBSTITUTE($B369,"SAMPLE-",""),"O-","o"))&amp;"-"&amp;IF($C369="qr","q","p"))</f>
        <v/>
      </c>
      <c r="E369" s="25">
        <f>IF($A369="","","https://"&amp;config!$B$9&amp;"/"&amp;$D369)</f>
        <v/>
      </c>
      <c r="F369" s="25">
        <f>IF($A369="","",$A369&amp;"."&amp;$B369)</f>
        <v/>
      </c>
      <c r="G369" s="25">
        <f>IF($A369="","",IF(IFERROR(IF(INDEX(campaigns!$AJ$2:$AJ$51,MATCH($A369,campaigns!$A$2:$A$51,0))="","",INDEX(campaigns!$AJ$2:$AJ$51,MATCH($A369,campaigns!$A$2:$A$51,0))),"")="","(add the survey prefill template on campaigns)",SUBSTITUTE(IFERROR(IF(INDEX(campaigns!$AJ$2:$AJ$51,MATCH($A369,campaigns!$A$2:$A$51,0))="","",INDEX(campaigns!$AJ$2:$AJ$51,MATCH($A369,campaigns!$A$2:$A$51,0))),""),"CARDCODE",$F369)&amp;"&amp;utm_source=office-pantry&amp;utm_medium="&amp;$C369&amp;"&amp;utm_campaign="&amp;LOWER($A369)&amp;"&amp;utm_content="&amp;LOWER($B369)))</f>
        <v/>
      </c>
      <c r="H369" s="25">
        <f>IF(OR($A369="",$C369&lt;&gt;"qr"),"",$D369&amp;".png")</f>
        <v/>
      </c>
      <c r="I369" s="25">
        <f>IF($A369="","",IF(AND(IFERROR(IF(INDEX(campaigns!$AJ$2:$AJ$51,MATCH($A369,campaigns!$A$2:$A$51,0))="","",INDEX(campaigns!$AJ$2:$AJ$51,MATCH($A369,campaigns!$A$2:$A$51,0))),"")="",IFERROR(IF(INDEX(campaigns!$BG$2:$BG$51,MATCH($A369,campaigns!$A$2:$A$51,0))="","",INDEX(campaigns!$BG$2:$BG$51,MATCH($A369,campaigns!$A$2:$A$51,0))),"")&lt;&gt;"",IF(config!$B$37&lt;&gt;"",config!$B$37,TODAY())&gt;=WORKDAY(N(IFERROR(IF(INDEX(campaigns!$BG$2:$BG$51,MATCH($A369,campaigns!$A$2:$A$51,0))="","",INDEX(campaigns!$BG$2:$BG$51,MATCH($A369,campaigns!$A$2:$A$51,0))),"")),-4,calendar!$A$2:$A$80)),"no prefill template yet (due T-4); ","")&amp;IF(COUNTIF(links!$D$2:$D$501,$D369)&gt;1,"DUPLICATE slug; ",""))</f>
        <v/>
      </c>
    </row>
    <row r="370">
      <c r="A370" s="25">
        <f>IF(INDEX(approvals!$A$2:$A$251,INT((ROW()-2)/2)+1)="","",INDEX(approvals!$A$2:$A$251,INT((ROW()-2)/2)+1))</f>
        <v/>
      </c>
      <c r="B370" s="25">
        <f>IF(INDEX(approvals!$A$2:$A$251,INT((ROW()-2)/2)+1)="","",INDEX(approvals!$B$2:$B$251,INT((ROW()-2)/2)+1))</f>
        <v/>
      </c>
      <c r="C370" s="25">
        <f>IF($A370="","",IF(MOD(ROW()-2,2)=0,"qr","post"))</f>
        <v/>
      </c>
      <c r="D370" s="25">
        <f>IF($A370="","",IF(LEFT($A370,7)="SAMPLE-","SAMPLE-","")&amp;LOWER(SUBSTITUTE(SUBSTITUTE($A370,"SAMPLE-",""),"CMP-","c"))&amp;"-"&amp;LOWER(SUBSTITUTE(SUBSTITUTE($B370,"SAMPLE-",""),"O-","o"))&amp;"-"&amp;IF($C370="qr","q","p"))</f>
        <v/>
      </c>
      <c r="E370" s="25">
        <f>IF($A370="","","https://"&amp;config!$B$9&amp;"/"&amp;$D370)</f>
        <v/>
      </c>
      <c r="F370" s="25">
        <f>IF($A370="","",$A370&amp;"."&amp;$B370)</f>
        <v/>
      </c>
      <c r="G370" s="25">
        <f>IF($A370="","",IF(IFERROR(IF(INDEX(campaigns!$AJ$2:$AJ$51,MATCH($A370,campaigns!$A$2:$A$51,0))="","",INDEX(campaigns!$AJ$2:$AJ$51,MATCH($A370,campaigns!$A$2:$A$51,0))),"")="","(add the survey prefill template on campaigns)",SUBSTITUTE(IFERROR(IF(INDEX(campaigns!$AJ$2:$AJ$51,MATCH($A370,campaigns!$A$2:$A$51,0))="","",INDEX(campaigns!$AJ$2:$AJ$51,MATCH($A370,campaigns!$A$2:$A$51,0))),""),"CARDCODE",$F370)&amp;"&amp;utm_source=office-pantry&amp;utm_medium="&amp;$C370&amp;"&amp;utm_campaign="&amp;LOWER($A370)&amp;"&amp;utm_content="&amp;LOWER($B370)))</f>
        <v/>
      </c>
      <c r="H370" s="25">
        <f>IF(OR($A370="",$C370&lt;&gt;"qr"),"",$D370&amp;".png")</f>
        <v/>
      </c>
      <c r="I370" s="25">
        <f>IF($A370="","",IF(AND(IFERROR(IF(INDEX(campaigns!$AJ$2:$AJ$51,MATCH($A370,campaigns!$A$2:$A$51,0))="","",INDEX(campaigns!$AJ$2:$AJ$51,MATCH($A370,campaigns!$A$2:$A$51,0))),"")="",IFERROR(IF(INDEX(campaigns!$BG$2:$BG$51,MATCH($A370,campaigns!$A$2:$A$51,0))="","",INDEX(campaigns!$BG$2:$BG$51,MATCH($A370,campaigns!$A$2:$A$51,0))),"")&lt;&gt;"",IF(config!$B$37&lt;&gt;"",config!$B$37,TODAY())&gt;=WORKDAY(N(IFERROR(IF(INDEX(campaigns!$BG$2:$BG$51,MATCH($A370,campaigns!$A$2:$A$51,0))="","",INDEX(campaigns!$BG$2:$BG$51,MATCH($A370,campaigns!$A$2:$A$51,0))),"")),-4,calendar!$A$2:$A$80)),"no prefill template yet (due T-4); ","")&amp;IF(COUNTIF(links!$D$2:$D$501,$D370)&gt;1,"DUPLICATE slug; ",""))</f>
        <v/>
      </c>
    </row>
    <row r="371">
      <c r="A371" s="25">
        <f>IF(INDEX(approvals!$A$2:$A$251,INT((ROW()-2)/2)+1)="","",INDEX(approvals!$A$2:$A$251,INT((ROW()-2)/2)+1))</f>
        <v/>
      </c>
      <c r="B371" s="25">
        <f>IF(INDEX(approvals!$A$2:$A$251,INT((ROW()-2)/2)+1)="","",INDEX(approvals!$B$2:$B$251,INT((ROW()-2)/2)+1))</f>
        <v/>
      </c>
      <c r="C371" s="25">
        <f>IF($A371="","",IF(MOD(ROW()-2,2)=0,"qr","post"))</f>
        <v/>
      </c>
      <c r="D371" s="25">
        <f>IF($A371="","",IF(LEFT($A371,7)="SAMPLE-","SAMPLE-","")&amp;LOWER(SUBSTITUTE(SUBSTITUTE($A371,"SAMPLE-",""),"CMP-","c"))&amp;"-"&amp;LOWER(SUBSTITUTE(SUBSTITUTE($B371,"SAMPLE-",""),"O-","o"))&amp;"-"&amp;IF($C371="qr","q","p"))</f>
        <v/>
      </c>
      <c r="E371" s="25">
        <f>IF($A371="","","https://"&amp;config!$B$9&amp;"/"&amp;$D371)</f>
        <v/>
      </c>
      <c r="F371" s="25">
        <f>IF($A371="","",$A371&amp;"."&amp;$B371)</f>
        <v/>
      </c>
      <c r="G371" s="25">
        <f>IF($A371="","",IF(IFERROR(IF(INDEX(campaigns!$AJ$2:$AJ$51,MATCH($A371,campaigns!$A$2:$A$51,0))="","",INDEX(campaigns!$AJ$2:$AJ$51,MATCH($A371,campaigns!$A$2:$A$51,0))),"")="","(add the survey prefill template on campaigns)",SUBSTITUTE(IFERROR(IF(INDEX(campaigns!$AJ$2:$AJ$51,MATCH($A371,campaigns!$A$2:$A$51,0))="","",INDEX(campaigns!$AJ$2:$AJ$51,MATCH($A371,campaigns!$A$2:$A$51,0))),""),"CARDCODE",$F371)&amp;"&amp;utm_source=office-pantry&amp;utm_medium="&amp;$C371&amp;"&amp;utm_campaign="&amp;LOWER($A371)&amp;"&amp;utm_content="&amp;LOWER($B371)))</f>
        <v/>
      </c>
      <c r="H371" s="25">
        <f>IF(OR($A371="",$C371&lt;&gt;"qr"),"",$D371&amp;".png")</f>
        <v/>
      </c>
      <c r="I371" s="25">
        <f>IF($A371="","",IF(AND(IFERROR(IF(INDEX(campaigns!$AJ$2:$AJ$51,MATCH($A371,campaigns!$A$2:$A$51,0))="","",INDEX(campaigns!$AJ$2:$AJ$51,MATCH($A371,campaigns!$A$2:$A$51,0))),"")="",IFERROR(IF(INDEX(campaigns!$BG$2:$BG$51,MATCH($A371,campaigns!$A$2:$A$51,0))="","",INDEX(campaigns!$BG$2:$BG$51,MATCH($A371,campaigns!$A$2:$A$51,0))),"")&lt;&gt;"",IF(config!$B$37&lt;&gt;"",config!$B$37,TODAY())&gt;=WORKDAY(N(IFERROR(IF(INDEX(campaigns!$BG$2:$BG$51,MATCH($A371,campaigns!$A$2:$A$51,0))="","",INDEX(campaigns!$BG$2:$BG$51,MATCH($A371,campaigns!$A$2:$A$51,0))),"")),-4,calendar!$A$2:$A$80)),"no prefill template yet (due T-4); ","")&amp;IF(COUNTIF(links!$D$2:$D$501,$D371)&gt;1,"DUPLICATE slug; ",""))</f>
        <v/>
      </c>
    </row>
    <row r="372">
      <c r="A372" s="25">
        <f>IF(INDEX(approvals!$A$2:$A$251,INT((ROW()-2)/2)+1)="","",INDEX(approvals!$A$2:$A$251,INT((ROW()-2)/2)+1))</f>
        <v/>
      </c>
      <c r="B372" s="25">
        <f>IF(INDEX(approvals!$A$2:$A$251,INT((ROW()-2)/2)+1)="","",INDEX(approvals!$B$2:$B$251,INT((ROW()-2)/2)+1))</f>
        <v/>
      </c>
      <c r="C372" s="25">
        <f>IF($A372="","",IF(MOD(ROW()-2,2)=0,"qr","post"))</f>
        <v/>
      </c>
      <c r="D372" s="25">
        <f>IF($A372="","",IF(LEFT($A372,7)="SAMPLE-","SAMPLE-","")&amp;LOWER(SUBSTITUTE(SUBSTITUTE($A372,"SAMPLE-",""),"CMP-","c"))&amp;"-"&amp;LOWER(SUBSTITUTE(SUBSTITUTE($B372,"SAMPLE-",""),"O-","o"))&amp;"-"&amp;IF($C372="qr","q","p"))</f>
        <v/>
      </c>
      <c r="E372" s="25">
        <f>IF($A372="","","https://"&amp;config!$B$9&amp;"/"&amp;$D372)</f>
        <v/>
      </c>
      <c r="F372" s="25">
        <f>IF($A372="","",$A372&amp;"."&amp;$B372)</f>
        <v/>
      </c>
      <c r="G372" s="25">
        <f>IF($A372="","",IF(IFERROR(IF(INDEX(campaigns!$AJ$2:$AJ$51,MATCH($A372,campaigns!$A$2:$A$51,0))="","",INDEX(campaigns!$AJ$2:$AJ$51,MATCH($A372,campaigns!$A$2:$A$51,0))),"")="","(add the survey prefill template on campaigns)",SUBSTITUTE(IFERROR(IF(INDEX(campaigns!$AJ$2:$AJ$51,MATCH($A372,campaigns!$A$2:$A$51,0))="","",INDEX(campaigns!$AJ$2:$AJ$51,MATCH($A372,campaigns!$A$2:$A$51,0))),""),"CARDCODE",$F372)&amp;"&amp;utm_source=office-pantry&amp;utm_medium="&amp;$C372&amp;"&amp;utm_campaign="&amp;LOWER($A372)&amp;"&amp;utm_content="&amp;LOWER($B372)))</f>
        <v/>
      </c>
      <c r="H372" s="25">
        <f>IF(OR($A372="",$C372&lt;&gt;"qr"),"",$D372&amp;".png")</f>
        <v/>
      </c>
      <c r="I372" s="25">
        <f>IF($A372="","",IF(AND(IFERROR(IF(INDEX(campaigns!$AJ$2:$AJ$51,MATCH($A372,campaigns!$A$2:$A$51,0))="","",INDEX(campaigns!$AJ$2:$AJ$51,MATCH($A372,campaigns!$A$2:$A$51,0))),"")="",IFERROR(IF(INDEX(campaigns!$BG$2:$BG$51,MATCH($A372,campaigns!$A$2:$A$51,0))="","",INDEX(campaigns!$BG$2:$BG$51,MATCH($A372,campaigns!$A$2:$A$51,0))),"")&lt;&gt;"",IF(config!$B$37&lt;&gt;"",config!$B$37,TODAY())&gt;=WORKDAY(N(IFERROR(IF(INDEX(campaigns!$BG$2:$BG$51,MATCH($A372,campaigns!$A$2:$A$51,0))="","",INDEX(campaigns!$BG$2:$BG$51,MATCH($A372,campaigns!$A$2:$A$51,0))),"")),-4,calendar!$A$2:$A$80)),"no prefill template yet (due T-4); ","")&amp;IF(COUNTIF(links!$D$2:$D$501,$D372)&gt;1,"DUPLICATE slug; ",""))</f>
        <v/>
      </c>
    </row>
    <row r="373">
      <c r="A373" s="25">
        <f>IF(INDEX(approvals!$A$2:$A$251,INT((ROW()-2)/2)+1)="","",INDEX(approvals!$A$2:$A$251,INT((ROW()-2)/2)+1))</f>
        <v/>
      </c>
      <c r="B373" s="25">
        <f>IF(INDEX(approvals!$A$2:$A$251,INT((ROW()-2)/2)+1)="","",INDEX(approvals!$B$2:$B$251,INT((ROW()-2)/2)+1))</f>
        <v/>
      </c>
      <c r="C373" s="25">
        <f>IF($A373="","",IF(MOD(ROW()-2,2)=0,"qr","post"))</f>
        <v/>
      </c>
      <c r="D373" s="25">
        <f>IF($A373="","",IF(LEFT($A373,7)="SAMPLE-","SAMPLE-","")&amp;LOWER(SUBSTITUTE(SUBSTITUTE($A373,"SAMPLE-",""),"CMP-","c"))&amp;"-"&amp;LOWER(SUBSTITUTE(SUBSTITUTE($B373,"SAMPLE-",""),"O-","o"))&amp;"-"&amp;IF($C373="qr","q","p"))</f>
        <v/>
      </c>
      <c r="E373" s="25">
        <f>IF($A373="","","https://"&amp;config!$B$9&amp;"/"&amp;$D373)</f>
        <v/>
      </c>
      <c r="F373" s="25">
        <f>IF($A373="","",$A373&amp;"."&amp;$B373)</f>
        <v/>
      </c>
      <c r="G373" s="25">
        <f>IF($A373="","",IF(IFERROR(IF(INDEX(campaigns!$AJ$2:$AJ$51,MATCH($A373,campaigns!$A$2:$A$51,0))="","",INDEX(campaigns!$AJ$2:$AJ$51,MATCH($A373,campaigns!$A$2:$A$51,0))),"")="","(add the survey prefill template on campaigns)",SUBSTITUTE(IFERROR(IF(INDEX(campaigns!$AJ$2:$AJ$51,MATCH($A373,campaigns!$A$2:$A$51,0))="","",INDEX(campaigns!$AJ$2:$AJ$51,MATCH($A373,campaigns!$A$2:$A$51,0))),""),"CARDCODE",$F373)&amp;"&amp;utm_source=office-pantry&amp;utm_medium="&amp;$C373&amp;"&amp;utm_campaign="&amp;LOWER($A373)&amp;"&amp;utm_content="&amp;LOWER($B373)))</f>
        <v/>
      </c>
      <c r="H373" s="25">
        <f>IF(OR($A373="",$C373&lt;&gt;"qr"),"",$D373&amp;".png")</f>
        <v/>
      </c>
      <c r="I373" s="25">
        <f>IF($A373="","",IF(AND(IFERROR(IF(INDEX(campaigns!$AJ$2:$AJ$51,MATCH($A373,campaigns!$A$2:$A$51,0))="","",INDEX(campaigns!$AJ$2:$AJ$51,MATCH($A373,campaigns!$A$2:$A$51,0))),"")="",IFERROR(IF(INDEX(campaigns!$BG$2:$BG$51,MATCH($A373,campaigns!$A$2:$A$51,0))="","",INDEX(campaigns!$BG$2:$BG$51,MATCH($A373,campaigns!$A$2:$A$51,0))),"")&lt;&gt;"",IF(config!$B$37&lt;&gt;"",config!$B$37,TODAY())&gt;=WORKDAY(N(IFERROR(IF(INDEX(campaigns!$BG$2:$BG$51,MATCH($A373,campaigns!$A$2:$A$51,0))="","",INDEX(campaigns!$BG$2:$BG$51,MATCH($A373,campaigns!$A$2:$A$51,0))),"")),-4,calendar!$A$2:$A$80)),"no prefill template yet (due T-4); ","")&amp;IF(COUNTIF(links!$D$2:$D$501,$D373)&gt;1,"DUPLICATE slug; ",""))</f>
        <v/>
      </c>
    </row>
    <row r="374">
      <c r="A374" s="25">
        <f>IF(INDEX(approvals!$A$2:$A$251,INT((ROW()-2)/2)+1)="","",INDEX(approvals!$A$2:$A$251,INT((ROW()-2)/2)+1))</f>
        <v/>
      </c>
      <c r="B374" s="25">
        <f>IF(INDEX(approvals!$A$2:$A$251,INT((ROW()-2)/2)+1)="","",INDEX(approvals!$B$2:$B$251,INT((ROW()-2)/2)+1))</f>
        <v/>
      </c>
      <c r="C374" s="25">
        <f>IF($A374="","",IF(MOD(ROW()-2,2)=0,"qr","post"))</f>
        <v/>
      </c>
      <c r="D374" s="25">
        <f>IF($A374="","",IF(LEFT($A374,7)="SAMPLE-","SAMPLE-","")&amp;LOWER(SUBSTITUTE(SUBSTITUTE($A374,"SAMPLE-",""),"CMP-","c"))&amp;"-"&amp;LOWER(SUBSTITUTE(SUBSTITUTE($B374,"SAMPLE-",""),"O-","o"))&amp;"-"&amp;IF($C374="qr","q","p"))</f>
        <v/>
      </c>
      <c r="E374" s="25">
        <f>IF($A374="","","https://"&amp;config!$B$9&amp;"/"&amp;$D374)</f>
        <v/>
      </c>
      <c r="F374" s="25">
        <f>IF($A374="","",$A374&amp;"."&amp;$B374)</f>
        <v/>
      </c>
      <c r="G374" s="25">
        <f>IF($A374="","",IF(IFERROR(IF(INDEX(campaigns!$AJ$2:$AJ$51,MATCH($A374,campaigns!$A$2:$A$51,0))="","",INDEX(campaigns!$AJ$2:$AJ$51,MATCH($A374,campaigns!$A$2:$A$51,0))),"")="","(add the survey prefill template on campaigns)",SUBSTITUTE(IFERROR(IF(INDEX(campaigns!$AJ$2:$AJ$51,MATCH($A374,campaigns!$A$2:$A$51,0))="","",INDEX(campaigns!$AJ$2:$AJ$51,MATCH($A374,campaigns!$A$2:$A$51,0))),""),"CARDCODE",$F374)&amp;"&amp;utm_source=office-pantry&amp;utm_medium="&amp;$C374&amp;"&amp;utm_campaign="&amp;LOWER($A374)&amp;"&amp;utm_content="&amp;LOWER($B374)))</f>
        <v/>
      </c>
      <c r="H374" s="25">
        <f>IF(OR($A374="",$C374&lt;&gt;"qr"),"",$D374&amp;".png")</f>
        <v/>
      </c>
      <c r="I374" s="25">
        <f>IF($A374="","",IF(AND(IFERROR(IF(INDEX(campaigns!$AJ$2:$AJ$51,MATCH($A374,campaigns!$A$2:$A$51,0))="","",INDEX(campaigns!$AJ$2:$AJ$51,MATCH($A374,campaigns!$A$2:$A$51,0))),"")="",IFERROR(IF(INDEX(campaigns!$BG$2:$BG$51,MATCH($A374,campaigns!$A$2:$A$51,0))="","",INDEX(campaigns!$BG$2:$BG$51,MATCH($A374,campaigns!$A$2:$A$51,0))),"")&lt;&gt;"",IF(config!$B$37&lt;&gt;"",config!$B$37,TODAY())&gt;=WORKDAY(N(IFERROR(IF(INDEX(campaigns!$BG$2:$BG$51,MATCH($A374,campaigns!$A$2:$A$51,0))="","",INDEX(campaigns!$BG$2:$BG$51,MATCH($A374,campaigns!$A$2:$A$51,0))),"")),-4,calendar!$A$2:$A$80)),"no prefill template yet (due T-4); ","")&amp;IF(COUNTIF(links!$D$2:$D$501,$D374)&gt;1,"DUPLICATE slug; ",""))</f>
        <v/>
      </c>
    </row>
    <row r="375">
      <c r="A375" s="25">
        <f>IF(INDEX(approvals!$A$2:$A$251,INT((ROW()-2)/2)+1)="","",INDEX(approvals!$A$2:$A$251,INT((ROW()-2)/2)+1))</f>
        <v/>
      </c>
      <c r="B375" s="25">
        <f>IF(INDEX(approvals!$A$2:$A$251,INT((ROW()-2)/2)+1)="","",INDEX(approvals!$B$2:$B$251,INT((ROW()-2)/2)+1))</f>
        <v/>
      </c>
      <c r="C375" s="25">
        <f>IF($A375="","",IF(MOD(ROW()-2,2)=0,"qr","post"))</f>
        <v/>
      </c>
      <c r="D375" s="25">
        <f>IF($A375="","",IF(LEFT($A375,7)="SAMPLE-","SAMPLE-","")&amp;LOWER(SUBSTITUTE(SUBSTITUTE($A375,"SAMPLE-",""),"CMP-","c"))&amp;"-"&amp;LOWER(SUBSTITUTE(SUBSTITUTE($B375,"SAMPLE-",""),"O-","o"))&amp;"-"&amp;IF($C375="qr","q","p"))</f>
        <v/>
      </c>
      <c r="E375" s="25">
        <f>IF($A375="","","https://"&amp;config!$B$9&amp;"/"&amp;$D375)</f>
        <v/>
      </c>
      <c r="F375" s="25">
        <f>IF($A375="","",$A375&amp;"."&amp;$B375)</f>
        <v/>
      </c>
      <c r="G375" s="25">
        <f>IF($A375="","",IF(IFERROR(IF(INDEX(campaigns!$AJ$2:$AJ$51,MATCH($A375,campaigns!$A$2:$A$51,0))="","",INDEX(campaigns!$AJ$2:$AJ$51,MATCH($A375,campaigns!$A$2:$A$51,0))),"")="","(add the survey prefill template on campaigns)",SUBSTITUTE(IFERROR(IF(INDEX(campaigns!$AJ$2:$AJ$51,MATCH($A375,campaigns!$A$2:$A$51,0))="","",INDEX(campaigns!$AJ$2:$AJ$51,MATCH($A375,campaigns!$A$2:$A$51,0))),""),"CARDCODE",$F375)&amp;"&amp;utm_source=office-pantry&amp;utm_medium="&amp;$C375&amp;"&amp;utm_campaign="&amp;LOWER($A375)&amp;"&amp;utm_content="&amp;LOWER($B375)))</f>
        <v/>
      </c>
      <c r="H375" s="25">
        <f>IF(OR($A375="",$C375&lt;&gt;"qr"),"",$D375&amp;".png")</f>
        <v/>
      </c>
      <c r="I375" s="25">
        <f>IF($A375="","",IF(AND(IFERROR(IF(INDEX(campaigns!$AJ$2:$AJ$51,MATCH($A375,campaigns!$A$2:$A$51,0))="","",INDEX(campaigns!$AJ$2:$AJ$51,MATCH($A375,campaigns!$A$2:$A$51,0))),"")="",IFERROR(IF(INDEX(campaigns!$BG$2:$BG$51,MATCH($A375,campaigns!$A$2:$A$51,0))="","",INDEX(campaigns!$BG$2:$BG$51,MATCH($A375,campaigns!$A$2:$A$51,0))),"")&lt;&gt;"",IF(config!$B$37&lt;&gt;"",config!$B$37,TODAY())&gt;=WORKDAY(N(IFERROR(IF(INDEX(campaigns!$BG$2:$BG$51,MATCH($A375,campaigns!$A$2:$A$51,0))="","",INDEX(campaigns!$BG$2:$BG$51,MATCH($A375,campaigns!$A$2:$A$51,0))),"")),-4,calendar!$A$2:$A$80)),"no prefill template yet (due T-4); ","")&amp;IF(COUNTIF(links!$D$2:$D$501,$D375)&gt;1,"DUPLICATE slug; ",""))</f>
        <v/>
      </c>
    </row>
    <row r="376">
      <c r="A376" s="25">
        <f>IF(INDEX(approvals!$A$2:$A$251,INT((ROW()-2)/2)+1)="","",INDEX(approvals!$A$2:$A$251,INT((ROW()-2)/2)+1))</f>
        <v/>
      </c>
      <c r="B376" s="25">
        <f>IF(INDEX(approvals!$A$2:$A$251,INT((ROW()-2)/2)+1)="","",INDEX(approvals!$B$2:$B$251,INT((ROW()-2)/2)+1))</f>
        <v/>
      </c>
      <c r="C376" s="25">
        <f>IF($A376="","",IF(MOD(ROW()-2,2)=0,"qr","post"))</f>
        <v/>
      </c>
      <c r="D376" s="25">
        <f>IF($A376="","",IF(LEFT($A376,7)="SAMPLE-","SAMPLE-","")&amp;LOWER(SUBSTITUTE(SUBSTITUTE($A376,"SAMPLE-",""),"CMP-","c"))&amp;"-"&amp;LOWER(SUBSTITUTE(SUBSTITUTE($B376,"SAMPLE-",""),"O-","o"))&amp;"-"&amp;IF($C376="qr","q","p"))</f>
        <v/>
      </c>
      <c r="E376" s="25">
        <f>IF($A376="","","https://"&amp;config!$B$9&amp;"/"&amp;$D376)</f>
        <v/>
      </c>
      <c r="F376" s="25">
        <f>IF($A376="","",$A376&amp;"."&amp;$B376)</f>
        <v/>
      </c>
      <c r="G376" s="25">
        <f>IF($A376="","",IF(IFERROR(IF(INDEX(campaigns!$AJ$2:$AJ$51,MATCH($A376,campaigns!$A$2:$A$51,0))="","",INDEX(campaigns!$AJ$2:$AJ$51,MATCH($A376,campaigns!$A$2:$A$51,0))),"")="","(add the survey prefill template on campaigns)",SUBSTITUTE(IFERROR(IF(INDEX(campaigns!$AJ$2:$AJ$51,MATCH($A376,campaigns!$A$2:$A$51,0))="","",INDEX(campaigns!$AJ$2:$AJ$51,MATCH($A376,campaigns!$A$2:$A$51,0))),""),"CARDCODE",$F376)&amp;"&amp;utm_source=office-pantry&amp;utm_medium="&amp;$C376&amp;"&amp;utm_campaign="&amp;LOWER($A376)&amp;"&amp;utm_content="&amp;LOWER($B376)))</f>
        <v/>
      </c>
      <c r="H376" s="25">
        <f>IF(OR($A376="",$C376&lt;&gt;"qr"),"",$D376&amp;".png")</f>
        <v/>
      </c>
      <c r="I376" s="25">
        <f>IF($A376="","",IF(AND(IFERROR(IF(INDEX(campaigns!$AJ$2:$AJ$51,MATCH($A376,campaigns!$A$2:$A$51,0))="","",INDEX(campaigns!$AJ$2:$AJ$51,MATCH($A376,campaigns!$A$2:$A$51,0))),"")="",IFERROR(IF(INDEX(campaigns!$BG$2:$BG$51,MATCH($A376,campaigns!$A$2:$A$51,0))="","",INDEX(campaigns!$BG$2:$BG$51,MATCH($A376,campaigns!$A$2:$A$51,0))),"")&lt;&gt;"",IF(config!$B$37&lt;&gt;"",config!$B$37,TODAY())&gt;=WORKDAY(N(IFERROR(IF(INDEX(campaigns!$BG$2:$BG$51,MATCH($A376,campaigns!$A$2:$A$51,0))="","",INDEX(campaigns!$BG$2:$BG$51,MATCH($A376,campaigns!$A$2:$A$51,0))),"")),-4,calendar!$A$2:$A$80)),"no prefill template yet (due T-4); ","")&amp;IF(COUNTIF(links!$D$2:$D$501,$D376)&gt;1,"DUPLICATE slug; ",""))</f>
        <v/>
      </c>
    </row>
    <row r="377">
      <c r="A377" s="25">
        <f>IF(INDEX(approvals!$A$2:$A$251,INT((ROW()-2)/2)+1)="","",INDEX(approvals!$A$2:$A$251,INT((ROW()-2)/2)+1))</f>
        <v/>
      </c>
      <c r="B377" s="25">
        <f>IF(INDEX(approvals!$A$2:$A$251,INT((ROW()-2)/2)+1)="","",INDEX(approvals!$B$2:$B$251,INT((ROW()-2)/2)+1))</f>
        <v/>
      </c>
      <c r="C377" s="25">
        <f>IF($A377="","",IF(MOD(ROW()-2,2)=0,"qr","post"))</f>
        <v/>
      </c>
      <c r="D377" s="25">
        <f>IF($A377="","",IF(LEFT($A377,7)="SAMPLE-","SAMPLE-","")&amp;LOWER(SUBSTITUTE(SUBSTITUTE($A377,"SAMPLE-",""),"CMP-","c"))&amp;"-"&amp;LOWER(SUBSTITUTE(SUBSTITUTE($B377,"SAMPLE-",""),"O-","o"))&amp;"-"&amp;IF($C377="qr","q","p"))</f>
        <v/>
      </c>
      <c r="E377" s="25">
        <f>IF($A377="","","https://"&amp;config!$B$9&amp;"/"&amp;$D377)</f>
        <v/>
      </c>
      <c r="F377" s="25">
        <f>IF($A377="","",$A377&amp;"."&amp;$B377)</f>
        <v/>
      </c>
      <c r="G377" s="25">
        <f>IF($A377="","",IF(IFERROR(IF(INDEX(campaigns!$AJ$2:$AJ$51,MATCH($A377,campaigns!$A$2:$A$51,0))="","",INDEX(campaigns!$AJ$2:$AJ$51,MATCH($A377,campaigns!$A$2:$A$51,0))),"")="","(add the survey prefill template on campaigns)",SUBSTITUTE(IFERROR(IF(INDEX(campaigns!$AJ$2:$AJ$51,MATCH($A377,campaigns!$A$2:$A$51,0))="","",INDEX(campaigns!$AJ$2:$AJ$51,MATCH($A377,campaigns!$A$2:$A$51,0))),""),"CARDCODE",$F377)&amp;"&amp;utm_source=office-pantry&amp;utm_medium="&amp;$C377&amp;"&amp;utm_campaign="&amp;LOWER($A377)&amp;"&amp;utm_content="&amp;LOWER($B377)))</f>
        <v/>
      </c>
      <c r="H377" s="25">
        <f>IF(OR($A377="",$C377&lt;&gt;"qr"),"",$D377&amp;".png")</f>
        <v/>
      </c>
      <c r="I377" s="25">
        <f>IF($A377="","",IF(AND(IFERROR(IF(INDEX(campaigns!$AJ$2:$AJ$51,MATCH($A377,campaigns!$A$2:$A$51,0))="","",INDEX(campaigns!$AJ$2:$AJ$51,MATCH($A377,campaigns!$A$2:$A$51,0))),"")="",IFERROR(IF(INDEX(campaigns!$BG$2:$BG$51,MATCH($A377,campaigns!$A$2:$A$51,0))="","",INDEX(campaigns!$BG$2:$BG$51,MATCH($A377,campaigns!$A$2:$A$51,0))),"")&lt;&gt;"",IF(config!$B$37&lt;&gt;"",config!$B$37,TODAY())&gt;=WORKDAY(N(IFERROR(IF(INDEX(campaigns!$BG$2:$BG$51,MATCH($A377,campaigns!$A$2:$A$51,0))="","",INDEX(campaigns!$BG$2:$BG$51,MATCH($A377,campaigns!$A$2:$A$51,0))),"")),-4,calendar!$A$2:$A$80)),"no prefill template yet (due T-4); ","")&amp;IF(COUNTIF(links!$D$2:$D$501,$D377)&gt;1,"DUPLICATE slug; ",""))</f>
        <v/>
      </c>
    </row>
    <row r="378">
      <c r="A378" s="25">
        <f>IF(INDEX(approvals!$A$2:$A$251,INT((ROW()-2)/2)+1)="","",INDEX(approvals!$A$2:$A$251,INT((ROW()-2)/2)+1))</f>
        <v/>
      </c>
      <c r="B378" s="25">
        <f>IF(INDEX(approvals!$A$2:$A$251,INT((ROW()-2)/2)+1)="","",INDEX(approvals!$B$2:$B$251,INT((ROW()-2)/2)+1))</f>
        <v/>
      </c>
      <c r="C378" s="25">
        <f>IF($A378="","",IF(MOD(ROW()-2,2)=0,"qr","post"))</f>
        <v/>
      </c>
      <c r="D378" s="25">
        <f>IF($A378="","",IF(LEFT($A378,7)="SAMPLE-","SAMPLE-","")&amp;LOWER(SUBSTITUTE(SUBSTITUTE($A378,"SAMPLE-",""),"CMP-","c"))&amp;"-"&amp;LOWER(SUBSTITUTE(SUBSTITUTE($B378,"SAMPLE-",""),"O-","o"))&amp;"-"&amp;IF($C378="qr","q","p"))</f>
        <v/>
      </c>
      <c r="E378" s="25">
        <f>IF($A378="","","https://"&amp;config!$B$9&amp;"/"&amp;$D378)</f>
        <v/>
      </c>
      <c r="F378" s="25">
        <f>IF($A378="","",$A378&amp;"."&amp;$B378)</f>
        <v/>
      </c>
      <c r="G378" s="25">
        <f>IF($A378="","",IF(IFERROR(IF(INDEX(campaigns!$AJ$2:$AJ$51,MATCH($A378,campaigns!$A$2:$A$51,0))="","",INDEX(campaigns!$AJ$2:$AJ$51,MATCH($A378,campaigns!$A$2:$A$51,0))),"")="","(add the survey prefill template on campaigns)",SUBSTITUTE(IFERROR(IF(INDEX(campaigns!$AJ$2:$AJ$51,MATCH($A378,campaigns!$A$2:$A$51,0))="","",INDEX(campaigns!$AJ$2:$AJ$51,MATCH($A378,campaigns!$A$2:$A$51,0))),""),"CARDCODE",$F378)&amp;"&amp;utm_source=office-pantry&amp;utm_medium="&amp;$C378&amp;"&amp;utm_campaign="&amp;LOWER($A378)&amp;"&amp;utm_content="&amp;LOWER($B378)))</f>
        <v/>
      </c>
      <c r="H378" s="25">
        <f>IF(OR($A378="",$C378&lt;&gt;"qr"),"",$D378&amp;".png")</f>
        <v/>
      </c>
      <c r="I378" s="25">
        <f>IF($A378="","",IF(AND(IFERROR(IF(INDEX(campaigns!$AJ$2:$AJ$51,MATCH($A378,campaigns!$A$2:$A$51,0))="","",INDEX(campaigns!$AJ$2:$AJ$51,MATCH($A378,campaigns!$A$2:$A$51,0))),"")="",IFERROR(IF(INDEX(campaigns!$BG$2:$BG$51,MATCH($A378,campaigns!$A$2:$A$51,0))="","",INDEX(campaigns!$BG$2:$BG$51,MATCH($A378,campaigns!$A$2:$A$51,0))),"")&lt;&gt;"",IF(config!$B$37&lt;&gt;"",config!$B$37,TODAY())&gt;=WORKDAY(N(IFERROR(IF(INDEX(campaigns!$BG$2:$BG$51,MATCH($A378,campaigns!$A$2:$A$51,0))="","",INDEX(campaigns!$BG$2:$BG$51,MATCH($A378,campaigns!$A$2:$A$51,0))),"")),-4,calendar!$A$2:$A$80)),"no prefill template yet (due T-4); ","")&amp;IF(COUNTIF(links!$D$2:$D$501,$D378)&gt;1,"DUPLICATE slug; ",""))</f>
        <v/>
      </c>
    </row>
    <row r="379">
      <c r="A379" s="25">
        <f>IF(INDEX(approvals!$A$2:$A$251,INT((ROW()-2)/2)+1)="","",INDEX(approvals!$A$2:$A$251,INT((ROW()-2)/2)+1))</f>
        <v/>
      </c>
      <c r="B379" s="25">
        <f>IF(INDEX(approvals!$A$2:$A$251,INT((ROW()-2)/2)+1)="","",INDEX(approvals!$B$2:$B$251,INT((ROW()-2)/2)+1))</f>
        <v/>
      </c>
      <c r="C379" s="25">
        <f>IF($A379="","",IF(MOD(ROW()-2,2)=0,"qr","post"))</f>
        <v/>
      </c>
      <c r="D379" s="25">
        <f>IF($A379="","",IF(LEFT($A379,7)="SAMPLE-","SAMPLE-","")&amp;LOWER(SUBSTITUTE(SUBSTITUTE($A379,"SAMPLE-",""),"CMP-","c"))&amp;"-"&amp;LOWER(SUBSTITUTE(SUBSTITUTE($B379,"SAMPLE-",""),"O-","o"))&amp;"-"&amp;IF($C379="qr","q","p"))</f>
        <v/>
      </c>
      <c r="E379" s="25">
        <f>IF($A379="","","https://"&amp;config!$B$9&amp;"/"&amp;$D379)</f>
        <v/>
      </c>
      <c r="F379" s="25">
        <f>IF($A379="","",$A379&amp;"."&amp;$B379)</f>
        <v/>
      </c>
      <c r="G379" s="25">
        <f>IF($A379="","",IF(IFERROR(IF(INDEX(campaigns!$AJ$2:$AJ$51,MATCH($A379,campaigns!$A$2:$A$51,0))="","",INDEX(campaigns!$AJ$2:$AJ$51,MATCH($A379,campaigns!$A$2:$A$51,0))),"")="","(add the survey prefill template on campaigns)",SUBSTITUTE(IFERROR(IF(INDEX(campaigns!$AJ$2:$AJ$51,MATCH($A379,campaigns!$A$2:$A$51,0))="","",INDEX(campaigns!$AJ$2:$AJ$51,MATCH($A379,campaigns!$A$2:$A$51,0))),""),"CARDCODE",$F379)&amp;"&amp;utm_source=office-pantry&amp;utm_medium="&amp;$C379&amp;"&amp;utm_campaign="&amp;LOWER($A379)&amp;"&amp;utm_content="&amp;LOWER($B379)))</f>
        <v/>
      </c>
      <c r="H379" s="25">
        <f>IF(OR($A379="",$C379&lt;&gt;"qr"),"",$D379&amp;".png")</f>
        <v/>
      </c>
      <c r="I379" s="25">
        <f>IF($A379="","",IF(AND(IFERROR(IF(INDEX(campaigns!$AJ$2:$AJ$51,MATCH($A379,campaigns!$A$2:$A$51,0))="","",INDEX(campaigns!$AJ$2:$AJ$51,MATCH($A379,campaigns!$A$2:$A$51,0))),"")="",IFERROR(IF(INDEX(campaigns!$BG$2:$BG$51,MATCH($A379,campaigns!$A$2:$A$51,0))="","",INDEX(campaigns!$BG$2:$BG$51,MATCH($A379,campaigns!$A$2:$A$51,0))),"")&lt;&gt;"",IF(config!$B$37&lt;&gt;"",config!$B$37,TODAY())&gt;=WORKDAY(N(IFERROR(IF(INDEX(campaigns!$BG$2:$BG$51,MATCH($A379,campaigns!$A$2:$A$51,0))="","",INDEX(campaigns!$BG$2:$BG$51,MATCH($A379,campaigns!$A$2:$A$51,0))),"")),-4,calendar!$A$2:$A$80)),"no prefill template yet (due T-4); ","")&amp;IF(COUNTIF(links!$D$2:$D$501,$D379)&gt;1,"DUPLICATE slug; ",""))</f>
        <v/>
      </c>
    </row>
    <row r="380">
      <c r="A380" s="25">
        <f>IF(INDEX(approvals!$A$2:$A$251,INT((ROW()-2)/2)+1)="","",INDEX(approvals!$A$2:$A$251,INT((ROW()-2)/2)+1))</f>
        <v/>
      </c>
      <c r="B380" s="25">
        <f>IF(INDEX(approvals!$A$2:$A$251,INT((ROW()-2)/2)+1)="","",INDEX(approvals!$B$2:$B$251,INT((ROW()-2)/2)+1))</f>
        <v/>
      </c>
      <c r="C380" s="25">
        <f>IF($A380="","",IF(MOD(ROW()-2,2)=0,"qr","post"))</f>
        <v/>
      </c>
      <c r="D380" s="25">
        <f>IF($A380="","",IF(LEFT($A380,7)="SAMPLE-","SAMPLE-","")&amp;LOWER(SUBSTITUTE(SUBSTITUTE($A380,"SAMPLE-",""),"CMP-","c"))&amp;"-"&amp;LOWER(SUBSTITUTE(SUBSTITUTE($B380,"SAMPLE-",""),"O-","o"))&amp;"-"&amp;IF($C380="qr","q","p"))</f>
        <v/>
      </c>
      <c r="E380" s="25">
        <f>IF($A380="","","https://"&amp;config!$B$9&amp;"/"&amp;$D380)</f>
        <v/>
      </c>
      <c r="F380" s="25">
        <f>IF($A380="","",$A380&amp;"."&amp;$B380)</f>
        <v/>
      </c>
      <c r="G380" s="25">
        <f>IF($A380="","",IF(IFERROR(IF(INDEX(campaigns!$AJ$2:$AJ$51,MATCH($A380,campaigns!$A$2:$A$51,0))="","",INDEX(campaigns!$AJ$2:$AJ$51,MATCH($A380,campaigns!$A$2:$A$51,0))),"")="","(add the survey prefill template on campaigns)",SUBSTITUTE(IFERROR(IF(INDEX(campaigns!$AJ$2:$AJ$51,MATCH($A380,campaigns!$A$2:$A$51,0))="","",INDEX(campaigns!$AJ$2:$AJ$51,MATCH($A380,campaigns!$A$2:$A$51,0))),""),"CARDCODE",$F380)&amp;"&amp;utm_source=office-pantry&amp;utm_medium="&amp;$C380&amp;"&amp;utm_campaign="&amp;LOWER($A380)&amp;"&amp;utm_content="&amp;LOWER($B380)))</f>
        <v/>
      </c>
      <c r="H380" s="25">
        <f>IF(OR($A380="",$C380&lt;&gt;"qr"),"",$D380&amp;".png")</f>
        <v/>
      </c>
      <c r="I380" s="25">
        <f>IF($A380="","",IF(AND(IFERROR(IF(INDEX(campaigns!$AJ$2:$AJ$51,MATCH($A380,campaigns!$A$2:$A$51,0))="","",INDEX(campaigns!$AJ$2:$AJ$51,MATCH($A380,campaigns!$A$2:$A$51,0))),"")="",IFERROR(IF(INDEX(campaigns!$BG$2:$BG$51,MATCH($A380,campaigns!$A$2:$A$51,0))="","",INDEX(campaigns!$BG$2:$BG$51,MATCH($A380,campaigns!$A$2:$A$51,0))),"")&lt;&gt;"",IF(config!$B$37&lt;&gt;"",config!$B$37,TODAY())&gt;=WORKDAY(N(IFERROR(IF(INDEX(campaigns!$BG$2:$BG$51,MATCH($A380,campaigns!$A$2:$A$51,0))="","",INDEX(campaigns!$BG$2:$BG$51,MATCH($A380,campaigns!$A$2:$A$51,0))),"")),-4,calendar!$A$2:$A$80)),"no prefill template yet (due T-4); ","")&amp;IF(COUNTIF(links!$D$2:$D$501,$D380)&gt;1,"DUPLICATE slug; ",""))</f>
        <v/>
      </c>
    </row>
    <row r="381">
      <c r="A381" s="25">
        <f>IF(INDEX(approvals!$A$2:$A$251,INT((ROW()-2)/2)+1)="","",INDEX(approvals!$A$2:$A$251,INT((ROW()-2)/2)+1))</f>
        <v/>
      </c>
      <c r="B381" s="25">
        <f>IF(INDEX(approvals!$A$2:$A$251,INT((ROW()-2)/2)+1)="","",INDEX(approvals!$B$2:$B$251,INT((ROW()-2)/2)+1))</f>
        <v/>
      </c>
      <c r="C381" s="25">
        <f>IF($A381="","",IF(MOD(ROW()-2,2)=0,"qr","post"))</f>
        <v/>
      </c>
      <c r="D381" s="25">
        <f>IF($A381="","",IF(LEFT($A381,7)="SAMPLE-","SAMPLE-","")&amp;LOWER(SUBSTITUTE(SUBSTITUTE($A381,"SAMPLE-",""),"CMP-","c"))&amp;"-"&amp;LOWER(SUBSTITUTE(SUBSTITUTE($B381,"SAMPLE-",""),"O-","o"))&amp;"-"&amp;IF($C381="qr","q","p"))</f>
        <v/>
      </c>
      <c r="E381" s="25">
        <f>IF($A381="","","https://"&amp;config!$B$9&amp;"/"&amp;$D381)</f>
        <v/>
      </c>
      <c r="F381" s="25">
        <f>IF($A381="","",$A381&amp;"."&amp;$B381)</f>
        <v/>
      </c>
      <c r="G381" s="25">
        <f>IF($A381="","",IF(IFERROR(IF(INDEX(campaigns!$AJ$2:$AJ$51,MATCH($A381,campaigns!$A$2:$A$51,0))="","",INDEX(campaigns!$AJ$2:$AJ$51,MATCH($A381,campaigns!$A$2:$A$51,0))),"")="","(add the survey prefill template on campaigns)",SUBSTITUTE(IFERROR(IF(INDEX(campaigns!$AJ$2:$AJ$51,MATCH($A381,campaigns!$A$2:$A$51,0))="","",INDEX(campaigns!$AJ$2:$AJ$51,MATCH($A381,campaigns!$A$2:$A$51,0))),""),"CARDCODE",$F381)&amp;"&amp;utm_source=office-pantry&amp;utm_medium="&amp;$C381&amp;"&amp;utm_campaign="&amp;LOWER($A381)&amp;"&amp;utm_content="&amp;LOWER($B381)))</f>
        <v/>
      </c>
      <c r="H381" s="25">
        <f>IF(OR($A381="",$C381&lt;&gt;"qr"),"",$D381&amp;".png")</f>
        <v/>
      </c>
      <c r="I381" s="25">
        <f>IF($A381="","",IF(AND(IFERROR(IF(INDEX(campaigns!$AJ$2:$AJ$51,MATCH($A381,campaigns!$A$2:$A$51,0))="","",INDEX(campaigns!$AJ$2:$AJ$51,MATCH($A381,campaigns!$A$2:$A$51,0))),"")="",IFERROR(IF(INDEX(campaigns!$BG$2:$BG$51,MATCH($A381,campaigns!$A$2:$A$51,0))="","",INDEX(campaigns!$BG$2:$BG$51,MATCH($A381,campaigns!$A$2:$A$51,0))),"")&lt;&gt;"",IF(config!$B$37&lt;&gt;"",config!$B$37,TODAY())&gt;=WORKDAY(N(IFERROR(IF(INDEX(campaigns!$BG$2:$BG$51,MATCH($A381,campaigns!$A$2:$A$51,0))="","",INDEX(campaigns!$BG$2:$BG$51,MATCH($A381,campaigns!$A$2:$A$51,0))),"")),-4,calendar!$A$2:$A$80)),"no prefill template yet (due T-4); ","")&amp;IF(COUNTIF(links!$D$2:$D$501,$D381)&gt;1,"DUPLICATE slug; ",""))</f>
        <v/>
      </c>
    </row>
    <row r="382">
      <c r="A382" s="25">
        <f>IF(INDEX(approvals!$A$2:$A$251,INT((ROW()-2)/2)+1)="","",INDEX(approvals!$A$2:$A$251,INT((ROW()-2)/2)+1))</f>
        <v/>
      </c>
      <c r="B382" s="25">
        <f>IF(INDEX(approvals!$A$2:$A$251,INT((ROW()-2)/2)+1)="","",INDEX(approvals!$B$2:$B$251,INT((ROW()-2)/2)+1))</f>
        <v/>
      </c>
      <c r="C382" s="25">
        <f>IF($A382="","",IF(MOD(ROW()-2,2)=0,"qr","post"))</f>
        <v/>
      </c>
      <c r="D382" s="25">
        <f>IF($A382="","",IF(LEFT($A382,7)="SAMPLE-","SAMPLE-","")&amp;LOWER(SUBSTITUTE(SUBSTITUTE($A382,"SAMPLE-",""),"CMP-","c"))&amp;"-"&amp;LOWER(SUBSTITUTE(SUBSTITUTE($B382,"SAMPLE-",""),"O-","o"))&amp;"-"&amp;IF($C382="qr","q","p"))</f>
        <v/>
      </c>
      <c r="E382" s="25">
        <f>IF($A382="","","https://"&amp;config!$B$9&amp;"/"&amp;$D382)</f>
        <v/>
      </c>
      <c r="F382" s="25">
        <f>IF($A382="","",$A382&amp;"."&amp;$B382)</f>
        <v/>
      </c>
      <c r="G382" s="25">
        <f>IF($A382="","",IF(IFERROR(IF(INDEX(campaigns!$AJ$2:$AJ$51,MATCH($A382,campaigns!$A$2:$A$51,0))="","",INDEX(campaigns!$AJ$2:$AJ$51,MATCH($A382,campaigns!$A$2:$A$51,0))),"")="","(add the survey prefill template on campaigns)",SUBSTITUTE(IFERROR(IF(INDEX(campaigns!$AJ$2:$AJ$51,MATCH($A382,campaigns!$A$2:$A$51,0))="","",INDEX(campaigns!$AJ$2:$AJ$51,MATCH($A382,campaigns!$A$2:$A$51,0))),""),"CARDCODE",$F382)&amp;"&amp;utm_source=office-pantry&amp;utm_medium="&amp;$C382&amp;"&amp;utm_campaign="&amp;LOWER($A382)&amp;"&amp;utm_content="&amp;LOWER($B382)))</f>
        <v/>
      </c>
      <c r="H382" s="25">
        <f>IF(OR($A382="",$C382&lt;&gt;"qr"),"",$D382&amp;".png")</f>
        <v/>
      </c>
      <c r="I382" s="25">
        <f>IF($A382="","",IF(AND(IFERROR(IF(INDEX(campaigns!$AJ$2:$AJ$51,MATCH($A382,campaigns!$A$2:$A$51,0))="","",INDEX(campaigns!$AJ$2:$AJ$51,MATCH($A382,campaigns!$A$2:$A$51,0))),"")="",IFERROR(IF(INDEX(campaigns!$BG$2:$BG$51,MATCH($A382,campaigns!$A$2:$A$51,0))="","",INDEX(campaigns!$BG$2:$BG$51,MATCH($A382,campaigns!$A$2:$A$51,0))),"")&lt;&gt;"",IF(config!$B$37&lt;&gt;"",config!$B$37,TODAY())&gt;=WORKDAY(N(IFERROR(IF(INDEX(campaigns!$BG$2:$BG$51,MATCH($A382,campaigns!$A$2:$A$51,0))="","",INDEX(campaigns!$BG$2:$BG$51,MATCH($A382,campaigns!$A$2:$A$51,0))),"")),-4,calendar!$A$2:$A$80)),"no prefill template yet (due T-4); ","")&amp;IF(COUNTIF(links!$D$2:$D$501,$D382)&gt;1,"DUPLICATE slug; ",""))</f>
        <v/>
      </c>
    </row>
    <row r="383">
      <c r="A383" s="25">
        <f>IF(INDEX(approvals!$A$2:$A$251,INT((ROW()-2)/2)+1)="","",INDEX(approvals!$A$2:$A$251,INT((ROW()-2)/2)+1))</f>
        <v/>
      </c>
      <c r="B383" s="25">
        <f>IF(INDEX(approvals!$A$2:$A$251,INT((ROW()-2)/2)+1)="","",INDEX(approvals!$B$2:$B$251,INT((ROW()-2)/2)+1))</f>
        <v/>
      </c>
      <c r="C383" s="25">
        <f>IF($A383="","",IF(MOD(ROW()-2,2)=0,"qr","post"))</f>
        <v/>
      </c>
      <c r="D383" s="25">
        <f>IF($A383="","",IF(LEFT($A383,7)="SAMPLE-","SAMPLE-","")&amp;LOWER(SUBSTITUTE(SUBSTITUTE($A383,"SAMPLE-",""),"CMP-","c"))&amp;"-"&amp;LOWER(SUBSTITUTE(SUBSTITUTE($B383,"SAMPLE-",""),"O-","o"))&amp;"-"&amp;IF($C383="qr","q","p"))</f>
        <v/>
      </c>
      <c r="E383" s="25">
        <f>IF($A383="","","https://"&amp;config!$B$9&amp;"/"&amp;$D383)</f>
        <v/>
      </c>
      <c r="F383" s="25">
        <f>IF($A383="","",$A383&amp;"."&amp;$B383)</f>
        <v/>
      </c>
      <c r="G383" s="25">
        <f>IF($A383="","",IF(IFERROR(IF(INDEX(campaigns!$AJ$2:$AJ$51,MATCH($A383,campaigns!$A$2:$A$51,0))="","",INDEX(campaigns!$AJ$2:$AJ$51,MATCH($A383,campaigns!$A$2:$A$51,0))),"")="","(add the survey prefill template on campaigns)",SUBSTITUTE(IFERROR(IF(INDEX(campaigns!$AJ$2:$AJ$51,MATCH($A383,campaigns!$A$2:$A$51,0))="","",INDEX(campaigns!$AJ$2:$AJ$51,MATCH($A383,campaigns!$A$2:$A$51,0))),""),"CARDCODE",$F383)&amp;"&amp;utm_source=office-pantry&amp;utm_medium="&amp;$C383&amp;"&amp;utm_campaign="&amp;LOWER($A383)&amp;"&amp;utm_content="&amp;LOWER($B383)))</f>
        <v/>
      </c>
      <c r="H383" s="25">
        <f>IF(OR($A383="",$C383&lt;&gt;"qr"),"",$D383&amp;".png")</f>
        <v/>
      </c>
      <c r="I383" s="25">
        <f>IF($A383="","",IF(AND(IFERROR(IF(INDEX(campaigns!$AJ$2:$AJ$51,MATCH($A383,campaigns!$A$2:$A$51,0))="","",INDEX(campaigns!$AJ$2:$AJ$51,MATCH($A383,campaigns!$A$2:$A$51,0))),"")="",IFERROR(IF(INDEX(campaigns!$BG$2:$BG$51,MATCH($A383,campaigns!$A$2:$A$51,0))="","",INDEX(campaigns!$BG$2:$BG$51,MATCH($A383,campaigns!$A$2:$A$51,0))),"")&lt;&gt;"",IF(config!$B$37&lt;&gt;"",config!$B$37,TODAY())&gt;=WORKDAY(N(IFERROR(IF(INDEX(campaigns!$BG$2:$BG$51,MATCH($A383,campaigns!$A$2:$A$51,0))="","",INDEX(campaigns!$BG$2:$BG$51,MATCH($A383,campaigns!$A$2:$A$51,0))),"")),-4,calendar!$A$2:$A$80)),"no prefill template yet (due T-4); ","")&amp;IF(COUNTIF(links!$D$2:$D$501,$D383)&gt;1,"DUPLICATE slug; ",""))</f>
        <v/>
      </c>
    </row>
    <row r="384">
      <c r="A384" s="25">
        <f>IF(INDEX(approvals!$A$2:$A$251,INT((ROW()-2)/2)+1)="","",INDEX(approvals!$A$2:$A$251,INT((ROW()-2)/2)+1))</f>
        <v/>
      </c>
      <c r="B384" s="25">
        <f>IF(INDEX(approvals!$A$2:$A$251,INT((ROW()-2)/2)+1)="","",INDEX(approvals!$B$2:$B$251,INT((ROW()-2)/2)+1))</f>
        <v/>
      </c>
      <c r="C384" s="25">
        <f>IF($A384="","",IF(MOD(ROW()-2,2)=0,"qr","post"))</f>
        <v/>
      </c>
      <c r="D384" s="25">
        <f>IF($A384="","",IF(LEFT($A384,7)="SAMPLE-","SAMPLE-","")&amp;LOWER(SUBSTITUTE(SUBSTITUTE($A384,"SAMPLE-",""),"CMP-","c"))&amp;"-"&amp;LOWER(SUBSTITUTE(SUBSTITUTE($B384,"SAMPLE-",""),"O-","o"))&amp;"-"&amp;IF($C384="qr","q","p"))</f>
        <v/>
      </c>
      <c r="E384" s="25">
        <f>IF($A384="","","https://"&amp;config!$B$9&amp;"/"&amp;$D384)</f>
        <v/>
      </c>
      <c r="F384" s="25">
        <f>IF($A384="","",$A384&amp;"."&amp;$B384)</f>
        <v/>
      </c>
      <c r="G384" s="25">
        <f>IF($A384="","",IF(IFERROR(IF(INDEX(campaigns!$AJ$2:$AJ$51,MATCH($A384,campaigns!$A$2:$A$51,0))="","",INDEX(campaigns!$AJ$2:$AJ$51,MATCH($A384,campaigns!$A$2:$A$51,0))),"")="","(add the survey prefill template on campaigns)",SUBSTITUTE(IFERROR(IF(INDEX(campaigns!$AJ$2:$AJ$51,MATCH($A384,campaigns!$A$2:$A$51,0))="","",INDEX(campaigns!$AJ$2:$AJ$51,MATCH($A384,campaigns!$A$2:$A$51,0))),""),"CARDCODE",$F384)&amp;"&amp;utm_source=office-pantry&amp;utm_medium="&amp;$C384&amp;"&amp;utm_campaign="&amp;LOWER($A384)&amp;"&amp;utm_content="&amp;LOWER($B384)))</f>
        <v/>
      </c>
      <c r="H384" s="25">
        <f>IF(OR($A384="",$C384&lt;&gt;"qr"),"",$D384&amp;".png")</f>
        <v/>
      </c>
      <c r="I384" s="25">
        <f>IF($A384="","",IF(AND(IFERROR(IF(INDEX(campaigns!$AJ$2:$AJ$51,MATCH($A384,campaigns!$A$2:$A$51,0))="","",INDEX(campaigns!$AJ$2:$AJ$51,MATCH($A384,campaigns!$A$2:$A$51,0))),"")="",IFERROR(IF(INDEX(campaigns!$BG$2:$BG$51,MATCH($A384,campaigns!$A$2:$A$51,0))="","",INDEX(campaigns!$BG$2:$BG$51,MATCH($A384,campaigns!$A$2:$A$51,0))),"")&lt;&gt;"",IF(config!$B$37&lt;&gt;"",config!$B$37,TODAY())&gt;=WORKDAY(N(IFERROR(IF(INDEX(campaigns!$BG$2:$BG$51,MATCH($A384,campaigns!$A$2:$A$51,0))="","",INDEX(campaigns!$BG$2:$BG$51,MATCH($A384,campaigns!$A$2:$A$51,0))),"")),-4,calendar!$A$2:$A$80)),"no prefill template yet (due T-4); ","")&amp;IF(COUNTIF(links!$D$2:$D$501,$D384)&gt;1,"DUPLICATE slug; ",""))</f>
        <v/>
      </c>
    </row>
    <row r="385">
      <c r="A385" s="25">
        <f>IF(INDEX(approvals!$A$2:$A$251,INT((ROW()-2)/2)+1)="","",INDEX(approvals!$A$2:$A$251,INT((ROW()-2)/2)+1))</f>
        <v/>
      </c>
      <c r="B385" s="25">
        <f>IF(INDEX(approvals!$A$2:$A$251,INT((ROW()-2)/2)+1)="","",INDEX(approvals!$B$2:$B$251,INT((ROW()-2)/2)+1))</f>
        <v/>
      </c>
      <c r="C385" s="25">
        <f>IF($A385="","",IF(MOD(ROW()-2,2)=0,"qr","post"))</f>
        <v/>
      </c>
      <c r="D385" s="25">
        <f>IF($A385="","",IF(LEFT($A385,7)="SAMPLE-","SAMPLE-","")&amp;LOWER(SUBSTITUTE(SUBSTITUTE($A385,"SAMPLE-",""),"CMP-","c"))&amp;"-"&amp;LOWER(SUBSTITUTE(SUBSTITUTE($B385,"SAMPLE-",""),"O-","o"))&amp;"-"&amp;IF($C385="qr","q","p"))</f>
        <v/>
      </c>
      <c r="E385" s="25">
        <f>IF($A385="","","https://"&amp;config!$B$9&amp;"/"&amp;$D385)</f>
        <v/>
      </c>
      <c r="F385" s="25">
        <f>IF($A385="","",$A385&amp;"."&amp;$B385)</f>
        <v/>
      </c>
      <c r="G385" s="25">
        <f>IF($A385="","",IF(IFERROR(IF(INDEX(campaigns!$AJ$2:$AJ$51,MATCH($A385,campaigns!$A$2:$A$51,0))="","",INDEX(campaigns!$AJ$2:$AJ$51,MATCH($A385,campaigns!$A$2:$A$51,0))),"")="","(add the survey prefill template on campaigns)",SUBSTITUTE(IFERROR(IF(INDEX(campaigns!$AJ$2:$AJ$51,MATCH($A385,campaigns!$A$2:$A$51,0))="","",INDEX(campaigns!$AJ$2:$AJ$51,MATCH($A385,campaigns!$A$2:$A$51,0))),""),"CARDCODE",$F385)&amp;"&amp;utm_source=office-pantry&amp;utm_medium="&amp;$C385&amp;"&amp;utm_campaign="&amp;LOWER($A385)&amp;"&amp;utm_content="&amp;LOWER($B385)))</f>
        <v/>
      </c>
      <c r="H385" s="25">
        <f>IF(OR($A385="",$C385&lt;&gt;"qr"),"",$D385&amp;".png")</f>
        <v/>
      </c>
      <c r="I385" s="25">
        <f>IF($A385="","",IF(AND(IFERROR(IF(INDEX(campaigns!$AJ$2:$AJ$51,MATCH($A385,campaigns!$A$2:$A$51,0))="","",INDEX(campaigns!$AJ$2:$AJ$51,MATCH($A385,campaigns!$A$2:$A$51,0))),"")="",IFERROR(IF(INDEX(campaigns!$BG$2:$BG$51,MATCH($A385,campaigns!$A$2:$A$51,0))="","",INDEX(campaigns!$BG$2:$BG$51,MATCH($A385,campaigns!$A$2:$A$51,0))),"")&lt;&gt;"",IF(config!$B$37&lt;&gt;"",config!$B$37,TODAY())&gt;=WORKDAY(N(IFERROR(IF(INDEX(campaigns!$BG$2:$BG$51,MATCH($A385,campaigns!$A$2:$A$51,0))="","",INDEX(campaigns!$BG$2:$BG$51,MATCH($A385,campaigns!$A$2:$A$51,0))),"")),-4,calendar!$A$2:$A$80)),"no prefill template yet (due T-4); ","")&amp;IF(COUNTIF(links!$D$2:$D$501,$D385)&gt;1,"DUPLICATE slug; ",""))</f>
        <v/>
      </c>
    </row>
    <row r="386">
      <c r="A386" s="25">
        <f>IF(INDEX(approvals!$A$2:$A$251,INT((ROW()-2)/2)+1)="","",INDEX(approvals!$A$2:$A$251,INT((ROW()-2)/2)+1))</f>
        <v/>
      </c>
      <c r="B386" s="25">
        <f>IF(INDEX(approvals!$A$2:$A$251,INT((ROW()-2)/2)+1)="","",INDEX(approvals!$B$2:$B$251,INT((ROW()-2)/2)+1))</f>
        <v/>
      </c>
      <c r="C386" s="25">
        <f>IF($A386="","",IF(MOD(ROW()-2,2)=0,"qr","post"))</f>
        <v/>
      </c>
      <c r="D386" s="25">
        <f>IF($A386="","",IF(LEFT($A386,7)="SAMPLE-","SAMPLE-","")&amp;LOWER(SUBSTITUTE(SUBSTITUTE($A386,"SAMPLE-",""),"CMP-","c"))&amp;"-"&amp;LOWER(SUBSTITUTE(SUBSTITUTE($B386,"SAMPLE-",""),"O-","o"))&amp;"-"&amp;IF($C386="qr","q","p"))</f>
        <v/>
      </c>
      <c r="E386" s="25">
        <f>IF($A386="","","https://"&amp;config!$B$9&amp;"/"&amp;$D386)</f>
        <v/>
      </c>
      <c r="F386" s="25">
        <f>IF($A386="","",$A386&amp;"."&amp;$B386)</f>
        <v/>
      </c>
      <c r="G386" s="25">
        <f>IF($A386="","",IF(IFERROR(IF(INDEX(campaigns!$AJ$2:$AJ$51,MATCH($A386,campaigns!$A$2:$A$51,0))="","",INDEX(campaigns!$AJ$2:$AJ$51,MATCH($A386,campaigns!$A$2:$A$51,0))),"")="","(add the survey prefill template on campaigns)",SUBSTITUTE(IFERROR(IF(INDEX(campaigns!$AJ$2:$AJ$51,MATCH($A386,campaigns!$A$2:$A$51,0))="","",INDEX(campaigns!$AJ$2:$AJ$51,MATCH($A386,campaigns!$A$2:$A$51,0))),""),"CARDCODE",$F386)&amp;"&amp;utm_source=office-pantry&amp;utm_medium="&amp;$C386&amp;"&amp;utm_campaign="&amp;LOWER($A386)&amp;"&amp;utm_content="&amp;LOWER($B386)))</f>
        <v/>
      </c>
      <c r="H386" s="25">
        <f>IF(OR($A386="",$C386&lt;&gt;"qr"),"",$D386&amp;".png")</f>
        <v/>
      </c>
      <c r="I386" s="25">
        <f>IF($A386="","",IF(AND(IFERROR(IF(INDEX(campaigns!$AJ$2:$AJ$51,MATCH($A386,campaigns!$A$2:$A$51,0))="","",INDEX(campaigns!$AJ$2:$AJ$51,MATCH($A386,campaigns!$A$2:$A$51,0))),"")="",IFERROR(IF(INDEX(campaigns!$BG$2:$BG$51,MATCH($A386,campaigns!$A$2:$A$51,0))="","",INDEX(campaigns!$BG$2:$BG$51,MATCH($A386,campaigns!$A$2:$A$51,0))),"")&lt;&gt;"",IF(config!$B$37&lt;&gt;"",config!$B$37,TODAY())&gt;=WORKDAY(N(IFERROR(IF(INDEX(campaigns!$BG$2:$BG$51,MATCH($A386,campaigns!$A$2:$A$51,0))="","",INDEX(campaigns!$BG$2:$BG$51,MATCH($A386,campaigns!$A$2:$A$51,0))),"")),-4,calendar!$A$2:$A$80)),"no prefill template yet (due T-4); ","")&amp;IF(COUNTIF(links!$D$2:$D$501,$D386)&gt;1,"DUPLICATE slug; ",""))</f>
        <v/>
      </c>
    </row>
    <row r="387">
      <c r="A387" s="25">
        <f>IF(INDEX(approvals!$A$2:$A$251,INT((ROW()-2)/2)+1)="","",INDEX(approvals!$A$2:$A$251,INT((ROW()-2)/2)+1))</f>
        <v/>
      </c>
      <c r="B387" s="25">
        <f>IF(INDEX(approvals!$A$2:$A$251,INT((ROW()-2)/2)+1)="","",INDEX(approvals!$B$2:$B$251,INT((ROW()-2)/2)+1))</f>
        <v/>
      </c>
      <c r="C387" s="25">
        <f>IF($A387="","",IF(MOD(ROW()-2,2)=0,"qr","post"))</f>
        <v/>
      </c>
      <c r="D387" s="25">
        <f>IF($A387="","",IF(LEFT($A387,7)="SAMPLE-","SAMPLE-","")&amp;LOWER(SUBSTITUTE(SUBSTITUTE($A387,"SAMPLE-",""),"CMP-","c"))&amp;"-"&amp;LOWER(SUBSTITUTE(SUBSTITUTE($B387,"SAMPLE-",""),"O-","o"))&amp;"-"&amp;IF($C387="qr","q","p"))</f>
        <v/>
      </c>
      <c r="E387" s="25">
        <f>IF($A387="","","https://"&amp;config!$B$9&amp;"/"&amp;$D387)</f>
        <v/>
      </c>
      <c r="F387" s="25">
        <f>IF($A387="","",$A387&amp;"."&amp;$B387)</f>
        <v/>
      </c>
      <c r="G387" s="25">
        <f>IF($A387="","",IF(IFERROR(IF(INDEX(campaigns!$AJ$2:$AJ$51,MATCH($A387,campaigns!$A$2:$A$51,0))="","",INDEX(campaigns!$AJ$2:$AJ$51,MATCH($A387,campaigns!$A$2:$A$51,0))),"")="","(add the survey prefill template on campaigns)",SUBSTITUTE(IFERROR(IF(INDEX(campaigns!$AJ$2:$AJ$51,MATCH($A387,campaigns!$A$2:$A$51,0))="","",INDEX(campaigns!$AJ$2:$AJ$51,MATCH($A387,campaigns!$A$2:$A$51,0))),""),"CARDCODE",$F387)&amp;"&amp;utm_source=office-pantry&amp;utm_medium="&amp;$C387&amp;"&amp;utm_campaign="&amp;LOWER($A387)&amp;"&amp;utm_content="&amp;LOWER($B387)))</f>
        <v/>
      </c>
      <c r="H387" s="25">
        <f>IF(OR($A387="",$C387&lt;&gt;"qr"),"",$D387&amp;".png")</f>
        <v/>
      </c>
      <c r="I387" s="25">
        <f>IF($A387="","",IF(AND(IFERROR(IF(INDEX(campaigns!$AJ$2:$AJ$51,MATCH($A387,campaigns!$A$2:$A$51,0))="","",INDEX(campaigns!$AJ$2:$AJ$51,MATCH($A387,campaigns!$A$2:$A$51,0))),"")="",IFERROR(IF(INDEX(campaigns!$BG$2:$BG$51,MATCH($A387,campaigns!$A$2:$A$51,0))="","",INDEX(campaigns!$BG$2:$BG$51,MATCH($A387,campaigns!$A$2:$A$51,0))),"")&lt;&gt;"",IF(config!$B$37&lt;&gt;"",config!$B$37,TODAY())&gt;=WORKDAY(N(IFERROR(IF(INDEX(campaigns!$BG$2:$BG$51,MATCH($A387,campaigns!$A$2:$A$51,0))="","",INDEX(campaigns!$BG$2:$BG$51,MATCH($A387,campaigns!$A$2:$A$51,0))),"")),-4,calendar!$A$2:$A$80)),"no prefill template yet (due T-4); ","")&amp;IF(COUNTIF(links!$D$2:$D$501,$D387)&gt;1,"DUPLICATE slug; ",""))</f>
        <v/>
      </c>
    </row>
    <row r="388">
      <c r="A388" s="25">
        <f>IF(INDEX(approvals!$A$2:$A$251,INT((ROW()-2)/2)+1)="","",INDEX(approvals!$A$2:$A$251,INT((ROW()-2)/2)+1))</f>
        <v/>
      </c>
      <c r="B388" s="25">
        <f>IF(INDEX(approvals!$A$2:$A$251,INT((ROW()-2)/2)+1)="","",INDEX(approvals!$B$2:$B$251,INT((ROW()-2)/2)+1))</f>
        <v/>
      </c>
      <c r="C388" s="25">
        <f>IF($A388="","",IF(MOD(ROW()-2,2)=0,"qr","post"))</f>
        <v/>
      </c>
      <c r="D388" s="25">
        <f>IF($A388="","",IF(LEFT($A388,7)="SAMPLE-","SAMPLE-","")&amp;LOWER(SUBSTITUTE(SUBSTITUTE($A388,"SAMPLE-",""),"CMP-","c"))&amp;"-"&amp;LOWER(SUBSTITUTE(SUBSTITUTE($B388,"SAMPLE-",""),"O-","o"))&amp;"-"&amp;IF($C388="qr","q","p"))</f>
        <v/>
      </c>
      <c r="E388" s="25">
        <f>IF($A388="","","https://"&amp;config!$B$9&amp;"/"&amp;$D388)</f>
        <v/>
      </c>
      <c r="F388" s="25">
        <f>IF($A388="","",$A388&amp;"."&amp;$B388)</f>
        <v/>
      </c>
      <c r="G388" s="25">
        <f>IF($A388="","",IF(IFERROR(IF(INDEX(campaigns!$AJ$2:$AJ$51,MATCH($A388,campaigns!$A$2:$A$51,0))="","",INDEX(campaigns!$AJ$2:$AJ$51,MATCH($A388,campaigns!$A$2:$A$51,0))),"")="","(add the survey prefill template on campaigns)",SUBSTITUTE(IFERROR(IF(INDEX(campaigns!$AJ$2:$AJ$51,MATCH($A388,campaigns!$A$2:$A$51,0))="","",INDEX(campaigns!$AJ$2:$AJ$51,MATCH($A388,campaigns!$A$2:$A$51,0))),""),"CARDCODE",$F388)&amp;"&amp;utm_source=office-pantry&amp;utm_medium="&amp;$C388&amp;"&amp;utm_campaign="&amp;LOWER($A388)&amp;"&amp;utm_content="&amp;LOWER($B388)))</f>
        <v/>
      </c>
      <c r="H388" s="25">
        <f>IF(OR($A388="",$C388&lt;&gt;"qr"),"",$D388&amp;".png")</f>
        <v/>
      </c>
      <c r="I388" s="25">
        <f>IF($A388="","",IF(AND(IFERROR(IF(INDEX(campaigns!$AJ$2:$AJ$51,MATCH($A388,campaigns!$A$2:$A$51,0))="","",INDEX(campaigns!$AJ$2:$AJ$51,MATCH($A388,campaigns!$A$2:$A$51,0))),"")="",IFERROR(IF(INDEX(campaigns!$BG$2:$BG$51,MATCH($A388,campaigns!$A$2:$A$51,0))="","",INDEX(campaigns!$BG$2:$BG$51,MATCH($A388,campaigns!$A$2:$A$51,0))),"")&lt;&gt;"",IF(config!$B$37&lt;&gt;"",config!$B$37,TODAY())&gt;=WORKDAY(N(IFERROR(IF(INDEX(campaigns!$BG$2:$BG$51,MATCH($A388,campaigns!$A$2:$A$51,0))="","",INDEX(campaigns!$BG$2:$BG$51,MATCH($A388,campaigns!$A$2:$A$51,0))),"")),-4,calendar!$A$2:$A$80)),"no prefill template yet (due T-4); ","")&amp;IF(COUNTIF(links!$D$2:$D$501,$D388)&gt;1,"DUPLICATE slug; ",""))</f>
        <v/>
      </c>
    </row>
    <row r="389">
      <c r="A389" s="25">
        <f>IF(INDEX(approvals!$A$2:$A$251,INT((ROW()-2)/2)+1)="","",INDEX(approvals!$A$2:$A$251,INT((ROW()-2)/2)+1))</f>
        <v/>
      </c>
      <c r="B389" s="25">
        <f>IF(INDEX(approvals!$A$2:$A$251,INT((ROW()-2)/2)+1)="","",INDEX(approvals!$B$2:$B$251,INT((ROW()-2)/2)+1))</f>
        <v/>
      </c>
      <c r="C389" s="25">
        <f>IF($A389="","",IF(MOD(ROW()-2,2)=0,"qr","post"))</f>
        <v/>
      </c>
      <c r="D389" s="25">
        <f>IF($A389="","",IF(LEFT($A389,7)="SAMPLE-","SAMPLE-","")&amp;LOWER(SUBSTITUTE(SUBSTITUTE($A389,"SAMPLE-",""),"CMP-","c"))&amp;"-"&amp;LOWER(SUBSTITUTE(SUBSTITUTE($B389,"SAMPLE-",""),"O-","o"))&amp;"-"&amp;IF($C389="qr","q","p"))</f>
        <v/>
      </c>
      <c r="E389" s="25">
        <f>IF($A389="","","https://"&amp;config!$B$9&amp;"/"&amp;$D389)</f>
        <v/>
      </c>
      <c r="F389" s="25">
        <f>IF($A389="","",$A389&amp;"."&amp;$B389)</f>
        <v/>
      </c>
      <c r="G389" s="25">
        <f>IF($A389="","",IF(IFERROR(IF(INDEX(campaigns!$AJ$2:$AJ$51,MATCH($A389,campaigns!$A$2:$A$51,0))="","",INDEX(campaigns!$AJ$2:$AJ$51,MATCH($A389,campaigns!$A$2:$A$51,0))),"")="","(add the survey prefill template on campaigns)",SUBSTITUTE(IFERROR(IF(INDEX(campaigns!$AJ$2:$AJ$51,MATCH($A389,campaigns!$A$2:$A$51,0))="","",INDEX(campaigns!$AJ$2:$AJ$51,MATCH($A389,campaigns!$A$2:$A$51,0))),""),"CARDCODE",$F389)&amp;"&amp;utm_source=office-pantry&amp;utm_medium="&amp;$C389&amp;"&amp;utm_campaign="&amp;LOWER($A389)&amp;"&amp;utm_content="&amp;LOWER($B389)))</f>
        <v/>
      </c>
      <c r="H389" s="25">
        <f>IF(OR($A389="",$C389&lt;&gt;"qr"),"",$D389&amp;".png")</f>
        <v/>
      </c>
      <c r="I389" s="25">
        <f>IF($A389="","",IF(AND(IFERROR(IF(INDEX(campaigns!$AJ$2:$AJ$51,MATCH($A389,campaigns!$A$2:$A$51,0))="","",INDEX(campaigns!$AJ$2:$AJ$51,MATCH($A389,campaigns!$A$2:$A$51,0))),"")="",IFERROR(IF(INDEX(campaigns!$BG$2:$BG$51,MATCH($A389,campaigns!$A$2:$A$51,0))="","",INDEX(campaigns!$BG$2:$BG$51,MATCH($A389,campaigns!$A$2:$A$51,0))),"")&lt;&gt;"",IF(config!$B$37&lt;&gt;"",config!$B$37,TODAY())&gt;=WORKDAY(N(IFERROR(IF(INDEX(campaigns!$BG$2:$BG$51,MATCH($A389,campaigns!$A$2:$A$51,0))="","",INDEX(campaigns!$BG$2:$BG$51,MATCH($A389,campaigns!$A$2:$A$51,0))),"")),-4,calendar!$A$2:$A$80)),"no prefill template yet (due T-4); ","")&amp;IF(COUNTIF(links!$D$2:$D$501,$D389)&gt;1,"DUPLICATE slug; ",""))</f>
        <v/>
      </c>
    </row>
    <row r="390">
      <c r="A390" s="25">
        <f>IF(INDEX(approvals!$A$2:$A$251,INT((ROW()-2)/2)+1)="","",INDEX(approvals!$A$2:$A$251,INT((ROW()-2)/2)+1))</f>
        <v/>
      </c>
      <c r="B390" s="25">
        <f>IF(INDEX(approvals!$A$2:$A$251,INT((ROW()-2)/2)+1)="","",INDEX(approvals!$B$2:$B$251,INT((ROW()-2)/2)+1))</f>
        <v/>
      </c>
      <c r="C390" s="25">
        <f>IF($A390="","",IF(MOD(ROW()-2,2)=0,"qr","post"))</f>
        <v/>
      </c>
      <c r="D390" s="25">
        <f>IF($A390="","",IF(LEFT($A390,7)="SAMPLE-","SAMPLE-","")&amp;LOWER(SUBSTITUTE(SUBSTITUTE($A390,"SAMPLE-",""),"CMP-","c"))&amp;"-"&amp;LOWER(SUBSTITUTE(SUBSTITUTE($B390,"SAMPLE-",""),"O-","o"))&amp;"-"&amp;IF($C390="qr","q","p"))</f>
        <v/>
      </c>
      <c r="E390" s="25">
        <f>IF($A390="","","https://"&amp;config!$B$9&amp;"/"&amp;$D390)</f>
        <v/>
      </c>
      <c r="F390" s="25">
        <f>IF($A390="","",$A390&amp;"."&amp;$B390)</f>
        <v/>
      </c>
      <c r="G390" s="25">
        <f>IF($A390="","",IF(IFERROR(IF(INDEX(campaigns!$AJ$2:$AJ$51,MATCH($A390,campaigns!$A$2:$A$51,0))="","",INDEX(campaigns!$AJ$2:$AJ$51,MATCH($A390,campaigns!$A$2:$A$51,0))),"")="","(add the survey prefill template on campaigns)",SUBSTITUTE(IFERROR(IF(INDEX(campaigns!$AJ$2:$AJ$51,MATCH($A390,campaigns!$A$2:$A$51,0))="","",INDEX(campaigns!$AJ$2:$AJ$51,MATCH($A390,campaigns!$A$2:$A$51,0))),""),"CARDCODE",$F390)&amp;"&amp;utm_source=office-pantry&amp;utm_medium="&amp;$C390&amp;"&amp;utm_campaign="&amp;LOWER($A390)&amp;"&amp;utm_content="&amp;LOWER($B390)))</f>
        <v/>
      </c>
      <c r="H390" s="25">
        <f>IF(OR($A390="",$C390&lt;&gt;"qr"),"",$D390&amp;".png")</f>
        <v/>
      </c>
      <c r="I390" s="25">
        <f>IF($A390="","",IF(AND(IFERROR(IF(INDEX(campaigns!$AJ$2:$AJ$51,MATCH($A390,campaigns!$A$2:$A$51,0))="","",INDEX(campaigns!$AJ$2:$AJ$51,MATCH($A390,campaigns!$A$2:$A$51,0))),"")="",IFERROR(IF(INDEX(campaigns!$BG$2:$BG$51,MATCH($A390,campaigns!$A$2:$A$51,0))="","",INDEX(campaigns!$BG$2:$BG$51,MATCH($A390,campaigns!$A$2:$A$51,0))),"")&lt;&gt;"",IF(config!$B$37&lt;&gt;"",config!$B$37,TODAY())&gt;=WORKDAY(N(IFERROR(IF(INDEX(campaigns!$BG$2:$BG$51,MATCH($A390,campaigns!$A$2:$A$51,0))="","",INDEX(campaigns!$BG$2:$BG$51,MATCH($A390,campaigns!$A$2:$A$51,0))),"")),-4,calendar!$A$2:$A$80)),"no prefill template yet (due T-4); ","")&amp;IF(COUNTIF(links!$D$2:$D$501,$D390)&gt;1,"DUPLICATE slug; ",""))</f>
        <v/>
      </c>
    </row>
    <row r="391">
      <c r="A391" s="25">
        <f>IF(INDEX(approvals!$A$2:$A$251,INT((ROW()-2)/2)+1)="","",INDEX(approvals!$A$2:$A$251,INT((ROW()-2)/2)+1))</f>
        <v/>
      </c>
      <c r="B391" s="25">
        <f>IF(INDEX(approvals!$A$2:$A$251,INT((ROW()-2)/2)+1)="","",INDEX(approvals!$B$2:$B$251,INT((ROW()-2)/2)+1))</f>
        <v/>
      </c>
      <c r="C391" s="25">
        <f>IF($A391="","",IF(MOD(ROW()-2,2)=0,"qr","post"))</f>
        <v/>
      </c>
      <c r="D391" s="25">
        <f>IF($A391="","",IF(LEFT($A391,7)="SAMPLE-","SAMPLE-","")&amp;LOWER(SUBSTITUTE(SUBSTITUTE($A391,"SAMPLE-",""),"CMP-","c"))&amp;"-"&amp;LOWER(SUBSTITUTE(SUBSTITUTE($B391,"SAMPLE-",""),"O-","o"))&amp;"-"&amp;IF($C391="qr","q","p"))</f>
        <v/>
      </c>
      <c r="E391" s="25">
        <f>IF($A391="","","https://"&amp;config!$B$9&amp;"/"&amp;$D391)</f>
        <v/>
      </c>
      <c r="F391" s="25">
        <f>IF($A391="","",$A391&amp;"."&amp;$B391)</f>
        <v/>
      </c>
      <c r="G391" s="25">
        <f>IF($A391="","",IF(IFERROR(IF(INDEX(campaigns!$AJ$2:$AJ$51,MATCH($A391,campaigns!$A$2:$A$51,0))="","",INDEX(campaigns!$AJ$2:$AJ$51,MATCH($A391,campaigns!$A$2:$A$51,0))),"")="","(add the survey prefill template on campaigns)",SUBSTITUTE(IFERROR(IF(INDEX(campaigns!$AJ$2:$AJ$51,MATCH($A391,campaigns!$A$2:$A$51,0))="","",INDEX(campaigns!$AJ$2:$AJ$51,MATCH($A391,campaigns!$A$2:$A$51,0))),""),"CARDCODE",$F391)&amp;"&amp;utm_source=office-pantry&amp;utm_medium="&amp;$C391&amp;"&amp;utm_campaign="&amp;LOWER($A391)&amp;"&amp;utm_content="&amp;LOWER($B391)))</f>
        <v/>
      </c>
      <c r="H391" s="25">
        <f>IF(OR($A391="",$C391&lt;&gt;"qr"),"",$D391&amp;".png")</f>
        <v/>
      </c>
      <c r="I391" s="25">
        <f>IF($A391="","",IF(AND(IFERROR(IF(INDEX(campaigns!$AJ$2:$AJ$51,MATCH($A391,campaigns!$A$2:$A$51,0))="","",INDEX(campaigns!$AJ$2:$AJ$51,MATCH($A391,campaigns!$A$2:$A$51,0))),"")="",IFERROR(IF(INDEX(campaigns!$BG$2:$BG$51,MATCH($A391,campaigns!$A$2:$A$51,0))="","",INDEX(campaigns!$BG$2:$BG$51,MATCH($A391,campaigns!$A$2:$A$51,0))),"")&lt;&gt;"",IF(config!$B$37&lt;&gt;"",config!$B$37,TODAY())&gt;=WORKDAY(N(IFERROR(IF(INDEX(campaigns!$BG$2:$BG$51,MATCH($A391,campaigns!$A$2:$A$51,0))="","",INDEX(campaigns!$BG$2:$BG$51,MATCH($A391,campaigns!$A$2:$A$51,0))),"")),-4,calendar!$A$2:$A$80)),"no prefill template yet (due T-4); ","")&amp;IF(COUNTIF(links!$D$2:$D$501,$D391)&gt;1,"DUPLICATE slug; ",""))</f>
        <v/>
      </c>
    </row>
    <row r="392">
      <c r="A392" s="25">
        <f>IF(INDEX(approvals!$A$2:$A$251,INT((ROW()-2)/2)+1)="","",INDEX(approvals!$A$2:$A$251,INT((ROW()-2)/2)+1))</f>
        <v/>
      </c>
      <c r="B392" s="25">
        <f>IF(INDEX(approvals!$A$2:$A$251,INT((ROW()-2)/2)+1)="","",INDEX(approvals!$B$2:$B$251,INT((ROW()-2)/2)+1))</f>
        <v/>
      </c>
      <c r="C392" s="25">
        <f>IF($A392="","",IF(MOD(ROW()-2,2)=0,"qr","post"))</f>
        <v/>
      </c>
      <c r="D392" s="25">
        <f>IF($A392="","",IF(LEFT($A392,7)="SAMPLE-","SAMPLE-","")&amp;LOWER(SUBSTITUTE(SUBSTITUTE($A392,"SAMPLE-",""),"CMP-","c"))&amp;"-"&amp;LOWER(SUBSTITUTE(SUBSTITUTE($B392,"SAMPLE-",""),"O-","o"))&amp;"-"&amp;IF($C392="qr","q","p"))</f>
        <v/>
      </c>
      <c r="E392" s="25">
        <f>IF($A392="","","https://"&amp;config!$B$9&amp;"/"&amp;$D392)</f>
        <v/>
      </c>
      <c r="F392" s="25">
        <f>IF($A392="","",$A392&amp;"."&amp;$B392)</f>
        <v/>
      </c>
      <c r="G392" s="25">
        <f>IF($A392="","",IF(IFERROR(IF(INDEX(campaigns!$AJ$2:$AJ$51,MATCH($A392,campaigns!$A$2:$A$51,0))="","",INDEX(campaigns!$AJ$2:$AJ$51,MATCH($A392,campaigns!$A$2:$A$51,0))),"")="","(add the survey prefill template on campaigns)",SUBSTITUTE(IFERROR(IF(INDEX(campaigns!$AJ$2:$AJ$51,MATCH($A392,campaigns!$A$2:$A$51,0))="","",INDEX(campaigns!$AJ$2:$AJ$51,MATCH($A392,campaigns!$A$2:$A$51,0))),""),"CARDCODE",$F392)&amp;"&amp;utm_source=office-pantry&amp;utm_medium="&amp;$C392&amp;"&amp;utm_campaign="&amp;LOWER($A392)&amp;"&amp;utm_content="&amp;LOWER($B392)))</f>
        <v/>
      </c>
      <c r="H392" s="25">
        <f>IF(OR($A392="",$C392&lt;&gt;"qr"),"",$D392&amp;".png")</f>
        <v/>
      </c>
      <c r="I392" s="25">
        <f>IF($A392="","",IF(AND(IFERROR(IF(INDEX(campaigns!$AJ$2:$AJ$51,MATCH($A392,campaigns!$A$2:$A$51,0))="","",INDEX(campaigns!$AJ$2:$AJ$51,MATCH($A392,campaigns!$A$2:$A$51,0))),"")="",IFERROR(IF(INDEX(campaigns!$BG$2:$BG$51,MATCH($A392,campaigns!$A$2:$A$51,0))="","",INDEX(campaigns!$BG$2:$BG$51,MATCH($A392,campaigns!$A$2:$A$51,0))),"")&lt;&gt;"",IF(config!$B$37&lt;&gt;"",config!$B$37,TODAY())&gt;=WORKDAY(N(IFERROR(IF(INDEX(campaigns!$BG$2:$BG$51,MATCH($A392,campaigns!$A$2:$A$51,0))="","",INDEX(campaigns!$BG$2:$BG$51,MATCH($A392,campaigns!$A$2:$A$51,0))),"")),-4,calendar!$A$2:$A$80)),"no prefill template yet (due T-4); ","")&amp;IF(COUNTIF(links!$D$2:$D$501,$D392)&gt;1,"DUPLICATE slug; ",""))</f>
        <v/>
      </c>
    </row>
    <row r="393">
      <c r="A393" s="25">
        <f>IF(INDEX(approvals!$A$2:$A$251,INT((ROW()-2)/2)+1)="","",INDEX(approvals!$A$2:$A$251,INT((ROW()-2)/2)+1))</f>
        <v/>
      </c>
      <c r="B393" s="25">
        <f>IF(INDEX(approvals!$A$2:$A$251,INT((ROW()-2)/2)+1)="","",INDEX(approvals!$B$2:$B$251,INT((ROW()-2)/2)+1))</f>
        <v/>
      </c>
      <c r="C393" s="25">
        <f>IF($A393="","",IF(MOD(ROW()-2,2)=0,"qr","post"))</f>
        <v/>
      </c>
      <c r="D393" s="25">
        <f>IF($A393="","",IF(LEFT($A393,7)="SAMPLE-","SAMPLE-","")&amp;LOWER(SUBSTITUTE(SUBSTITUTE($A393,"SAMPLE-",""),"CMP-","c"))&amp;"-"&amp;LOWER(SUBSTITUTE(SUBSTITUTE($B393,"SAMPLE-",""),"O-","o"))&amp;"-"&amp;IF($C393="qr","q","p"))</f>
        <v/>
      </c>
      <c r="E393" s="25">
        <f>IF($A393="","","https://"&amp;config!$B$9&amp;"/"&amp;$D393)</f>
        <v/>
      </c>
      <c r="F393" s="25">
        <f>IF($A393="","",$A393&amp;"."&amp;$B393)</f>
        <v/>
      </c>
      <c r="G393" s="25">
        <f>IF($A393="","",IF(IFERROR(IF(INDEX(campaigns!$AJ$2:$AJ$51,MATCH($A393,campaigns!$A$2:$A$51,0))="","",INDEX(campaigns!$AJ$2:$AJ$51,MATCH($A393,campaigns!$A$2:$A$51,0))),"")="","(add the survey prefill template on campaigns)",SUBSTITUTE(IFERROR(IF(INDEX(campaigns!$AJ$2:$AJ$51,MATCH($A393,campaigns!$A$2:$A$51,0))="","",INDEX(campaigns!$AJ$2:$AJ$51,MATCH($A393,campaigns!$A$2:$A$51,0))),""),"CARDCODE",$F393)&amp;"&amp;utm_source=office-pantry&amp;utm_medium="&amp;$C393&amp;"&amp;utm_campaign="&amp;LOWER($A393)&amp;"&amp;utm_content="&amp;LOWER($B393)))</f>
        <v/>
      </c>
      <c r="H393" s="25">
        <f>IF(OR($A393="",$C393&lt;&gt;"qr"),"",$D393&amp;".png")</f>
        <v/>
      </c>
      <c r="I393" s="25">
        <f>IF($A393="","",IF(AND(IFERROR(IF(INDEX(campaigns!$AJ$2:$AJ$51,MATCH($A393,campaigns!$A$2:$A$51,0))="","",INDEX(campaigns!$AJ$2:$AJ$51,MATCH($A393,campaigns!$A$2:$A$51,0))),"")="",IFERROR(IF(INDEX(campaigns!$BG$2:$BG$51,MATCH($A393,campaigns!$A$2:$A$51,0))="","",INDEX(campaigns!$BG$2:$BG$51,MATCH($A393,campaigns!$A$2:$A$51,0))),"")&lt;&gt;"",IF(config!$B$37&lt;&gt;"",config!$B$37,TODAY())&gt;=WORKDAY(N(IFERROR(IF(INDEX(campaigns!$BG$2:$BG$51,MATCH($A393,campaigns!$A$2:$A$51,0))="","",INDEX(campaigns!$BG$2:$BG$51,MATCH($A393,campaigns!$A$2:$A$51,0))),"")),-4,calendar!$A$2:$A$80)),"no prefill template yet (due T-4); ","")&amp;IF(COUNTIF(links!$D$2:$D$501,$D393)&gt;1,"DUPLICATE slug; ",""))</f>
        <v/>
      </c>
    </row>
    <row r="394">
      <c r="A394" s="25">
        <f>IF(INDEX(approvals!$A$2:$A$251,INT((ROW()-2)/2)+1)="","",INDEX(approvals!$A$2:$A$251,INT((ROW()-2)/2)+1))</f>
        <v/>
      </c>
      <c r="B394" s="25">
        <f>IF(INDEX(approvals!$A$2:$A$251,INT((ROW()-2)/2)+1)="","",INDEX(approvals!$B$2:$B$251,INT((ROW()-2)/2)+1))</f>
        <v/>
      </c>
      <c r="C394" s="25">
        <f>IF($A394="","",IF(MOD(ROW()-2,2)=0,"qr","post"))</f>
        <v/>
      </c>
      <c r="D394" s="25">
        <f>IF($A394="","",IF(LEFT($A394,7)="SAMPLE-","SAMPLE-","")&amp;LOWER(SUBSTITUTE(SUBSTITUTE($A394,"SAMPLE-",""),"CMP-","c"))&amp;"-"&amp;LOWER(SUBSTITUTE(SUBSTITUTE($B394,"SAMPLE-",""),"O-","o"))&amp;"-"&amp;IF($C394="qr","q","p"))</f>
        <v/>
      </c>
      <c r="E394" s="25">
        <f>IF($A394="","","https://"&amp;config!$B$9&amp;"/"&amp;$D394)</f>
        <v/>
      </c>
      <c r="F394" s="25">
        <f>IF($A394="","",$A394&amp;"."&amp;$B394)</f>
        <v/>
      </c>
      <c r="G394" s="25">
        <f>IF($A394="","",IF(IFERROR(IF(INDEX(campaigns!$AJ$2:$AJ$51,MATCH($A394,campaigns!$A$2:$A$51,0))="","",INDEX(campaigns!$AJ$2:$AJ$51,MATCH($A394,campaigns!$A$2:$A$51,0))),"")="","(add the survey prefill template on campaigns)",SUBSTITUTE(IFERROR(IF(INDEX(campaigns!$AJ$2:$AJ$51,MATCH($A394,campaigns!$A$2:$A$51,0))="","",INDEX(campaigns!$AJ$2:$AJ$51,MATCH($A394,campaigns!$A$2:$A$51,0))),""),"CARDCODE",$F394)&amp;"&amp;utm_source=office-pantry&amp;utm_medium="&amp;$C394&amp;"&amp;utm_campaign="&amp;LOWER($A394)&amp;"&amp;utm_content="&amp;LOWER($B394)))</f>
        <v/>
      </c>
      <c r="H394" s="25">
        <f>IF(OR($A394="",$C394&lt;&gt;"qr"),"",$D394&amp;".png")</f>
        <v/>
      </c>
      <c r="I394" s="25">
        <f>IF($A394="","",IF(AND(IFERROR(IF(INDEX(campaigns!$AJ$2:$AJ$51,MATCH($A394,campaigns!$A$2:$A$51,0))="","",INDEX(campaigns!$AJ$2:$AJ$51,MATCH($A394,campaigns!$A$2:$A$51,0))),"")="",IFERROR(IF(INDEX(campaigns!$BG$2:$BG$51,MATCH($A394,campaigns!$A$2:$A$51,0))="","",INDEX(campaigns!$BG$2:$BG$51,MATCH($A394,campaigns!$A$2:$A$51,0))),"")&lt;&gt;"",IF(config!$B$37&lt;&gt;"",config!$B$37,TODAY())&gt;=WORKDAY(N(IFERROR(IF(INDEX(campaigns!$BG$2:$BG$51,MATCH($A394,campaigns!$A$2:$A$51,0))="","",INDEX(campaigns!$BG$2:$BG$51,MATCH($A394,campaigns!$A$2:$A$51,0))),"")),-4,calendar!$A$2:$A$80)),"no prefill template yet (due T-4); ","")&amp;IF(COUNTIF(links!$D$2:$D$501,$D394)&gt;1,"DUPLICATE slug; ",""))</f>
        <v/>
      </c>
    </row>
    <row r="395">
      <c r="A395" s="25">
        <f>IF(INDEX(approvals!$A$2:$A$251,INT((ROW()-2)/2)+1)="","",INDEX(approvals!$A$2:$A$251,INT((ROW()-2)/2)+1))</f>
        <v/>
      </c>
      <c r="B395" s="25">
        <f>IF(INDEX(approvals!$A$2:$A$251,INT((ROW()-2)/2)+1)="","",INDEX(approvals!$B$2:$B$251,INT((ROW()-2)/2)+1))</f>
        <v/>
      </c>
      <c r="C395" s="25">
        <f>IF($A395="","",IF(MOD(ROW()-2,2)=0,"qr","post"))</f>
        <v/>
      </c>
      <c r="D395" s="25">
        <f>IF($A395="","",IF(LEFT($A395,7)="SAMPLE-","SAMPLE-","")&amp;LOWER(SUBSTITUTE(SUBSTITUTE($A395,"SAMPLE-",""),"CMP-","c"))&amp;"-"&amp;LOWER(SUBSTITUTE(SUBSTITUTE($B395,"SAMPLE-",""),"O-","o"))&amp;"-"&amp;IF($C395="qr","q","p"))</f>
        <v/>
      </c>
      <c r="E395" s="25">
        <f>IF($A395="","","https://"&amp;config!$B$9&amp;"/"&amp;$D395)</f>
        <v/>
      </c>
      <c r="F395" s="25">
        <f>IF($A395="","",$A395&amp;"."&amp;$B395)</f>
        <v/>
      </c>
      <c r="G395" s="25">
        <f>IF($A395="","",IF(IFERROR(IF(INDEX(campaigns!$AJ$2:$AJ$51,MATCH($A395,campaigns!$A$2:$A$51,0))="","",INDEX(campaigns!$AJ$2:$AJ$51,MATCH($A395,campaigns!$A$2:$A$51,0))),"")="","(add the survey prefill template on campaigns)",SUBSTITUTE(IFERROR(IF(INDEX(campaigns!$AJ$2:$AJ$51,MATCH($A395,campaigns!$A$2:$A$51,0))="","",INDEX(campaigns!$AJ$2:$AJ$51,MATCH($A395,campaigns!$A$2:$A$51,0))),""),"CARDCODE",$F395)&amp;"&amp;utm_source=office-pantry&amp;utm_medium="&amp;$C395&amp;"&amp;utm_campaign="&amp;LOWER($A395)&amp;"&amp;utm_content="&amp;LOWER($B395)))</f>
        <v/>
      </c>
      <c r="H395" s="25">
        <f>IF(OR($A395="",$C395&lt;&gt;"qr"),"",$D395&amp;".png")</f>
        <v/>
      </c>
      <c r="I395" s="25">
        <f>IF($A395="","",IF(AND(IFERROR(IF(INDEX(campaigns!$AJ$2:$AJ$51,MATCH($A395,campaigns!$A$2:$A$51,0))="","",INDEX(campaigns!$AJ$2:$AJ$51,MATCH($A395,campaigns!$A$2:$A$51,0))),"")="",IFERROR(IF(INDEX(campaigns!$BG$2:$BG$51,MATCH($A395,campaigns!$A$2:$A$51,0))="","",INDEX(campaigns!$BG$2:$BG$51,MATCH($A395,campaigns!$A$2:$A$51,0))),"")&lt;&gt;"",IF(config!$B$37&lt;&gt;"",config!$B$37,TODAY())&gt;=WORKDAY(N(IFERROR(IF(INDEX(campaigns!$BG$2:$BG$51,MATCH($A395,campaigns!$A$2:$A$51,0))="","",INDEX(campaigns!$BG$2:$BG$51,MATCH($A395,campaigns!$A$2:$A$51,0))),"")),-4,calendar!$A$2:$A$80)),"no prefill template yet (due T-4); ","")&amp;IF(COUNTIF(links!$D$2:$D$501,$D395)&gt;1,"DUPLICATE slug; ",""))</f>
        <v/>
      </c>
    </row>
    <row r="396">
      <c r="A396" s="25">
        <f>IF(INDEX(approvals!$A$2:$A$251,INT((ROW()-2)/2)+1)="","",INDEX(approvals!$A$2:$A$251,INT((ROW()-2)/2)+1))</f>
        <v/>
      </c>
      <c r="B396" s="25">
        <f>IF(INDEX(approvals!$A$2:$A$251,INT((ROW()-2)/2)+1)="","",INDEX(approvals!$B$2:$B$251,INT((ROW()-2)/2)+1))</f>
        <v/>
      </c>
      <c r="C396" s="25">
        <f>IF($A396="","",IF(MOD(ROW()-2,2)=0,"qr","post"))</f>
        <v/>
      </c>
      <c r="D396" s="25">
        <f>IF($A396="","",IF(LEFT($A396,7)="SAMPLE-","SAMPLE-","")&amp;LOWER(SUBSTITUTE(SUBSTITUTE($A396,"SAMPLE-",""),"CMP-","c"))&amp;"-"&amp;LOWER(SUBSTITUTE(SUBSTITUTE($B396,"SAMPLE-",""),"O-","o"))&amp;"-"&amp;IF($C396="qr","q","p"))</f>
        <v/>
      </c>
      <c r="E396" s="25">
        <f>IF($A396="","","https://"&amp;config!$B$9&amp;"/"&amp;$D396)</f>
        <v/>
      </c>
      <c r="F396" s="25">
        <f>IF($A396="","",$A396&amp;"."&amp;$B396)</f>
        <v/>
      </c>
      <c r="G396" s="25">
        <f>IF($A396="","",IF(IFERROR(IF(INDEX(campaigns!$AJ$2:$AJ$51,MATCH($A396,campaigns!$A$2:$A$51,0))="","",INDEX(campaigns!$AJ$2:$AJ$51,MATCH($A396,campaigns!$A$2:$A$51,0))),"")="","(add the survey prefill template on campaigns)",SUBSTITUTE(IFERROR(IF(INDEX(campaigns!$AJ$2:$AJ$51,MATCH($A396,campaigns!$A$2:$A$51,0))="","",INDEX(campaigns!$AJ$2:$AJ$51,MATCH($A396,campaigns!$A$2:$A$51,0))),""),"CARDCODE",$F396)&amp;"&amp;utm_source=office-pantry&amp;utm_medium="&amp;$C396&amp;"&amp;utm_campaign="&amp;LOWER($A396)&amp;"&amp;utm_content="&amp;LOWER($B396)))</f>
        <v/>
      </c>
      <c r="H396" s="25">
        <f>IF(OR($A396="",$C396&lt;&gt;"qr"),"",$D396&amp;".png")</f>
        <v/>
      </c>
      <c r="I396" s="25">
        <f>IF($A396="","",IF(AND(IFERROR(IF(INDEX(campaigns!$AJ$2:$AJ$51,MATCH($A396,campaigns!$A$2:$A$51,0))="","",INDEX(campaigns!$AJ$2:$AJ$51,MATCH($A396,campaigns!$A$2:$A$51,0))),"")="",IFERROR(IF(INDEX(campaigns!$BG$2:$BG$51,MATCH($A396,campaigns!$A$2:$A$51,0))="","",INDEX(campaigns!$BG$2:$BG$51,MATCH($A396,campaigns!$A$2:$A$51,0))),"")&lt;&gt;"",IF(config!$B$37&lt;&gt;"",config!$B$37,TODAY())&gt;=WORKDAY(N(IFERROR(IF(INDEX(campaigns!$BG$2:$BG$51,MATCH($A396,campaigns!$A$2:$A$51,0))="","",INDEX(campaigns!$BG$2:$BG$51,MATCH($A396,campaigns!$A$2:$A$51,0))),"")),-4,calendar!$A$2:$A$80)),"no prefill template yet (due T-4); ","")&amp;IF(COUNTIF(links!$D$2:$D$501,$D396)&gt;1,"DUPLICATE slug; ",""))</f>
        <v/>
      </c>
    </row>
    <row r="397">
      <c r="A397" s="25">
        <f>IF(INDEX(approvals!$A$2:$A$251,INT((ROW()-2)/2)+1)="","",INDEX(approvals!$A$2:$A$251,INT((ROW()-2)/2)+1))</f>
        <v/>
      </c>
      <c r="B397" s="25">
        <f>IF(INDEX(approvals!$A$2:$A$251,INT((ROW()-2)/2)+1)="","",INDEX(approvals!$B$2:$B$251,INT((ROW()-2)/2)+1))</f>
        <v/>
      </c>
      <c r="C397" s="25">
        <f>IF($A397="","",IF(MOD(ROW()-2,2)=0,"qr","post"))</f>
        <v/>
      </c>
      <c r="D397" s="25">
        <f>IF($A397="","",IF(LEFT($A397,7)="SAMPLE-","SAMPLE-","")&amp;LOWER(SUBSTITUTE(SUBSTITUTE($A397,"SAMPLE-",""),"CMP-","c"))&amp;"-"&amp;LOWER(SUBSTITUTE(SUBSTITUTE($B397,"SAMPLE-",""),"O-","o"))&amp;"-"&amp;IF($C397="qr","q","p"))</f>
        <v/>
      </c>
      <c r="E397" s="25">
        <f>IF($A397="","","https://"&amp;config!$B$9&amp;"/"&amp;$D397)</f>
        <v/>
      </c>
      <c r="F397" s="25">
        <f>IF($A397="","",$A397&amp;"."&amp;$B397)</f>
        <v/>
      </c>
      <c r="G397" s="25">
        <f>IF($A397="","",IF(IFERROR(IF(INDEX(campaigns!$AJ$2:$AJ$51,MATCH($A397,campaigns!$A$2:$A$51,0))="","",INDEX(campaigns!$AJ$2:$AJ$51,MATCH($A397,campaigns!$A$2:$A$51,0))),"")="","(add the survey prefill template on campaigns)",SUBSTITUTE(IFERROR(IF(INDEX(campaigns!$AJ$2:$AJ$51,MATCH($A397,campaigns!$A$2:$A$51,0))="","",INDEX(campaigns!$AJ$2:$AJ$51,MATCH($A397,campaigns!$A$2:$A$51,0))),""),"CARDCODE",$F397)&amp;"&amp;utm_source=office-pantry&amp;utm_medium="&amp;$C397&amp;"&amp;utm_campaign="&amp;LOWER($A397)&amp;"&amp;utm_content="&amp;LOWER($B397)))</f>
        <v/>
      </c>
      <c r="H397" s="25">
        <f>IF(OR($A397="",$C397&lt;&gt;"qr"),"",$D397&amp;".png")</f>
        <v/>
      </c>
      <c r="I397" s="25">
        <f>IF($A397="","",IF(AND(IFERROR(IF(INDEX(campaigns!$AJ$2:$AJ$51,MATCH($A397,campaigns!$A$2:$A$51,0))="","",INDEX(campaigns!$AJ$2:$AJ$51,MATCH($A397,campaigns!$A$2:$A$51,0))),"")="",IFERROR(IF(INDEX(campaigns!$BG$2:$BG$51,MATCH($A397,campaigns!$A$2:$A$51,0))="","",INDEX(campaigns!$BG$2:$BG$51,MATCH($A397,campaigns!$A$2:$A$51,0))),"")&lt;&gt;"",IF(config!$B$37&lt;&gt;"",config!$B$37,TODAY())&gt;=WORKDAY(N(IFERROR(IF(INDEX(campaigns!$BG$2:$BG$51,MATCH($A397,campaigns!$A$2:$A$51,0))="","",INDEX(campaigns!$BG$2:$BG$51,MATCH($A397,campaigns!$A$2:$A$51,0))),"")),-4,calendar!$A$2:$A$80)),"no prefill template yet (due T-4); ","")&amp;IF(COUNTIF(links!$D$2:$D$501,$D397)&gt;1,"DUPLICATE slug; ",""))</f>
        <v/>
      </c>
    </row>
    <row r="398">
      <c r="A398" s="25">
        <f>IF(INDEX(approvals!$A$2:$A$251,INT((ROW()-2)/2)+1)="","",INDEX(approvals!$A$2:$A$251,INT((ROW()-2)/2)+1))</f>
        <v/>
      </c>
      <c r="B398" s="25">
        <f>IF(INDEX(approvals!$A$2:$A$251,INT((ROW()-2)/2)+1)="","",INDEX(approvals!$B$2:$B$251,INT((ROW()-2)/2)+1))</f>
        <v/>
      </c>
      <c r="C398" s="25">
        <f>IF($A398="","",IF(MOD(ROW()-2,2)=0,"qr","post"))</f>
        <v/>
      </c>
      <c r="D398" s="25">
        <f>IF($A398="","",IF(LEFT($A398,7)="SAMPLE-","SAMPLE-","")&amp;LOWER(SUBSTITUTE(SUBSTITUTE($A398,"SAMPLE-",""),"CMP-","c"))&amp;"-"&amp;LOWER(SUBSTITUTE(SUBSTITUTE($B398,"SAMPLE-",""),"O-","o"))&amp;"-"&amp;IF($C398="qr","q","p"))</f>
        <v/>
      </c>
      <c r="E398" s="25">
        <f>IF($A398="","","https://"&amp;config!$B$9&amp;"/"&amp;$D398)</f>
        <v/>
      </c>
      <c r="F398" s="25">
        <f>IF($A398="","",$A398&amp;"."&amp;$B398)</f>
        <v/>
      </c>
      <c r="G398" s="25">
        <f>IF($A398="","",IF(IFERROR(IF(INDEX(campaigns!$AJ$2:$AJ$51,MATCH($A398,campaigns!$A$2:$A$51,0))="","",INDEX(campaigns!$AJ$2:$AJ$51,MATCH($A398,campaigns!$A$2:$A$51,0))),"")="","(add the survey prefill template on campaigns)",SUBSTITUTE(IFERROR(IF(INDEX(campaigns!$AJ$2:$AJ$51,MATCH($A398,campaigns!$A$2:$A$51,0))="","",INDEX(campaigns!$AJ$2:$AJ$51,MATCH($A398,campaigns!$A$2:$A$51,0))),""),"CARDCODE",$F398)&amp;"&amp;utm_source=office-pantry&amp;utm_medium="&amp;$C398&amp;"&amp;utm_campaign="&amp;LOWER($A398)&amp;"&amp;utm_content="&amp;LOWER($B398)))</f>
        <v/>
      </c>
      <c r="H398" s="25">
        <f>IF(OR($A398="",$C398&lt;&gt;"qr"),"",$D398&amp;".png")</f>
        <v/>
      </c>
      <c r="I398" s="25">
        <f>IF($A398="","",IF(AND(IFERROR(IF(INDEX(campaigns!$AJ$2:$AJ$51,MATCH($A398,campaigns!$A$2:$A$51,0))="","",INDEX(campaigns!$AJ$2:$AJ$51,MATCH($A398,campaigns!$A$2:$A$51,0))),"")="",IFERROR(IF(INDEX(campaigns!$BG$2:$BG$51,MATCH($A398,campaigns!$A$2:$A$51,0))="","",INDEX(campaigns!$BG$2:$BG$51,MATCH($A398,campaigns!$A$2:$A$51,0))),"")&lt;&gt;"",IF(config!$B$37&lt;&gt;"",config!$B$37,TODAY())&gt;=WORKDAY(N(IFERROR(IF(INDEX(campaigns!$BG$2:$BG$51,MATCH($A398,campaigns!$A$2:$A$51,0))="","",INDEX(campaigns!$BG$2:$BG$51,MATCH($A398,campaigns!$A$2:$A$51,0))),"")),-4,calendar!$A$2:$A$80)),"no prefill template yet (due T-4); ","")&amp;IF(COUNTIF(links!$D$2:$D$501,$D398)&gt;1,"DUPLICATE slug; ",""))</f>
        <v/>
      </c>
    </row>
    <row r="399">
      <c r="A399" s="25">
        <f>IF(INDEX(approvals!$A$2:$A$251,INT((ROW()-2)/2)+1)="","",INDEX(approvals!$A$2:$A$251,INT((ROW()-2)/2)+1))</f>
        <v/>
      </c>
      <c r="B399" s="25">
        <f>IF(INDEX(approvals!$A$2:$A$251,INT((ROW()-2)/2)+1)="","",INDEX(approvals!$B$2:$B$251,INT((ROW()-2)/2)+1))</f>
        <v/>
      </c>
      <c r="C399" s="25">
        <f>IF($A399="","",IF(MOD(ROW()-2,2)=0,"qr","post"))</f>
        <v/>
      </c>
      <c r="D399" s="25">
        <f>IF($A399="","",IF(LEFT($A399,7)="SAMPLE-","SAMPLE-","")&amp;LOWER(SUBSTITUTE(SUBSTITUTE($A399,"SAMPLE-",""),"CMP-","c"))&amp;"-"&amp;LOWER(SUBSTITUTE(SUBSTITUTE($B399,"SAMPLE-",""),"O-","o"))&amp;"-"&amp;IF($C399="qr","q","p"))</f>
        <v/>
      </c>
      <c r="E399" s="25">
        <f>IF($A399="","","https://"&amp;config!$B$9&amp;"/"&amp;$D399)</f>
        <v/>
      </c>
      <c r="F399" s="25">
        <f>IF($A399="","",$A399&amp;"."&amp;$B399)</f>
        <v/>
      </c>
      <c r="G399" s="25">
        <f>IF($A399="","",IF(IFERROR(IF(INDEX(campaigns!$AJ$2:$AJ$51,MATCH($A399,campaigns!$A$2:$A$51,0))="","",INDEX(campaigns!$AJ$2:$AJ$51,MATCH($A399,campaigns!$A$2:$A$51,0))),"")="","(add the survey prefill template on campaigns)",SUBSTITUTE(IFERROR(IF(INDEX(campaigns!$AJ$2:$AJ$51,MATCH($A399,campaigns!$A$2:$A$51,0))="","",INDEX(campaigns!$AJ$2:$AJ$51,MATCH($A399,campaigns!$A$2:$A$51,0))),""),"CARDCODE",$F399)&amp;"&amp;utm_source=office-pantry&amp;utm_medium="&amp;$C399&amp;"&amp;utm_campaign="&amp;LOWER($A399)&amp;"&amp;utm_content="&amp;LOWER($B399)))</f>
        <v/>
      </c>
      <c r="H399" s="25">
        <f>IF(OR($A399="",$C399&lt;&gt;"qr"),"",$D399&amp;".png")</f>
        <v/>
      </c>
      <c r="I399" s="25">
        <f>IF($A399="","",IF(AND(IFERROR(IF(INDEX(campaigns!$AJ$2:$AJ$51,MATCH($A399,campaigns!$A$2:$A$51,0))="","",INDEX(campaigns!$AJ$2:$AJ$51,MATCH($A399,campaigns!$A$2:$A$51,0))),"")="",IFERROR(IF(INDEX(campaigns!$BG$2:$BG$51,MATCH($A399,campaigns!$A$2:$A$51,0))="","",INDEX(campaigns!$BG$2:$BG$51,MATCH($A399,campaigns!$A$2:$A$51,0))),"")&lt;&gt;"",IF(config!$B$37&lt;&gt;"",config!$B$37,TODAY())&gt;=WORKDAY(N(IFERROR(IF(INDEX(campaigns!$BG$2:$BG$51,MATCH($A399,campaigns!$A$2:$A$51,0))="","",INDEX(campaigns!$BG$2:$BG$51,MATCH($A399,campaigns!$A$2:$A$51,0))),"")),-4,calendar!$A$2:$A$80)),"no prefill template yet (due T-4); ","")&amp;IF(COUNTIF(links!$D$2:$D$501,$D399)&gt;1,"DUPLICATE slug; ",""))</f>
        <v/>
      </c>
    </row>
    <row r="400">
      <c r="A400" s="25">
        <f>IF(INDEX(approvals!$A$2:$A$251,INT((ROW()-2)/2)+1)="","",INDEX(approvals!$A$2:$A$251,INT((ROW()-2)/2)+1))</f>
        <v/>
      </c>
      <c r="B400" s="25">
        <f>IF(INDEX(approvals!$A$2:$A$251,INT((ROW()-2)/2)+1)="","",INDEX(approvals!$B$2:$B$251,INT((ROW()-2)/2)+1))</f>
        <v/>
      </c>
      <c r="C400" s="25">
        <f>IF($A400="","",IF(MOD(ROW()-2,2)=0,"qr","post"))</f>
        <v/>
      </c>
      <c r="D400" s="25">
        <f>IF($A400="","",IF(LEFT($A400,7)="SAMPLE-","SAMPLE-","")&amp;LOWER(SUBSTITUTE(SUBSTITUTE($A400,"SAMPLE-",""),"CMP-","c"))&amp;"-"&amp;LOWER(SUBSTITUTE(SUBSTITUTE($B400,"SAMPLE-",""),"O-","o"))&amp;"-"&amp;IF($C400="qr","q","p"))</f>
        <v/>
      </c>
      <c r="E400" s="25">
        <f>IF($A400="","","https://"&amp;config!$B$9&amp;"/"&amp;$D400)</f>
        <v/>
      </c>
      <c r="F400" s="25">
        <f>IF($A400="","",$A400&amp;"."&amp;$B400)</f>
        <v/>
      </c>
      <c r="G400" s="25">
        <f>IF($A400="","",IF(IFERROR(IF(INDEX(campaigns!$AJ$2:$AJ$51,MATCH($A400,campaigns!$A$2:$A$51,0))="","",INDEX(campaigns!$AJ$2:$AJ$51,MATCH($A400,campaigns!$A$2:$A$51,0))),"")="","(add the survey prefill template on campaigns)",SUBSTITUTE(IFERROR(IF(INDEX(campaigns!$AJ$2:$AJ$51,MATCH($A400,campaigns!$A$2:$A$51,0))="","",INDEX(campaigns!$AJ$2:$AJ$51,MATCH($A400,campaigns!$A$2:$A$51,0))),""),"CARDCODE",$F400)&amp;"&amp;utm_source=office-pantry&amp;utm_medium="&amp;$C400&amp;"&amp;utm_campaign="&amp;LOWER($A400)&amp;"&amp;utm_content="&amp;LOWER($B400)))</f>
        <v/>
      </c>
      <c r="H400" s="25">
        <f>IF(OR($A400="",$C400&lt;&gt;"qr"),"",$D400&amp;".png")</f>
        <v/>
      </c>
      <c r="I400" s="25">
        <f>IF($A400="","",IF(AND(IFERROR(IF(INDEX(campaigns!$AJ$2:$AJ$51,MATCH($A400,campaigns!$A$2:$A$51,0))="","",INDEX(campaigns!$AJ$2:$AJ$51,MATCH($A400,campaigns!$A$2:$A$51,0))),"")="",IFERROR(IF(INDEX(campaigns!$BG$2:$BG$51,MATCH($A400,campaigns!$A$2:$A$51,0))="","",INDEX(campaigns!$BG$2:$BG$51,MATCH($A400,campaigns!$A$2:$A$51,0))),"")&lt;&gt;"",IF(config!$B$37&lt;&gt;"",config!$B$37,TODAY())&gt;=WORKDAY(N(IFERROR(IF(INDEX(campaigns!$BG$2:$BG$51,MATCH($A400,campaigns!$A$2:$A$51,0))="","",INDEX(campaigns!$BG$2:$BG$51,MATCH($A400,campaigns!$A$2:$A$51,0))),"")),-4,calendar!$A$2:$A$80)),"no prefill template yet (due T-4); ","")&amp;IF(COUNTIF(links!$D$2:$D$501,$D400)&gt;1,"DUPLICATE slug; ",""))</f>
        <v/>
      </c>
    </row>
    <row r="401">
      <c r="A401" s="25">
        <f>IF(INDEX(approvals!$A$2:$A$251,INT((ROW()-2)/2)+1)="","",INDEX(approvals!$A$2:$A$251,INT((ROW()-2)/2)+1))</f>
        <v/>
      </c>
      <c r="B401" s="25">
        <f>IF(INDEX(approvals!$A$2:$A$251,INT((ROW()-2)/2)+1)="","",INDEX(approvals!$B$2:$B$251,INT((ROW()-2)/2)+1))</f>
        <v/>
      </c>
      <c r="C401" s="25">
        <f>IF($A401="","",IF(MOD(ROW()-2,2)=0,"qr","post"))</f>
        <v/>
      </c>
      <c r="D401" s="25">
        <f>IF($A401="","",IF(LEFT($A401,7)="SAMPLE-","SAMPLE-","")&amp;LOWER(SUBSTITUTE(SUBSTITUTE($A401,"SAMPLE-",""),"CMP-","c"))&amp;"-"&amp;LOWER(SUBSTITUTE(SUBSTITUTE($B401,"SAMPLE-",""),"O-","o"))&amp;"-"&amp;IF($C401="qr","q","p"))</f>
        <v/>
      </c>
      <c r="E401" s="25">
        <f>IF($A401="","","https://"&amp;config!$B$9&amp;"/"&amp;$D401)</f>
        <v/>
      </c>
      <c r="F401" s="25">
        <f>IF($A401="","",$A401&amp;"."&amp;$B401)</f>
        <v/>
      </c>
      <c r="G401" s="25">
        <f>IF($A401="","",IF(IFERROR(IF(INDEX(campaigns!$AJ$2:$AJ$51,MATCH($A401,campaigns!$A$2:$A$51,0))="","",INDEX(campaigns!$AJ$2:$AJ$51,MATCH($A401,campaigns!$A$2:$A$51,0))),"")="","(add the survey prefill template on campaigns)",SUBSTITUTE(IFERROR(IF(INDEX(campaigns!$AJ$2:$AJ$51,MATCH($A401,campaigns!$A$2:$A$51,0))="","",INDEX(campaigns!$AJ$2:$AJ$51,MATCH($A401,campaigns!$A$2:$A$51,0))),""),"CARDCODE",$F401)&amp;"&amp;utm_source=office-pantry&amp;utm_medium="&amp;$C401&amp;"&amp;utm_campaign="&amp;LOWER($A401)&amp;"&amp;utm_content="&amp;LOWER($B401)))</f>
        <v/>
      </c>
      <c r="H401" s="25">
        <f>IF(OR($A401="",$C401&lt;&gt;"qr"),"",$D401&amp;".png")</f>
        <v/>
      </c>
      <c r="I401" s="25">
        <f>IF($A401="","",IF(AND(IFERROR(IF(INDEX(campaigns!$AJ$2:$AJ$51,MATCH($A401,campaigns!$A$2:$A$51,0))="","",INDEX(campaigns!$AJ$2:$AJ$51,MATCH($A401,campaigns!$A$2:$A$51,0))),"")="",IFERROR(IF(INDEX(campaigns!$BG$2:$BG$51,MATCH($A401,campaigns!$A$2:$A$51,0))="","",INDEX(campaigns!$BG$2:$BG$51,MATCH($A401,campaigns!$A$2:$A$51,0))),"")&lt;&gt;"",IF(config!$B$37&lt;&gt;"",config!$B$37,TODAY())&gt;=WORKDAY(N(IFERROR(IF(INDEX(campaigns!$BG$2:$BG$51,MATCH($A401,campaigns!$A$2:$A$51,0))="","",INDEX(campaigns!$BG$2:$BG$51,MATCH($A401,campaigns!$A$2:$A$51,0))),"")),-4,calendar!$A$2:$A$80)),"no prefill template yet (due T-4); ","")&amp;IF(COUNTIF(links!$D$2:$D$501,$D401)&gt;1,"DUPLICATE slug; ",""))</f>
        <v/>
      </c>
    </row>
    <row r="402">
      <c r="A402" s="25">
        <f>IF(INDEX(approvals!$A$2:$A$251,INT((ROW()-2)/2)+1)="","",INDEX(approvals!$A$2:$A$251,INT((ROW()-2)/2)+1))</f>
        <v/>
      </c>
      <c r="B402" s="25">
        <f>IF(INDEX(approvals!$A$2:$A$251,INT((ROW()-2)/2)+1)="","",INDEX(approvals!$B$2:$B$251,INT((ROW()-2)/2)+1))</f>
        <v/>
      </c>
      <c r="C402" s="25">
        <f>IF($A402="","",IF(MOD(ROW()-2,2)=0,"qr","post"))</f>
        <v/>
      </c>
      <c r="D402" s="25">
        <f>IF($A402="","",IF(LEFT($A402,7)="SAMPLE-","SAMPLE-","")&amp;LOWER(SUBSTITUTE(SUBSTITUTE($A402,"SAMPLE-",""),"CMP-","c"))&amp;"-"&amp;LOWER(SUBSTITUTE(SUBSTITUTE($B402,"SAMPLE-",""),"O-","o"))&amp;"-"&amp;IF($C402="qr","q","p"))</f>
        <v/>
      </c>
      <c r="E402" s="25">
        <f>IF($A402="","","https://"&amp;config!$B$9&amp;"/"&amp;$D402)</f>
        <v/>
      </c>
      <c r="F402" s="25">
        <f>IF($A402="","",$A402&amp;"."&amp;$B402)</f>
        <v/>
      </c>
      <c r="G402" s="25">
        <f>IF($A402="","",IF(IFERROR(IF(INDEX(campaigns!$AJ$2:$AJ$51,MATCH($A402,campaigns!$A$2:$A$51,0))="","",INDEX(campaigns!$AJ$2:$AJ$51,MATCH($A402,campaigns!$A$2:$A$51,0))),"")="","(add the survey prefill template on campaigns)",SUBSTITUTE(IFERROR(IF(INDEX(campaigns!$AJ$2:$AJ$51,MATCH($A402,campaigns!$A$2:$A$51,0))="","",INDEX(campaigns!$AJ$2:$AJ$51,MATCH($A402,campaigns!$A$2:$A$51,0))),""),"CARDCODE",$F402)&amp;"&amp;utm_source=office-pantry&amp;utm_medium="&amp;$C402&amp;"&amp;utm_campaign="&amp;LOWER($A402)&amp;"&amp;utm_content="&amp;LOWER($B402)))</f>
        <v/>
      </c>
      <c r="H402" s="25">
        <f>IF(OR($A402="",$C402&lt;&gt;"qr"),"",$D402&amp;".png")</f>
        <v/>
      </c>
      <c r="I402" s="25">
        <f>IF($A402="","",IF(AND(IFERROR(IF(INDEX(campaigns!$AJ$2:$AJ$51,MATCH($A402,campaigns!$A$2:$A$51,0))="","",INDEX(campaigns!$AJ$2:$AJ$51,MATCH($A402,campaigns!$A$2:$A$51,0))),"")="",IFERROR(IF(INDEX(campaigns!$BG$2:$BG$51,MATCH($A402,campaigns!$A$2:$A$51,0))="","",INDEX(campaigns!$BG$2:$BG$51,MATCH($A402,campaigns!$A$2:$A$51,0))),"")&lt;&gt;"",IF(config!$B$37&lt;&gt;"",config!$B$37,TODAY())&gt;=WORKDAY(N(IFERROR(IF(INDEX(campaigns!$BG$2:$BG$51,MATCH($A402,campaigns!$A$2:$A$51,0))="","",INDEX(campaigns!$BG$2:$BG$51,MATCH($A402,campaigns!$A$2:$A$51,0))),"")),-4,calendar!$A$2:$A$80)),"no prefill template yet (due T-4); ","")&amp;IF(COUNTIF(links!$D$2:$D$501,$D402)&gt;1,"DUPLICATE slug; ",""))</f>
        <v/>
      </c>
    </row>
    <row r="403">
      <c r="A403" s="25">
        <f>IF(INDEX(approvals!$A$2:$A$251,INT((ROW()-2)/2)+1)="","",INDEX(approvals!$A$2:$A$251,INT((ROW()-2)/2)+1))</f>
        <v/>
      </c>
      <c r="B403" s="25">
        <f>IF(INDEX(approvals!$A$2:$A$251,INT((ROW()-2)/2)+1)="","",INDEX(approvals!$B$2:$B$251,INT((ROW()-2)/2)+1))</f>
        <v/>
      </c>
      <c r="C403" s="25">
        <f>IF($A403="","",IF(MOD(ROW()-2,2)=0,"qr","post"))</f>
        <v/>
      </c>
      <c r="D403" s="25">
        <f>IF($A403="","",IF(LEFT($A403,7)="SAMPLE-","SAMPLE-","")&amp;LOWER(SUBSTITUTE(SUBSTITUTE($A403,"SAMPLE-",""),"CMP-","c"))&amp;"-"&amp;LOWER(SUBSTITUTE(SUBSTITUTE($B403,"SAMPLE-",""),"O-","o"))&amp;"-"&amp;IF($C403="qr","q","p"))</f>
        <v/>
      </c>
      <c r="E403" s="25">
        <f>IF($A403="","","https://"&amp;config!$B$9&amp;"/"&amp;$D403)</f>
        <v/>
      </c>
      <c r="F403" s="25">
        <f>IF($A403="","",$A403&amp;"."&amp;$B403)</f>
        <v/>
      </c>
      <c r="G403" s="25">
        <f>IF($A403="","",IF(IFERROR(IF(INDEX(campaigns!$AJ$2:$AJ$51,MATCH($A403,campaigns!$A$2:$A$51,0))="","",INDEX(campaigns!$AJ$2:$AJ$51,MATCH($A403,campaigns!$A$2:$A$51,0))),"")="","(add the survey prefill template on campaigns)",SUBSTITUTE(IFERROR(IF(INDEX(campaigns!$AJ$2:$AJ$51,MATCH($A403,campaigns!$A$2:$A$51,0))="","",INDEX(campaigns!$AJ$2:$AJ$51,MATCH($A403,campaigns!$A$2:$A$51,0))),""),"CARDCODE",$F403)&amp;"&amp;utm_source=office-pantry&amp;utm_medium="&amp;$C403&amp;"&amp;utm_campaign="&amp;LOWER($A403)&amp;"&amp;utm_content="&amp;LOWER($B403)))</f>
        <v/>
      </c>
      <c r="H403" s="25">
        <f>IF(OR($A403="",$C403&lt;&gt;"qr"),"",$D403&amp;".png")</f>
        <v/>
      </c>
      <c r="I403" s="25">
        <f>IF($A403="","",IF(AND(IFERROR(IF(INDEX(campaigns!$AJ$2:$AJ$51,MATCH($A403,campaigns!$A$2:$A$51,0))="","",INDEX(campaigns!$AJ$2:$AJ$51,MATCH($A403,campaigns!$A$2:$A$51,0))),"")="",IFERROR(IF(INDEX(campaigns!$BG$2:$BG$51,MATCH($A403,campaigns!$A$2:$A$51,0))="","",INDEX(campaigns!$BG$2:$BG$51,MATCH($A403,campaigns!$A$2:$A$51,0))),"")&lt;&gt;"",IF(config!$B$37&lt;&gt;"",config!$B$37,TODAY())&gt;=WORKDAY(N(IFERROR(IF(INDEX(campaigns!$BG$2:$BG$51,MATCH($A403,campaigns!$A$2:$A$51,0))="","",INDEX(campaigns!$BG$2:$BG$51,MATCH($A403,campaigns!$A$2:$A$51,0))),"")),-4,calendar!$A$2:$A$80)),"no prefill template yet (due T-4); ","")&amp;IF(COUNTIF(links!$D$2:$D$501,$D403)&gt;1,"DUPLICATE slug; ",""))</f>
        <v/>
      </c>
    </row>
    <row r="404">
      <c r="A404" s="25">
        <f>IF(INDEX(approvals!$A$2:$A$251,INT((ROW()-2)/2)+1)="","",INDEX(approvals!$A$2:$A$251,INT((ROW()-2)/2)+1))</f>
        <v/>
      </c>
      <c r="B404" s="25">
        <f>IF(INDEX(approvals!$A$2:$A$251,INT((ROW()-2)/2)+1)="","",INDEX(approvals!$B$2:$B$251,INT((ROW()-2)/2)+1))</f>
        <v/>
      </c>
      <c r="C404" s="25">
        <f>IF($A404="","",IF(MOD(ROW()-2,2)=0,"qr","post"))</f>
        <v/>
      </c>
      <c r="D404" s="25">
        <f>IF($A404="","",IF(LEFT($A404,7)="SAMPLE-","SAMPLE-","")&amp;LOWER(SUBSTITUTE(SUBSTITUTE($A404,"SAMPLE-",""),"CMP-","c"))&amp;"-"&amp;LOWER(SUBSTITUTE(SUBSTITUTE($B404,"SAMPLE-",""),"O-","o"))&amp;"-"&amp;IF($C404="qr","q","p"))</f>
        <v/>
      </c>
      <c r="E404" s="25">
        <f>IF($A404="","","https://"&amp;config!$B$9&amp;"/"&amp;$D404)</f>
        <v/>
      </c>
      <c r="F404" s="25">
        <f>IF($A404="","",$A404&amp;"."&amp;$B404)</f>
        <v/>
      </c>
      <c r="G404" s="25">
        <f>IF($A404="","",IF(IFERROR(IF(INDEX(campaigns!$AJ$2:$AJ$51,MATCH($A404,campaigns!$A$2:$A$51,0))="","",INDEX(campaigns!$AJ$2:$AJ$51,MATCH($A404,campaigns!$A$2:$A$51,0))),"")="","(add the survey prefill template on campaigns)",SUBSTITUTE(IFERROR(IF(INDEX(campaigns!$AJ$2:$AJ$51,MATCH($A404,campaigns!$A$2:$A$51,0))="","",INDEX(campaigns!$AJ$2:$AJ$51,MATCH($A404,campaigns!$A$2:$A$51,0))),""),"CARDCODE",$F404)&amp;"&amp;utm_source=office-pantry&amp;utm_medium="&amp;$C404&amp;"&amp;utm_campaign="&amp;LOWER($A404)&amp;"&amp;utm_content="&amp;LOWER($B404)))</f>
        <v/>
      </c>
      <c r="H404" s="25">
        <f>IF(OR($A404="",$C404&lt;&gt;"qr"),"",$D404&amp;".png")</f>
        <v/>
      </c>
      <c r="I404" s="25">
        <f>IF($A404="","",IF(AND(IFERROR(IF(INDEX(campaigns!$AJ$2:$AJ$51,MATCH($A404,campaigns!$A$2:$A$51,0))="","",INDEX(campaigns!$AJ$2:$AJ$51,MATCH($A404,campaigns!$A$2:$A$51,0))),"")="",IFERROR(IF(INDEX(campaigns!$BG$2:$BG$51,MATCH($A404,campaigns!$A$2:$A$51,0))="","",INDEX(campaigns!$BG$2:$BG$51,MATCH($A404,campaigns!$A$2:$A$51,0))),"")&lt;&gt;"",IF(config!$B$37&lt;&gt;"",config!$B$37,TODAY())&gt;=WORKDAY(N(IFERROR(IF(INDEX(campaigns!$BG$2:$BG$51,MATCH($A404,campaigns!$A$2:$A$51,0))="","",INDEX(campaigns!$BG$2:$BG$51,MATCH($A404,campaigns!$A$2:$A$51,0))),"")),-4,calendar!$A$2:$A$80)),"no prefill template yet (due T-4); ","")&amp;IF(COUNTIF(links!$D$2:$D$501,$D404)&gt;1,"DUPLICATE slug; ",""))</f>
        <v/>
      </c>
    </row>
    <row r="405">
      <c r="A405" s="25">
        <f>IF(INDEX(approvals!$A$2:$A$251,INT((ROW()-2)/2)+1)="","",INDEX(approvals!$A$2:$A$251,INT((ROW()-2)/2)+1))</f>
        <v/>
      </c>
      <c r="B405" s="25">
        <f>IF(INDEX(approvals!$A$2:$A$251,INT((ROW()-2)/2)+1)="","",INDEX(approvals!$B$2:$B$251,INT((ROW()-2)/2)+1))</f>
        <v/>
      </c>
      <c r="C405" s="25">
        <f>IF($A405="","",IF(MOD(ROW()-2,2)=0,"qr","post"))</f>
        <v/>
      </c>
      <c r="D405" s="25">
        <f>IF($A405="","",IF(LEFT($A405,7)="SAMPLE-","SAMPLE-","")&amp;LOWER(SUBSTITUTE(SUBSTITUTE($A405,"SAMPLE-",""),"CMP-","c"))&amp;"-"&amp;LOWER(SUBSTITUTE(SUBSTITUTE($B405,"SAMPLE-",""),"O-","o"))&amp;"-"&amp;IF($C405="qr","q","p"))</f>
        <v/>
      </c>
      <c r="E405" s="25">
        <f>IF($A405="","","https://"&amp;config!$B$9&amp;"/"&amp;$D405)</f>
        <v/>
      </c>
      <c r="F405" s="25">
        <f>IF($A405="","",$A405&amp;"."&amp;$B405)</f>
        <v/>
      </c>
      <c r="G405" s="25">
        <f>IF($A405="","",IF(IFERROR(IF(INDEX(campaigns!$AJ$2:$AJ$51,MATCH($A405,campaigns!$A$2:$A$51,0))="","",INDEX(campaigns!$AJ$2:$AJ$51,MATCH($A405,campaigns!$A$2:$A$51,0))),"")="","(add the survey prefill template on campaigns)",SUBSTITUTE(IFERROR(IF(INDEX(campaigns!$AJ$2:$AJ$51,MATCH($A405,campaigns!$A$2:$A$51,0))="","",INDEX(campaigns!$AJ$2:$AJ$51,MATCH($A405,campaigns!$A$2:$A$51,0))),""),"CARDCODE",$F405)&amp;"&amp;utm_source=office-pantry&amp;utm_medium="&amp;$C405&amp;"&amp;utm_campaign="&amp;LOWER($A405)&amp;"&amp;utm_content="&amp;LOWER($B405)))</f>
        <v/>
      </c>
      <c r="H405" s="25">
        <f>IF(OR($A405="",$C405&lt;&gt;"qr"),"",$D405&amp;".png")</f>
        <v/>
      </c>
      <c r="I405" s="25">
        <f>IF($A405="","",IF(AND(IFERROR(IF(INDEX(campaigns!$AJ$2:$AJ$51,MATCH($A405,campaigns!$A$2:$A$51,0))="","",INDEX(campaigns!$AJ$2:$AJ$51,MATCH($A405,campaigns!$A$2:$A$51,0))),"")="",IFERROR(IF(INDEX(campaigns!$BG$2:$BG$51,MATCH($A405,campaigns!$A$2:$A$51,0))="","",INDEX(campaigns!$BG$2:$BG$51,MATCH($A405,campaigns!$A$2:$A$51,0))),"")&lt;&gt;"",IF(config!$B$37&lt;&gt;"",config!$B$37,TODAY())&gt;=WORKDAY(N(IFERROR(IF(INDEX(campaigns!$BG$2:$BG$51,MATCH($A405,campaigns!$A$2:$A$51,0))="","",INDEX(campaigns!$BG$2:$BG$51,MATCH($A405,campaigns!$A$2:$A$51,0))),"")),-4,calendar!$A$2:$A$80)),"no prefill template yet (due T-4); ","")&amp;IF(COUNTIF(links!$D$2:$D$501,$D405)&gt;1,"DUPLICATE slug; ",""))</f>
        <v/>
      </c>
    </row>
    <row r="406">
      <c r="A406" s="25">
        <f>IF(INDEX(approvals!$A$2:$A$251,INT((ROW()-2)/2)+1)="","",INDEX(approvals!$A$2:$A$251,INT((ROW()-2)/2)+1))</f>
        <v/>
      </c>
      <c r="B406" s="25">
        <f>IF(INDEX(approvals!$A$2:$A$251,INT((ROW()-2)/2)+1)="","",INDEX(approvals!$B$2:$B$251,INT((ROW()-2)/2)+1))</f>
        <v/>
      </c>
      <c r="C406" s="25">
        <f>IF($A406="","",IF(MOD(ROW()-2,2)=0,"qr","post"))</f>
        <v/>
      </c>
      <c r="D406" s="25">
        <f>IF($A406="","",IF(LEFT($A406,7)="SAMPLE-","SAMPLE-","")&amp;LOWER(SUBSTITUTE(SUBSTITUTE($A406,"SAMPLE-",""),"CMP-","c"))&amp;"-"&amp;LOWER(SUBSTITUTE(SUBSTITUTE($B406,"SAMPLE-",""),"O-","o"))&amp;"-"&amp;IF($C406="qr","q","p"))</f>
        <v/>
      </c>
      <c r="E406" s="25">
        <f>IF($A406="","","https://"&amp;config!$B$9&amp;"/"&amp;$D406)</f>
        <v/>
      </c>
      <c r="F406" s="25">
        <f>IF($A406="","",$A406&amp;"."&amp;$B406)</f>
        <v/>
      </c>
      <c r="G406" s="25">
        <f>IF($A406="","",IF(IFERROR(IF(INDEX(campaigns!$AJ$2:$AJ$51,MATCH($A406,campaigns!$A$2:$A$51,0))="","",INDEX(campaigns!$AJ$2:$AJ$51,MATCH($A406,campaigns!$A$2:$A$51,0))),"")="","(add the survey prefill template on campaigns)",SUBSTITUTE(IFERROR(IF(INDEX(campaigns!$AJ$2:$AJ$51,MATCH($A406,campaigns!$A$2:$A$51,0))="","",INDEX(campaigns!$AJ$2:$AJ$51,MATCH($A406,campaigns!$A$2:$A$51,0))),""),"CARDCODE",$F406)&amp;"&amp;utm_source=office-pantry&amp;utm_medium="&amp;$C406&amp;"&amp;utm_campaign="&amp;LOWER($A406)&amp;"&amp;utm_content="&amp;LOWER($B406)))</f>
        <v/>
      </c>
      <c r="H406" s="25">
        <f>IF(OR($A406="",$C406&lt;&gt;"qr"),"",$D406&amp;".png")</f>
        <v/>
      </c>
      <c r="I406" s="25">
        <f>IF($A406="","",IF(AND(IFERROR(IF(INDEX(campaigns!$AJ$2:$AJ$51,MATCH($A406,campaigns!$A$2:$A$51,0))="","",INDEX(campaigns!$AJ$2:$AJ$51,MATCH($A406,campaigns!$A$2:$A$51,0))),"")="",IFERROR(IF(INDEX(campaigns!$BG$2:$BG$51,MATCH($A406,campaigns!$A$2:$A$51,0))="","",INDEX(campaigns!$BG$2:$BG$51,MATCH($A406,campaigns!$A$2:$A$51,0))),"")&lt;&gt;"",IF(config!$B$37&lt;&gt;"",config!$B$37,TODAY())&gt;=WORKDAY(N(IFERROR(IF(INDEX(campaigns!$BG$2:$BG$51,MATCH($A406,campaigns!$A$2:$A$51,0))="","",INDEX(campaigns!$BG$2:$BG$51,MATCH($A406,campaigns!$A$2:$A$51,0))),"")),-4,calendar!$A$2:$A$80)),"no prefill template yet (due T-4); ","")&amp;IF(COUNTIF(links!$D$2:$D$501,$D406)&gt;1,"DUPLICATE slug; ",""))</f>
        <v/>
      </c>
    </row>
    <row r="407">
      <c r="A407" s="25">
        <f>IF(INDEX(approvals!$A$2:$A$251,INT((ROW()-2)/2)+1)="","",INDEX(approvals!$A$2:$A$251,INT((ROW()-2)/2)+1))</f>
        <v/>
      </c>
      <c r="B407" s="25">
        <f>IF(INDEX(approvals!$A$2:$A$251,INT((ROW()-2)/2)+1)="","",INDEX(approvals!$B$2:$B$251,INT((ROW()-2)/2)+1))</f>
        <v/>
      </c>
      <c r="C407" s="25">
        <f>IF($A407="","",IF(MOD(ROW()-2,2)=0,"qr","post"))</f>
        <v/>
      </c>
      <c r="D407" s="25">
        <f>IF($A407="","",IF(LEFT($A407,7)="SAMPLE-","SAMPLE-","")&amp;LOWER(SUBSTITUTE(SUBSTITUTE($A407,"SAMPLE-",""),"CMP-","c"))&amp;"-"&amp;LOWER(SUBSTITUTE(SUBSTITUTE($B407,"SAMPLE-",""),"O-","o"))&amp;"-"&amp;IF($C407="qr","q","p"))</f>
        <v/>
      </c>
      <c r="E407" s="25">
        <f>IF($A407="","","https://"&amp;config!$B$9&amp;"/"&amp;$D407)</f>
        <v/>
      </c>
      <c r="F407" s="25">
        <f>IF($A407="","",$A407&amp;"."&amp;$B407)</f>
        <v/>
      </c>
      <c r="G407" s="25">
        <f>IF($A407="","",IF(IFERROR(IF(INDEX(campaigns!$AJ$2:$AJ$51,MATCH($A407,campaigns!$A$2:$A$51,0))="","",INDEX(campaigns!$AJ$2:$AJ$51,MATCH($A407,campaigns!$A$2:$A$51,0))),"")="","(add the survey prefill template on campaigns)",SUBSTITUTE(IFERROR(IF(INDEX(campaigns!$AJ$2:$AJ$51,MATCH($A407,campaigns!$A$2:$A$51,0))="","",INDEX(campaigns!$AJ$2:$AJ$51,MATCH($A407,campaigns!$A$2:$A$51,0))),""),"CARDCODE",$F407)&amp;"&amp;utm_source=office-pantry&amp;utm_medium="&amp;$C407&amp;"&amp;utm_campaign="&amp;LOWER($A407)&amp;"&amp;utm_content="&amp;LOWER($B407)))</f>
        <v/>
      </c>
      <c r="H407" s="25">
        <f>IF(OR($A407="",$C407&lt;&gt;"qr"),"",$D407&amp;".png")</f>
        <v/>
      </c>
      <c r="I407" s="25">
        <f>IF($A407="","",IF(AND(IFERROR(IF(INDEX(campaigns!$AJ$2:$AJ$51,MATCH($A407,campaigns!$A$2:$A$51,0))="","",INDEX(campaigns!$AJ$2:$AJ$51,MATCH($A407,campaigns!$A$2:$A$51,0))),"")="",IFERROR(IF(INDEX(campaigns!$BG$2:$BG$51,MATCH($A407,campaigns!$A$2:$A$51,0))="","",INDEX(campaigns!$BG$2:$BG$51,MATCH($A407,campaigns!$A$2:$A$51,0))),"")&lt;&gt;"",IF(config!$B$37&lt;&gt;"",config!$B$37,TODAY())&gt;=WORKDAY(N(IFERROR(IF(INDEX(campaigns!$BG$2:$BG$51,MATCH($A407,campaigns!$A$2:$A$51,0))="","",INDEX(campaigns!$BG$2:$BG$51,MATCH($A407,campaigns!$A$2:$A$51,0))),"")),-4,calendar!$A$2:$A$80)),"no prefill template yet (due T-4); ","")&amp;IF(COUNTIF(links!$D$2:$D$501,$D407)&gt;1,"DUPLICATE slug; ",""))</f>
        <v/>
      </c>
    </row>
    <row r="408">
      <c r="A408" s="25">
        <f>IF(INDEX(approvals!$A$2:$A$251,INT((ROW()-2)/2)+1)="","",INDEX(approvals!$A$2:$A$251,INT((ROW()-2)/2)+1))</f>
        <v/>
      </c>
      <c r="B408" s="25">
        <f>IF(INDEX(approvals!$A$2:$A$251,INT((ROW()-2)/2)+1)="","",INDEX(approvals!$B$2:$B$251,INT((ROW()-2)/2)+1))</f>
        <v/>
      </c>
      <c r="C408" s="25">
        <f>IF($A408="","",IF(MOD(ROW()-2,2)=0,"qr","post"))</f>
        <v/>
      </c>
      <c r="D408" s="25">
        <f>IF($A408="","",IF(LEFT($A408,7)="SAMPLE-","SAMPLE-","")&amp;LOWER(SUBSTITUTE(SUBSTITUTE($A408,"SAMPLE-",""),"CMP-","c"))&amp;"-"&amp;LOWER(SUBSTITUTE(SUBSTITUTE($B408,"SAMPLE-",""),"O-","o"))&amp;"-"&amp;IF($C408="qr","q","p"))</f>
        <v/>
      </c>
      <c r="E408" s="25">
        <f>IF($A408="","","https://"&amp;config!$B$9&amp;"/"&amp;$D408)</f>
        <v/>
      </c>
      <c r="F408" s="25">
        <f>IF($A408="","",$A408&amp;"."&amp;$B408)</f>
        <v/>
      </c>
      <c r="G408" s="25">
        <f>IF($A408="","",IF(IFERROR(IF(INDEX(campaigns!$AJ$2:$AJ$51,MATCH($A408,campaigns!$A$2:$A$51,0))="","",INDEX(campaigns!$AJ$2:$AJ$51,MATCH($A408,campaigns!$A$2:$A$51,0))),"")="","(add the survey prefill template on campaigns)",SUBSTITUTE(IFERROR(IF(INDEX(campaigns!$AJ$2:$AJ$51,MATCH($A408,campaigns!$A$2:$A$51,0))="","",INDEX(campaigns!$AJ$2:$AJ$51,MATCH($A408,campaigns!$A$2:$A$51,0))),""),"CARDCODE",$F408)&amp;"&amp;utm_source=office-pantry&amp;utm_medium="&amp;$C408&amp;"&amp;utm_campaign="&amp;LOWER($A408)&amp;"&amp;utm_content="&amp;LOWER($B408)))</f>
        <v/>
      </c>
      <c r="H408" s="25">
        <f>IF(OR($A408="",$C408&lt;&gt;"qr"),"",$D408&amp;".png")</f>
        <v/>
      </c>
      <c r="I408" s="25">
        <f>IF($A408="","",IF(AND(IFERROR(IF(INDEX(campaigns!$AJ$2:$AJ$51,MATCH($A408,campaigns!$A$2:$A$51,0))="","",INDEX(campaigns!$AJ$2:$AJ$51,MATCH($A408,campaigns!$A$2:$A$51,0))),"")="",IFERROR(IF(INDEX(campaigns!$BG$2:$BG$51,MATCH($A408,campaigns!$A$2:$A$51,0))="","",INDEX(campaigns!$BG$2:$BG$51,MATCH($A408,campaigns!$A$2:$A$51,0))),"")&lt;&gt;"",IF(config!$B$37&lt;&gt;"",config!$B$37,TODAY())&gt;=WORKDAY(N(IFERROR(IF(INDEX(campaigns!$BG$2:$BG$51,MATCH($A408,campaigns!$A$2:$A$51,0))="","",INDEX(campaigns!$BG$2:$BG$51,MATCH($A408,campaigns!$A$2:$A$51,0))),"")),-4,calendar!$A$2:$A$80)),"no prefill template yet (due T-4); ","")&amp;IF(COUNTIF(links!$D$2:$D$501,$D408)&gt;1,"DUPLICATE slug; ",""))</f>
        <v/>
      </c>
    </row>
    <row r="409">
      <c r="A409" s="25">
        <f>IF(INDEX(approvals!$A$2:$A$251,INT((ROW()-2)/2)+1)="","",INDEX(approvals!$A$2:$A$251,INT((ROW()-2)/2)+1))</f>
        <v/>
      </c>
      <c r="B409" s="25">
        <f>IF(INDEX(approvals!$A$2:$A$251,INT((ROW()-2)/2)+1)="","",INDEX(approvals!$B$2:$B$251,INT((ROW()-2)/2)+1))</f>
        <v/>
      </c>
      <c r="C409" s="25">
        <f>IF($A409="","",IF(MOD(ROW()-2,2)=0,"qr","post"))</f>
        <v/>
      </c>
      <c r="D409" s="25">
        <f>IF($A409="","",IF(LEFT($A409,7)="SAMPLE-","SAMPLE-","")&amp;LOWER(SUBSTITUTE(SUBSTITUTE($A409,"SAMPLE-",""),"CMP-","c"))&amp;"-"&amp;LOWER(SUBSTITUTE(SUBSTITUTE($B409,"SAMPLE-",""),"O-","o"))&amp;"-"&amp;IF($C409="qr","q","p"))</f>
        <v/>
      </c>
      <c r="E409" s="25">
        <f>IF($A409="","","https://"&amp;config!$B$9&amp;"/"&amp;$D409)</f>
        <v/>
      </c>
      <c r="F409" s="25">
        <f>IF($A409="","",$A409&amp;"."&amp;$B409)</f>
        <v/>
      </c>
      <c r="G409" s="25">
        <f>IF($A409="","",IF(IFERROR(IF(INDEX(campaigns!$AJ$2:$AJ$51,MATCH($A409,campaigns!$A$2:$A$51,0))="","",INDEX(campaigns!$AJ$2:$AJ$51,MATCH($A409,campaigns!$A$2:$A$51,0))),"")="","(add the survey prefill template on campaigns)",SUBSTITUTE(IFERROR(IF(INDEX(campaigns!$AJ$2:$AJ$51,MATCH($A409,campaigns!$A$2:$A$51,0))="","",INDEX(campaigns!$AJ$2:$AJ$51,MATCH($A409,campaigns!$A$2:$A$51,0))),""),"CARDCODE",$F409)&amp;"&amp;utm_source=office-pantry&amp;utm_medium="&amp;$C409&amp;"&amp;utm_campaign="&amp;LOWER($A409)&amp;"&amp;utm_content="&amp;LOWER($B409)))</f>
        <v/>
      </c>
      <c r="H409" s="25">
        <f>IF(OR($A409="",$C409&lt;&gt;"qr"),"",$D409&amp;".png")</f>
        <v/>
      </c>
      <c r="I409" s="25">
        <f>IF($A409="","",IF(AND(IFERROR(IF(INDEX(campaigns!$AJ$2:$AJ$51,MATCH($A409,campaigns!$A$2:$A$51,0))="","",INDEX(campaigns!$AJ$2:$AJ$51,MATCH($A409,campaigns!$A$2:$A$51,0))),"")="",IFERROR(IF(INDEX(campaigns!$BG$2:$BG$51,MATCH($A409,campaigns!$A$2:$A$51,0))="","",INDEX(campaigns!$BG$2:$BG$51,MATCH($A409,campaigns!$A$2:$A$51,0))),"")&lt;&gt;"",IF(config!$B$37&lt;&gt;"",config!$B$37,TODAY())&gt;=WORKDAY(N(IFERROR(IF(INDEX(campaigns!$BG$2:$BG$51,MATCH($A409,campaigns!$A$2:$A$51,0))="","",INDEX(campaigns!$BG$2:$BG$51,MATCH($A409,campaigns!$A$2:$A$51,0))),"")),-4,calendar!$A$2:$A$80)),"no prefill template yet (due T-4); ","")&amp;IF(COUNTIF(links!$D$2:$D$501,$D409)&gt;1,"DUPLICATE slug; ",""))</f>
        <v/>
      </c>
    </row>
    <row r="410">
      <c r="A410" s="25">
        <f>IF(INDEX(approvals!$A$2:$A$251,INT((ROW()-2)/2)+1)="","",INDEX(approvals!$A$2:$A$251,INT((ROW()-2)/2)+1))</f>
        <v/>
      </c>
      <c r="B410" s="25">
        <f>IF(INDEX(approvals!$A$2:$A$251,INT((ROW()-2)/2)+1)="","",INDEX(approvals!$B$2:$B$251,INT((ROW()-2)/2)+1))</f>
        <v/>
      </c>
      <c r="C410" s="25">
        <f>IF($A410="","",IF(MOD(ROW()-2,2)=0,"qr","post"))</f>
        <v/>
      </c>
      <c r="D410" s="25">
        <f>IF($A410="","",IF(LEFT($A410,7)="SAMPLE-","SAMPLE-","")&amp;LOWER(SUBSTITUTE(SUBSTITUTE($A410,"SAMPLE-",""),"CMP-","c"))&amp;"-"&amp;LOWER(SUBSTITUTE(SUBSTITUTE($B410,"SAMPLE-",""),"O-","o"))&amp;"-"&amp;IF($C410="qr","q","p"))</f>
        <v/>
      </c>
      <c r="E410" s="25">
        <f>IF($A410="","","https://"&amp;config!$B$9&amp;"/"&amp;$D410)</f>
        <v/>
      </c>
      <c r="F410" s="25">
        <f>IF($A410="","",$A410&amp;"."&amp;$B410)</f>
        <v/>
      </c>
      <c r="G410" s="25">
        <f>IF($A410="","",IF(IFERROR(IF(INDEX(campaigns!$AJ$2:$AJ$51,MATCH($A410,campaigns!$A$2:$A$51,0))="","",INDEX(campaigns!$AJ$2:$AJ$51,MATCH($A410,campaigns!$A$2:$A$51,0))),"")="","(add the survey prefill template on campaigns)",SUBSTITUTE(IFERROR(IF(INDEX(campaigns!$AJ$2:$AJ$51,MATCH($A410,campaigns!$A$2:$A$51,0))="","",INDEX(campaigns!$AJ$2:$AJ$51,MATCH($A410,campaigns!$A$2:$A$51,0))),""),"CARDCODE",$F410)&amp;"&amp;utm_source=office-pantry&amp;utm_medium="&amp;$C410&amp;"&amp;utm_campaign="&amp;LOWER($A410)&amp;"&amp;utm_content="&amp;LOWER($B410)))</f>
        <v/>
      </c>
      <c r="H410" s="25">
        <f>IF(OR($A410="",$C410&lt;&gt;"qr"),"",$D410&amp;".png")</f>
        <v/>
      </c>
      <c r="I410" s="25">
        <f>IF($A410="","",IF(AND(IFERROR(IF(INDEX(campaigns!$AJ$2:$AJ$51,MATCH($A410,campaigns!$A$2:$A$51,0))="","",INDEX(campaigns!$AJ$2:$AJ$51,MATCH($A410,campaigns!$A$2:$A$51,0))),"")="",IFERROR(IF(INDEX(campaigns!$BG$2:$BG$51,MATCH($A410,campaigns!$A$2:$A$51,0))="","",INDEX(campaigns!$BG$2:$BG$51,MATCH($A410,campaigns!$A$2:$A$51,0))),"")&lt;&gt;"",IF(config!$B$37&lt;&gt;"",config!$B$37,TODAY())&gt;=WORKDAY(N(IFERROR(IF(INDEX(campaigns!$BG$2:$BG$51,MATCH($A410,campaigns!$A$2:$A$51,0))="","",INDEX(campaigns!$BG$2:$BG$51,MATCH($A410,campaigns!$A$2:$A$51,0))),"")),-4,calendar!$A$2:$A$80)),"no prefill template yet (due T-4); ","")&amp;IF(COUNTIF(links!$D$2:$D$501,$D410)&gt;1,"DUPLICATE slug; ",""))</f>
        <v/>
      </c>
    </row>
    <row r="411">
      <c r="A411" s="25">
        <f>IF(INDEX(approvals!$A$2:$A$251,INT((ROW()-2)/2)+1)="","",INDEX(approvals!$A$2:$A$251,INT((ROW()-2)/2)+1))</f>
        <v/>
      </c>
      <c r="B411" s="25">
        <f>IF(INDEX(approvals!$A$2:$A$251,INT((ROW()-2)/2)+1)="","",INDEX(approvals!$B$2:$B$251,INT((ROW()-2)/2)+1))</f>
        <v/>
      </c>
      <c r="C411" s="25">
        <f>IF($A411="","",IF(MOD(ROW()-2,2)=0,"qr","post"))</f>
        <v/>
      </c>
      <c r="D411" s="25">
        <f>IF($A411="","",IF(LEFT($A411,7)="SAMPLE-","SAMPLE-","")&amp;LOWER(SUBSTITUTE(SUBSTITUTE($A411,"SAMPLE-",""),"CMP-","c"))&amp;"-"&amp;LOWER(SUBSTITUTE(SUBSTITUTE($B411,"SAMPLE-",""),"O-","o"))&amp;"-"&amp;IF($C411="qr","q","p"))</f>
        <v/>
      </c>
      <c r="E411" s="25">
        <f>IF($A411="","","https://"&amp;config!$B$9&amp;"/"&amp;$D411)</f>
        <v/>
      </c>
      <c r="F411" s="25">
        <f>IF($A411="","",$A411&amp;"."&amp;$B411)</f>
        <v/>
      </c>
      <c r="G411" s="25">
        <f>IF($A411="","",IF(IFERROR(IF(INDEX(campaigns!$AJ$2:$AJ$51,MATCH($A411,campaigns!$A$2:$A$51,0))="","",INDEX(campaigns!$AJ$2:$AJ$51,MATCH($A411,campaigns!$A$2:$A$51,0))),"")="","(add the survey prefill template on campaigns)",SUBSTITUTE(IFERROR(IF(INDEX(campaigns!$AJ$2:$AJ$51,MATCH($A411,campaigns!$A$2:$A$51,0))="","",INDEX(campaigns!$AJ$2:$AJ$51,MATCH($A411,campaigns!$A$2:$A$51,0))),""),"CARDCODE",$F411)&amp;"&amp;utm_source=office-pantry&amp;utm_medium="&amp;$C411&amp;"&amp;utm_campaign="&amp;LOWER($A411)&amp;"&amp;utm_content="&amp;LOWER($B411)))</f>
        <v/>
      </c>
      <c r="H411" s="25">
        <f>IF(OR($A411="",$C411&lt;&gt;"qr"),"",$D411&amp;".png")</f>
        <v/>
      </c>
      <c r="I411" s="25">
        <f>IF($A411="","",IF(AND(IFERROR(IF(INDEX(campaigns!$AJ$2:$AJ$51,MATCH($A411,campaigns!$A$2:$A$51,0))="","",INDEX(campaigns!$AJ$2:$AJ$51,MATCH($A411,campaigns!$A$2:$A$51,0))),"")="",IFERROR(IF(INDEX(campaigns!$BG$2:$BG$51,MATCH($A411,campaigns!$A$2:$A$51,0))="","",INDEX(campaigns!$BG$2:$BG$51,MATCH($A411,campaigns!$A$2:$A$51,0))),"")&lt;&gt;"",IF(config!$B$37&lt;&gt;"",config!$B$37,TODAY())&gt;=WORKDAY(N(IFERROR(IF(INDEX(campaigns!$BG$2:$BG$51,MATCH($A411,campaigns!$A$2:$A$51,0))="","",INDEX(campaigns!$BG$2:$BG$51,MATCH($A411,campaigns!$A$2:$A$51,0))),"")),-4,calendar!$A$2:$A$80)),"no prefill template yet (due T-4); ","")&amp;IF(COUNTIF(links!$D$2:$D$501,$D411)&gt;1,"DUPLICATE slug; ",""))</f>
        <v/>
      </c>
    </row>
    <row r="412">
      <c r="A412" s="25">
        <f>IF(INDEX(approvals!$A$2:$A$251,INT((ROW()-2)/2)+1)="","",INDEX(approvals!$A$2:$A$251,INT((ROW()-2)/2)+1))</f>
        <v/>
      </c>
      <c r="B412" s="25">
        <f>IF(INDEX(approvals!$A$2:$A$251,INT((ROW()-2)/2)+1)="","",INDEX(approvals!$B$2:$B$251,INT((ROW()-2)/2)+1))</f>
        <v/>
      </c>
      <c r="C412" s="25">
        <f>IF($A412="","",IF(MOD(ROW()-2,2)=0,"qr","post"))</f>
        <v/>
      </c>
      <c r="D412" s="25">
        <f>IF($A412="","",IF(LEFT($A412,7)="SAMPLE-","SAMPLE-","")&amp;LOWER(SUBSTITUTE(SUBSTITUTE($A412,"SAMPLE-",""),"CMP-","c"))&amp;"-"&amp;LOWER(SUBSTITUTE(SUBSTITUTE($B412,"SAMPLE-",""),"O-","o"))&amp;"-"&amp;IF($C412="qr","q","p"))</f>
        <v/>
      </c>
      <c r="E412" s="25">
        <f>IF($A412="","","https://"&amp;config!$B$9&amp;"/"&amp;$D412)</f>
        <v/>
      </c>
      <c r="F412" s="25">
        <f>IF($A412="","",$A412&amp;"."&amp;$B412)</f>
        <v/>
      </c>
      <c r="G412" s="25">
        <f>IF($A412="","",IF(IFERROR(IF(INDEX(campaigns!$AJ$2:$AJ$51,MATCH($A412,campaigns!$A$2:$A$51,0))="","",INDEX(campaigns!$AJ$2:$AJ$51,MATCH($A412,campaigns!$A$2:$A$51,0))),"")="","(add the survey prefill template on campaigns)",SUBSTITUTE(IFERROR(IF(INDEX(campaigns!$AJ$2:$AJ$51,MATCH($A412,campaigns!$A$2:$A$51,0))="","",INDEX(campaigns!$AJ$2:$AJ$51,MATCH($A412,campaigns!$A$2:$A$51,0))),""),"CARDCODE",$F412)&amp;"&amp;utm_source=office-pantry&amp;utm_medium="&amp;$C412&amp;"&amp;utm_campaign="&amp;LOWER($A412)&amp;"&amp;utm_content="&amp;LOWER($B412)))</f>
        <v/>
      </c>
      <c r="H412" s="25">
        <f>IF(OR($A412="",$C412&lt;&gt;"qr"),"",$D412&amp;".png")</f>
        <v/>
      </c>
      <c r="I412" s="25">
        <f>IF($A412="","",IF(AND(IFERROR(IF(INDEX(campaigns!$AJ$2:$AJ$51,MATCH($A412,campaigns!$A$2:$A$51,0))="","",INDEX(campaigns!$AJ$2:$AJ$51,MATCH($A412,campaigns!$A$2:$A$51,0))),"")="",IFERROR(IF(INDEX(campaigns!$BG$2:$BG$51,MATCH($A412,campaigns!$A$2:$A$51,0))="","",INDEX(campaigns!$BG$2:$BG$51,MATCH($A412,campaigns!$A$2:$A$51,0))),"")&lt;&gt;"",IF(config!$B$37&lt;&gt;"",config!$B$37,TODAY())&gt;=WORKDAY(N(IFERROR(IF(INDEX(campaigns!$BG$2:$BG$51,MATCH($A412,campaigns!$A$2:$A$51,0))="","",INDEX(campaigns!$BG$2:$BG$51,MATCH($A412,campaigns!$A$2:$A$51,0))),"")),-4,calendar!$A$2:$A$80)),"no prefill template yet (due T-4); ","")&amp;IF(COUNTIF(links!$D$2:$D$501,$D412)&gt;1,"DUPLICATE slug; ",""))</f>
        <v/>
      </c>
    </row>
    <row r="413">
      <c r="A413" s="25">
        <f>IF(INDEX(approvals!$A$2:$A$251,INT((ROW()-2)/2)+1)="","",INDEX(approvals!$A$2:$A$251,INT((ROW()-2)/2)+1))</f>
        <v/>
      </c>
      <c r="B413" s="25">
        <f>IF(INDEX(approvals!$A$2:$A$251,INT((ROW()-2)/2)+1)="","",INDEX(approvals!$B$2:$B$251,INT((ROW()-2)/2)+1))</f>
        <v/>
      </c>
      <c r="C413" s="25">
        <f>IF($A413="","",IF(MOD(ROW()-2,2)=0,"qr","post"))</f>
        <v/>
      </c>
      <c r="D413" s="25">
        <f>IF($A413="","",IF(LEFT($A413,7)="SAMPLE-","SAMPLE-","")&amp;LOWER(SUBSTITUTE(SUBSTITUTE($A413,"SAMPLE-",""),"CMP-","c"))&amp;"-"&amp;LOWER(SUBSTITUTE(SUBSTITUTE($B413,"SAMPLE-",""),"O-","o"))&amp;"-"&amp;IF($C413="qr","q","p"))</f>
        <v/>
      </c>
      <c r="E413" s="25">
        <f>IF($A413="","","https://"&amp;config!$B$9&amp;"/"&amp;$D413)</f>
        <v/>
      </c>
      <c r="F413" s="25">
        <f>IF($A413="","",$A413&amp;"."&amp;$B413)</f>
        <v/>
      </c>
      <c r="G413" s="25">
        <f>IF($A413="","",IF(IFERROR(IF(INDEX(campaigns!$AJ$2:$AJ$51,MATCH($A413,campaigns!$A$2:$A$51,0))="","",INDEX(campaigns!$AJ$2:$AJ$51,MATCH($A413,campaigns!$A$2:$A$51,0))),"")="","(add the survey prefill template on campaigns)",SUBSTITUTE(IFERROR(IF(INDEX(campaigns!$AJ$2:$AJ$51,MATCH($A413,campaigns!$A$2:$A$51,0))="","",INDEX(campaigns!$AJ$2:$AJ$51,MATCH($A413,campaigns!$A$2:$A$51,0))),""),"CARDCODE",$F413)&amp;"&amp;utm_source=office-pantry&amp;utm_medium="&amp;$C413&amp;"&amp;utm_campaign="&amp;LOWER($A413)&amp;"&amp;utm_content="&amp;LOWER($B413)))</f>
        <v/>
      </c>
      <c r="H413" s="25">
        <f>IF(OR($A413="",$C413&lt;&gt;"qr"),"",$D413&amp;".png")</f>
        <v/>
      </c>
      <c r="I413" s="25">
        <f>IF($A413="","",IF(AND(IFERROR(IF(INDEX(campaigns!$AJ$2:$AJ$51,MATCH($A413,campaigns!$A$2:$A$51,0))="","",INDEX(campaigns!$AJ$2:$AJ$51,MATCH($A413,campaigns!$A$2:$A$51,0))),"")="",IFERROR(IF(INDEX(campaigns!$BG$2:$BG$51,MATCH($A413,campaigns!$A$2:$A$51,0))="","",INDEX(campaigns!$BG$2:$BG$51,MATCH($A413,campaigns!$A$2:$A$51,0))),"")&lt;&gt;"",IF(config!$B$37&lt;&gt;"",config!$B$37,TODAY())&gt;=WORKDAY(N(IFERROR(IF(INDEX(campaigns!$BG$2:$BG$51,MATCH($A413,campaigns!$A$2:$A$51,0))="","",INDEX(campaigns!$BG$2:$BG$51,MATCH($A413,campaigns!$A$2:$A$51,0))),"")),-4,calendar!$A$2:$A$80)),"no prefill template yet (due T-4); ","")&amp;IF(COUNTIF(links!$D$2:$D$501,$D413)&gt;1,"DUPLICATE slug; ",""))</f>
        <v/>
      </c>
    </row>
    <row r="414">
      <c r="A414" s="25">
        <f>IF(INDEX(approvals!$A$2:$A$251,INT((ROW()-2)/2)+1)="","",INDEX(approvals!$A$2:$A$251,INT((ROW()-2)/2)+1))</f>
        <v/>
      </c>
      <c r="B414" s="25">
        <f>IF(INDEX(approvals!$A$2:$A$251,INT((ROW()-2)/2)+1)="","",INDEX(approvals!$B$2:$B$251,INT((ROW()-2)/2)+1))</f>
        <v/>
      </c>
      <c r="C414" s="25">
        <f>IF($A414="","",IF(MOD(ROW()-2,2)=0,"qr","post"))</f>
        <v/>
      </c>
      <c r="D414" s="25">
        <f>IF($A414="","",IF(LEFT($A414,7)="SAMPLE-","SAMPLE-","")&amp;LOWER(SUBSTITUTE(SUBSTITUTE($A414,"SAMPLE-",""),"CMP-","c"))&amp;"-"&amp;LOWER(SUBSTITUTE(SUBSTITUTE($B414,"SAMPLE-",""),"O-","o"))&amp;"-"&amp;IF($C414="qr","q","p"))</f>
        <v/>
      </c>
      <c r="E414" s="25">
        <f>IF($A414="","","https://"&amp;config!$B$9&amp;"/"&amp;$D414)</f>
        <v/>
      </c>
      <c r="F414" s="25">
        <f>IF($A414="","",$A414&amp;"."&amp;$B414)</f>
        <v/>
      </c>
      <c r="G414" s="25">
        <f>IF($A414="","",IF(IFERROR(IF(INDEX(campaigns!$AJ$2:$AJ$51,MATCH($A414,campaigns!$A$2:$A$51,0))="","",INDEX(campaigns!$AJ$2:$AJ$51,MATCH($A414,campaigns!$A$2:$A$51,0))),"")="","(add the survey prefill template on campaigns)",SUBSTITUTE(IFERROR(IF(INDEX(campaigns!$AJ$2:$AJ$51,MATCH($A414,campaigns!$A$2:$A$51,0))="","",INDEX(campaigns!$AJ$2:$AJ$51,MATCH($A414,campaigns!$A$2:$A$51,0))),""),"CARDCODE",$F414)&amp;"&amp;utm_source=office-pantry&amp;utm_medium="&amp;$C414&amp;"&amp;utm_campaign="&amp;LOWER($A414)&amp;"&amp;utm_content="&amp;LOWER($B414)))</f>
        <v/>
      </c>
      <c r="H414" s="25">
        <f>IF(OR($A414="",$C414&lt;&gt;"qr"),"",$D414&amp;".png")</f>
        <v/>
      </c>
      <c r="I414" s="25">
        <f>IF($A414="","",IF(AND(IFERROR(IF(INDEX(campaigns!$AJ$2:$AJ$51,MATCH($A414,campaigns!$A$2:$A$51,0))="","",INDEX(campaigns!$AJ$2:$AJ$51,MATCH($A414,campaigns!$A$2:$A$51,0))),"")="",IFERROR(IF(INDEX(campaigns!$BG$2:$BG$51,MATCH($A414,campaigns!$A$2:$A$51,0))="","",INDEX(campaigns!$BG$2:$BG$51,MATCH($A414,campaigns!$A$2:$A$51,0))),"")&lt;&gt;"",IF(config!$B$37&lt;&gt;"",config!$B$37,TODAY())&gt;=WORKDAY(N(IFERROR(IF(INDEX(campaigns!$BG$2:$BG$51,MATCH($A414,campaigns!$A$2:$A$51,0))="","",INDEX(campaigns!$BG$2:$BG$51,MATCH($A414,campaigns!$A$2:$A$51,0))),"")),-4,calendar!$A$2:$A$80)),"no prefill template yet (due T-4); ","")&amp;IF(COUNTIF(links!$D$2:$D$501,$D414)&gt;1,"DUPLICATE slug; ",""))</f>
        <v/>
      </c>
    </row>
    <row r="415">
      <c r="A415" s="25">
        <f>IF(INDEX(approvals!$A$2:$A$251,INT((ROW()-2)/2)+1)="","",INDEX(approvals!$A$2:$A$251,INT((ROW()-2)/2)+1))</f>
        <v/>
      </c>
      <c r="B415" s="25">
        <f>IF(INDEX(approvals!$A$2:$A$251,INT((ROW()-2)/2)+1)="","",INDEX(approvals!$B$2:$B$251,INT((ROW()-2)/2)+1))</f>
        <v/>
      </c>
      <c r="C415" s="25">
        <f>IF($A415="","",IF(MOD(ROW()-2,2)=0,"qr","post"))</f>
        <v/>
      </c>
      <c r="D415" s="25">
        <f>IF($A415="","",IF(LEFT($A415,7)="SAMPLE-","SAMPLE-","")&amp;LOWER(SUBSTITUTE(SUBSTITUTE($A415,"SAMPLE-",""),"CMP-","c"))&amp;"-"&amp;LOWER(SUBSTITUTE(SUBSTITUTE($B415,"SAMPLE-",""),"O-","o"))&amp;"-"&amp;IF($C415="qr","q","p"))</f>
        <v/>
      </c>
      <c r="E415" s="25">
        <f>IF($A415="","","https://"&amp;config!$B$9&amp;"/"&amp;$D415)</f>
        <v/>
      </c>
      <c r="F415" s="25">
        <f>IF($A415="","",$A415&amp;"."&amp;$B415)</f>
        <v/>
      </c>
      <c r="G415" s="25">
        <f>IF($A415="","",IF(IFERROR(IF(INDEX(campaigns!$AJ$2:$AJ$51,MATCH($A415,campaigns!$A$2:$A$51,0))="","",INDEX(campaigns!$AJ$2:$AJ$51,MATCH($A415,campaigns!$A$2:$A$51,0))),"")="","(add the survey prefill template on campaigns)",SUBSTITUTE(IFERROR(IF(INDEX(campaigns!$AJ$2:$AJ$51,MATCH($A415,campaigns!$A$2:$A$51,0))="","",INDEX(campaigns!$AJ$2:$AJ$51,MATCH($A415,campaigns!$A$2:$A$51,0))),""),"CARDCODE",$F415)&amp;"&amp;utm_source=office-pantry&amp;utm_medium="&amp;$C415&amp;"&amp;utm_campaign="&amp;LOWER($A415)&amp;"&amp;utm_content="&amp;LOWER($B415)))</f>
        <v/>
      </c>
      <c r="H415" s="25">
        <f>IF(OR($A415="",$C415&lt;&gt;"qr"),"",$D415&amp;".png")</f>
        <v/>
      </c>
      <c r="I415" s="25">
        <f>IF($A415="","",IF(AND(IFERROR(IF(INDEX(campaigns!$AJ$2:$AJ$51,MATCH($A415,campaigns!$A$2:$A$51,0))="","",INDEX(campaigns!$AJ$2:$AJ$51,MATCH($A415,campaigns!$A$2:$A$51,0))),"")="",IFERROR(IF(INDEX(campaigns!$BG$2:$BG$51,MATCH($A415,campaigns!$A$2:$A$51,0))="","",INDEX(campaigns!$BG$2:$BG$51,MATCH($A415,campaigns!$A$2:$A$51,0))),"")&lt;&gt;"",IF(config!$B$37&lt;&gt;"",config!$B$37,TODAY())&gt;=WORKDAY(N(IFERROR(IF(INDEX(campaigns!$BG$2:$BG$51,MATCH($A415,campaigns!$A$2:$A$51,0))="","",INDEX(campaigns!$BG$2:$BG$51,MATCH($A415,campaigns!$A$2:$A$51,0))),"")),-4,calendar!$A$2:$A$80)),"no prefill template yet (due T-4); ","")&amp;IF(COUNTIF(links!$D$2:$D$501,$D415)&gt;1,"DUPLICATE slug; ",""))</f>
        <v/>
      </c>
    </row>
    <row r="416">
      <c r="A416" s="25">
        <f>IF(INDEX(approvals!$A$2:$A$251,INT((ROW()-2)/2)+1)="","",INDEX(approvals!$A$2:$A$251,INT((ROW()-2)/2)+1))</f>
        <v/>
      </c>
      <c r="B416" s="25">
        <f>IF(INDEX(approvals!$A$2:$A$251,INT((ROW()-2)/2)+1)="","",INDEX(approvals!$B$2:$B$251,INT((ROW()-2)/2)+1))</f>
        <v/>
      </c>
      <c r="C416" s="25">
        <f>IF($A416="","",IF(MOD(ROW()-2,2)=0,"qr","post"))</f>
        <v/>
      </c>
      <c r="D416" s="25">
        <f>IF($A416="","",IF(LEFT($A416,7)="SAMPLE-","SAMPLE-","")&amp;LOWER(SUBSTITUTE(SUBSTITUTE($A416,"SAMPLE-",""),"CMP-","c"))&amp;"-"&amp;LOWER(SUBSTITUTE(SUBSTITUTE($B416,"SAMPLE-",""),"O-","o"))&amp;"-"&amp;IF($C416="qr","q","p"))</f>
        <v/>
      </c>
      <c r="E416" s="25">
        <f>IF($A416="","","https://"&amp;config!$B$9&amp;"/"&amp;$D416)</f>
        <v/>
      </c>
      <c r="F416" s="25">
        <f>IF($A416="","",$A416&amp;"."&amp;$B416)</f>
        <v/>
      </c>
      <c r="G416" s="25">
        <f>IF($A416="","",IF(IFERROR(IF(INDEX(campaigns!$AJ$2:$AJ$51,MATCH($A416,campaigns!$A$2:$A$51,0))="","",INDEX(campaigns!$AJ$2:$AJ$51,MATCH($A416,campaigns!$A$2:$A$51,0))),"")="","(add the survey prefill template on campaigns)",SUBSTITUTE(IFERROR(IF(INDEX(campaigns!$AJ$2:$AJ$51,MATCH($A416,campaigns!$A$2:$A$51,0))="","",INDEX(campaigns!$AJ$2:$AJ$51,MATCH($A416,campaigns!$A$2:$A$51,0))),""),"CARDCODE",$F416)&amp;"&amp;utm_source=office-pantry&amp;utm_medium="&amp;$C416&amp;"&amp;utm_campaign="&amp;LOWER($A416)&amp;"&amp;utm_content="&amp;LOWER($B416)))</f>
        <v/>
      </c>
      <c r="H416" s="25">
        <f>IF(OR($A416="",$C416&lt;&gt;"qr"),"",$D416&amp;".png")</f>
        <v/>
      </c>
      <c r="I416" s="25">
        <f>IF($A416="","",IF(AND(IFERROR(IF(INDEX(campaigns!$AJ$2:$AJ$51,MATCH($A416,campaigns!$A$2:$A$51,0))="","",INDEX(campaigns!$AJ$2:$AJ$51,MATCH($A416,campaigns!$A$2:$A$51,0))),"")="",IFERROR(IF(INDEX(campaigns!$BG$2:$BG$51,MATCH($A416,campaigns!$A$2:$A$51,0))="","",INDEX(campaigns!$BG$2:$BG$51,MATCH($A416,campaigns!$A$2:$A$51,0))),"")&lt;&gt;"",IF(config!$B$37&lt;&gt;"",config!$B$37,TODAY())&gt;=WORKDAY(N(IFERROR(IF(INDEX(campaigns!$BG$2:$BG$51,MATCH($A416,campaigns!$A$2:$A$51,0))="","",INDEX(campaigns!$BG$2:$BG$51,MATCH($A416,campaigns!$A$2:$A$51,0))),"")),-4,calendar!$A$2:$A$80)),"no prefill template yet (due T-4); ","")&amp;IF(COUNTIF(links!$D$2:$D$501,$D416)&gt;1,"DUPLICATE slug; ",""))</f>
        <v/>
      </c>
    </row>
    <row r="417">
      <c r="A417" s="25">
        <f>IF(INDEX(approvals!$A$2:$A$251,INT((ROW()-2)/2)+1)="","",INDEX(approvals!$A$2:$A$251,INT((ROW()-2)/2)+1))</f>
        <v/>
      </c>
      <c r="B417" s="25">
        <f>IF(INDEX(approvals!$A$2:$A$251,INT((ROW()-2)/2)+1)="","",INDEX(approvals!$B$2:$B$251,INT((ROW()-2)/2)+1))</f>
        <v/>
      </c>
      <c r="C417" s="25">
        <f>IF($A417="","",IF(MOD(ROW()-2,2)=0,"qr","post"))</f>
        <v/>
      </c>
      <c r="D417" s="25">
        <f>IF($A417="","",IF(LEFT($A417,7)="SAMPLE-","SAMPLE-","")&amp;LOWER(SUBSTITUTE(SUBSTITUTE($A417,"SAMPLE-",""),"CMP-","c"))&amp;"-"&amp;LOWER(SUBSTITUTE(SUBSTITUTE($B417,"SAMPLE-",""),"O-","o"))&amp;"-"&amp;IF($C417="qr","q","p"))</f>
        <v/>
      </c>
      <c r="E417" s="25">
        <f>IF($A417="","","https://"&amp;config!$B$9&amp;"/"&amp;$D417)</f>
        <v/>
      </c>
      <c r="F417" s="25">
        <f>IF($A417="","",$A417&amp;"."&amp;$B417)</f>
        <v/>
      </c>
      <c r="G417" s="25">
        <f>IF($A417="","",IF(IFERROR(IF(INDEX(campaigns!$AJ$2:$AJ$51,MATCH($A417,campaigns!$A$2:$A$51,0))="","",INDEX(campaigns!$AJ$2:$AJ$51,MATCH($A417,campaigns!$A$2:$A$51,0))),"")="","(add the survey prefill template on campaigns)",SUBSTITUTE(IFERROR(IF(INDEX(campaigns!$AJ$2:$AJ$51,MATCH($A417,campaigns!$A$2:$A$51,0))="","",INDEX(campaigns!$AJ$2:$AJ$51,MATCH($A417,campaigns!$A$2:$A$51,0))),""),"CARDCODE",$F417)&amp;"&amp;utm_source=office-pantry&amp;utm_medium="&amp;$C417&amp;"&amp;utm_campaign="&amp;LOWER($A417)&amp;"&amp;utm_content="&amp;LOWER($B417)))</f>
        <v/>
      </c>
      <c r="H417" s="25">
        <f>IF(OR($A417="",$C417&lt;&gt;"qr"),"",$D417&amp;".png")</f>
        <v/>
      </c>
      <c r="I417" s="25">
        <f>IF($A417="","",IF(AND(IFERROR(IF(INDEX(campaigns!$AJ$2:$AJ$51,MATCH($A417,campaigns!$A$2:$A$51,0))="","",INDEX(campaigns!$AJ$2:$AJ$51,MATCH($A417,campaigns!$A$2:$A$51,0))),"")="",IFERROR(IF(INDEX(campaigns!$BG$2:$BG$51,MATCH($A417,campaigns!$A$2:$A$51,0))="","",INDEX(campaigns!$BG$2:$BG$51,MATCH($A417,campaigns!$A$2:$A$51,0))),"")&lt;&gt;"",IF(config!$B$37&lt;&gt;"",config!$B$37,TODAY())&gt;=WORKDAY(N(IFERROR(IF(INDEX(campaigns!$BG$2:$BG$51,MATCH($A417,campaigns!$A$2:$A$51,0))="","",INDEX(campaigns!$BG$2:$BG$51,MATCH($A417,campaigns!$A$2:$A$51,0))),"")),-4,calendar!$A$2:$A$80)),"no prefill template yet (due T-4); ","")&amp;IF(COUNTIF(links!$D$2:$D$501,$D417)&gt;1,"DUPLICATE slug; ",""))</f>
        <v/>
      </c>
    </row>
    <row r="418">
      <c r="A418" s="25">
        <f>IF(INDEX(approvals!$A$2:$A$251,INT((ROW()-2)/2)+1)="","",INDEX(approvals!$A$2:$A$251,INT((ROW()-2)/2)+1))</f>
        <v/>
      </c>
      <c r="B418" s="25">
        <f>IF(INDEX(approvals!$A$2:$A$251,INT((ROW()-2)/2)+1)="","",INDEX(approvals!$B$2:$B$251,INT((ROW()-2)/2)+1))</f>
        <v/>
      </c>
      <c r="C418" s="25">
        <f>IF($A418="","",IF(MOD(ROW()-2,2)=0,"qr","post"))</f>
        <v/>
      </c>
      <c r="D418" s="25">
        <f>IF($A418="","",IF(LEFT($A418,7)="SAMPLE-","SAMPLE-","")&amp;LOWER(SUBSTITUTE(SUBSTITUTE($A418,"SAMPLE-",""),"CMP-","c"))&amp;"-"&amp;LOWER(SUBSTITUTE(SUBSTITUTE($B418,"SAMPLE-",""),"O-","o"))&amp;"-"&amp;IF($C418="qr","q","p"))</f>
        <v/>
      </c>
      <c r="E418" s="25">
        <f>IF($A418="","","https://"&amp;config!$B$9&amp;"/"&amp;$D418)</f>
        <v/>
      </c>
      <c r="F418" s="25">
        <f>IF($A418="","",$A418&amp;"."&amp;$B418)</f>
        <v/>
      </c>
      <c r="G418" s="25">
        <f>IF($A418="","",IF(IFERROR(IF(INDEX(campaigns!$AJ$2:$AJ$51,MATCH($A418,campaigns!$A$2:$A$51,0))="","",INDEX(campaigns!$AJ$2:$AJ$51,MATCH($A418,campaigns!$A$2:$A$51,0))),"")="","(add the survey prefill template on campaigns)",SUBSTITUTE(IFERROR(IF(INDEX(campaigns!$AJ$2:$AJ$51,MATCH($A418,campaigns!$A$2:$A$51,0))="","",INDEX(campaigns!$AJ$2:$AJ$51,MATCH($A418,campaigns!$A$2:$A$51,0))),""),"CARDCODE",$F418)&amp;"&amp;utm_source=office-pantry&amp;utm_medium="&amp;$C418&amp;"&amp;utm_campaign="&amp;LOWER($A418)&amp;"&amp;utm_content="&amp;LOWER($B418)))</f>
        <v/>
      </c>
      <c r="H418" s="25">
        <f>IF(OR($A418="",$C418&lt;&gt;"qr"),"",$D418&amp;".png")</f>
        <v/>
      </c>
      <c r="I418" s="25">
        <f>IF($A418="","",IF(AND(IFERROR(IF(INDEX(campaigns!$AJ$2:$AJ$51,MATCH($A418,campaigns!$A$2:$A$51,0))="","",INDEX(campaigns!$AJ$2:$AJ$51,MATCH($A418,campaigns!$A$2:$A$51,0))),"")="",IFERROR(IF(INDEX(campaigns!$BG$2:$BG$51,MATCH($A418,campaigns!$A$2:$A$51,0))="","",INDEX(campaigns!$BG$2:$BG$51,MATCH($A418,campaigns!$A$2:$A$51,0))),"")&lt;&gt;"",IF(config!$B$37&lt;&gt;"",config!$B$37,TODAY())&gt;=WORKDAY(N(IFERROR(IF(INDEX(campaigns!$BG$2:$BG$51,MATCH($A418,campaigns!$A$2:$A$51,0))="","",INDEX(campaigns!$BG$2:$BG$51,MATCH($A418,campaigns!$A$2:$A$51,0))),"")),-4,calendar!$A$2:$A$80)),"no prefill template yet (due T-4); ","")&amp;IF(COUNTIF(links!$D$2:$D$501,$D418)&gt;1,"DUPLICATE slug; ",""))</f>
        <v/>
      </c>
    </row>
    <row r="419">
      <c r="A419" s="25">
        <f>IF(INDEX(approvals!$A$2:$A$251,INT((ROW()-2)/2)+1)="","",INDEX(approvals!$A$2:$A$251,INT((ROW()-2)/2)+1))</f>
        <v/>
      </c>
      <c r="B419" s="25">
        <f>IF(INDEX(approvals!$A$2:$A$251,INT((ROW()-2)/2)+1)="","",INDEX(approvals!$B$2:$B$251,INT((ROW()-2)/2)+1))</f>
        <v/>
      </c>
      <c r="C419" s="25">
        <f>IF($A419="","",IF(MOD(ROW()-2,2)=0,"qr","post"))</f>
        <v/>
      </c>
      <c r="D419" s="25">
        <f>IF($A419="","",IF(LEFT($A419,7)="SAMPLE-","SAMPLE-","")&amp;LOWER(SUBSTITUTE(SUBSTITUTE($A419,"SAMPLE-",""),"CMP-","c"))&amp;"-"&amp;LOWER(SUBSTITUTE(SUBSTITUTE($B419,"SAMPLE-",""),"O-","o"))&amp;"-"&amp;IF($C419="qr","q","p"))</f>
        <v/>
      </c>
      <c r="E419" s="25">
        <f>IF($A419="","","https://"&amp;config!$B$9&amp;"/"&amp;$D419)</f>
        <v/>
      </c>
      <c r="F419" s="25">
        <f>IF($A419="","",$A419&amp;"."&amp;$B419)</f>
        <v/>
      </c>
      <c r="G419" s="25">
        <f>IF($A419="","",IF(IFERROR(IF(INDEX(campaigns!$AJ$2:$AJ$51,MATCH($A419,campaigns!$A$2:$A$51,0))="","",INDEX(campaigns!$AJ$2:$AJ$51,MATCH($A419,campaigns!$A$2:$A$51,0))),"")="","(add the survey prefill template on campaigns)",SUBSTITUTE(IFERROR(IF(INDEX(campaigns!$AJ$2:$AJ$51,MATCH($A419,campaigns!$A$2:$A$51,0))="","",INDEX(campaigns!$AJ$2:$AJ$51,MATCH($A419,campaigns!$A$2:$A$51,0))),""),"CARDCODE",$F419)&amp;"&amp;utm_source=office-pantry&amp;utm_medium="&amp;$C419&amp;"&amp;utm_campaign="&amp;LOWER($A419)&amp;"&amp;utm_content="&amp;LOWER($B419)))</f>
        <v/>
      </c>
      <c r="H419" s="25">
        <f>IF(OR($A419="",$C419&lt;&gt;"qr"),"",$D419&amp;".png")</f>
        <v/>
      </c>
      <c r="I419" s="25">
        <f>IF($A419="","",IF(AND(IFERROR(IF(INDEX(campaigns!$AJ$2:$AJ$51,MATCH($A419,campaigns!$A$2:$A$51,0))="","",INDEX(campaigns!$AJ$2:$AJ$51,MATCH($A419,campaigns!$A$2:$A$51,0))),"")="",IFERROR(IF(INDEX(campaigns!$BG$2:$BG$51,MATCH($A419,campaigns!$A$2:$A$51,0))="","",INDEX(campaigns!$BG$2:$BG$51,MATCH($A419,campaigns!$A$2:$A$51,0))),"")&lt;&gt;"",IF(config!$B$37&lt;&gt;"",config!$B$37,TODAY())&gt;=WORKDAY(N(IFERROR(IF(INDEX(campaigns!$BG$2:$BG$51,MATCH($A419,campaigns!$A$2:$A$51,0))="","",INDEX(campaigns!$BG$2:$BG$51,MATCH($A419,campaigns!$A$2:$A$51,0))),"")),-4,calendar!$A$2:$A$80)),"no prefill template yet (due T-4); ","")&amp;IF(COUNTIF(links!$D$2:$D$501,$D419)&gt;1,"DUPLICATE slug; ",""))</f>
        <v/>
      </c>
    </row>
    <row r="420">
      <c r="A420" s="25">
        <f>IF(INDEX(approvals!$A$2:$A$251,INT((ROW()-2)/2)+1)="","",INDEX(approvals!$A$2:$A$251,INT((ROW()-2)/2)+1))</f>
        <v/>
      </c>
      <c r="B420" s="25">
        <f>IF(INDEX(approvals!$A$2:$A$251,INT((ROW()-2)/2)+1)="","",INDEX(approvals!$B$2:$B$251,INT((ROW()-2)/2)+1))</f>
        <v/>
      </c>
      <c r="C420" s="25">
        <f>IF($A420="","",IF(MOD(ROW()-2,2)=0,"qr","post"))</f>
        <v/>
      </c>
      <c r="D420" s="25">
        <f>IF($A420="","",IF(LEFT($A420,7)="SAMPLE-","SAMPLE-","")&amp;LOWER(SUBSTITUTE(SUBSTITUTE($A420,"SAMPLE-",""),"CMP-","c"))&amp;"-"&amp;LOWER(SUBSTITUTE(SUBSTITUTE($B420,"SAMPLE-",""),"O-","o"))&amp;"-"&amp;IF($C420="qr","q","p"))</f>
        <v/>
      </c>
      <c r="E420" s="25">
        <f>IF($A420="","","https://"&amp;config!$B$9&amp;"/"&amp;$D420)</f>
        <v/>
      </c>
      <c r="F420" s="25">
        <f>IF($A420="","",$A420&amp;"."&amp;$B420)</f>
        <v/>
      </c>
      <c r="G420" s="25">
        <f>IF($A420="","",IF(IFERROR(IF(INDEX(campaigns!$AJ$2:$AJ$51,MATCH($A420,campaigns!$A$2:$A$51,0))="","",INDEX(campaigns!$AJ$2:$AJ$51,MATCH($A420,campaigns!$A$2:$A$51,0))),"")="","(add the survey prefill template on campaigns)",SUBSTITUTE(IFERROR(IF(INDEX(campaigns!$AJ$2:$AJ$51,MATCH($A420,campaigns!$A$2:$A$51,0))="","",INDEX(campaigns!$AJ$2:$AJ$51,MATCH($A420,campaigns!$A$2:$A$51,0))),""),"CARDCODE",$F420)&amp;"&amp;utm_source=office-pantry&amp;utm_medium="&amp;$C420&amp;"&amp;utm_campaign="&amp;LOWER($A420)&amp;"&amp;utm_content="&amp;LOWER($B420)))</f>
        <v/>
      </c>
      <c r="H420" s="25">
        <f>IF(OR($A420="",$C420&lt;&gt;"qr"),"",$D420&amp;".png")</f>
        <v/>
      </c>
      <c r="I420" s="25">
        <f>IF($A420="","",IF(AND(IFERROR(IF(INDEX(campaigns!$AJ$2:$AJ$51,MATCH($A420,campaigns!$A$2:$A$51,0))="","",INDEX(campaigns!$AJ$2:$AJ$51,MATCH($A420,campaigns!$A$2:$A$51,0))),"")="",IFERROR(IF(INDEX(campaigns!$BG$2:$BG$51,MATCH($A420,campaigns!$A$2:$A$51,0))="","",INDEX(campaigns!$BG$2:$BG$51,MATCH($A420,campaigns!$A$2:$A$51,0))),"")&lt;&gt;"",IF(config!$B$37&lt;&gt;"",config!$B$37,TODAY())&gt;=WORKDAY(N(IFERROR(IF(INDEX(campaigns!$BG$2:$BG$51,MATCH($A420,campaigns!$A$2:$A$51,0))="","",INDEX(campaigns!$BG$2:$BG$51,MATCH($A420,campaigns!$A$2:$A$51,0))),"")),-4,calendar!$A$2:$A$80)),"no prefill template yet (due T-4); ","")&amp;IF(COUNTIF(links!$D$2:$D$501,$D420)&gt;1,"DUPLICATE slug; ",""))</f>
        <v/>
      </c>
    </row>
    <row r="421">
      <c r="A421" s="25">
        <f>IF(INDEX(approvals!$A$2:$A$251,INT((ROW()-2)/2)+1)="","",INDEX(approvals!$A$2:$A$251,INT((ROW()-2)/2)+1))</f>
        <v/>
      </c>
      <c r="B421" s="25">
        <f>IF(INDEX(approvals!$A$2:$A$251,INT((ROW()-2)/2)+1)="","",INDEX(approvals!$B$2:$B$251,INT((ROW()-2)/2)+1))</f>
        <v/>
      </c>
      <c r="C421" s="25">
        <f>IF($A421="","",IF(MOD(ROW()-2,2)=0,"qr","post"))</f>
        <v/>
      </c>
      <c r="D421" s="25">
        <f>IF($A421="","",IF(LEFT($A421,7)="SAMPLE-","SAMPLE-","")&amp;LOWER(SUBSTITUTE(SUBSTITUTE($A421,"SAMPLE-",""),"CMP-","c"))&amp;"-"&amp;LOWER(SUBSTITUTE(SUBSTITUTE($B421,"SAMPLE-",""),"O-","o"))&amp;"-"&amp;IF($C421="qr","q","p"))</f>
        <v/>
      </c>
      <c r="E421" s="25">
        <f>IF($A421="","","https://"&amp;config!$B$9&amp;"/"&amp;$D421)</f>
        <v/>
      </c>
      <c r="F421" s="25">
        <f>IF($A421="","",$A421&amp;"."&amp;$B421)</f>
        <v/>
      </c>
      <c r="G421" s="25">
        <f>IF($A421="","",IF(IFERROR(IF(INDEX(campaigns!$AJ$2:$AJ$51,MATCH($A421,campaigns!$A$2:$A$51,0))="","",INDEX(campaigns!$AJ$2:$AJ$51,MATCH($A421,campaigns!$A$2:$A$51,0))),"")="","(add the survey prefill template on campaigns)",SUBSTITUTE(IFERROR(IF(INDEX(campaigns!$AJ$2:$AJ$51,MATCH($A421,campaigns!$A$2:$A$51,0))="","",INDEX(campaigns!$AJ$2:$AJ$51,MATCH($A421,campaigns!$A$2:$A$51,0))),""),"CARDCODE",$F421)&amp;"&amp;utm_source=office-pantry&amp;utm_medium="&amp;$C421&amp;"&amp;utm_campaign="&amp;LOWER($A421)&amp;"&amp;utm_content="&amp;LOWER($B421)))</f>
        <v/>
      </c>
      <c r="H421" s="25">
        <f>IF(OR($A421="",$C421&lt;&gt;"qr"),"",$D421&amp;".png")</f>
        <v/>
      </c>
      <c r="I421" s="25">
        <f>IF($A421="","",IF(AND(IFERROR(IF(INDEX(campaigns!$AJ$2:$AJ$51,MATCH($A421,campaigns!$A$2:$A$51,0))="","",INDEX(campaigns!$AJ$2:$AJ$51,MATCH($A421,campaigns!$A$2:$A$51,0))),"")="",IFERROR(IF(INDEX(campaigns!$BG$2:$BG$51,MATCH($A421,campaigns!$A$2:$A$51,0))="","",INDEX(campaigns!$BG$2:$BG$51,MATCH($A421,campaigns!$A$2:$A$51,0))),"")&lt;&gt;"",IF(config!$B$37&lt;&gt;"",config!$B$37,TODAY())&gt;=WORKDAY(N(IFERROR(IF(INDEX(campaigns!$BG$2:$BG$51,MATCH($A421,campaigns!$A$2:$A$51,0))="","",INDEX(campaigns!$BG$2:$BG$51,MATCH($A421,campaigns!$A$2:$A$51,0))),"")),-4,calendar!$A$2:$A$80)),"no prefill template yet (due T-4); ","")&amp;IF(COUNTIF(links!$D$2:$D$501,$D421)&gt;1,"DUPLICATE slug; ",""))</f>
        <v/>
      </c>
    </row>
    <row r="422">
      <c r="A422" s="25">
        <f>IF(INDEX(approvals!$A$2:$A$251,INT((ROW()-2)/2)+1)="","",INDEX(approvals!$A$2:$A$251,INT((ROW()-2)/2)+1))</f>
        <v/>
      </c>
      <c r="B422" s="25">
        <f>IF(INDEX(approvals!$A$2:$A$251,INT((ROW()-2)/2)+1)="","",INDEX(approvals!$B$2:$B$251,INT((ROW()-2)/2)+1))</f>
        <v/>
      </c>
      <c r="C422" s="25">
        <f>IF($A422="","",IF(MOD(ROW()-2,2)=0,"qr","post"))</f>
        <v/>
      </c>
      <c r="D422" s="25">
        <f>IF($A422="","",IF(LEFT($A422,7)="SAMPLE-","SAMPLE-","")&amp;LOWER(SUBSTITUTE(SUBSTITUTE($A422,"SAMPLE-",""),"CMP-","c"))&amp;"-"&amp;LOWER(SUBSTITUTE(SUBSTITUTE($B422,"SAMPLE-",""),"O-","o"))&amp;"-"&amp;IF($C422="qr","q","p"))</f>
        <v/>
      </c>
      <c r="E422" s="25">
        <f>IF($A422="","","https://"&amp;config!$B$9&amp;"/"&amp;$D422)</f>
        <v/>
      </c>
      <c r="F422" s="25">
        <f>IF($A422="","",$A422&amp;"."&amp;$B422)</f>
        <v/>
      </c>
      <c r="G422" s="25">
        <f>IF($A422="","",IF(IFERROR(IF(INDEX(campaigns!$AJ$2:$AJ$51,MATCH($A422,campaigns!$A$2:$A$51,0))="","",INDEX(campaigns!$AJ$2:$AJ$51,MATCH($A422,campaigns!$A$2:$A$51,0))),"")="","(add the survey prefill template on campaigns)",SUBSTITUTE(IFERROR(IF(INDEX(campaigns!$AJ$2:$AJ$51,MATCH($A422,campaigns!$A$2:$A$51,0))="","",INDEX(campaigns!$AJ$2:$AJ$51,MATCH($A422,campaigns!$A$2:$A$51,0))),""),"CARDCODE",$F422)&amp;"&amp;utm_source=office-pantry&amp;utm_medium="&amp;$C422&amp;"&amp;utm_campaign="&amp;LOWER($A422)&amp;"&amp;utm_content="&amp;LOWER($B422)))</f>
        <v/>
      </c>
      <c r="H422" s="25">
        <f>IF(OR($A422="",$C422&lt;&gt;"qr"),"",$D422&amp;".png")</f>
        <v/>
      </c>
      <c r="I422" s="25">
        <f>IF($A422="","",IF(AND(IFERROR(IF(INDEX(campaigns!$AJ$2:$AJ$51,MATCH($A422,campaigns!$A$2:$A$51,0))="","",INDEX(campaigns!$AJ$2:$AJ$51,MATCH($A422,campaigns!$A$2:$A$51,0))),"")="",IFERROR(IF(INDEX(campaigns!$BG$2:$BG$51,MATCH($A422,campaigns!$A$2:$A$51,0))="","",INDEX(campaigns!$BG$2:$BG$51,MATCH($A422,campaigns!$A$2:$A$51,0))),"")&lt;&gt;"",IF(config!$B$37&lt;&gt;"",config!$B$37,TODAY())&gt;=WORKDAY(N(IFERROR(IF(INDEX(campaigns!$BG$2:$BG$51,MATCH($A422,campaigns!$A$2:$A$51,0))="","",INDEX(campaigns!$BG$2:$BG$51,MATCH($A422,campaigns!$A$2:$A$51,0))),"")),-4,calendar!$A$2:$A$80)),"no prefill template yet (due T-4); ","")&amp;IF(COUNTIF(links!$D$2:$D$501,$D422)&gt;1,"DUPLICATE slug; ",""))</f>
        <v/>
      </c>
    </row>
    <row r="423">
      <c r="A423" s="25">
        <f>IF(INDEX(approvals!$A$2:$A$251,INT((ROW()-2)/2)+1)="","",INDEX(approvals!$A$2:$A$251,INT((ROW()-2)/2)+1))</f>
        <v/>
      </c>
      <c r="B423" s="25">
        <f>IF(INDEX(approvals!$A$2:$A$251,INT((ROW()-2)/2)+1)="","",INDEX(approvals!$B$2:$B$251,INT((ROW()-2)/2)+1))</f>
        <v/>
      </c>
      <c r="C423" s="25">
        <f>IF($A423="","",IF(MOD(ROW()-2,2)=0,"qr","post"))</f>
        <v/>
      </c>
      <c r="D423" s="25">
        <f>IF($A423="","",IF(LEFT($A423,7)="SAMPLE-","SAMPLE-","")&amp;LOWER(SUBSTITUTE(SUBSTITUTE($A423,"SAMPLE-",""),"CMP-","c"))&amp;"-"&amp;LOWER(SUBSTITUTE(SUBSTITUTE($B423,"SAMPLE-",""),"O-","o"))&amp;"-"&amp;IF($C423="qr","q","p"))</f>
        <v/>
      </c>
      <c r="E423" s="25">
        <f>IF($A423="","","https://"&amp;config!$B$9&amp;"/"&amp;$D423)</f>
        <v/>
      </c>
      <c r="F423" s="25">
        <f>IF($A423="","",$A423&amp;"."&amp;$B423)</f>
        <v/>
      </c>
      <c r="G423" s="25">
        <f>IF($A423="","",IF(IFERROR(IF(INDEX(campaigns!$AJ$2:$AJ$51,MATCH($A423,campaigns!$A$2:$A$51,0))="","",INDEX(campaigns!$AJ$2:$AJ$51,MATCH($A423,campaigns!$A$2:$A$51,0))),"")="","(add the survey prefill template on campaigns)",SUBSTITUTE(IFERROR(IF(INDEX(campaigns!$AJ$2:$AJ$51,MATCH($A423,campaigns!$A$2:$A$51,0))="","",INDEX(campaigns!$AJ$2:$AJ$51,MATCH($A423,campaigns!$A$2:$A$51,0))),""),"CARDCODE",$F423)&amp;"&amp;utm_source=office-pantry&amp;utm_medium="&amp;$C423&amp;"&amp;utm_campaign="&amp;LOWER($A423)&amp;"&amp;utm_content="&amp;LOWER($B423)))</f>
        <v/>
      </c>
      <c r="H423" s="25">
        <f>IF(OR($A423="",$C423&lt;&gt;"qr"),"",$D423&amp;".png")</f>
        <v/>
      </c>
      <c r="I423" s="25">
        <f>IF($A423="","",IF(AND(IFERROR(IF(INDEX(campaigns!$AJ$2:$AJ$51,MATCH($A423,campaigns!$A$2:$A$51,0))="","",INDEX(campaigns!$AJ$2:$AJ$51,MATCH($A423,campaigns!$A$2:$A$51,0))),"")="",IFERROR(IF(INDEX(campaigns!$BG$2:$BG$51,MATCH($A423,campaigns!$A$2:$A$51,0))="","",INDEX(campaigns!$BG$2:$BG$51,MATCH($A423,campaigns!$A$2:$A$51,0))),"")&lt;&gt;"",IF(config!$B$37&lt;&gt;"",config!$B$37,TODAY())&gt;=WORKDAY(N(IFERROR(IF(INDEX(campaigns!$BG$2:$BG$51,MATCH($A423,campaigns!$A$2:$A$51,0))="","",INDEX(campaigns!$BG$2:$BG$51,MATCH($A423,campaigns!$A$2:$A$51,0))),"")),-4,calendar!$A$2:$A$80)),"no prefill template yet (due T-4); ","")&amp;IF(COUNTIF(links!$D$2:$D$501,$D423)&gt;1,"DUPLICATE slug; ",""))</f>
        <v/>
      </c>
    </row>
    <row r="424">
      <c r="A424" s="25">
        <f>IF(INDEX(approvals!$A$2:$A$251,INT((ROW()-2)/2)+1)="","",INDEX(approvals!$A$2:$A$251,INT((ROW()-2)/2)+1))</f>
        <v/>
      </c>
      <c r="B424" s="25">
        <f>IF(INDEX(approvals!$A$2:$A$251,INT((ROW()-2)/2)+1)="","",INDEX(approvals!$B$2:$B$251,INT((ROW()-2)/2)+1))</f>
        <v/>
      </c>
      <c r="C424" s="25">
        <f>IF($A424="","",IF(MOD(ROW()-2,2)=0,"qr","post"))</f>
        <v/>
      </c>
      <c r="D424" s="25">
        <f>IF($A424="","",IF(LEFT($A424,7)="SAMPLE-","SAMPLE-","")&amp;LOWER(SUBSTITUTE(SUBSTITUTE($A424,"SAMPLE-",""),"CMP-","c"))&amp;"-"&amp;LOWER(SUBSTITUTE(SUBSTITUTE($B424,"SAMPLE-",""),"O-","o"))&amp;"-"&amp;IF($C424="qr","q","p"))</f>
        <v/>
      </c>
      <c r="E424" s="25">
        <f>IF($A424="","","https://"&amp;config!$B$9&amp;"/"&amp;$D424)</f>
        <v/>
      </c>
      <c r="F424" s="25">
        <f>IF($A424="","",$A424&amp;"."&amp;$B424)</f>
        <v/>
      </c>
      <c r="G424" s="25">
        <f>IF($A424="","",IF(IFERROR(IF(INDEX(campaigns!$AJ$2:$AJ$51,MATCH($A424,campaigns!$A$2:$A$51,0))="","",INDEX(campaigns!$AJ$2:$AJ$51,MATCH($A424,campaigns!$A$2:$A$51,0))),"")="","(add the survey prefill template on campaigns)",SUBSTITUTE(IFERROR(IF(INDEX(campaigns!$AJ$2:$AJ$51,MATCH($A424,campaigns!$A$2:$A$51,0))="","",INDEX(campaigns!$AJ$2:$AJ$51,MATCH($A424,campaigns!$A$2:$A$51,0))),""),"CARDCODE",$F424)&amp;"&amp;utm_source=office-pantry&amp;utm_medium="&amp;$C424&amp;"&amp;utm_campaign="&amp;LOWER($A424)&amp;"&amp;utm_content="&amp;LOWER($B424)))</f>
        <v/>
      </c>
      <c r="H424" s="25">
        <f>IF(OR($A424="",$C424&lt;&gt;"qr"),"",$D424&amp;".png")</f>
        <v/>
      </c>
      <c r="I424" s="25">
        <f>IF($A424="","",IF(AND(IFERROR(IF(INDEX(campaigns!$AJ$2:$AJ$51,MATCH($A424,campaigns!$A$2:$A$51,0))="","",INDEX(campaigns!$AJ$2:$AJ$51,MATCH($A424,campaigns!$A$2:$A$51,0))),"")="",IFERROR(IF(INDEX(campaigns!$BG$2:$BG$51,MATCH($A424,campaigns!$A$2:$A$51,0))="","",INDEX(campaigns!$BG$2:$BG$51,MATCH($A424,campaigns!$A$2:$A$51,0))),"")&lt;&gt;"",IF(config!$B$37&lt;&gt;"",config!$B$37,TODAY())&gt;=WORKDAY(N(IFERROR(IF(INDEX(campaigns!$BG$2:$BG$51,MATCH($A424,campaigns!$A$2:$A$51,0))="","",INDEX(campaigns!$BG$2:$BG$51,MATCH($A424,campaigns!$A$2:$A$51,0))),"")),-4,calendar!$A$2:$A$80)),"no prefill template yet (due T-4); ","")&amp;IF(COUNTIF(links!$D$2:$D$501,$D424)&gt;1,"DUPLICATE slug; ",""))</f>
        <v/>
      </c>
    </row>
    <row r="425">
      <c r="A425" s="25">
        <f>IF(INDEX(approvals!$A$2:$A$251,INT((ROW()-2)/2)+1)="","",INDEX(approvals!$A$2:$A$251,INT((ROW()-2)/2)+1))</f>
        <v/>
      </c>
      <c r="B425" s="25">
        <f>IF(INDEX(approvals!$A$2:$A$251,INT((ROW()-2)/2)+1)="","",INDEX(approvals!$B$2:$B$251,INT((ROW()-2)/2)+1))</f>
        <v/>
      </c>
      <c r="C425" s="25">
        <f>IF($A425="","",IF(MOD(ROW()-2,2)=0,"qr","post"))</f>
        <v/>
      </c>
      <c r="D425" s="25">
        <f>IF($A425="","",IF(LEFT($A425,7)="SAMPLE-","SAMPLE-","")&amp;LOWER(SUBSTITUTE(SUBSTITUTE($A425,"SAMPLE-",""),"CMP-","c"))&amp;"-"&amp;LOWER(SUBSTITUTE(SUBSTITUTE($B425,"SAMPLE-",""),"O-","o"))&amp;"-"&amp;IF($C425="qr","q","p"))</f>
        <v/>
      </c>
      <c r="E425" s="25">
        <f>IF($A425="","","https://"&amp;config!$B$9&amp;"/"&amp;$D425)</f>
        <v/>
      </c>
      <c r="F425" s="25">
        <f>IF($A425="","",$A425&amp;"."&amp;$B425)</f>
        <v/>
      </c>
      <c r="G425" s="25">
        <f>IF($A425="","",IF(IFERROR(IF(INDEX(campaigns!$AJ$2:$AJ$51,MATCH($A425,campaigns!$A$2:$A$51,0))="","",INDEX(campaigns!$AJ$2:$AJ$51,MATCH($A425,campaigns!$A$2:$A$51,0))),"")="","(add the survey prefill template on campaigns)",SUBSTITUTE(IFERROR(IF(INDEX(campaigns!$AJ$2:$AJ$51,MATCH($A425,campaigns!$A$2:$A$51,0))="","",INDEX(campaigns!$AJ$2:$AJ$51,MATCH($A425,campaigns!$A$2:$A$51,0))),""),"CARDCODE",$F425)&amp;"&amp;utm_source=office-pantry&amp;utm_medium="&amp;$C425&amp;"&amp;utm_campaign="&amp;LOWER($A425)&amp;"&amp;utm_content="&amp;LOWER($B425)))</f>
        <v/>
      </c>
      <c r="H425" s="25">
        <f>IF(OR($A425="",$C425&lt;&gt;"qr"),"",$D425&amp;".png")</f>
        <v/>
      </c>
      <c r="I425" s="25">
        <f>IF($A425="","",IF(AND(IFERROR(IF(INDEX(campaigns!$AJ$2:$AJ$51,MATCH($A425,campaigns!$A$2:$A$51,0))="","",INDEX(campaigns!$AJ$2:$AJ$51,MATCH($A425,campaigns!$A$2:$A$51,0))),"")="",IFERROR(IF(INDEX(campaigns!$BG$2:$BG$51,MATCH($A425,campaigns!$A$2:$A$51,0))="","",INDEX(campaigns!$BG$2:$BG$51,MATCH($A425,campaigns!$A$2:$A$51,0))),"")&lt;&gt;"",IF(config!$B$37&lt;&gt;"",config!$B$37,TODAY())&gt;=WORKDAY(N(IFERROR(IF(INDEX(campaigns!$BG$2:$BG$51,MATCH($A425,campaigns!$A$2:$A$51,0))="","",INDEX(campaigns!$BG$2:$BG$51,MATCH($A425,campaigns!$A$2:$A$51,0))),"")),-4,calendar!$A$2:$A$80)),"no prefill template yet (due T-4); ","")&amp;IF(COUNTIF(links!$D$2:$D$501,$D425)&gt;1,"DUPLICATE slug; ",""))</f>
        <v/>
      </c>
    </row>
    <row r="426">
      <c r="A426" s="25">
        <f>IF(INDEX(approvals!$A$2:$A$251,INT((ROW()-2)/2)+1)="","",INDEX(approvals!$A$2:$A$251,INT((ROW()-2)/2)+1))</f>
        <v/>
      </c>
      <c r="B426" s="25">
        <f>IF(INDEX(approvals!$A$2:$A$251,INT((ROW()-2)/2)+1)="","",INDEX(approvals!$B$2:$B$251,INT((ROW()-2)/2)+1))</f>
        <v/>
      </c>
      <c r="C426" s="25">
        <f>IF($A426="","",IF(MOD(ROW()-2,2)=0,"qr","post"))</f>
        <v/>
      </c>
      <c r="D426" s="25">
        <f>IF($A426="","",IF(LEFT($A426,7)="SAMPLE-","SAMPLE-","")&amp;LOWER(SUBSTITUTE(SUBSTITUTE($A426,"SAMPLE-",""),"CMP-","c"))&amp;"-"&amp;LOWER(SUBSTITUTE(SUBSTITUTE($B426,"SAMPLE-",""),"O-","o"))&amp;"-"&amp;IF($C426="qr","q","p"))</f>
        <v/>
      </c>
      <c r="E426" s="25">
        <f>IF($A426="","","https://"&amp;config!$B$9&amp;"/"&amp;$D426)</f>
        <v/>
      </c>
      <c r="F426" s="25">
        <f>IF($A426="","",$A426&amp;"."&amp;$B426)</f>
        <v/>
      </c>
      <c r="G426" s="25">
        <f>IF($A426="","",IF(IFERROR(IF(INDEX(campaigns!$AJ$2:$AJ$51,MATCH($A426,campaigns!$A$2:$A$51,0))="","",INDEX(campaigns!$AJ$2:$AJ$51,MATCH($A426,campaigns!$A$2:$A$51,0))),"")="","(add the survey prefill template on campaigns)",SUBSTITUTE(IFERROR(IF(INDEX(campaigns!$AJ$2:$AJ$51,MATCH($A426,campaigns!$A$2:$A$51,0))="","",INDEX(campaigns!$AJ$2:$AJ$51,MATCH($A426,campaigns!$A$2:$A$51,0))),""),"CARDCODE",$F426)&amp;"&amp;utm_source=office-pantry&amp;utm_medium="&amp;$C426&amp;"&amp;utm_campaign="&amp;LOWER($A426)&amp;"&amp;utm_content="&amp;LOWER($B426)))</f>
        <v/>
      </c>
      <c r="H426" s="25">
        <f>IF(OR($A426="",$C426&lt;&gt;"qr"),"",$D426&amp;".png")</f>
        <v/>
      </c>
      <c r="I426" s="25">
        <f>IF($A426="","",IF(AND(IFERROR(IF(INDEX(campaigns!$AJ$2:$AJ$51,MATCH($A426,campaigns!$A$2:$A$51,0))="","",INDEX(campaigns!$AJ$2:$AJ$51,MATCH($A426,campaigns!$A$2:$A$51,0))),"")="",IFERROR(IF(INDEX(campaigns!$BG$2:$BG$51,MATCH($A426,campaigns!$A$2:$A$51,0))="","",INDEX(campaigns!$BG$2:$BG$51,MATCH($A426,campaigns!$A$2:$A$51,0))),"")&lt;&gt;"",IF(config!$B$37&lt;&gt;"",config!$B$37,TODAY())&gt;=WORKDAY(N(IFERROR(IF(INDEX(campaigns!$BG$2:$BG$51,MATCH($A426,campaigns!$A$2:$A$51,0))="","",INDEX(campaigns!$BG$2:$BG$51,MATCH($A426,campaigns!$A$2:$A$51,0))),"")),-4,calendar!$A$2:$A$80)),"no prefill template yet (due T-4); ","")&amp;IF(COUNTIF(links!$D$2:$D$501,$D426)&gt;1,"DUPLICATE slug; ",""))</f>
        <v/>
      </c>
    </row>
    <row r="427">
      <c r="A427" s="25">
        <f>IF(INDEX(approvals!$A$2:$A$251,INT((ROW()-2)/2)+1)="","",INDEX(approvals!$A$2:$A$251,INT((ROW()-2)/2)+1))</f>
        <v/>
      </c>
      <c r="B427" s="25">
        <f>IF(INDEX(approvals!$A$2:$A$251,INT((ROW()-2)/2)+1)="","",INDEX(approvals!$B$2:$B$251,INT((ROW()-2)/2)+1))</f>
        <v/>
      </c>
      <c r="C427" s="25">
        <f>IF($A427="","",IF(MOD(ROW()-2,2)=0,"qr","post"))</f>
        <v/>
      </c>
      <c r="D427" s="25">
        <f>IF($A427="","",IF(LEFT($A427,7)="SAMPLE-","SAMPLE-","")&amp;LOWER(SUBSTITUTE(SUBSTITUTE($A427,"SAMPLE-",""),"CMP-","c"))&amp;"-"&amp;LOWER(SUBSTITUTE(SUBSTITUTE($B427,"SAMPLE-",""),"O-","o"))&amp;"-"&amp;IF($C427="qr","q","p"))</f>
        <v/>
      </c>
      <c r="E427" s="25">
        <f>IF($A427="","","https://"&amp;config!$B$9&amp;"/"&amp;$D427)</f>
        <v/>
      </c>
      <c r="F427" s="25">
        <f>IF($A427="","",$A427&amp;"."&amp;$B427)</f>
        <v/>
      </c>
      <c r="G427" s="25">
        <f>IF($A427="","",IF(IFERROR(IF(INDEX(campaigns!$AJ$2:$AJ$51,MATCH($A427,campaigns!$A$2:$A$51,0))="","",INDEX(campaigns!$AJ$2:$AJ$51,MATCH($A427,campaigns!$A$2:$A$51,0))),"")="","(add the survey prefill template on campaigns)",SUBSTITUTE(IFERROR(IF(INDEX(campaigns!$AJ$2:$AJ$51,MATCH($A427,campaigns!$A$2:$A$51,0))="","",INDEX(campaigns!$AJ$2:$AJ$51,MATCH($A427,campaigns!$A$2:$A$51,0))),""),"CARDCODE",$F427)&amp;"&amp;utm_source=office-pantry&amp;utm_medium="&amp;$C427&amp;"&amp;utm_campaign="&amp;LOWER($A427)&amp;"&amp;utm_content="&amp;LOWER($B427)))</f>
        <v/>
      </c>
      <c r="H427" s="25">
        <f>IF(OR($A427="",$C427&lt;&gt;"qr"),"",$D427&amp;".png")</f>
        <v/>
      </c>
      <c r="I427" s="25">
        <f>IF($A427="","",IF(AND(IFERROR(IF(INDEX(campaigns!$AJ$2:$AJ$51,MATCH($A427,campaigns!$A$2:$A$51,0))="","",INDEX(campaigns!$AJ$2:$AJ$51,MATCH($A427,campaigns!$A$2:$A$51,0))),"")="",IFERROR(IF(INDEX(campaigns!$BG$2:$BG$51,MATCH($A427,campaigns!$A$2:$A$51,0))="","",INDEX(campaigns!$BG$2:$BG$51,MATCH($A427,campaigns!$A$2:$A$51,0))),"")&lt;&gt;"",IF(config!$B$37&lt;&gt;"",config!$B$37,TODAY())&gt;=WORKDAY(N(IFERROR(IF(INDEX(campaigns!$BG$2:$BG$51,MATCH($A427,campaigns!$A$2:$A$51,0))="","",INDEX(campaigns!$BG$2:$BG$51,MATCH($A427,campaigns!$A$2:$A$51,0))),"")),-4,calendar!$A$2:$A$80)),"no prefill template yet (due T-4); ","")&amp;IF(COUNTIF(links!$D$2:$D$501,$D427)&gt;1,"DUPLICATE slug; ",""))</f>
        <v/>
      </c>
    </row>
    <row r="428">
      <c r="A428" s="25">
        <f>IF(INDEX(approvals!$A$2:$A$251,INT((ROW()-2)/2)+1)="","",INDEX(approvals!$A$2:$A$251,INT((ROW()-2)/2)+1))</f>
        <v/>
      </c>
      <c r="B428" s="25">
        <f>IF(INDEX(approvals!$A$2:$A$251,INT((ROW()-2)/2)+1)="","",INDEX(approvals!$B$2:$B$251,INT((ROW()-2)/2)+1))</f>
        <v/>
      </c>
      <c r="C428" s="25">
        <f>IF($A428="","",IF(MOD(ROW()-2,2)=0,"qr","post"))</f>
        <v/>
      </c>
      <c r="D428" s="25">
        <f>IF($A428="","",IF(LEFT($A428,7)="SAMPLE-","SAMPLE-","")&amp;LOWER(SUBSTITUTE(SUBSTITUTE($A428,"SAMPLE-",""),"CMP-","c"))&amp;"-"&amp;LOWER(SUBSTITUTE(SUBSTITUTE($B428,"SAMPLE-",""),"O-","o"))&amp;"-"&amp;IF($C428="qr","q","p"))</f>
        <v/>
      </c>
      <c r="E428" s="25">
        <f>IF($A428="","","https://"&amp;config!$B$9&amp;"/"&amp;$D428)</f>
        <v/>
      </c>
      <c r="F428" s="25">
        <f>IF($A428="","",$A428&amp;"."&amp;$B428)</f>
        <v/>
      </c>
      <c r="G428" s="25">
        <f>IF($A428="","",IF(IFERROR(IF(INDEX(campaigns!$AJ$2:$AJ$51,MATCH($A428,campaigns!$A$2:$A$51,0))="","",INDEX(campaigns!$AJ$2:$AJ$51,MATCH($A428,campaigns!$A$2:$A$51,0))),"")="","(add the survey prefill template on campaigns)",SUBSTITUTE(IFERROR(IF(INDEX(campaigns!$AJ$2:$AJ$51,MATCH($A428,campaigns!$A$2:$A$51,0))="","",INDEX(campaigns!$AJ$2:$AJ$51,MATCH($A428,campaigns!$A$2:$A$51,0))),""),"CARDCODE",$F428)&amp;"&amp;utm_source=office-pantry&amp;utm_medium="&amp;$C428&amp;"&amp;utm_campaign="&amp;LOWER($A428)&amp;"&amp;utm_content="&amp;LOWER($B428)))</f>
        <v/>
      </c>
      <c r="H428" s="25">
        <f>IF(OR($A428="",$C428&lt;&gt;"qr"),"",$D428&amp;".png")</f>
        <v/>
      </c>
      <c r="I428" s="25">
        <f>IF($A428="","",IF(AND(IFERROR(IF(INDEX(campaigns!$AJ$2:$AJ$51,MATCH($A428,campaigns!$A$2:$A$51,0))="","",INDEX(campaigns!$AJ$2:$AJ$51,MATCH($A428,campaigns!$A$2:$A$51,0))),"")="",IFERROR(IF(INDEX(campaigns!$BG$2:$BG$51,MATCH($A428,campaigns!$A$2:$A$51,0))="","",INDEX(campaigns!$BG$2:$BG$51,MATCH($A428,campaigns!$A$2:$A$51,0))),"")&lt;&gt;"",IF(config!$B$37&lt;&gt;"",config!$B$37,TODAY())&gt;=WORKDAY(N(IFERROR(IF(INDEX(campaigns!$BG$2:$BG$51,MATCH($A428,campaigns!$A$2:$A$51,0))="","",INDEX(campaigns!$BG$2:$BG$51,MATCH($A428,campaigns!$A$2:$A$51,0))),"")),-4,calendar!$A$2:$A$80)),"no prefill template yet (due T-4); ","")&amp;IF(COUNTIF(links!$D$2:$D$501,$D428)&gt;1,"DUPLICATE slug; ",""))</f>
        <v/>
      </c>
    </row>
    <row r="429">
      <c r="A429" s="25">
        <f>IF(INDEX(approvals!$A$2:$A$251,INT((ROW()-2)/2)+1)="","",INDEX(approvals!$A$2:$A$251,INT((ROW()-2)/2)+1))</f>
        <v/>
      </c>
      <c r="B429" s="25">
        <f>IF(INDEX(approvals!$A$2:$A$251,INT((ROW()-2)/2)+1)="","",INDEX(approvals!$B$2:$B$251,INT((ROW()-2)/2)+1))</f>
        <v/>
      </c>
      <c r="C429" s="25">
        <f>IF($A429="","",IF(MOD(ROW()-2,2)=0,"qr","post"))</f>
        <v/>
      </c>
      <c r="D429" s="25">
        <f>IF($A429="","",IF(LEFT($A429,7)="SAMPLE-","SAMPLE-","")&amp;LOWER(SUBSTITUTE(SUBSTITUTE($A429,"SAMPLE-",""),"CMP-","c"))&amp;"-"&amp;LOWER(SUBSTITUTE(SUBSTITUTE($B429,"SAMPLE-",""),"O-","o"))&amp;"-"&amp;IF($C429="qr","q","p"))</f>
        <v/>
      </c>
      <c r="E429" s="25">
        <f>IF($A429="","","https://"&amp;config!$B$9&amp;"/"&amp;$D429)</f>
        <v/>
      </c>
      <c r="F429" s="25">
        <f>IF($A429="","",$A429&amp;"."&amp;$B429)</f>
        <v/>
      </c>
      <c r="G429" s="25">
        <f>IF($A429="","",IF(IFERROR(IF(INDEX(campaigns!$AJ$2:$AJ$51,MATCH($A429,campaigns!$A$2:$A$51,0))="","",INDEX(campaigns!$AJ$2:$AJ$51,MATCH($A429,campaigns!$A$2:$A$51,0))),"")="","(add the survey prefill template on campaigns)",SUBSTITUTE(IFERROR(IF(INDEX(campaigns!$AJ$2:$AJ$51,MATCH($A429,campaigns!$A$2:$A$51,0))="","",INDEX(campaigns!$AJ$2:$AJ$51,MATCH($A429,campaigns!$A$2:$A$51,0))),""),"CARDCODE",$F429)&amp;"&amp;utm_source=office-pantry&amp;utm_medium="&amp;$C429&amp;"&amp;utm_campaign="&amp;LOWER($A429)&amp;"&amp;utm_content="&amp;LOWER($B429)))</f>
        <v/>
      </c>
      <c r="H429" s="25">
        <f>IF(OR($A429="",$C429&lt;&gt;"qr"),"",$D429&amp;".png")</f>
        <v/>
      </c>
      <c r="I429" s="25">
        <f>IF($A429="","",IF(AND(IFERROR(IF(INDEX(campaigns!$AJ$2:$AJ$51,MATCH($A429,campaigns!$A$2:$A$51,0))="","",INDEX(campaigns!$AJ$2:$AJ$51,MATCH($A429,campaigns!$A$2:$A$51,0))),"")="",IFERROR(IF(INDEX(campaigns!$BG$2:$BG$51,MATCH($A429,campaigns!$A$2:$A$51,0))="","",INDEX(campaigns!$BG$2:$BG$51,MATCH($A429,campaigns!$A$2:$A$51,0))),"")&lt;&gt;"",IF(config!$B$37&lt;&gt;"",config!$B$37,TODAY())&gt;=WORKDAY(N(IFERROR(IF(INDEX(campaigns!$BG$2:$BG$51,MATCH($A429,campaigns!$A$2:$A$51,0))="","",INDEX(campaigns!$BG$2:$BG$51,MATCH($A429,campaigns!$A$2:$A$51,0))),"")),-4,calendar!$A$2:$A$80)),"no prefill template yet (due T-4); ","")&amp;IF(COUNTIF(links!$D$2:$D$501,$D429)&gt;1,"DUPLICATE slug; ",""))</f>
        <v/>
      </c>
    </row>
    <row r="430">
      <c r="A430" s="25">
        <f>IF(INDEX(approvals!$A$2:$A$251,INT((ROW()-2)/2)+1)="","",INDEX(approvals!$A$2:$A$251,INT((ROW()-2)/2)+1))</f>
        <v/>
      </c>
      <c r="B430" s="25">
        <f>IF(INDEX(approvals!$A$2:$A$251,INT((ROW()-2)/2)+1)="","",INDEX(approvals!$B$2:$B$251,INT((ROW()-2)/2)+1))</f>
        <v/>
      </c>
      <c r="C430" s="25">
        <f>IF($A430="","",IF(MOD(ROW()-2,2)=0,"qr","post"))</f>
        <v/>
      </c>
      <c r="D430" s="25">
        <f>IF($A430="","",IF(LEFT($A430,7)="SAMPLE-","SAMPLE-","")&amp;LOWER(SUBSTITUTE(SUBSTITUTE($A430,"SAMPLE-",""),"CMP-","c"))&amp;"-"&amp;LOWER(SUBSTITUTE(SUBSTITUTE($B430,"SAMPLE-",""),"O-","o"))&amp;"-"&amp;IF($C430="qr","q","p"))</f>
        <v/>
      </c>
      <c r="E430" s="25">
        <f>IF($A430="","","https://"&amp;config!$B$9&amp;"/"&amp;$D430)</f>
        <v/>
      </c>
      <c r="F430" s="25">
        <f>IF($A430="","",$A430&amp;"."&amp;$B430)</f>
        <v/>
      </c>
      <c r="G430" s="25">
        <f>IF($A430="","",IF(IFERROR(IF(INDEX(campaigns!$AJ$2:$AJ$51,MATCH($A430,campaigns!$A$2:$A$51,0))="","",INDEX(campaigns!$AJ$2:$AJ$51,MATCH($A430,campaigns!$A$2:$A$51,0))),"")="","(add the survey prefill template on campaigns)",SUBSTITUTE(IFERROR(IF(INDEX(campaigns!$AJ$2:$AJ$51,MATCH($A430,campaigns!$A$2:$A$51,0))="","",INDEX(campaigns!$AJ$2:$AJ$51,MATCH($A430,campaigns!$A$2:$A$51,0))),""),"CARDCODE",$F430)&amp;"&amp;utm_source=office-pantry&amp;utm_medium="&amp;$C430&amp;"&amp;utm_campaign="&amp;LOWER($A430)&amp;"&amp;utm_content="&amp;LOWER($B430)))</f>
        <v/>
      </c>
      <c r="H430" s="25">
        <f>IF(OR($A430="",$C430&lt;&gt;"qr"),"",$D430&amp;".png")</f>
        <v/>
      </c>
      <c r="I430" s="25">
        <f>IF($A430="","",IF(AND(IFERROR(IF(INDEX(campaigns!$AJ$2:$AJ$51,MATCH($A430,campaigns!$A$2:$A$51,0))="","",INDEX(campaigns!$AJ$2:$AJ$51,MATCH($A430,campaigns!$A$2:$A$51,0))),"")="",IFERROR(IF(INDEX(campaigns!$BG$2:$BG$51,MATCH($A430,campaigns!$A$2:$A$51,0))="","",INDEX(campaigns!$BG$2:$BG$51,MATCH($A430,campaigns!$A$2:$A$51,0))),"")&lt;&gt;"",IF(config!$B$37&lt;&gt;"",config!$B$37,TODAY())&gt;=WORKDAY(N(IFERROR(IF(INDEX(campaigns!$BG$2:$BG$51,MATCH($A430,campaigns!$A$2:$A$51,0))="","",INDEX(campaigns!$BG$2:$BG$51,MATCH($A430,campaigns!$A$2:$A$51,0))),"")),-4,calendar!$A$2:$A$80)),"no prefill template yet (due T-4); ","")&amp;IF(COUNTIF(links!$D$2:$D$501,$D430)&gt;1,"DUPLICATE slug; ",""))</f>
        <v/>
      </c>
    </row>
    <row r="431">
      <c r="A431" s="25">
        <f>IF(INDEX(approvals!$A$2:$A$251,INT((ROW()-2)/2)+1)="","",INDEX(approvals!$A$2:$A$251,INT((ROW()-2)/2)+1))</f>
        <v/>
      </c>
      <c r="B431" s="25">
        <f>IF(INDEX(approvals!$A$2:$A$251,INT((ROW()-2)/2)+1)="","",INDEX(approvals!$B$2:$B$251,INT((ROW()-2)/2)+1))</f>
        <v/>
      </c>
      <c r="C431" s="25">
        <f>IF($A431="","",IF(MOD(ROW()-2,2)=0,"qr","post"))</f>
        <v/>
      </c>
      <c r="D431" s="25">
        <f>IF($A431="","",IF(LEFT($A431,7)="SAMPLE-","SAMPLE-","")&amp;LOWER(SUBSTITUTE(SUBSTITUTE($A431,"SAMPLE-",""),"CMP-","c"))&amp;"-"&amp;LOWER(SUBSTITUTE(SUBSTITUTE($B431,"SAMPLE-",""),"O-","o"))&amp;"-"&amp;IF($C431="qr","q","p"))</f>
        <v/>
      </c>
      <c r="E431" s="25">
        <f>IF($A431="","","https://"&amp;config!$B$9&amp;"/"&amp;$D431)</f>
        <v/>
      </c>
      <c r="F431" s="25">
        <f>IF($A431="","",$A431&amp;"."&amp;$B431)</f>
        <v/>
      </c>
      <c r="G431" s="25">
        <f>IF($A431="","",IF(IFERROR(IF(INDEX(campaigns!$AJ$2:$AJ$51,MATCH($A431,campaigns!$A$2:$A$51,0))="","",INDEX(campaigns!$AJ$2:$AJ$51,MATCH($A431,campaigns!$A$2:$A$51,0))),"")="","(add the survey prefill template on campaigns)",SUBSTITUTE(IFERROR(IF(INDEX(campaigns!$AJ$2:$AJ$51,MATCH($A431,campaigns!$A$2:$A$51,0))="","",INDEX(campaigns!$AJ$2:$AJ$51,MATCH($A431,campaigns!$A$2:$A$51,0))),""),"CARDCODE",$F431)&amp;"&amp;utm_source=office-pantry&amp;utm_medium="&amp;$C431&amp;"&amp;utm_campaign="&amp;LOWER($A431)&amp;"&amp;utm_content="&amp;LOWER($B431)))</f>
        <v/>
      </c>
      <c r="H431" s="25">
        <f>IF(OR($A431="",$C431&lt;&gt;"qr"),"",$D431&amp;".png")</f>
        <v/>
      </c>
      <c r="I431" s="25">
        <f>IF($A431="","",IF(AND(IFERROR(IF(INDEX(campaigns!$AJ$2:$AJ$51,MATCH($A431,campaigns!$A$2:$A$51,0))="","",INDEX(campaigns!$AJ$2:$AJ$51,MATCH($A431,campaigns!$A$2:$A$51,0))),"")="",IFERROR(IF(INDEX(campaigns!$BG$2:$BG$51,MATCH($A431,campaigns!$A$2:$A$51,0))="","",INDEX(campaigns!$BG$2:$BG$51,MATCH($A431,campaigns!$A$2:$A$51,0))),"")&lt;&gt;"",IF(config!$B$37&lt;&gt;"",config!$B$37,TODAY())&gt;=WORKDAY(N(IFERROR(IF(INDEX(campaigns!$BG$2:$BG$51,MATCH($A431,campaigns!$A$2:$A$51,0))="","",INDEX(campaigns!$BG$2:$BG$51,MATCH($A431,campaigns!$A$2:$A$51,0))),"")),-4,calendar!$A$2:$A$80)),"no prefill template yet (due T-4); ","")&amp;IF(COUNTIF(links!$D$2:$D$501,$D431)&gt;1,"DUPLICATE slug; ",""))</f>
        <v/>
      </c>
    </row>
    <row r="432">
      <c r="A432" s="25">
        <f>IF(INDEX(approvals!$A$2:$A$251,INT((ROW()-2)/2)+1)="","",INDEX(approvals!$A$2:$A$251,INT((ROW()-2)/2)+1))</f>
        <v/>
      </c>
      <c r="B432" s="25">
        <f>IF(INDEX(approvals!$A$2:$A$251,INT((ROW()-2)/2)+1)="","",INDEX(approvals!$B$2:$B$251,INT((ROW()-2)/2)+1))</f>
        <v/>
      </c>
      <c r="C432" s="25">
        <f>IF($A432="","",IF(MOD(ROW()-2,2)=0,"qr","post"))</f>
        <v/>
      </c>
      <c r="D432" s="25">
        <f>IF($A432="","",IF(LEFT($A432,7)="SAMPLE-","SAMPLE-","")&amp;LOWER(SUBSTITUTE(SUBSTITUTE($A432,"SAMPLE-",""),"CMP-","c"))&amp;"-"&amp;LOWER(SUBSTITUTE(SUBSTITUTE($B432,"SAMPLE-",""),"O-","o"))&amp;"-"&amp;IF($C432="qr","q","p"))</f>
        <v/>
      </c>
      <c r="E432" s="25">
        <f>IF($A432="","","https://"&amp;config!$B$9&amp;"/"&amp;$D432)</f>
        <v/>
      </c>
      <c r="F432" s="25">
        <f>IF($A432="","",$A432&amp;"."&amp;$B432)</f>
        <v/>
      </c>
      <c r="G432" s="25">
        <f>IF($A432="","",IF(IFERROR(IF(INDEX(campaigns!$AJ$2:$AJ$51,MATCH($A432,campaigns!$A$2:$A$51,0))="","",INDEX(campaigns!$AJ$2:$AJ$51,MATCH($A432,campaigns!$A$2:$A$51,0))),"")="","(add the survey prefill template on campaigns)",SUBSTITUTE(IFERROR(IF(INDEX(campaigns!$AJ$2:$AJ$51,MATCH($A432,campaigns!$A$2:$A$51,0))="","",INDEX(campaigns!$AJ$2:$AJ$51,MATCH($A432,campaigns!$A$2:$A$51,0))),""),"CARDCODE",$F432)&amp;"&amp;utm_source=office-pantry&amp;utm_medium="&amp;$C432&amp;"&amp;utm_campaign="&amp;LOWER($A432)&amp;"&amp;utm_content="&amp;LOWER($B432)))</f>
        <v/>
      </c>
      <c r="H432" s="25">
        <f>IF(OR($A432="",$C432&lt;&gt;"qr"),"",$D432&amp;".png")</f>
        <v/>
      </c>
      <c r="I432" s="25">
        <f>IF($A432="","",IF(AND(IFERROR(IF(INDEX(campaigns!$AJ$2:$AJ$51,MATCH($A432,campaigns!$A$2:$A$51,0))="","",INDEX(campaigns!$AJ$2:$AJ$51,MATCH($A432,campaigns!$A$2:$A$51,0))),"")="",IFERROR(IF(INDEX(campaigns!$BG$2:$BG$51,MATCH($A432,campaigns!$A$2:$A$51,0))="","",INDEX(campaigns!$BG$2:$BG$51,MATCH($A432,campaigns!$A$2:$A$51,0))),"")&lt;&gt;"",IF(config!$B$37&lt;&gt;"",config!$B$37,TODAY())&gt;=WORKDAY(N(IFERROR(IF(INDEX(campaigns!$BG$2:$BG$51,MATCH($A432,campaigns!$A$2:$A$51,0))="","",INDEX(campaigns!$BG$2:$BG$51,MATCH($A432,campaigns!$A$2:$A$51,0))),"")),-4,calendar!$A$2:$A$80)),"no prefill template yet (due T-4); ","")&amp;IF(COUNTIF(links!$D$2:$D$501,$D432)&gt;1,"DUPLICATE slug; ",""))</f>
        <v/>
      </c>
    </row>
    <row r="433">
      <c r="A433" s="25">
        <f>IF(INDEX(approvals!$A$2:$A$251,INT((ROW()-2)/2)+1)="","",INDEX(approvals!$A$2:$A$251,INT((ROW()-2)/2)+1))</f>
        <v/>
      </c>
      <c r="B433" s="25">
        <f>IF(INDEX(approvals!$A$2:$A$251,INT((ROW()-2)/2)+1)="","",INDEX(approvals!$B$2:$B$251,INT((ROW()-2)/2)+1))</f>
        <v/>
      </c>
      <c r="C433" s="25">
        <f>IF($A433="","",IF(MOD(ROW()-2,2)=0,"qr","post"))</f>
        <v/>
      </c>
      <c r="D433" s="25">
        <f>IF($A433="","",IF(LEFT($A433,7)="SAMPLE-","SAMPLE-","")&amp;LOWER(SUBSTITUTE(SUBSTITUTE($A433,"SAMPLE-",""),"CMP-","c"))&amp;"-"&amp;LOWER(SUBSTITUTE(SUBSTITUTE($B433,"SAMPLE-",""),"O-","o"))&amp;"-"&amp;IF($C433="qr","q","p"))</f>
        <v/>
      </c>
      <c r="E433" s="25">
        <f>IF($A433="","","https://"&amp;config!$B$9&amp;"/"&amp;$D433)</f>
        <v/>
      </c>
      <c r="F433" s="25">
        <f>IF($A433="","",$A433&amp;"."&amp;$B433)</f>
        <v/>
      </c>
      <c r="G433" s="25">
        <f>IF($A433="","",IF(IFERROR(IF(INDEX(campaigns!$AJ$2:$AJ$51,MATCH($A433,campaigns!$A$2:$A$51,0))="","",INDEX(campaigns!$AJ$2:$AJ$51,MATCH($A433,campaigns!$A$2:$A$51,0))),"")="","(add the survey prefill template on campaigns)",SUBSTITUTE(IFERROR(IF(INDEX(campaigns!$AJ$2:$AJ$51,MATCH($A433,campaigns!$A$2:$A$51,0))="","",INDEX(campaigns!$AJ$2:$AJ$51,MATCH($A433,campaigns!$A$2:$A$51,0))),""),"CARDCODE",$F433)&amp;"&amp;utm_source=office-pantry&amp;utm_medium="&amp;$C433&amp;"&amp;utm_campaign="&amp;LOWER($A433)&amp;"&amp;utm_content="&amp;LOWER($B433)))</f>
        <v/>
      </c>
      <c r="H433" s="25">
        <f>IF(OR($A433="",$C433&lt;&gt;"qr"),"",$D433&amp;".png")</f>
        <v/>
      </c>
      <c r="I433" s="25">
        <f>IF($A433="","",IF(AND(IFERROR(IF(INDEX(campaigns!$AJ$2:$AJ$51,MATCH($A433,campaigns!$A$2:$A$51,0))="","",INDEX(campaigns!$AJ$2:$AJ$51,MATCH($A433,campaigns!$A$2:$A$51,0))),"")="",IFERROR(IF(INDEX(campaigns!$BG$2:$BG$51,MATCH($A433,campaigns!$A$2:$A$51,0))="","",INDEX(campaigns!$BG$2:$BG$51,MATCH($A433,campaigns!$A$2:$A$51,0))),"")&lt;&gt;"",IF(config!$B$37&lt;&gt;"",config!$B$37,TODAY())&gt;=WORKDAY(N(IFERROR(IF(INDEX(campaigns!$BG$2:$BG$51,MATCH($A433,campaigns!$A$2:$A$51,0))="","",INDEX(campaigns!$BG$2:$BG$51,MATCH($A433,campaigns!$A$2:$A$51,0))),"")),-4,calendar!$A$2:$A$80)),"no prefill template yet (due T-4); ","")&amp;IF(COUNTIF(links!$D$2:$D$501,$D433)&gt;1,"DUPLICATE slug; ",""))</f>
        <v/>
      </c>
    </row>
    <row r="434">
      <c r="A434" s="25">
        <f>IF(INDEX(approvals!$A$2:$A$251,INT((ROW()-2)/2)+1)="","",INDEX(approvals!$A$2:$A$251,INT((ROW()-2)/2)+1))</f>
        <v/>
      </c>
      <c r="B434" s="25">
        <f>IF(INDEX(approvals!$A$2:$A$251,INT((ROW()-2)/2)+1)="","",INDEX(approvals!$B$2:$B$251,INT((ROW()-2)/2)+1))</f>
        <v/>
      </c>
      <c r="C434" s="25">
        <f>IF($A434="","",IF(MOD(ROW()-2,2)=0,"qr","post"))</f>
        <v/>
      </c>
      <c r="D434" s="25">
        <f>IF($A434="","",IF(LEFT($A434,7)="SAMPLE-","SAMPLE-","")&amp;LOWER(SUBSTITUTE(SUBSTITUTE($A434,"SAMPLE-",""),"CMP-","c"))&amp;"-"&amp;LOWER(SUBSTITUTE(SUBSTITUTE($B434,"SAMPLE-",""),"O-","o"))&amp;"-"&amp;IF($C434="qr","q","p"))</f>
        <v/>
      </c>
      <c r="E434" s="25">
        <f>IF($A434="","","https://"&amp;config!$B$9&amp;"/"&amp;$D434)</f>
        <v/>
      </c>
      <c r="F434" s="25">
        <f>IF($A434="","",$A434&amp;"."&amp;$B434)</f>
        <v/>
      </c>
      <c r="G434" s="25">
        <f>IF($A434="","",IF(IFERROR(IF(INDEX(campaigns!$AJ$2:$AJ$51,MATCH($A434,campaigns!$A$2:$A$51,0))="","",INDEX(campaigns!$AJ$2:$AJ$51,MATCH($A434,campaigns!$A$2:$A$51,0))),"")="","(add the survey prefill template on campaigns)",SUBSTITUTE(IFERROR(IF(INDEX(campaigns!$AJ$2:$AJ$51,MATCH($A434,campaigns!$A$2:$A$51,0))="","",INDEX(campaigns!$AJ$2:$AJ$51,MATCH($A434,campaigns!$A$2:$A$51,0))),""),"CARDCODE",$F434)&amp;"&amp;utm_source=office-pantry&amp;utm_medium="&amp;$C434&amp;"&amp;utm_campaign="&amp;LOWER($A434)&amp;"&amp;utm_content="&amp;LOWER($B434)))</f>
        <v/>
      </c>
      <c r="H434" s="25">
        <f>IF(OR($A434="",$C434&lt;&gt;"qr"),"",$D434&amp;".png")</f>
        <v/>
      </c>
      <c r="I434" s="25">
        <f>IF($A434="","",IF(AND(IFERROR(IF(INDEX(campaigns!$AJ$2:$AJ$51,MATCH($A434,campaigns!$A$2:$A$51,0))="","",INDEX(campaigns!$AJ$2:$AJ$51,MATCH($A434,campaigns!$A$2:$A$51,0))),"")="",IFERROR(IF(INDEX(campaigns!$BG$2:$BG$51,MATCH($A434,campaigns!$A$2:$A$51,0))="","",INDEX(campaigns!$BG$2:$BG$51,MATCH($A434,campaigns!$A$2:$A$51,0))),"")&lt;&gt;"",IF(config!$B$37&lt;&gt;"",config!$B$37,TODAY())&gt;=WORKDAY(N(IFERROR(IF(INDEX(campaigns!$BG$2:$BG$51,MATCH($A434,campaigns!$A$2:$A$51,0))="","",INDEX(campaigns!$BG$2:$BG$51,MATCH($A434,campaigns!$A$2:$A$51,0))),"")),-4,calendar!$A$2:$A$80)),"no prefill template yet (due T-4); ","")&amp;IF(COUNTIF(links!$D$2:$D$501,$D434)&gt;1,"DUPLICATE slug; ",""))</f>
        <v/>
      </c>
    </row>
    <row r="435">
      <c r="A435" s="25">
        <f>IF(INDEX(approvals!$A$2:$A$251,INT((ROW()-2)/2)+1)="","",INDEX(approvals!$A$2:$A$251,INT((ROW()-2)/2)+1))</f>
        <v/>
      </c>
      <c r="B435" s="25">
        <f>IF(INDEX(approvals!$A$2:$A$251,INT((ROW()-2)/2)+1)="","",INDEX(approvals!$B$2:$B$251,INT((ROW()-2)/2)+1))</f>
        <v/>
      </c>
      <c r="C435" s="25">
        <f>IF($A435="","",IF(MOD(ROW()-2,2)=0,"qr","post"))</f>
        <v/>
      </c>
      <c r="D435" s="25">
        <f>IF($A435="","",IF(LEFT($A435,7)="SAMPLE-","SAMPLE-","")&amp;LOWER(SUBSTITUTE(SUBSTITUTE($A435,"SAMPLE-",""),"CMP-","c"))&amp;"-"&amp;LOWER(SUBSTITUTE(SUBSTITUTE($B435,"SAMPLE-",""),"O-","o"))&amp;"-"&amp;IF($C435="qr","q","p"))</f>
        <v/>
      </c>
      <c r="E435" s="25">
        <f>IF($A435="","","https://"&amp;config!$B$9&amp;"/"&amp;$D435)</f>
        <v/>
      </c>
      <c r="F435" s="25">
        <f>IF($A435="","",$A435&amp;"."&amp;$B435)</f>
        <v/>
      </c>
      <c r="G435" s="25">
        <f>IF($A435="","",IF(IFERROR(IF(INDEX(campaigns!$AJ$2:$AJ$51,MATCH($A435,campaigns!$A$2:$A$51,0))="","",INDEX(campaigns!$AJ$2:$AJ$51,MATCH($A435,campaigns!$A$2:$A$51,0))),"")="","(add the survey prefill template on campaigns)",SUBSTITUTE(IFERROR(IF(INDEX(campaigns!$AJ$2:$AJ$51,MATCH($A435,campaigns!$A$2:$A$51,0))="","",INDEX(campaigns!$AJ$2:$AJ$51,MATCH($A435,campaigns!$A$2:$A$51,0))),""),"CARDCODE",$F435)&amp;"&amp;utm_source=office-pantry&amp;utm_medium="&amp;$C435&amp;"&amp;utm_campaign="&amp;LOWER($A435)&amp;"&amp;utm_content="&amp;LOWER($B435)))</f>
        <v/>
      </c>
      <c r="H435" s="25">
        <f>IF(OR($A435="",$C435&lt;&gt;"qr"),"",$D435&amp;".png")</f>
        <v/>
      </c>
      <c r="I435" s="25">
        <f>IF($A435="","",IF(AND(IFERROR(IF(INDEX(campaigns!$AJ$2:$AJ$51,MATCH($A435,campaigns!$A$2:$A$51,0))="","",INDEX(campaigns!$AJ$2:$AJ$51,MATCH($A435,campaigns!$A$2:$A$51,0))),"")="",IFERROR(IF(INDEX(campaigns!$BG$2:$BG$51,MATCH($A435,campaigns!$A$2:$A$51,0))="","",INDEX(campaigns!$BG$2:$BG$51,MATCH($A435,campaigns!$A$2:$A$51,0))),"")&lt;&gt;"",IF(config!$B$37&lt;&gt;"",config!$B$37,TODAY())&gt;=WORKDAY(N(IFERROR(IF(INDEX(campaigns!$BG$2:$BG$51,MATCH($A435,campaigns!$A$2:$A$51,0))="","",INDEX(campaigns!$BG$2:$BG$51,MATCH($A435,campaigns!$A$2:$A$51,0))),"")),-4,calendar!$A$2:$A$80)),"no prefill template yet (due T-4); ","")&amp;IF(COUNTIF(links!$D$2:$D$501,$D435)&gt;1,"DUPLICATE slug; ",""))</f>
        <v/>
      </c>
    </row>
    <row r="436">
      <c r="A436" s="25">
        <f>IF(INDEX(approvals!$A$2:$A$251,INT((ROW()-2)/2)+1)="","",INDEX(approvals!$A$2:$A$251,INT((ROW()-2)/2)+1))</f>
        <v/>
      </c>
      <c r="B436" s="25">
        <f>IF(INDEX(approvals!$A$2:$A$251,INT((ROW()-2)/2)+1)="","",INDEX(approvals!$B$2:$B$251,INT((ROW()-2)/2)+1))</f>
        <v/>
      </c>
      <c r="C436" s="25">
        <f>IF($A436="","",IF(MOD(ROW()-2,2)=0,"qr","post"))</f>
        <v/>
      </c>
      <c r="D436" s="25">
        <f>IF($A436="","",IF(LEFT($A436,7)="SAMPLE-","SAMPLE-","")&amp;LOWER(SUBSTITUTE(SUBSTITUTE($A436,"SAMPLE-",""),"CMP-","c"))&amp;"-"&amp;LOWER(SUBSTITUTE(SUBSTITUTE($B436,"SAMPLE-",""),"O-","o"))&amp;"-"&amp;IF($C436="qr","q","p"))</f>
        <v/>
      </c>
      <c r="E436" s="25">
        <f>IF($A436="","","https://"&amp;config!$B$9&amp;"/"&amp;$D436)</f>
        <v/>
      </c>
      <c r="F436" s="25">
        <f>IF($A436="","",$A436&amp;"."&amp;$B436)</f>
        <v/>
      </c>
      <c r="G436" s="25">
        <f>IF($A436="","",IF(IFERROR(IF(INDEX(campaigns!$AJ$2:$AJ$51,MATCH($A436,campaigns!$A$2:$A$51,0))="","",INDEX(campaigns!$AJ$2:$AJ$51,MATCH($A436,campaigns!$A$2:$A$51,0))),"")="","(add the survey prefill template on campaigns)",SUBSTITUTE(IFERROR(IF(INDEX(campaigns!$AJ$2:$AJ$51,MATCH($A436,campaigns!$A$2:$A$51,0))="","",INDEX(campaigns!$AJ$2:$AJ$51,MATCH($A436,campaigns!$A$2:$A$51,0))),""),"CARDCODE",$F436)&amp;"&amp;utm_source=office-pantry&amp;utm_medium="&amp;$C436&amp;"&amp;utm_campaign="&amp;LOWER($A436)&amp;"&amp;utm_content="&amp;LOWER($B436)))</f>
        <v/>
      </c>
      <c r="H436" s="25">
        <f>IF(OR($A436="",$C436&lt;&gt;"qr"),"",$D436&amp;".png")</f>
        <v/>
      </c>
      <c r="I436" s="25">
        <f>IF($A436="","",IF(AND(IFERROR(IF(INDEX(campaigns!$AJ$2:$AJ$51,MATCH($A436,campaigns!$A$2:$A$51,0))="","",INDEX(campaigns!$AJ$2:$AJ$51,MATCH($A436,campaigns!$A$2:$A$51,0))),"")="",IFERROR(IF(INDEX(campaigns!$BG$2:$BG$51,MATCH($A436,campaigns!$A$2:$A$51,0))="","",INDEX(campaigns!$BG$2:$BG$51,MATCH($A436,campaigns!$A$2:$A$51,0))),"")&lt;&gt;"",IF(config!$B$37&lt;&gt;"",config!$B$37,TODAY())&gt;=WORKDAY(N(IFERROR(IF(INDEX(campaigns!$BG$2:$BG$51,MATCH($A436,campaigns!$A$2:$A$51,0))="","",INDEX(campaigns!$BG$2:$BG$51,MATCH($A436,campaigns!$A$2:$A$51,0))),"")),-4,calendar!$A$2:$A$80)),"no prefill template yet (due T-4); ","")&amp;IF(COUNTIF(links!$D$2:$D$501,$D436)&gt;1,"DUPLICATE slug; ",""))</f>
        <v/>
      </c>
    </row>
    <row r="437">
      <c r="A437" s="25">
        <f>IF(INDEX(approvals!$A$2:$A$251,INT((ROW()-2)/2)+1)="","",INDEX(approvals!$A$2:$A$251,INT((ROW()-2)/2)+1))</f>
        <v/>
      </c>
      <c r="B437" s="25">
        <f>IF(INDEX(approvals!$A$2:$A$251,INT((ROW()-2)/2)+1)="","",INDEX(approvals!$B$2:$B$251,INT((ROW()-2)/2)+1))</f>
        <v/>
      </c>
      <c r="C437" s="25">
        <f>IF($A437="","",IF(MOD(ROW()-2,2)=0,"qr","post"))</f>
        <v/>
      </c>
      <c r="D437" s="25">
        <f>IF($A437="","",IF(LEFT($A437,7)="SAMPLE-","SAMPLE-","")&amp;LOWER(SUBSTITUTE(SUBSTITUTE($A437,"SAMPLE-",""),"CMP-","c"))&amp;"-"&amp;LOWER(SUBSTITUTE(SUBSTITUTE($B437,"SAMPLE-",""),"O-","o"))&amp;"-"&amp;IF($C437="qr","q","p"))</f>
        <v/>
      </c>
      <c r="E437" s="25">
        <f>IF($A437="","","https://"&amp;config!$B$9&amp;"/"&amp;$D437)</f>
        <v/>
      </c>
      <c r="F437" s="25">
        <f>IF($A437="","",$A437&amp;"."&amp;$B437)</f>
        <v/>
      </c>
      <c r="G437" s="25">
        <f>IF($A437="","",IF(IFERROR(IF(INDEX(campaigns!$AJ$2:$AJ$51,MATCH($A437,campaigns!$A$2:$A$51,0))="","",INDEX(campaigns!$AJ$2:$AJ$51,MATCH($A437,campaigns!$A$2:$A$51,0))),"")="","(add the survey prefill template on campaigns)",SUBSTITUTE(IFERROR(IF(INDEX(campaigns!$AJ$2:$AJ$51,MATCH($A437,campaigns!$A$2:$A$51,0))="","",INDEX(campaigns!$AJ$2:$AJ$51,MATCH($A437,campaigns!$A$2:$A$51,0))),""),"CARDCODE",$F437)&amp;"&amp;utm_source=office-pantry&amp;utm_medium="&amp;$C437&amp;"&amp;utm_campaign="&amp;LOWER($A437)&amp;"&amp;utm_content="&amp;LOWER($B437)))</f>
        <v/>
      </c>
      <c r="H437" s="25">
        <f>IF(OR($A437="",$C437&lt;&gt;"qr"),"",$D437&amp;".png")</f>
        <v/>
      </c>
      <c r="I437" s="25">
        <f>IF($A437="","",IF(AND(IFERROR(IF(INDEX(campaigns!$AJ$2:$AJ$51,MATCH($A437,campaigns!$A$2:$A$51,0))="","",INDEX(campaigns!$AJ$2:$AJ$51,MATCH($A437,campaigns!$A$2:$A$51,0))),"")="",IFERROR(IF(INDEX(campaigns!$BG$2:$BG$51,MATCH($A437,campaigns!$A$2:$A$51,0))="","",INDEX(campaigns!$BG$2:$BG$51,MATCH($A437,campaigns!$A$2:$A$51,0))),"")&lt;&gt;"",IF(config!$B$37&lt;&gt;"",config!$B$37,TODAY())&gt;=WORKDAY(N(IFERROR(IF(INDEX(campaigns!$BG$2:$BG$51,MATCH($A437,campaigns!$A$2:$A$51,0))="","",INDEX(campaigns!$BG$2:$BG$51,MATCH($A437,campaigns!$A$2:$A$51,0))),"")),-4,calendar!$A$2:$A$80)),"no prefill template yet (due T-4); ","")&amp;IF(COUNTIF(links!$D$2:$D$501,$D437)&gt;1,"DUPLICATE slug; ",""))</f>
        <v/>
      </c>
    </row>
    <row r="438">
      <c r="A438" s="25">
        <f>IF(INDEX(approvals!$A$2:$A$251,INT((ROW()-2)/2)+1)="","",INDEX(approvals!$A$2:$A$251,INT((ROW()-2)/2)+1))</f>
        <v/>
      </c>
      <c r="B438" s="25">
        <f>IF(INDEX(approvals!$A$2:$A$251,INT((ROW()-2)/2)+1)="","",INDEX(approvals!$B$2:$B$251,INT((ROW()-2)/2)+1))</f>
        <v/>
      </c>
      <c r="C438" s="25">
        <f>IF($A438="","",IF(MOD(ROW()-2,2)=0,"qr","post"))</f>
        <v/>
      </c>
      <c r="D438" s="25">
        <f>IF($A438="","",IF(LEFT($A438,7)="SAMPLE-","SAMPLE-","")&amp;LOWER(SUBSTITUTE(SUBSTITUTE($A438,"SAMPLE-",""),"CMP-","c"))&amp;"-"&amp;LOWER(SUBSTITUTE(SUBSTITUTE($B438,"SAMPLE-",""),"O-","o"))&amp;"-"&amp;IF($C438="qr","q","p"))</f>
        <v/>
      </c>
      <c r="E438" s="25">
        <f>IF($A438="","","https://"&amp;config!$B$9&amp;"/"&amp;$D438)</f>
        <v/>
      </c>
      <c r="F438" s="25">
        <f>IF($A438="","",$A438&amp;"."&amp;$B438)</f>
        <v/>
      </c>
      <c r="G438" s="25">
        <f>IF($A438="","",IF(IFERROR(IF(INDEX(campaigns!$AJ$2:$AJ$51,MATCH($A438,campaigns!$A$2:$A$51,0))="","",INDEX(campaigns!$AJ$2:$AJ$51,MATCH($A438,campaigns!$A$2:$A$51,0))),"")="","(add the survey prefill template on campaigns)",SUBSTITUTE(IFERROR(IF(INDEX(campaigns!$AJ$2:$AJ$51,MATCH($A438,campaigns!$A$2:$A$51,0))="","",INDEX(campaigns!$AJ$2:$AJ$51,MATCH($A438,campaigns!$A$2:$A$51,0))),""),"CARDCODE",$F438)&amp;"&amp;utm_source=office-pantry&amp;utm_medium="&amp;$C438&amp;"&amp;utm_campaign="&amp;LOWER($A438)&amp;"&amp;utm_content="&amp;LOWER($B438)))</f>
        <v/>
      </c>
      <c r="H438" s="25">
        <f>IF(OR($A438="",$C438&lt;&gt;"qr"),"",$D438&amp;".png")</f>
        <v/>
      </c>
      <c r="I438" s="25">
        <f>IF($A438="","",IF(AND(IFERROR(IF(INDEX(campaigns!$AJ$2:$AJ$51,MATCH($A438,campaigns!$A$2:$A$51,0))="","",INDEX(campaigns!$AJ$2:$AJ$51,MATCH($A438,campaigns!$A$2:$A$51,0))),"")="",IFERROR(IF(INDEX(campaigns!$BG$2:$BG$51,MATCH($A438,campaigns!$A$2:$A$51,0))="","",INDEX(campaigns!$BG$2:$BG$51,MATCH($A438,campaigns!$A$2:$A$51,0))),"")&lt;&gt;"",IF(config!$B$37&lt;&gt;"",config!$B$37,TODAY())&gt;=WORKDAY(N(IFERROR(IF(INDEX(campaigns!$BG$2:$BG$51,MATCH($A438,campaigns!$A$2:$A$51,0))="","",INDEX(campaigns!$BG$2:$BG$51,MATCH($A438,campaigns!$A$2:$A$51,0))),"")),-4,calendar!$A$2:$A$80)),"no prefill template yet (due T-4); ","")&amp;IF(COUNTIF(links!$D$2:$D$501,$D438)&gt;1,"DUPLICATE slug; ",""))</f>
        <v/>
      </c>
    </row>
    <row r="439">
      <c r="A439" s="25">
        <f>IF(INDEX(approvals!$A$2:$A$251,INT((ROW()-2)/2)+1)="","",INDEX(approvals!$A$2:$A$251,INT((ROW()-2)/2)+1))</f>
        <v/>
      </c>
      <c r="B439" s="25">
        <f>IF(INDEX(approvals!$A$2:$A$251,INT((ROW()-2)/2)+1)="","",INDEX(approvals!$B$2:$B$251,INT((ROW()-2)/2)+1))</f>
        <v/>
      </c>
      <c r="C439" s="25">
        <f>IF($A439="","",IF(MOD(ROW()-2,2)=0,"qr","post"))</f>
        <v/>
      </c>
      <c r="D439" s="25">
        <f>IF($A439="","",IF(LEFT($A439,7)="SAMPLE-","SAMPLE-","")&amp;LOWER(SUBSTITUTE(SUBSTITUTE($A439,"SAMPLE-",""),"CMP-","c"))&amp;"-"&amp;LOWER(SUBSTITUTE(SUBSTITUTE($B439,"SAMPLE-",""),"O-","o"))&amp;"-"&amp;IF($C439="qr","q","p"))</f>
        <v/>
      </c>
      <c r="E439" s="25">
        <f>IF($A439="","","https://"&amp;config!$B$9&amp;"/"&amp;$D439)</f>
        <v/>
      </c>
      <c r="F439" s="25">
        <f>IF($A439="","",$A439&amp;"."&amp;$B439)</f>
        <v/>
      </c>
      <c r="G439" s="25">
        <f>IF($A439="","",IF(IFERROR(IF(INDEX(campaigns!$AJ$2:$AJ$51,MATCH($A439,campaigns!$A$2:$A$51,0))="","",INDEX(campaigns!$AJ$2:$AJ$51,MATCH($A439,campaigns!$A$2:$A$51,0))),"")="","(add the survey prefill template on campaigns)",SUBSTITUTE(IFERROR(IF(INDEX(campaigns!$AJ$2:$AJ$51,MATCH($A439,campaigns!$A$2:$A$51,0))="","",INDEX(campaigns!$AJ$2:$AJ$51,MATCH($A439,campaigns!$A$2:$A$51,0))),""),"CARDCODE",$F439)&amp;"&amp;utm_source=office-pantry&amp;utm_medium="&amp;$C439&amp;"&amp;utm_campaign="&amp;LOWER($A439)&amp;"&amp;utm_content="&amp;LOWER($B439)))</f>
        <v/>
      </c>
      <c r="H439" s="25">
        <f>IF(OR($A439="",$C439&lt;&gt;"qr"),"",$D439&amp;".png")</f>
        <v/>
      </c>
      <c r="I439" s="25">
        <f>IF($A439="","",IF(AND(IFERROR(IF(INDEX(campaigns!$AJ$2:$AJ$51,MATCH($A439,campaigns!$A$2:$A$51,0))="","",INDEX(campaigns!$AJ$2:$AJ$51,MATCH($A439,campaigns!$A$2:$A$51,0))),"")="",IFERROR(IF(INDEX(campaigns!$BG$2:$BG$51,MATCH($A439,campaigns!$A$2:$A$51,0))="","",INDEX(campaigns!$BG$2:$BG$51,MATCH($A439,campaigns!$A$2:$A$51,0))),"")&lt;&gt;"",IF(config!$B$37&lt;&gt;"",config!$B$37,TODAY())&gt;=WORKDAY(N(IFERROR(IF(INDEX(campaigns!$BG$2:$BG$51,MATCH($A439,campaigns!$A$2:$A$51,0))="","",INDEX(campaigns!$BG$2:$BG$51,MATCH($A439,campaigns!$A$2:$A$51,0))),"")),-4,calendar!$A$2:$A$80)),"no prefill template yet (due T-4); ","")&amp;IF(COUNTIF(links!$D$2:$D$501,$D439)&gt;1,"DUPLICATE slug; ",""))</f>
        <v/>
      </c>
    </row>
    <row r="440">
      <c r="A440" s="25">
        <f>IF(INDEX(approvals!$A$2:$A$251,INT((ROW()-2)/2)+1)="","",INDEX(approvals!$A$2:$A$251,INT((ROW()-2)/2)+1))</f>
        <v/>
      </c>
      <c r="B440" s="25">
        <f>IF(INDEX(approvals!$A$2:$A$251,INT((ROW()-2)/2)+1)="","",INDEX(approvals!$B$2:$B$251,INT((ROW()-2)/2)+1))</f>
        <v/>
      </c>
      <c r="C440" s="25">
        <f>IF($A440="","",IF(MOD(ROW()-2,2)=0,"qr","post"))</f>
        <v/>
      </c>
      <c r="D440" s="25">
        <f>IF($A440="","",IF(LEFT($A440,7)="SAMPLE-","SAMPLE-","")&amp;LOWER(SUBSTITUTE(SUBSTITUTE($A440,"SAMPLE-",""),"CMP-","c"))&amp;"-"&amp;LOWER(SUBSTITUTE(SUBSTITUTE($B440,"SAMPLE-",""),"O-","o"))&amp;"-"&amp;IF($C440="qr","q","p"))</f>
        <v/>
      </c>
      <c r="E440" s="25">
        <f>IF($A440="","","https://"&amp;config!$B$9&amp;"/"&amp;$D440)</f>
        <v/>
      </c>
      <c r="F440" s="25">
        <f>IF($A440="","",$A440&amp;"."&amp;$B440)</f>
        <v/>
      </c>
      <c r="G440" s="25">
        <f>IF($A440="","",IF(IFERROR(IF(INDEX(campaigns!$AJ$2:$AJ$51,MATCH($A440,campaigns!$A$2:$A$51,0))="","",INDEX(campaigns!$AJ$2:$AJ$51,MATCH($A440,campaigns!$A$2:$A$51,0))),"")="","(add the survey prefill template on campaigns)",SUBSTITUTE(IFERROR(IF(INDEX(campaigns!$AJ$2:$AJ$51,MATCH($A440,campaigns!$A$2:$A$51,0))="","",INDEX(campaigns!$AJ$2:$AJ$51,MATCH($A440,campaigns!$A$2:$A$51,0))),""),"CARDCODE",$F440)&amp;"&amp;utm_source=office-pantry&amp;utm_medium="&amp;$C440&amp;"&amp;utm_campaign="&amp;LOWER($A440)&amp;"&amp;utm_content="&amp;LOWER($B440)))</f>
        <v/>
      </c>
      <c r="H440" s="25">
        <f>IF(OR($A440="",$C440&lt;&gt;"qr"),"",$D440&amp;".png")</f>
        <v/>
      </c>
      <c r="I440" s="25">
        <f>IF($A440="","",IF(AND(IFERROR(IF(INDEX(campaigns!$AJ$2:$AJ$51,MATCH($A440,campaigns!$A$2:$A$51,0))="","",INDEX(campaigns!$AJ$2:$AJ$51,MATCH($A440,campaigns!$A$2:$A$51,0))),"")="",IFERROR(IF(INDEX(campaigns!$BG$2:$BG$51,MATCH($A440,campaigns!$A$2:$A$51,0))="","",INDEX(campaigns!$BG$2:$BG$51,MATCH($A440,campaigns!$A$2:$A$51,0))),"")&lt;&gt;"",IF(config!$B$37&lt;&gt;"",config!$B$37,TODAY())&gt;=WORKDAY(N(IFERROR(IF(INDEX(campaigns!$BG$2:$BG$51,MATCH($A440,campaigns!$A$2:$A$51,0))="","",INDEX(campaigns!$BG$2:$BG$51,MATCH($A440,campaigns!$A$2:$A$51,0))),"")),-4,calendar!$A$2:$A$80)),"no prefill template yet (due T-4); ","")&amp;IF(COUNTIF(links!$D$2:$D$501,$D440)&gt;1,"DUPLICATE slug; ",""))</f>
        <v/>
      </c>
    </row>
    <row r="441">
      <c r="A441" s="25">
        <f>IF(INDEX(approvals!$A$2:$A$251,INT((ROW()-2)/2)+1)="","",INDEX(approvals!$A$2:$A$251,INT((ROW()-2)/2)+1))</f>
        <v/>
      </c>
      <c r="B441" s="25">
        <f>IF(INDEX(approvals!$A$2:$A$251,INT((ROW()-2)/2)+1)="","",INDEX(approvals!$B$2:$B$251,INT((ROW()-2)/2)+1))</f>
        <v/>
      </c>
      <c r="C441" s="25">
        <f>IF($A441="","",IF(MOD(ROW()-2,2)=0,"qr","post"))</f>
        <v/>
      </c>
      <c r="D441" s="25">
        <f>IF($A441="","",IF(LEFT($A441,7)="SAMPLE-","SAMPLE-","")&amp;LOWER(SUBSTITUTE(SUBSTITUTE($A441,"SAMPLE-",""),"CMP-","c"))&amp;"-"&amp;LOWER(SUBSTITUTE(SUBSTITUTE($B441,"SAMPLE-",""),"O-","o"))&amp;"-"&amp;IF($C441="qr","q","p"))</f>
        <v/>
      </c>
      <c r="E441" s="25">
        <f>IF($A441="","","https://"&amp;config!$B$9&amp;"/"&amp;$D441)</f>
        <v/>
      </c>
      <c r="F441" s="25">
        <f>IF($A441="","",$A441&amp;"."&amp;$B441)</f>
        <v/>
      </c>
      <c r="G441" s="25">
        <f>IF($A441="","",IF(IFERROR(IF(INDEX(campaigns!$AJ$2:$AJ$51,MATCH($A441,campaigns!$A$2:$A$51,0))="","",INDEX(campaigns!$AJ$2:$AJ$51,MATCH($A441,campaigns!$A$2:$A$51,0))),"")="","(add the survey prefill template on campaigns)",SUBSTITUTE(IFERROR(IF(INDEX(campaigns!$AJ$2:$AJ$51,MATCH($A441,campaigns!$A$2:$A$51,0))="","",INDEX(campaigns!$AJ$2:$AJ$51,MATCH($A441,campaigns!$A$2:$A$51,0))),""),"CARDCODE",$F441)&amp;"&amp;utm_source=office-pantry&amp;utm_medium="&amp;$C441&amp;"&amp;utm_campaign="&amp;LOWER($A441)&amp;"&amp;utm_content="&amp;LOWER($B441)))</f>
        <v/>
      </c>
      <c r="H441" s="25">
        <f>IF(OR($A441="",$C441&lt;&gt;"qr"),"",$D441&amp;".png")</f>
        <v/>
      </c>
      <c r="I441" s="25">
        <f>IF($A441="","",IF(AND(IFERROR(IF(INDEX(campaigns!$AJ$2:$AJ$51,MATCH($A441,campaigns!$A$2:$A$51,0))="","",INDEX(campaigns!$AJ$2:$AJ$51,MATCH($A441,campaigns!$A$2:$A$51,0))),"")="",IFERROR(IF(INDEX(campaigns!$BG$2:$BG$51,MATCH($A441,campaigns!$A$2:$A$51,0))="","",INDEX(campaigns!$BG$2:$BG$51,MATCH($A441,campaigns!$A$2:$A$51,0))),"")&lt;&gt;"",IF(config!$B$37&lt;&gt;"",config!$B$37,TODAY())&gt;=WORKDAY(N(IFERROR(IF(INDEX(campaigns!$BG$2:$BG$51,MATCH($A441,campaigns!$A$2:$A$51,0))="","",INDEX(campaigns!$BG$2:$BG$51,MATCH($A441,campaigns!$A$2:$A$51,0))),"")),-4,calendar!$A$2:$A$80)),"no prefill template yet (due T-4); ","")&amp;IF(COUNTIF(links!$D$2:$D$501,$D441)&gt;1,"DUPLICATE slug; ",""))</f>
        <v/>
      </c>
    </row>
    <row r="442">
      <c r="A442" s="25">
        <f>IF(INDEX(approvals!$A$2:$A$251,INT((ROW()-2)/2)+1)="","",INDEX(approvals!$A$2:$A$251,INT((ROW()-2)/2)+1))</f>
        <v/>
      </c>
      <c r="B442" s="25">
        <f>IF(INDEX(approvals!$A$2:$A$251,INT((ROW()-2)/2)+1)="","",INDEX(approvals!$B$2:$B$251,INT((ROW()-2)/2)+1))</f>
        <v/>
      </c>
      <c r="C442" s="25">
        <f>IF($A442="","",IF(MOD(ROW()-2,2)=0,"qr","post"))</f>
        <v/>
      </c>
      <c r="D442" s="25">
        <f>IF($A442="","",IF(LEFT($A442,7)="SAMPLE-","SAMPLE-","")&amp;LOWER(SUBSTITUTE(SUBSTITUTE($A442,"SAMPLE-",""),"CMP-","c"))&amp;"-"&amp;LOWER(SUBSTITUTE(SUBSTITUTE($B442,"SAMPLE-",""),"O-","o"))&amp;"-"&amp;IF($C442="qr","q","p"))</f>
        <v/>
      </c>
      <c r="E442" s="25">
        <f>IF($A442="","","https://"&amp;config!$B$9&amp;"/"&amp;$D442)</f>
        <v/>
      </c>
      <c r="F442" s="25">
        <f>IF($A442="","",$A442&amp;"."&amp;$B442)</f>
        <v/>
      </c>
      <c r="G442" s="25">
        <f>IF($A442="","",IF(IFERROR(IF(INDEX(campaigns!$AJ$2:$AJ$51,MATCH($A442,campaigns!$A$2:$A$51,0))="","",INDEX(campaigns!$AJ$2:$AJ$51,MATCH($A442,campaigns!$A$2:$A$51,0))),"")="","(add the survey prefill template on campaigns)",SUBSTITUTE(IFERROR(IF(INDEX(campaigns!$AJ$2:$AJ$51,MATCH($A442,campaigns!$A$2:$A$51,0))="","",INDEX(campaigns!$AJ$2:$AJ$51,MATCH($A442,campaigns!$A$2:$A$51,0))),""),"CARDCODE",$F442)&amp;"&amp;utm_source=office-pantry&amp;utm_medium="&amp;$C442&amp;"&amp;utm_campaign="&amp;LOWER($A442)&amp;"&amp;utm_content="&amp;LOWER($B442)))</f>
        <v/>
      </c>
      <c r="H442" s="25">
        <f>IF(OR($A442="",$C442&lt;&gt;"qr"),"",$D442&amp;".png")</f>
        <v/>
      </c>
      <c r="I442" s="25">
        <f>IF($A442="","",IF(AND(IFERROR(IF(INDEX(campaigns!$AJ$2:$AJ$51,MATCH($A442,campaigns!$A$2:$A$51,0))="","",INDEX(campaigns!$AJ$2:$AJ$51,MATCH($A442,campaigns!$A$2:$A$51,0))),"")="",IFERROR(IF(INDEX(campaigns!$BG$2:$BG$51,MATCH($A442,campaigns!$A$2:$A$51,0))="","",INDEX(campaigns!$BG$2:$BG$51,MATCH($A442,campaigns!$A$2:$A$51,0))),"")&lt;&gt;"",IF(config!$B$37&lt;&gt;"",config!$B$37,TODAY())&gt;=WORKDAY(N(IFERROR(IF(INDEX(campaigns!$BG$2:$BG$51,MATCH($A442,campaigns!$A$2:$A$51,0))="","",INDEX(campaigns!$BG$2:$BG$51,MATCH($A442,campaigns!$A$2:$A$51,0))),"")),-4,calendar!$A$2:$A$80)),"no prefill template yet (due T-4); ","")&amp;IF(COUNTIF(links!$D$2:$D$501,$D442)&gt;1,"DUPLICATE slug; ",""))</f>
        <v/>
      </c>
    </row>
    <row r="443">
      <c r="A443" s="25">
        <f>IF(INDEX(approvals!$A$2:$A$251,INT((ROW()-2)/2)+1)="","",INDEX(approvals!$A$2:$A$251,INT((ROW()-2)/2)+1))</f>
        <v/>
      </c>
      <c r="B443" s="25">
        <f>IF(INDEX(approvals!$A$2:$A$251,INT((ROW()-2)/2)+1)="","",INDEX(approvals!$B$2:$B$251,INT((ROW()-2)/2)+1))</f>
        <v/>
      </c>
      <c r="C443" s="25">
        <f>IF($A443="","",IF(MOD(ROW()-2,2)=0,"qr","post"))</f>
        <v/>
      </c>
      <c r="D443" s="25">
        <f>IF($A443="","",IF(LEFT($A443,7)="SAMPLE-","SAMPLE-","")&amp;LOWER(SUBSTITUTE(SUBSTITUTE($A443,"SAMPLE-",""),"CMP-","c"))&amp;"-"&amp;LOWER(SUBSTITUTE(SUBSTITUTE($B443,"SAMPLE-",""),"O-","o"))&amp;"-"&amp;IF($C443="qr","q","p"))</f>
        <v/>
      </c>
      <c r="E443" s="25">
        <f>IF($A443="","","https://"&amp;config!$B$9&amp;"/"&amp;$D443)</f>
        <v/>
      </c>
      <c r="F443" s="25">
        <f>IF($A443="","",$A443&amp;"."&amp;$B443)</f>
        <v/>
      </c>
      <c r="G443" s="25">
        <f>IF($A443="","",IF(IFERROR(IF(INDEX(campaigns!$AJ$2:$AJ$51,MATCH($A443,campaigns!$A$2:$A$51,0))="","",INDEX(campaigns!$AJ$2:$AJ$51,MATCH($A443,campaigns!$A$2:$A$51,0))),"")="","(add the survey prefill template on campaigns)",SUBSTITUTE(IFERROR(IF(INDEX(campaigns!$AJ$2:$AJ$51,MATCH($A443,campaigns!$A$2:$A$51,0))="","",INDEX(campaigns!$AJ$2:$AJ$51,MATCH($A443,campaigns!$A$2:$A$51,0))),""),"CARDCODE",$F443)&amp;"&amp;utm_source=office-pantry&amp;utm_medium="&amp;$C443&amp;"&amp;utm_campaign="&amp;LOWER($A443)&amp;"&amp;utm_content="&amp;LOWER($B443)))</f>
        <v/>
      </c>
      <c r="H443" s="25">
        <f>IF(OR($A443="",$C443&lt;&gt;"qr"),"",$D443&amp;".png")</f>
        <v/>
      </c>
      <c r="I443" s="25">
        <f>IF($A443="","",IF(AND(IFERROR(IF(INDEX(campaigns!$AJ$2:$AJ$51,MATCH($A443,campaigns!$A$2:$A$51,0))="","",INDEX(campaigns!$AJ$2:$AJ$51,MATCH($A443,campaigns!$A$2:$A$51,0))),"")="",IFERROR(IF(INDEX(campaigns!$BG$2:$BG$51,MATCH($A443,campaigns!$A$2:$A$51,0))="","",INDEX(campaigns!$BG$2:$BG$51,MATCH($A443,campaigns!$A$2:$A$51,0))),"")&lt;&gt;"",IF(config!$B$37&lt;&gt;"",config!$B$37,TODAY())&gt;=WORKDAY(N(IFERROR(IF(INDEX(campaigns!$BG$2:$BG$51,MATCH($A443,campaigns!$A$2:$A$51,0))="","",INDEX(campaigns!$BG$2:$BG$51,MATCH($A443,campaigns!$A$2:$A$51,0))),"")),-4,calendar!$A$2:$A$80)),"no prefill template yet (due T-4); ","")&amp;IF(COUNTIF(links!$D$2:$D$501,$D443)&gt;1,"DUPLICATE slug; ",""))</f>
        <v/>
      </c>
    </row>
    <row r="444">
      <c r="A444" s="25">
        <f>IF(INDEX(approvals!$A$2:$A$251,INT((ROW()-2)/2)+1)="","",INDEX(approvals!$A$2:$A$251,INT((ROW()-2)/2)+1))</f>
        <v/>
      </c>
      <c r="B444" s="25">
        <f>IF(INDEX(approvals!$A$2:$A$251,INT((ROW()-2)/2)+1)="","",INDEX(approvals!$B$2:$B$251,INT((ROW()-2)/2)+1))</f>
        <v/>
      </c>
      <c r="C444" s="25">
        <f>IF($A444="","",IF(MOD(ROW()-2,2)=0,"qr","post"))</f>
        <v/>
      </c>
      <c r="D444" s="25">
        <f>IF($A444="","",IF(LEFT($A444,7)="SAMPLE-","SAMPLE-","")&amp;LOWER(SUBSTITUTE(SUBSTITUTE($A444,"SAMPLE-",""),"CMP-","c"))&amp;"-"&amp;LOWER(SUBSTITUTE(SUBSTITUTE($B444,"SAMPLE-",""),"O-","o"))&amp;"-"&amp;IF($C444="qr","q","p"))</f>
        <v/>
      </c>
      <c r="E444" s="25">
        <f>IF($A444="","","https://"&amp;config!$B$9&amp;"/"&amp;$D444)</f>
        <v/>
      </c>
      <c r="F444" s="25">
        <f>IF($A444="","",$A444&amp;"."&amp;$B444)</f>
        <v/>
      </c>
      <c r="G444" s="25">
        <f>IF($A444="","",IF(IFERROR(IF(INDEX(campaigns!$AJ$2:$AJ$51,MATCH($A444,campaigns!$A$2:$A$51,0))="","",INDEX(campaigns!$AJ$2:$AJ$51,MATCH($A444,campaigns!$A$2:$A$51,0))),"")="","(add the survey prefill template on campaigns)",SUBSTITUTE(IFERROR(IF(INDEX(campaigns!$AJ$2:$AJ$51,MATCH($A444,campaigns!$A$2:$A$51,0))="","",INDEX(campaigns!$AJ$2:$AJ$51,MATCH($A444,campaigns!$A$2:$A$51,0))),""),"CARDCODE",$F444)&amp;"&amp;utm_source=office-pantry&amp;utm_medium="&amp;$C444&amp;"&amp;utm_campaign="&amp;LOWER($A444)&amp;"&amp;utm_content="&amp;LOWER($B444)))</f>
        <v/>
      </c>
      <c r="H444" s="25">
        <f>IF(OR($A444="",$C444&lt;&gt;"qr"),"",$D444&amp;".png")</f>
        <v/>
      </c>
      <c r="I444" s="25">
        <f>IF($A444="","",IF(AND(IFERROR(IF(INDEX(campaigns!$AJ$2:$AJ$51,MATCH($A444,campaigns!$A$2:$A$51,0))="","",INDEX(campaigns!$AJ$2:$AJ$51,MATCH($A444,campaigns!$A$2:$A$51,0))),"")="",IFERROR(IF(INDEX(campaigns!$BG$2:$BG$51,MATCH($A444,campaigns!$A$2:$A$51,0))="","",INDEX(campaigns!$BG$2:$BG$51,MATCH($A444,campaigns!$A$2:$A$51,0))),"")&lt;&gt;"",IF(config!$B$37&lt;&gt;"",config!$B$37,TODAY())&gt;=WORKDAY(N(IFERROR(IF(INDEX(campaigns!$BG$2:$BG$51,MATCH($A444,campaigns!$A$2:$A$51,0))="","",INDEX(campaigns!$BG$2:$BG$51,MATCH($A444,campaigns!$A$2:$A$51,0))),"")),-4,calendar!$A$2:$A$80)),"no prefill template yet (due T-4); ","")&amp;IF(COUNTIF(links!$D$2:$D$501,$D444)&gt;1,"DUPLICATE slug; ",""))</f>
        <v/>
      </c>
    </row>
    <row r="445">
      <c r="A445" s="25">
        <f>IF(INDEX(approvals!$A$2:$A$251,INT((ROW()-2)/2)+1)="","",INDEX(approvals!$A$2:$A$251,INT((ROW()-2)/2)+1))</f>
        <v/>
      </c>
      <c r="B445" s="25">
        <f>IF(INDEX(approvals!$A$2:$A$251,INT((ROW()-2)/2)+1)="","",INDEX(approvals!$B$2:$B$251,INT((ROW()-2)/2)+1))</f>
        <v/>
      </c>
      <c r="C445" s="25">
        <f>IF($A445="","",IF(MOD(ROW()-2,2)=0,"qr","post"))</f>
        <v/>
      </c>
      <c r="D445" s="25">
        <f>IF($A445="","",IF(LEFT($A445,7)="SAMPLE-","SAMPLE-","")&amp;LOWER(SUBSTITUTE(SUBSTITUTE($A445,"SAMPLE-",""),"CMP-","c"))&amp;"-"&amp;LOWER(SUBSTITUTE(SUBSTITUTE($B445,"SAMPLE-",""),"O-","o"))&amp;"-"&amp;IF($C445="qr","q","p"))</f>
        <v/>
      </c>
      <c r="E445" s="25">
        <f>IF($A445="","","https://"&amp;config!$B$9&amp;"/"&amp;$D445)</f>
        <v/>
      </c>
      <c r="F445" s="25">
        <f>IF($A445="","",$A445&amp;"."&amp;$B445)</f>
        <v/>
      </c>
      <c r="G445" s="25">
        <f>IF($A445="","",IF(IFERROR(IF(INDEX(campaigns!$AJ$2:$AJ$51,MATCH($A445,campaigns!$A$2:$A$51,0))="","",INDEX(campaigns!$AJ$2:$AJ$51,MATCH($A445,campaigns!$A$2:$A$51,0))),"")="","(add the survey prefill template on campaigns)",SUBSTITUTE(IFERROR(IF(INDEX(campaigns!$AJ$2:$AJ$51,MATCH($A445,campaigns!$A$2:$A$51,0))="","",INDEX(campaigns!$AJ$2:$AJ$51,MATCH($A445,campaigns!$A$2:$A$51,0))),""),"CARDCODE",$F445)&amp;"&amp;utm_source=office-pantry&amp;utm_medium="&amp;$C445&amp;"&amp;utm_campaign="&amp;LOWER($A445)&amp;"&amp;utm_content="&amp;LOWER($B445)))</f>
        <v/>
      </c>
      <c r="H445" s="25">
        <f>IF(OR($A445="",$C445&lt;&gt;"qr"),"",$D445&amp;".png")</f>
        <v/>
      </c>
      <c r="I445" s="25">
        <f>IF($A445="","",IF(AND(IFERROR(IF(INDEX(campaigns!$AJ$2:$AJ$51,MATCH($A445,campaigns!$A$2:$A$51,0))="","",INDEX(campaigns!$AJ$2:$AJ$51,MATCH($A445,campaigns!$A$2:$A$51,0))),"")="",IFERROR(IF(INDEX(campaigns!$BG$2:$BG$51,MATCH($A445,campaigns!$A$2:$A$51,0))="","",INDEX(campaigns!$BG$2:$BG$51,MATCH($A445,campaigns!$A$2:$A$51,0))),"")&lt;&gt;"",IF(config!$B$37&lt;&gt;"",config!$B$37,TODAY())&gt;=WORKDAY(N(IFERROR(IF(INDEX(campaigns!$BG$2:$BG$51,MATCH($A445,campaigns!$A$2:$A$51,0))="","",INDEX(campaigns!$BG$2:$BG$51,MATCH($A445,campaigns!$A$2:$A$51,0))),"")),-4,calendar!$A$2:$A$80)),"no prefill template yet (due T-4); ","")&amp;IF(COUNTIF(links!$D$2:$D$501,$D445)&gt;1,"DUPLICATE slug; ",""))</f>
        <v/>
      </c>
    </row>
    <row r="446">
      <c r="A446" s="25">
        <f>IF(INDEX(approvals!$A$2:$A$251,INT((ROW()-2)/2)+1)="","",INDEX(approvals!$A$2:$A$251,INT((ROW()-2)/2)+1))</f>
        <v/>
      </c>
      <c r="B446" s="25">
        <f>IF(INDEX(approvals!$A$2:$A$251,INT((ROW()-2)/2)+1)="","",INDEX(approvals!$B$2:$B$251,INT((ROW()-2)/2)+1))</f>
        <v/>
      </c>
      <c r="C446" s="25">
        <f>IF($A446="","",IF(MOD(ROW()-2,2)=0,"qr","post"))</f>
        <v/>
      </c>
      <c r="D446" s="25">
        <f>IF($A446="","",IF(LEFT($A446,7)="SAMPLE-","SAMPLE-","")&amp;LOWER(SUBSTITUTE(SUBSTITUTE($A446,"SAMPLE-",""),"CMP-","c"))&amp;"-"&amp;LOWER(SUBSTITUTE(SUBSTITUTE($B446,"SAMPLE-",""),"O-","o"))&amp;"-"&amp;IF($C446="qr","q","p"))</f>
        <v/>
      </c>
      <c r="E446" s="25">
        <f>IF($A446="","","https://"&amp;config!$B$9&amp;"/"&amp;$D446)</f>
        <v/>
      </c>
      <c r="F446" s="25">
        <f>IF($A446="","",$A446&amp;"."&amp;$B446)</f>
        <v/>
      </c>
      <c r="G446" s="25">
        <f>IF($A446="","",IF(IFERROR(IF(INDEX(campaigns!$AJ$2:$AJ$51,MATCH($A446,campaigns!$A$2:$A$51,0))="","",INDEX(campaigns!$AJ$2:$AJ$51,MATCH($A446,campaigns!$A$2:$A$51,0))),"")="","(add the survey prefill template on campaigns)",SUBSTITUTE(IFERROR(IF(INDEX(campaigns!$AJ$2:$AJ$51,MATCH($A446,campaigns!$A$2:$A$51,0))="","",INDEX(campaigns!$AJ$2:$AJ$51,MATCH($A446,campaigns!$A$2:$A$51,0))),""),"CARDCODE",$F446)&amp;"&amp;utm_source=office-pantry&amp;utm_medium="&amp;$C446&amp;"&amp;utm_campaign="&amp;LOWER($A446)&amp;"&amp;utm_content="&amp;LOWER($B446)))</f>
        <v/>
      </c>
      <c r="H446" s="25">
        <f>IF(OR($A446="",$C446&lt;&gt;"qr"),"",$D446&amp;".png")</f>
        <v/>
      </c>
      <c r="I446" s="25">
        <f>IF($A446="","",IF(AND(IFERROR(IF(INDEX(campaigns!$AJ$2:$AJ$51,MATCH($A446,campaigns!$A$2:$A$51,0))="","",INDEX(campaigns!$AJ$2:$AJ$51,MATCH($A446,campaigns!$A$2:$A$51,0))),"")="",IFERROR(IF(INDEX(campaigns!$BG$2:$BG$51,MATCH($A446,campaigns!$A$2:$A$51,0))="","",INDEX(campaigns!$BG$2:$BG$51,MATCH($A446,campaigns!$A$2:$A$51,0))),"")&lt;&gt;"",IF(config!$B$37&lt;&gt;"",config!$B$37,TODAY())&gt;=WORKDAY(N(IFERROR(IF(INDEX(campaigns!$BG$2:$BG$51,MATCH($A446,campaigns!$A$2:$A$51,0))="","",INDEX(campaigns!$BG$2:$BG$51,MATCH($A446,campaigns!$A$2:$A$51,0))),"")),-4,calendar!$A$2:$A$80)),"no prefill template yet (due T-4); ","")&amp;IF(COUNTIF(links!$D$2:$D$501,$D446)&gt;1,"DUPLICATE slug; ",""))</f>
        <v/>
      </c>
    </row>
    <row r="447">
      <c r="A447" s="25">
        <f>IF(INDEX(approvals!$A$2:$A$251,INT((ROW()-2)/2)+1)="","",INDEX(approvals!$A$2:$A$251,INT((ROW()-2)/2)+1))</f>
        <v/>
      </c>
      <c r="B447" s="25">
        <f>IF(INDEX(approvals!$A$2:$A$251,INT((ROW()-2)/2)+1)="","",INDEX(approvals!$B$2:$B$251,INT((ROW()-2)/2)+1))</f>
        <v/>
      </c>
      <c r="C447" s="25">
        <f>IF($A447="","",IF(MOD(ROW()-2,2)=0,"qr","post"))</f>
        <v/>
      </c>
      <c r="D447" s="25">
        <f>IF($A447="","",IF(LEFT($A447,7)="SAMPLE-","SAMPLE-","")&amp;LOWER(SUBSTITUTE(SUBSTITUTE($A447,"SAMPLE-",""),"CMP-","c"))&amp;"-"&amp;LOWER(SUBSTITUTE(SUBSTITUTE($B447,"SAMPLE-",""),"O-","o"))&amp;"-"&amp;IF($C447="qr","q","p"))</f>
        <v/>
      </c>
      <c r="E447" s="25">
        <f>IF($A447="","","https://"&amp;config!$B$9&amp;"/"&amp;$D447)</f>
        <v/>
      </c>
      <c r="F447" s="25">
        <f>IF($A447="","",$A447&amp;"."&amp;$B447)</f>
        <v/>
      </c>
      <c r="G447" s="25">
        <f>IF($A447="","",IF(IFERROR(IF(INDEX(campaigns!$AJ$2:$AJ$51,MATCH($A447,campaigns!$A$2:$A$51,0))="","",INDEX(campaigns!$AJ$2:$AJ$51,MATCH($A447,campaigns!$A$2:$A$51,0))),"")="","(add the survey prefill template on campaigns)",SUBSTITUTE(IFERROR(IF(INDEX(campaigns!$AJ$2:$AJ$51,MATCH($A447,campaigns!$A$2:$A$51,0))="","",INDEX(campaigns!$AJ$2:$AJ$51,MATCH($A447,campaigns!$A$2:$A$51,0))),""),"CARDCODE",$F447)&amp;"&amp;utm_source=office-pantry&amp;utm_medium="&amp;$C447&amp;"&amp;utm_campaign="&amp;LOWER($A447)&amp;"&amp;utm_content="&amp;LOWER($B447)))</f>
        <v/>
      </c>
      <c r="H447" s="25">
        <f>IF(OR($A447="",$C447&lt;&gt;"qr"),"",$D447&amp;".png")</f>
        <v/>
      </c>
      <c r="I447" s="25">
        <f>IF($A447="","",IF(AND(IFERROR(IF(INDEX(campaigns!$AJ$2:$AJ$51,MATCH($A447,campaigns!$A$2:$A$51,0))="","",INDEX(campaigns!$AJ$2:$AJ$51,MATCH($A447,campaigns!$A$2:$A$51,0))),"")="",IFERROR(IF(INDEX(campaigns!$BG$2:$BG$51,MATCH($A447,campaigns!$A$2:$A$51,0))="","",INDEX(campaigns!$BG$2:$BG$51,MATCH($A447,campaigns!$A$2:$A$51,0))),"")&lt;&gt;"",IF(config!$B$37&lt;&gt;"",config!$B$37,TODAY())&gt;=WORKDAY(N(IFERROR(IF(INDEX(campaigns!$BG$2:$BG$51,MATCH($A447,campaigns!$A$2:$A$51,0))="","",INDEX(campaigns!$BG$2:$BG$51,MATCH($A447,campaigns!$A$2:$A$51,0))),"")),-4,calendar!$A$2:$A$80)),"no prefill template yet (due T-4); ","")&amp;IF(COUNTIF(links!$D$2:$D$501,$D447)&gt;1,"DUPLICATE slug; ",""))</f>
        <v/>
      </c>
    </row>
    <row r="448">
      <c r="A448" s="25">
        <f>IF(INDEX(approvals!$A$2:$A$251,INT((ROW()-2)/2)+1)="","",INDEX(approvals!$A$2:$A$251,INT((ROW()-2)/2)+1))</f>
        <v/>
      </c>
      <c r="B448" s="25">
        <f>IF(INDEX(approvals!$A$2:$A$251,INT((ROW()-2)/2)+1)="","",INDEX(approvals!$B$2:$B$251,INT((ROW()-2)/2)+1))</f>
        <v/>
      </c>
      <c r="C448" s="25">
        <f>IF($A448="","",IF(MOD(ROW()-2,2)=0,"qr","post"))</f>
        <v/>
      </c>
      <c r="D448" s="25">
        <f>IF($A448="","",IF(LEFT($A448,7)="SAMPLE-","SAMPLE-","")&amp;LOWER(SUBSTITUTE(SUBSTITUTE($A448,"SAMPLE-",""),"CMP-","c"))&amp;"-"&amp;LOWER(SUBSTITUTE(SUBSTITUTE($B448,"SAMPLE-",""),"O-","o"))&amp;"-"&amp;IF($C448="qr","q","p"))</f>
        <v/>
      </c>
      <c r="E448" s="25">
        <f>IF($A448="","","https://"&amp;config!$B$9&amp;"/"&amp;$D448)</f>
        <v/>
      </c>
      <c r="F448" s="25">
        <f>IF($A448="","",$A448&amp;"."&amp;$B448)</f>
        <v/>
      </c>
      <c r="G448" s="25">
        <f>IF($A448="","",IF(IFERROR(IF(INDEX(campaigns!$AJ$2:$AJ$51,MATCH($A448,campaigns!$A$2:$A$51,0))="","",INDEX(campaigns!$AJ$2:$AJ$51,MATCH($A448,campaigns!$A$2:$A$51,0))),"")="","(add the survey prefill template on campaigns)",SUBSTITUTE(IFERROR(IF(INDEX(campaigns!$AJ$2:$AJ$51,MATCH($A448,campaigns!$A$2:$A$51,0))="","",INDEX(campaigns!$AJ$2:$AJ$51,MATCH($A448,campaigns!$A$2:$A$51,0))),""),"CARDCODE",$F448)&amp;"&amp;utm_source=office-pantry&amp;utm_medium="&amp;$C448&amp;"&amp;utm_campaign="&amp;LOWER($A448)&amp;"&amp;utm_content="&amp;LOWER($B448)))</f>
        <v/>
      </c>
      <c r="H448" s="25">
        <f>IF(OR($A448="",$C448&lt;&gt;"qr"),"",$D448&amp;".png")</f>
        <v/>
      </c>
      <c r="I448" s="25">
        <f>IF($A448="","",IF(AND(IFERROR(IF(INDEX(campaigns!$AJ$2:$AJ$51,MATCH($A448,campaigns!$A$2:$A$51,0))="","",INDEX(campaigns!$AJ$2:$AJ$51,MATCH($A448,campaigns!$A$2:$A$51,0))),"")="",IFERROR(IF(INDEX(campaigns!$BG$2:$BG$51,MATCH($A448,campaigns!$A$2:$A$51,0))="","",INDEX(campaigns!$BG$2:$BG$51,MATCH($A448,campaigns!$A$2:$A$51,0))),"")&lt;&gt;"",IF(config!$B$37&lt;&gt;"",config!$B$37,TODAY())&gt;=WORKDAY(N(IFERROR(IF(INDEX(campaigns!$BG$2:$BG$51,MATCH($A448,campaigns!$A$2:$A$51,0))="","",INDEX(campaigns!$BG$2:$BG$51,MATCH($A448,campaigns!$A$2:$A$51,0))),"")),-4,calendar!$A$2:$A$80)),"no prefill template yet (due T-4); ","")&amp;IF(COUNTIF(links!$D$2:$D$501,$D448)&gt;1,"DUPLICATE slug; ",""))</f>
        <v/>
      </c>
    </row>
    <row r="449">
      <c r="A449" s="25">
        <f>IF(INDEX(approvals!$A$2:$A$251,INT((ROW()-2)/2)+1)="","",INDEX(approvals!$A$2:$A$251,INT((ROW()-2)/2)+1))</f>
        <v/>
      </c>
      <c r="B449" s="25">
        <f>IF(INDEX(approvals!$A$2:$A$251,INT((ROW()-2)/2)+1)="","",INDEX(approvals!$B$2:$B$251,INT((ROW()-2)/2)+1))</f>
        <v/>
      </c>
      <c r="C449" s="25">
        <f>IF($A449="","",IF(MOD(ROW()-2,2)=0,"qr","post"))</f>
        <v/>
      </c>
      <c r="D449" s="25">
        <f>IF($A449="","",IF(LEFT($A449,7)="SAMPLE-","SAMPLE-","")&amp;LOWER(SUBSTITUTE(SUBSTITUTE($A449,"SAMPLE-",""),"CMP-","c"))&amp;"-"&amp;LOWER(SUBSTITUTE(SUBSTITUTE($B449,"SAMPLE-",""),"O-","o"))&amp;"-"&amp;IF($C449="qr","q","p"))</f>
        <v/>
      </c>
      <c r="E449" s="25">
        <f>IF($A449="","","https://"&amp;config!$B$9&amp;"/"&amp;$D449)</f>
        <v/>
      </c>
      <c r="F449" s="25">
        <f>IF($A449="","",$A449&amp;"."&amp;$B449)</f>
        <v/>
      </c>
      <c r="G449" s="25">
        <f>IF($A449="","",IF(IFERROR(IF(INDEX(campaigns!$AJ$2:$AJ$51,MATCH($A449,campaigns!$A$2:$A$51,0))="","",INDEX(campaigns!$AJ$2:$AJ$51,MATCH($A449,campaigns!$A$2:$A$51,0))),"")="","(add the survey prefill template on campaigns)",SUBSTITUTE(IFERROR(IF(INDEX(campaigns!$AJ$2:$AJ$51,MATCH($A449,campaigns!$A$2:$A$51,0))="","",INDEX(campaigns!$AJ$2:$AJ$51,MATCH($A449,campaigns!$A$2:$A$51,0))),""),"CARDCODE",$F449)&amp;"&amp;utm_source=office-pantry&amp;utm_medium="&amp;$C449&amp;"&amp;utm_campaign="&amp;LOWER($A449)&amp;"&amp;utm_content="&amp;LOWER($B449)))</f>
        <v/>
      </c>
      <c r="H449" s="25">
        <f>IF(OR($A449="",$C449&lt;&gt;"qr"),"",$D449&amp;".png")</f>
        <v/>
      </c>
      <c r="I449" s="25">
        <f>IF($A449="","",IF(AND(IFERROR(IF(INDEX(campaigns!$AJ$2:$AJ$51,MATCH($A449,campaigns!$A$2:$A$51,0))="","",INDEX(campaigns!$AJ$2:$AJ$51,MATCH($A449,campaigns!$A$2:$A$51,0))),"")="",IFERROR(IF(INDEX(campaigns!$BG$2:$BG$51,MATCH($A449,campaigns!$A$2:$A$51,0))="","",INDEX(campaigns!$BG$2:$BG$51,MATCH($A449,campaigns!$A$2:$A$51,0))),"")&lt;&gt;"",IF(config!$B$37&lt;&gt;"",config!$B$37,TODAY())&gt;=WORKDAY(N(IFERROR(IF(INDEX(campaigns!$BG$2:$BG$51,MATCH($A449,campaigns!$A$2:$A$51,0))="","",INDEX(campaigns!$BG$2:$BG$51,MATCH($A449,campaigns!$A$2:$A$51,0))),"")),-4,calendar!$A$2:$A$80)),"no prefill template yet (due T-4); ","")&amp;IF(COUNTIF(links!$D$2:$D$501,$D449)&gt;1,"DUPLICATE slug; ",""))</f>
        <v/>
      </c>
    </row>
    <row r="450">
      <c r="A450" s="25">
        <f>IF(INDEX(approvals!$A$2:$A$251,INT((ROW()-2)/2)+1)="","",INDEX(approvals!$A$2:$A$251,INT((ROW()-2)/2)+1))</f>
        <v/>
      </c>
      <c r="B450" s="25">
        <f>IF(INDEX(approvals!$A$2:$A$251,INT((ROW()-2)/2)+1)="","",INDEX(approvals!$B$2:$B$251,INT((ROW()-2)/2)+1))</f>
        <v/>
      </c>
      <c r="C450" s="25">
        <f>IF($A450="","",IF(MOD(ROW()-2,2)=0,"qr","post"))</f>
        <v/>
      </c>
      <c r="D450" s="25">
        <f>IF($A450="","",IF(LEFT($A450,7)="SAMPLE-","SAMPLE-","")&amp;LOWER(SUBSTITUTE(SUBSTITUTE($A450,"SAMPLE-",""),"CMP-","c"))&amp;"-"&amp;LOWER(SUBSTITUTE(SUBSTITUTE($B450,"SAMPLE-",""),"O-","o"))&amp;"-"&amp;IF($C450="qr","q","p"))</f>
        <v/>
      </c>
      <c r="E450" s="25">
        <f>IF($A450="","","https://"&amp;config!$B$9&amp;"/"&amp;$D450)</f>
        <v/>
      </c>
      <c r="F450" s="25">
        <f>IF($A450="","",$A450&amp;"."&amp;$B450)</f>
        <v/>
      </c>
      <c r="G450" s="25">
        <f>IF($A450="","",IF(IFERROR(IF(INDEX(campaigns!$AJ$2:$AJ$51,MATCH($A450,campaigns!$A$2:$A$51,0))="","",INDEX(campaigns!$AJ$2:$AJ$51,MATCH($A450,campaigns!$A$2:$A$51,0))),"")="","(add the survey prefill template on campaigns)",SUBSTITUTE(IFERROR(IF(INDEX(campaigns!$AJ$2:$AJ$51,MATCH($A450,campaigns!$A$2:$A$51,0))="","",INDEX(campaigns!$AJ$2:$AJ$51,MATCH($A450,campaigns!$A$2:$A$51,0))),""),"CARDCODE",$F450)&amp;"&amp;utm_source=office-pantry&amp;utm_medium="&amp;$C450&amp;"&amp;utm_campaign="&amp;LOWER($A450)&amp;"&amp;utm_content="&amp;LOWER($B450)))</f>
        <v/>
      </c>
      <c r="H450" s="25">
        <f>IF(OR($A450="",$C450&lt;&gt;"qr"),"",$D450&amp;".png")</f>
        <v/>
      </c>
      <c r="I450" s="25">
        <f>IF($A450="","",IF(AND(IFERROR(IF(INDEX(campaigns!$AJ$2:$AJ$51,MATCH($A450,campaigns!$A$2:$A$51,0))="","",INDEX(campaigns!$AJ$2:$AJ$51,MATCH($A450,campaigns!$A$2:$A$51,0))),"")="",IFERROR(IF(INDEX(campaigns!$BG$2:$BG$51,MATCH($A450,campaigns!$A$2:$A$51,0))="","",INDEX(campaigns!$BG$2:$BG$51,MATCH($A450,campaigns!$A$2:$A$51,0))),"")&lt;&gt;"",IF(config!$B$37&lt;&gt;"",config!$B$37,TODAY())&gt;=WORKDAY(N(IFERROR(IF(INDEX(campaigns!$BG$2:$BG$51,MATCH($A450,campaigns!$A$2:$A$51,0))="","",INDEX(campaigns!$BG$2:$BG$51,MATCH($A450,campaigns!$A$2:$A$51,0))),"")),-4,calendar!$A$2:$A$80)),"no prefill template yet (due T-4); ","")&amp;IF(COUNTIF(links!$D$2:$D$501,$D450)&gt;1,"DUPLICATE slug; ",""))</f>
        <v/>
      </c>
    </row>
    <row r="451">
      <c r="A451" s="25">
        <f>IF(INDEX(approvals!$A$2:$A$251,INT((ROW()-2)/2)+1)="","",INDEX(approvals!$A$2:$A$251,INT((ROW()-2)/2)+1))</f>
        <v/>
      </c>
      <c r="B451" s="25">
        <f>IF(INDEX(approvals!$A$2:$A$251,INT((ROW()-2)/2)+1)="","",INDEX(approvals!$B$2:$B$251,INT((ROW()-2)/2)+1))</f>
        <v/>
      </c>
      <c r="C451" s="25">
        <f>IF($A451="","",IF(MOD(ROW()-2,2)=0,"qr","post"))</f>
        <v/>
      </c>
      <c r="D451" s="25">
        <f>IF($A451="","",IF(LEFT($A451,7)="SAMPLE-","SAMPLE-","")&amp;LOWER(SUBSTITUTE(SUBSTITUTE($A451,"SAMPLE-",""),"CMP-","c"))&amp;"-"&amp;LOWER(SUBSTITUTE(SUBSTITUTE($B451,"SAMPLE-",""),"O-","o"))&amp;"-"&amp;IF($C451="qr","q","p"))</f>
        <v/>
      </c>
      <c r="E451" s="25">
        <f>IF($A451="","","https://"&amp;config!$B$9&amp;"/"&amp;$D451)</f>
        <v/>
      </c>
      <c r="F451" s="25">
        <f>IF($A451="","",$A451&amp;"."&amp;$B451)</f>
        <v/>
      </c>
      <c r="G451" s="25">
        <f>IF($A451="","",IF(IFERROR(IF(INDEX(campaigns!$AJ$2:$AJ$51,MATCH($A451,campaigns!$A$2:$A$51,0))="","",INDEX(campaigns!$AJ$2:$AJ$51,MATCH($A451,campaigns!$A$2:$A$51,0))),"")="","(add the survey prefill template on campaigns)",SUBSTITUTE(IFERROR(IF(INDEX(campaigns!$AJ$2:$AJ$51,MATCH($A451,campaigns!$A$2:$A$51,0))="","",INDEX(campaigns!$AJ$2:$AJ$51,MATCH($A451,campaigns!$A$2:$A$51,0))),""),"CARDCODE",$F451)&amp;"&amp;utm_source=office-pantry&amp;utm_medium="&amp;$C451&amp;"&amp;utm_campaign="&amp;LOWER($A451)&amp;"&amp;utm_content="&amp;LOWER($B451)))</f>
        <v/>
      </c>
      <c r="H451" s="25">
        <f>IF(OR($A451="",$C451&lt;&gt;"qr"),"",$D451&amp;".png")</f>
        <v/>
      </c>
      <c r="I451" s="25">
        <f>IF($A451="","",IF(AND(IFERROR(IF(INDEX(campaigns!$AJ$2:$AJ$51,MATCH($A451,campaigns!$A$2:$A$51,0))="","",INDEX(campaigns!$AJ$2:$AJ$51,MATCH($A451,campaigns!$A$2:$A$51,0))),"")="",IFERROR(IF(INDEX(campaigns!$BG$2:$BG$51,MATCH($A451,campaigns!$A$2:$A$51,0))="","",INDEX(campaigns!$BG$2:$BG$51,MATCH($A451,campaigns!$A$2:$A$51,0))),"")&lt;&gt;"",IF(config!$B$37&lt;&gt;"",config!$B$37,TODAY())&gt;=WORKDAY(N(IFERROR(IF(INDEX(campaigns!$BG$2:$BG$51,MATCH($A451,campaigns!$A$2:$A$51,0))="","",INDEX(campaigns!$BG$2:$BG$51,MATCH($A451,campaigns!$A$2:$A$51,0))),"")),-4,calendar!$A$2:$A$80)),"no prefill template yet (due T-4); ","")&amp;IF(COUNTIF(links!$D$2:$D$501,$D451)&gt;1,"DUPLICATE slug; ",""))</f>
        <v/>
      </c>
    </row>
    <row r="452">
      <c r="A452" s="25">
        <f>IF(INDEX(approvals!$A$2:$A$251,INT((ROW()-2)/2)+1)="","",INDEX(approvals!$A$2:$A$251,INT((ROW()-2)/2)+1))</f>
        <v/>
      </c>
      <c r="B452" s="25">
        <f>IF(INDEX(approvals!$A$2:$A$251,INT((ROW()-2)/2)+1)="","",INDEX(approvals!$B$2:$B$251,INT((ROW()-2)/2)+1))</f>
        <v/>
      </c>
      <c r="C452" s="25">
        <f>IF($A452="","",IF(MOD(ROW()-2,2)=0,"qr","post"))</f>
        <v/>
      </c>
      <c r="D452" s="25">
        <f>IF($A452="","",IF(LEFT($A452,7)="SAMPLE-","SAMPLE-","")&amp;LOWER(SUBSTITUTE(SUBSTITUTE($A452,"SAMPLE-",""),"CMP-","c"))&amp;"-"&amp;LOWER(SUBSTITUTE(SUBSTITUTE($B452,"SAMPLE-",""),"O-","o"))&amp;"-"&amp;IF($C452="qr","q","p"))</f>
        <v/>
      </c>
      <c r="E452" s="25">
        <f>IF($A452="","","https://"&amp;config!$B$9&amp;"/"&amp;$D452)</f>
        <v/>
      </c>
      <c r="F452" s="25">
        <f>IF($A452="","",$A452&amp;"."&amp;$B452)</f>
        <v/>
      </c>
      <c r="G452" s="25">
        <f>IF($A452="","",IF(IFERROR(IF(INDEX(campaigns!$AJ$2:$AJ$51,MATCH($A452,campaigns!$A$2:$A$51,0))="","",INDEX(campaigns!$AJ$2:$AJ$51,MATCH($A452,campaigns!$A$2:$A$51,0))),"")="","(add the survey prefill template on campaigns)",SUBSTITUTE(IFERROR(IF(INDEX(campaigns!$AJ$2:$AJ$51,MATCH($A452,campaigns!$A$2:$A$51,0))="","",INDEX(campaigns!$AJ$2:$AJ$51,MATCH($A452,campaigns!$A$2:$A$51,0))),""),"CARDCODE",$F452)&amp;"&amp;utm_source=office-pantry&amp;utm_medium="&amp;$C452&amp;"&amp;utm_campaign="&amp;LOWER($A452)&amp;"&amp;utm_content="&amp;LOWER($B452)))</f>
        <v/>
      </c>
      <c r="H452" s="25">
        <f>IF(OR($A452="",$C452&lt;&gt;"qr"),"",$D452&amp;".png")</f>
        <v/>
      </c>
      <c r="I452" s="25">
        <f>IF($A452="","",IF(AND(IFERROR(IF(INDEX(campaigns!$AJ$2:$AJ$51,MATCH($A452,campaigns!$A$2:$A$51,0))="","",INDEX(campaigns!$AJ$2:$AJ$51,MATCH($A452,campaigns!$A$2:$A$51,0))),"")="",IFERROR(IF(INDEX(campaigns!$BG$2:$BG$51,MATCH($A452,campaigns!$A$2:$A$51,0))="","",INDEX(campaigns!$BG$2:$BG$51,MATCH($A452,campaigns!$A$2:$A$51,0))),"")&lt;&gt;"",IF(config!$B$37&lt;&gt;"",config!$B$37,TODAY())&gt;=WORKDAY(N(IFERROR(IF(INDEX(campaigns!$BG$2:$BG$51,MATCH($A452,campaigns!$A$2:$A$51,0))="","",INDEX(campaigns!$BG$2:$BG$51,MATCH($A452,campaigns!$A$2:$A$51,0))),"")),-4,calendar!$A$2:$A$80)),"no prefill template yet (due T-4); ","")&amp;IF(COUNTIF(links!$D$2:$D$501,$D452)&gt;1,"DUPLICATE slug; ",""))</f>
        <v/>
      </c>
    </row>
    <row r="453">
      <c r="A453" s="25">
        <f>IF(INDEX(approvals!$A$2:$A$251,INT((ROW()-2)/2)+1)="","",INDEX(approvals!$A$2:$A$251,INT((ROW()-2)/2)+1))</f>
        <v/>
      </c>
      <c r="B453" s="25">
        <f>IF(INDEX(approvals!$A$2:$A$251,INT((ROW()-2)/2)+1)="","",INDEX(approvals!$B$2:$B$251,INT((ROW()-2)/2)+1))</f>
        <v/>
      </c>
      <c r="C453" s="25">
        <f>IF($A453="","",IF(MOD(ROW()-2,2)=0,"qr","post"))</f>
        <v/>
      </c>
      <c r="D453" s="25">
        <f>IF($A453="","",IF(LEFT($A453,7)="SAMPLE-","SAMPLE-","")&amp;LOWER(SUBSTITUTE(SUBSTITUTE($A453,"SAMPLE-",""),"CMP-","c"))&amp;"-"&amp;LOWER(SUBSTITUTE(SUBSTITUTE($B453,"SAMPLE-",""),"O-","o"))&amp;"-"&amp;IF($C453="qr","q","p"))</f>
        <v/>
      </c>
      <c r="E453" s="25">
        <f>IF($A453="","","https://"&amp;config!$B$9&amp;"/"&amp;$D453)</f>
        <v/>
      </c>
      <c r="F453" s="25">
        <f>IF($A453="","",$A453&amp;"."&amp;$B453)</f>
        <v/>
      </c>
      <c r="G453" s="25">
        <f>IF($A453="","",IF(IFERROR(IF(INDEX(campaigns!$AJ$2:$AJ$51,MATCH($A453,campaigns!$A$2:$A$51,0))="","",INDEX(campaigns!$AJ$2:$AJ$51,MATCH($A453,campaigns!$A$2:$A$51,0))),"")="","(add the survey prefill template on campaigns)",SUBSTITUTE(IFERROR(IF(INDEX(campaigns!$AJ$2:$AJ$51,MATCH($A453,campaigns!$A$2:$A$51,0))="","",INDEX(campaigns!$AJ$2:$AJ$51,MATCH($A453,campaigns!$A$2:$A$51,0))),""),"CARDCODE",$F453)&amp;"&amp;utm_source=office-pantry&amp;utm_medium="&amp;$C453&amp;"&amp;utm_campaign="&amp;LOWER($A453)&amp;"&amp;utm_content="&amp;LOWER($B453)))</f>
        <v/>
      </c>
      <c r="H453" s="25">
        <f>IF(OR($A453="",$C453&lt;&gt;"qr"),"",$D453&amp;".png")</f>
        <v/>
      </c>
      <c r="I453" s="25">
        <f>IF($A453="","",IF(AND(IFERROR(IF(INDEX(campaigns!$AJ$2:$AJ$51,MATCH($A453,campaigns!$A$2:$A$51,0))="","",INDEX(campaigns!$AJ$2:$AJ$51,MATCH($A453,campaigns!$A$2:$A$51,0))),"")="",IFERROR(IF(INDEX(campaigns!$BG$2:$BG$51,MATCH($A453,campaigns!$A$2:$A$51,0))="","",INDEX(campaigns!$BG$2:$BG$51,MATCH($A453,campaigns!$A$2:$A$51,0))),"")&lt;&gt;"",IF(config!$B$37&lt;&gt;"",config!$B$37,TODAY())&gt;=WORKDAY(N(IFERROR(IF(INDEX(campaigns!$BG$2:$BG$51,MATCH($A453,campaigns!$A$2:$A$51,0))="","",INDEX(campaigns!$BG$2:$BG$51,MATCH($A453,campaigns!$A$2:$A$51,0))),"")),-4,calendar!$A$2:$A$80)),"no prefill template yet (due T-4); ","")&amp;IF(COUNTIF(links!$D$2:$D$501,$D453)&gt;1,"DUPLICATE slug; ",""))</f>
        <v/>
      </c>
    </row>
    <row r="454">
      <c r="A454" s="25">
        <f>IF(INDEX(approvals!$A$2:$A$251,INT((ROW()-2)/2)+1)="","",INDEX(approvals!$A$2:$A$251,INT((ROW()-2)/2)+1))</f>
        <v/>
      </c>
      <c r="B454" s="25">
        <f>IF(INDEX(approvals!$A$2:$A$251,INT((ROW()-2)/2)+1)="","",INDEX(approvals!$B$2:$B$251,INT((ROW()-2)/2)+1))</f>
        <v/>
      </c>
      <c r="C454" s="25">
        <f>IF($A454="","",IF(MOD(ROW()-2,2)=0,"qr","post"))</f>
        <v/>
      </c>
      <c r="D454" s="25">
        <f>IF($A454="","",IF(LEFT($A454,7)="SAMPLE-","SAMPLE-","")&amp;LOWER(SUBSTITUTE(SUBSTITUTE($A454,"SAMPLE-",""),"CMP-","c"))&amp;"-"&amp;LOWER(SUBSTITUTE(SUBSTITUTE($B454,"SAMPLE-",""),"O-","o"))&amp;"-"&amp;IF($C454="qr","q","p"))</f>
        <v/>
      </c>
      <c r="E454" s="25">
        <f>IF($A454="","","https://"&amp;config!$B$9&amp;"/"&amp;$D454)</f>
        <v/>
      </c>
      <c r="F454" s="25">
        <f>IF($A454="","",$A454&amp;"."&amp;$B454)</f>
        <v/>
      </c>
      <c r="G454" s="25">
        <f>IF($A454="","",IF(IFERROR(IF(INDEX(campaigns!$AJ$2:$AJ$51,MATCH($A454,campaigns!$A$2:$A$51,0))="","",INDEX(campaigns!$AJ$2:$AJ$51,MATCH($A454,campaigns!$A$2:$A$51,0))),"")="","(add the survey prefill template on campaigns)",SUBSTITUTE(IFERROR(IF(INDEX(campaigns!$AJ$2:$AJ$51,MATCH($A454,campaigns!$A$2:$A$51,0))="","",INDEX(campaigns!$AJ$2:$AJ$51,MATCH($A454,campaigns!$A$2:$A$51,0))),""),"CARDCODE",$F454)&amp;"&amp;utm_source=office-pantry&amp;utm_medium="&amp;$C454&amp;"&amp;utm_campaign="&amp;LOWER($A454)&amp;"&amp;utm_content="&amp;LOWER($B454)))</f>
        <v/>
      </c>
      <c r="H454" s="25">
        <f>IF(OR($A454="",$C454&lt;&gt;"qr"),"",$D454&amp;".png")</f>
        <v/>
      </c>
      <c r="I454" s="25">
        <f>IF($A454="","",IF(AND(IFERROR(IF(INDEX(campaigns!$AJ$2:$AJ$51,MATCH($A454,campaigns!$A$2:$A$51,0))="","",INDEX(campaigns!$AJ$2:$AJ$51,MATCH($A454,campaigns!$A$2:$A$51,0))),"")="",IFERROR(IF(INDEX(campaigns!$BG$2:$BG$51,MATCH($A454,campaigns!$A$2:$A$51,0))="","",INDEX(campaigns!$BG$2:$BG$51,MATCH($A454,campaigns!$A$2:$A$51,0))),"")&lt;&gt;"",IF(config!$B$37&lt;&gt;"",config!$B$37,TODAY())&gt;=WORKDAY(N(IFERROR(IF(INDEX(campaigns!$BG$2:$BG$51,MATCH($A454,campaigns!$A$2:$A$51,0))="","",INDEX(campaigns!$BG$2:$BG$51,MATCH($A454,campaigns!$A$2:$A$51,0))),"")),-4,calendar!$A$2:$A$80)),"no prefill template yet (due T-4); ","")&amp;IF(COUNTIF(links!$D$2:$D$501,$D454)&gt;1,"DUPLICATE slug; ",""))</f>
        <v/>
      </c>
    </row>
    <row r="455">
      <c r="A455" s="25">
        <f>IF(INDEX(approvals!$A$2:$A$251,INT((ROW()-2)/2)+1)="","",INDEX(approvals!$A$2:$A$251,INT((ROW()-2)/2)+1))</f>
        <v/>
      </c>
      <c r="B455" s="25">
        <f>IF(INDEX(approvals!$A$2:$A$251,INT((ROW()-2)/2)+1)="","",INDEX(approvals!$B$2:$B$251,INT((ROW()-2)/2)+1))</f>
        <v/>
      </c>
      <c r="C455" s="25">
        <f>IF($A455="","",IF(MOD(ROW()-2,2)=0,"qr","post"))</f>
        <v/>
      </c>
      <c r="D455" s="25">
        <f>IF($A455="","",IF(LEFT($A455,7)="SAMPLE-","SAMPLE-","")&amp;LOWER(SUBSTITUTE(SUBSTITUTE($A455,"SAMPLE-",""),"CMP-","c"))&amp;"-"&amp;LOWER(SUBSTITUTE(SUBSTITUTE($B455,"SAMPLE-",""),"O-","o"))&amp;"-"&amp;IF($C455="qr","q","p"))</f>
        <v/>
      </c>
      <c r="E455" s="25">
        <f>IF($A455="","","https://"&amp;config!$B$9&amp;"/"&amp;$D455)</f>
        <v/>
      </c>
      <c r="F455" s="25">
        <f>IF($A455="","",$A455&amp;"."&amp;$B455)</f>
        <v/>
      </c>
      <c r="G455" s="25">
        <f>IF($A455="","",IF(IFERROR(IF(INDEX(campaigns!$AJ$2:$AJ$51,MATCH($A455,campaigns!$A$2:$A$51,0))="","",INDEX(campaigns!$AJ$2:$AJ$51,MATCH($A455,campaigns!$A$2:$A$51,0))),"")="","(add the survey prefill template on campaigns)",SUBSTITUTE(IFERROR(IF(INDEX(campaigns!$AJ$2:$AJ$51,MATCH($A455,campaigns!$A$2:$A$51,0))="","",INDEX(campaigns!$AJ$2:$AJ$51,MATCH($A455,campaigns!$A$2:$A$51,0))),""),"CARDCODE",$F455)&amp;"&amp;utm_source=office-pantry&amp;utm_medium="&amp;$C455&amp;"&amp;utm_campaign="&amp;LOWER($A455)&amp;"&amp;utm_content="&amp;LOWER($B455)))</f>
        <v/>
      </c>
      <c r="H455" s="25">
        <f>IF(OR($A455="",$C455&lt;&gt;"qr"),"",$D455&amp;".png")</f>
        <v/>
      </c>
      <c r="I455" s="25">
        <f>IF($A455="","",IF(AND(IFERROR(IF(INDEX(campaigns!$AJ$2:$AJ$51,MATCH($A455,campaigns!$A$2:$A$51,0))="","",INDEX(campaigns!$AJ$2:$AJ$51,MATCH($A455,campaigns!$A$2:$A$51,0))),"")="",IFERROR(IF(INDEX(campaigns!$BG$2:$BG$51,MATCH($A455,campaigns!$A$2:$A$51,0))="","",INDEX(campaigns!$BG$2:$BG$51,MATCH($A455,campaigns!$A$2:$A$51,0))),"")&lt;&gt;"",IF(config!$B$37&lt;&gt;"",config!$B$37,TODAY())&gt;=WORKDAY(N(IFERROR(IF(INDEX(campaigns!$BG$2:$BG$51,MATCH($A455,campaigns!$A$2:$A$51,0))="","",INDEX(campaigns!$BG$2:$BG$51,MATCH($A455,campaigns!$A$2:$A$51,0))),"")),-4,calendar!$A$2:$A$80)),"no prefill template yet (due T-4); ","")&amp;IF(COUNTIF(links!$D$2:$D$501,$D455)&gt;1,"DUPLICATE slug; ",""))</f>
        <v/>
      </c>
    </row>
    <row r="456">
      <c r="A456" s="25">
        <f>IF(INDEX(approvals!$A$2:$A$251,INT((ROW()-2)/2)+1)="","",INDEX(approvals!$A$2:$A$251,INT((ROW()-2)/2)+1))</f>
        <v/>
      </c>
      <c r="B456" s="25">
        <f>IF(INDEX(approvals!$A$2:$A$251,INT((ROW()-2)/2)+1)="","",INDEX(approvals!$B$2:$B$251,INT((ROW()-2)/2)+1))</f>
        <v/>
      </c>
      <c r="C456" s="25">
        <f>IF($A456="","",IF(MOD(ROW()-2,2)=0,"qr","post"))</f>
        <v/>
      </c>
      <c r="D456" s="25">
        <f>IF($A456="","",IF(LEFT($A456,7)="SAMPLE-","SAMPLE-","")&amp;LOWER(SUBSTITUTE(SUBSTITUTE($A456,"SAMPLE-",""),"CMP-","c"))&amp;"-"&amp;LOWER(SUBSTITUTE(SUBSTITUTE($B456,"SAMPLE-",""),"O-","o"))&amp;"-"&amp;IF($C456="qr","q","p"))</f>
        <v/>
      </c>
      <c r="E456" s="25">
        <f>IF($A456="","","https://"&amp;config!$B$9&amp;"/"&amp;$D456)</f>
        <v/>
      </c>
      <c r="F456" s="25">
        <f>IF($A456="","",$A456&amp;"."&amp;$B456)</f>
        <v/>
      </c>
      <c r="G456" s="25">
        <f>IF($A456="","",IF(IFERROR(IF(INDEX(campaigns!$AJ$2:$AJ$51,MATCH($A456,campaigns!$A$2:$A$51,0))="","",INDEX(campaigns!$AJ$2:$AJ$51,MATCH($A456,campaigns!$A$2:$A$51,0))),"")="","(add the survey prefill template on campaigns)",SUBSTITUTE(IFERROR(IF(INDEX(campaigns!$AJ$2:$AJ$51,MATCH($A456,campaigns!$A$2:$A$51,0))="","",INDEX(campaigns!$AJ$2:$AJ$51,MATCH($A456,campaigns!$A$2:$A$51,0))),""),"CARDCODE",$F456)&amp;"&amp;utm_source=office-pantry&amp;utm_medium="&amp;$C456&amp;"&amp;utm_campaign="&amp;LOWER($A456)&amp;"&amp;utm_content="&amp;LOWER($B456)))</f>
        <v/>
      </c>
      <c r="H456" s="25">
        <f>IF(OR($A456="",$C456&lt;&gt;"qr"),"",$D456&amp;".png")</f>
        <v/>
      </c>
      <c r="I456" s="25">
        <f>IF($A456="","",IF(AND(IFERROR(IF(INDEX(campaigns!$AJ$2:$AJ$51,MATCH($A456,campaigns!$A$2:$A$51,0))="","",INDEX(campaigns!$AJ$2:$AJ$51,MATCH($A456,campaigns!$A$2:$A$51,0))),"")="",IFERROR(IF(INDEX(campaigns!$BG$2:$BG$51,MATCH($A456,campaigns!$A$2:$A$51,0))="","",INDEX(campaigns!$BG$2:$BG$51,MATCH($A456,campaigns!$A$2:$A$51,0))),"")&lt;&gt;"",IF(config!$B$37&lt;&gt;"",config!$B$37,TODAY())&gt;=WORKDAY(N(IFERROR(IF(INDEX(campaigns!$BG$2:$BG$51,MATCH($A456,campaigns!$A$2:$A$51,0))="","",INDEX(campaigns!$BG$2:$BG$51,MATCH($A456,campaigns!$A$2:$A$51,0))),"")),-4,calendar!$A$2:$A$80)),"no prefill template yet (due T-4); ","")&amp;IF(COUNTIF(links!$D$2:$D$501,$D456)&gt;1,"DUPLICATE slug; ",""))</f>
        <v/>
      </c>
    </row>
    <row r="457">
      <c r="A457" s="25">
        <f>IF(INDEX(approvals!$A$2:$A$251,INT((ROW()-2)/2)+1)="","",INDEX(approvals!$A$2:$A$251,INT((ROW()-2)/2)+1))</f>
        <v/>
      </c>
      <c r="B457" s="25">
        <f>IF(INDEX(approvals!$A$2:$A$251,INT((ROW()-2)/2)+1)="","",INDEX(approvals!$B$2:$B$251,INT((ROW()-2)/2)+1))</f>
        <v/>
      </c>
      <c r="C457" s="25">
        <f>IF($A457="","",IF(MOD(ROW()-2,2)=0,"qr","post"))</f>
        <v/>
      </c>
      <c r="D457" s="25">
        <f>IF($A457="","",IF(LEFT($A457,7)="SAMPLE-","SAMPLE-","")&amp;LOWER(SUBSTITUTE(SUBSTITUTE($A457,"SAMPLE-",""),"CMP-","c"))&amp;"-"&amp;LOWER(SUBSTITUTE(SUBSTITUTE($B457,"SAMPLE-",""),"O-","o"))&amp;"-"&amp;IF($C457="qr","q","p"))</f>
        <v/>
      </c>
      <c r="E457" s="25">
        <f>IF($A457="","","https://"&amp;config!$B$9&amp;"/"&amp;$D457)</f>
        <v/>
      </c>
      <c r="F457" s="25">
        <f>IF($A457="","",$A457&amp;"."&amp;$B457)</f>
        <v/>
      </c>
      <c r="G457" s="25">
        <f>IF($A457="","",IF(IFERROR(IF(INDEX(campaigns!$AJ$2:$AJ$51,MATCH($A457,campaigns!$A$2:$A$51,0))="","",INDEX(campaigns!$AJ$2:$AJ$51,MATCH($A457,campaigns!$A$2:$A$51,0))),"")="","(add the survey prefill template on campaigns)",SUBSTITUTE(IFERROR(IF(INDEX(campaigns!$AJ$2:$AJ$51,MATCH($A457,campaigns!$A$2:$A$51,0))="","",INDEX(campaigns!$AJ$2:$AJ$51,MATCH($A457,campaigns!$A$2:$A$51,0))),""),"CARDCODE",$F457)&amp;"&amp;utm_source=office-pantry&amp;utm_medium="&amp;$C457&amp;"&amp;utm_campaign="&amp;LOWER($A457)&amp;"&amp;utm_content="&amp;LOWER($B457)))</f>
        <v/>
      </c>
      <c r="H457" s="25">
        <f>IF(OR($A457="",$C457&lt;&gt;"qr"),"",$D457&amp;".png")</f>
        <v/>
      </c>
      <c r="I457" s="25">
        <f>IF($A457="","",IF(AND(IFERROR(IF(INDEX(campaigns!$AJ$2:$AJ$51,MATCH($A457,campaigns!$A$2:$A$51,0))="","",INDEX(campaigns!$AJ$2:$AJ$51,MATCH($A457,campaigns!$A$2:$A$51,0))),"")="",IFERROR(IF(INDEX(campaigns!$BG$2:$BG$51,MATCH($A457,campaigns!$A$2:$A$51,0))="","",INDEX(campaigns!$BG$2:$BG$51,MATCH($A457,campaigns!$A$2:$A$51,0))),"")&lt;&gt;"",IF(config!$B$37&lt;&gt;"",config!$B$37,TODAY())&gt;=WORKDAY(N(IFERROR(IF(INDEX(campaigns!$BG$2:$BG$51,MATCH($A457,campaigns!$A$2:$A$51,0))="","",INDEX(campaigns!$BG$2:$BG$51,MATCH($A457,campaigns!$A$2:$A$51,0))),"")),-4,calendar!$A$2:$A$80)),"no prefill template yet (due T-4); ","")&amp;IF(COUNTIF(links!$D$2:$D$501,$D457)&gt;1,"DUPLICATE slug; ",""))</f>
        <v/>
      </c>
    </row>
    <row r="458">
      <c r="A458" s="25">
        <f>IF(INDEX(approvals!$A$2:$A$251,INT((ROW()-2)/2)+1)="","",INDEX(approvals!$A$2:$A$251,INT((ROW()-2)/2)+1))</f>
        <v/>
      </c>
      <c r="B458" s="25">
        <f>IF(INDEX(approvals!$A$2:$A$251,INT((ROW()-2)/2)+1)="","",INDEX(approvals!$B$2:$B$251,INT((ROW()-2)/2)+1))</f>
        <v/>
      </c>
      <c r="C458" s="25">
        <f>IF($A458="","",IF(MOD(ROW()-2,2)=0,"qr","post"))</f>
        <v/>
      </c>
      <c r="D458" s="25">
        <f>IF($A458="","",IF(LEFT($A458,7)="SAMPLE-","SAMPLE-","")&amp;LOWER(SUBSTITUTE(SUBSTITUTE($A458,"SAMPLE-",""),"CMP-","c"))&amp;"-"&amp;LOWER(SUBSTITUTE(SUBSTITUTE($B458,"SAMPLE-",""),"O-","o"))&amp;"-"&amp;IF($C458="qr","q","p"))</f>
        <v/>
      </c>
      <c r="E458" s="25">
        <f>IF($A458="","","https://"&amp;config!$B$9&amp;"/"&amp;$D458)</f>
        <v/>
      </c>
      <c r="F458" s="25">
        <f>IF($A458="","",$A458&amp;"."&amp;$B458)</f>
        <v/>
      </c>
      <c r="G458" s="25">
        <f>IF($A458="","",IF(IFERROR(IF(INDEX(campaigns!$AJ$2:$AJ$51,MATCH($A458,campaigns!$A$2:$A$51,0))="","",INDEX(campaigns!$AJ$2:$AJ$51,MATCH($A458,campaigns!$A$2:$A$51,0))),"")="","(add the survey prefill template on campaigns)",SUBSTITUTE(IFERROR(IF(INDEX(campaigns!$AJ$2:$AJ$51,MATCH($A458,campaigns!$A$2:$A$51,0))="","",INDEX(campaigns!$AJ$2:$AJ$51,MATCH($A458,campaigns!$A$2:$A$51,0))),""),"CARDCODE",$F458)&amp;"&amp;utm_source=office-pantry&amp;utm_medium="&amp;$C458&amp;"&amp;utm_campaign="&amp;LOWER($A458)&amp;"&amp;utm_content="&amp;LOWER($B458)))</f>
        <v/>
      </c>
      <c r="H458" s="25">
        <f>IF(OR($A458="",$C458&lt;&gt;"qr"),"",$D458&amp;".png")</f>
        <v/>
      </c>
      <c r="I458" s="25">
        <f>IF($A458="","",IF(AND(IFERROR(IF(INDEX(campaigns!$AJ$2:$AJ$51,MATCH($A458,campaigns!$A$2:$A$51,0))="","",INDEX(campaigns!$AJ$2:$AJ$51,MATCH($A458,campaigns!$A$2:$A$51,0))),"")="",IFERROR(IF(INDEX(campaigns!$BG$2:$BG$51,MATCH($A458,campaigns!$A$2:$A$51,0))="","",INDEX(campaigns!$BG$2:$BG$51,MATCH($A458,campaigns!$A$2:$A$51,0))),"")&lt;&gt;"",IF(config!$B$37&lt;&gt;"",config!$B$37,TODAY())&gt;=WORKDAY(N(IFERROR(IF(INDEX(campaigns!$BG$2:$BG$51,MATCH($A458,campaigns!$A$2:$A$51,0))="","",INDEX(campaigns!$BG$2:$BG$51,MATCH($A458,campaigns!$A$2:$A$51,0))),"")),-4,calendar!$A$2:$A$80)),"no prefill template yet (due T-4); ","")&amp;IF(COUNTIF(links!$D$2:$D$501,$D458)&gt;1,"DUPLICATE slug; ",""))</f>
        <v/>
      </c>
    </row>
    <row r="459">
      <c r="A459" s="25">
        <f>IF(INDEX(approvals!$A$2:$A$251,INT((ROW()-2)/2)+1)="","",INDEX(approvals!$A$2:$A$251,INT((ROW()-2)/2)+1))</f>
        <v/>
      </c>
      <c r="B459" s="25">
        <f>IF(INDEX(approvals!$A$2:$A$251,INT((ROW()-2)/2)+1)="","",INDEX(approvals!$B$2:$B$251,INT((ROW()-2)/2)+1))</f>
        <v/>
      </c>
      <c r="C459" s="25">
        <f>IF($A459="","",IF(MOD(ROW()-2,2)=0,"qr","post"))</f>
        <v/>
      </c>
      <c r="D459" s="25">
        <f>IF($A459="","",IF(LEFT($A459,7)="SAMPLE-","SAMPLE-","")&amp;LOWER(SUBSTITUTE(SUBSTITUTE($A459,"SAMPLE-",""),"CMP-","c"))&amp;"-"&amp;LOWER(SUBSTITUTE(SUBSTITUTE($B459,"SAMPLE-",""),"O-","o"))&amp;"-"&amp;IF($C459="qr","q","p"))</f>
        <v/>
      </c>
      <c r="E459" s="25">
        <f>IF($A459="","","https://"&amp;config!$B$9&amp;"/"&amp;$D459)</f>
        <v/>
      </c>
      <c r="F459" s="25">
        <f>IF($A459="","",$A459&amp;"."&amp;$B459)</f>
        <v/>
      </c>
      <c r="G459" s="25">
        <f>IF($A459="","",IF(IFERROR(IF(INDEX(campaigns!$AJ$2:$AJ$51,MATCH($A459,campaigns!$A$2:$A$51,0))="","",INDEX(campaigns!$AJ$2:$AJ$51,MATCH($A459,campaigns!$A$2:$A$51,0))),"")="","(add the survey prefill template on campaigns)",SUBSTITUTE(IFERROR(IF(INDEX(campaigns!$AJ$2:$AJ$51,MATCH($A459,campaigns!$A$2:$A$51,0))="","",INDEX(campaigns!$AJ$2:$AJ$51,MATCH($A459,campaigns!$A$2:$A$51,0))),""),"CARDCODE",$F459)&amp;"&amp;utm_source=office-pantry&amp;utm_medium="&amp;$C459&amp;"&amp;utm_campaign="&amp;LOWER($A459)&amp;"&amp;utm_content="&amp;LOWER($B459)))</f>
        <v/>
      </c>
      <c r="H459" s="25">
        <f>IF(OR($A459="",$C459&lt;&gt;"qr"),"",$D459&amp;".png")</f>
        <v/>
      </c>
      <c r="I459" s="25">
        <f>IF($A459="","",IF(AND(IFERROR(IF(INDEX(campaigns!$AJ$2:$AJ$51,MATCH($A459,campaigns!$A$2:$A$51,0))="","",INDEX(campaigns!$AJ$2:$AJ$51,MATCH($A459,campaigns!$A$2:$A$51,0))),"")="",IFERROR(IF(INDEX(campaigns!$BG$2:$BG$51,MATCH($A459,campaigns!$A$2:$A$51,0))="","",INDEX(campaigns!$BG$2:$BG$51,MATCH($A459,campaigns!$A$2:$A$51,0))),"")&lt;&gt;"",IF(config!$B$37&lt;&gt;"",config!$B$37,TODAY())&gt;=WORKDAY(N(IFERROR(IF(INDEX(campaigns!$BG$2:$BG$51,MATCH($A459,campaigns!$A$2:$A$51,0))="","",INDEX(campaigns!$BG$2:$BG$51,MATCH($A459,campaigns!$A$2:$A$51,0))),"")),-4,calendar!$A$2:$A$80)),"no prefill template yet (due T-4); ","")&amp;IF(COUNTIF(links!$D$2:$D$501,$D459)&gt;1,"DUPLICATE slug; ",""))</f>
        <v/>
      </c>
    </row>
    <row r="460">
      <c r="A460" s="25">
        <f>IF(INDEX(approvals!$A$2:$A$251,INT((ROW()-2)/2)+1)="","",INDEX(approvals!$A$2:$A$251,INT((ROW()-2)/2)+1))</f>
        <v/>
      </c>
      <c r="B460" s="25">
        <f>IF(INDEX(approvals!$A$2:$A$251,INT((ROW()-2)/2)+1)="","",INDEX(approvals!$B$2:$B$251,INT((ROW()-2)/2)+1))</f>
        <v/>
      </c>
      <c r="C460" s="25">
        <f>IF($A460="","",IF(MOD(ROW()-2,2)=0,"qr","post"))</f>
        <v/>
      </c>
      <c r="D460" s="25">
        <f>IF($A460="","",IF(LEFT($A460,7)="SAMPLE-","SAMPLE-","")&amp;LOWER(SUBSTITUTE(SUBSTITUTE($A460,"SAMPLE-",""),"CMP-","c"))&amp;"-"&amp;LOWER(SUBSTITUTE(SUBSTITUTE($B460,"SAMPLE-",""),"O-","o"))&amp;"-"&amp;IF($C460="qr","q","p"))</f>
        <v/>
      </c>
      <c r="E460" s="25">
        <f>IF($A460="","","https://"&amp;config!$B$9&amp;"/"&amp;$D460)</f>
        <v/>
      </c>
      <c r="F460" s="25">
        <f>IF($A460="","",$A460&amp;"."&amp;$B460)</f>
        <v/>
      </c>
      <c r="G460" s="25">
        <f>IF($A460="","",IF(IFERROR(IF(INDEX(campaigns!$AJ$2:$AJ$51,MATCH($A460,campaigns!$A$2:$A$51,0))="","",INDEX(campaigns!$AJ$2:$AJ$51,MATCH($A460,campaigns!$A$2:$A$51,0))),"")="","(add the survey prefill template on campaigns)",SUBSTITUTE(IFERROR(IF(INDEX(campaigns!$AJ$2:$AJ$51,MATCH($A460,campaigns!$A$2:$A$51,0))="","",INDEX(campaigns!$AJ$2:$AJ$51,MATCH($A460,campaigns!$A$2:$A$51,0))),""),"CARDCODE",$F460)&amp;"&amp;utm_source=office-pantry&amp;utm_medium="&amp;$C460&amp;"&amp;utm_campaign="&amp;LOWER($A460)&amp;"&amp;utm_content="&amp;LOWER($B460)))</f>
        <v/>
      </c>
      <c r="H460" s="25">
        <f>IF(OR($A460="",$C460&lt;&gt;"qr"),"",$D460&amp;".png")</f>
        <v/>
      </c>
      <c r="I460" s="25">
        <f>IF($A460="","",IF(AND(IFERROR(IF(INDEX(campaigns!$AJ$2:$AJ$51,MATCH($A460,campaigns!$A$2:$A$51,0))="","",INDEX(campaigns!$AJ$2:$AJ$51,MATCH($A460,campaigns!$A$2:$A$51,0))),"")="",IFERROR(IF(INDEX(campaigns!$BG$2:$BG$51,MATCH($A460,campaigns!$A$2:$A$51,0))="","",INDEX(campaigns!$BG$2:$BG$51,MATCH($A460,campaigns!$A$2:$A$51,0))),"")&lt;&gt;"",IF(config!$B$37&lt;&gt;"",config!$B$37,TODAY())&gt;=WORKDAY(N(IFERROR(IF(INDEX(campaigns!$BG$2:$BG$51,MATCH($A460,campaigns!$A$2:$A$51,0))="","",INDEX(campaigns!$BG$2:$BG$51,MATCH($A460,campaigns!$A$2:$A$51,0))),"")),-4,calendar!$A$2:$A$80)),"no prefill template yet (due T-4); ","")&amp;IF(COUNTIF(links!$D$2:$D$501,$D460)&gt;1,"DUPLICATE slug; ",""))</f>
        <v/>
      </c>
    </row>
    <row r="461">
      <c r="A461" s="25">
        <f>IF(INDEX(approvals!$A$2:$A$251,INT((ROW()-2)/2)+1)="","",INDEX(approvals!$A$2:$A$251,INT((ROW()-2)/2)+1))</f>
        <v/>
      </c>
      <c r="B461" s="25">
        <f>IF(INDEX(approvals!$A$2:$A$251,INT((ROW()-2)/2)+1)="","",INDEX(approvals!$B$2:$B$251,INT((ROW()-2)/2)+1))</f>
        <v/>
      </c>
      <c r="C461" s="25">
        <f>IF($A461="","",IF(MOD(ROW()-2,2)=0,"qr","post"))</f>
        <v/>
      </c>
      <c r="D461" s="25">
        <f>IF($A461="","",IF(LEFT($A461,7)="SAMPLE-","SAMPLE-","")&amp;LOWER(SUBSTITUTE(SUBSTITUTE($A461,"SAMPLE-",""),"CMP-","c"))&amp;"-"&amp;LOWER(SUBSTITUTE(SUBSTITUTE($B461,"SAMPLE-",""),"O-","o"))&amp;"-"&amp;IF($C461="qr","q","p"))</f>
        <v/>
      </c>
      <c r="E461" s="25">
        <f>IF($A461="","","https://"&amp;config!$B$9&amp;"/"&amp;$D461)</f>
        <v/>
      </c>
      <c r="F461" s="25">
        <f>IF($A461="","",$A461&amp;"."&amp;$B461)</f>
        <v/>
      </c>
      <c r="G461" s="25">
        <f>IF($A461="","",IF(IFERROR(IF(INDEX(campaigns!$AJ$2:$AJ$51,MATCH($A461,campaigns!$A$2:$A$51,0))="","",INDEX(campaigns!$AJ$2:$AJ$51,MATCH($A461,campaigns!$A$2:$A$51,0))),"")="","(add the survey prefill template on campaigns)",SUBSTITUTE(IFERROR(IF(INDEX(campaigns!$AJ$2:$AJ$51,MATCH($A461,campaigns!$A$2:$A$51,0))="","",INDEX(campaigns!$AJ$2:$AJ$51,MATCH($A461,campaigns!$A$2:$A$51,0))),""),"CARDCODE",$F461)&amp;"&amp;utm_source=office-pantry&amp;utm_medium="&amp;$C461&amp;"&amp;utm_campaign="&amp;LOWER($A461)&amp;"&amp;utm_content="&amp;LOWER($B461)))</f>
        <v/>
      </c>
      <c r="H461" s="25">
        <f>IF(OR($A461="",$C461&lt;&gt;"qr"),"",$D461&amp;".png")</f>
        <v/>
      </c>
      <c r="I461" s="25">
        <f>IF($A461="","",IF(AND(IFERROR(IF(INDEX(campaigns!$AJ$2:$AJ$51,MATCH($A461,campaigns!$A$2:$A$51,0))="","",INDEX(campaigns!$AJ$2:$AJ$51,MATCH($A461,campaigns!$A$2:$A$51,0))),"")="",IFERROR(IF(INDEX(campaigns!$BG$2:$BG$51,MATCH($A461,campaigns!$A$2:$A$51,0))="","",INDEX(campaigns!$BG$2:$BG$51,MATCH($A461,campaigns!$A$2:$A$51,0))),"")&lt;&gt;"",IF(config!$B$37&lt;&gt;"",config!$B$37,TODAY())&gt;=WORKDAY(N(IFERROR(IF(INDEX(campaigns!$BG$2:$BG$51,MATCH($A461,campaigns!$A$2:$A$51,0))="","",INDEX(campaigns!$BG$2:$BG$51,MATCH($A461,campaigns!$A$2:$A$51,0))),"")),-4,calendar!$A$2:$A$80)),"no prefill template yet (due T-4); ","")&amp;IF(COUNTIF(links!$D$2:$D$501,$D461)&gt;1,"DUPLICATE slug; ",""))</f>
        <v/>
      </c>
    </row>
    <row r="462">
      <c r="A462" s="25">
        <f>IF(INDEX(approvals!$A$2:$A$251,INT((ROW()-2)/2)+1)="","",INDEX(approvals!$A$2:$A$251,INT((ROW()-2)/2)+1))</f>
        <v/>
      </c>
      <c r="B462" s="25">
        <f>IF(INDEX(approvals!$A$2:$A$251,INT((ROW()-2)/2)+1)="","",INDEX(approvals!$B$2:$B$251,INT((ROW()-2)/2)+1))</f>
        <v/>
      </c>
      <c r="C462" s="25">
        <f>IF($A462="","",IF(MOD(ROW()-2,2)=0,"qr","post"))</f>
        <v/>
      </c>
      <c r="D462" s="25">
        <f>IF($A462="","",IF(LEFT($A462,7)="SAMPLE-","SAMPLE-","")&amp;LOWER(SUBSTITUTE(SUBSTITUTE($A462,"SAMPLE-",""),"CMP-","c"))&amp;"-"&amp;LOWER(SUBSTITUTE(SUBSTITUTE($B462,"SAMPLE-",""),"O-","o"))&amp;"-"&amp;IF($C462="qr","q","p"))</f>
        <v/>
      </c>
      <c r="E462" s="25">
        <f>IF($A462="","","https://"&amp;config!$B$9&amp;"/"&amp;$D462)</f>
        <v/>
      </c>
      <c r="F462" s="25">
        <f>IF($A462="","",$A462&amp;"."&amp;$B462)</f>
        <v/>
      </c>
      <c r="G462" s="25">
        <f>IF($A462="","",IF(IFERROR(IF(INDEX(campaigns!$AJ$2:$AJ$51,MATCH($A462,campaigns!$A$2:$A$51,0))="","",INDEX(campaigns!$AJ$2:$AJ$51,MATCH($A462,campaigns!$A$2:$A$51,0))),"")="","(add the survey prefill template on campaigns)",SUBSTITUTE(IFERROR(IF(INDEX(campaigns!$AJ$2:$AJ$51,MATCH($A462,campaigns!$A$2:$A$51,0))="","",INDEX(campaigns!$AJ$2:$AJ$51,MATCH($A462,campaigns!$A$2:$A$51,0))),""),"CARDCODE",$F462)&amp;"&amp;utm_source=office-pantry&amp;utm_medium="&amp;$C462&amp;"&amp;utm_campaign="&amp;LOWER($A462)&amp;"&amp;utm_content="&amp;LOWER($B462)))</f>
        <v/>
      </c>
      <c r="H462" s="25">
        <f>IF(OR($A462="",$C462&lt;&gt;"qr"),"",$D462&amp;".png")</f>
        <v/>
      </c>
      <c r="I462" s="25">
        <f>IF($A462="","",IF(AND(IFERROR(IF(INDEX(campaigns!$AJ$2:$AJ$51,MATCH($A462,campaigns!$A$2:$A$51,0))="","",INDEX(campaigns!$AJ$2:$AJ$51,MATCH($A462,campaigns!$A$2:$A$51,0))),"")="",IFERROR(IF(INDEX(campaigns!$BG$2:$BG$51,MATCH($A462,campaigns!$A$2:$A$51,0))="","",INDEX(campaigns!$BG$2:$BG$51,MATCH($A462,campaigns!$A$2:$A$51,0))),"")&lt;&gt;"",IF(config!$B$37&lt;&gt;"",config!$B$37,TODAY())&gt;=WORKDAY(N(IFERROR(IF(INDEX(campaigns!$BG$2:$BG$51,MATCH($A462,campaigns!$A$2:$A$51,0))="","",INDEX(campaigns!$BG$2:$BG$51,MATCH($A462,campaigns!$A$2:$A$51,0))),"")),-4,calendar!$A$2:$A$80)),"no prefill template yet (due T-4); ","")&amp;IF(COUNTIF(links!$D$2:$D$501,$D462)&gt;1,"DUPLICATE slug; ",""))</f>
        <v/>
      </c>
    </row>
    <row r="463">
      <c r="A463" s="25">
        <f>IF(INDEX(approvals!$A$2:$A$251,INT((ROW()-2)/2)+1)="","",INDEX(approvals!$A$2:$A$251,INT((ROW()-2)/2)+1))</f>
        <v/>
      </c>
      <c r="B463" s="25">
        <f>IF(INDEX(approvals!$A$2:$A$251,INT((ROW()-2)/2)+1)="","",INDEX(approvals!$B$2:$B$251,INT((ROW()-2)/2)+1))</f>
        <v/>
      </c>
      <c r="C463" s="25">
        <f>IF($A463="","",IF(MOD(ROW()-2,2)=0,"qr","post"))</f>
        <v/>
      </c>
      <c r="D463" s="25">
        <f>IF($A463="","",IF(LEFT($A463,7)="SAMPLE-","SAMPLE-","")&amp;LOWER(SUBSTITUTE(SUBSTITUTE($A463,"SAMPLE-",""),"CMP-","c"))&amp;"-"&amp;LOWER(SUBSTITUTE(SUBSTITUTE($B463,"SAMPLE-",""),"O-","o"))&amp;"-"&amp;IF($C463="qr","q","p"))</f>
        <v/>
      </c>
      <c r="E463" s="25">
        <f>IF($A463="","","https://"&amp;config!$B$9&amp;"/"&amp;$D463)</f>
        <v/>
      </c>
      <c r="F463" s="25">
        <f>IF($A463="","",$A463&amp;"."&amp;$B463)</f>
        <v/>
      </c>
      <c r="G463" s="25">
        <f>IF($A463="","",IF(IFERROR(IF(INDEX(campaigns!$AJ$2:$AJ$51,MATCH($A463,campaigns!$A$2:$A$51,0))="","",INDEX(campaigns!$AJ$2:$AJ$51,MATCH($A463,campaigns!$A$2:$A$51,0))),"")="","(add the survey prefill template on campaigns)",SUBSTITUTE(IFERROR(IF(INDEX(campaigns!$AJ$2:$AJ$51,MATCH($A463,campaigns!$A$2:$A$51,0))="","",INDEX(campaigns!$AJ$2:$AJ$51,MATCH($A463,campaigns!$A$2:$A$51,0))),""),"CARDCODE",$F463)&amp;"&amp;utm_source=office-pantry&amp;utm_medium="&amp;$C463&amp;"&amp;utm_campaign="&amp;LOWER($A463)&amp;"&amp;utm_content="&amp;LOWER($B463)))</f>
        <v/>
      </c>
      <c r="H463" s="25">
        <f>IF(OR($A463="",$C463&lt;&gt;"qr"),"",$D463&amp;".png")</f>
        <v/>
      </c>
      <c r="I463" s="25">
        <f>IF($A463="","",IF(AND(IFERROR(IF(INDEX(campaigns!$AJ$2:$AJ$51,MATCH($A463,campaigns!$A$2:$A$51,0))="","",INDEX(campaigns!$AJ$2:$AJ$51,MATCH($A463,campaigns!$A$2:$A$51,0))),"")="",IFERROR(IF(INDEX(campaigns!$BG$2:$BG$51,MATCH($A463,campaigns!$A$2:$A$51,0))="","",INDEX(campaigns!$BG$2:$BG$51,MATCH($A463,campaigns!$A$2:$A$51,0))),"")&lt;&gt;"",IF(config!$B$37&lt;&gt;"",config!$B$37,TODAY())&gt;=WORKDAY(N(IFERROR(IF(INDEX(campaigns!$BG$2:$BG$51,MATCH($A463,campaigns!$A$2:$A$51,0))="","",INDEX(campaigns!$BG$2:$BG$51,MATCH($A463,campaigns!$A$2:$A$51,0))),"")),-4,calendar!$A$2:$A$80)),"no prefill template yet (due T-4); ","")&amp;IF(COUNTIF(links!$D$2:$D$501,$D463)&gt;1,"DUPLICATE slug; ",""))</f>
        <v/>
      </c>
    </row>
    <row r="464">
      <c r="A464" s="25">
        <f>IF(INDEX(approvals!$A$2:$A$251,INT((ROW()-2)/2)+1)="","",INDEX(approvals!$A$2:$A$251,INT((ROW()-2)/2)+1))</f>
        <v/>
      </c>
      <c r="B464" s="25">
        <f>IF(INDEX(approvals!$A$2:$A$251,INT((ROW()-2)/2)+1)="","",INDEX(approvals!$B$2:$B$251,INT((ROW()-2)/2)+1))</f>
        <v/>
      </c>
      <c r="C464" s="25">
        <f>IF($A464="","",IF(MOD(ROW()-2,2)=0,"qr","post"))</f>
        <v/>
      </c>
      <c r="D464" s="25">
        <f>IF($A464="","",IF(LEFT($A464,7)="SAMPLE-","SAMPLE-","")&amp;LOWER(SUBSTITUTE(SUBSTITUTE($A464,"SAMPLE-",""),"CMP-","c"))&amp;"-"&amp;LOWER(SUBSTITUTE(SUBSTITUTE($B464,"SAMPLE-",""),"O-","o"))&amp;"-"&amp;IF($C464="qr","q","p"))</f>
        <v/>
      </c>
      <c r="E464" s="25">
        <f>IF($A464="","","https://"&amp;config!$B$9&amp;"/"&amp;$D464)</f>
        <v/>
      </c>
      <c r="F464" s="25">
        <f>IF($A464="","",$A464&amp;"."&amp;$B464)</f>
        <v/>
      </c>
      <c r="G464" s="25">
        <f>IF($A464="","",IF(IFERROR(IF(INDEX(campaigns!$AJ$2:$AJ$51,MATCH($A464,campaigns!$A$2:$A$51,0))="","",INDEX(campaigns!$AJ$2:$AJ$51,MATCH($A464,campaigns!$A$2:$A$51,0))),"")="","(add the survey prefill template on campaigns)",SUBSTITUTE(IFERROR(IF(INDEX(campaigns!$AJ$2:$AJ$51,MATCH($A464,campaigns!$A$2:$A$51,0))="","",INDEX(campaigns!$AJ$2:$AJ$51,MATCH($A464,campaigns!$A$2:$A$51,0))),""),"CARDCODE",$F464)&amp;"&amp;utm_source=office-pantry&amp;utm_medium="&amp;$C464&amp;"&amp;utm_campaign="&amp;LOWER($A464)&amp;"&amp;utm_content="&amp;LOWER($B464)))</f>
        <v/>
      </c>
      <c r="H464" s="25">
        <f>IF(OR($A464="",$C464&lt;&gt;"qr"),"",$D464&amp;".png")</f>
        <v/>
      </c>
      <c r="I464" s="25">
        <f>IF($A464="","",IF(AND(IFERROR(IF(INDEX(campaigns!$AJ$2:$AJ$51,MATCH($A464,campaigns!$A$2:$A$51,0))="","",INDEX(campaigns!$AJ$2:$AJ$51,MATCH($A464,campaigns!$A$2:$A$51,0))),"")="",IFERROR(IF(INDEX(campaigns!$BG$2:$BG$51,MATCH($A464,campaigns!$A$2:$A$51,0))="","",INDEX(campaigns!$BG$2:$BG$51,MATCH($A464,campaigns!$A$2:$A$51,0))),"")&lt;&gt;"",IF(config!$B$37&lt;&gt;"",config!$B$37,TODAY())&gt;=WORKDAY(N(IFERROR(IF(INDEX(campaigns!$BG$2:$BG$51,MATCH($A464,campaigns!$A$2:$A$51,0))="","",INDEX(campaigns!$BG$2:$BG$51,MATCH($A464,campaigns!$A$2:$A$51,0))),"")),-4,calendar!$A$2:$A$80)),"no prefill template yet (due T-4); ","")&amp;IF(COUNTIF(links!$D$2:$D$501,$D464)&gt;1,"DUPLICATE slug; ",""))</f>
        <v/>
      </c>
    </row>
    <row r="465">
      <c r="A465" s="25">
        <f>IF(INDEX(approvals!$A$2:$A$251,INT((ROW()-2)/2)+1)="","",INDEX(approvals!$A$2:$A$251,INT((ROW()-2)/2)+1))</f>
        <v/>
      </c>
      <c r="B465" s="25">
        <f>IF(INDEX(approvals!$A$2:$A$251,INT((ROW()-2)/2)+1)="","",INDEX(approvals!$B$2:$B$251,INT((ROW()-2)/2)+1))</f>
        <v/>
      </c>
      <c r="C465" s="25">
        <f>IF($A465="","",IF(MOD(ROW()-2,2)=0,"qr","post"))</f>
        <v/>
      </c>
      <c r="D465" s="25">
        <f>IF($A465="","",IF(LEFT($A465,7)="SAMPLE-","SAMPLE-","")&amp;LOWER(SUBSTITUTE(SUBSTITUTE($A465,"SAMPLE-",""),"CMP-","c"))&amp;"-"&amp;LOWER(SUBSTITUTE(SUBSTITUTE($B465,"SAMPLE-",""),"O-","o"))&amp;"-"&amp;IF($C465="qr","q","p"))</f>
        <v/>
      </c>
      <c r="E465" s="25">
        <f>IF($A465="","","https://"&amp;config!$B$9&amp;"/"&amp;$D465)</f>
        <v/>
      </c>
      <c r="F465" s="25">
        <f>IF($A465="","",$A465&amp;"."&amp;$B465)</f>
        <v/>
      </c>
      <c r="G465" s="25">
        <f>IF($A465="","",IF(IFERROR(IF(INDEX(campaigns!$AJ$2:$AJ$51,MATCH($A465,campaigns!$A$2:$A$51,0))="","",INDEX(campaigns!$AJ$2:$AJ$51,MATCH($A465,campaigns!$A$2:$A$51,0))),"")="","(add the survey prefill template on campaigns)",SUBSTITUTE(IFERROR(IF(INDEX(campaigns!$AJ$2:$AJ$51,MATCH($A465,campaigns!$A$2:$A$51,0))="","",INDEX(campaigns!$AJ$2:$AJ$51,MATCH($A465,campaigns!$A$2:$A$51,0))),""),"CARDCODE",$F465)&amp;"&amp;utm_source=office-pantry&amp;utm_medium="&amp;$C465&amp;"&amp;utm_campaign="&amp;LOWER($A465)&amp;"&amp;utm_content="&amp;LOWER($B465)))</f>
        <v/>
      </c>
      <c r="H465" s="25">
        <f>IF(OR($A465="",$C465&lt;&gt;"qr"),"",$D465&amp;".png")</f>
        <v/>
      </c>
      <c r="I465" s="25">
        <f>IF($A465="","",IF(AND(IFERROR(IF(INDEX(campaigns!$AJ$2:$AJ$51,MATCH($A465,campaigns!$A$2:$A$51,0))="","",INDEX(campaigns!$AJ$2:$AJ$51,MATCH($A465,campaigns!$A$2:$A$51,0))),"")="",IFERROR(IF(INDEX(campaigns!$BG$2:$BG$51,MATCH($A465,campaigns!$A$2:$A$51,0))="","",INDEX(campaigns!$BG$2:$BG$51,MATCH($A465,campaigns!$A$2:$A$51,0))),"")&lt;&gt;"",IF(config!$B$37&lt;&gt;"",config!$B$37,TODAY())&gt;=WORKDAY(N(IFERROR(IF(INDEX(campaigns!$BG$2:$BG$51,MATCH($A465,campaigns!$A$2:$A$51,0))="","",INDEX(campaigns!$BG$2:$BG$51,MATCH($A465,campaigns!$A$2:$A$51,0))),"")),-4,calendar!$A$2:$A$80)),"no prefill template yet (due T-4); ","")&amp;IF(COUNTIF(links!$D$2:$D$501,$D465)&gt;1,"DUPLICATE slug; ",""))</f>
        <v/>
      </c>
    </row>
    <row r="466">
      <c r="A466" s="25">
        <f>IF(INDEX(approvals!$A$2:$A$251,INT((ROW()-2)/2)+1)="","",INDEX(approvals!$A$2:$A$251,INT((ROW()-2)/2)+1))</f>
        <v/>
      </c>
      <c r="B466" s="25">
        <f>IF(INDEX(approvals!$A$2:$A$251,INT((ROW()-2)/2)+1)="","",INDEX(approvals!$B$2:$B$251,INT((ROW()-2)/2)+1))</f>
        <v/>
      </c>
      <c r="C466" s="25">
        <f>IF($A466="","",IF(MOD(ROW()-2,2)=0,"qr","post"))</f>
        <v/>
      </c>
      <c r="D466" s="25">
        <f>IF($A466="","",IF(LEFT($A466,7)="SAMPLE-","SAMPLE-","")&amp;LOWER(SUBSTITUTE(SUBSTITUTE($A466,"SAMPLE-",""),"CMP-","c"))&amp;"-"&amp;LOWER(SUBSTITUTE(SUBSTITUTE($B466,"SAMPLE-",""),"O-","o"))&amp;"-"&amp;IF($C466="qr","q","p"))</f>
        <v/>
      </c>
      <c r="E466" s="25">
        <f>IF($A466="","","https://"&amp;config!$B$9&amp;"/"&amp;$D466)</f>
        <v/>
      </c>
      <c r="F466" s="25">
        <f>IF($A466="","",$A466&amp;"."&amp;$B466)</f>
        <v/>
      </c>
      <c r="G466" s="25">
        <f>IF($A466="","",IF(IFERROR(IF(INDEX(campaigns!$AJ$2:$AJ$51,MATCH($A466,campaigns!$A$2:$A$51,0))="","",INDEX(campaigns!$AJ$2:$AJ$51,MATCH($A466,campaigns!$A$2:$A$51,0))),"")="","(add the survey prefill template on campaigns)",SUBSTITUTE(IFERROR(IF(INDEX(campaigns!$AJ$2:$AJ$51,MATCH($A466,campaigns!$A$2:$A$51,0))="","",INDEX(campaigns!$AJ$2:$AJ$51,MATCH($A466,campaigns!$A$2:$A$51,0))),""),"CARDCODE",$F466)&amp;"&amp;utm_source=office-pantry&amp;utm_medium="&amp;$C466&amp;"&amp;utm_campaign="&amp;LOWER($A466)&amp;"&amp;utm_content="&amp;LOWER($B466)))</f>
        <v/>
      </c>
      <c r="H466" s="25">
        <f>IF(OR($A466="",$C466&lt;&gt;"qr"),"",$D466&amp;".png")</f>
        <v/>
      </c>
      <c r="I466" s="25">
        <f>IF($A466="","",IF(AND(IFERROR(IF(INDEX(campaigns!$AJ$2:$AJ$51,MATCH($A466,campaigns!$A$2:$A$51,0))="","",INDEX(campaigns!$AJ$2:$AJ$51,MATCH($A466,campaigns!$A$2:$A$51,0))),"")="",IFERROR(IF(INDEX(campaigns!$BG$2:$BG$51,MATCH($A466,campaigns!$A$2:$A$51,0))="","",INDEX(campaigns!$BG$2:$BG$51,MATCH($A466,campaigns!$A$2:$A$51,0))),"")&lt;&gt;"",IF(config!$B$37&lt;&gt;"",config!$B$37,TODAY())&gt;=WORKDAY(N(IFERROR(IF(INDEX(campaigns!$BG$2:$BG$51,MATCH($A466,campaigns!$A$2:$A$51,0))="","",INDEX(campaigns!$BG$2:$BG$51,MATCH($A466,campaigns!$A$2:$A$51,0))),"")),-4,calendar!$A$2:$A$80)),"no prefill template yet (due T-4); ","")&amp;IF(COUNTIF(links!$D$2:$D$501,$D466)&gt;1,"DUPLICATE slug; ",""))</f>
        <v/>
      </c>
    </row>
    <row r="467">
      <c r="A467" s="25">
        <f>IF(INDEX(approvals!$A$2:$A$251,INT((ROW()-2)/2)+1)="","",INDEX(approvals!$A$2:$A$251,INT((ROW()-2)/2)+1))</f>
        <v/>
      </c>
      <c r="B467" s="25">
        <f>IF(INDEX(approvals!$A$2:$A$251,INT((ROW()-2)/2)+1)="","",INDEX(approvals!$B$2:$B$251,INT((ROW()-2)/2)+1))</f>
        <v/>
      </c>
      <c r="C467" s="25">
        <f>IF($A467="","",IF(MOD(ROW()-2,2)=0,"qr","post"))</f>
        <v/>
      </c>
      <c r="D467" s="25">
        <f>IF($A467="","",IF(LEFT($A467,7)="SAMPLE-","SAMPLE-","")&amp;LOWER(SUBSTITUTE(SUBSTITUTE($A467,"SAMPLE-",""),"CMP-","c"))&amp;"-"&amp;LOWER(SUBSTITUTE(SUBSTITUTE($B467,"SAMPLE-",""),"O-","o"))&amp;"-"&amp;IF($C467="qr","q","p"))</f>
        <v/>
      </c>
      <c r="E467" s="25">
        <f>IF($A467="","","https://"&amp;config!$B$9&amp;"/"&amp;$D467)</f>
        <v/>
      </c>
      <c r="F467" s="25">
        <f>IF($A467="","",$A467&amp;"."&amp;$B467)</f>
        <v/>
      </c>
      <c r="G467" s="25">
        <f>IF($A467="","",IF(IFERROR(IF(INDEX(campaigns!$AJ$2:$AJ$51,MATCH($A467,campaigns!$A$2:$A$51,0))="","",INDEX(campaigns!$AJ$2:$AJ$51,MATCH($A467,campaigns!$A$2:$A$51,0))),"")="","(add the survey prefill template on campaigns)",SUBSTITUTE(IFERROR(IF(INDEX(campaigns!$AJ$2:$AJ$51,MATCH($A467,campaigns!$A$2:$A$51,0))="","",INDEX(campaigns!$AJ$2:$AJ$51,MATCH($A467,campaigns!$A$2:$A$51,0))),""),"CARDCODE",$F467)&amp;"&amp;utm_source=office-pantry&amp;utm_medium="&amp;$C467&amp;"&amp;utm_campaign="&amp;LOWER($A467)&amp;"&amp;utm_content="&amp;LOWER($B467)))</f>
        <v/>
      </c>
      <c r="H467" s="25">
        <f>IF(OR($A467="",$C467&lt;&gt;"qr"),"",$D467&amp;".png")</f>
        <v/>
      </c>
      <c r="I467" s="25">
        <f>IF($A467="","",IF(AND(IFERROR(IF(INDEX(campaigns!$AJ$2:$AJ$51,MATCH($A467,campaigns!$A$2:$A$51,0))="","",INDEX(campaigns!$AJ$2:$AJ$51,MATCH($A467,campaigns!$A$2:$A$51,0))),"")="",IFERROR(IF(INDEX(campaigns!$BG$2:$BG$51,MATCH($A467,campaigns!$A$2:$A$51,0))="","",INDEX(campaigns!$BG$2:$BG$51,MATCH($A467,campaigns!$A$2:$A$51,0))),"")&lt;&gt;"",IF(config!$B$37&lt;&gt;"",config!$B$37,TODAY())&gt;=WORKDAY(N(IFERROR(IF(INDEX(campaigns!$BG$2:$BG$51,MATCH($A467,campaigns!$A$2:$A$51,0))="","",INDEX(campaigns!$BG$2:$BG$51,MATCH($A467,campaigns!$A$2:$A$51,0))),"")),-4,calendar!$A$2:$A$80)),"no prefill template yet (due T-4); ","")&amp;IF(COUNTIF(links!$D$2:$D$501,$D467)&gt;1,"DUPLICATE slug; ",""))</f>
        <v/>
      </c>
    </row>
    <row r="468">
      <c r="A468" s="25">
        <f>IF(INDEX(approvals!$A$2:$A$251,INT((ROW()-2)/2)+1)="","",INDEX(approvals!$A$2:$A$251,INT((ROW()-2)/2)+1))</f>
        <v/>
      </c>
      <c r="B468" s="25">
        <f>IF(INDEX(approvals!$A$2:$A$251,INT((ROW()-2)/2)+1)="","",INDEX(approvals!$B$2:$B$251,INT((ROW()-2)/2)+1))</f>
        <v/>
      </c>
      <c r="C468" s="25">
        <f>IF($A468="","",IF(MOD(ROW()-2,2)=0,"qr","post"))</f>
        <v/>
      </c>
      <c r="D468" s="25">
        <f>IF($A468="","",IF(LEFT($A468,7)="SAMPLE-","SAMPLE-","")&amp;LOWER(SUBSTITUTE(SUBSTITUTE($A468,"SAMPLE-",""),"CMP-","c"))&amp;"-"&amp;LOWER(SUBSTITUTE(SUBSTITUTE($B468,"SAMPLE-",""),"O-","o"))&amp;"-"&amp;IF($C468="qr","q","p"))</f>
        <v/>
      </c>
      <c r="E468" s="25">
        <f>IF($A468="","","https://"&amp;config!$B$9&amp;"/"&amp;$D468)</f>
        <v/>
      </c>
      <c r="F468" s="25">
        <f>IF($A468="","",$A468&amp;"."&amp;$B468)</f>
        <v/>
      </c>
      <c r="G468" s="25">
        <f>IF($A468="","",IF(IFERROR(IF(INDEX(campaigns!$AJ$2:$AJ$51,MATCH($A468,campaigns!$A$2:$A$51,0))="","",INDEX(campaigns!$AJ$2:$AJ$51,MATCH($A468,campaigns!$A$2:$A$51,0))),"")="","(add the survey prefill template on campaigns)",SUBSTITUTE(IFERROR(IF(INDEX(campaigns!$AJ$2:$AJ$51,MATCH($A468,campaigns!$A$2:$A$51,0))="","",INDEX(campaigns!$AJ$2:$AJ$51,MATCH($A468,campaigns!$A$2:$A$51,0))),""),"CARDCODE",$F468)&amp;"&amp;utm_source=office-pantry&amp;utm_medium="&amp;$C468&amp;"&amp;utm_campaign="&amp;LOWER($A468)&amp;"&amp;utm_content="&amp;LOWER($B468)))</f>
        <v/>
      </c>
      <c r="H468" s="25">
        <f>IF(OR($A468="",$C468&lt;&gt;"qr"),"",$D468&amp;".png")</f>
        <v/>
      </c>
      <c r="I468" s="25">
        <f>IF($A468="","",IF(AND(IFERROR(IF(INDEX(campaigns!$AJ$2:$AJ$51,MATCH($A468,campaigns!$A$2:$A$51,0))="","",INDEX(campaigns!$AJ$2:$AJ$51,MATCH($A468,campaigns!$A$2:$A$51,0))),"")="",IFERROR(IF(INDEX(campaigns!$BG$2:$BG$51,MATCH($A468,campaigns!$A$2:$A$51,0))="","",INDEX(campaigns!$BG$2:$BG$51,MATCH($A468,campaigns!$A$2:$A$51,0))),"")&lt;&gt;"",IF(config!$B$37&lt;&gt;"",config!$B$37,TODAY())&gt;=WORKDAY(N(IFERROR(IF(INDEX(campaigns!$BG$2:$BG$51,MATCH($A468,campaigns!$A$2:$A$51,0))="","",INDEX(campaigns!$BG$2:$BG$51,MATCH($A468,campaigns!$A$2:$A$51,0))),"")),-4,calendar!$A$2:$A$80)),"no prefill template yet (due T-4); ","")&amp;IF(COUNTIF(links!$D$2:$D$501,$D468)&gt;1,"DUPLICATE slug; ",""))</f>
        <v/>
      </c>
    </row>
    <row r="469">
      <c r="A469" s="25">
        <f>IF(INDEX(approvals!$A$2:$A$251,INT((ROW()-2)/2)+1)="","",INDEX(approvals!$A$2:$A$251,INT((ROW()-2)/2)+1))</f>
        <v/>
      </c>
      <c r="B469" s="25">
        <f>IF(INDEX(approvals!$A$2:$A$251,INT((ROW()-2)/2)+1)="","",INDEX(approvals!$B$2:$B$251,INT((ROW()-2)/2)+1))</f>
        <v/>
      </c>
      <c r="C469" s="25">
        <f>IF($A469="","",IF(MOD(ROW()-2,2)=0,"qr","post"))</f>
        <v/>
      </c>
      <c r="D469" s="25">
        <f>IF($A469="","",IF(LEFT($A469,7)="SAMPLE-","SAMPLE-","")&amp;LOWER(SUBSTITUTE(SUBSTITUTE($A469,"SAMPLE-",""),"CMP-","c"))&amp;"-"&amp;LOWER(SUBSTITUTE(SUBSTITUTE($B469,"SAMPLE-",""),"O-","o"))&amp;"-"&amp;IF($C469="qr","q","p"))</f>
        <v/>
      </c>
      <c r="E469" s="25">
        <f>IF($A469="","","https://"&amp;config!$B$9&amp;"/"&amp;$D469)</f>
        <v/>
      </c>
      <c r="F469" s="25">
        <f>IF($A469="","",$A469&amp;"."&amp;$B469)</f>
        <v/>
      </c>
      <c r="G469" s="25">
        <f>IF($A469="","",IF(IFERROR(IF(INDEX(campaigns!$AJ$2:$AJ$51,MATCH($A469,campaigns!$A$2:$A$51,0))="","",INDEX(campaigns!$AJ$2:$AJ$51,MATCH($A469,campaigns!$A$2:$A$51,0))),"")="","(add the survey prefill template on campaigns)",SUBSTITUTE(IFERROR(IF(INDEX(campaigns!$AJ$2:$AJ$51,MATCH($A469,campaigns!$A$2:$A$51,0))="","",INDEX(campaigns!$AJ$2:$AJ$51,MATCH($A469,campaigns!$A$2:$A$51,0))),""),"CARDCODE",$F469)&amp;"&amp;utm_source=office-pantry&amp;utm_medium="&amp;$C469&amp;"&amp;utm_campaign="&amp;LOWER($A469)&amp;"&amp;utm_content="&amp;LOWER($B469)))</f>
        <v/>
      </c>
      <c r="H469" s="25">
        <f>IF(OR($A469="",$C469&lt;&gt;"qr"),"",$D469&amp;".png")</f>
        <v/>
      </c>
      <c r="I469" s="25">
        <f>IF($A469="","",IF(AND(IFERROR(IF(INDEX(campaigns!$AJ$2:$AJ$51,MATCH($A469,campaigns!$A$2:$A$51,0))="","",INDEX(campaigns!$AJ$2:$AJ$51,MATCH($A469,campaigns!$A$2:$A$51,0))),"")="",IFERROR(IF(INDEX(campaigns!$BG$2:$BG$51,MATCH($A469,campaigns!$A$2:$A$51,0))="","",INDEX(campaigns!$BG$2:$BG$51,MATCH($A469,campaigns!$A$2:$A$51,0))),"")&lt;&gt;"",IF(config!$B$37&lt;&gt;"",config!$B$37,TODAY())&gt;=WORKDAY(N(IFERROR(IF(INDEX(campaigns!$BG$2:$BG$51,MATCH($A469,campaigns!$A$2:$A$51,0))="","",INDEX(campaigns!$BG$2:$BG$51,MATCH($A469,campaigns!$A$2:$A$51,0))),"")),-4,calendar!$A$2:$A$80)),"no prefill template yet (due T-4); ","")&amp;IF(COUNTIF(links!$D$2:$D$501,$D469)&gt;1,"DUPLICATE slug; ",""))</f>
        <v/>
      </c>
    </row>
    <row r="470">
      <c r="A470" s="25">
        <f>IF(INDEX(approvals!$A$2:$A$251,INT((ROW()-2)/2)+1)="","",INDEX(approvals!$A$2:$A$251,INT((ROW()-2)/2)+1))</f>
        <v/>
      </c>
      <c r="B470" s="25">
        <f>IF(INDEX(approvals!$A$2:$A$251,INT((ROW()-2)/2)+1)="","",INDEX(approvals!$B$2:$B$251,INT((ROW()-2)/2)+1))</f>
        <v/>
      </c>
      <c r="C470" s="25">
        <f>IF($A470="","",IF(MOD(ROW()-2,2)=0,"qr","post"))</f>
        <v/>
      </c>
      <c r="D470" s="25">
        <f>IF($A470="","",IF(LEFT($A470,7)="SAMPLE-","SAMPLE-","")&amp;LOWER(SUBSTITUTE(SUBSTITUTE($A470,"SAMPLE-",""),"CMP-","c"))&amp;"-"&amp;LOWER(SUBSTITUTE(SUBSTITUTE($B470,"SAMPLE-",""),"O-","o"))&amp;"-"&amp;IF($C470="qr","q","p"))</f>
        <v/>
      </c>
      <c r="E470" s="25">
        <f>IF($A470="","","https://"&amp;config!$B$9&amp;"/"&amp;$D470)</f>
        <v/>
      </c>
      <c r="F470" s="25">
        <f>IF($A470="","",$A470&amp;"."&amp;$B470)</f>
        <v/>
      </c>
      <c r="G470" s="25">
        <f>IF($A470="","",IF(IFERROR(IF(INDEX(campaigns!$AJ$2:$AJ$51,MATCH($A470,campaigns!$A$2:$A$51,0))="","",INDEX(campaigns!$AJ$2:$AJ$51,MATCH($A470,campaigns!$A$2:$A$51,0))),"")="","(add the survey prefill template on campaigns)",SUBSTITUTE(IFERROR(IF(INDEX(campaigns!$AJ$2:$AJ$51,MATCH($A470,campaigns!$A$2:$A$51,0))="","",INDEX(campaigns!$AJ$2:$AJ$51,MATCH($A470,campaigns!$A$2:$A$51,0))),""),"CARDCODE",$F470)&amp;"&amp;utm_source=office-pantry&amp;utm_medium="&amp;$C470&amp;"&amp;utm_campaign="&amp;LOWER($A470)&amp;"&amp;utm_content="&amp;LOWER($B470)))</f>
        <v/>
      </c>
      <c r="H470" s="25">
        <f>IF(OR($A470="",$C470&lt;&gt;"qr"),"",$D470&amp;".png")</f>
        <v/>
      </c>
      <c r="I470" s="25">
        <f>IF($A470="","",IF(AND(IFERROR(IF(INDEX(campaigns!$AJ$2:$AJ$51,MATCH($A470,campaigns!$A$2:$A$51,0))="","",INDEX(campaigns!$AJ$2:$AJ$51,MATCH($A470,campaigns!$A$2:$A$51,0))),"")="",IFERROR(IF(INDEX(campaigns!$BG$2:$BG$51,MATCH($A470,campaigns!$A$2:$A$51,0))="","",INDEX(campaigns!$BG$2:$BG$51,MATCH($A470,campaigns!$A$2:$A$51,0))),"")&lt;&gt;"",IF(config!$B$37&lt;&gt;"",config!$B$37,TODAY())&gt;=WORKDAY(N(IFERROR(IF(INDEX(campaigns!$BG$2:$BG$51,MATCH($A470,campaigns!$A$2:$A$51,0))="","",INDEX(campaigns!$BG$2:$BG$51,MATCH($A470,campaigns!$A$2:$A$51,0))),"")),-4,calendar!$A$2:$A$80)),"no prefill template yet (due T-4); ","")&amp;IF(COUNTIF(links!$D$2:$D$501,$D470)&gt;1,"DUPLICATE slug; ",""))</f>
        <v/>
      </c>
    </row>
    <row r="471">
      <c r="A471" s="25">
        <f>IF(INDEX(approvals!$A$2:$A$251,INT((ROW()-2)/2)+1)="","",INDEX(approvals!$A$2:$A$251,INT((ROW()-2)/2)+1))</f>
        <v/>
      </c>
      <c r="B471" s="25">
        <f>IF(INDEX(approvals!$A$2:$A$251,INT((ROW()-2)/2)+1)="","",INDEX(approvals!$B$2:$B$251,INT((ROW()-2)/2)+1))</f>
        <v/>
      </c>
      <c r="C471" s="25">
        <f>IF($A471="","",IF(MOD(ROW()-2,2)=0,"qr","post"))</f>
        <v/>
      </c>
      <c r="D471" s="25">
        <f>IF($A471="","",IF(LEFT($A471,7)="SAMPLE-","SAMPLE-","")&amp;LOWER(SUBSTITUTE(SUBSTITUTE($A471,"SAMPLE-",""),"CMP-","c"))&amp;"-"&amp;LOWER(SUBSTITUTE(SUBSTITUTE($B471,"SAMPLE-",""),"O-","o"))&amp;"-"&amp;IF($C471="qr","q","p"))</f>
        <v/>
      </c>
      <c r="E471" s="25">
        <f>IF($A471="","","https://"&amp;config!$B$9&amp;"/"&amp;$D471)</f>
        <v/>
      </c>
      <c r="F471" s="25">
        <f>IF($A471="","",$A471&amp;"."&amp;$B471)</f>
        <v/>
      </c>
      <c r="G471" s="25">
        <f>IF($A471="","",IF(IFERROR(IF(INDEX(campaigns!$AJ$2:$AJ$51,MATCH($A471,campaigns!$A$2:$A$51,0))="","",INDEX(campaigns!$AJ$2:$AJ$51,MATCH($A471,campaigns!$A$2:$A$51,0))),"")="","(add the survey prefill template on campaigns)",SUBSTITUTE(IFERROR(IF(INDEX(campaigns!$AJ$2:$AJ$51,MATCH($A471,campaigns!$A$2:$A$51,0))="","",INDEX(campaigns!$AJ$2:$AJ$51,MATCH($A471,campaigns!$A$2:$A$51,0))),""),"CARDCODE",$F471)&amp;"&amp;utm_source=office-pantry&amp;utm_medium="&amp;$C471&amp;"&amp;utm_campaign="&amp;LOWER($A471)&amp;"&amp;utm_content="&amp;LOWER($B471)))</f>
        <v/>
      </c>
      <c r="H471" s="25">
        <f>IF(OR($A471="",$C471&lt;&gt;"qr"),"",$D471&amp;".png")</f>
        <v/>
      </c>
      <c r="I471" s="25">
        <f>IF($A471="","",IF(AND(IFERROR(IF(INDEX(campaigns!$AJ$2:$AJ$51,MATCH($A471,campaigns!$A$2:$A$51,0))="","",INDEX(campaigns!$AJ$2:$AJ$51,MATCH($A471,campaigns!$A$2:$A$51,0))),"")="",IFERROR(IF(INDEX(campaigns!$BG$2:$BG$51,MATCH($A471,campaigns!$A$2:$A$51,0))="","",INDEX(campaigns!$BG$2:$BG$51,MATCH($A471,campaigns!$A$2:$A$51,0))),"")&lt;&gt;"",IF(config!$B$37&lt;&gt;"",config!$B$37,TODAY())&gt;=WORKDAY(N(IFERROR(IF(INDEX(campaigns!$BG$2:$BG$51,MATCH($A471,campaigns!$A$2:$A$51,0))="","",INDEX(campaigns!$BG$2:$BG$51,MATCH($A471,campaigns!$A$2:$A$51,0))),"")),-4,calendar!$A$2:$A$80)),"no prefill template yet (due T-4); ","")&amp;IF(COUNTIF(links!$D$2:$D$501,$D471)&gt;1,"DUPLICATE slug; ",""))</f>
        <v/>
      </c>
    </row>
    <row r="472">
      <c r="A472" s="25">
        <f>IF(INDEX(approvals!$A$2:$A$251,INT((ROW()-2)/2)+1)="","",INDEX(approvals!$A$2:$A$251,INT((ROW()-2)/2)+1))</f>
        <v/>
      </c>
      <c r="B472" s="25">
        <f>IF(INDEX(approvals!$A$2:$A$251,INT((ROW()-2)/2)+1)="","",INDEX(approvals!$B$2:$B$251,INT((ROW()-2)/2)+1))</f>
        <v/>
      </c>
      <c r="C472" s="25">
        <f>IF($A472="","",IF(MOD(ROW()-2,2)=0,"qr","post"))</f>
        <v/>
      </c>
      <c r="D472" s="25">
        <f>IF($A472="","",IF(LEFT($A472,7)="SAMPLE-","SAMPLE-","")&amp;LOWER(SUBSTITUTE(SUBSTITUTE($A472,"SAMPLE-",""),"CMP-","c"))&amp;"-"&amp;LOWER(SUBSTITUTE(SUBSTITUTE($B472,"SAMPLE-",""),"O-","o"))&amp;"-"&amp;IF($C472="qr","q","p"))</f>
        <v/>
      </c>
      <c r="E472" s="25">
        <f>IF($A472="","","https://"&amp;config!$B$9&amp;"/"&amp;$D472)</f>
        <v/>
      </c>
      <c r="F472" s="25">
        <f>IF($A472="","",$A472&amp;"."&amp;$B472)</f>
        <v/>
      </c>
      <c r="G472" s="25">
        <f>IF($A472="","",IF(IFERROR(IF(INDEX(campaigns!$AJ$2:$AJ$51,MATCH($A472,campaigns!$A$2:$A$51,0))="","",INDEX(campaigns!$AJ$2:$AJ$51,MATCH($A472,campaigns!$A$2:$A$51,0))),"")="","(add the survey prefill template on campaigns)",SUBSTITUTE(IFERROR(IF(INDEX(campaigns!$AJ$2:$AJ$51,MATCH($A472,campaigns!$A$2:$A$51,0))="","",INDEX(campaigns!$AJ$2:$AJ$51,MATCH($A472,campaigns!$A$2:$A$51,0))),""),"CARDCODE",$F472)&amp;"&amp;utm_source=office-pantry&amp;utm_medium="&amp;$C472&amp;"&amp;utm_campaign="&amp;LOWER($A472)&amp;"&amp;utm_content="&amp;LOWER($B472)))</f>
        <v/>
      </c>
      <c r="H472" s="25">
        <f>IF(OR($A472="",$C472&lt;&gt;"qr"),"",$D472&amp;".png")</f>
        <v/>
      </c>
      <c r="I472" s="25">
        <f>IF($A472="","",IF(AND(IFERROR(IF(INDEX(campaigns!$AJ$2:$AJ$51,MATCH($A472,campaigns!$A$2:$A$51,0))="","",INDEX(campaigns!$AJ$2:$AJ$51,MATCH($A472,campaigns!$A$2:$A$51,0))),"")="",IFERROR(IF(INDEX(campaigns!$BG$2:$BG$51,MATCH($A472,campaigns!$A$2:$A$51,0))="","",INDEX(campaigns!$BG$2:$BG$51,MATCH($A472,campaigns!$A$2:$A$51,0))),"")&lt;&gt;"",IF(config!$B$37&lt;&gt;"",config!$B$37,TODAY())&gt;=WORKDAY(N(IFERROR(IF(INDEX(campaigns!$BG$2:$BG$51,MATCH($A472,campaigns!$A$2:$A$51,0))="","",INDEX(campaigns!$BG$2:$BG$51,MATCH($A472,campaigns!$A$2:$A$51,0))),"")),-4,calendar!$A$2:$A$80)),"no prefill template yet (due T-4); ","")&amp;IF(COUNTIF(links!$D$2:$D$501,$D472)&gt;1,"DUPLICATE slug; ",""))</f>
        <v/>
      </c>
    </row>
    <row r="473">
      <c r="A473" s="25">
        <f>IF(INDEX(approvals!$A$2:$A$251,INT((ROW()-2)/2)+1)="","",INDEX(approvals!$A$2:$A$251,INT((ROW()-2)/2)+1))</f>
        <v/>
      </c>
      <c r="B473" s="25">
        <f>IF(INDEX(approvals!$A$2:$A$251,INT((ROW()-2)/2)+1)="","",INDEX(approvals!$B$2:$B$251,INT((ROW()-2)/2)+1))</f>
        <v/>
      </c>
      <c r="C473" s="25">
        <f>IF($A473="","",IF(MOD(ROW()-2,2)=0,"qr","post"))</f>
        <v/>
      </c>
      <c r="D473" s="25">
        <f>IF($A473="","",IF(LEFT($A473,7)="SAMPLE-","SAMPLE-","")&amp;LOWER(SUBSTITUTE(SUBSTITUTE($A473,"SAMPLE-",""),"CMP-","c"))&amp;"-"&amp;LOWER(SUBSTITUTE(SUBSTITUTE($B473,"SAMPLE-",""),"O-","o"))&amp;"-"&amp;IF($C473="qr","q","p"))</f>
        <v/>
      </c>
      <c r="E473" s="25">
        <f>IF($A473="","","https://"&amp;config!$B$9&amp;"/"&amp;$D473)</f>
        <v/>
      </c>
      <c r="F473" s="25">
        <f>IF($A473="","",$A473&amp;"."&amp;$B473)</f>
        <v/>
      </c>
      <c r="G473" s="25">
        <f>IF($A473="","",IF(IFERROR(IF(INDEX(campaigns!$AJ$2:$AJ$51,MATCH($A473,campaigns!$A$2:$A$51,0))="","",INDEX(campaigns!$AJ$2:$AJ$51,MATCH($A473,campaigns!$A$2:$A$51,0))),"")="","(add the survey prefill template on campaigns)",SUBSTITUTE(IFERROR(IF(INDEX(campaigns!$AJ$2:$AJ$51,MATCH($A473,campaigns!$A$2:$A$51,0))="","",INDEX(campaigns!$AJ$2:$AJ$51,MATCH($A473,campaigns!$A$2:$A$51,0))),""),"CARDCODE",$F473)&amp;"&amp;utm_source=office-pantry&amp;utm_medium="&amp;$C473&amp;"&amp;utm_campaign="&amp;LOWER($A473)&amp;"&amp;utm_content="&amp;LOWER($B473)))</f>
        <v/>
      </c>
      <c r="H473" s="25">
        <f>IF(OR($A473="",$C473&lt;&gt;"qr"),"",$D473&amp;".png")</f>
        <v/>
      </c>
      <c r="I473" s="25">
        <f>IF($A473="","",IF(AND(IFERROR(IF(INDEX(campaigns!$AJ$2:$AJ$51,MATCH($A473,campaigns!$A$2:$A$51,0))="","",INDEX(campaigns!$AJ$2:$AJ$51,MATCH($A473,campaigns!$A$2:$A$51,0))),"")="",IFERROR(IF(INDEX(campaigns!$BG$2:$BG$51,MATCH($A473,campaigns!$A$2:$A$51,0))="","",INDEX(campaigns!$BG$2:$BG$51,MATCH($A473,campaigns!$A$2:$A$51,0))),"")&lt;&gt;"",IF(config!$B$37&lt;&gt;"",config!$B$37,TODAY())&gt;=WORKDAY(N(IFERROR(IF(INDEX(campaigns!$BG$2:$BG$51,MATCH($A473,campaigns!$A$2:$A$51,0))="","",INDEX(campaigns!$BG$2:$BG$51,MATCH($A473,campaigns!$A$2:$A$51,0))),"")),-4,calendar!$A$2:$A$80)),"no prefill template yet (due T-4); ","")&amp;IF(COUNTIF(links!$D$2:$D$501,$D473)&gt;1,"DUPLICATE slug; ",""))</f>
        <v/>
      </c>
    </row>
    <row r="474">
      <c r="A474" s="25">
        <f>IF(INDEX(approvals!$A$2:$A$251,INT((ROW()-2)/2)+1)="","",INDEX(approvals!$A$2:$A$251,INT((ROW()-2)/2)+1))</f>
        <v/>
      </c>
      <c r="B474" s="25">
        <f>IF(INDEX(approvals!$A$2:$A$251,INT((ROW()-2)/2)+1)="","",INDEX(approvals!$B$2:$B$251,INT((ROW()-2)/2)+1))</f>
        <v/>
      </c>
      <c r="C474" s="25">
        <f>IF($A474="","",IF(MOD(ROW()-2,2)=0,"qr","post"))</f>
        <v/>
      </c>
      <c r="D474" s="25">
        <f>IF($A474="","",IF(LEFT($A474,7)="SAMPLE-","SAMPLE-","")&amp;LOWER(SUBSTITUTE(SUBSTITUTE($A474,"SAMPLE-",""),"CMP-","c"))&amp;"-"&amp;LOWER(SUBSTITUTE(SUBSTITUTE($B474,"SAMPLE-",""),"O-","o"))&amp;"-"&amp;IF($C474="qr","q","p"))</f>
        <v/>
      </c>
      <c r="E474" s="25">
        <f>IF($A474="","","https://"&amp;config!$B$9&amp;"/"&amp;$D474)</f>
        <v/>
      </c>
      <c r="F474" s="25">
        <f>IF($A474="","",$A474&amp;"."&amp;$B474)</f>
        <v/>
      </c>
      <c r="G474" s="25">
        <f>IF($A474="","",IF(IFERROR(IF(INDEX(campaigns!$AJ$2:$AJ$51,MATCH($A474,campaigns!$A$2:$A$51,0))="","",INDEX(campaigns!$AJ$2:$AJ$51,MATCH($A474,campaigns!$A$2:$A$51,0))),"")="","(add the survey prefill template on campaigns)",SUBSTITUTE(IFERROR(IF(INDEX(campaigns!$AJ$2:$AJ$51,MATCH($A474,campaigns!$A$2:$A$51,0))="","",INDEX(campaigns!$AJ$2:$AJ$51,MATCH($A474,campaigns!$A$2:$A$51,0))),""),"CARDCODE",$F474)&amp;"&amp;utm_source=office-pantry&amp;utm_medium="&amp;$C474&amp;"&amp;utm_campaign="&amp;LOWER($A474)&amp;"&amp;utm_content="&amp;LOWER($B474)))</f>
        <v/>
      </c>
      <c r="H474" s="25">
        <f>IF(OR($A474="",$C474&lt;&gt;"qr"),"",$D474&amp;".png")</f>
        <v/>
      </c>
      <c r="I474" s="25">
        <f>IF($A474="","",IF(AND(IFERROR(IF(INDEX(campaigns!$AJ$2:$AJ$51,MATCH($A474,campaigns!$A$2:$A$51,0))="","",INDEX(campaigns!$AJ$2:$AJ$51,MATCH($A474,campaigns!$A$2:$A$51,0))),"")="",IFERROR(IF(INDEX(campaigns!$BG$2:$BG$51,MATCH($A474,campaigns!$A$2:$A$51,0))="","",INDEX(campaigns!$BG$2:$BG$51,MATCH($A474,campaigns!$A$2:$A$51,0))),"")&lt;&gt;"",IF(config!$B$37&lt;&gt;"",config!$B$37,TODAY())&gt;=WORKDAY(N(IFERROR(IF(INDEX(campaigns!$BG$2:$BG$51,MATCH($A474,campaigns!$A$2:$A$51,0))="","",INDEX(campaigns!$BG$2:$BG$51,MATCH($A474,campaigns!$A$2:$A$51,0))),"")),-4,calendar!$A$2:$A$80)),"no prefill template yet (due T-4); ","")&amp;IF(COUNTIF(links!$D$2:$D$501,$D474)&gt;1,"DUPLICATE slug; ",""))</f>
        <v/>
      </c>
    </row>
    <row r="475">
      <c r="A475" s="25">
        <f>IF(INDEX(approvals!$A$2:$A$251,INT((ROW()-2)/2)+1)="","",INDEX(approvals!$A$2:$A$251,INT((ROW()-2)/2)+1))</f>
        <v/>
      </c>
      <c r="B475" s="25">
        <f>IF(INDEX(approvals!$A$2:$A$251,INT((ROW()-2)/2)+1)="","",INDEX(approvals!$B$2:$B$251,INT((ROW()-2)/2)+1))</f>
        <v/>
      </c>
      <c r="C475" s="25">
        <f>IF($A475="","",IF(MOD(ROW()-2,2)=0,"qr","post"))</f>
        <v/>
      </c>
      <c r="D475" s="25">
        <f>IF($A475="","",IF(LEFT($A475,7)="SAMPLE-","SAMPLE-","")&amp;LOWER(SUBSTITUTE(SUBSTITUTE($A475,"SAMPLE-",""),"CMP-","c"))&amp;"-"&amp;LOWER(SUBSTITUTE(SUBSTITUTE($B475,"SAMPLE-",""),"O-","o"))&amp;"-"&amp;IF($C475="qr","q","p"))</f>
        <v/>
      </c>
      <c r="E475" s="25">
        <f>IF($A475="","","https://"&amp;config!$B$9&amp;"/"&amp;$D475)</f>
        <v/>
      </c>
      <c r="F475" s="25">
        <f>IF($A475="","",$A475&amp;"."&amp;$B475)</f>
        <v/>
      </c>
      <c r="G475" s="25">
        <f>IF($A475="","",IF(IFERROR(IF(INDEX(campaigns!$AJ$2:$AJ$51,MATCH($A475,campaigns!$A$2:$A$51,0))="","",INDEX(campaigns!$AJ$2:$AJ$51,MATCH($A475,campaigns!$A$2:$A$51,0))),"")="","(add the survey prefill template on campaigns)",SUBSTITUTE(IFERROR(IF(INDEX(campaigns!$AJ$2:$AJ$51,MATCH($A475,campaigns!$A$2:$A$51,0))="","",INDEX(campaigns!$AJ$2:$AJ$51,MATCH($A475,campaigns!$A$2:$A$51,0))),""),"CARDCODE",$F475)&amp;"&amp;utm_source=office-pantry&amp;utm_medium="&amp;$C475&amp;"&amp;utm_campaign="&amp;LOWER($A475)&amp;"&amp;utm_content="&amp;LOWER($B475)))</f>
        <v/>
      </c>
      <c r="H475" s="25">
        <f>IF(OR($A475="",$C475&lt;&gt;"qr"),"",$D475&amp;".png")</f>
        <v/>
      </c>
      <c r="I475" s="25">
        <f>IF($A475="","",IF(AND(IFERROR(IF(INDEX(campaigns!$AJ$2:$AJ$51,MATCH($A475,campaigns!$A$2:$A$51,0))="","",INDEX(campaigns!$AJ$2:$AJ$51,MATCH($A475,campaigns!$A$2:$A$51,0))),"")="",IFERROR(IF(INDEX(campaigns!$BG$2:$BG$51,MATCH($A475,campaigns!$A$2:$A$51,0))="","",INDEX(campaigns!$BG$2:$BG$51,MATCH($A475,campaigns!$A$2:$A$51,0))),"")&lt;&gt;"",IF(config!$B$37&lt;&gt;"",config!$B$37,TODAY())&gt;=WORKDAY(N(IFERROR(IF(INDEX(campaigns!$BG$2:$BG$51,MATCH($A475,campaigns!$A$2:$A$51,0))="","",INDEX(campaigns!$BG$2:$BG$51,MATCH($A475,campaigns!$A$2:$A$51,0))),"")),-4,calendar!$A$2:$A$80)),"no prefill template yet (due T-4); ","")&amp;IF(COUNTIF(links!$D$2:$D$501,$D475)&gt;1,"DUPLICATE slug; ",""))</f>
        <v/>
      </c>
    </row>
    <row r="476">
      <c r="A476" s="25">
        <f>IF(INDEX(approvals!$A$2:$A$251,INT((ROW()-2)/2)+1)="","",INDEX(approvals!$A$2:$A$251,INT((ROW()-2)/2)+1))</f>
        <v/>
      </c>
      <c r="B476" s="25">
        <f>IF(INDEX(approvals!$A$2:$A$251,INT((ROW()-2)/2)+1)="","",INDEX(approvals!$B$2:$B$251,INT((ROW()-2)/2)+1))</f>
        <v/>
      </c>
      <c r="C476" s="25">
        <f>IF($A476="","",IF(MOD(ROW()-2,2)=0,"qr","post"))</f>
        <v/>
      </c>
      <c r="D476" s="25">
        <f>IF($A476="","",IF(LEFT($A476,7)="SAMPLE-","SAMPLE-","")&amp;LOWER(SUBSTITUTE(SUBSTITUTE($A476,"SAMPLE-",""),"CMP-","c"))&amp;"-"&amp;LOWER(SUBSTITUTE(SUBSTITUTE($B476,"SAMPLE-",""),"O-","o"))&amp;"-"&amp;IF($C476="qr","q","p"))</f>
        <v/>
      </c>
      <c r="E476" s="25">
        <f>IF($A476="","","https://"&amp;config!$B$9&amp;"/"&amp;$D476)</f>
        <v/>
      </c>
      <c r="F476" s="25">
        <f>IF($A476="","",$A476&amp;"."&amp;$B476)</f>
        <v/>
      </c>
      <c r="G476" s="25">
        <f>IF($A476="","",IF(IFERROR(IF(INDEX(campaigns!$AJ$2:$AJ$51,MATCH($A476,campaigns!$A$2:$A$51,0))="","",INDEX(campaigns!$AJ$2:$AJ$51,MATCH($A476,campaigns!$A$2:$A$51,0))),"")="","(add the survey prefill template on campaigns)",SUBSTITUTE(IFERROR(IF(INDEX(campaigns!$AJ$2:$AJ$51,MATCH($A476,campaigns!$A$2:$A$51,0))="","",INDEX(campaigns!$AJ$2:$AJ$51,MATCH($A476,campaigns!$A$2:$A$51,0))),""),"CARDCODE",$F476)&amp;"&amp;utm_source=office-pantry&amp;utm_medium="&amp;$C476&amp;"&amp;utm_campaign="&amp;LOWER($A476)&amp;"&amp;utm_content="&amp;LOWER($B476)))</f>
        <v/>
      </c>
      <c r="H476" s="25">
        <f>IF(OR($A476="",$C476&lt;&gt;"qr"),"",$D476&amp;".png")</f>
        <v/>
      </c>
      <c r="I476" s="25">
        <f>IF($A476="","",IF(AND(IFERROR(IF(INDEX(campaigns!$AJ$2:$AJ$51,MATCH($A476,campaigns!$A$2:$A$51,0))="","",INDEX(campaigns!$AJ$2:$AJ$51,MATCH($A476,campaigns!$A$2:$A$51,0))),"")="",IFERROR(IF(INDEX(campaigns!$BG$2:$BG$51,MATCH($A476,campaigns!$A$2:$A$51,0))="","",INDEX(campaigns!$BG$2:$BG$51,MATCH($A476,campaigns!$A$2:$A$51,0))),"")&lt;&gt;"",IF(config!$B$37&lt;&gt;"",config!$B$37,TODAY())&gt;=WORKDAY(N(IFERROR(IF(INDEX(campaigns!$BG$2:$BG$51,MATCH($A476,campaigns!$A$2:$A$51,0))="","",INDEX(campaigns!$BG$2:$BG$51,MATCH($A476,campaigns!$A$2:$A$51,0))),"")),-4,calendar!$A$2:$A$80)),"no prefill template yet (due T-4); ","")&amp;IF(COUNTIF(links!$D$2:$D$501,$D476)&gt;1,"DUPLICATE slug; ",""))</f>
        <v/>
      </c>
    </row>
    <row r="477">
      <c r="A477" s="25">
        <f>IF(INDEX(approvals!$A$2:$A$251,INT((ROW()-2)/2)+1)="","",INDEX(approvals!$A$2:$A$251,INT((ROW()-2)/2)+1))</f>
        <v/>
      </c>
      <c r="B477" s="25">
        <f>IF(INDEX(approvals!$A$2:$A$251,INT((ROW()-2)/2)+1)="","",INDEX(approvals!$B$2:$B$251,INT((ROW()-2)/2)+1))</f>
        <v/>
      </c>
      <c r="C477" s="25">
        <f>IF($A477="","",IF(MOD(ROW()-2,2)=0,"qr","post"))</f>
        <v/>
      </c>
      <c r="D477" s="25">
        <f>IF($A477="","",IF(LEFT($A477,7)="SAMPLE-","SAMPLE-","")&amp;LOWER(SUBSTITUTE(SUBSTITUTE($A477,"SAMPLE-",""),"CMP-","c"))&amp;"-"&amp;LOWER(SUBSTITUTE(SUBSTITUTE($B477,"SAMPLE-",""),"O-","o"))&amp;"-"&amp;IF($C477="qr","q","p"))</f>
        <v/>
      </c>
      <c r="E477" s="25">
        <f>IF($A477="","","https://"&amp;config!$B$9&amp;"/"&amp;$D477)</f>
        <v/>
      </c>
      <c r="F477" s="25">
        <f>IF($A477="","",$A477&amp;"."&amp;$B477)</f>
        <v/>
      </c>
      <c r="G477" s="25">
        <f>IF($A477="","",IF(IFERROR(IF(INDEX(campaigns!$AJ$2:$AJ$51,MATCH($A477,campaigns!$A$2:$A$51,0))="","",INDEX(campaigns!$AJ$2:$AJ$51,MATCH($A477,campaigns!$A$2:$A$51,0))),"")="","(add the survey prefill template on campaigns)",SUBSTITUTE(IFERROR(IF(INDEX(campaigns!$AJ$2:$AJ$51,MATCH($A477,campaigns!$A$2:$A$51,0))="","",INDEX(campaigns!$AJ$2:$AJ$51,MATCH($A477,campaigns!$A$2:$A$51,0))),""),"CARDCODE",$F477)&amp;"&amp;utm_source=office-pantry&amp;utm_medium="&amp;$C477&amp;"&amp;utm_campaign="&amp;LOWER($A477)&amp;"&amp;utm_content="&amp;LOWER($B477)))</f>
        <v/>
      </c>
      <c r="H477" s="25">
        <f>IF(OR($A477="",$C477&lt;&gt;"qr"),"",$D477&amp;".png")</f>
        <v/>
      </c>
      <c r="I477" s="25">
        <f>IF($A477="","",IF(AND(IFERROR(IF(INDEX(campaigns!$AJ$2:$AJ$51,MATCH($A477,campaigns!$A$2:$A$51,0))="","",INDEX(campaigns!$AJ$2:$AJ$51,MATCH($A477,campaigns!$A$2:$A$51,0))),"")="",IFERROR(IF(INDEX(campaigns!$BG$2:$BG$51,MATCH($A477,campaigns!$A$2:$A$51,0))="","",INDEX(campaigns!$BG$2:$BG$51,MATCH($A477,campaigns!$A$2:$A$51,0))),"")&lt;&gt;"",IF(config!$B$37&lt;&gt;"",config!$B$37,TODAY())&gt;=WORKDAY(N(IFERROR(IF(INDEX(campaigns!$BG$2:$BG$51,MATCH($A477,campaigns!$A$2:$A$51,0))="","",INDEX(campaigns!$BG$2:$BG$51,MATCH($A477,campaigns!$A$2:$A$51,0))),"")),-4,calendar!$A$2:$A$80)),"no prefill template yet (due T-4); ","")&amp;IF(COUNTIF(links!$D$2:$D$501,$D477)&gt;1,"DUPLICATE slug; ",""))</f>
        <v/>
      </c>
    </row>
    <row r="478">
      <c r="A478" s="25">
        <f>IF(INDEX(approvals!$A$2:$A$251,INT((ROW()-2)/2)+1)="","",INDEX(approvals!$A$2:$A$251,INT((ROW()-2)/2)+1))</f>
        <v/>
      </c>
      <c r="B478" s="25">
        <f>IF(INDEX(approvals!$A$2:$A$251,INT((ROW()-2)/2)+1)="","",INDEX(approvals!$B$2:$B$251,INT((ROW()-2)/2)+1))</f>
        <v/>
      </c>
      <c r="C478" s="25">
        <f>IF($A478="","",IF(MOD(ROW()-2,2)=0,"qr","post"))</f>
        <v/>
      </c>
      <c r="D478" s="25">
        <f>IF($A478="","",IF(LEFT($A478,7)="SAMPLE-","SAMPLE-","")&amp;LOWER(SUBSTITUTE(SUBSTITUTE($A478,"SAMPLE-",""),"CMP-","c"))&amp;"-"&amp;LOWER(SUBSTITUTE(SUBSTITUTE($B478,"SAMPLE-",""),"O-","o"))&amp;"-"&amp;IF($C478="qr","q","p"))</f>
        <v/>
      </c>
      <c r="E478" s="25">
        <f>IF($A478="","","https://"&amp;config!$B$9&amp;"/"&amp;$D478)</f>
        <v/>
      </c>
      <c r="F478" s="25">
        <f>IF($A478="","",$A478&amp;"."&amp;$B478)</f>
        <v/>
      </c>
      <c r="G478" s="25">
        <f>IF($A478="","",IF(IFERROR(IF(INDEX(campaigns!$AJ$2:$AJ$51,MATCH($A478,campaigns!$A$2:$A$51,0))="","",INDEX(campaigns!$AJ$2:$AJ$51,MATCH($A478,campaigns!$A$2:$A$51,0))),"")="","(add the survey prefill template on campaigns)",SUBSTITUTE(IFERROR(IF(INDEX(campaigns!$AJ$2:$AJ$51,MATCH($A478,campaigns!$A$2:$A$51,0))="","",INDEX(campaigns!$AJ$2:$AJ$51,MATCH($A478,campaigns!$A$2:$A$51,0))),""),"CARDCODE",$F478)&amp;"&amp;utm_source=office-pantry&amp;utm_medium="&amp;$C478&amp;"&amp;utm_campaign="&amp;LOWER($A478)&amp;"&amp;utm_content="&amp;LOWER($B478)))</f>
        <v/>
      </c>
      <c r="H478" s="25">
        <f>IF(OR($A478="",$C478&lt;&gt;"qr"),"",$D478&amp;".png")</f>
        <v/>
      </c>
      <c r="I478" s="25">
        <f>IF($A478="","",IF(AND(IFERROR(IF(INDEX(campaigns!$AJ$2:$AJ$51,MATCH($A478,campaigns!$A$2:$A$51,0))="","",INDEX(campaigns!$AJ$2:$AJ$51,MATCH($A478,campaigns!$A$2:$A$51,0))),"")="",IFERROR(IF(INDEX(campaigns!$BG$2:$BG$51,MATCH($A478,campaigns!$A$2:$A$51,0))="","",INDEX(campaigns!$BG$2:$BG$51,MATCH($A478,campaigns!$A$2:$A$51,0))),"")&lt;&gt;"",IF(config!$B$37&lt;&gt;"",config!$B$37,TODAY())&gt;=WORKDAY(N(IFERROR(IF(INDEX(campaigns!$BG$2:$BG$51,MATCH($A478,campaigns!$A$2:$A$51,0))="","",INDEX(campaigns!$BG$2:$BG$51,MATCH($A478,campaigns!$A$2:$A$51,0))),"")),-4,calendar!$A$2:$A$80)),"no prefill template yet (due T-4); ","")&amp;IF(COUNTIF(links!$D$2:$D$501,$D478)&gt;1,"DUPLICATE slug; ",""))</f>
        <v/>
      </c>
    </row>
    <row r="479">
      <c r="A479" s="25">
        <f>IF(INDEX(approvals!$A$2:$A$251,INT((ROW()-2)/2)+1)="","",INDEX(approvals!$A$2:$A$251,INT((ROW()-2)/2)+1))</f>
        <v/>
      </c>
      <c r="B479" s="25">
        <f>IF(INDEX(approvals!$A$2:$A$251,INT((ROW()-2)/2)+1)="","",INDEX(approvals!$B$2:$B$251,INT((ROW()-2)/2)+1))</f>
        <v/>
      </c>
      <c r="C479" s="25">
        <f>IF($A479="","",IF(MOD(ROW()-2,2)=0,"qr","post"))</f>
        <v/>
      </c>
      <c r="D479" s="25">
        <f>IF($A479="","",IF(LEFT($A479,7)="SAMPLE-","SAMPLE-","")&amp;LOWER(SUBSTITUTE(SUBSTITUTE($A479,"SAMPLE-",""),"CMP-","c"))&amp;"-"&amp;LOWER(SUBSTITUTE(SUBSTITUTE($B479,"SAMPLE-",""),"O-","o"))&amp;"-"&amp;IF($C479="qr","q","p"))</f>
        <v/>
      </c>
      <c r="E479" s="25">
        <f>IF($A479="","","https://"&amp;config!$B$9&amp;"/"&amp;$D479)</f>
        <v/>
      </c>
      <c r="F479" s="25">
        <f>IF($A479="","",$A479&amp;"."&amp;$B479)</f>
        <v/>
      </c>
      <c r="G479" s="25">
        <f>IF($A479="","",IF(IFERROR(IF(INDEX(campaigns!$AJ$2:$AJ$51,MATCH($A479,campaigns!$A$2:$A$51,0))="","",INDEX(campaigns!$AJ$2:$AJ$51,MATCH($A479,campaigns!$A$2:$A$51,0))),"")="","(add the survey prefill template on campaigns)",SUBSTITUTE(IFERROR(IF(INDEX(campaigns!$AJ$2:$AJ$51,MATCH($A479,campaigns!$A$2:$A$51,0))="","",INDEX(campaigns!$AJ$2:$AJ$51,MATCH($A479,campaigns!$A$2:$A$51,0))),""),"CARDCODE",$F479)&amp;"&amp;utm_source=office-pantry&amp;utm_medium="&amp;$C479&amp;"&amp;utm_campaign="&amp;LOWER($A479)&amp;"&amp;utm_content="&amp;LOWER($B479)))</f>
        <v/>
      </c>
      <c r="H479" s="25">
        <f>IF(OR($A479="",$C479&lt;&gt;"qr"),"",$D479&amp;".png")</f>
        <v/>
      </c>
      <c r="I479" s="25">
        <f>IF($A479="","",IF(AND(IFERROR(IF(INDEX(campaigns!$AJ$2:$AJ$51,MATCH($A479,campaigns!$A$2:$A$51,0))="","",INDEX(campaigns!$AJ$2:$AJ$51,MATCH($A479,campaigns!$A$2:$A$51,0))),"")="",IFERROR(IF(INDEX(campaigns!$BG$2:$BG$51,MATCH($A479,campaigns!$A$2:$A$51,0))="","",INDEX(campaigns!$BG$2:$BG$51,MATCH($A479,campaigns!$A$2:$A$51,0))),"")&lt;&gt;"",IF(config!$B$37&lt;&gt;"",config!$B$37,TODAY())&gt;=WORKDAY(N(IFERROR(IF(INDEX(campaigns!$BG$2:$BG$51,MATCH($A479,campaigns!$A$2:$A$51,0))="","",INDEX(campaigns!$BG$2:$BG$51,MATCH($A479,campaigns!$A$2:$A$51,0))),"")),-4,calendar!$A$2:$A$80)),"no prefill template yet (due T-4); ","")&amp;IF(COUNTIF(links!$D$2:$D$501,$D479)&gt;1,"DUPLICATE slug; ",""))</f>
        <v/>
      </c>
    </row>
    <row r="480">
      <c r="A480" s="25">
        <f>IF(INDEX(approvals!$A$2:$A$251,INT((ROW()-2)/2)+1)="","",INDEX(approvals!$A$2:$A$251,INT((ROW()-2)/2)+1))</f>
        <v/>
      </c>
      <c r="B480" s="25">
        <f>IF(INDEX(approvals!$A$2:$A$251,INT((ROW()-2)/2)+1)="","",INDEX(approvals!$B$2:$B$251,INT((ROW()-2)/2)+1))</f>
        <v/>
      </c>
      <c r="C480" s="25">
        <f>IF($A480="","",IF(MOD(ROW()-2,2)=0,"qr","post"))</f>
        <v/>
      </c>
      <c r="D480" s="25">
        <f>IF($A480="","",IF(LEFT($A480,7)="SAMPLE-","SAMPLE-","")&amp;LOWER(SUBSTITUTE(SUBSTITUTE($A480,"SAMPLE-",""),"CMP-","c"))&amp;"-"&amp;LOWER(SUBSTITUTE(SUBSTITUTE($B480,"SAMPLE-",""),"O-","o"))&amp;"-"&amp;IF($C480="qr","q","p"))</f>
        <v/>
      </c>
      <c r="E480" s="25">
        <f>IF($A480="","","https://"&amp;config!$B$9&amp;"/"&amp;$D480)</f>
        <v/>
      </c>
      <c r="F480" s="25">
        <f>IF($A480="","",$A480&amp;"."&amp;$B480)</f>
        <v/>
      </c>
      <c r="G480" s="25">
        <f>IF($A480="","",IF(IFERROR(IF(INDEX(campaigns!$AJ$2:$AJ$51,MATCH($A480,campaigns!$A$2:$A$51,0))="","",INDEX(campaigns!$AJ$2:$AJ$51,MATCH($A480,campaigns!$A$2:$A$51,0))),"")="","(add the survey prefill template on campaigns)",SUBSTITUTE(IFERROR(IF(INDEX(campaigns!$AJ$2:$AJ$51,MATCH($A480,campaigns!$A$2:$A$51,0))="","",INDEX(campaigns!$AJ$2:$AJ$51,MATCH($A480,campaigns!$A$2:$A$51,0))),""),"CARDCODE",$F480)&amp;"&amp;utm_source=office-pantry&amp;utm_medium="&amp;$C480&amp;"&amp;utm_campaign="&amp;LOWER($A480)&amp;"&amp;utm_content="&amp;LOWER($B480)))</f>
        <v/>
      </c>
      <c r="H480" s="25">
        <f>IF(OR($A480="",$C480&lt;&gt;"qr"),"",$D480&amp;".png")</f>
        <v/>
      </c>
      <c r="I480" s="25">
        <f>IF($A480="","",IF(AND(IFERROR(IF(INDEX(campaigns!$AJ$2:$AJ$51,MATCH($A480,campaigns!$A$2:$A$51,0))="","",INDEX(campaigns!$AJ$2:$AJ$51,MATCH($A480,campaigns!$A$2:$A$51,0))),"")="",IFERROR(IF(INDEX(campaigns!$BG$2:$BG$51,MATCH($A480,campaigns!$A$2:$A$51,0))="","",INDEX(campaigns!$BG$2:$BG$51,MATCH($A480,campaigns!$A$2:$A$51,0))),"")&lt;&gt;"",IF(config!$B$37&lt;&gt;"",config!$B$37,TODAY())&gt;=WORKDAY(N(IFERROR(IF(INDEX(campaigns!$BG$2:$BG$51,MATCH($A480,campaigns!$A$2:$A$51,0))="","",INDEX(campaigns!$BG$2:$BG$51,MATCH($A480,campaigns!$A$2:$A$51,0))),"")),-4,calendar!$A$2:$A$80)),"no prefill template yet (due T-4); ","")&amp;IF(COUNTIF(links!$D$2:$D$501,$D480)&gt;1,"DUPLICATE slug; ",""))</f>
        <v/>
      </c>
    </row>
    <row r="481">
      <c r="A481" s="25">
        <f>IF(INDEX(approvals!$A$2:$A$251,INT((ROW()-2)/2)+1)="","",INDEX(approvals!$A$2:$A$251,INT((ROW()-2)/2)+1))</f>
        <v/>
      </c>
      <c r="B481" s="25">
        <f>IF(INDEX(approvals!$A$2:$A$251,INT((ROW()-2)/2)+1)="","",INDEX(approvals!$B$2:$B$251,INT((ROW()-2)/2)+1))</f>
        <v/>
      </c>
      <c r="C481" s="25">
        <f>IF($A481="","",IF(MOD(ROW()-2,2)=0,"qr","post"))</f>
        <v/>
      </c>
      <c r="D481" s="25">
        <f>IF($A481="","",IF(LEFT($A481,7)="SAMPLE-","SAMPLE-","")&amp;LOWER(SUBSTITUTE(SUBSTITUTE($A481,"SAMPLE-",""),"CMP-","c"))&amp;"-"&amp;LOWER(SUBSTITUTE(SUBSTITUTE($B481,"SAMPLE-",""),"O-","o"))&amp;"-"&amp;IF($C481="qr","q","p"))</f>
        <v/>
      </c>
      <c r="E481" s="25">
        <f>IF($A481="","","https://"&amp;config!$B$9&amp;"/"&amp;$D481)</f>
        <v/>
      </c>
      <c r="F481" s="25">
        <f>IF($A481="","",$A481&amp;"."&amp;$B481)</f>
        <v/>
      </c>
      <c r="G481" s="25">
        <f>IF($A481="","",IF(IFERROR(IF(INDEX(campaigns!$AJ$2:$AJ$51,MATCH($A481,campaigns!$A$2:$A$51,0))="","",INDEX(campaigns!$AJ$2:$AJ$51,MATCH($A481,campaigns!$A$2:$A$51,0))),"")="","(add the survey prefill template on campaigns)",SUBSTITUTE(IFERROR(IF(INDEX(campaigns!$AJ$2:$AJ$51,MATCH($A481,campaigns!$A$2:$A$51,0))="","",INDEX(campaigns!$AJ$2:$AJ$51,MATCH($A481,campaigns!$A$2:$A$51,0))),""),"CARDCODE",$F481)&amp;"&amp;utm_source=office-pantry&amp;utm_medium="&amp;$C481&amp;"&amp;utm_campaign="&amp;LOWER($A481)&amp;"&amp;utm_content="&amp;LOWER($B481)))</f>
        <v/>
      </c>
      <c r="H481" s="25">
        <f>IF(OR($A481="",$C481&lt;&gt;"qr"),"",$D481&amp;".png")</f>
        <v/>
      </c>
      <c r="I481" s="25">
        <f>IF($A481="","",IF(AND(IFERROR(IF(INDEX(campaigns!$AJ$2:$AJ$51,MATCH($A481,campaigns!$A$2:$A$51,0))="","",INDEX(campaigns!$AJ$2:$AJ$51,MATCH($A481,campaigns!$A$2:$A$51,0))),"")="",IFERROR(IF(INDEX(campaigns!$BG$2:$BG$51,MATCH($A481,campaigns!$A$2:$A$51,0))="","",INDEX(campaigns!$BG$2:$BG$51,MATCH($A481,campaigns!$A$2:$A$51,0))),"")&lt;&gt;"",IF(config!$B$37&lt;&gt;"",config!$B$37,TODAY())&gt;=WORKDAY(N(IFERROR(IF(INDEX(campaigns!$BG$2:$BG$51,MATCH($A481,campaigns!$A$2:$A$51,0))="","",INDEX(campaigns!$BG$2:$BG$51,MATCH($A481,campaigns!$A$2:$A$51,0))),"")),-4,calendar!$A$2:$A$80)),"no prefill template yet (due T-4); ","")&amp;IF(COUNTIF(links!$D$2:$D$501,$D481)&gt;1,"DUPLICATE slug; ",""))</f>
        <v/>
      </c>
    </row>
    <row r="482">
      <c r="A482" s="25">
        <f>IF(INDEX(approvals!$A$2:$A$251,INT((ROW()-2)/2)+1)="","",INDEX(approvals!$A$2:$A$251,INT((ROW()-2)/2)+1))</f>
        <v/>
      </c>
      <c r="B482" s="25">
        <f>IF(INDEX(approvals!$A$2:$A$251,INT((ROW()-2)/2)+1)="","",INDEX(approvals!$B$2:$B$251,INT((ROW()-2)/2)+1))</f>
        <v/>
      </c>
      <c r="C482" s="25">
        <f>IF($A482="","",IF(MOD(ROW()-2,2)=0,"qr","post"))</f>
        <v/>
      </c>
      <c r="D482" s="25">
        <f>IF($A482="","",IF(LEFT($A482,7)="SAMPLE-","SAMPLE-","")&amp;LOWER(SUBSTITUTE(SUBSTITUTE($A482,"SAMPLE-",""),"CMP-","c"))&amp;"-"&amp;LOWER(SUBSTITUTE(SUBSTITUTE($B482,"SAMPLE-",""),"O-","o"))&amp;"-"&amp;IF($C482="qr","q","p"))</f>
        <v/>
      </c>
      <c r="E482" s="25">
        <f>IF($A482="","","https://"&amp;config!$B$9&amp;"/"&amp;$D482)</f>
        <v/>
      </c>
      <c r="F482" s="25">
        <f>IF($A482="","",$A482&amp;"."&amp;$B482)</f>
        <v/>
      </c>
      <c r="G482" s="25">
        <f>IF($A482="","",IF(IFERROR(IF(INDEX(campaigns!$AJ$2:$AJ$51,MATCH($A482,campaigns!$A$2:$A$51,0))="","",INDEX(campaigns!$AJ$2:$AJ$51,MATCH($A482,campaigns!$A$2:$A$51,0))),"")="","(add the survey prefill template on campaigns)",SUBSTITUTE(IFERROR(IF(INDEX(campaigns!$AJ$2:$AJ$51,MATCH($A482,campaigns!$A$2:$A$51,0))="","",INDEX(campaigns!$AJ$2:$AJ$51,MATCH($A482,campaigns!$A$2:$A$51,0))),""),"CARDCODE",$F482)&amp;"&amp;utm_source=office-pantry&amp;utm_medium="&amp;$C482&amp;"&amp;utm_campaign="&amp;LOWER($A482)&amp;"&amp;utm_content="&amp;LOWER($B482)))</f>
        <v/>
      </c>
      <c r="H482" s="25">
        <f>IF(OR($A482="",$C482&lt;&gt;"qr"),"",$D482&amp;".png")</f>
        <v/>
      </c>
      <c r="I482" s="25">
        <f>IF($A482="","",IF(AND(IFERROR(IF(INDEX(campaigns!$AJ$2:$AJ$51,MATCH($A482,campaigns!$A$2:$A$51,0))="","",INDEX(campaigns!$AJ$2:$AJ$51,MATCH($A482,campaigns!$A$2:$A$51,0))),"")="",IFERROR(IF(INDEX(campaigns!$BG$2:$BG$51,MATCH($A482,campaigns!$A$2:$A$51,0))="","",INDEX(campaigns!$BG$2:$BG$51,MATCH($A482,campaigns!$A$2:$A$51,0))),"")&lt;&gt;"",IF(config!$B$37&lt;&gt;"",config!$B$37,TODAY())&gt;=WORKDAY(N(IFERROR(IF(INDEX(campaigns!$BG$2:$BG$51,MATCH($A482,campaigns!$A$2:$A$51,0))="","",INDEX(campaigns!$BG$2:$BG$51,MATCH($A482,campaigns!$A$2:$A$51,0))),"")),-4,calendar!$A$2:$A$80)),"no prefill template yet (due T-4); ","")&amp;IF(COUNTIF(links!$D$2:$D$501,$D482)&gt;1,"DUPLICATE slug; ",""))</f>
        <v/>
      </c>
    </row>
    <row r="483">
      <c r="A483" s="25">
        <f>IF(INDEX(approvals!$A$2:$A$251,INT((ROW()-2)/2)+1)="","",INDEX(approvals!$A$2:$A$251,INT((ROW()-2)/2)+1))</f>
        <v/>
      </c>
      <c r="B483" s="25">
        <f>IF(INDEX(approvals!$A$2:$A$251,INT((ROW()-2)/2)+1)="","",INDEX(approvals!$B$2:$B$251,INT((ROW()-2)/2)+1))</f>
        <v/>
      </c>
      <c r="C483" s="25">
        <f>IF($A483="","",IF(MOD(ROW()-2,2)=0,"qr","post"))</f>
        <v/>
      </c>
      <c r="D483" s="25">
        <f>IF($A483="","",IF(LEFT($A483,7)="SAMPLE-","SAMPLE-","")&amp;LOWER(SUBSTITUTE(SUBSTITUTE($A483,"SAMPLE-",""),"CMP-","c"))&amp;"-"&amp;LOWER(SUBSTITUTE(SUBSTITUTE($B483,"SAMPLE-",""),"O-","o"))&amp;"-"&amp;IF($C483="qr","q","p"))</f>
        <v/>
      </c>
      <c r="E483" s="25">
        <f>IF($A483="","","https://"&amp;config!$B$9&amp;"/"&amp;$D483)</f>
        <v/>
      </c>
      <c r="F483" s="25">
        <f>IF($A483="","",$A483&amp;"."&amp;$B483)</f>
        <v/>
      </c>
      <c r="G483" s="25">
        <f>IF($A483="","",IF(IFERROR(IF(INDEX(campaigns!$AJ$2:$AJ$51,MATCH($A483,campaigns!$A$2:$A$51,0))="","",INDEX(campaigns!$AJ$2:$AJ$51,MATCH($A483,campaigns!$A$2:$A$51,0))),"")="","(add the survey prefill template on campaigns)",SUBSTITUTE(IFERROR(IF(INDEX(campaigns!$AJ$2:$AJ$51,MATCH($A483,campaigns!$A$2:$A$51,0))="","",INDEX(campaigns!$AJ$2:$AJ$51,MATCH($A483,campaigns!$A$2:$A$51,0))),""),"CARDCODE",$F483)&amp;"&amp;utm_source=office-pantry&amp;utm_medium="&amp;$C483&amp;"&amp;utm_campaign="&amp;LOWER($A483)&amp;"&amp;utm_content="&amp;LOWER($B483)))</f>
        <v/>
      </c>
      <c r="H483" s="25">
        <f>IF(OR($A483="",$C483&lt;&gt;"qr"),"",$D483&amp;".png")</f>
        <v/>
      </c>
      <c r="I483" s="25">
        <f>IF($A483="","",IF(AND(IFERROR(IF(INDEX(campaigns!$AJ$2:$AJ$51,MATCH($A483,campaigns!$A$2:$A$51,0))="","",INDEX(campaigns!$AJ$2:$AJ$51,MATCH($A483,campaigns!$A$2:$A$51,0))),"")="",IFERROR(IF(INDEX(campaigns!$BG$2:$BG$51,MATCH($A483,campaigns!$A$2:$A$51,0))="","",INDEX(campaigns!$BG$2:$BG$51,MATCH($A483,campaigns!$A$2:$A$51,0))),"")&lt;&gt;"",IF(config!$B$37&lt;&gt;"",config!$B$37,TODAY())&gt;=WORKDAY(N(IFERROR(IF(INDEX(campaigns!$BG$2:$BG$51,MATCH($A483,campaigns!$A$2:$A$51,0))="","",INDEX(campaigns!$BG$2:$BG$51,MATCH($A483,campaigns!$A$2:$A$51,0))),"")),-4,calendar!$A$2:$A$80)),"no prefill template yet (due T-4); ","")&amp;IF(COUNTIF(links!$D$2:$D$501,$D483)&gt;1,"DUPLICATE slug; ",""))</f>
        <v/>
      </c>
    </row>
    <row r="484">
      <c r="A484" s="25">
        <f>IF(INDEX(approvals!$A$2:$A$251,INT((ROW()-2)/2)+1)="","",INDEX(approvals!$A$2:$A$251,INT((ROW()-2)/2)+1))</f>
        <v/>
      </c>
      <c r="B484" s="25">
        <f>IF(INDEX(approvals!$A$2:$A$251,INT((ROW()-2)/2)+1)="","",INDEX(approvals!$B$2:$B$251,INT((ROW()-2)/2)+1))</f>
        <v/>
      </c>
      <c r="C484" s="25">
        <f>IF($A484="","",IF(MOD(ROW()-2,2)=0,"qr","post"))</f>
        <v/>
      </c>
      <c r="D484" s="25">
        <f>IF($A484="","",IF(LEFT($A484,7)="SAMPLE-","SAMPLE-","")&amp;LOWER(SUBSTITUTE(SUBSTITUTE($A484,"SAMPLE-",""),"CMP-","c"))&amp;"-"&amp;LOWER(SUBSTITUTE(SUBSTITUTE($B484,"SAMPLE-",""),"O-","o"))&amp;"-"&amp;IF($C484="qr","q","p"))</f>
        <v/>
      </c>
      <c r="E484" s="25">
        <f>IF($A484="","","https://"&amp;config!$B$9&amp;"/"&amp;$D484)</f>
        <v/>
      </c>
      <c r="F484" s="25">
        <f>IF($A484="","",$A484&amp;"."&amp;$B484)</f>
        <v/>
      </c>
      <c r="G484" s="25">
        <f>IF($A484="","",IF(IFERROR(IF(INDEX(campaigns!$AJ$2:$AJ$51,MATCH($A484,campaigns!$A$2:$A$51,0))="","",INDEX(campaigns!$AJ$2:$AJ$51,MATCH($A484,campaigns!$A$2:$A$51,0))),"")="","(add the survey prefill template on campaigns)",SUBSTITUTE(IFERROR(IF(INDEX(campaigns!$AJ$2:$AJ$51,MATCH($A484,campaigns!$A$2:$A$51,0))="","",INDEX(campaigns!$AJ$2:$AJ$51,MATCH($A484,campaigns!$A$2:$A$51,0))),""),"CARDCODE",$F484)&amp;"&amp;utm_source=office-pantry&amp;utm_medium="&amp;$C484&amp;"&amp;utm_campaign="&amp;LOWER($A484)&amp;"&amp;utm_content="&amp;LOWER($B484)))</f>
        <v/>
      </c>
      <c r="H484" s="25">
        <f>IF(OR($A484="",$C484&lt;&gt;"qr"),"",$D484&amp;".png")</f>
        <v/>
      </c>
      <c r="I484" s="25">
        <f>IF($A484="","",IF(AND(IFERROR(IF(INDEX(campaigns!$AJ$2:$AJ$51,MATCH($A484,campaigns!$A$2:$A$51,0))="","",INDEX(campaigns!$AJ$2:$AJ$51,MATCH($A484,campaigns!$A$2:$A$51,0))),"")="",IFERROR(IF(INDEX(campaigns!$BG$2:$BG$51,MATCH($A484,campaigns!$A$2:$A$51,0))="","",INDEX(campaigns!$BG$2:$BG$51,MATCH($A484,campaigns!$A$2:$A$51,0))),"")&lt;&gt;"",IF(config!$B$37&lt;&gt;"",config!$B$37,TODAY())&gt;=WORKDAY(N(IFERROR(IF(INDEX(campaigns!$BG$2:$BG$51,MATCH($A484,campaigns!$A$2:$A$51,0))="","",INDEX(campaigns!$BG$2:$BG$51,MATCH($A484,campaigns!$A$2:$A$51,0))),"")),-4,calendar!$A$2:$A$80)),"no prefill template yet (due T-4); ","")&amp;IF(COUNTIF(links!$D$2:$D$501,$D484)&gt;1,"DUPLICATE slug; ",""))</f>
        <v/>
      </c>
    </row>
    <row r="485">
      <c r="A485" s="25">
        <f>IF(INDEX(approvals!$A$2:$A$251,INT((ROW()-2)/2)+1)="","",INDEX(approvals!$A$2:$A$251,INT((ROW()-2)/2)+1))</f>
        <v/>
      </c>
      <c r="B485" s="25">
        <f>IF(INDEX(approvals!$A$2:$A$251,INT((ROW()-2)/2)+1)="","",INDEX(approvals!$B$2:$B$251,INT((ROW()-2)/2)+1))</f>
        <v/>
      </c>
      <c r="C485" s="25">
        <f>IF($A485="","",IF(MOD(ROW()-2,2)=0,"qr","post"))</f>
        <v/>
      </c>
      <c r="D485" s="25">
        <f>IF($A485="","",IF(LEFT($A485,7)="SAMPLE-","SAMPLE-","")&amp;LOWER(SUBSTITUTE(SUBSTITUTE($A485,"SAMPLE-",""),"CMP-","c"))&amp;"-"&amp;LOWER(SUBSTITUTE(SUBSTITUTE($B485,"SAMPLE-",""),"O-","o"))&amp;"-"&amp;IF($C485="qr","q","p"))</f>
        <v/>
      </c>
      <c r="E485" s="25">
        <f>IF($A485="","","https://"&amp;config!$B$9&amp;"/"&amp;$D485)</f>
        <v/>
      </c>
      <c r="F485" s="25">
        <f>IF($A485="","",$A485&amp;"."&amp;$B485)</f>
        <v/>
      </c>
      <c r="G485" s="25">
        <f>IF($A485="","",IF(IFERROR(IF(INDEX(campaigns!$AJ$2:$AJ$51,MATCH($A485,campaigns!$A$2:$A$51,0))="","",INDEX(campaigns!$AJ$2:$AJ$51,MATCH($A485,campaigns!$A$2:$A$51,0))),"")="","(add the survey prefill template on campaigns)",SUBSTITUTE(IFERROR(IF(INDEX(campaigns!$AJ$2:$AJ$51,MATCH($A485,campaigns!$A$2:$A$51,0))="","",INDEX(campaigns!$AJ$2:$AJ$51,MATCH($A485,campaigns!$A$2:$A$51,0))),""),"CARDCODE",$F485)&amp;"&amp;utm_source=office-pantry&amp;utm_medium="&amp;$C485&amp;"&amp;utm_campaign="&amp;LOWER($A485)&amp;"&amp;utm_content="&amp;LOWER($B485)))</f>
        <v/>
      </c>
      <c r="H485" s="25">
        <f>IF(OR($A485="",$C485&lt;&gt;"qr"),"",$D485&amp;".png")</f>
        <v/>
      </c>
      <c r="I485" s="25">
        <f>IF($A485="","",IF(AND(IFERROR(IF(INDEX(campaigns!$AJ$2:$AJ$51,MATCH($A485,campaigns!$A$2:$A$51,0))="","",INDEX(campaigns!$AJ$2:$AJ$51,MATCH($A485,campaigns!$A$2:$A$51,0))),"")="",IFERROR(IF(INDEX(campaigns!$BG$2:$BG$51,MATCH($A485,campaigns!$A$2:$A$51,0))="","",INDEX(campaigns!$BG$2:$BG$51,MATCH($A485,campaigns!$A$2:$A$51,0))),"")&lt;&gt;"",IF(config!$B$37&lt;&gt;"",config!$B$37,TODAY())&gt;=WORKDAY(N(IFERROR(IF(INDEX(campaigns!$BG$2:$BG$51,MATCH($A485,campaigns!$A$2:$A$51,0))="","",INDEX(campaigns!$BG$2:$BG$51,MATCH($A485,campaigns!$A$2:$A$51,0))),"")),-4,calendar!$A$2:$A$80)),"no prefill template yet (due T-4); ","")&amp;IF(COUNTIF(links!$D$2:$D$501,$D485)&gt;1,"DUPLICATE slug; ",""))</f>
        <v/>
      </c>
    </row>
    <row r="486">
      <c r="A486" s="25">
        <f>IF(INDEX(approvals!$A$2:$A$251,INT((ROW()-2)/2)+1)="","",INDEX(approvals!$A$2:$A$251,INT((ROW()-2)/2)+1))</f>
        <v/>
      </c>
      <c r="B486" s="25">
        <f>IF(INDEX(approvals!$A$2:$A$251,INT((ROW()-2)/2)+1)="","",INDEX(approvals!$B$2:$B$251,INT((ROW()-2)/2)+1))</f>
        <v/>
      </c>
      <c r="C486" s="25">
        <f>IF($A486="","",IF(MOD(ROW()-2,2)=0,"qr","post"))</f>
        <v/>
      </c>
      <c r="D486" s="25">
        <f>IF($A486="","",IF(LEFT($A486,7)="SAMPLE-","SAMPLE-","")&amp;LOWER(SUBSTITUTE(SUBSTITUTE($A486,"SAMPLE-",""),"CMP-","c"))&amp;"-"&amp;LOWER(SUBSTITUTE(SUBSTITUTE($B486,"SAMPLE-",""),"O-","o"))&amp;"-"&amp;IF($C486="qr","q","p"))</f>
        <v/>
      </c>
      <c r="E486" s="25">
        <f>IF($A486="","","https://"&amp;config!$B$9&amp;"/"&amp;$D486)</f>
        <v/>
      </c>
      <c r="F486" s="25">
        <f>IF($A486="","",$A486&amp;"."&amp;$B486)</f>
        <v/>
      </c>
      <c r="G486" s="25">
        <f>IF($A486="","",IF(IFERROR(IF(INDEX(campaigns!$AJ$2:$AJ$51,MATCH($A486,campaigns!$A$2:$A$51,0))="","",INDEX(campaigns!$AJ$2:$AJ$51,MATCH($A486,campaigns!$A$2:$A$51,0))),"")="","(add the survey prefill template on campaigns)",SUBSTITUTE(IFERROR(IF(INDEX(campaigns!$AJ$2:$AJ$51,MATCH($A486,campaigns!$A$2:$A$51,0))="","",INDEX(campaigns!$AJ$2:$AJ$51,MATCH($A486,campaigns!$A$2:$A$51,0))),""),"CARDCODE",$F486)&amp;"&amp;utm_source=office-pantry&amp;utm_medium="&amp;$C486&amp;"&amp;utm_campaign="&amp;LOWER($A486)&amp;"&amp;utm_content="&amp;LOWER($B486)))</f>
        <v/>
      </c>
      <c r="H486" s="25">
        <f>IF(OR($A486="",$C486&lt;&gt;"qr"),"",$D486&amp;".png")</f>
        <v/>
      </c>
      <c r="I486" s="25">
        <f>IF($A486="","",IF(AND(IFERROR(IF(INDEX(campaigns!$AJ$2:$AJ$51,MATCH($A486,campaigns!$A$2:$A$51,0))="","",INDEX(campaigns!$AJ$2:$AJ$51,MATCH($A486,campaigns!$A$2:$A$51,0))),"")="",IFERROR(IF(INDEX(campaigns!$BG$2:$BG$51,MATCH($A486,campaigns!$A$2:$A$51,0))="","",INDEX(campaigns!$BG$2:$BG$51,MATCH($A486,campaigns!$A$2:$A$51,0))),"")&lt;&gt;"",IF(config!$B$37&lt;&gt;"",config!$B$37,TODAY())&gt;=WORKDAY(N(IFERROR(IF(INDEX(campaigns!$BG$2:$BG$51,MATCH($A486,campaigns!$A$2:$A$51,0))="","",INDEX(campaigns!$BG$2:$BG$51,MATCH($A486,campaigns!$A$2:$A$51,0))),"")),-4,calendar!$A$2:$A$80)),"no prefill template yet (due T-4); ","")&amp;IF(COUNTIF(links!$D$2:$D$501,$D486)&gt;1,"DUPLICATE slug; ",""))</f>
        <v/>
      </c>
    </row>
    <row r="487">
      <c r="A487" s="25">
        <f>IF(INDEX(approvals!$A$2:$A$251,INT((ROW()-2)/2)+1)="","",INDEX(approvals!$A$2:$A$251,INT((ROW()-2)/2)+1))</f>
        <v/>
      </c>
      <c r="B487" s="25">
        <f>IF(INDEX(approvals!$A$2:$A$251,INT((ROW()-2)/2)+1)="","",INDEX(approvals!$B$2:$B$251,INT((ROW()-2)/2)+1))</f>
        <v/>
      </c>
      <c r="C487" s="25">
        <f>IF($A487="","",IF(MOD(ROW()-2,2)=0,"qr","post"))</f>
        <v/>
      </c>
      <c r="D487" s="25">
        <f>IF($A487="","",IF(LEFT($A487,7)="SAMPLE-","SAMPLE-","")&amp;LOWER(SUBSTITUTE(SUBSTITUTE($A487,"SAMPLE-",""),"CMP-","c"))&amp;"-"&amp;LOWER(SUBSTITUTE(SUBSTITUTE($B487,"SAMPLE-",""),"O-","o"))&amp;"-"&amp;IF($C487="qr","q","p"))</f>
        <v/>
      </c>
      <c r="E487" s="25">
        <f>IF($A487="","","https://"&amp;config!$B$9&amp;"/"&amp;$D487)</f>
        <v/>
      </c>
      <c r="F487" s="25">
        <f>IF($A487="","",$A487&amp;"."&amp;$B487)</f>
        <v/>
      </c>
      <c r="G487" s="25">
        <f>IF($A487="","",IF(IFERROR(IF(INDEX(campaigns!$AJ$2:$AJ$51,MATCH($A487,campaigns!$A$2:$A$51,0))="","",INDEX(campaigns!$AJ$2:$AJ$51,MATCH($A487,campaigns!$A$2:$A$51,0))),"")="","(add the survey prefill template on campaigns)",SUBSTITUTE(IFERROR(IF(INDEX(campaigns!$AJ$2:$AJ$51,MATCH($A487,campaigns!$A$2:$A$51,0))="","",INDEX(campaigns!$AJ$2:$AJ$51,MATCH($A487,campaigns!$A$2:$A$51,0))),""),"CARDCODE",$F487)&amp;"&amp;utm_source=office-pantry&amp;utm_medium="&amp;$C487&amp;"&amp;utm_campaign="&amp;LOWER($A487)&amp;"&amp;utm_content="&amp;LOWER($B487)))</f>
        <v/>
      </c>
      <c r="H487" s="25">
        <f>IF(OR($A487="",$C487&lt;&gt;"qr"),"",$D487&amp;".png")</f>
        <v/>
      </c>
      <c r="I487" s="25">
        <f>IF($A487="","",IF(AND(IFERROR(IF(INDEX(campaigns!$AJ$2:$AJ$51,MATCH($A487,campaigns!$A$2:$A$51,0))="","",INDEX(campaigns!$AJ$2:$AJ$51,MATCH($A487,campaigns!$A$2:$A$51,0))),"")="",IFERROR(IF(INDEX(campaigns!$BG$2:$BG$51,MATCH($A487,campaigns!$A$2:$A$51,0))="","",INDEX(campaigns!$BG$2:$BG$51,MATCH($A487,campaigns!$A$2:$A$51,0))),"")&lt;&gt;"",IF(config!$B$37&lt;&gt;"",config!$B$37,TODAY())&gt;=WORKDAY(N(IFERROR(IF(INDEX(campaigns!$BG$2:$BG$51,MATCH($A487,campaigns!$A$2:$A$51,0))="","",INDEX(campaigns!$BG$2:$BG$51,MATCH($A487,campaigns!$A$2:$A$51,0))),"")),-4,calendar!$A$2:$A$80)),"no prefill template yet (due T-4); ","")&amp;IF(COUNTIF(links!$D$2:$D$501,$D487)&gt;1,"DUPLICATE slug; ",""))</f>
        <v/>
      </c>
    </row>
    <row r="488">
      <c r="A488" s="25">
        <f>IF(INDEX(approvals!$A$2:$A$251,INT((ROW()-2)/2)+1)="","",INDEX(approvals!$A$2:$A$251,INT((ROW()-2)/2)+1))</f>
        <v/>
      </c>
      <c r="B488" s="25">
        <f>IF(INDEX(approvals!$A$2:$A$251,INT((ROW()-2)/2)+1)="","",INDEX(approvals!$B$2:$B$251,INT((ROW()-2)/2)+1))</f>
        <v/>
      </c>
      <c r="C488" s="25">
        <f>IF($A488="","",IF(MOD(ROW()-2,2)=0,"qr","post"))</f>
        <v/>
      </c>
      <c r="D488" s="25">
        <f>IF($A488="","",IF(LEFT($A488,7)="SAMPLE-","SAMPLE-","")&amp;LOWER(SUBSTITUTE(SUBSTITUTE($A488,"SAMPLE-",""),"CMP-","c"))&amp;"-"&amp;LOWER(SUBSTITUTE(SUBSTITUTE($B488,"SAMPLE-",""),"O-","o"))&amp;"-"&amp;IF($C488="qr","q","p"))</f>
        <v/>
      </c>
      <c r="E488" s="25">
        <f>IF($A488="","","https://"&amp;config!$B$9&amp;"/"&amp;$D488)</f>
        <v/>
      </c>
      <c r="F488" s="25">
        <f>IF($A488="","",$A488&amp;"."&amp;$B488)</f>
        <v/>
      </c>
      <c r="G488" s="25">
        <f>IF($A488="","",IF(IFERROR(IF(INDEX(campaigns!$AJ$2:$AJ$51,MATCH($A488,campaigns!$A$2:$A$51,0))="","",INDEX(campaigns!$AJ$2:$AJ$51,MATCH($A488,campaigns!$A$2:$A$51,0))),"")="","(add the survey prefill template on campaigns)",SUBSTITUTE(IFERROR(IF(INDEX(campaigns!$AJ$2:$AJ$51,MATCH($A488,campaigns!$A$2:$A$51,0))="","",INDEX(campaigns!$AJ$2:$AJ$51,MATCH($A488,campaigns!$A$2:$A$51,0))),""),"CARDCODE",$F488)&amp;"&amp;utm_source=office-pantry&amp;utm_medium="&amp;$C488&amp;"&amp;utm_campaign="&amp;LOWER($A488)&amp;"&amp;utm_content="&amp;LOWER($B488)))</f>
        <v/>
      </c>
      <c r="H488" s="25">
        <f>IF(OR($A488="",$C488&lt;&gt;"qr"),"",$D488&amp;".png")</f>
        <v/>
      </c>
      <c r="I488" s="25">
        <f>IF($A488="","",IF(AND(IFERROR(IF(INDEX(campaigns!$AJ$2:$AJ$51,MATCH($A488,campaigns!$A$2:$A$51,0))="","",INDEX(campaigns!$AJ$2:$AJ$51,MATCH($A488,campaigns!$A$2:$A$51,0))),"")="",IFERROR(IF(INDEX(campaigns!$BG$2:$BG$51,MATCH($A488,campaigns!$A$2:$A$51,0))="","",INDEX(campaigns!$BG$2:$BG$51,MATCH($A488,campaigns!$A$2:$A$51,0))),"")&lt;&gt;"",IF(config!$B$37&lt;&gt;"",config!$B$37,TODAY())&gt;=WORKDAY(N(IFERROR(IF(INDEX(campaigns!$BG$2:$BG$51,MATCH($A488,campaigns!$A$2:$A$51,0))="","",INDEX(campaigns!$BG$2:$BG$51,MATCH($A488,campaigns!$A$2:$A$51,0))),"")),-4,calendar!$A$2:$A$80)),"no prefill template yet (due T-4); ","")&amp;IF(COUNTIF(links!$D$2:$D$501,$D488)&gt;1,"DUPLICATE slug; ",""))</f>
        <v/>
      </c>
    </row>
    <row r="489">
      <c r="A489" s="25">
        <f>IF(INDEX(approvals!$A$2:$A$251,INT((ROW()-2)/2)+1)="","",INDEX(approvals!$A$2:$A$251,INT((ROW()-2)/2)+1))</f>
        <v/>
      </c>
      <c r="B489" s="25">
        <f>IF(INDEX(approvals!$A$2:$A$251,INT((ROW()-2)/2)+1)="","",INDEX(approvals!$B$2:$B$251,INT((ROW()-2)/2)+1))</f>
        <v/>
      </c>
      <c r="C489" s="25">
        <f>IF($A489="","",IF(MOD(ROW()-2,2)=0,"qr","post"))</f>
        <v/>
      </c>
      <c r="D489" s="25">
        <f>IF($A489="","",IF(LEFT($A489,7)="SAMPLE-","SAMPLE-","")&amp;LOWER(SUBSTITUTE(SUBSTITUTE($A489,"SAMPLE-",""),"CMP-","c"))&amp;"-"&amp;LOWER(SUBSTITUTE(SUBSTITUTE($B489,"SAMPLE-",""),"O-","o"))&amp;"-"&amp;IF($C489="qr","q","p"))</f>
        <v/>
      </c>
      <c r="E489" s="25">
        <f>IF($A489="","","https://"&amp;config!$B$9&amp;"/"&amp;$D489)</f>
        <v/>
      </c>
      <c r="F489" s="25">
        <f>IF($A489="","",$A489&amp;"."&amp;$B489)</f>
        <v/>
      </c>
      <c r="G489" s="25">
        <f>IF($A489="","",IF(IFERROR(IF(INDEX(campaigns!$AJ$2:$AJ$51,MATCH($A489,campaigns!$A$2:$A$51,0))="","",INDEX(campaigns!$AJ$2:$AJ$51,MATCH($A489,campaigns!$A$2:$A$51,0))),"")="","(add the survey prefill template on campaigns)",SUBSTITUTE(IFERROR(IF(INDEX(campaigns!$AJ$2:$AJ$51,MATCH($A489,campaigns!$A$2:$A$51,0))="","",INDEX(campaigns!$AJ$2:$AJ$51,MATCH($A489,campaigns!$A$2:$A$51,0))),""),"CARDCODE",$F489)&amp;"&amp;utm_source=office-pantry&amp;utm_medium="&amp;$C489&amp;"&amp;utm_campaign="&amp;LOWER($A489)&amp;"&amp;utm_content="&amp;LOWER($B489)))</f>
        <v/>
      </c>
      <c r="H489" s="25">
        <f>IF(OR($A489="",$C489&lt;&gt;"qr"),"",$D489&amp;".png")</f>
        <v/>
      </c>
      <c r="I489" s="25">
        <f>IF($A489="","",IF(AND(IFERROR(IF(INDEX(campaigns!$AJ$2:$AJ$51,MATCH($A489,campaigns!$A$2:$A$51,0))="","",INDEX(campaigns!$AJ$2:$AJ$51,MATCH($A489,campaigns!$A$2:$A$51,0))),"")="",IFERROR(IF(INDEX(campaigns!$BG$2:$BG$51,MATCH($A489,campaigns!$A$2:$A$51,0))="","",INDEX(campaigns!$BG$2:$BG$51,MATCH($A489,campaigns!$A$2:$A$51,0))),"")&lt;&gt;"",IF(config!$B$37&lt;&gt;"",config!$B$37,TODAY())&gt;=WORKDAY(N(IFERROR(IF(INDEX(campaigns!$BG$2:$BG$51,MATCH($A489,campaigns!$A$2:$A$51,0))="","",INDEX(campaigns!$BG$2:$BG$51,MATCH($A489,campaigns!$A$2:$A$51,0))),"")),-4,calendar!$A$2:$A$80)),"no prefill template yet (due T-4); ","")&amp;IF(COUNTIF(links!$D$2:$D$501,$D489)&gt;1,"DUPLICATE slug; ",""))</f>
        <v/>
      </c>
    </row>
    <row r="490">
      <c r="A490" s="25">
        <f>IF(INDEX(approvals!$A$2:$A$251,INT((ROW()-2)/2)+1)="","",INDEX(approvals!$A$2:$A$251,INT((ROW()-2)/2)+1))</f>
        <v/>
      </c>
      <c r="B490" s="25">
        <f>IF(INDEX(approvals!$A$2:$A$251,INT((ROW()-2)/2)+1)="","",INDEX(approvals!$B$2:$B$251,INT((ROW()-2)/2)+1))</f>
        <v/>
      </c>
      <c r="C490" s="25">
        <f>IF($A490="","",IF(MOD(ROW()-2,2)=0,"qr","post"))</f>
        <v/>
      </c>
      <c r="D490" s="25">
        <f>IF($A490="","",IF(LEFT($A490,7)="SAMPLE-","SAMPLE-","")&amp;LOWER(SUBSTITUTE(SUBSTITUTE($A490,"SAMPLE-",""),"CMP-","c"))&amp;"-"&amp;LOWER(SUBSTITUTE(SUBSTITUTE($B490,"SAMPLE-",""),"O-","o"))&amp;"-"&amp;IF($C490="qr","q","p"))</f>
        <v/>
      </c>
      <c r="E490" s="25">
        <f>IF($A490="","","https://"&amp;config!$B$9&amp;"/"&amp;$D490)</f>
        <v/>
      </c>
      <c r="F490" s="25">
        <f>IF($A490="","",$A490&amp;"."&amp;$B490)</f>
        <v/>
      </c>
      <c r="G490" s="25">
        <f>IF($A490="","",IF(IFERROR(IF(INDEX(campaigns!$AJ$2:$AJ$51,MATCH($A490,campaigns!$A$2:$A$51,0))="","",INDEX(campaigns!$AJ$2:$AJ$51,MATCH($A490,campaigns!$A$2:$A$51,0))),"")="","(add the survey prefill template on campaigns)",SUBSTITUTE(IFERROR(IF(INDEX(campaigns!$AJ$2:$AJ$51,MATCH($A490,campaigns!$A$2:$A$51,0))="","",INDEX(campaigns!$AJ$2:$AJ$51,MATCH($A490,campaigns!$A$2:$A$51,0))),""),"CARDCODE",$F490)&amp;"&amp;utm_source=office-pantry&amp;utm_medium="&amp;$C490&amp;"&amp;utm_campaign="&amp;LOWER($A490)&amp;"&amp;utm_content="&amp;LOWER($B490)))</f>
        <v/>
      </c>
      <c r="H490" s="25">
        <f>IF(OR($A490="",$C490&lt;&gt;"qr"),"",$D490&amp;".png")</f>
        <v/>
      </c>
      <c r="I490" s="25">
        <f>IF($A490="","",IF(AND(IFERROR(IF(INDEX(campaigns!$AJ$2:$AJ$51,MATCH($A490,campaigns!$A$2:$A$51,0))="","",INDEX(campaigns!$AJ$2:$AJ$51,MATCH($A490,campaigns!$A$2:$A$51,0))),"")="",IFERROR(IF(INDEX(campaigns!$BG$2:$BG$51,MATCH($A490,campaigns!$A$2:$A$51,0))="","",INDEX(campaigns!$BG$2:$BG$51,MATCH($A490,campaigns!$A$2:$A$51,0))),"")&lt;&gt;"",IF(config!$B$37&lt;&gt;"",config!$B$37,TODAY())&gt;=WORKDAY(N(IFERROR(IF(INDEX(campaigns!$BG$2:$BG$51,MATCH($A490,campaigns!$A$2:$A$51,0))="","",INDEX(campaigns!$BG$2:$BG$51,MATCH($A490,campaigns!$A$2:$A$51,0))),"")),-4,calendar!$A$2:$A$80)),"no prefill template yet (due T-4); ","")&amp;IF(COUNTIF(links!$D$2:$D$501,$D490)&gt;1,"DUPLICATE slug; ",""))</f>
        <v/>
      </c>
    </row>
    <row r="491">
      <c r="A491" s="25">
        <f>IF(INDEX(approvals!$A$2:$A$251,INT((ROW()-2)/2)+1)="","",INDEX(approvals!$A$2:$A$251,INT((ROW()-2)/2)+1))</f>
        <v/>
      </c>
      <c r="B491" s="25">
        <f>IF(INDEX(approvals!$A$2:$A$251,INT((ROW()-2)/2)+1)="","",INDEX(approvals!$B$2:$B$251,INT((ROW()-2)/2)+1))</f>
        <v/>
      </c>
      <c r="C491" s="25">
        <f>IF($A491="","",IF(MOD(ROW()-2,2)=0,"qr","post"))</f>
        <v/>
      </c>
      <c r="D491" s="25">
        <f>IF($A491="","",IF(LEFT($A491,7)="SAMPLE-","SAMPLE-","")&amp;LOWER(SUBSTITUTE(SUBSTITUTE($A491,"SAMPLE-",""),"CMP-","c"))&amp;"-"&amp;LOWER(SUBSTITUTE(SUBSTITUTE($B491,"SAMPLE-",""),"O-","o"))&amp;"-"&amp;IF($C491="qr","q","p"))</f>
        <v/>
      </c>
      <c r="E491" s="25">
        <f>IF($A491="","","https://"&amp;config!$B$9&amp;"/"&amp;$D491)</f>
        <v/>
      </c>
      <c r="F491" s="25">
        <f>IF($A491="","",$A491&amp;"."&amp;$B491)</f>
        <v/>
      </c>
      <c r="G491" s="25">
        <f>IF($A491="","",IF(IFERROR(IF(INDEX(campaigns!$AJ$2:$AJ$51,MATCH($A491,campaigns!$A$2:$A$51,0))="","",INDEX(campaigns!$AJ$2:$AJ$51,MATCH($A491,campaigns!$A$2:$A$51,0))),"")="","(add the survey prefill template on campaigns)",SUBSTITUTE(IFERROR(IF(INDEX(campaigns!$AJ$2:$AJ$51,MATCH($A491,campaigns!$A$2:$A$51,0))="","",INDEX(campaigns!$AJ$2:$AJ$51,MATCH($A491,campaigns!$A$2:$A$51,0))),""),"CARDCODE",$F491)&amp;"&amp;utm_source=office-pantry&amp;utm_medium="&amp;$C491&amp;"&amp;utm_campaign="&amp;LOWER($A491)&amp;"&amp;utm_content="&amp;LOWER($B491)))</f>
        <v/>
      </c>
      <c r="H491" s="25">
        <f>IF(OR($A491="",$C491&lt;&gt;"qr"),"",$D491&amp;".png")</f>
        <v/>
      </c>
      <c r="I491" s="25">
        <f>IF($A491="","",IF(AND(IFERROR(IF(INDEX(campaigns!$AJ$2:$AJ$51,MATCH($A491,campaigns!$A$2:$A$51,0))="","",INDEX(campaigns!$AJ$2:$AJ$51,MATCH($A491,campaigns!$A$2:$A$51,0))),"")="",IFERROR(IF(INDEX(campaigns!$BG$2:$BG$51,MATCH($A491,campaigns!$A$2:$A$51,0))="","",INDEX(campaigns!$BG$2:$BG$51,MATCH($A491,campaigns!$A$2:$A$51,0))),"")&lt;&gt;"",IF(config!$B$37&lt;&gt;"",config!$B$37,TODAY())&gt;=WORKDAY(N(IFERROR(IF(INDEX(campaigns!$BG$2:$BG$51,MATCH($A491,campaigns!$A$2:$A$51,0))="","",INDEX(campaigns!$BG$2:$BG$51,MATCH($A491,campaigns!$A$2:$A$51,0))),"")),-4,calendar!$A$2:$A$80)),"no prefill template yet (due T-4); ","")&amp;IF(COUNTIF(links!$D$2:$D$501,$D491)&gt;1,"DUPLICATE slug; ",""))</f>
        <v/>
      </c>
    </row>
    <row r="492">
      <c r="A492" s="25">
        <f>IF(INDEX(approvals!$A$2:$A$251,INT((ROW()-2)/2)+1)="","",INDEX(approvals!$A$2:$A$251,INT((ROW()-2)/2)+1))</f>
        <v/>
      </c>
      <c r="B492" s="25">
        <f>IF(INDEX(approvals!$A$2:$A$251,INT((ROW()-2)/2)+1)="","",INDEX(approvals!$B$2:$B$251,INT((ROW()-2)/2)+1))</f>
        <v/>
      </c>
      <c r="C492" s="25">
        <f>IF($A492="","",IF(MOD(ROW()-2,2)=0,"qr","post"))</f>
        <v/>
      </c>
      <c r="D492" s="25">
        <f>IF($A492="","",IF(LEFT($A492,7)="SAMPLE-","SAMPLE-","")&amp;LOWER(SUBSTITUTE(SUBSTITUTE($A492,"SAMPLE-",""),"CMP-","c"))&amp;"-"&amp;LOWER(SUBSTITUTE(SUBSTITUTE($B492,"SAMPLE-",""),"O-","o"))&amp;"-"&amp;IF($C492="qr","q","p"))</f>
        <v/>
      </c>
      <c r="E492" s="25">
        <f>IF($A492="","","https://"&amp;config!$B$9&amp;"/"&amp;$D492)</f>
        <v/>
      </c>
      <c r="F492" s="25">
        <f>IF($A492="","",$A492&amp;"."&amp;$B492)</f>
        <v/>
      </c>
      <c r="G492" s="25">
        <f>IF($A492="","",IF(IFERROR(IF(INDEX(campaigns!$AJ$2:$AJ$51,MATCH($A492,campaigns!$A$2:$A$51,0))="","",INDEX(campaigns!$AJ$2:$AJ$51,MATCH($A492,campaigns!$A$2:$A$51,0))),"")="","(add the survey prefill template on campaigns)",SUBSTITUTE(IFERROR(IF(INDEX(campaigns!$AJ$2:$AJ$51,MATCH($A492,campaigns!$A$2:$A$51,0))="","",INDEX(campaigns!$AJ$2:$AJ$51,MATCH($A492,campaigns!$A$2:$A$51,0))),""),"CARDCODE",$F492)&amp;"&amp;utm_source=office-pantry&amp;utm_medium="&amp;$C492&amp;"&amp;utm_campaign="&amp;LOWER($A492)&amp;"&amp;utm_content="&amp;LOWER($B492)))</f>
        <v/>
      </c>
      <c r="H492" s="25">
        <f>IF(OR($A492="",$C492&lt;&gt;"qr"),"",$D492&amp;".png")</f>
        <v/>
      </c>
      <c r="I492" s="25">
        <f>IF($A492="","",IF(AND(IFERROR(IF(INDEX(campaigns!$AJ$2:$AJ$51,MATCH($A492,campaigns!$A$2:$A$51,0))="","",INDEX(campaigns!$AJ$2:$AJ$51,MATCH($A492,campaigns!$A$2:$A$51,0))),"")="",IFERROR(IF(INDEX(campaigns!$BG$2:$BG$51,MATCH($A492,campaigns!$A$2:$A$51,0))="","",INDEX(campaigns!$BG$2:$BG$51,MATCH($A492,campaigns!$A$2:$A$51,0))),"")&lt;&gt;"",IF(config!$B$37&lt;&gt;"",config!$B$37,TODAY())&gt;=WORKDAY(N(IFERROR(IF(INDEX(campaigns!$BG$2:$BG$51,MATCH($A492,campaigns!$A$2:$A$51,0))="","",INDEX(campaigns!$BG$2:$BG$51,MATCH($A492,campaigns!$A$2:$A$51,0))),"")),-4,calendar!$A$2:$A$80)),"no prefill template yet (due T-4); ","")&amp;IF(COUNTIF(links!$D$2:$D$501,$D492)&gt;1,"DUPLICATE slug; ",""))</f>
        <v/>
      </c>
    </row>
    <row r="493">
      <c r="A493" s="25">
        <f>IF(INDEX(approvals!$A$2:$A$251,INT((ROW()-2)/2)+1)="","",INDEX(approvals!$A$2:$A$251,INT((ROW()-2)/2)+1))</f>
        <v/>
      </c>
      <c r="B493" s="25">
        <f>IF(INDEX(approvals!$A$2:$A$251,INT((ROW()-2)/2)+1)="","",INDEX(approvals!$B$2:$B$251,INT((ROW()-2)/2)+1))</f>
        <v/>
      </c>
      <c r="C493" s="25">
        <f>IF($A493="","",IF(MOD(ROW()-2,2)=0,"qr","post"))</f>
        <v/>
      </c>
      <c r="D493" s="25">
        <f>IF($A493="","",IF(LEFT($A493,7)="SAMPLE-","SAMPLE-","")&amp;LOWER(SUBSTITUTE(SUBSTITUTE($A493,"SAMPLE-",""),"CMP-","c"))&amp;"-"&amp;LOWER(SUBSTITUTE(SUBSTITUTE($B493,"SAMPLE-",""),"O-","o"))&amp;"-"&amp;IF($C493="qr","q","p"))</f>
        <v/>
      </c>
      <c r="E493" s="25">
        <f>IF($A493="","","https://"&amp;config!$B$9&amp;"/"&amp;$D493)</f>
        <v/>
      </c>
      <c r="F493" s="25">
        <f>IF($A493="","",$A493&amp;"."&amp;$B493)</f>
        <v/>
      </c>
      <c r="G493" s="25">
        <f>IF($A493="","",IF(IFERROR(IF(INDEX(campaigns!$AJ$2:$AJ$51,MATCH($A493,campaigns!$A$2:$A$51,0))="","",INDEX(campaigns!$AJ$2:$AJ$51,MATCH($A493,campaigns!$A$2:$A$51,0))),"")="","(add the survey prefill template on campaigns)",SUBSTITUTE(IFERROR(IF(INDEX(campaigns!$AJ$2:$AJ$51,MATCH($A493,campaigns!$A$2:$A$51,0))="","",INDEX(campaigns!$AJ$2:$AJ$51,MATCH($A493,campaigns!$A$2:$A$51,0))),""),"CARDCODE",$F493)&amp;"&amp;utm_source=office-pantry&amp;utm_medium="&amp;$C493&amp;"&amp;utm_campaign="&amp;LOWER($A493)&amp;"&amp;utm_content="&amp;LOWER($B493)))</f>
        <v/>
      </c>
      <c r="H493" s="25">
        <f>IF(OR($A493="",$C493&lt;&gt;"qr"),"",$D493&amp;".png")</f>
        <v/>
      </c>
      <c r="I493" s="25">
        <f>IF($A493="","",IF(AND(IFERROR(IF(INDEX(campaigns!$AJ$2:$AJ$51,MATCH($A493,campaigns!$A$2:$A$51,0))="","",INDEX(campaigns!$AJ$2:$AJ$51,MATCH($A493,campaigns!$A$2:$A$51,0))),"")="",IFERROR(IF(INDEX(campaigns!$BG$2:$BG$51,MATCH($A493,campaigns!$A$2:$A$51,0))="","",INDEX(campaigns!$BG$2:$BG$51,MATCH($A493,campaigns!$A$2:$A$51,0))),"")&lt;&gt;"",IF(config!$B$37&lt;&gt;"",config!$B$37,TODAY())&gt;=WORKDAY(N(IFERROR(IF(INDEX(campaigns!$BG$2:$BG$51,MATCH($A493,campaigns!$A$2:$A$51,0))="","",INDEX(campaigns!$BG$2:$BG$51,MATCH($A493,campaigns!$A$2:$A$51,0))),"")),-4,calendar!$A$2:$A$80)),"no prefill template yet (due T-4); ","")&amp;IF(COUNTIF(links!$D$2:$D$501,$D493)&gt;1,"DUPLICATE slug; ",""))</f>
        <v/>
      </c>
    </row>
    <row r="494">
      <c r="A494" s="25">
        <f>IF(INDEX(approvals!$A$2:$A$251,INT((ROW()-2)/2)+1)="","",INDEX(approvals!$A$2:$A$251,INT((ROW()-2)/2)+1))</f>
        <v/>
      </c>
      <c r="B494" s="25">
        <f>IF(INDEX(approvals!$A$2:$A$251,INT((ROW()-2)/2)+1)="","",INDEX(approvals!$B$2:$B$251,INT((ROW()-2)/2)+1))</f>
        <v/>
      </c>
      <c r="C494" s="25">
        <f>IF($A494="","",IF(MOD(ROW()-2,2)=0,"qr","post"))</f>
        <v/>
      </c>
      <c r="D494" s="25">
        <f>IF($A494="","",IF(LEFT($A494,7)="SAMPLE-","SAMPLE-","")&amp;LOWER(SUBSTITUTE(SUBSTITUTE($A494,"SAMPLE-",""),"CMP-","c"))&amp;"-"&amp;LOWER(SUBSTITUTE(SUBSTITUTE($B494,"SAMPLE-",""),"O-","o"))&amp;"-"&amp;IF($C494="qr","q","p"))</f>
        <v/>
      </c>
      <c r="E494" s="25">
        <f>IF($A494="","","https://"&amp;config!$B$9&amp;"/"&amp;$D494)</f>
        <v/>
      </c>
      <c r="F494" s="25">
        <f>IF($A494="","",$A494&amp;"."&amp;$B494)</f>
        <v/>
      </c>
      <c r="G494" s="25">
        <f>IF($A494="","",IF(IFERROR(IF(INDEX(campaigns!$AJ$2:$AJ$51,MATCH($A494,campaigns!$A$2:$A$51,0))="","",INDEX(campaigns!$AJ$2:$AJ$51,MATCH($A494,campaigns!$A$2:$A$51,0))),"")="","(add the survey prefill template on campaigns)",SUBSTITUTE(IFERROR(IF(INDEX(campaigns!$AJ$2:$AJ$51,MATCH($A494,campaigns!$A$2:$A$51,0))="","",INDEX(campaigns!$AJ$2:$AJ$51,MATCH($A494,campaigns!$A$2:$A$51,0))),""),"CARDCODE",$F494)&amp;"&amp;utm_source=office-pantry&amp;utm_medium="&amp;$C494&amp;"&amp;utm_campaign="&amp;LOWER($A494)&amp;"&amp;utm_content="&amp;LOWER($B494)))</f>
        <v/>
      </c>
      <c r="H494" s="25">
        <f>IF(OR($A494="",$C494&lt;&gt;"qr"),"",$D494&amp;".png")</f>
        <v/>
      </c>
      <c r="I494" s="25">
        <f>IF($A494="","",IF(AND(IFERROR(IF(INDEX(campaigns!$AJ$2:$AJ$51,MATCH($A494,campaigns!$A$2:$A$51,0))="","",INDEX(campaigns!$AJ$2:$AJ$51,MATCH($A494,campaigns!$A$2:$A$51,0))),"")="",IFERROR(IF(INDEX(campaigns!$BG$2:$BG$51,MATCH($A494,campaigns!$A$2:$A$51,0))="","",INDEX(campaigns!$BG$2:$BG$51,MATCH($A494,campaigns!$A$2:$A$51,0))),"")&lt;&gt;"",IF(config!$B$37&lt;&gt;"",config!$B$37,TODAY())&gt;=WORKDAY(N(IFERROR(IF(INDEX(campaigns!$BG$2:$BG$51,MATCH($A494,campaigns!$A$2:$A$51,0))="","",INDEX(campaigns!$BG$2:$BG$51,MATCH($A494,campaigns!$A$2:$A$51,0))),"")),-4,calendar!$A$2:$A$80)),"no prefill template yet (due T-4); ","")&amp;IF(COUNTIF(links!$D$2:$D$501,$D494)&gt;1,"DUPLICATE slug; ",""))</f>
        <v/>
      </c>
    </row>
    <row r="495">
      <c r="A495" s="25">
        <f>IF(INDEX(approvals!$A$2:$A$251,INT((ROW()-2)/2)+1)="","",INDEX(approvals!$A$2:$A$251,INT((ROW()-2)/2)+1))</f>
        <v/>
      </c>
      <c r="B495" s="25">
        <f>IF(INDEX(approvals!$A$2:$A$251,INT((ROW()-2)/2)+1)="","",INDEX(approvals!$B$2:$B$251,INT((ROW()-2)/2)+1))</f>
        <v/>
      </c>
      <c r="C495" s="25">
        <f>IF($A495="","",IF(MOD(ROW()-2,2)=0,"qr","post"))</f>
        <v/>
      </c>
      <c r="D495" s="25">
        <f>IF($A495="","",IF(LEFT($A495,7)="SAMPLE-","SAMPLE-","")&amp;LOWER(SUBSTITUTE(SUBSTITUTE($A495,"SAMPLE-",""),"CMP-","c"))&amp;"-"&amp;LOWER(SUBSTITUTE(SUBSTITUTE($B495,"SAMPLE-",""),"O-","o"))&amp;"-"&amp;IF($C495="qr","q","p"))</f>
        <v/>
      </c>
      <c r="E495" s="25">
        <f>IF($A495="","","https://"&amp;config!$B$9&amp;"/"&amp;$D495)</f>
        <v/>
      </c>
      <c r="F495" s="25">
        <f>IF($A495="","",$A495&amp;"."&amp;$B495)</f>
        <v/>
      </c>
      <c r="G495" s="25">
        <f>IF($A495="","",IF(IFERROR(IF(INDEX(campaigns!$AJ$2:$AJ$51,MATCH($A495,campaigns!$A$2:$A$51,0))="","",INDEX(campaigns!$AJ$2:$AJ$51,MATCH($A495,campaigns!$A$2:$A$51,0))),"")="","(add the survey prefill template on campaigns)",SUBSTITUTE(IFERROR(IF(INDEX(campaigns!$AJ$2:$AJ$51,MATCH($A495,campaigns!$A$2:$A$51,0))="","",INDEX(campaigns!$AJ$2:$AJ$51,MATCH($A495,campaigns!$A$2:$A$51,0))),""),"CARDCODE",$F495)&amp;"&amp;utm_source=office-pantry&amp;utm_medium="&amp;$C495&amp;"&amp;utm_campaign="&amp;LOWER($A495)&amp;"&amp;utm_content="&amp;LOWER($B495)))</f>
        <v/>
      </c>
      <c r="H495" s="25">
        <f>IF(OR($A495="",$C495&lt;&gt;"qr"),"",$D495&amp;".png")</f>
        <v/>
      </c>
      <c r="I495" s="25">
        <f>IF($A495="","",IF(AND(IFERROR(IF(INDEX(campaigns!$AJ$2:$AJ$51,MATCH($A495,campaigns!$A$2:$A$51,0))="","",INDEX(campaigns!$AJ$2:$AJ$51,MATCH($A495,campaigns!$A$2:$A$51,0))),"")="",IFERROR(IF(INDEX(campaigns!$BG$2:$BG$51,MATCH($A495,campaigns!$A$2:$A$51,0))="","",INDEX(campaigns!$BG$2:$BG$51,MATCH($A495,campaigns!$A$2:$A$51,0))),"")&lt;&gt;"",IF(config!$B$37&lt;&gt;"",config!$B$37,TODAY())&gt;=WORKDAY(N(IFERROR(IF(INDEX(campaigns!$BG$2:$BG$51,MATCH($A495,campaigns!$A$2:$A$51,0))="","",INDEX(campaigns!$BG$2:$BG$51,MATCH($A495,campaigns!$A$2:$A$51,0))),"")),-4,calendar!$A$2:$A$80)),"no prefill template yet (due T-4); ","")&amp;IF(COUNTIF(links!$D$2:$D$501,$D495)&gt;1,"DUPLICATE slug; ",""))</f>
        <v/>
      </c>
    </row>
    <row r="496">
      <c r="A496" s="25">
        <f>IF(INDEX(approvals!$A$2:$A$251,INT((ROW()-2)/2)+1)="","",INDEX(approvals!$A$2:$A$251,INT((ROW()-2)/2)+1))</f>
        <v/>
      </c>
      <c r="B496" s="25">
        <f>IF(INDEX(approvals!$A$2:$A$251,INT((ROW()-2)/2)+1)="","",INDEX(approvals!$B$2:$B$251,INT((ROW()-2)/2)+1))</f>
        <v/>
      </c>
      <c r="C496" s="25">
        <f>IF($A496="","",IF(MOD(ROW()-2,2)=0,"qr","post"))</f>
        <v/>
      </c>
      <c r="D496" s="25">
        <f>IF($A496="","",IF(LEFT($A496,7)="SAMPLE-","SAMPLE-","")&amp;LOWER(SUBSTITUTE(SUBSTITUTE($A496,"SAMPLE-",""),"CMP-","c"))&amp;"-"&amp;LOWER(SUBSTITUTE(SUBSTITUTE($B496,"SAMPLE-",""),"O-","o"))&amp;"-"&amp;IF($C496="qr","q","p"))</f>
        <v/>
      </c>
      <c r="E496" s="25">
        <f>IF($A496="","","https://"&amp;config!$B$9&amp;"/"&amp;$D496)</f>
        <v/>
      </c>
      <c r="F496" s="25">
        <f>IF($A496="","",$A496&amp;"."&amp;$B496)</f>
        <v/>
      </c>
      <c r="G496" s="25">
        <f>IF($A496="","",IF(IFERROR(IF(INDEX(campaigns!$AJ$2:$AJ$51,MATCH($A496,campaigns!$A$2:$A$51,0))="","",INDEX(campaigns!$AJ$2:$AJ$51,MATCH($A496,campaigns!$A$2:$A$51,0))),"")="","(add the survey prefill template on campaigns)",SUBSTITUTE(IFERROR(IF(INDEX(campaigns!$AJ$2:$AJ$51,MATCH($A496,campaigns!$A$2:$A$51,0))="","",INDEX(campaigns!$AJ$2:$AJ$51,MATCH($A496,campaigns!$A$2:$A$51,0))),""),"CARDCODE",$F496)&amp;"&amp;utm_source=office-pantry&amp;utm_medium="&amp;$C496&amp;"&amp;utm_campaign="&amp;LOWER($A496)&amp;"&amp;utm_content="&amp;LOWER($B496)))</f>
        <v/>
      </c>
      <c r="H496" s="25">
        <f>IF(OR($A496="",$C496&lt;&gt;"qr"),"",$D496&amp;".png")</f>
        <v/>
      </c>
      <c r="I496" s="25">
        <f>IF($A496="","",IF(AND(IFERROR(IF(INDEX(campaigns!$AJ$2:$AJ$51,MATCH($A496,campaigns!$A$2:$A$51,0))="","",INDEX(campaigns!$AJ$2:$AJ$51,MATCH($A496,campaigns!$A$2:$A$51,0))),"")="",IFERROR(IF(INDEX(campaigns!$BG$2:$BG$51,MATCH($A496,campaigns!$A$2:$A$51,0))="","",INDEX(campaigns!$BG$2:$BG$51,MATCH($A496,campaigns!$A$2:$A$51,0))),"")&lt;&gt;"",IF(config!$B$37&lt;&gt;"",config!$B$37,TODAY())&gt;=WORKDAY(N(IFERROR(IF(INDEX(campaigns!$BG$2:$BG$51,MATCH($A496,campaigns!$A$2:$A$51,0))="","",INDEX(campaigns!$BG$2:$BG$51,MATCH($A496,campaigns!$A$2:$A$51,0))),"")),-4,calendar!$A$2:$A$80)),"no prefill template yet (due T-4); ","")&amp;IF(COUNTIF(links!$D$2:$D$501,$D496)&gt;1,"DUPLICATE slug; ",""))</f>
        <v/>
      </c>
    </row>
    <row r="497">
      <c r="A497" s="25">
        <f>IF(INDEX(approvals!$A$2:$A$251,INT((ROW()-2)/2)+1)="","",INDEX(approvals!$A$2:$A$251,INT((ROW()-2)/2)+1))</f>
        <v/>
      </c>
      <c r="B497" s="25">
        <f>IF(INDEX(approvals!$A$2:$A$251,INT((ROW()-2)/2)+1)="","",INDEX(approvals!$B$2:$B$251,INT((ROW()-2)/2)+1))</f>
        <v/>
      </c>
      <c r="C497" s="25">
        <f>IF($A497="","",IF(MOD(ROW()-2,2)=0,"qr","post"))</f>
        <v/>
      </c>
      <c r="D497" s="25">
        <f>IF($A497="","",IF(LEFT($A497,7)="SAMPLE-","SAMPLE-","")&amp;LOWER(SUBSTITUTE(SUBSTITUTE($A497,"SAMPLE-",""),"CMP-","c"))&amp;"-"&amp;LOWER(SUBSTITUTE(SUBSTITUTE($B497,"SAMPLE-",""),"O-","o"))&amp;"-"&amp;IF($C497="qr","q","p"))</f>
        <v/>
      </c>
      <c r="E497" s="25">
        <f>IF($A497="","","https://"&amp;config!$B$9&amp;"/"&amp;$D497)</f>
        <v/>
      </c>
      <c r="F497" s="25">
        <f>IF($A497="","",$A497&amp;"."&amp;$B497)</f>
        <v/>
      </c>
      <c r="G497" s="25">
        <f>IF($A497="","",IF(IFERROR(IF(INDEX(campaigns!$AJ$2:$AJ$51,MATCH($A497,campaigns!$A$2:$A$51,0))="","",INDEX(campaigns!$AJ$2:$AJ$51,MATCH($A497,campaigns!$A$2:$A$51,0))),"")="","(add the survey prefill template on campaigns)",SUBSTITUTE(IFERROR(IF(INDEX(campaigns!$AJ$2:$AJ$51,MATCH($A497,campaigns!$A$2:$A$51,0))="","",INDEX(campaigns!$AJ$2:$AJ$51,MATCH($A497,campaigns!$A$2:$A$51,0))),""),"CARDCODE",$F497)&amp;"&amp;utm_source=office-pantry&amp;utm_medium="&amp;$C497&amp;"&amp;utm_campaign="&amp;LOWER($A497)&amp;"&amp;utm_content="&amp;LOWER($B497)))</f>
        <v/>
      </c>
      <c r="H497" s="25">
        <f>IF(OR($A497="",$C497&lt;&gt;"qr"),"",$D497&amp;".png")</f>
        <v/>
      </c>
      <c r="I497" s="25">
        <f>IF($A497="","",IF(AND(IFERROR(IF(INDEX(campaigns!$AJ$2:$AJ$51,MATCH($A497,campaigns!$A$2:$A$51,0))="","",INDEX(campaigns!$AJ$2:$AJ$51,MATCH($A497,campaigns!$A$2:$A$51,0))),"")="",IFERROR(IF(INDEX(campaigns!$BG$2:$BG$51,MATCH($A497,campaigns!$A$2:$A$51,0))="","",INDEX(campaigns!$BG$2:$BG$51,MATCH($A497,campaigns!$A$2:$A$51,0))),"")&lt;&gt;"",IF(config!$B$37&lt;&gt;"",config!$B$37,TODAY())&gt;=WORKDAY(N(IFERROR(IF(INDEX(campaigns!$BG$2:$BG$51,MATCH($A497,campaigns!$A$2:$A$51,0))="","",INDEX(campaigns!$BG$2:$BG$51,MATCH($A497,campaigns!$A$2:$A$51,0))),"")),-4,calendar!$A$2:$A$80)),"no prefill template yet (due T-4); ","")&amp;IF(COUNTIF(links!$D$2:$D$501,$D497)&gt;1,"DUPLICATE slug; ",""))</f>
        <v/>
      </c>
    </row>
    <row r="498">
      <c r="A498" s="25">
        <f>IF(INDEX(approvals!$A$2:$A$251,INT((ROW()-2)/2)+1)="","",INDEX(approvals!$A$2:$A$251,INT((ROW()-2)/2)+1))</f>
        <v/>
      </c>
      <c r="B498" s="25">
        <f>IF(INDEX(approvals!$A$2:$A$251,INT((ROW()-2)/2)+1)="","",INDEX(approvals!$B$2:$B$251,INT((ROW()-2)/2)+1))</f>
        <v/>
      </c>
      <c r="C498" s="25">
        <f>IF($A498="","",IF(MOD(ROW()-2,2)=0,"qr","post"))</f>
        <v/>
      </c>
      <c r="D498" s="25">
        <f>IF($A498="","",IF(LEFT($A498,7)="SAMPLE-","SAMPLE-","")&amp;LOWER(SUBSTITUTE(SUBSTITUTE($A498,"SAMPLE-",""),"CMP-","c"))&amp;"-"&amp;LOWER(SUBSTITUTE(SUBSTITUTE($B498,"SAMPLE-",""),"O-","o"))&amp;"-"&amp;IF($C498="qr","q","p"))</f>
        <v/>
      </c>
      <c r="E498" s="25">
        <f>IF($A498="","","https://"&amp;config!$B$9&amp;"/"&amp;$D498)</f>
        <v/>
      </c>
      <c r="F498" s="25">
        <f>IF($A498="","",$A498&amp;"."&amp;$B498)</f>
        <v/>
      </c>
      <c r="G498" s="25">
        <f>IF($A498="","",IF(IFERROR(IF(INDEX(campaigns!$AJ$2:$AJ$51,MATCH($A498,campaigns!$A$2:$A$51,0))="","",INDEX(campaigns!$AJ$2:$AJ$51,MATCH($A498,campaigns!$A$2:$A$51,0))),"")="","(add the survey prefill template on campaigns)",SUBSTITUTE(IFERROR(IF(INDEX(campaigns!$AJ$2:$AJ$51,MATCH($A498,campaigns!$A$2:$A$51,0))="","",INDEX(campaigns!$AJ$2:$AJ$51,MATCH($A498,campaigns!$A$2:$A$51,0))),""),"CARDCODE",$F498)&amp;"&amp;utm_source=office-pantry&amp;utm_medium="&amp;$C498&amp;"&amp;utm_campaign="&amp;LOWER($A498)&amp;"&amp;utm_content="&amp;LOWER($B498)))</f>
        <v/>
      </c>
      <c r="H498" s="25">
        <f>IF(OR($A498="",$C498&lt;&gt;"qr"),"",$D498&amp;".png")</f>
        <v/>
      </c>
      <c r="I498" s="25">
        <f>IF($A498="","",IF(AND(IFERROR(IF(INDEX(campaigns!$AJ$2:$AJ$51,MATCH($A498,campaigns!$A$2:$A$51,0))="","",INDEX(campaigns!$AJ$2:$AJ$51,MATCH($A498,campaigns!$A$2:$A$51,0))),"")="",IFERROR(IF(INDEX(campaigns!$BG$2:$BG$51,MATCH($A498,campaigns!$A$2:$A$51,0))="","",INDEX(campaigns!$BG$2:$BG$51,MATCH($A498,campaigns!$A$2:$A$51,0))),"")&lt;&gt;"",IF(config!$B$37&lt;&gt;"",config!$B$37,TODAY())&gt;=WORKDAY(N(IFERROR(IF(INDEX(campaigns!$BG$2:$BG$51,MATCH($A498,campaigns!$A$2:$A$51,0))="","",INDEX(campaigns!$BG$2:$BG$51,MATCH($A498,campaigns!$A$2:$A$51,0))),"")),-4,calendar!$A$2:$A$80)),"no prefill template yet (due T-4); ","")&amp;IF(COUNTIF(links!$D$2:$D$501,$D498)&gt;1,"DUPLICATE slug; ",""))</f>
        <v/>
      </c>
    </row>
    <row r="499">
      <c r="A499" s="25">
        <f>IF(INDEX(approvals!$A$2:$A$251,INT((ROW()-2)/2)+1)="","",INDEX(approvals!$A$2:$A$251,INT((ROW()-2)/2)+1))</f>
        <v/>
      </c>
      <c r="B499" s="25">
        <f>IF(INDEX(approvals!$A$2:$A$251,INT((ROW()-2)/2)+1)="","",INDEX(approvals!$B$2:$B$251,INT((ROW()-2)/2)+1))</f>
        <v/>
      </c>
      <c r="C499" s="25">
        <f>IF($A499="","",IF(MOD(ROW()-2,2)=0,"qr","post"))</f>
        <v/>
      </c>
      <c r="D499" s="25">
        <f>IF($A499="","",IF(LEFT($A499,7)="SAMPLE-","SAMPLE-","")&amp;LOWER(SUBSTITUTE(SUBSTITUTE($A499,"SAMPLE-",""),"CMP-","c"))&amp;"-"&amp;LOWER(SUBSTITUTE(SUBSTITUTE($B499,"SAMPLE-",""),"O-","o"))&amp;"-"&amp;IF($C499="qr","q","p"))</f>
        <v/>
      </c>
      <c r="E499" s="25">
        <f>IF($A499="","","https://"&amp;config!$B$9&amp;"/"&amp;$D499)</f>
        <v/>
      </c>
      <c r="F499" s="25">
        <f>IF($A499="","",$A499&amp;"."&amp;$B499)</f>
        <v/>
      </c>
      <c r="G499" s="25">
        <f>IF($A499="","",IF(IFERROR(IF(INDEX(campaigns!$AJ$2:$AJ$51,MATCH($A499,campaigns!$A$2:$A$51,0))="","",INDEX(campaigns!$AJ$2:$AJ$51,MATCH($A499,campaigns!$A$2:$A$51,0))),"")="","(add the survey prefill template on campaigns)",SUBSTITUTE(IFERROR(IF(INDEX(campaigns!$AJ$2:$AJ$51,MATCH($A499,campaigns!$A$2:$A$51,0))="","",INDEX(campaigns!$AJ$2:$AJ$51,MATCH($A499,campaigns!$A$2:$A$51,0))),""),"CARDCODE",$F499)&amp;"&amp;utm_source=office-pantry&amp;utm_medium="&amp;$C499&amp;"&amp;utm_campaign="&amp;LOWER($A499)&amp;"&amp;utm_content="&amp;LOWER($B499)))</f>
        <v/>
      </c>
      <c r="H499" s="25">
        <f>IF(OR($A499="",$C499&lt;&gt;"qr"),"",$D499&amp;".png")</f>
        <v/>
      </c>
      <c r="I499" s="25">
        <f>IF($A499="","",IF(AND(IFERROR(IF(INDEX(campaigns!$AJ$2:$AJ$51,MATCH($A499,campaigns!$A$2:$A$51,0))="","",INDEX(campaigns!$AJ$2:$AJ$51,MATCH($A499,campaigns!$A$2:$A$51,0))),"")="",IFERROR(IF(INDEX(campaigns!$BG$2:$BG$51,MATCH($A499,campaigns!$A$2:$A$51,0))="","",INDEX(campaigns!$BG$2:$BG$51,MATCH($A499,campaigns!$A$2:$A$51,0))),"")&lt;&gt;"",IF(config!$B$37&lt;&gt;"",config!$B$37,TODAY())&gt;=WORKDAY(N(IFERROR(IF(INDEX(campaigns!$BG$2:$BG$51,MATCH($A499,campaigns!$A$2:$A$51,0))="","",INDEX(campaigns!$BG$2:$BG$51,MATCH($A499,campaigns!$A$2:$A$51,0))),"")),-4,calendar!$A$2:$A$80)),"no prefill template yet (due T-4); ","")&amp;IF(COUNTIF(links!$D$2:$D$501,$D499)&gt;1,"DUPLICATE slug; ",""))</f>
        <v/>
      </c>
    </row>
    <row r="500">
      <c r="A500" s="25">
        <f>IF(INDEX(approvals!$A$2:$A$251,INT((ROW()-2)/2)+1)="","",INDEX(approvals!$A$2:$A$251,INT((ROW()-2)/2)+1))</f>
        <v/>
      </c>
      <c r="B500" s="25">
        <f>IF(INDEX(approvals!$A$2:$A$251,INT((ROW()-2)/2)+1)="","",INDEX(approvals!$B$2:$B$251,INT((ROW()-2)/2)+1))</f>
        <v/>
      </c>
      <c r="C500" s="25">
        <f>IF($A500="","",IF(MOD(ROW()-2,2)=0,"qr","post"))</f>
        <v/>
      </c>
      <c r="D500" s="25">
        <f>IF($A500="","",IF(LEFT($A500,7)="SAMPLE-","SAMPLE-","")&amp;LOWER(SUBSTITUTE(SUBSTITUTE($A500,"SAMPLE-",""),"CMP-","c"))&amp;"-"&amp;LOWER(SUBSTITUTE(SUBSTITUTE($B500,"SAMPLE-",""),"O-","o"))&amp;"-"&amp;IF($C500="qr","q","p"))</f>
        <v/>
      </c>
      <c r="E500" s="25">
        <f>IF($A500="","","https://"&amp;config!$B$9&amp;"/"&amp;$D500)</f>
        <v/>
      </c>
      <c r="F500" s="25">
        <f>IF($A500="","",$A500&amp;"."&amp;$B500)</f>
        <v/>
      </c>
      <c r="G500" s="25">
        <f>IF($A500="","",IF(IFERROR(IF(INDEX(campaigns!$AJ$2:$AJ$51,MATCH($A500,campaigns!$A$2:$A$51,0))="","",INDEX(campaigns!$AJ$2:$AJ$51,MATCH($A500,campaigns!$A$2:$A$51,0))),"")="","(add the survey prefill template on campaigns)",SUBSTITUTE(IFERROR(IF(INDEX(campaigns!$AJ$2:$AJ$51,MATCH($A500,campaigns!$A$2:$A$51,0))="","",INDEX(campaigns!$AJ$2:$AJ$51,MATCH($A500,campaigns!$A$2:$A$51,0))),""),"CARDCODE",$F500)&amp;"&amp;utm_source=office-pantry&amp;utm_medium="&amp;$C500&amp;"&amp;utm_campaign="&amp;LOWER($A500)&amp;"&amp;utm_content="&amp;LOWER($B500)))</f>
        <v/>
      </c>
      <c r="H500" s="25">
        <f>IF(OR($A500="",$C500&lt;&gt;"qr"),"",$D500&amp;".png")</f>
        <v/>
      </c>
      <c r="I500" s="25">
        <f>IF($A500="","",IF(AND(IFERROR(IF(INDEX(campaigns!$AJ$2:$AJ$51,MATCH($A500,campaigns!$A$2:$A$51,0))="","",INDEX(campaigns!$AJ$2:$AJ$51,MATCH($A500,campaigns!$A$2:$A$51,0))),"")="",IFERROR(IF(INDEX(campaigns!$BG$2:$BG$51,MATCH($A500,campaigns!$A$2:$A$51,0))="","",INDEX(campaigns!$BG$2:$BG$51,MATCH($A500,campaigns!$A$2:$A$51,0))),"")&lt;&gt;"",IF(config!$B$37&lt;&gt;"",config!$B$37,TODAY())&gt;=WORKDAY(N(IFERROR(IF(INDEX(campaigns!$BG$2:$BG$51,MATCH($A500,campaigns!$A$2:$A$51,0))="","",INDEX(campaigns!$BG$2:$BG$51,MATCH($A500,campaigns!$A$2:$A$51,0))),"")),-4,calendar!$A$2:$A$80)),"no prefill template yet (due T-4); ","")&amp;IF(COUNTIF(links!$D$2:$D$501,$D500)&gt;1,"DUPLICATE slug; ",""))</f>
        <v/>
      </c>
    </row>
    <row r="501">
      <c r="A501" s="25">
        <f>IF(INDEX(approvals!$A$2:$A$251,INT((ROW()-2)/2)+1)="","",INDEX(approvals!$A$2:$A$251,INT((ROW()-2)/2)+1))</f>
        <v/>
      </c>
      <c r="B501" s="25">
        <f>IF(INDEX(approvals!$A$2:$A$251,INT((ROW()-2)/2)+1)="","",INDEX(approvals!$B$2:$B$251,INT((ROW()-2)/2)+1))</f>
        <v/>
      </c>
      <c r="C501" s="25">
        <f>IF($A501="","",IF(MOD(ROW()-2,2)=0,"qr","post"))</f>
        <v/>
      </c>
      <c r="D501" s="25">
        <f>IF($A501="","",IF(LEFT($A501,7)="SAMPLE-","SAMPLE-","")&amp;LOWER(SUBSTITUTE(SUBSTITUTE($A501,"SAMPLE-",""),"CMP-","c"))&amp;"-"&amp;LOWER(SUBSTITUTE(SUBSTITUTE($B501,"SAMPLE-",""),"O-","o"))&amp;"-"&amp;IF($C501="qr","q","p"))</f>
        <v/>
      </c>
      <c r="E501" s="25">
        <f>IF($A501="","","https://"&amp;config!$B$9&amp;"/"&amp;$D501)</f>
        <v/>
      </c>
      <c r="F501" s="25">
        <f>IF($A501="","",$A501&amp;"."&amp;$B501)</f>
        <v/>
      </c>
      <c r="G501" s="25">
        <f>IF($A501="","",IF(IFERROR(IF(INDEX(campaigns!$AJ$2:$AJ$51,MATCH($A501,campaigns!$A$2:$A$51,0))="","",INDEX(campaigns!$AJ$2:$AJ$51,MATCH($A501,campaigns!$A$2:$A$51,0))),"")="","(add the survey prefill template on campaigns)",SUBSTITUTE(IFERROR(IF(INDEX(campaigns!$AJ$2:$AJ$51,MATCH($A501,campaigns!$A$2:$A$51,0))="","",INDEX(campaigns!$AJ$2:$AJ$51,MATCH($A501,campaigns!$A$2:$A$51,0))),""),"CARDCODE",$F501)&amp;"&amp;utm_source=office-pantry&amp;utm_medium="&amp;$C501&amp;"&amp;utm_campaign="&amp;LOWER($A501)&amp;"&amp;utm_content="&amp;LOWER($B501)))</f>
        <v/>
      </c>
      <c r="H501" s="25">
        <f>IF(OR($A501="",$C501&lt;&gt;"qr"),"",$D501&amp;".png")</f>
        <v/>
      </c>
      <c r="I501" s="25">
        <f>IF($A501="","",IF(AND(IFERROR(IF(INDEX(campaigns!$AJ$2:$AJ$51,MATCH($A501,campaigns!$A$2:$A$51,0))="","",INDEX(campaigns!$AJ$2:$AJ$51,MATCH($A501,campaigns!$A$2:$A$51,0))),"")="",IFERROR(IF(INDEX(campaigns!$BG$2:$BG$51,MATCH($A501,campaigns!$A$2:$A$51,0))="","",INDEX(campaigns!$BG$2:$BG$51,MATCH($A501,campaigns!$A$2:$A$51,0))),"")&lt;&gt;"",IF(config!$B$37&lt;&gt;"",config!$B$37,TODAY())&gt;=WORKDAY(N(IFERROR(IF(INDEX(campaigns!$BG$2:$BG$51,MATCH($A501,campaigns!$A$2:$A$51,0))="","",INDEX(campaigns!$BG$2:$BG$51,MATCH($A501,campaigns!$A$2:$A$51,0))),"")),-4,calendar!$A$2:$A$80)),"no prefill template yet (due T-4); ","")&amp;IF(COUNTIF(links!$D$2:$D$501,$D501)&gt;1,"DUPLICATE slug; ",""))</f>
        <v/>
      </c>
    </row>
  </sheetData>
  <conditionalFormatting sqref="I2:I501">
    <cfRule type="expression" priority="1" dxfId="1">
      <formula>LEN(I2)&gt;0</formula>
    </cfRule>
  </conditionalFormatting>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tabColor rgb="00E2EFDA"/>
    <outlinePr summaryBelow="1" summaryRight="1"/>
    <pageSetUpPr/>
  </sheetPr>
  <dimension ref="A1:J16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20" customWidth="1" min="3" max="3"/>
    <col width="14" customWidth="1" min="4" max="4"/>
    <col width="8" customWidth="1" min="5" max="5"/>
    <col width="20" customWidth="1" min="6" max="6"/>
    <col width="14" customWidth="1" min="7" max="7"/>
    <col width="14" customWidth="1" min="8" max="8"/>
    <col width="6" customWidth="1" min="9" max="9"/>
    <col width="24" customWidth="1" min="10" max="10"/>
  </cols>
  <sheetData>
    <row r="1">
      <c r="A1" s="23" t="inlineStr">
        <is>
          <t>read_date</t>
        </is>
      </c>
      <c r="B1" s="23" t="inlineStr">
        <is>
          <t>read_time</t>
        </is>
      </c>
      <c r="C1" s="23" t="inlineStr">
        <is>
          <t>slug</t>
        </is>
      </c>
      <c r="D1" s="23" t="inlineStr">
        <is>
          <t>reading_type</t>
        </is>
      </c>
      <c r="E1" s="23" t="inlineStr">
        <is>
          <t>clicks_to_date</t>
        </is>
      </c>
      <c r="F1" s="23" t="inlineStr">
        <is>
          <t>note</t>
        </is>
      </c>
      <c r="G1" s="24" t="inlineStr">
        <is>
          <t>campaign_id</t>
        </is>
      </c>
      <c r="H1" s="24" t="inlineStr">
        <is>
          <t>office_id</t>
        </is>
      </c>
      <c r="I1" s="24" t="inlineStr">
        <is>
          <t>link_type</t>
        </is>
      </c>
      <c r="J1" s="24" t="inlineStr">
        <is>
          <t>checks</t>
        </is>
      </c>
    </row>
    <row r="2">
      <c r="A2" s="9" t="n">
        <v>46398</v>
      </c>
      <c r="B2" s="33" t="n">
        <v>0.7291666666666666</v>
      </c>
      <c r="C2" t="inlineStr">
        <is>
          <t>SAMPLE-c001-o001-q</t>
        </is>
      </c>
      <c r="D2" t="inlineStr">
        <is>
          <t>baseline</t>
        </is>
      </c>
      <c r="E2" t="n">
        <v>1</v>
      </c>
      <c r="G2" s="25">
        <f>IF($C2="","",IFERROR(IF(INDEX(links!$A$2:$A$501,MATCH($C2,links!$D$2:$D$501,0))="","",INDEX(links!$A$2:$A$501,MATCH($C2,links!$D$2:$D$501,0))),""))</f>
        <v/>
      </c>
      <c r="H2" s="25">
        <f>IF($C2="","",IFERROR(IF(INDEX(links!$B$2:$B$501,MATCH($C2,links!$D$2:$D$501,0))="","",INDEX(links!$B$2:$B$501,MATCH($C2,links!$D$2:$D$501,0))),""))</f>
        <v/>
      </c>
      <c r="I2" s="25">
        <f>IF($C2="","",IFERROR(IF(INDEX(links!$C$2:$C$501,MATCH($C2,links!$D$2:$D$501,0))="","",INDEX(links!$C$2:$C$501,MATCH($C2,links!$D$2:$D$501,0))),""))</f>
        <v/>
      </c>
      <c r="J2" s="25">
        <f>IF($C2="","",IF($G2="","slug not in links; ","")&amp;IF($D2="","reading type missing; ","")&amp;IF(COUNTIFS(scans!$C$2:$C$1601,$C2,scans!$D$2:$D$1601,$D2)&gt;1,"two readings of this type: keep one; ",""))</f>
        <v/>
      </c>
    </row>
    <row r="3">
      <c r="A3" s="9" t="n">
        <v>46401</v>
      </c>
      <c r="B3" s="33" t="n">
        <v>0.7291666666666666</v>
      </c>
      <c r="C3" t="inlineStr">
        <is>
          <t>SAMPLE-c001-o001-q</t>
        </is>
      </c>
      <c r="D3" t="inlineStr">
        <is>
          <t>mid</t>
        </is>
      </c>
      <c r="E3" t="n">
        <v>7</v>
      </c>
      <c r="G3" s="25">
        <f>IF($C3="","",IFERROR(IF(INDEX(links!$A$2:$A$501,MATCH($C3,links!$D$2:$D$501,0))="","",INDEX(links!$A$2:$A$501,MATCH($C3,links!$D$2:$D$501,0))),""))</f>
        <v/>
      </c>
      <c r="H3" s="25">
        <f>IF($C3="","",IFERROR(IF(INDEX(links!$B$2:$B$501,MATCH($C3,links!$D$2:$D$501,0))="","",INDEX(links!$B$2:$B$501,MATCH($C3,links!$D$2:$D$501,0))),""))</f>
        <v/>
      </c>
      <c r="I3" s="25">
        <f>IF($C3="","",IFERROR(IF(INDEX(links!$C$2:$C$501,MATCH($C3,links!$D$2:$D$501,0))="","",INDEX(links!$C$2:$C$501,MATCH($C3,links!$D$2:$D$501,0))),""))</f>
        <v/>
      </c>
      <c r="J3" s="25">
        <f>IF($C3="","",IF($G3="","slug not in links; ","")&amp;IF($D3="","reading type missing; ","")&amp;IF(COUNTIFS(scans!$C$2:$C$1601,$C3,scans!$D$2:$D$1601,$D3)&gt;1,"two readings of this type: keep one; ",""))</f>
        <v/>
      </c>
    </row>
    <row r="4">
      <c r="A4" s="9" t="n">
        <v>46398</v>
      </c>
      <c r="B4" s="33" t="n">
        <v>0.7291666666666666</v>
      </c>
      <c r="C4" t="inlineStr">
        <is>
          <t>SAMPLE-c001-o001-p</t>
        </is>
      </c>
      <c r="D4" t="inlineStr">
        <is>
          <t>baseline</t>
        </is>
      </c>
      <c r="E4" t="n">
        <v>1</v>
      </c>
      <c r="G4" s="25">
        <f>IF($C4="","",IFERROR(IF(INDEX(links!$A$2:$A$501,MATCH($C4,links!$D$2:$D$501,0))="","",INDEX(links!$A$2:$A$501,MATCH($C4,links!$D$2:$D$501,0))),""))</f>
        <v/>
      </c>
      <c r="H4" s="25">
        <f>IF($C4="","",IFERROR(IF(INDEX(links!$B$2:$B$501,MATCH($C4,links!$D$2:$D$501,0))="","",INDEX(links!$B$2:$B$501,MATCH($C4,links!$D$2:$D$501,0))),""))</f>
        <v/>
      </c>
      <c r="I4" s="25">
        <f>IF($C4="","",IFERROR(IF(INDEX(links!$C$2:$C$501,MATCH($C4,links!$D$2:$D$501,0))="","",INDEX(links!$C$2:$C$501,MATCH($C4,links!$D$2:$D$501,0))),""))</f>
        <v/>
      </c>
      <c r="J4" s="25">
        <f>IF($C4="","",IF($G4="","slug not in links; ","")&amp;IF($D4="","reading type missing; ","")&amp;IF(COUNTIFS(scans!$C$2:$C$1601,$C4,scans!$D$2:$D$1601,$D4)&gt;1,"two readings of this type: keep one; ",""))</f>
        <v/>
      </c>
    </row>
    <row r="5">
      <c r="A5" s="9" t="n">
        <v>46401</v>
      </c>
      <c r="B5" s="33" t="n">
        <v>0.7291666666666666</v>
      </c>
      <c r="C5" t="inlineStr">
        <is>
          <t>SAMPLE-c001-o001-p</t>
        </is>
      </c>
      <c r="D5" t="inlineStr">
        <is>
          <t>mid</t>
        </is>
      </c>
      <c r="E5" t="n">
        <v>3</v>
      </c>
      <c r="G5" s="25">
        <f>IF($C5="","",IFERROR(IF(INDEX(links!$A$2:$A$501,MATCH($C5,links!$D$2:$D$501,0))="","",INDEX(links!$A$2:$A$501,MATCH($C5,links!$D$2:$D$501,0))),""))</f>
        <v/>
      </c>
      <c r="H5" s="25">
        <f>IF($C5="","",IFERROR(IF(INDEX(links!$B$2:$B$501,MATCH($C5,links!$D$2:$D$501,0))="","",INDEX(links!$B$2:$B$501,MATCH($C5,links!$D$2:$D$501,0))),""))</f>
        <v/>
      </c>
      <c r="I5" s="25">
        <f>IF($C5="","",IFERROR(IF(INDEX(links!$C$2:$C$501,MATCH($C5,links!$D$2:$D$501,0))="","",INDEX(links!$C$2:$C$501,MATCH($C5,links!$D$2:$D$501,0))),""))</f>
        <v/>
      </c>
      <c r="J5" s="25">
        <f>IF($C5="","",IF($G5="","slug not in links; ","")&amp;IF($D5="","reading type missing; ","")&amp;IF(COUNTIFS(scans!$C$2:$C$1601,$C5,scans!$D$2:$D$1601,$D5)&gt;1,"two readings of this type: keep one; ",""))</f>
        <v/>
      </c>
    </row>
    <row r="6">
      <c r="A6" s="9" t="n">
        <v>46398</v>
      </c>
      <c r="B6" s="33" t="n">
        <v>0.7291666666666666</v>
      </c>
      <c r="C6" t="inlineStr">
        <is>
          <t>SAMPLE-c001-o002-q</t>
        </is>
      </c>
      <c r="D6" t="inlineStr">
        <is>
          <t>baseline</t>
        </is>
      </c>
      <c r="E6" t="n">
        <v>1</v>
      </c>
      <c r="G6" s="25">
        <f>IF($C6="","",IFERROR(IF(INDEX(links!$A$2:$A$501,MATCH($C6,links!$D$2:$D$501,0))="","",INDEX(links!$A$2:$A$501,MATCH($C6,links!$D$2:$D$501,0))),""))</f>
        <v/>
      </c>
      <c r="H6" s="25">
        <f>IF($C6="","",IFERROR(IF(INDEX(links!$B$2:$B$501,MATCH($C6,links!$D$2:$D$501,0))="","",INDEX(links!$B$2:$B$501,MATCH($C6,links!$D$2:$D$501,0))),""))</f>
        <v/>
      </c>
      <c r="I6" s="25">
        <f>IF($C6="","",IFERROR(IF(INDEX(links!$C$2:$C$501,MATCH($C6,links!$D$2:$D$501,0))="","",INDEX(links!$C$2:$C$501,MATCH($C6,links!$D$2:$D$501,0))),""))</f>
        <v/>
      </c>
      <c r="J6" s="25">
        <f>IF($C6="","",IF($G6="","slug not in links; ","")&amp;IF($D6="","reading type missing; ","")&amp;IF(COUNTIFS(scans!$C$2:$C$1601,$C6,scans!$D$2:$D$1601,$D6)&gt;1,"two readings of this type: keep one; ",""))</f>
        <v/>
      </c>
    </row>
    <row r="7">
      <c r="A7" s="9" t="n">
        <v>46401</v>
      </c>
      <c r="B7" s="33" t="n">
        <v>0.7291666666666666</v>
      </c>
      <c r="C7" t="inlineStr">
        <is>
          <t>SAMPLE-c001-o002-q</t>
        </is>
      </c>
      <c r="D7" t="inlineStr">
        <is>
          <t>mid</t>
        </is>
      </c>
      <c r="E7" t="n">
        <v>4</v>
      </c>
      <c r="G7" s="25">
        <f>IF($C7="","",IFERROR(IF(INDEX(links!$A$2:$A$501,MATCH($C7,links!$D$2:$D$501,0))="","",INDEX(links!$A$2:$A$501,MATCH($C7,links!$D$2:$D$501,0))),""))</f>
        <v/>
      </c>
      <c r="H7" s="25">
        <f>IF($C7="","",IFERROR(IF(INDEX(links!$B$2:$B$501,MATCH($C7,links!$D$2:$D$501,0))="","",INDEX(links!$B$2:$B$501,MATCH($C7,links!$D$2:$D$501,0))),""))</f>
        <v/>
      </c>
      <c r="I7" s="25">
        <f>IF($C7="","",IFERROR(IF(INDEX(links!$C$2:$C$501,MATCH($C7,links!$D$2:$D$501,0))="","",INDEX(links!$C$2:$C$501,MATCH($C7,links!$D$2:$D$501,0))),""))</f>
        <v/>
      </c>
      <c r="J7" s="25">
        <f>IF($C7="","",IF($G7="","slug not in links; ","")&amp;IF($D7="","reading type missing; ","")&amp;IF(COUNTIFS(scans!$C$2:$C$1601,$C7,scans!$D$2:$D$1601,$D7)&gt;1,"two readings of this type: keep one; ",""))</f>
        <v/>
      </c>
    </row>
    <row r="8">
      <c r="A8" s="9" t="n">
        <v>46398</v>
      </c>
      <c r="B8" s="33" t="n">
        <v>0.7291666666666666</v>
      </c>
      <c r="C8" t="inlineStr">
        <is>
          <t>SAMPLE-c001-o002-p</t>
        </is>
      </c>
      <c r="D8" t="inlineStr">
        <is>
          <t>baseline</t>
        </is>
      </c>
      <c r="E8" t="n">
        <v>1</v>
      </c>
      <c r="G8" s="25">
        <f>IF($C8="","",IFERROR(IF(INDEX(links!$A$2:$A$501,MATCH($C8,links!$D$2:$D$501,0))="","",INDEX(links!$A$2:$A$501,MATCH($C8,links!$D$2:$D$501,0))),""))</f>
        <v/>
      </c>
      <c r="H8" s="25">
        <f>IF($C8="","",IFERROR(IF(INDEX(links!$B$2:$B$501,MATCH($C8,links!$D$2:$D$501,0))="","",INDEX(links!$B$2:$B$501,MATCH($C8,links!$D$2:$D$501,0))),""))</f>
        <v/>
      </c>
      <c r="I8" s="25">
        <f>IF($C8="","",IFERROR(IF(INDEX(links!$C$2:$C$501,MATCH($C8,links!$D$2:$D$501,0))="","",INDEX(links!$C$2:$C$501,MATCH($C8,links!$D$2:$D$501,0))),""))</f>
        <v/>
      </c>
      <c r="J8" s="25">
        <f>IF($C8="","",IF($G8="","slug not in links; ","")&amp;IF($D8="","reading type missing; ","")&amp;IF(COUNTIFS(scans!$C$2:$C$1601,$C8,scans!$D$2:$D$1601,$D8)&gt;1,"two readings of this type: keep one; ",""))</f>
        <v/>
      </c>
    </row>
    <row r="9">
      <c r="A9" s="9" t="n">
        <v>46401</v>
      </c>
      <c r="B9" s="33" t="n">
        <v>0.7291666666666666</v>
      </c>
      <c r="C9" t="inlineStr">
        <is>
          <t>SAMPLE-c001-o002-p</t>
        </is>
      </c>
      <c r="D9" t="inlineStr">
        <is>
          <t>mid</t>
        </is>
      </c>
      <c r="E9" t="n">
        <v>1</v>
      </c>
      <c r="G9" s="25">
        <f>IF($C9="","",IFERROR(IF(INDEX(links!$A$2:$A$501,MATCH($C9,links!$D$2:$D$501,0))="","",INDEX(links!$A$2:$A$501,MATCH($C9,links!$D$2:$D$501,0))),""))</f>
        <v/>
      </c>
      <c r="H9" s="25">
        <f>IF($C9="","",IFERROR(IF(INDEX(links!$B$2:$B$501,MATCH($C9,links!$D$2:$D$501,0))="","",INDEX(links!$B$2:$B$501,MATCH($C9,links!$D$2:$D$501,0))),""))</f>
        <v/>
      </c>
      <c r="I9" s="25">
        <f>IF($C9="","",IFERROR(IF(INDEX(links!$C$2:$C$501,MATCH($C9,links!$D$2:$D$501,0))="","",INDEX(links!$C$2:$C$501,MATCH($C9,links!$D$2:$D$501,0))),""))</f>
        <v/>
      </c>
      <c r="J9" s="25">
        <f>IF($C9="","",IF($G9="","slug not in links; ","")&amp;IF($D9="","reading type missing; ","")&amp;IF(COUNTIFS(scans!$C$2:$C$1601,$C9,scans!$D$2:$D$1601,$D9)&gt;1,"two readings of this type: keep one; ",""))</f>
        <v/>
      </c>
    </row>
    <row r="10">
      <c r="A10" s="9" t="n">
        <v>46398</v>
      </c>
      <c r="B10" s="33" t="n">
        <v>0.7291666666666666</v>
      </c>
      <c r="C10" t="inlineStr">
        <is>
          <t>SAMPLE-c001-o003-q</t>
        </is>
      </c>
      <c r="D10" t="inlineStr">
        <is>
          <t>baseline</t>
        </is>
      </c>
      <c r="E10" t="n">
        <v>1</v>
      </c>
      <c r="G10" s="25">
        <f>IF($C10="","",IFERROR(IF(INDEX(links!$A$2:$A$501,MATCH($C10,links!$D$2:$D$501,0))="","",INDEX(links!$A$2:$A$501,MATCH($C10,links!$D$2:$D$501,0))),""))</f>
        <v/>
      </c>
      <c r="H10" s="25">
        <f>IF($C10="","",IFERROR(IF(INDEX(links!$B$2:$B$501,MATCH($C10,links!$D$2:$D$501,0))="","",INDEX(links!$B$2:$B$501,MATCH($C10,links!$D$2:$D$501,0))),""))</f>
        <v/>
      </c>
      <c r="I10" s="25">
        <f>IF($C10="","",IFERROR(IF(INDEX(links!$C$2:$C$501,MATCH($C10,links!$D$2:$D$501,0))="","",INDEX(links!$C$2:$C$501,MATCH($C10,links!$D$2:$D$501,0))),""))</f>
        <v/>
      </c>
      <c r="J10" s="25">
        <f>IF($C10="","",IF($G10="","slug not in links; ","")&amp;IF($D10="","reading type missing; ","")&amp;IF(COUNTIFS(scans!$C$2:$C$1601,$C10,scans!$D$2:$D$1601,$D10)&gt;1,"two readings of this type: keep one; ",""))</f>
        <v/>
      </c>
    </row>
    <row r="11">
      <c r="A11" s="9" t="n">
        <v>46401</v>
      </c>
      <c r="B11" s="33" t="n">
        <v>0.7291666666666666</v>
      </c>
      <c r="C11" t="inlineStr">
        <is>
          <t>SAMPLE-c001-o003-q</t>
        </is>
      </c>
      <c r="D11" t="inlineStr">
        <is>
          <t>mid</t>
        </is>
      </c>
      <c r="E11" t="n">
        <v>6</v>
      </c>
      <c r="G11" s="25">
        <f>IF($C11="","",IFERROR(IF(INDEX(links!$A$2:$A$501,MATCH($C11,links!$D$2:$D$501,0))="","",INDEX(links!$A$2:$A$501,MATCH($C11,links!$D$2:$D$501,0))),""))</f>
        <v/>
      </c>
      <c r="H11" s="25">
        <f>IF($C11="","",IFERROR(IF(INDEX(links!$B$2:$B$501,MATCH($C11,links!$D$2:$D$501,0))="","",INDEX(links!$B$2:$B$501,MATCH($C11,links!$D$2:$D$501,0))),""))</f>
        <v/>
      </c>
      <c r="I11" s="25">
        <f>IF($C11="","",IFERROR(IF(INDEX(links!$C$2:$C$501,MATCH($C11,links!$D$2:$D$501,0))="","",INDEX(links!$C$2:$C$501,MATCH($C11,links!$D$2:$D$501,0))),""))</f>
        <v/>
      </c>
      <c r="J11" s="25">
        <f>IF($C11="","",IF($G11="","slug not in links; ","")&amp;IF($D11="","reading type missing; ","")&amp;IF(COUNTIFS(scans!$C$2:$C$1601,$C11,scans!$D$2:$D$1601,$D11)&gt;1,"two readings of this type: keep one; ",""))</f>
        <v/>
      </c>
    </row>
    <row r="12">
      <c r="A12" s="9" t="n">
        <v>46398</v>
      </c>
      <c r="B12" s="33" t="n">
        <v>0.7291666666666666</v>
      </c>
      <c r="C12" t="inlineStr">
        <is>
          <t>SAMPLE-c001-o003-p</t>
        </is>
      </c>
      <c r="D12" t="inlineStr">
        <is>
          <t>baseline</t>
        </is>
      </c>
      <c r="E12" t="n">
        <v>1</v>
      </c>
      <c r="G12" s="25">
        <f>IF($C12="","",IFERROR(IF(INDEX(links!$A$2:$A$501,MATCH($C12,links!$D$2:$D$501,0))="","",INDEX(links!$A$2:$A$501,MATCH($C12,links!$D$2:$D$501,0))),""))</f>
        <v/>
      </c>
      <c r="H12" s="25">
        <f>IF($C12="","",IFERROR(IF(INDEX(links!$B$2:$B$501,MATCH($C12,links!$D$2:$D$501,0))="","",INDEX(links!$B$2:$B$501,MATCH($C12,links!$D$2:$D$501,0))),""))</f>
        <v/>
      </c>
      <c r="I12" s="25">
        <f>IF($C12="","",IFERROR(IF(INDEX(links!$C$2:$C$501,MATCH($C12,links!$D$2:$D$501,0))="","",INDEX(links!$C$2:$C$501,MATCH($C12,links!$D$2:$D$501,0))),""))</f>
        <v/>
      </c>
      <c r="J12" s="25">
        <f>IF($C12="","",IF($G12="","slug not in links; ","")&amp;IF($D12="","reading type missing; ","")&amp;IF(COUNTIFS(scans!$C$2:$C$1601,$C12,scans!$D$2:$D$1601,$D12)&gt;1,"two readings of this type: keep one; ",""))</f>
        <v/>
      </c>
    </row>
    <row r="13">
      <c r="A13" s="9" t="n">
        <v>46401</v>
      </c>
      <c r="B13" s="33" t="n">
        <v>0.7291666666666666</v>
      </c>
      <c r="C13" t="inlineStr">
        <is>
          <t>SAMPLE-c001-o003-p</t>
        </is>
      </c>
      <c r="D13" t="inlineStr">
        <is>
          <t>mid</t>
        </is>
      </c>
      <c r="E13" t="n">
        <v>3</v>
      </c>
      <c r="G13" s="25">
        <f>IF($C13="","",IFERROR(IF(INDEX(links!$A$2:$A$501,MATCH($C13,links!$D$2:$D$501,0))="","",INDEX(links!$A$2:$A$501,MATCH($C13,links!$D$2:$D$501,0))),""))</f>
        <v/>
      </c>
      <c r="H13" s="25">
        <f>IF($C13="","",IFERROR(IF(INDEX(links!$B$2:$B$501,MATCH($C13,links!$D$2:$D$501,0))="","",INDEX(links!$B$2:$B$501,MATCH($C13,links!$D$2:$D$501,0))),""))</f>
        <v/>
      </c>
      <c r="I13" s="25">
        <f>IF($C13="","",IFERROR(IF(INDEX(links!$C$2:$C$501,MATCH($C13,links!$D$2:$D$501,0))="","",INDEX(links!$C$2:$C$501,MATCH($C13,links!$D$2:$D$501,0))),""))</f>
        <v/>
      </c>
      <c r="J13" s="25">
        <f>IF($C13="","",IF($G13="","slug not in links; ","")&amp;IF($D13="","reading type missing; ","")&amp;IF(COUNTIFS(scans!$C$2:$C$1601,$C13,scans!$D$2:$D$1601,$D13)&gt;1,"two readings of this type: keep one; ",""))</f>
        <v/>
      </c>
    </row>
    <row r="14">
      <c r="A14" s="9" t="n">
        <v>46398</v>
      </c>
      <c r="B14" s="33" t="n">
        <v>0.7291666666666666</v>
      </c>
      <c r="C14" t="inlineStr">
        <is>
          <t>SAMPLE-c001-o004-q</t>
        </is>
      </c>
      <c r="D14" t="inlineStr">
        <is>
          <t>baseline</t>
        </is>
      </c>
      <c r="E14" t="n">
        <v>1</v>
      </c>
      <c r="G14" s="25">
        <f>IF($C14="","",IFERROR(IF(INDEX(links!$A$2:$A$501,MATCH($C14,links!$D$2:$D$501,0))="","",INDEX(links!$A$2:$A$501,MATCH($C14,links!$D$2:$D$501,0))),""))</f>
        <v/>
      </c>
      <c r="H14" s="25">
        <f>IF($C14="","",IFERROR(IF(INDEX(links!$B$2:$B$501,MATCH($C14,links!$D$2:$D$501,0))="","",INDEX(links!$B$2:$B$501,MATCH($C14,links!$D$2:$D$501,0))),""))</f>
        <v/>
      </c>
      <c r="I14" s="25">
        <f>IF($C14="","",IFERROR(IF(INDEX(links!$C$2:$C$501,MATCH($C14,links!$D$2:$D$501,0))="","",INDEX(links!$C$2:$C$501,MATCH($C14,links!$D$2:$D$501,0))),""))</f>
        <v/>
      </c>
      <c r="J14" s="25">
        <f>IF($C14="","",IF($G14="","slug not in links; ","")&amp;IF($D14="","reading type missing; ","")&amp;IF(COUNTIFS(scans!$C$2:$C$1601,$C14,scans!$D$2:$D$1601,$D14)&gt;1,"two readings of this type: keep one; ",""))</f>
        <v/>
      </c>
    </row>
    <row r="15">
      <c r="A15" s="9" t="n">
        <v>46401</v>
      </c>
      <c r="B15" s="33" t="n">
        <v>0.7291666666666666</v>
      </c>
      <c r="C15" t="inlineStr">
        <is>
          <t>SAMPLE-c001-o004-q</t>
        </is>
      </c>
      <c r="D15" t="inlineStr">
        <is>
          <t>mid</t>
        </is>
      </c>
      <c r="E15" t="n">
        <v>2</v>
      </c>
      <c r="G15" s="25">
        <f>IF($C15="","",IFERROR(IF(INDEX(links!$A$2:$A$501,MATCH($C15,links!$D$2:$D$501,0))="","",INDEX(links!$A$2:$A$501,MATCH($C15,links!$D$2:$D$501,0))),""))</f>
        <v/>
      </c>
      <c r="H15" s="25">
        <f>IF($C15="","",IFERROR(IF(INDEX(links!$B$2:$B$501,MATCH($C15,links!$D$2:$D$501,0))="","",INDEX(links!$B$2:$B$501,MATCH($C15,links!$D$2:$D$501,0))),""))</f>
        <v/>
      </c>
      <c r="I15" s="25">
        <f>IF($C15="","",IFERROR(IF(INDEX(links!$C$2:$C$501,MATCH($C15,links!$D$2:$D$501,0))="","",INDEX(links!$C$2:$C$501,MATCH($C15,links!$D$2:$D$501,0))),""))</f>
        <v/>
      </c>
      <c r="J15" s="25">
        <f>IF($C15="","",IF($G15="","slug not in links; ","")&amp;IF($D15="","reading type missing; ","")&amp;IF(COUNTIFS(scans!$C$2:$C$1601,$C15,scans!$D$2:$D$1601,$D15)&gt;1,"two readings of this type: keep one; ",""))</f>
        <v/>
      </c>
    </row>
    <row r="16">
      <c r="A16" s="9" t="n">
        <v>46398</v>
      </c>
      <c r="B16" s="33" t="n">
        <v>0.7291666666666666</v>
      </c>
      <c r="C16" t="inlineStr">
        <is>
          <t>SAMPLE-c001-o004-p</t>
        </is>
      </c>
      <c r="D16" t="inlineStr">
        <is>
          <t>baseline</t>
        </is>
      </c>
      <c r="E16" t="n">
        <v>1</v>
      </c>
      <c r="G16" s="25">
        <f>IF($C16="","",IFERROR(IF(INDEX(links!$A$2:$A$501,MATCH($C16,links!$D$2:$D$501,0))="","",INDEX(links!$A$2:$A$501,MATCH($C16,links!$D$2:$D$501,0))),""))</f>
        <v/>
      </c>
      <c r="H16" s="25">
        <f>IF($C16="","",IFERROR(IF(INDEX(links!$B$2:$B$501,MATCH($C16,links!$D$2:$D$501,0))="","",INDEX(links!$B$2:$B$501,MATCH($C16,links!$D$2:$D$501,0))),""))</f>
        <v/>
      </c>
      <c r="I16" s="25">
        <f>IF($C16="","",IFERROR(IF(INDEX(links!$C$2:$C$501,MATCH($C16,links!$D$2:$D$501,0))="","",INDEX(links!$C$2:$C$501,MATCH($C16,links!$D$2:$D$501,0))),""))</f>
        <v/>
      </c>
      <c r="J16" s="25">
        <f>IF($C16="","",IF($G16="","slug not in links; ","")&amp;IF($D16="","reading type missing; ","")&amp;IF(COUNTIFS(scans!$C$2:$C$1601,$C16,scans!$D$2:$D$1601,$D16)&gt;1,"two readings of this type: keep one; ",""))</f>
        <v/>
      </c>
    </row>
    <row r="17">
      <c r="A17" s="9" t="n">
        <v>46401</v>
      </c>
      <c r="B17" s="33" t="n">
        <v>0.7291666666666666</v>
      </c>
      <c r="C17" t="inlineStr">
        <is>
          <t>SAMPLE-c001-o004-p</t>
        </is>
      </c>
      <c r="D17" t="inlineStr">
        <is>
          <t>mid</t>
        </is>
      </c>
      <c r="E17" t="n">
        <v>1</v>
      </c>
      <c r="G17" s="25">
        <f>IF($C17="","",IFERROR(IF(INDEX(links!$A$2:$A$501,MATCH($C17,links!$D$2:$D$501,0))="","",INDEX(links!$A$2:$A$501,MATCH($C17,links!$D$2:$D$501,0))),""))</f>
        <v/>
      </c>
      <c r="H17" s="25">
        <f>IF($C17="","",IFERROR(IF(INDEX(links!$B$2:$B$501,MATCH($C17,links!$D$2:$D$501,0))="","",INDEX(links!$B$2:$B$501,MATCH($C17,links!$D$2:$D$501,0))),""))</f>
        <v/>
      </c>
      <c r="I17" s="25">
        <f>IF($C17="","",IFERROR(IF(INDEX(links!$C$2:$C$501,MATCH($C17,links!$D$2:$D$501,0))="","",INDEX(links!$C$2:$C$501,MATCH($C17,links!$D$2:$D$501,0))),""))</f>
        <v/>
      </c>
      <c r="J17" s="25">
        <f>IF($C17="","",IF($G17="","slug not in links; ","")&amp;IF($D17="","reading type missing; ","")&amp;IF(COUNTIFS(scans!$C$2:$C$1601,$C17,scans!$D$2:$D$1601,$D17)&gt;1,"two readings of this type: keep one; ",""))</f>
        <v/>
      </c>
    </row>
    <row r="18">
      <c r="A18" s="9" t="n">
        <v>46398</v>
      </c>
      <c r="B18" s="33" t="n">
        <v>0.7291666666666666</v>
      </c>
      <c r="C18" t="inlineStr">
        <is>
          <t>SAMPLE-c001-o005-q</t>
        </is>
      </c>
      <c r="D18" t="inlineStr">
        <is>
          <t>baseline</t>
        </is>
      </c>
      <c r="E18" t="n">
        <v>1</v>
      </c>
      <c r="G18" s="25">
        <f>IF($C18="","",IFERROR(IF(INDEX(links!$A$2:$A$501,MATCH($C18,links!$D$2:$D$501,0))="","",INDEX(links!$A$2:$A$501,MATCH($C18,links!$D$2:$D$501,0))),""))</f>
        <v/>
      </c>
      <c r="H18" s="25">
        <f>IF($C18="","",IFERROR(IF(INDEX(links!$B$2:$B$501,MATCH($C18,links!$D$2:$D$501,0))="","",INDEX(links!$B$2:$B$501,MATCH($C18,links!$D$2:$D$501,0))),""))</f>
        <v/>
      </c>
      <c r="I18" s="25">
        <f>IF($C18="","",IFERROR(IF(INDEX(links!$C$2:$C$501,MATCH($C18,links!$D$2:$D$501,0))="","",INDEX(links!$C$2:$C$501,MATCH($C18,links!$D$2:$D$501,0))),""))</f>
        <v/>
      </c>
      <c r="J18" s="25">
        <f>IF($C18="","",IF($G18="","slug not in links; ","")&amp;IF($D18="","reading type missing; ","")&amp;IF(COUNTIFS(scans!$C$2:$C$1601,$C18,scans!$D$2:$D$1601,$D18)&gt;1,"two readings of this type: keep one; ",""))</f>
        <v/>
      </c>
    </row>
    <row r="19">
      <c r="A19" s="9" t="n">
        <v>46401</v>
      </c>
      <c r="B19" s="33" t="n">
        <v>0.7291666666666666</v>
      </c>
      <c r="C19" t="inlineStr">
        <is>
          <t>SAMPLE-c001-o005-q</t>
        </is>
      </c>
      <c r="D19" t="inlineStr">
        <is>
          <t>mid</t>
        </is>
      </c>
      <c r="E19" t="n">
        <v>5</v>
      </c>
      <c r="G19" s="25">
        <f>IF($C19="","",IFERROR(IF(INDEX(links!$A$2:$A$501,MATCH($C19,links!$D$2:$D$501,0))="","",INDEX(links!$A$2:$A$501,MATCH($C19,links!$D$2:$D$501,0))),""))</f>
        <v/>
      </c>
      <c r="H19" s="25">
        <f>IF($C19="","",IFERROR(IF(INDEX(links!$B$2:$B$501,MATCH($C19,links!$D$2:$D$501,0))="","",INDEX(links!$B$2:$B$501,MATCH($C19,links!$D$2:$D$501,0))),""))</f>
        <v/>
      </c>
      <c r="I19" s="25">
        <f>IF($C19="","",IFERROR(IF(INDEX(links!$C$2:$C$501,MATCH($C19,links!$D$2:$D$501,0))="","",INDEX(links!$C$2:$C$501,MATCH($C19,links!$D$2:$D$501,0))),""))</f>
        <v/>
      </c>
      <c r="J19" s="25">
        <f>IF($C19="","",IF($G19="","slug not in links; ","")&amp;IF($D19="","reading type missing; ","")&amp;IF(COUNTIFS(scans!$C$2:$C$1601,$C19,scans!$D$2:$D$1601,$D19)&gt;1,"two readings of this type: keep one; ",""))</f>
        <v/>
      </c>
    </row>
    <row r="20">
      <c r="A20" s="9" t="n">
        <v>46398</v>
      </c>
      <c r="B20" s="33" t="n">
        <v>0.7291666666666666</v>
      </c>
      <c r="C20" t="inlineStr">
        <is>
          <t>SAMPLE-c001-o005-p</t>
        </is>
      </c>
      <c r="D20" t="inlineStr">
        <is>
          <t>baseline</t>
        </is>
      </c>
      <c r="E20" t="n">
        <v>1</v>
      </c>
      <c r="G20" s="25">
        <f>IF($C20="","",IFERROR(IF(INDEX(links!$A$2:$A$501,MATCH($C20,links!$D$2:$D$501,0))="","",INDEX(links!$A$2:$A$501,MATCH($C20,links!$D$2:$D$501,0))),""))</f>
        <v/>
      </c>
      <c r="H20" s="25">
        <f>IF($C20="","",IFERROR(IF(INDEX(links!$B$2:$B$501,MATCH($C20,links!$D$2:$D$501,0))="","",INDEX(links!$B$2:$B$501,MATCH($C20,links!$D$2:$D$501,0))),""))</f>
        <v/>
      </c>
      <c r="I20" s="25">
        <f>IF($C20="","",IFERROR(IF(INDEX(links!$C$2:$C$501,MATCH($C20,links!$D$2:$D$501,0))="","",INDEX(links!$C$2:$C$501,MATCH($C20,links!$D$2:$D$501,0))),""))</f>
        <v/>
      </c>
      <c r="J20" s="25">
        <f>IF($C20="","",IF($G20="","slug not in links; ","")&amp;IF($D20="","reading type missing; ","")&amp;IF(COUNTIFS(scans!$C$2:$C$1601,$C20,scans!$D$2:$D$1601,$D20)&gt;1,"two readings of this type: keep one; ",""))</f>
        <v/>
      </c>
    </row>
    <row r="21">
      <c r="A21" s="9" t="n">
        <v>46401</v>
      </c>
      <c r="B21" s="33" t="n">
        <v>0.7291666666666666</v>
      </c>
      <c r="C21" t="inlineStr">
        <is>
          <t>SAMPLE-c001-o005-p</t>
        </is>
      </c>
      <c r="D21" t="inlineStr">
        <is>
          <t>mid</t>
        </is>
      </c>
      <c r="E21" t="n">
        <v>4</v>
      </c>
      <c r="G21" s="25">
        <f>IF($C21="","",IFERROR(IF(INDEX(links!$A$2:$A$501,MATCH($C21,links!$D$2:$D$501,0))="","",INDEX(links!$A$2:$A$501,MATCH($C21,links!$D$2:$D$501,0))),""))</f>
        <v/>
      </c>
      <c r="H21" s="25">
        <f>IF($C21="","",IFERROR(IF(INDEX(links!$B$2:$B$501,MATCH($C21,links!$D$2:$D$501,0))="","",INDEX(links!$B$2:$B$501,MATCH($C21,links!$D$2:$D$501,0))),""))</f>
        <v/>
      </c>
      <c r="I21" s="25">
        <f>IF($C21="","",IFERROR(IF(INDEX(links!$C$2:$C$501,MATCH($C21,links!$D$2:$D$501,0))="","",INDEX(links!$C$2:$C$501,MATCH($C21,links!$D$2:$D$501,0))),""))</f>
        <v/>
      </c>
      <c r="J21" s="25">
        <f>IF($C21="","",IF($G21="","slug not in links; ","")&amp;IF($D21="","reading type missing; ","")&amp;IF(COUNTIFS(scans!$C$2:$C$1601,$C21,scans!$D$2:$D$1601,$D21)&gt;1,"two readings of this type: keep one; ",""))</f>
        <v/>
      </c>
    </row>
    <row r="22">
      <c r="A22" s="9" t="n">
        <v>46398</v>
      </c>
      <c r="B22" s="33" t="n">
        <v>0.7291666666666666</v>
      </c>
      <c r="C22" t="inlineStr">
        <is>
          <t>SAMPLE-c002-o001-q</t>
        </is>
      </c>
      <c r="D22" t="inlineStr">
        <is>
          <t>baseline</t>
        </is>
      </c>
      <c r="E22" t="n">
        <v>1</v>
      </c>
      <c r="G22" s="25">
        <f>IF($C22="","",IFERROR(IF(INDEX(links!$A$2:$A$501,MATCH($C22,links!$D$2:$D$501,0))="","",INDEX(links!$A$2:$A$501,MATCH($C22,links!$D$2:$D$501,0))),""))</f>
        <v/>
      </c>
      <c r="H22" s="25">
        <f>IF($C22="","",IFERROR(IF(INDEX(links!$B$2:$B$501,MATCH($C22,links!$D$2:$D$501,0))="","",INDEX(links!$B$2:$B$501,MATCH($C22,links!$D$2:$D$501,0))),""))</f>
        <v/>
      </c>
      <c r="I22" s="25">
        <f>IF($C22="","",IFERROR(IF(INDEX(links!$C$2:$C$501,MATCH($C22,links!$D$2:$D$501,0))="","",INDEX(links!$C$2:$C$501,MATCH($C22,links!$D$2:$D$501,0))),""))</f>
        <v/>
      </c>
      <c r="J22" s="25">
        <f>IF($C22="","",IF($G22="","slug not in links; ","")&amp;IF($D22="","reading type missing; ","")&amp;IF(COUNTIFS(scans!$C$2:$C$1601,$C22,scans!$D$2:$D$1601,$D22)&gt;1,"two readings of this type: keep one; ",""))</f>
        <v/>
      </c>
    </row>
    <row r="23">
      <c r="A23" s="9" t="n">
        <v>46401</v>
      </c>
      <c r="B23" s="33" t="n">
        <v>0.7291666666666666</v>
      </c>
      <c r="C23" t="inlineStr">
        <is>
          <t>SAMPLE-c002-o001-q</t>
        </is>
      </c>
      <c r="D23" t="inlineStr">
        <is>
          <t>mid</t>
        </is>
      </c>
      <c r="E23" t="n">
        <v>5</v>
      </c>
      <c r="G23" s="25">
        <f>IF($C23="","",IFERROR(IF(INDEX(links!$A$2:$A$501,MATCH($C23,links!$D$2:$D$501,0))="","",INDEX(links!$A$2:$A$501,MATCH($C23,links!$D$2:$D$501,0))),""))</f>
        <v/>
      </c>
      <c r="H23" s="25">
        <f>IF($C23="","",IFERROR(IF(INDEX(links!$B$2:$B$501,MATCH($C23,links!$D$2:$D$501,0))="","",INDEX(links!$B$2:$B$501,MATCH($C23,links!$D$2:$D$501,0))),""))</f>
        <v/>
      </c>
      <c r="I23" s="25">
        <f>IF($C23="","",IFERROR(IF(INDEX(links!$C$2:$C$501,MATCH($C23,links!$D$2:$D$501,0))="","",INDEX(links!$C$2:$C$501,MATCH($C23,links!$D$2:$D$501,0))),""))</f>
        <v/>
      </c>
      <c r="J23" s="25">
        <f>IF($C23="","",IF($G23="","slug not in links; ","")&amp;IF($D23="","reading type missing; ","")&amp;IF(COUNTIFS(scans!$C$2:$C$1601,$C23,scans!$D$2:$D$1601,$D23)&gt;1,"two readings of this type: keep one; ",""))</f>
        <v/>
      </c>
    </row>
    <row r="24">
      <c r="A24" s="9" t="n">
        <v>46398</v>
      </c>
      <c r="B24" s="33" t="n">
        <v>0.7291666666666666</v>
      </c>
      <c r="C24" t="inlineStr">
        <is>
          <t>SAMPLE-c002-o001-p</t>
        </is>
      </c>
      <c r="D24" t="inlineStr">
        <is>
          <t>baseline</t>
        </is>
      </c>
      <c r="E24" t="n">
        <v>1</v>
      </c>
      <c r="G24" s="25">
        <f>IF($C24="","",IFERROR(IF(INDEX(links!$A$2:$A$501,MATCH($C24,links!$D$2:$D$501,0))="","",INDEX(links!$A$2:$A$501,MATCH($C24,links!$D$2:$D$501,0))),""))</f>
        <v/>
      </c>
      <c r="H24" s="25">
        <f>IF($C24="","",IFERROR(IF(INDEX(links!$B$2:$B$501,MATCH($C24,links!$D$2:$D$501,0))="","",INDEX(links!$B$2:$B$501,MATCH($C24,links!$D$2:$D$501,0))),""))</f>
        <v/>
      </c>
      <c r="I24" s="25">
        <f>IF($C24="","",IFERROR(IF(INDEX(links!$C$2:$C$501,MATCH($C24,links!$D$2:$D$501,0))="","",INDEX(links!$C$2:$C$501,MATCH($C24,links!$D$2:$D$501,0))),""))</f>
        <v/>
      </c>
      <c r="J24" s="25">
        <f>IF($C24="","",IF($G24="","slug not in links; ","")&amp;IF($D24="","reading type missing; ","")&amp;IF(COUNTIFS(scans!$C$2:$C$1601,$C24,scans!$D$2:$D$1601,$D24)&gt;1,"two readings of this type: keep one; ",""))</f>
        <v/>
      </c>
    </row>
    <row r="25">
      <c r="A25" s="9" t="n">
        <v>46401</v>
      </c>
      <c r="B25" s="33" t="n">
        <v>0.7291666666666666</v>
      </c>
      <c r="C25" t="inlineStr">
        <is>
          <t>SAMPLE-c002-o001-p</t>
        </is>
      </c>
      <c r="D25" t="inlineStr">
        <is>
          <t>mid</t>
        </is>
      </c>
      <c r="E25" t="n">
        <v>2</v>
      </c>
      <c r="G25" s="25">
        <f>IF($C25="","",IFERROR(IF(INDEX(links!$A$2:$A$501,MATCH($C25,links!$D$2:$D$501,0))="","",INDEX(links!$A$2:$A$501,MATCH($C25,links!$D$2:$D$501,0))),""))</f>
        <v/>
      </c>
      <c r="H25" s="25">
        <f>IF($C25="","",IFERROR(IF(INDEX(links!$B$2:$B$501,MATCH($C25,links!$D$2:$D$501,0))="","",INDEX(links!$B$2:$B$501,MATCH($C25,links!$D$2:$D$501,0))),""))</f>
        <v/>
      </c>
      <c r="I25" s="25">
        <f>IF($C25="","",IFERROR(IF(INDEX(links!$C$2:$C$501,MATCH($C25,links!$D$2:$D$501,0))="","",INDEX(links!$C$2:$C$501,MATCH($C25,links!$D$2:$D$501,0))),""))</f>
        <v/>
      </c>
      <c r="J25" s="25">
        <f>IF($C25="","",IF($G25="","slug not in links; ","")&amp;IF($D25="","reading type missing; ","")&amp;IF(COUNTIFS(scans!$C$2:$C$1601,$C25,scans!$D$2:$D$1601,$D25)&gt;1,"two readings of this type: keep one; ",""))</f>
        <v/>
      </c>
    </row>
    <row r="26">
      <c r="A26" s="9" t="n">
        <v>46398</v>
      </c>
      <c r="B26" s="33" t="n">
        <v>0.7291666666666666</v>
      </c>
      <c r="C26" t="inlineStr">
        <is>
          <t>SAMPLE-c002-o002-q</t>
        </is>
      </c>
      <c r="D26" t="inlineStr">
        <is>
          <t>baseline</t>
        </is>
      </c>
      <c r="E26" t="n">
        <v>1</v>
      </c>
      <c r="G26" s="25">
        <f>IF($C26="","",IFERROR(IF(INDEX(links!$A$2:$A$501,MATCH($C26,links!$D$2:$D$501,0))="","",INDEX(links!$A$2:$A$501,MATCH($C26,links!$D$2:$D$501,0))),""))</f>
        <v/>
      </c>
      <c r="H26" s="25">
        <f>IF($C26="","",IFERROR(IF(INDEX(links!$B$2:$B$501,MATCH($C26,links!$D$2:$D$501,0))="","",INDEX(links!$B$2:$B$501,MATCH($C26,links!$D$2:$D$501,0))),""))</f>
        <v/>
      </c>
      <c r="I26" s="25">
        <f>IF($C26="","",IFERROR(IF(INDEX(links!$C$2:$C$501,MATCH($C26,links!$D$2:$D$501,0))="","",INDEX(links!$C$2:$C$501,MATCH($C26,links!$D$2:$D$501,0))),""))</f>
        <v/>
      </c>
      <c r="J26" s="25">
        <f>IF($C26="","",IF($G26="","slug not in links; ","")&amp;IF($D26="","reading type missing; ","")&amp;IF(COUNTIFS(scans!$C$2:$C$1601,$C26,scans!$D$2:$D$1601,$D26)&gt;1,"two readings of this type: keep one; ",""))</f>
        <v/>
      </c>
    </row>
    <row r="27">
      <c r="A27" s="9" t="n">
        <v>46401</v>
      </c>
      <c r="B27" s="33" t="n">
        <v>0.7291666666666666</v>
      </c>
      <c r="C27" t="inlineStr">
        <is>
          <t>SAMPLE-c002-o002-q</t>
        </is>
      </c>
      <c r="D27" t="inlineStr">
        <is>
          <t>mid</t>
        </is>
      </c>
      <c r="E27" t="n">
        <v>3</v>
      </c>
      <c r="G27" s="25">
        <f>IF($C27="","",IFERROR(IF(INDEX(links!$A$2:$A$501,MATCH($C27,links!$D$2:$D$501,0))="","",INDEX(links!$A$2:$A$501,MATCH($C27,links!$D$2:$D$501,0))),""))</f>
        <v/>
      </c>
      <c r="H27" s="25">
        <f>IF($C27="","",IFERROR(IF(INDEX(links!$B$2:$B$501,MATCH($C27,links!$D$2:$D$501,0))="","",INDEX(links!$B$2:$B$501,MATCH($C27,links!$D$2:$D$501,0))),""))</f>
        <v/>
      </c>
      <c r="I27" s="25">
        <f>IF($C27="","",IFERROR(IF(INDEX(links!$C$2:$C$501,MATCH($C27,links!$D$2:$D$501,0))="","",INDEX(links!$C$2:$C$501,MATCH($C27,links!$D$2:$D$501,0))),""))</f>
        <v/>
      </c>
      <c r="J27" s="25">
        <f>IF($C27="","",IF($G27="","slug not in links; ","")&amp;IF($D27="","reading type missing; ","")&amp;IF(COUNTIFS(scans!$C$2:$C$1601,$C27,scans!$D$2:$D$1601,$D27)&gt;1,"two readings of this type: keep one; ",""))</f>
        <v/>
      </c>
    </row>
    <row r="28">
      <c r="A28" s="9" t="n">
        <v>46398</v>
      </c>
      <c r="B28" s="33" t="n">
        <v>0.7291666666666666</v>
      </c>
      <c r="C28" t="inlineStr">
        <is>
          <t>SAMPLE-c002-o002-p</t>
        </is>
      </c>
      <c r="D28" t="inlineStr">
        <is>
          <t>baseline</t>
        </is>
      </c>
      <c r="E28" t="n">
        <v>1</v>
      </c>
      <c r="G28" s="25">
        <f>IF($C28="","",IFERROR(IF(INDEX(links!$A$2:$A$501,MATCH($C28,links!$D$2:$D$501,0))="","",INDEX(links!$A$2:$A$501,MATCH($C28,links!$D$2:$D$501,0))),""))</f>
        <v/>
      </c>
      <c r="H28" s="25">
        <f>IF($C28="","",IFERROR(IF(INDEX(links!$B$2:$B$501,MATCH($C28,links!$D$2:$D$501,0))="","",INDEX(links!$B$2:$B$501,MATCH($C28,links!$D$2:$D$501,0))),""))</f>
        <v/>
      </c>
      <c r="I28" s="25">
        <f>IF($C28="","",IFERROR(IF(INDEX(links!$C$2:$C$501,MATCH($C28,links!$D$2:$D$501,0))="","",INDEX(links!$C$2:$C$501,MATCH($C28,links!$D$2:$D$501,0))),""))</f>
        <v/>
      </c>
      <c r="J28" s="25">
        <f>IF($C28="","",IF($G28="","slug not in links; ","")&amp;IF($D28="","reading type missing; ","")&amp;IF(COUNTIFS(scans!$C$2:$C$1601,$C28,scans!$D$2:$D$1601,$D28)&gt;1,"two readings of this type: keep one; ",""))</f>
        <v/>
      </c>
    </row>
    <row r="29">
      <c r="A29" s="9" t="n">
        <v>46401</v>
      </c>
      <c r="B29" s="33" t="n">
        <v>0.7291666666666666</v>
      </c>
      <c r="C29" t="inlineStr">
        <is>
          <t>SAMPLE-c002-o002-p</t>
        </is>
      </c>
      <c r="D29" t="inlineStr">
        <is>
          <t>mid</t>
        </is>
      </c>
      <c r="E29" t="n">
        <v>1</v>
      </c>
      <c r="G29" s="25">
        <f>IF($C29="","",IFERROR(IF(INDEX(links!$A$2:$A$501,MATCH($C29,links!$D$2:$D$501,0))="","",INDEX(links!$A$2:$A$501,MATCH($C29,links!$D$2:$D$501,0))),""))</f>
        <v/>
      </c>
      <c r="H29" s="25">
        <f>IF($C29="","",IFERROR(IF(INDEX(links!$B$2:$B$501,MATCH($C29,links!$D$2:$D$501,0))="","",INDEX(links!$B$2:$B$501,MATCH($C29,links!$D$2:$D$501,0))),""))</f>
        <v/>
      </c>
      <c r="I29" s="25">
        <f>IF($C29="","",IFERROR(IF(INDEX(links!$C$2:$C$501,MATCH($C29,links!$D$2:$D$501,0))="","",INDEX(links!$C$2:$C$501,MATCH($C29,links!$D$2:$D$501,0))),""))</f>
        <v/>
      </c>
      <c r="J29" s="25">
        <f>IF($C29="","",IF($G29="","slug not in links; ","")&amp;IF($D29="","reading type missing; ","")&amp;IF(COUNTIFS(scans!$C$2:$C$1601,$C29,scans!$D$2:$D$1601,$D29)&gt;1,"two readings of this type: keep one; ",""))</f>
        <v/>
      </c>
    </row>
    <row r="30">
      <c r="A30" s="9" t="n">
        <v>46398</v>
      </c>
      <c r="B30" s="33" t="n">
        <v>0.7291666666666666</v>
      </c>
      <c r="C30" t="inlineStr">
        <is>
          <t>SAMPLE-c002-o003-q</t>
        </is>
      </c>
      <c r="D30" t="inlineStr">
        <is>
          <t>baseline</t>
        </is>
      </c>
      <c r="E30" t="n">
        <v>1</v>
      </c>
      <c r="G30" s="25">
        <f>IF($C30="","",IFERROR(IF(INDEX(links!$A$2:$A$501,MATCH($C30,links!$D$2:$D$501,0))="","",INDEX(links!$A$2:$A$501,MATCH($C30,links!$D$2:$D$501,0))),""))</f>
        <v/>
      </c>
      <c r="H30" s="25">
        <f>IF($C30="","",IFERROR(IF(INDEX(links!$B$2:$B$501,MATCH($C30,links!$D$2:$D$501,0))="","",INDEX(links!$B$2:$B$501,MATCH($C30,links!$D$2:$D$501,0))),""))</f>
        <v/>
      </c>
      <c r="I30" s="25">
        <f>IF($C30="","",IFERROR(IF(INDEX(links!$C$2:$C$501,MATCH($C30,links!$D$2:$D$501,0))="","",INDEX(links!$C$2:$C$501,MATCH($C30,links!$D$2:$D$501,0))),""))</f>
        <v/>
      </c>
      <c r="J30" s="25">
        <f>IF($C30="","",IF($G30="","slug not in links; ","")&amp;IF($D30="","reading type missing; ","")&amp;IF(COUNTIFS(scans!$C$2:$C$1601,$C30,scans!$D$2:$D$1601,$D30)&gt;1,"two readings of this type: keep one; ",""))</f>
        <v/>
      </c>
    </row>
    <row r="31">
      <c r="A31" s="9" t="n">
        <v>46401</v>
      </c>
      <c r="B31" s="33" t="n">
        <v>0.7291666666666666</v>
      </c>
      <c r="C31" t="inlineStr">
        <is>
          <t>SAMPLE-c002-o003-q</t>
        </is>
      </c>
      <c r="D31" t="inlineStr">
        <is>
          <t>mid</t>
        </is>
      </c>
      <c r="E31" t="n">
        <v>6</v>
      </c>
      <c r="G31" s="25">
        <f>IF($C31="","",IFERROR(IF(INDEX(links!$A$2:$A$501,MATCH($C31,links!$D$2:$D$501,0))="","",INDEX(links!$A$2:$A$501,MATCH($C31,links!$D$2:$D$501,0))),""))</f>
        <v/>
      </c>
      <c r="H31" s="25">
        <f>IF($C31="","",IFERROR(IF(INDEX(links!$B$2:$B$501,MATCH($C31,links!$D$2:$D$501,0))="","",INDEX(links!$B$2:$B$501,MATCH($C31,links!$D$2:$D$501,0))),""))</f>
        <v/>
      </c>
      <c r="I31" s="25">
        <f>IF($C31="","",IFERROR(IF(INDEX(links!$C$2:$C$501,MATCH($C31,links!$D$2:$D$501,0))="","",INDEX(links!$C$2:$C$501,MATCH($C31,links!$D$2:$D$501,0))),""))</f>
        <v/>
      </c>
      <c r="J31" s="25">
        <f>IF($C31="","",IF($G31="","slug not in links; ","")&amp;IF($D31="","reading type missing; ","")&amp;IF(COUNTIFS(scans!$C$2:$C$1601,$C31,scans!$D$2:$D$1601,$D31)&gt;1,"two readings of this type: keep one; ",""))</f>
        <v/>
      </c>
    </row>
    <row r="32">
      <c r="A32" s="9" t="n">
        <v>46398</v>
      </c>
      <c r="B32" s="33" t="n">
        <v>0.7291666666666666</v>
      </c>
      <c r="C32" t="inlineStr">
        <is>
          <t>SAMPLE-c002-o003-p</t>
        </is>
      </c>
      <c r="D32" t="inlineStr">
        <is>
          <t>baseline</t>
        </is>
      </c>
      <c r="E32" t="n">
        <v>1</v>
      </c>
      <c r="G32" s="25">
        <f>IF($C32="","",IFERROR(IF(INDEX(links!$A$2:$A$501,MATCH($C32,links!$D$2:$D$501,0))="","",INDEX(links!$A$2:$A$501,MATCH($C32,links!$D$2:$D$501,0))),""))</f>
        <v/>
      </c>
      <c r="H32" s="25">
        <f>IF($C32="","",IFERROR(IF(INDEX(links!$B$2:$B$501,MATCH($C32,links!$D$2:$D$501,0))="","",INDEX(links!$B$2:$B$501,MATCH($C32,links!$D$2:$D$501,0))),""))</f>
        <v/>
      </c>
      <c r="I32" s="25">
        <f>IF($C32="","",IFERROR(IF(INDEX(links!$C$2:$C$501,MATCH($C32,links!$D$2:$D$501,0))="","",INDEX(links!$C$2:$C$501,MATCH($C32,links!$D$2:$D$501,0))),""))</f>
        <v/>
      </c>
      <c r="J32" s="25">
        <f>IF($C32="","",IF($G32="","slug not in links; ","")&amp;IF($D32="","reading type missing; ","")&amp;IF(COUNTIFS(scans!$C$2:$C$1601,$C32,scans!$D$2:$D$1601,$D32)&gt;1,"two readings of this type: keep one; ",""))</f>
        <v/>
      </c>
    </row>
    <row r="33">
      <c r="A33" s="9" t="n">
        <v>46401</v>
      </c>
      <c r="B33" s="33" t="n">
        <v>0.7291666666666666</v>
      </c>
      <c r="C33" t="inlineStr">
        <is>
          <t>SAMPLE-c002-o003-p</t>
        </is>
      </c>
      <c r="D33" t="inlineStr">
        <is>
          <t>mid</t>
        </is>
      </c>
      <c r="E33" t="n">
        <v>3</v>
      </c>
      <c r="G33" s="25">
        <f>IF($C33="","",IFERROR(IF(INDEX(links!$A$2:$A$501,MATCH($C33,links!$D$2:$D$501,0))="","",INDEX(links!$A$2:$A$501,MATCH($C33,links!$D$2:$D$501,0))),""))</f>
        <v/>
      </c>
      <c r="H33" s="25">
        <f>IF($C33="","",IFERROR(IF(INDEX(links!$B$2:$B$501,MATCH($C33,links!$D$2:$D$501,0))="","",INDEX(links!$B$2:$B$501,MATCH($C33,links!$D$2:$D$501,0))),""))</f>
        <v/>
      </c>
      <c r="I33" s="25">
        <f>IF($C33="","",IFERROR(IF(INDEX(links!$C$2:$C$501,MATCH($C33,links!$D$2:$D$501,0))="","",INDEX(links!$C$2:$C$501,MATCH($C33,links!$D$2:$D$501,0))),""))</f>
        <v/>
      </c>
      <c r="J33" s="25">
        <f>IF($C33="","",IF($G33="","slug not in links; ","")&amp;IF($D33="","reading type missing; ","")&amp;IF(COUNTIFS(scans!$C$2:$C$1601,$C33,scans!$D$2:$D$1601,$D33)&gt;1,"two readings of this type: keep one; ",""))</f>
        <v/>
      </c>
    </row>
    <row r="34">
      <c r="A34" s="9" t="n">
        <v>46398</v>
      </c>
      <c r="B34" s="33" t="n">
        <v>0.7291666666666666</v>
      </c>
      <c r="C34" t="inlineStr">
        <is>
          <t>SAMPLE-c002-o004-q</t>
        </is>
      </c>
      <c r="D34" t="inlineStr">
        <is>
          <t>baseline</t>
        </is>
      </c>
      <c r="E34" t="n">
        <v>1</v>
      </c>
      <c r="G34" s="25">
        <f>IF($C34="","",IFERROR(IF(INDEX(links!$A$2:$A$501,MATCH($C34,links!$D$2:$D$501,0))="","",INDEX(links!$A$2:$A$501,MATCH($C34,links!$D$2:$D$501,0))),""))</f>
        <v/>
      </c>
      <c r="H34" s="25">
        <f>IF($C34="","",IFERROR(IF(INDEX(links!$B$2:$B$501,MATCH($C34,links!$D$2:$D$501,0))="","",INDEX(links!$B$2:$B$501,MATCH($C34,links!$D$2:$D$501,0))),""))</f>
        <v/>
      </c>
      <c r="I34" s="25">
        <f>IF($C34="","",IFERROR(IF(INDEX(links!$C$2:$C$501,MATCH($C34,links!$D$2:$D$501,0))="","",INDEX(links!$C$2:$C$501,MATCH($C34,links!$D$2:$D$501,0))),""))</f>
        <v/>
      </c>
      <c r="J34" s="25">
        <f>IF($C34="","",IF($G34="","slug not in links; ","")&amp;IF($D34="","reading type missing; ","")&amp;IF(COUNTIFS(scans!$C$2:$C$1601,$C34,scans!$D$2:$D$1601,$D34)&gt;1,"two readings of this type: keep one; ",""))</f>
        <v/>
      </c>
    </row>
    <row r="35">
      <c r="A35" s="9" t="n">
        <v>46401</v>
      </c>
      <c r="B35" s="33" t="n">
        <v>0.7291666666666666</v>
      </c>
      <c r="C35" t="inlineStr">
        <is>
          <t>SAMPLE-c002-o004-q</t>
        </is>
      </c>
      <c r="D35" t="inlineStr">
        <is>
          <t>mid</t>
        </is>
      </c>
      <c r="E35" t="n">
        <v>3</v>
      </c>
      <c r="G35" s="25">
        <f>IF($C35="","",IFERROR(IF(INDEX(links!$A$2:$A$501,MATCH($C35,links!$D$2:$D$501,0))="","",INDEX(links!$A$2:$A$501,MATCH($C35,links!$D$2:$D$501,0))),""))</f>
        <v/>
      </c>
      <c r="H35" s="25">
        <f>IF($C35="","",IFERROR(IF(INDEX(links!$B$2:$B$501,MATCH($C35,links!$D$2:$D$501,0))="","",INDEX(links!$B$2:$B$501,MATCH($C35,links!$D$2:$D$501,0))),""))</f>
        <v/>
      </c>
      <c r="I35" s="25">
        <f>IF($C35="","",IFERROR(IF(INDEX(links!$C$2:$C$501,MATCH($C35,links!$D$2:$D$501,0))="","",INDEX(links!$C$2:$C$501,MATCH($C35,links!$D$2:$D$501,0))),""))</f>
        <v/>
      </c>
      <c r="J35" s="25">
        <f>IF($C35="","",IF($G35="","slug not in links; ","")&amp;IF($D35="","reading type missing; ","")&amp;IF(COUNTIFS(scans!$C$2:$C$1601,$C35,scans!$D$2:$D$1601,$D35)&gt;1,"two readings of this type: keep one; ",""))</f>
        <v/>
      </c>
    </row>
    <row r="36">
      <c r="A36" s="9" t="n">
        <v>46398</v>
      </c>
      <c r="B36" s="33" t="n">
        <v>0.7291666666666666</v>
      </c>
      <c r="C36" t="inlineStr">
        <is>
          <t>SAMPLE-c002-o004-p</t>
        </is>
      </c>
      <c r="D36" t="inlineStr">
        <is>
          <t>baseline</t>
        </is>
      </c>
      <c r="E36" t="n">
        <v>1</v>
      </c>
      <c r="G36" s="25">
        <f>IF($C36="","",IFERROR(IF(INDEX(links!$A$2:$A$501,MATCH($C36,links!$D$2:$D$501,0))="","",INDEX(links!$A$2:$A$501,MATCH($C36,links!$D$2:$D$501,0))),""))</f>
        <v/>
      </c>
      <c r="H36" s="25">
        <f>IF($C36="","",IFERROR(IF(INDEX(links!$B$2:$B$501,MATCH($C36,links!$D$2:$D$501,0))="","",INDEX(links!$B$2:$B$501,MATCH($C36,links!$D$2:$D$501,0))),""))</f>
        <v/>
      </c>
      <c r="I36" s="25">
        <f>IF($C36="","",IFERROR(IF(INDEX(links!$C$2:$C$501,MATCH($C36,links!$D$2:$D$501,0))="","",INDEX(links!$C$2:$C$501,MATCH($C36,links!$D$2:$D$501,0))),""))</f>
        <v/>
      </c>
      <c r="J36" s="25">
        <f>IF($C36="","",IF($G36="","slug not in links; ","")&amp;IF($D36="","reading type missing; ","")&amp;IF(COUNTIFS(scans!$C$2:$C$1601,$C36,scans!$D$2:$D$1601,$D36)&gt;1,"two readings of this type: keep one; ",""))</f>
        <v/>
      </c>
    </row>
    <row r="37">
      <c r="A37" s="9" t="n">
        <v>46401</v>
      </c>
      <c r="B37" s="33" t="n">
        <v>0.7291666666666666</v>
      </c>
      <c r="C37" t="inlineStr">
        <is>
          <t>SAMPLE-c002-o004-p</t>
        </is>
      </c>
      <c r="D37" t="inlineStr">
        <is>
          <t>mid</t>
        </is>
      </c>
      <c r="E37" t="n">
        <v>1</v>
      </c>
      <c r="G37" s="25">
        <f>IF($C37="","",IFERROR(IF(INDEX(links!$A$2:$A$501,MATCH($C37,links!$D$2:$D$501,0))="","",INDEX(links!$A$2:$A$501,MATCH($C37,links!$D$2:$D$501,0))),""))</f>
        <v/>
      </c>
      <c r="H37" s="25">
        <f>IF($C37="","",IFERROR(IF(INDEX(links!$B$2:$B$501,MATCH($C37,links!$D$2:$D$501,0))="","",INDEX(links!$B$2:$B$501,MATCH($C37,links!$D$2:$D$501,0))),""))</f>
        <v/>
      </c>
      <c r="I37" s="25">
        <f>IF($C37="","",IFERROR(IF(INDEX(links!$C$2:$C$501,MATCH($C37,links!$D$2:$D$501,0))="","",INDEX(links!$C$2:$C$501,MATCH($C37,links!$D$2:$D$501,0))),""))</f>
        <v/>
      </c>
      <c r="J37" s="25">
        <f>IF($C37="","",IF($G37="","slug not in links; ","")&amp;IF($D37="","reading type missing; ","")&amp;IF(COUNTIFS(scans!$C$2:$C$1601,$C37,scans!$D$2:$D$1601,$D37)&gt;1,"two readings of this type: keep one; ",""))</f>
        <v/>
      </c>
    </row>
    <row r="38">
      <c r="A38" s="9" t="n">
        <v>46398</v>
      </c>
      <c r="B38" s="33" t="n">
        <v>0.7291666666666666</v>
      </c>
      <c r="C38" t="inlineStr">
        <is>
          <t>SAMPLE-c002-o005-q</t>
        </is>
      </c>
      <c r="D38" t="inlineStr">
        <is>
          <t>baseline</t>
        </is>
      </c>
      <c r="E38" t="n">
        <v>1</v>
      </c>
      <c r="G38" s="25">
        <f>IF($C38="","",IFERROR(IF(INDEX(links!$A$2:$A$501,MATCH($C38,links!$D$2:$D$501,0))="","",INDEX(links!$A$2:$A$501,MATCH($C38,links!$D$2:$D$501,0))),""))</f>
        <v/>
      </c>
      <c r="H38" s="25">
        <f>IF($C38="","",IFERROR(IF(INDEX(links!$B$2:$B$501,MATCH($C38,links!$D$2:$D$501,0))="","",INDEX(links!$B$2:$B$501,MATCH($C38,links!$D$2:$D$501,0))),""))</f>
        <v/>
      </c>
      <c r="I38" s="25">
        <f>IF($C38="","",IFERROR(IF(INDEX(links!$C$2:$C$501,MATCH($C38,links!$D$2:$D$501,0))="","",INDEX(links!$C$2:$C$501,MATCH($C38,links!$D$2:$D$501,0))),""))</f>
        <v/>
      </c>
      <c r="J38" s="25">
        <f>IF($C38="","",IF($G38="","slug not in links; ","")&amp;IF($D38="","reading type missing; ","")&amp;IF(COUNTIFS(scans!$C$2:$C$1601,$C38,scans!$D$2:$D$1601,$D38)&gt;1,"two readings of this type: keep one; ",""))</f>
        <v/>
      </c>
    </row>
    <row r="39">
      <c r="A39" s="9" t="n">
        <v>46401</v>
      </c>
      <c r="B39" s="33" t="n">
        <v>0.7291666666666666</v>
      </c>
      <c r="C39" t="inlineStr">
        <is>
          <t>SAMPLE-c002-o005-q</t>
        </is>
      </c>
      <c r="D39" t="inlineStr">
        <is>
          <t>mid</t>
        </is>
      </c>
      <c r="E39" t="n">
        <v>4</v>
      </c>
      <c r="G39" s="25">
        <f>IF($C39="","",IFERROR(IF(INDEX(links!$A$2:$A$501,MATCH($C39,links!$D$2:$D$501,0))="","",INDEX(links!$A$2:$A$501,MATCH($C39,links!$D$2:$D$501,0))),""))</f>
        <v/>
      </c>
      <c r="H39" s="25">
        <f>IF($C39="","",IFERROR(IF(INDEX(links!$B$2:$B$501,MATCH($C39,links!$D$2:$D$501,0))="","",INDEX(links!$B$2:$B$501,MATCH($C39,links!$D$2:$D$501,0))),""))</f>
        <v/>
      </c>
      <c r="I39" s="25">
        <f>IF($C39="","",IFERROR(IF(INDEX(links!$C$2:$C$501,MATCH($C39,links!$D$2:$D$501,0))="","",INDEX(links!$C$2:$C$501,MATCH($C39,links!$D$2:$D$501,0))),""))</f>
        <v/>
      </c>
      <c r="J39" s="25">
        <f>IF($C39="","",IF($G39="","slug not in links; ","")&amp;IF($D39="","reading type missing; ","")&amp;IF(COUNTIFS(scans!$C$2:$C$1601,$C39,scans!$D$2:$D$1601,$D39)&gt;1,"two readings of this type: keep one; ",""))</f>
        <v/>
      </c>
    </row>
    <row r="40">
      <c r="A40" s="9" t="n">
        <v>46398</v>
      </c>
      <c r="B40" s="33" t="n">
        <v>0.7291666666666666</v>
      </c>
      <c r="C40" t="inlineStr">
        <is>
          <t>SAMPLE-c002-o005-p</t>
        </is>
      </c>
      <c r="D40" t="inlineStr">
        <is>
          <t>baseline</t>
        </is>
      </c>
      <c r="E40" t="n">
        <v>1</v>
      </c>
      <c r="G40" s="25">
        <f>IF($C40="","",IFERROR(IF(INDEX(links!$A$2:$A$501,MATCH($C40,links!$D$2:$D$501,0))="","",INDEX(links!$A$2:$A$501,MATCH($C40,links!$D$2:$D$501,0))),""))</f>
        <v/>
      </c>
      <c r="H40" s="25">
        <f>IF($C40="","",IFERROR(IF(INDEX(links!$B$2:$B$501,MATCH($C40,links!$D$2:$D$501,0))="","",INDEX(links!$B$2:$B$501,MATCH($C40,links!$D$2:$D$501,0))),""))</f>
        <v/>
      </c>
      <c r="I40" s="25">
        <f>IF($C40="","",IFERROR(IF(INDEX(links!$C$2:$C$501,MATCH($C40,links!$D$2:$D$501,0))="","",INDEX(links!$C$2:$C$501,MATCH($C40,links!$D$2:$D$501,0))),""))</f>
        <v/>
      </c>
      <c r="J40" s="25">
        <f>IF($C40="","",IF($G40="","slug not in links; ","")&amp;IF($D40="","reading type missing; ","")&amp;IF(COUNTIFS(scans!$C$2:$C$1601,$C40,scans!$D$2:$D$1601,$D40)&gt;1,"two readings of this type: keep one; ",""))</f>
        <v/>
      </c>
    </row>
    <row r="41">
      <c r="A41" s="9" t="n">
        <v>46401</v>
      </c>
      <c r="B41" s="33" t="n">
        <v>0.7291666666666666</v>
      </c>
      <c r="C41" t="inlineStr">
        <is>
          <t>SAMPLE-c002-o005-p</t>
        </is>
      </c>
      <c r="D41" t="inlineStr">
        <is>
          <t>mid</t>
        </is>
      </c>
      <c r="E41" t="n">
        <v>2</v>
      </c>
      <c r="G41" s="25">
        <f>IF($C41="","",IFERROR(IF(INDEX(links!$A$2:$A$501,MATCH($C41,links!$D$2:$D$501,0))="","",INDEX(links!$A$2:$A$501,MATCH($C41,links!$D$2:$D$501,0))),""))</f>
        <v/>
      </c>
      <c r="H41" s="25">
        <f>IF($C41="","",IFERROR(IF(INDEX(links!$B$2:$B$501,MATCH($C41,links!$D$2:$D$501,0))="","",INDEX(links!$B$2:$B$501,MATCH($C41,links!$D$2:$D$501,0))),""))</f>
        <v/>
      </c>
      <c r="I41" s="25">
        <f>IF($C41="","",IFERROR(IF(INDEX(links!$C$2:$C$501,MATCH($C41,links!$D$2:$D$501,0))="","",INDEX(links!$C$2:$C$501,MATCH($C41,links!$D$2:$D$501,0))),""))</f>
        <v/>
      </c>
      <c r="J41" s="25">
        <f>IF($C41="","",IF($G41="","slug not in links; ","")&amp;IF($D41="","reading type missing; ","")&amp;IF(COUNTIFS(scans!$C$2:$C$1601,$C41,scans!$D$2:$D$1601,$D41)&gt;1,"two readings of this type: keep one; ",""))</f>
        <v/>
      </c>
    </row>
    <row r="42">
      <c r="A42" s="9" t="n"/>
      <c r="B42" s="33" t="n"/>
      <c r="G42" s="25">
        <f>IF($C42="","",IFERROR(IF(INDEX(links!$A$2:$A$501,MATCH($C42,links!$D$2:$D$501,0))="","",INDEX(links!$A$2:$A$501,MATCH($C42,links!$D$2:$D$501,0))),""))</f>
        <v/>
      </c>
      <c r="H42" s="25">
        <f>IF($C42="","",IFERROR(IF(INDEX(links!$B$2:$B$501,MATCH($C42,links!$D$2:$D$501,0))="","",INDEX(links!$B$2:$B$501,MATCH($C42,links!$D$2:$D$501,0))),""))</f>
        <v/>
      </c>
      <c r="I42" s="25">
        <f>IF($C42="","",IFERROR(IF(INDEX(links!$C$2:$C$501,MATCH($C42,links!$D$2:$D$501,0))="","",INDEX(links!$C$2:$C$501,MATCH($C42,links!$D$2:$D$501,0))),""))</f>
        <v/>
      </c>
      <c r="J42" s="25">
        <f>IF($C42="","",IF($G42="","slug not in links; ","")&amp;IF($D42="","reading type missing; ","")&amp;IF(COUNTIFS(scans!$C$2:$C$1601,$C42,scans!$D$2:$D$1601,$D42)&gt;1,"two readings of this type: keep one; ",""))</f>
        <v/>
      </c>
    </row>
    <row r="43">
      <c r="A43" s="9" t="n"/>
      <c r="B43" s="33" t="n"/>
      <c r="G43" s="25">
        <f>IF($C43="","",IFERROR(IF(INDEX(links!$A$2:$A$501,MATCH($C43,links!$D$2:$D$501,0))="","",INDEX(links!$A$2:$A$501,MATCH($C43,links!$D$2:$D$501,0))),""))</f>
        <v/>
      </c>
      <c r="H43" s="25">
        <f>IF($C43="","",IFERROR(IF(INDEX(links!$B$2:$B$501,MATCH($C43,links!$D$2:$D$501,0))="","",INDEX(links!$B$2:$B$501,MATCH($C43,links!$D$2:$D$501,0))),""))</f>
        <v/>
      </c>
      <c r="I43" s="25">
        <f>IF($C43="","",IFERROR(IF(INDEX(links!$C$2:$C$501,MATCH($C43,links!$D$2:$D$501,0))="","",INDEX(links!$C$2:$C$501,MATCH($C43,links!$D$2:$D$501,0))),""))</f>
        <v/>
      </c>
      <c r="J43" s="25">
        <f>IF($C43="","",IF($G43="","slug not in links; ","")&amp;IF($D43="","reading type missing; ","")&amp;IF(COUNTIFS(scans!$C$2:$C$1601,$C43,scans!$D$2:$D$1601,$D43)&gt;1,"two readings of this type: keep one; ",""))</f>
        <v/>
      </c>
    </row>
    <row r="44">
      <c r="A44" s="9" t="n"/>
      <c r="B44" s="33" t="n"/>
      <c r="G44" s="25">
        <f>IF($C44="","",IFERROR(IF(INDEX(links!$A$2:$A$501,MATCH($C44,links!$D$2:$D$501,0))="","",INDEX(links!$A$2:$A$501,MATCH($C44,links!$D$2:$D$501,0))),""))</f>
        <v/>
      </c>
      <c r="H44" s="25">
        <f>IF($C44="","",IFERROR(IF(INDEX(links!$B$2:$B$501,MATCH($C44,links!$D$2:$D$501,0))="","",INDEX(links!$B$2:$B$501,MATCH($C44,links!$D$2:$D$501,0))),""))</f>
        <v/>
      </c>
      <c r="I44" s="25">
        <f>IF($C44="","",IFERROR(IF(INDEX(links!$C$2:$C$501,MATCH($C44,links!$D$2:$D$501,0))="","",INDEX(links!$C$2:$C$501,MATCH($C44,links!$D$2:$D$501,0))),""))</f>
        <v/>
      </c>
      <c r="J44" s="25">
        <f>IF($C44="","",IF($G44="","slug not in links; ","")&amp;IF($D44="","reading type missing; ","")&amp;IF(COUNTIFS(scans!$C$2:$C$1601,$C44,scans!$D$2:$D$1601,$D44)&gt;1,"two readings of this type: keep one; ",""))</f>
        <v/>
      </c>
    </row>
    <row r="45">
      <c r="A45" s="9" t="n"/>
      <c r="B45" s="33" t="n"/>
      <c r="G45" s="25">
        <f>IF($C45="","",IFERROR(IF(INDEX(links!$A$2:$A$501,MATCH($C45,links!$D$2:$D$501,0))="","",INDEX(links!$A$2:$A$501,MATCH($C45,links!$D$2:$D$501,0))),""))</f>
        <v/>
      </c>
      <c r="H45" s="25">
        <f>IF($C45="","",IFERROR(IF(INDEX(links!$B$2:$B$501,MATCH($C45,links!$D$2:$D$501,0))="","",INDEX(links!$B$2:$B$501,MATCH($C45,links!$D$2:$D$501,0))),""))</f>
        <v/>
      </c>
      <c r="I45" s="25">
        <f>IF($C45="","",IFERROR(IF(INDEX(links!$C$2:$C$501,MATCH($C45,links!$D$2:$D$501,0))="","",INDEX(links!$C$2:$C$501,MATCH($C45,links!$D$2:$D$501,0))),""))</f>
        <v/>
      </c>
      <c r="J45" s="25">
        <f>IF($C45="","",IF($G45="","slug not in links; ","")&amp;IF($D45="","reading type missing; ","")&amp;IF(COUNTIFS(scans!$C$2:$C$1601,$C45,scans!$D$2:$D$1601,$D45)&gt;1,"two readings of this type: keep one; ",""))</f>
        <v/>
      </c>
    </row>
    <row r="46">
      <c r="A46" s="9" t="n"/>
      <c r="B46" s="33" t="n"/>
      <c r="G46" s="25">
        <f>IF($C46="","",IFERROR(IF(INDEX(links!$A$2:$A$501,MATCH($C46,links!$D$2:$D$501,0))="","",INDEX(links!$A$2:$A$501,MATCH($C46,links!$D$2:$D$501,0))),""))</f>
        <v/>
      </c>
      <c r="H46" s="25">
        <f>IF($C46="","",IFERROR(IF(INDEX(links!$B$2:$B$501,MATCH($C46,links!$D$2:$D$501,0))="","",INDEX(links!$B$2:$B$501,MATCH($C46,links!$D$2:$D$501,0))),""))</f>
        <v/>
      </c>
      <c r="I46" s="25">
        <f>IF($C46="","",IFERROR(IF(INDEX(links!$C$2:$C$501,MATCH($C46,links!$D$2:$D$501,0))="","",INDEX(links!$C$2:$C$501,MATCH($C46,links!$D$2:$D$501,0))),""))</f>
        <v/>
      </c>
      <c r="J46" s="25">
        <f>IF($C46="","",IF($G46="","slug not in links; ","")&amp;IF($D46="","reading type missing; ","")&amp;IF(COUNTIFS(scans!$C$2:$C$1601,$C46,scans!$D$2:$D$1601,$D46)&gt;1,"two readings of this type: keep one; ",""))</f>
        <v/>
      </c>
    </row>
    <row r="47">
      <c r="A47" s="9" t="n"/>
      <c r="B47" s="33" t="n"/>
      <c r="G47" s="25">
        <f>IF($C47="","",IFERROR(IF(INDEX(links!$A$2:$A$501,MATCH($C47,links!$D$2:$D$501,0))="","",INDEX(links!$A$2:$A$501,MATCH($C47,links!$D$2:$D$501,0))),""))</f>
        <v/>
      </c>
      <c r="H47" s="25">
        <f>IF($C47="","",IFERROR(IF(INDEX(links!$B$2:$B$501,MATCH($C47,links!$D$2:$D$501,0))="","",INDEX(links!$B$2:$B$501,MATCH($C47,links!$D$2:$D$501,0))),""))</f>
        <v/>
      </c>
      <c r="I47" s="25">
        <f>IF($C47="","",IFERROR(IF(INDEX(links!$C$2:$C$501,MATCH($C47,links!$D$2:$D$501,0))="","",INDEX(links!$C$2:$C$501,MATCH($C47,links!$D$2:$D$501,0))),""))</f>
        <v/>
      </c>
      <c r="J47" s="25">
        <f>IF($C47="","",IF($G47="","slug not in links; ","")&amp;IF($D47="","reading type missing; ","")&amp;IF(COUNTIFS(scans!$C$2:$C$1601,$C47,scans!$D$2:$D$1601,$D47)&gt;1,"two readings of this type: keep one; ",""))</f>
        <v/>
      </c>
    </row>
    <row r="48">
      <c r="A48" s="9" t="n"/>
      <c r="B48" s="33" t="n"/>
      <c r="G48" s="25">
        <f>IF($C48="","",IFERROR(IF(INDEX(links!$A$2:$A$501,MATCH($C48,links!$D$2:$D$501,0))="","",INDEX(links!$A$2:$A$501,MATCH($C48,links!$D$2:$D$501,0))),""))</f>
        <v/>
      </c>
      <c r="H48" s="25">
        <f>IF($C48="","",IFERROR(IF(INDEX(links!$B$2:$B$501,MATCH($C48,links!$D$2:$D$501,0))="","",INDEX(links!$B$2:$B$501,MATCH($C48,links!$D$2:$D$501,0))),""))</f>
        <v/>
      </c>
      <c r="I48" s="25">
        <f>IF($C48="","",IFERROR(IF(INDEX(links!$C$2:$C$501,MATCH($C48,links!$D$2:$D$501,0))="","",INDEX(links!$C$2:$C$501,MATCH($C48,links!$D$2:$D$501,0))),""))</f>
        <v/>
      </c>
      <c r="J48" s="25">
        <f>IF($C48="","",IF($G48="","slug not in links; ","")&amp;IF($D48="","reading type missing; ","")&amp;IF(COUNTIFS(scans!$C$2:$C$1601,$C48,scans!$D$2:$D$1601,$D48)&gt;1,"two readings of this type: keep one; ",""))</f>
        <v/>
      </c>
    </row>
    <row r="49">
      <c r="A49" s="9" t="n"/>
      <c r="B49" s="33" t="n"/>
      <c r="G49" s="25">
        <f>IF($C49="","",IFERROR(IF(INDEX(links!$A$2:$A$501,MATCH($C49,links!$D$2:$D$501,0))="","",INDEX(links!$A$2:$A$501,MATCH($C49,links!$D$2:$D$501,0))),""))</f>
        <v/>
      </c>
      <c r="H49" s="25">
        <f>IF($C49="","",IFERROR(IF(INDEX(links!$B$2:$B$501,MATCH($C49,links!$D$2:$D$501,0))="","",INDEX(links!$B$2:$B$501,MATCH($C49,links!$D$2:$D$501,0))),""))</f>
        <v/>
      </c>
      <c r="I49" s="25">
        <f>IF($C49="","",IFERROR(IF(INDEX(links!$C$2:$C$501,MATCH($C49,links!$D$2:$D$501,0))="","",INDEX(links!$C$2:$C$501,MATCH($C49,links!$D$2:$D$501,0))),""))</f>
        <v/>
      </c>
      <c r="J49" s="25">
        <f>IF($C49="","",IF($G49="","slug not in links; ","")&amp;IF($D49="","reading type missing; ","")&amp;IF(COUNTIFS(scans!$C$2:$C$1601,$C49,scans!$D$2:$D$1601,$D49)&gt;1,"two readings of this type: keep one; ",""))</f>
        <v/>
      </c>
    </row>
    <row r="50">
      <c r="A50" s="9" t="n"/>
      <c r="B50" s="33" t="n"/>
      <c r="G50" s="25">
        <f>IF($C50="","",IFERROR(IF(INDEX(links!$A$2:$A$501,MATCH($C50,links!$D$2:$D$501,0))="","",INDEX(links!$A$2:$A$501,MATCH($C50,links!$D$2:$D$501,0))),""))</f>
        <v/>
      </c>
      <c r="H50" s="25">
        <f>IF($C50="","",IFERROR(IF(INDEX(links!$B$2:$B$501,MATCH($C50,links!$D$2:$D$501,0))="","",INDEX(links!$B$2:$B$501,MATCH($C50,links!$D$2:$D$501,0))),""))</f>
        <v/>
      </c>
      <c r="I50" s="25">
        <f>IF($C50="","",IFERROR(IF(INDEX(links!$C$2:$C$501,MATCH($C50,links!$D$2:$D$501,0))="","",INDEX(links!$C$2:$C$501,MATCH($C50,links!$D$2:$D$501,0))),""))</f>
        <v/>
      </c>
      <c r="J50" s="25">
        <f>IF($C50="","",IF($G50="","slug not in links; ","")&amp;IF($D50="","reading type missing; ","")&amp;IF(COUNTIFS(scans!$C$2:$C$1601,$C50,scans!$D$2:$D$1601,$D50)&gt;1,"two readings of this type: keep one; ",""))</f>
        <v/>
      </c>
    </row>
    <row r="51">
      <c r="A51" s="9" t="n"/>
      <c r="B51" s="33" t="n"/>
      <c r="G51" s="25">
        <f>IF($C51="","",IFERROR(IF(INDEX(links!$A$2:$A$501,MATCH($C51,links!$D$2:$D$501,0))="","",INDEX(links!$A$2:$A$501,MATCH($C51,links!$D$2:$D$501,0))),""))</f>
        <v/>
      </c>
      <c r="H51" s="25">
        <f>IF($C51="","",IFERROR(IF(INDEX(links!$B$2:$B$501,MATCH($C51,links!$D$2:$D$501,0))="","",INDEX(links!$B$2:$B$501,MATCH($C51,links!$D$2:$D$501,0))),""))</f>
        <v/>
      </c>
      <c r="I51" s="25">
        <f>IF($C51="","",IFERROR(IF(INDEX(links!$C$2:$C$501,MATCH($C51,links!$D$2:$D$501,0))="","",INDEX(links!$C$2:$C$501,MATCH($C51,links!$D$2:$D$501,0))),""))</f>
        <v/>
      </c>
      <c r="J51" s="25">
        <f>IF($C51="","",IF($G51="","slug not in links; ","")&amp;IF($D51="","reading type missing; ","")&amp;IF(COUNTIFS(scans!$C$2:$C$1601,$C51,scans!$D$2:$D$1601,$D51)&gt;1,"two readings of this type: keep one; ",""))</f>
        <v/>
      </c>
    </row>
    <row r="52">
      <c r="A52" s="9" t="n"/>
      <c r="B52" s="33" t="n"/>
      <c r="G52" s="25">
        <f>IF($C52="","",IFERROR(IF(INDEX(links!$A$2:$A$501,MATCH($C52,links!$D$2:$D$501,0))="","",INDEX(links!$A$2:$A$501,MATCH($C52,links!$D$2:$D$501,0))),""))</f>
        <v/>
      </c>
      <c r="H52" s="25">
        <f>IF($C52="","",IFERROR(IF(INDEX(links!$B$2:$B$501,MATCH($C52,links!$D$2:$D$501,0))="","",INDEX(links!$B$2:$B$501,MATCH($C52,links!$D$2:$D$501,0))),""))</f>
        <v/>
      </c>
      <c r="I52" s="25">
        <f>IF($C52="","",IFERROR(IF(INDEX(links!$C$2:$C$501,MATCH($C52,links!$D$2:$D$501,0))="","",INDEX(links!$C$2:$C$501,MATCH($C52,links!$D$2:$D$501,0))),""))</f>
        <v/>
      </c>
      <c r="J52" s="25">
        <f>IF($C52="","",IF($G52="","slug not in links; ","")&amp;IF($D52="","reading type missing; ","")&amp;IF(COUNTIFS(scans!$C$2:$C$1601,$C52,scans!$D$2:$D$1601,$D52)&gt;1,"two readings of this type: keep one; ",""))</f>
        <v/>
      </c>
    </row>
    <row r="53">
      <c r="A53" s="9" t="n"/>
      <c r="B53" s="33" t="n"/>
      <c r="G53" s="25">
        <f>IF($C53="","",IFERROR(IF(INDEX(links!$A$2:$A$501,MATCH($C53,links!$D$2:$D$501,0))="","",INDEX(links!$A$2:$A$501,MATCH($C53,links!$D$2:$D$501,0))),""))</f>
        <v/>
      </c>
      <c r="H53" s="25">
        <f>IF($C53="","",IFERROR(IF(INDEX(links!$B$2:$B$501,MATCH($C53,links!$D$2:$D$501,0))="","",INDEX(links!$B$2:$B$501,MATCH($C53,links!$D$2:$D$501,0))),""))</f>
        <v/>
      </c>
      <c r="I53" s="25">
        <f>IF($C53="","",IFERROR(IF(INDEX(links!$C$2:$C$501,MATCH($C53,links!$D$2:$D$501,0))="","",INDEX(links!$C$2:$C$501,MATCH($C53,links!$D$2:$D$501,0))),""))</f>
        <v/>
      </c>
      <c r="J53" s="25">
        <f>IF($C53="","",IF($G53="","slug not in links; ","")&amp;IF($D53="","reading type missing; ","")&amp;IF(COUNTIFS(scans!$C$2:$C$1601,$C53,scans!$D$2:$D$1601,$D53)&gt;1,"two readings of this type: keep one; ",""))</f>
        <v/>
      </c>
    </row>
    <row r="54">
      <c r="A54" s="9" t="n"/>
      <c r="B54" s="33" t="n"/>
      <c r="G54" s="25">
        <f>IF($C54="","",IFERROR(IF(INDEX(links!$A$2:$A$501,MATCH($C54,links!$D$2:$D$501,0))="","",INDEX(links!$A$2:$A$501,MATCH($C54,links!$D$2:$D$501,0))),""))</f>
        <v/>
      </c>
      <c r="H54" s="25">
        <f>IF($C54="","",IFERROR(IF(INDEX(links!$B$2:$B$501,MATCH($C54,links!$D$2:$D$501,0))="","",INDEX(links!$B$2:$B$501,MATCH($C54,links!$D$2:$D$501,0))),""))</f>
        <v/>
      </c>
      <c r="I54" s="25">
        <f>IF($C54="","",IFERROR(IF(INDEX(links!$C$2:$C$501,MATCH($C54,links!$D$2:$D$501,0))="","",INDEX(links!$C$2:$C$501,MATCH($C54,links!$D$2:$D$501,0))),""))</f>
        <v/>
      </c>
      <c r="J54" s="25">
        <f>IF($C54="","",IF($G54="","slug not in links; ","")&amp;IF($D54="","reading type missing; ","")&amp;IF(COUNTIFS(scans!$C$2:$C$1601,$C54,scans!$D$2:$D$1601,$D54)&gt;1,"two readings of this type: keep one; ",""))</f>
        <v/>
      </c>
    </row>
    <row r="55">
      <c r="A55" s="9" t="n"/>
      <c r="B55" s="33" t="n"/>
      <c r="G55" s="25">
        <f>IF($C55="","",IFERROR(IF(INDEX(links!$A$2:$A$501,MATCH($C55,links!$D$2:$D$501,0))="","",INDEX(links!$A$2:$A$501,MATCH($C55,links!$D$2:$D$501,0))),""))</f>
        <v/>
      </c>
      <c r="H55" s="25">
        <f>IF($C55="","",IFERROR(IF(INDEX(links!$B$2:$B$501,MATCH($C55,links!$D$2:$D$501,0))="","",INDEX(links!$B$2:$B$501,MATCH($C55,links!$D$2:$D$501,0))),""))</f>
        <v/>
      </c>
      <c r="I55" s="25">
        <f>IF($C55="","",IFERROR(IF(INDEX(links!$C$2:$C$501,MATCH($C55,links!$D$2:$D$501,0))="","",INDEX(links!$C$2:$C$501,MATCH($C55,links!$D$2:$D$501,0))),""))</f>
        <v/>
      </c>
      <c r="J55" s="25">
        <f>IF($C55="","",IF($G55="","slug not in links; ","")&amp;IF($D55="","reading type missing; ","")&amp;IF(COUNTIFS(scans!$C$2:$C$1601,$C55,scans!$D$2:$D$1601,$D55)&gt;1,"two readings of this type: keep one; ",""))</f>
        <v/>
      </c>
    </row>
    <row r="56">
      <c r="A56" s="9" t="n"/>
      <c r="B56" s="33" t="n"/>
      <c r="G56" s="25">
        <f>IF($C56="","",IFERROR(IF(INDEX(links!$A$2:$A$501,MATCH($C56,links!$D$2:$D$501,0))="","",INDEX(links!$A$2:$A$501,MATCH($C56,links!$D$2:$D$501,0))),""))</f>
        <v/>
      </c>
      <c r="H56" s="25">
        <f>IF($C56="","",IFERROR(IF(INDEX(links!$B$2:$B$501,MATCH($C56,links!$D$2:$D$501,0))="","",INDEX(links!$B$2:$B$501,MATCH($C56,links!$D$2:$D$501,0))),""))</f>
        <v/>
      </c>
      <c r="I56" s="25">
        <f>IF($C56="","",IFERROR(IF(INDEX(links!$C$2:$C$501,MATCH($C56,links!$D$2:$D$501,0))="","",INDEX(links!$C$2:$C$501,MATCH($C56,links!$D$2:$D$501,0))),""))</f>
        <v/>
      </c>
      <c r="J56" s="25">
        <f>IF($C56="","",IF($G56="","slug not in links; ","")&amp;IF($D56="","reading type missing; ","")&amp;IF(COUNTIFS(scans!$C$2:$C$1601,$C56,scans!$D$2:$D$1601,$D56)&gt;1,"two readings of this type: keep one; ",""))</f>
        <v/>
      </c>
    </row>
    <row r="57">
      <c r="A57" s="9" t="n"/>
      <c r="B57" s="33" t="n"/>
      <c r="G57" s="25">
        <f>IF($C57="","",IFERROR(IF(INDEX(links!$A$2:$A$501,MATCH($C57,links!$D$2:$D$501,0))="","",INDEX(links!$A$2:$A$501,MATCH($C57,links!$D$2:$D$501,0))),""))</f>
        <v/>
      </c>
      <c r="H57" s="25">
        <f>IF($C57="","",IFERROR(IF(INDEX(links!$B$2:$B$501,MATCH($C57,links!$D$2:$D$501,0))="","",INDEX(links!$B$2:$B$501,MATCH($C57,links!$D$2:$D$501,0))),""))</f>
        <v/>
      </c>
      <c r="I57" s="25">
        <f>IF($C57="","",IFERROR(IF(INDEX(links!$C$2:$C$501,MATCH($C57,links!$D$2:$D$501,0))="","",INDEX(links!$C$2:$C$501,MATCH($C57,links!$D$2:$D$501,0))),""))</f>
        <v/>
      </c>
      <c r="J57" s="25">
        <f>IF($C57="","",IF($G57="","slug not in links; ","")&amp;IF($D57="","reading type missing; ","")&amp;IF(COUNTIFS(scans!$C$2:$C$1601,$C57,scans!$D$2:$D$1601,$D57)&gt;1,"two readings of this type: keep one; ",""))</f>
        <v/>
      </c>
    </row>
    <row r="58">
      <c r="A58" s="9" t="n"/>
      <c r="B58" s="33" t="n"/>
      <c r="G58" s="25">
        <f>IF($C58="","",IFERROR(IF(INDEX(links!$A$2:$A$501,MATCH($C58,links!$D$2:$D$501,0))="","",INDEX(links!$A$2:$A$501,MATCH($C58,links!$D$2:$D$501,0))),""))</f>
        <v/>
      </c>
      <c r="H58" s="25">
        <f>IF($C58="","",IFERROR(IF(INDEX(links!$B$2:$B$501,MATCH($C58,links!$D$2:$D$501,0))="","",INDEX(links!$B$2:$B$501,MATCH($C58,links!$D$2:$D$501,0))),""))</f>
        <v/>
      </c>
      <c r="I58" s="25">
        <f>IF($C58="","",IFERROR(IF(INDEX(links!$C$2:$C$501,MATCH($C58,links!$D$2:$D$501,0))="","",INDEX(links!$C$2:$C$501,MATCH($C58,links!$D$2:$D$501,0))),""))</f>
        <v/>
      </c>
      <c r="J58" s="25">
        <f>IF($C58="","",IF($G58="","slug not in links; ","")&amp;IF($D58="","reading type missing; ","")&amp;IF(COUNTIFS(scans!$C$2:$C$1601,$C58,scans!$D$2:$D$1601,$D58)&gt;1,"two readings of this type: keep one; ",""))</f>
        <v/>
      </c>
    </row>
    <row r="59">
      <c r="A59" s="9" t="n"/>
      <c r="B59" s="33" t="n"/>
      <c r="G59" s="25">
        <f>IF($C59="","",IFERROR(IF(INDEX(links!$A$2:$A$501,MATCH($C59,links!$D$2:$D$501,0))="","",INDEX(links!$A$2:$A$501,MATCH($C59,links!$D$2:$D$501,0))),""))</f>
        <v/>
      </c>
      <c r="H59" s="25">
        <f>IF($C59="","",IFERROR(IF(INDEX(links!$B$2:$B$501,MATCH($C59,links!$D$2:$D$501,0))="","",INDEX(links!$B$2:$B$501,MATCH($C59,links!$D$2:$D$501,0))),""))</f>
        <v/>
      </c>
      <c r="I59" s="25">
        <f>IF($C59="","",IFERROR(IF(INDEX(links!$C$2:$C$501,MATCH($C59,links!$D$2:$D$501,0))="","",INDEX(links!$C$2:$C$501,MATCH($C59,links!$D$2:$D$501,0))),""))</f>
        <v/>
      </c>
      <c r="J59" s="25">
        <f>IF($C59="","",IF($G59="","slug not in links; ","")&amp;IF($D59="","reading type missing; ","")&amp;IF(COUNTIFS(scans!$C$2:$C$1601,$C59,scans!$D$2:$D$1601,$D59)&gt;1,"two readings of this type: keep one; ",""))</f>
        <v/>
      </c>
    </row>
    <row r="60">
      <c r="A60" s="9" t="n"/>
      <c r="B60" s="33" t="n"/>
      <c r="G60" s="25">
        <f>IF($C60="","",IFERROR(IF(INDEX(links!$A$2:$A$501,MATCH($C60,links!$D$2:$D$501,0))="","",INDEX(links!$A$2:$A$501,MATCH($C60,links!$D$2:$D$501,0))),""))</f>
        <v/>
      </c>
      <c r="H60" s="25">
        <f>IF($C60="","",IFERROR(IF(INDEX(links!$B$2:$B$501,MATCH($C60,links!$D$2:$D$501,0))="","",INDEX(links!$B$2:$B$501,MATCH($C60,links!$D$2:$D$501,0))),""))</f>
        <v/>
      </c>
      <c r="I60" s="25">
        <f>IF($C60="","",IFERROR(IF(INDEX(links!$C$2:$C$501,MATCH($C60,links!$D$2:$D$501,0))="","",INDEX(links!$C$2:$C$501,MATCH($C60,links!$D$2:$D$501,0))),""))</f>
        <v/>
      </c>
      <c r="J60" s="25">
        <f>IF($C60="","",IF($G60="","slug not in links; ","")&amp;IF($D60="","reading type missing; ","")&amp;IF(COUNTIFS(scans!$C$2:$C$1601,$C60,scans!$D$2:$D$1601,$D60)&gt;1,"two readings of this type: keep one; ",""))</f>
        <v/>
      </c>
    </row>
    <row r="61">
      <c r="A61" s="9" t="n"/>
      <c r="B61" s="33" t="n"/>
      <c r="G61" s="25">
        <f>IF($C61="","",IFERROR(IF(INDEX(links!$A$2:$A$501,MATCH($C61,links!$D$2:$D$501,0))="","",INDEX(links!$A$2:$A$501,MATCH($C61,links!$D$2:$D$501,0))),""))</f>
        <v/>
      </c>
      <c r="H61" s="25">
        <f>IF($C61="","",IFERROR(IF(INDEX(links!$B$2:$B$501,MATCH($C61,links!$D$2:$D$501,0))="","",INDEX(links!$B$2:$B$501,MATCH($C61,links!$D$2:$D$501,0))),""))</f>
        <v/>
      </c>
      <c r="I61" s="25">
        <f>IF($C61="","",IFERROR(IF(INDEX(links!$C$2:$C$501,MATCH($C61,links!$D$2:$D$501,0))="","",INDEX(links!$C$2:$C$501,MATCH($C61,links!$D$2:$D$501,0))),""))</f>
        <v/>
      </c>
      <c r="J61" s="25">
        <f>IF($C61="","",IF($G61="","slug not in links; ","")&amp;IF($D61="","reading type missing; ","")&amp;IF(COUNTIFS(scans!$C$2:$C$1601,$C61,scans!$D$2:$D$1601,$D61)&gt;1,"two readings of this type: keep one; ",""))</f>
        <v/>
      </c>
    </row>
    <row r="62">
      <c r="A62" s="9" t="n"/>
      <c r="B62" s="33" t="n"/>
      <c r="G62" s="25">
        <f>IF($C62="","",IFERROR(IF(INDEX(links!$A$2:$A$501,MATCH($C62,links!$D$2:$D$501,0))="","",INDEX(links!$A$2:$A$501,MATCH($C62,links!$D$2:$D$501,0))),""))</f>
        <v/>
      </c>
      <c r="H62" s="25">
        <f>IF($C62="","",IFERROR(IF(INDEX(links!$B$2:$B$501,MATCH($C62,links!$D$2:$D$501,0))="","",INDEX(links!$B$2:$B$501,MATCH($C62,links!$D$2:$D$501,0))),""))</f>
        <v/>
      </c>
      <c r="I62" s="25">
        <f>IF($C62="","",IFERROR(IF(INDEX(links!$C$2:$C$501,MATCH($C62,links!$D$2:$D$501,0))="","",INDEX(links!$C$2:$C$501,MATCH($C62,links!$D$2:$D$501,0))),""))</f>
        <v/>
      </c>
      <c r="J62" s="25">
        <f>IF($C62="","",IF($G62="","slug not in links; ","")&amp;IF($D62="","reading type missing; ","")&amp;IF(COUNTIFS(scans!$C$2:$C$1601,$C62,scans!$D$2:$D$1601,$D62)&gt;1,"two readings of this type: keep one; ",""))</f>
        <v/>
      </c>
    </row>
    <row r="63">
      <c r="A63" s="9" t="n"/>
      <c r="B63" s="33" t="n"/>
      <c r="G63" s="25">
        <f>IF($C63="","",IFERROR(IF(INDEX(links!$A$2:$A$501,MATCH($C63,links!$D$2:$D$501,0))="","",INDEX(links!$A$2:$A$501,MATCH($C63,links!$D$2:$D$501,0))),""))</f>
        <v/>
      </c>
      <c r="H63" s="25">
        <f>IF($C63="","",IFERROR(IF(INDEX(links!$B$2:$B$501,MATCH($C63,links!$D$2:$D$501,0))="","",INDEX(links!$B$2:$B$501,MATCH($C63,links!$D$2:$D$501,0))),""))</f>
        <v/>
      </c>
      <c r="I63" s="25">
        <f>IF($C63="","",IFERROR(IF(INDEX(links!$C$2:$C$501,MATCH($C63,links!$D$2:$D$501,0))="","",INDEX(links!$C$2:$C$501,MATCH($C63,links!$D$2:$D$501,0))),""))</f>
        <v/>
      </c>
      <c r="J63" s="25">
        <f>IF($C63="","",IF($G63="","slug not in links; ","")&amp;IF($D63="","reading type missing; ","")&amp;IF(COUNTIFS(scans!$C$2:$C$1601,$C63,scans!$D$2:$D$1601,$D63)&gt;1,"two readings of this type: keep one; ",""))</f>
        <v/>
      </c>
    </row>
    <row r="64">
      <c r="A64" s="9" t="n"/>
      <c r="B64" s="33" t="n"/>
      <c r="G64" s="25">
        <f>IF($C64="","",IFERROR(IF(INDEX(links!$A$2:$A$501,MATCH($C64,links!$D$2:$D$501,0))="","",INDEX(links!$A$2:$A$501,MATCH($C64,links!$D$2:$D$501,0))),""))</f>
        <v/>
      </c>
      <c r="H64" s="25">
        <f>IF($C64="","",IFERROR(IF(INDEX(links!$B$2:$B$501,MATCH($C64,links!$D$2:$D$501,0))="","",INDEX(links!$B$2:$B$501,MATCH($C64,links!$D$2:$D$501,0))),""))</f>
        <v/>
      </c>
      <c r="I64" s="25">
        <f>IF($C64="","",IFERROR(IF(INDEX(links!$C$2:$C$501,MATCH($C64,links!$D$2:$D$501,0))="","",INDEX(links!$C$2:$C$501,MATCH($C64,links!$D$2:$D$501,0))),""))</f>
        <v/>
      </c>
      <c r="J64" s="25">
        <f>IF($C64="","",IF($G64="","slug not in links; ","")&amp;IF($D64="","reading type missing; ","")&amp;IF(COUNTIFS(scans!$C$2:$C$1601,$C64,scans!$D$2:$D$1601,$D64)&gt;1,"two readings of this type: keep one; ",""))</f>
        <v/>
      </c>
    </row>
    <row r="65">
      <c r="A65" s="9" t="n"/>
      <c r="B65" s="33" t="n"/>
      <c r="G65" s="25">
        <f>IF($C65="","",IFERROR(IF(INDEX(links!$A$2:$A$501,MATCH($C65,links!$D$2:$D$501,0))="","",INDEX(links!$A$2:$A$501,MATCH($C65,links!$D$2:$D$501,0))),""))</f>
        <v/>
      </c>
      <c r="H65" s="25">
        <f>IF($C65="","",IFERROR(IF(INDEX(links!$B$2:$B$501,MATCH($C65,links!$D$2:$D$501,0))="","",INDEX(links!$B$2:$B$501,MATCH($C65,links!$D$2:$D$501,0))),""))</f>
        <v/>
      </c>
      <c r="I65" s="25">
        <f>IF($C65="","",IFERROR(IF(INDEX(links!$C$2:$C$501,MATCH($C65,links!$D$2:$D$501,0))="","",INDEX(links!$C$2:$C$501,MATCH($C65,links!$D$2:$D$501,0))),""))</f>
        <v/>
      </c>
      <c r="J65" s="25">
        <f>IF($C65="","",IF($G65="","slug not in links; ","")&amp;IF($D65="","reading type missing; ","")&amp;IF(COUNTIFS(scans!$C$2:$C$1601,$C65,scans!$D$2:$D$1601,$D65)&gt;1,"two readings of this type: keep one; ",""))</f>
        <v/>
      </c>
    </row>
    <row r="66">
      <c r="A66" s="9" t="n"/>
      <c r="B66" s="33" t="n"/>
      <c r="G66" s="25">
        <f>IF($C66="","",IFERROR(IF(INDEX(links!$A$2:$A$501,MATCH($C66,links!$D$2:$D$501,0))="","",INDEX(links!$A$2:$A$501,MATCH($C66,links!$D$2:$D$501,0))),""))</f>
        <v/>
      </c>
      <c r="H66" s="25">
        <f>IF($C66="","",IFERROR(IF(INDEX(links!$B$2:$B$501,MATCH($C66,links!$D$2:$D$501,0))="","",INDEX(links!$B$2:$B$501,MATCH($C66,links!$D$2:$D$501,0))),""))</f>
        <v/>
      </c>
      <c r="I66" s="25">
        <f>IF($C66="","",IFERROR(IF(INDEX(links!$C$2:$C$501,MATCH($C66,links!$D$2:$D$501,0))="","",INDEX(links!$C$2:$C$501,MATCH($C66,links!$D$2:$D$501,0))),""))</f>
        <v/>
      </c>
      <c r="J66" s="25">
        <f>IF($C66="","",IF($G66="","slug not in links; ","")&amp;IF($D66="","reading type missing; ","")&amp;IF(COUNTIFS(scans!$C$2:$C$1601,$C66,scans!$D$2:$D$1601,$D66)&gt;1,"two readings of this type: keep one; ",""))</f>
        <v/>
      </c>
    </row>
    <row r="67">
      <c r="A67" s="9" t="n"/>
      <c r="B67" s="33" t="n"/>
      <c r="G67" s="25">
        <f>IF($C67="","",IFERROR(IF(INDEX(links!$A$2:$A$501,MATCH($C67,links!$D$2:$D$501,0))="","",INDEX(links!$A$2:$A$501,MATCH($C67,links!$D$2:$D$501,0))),""))</f>
        <v/>
      </c>
      <c r="H67" s="25">
        <f>IF($C67="","",IFERROR(IF(INDEX(links!$B$2:$B$501,MATCH($C67,links!$D$2:$D$501,0))="","",INDEX(links!$B$2:$B$501,MATCH($C67,links!$D$2:$D$501,0))),""))</f>
        <v/>
      </c>
      <c r="I67" s="25">
        <f>IF($C67="","",IFERROR(IF(INDEX(links!$C$2:$C$501,MATCH($C67,links!$D$2:$D$501,0))="","",INDEX(links!$C$2:$C$501,MATCH($C67,links!$D$2:$D$501,0))),""))</f>
        <v/>
      </c>
      <c r="J67" s="25">
        <f>IF($C67="","",IF($G67="","slug not in links; ","")&amp;IF($D67="","reading type missing; ","")&amp;IF(COUNTIFS(scans!$C$2:$C$1601,$C67,scans!$D$2:$D$1601,$D67)&gt;1,"two readings of this type: keep one; ",""))</f>
        <v/>
      </c>
    </row>
    <row r="68">
      <c r="A68" s="9" t="n"/>
      <c r="B68" s="33" t="n"/>
      <c r="G68" s="25">
        <f>IF($C68="","",IFERROR(IF(INDEX(links!$A$2:$A$501,MATCH($C68,links!$D$2:$D$501,0))="","",INDEX(links!$A$2:$A$501,MATCH($C68,links!$D$2:$D$501,0))),""))</f>
        <v/>
      </c>
      <c r="H68" s="25">
        <f>IF($C68="","",IFERROR(IF(INDEX(links!$B$2:$B$501,MATCH($C68,links!$D$2:$D$501,0))="","",INDEX(links!$B$2:$B$501,MATCH($C68,links!$D$2:$D$501,0))),""))</f>
        <v/>
      </c>
      <c r="I68" s="25">
        <f>IF($C68="","",IFERROR(IF(INDEX(links!$C$2:$C$501,MATCH($C68,links!$D$2:$D$501,0))="","",INDEX(links!$C$2:$C$501,MATCH($C68,links!$D$2:$D$501,0))),""))</f>
        <v/>
      </c>
      <c r="J68" s="25">
        <f>IF($C68="","",IF($G68="","slug not in links; ","")&amp;IF($D68="","reading type missing; ","")&amp;IF(COUNTIFS(scans!$C$2:$C$1601,$C68,scans!$D$2:$D$1601,$D68)&gt;1,"two readings of this type: keep one; ",""))</f>
        <v/>
      </c>
    </row>
    <row r="69">
      <c r="A69" s="9" t="n"/>
      <c r="B69" s="33" t="n"/>
      <c r="G69" s="25">
        <f>IF($C69="","",IFERROR(IF(INDEX(links!$A$2:$A$501,MATCH($C69,links!$D$2:$D$501,0))="","",INDEX(links!$A$2:$A$501,MATCH($C69,links!$D$2:$D$501,0))),""))</f>
        <v/>
      </c>
      <c r="H69" s="25">
        <f>IF($C69="","",IFERROR(IF(INDEX(links!$B$2:$B$501,MATCH($C69,links!$D$2:$D$501,0))="","",INDEX(links!$B$2:$B$501,MATCH($C69,links!$D$2:$D$501,0))),""))</f>
        <v/>
      </c>
      <c r="I69" s="25">
        <f>IF($C69="","",IFERROR(IF(INDEX(links!$C$2:$C$501,MATCH($C69,links!$D$2:$D$501,0))="","",INDEX(links!$C$2:$C$501,MATCH($C69,links!$D$2:$D$501,0))),""))</f>
        <v/>
      </c>
      <c r="J69" s="25">
        <f>IF($C69="","",IF($G69="","slug not in links; ","")&amp;IF($D69="","reading type missing; ","")&amp;IF(COUNTIFS(scans!$C$2:$C$1601,$C69,scans!$D$2:$D$1601,$D69)&gt;1,"two readings of this type: keep one; ",""))</f>
        <v/>
      </c>
    </row>
    <row r="70">
      <c r="A70" s="9" t="n"/>
      <c r="B70" s="33" t="n"/>
      <c r="G70" s="25">
        <f>IF($C70="","",IFERROR(IF(INDEX(links!$A$2:$A$501,MATCH($C70,links!$D$2:$D$501,0))="","",INDEX(links!$A$2:$A$501,MATCH($C70,links!$D$2:$D$501,0))),""))</f>
        <v/>
      </c>
      <c r="H70" s="25">
        <f>IF($C70="","",IFERROR(IF(INDEX(links!$B$2:$B$501,MATCH($C70,links!$D$2:$D$501,0))="","",INDEX(links!$B$2:$B$501,MATCH($C70,links!$D$2:$D$501,0))),""))</f>
        <v/>
      </c>
      <c r="I70" s="25">
        <f>IF($C70="","",IFERROR(IF(INDEX(links!$C$2:$C$501,MATCH($C70,links!$D$2:$D$501,0))="","",INDEX(links!$C$2:$C$501,MATCH($C70,links!$D$2:$D$501,0))),""))</f>
        <v/>
      </c>
      <c r="J70" s="25">
        <f>IF($C70="","",IF($G70="","slug not in links; ","")&amp;IF($D70="","reading type missing; ","")&amp;IF(COUNTIFS(scans!$C$2:$C$1601,$C70,scans!$D$2:$D$1601,$D70)&gt;1,"two readings of this type: keep one; ",""))</f>
        <v/>
      </c>
    </row>
    <row r="71">
      <c r="A71" s="9" t="n"/>
      <c r="B71" s="33" t="n"/>
      <c r="G71" s="25">
        <f>IF($C71="","",IFERROR(IF(INDEX(links!$A$2:$A$501,MATCH($C71,links!$D$2:$D$501,0))="","",INDEX(links!$A$2:$A$501,MATCH($C71,links!$D$2:$D$501,0))),""))</f>
        <v/>
      </c>
      <c r="H71" s="25">
        <f>IF($C71="","",IFERROR(IF(INDEX(links!$B$2:$B$501,MATCH($C71,links!$D$2:$D$501,0))="","",INDEX(links!$B$2:$B$501,MATCH($C71,links!$D$2:$D$501,0))),""))</f>
        <v/>
      </c>
      <c r="I71" s="25">
        <f>IF($C71="","",IFERROR(IF(INDEX(links!$C$2:$C$501,MATCH($C71,links!$D$2:$D$501,0))="","",INDEX(links!$C$2:$C$501,MATCH($C71,links!$D$2:$D$501,0))),""))</f>
        <v/>
      </c>
      <c r="J71" s="25">
        <f>IF($C71="","",IF($G71="","slug not in links; ","")&amp;IF($D71="","reading type missing; ","")&amp;IF(COUNTIFS(scans!$C$2:$C$1601,$C71,scans!$D$2:$D$1601,$D71)&gt;1,"two readings of this type: keep one; ",""))</f>
        <v/>
      </c>
    </row>
    <row r="72">
      <c r="A72" s="9" t="n"/>
      <c r="B72" s="33" t="n"/>
      <c r="G72" s="25">
        <f>IF($C72="","",IFERROR(IF(INDEX(links!$A$2:$A$501,MATCH($C72,links!$D$2:$D$501,0))="","",INDEX(links!$A$2:$A$501,MATCH($C72,links!$D$2:$D$501,0))),""))</f>
        <v/>
      </c>
      <c r="H72" s="25">
        <f>IF($C72="","",IFERROR(IF(INDEX(links!$B$2:$B$501,MATCH($C72,links!$D$2:$D$501,0))="","",INDEX(links!$B$2:$B$501,MATCH($C72,links!$D$2:$D$501,0))),""))</f>
        <v/>
      </c>
      <c r="I72" s="25">
        <f>IF($C72="","",IFERROR(IF(INDEX(links!$C$2:$C$501,MATCH($C72,links!$D$2:$D$501,0))="","",INDEX(links!$C$2:$C$501,MATCH($C72,links!$D$2:$D$501,0))),""))</f>
        <v/>
      </c>
      <c r="J72" s="25">
        <f>IF($C72="","",IF($G72="","slug not in links; ","")&amp;IF($D72="","reading type missing; ","")&amp;IF(COUNTIFS(scans!$C$2:$C$1601,$C72,scans!$D$2:$D$1601,$D72)&gt;1,"two readings of this type: keep one; ",""))</f>
        <v/>
      </c>
    </row>
    <row r="73">
      <c r="A73" s="9" t="n"/>
      <c r="B73" s="33" t="n"/>
      <c r="G73" s="25">
        <f>IF($C73="","",IFERROR(IF(INDEX(links!$A$2:$A$501,MATCH($C73,links!$D$2:$D$501,0))="","",INDEX(links!$A$2:$A$501,MATCH($C73,links!$D$2:$D$501,0))),""))</f>
        <v/>
      </c>
      <c r="H73" s="25">
        <f>IF($C73="","",IFERROR(IF(INDEX(links!$B$2:$B$501,MATCH($C73,links!$D$2:$D$501,0))="","",INDEX(links!$B$2:$B$501,MATCH($C73,links!$D$2:$D$501,0))),""))</f>
        <v/>
      </c>
      <c r="I73" s="25">
        <f>IF($C73="","",IFERROR(IF(INDEX(links!$C$2:$C$501,MATCH($C73,links!$D$2:$D$501,0))="","",INDEX(links!$C$2:$C$501,MATCH($C73,links!$D$2:$D$501,0))),""))</f>
        <v/>
      </c>
      <c r="J73" s="25">
        <f>IF($C73="","",IF($G73="","slug not in links; ","")&amp;IF($D73="","reading type missing; ","")&amp;IF(COUNTIFS(scans!$C$2:$C$1601,$C73,scans!$D$2:$D$1601,$D73)&gt;1,"two readings of this type: keep one; ",""))</f>
        <v/>
      </c>
    </row>
    <row r="74">
      <c r="A74" s="9" t="n"/>
      <c r="B74" s="33" t="n"/>
      <c r="G74" s="25">
        <f>IF($C74="","",IFERROR(IF(INDEX(links!$A$2:$A$501,MATCH($C74,links!$D$2:$D$501,0))="","",INDEX(links!$A$2:$A$501,MATCH($C74,links!$D$2:$D$501,0))),""))</f>
        <v/>
      </c>
      <c r="H74" s="25">
        <f>IF($C74="","",IFERROR(IF(INDEX(links!$B$2:$B$501,MATCH($C74,links!$D$2:$D$501,0))="","",INDEX(links!$B$2:$B$501,MATCH($C74,links!$D$2:$D$501,0))),""))</f>
        <v/>
      </c>
      <c r="I74" s="25">
        <f>IF($C74="","",IFERROR(IF(INDEX(links!$C$2:$C$501,MATCH($C74,links!$D$2:$D$501,0))="","",INDEX(links!$C$2:$C$501,MATCH($C74,links!$D$2:$D$501,0))),""))</f>
        <v/>
      </c>
      <c r="J74" s="25">
        <f>IF($C74="","",IF($G74="","slug not in links; ","")&amp;IF($D74="","reading type missing; ","")&amp;IF(COUNTIFS(scans!$C$2:$C$1601,$C74,scans!$D$2:$D$1601,$D74)&gt;1,"two readings of this type: keep one; ",""))</f>
        <v/>
      </c>
    </row>
    <row r="75">
      <c r="A75" s="9" t="n"/>
      <c r="B75" s="33" t="n"/>
      <c r="G75" s="25">
        <f>IF($C75="","",IFERROR(IF(INDEX(links!$A$2:$A$501,MATCH($C75,links!$D$2:$D$501,0))="","",INDEX(links!$A$2:$A$501,MATCH($C75,links!$D$2:$D$501,0))),""))</f>
        <v/>
      </c>
      <c r="H75" s="25">
        <f>IF($C75="","",IFERROR(IF(INDEX(links!$B$2:$B$501,MATCH($C75,links!$D$2:$D$501,0))="","",INDEX(links!$B$2:$B$501,MATCH($C75,links!$D$2:$D$501,0))),""))</f>
        <v/>
      </c>
      <c r="I75" s="25">
        <f>IF($C75="","",IFERROR(IF(INDEX(links!$C$2:$C$501,MATCH($C75,links!$D$2:$D$501,0))="","",INDEX(links!$C$2:$C$501,MATCH($C75,links!$D$2:$D$501,0))),""))</f>
        <v/>
      </c>
      <c r="J75" s="25">
        <f>IF($C75="","",IF($G75="","slug not in links; ","")&amp;IF($D75="","reading type missing; ","")&amp;IF(COUNTIFS(scans!$C$2:$C$1601,$C75,scans!$D$2:$D$1601,$D75)&gt;1,"two readings of this type: keep one; ",""))</f>
        <v/>
      </c>
    </row>
    <row r="76">
      <c r="A76" s="9" t="n"/>
      <c r="B76" s="33" t="n"/>
      <c r="G76" s="25">
        <f>IF($C76="","",IFERROR(IF(INDEX(links!$A$2:$A$501,MATCH($C76,links!$D$2:$D$501,0))="","",INDEX(links!$A$2:$A$501,MATCH($C76,links!$D$2:$D$501,0))),""))</f>
        <v/>
      </c>
      <c r="H76" s="25">
        <f>IF($C76="","",IFERROR(IF(INDEX(links!$B$2:$B$501,MATCH($C76,links!$D$2:$D$501,0))="","",INDEX(links!$B$2:$B$501,MATCH($C76,links!$D$2:$D$501,0))),""))</f>
        <v/>
      </c>
      <c r="I76" s="25">
        <f>IF($C76="","",IFERROR(IF(INDEX(links!$C$2:$C$501,MATCH($C76,links!$D$2:$D$501,0))="","",INDEX(links!$C$2:$C$501,MATCH($C76,links!$D$2:$D$501,0))),""))</f>
        <v/>
      </c>
      <c r="J76" s="25">
        <f>IF($C76="","",IF($G76="","slug not in links; ","")&amp;IF($D76="","reading type missing; ","")&amp;IF(COUNTIFS(scans!$C$2:$C$1601,$C76,scans!$D$2:$D$1601,$D76)&gt;1,"two readings of this type: keep one; ",""))</f>
        <v/>
      </c>
    </row>
    <row r="77">
      <c r="A77" s="9" t="n"/>
      <c r="B77" s="33" t="n"/>
      <c r="G77" s="25">
        <f>IF($C77="","",IFERROR(IF(INDEX(links!$A$2:$A$501,MATCH($C77,links!$D$2:$D$501,0))="","",INDEX(links!$A$2:$A$501,MATCH($C77,links!$D$2:$D$501,0))),""))</f>
        <v/>
      </c>
      <c r="H77" s="25">
        <f>IF($C77="","",IFERROR(IF(INDEX(links!$B$2:$B$501,MATCH($C77,links!$D$2:$D$501,0))="","",INDEX(links!$B$2:$B$501,MATCH($C77,links!$D$2:$D$501,0))),""))</f>
        <v/>
      </c>
      <c r="I77" s="25">
        <f>IF($C77="","",IFERROR(IF(INDEX(links!$C$2:$C$501,MATCH($C77,links!$D$2:$D$501,0))="","",INDEX(links!$C$2:$C$501,MATCH($C77,links!$D$2:$D$501,0))),""))</f>
        <v/>
      </c>
      <c r="J77" s="25">
        <f>IF($C77="","",IF($G77="","slug not in links; ","")&amp;IF($D77="","reading type missing; ","")&amp;IF(COUNTIFS(scans!$C$2:$C$1601,$C77,scans!$D$2:$D$1601,$D77)&gt;1,"two readings of this type: keep one; ",""))</f>
        <v/>
      </c>
    </row>
    <row r="78">
      <c r="A78" s="9" t="n"/>
      <c r="B78" s="33" t="n"/>
      <c r="G78" s="25">
        <f>IF($C78="","",IFERROR(IF(INDEX(links!$A$2:$A$501,MATCH($C78,links!$D$2:$D$501,0))="","",INDEX(links!$A$2:$A$501,MATCH($C78,links!$D$2:$D$501,0))),""))</f>
        <v/>
      </c>
      <c r="H78" s="25">
        <f>IF($C78="","",IFERROR(IF(INDEX(links!$B$2:$B$501,MATCH($C78,links!$D$2:$D$501,0))="","",INDEX(links!$B$2:$B$501,MATCH($C78,links!$D$2:$D$501,0))),""))</f>
        <v/>
      </c>
      <c r="I78" s="25">
        <f>IF($C78="","",IFERROR(IF(INDEX(links!$C$2:$C$501,MATCH($C78,links!$D$2:$D$501,0))="","",INDEX(links!$C$2:$C$501,MATCH($C78,links!$D$2:$D$501,0))),""))</f>
        <v/>
      </c>
      <c r="J78" s="25">
        <f>IF($C78="","",IF($G78="","slug not in links; ","")&amp;IF($D78="","reading type missing; ","")&amp;IF(COUNTIFS(scans!$C$2:$C$1601,$C78,scans!$D$2:$D$1601,$D78)&gt;1,"two readings of this type: keep one; ",""))</f>
        <v/>
      </c>
    </row>
    <row r="79">
      <c r="A79" s="9" t="n"/>
      <c r="B79" s="33" t="n"/>
      <c r="G79" s="25">
        <f>IF($C79="","",IFERROR(IF(INDEX(links!$A$2:$A$501,MATCH($C79,links!$D$2:$D$501,0))="","",INDEX(links!$A$2:$A$501,MATCH($C79,links!$D$2:$D$501,0))),""))</f>
        <v/>
      </c>
      <c r="H79" s="25">
        <f>IF($C79="","",IFERROR(IF(INDEX(links!$B$2:$B$501,MATCH($C79,links!$D$2:$D$501,0))="","",INDEX(links!$B$2:$B$501,MATCH($C79,links!$D$2:$D$501,0))),""))</f>
        <v/>
      </c>
      <c r="I79" s="25">
        <f>IF($C79="","",IFERROR(IF(INDEX(links!$C$2:$C$501,MATCH($C79,links!$D$2:$D$501,0))="","",INDEX(links!$C$2:$C$501,MATCH($C79,links!$D$2:$D$501,0))),""))</f>
        <v/>
      </c>
      <c r="J79" s="25">
        <f>IF($C79="","",IF($G79="","slug not in links; ","")&amp;IF($D79="","reading type missing; ","")&amp;IF(COUNTIFS(scans!$C$2:$C$1601,$C79,scans!$D$2:$D$1601,$D79)&gt;1,"two readings of this type: keep one; ",""))</f>
        <v/>
      </c>
    </row>
    <row r="80">
      <c r="A80" s="9" t="n"/>
      <c r="B80" s="33" t="n"/>
      <c r="G80" s="25">
        <f>IF($C80="","",IFERROR(IF(INDEX(links!$A$2:$A$501,MATCH($C80,links!$D$2:$D$501,0))="","",INDEX(links!$A$2:$A$501,MATCH($C80,links!$D$2:$D$501,0))),""))</f>
        <v/>
      </c>
      <c r="H80" s="25">
        <f>IF($C80="","",IFERROR(IF(INDEX(links!$B$2:$B$501,MATCH($C80,links!$D$2:$D$501,0))="","",INDEX(links!$B$2:$B$501,MATCH($C80,links!$D$2:$D$501,0))),""))</f>
        <v/>
      </c>
      <c r="I80" s="25">
        <f>IF($C80="","",IFERROR(IF(INDEX(links!$C$2:$C$501,MATCH($C80,links!$D$2:$D$501,0))="","",INDEX(links!$C$2:$C$501,MATCH($C80,links!$D$2:$D$501,0))),""))</f>
        <v/>
      </c>
      <c r="J80" s="25">
        <f>IF($C80="","",IF($G80="","slug not in links; ","")&amp;IF($D80="","reading type missing; ","")&amp;IF(COUNTIFS(scans!$C$2:$C$1601,$C80,scans!$D$2:$D$1601,$D80)&gt;1,"two readings of this type: keep one; ",""))</f>
        <v/>
      </c>
    </row>
    <row r="81">
      <c r="A81" s="9" t="n"/>
      <c r="B81" s="33" t="n"/>
      <c r="G81" s="25">
        <f>IF($C81="","",IFERROR(IF(INDEX(links!$A$2:$A$501,MATCH($C81,links!$D$2:$D$501,0))="","",INDEX(links!$A$2:$A$501,MATCH($C81,links!$D$2:$D$501,0))),""))</f>
        <v/>
      </c>
      <c r="H81" s="25">
        <f>IF($C81="","",IFERROR(IF(INDEX(links!$B$2:$B$501,MATCH($C81,links!$D$2:$D$501,0))="","",INDEX(links!$B$2:$B$501,MATCH($C81,links!$D$2:$D$501,0))),""))</f>
        <v/>
      </c>
      <c r="I81" s="25">
        <f>IF($C81="","",IFERROR(IF(INDEX(links!$C$2:$C$501,MATCH($C81,links!$D$2:$D$501,0))="","",INDEX(links!$C$2:$C$501,MATCH($C81,links!$D$2:$D$501,0))),""))</f>
        <v/>
      </c>
      <c r="J81" s="25">
        <f>IF($C81="","",IF($G81="","slug not in links; ","")&amp;IF($D81="","reading type missing; ","")&amp;IF(COUNTIFS(scans!$C$2:$C$1601,$C81,scans!$D$2:$D$1601,$D81)&gt;1,"two readings of this type: keep one; ",""))</f>
        <v/>
      </c>
    </row>
    <row r="82">
      <c r="A82" s="9" t="n"/>
      <c r="B82" s="33" t="n"/>
      <c r="G82" s="25">
        <f>IF($C82="","",IFERROR(IF(INDEX(links!$A$2:$A$501,MATCH($C82,links!$D$2:$D$501,0))="","",INDEX(links!$A$2:$A$501,MATCH($C82,links!$D$2:$D$501,0))),""))</f>
        <v/>
      </c>
      <c r="H82" s="25">
        <f>IF($C82="","",IFERROR(IF(INDEX(links!$B$2:$B$501,MATCH($C82,links!$D$2:$D$501,0))="","",INDEX(links!$B$2:$B$501,MATCH($C82,links!$D$2:$D$501,0))),""))</f>
        <v/>
      </c>
      <c r="I82" s="25">
        <f>IF($C82="","",IFERROR(IF(INDEX(links!$C$2:$C$501,MATCH($C82,links!$D$2:$D$501,0))="","",INDEX(links!$C$2:$C$501,MATCH($C82,links!$D$2:$D$501,0))),""))</f>
        <v/>
      </c>
      <c r="J82" s="25">
        <f>IF($C82="","",IF($G82="","slug not in links; ","")&amp;IF($D82="","reading type missing; ","")&amp;IF(COUNTIFS(scans!$C$2:$C$1601,$C82,scans!$D$2:$D$1601,$D82)&gt;1,"two readings of this type: keep one; ",""))</f>
        <v/>
      </c>
    </row>
    <row r="83">
      <c r="A83" s="9" t="n"/>
      <c r="B83" s="33" t="n"/>
      <c r="G83" s="25">
        <f>IF($C83="","",IFERROR(IF(INDEX(links!$A$2:$A$501,MATCH($C83,links!$D$2:$D$501,0))="","",INDEX(links!$A$2:$A$501,MATCH($C83,links!$D$2:$D$501,0))),""))</f>
        <v/>
      </c>
      <c r="H83" s="25">
        <f>IF($C83="","",IFERROR(IF(INDEX(links!$B$2:$B$501,MATCH($C83,links!$D$2:$D$501,0))="","",INDEX(links!$B$2:$B$501,MATCH($C83,links!$D$2:$D$501,0))),""))</f>
        <v/>
      </c>
      <c r="I83" s="25">
        <f>IF($C83="","",IFERROR(IF(INDEX(links!$C$2:$C$501,MATCH($C83,links!$D$2:$D$501,0))="","",INDEX(links!$C$2:$C$501,MATCH($C83,links!$D$2:$D$501,0))),""))</f>
        <v/>
      </c>
      <c r="J83" s="25">
        <f>IF($C83="","",IF($G83="","slug not in links; ","")&amp;IF($D83="","reading type missing; ","")&amp;IF(COUNTIFS(scans!$C$2:$C$1601,$C83,scans!$D$2:$D$1601,$D83)&gt;1,"two readings of this type: keep one; ",""))</f>
        <v/>
      </c>
    </row>
    <row r="84">
      <c r="A84" s="9" t="n"/>
      <c r="B84" s="33" t="n"/>
      <c r="G84" s="25">
        <f>IF($C84="","",IFERROR(IF(INDEX(links!$A$2:$A$501,MATCH($C84,links!$D$2:$D$501,0))="","",INDEX(links!$A$2:$A$501,MATCH($C84,links!$D$2:$D$501,0))),""))</f>
        <v/>
      </c>
      <c r="H84" s="25">
        <f>IF($C84="","",IFERROR(IF(INDEX(links!$B$2:$B$501,MATCH($C84,links!$D$2:$D$501,0))="","",INDEX(links!$B$2:$B$501,MATCH($C84,links!$D$2:$D$501,0))),""))</f>
        <v/>
      </c>
      <c r="I84" s="25">
        <f>IF($C84="","",IFERROR(IF(INDEX(links!$C$2:$C$501,MATCH($C84,links!$D$2:$D$501,0))="","",INDEX(links!$C$2:$C$501,MATCH($C84,links!$D$2:$D$501,0))),""))</f>
        <v/>
      </c>
      <c r="J84" s="25">
        <f>IF($C84="","",IF($G84="","slug not in links; ","")&amp;IF($D84="","reading type missing; ","")&amp;IF(COUNTIFS(scans!$C$2:$C$1601,$C84,scans!$D$2:$D$1601,$D84)&gt;1,"two readings of this type: keep one; ",""))</f>
        <v/>
      </c>
    </row>
    <row r="85">
      <c r="A85" s="9" t="n"/>
      <c r="B85" s="33" t="n"/>
      <c r="G85" s="25">
        <f>IF($C85="","",IFERROR(IF(INDEX(links!$A$2:$A$501,MATCH($C85,links!$D$2:$D$501,0))="","",INDEX(links!$A$2:$A$501,MATCH($C85,links!$D$2:$D$501,0))),""))</f>
        <v/>
      </c>
      <c r="H85" s="25">
        <f>IF($C85="","",IFERROR(IF(INDEX(links!$B$2:$B$501,MATCH($C85,links!$D$2:$D$501,0))="","",INDEX(links!$B$2:$B$501,MATCH($C85,links!$D$2:$D$501,0))),""))</f>
        <v/>
      </c>
      <c r="I85" s="25">
        <f>IF($C85="","",IFERROR(IF(INDEX(links!$C$2:$C$501,MATCH($C85,links!$D$2:$D$501,0))="","",INDEX(links!$C$2:$C$501,MATCH($C85,links!$D$2:$D$501,0))),""))</f>
        <v/>
      </c>
      <c r="J85" s="25">
        <f>IF($C85="","",IF($G85="","slug not in links; ","")&amp;IF($D85="","reading type missing; ","")&amp;IF(COUNTIFS(scans!$C$2:$C$1601,$C85,scans!$D$2:$D$1601,$D85)&gt;1,"two readings of this type: keep one; ",""))</f>
        <v/>
      </c>
    </row>
    <row r="86">
      <c r="A86" s="9" t="n"/>
      <c r="B86" s="33" t="n"/>
      <c r="G86" s="25">
        <f>IF($C86="","",IFERROR(IF(INDEX(links!$A$2:$A$501,MATCH($C86,links!$D$2:$D$501,0))="","",INDEX(links!$A$2:$A$501,MATCH($C86,links!$D$2:$D$501,0))),""))</f>
        <v/>
      </c>
      <c r="H86" s="25">
        <f>IF($C86="","",IFERROR(IF(INDEX(links!$B$2:$B$501,MATCH($C86,links!$D$2:$D$501,0))="","",INDEX(links!$B$2:$B$501,MATCH($C86,links!$D$2:$D$501,0))),""))</f>
        <v/>
      </c>
      <c r="I86" s="25">
        <f>IF($C86="","",IFERROR(IF(INDEX(links!$C$2:$C$501,MATCH($C86,links!$D$2:$D$501,0))="","",INDEX(links!$C$2:$C$501,MATCH($C86,links!$D$2:$D$501,0))),""))</f>
        <v/>
      </c>
      <c r="J86" s="25">
        <f>IF($C86="","",IF($G86="","slug not in links; ","")&amp;IF($D86="","reading type missing; ","")&amp;IF(COUNTIFS(scans!$C$2:$C$1601,$C86,scans!$D$2:$D$1601,$D86)&gt;1,"two readings of this type: keep one; ",""))</f>
        <v/>
      </c>
    </row>
    <row r="87">
      <c r="A87" s="9" t="n"/>
      <c r="B87" s="33" t="n"/>
      <c r="G87" s="25">
        <f>IF($C87="","",IFERROR(IF(INDEX(links!$A$2:$A$501,MATCH($C87,links!$D$2:$D$501,0))="","",INDEX(links!$A$2:$A$501,MATCH($C87,links!$D$2:$D$501,0))),""))</f>
        <v/>
      </c>
      <c r="H87" s="25">
        <f>IF($C87="","",IFERROR(IF(INDEX(links!$B$2:$B$501,MATCH($C87,links!$D$2:$D$501,0))="","",INDEX(links!$B$2:$B$501,MATCH($C87,links!$D$2:$D$501,0))),""))</f>
        <v/>
      </c>
      <c r="I87" s="25">
        <f>IF($C87="","",IFERROR(IF(INDEX(links!$C$2:$C$501,MATCH($C87,links!$D$2:$D$501,0))="","",INDEX(links!$C$2:$C$501,MATCH($C87,links!$D$2:$D$501,0))),""))</f>
        <v/>
      </c>
      <c r="J87" s="25">
        <f>IF($C87="","",IF($G87="","slug not in links; ","")&amp;IF($D87="","reading type missing; ","")&amp;IF(COUNTIFS(scans!$C$2:$C$1601,$C87,scans!$D$2:$D$1601,$D87)&gt;1,"two readings of this type: keep one; ",""))</f>
        <v/>
      </c>
    </row>
    <row r="88">
      <c r="A88" s="9" t="n"/>
      <c r="B88" s="33" t="n"/>
      <c r="G88" s="25">
        <f>IF($C88="","",IFERROR(IF(INDEX(links!$A$2:$A$501,MATCH($C88,links!$D$2:$D$501,0))="","",INDEX(links!$A$2:$A$501,MATCH($C88,links!$D$2:$D$501,0))),""))</f>
        <v/>
      </c>
      <c r="H88" s="25">
        <f>IF($C88="","",IFERROR(IF(INDEX(links!$B$2:$B$501,MATCH($C88,links!$D$2:$D$501,0))="","",INDEX(links!$B$2:$B$501,MATCH($C88,links!$D$2:$D$501,0))),""))</f>
        <v/>
      </c>
      <c r="I88" s="25">
        <f>IF($C88="","",IFERROR(IF(INDEX(links!$C$2:$C$501,MATCH($C88,links!$D$2:$D$501,0))="","",INDEX(links!$C$2:$C$501,MATCH($C88,links!$D$2:$D$501,0))),""))</f>
        <v/>
      </c>
      <c r="J88" s="25">
        <f>IF($C88="","",IF($G88="","slug not in links; ","")&amp;IF($D88="","reading type missing; ","")&amp;IF(COUNTIFS(scans!$C$2:$C$1601,$C88,scans!$D$2:$D$1601,$D88)&gt;1,"two readings of this type: keep one; ",""))</f>
        <v/>
      </c>
    </row>
    <row r="89">
      <c r="A89" s="9" t="n"/>
      <c r="B89" s="33" t="n"/>
      <c r="G89" s="25">
        <f>IF($C89="","",IFERROR(IF(INDEX(links!$A$2:$A$501,MATCH($C89,links!$D$2:$D$501,0))="","",INDEX(links!$A$2:$A$501,MATCH($C89,links!$D$2:$D$501,0))),""))</f>
        <v/>
      </c>
      <c r="H89" s="25">
        <f>IF($C89="","",IFERROR(IF(INDEX(links!$B$2:$B$501,MATCH($C89,links!$D$2:$D$501,0))="","",INDEX(links!$B$2:$B$501,MATCH($C89,links!$D$2:$D$501,0))),""))</f>
        <v/>
      </c>
      <c r="I89" s="25">
        <f>IF($C89="","",IFERROR(IF(INDEX(links!$C$2:$C$501,MATCH($C89,links!$D$2:$D$501,0))="","",INDEX(links!$C$2:$C$501,MATCH($C89,links!$D$2:$D$501,0))),""))</f>
        <v/>
      </c>
      <c r="J89" s="25">
        <f>IF($C89="","",IF($G89="","slug not in links; ","")&amp;IF($D89="","reading type missing; ","")&amp;IF(COUNTIFS(scans!$C$2:$C$1601,$C89,scans!$D$2:$D$1601,$D89)&gt;1,"two readings of this type: keep one; ",""))</f>
        <v/>
      </c>
    </row>
    <row r="90">
      <c r="A90" s="9" t="n"/>
      <c r="B90" s="33" t="n"/>
      <c r="G90" s="25">
        <f>IF($C90="","",IFERROR(IF(INDEX(links!$A$2:$A$501,MATCH($C90,links!$D$2:$D$501,0))="","",INDEX(links!$A$2:$A$501,MATCH($C90,links!$D$2:$D$501,0))),""))</f>
        <v/>
      </c>
      <c r="H90" s="25">
        <f>IF($C90="","",IFERROR(IF(INDEX(links!$B$2:$B$501,MATCH($C90,links!$D$2:$D$501,0))="","",INDEX(links!$B$2:$B$501,MATCH($C90,links!$D$2:$D$501,0))),""))</f>
        <v/>
      </c>
      <c r="I90" s="25">
        <f>IF($C90="","",IFERROR(IF(INDEX(links!$C$2:$C$501,MATCH($C90,links!$D$2:$D$501,0))="","",INDEX(links!$C$2:$C$501,MATCH($C90,links!$D$2:$D$501,0))),""))</f>
        <v/>
      </c>
      <c r="J90" s="25">
        <f>IF($C90="","",IF($G90="","slug not in links; ","")&amp;IF($D90="","reading type missing; ","")&amp;IF(COUNTIFS(scans!$C$2:$C$1601,$C90,scans!$D$2:$D$1601,$D90)&gt;1,"two readings of this type: keep one; ",""))</f>
        <v/>
      </c>
    </row>
    <row r="91">
      <c r="A91" s="9" t="n"/>
      <c r="B91" s="33" t="n"/>
      <c r="G91" s="25">
        <f>IF($C91="","",IFERROR(IF(INDEX(links!$A$2:$A$501,MATCH($C91,links!$D$2:$D$501,0))="","",INDEX(links!$A$2:$A$501,MATCH($C91,links!$D$2:$D$501,0))),""))</f>
        <v/>
      </c>
      <c r="H91" s="25">
        <f>IF($C91="","",IFERROR(IF(INDEX(links!$B$2:$B$501,MATCH($C91,links!$D$2:$D$501,0))="","",INDEX(links!$B$2:$B$501,MATCH($C91,links!$D$2:$D$501,0))),""))</f>
        <v/>
      </c>
      <c r="I91" s="25">
        <f>IF($C91="","",IFERROR(IF(INDEX(links!$C$2:$C$501,MATCH($C91,links!$D$2:$D$501,0))="","",INDEX(links!$C$2:$C$501,MATCH($C91,links!$D$2:$D$501,0))),""))</f>
        <v/>
      </c>
      <c r="J91" s="25">
        <f>IF($C91="","",IF($G91="","slug not in links; ","")&amp;IF($D91="","reading type missing; ","")&amp;IF(COUNTIFS(scans!$C$2:$C$1601,$C91,scans!$D$2:$D$1601,$D91)&gt;1,"two readings of this type: keep one; ",""))</f>
        <v/>
      </c>
    </row>
    <row r="92">
      <c r="A92" s="9" t="n"/>
      <c r="B92" s="33" t="n"/>
      <c r="G92" s="25">
        <f>IF($C92="","",IFERROR(IF(INDEX(links!$A$2:$A$501,MATCH($C92,links!$D$2:$D$501,0))="","",INDEX(links!$A$2:$A$501,MATCH($C92,links!$D$2:$D$501,0))),""))</f>
        <v/>
      </c>
      <c r="H92" s="25">
        <f>IF($C92="","",IFERROR(IF(INDEX(links!$B$2:$B$501,MATCH($C92,links!$D$2:$D$501,0))="","",INDEX(links!$B$2:$B$501,MATCH($C92,links!$D$2:$D$501,0))),""))</f>
        <v/>
      </c>
      <c r="I92" s="25">
        <f>IF($C92="","",IFERROR(IF(INDEX(links!$C$2:$C$501,MATCH($C92,links!$D$2:$D$501,0))="","",INDEX(links!$C$2:$C$501,MATCH($C92,links!$D$2:$D$501,0))),""))</f>
        <v/>
      </c>
      <c r="J92" s="25">
        <f>IF($C92="","",IF($G92="","slug not in links; ","")&amp;IF($D92="","reading type missing; ","")&amp;IF(COUNTIFS(scans!$C$2:$C$1601,$C92,scans!$D$2:$D$1601,$D92)&gt;1,"two readings of this type: keep one; ",""))</f>
        <v/>
      </c>
    </row>
    <row r="93">
      <c r="A93" s="9" t="n"/>
      <c r="B93" s="33" t="n"/>
      <c r="G93" s="25">
        <f>IF($C93="","",IFERROR(IF(INDEX(links!$A$2:$A$501,MATCH($C93,links!$D$2:$D$501,0))="","",INDEX(links!$A$2:$A$501,MATCH($C93,links!$D$2:$D$501,0))),""))</f>
        <v/>
      </c>
      <c r="H93" s="25">
        <f>IF($C93="","",IFERROR(IF(INDEX(links!$B$2:$B$501,MATCH($C93,links!$D$2:$D$501,0))="","",INDEX(links!$B$2:$B$501,MATCH($C93,links!$D$2:$D$501,0))),""))</f>
        <v/>
      </c>
      <c r="I93" s="25">
        <f>IF($C93="","",IFERROR(IF(INDEX(links!$C$2:$C$501,MATCH($C93,links!$D$2:$D$501,0))="","",INDEX(links!$C$2:$C$501,MATCH($C93,links!$D$2:$D$501,0))),""))</f>
        <v/>
      </c>
      <c r="J93" s="25">
        <f>IF($C93="","",IF($G93="","slug not in links; ","")&amp;IF($D93="","reading type missing; ","")&amp;IF(COUNTIFS(scans!$C$2:$C$1601,$C93,scans!$D$2:$D$1601,$D93)&gt;1,"two readings of this type: keep one; ",""))</f>
        <v/>
      </c>
    </row>
    <row r="94">
      <c r="A94" s="9" t="n"/>
      <c r="B94" s="33" t="n"/>
      <c r="G94" s="25">
        <f>IF($C94="","",IFERROR(IF(INDEX(links!$A$2:$A$501,MATCH($C94,links!$D$2:$D$501,0))="","",INDEX(links!$A$2:$A$501,MATCH($C94,links!$D$2:$D$501,0))),""))</f>
        <v/>
      </c>
      <c r="H94" s="25">
        <f>IF($C94="","",IFERROR(IF(INDEX(links!$B$2:$B$501,MATCH($C94,links!$D$2:$D$501,0))="","",INDEX(links!$B$2:$B$501,MATCH($C94,links!$D$2:$D$501,0))),""))</f>
        <v/>
      </c>
      <c r="I94" s="25">
        <f>IF($C94="","",IFERROR(IF(INDEX(links!$C$2:$C$501,MATCH($C94,links!$D$2:$D$501,0))="","",INDEX(links!$C$2:$C$501,MATCH($C94,links!$D$2:$D$501,0))),""))</f>
        <v/>
      </c>
      <c r="J94" s="25">
        <f>IF($C94="","",IF($G94="","slug not in links; ","")&amp;IF($D94="","reading type missing; ","")&amp;IF(COUNTIFS(scans!$C$2:$C$1601,$C94,scans!$D$2:$D$1601,$D94)&gt;1,"two readings of this type: keep one; ",""))</f>
        <v/>
      </c>
    </row>
    <row r="95">
      <c r="A95" s="9" t="n"/>
      <c r="B95" s="33" t="n"/>
      <c r="G95" s="25">
        <f>IF($C95="","",IFERROR(IF(INDEX(links!$A$2:$A$501,MATCH($C95,links!$D$2:$D$501,0))="","",INDEX(links!$A$2:$A$501,MATCH($C95,links!$D$2:$D$501,0))),""))</f>
        <v/>
      </c>
      <c r="H95" s="25">
        <f>IF($C95="","",IFERROR(IF(INDEX(links!$B$2:$B$501,MATCH($C95,links!$D$2:$D$501,0))="","",INDEX(links!$B$2:$B$501,MATCH($C95,links!$D$2:$D$501,0))),""))</f>
        <v/>
      </c>
      <c r="I95" s="25">
        <f>IF($C95="","",IFERROR(IF(INDEX(links!$C$2:$C$501,MATCH($C95,links!$D$2:$D$501,0))="","",INDEX(links!$C$2:$C$501,MATCH($C95,links!$D$2:$D$501,0))),""))</f>
        <v/>
      </c>
      <c r="J95" s="25">
        <f>IF($C95="","",IF($G95="","slug not in links; ","")&amp;IF($D95="","reading type missing; ","")&amp;IF(COUNTIFS(scans!$C$2:$C$1601,$C95,scans!$D$2:$D$1601,$D95)&gt;1,"two readings of this type: keep one; ",""))</f>
        <v/>
      </c>
    </row>
    <row r="96">
      <c r="A96" s="9" t="n"/>
      <c r="B96" s="33" t="n"/>
      <c r="G96" s="25">
        <f>IF($C96="","",IFERROR(IF(INDEX(links!$A$2:$A$501,MATCH($C96,links!$D$2:$D$501,0))="","",INDEX(links!$A$2:$A$501,MATCH($C96,links!$D$2:$D$501,0))),""))</f>
        <v/>
      </c>
      <c r="H96" s="25">
        <f>IF($C96="","",IFERROR(IF(INDEX(links!$B$2:$B$501,MATCH($C96,links!$D$2:$D$501,0))="","",INDEX(links!$B$2:$B$501,MATCH($C96,links!$D$2:$D$501,0))),""))</f>
        <v/>
      </c>
      <c r="I96" s="25">
        <f>IF($C96="","",IFERROR(IF(INDEX(links!$C$2:$C$501,MATCH($C96,links!$D$2:$D$501,0))="","",INDEX(links!$C$2:$C$501,MATCH($C96,links!$D$2:$D$501,0))),""))</f>
        <v/>
      </c>
      <c r="J96" s="25">
        <f>IF($C96="","",IF($G96="","slug not in links; ","")&amp;IF($D96="","reading type missing; ","")&amp;IF(COUNTIFS(scans!$C$2:$C$1601,$C96,scans!$D$2:$D$1601,$D96)&gt;1,"two readings of this type: keep one; ",""))</f>
        <v/>
      </c>
    </row>
    <row r="97">
      <c r="A97" s="9" t="n"/>
      <c r="B97" s="33" t="n"/>
      <c r="G97" s="25">
        <f>IF($C97="","",IFERROR(IF(INDEX(links!$A$2:$A$501,MATCH($C97,links!$D$2:$D$501,0))="","",INDEX(links!$A$2:$A$501,MATCH($C97,links!$D$2:$D$501,0))),""))</f>
        <v/>
      </c>
      <c r="H97" s="25">
        <f>IF($C97="","",IFERROR(IF(INDEX(links!$B$2:$B$501,MATCH($C97,links!$D$2:$D$501,0))="","",INDEX(links!$B$2:$B$501,MATCH($C97,links!$D$2:$D$501,0))),""))</f>
        <v/>
      </c>
      <c r="I97" s="25">
        <f>IF($C97="","",IFERROR(IF(INDEX(links!$C$2:$C$501,MATCH($C97,links!$D$2:$D$501,0))="","",INDEX(links!$C$2:$C$501,MATCH($C97,links!$D$2:$D$501,0))),""))</f>
        <v/>
      </c>
      <c r="J97" s="25">
        <f>IF($C97="","",IF($G97="","slug not in links; ","")&amp;IF($D97="","reading type missing; ","")&amp;IF(COUNTIFS(scans!$C$2:$C$1601,$C97,scans!$D$2:$D$1601,$D97)&gt;1,"two readings of this type: keep one; ",""))</f>
        <v/>
      </c>
    </row>
    <row r="98">
      <c r="A98" s="9" t="n"/>
      <c r="B98" s="33" t="n"/>
      <c r="G98" s="25">
        <f>IF($C98="","",IFERROR(IF(INDEX(links!$A$2:$A$501,MATCH($C98,links!$D$2:$D$501,0))="","",INDEX(links!$A$2:$A$501,MATCH($C98,links!$D$2:$D$501,0))),""))</f>
        <v/>
      </c>
      <c r="H98" s="25">
        <f>IF($C98="","",IFERROR(IF(INDEX(links!$B$2:$B$501,MATCH($C98,links!$D$2:$D$501,0))="","",INDEX(links!$B$2:$B$501,MATCH($C98,links!$D$2:$D$501,0))),""))</f>
        <v/>
      </c>
      <c r="I98" s="25">
        <f>IF($C98="","",IFERROR(IF(INDEX(links!$C$2:$C$501,MATCH($C98,links!$D$2:$D$501,0))="","",INDEX(links!$C$2:$C$501,MATCH($C98,links!$D$2:$D$501,0))),""))</f>
        <v/>
      </c>
      <c r="J98" s="25">
        <f>IF($C98="","",IF($G98="","slug not in links; ","")&amp;IF($D98="","reading type missing; ","")&amp;IF(COUNTIFS(scans!$C$2:$C$1601,$C98,scans!$D$2:$D$1601,$D98)&gt;1,"two readings of this type: keep one; ",""))</f>
        <v/>
      </c>
    </row>
    <row r="99">
      <c r="A99" s="9" t="n"/>
      <c r="B99" s="33" t="n"/>
      <c r="G99" s="25">
        <f>IF($C99="","",IFERROR(IF(INDEX(links!$A$2:$A$501,MATCH($C99,links!$D$2:$D$501,0))="","",INDEX(links!$A$2:$A$501,MATCH($C99,links!$D$2:$D$501,0))),""))</f>
        <v/>
      </c>
      <c r="H99" s="25">
        <f>IF($C99="","",IFERROR(IF(INDEX(links!$B$2:$B$501,MATCH($C99,links!$D$2:$D$501,0))="","",INDEX(links!$B$2:$B$501,MATCH($C99,links!$D$2:$D$501,0))),""))</f>
        <v/>
      </c>
      <c r="I99" s="25">
        <f>IF($C99="","",IFERROR(IF(INDEX(links!$C$2:$C$501,MATCH($C99,links!$D$2:$D$501,0))="","",INDEX(links!$C$2:$C$501,MATCH($C99,links!$D$2:$D$501,0))),""))</f>
        <v/>
      </c>
      <c r="J99" s="25">
        <f>IF($C99="","",IF($G99="","slug not in links; ","")&amp;IF($D99="","reading type missing; ","")&amp;IF(COUNTIFS(scans!$C$2:$C$1601,$C99,scans!$D$2:$D$1601,$D99)&gt;1,"two readings of this type: keep one; ",""))</f>
        <v/>
      </c>
    </row>
    <row r="100">
      <c r="A100" s="9" t="n"/>
      <c r="B100" s="33" t="n"/>
      <c r="G100" s="25">
        <f>IF($C100="","",IFERROR(IF(INDEX(links!$A$2:$A$501,MATCH($C100,links!$D$2:$D$501,0))="","",INDEX(links!$A$2:$A$501,MATCH($C100,links!$D$2:$D$501,0))),""))</f>
        <v/>
      </c>
      <c r="H100" s="25">
        <f>IF($C100="","",IFERROR(IF(INDEX(links!$B$2:$B$501,MATCH($C100,links!$D$2:$D$501,0))="","",INDEX(links!$B$2:$B$501,MATCH($C100,links!$D$2:$D$501,0))),""))</f>
        <v/>
      </c>
      <c r="I100" s="25">
        <f>IF($C100="","",IFERROR(IF(INDEX(links!$C$2:$C$501,MATCH($C100,links!$D$2:$D$501,0))="","",INDEX(links!$C$2:$C$501,MATCH($C100,links!$D$2:$D$501,0))),""))</f>
        <v/>
      </c>
      <c r="J100" s="25">
        <f>IF($C100="","",IF($G100="","slug not in links; ","")&amp;IF($D100="","reading type missing; ","")&amp;IF(COUNTIFS(scans!$C$2:$C$1601,$C100,scans!$D$2:$D$1601,$D100)&gt;1,"two readings of this type: keep one; ",""))</f>
        <v/>
      </c>
    </row>
    <row r="101">
      <c r="A101" s="9" t="n"/>
      <c r="B101" s="33" t="n"/>
      <c r="G101" s="25">
        <f>IF($C101="","",IFERROR(IF(INDEX(links!$A$2:$A$501,MATCH($C101,links!$D$2:$D$501,0))="","",INDEX(links!$A$2:$A$501,MATCH($C101,links!$D$2:$D$501,0))),""))</f>
        <v/>
      </c>
      <c r="H101" s="25">
        <f>IF($C101="","",IFERROR(IF(INDEX(links!$B$2:$B$501,MATCH($C101,links!$D$2:$D$501,0))="","",INDEX(links!$B$2:$B$501,MATCH($C101,links!$D$2:$D$501,0))),""))</f>
        <v/>
      </c>
      <c r="I101" s="25">
        <f>IF($C101="","",IFERROR(IF(INDEX(links!$C$2:$C$501,MATCH($C101,links!$D$2:$D$501,0))="","",INDEX(links!$C$2:$C$501,MATCH($C101,links!$D$2:$D$501,0))),""))</f>
        <v/>
      </c>
      <c r="J101" s="25">
        <f>IF($C101="","",IF($G101="","slug not in links; ","")&amp;IF($D101="","reading type missing; ","")&amp;IF(COUNTIFS(scans!$C$2:$C$1601,$C101,scans!$D$2:$D$1601,$D101)&gt;1,"two readings of this type: keep one; ",""))</f>
        <v/>
      </c>
    </row>
    <row r="102">
      <c r="A102" s="9" t="n"/>
      <c r="B102" s="33" t="n"/>
      <c r="G102" s="25">
        <f>IF($C102="","",IFERROR(IF(INDEX(links!$A$2:$A$501,MATCH($C102,links!$D$2:$D$501,0))="","",INDEX(links!$A$2:$A$501,MATCH($C102,links!$D$2:$D$501,0))),""))</f>
        <v/>
      </c>
      <c r="H102" s="25">
        <f>IF($C102="","",IFERROR(IF(INDEX(links!$B$2:$B$501,MATCH($C102,links!$D$2:$D$501,0))="","",INDEX(links!$B$2:$B$501,MATCH($C102,links!$D$2:$D$501,0))),""))</f>
        <v/>
      </c>
      <c r="I102" s="25">
        <f>IF($C102="","",IFERROR(IF(INDEX(links!$C$2:$C$501,MATCH($C102,links!$D$2:$D$501,0))="","",INDEX(links!$C$2:$C$501,MATCH($C102,links!$D$2:$D$501,0))),""))</f>
        <v/>
      </c>
      <c r="J102" s="25">
        <f>IF($C102="","",IF($G102="","slug not in links; ","")&amp;IF($D102="","reading type missing; ","")&amp;IF(COUNTIFS(scans!$C$2:$C$1601,$C102,scans!$D$2:$D$1601,$D102)&gt;1,"two readings of this type: keep one; ",""))</f>
        <v/>
      </c>
    </row>
    <row r="103">
      <c r="A103" s="9" t="n"/>
      <c r="B103" s="33" t="n"/>
      <c r="G103" s="25">
        <f>IF($C103="","",IFERROR(IF(INDEX(links!$A$2:$A$501,MATCH($C103,links!$D$2:$D$501,0))="","",INDEX(links!$A$2:$A$501,MATCH($C103,links!$D$2:$D$501,0))),""))</f>
        <v/>
      </c>
      <c r="H103" s="25">
        <f>IF($C103="","",IFERROR(IF(INDEX(links!$B$2:$B$501,MATCH($C103,links!$D$2:$D$501,0))="","",INDEX(links!$B$2:$B$501,MATCH($C103,links!$D$2:$D$501,0))),""))</f>
        <v/>
      </c>
      <c r="I103" s="25">
        <f>IF($C103="","",IFERROR(IF(INDEX(links!$C$2:$C$501,MATCH($C103,links!$D$2:$D$501,0))="","",INDEX(links!$C$2:$C$501,MATCH($C103,links!$D$2:$D$501,0))),""))</f>
        <v/>
      </c>
      <c r="J103" s="25">
        <f>IF($C103="","",IF($G103="","slug not in links; ","")&amp;IF($D103="","reading type missing; ","")&amp;IF(COUNTIFS(scans!$C$2:$C$1601,$C103,scans!$D$2:$D$1601,$D103)&gt;1,"two readings of this type: keep one; ",""))</f>
        <v/>
      </c>
    </row>
    <row r="104">
      <c r="A104" s="9" t="n"/>
      <c r="B104" s="33" t="n"/>
      <c r="G104" s="25">
        <f>IF($C104="","",IFERROR(IF(INDEX(links!$A$2:$A$501,MATCH($C104,links!$D$2:$D$501,0))="","",INDEX(links!$A$2:$A$501,MATCH($C104,links!$D$2:$D$501,0))),""))</f>
        <v/>
      </c>
      <c r="H104" s="25">
        <f>IF($C104="","",IFERROR(IF(INDEX(links!$B$2:$B$501,MATCH($C104,links!$D$2:$D$501,0))="","",INDEX(links!$B$2:$B$501,MATCH($C104,links!$D$2:$D$501,0))),""))</f>
        <v/>
      </c>
      <c r="I104" s="25">
        <f>IF($C104="","",IFERROR(IF(INDEX(links!$C$2:$C$501,MATCH($C104,links!$D$2:$D$501,0))="","",INDEX(links!$C$2:$C$501,MATCH($C104,links!$D$2:$D$501,0))),""))</f>
        <v/>
      </c>
      <c r="J104" s="25">
        <f>IF($C104="","",IF($G104="","slug not in links; ","")&amp;IF($D104="","reading type missing; ","")&amp;IF(COUNTIFS(scans!$C$2:$C$1601,$C104,scans!$D$2:$D$1601,$D104)&gt;1,"two readings of this type: keep one; ",""))</f>
        <v/>
      </c>
    </row>
    <row r="105">
      <c r="A105" s="9" t="n"/>
      <c r="B105" s="33" t="n"/>
      <c r="G105" s="25">
        <f>IF($C105="","",IFERROR(IF(INDEX(links!$A$2:$A$501,MATCH($C105,links!$D$2:$D$501,0))="","",INDEX(links!$A$2:$A$501,MATCH($C105,links!$D$2:$D$501,0))),""))</f>
        <v/>
      </c>
      <c r="H105" s="25">
        <f>IF($C105="","",IFERROR(IF(INDEX(links!$B$2:$B$501,MATCH($C105,links!$D$2:$D$501,0))="","",INDEX(links!$B$2:$B$501,MATCH($C105,links!$D$2:$D$501,0))),""))</f>
        <v/>
      </c>
      <c r="I105" s="25">
        <f>IF($C105="","",IFERROR(IF(INDEX(links!$C$2:$C$501,MATCH($C105,links!$D$2:$D$501,0))="","",INDEX(links!$C$2:$C$501,MATCH($C105,links!$D$2:$D$501,0))),""))</f>
        <v/>
      </c>
      <c r="J105" s="25">
        <f>IF($C105="","",IF($G105="","slug not in links; ","")&amp;IF($D105="","reading type missing; ","")&amp;IF(COUNTIFS(scans!$C$2:$C$1601,$C105,scans!$D$2:$D$1601,$D105)&gt;1,"two readings of this type: keep one; ",""))</f>
        <v/>
      </c>
    </row>
    <row r="106">
      <c r="A106" s="9" t="n"/>
      <c r="B106" s="33" t="n"/>
      <c r="G106" s="25">
        <f>IF($C106="","",IFERROR(IF(INDEX(links!$A$2:$A$501,MATCH($C106,links!$D$2:$D$501,0))="","",INDEX(links!$A$2:$A$501,MATCH($C106,links!$D$2:$D$501,0))),""))</f>
        <v/>
      </c>
      <c r="H106" s="25">
        <f>IF($C106="","",IFERROR(IF(INDEX(links!$B$2:$B$501,MATCH($C106,links!$D$2:$D$501,0))="","",INDEX(links!$B$2:$B$501,MATCH($C106,links!$D$2:$D$501,0))),""))</f>
        <v/>
      </c>
      <c r="I106" s="25">
        <f>IF($C106="","",IFERROR(IF(INDEX(links!$C$2:$C$501,MATCH($C106,links!$D$2:$D$501,0))="","",INDEX(links!$C$2:$C$501,MATCH($C106,links!$D$2:$D$501,0))),""))</f>
        <v/>
      </c>
      <c r="J106" s="25">
        <f>IF($C106="","",IF($G106="","slug not in links; ","")&amp;IF($D106="","reading type missing; ","")&amp;IF(COUNTIFS(scans!$C$2:$C$1601,$C106,scans!$D$2:$D$1601,$D106)&gt;1,"two readings of this type: keep one; ",""))</f>
        <v/>
      </c>
    </row>
    <row r="107">
      <c r="A107" s="9" t="n"/>
      <c r="B107" s="33" t="n"/>
      <c r="G107" s="25">
        <f>IF($C107="","",IFERROR(IF(INDEX(links!$A$2:$A$501,MATCH($C107,links!$D$2:$D$501,0))="","",INDEX(links!$A$2:$A$501,MATCH($C107,links!$D$2:$D$501,0))),""))</f>
        <v/>
      </c>
      <c r="H107" s="25">
        <f>IF($C107="","",IFERROR(IF(INDEX(links!$B$2:$B$501,MATCH($C107,links!$D$2:$D$501,0))="","",INDEX(links!$B$2:$B$501,MATCH($C107,links!$D$2:$D$501,0))),""))</f>
        <v/>
      </c>
      <c r="I107" s="25">
        <f>IF($C107="","",IFERROR(IF(INDEX(links!$C$2:$C$501,MATCH($C107,links!$D$2:$D$501,0))="","",INDEX(links!$C$2:$C$501,MATCH($C107,links!$D$2:$D$501,0))),""))</f>
        <v/>
      </c>
      <c r="J107" s="25">
        <f>IF($C107="","",IF($G107="","slug not in links; ","")&amp;IF($D107="","reading type missing; ","")&amp;IF(COUNTIFS(scans!$C$2:$C$1601,$C107,scans!$D$2:$D$1601,$D107)&gt;1,"two readings of this type: keep one; ",""))</f>
        <v/>
      </c>
    </row>
    <row r="108">
      <c r="A108" s="9" t="n"/>
      <c r="B108" s="33" t="n"/>
      <c r="G108" s="25">
        <f>IF($C108="","",IFERROR(IF(INDEX(links!$A$2:$A$501,MATCH($C108,links!$D$2:$D$501,0))="","",INDEX(links!$A$2:$A$501,MATCH($C108,links!$D$2:$D$501,0))),""))</f>
        <v/>
      </c>
      <c r="H108" s="25">
        <f>IF($C108="","",IFERROR(IF(INDEX(links!$B$2:$B$501,MATCH($C108,links!$D$2:$D$501,0))="","",INDEX(links!$B$2:$B$501,MATCH($C108,links!$D$2:$D$501,0))),""))</f>
        <v/>
      </c>
      <c r="I108" s="25">
        <f>IF($C108="","",IFERROR(IF(INDEX(links!$C$2:$C$501,MATCH($C108,links!$D$2:$D$501,0))="","",INDEX(links!$C$2:$C$501,MATCH($C108,links!$D$2:$D$501,0))),""))</f>
        <v/>
      </c>
      <c r="J108" s="25">
        <f>IF($C108="","",IF($G108="","slug not in links; ","")&amp;IF($D108="","reading type missing; ","")&amp;IF(COUNTIFS(scans!$C$2:$C$1601,$C108,scans!$D$2:$D$1601,$D108)&gt;1,"two readings of this type: keep one; ",""))</f>
        <v/>
      </c>
    </row>
    <row r="109">
      <c r="A109" s="9" t="n"/>
      <c r="B109" s="33" t="n"/>
      <c r="G109" s="25">
        <f>IF($C109="","",IFERROR(IF(INDEX(links!$A$2:$A$501,MATCH($C109,links!$D$2:$D$501,0))="","",INDEX(links!$A$2:$A$501,MATCH($C109,links!$D$2:$D$501,0))),""))</f>
        <v/>
      </c>
      <c r="H109" s="25">
        <f>IF($C109="","",IFERROR(IF(INDEX(links!$B$2:$B$501,MATCH($C109,links!$D$2:$D$501,0))="","",INDEX(links!$B$2:$B$501,MATCH($C109,links!$D$2:$D$501,0))),""))</f>
        <v/>
      </c>
      <c r="I109" s="25">
        <f>IF($C109="","",IFERROR(IF(INDEX(links!$C$2:$C$501,MATCH($C109,links!$D$2:$D$501,0))="","",INDEX(links!$C$2:$C$501,MATCH($C109,links!$D$2:$D$501,0))),""))</f>
        <v/>
      </c>
      <c r="J109" s="25">
        <f>IF($C109="","",IF($G109="","slug not in links; ","")&amp;IF($D109="","reading type missing; ","")&amp;IF(COUNTIFS(scans!$C$2:$C$1601,$C109,scans!$D$2:$D$1601,$D109)&gt;1,"two readings of this type: keep one; ",""))</f>
        <v/>
      </c>
    </row>
    <row r="110">
      <c r="A110" s="9" t="n"/>
      <c r="B110" s="33" t="n"/>
      <c r="G110" s="25">
        <f>IF($C110="","",IFERROR(IF(INDEX(links!$A$2:$A$501,MATCH($C110,links!$D$2:$D$501,0))="","",INDEX(links!$A$2:$A$501,MATCH($C110,links!$D$2:$D$501,0))),""))</f>
        <v/>
      </c>
      <c r="H110" s="25">
        <f>IF($C110="","",IFERROR(IF(INDEX(links!$B$2:$B$501,MATCH($C110,links!$D$2:$D$501,0))="","",INDEX(links!$B$2:$B$501,MATCH($C110,links!$D$2:$D$501,0))),""))</f>
        <v/>
      </c>
      <c r="I110" s="25">
        <f>IF($C110="","",IFERROR(IF(INDEX(links!$C$2:$C$501,MATCH($C110,links!$D$2:$D$501,0))="","",INDEX(links!$C$2:$C$501,MATCH($C110,links!$D$2:$D$501,0))),""))</f>
        <v/>
      </c>
      <c r="J110" s="25">
        <f>IF($C110="","",IF($G110="","slug not in links; ","")&amp;IF($D110="","reading type missing; ","")&amp;IF(COUNTIFS(scans!$C$2:$C$1601,$C110,scans!$D$2:$D$1601,$D110)&gt;1,"two readings of this type: keep one; ",""))</f>
        <v/>
      </c>
    </row>
    <row r="111">
      <c r="A111" s="9" t="n"/>
      <c r="B111" s="33" t="n"/>
      <c r="G111" s="25">
        <f>IF($C111="","",IFERROR(IF(INDEX(links!$A$2:$A$501,MATCH($C111,links!$D$2:$D$501,0))="","",INDEX(links!$A$2:$A$501,MATCH($C111,links!$D$2:$D$501,0))),""))</f>
        <v/>
      </c>
      <c r="H111" s="25">
        <f>IF($C111="","",IFERROR(IF(INDEX(links!$B$2:$B$501,MATCH($C111,links!$D$2:$D$501,0))="","",INDEX(links!$B$2:$B$501,MATCH($C111,links!$D$2:$D$501,0))),""))</f>
        <v/>
      </c>
      <c r="I111" s="25">
        <f>IF($C111="","",IFERROR(IF(INDEX(links!$C$2:$C$501,MATCH($C111,links!$D$2:$D$501,0))="","",INDEX(links!$C$2:$C$501,MATCH($C111,links!$D$2:$D$501,0))),""))</f>
        <v/>
      </c>
      <c r="J111" s="25">
        <f>IF($C111="","",IF($G111="","slug not in links; ","")&amp;IF($D111="","reading type missing; ","")&amp;IF(COUNTIFS(scans!$C$2:$C$1601,$C111,scans!$D$2:$D$1601,$D111)&gt;1,"two readings of this type: keep one; ",""))</f>
        <v/>
      </c>
    </row>
    <row r="112">
      <c r="A112" s="9" t="n"/>
      <c r="B112" s="33" t="n"/>
      <c r="G112" s="25">
        <f>IF($C112="","",IFERROR(IF(INDEX(links!$A$2:$A$501,MATCH($C112,links!$D$2:$D$501,0))="","",INDEX(links!$A$2:$A$501,MATCH($C112,links!$D$2:$D$501,0))),""))</f>
        <v/>
      </c>
      <c r="H112" s="25">
        <f>IF($C112="","",IFERROR(IF(INDEX(links!$B$2:$B$501,MATCH($C112,links!$D$2:$D$501,0))="","",INDEX(links!$B$2:$B$501,MATCH($C112,links!$D$2:$D$501,0))),""))</f>
        <v/>
      </c>
      <c r="I112" s="25">
        <f>IF($C112="","",IFERROR(IF(INDEX(links!$C$2:$C$501,MATCH($C112,links!$D$2:$D$501,0))="","",INDEX(links!$C$2:$C$501,MATCH($C112,links!$D$2:$D$501,0))),""))</f>
        <v/>
      </c>
      <c r="J112" s="25">
        <f>IF($C112="","",IF($G112="","slug not in links; ","")&amp;IF($D112="","reading type missing; ","")&amp;IF(COUNTIFS(scans!$C$2:$C$1601,$C112,scans!$D$2:$D$1601,$D112)&gt;1,"two readings of this type: keep one; ",""))</f>
        <v/>
      </c>
    </row>
    <row r="113">
      <c r="A113" s="9" t="n"/>
      <c r="B113" s="33" t="n"/>
      <c r="G113" s="25">
        <f>IF($C113="","",IFERROR(IF(INDEX(links!$A$2:$A$501,MATCH($C113,links!$D$2:$D$501,0))="","",INDEX(links!$A$2:$A$501,MATCH($C113,links!$D$2:$D$501,0))),""))</f>
        <v/>
      </c>
      <c r="H113" s="25">
        <f>IF($C113="","",IFERROR(IF(INDEX(links!$B$2:$B$501,MATCH($C113,links!$D$2:$D$501,0))="","",INDEX(links!$B$2:$B$501,MATCH($C113,links!$D$2:$D$501,0))),""))</f>
        <v/>
      </c>
      <c r="I113" s="25">
        <f>IF($C113="","",IFERROR(IF(INDEX(links!$C$2:$C$501,MATCH($C113,links!$D$2:$D$501,0))="","",INDEX(links!$C$2:$C$501,MATCH($C113,links!$D$2:$D$501,0))),""))</f>
        <v/>
      </c>
      <c r="J113" s="25">
        <f>IF($C113="","",IF($G113="","slug not in links; ","")&amp;IF($D113="","reading type missing; ","")&amp;IF(COUNTIFS(scans!$C$2:$C$1601,$C113,scans!$D$2:$D$1601,$D113)&gt;1,"two readings of this type: keep one; ",""))</f>
        <v/>
      </c>
    </row>
    <row r="114">
      <c r="A114" s="9" t="n"/>
      <c r="B114" s="33" t="n"/>
      <c r="G114" s="25">
        <f>IF($C114="","",IFERROR(IF(INDEX(links!$A$2:$A$501,MATCH($C114,links!$D$2:$D$501,0))="","",INDEX(links!$A$2:$A$501,MATCH($C114,links!$D$2:$D$501,0))),""))</f>
        <v/>
      </c>
      <c r="H114" s="25">
        <f>IF($C114="","",IFERROR(IF(INDEX(links!$B$2:$B$501,MATCH($C114,links!$D$2:$D$501,0))="","",INDEX(links!$B$2:$B$501,MATCH($C114,links!$D$2:$D$501,0))),""))</f>
        <v/>
      </c>
      <c r="I114" s="25">
        <f>IF($C114="","",IFERROR(IF(INDEX(links!$C$2:$C$501,MATCH($C114,links!$D$2:$D$501,0))="","",INDEX(links!$C$2:$C$501,MATCH($C114,links!$D$2:$D$501,0))),""))</f>
        <v/>
      </c>
      <c r="J114" s="25">
        <f>IF($C114="","",IF($G114="","slug not in links; ","")&amp;IF($D114="","reading type missing; ","")&amp;IF(COUNTIFS(scans!$C$2:$C$1601,$C114,scans!$D$2:$D$1601,$D114)&gt;1,"two readings of this type: keep one; ",""))</f>
        <v/>
      </c>
    </row>
    <row r="115">
      <c r="A115" s="9" t="n"/>
      <c r="B115" s="33" t="n"/>
      <c r="G115" s="25">
        <f>IF($C115="","",IFERROR(IF(INDEX(links!$A$2:$A$501,MATCH($C115,links!$D$2:$D$501,0))="","",INDEX(links!$A$2:$A$501,MATCH($C115,links!$D$2:$D$501,0))),""))</f>
        <v/>
      </c>
      <c r="H115" s="25">
        <f>IF($C115="","",IFERROR(IF(INDEX(links!$B$2:$B$501,MATCH($C115,links!$D$2:$D$501,0))="","",INDEX(links!$B$2:$B$501,MATCH($C115,links!$D$2:$D$501,0))),""))</f>
        <v/>
      </c>
      <c r="I115" s="25">
        <f>IF($C115="","",IFERROR(IF(INDEX(links!$C$2:$C$501,MATCH($C115,links!$D$2:$D$501,0))="","",INDEX(links!$C$2:$C$501,MATCH($C115,links!$D$2:$D$501,0))),""))</f>
        <v/>
      </c>
      <c r="J115" s="25">
        <f>IF($C115="","",IF($G115="","slug not in links; ","")&amp;IF($D115="","reading type missing; ","")&amp;IF(COUNTIFS(scans!$C$2:$C$1601,$C115,scans!$D$2:$D$1601,$D115)&gt;1,"two readings of this type: keep one; ",""))</f>
        <v/>
      </c>
    </row>
    <row r="116">
      <c r="A116" s="9" t="n"/>
      <c r="B116" s="33" t="n"/>
      <c r="G116" s="25">
        <f>IF($C116="","",IFERROR(IF(INDEX(links!$A$2:$A$501,MATCH($C116,links!$D$2:$D$501,0))="","",INDEX(links!$A$2:$A$501,MATCH($C116,links!$D$2:$D$501,0))),""))</f>
        <v/>
      </c>
      <c r="H116" s="25">
        <f>IF($C116="","",IFERROR(IF(INDEX(links!$B$2:$B$501,MATCH($C116,links!$D$2:$D$501,0))="","",INDEX(links!$B$2:$B$501,MATCH($C116,links!$D$2:$D$501,0))),""))</f>
        <v/>
      </c>
      <c r="I116" s="25">
        <f>IF($C116="","",IFERROR(IF(INDEX(links!$C$2:$C$501,MATCH($C116,links!$D$2:$D$501,0))="","",INDEX(links!$C$2:$C$501,MATCH($C116,links!$D$2:$D$501,0))),""))</f>
        <v/>
      </c>
      <c r="J116" s="25">
        <f>IF($C116="","",IF($G116="","slug not in links; ","")&amp;IF($D116="","reading type missing; ","")&amp;IF(COUNTIFS(scans!$C$2:$C$1601,$C116,scans!$D$2:$D$1601,$D116)&gt;1,"two readings of this type: keep one; ",""))</f>
        <v/>
      </c>
    </row>
    <row r="117">
      <c r="A117" s="9" t="n"/>
      <c r="B117" s="33" t="n"/>
      <c r="G117" s="25">
        <f>IF($C117="","",IFERROR(IF(INDEX(links!$A$2:$A$501,MATCH($C117,links!$D$2:$D$501,0))="","",INDEX(links!$A$2:$A$501,MATCH($C117,links!$D$2:$D$501,0))),""))</f>
        <v/>
      </c>
      <c r="H117" s="25">
        <f>IF($C117="","",IFERROR(IF(INDEX(links!$B$2:$B$501,MATCH($C117,links!$D$2:$D$501,0))="","",INDEX(links!$B$2:$B$501,MATCH($C117,links!$D$2:$D$501,0))),""))</f>
        <v/>
      </c>
      <c r="I117" s="25">
        <f>IF($C117="","",IFERROR(IF(INDEX(links!$C$2:$C$501,MATCH($C117,links!$D$2:$D$501,0))="","",INDEX(links!$C$2:$C$501,MATCH($C117,links!$D$2:$D$501,0))),""))</f>
        <v/>
      </c>
      <c r="J117" s="25">
        <f>IF($C117="","",IF($G117="","slug not in links; ","")&amp;IF($D117="","reading type missing; ","")&amp;IF(COUNTIFS(scans!$C$2:$C$1601,$C117,scans!$D$2:$D$1601,$D117)&gt;1,"two readings of this type: keep one; ",""))</f>
        <v/>
      </c>
    </row>
    <row r="118">
      <c r="A118" s="9" t="n"/>
      <c r="B118" s="33" t="n"/>
      <c r="G118" s="25">
        <f>IF($C118="","",IFERROR(IF(INDEX(links!$A$2:$A$501,MATCH($C118,links!$D$2:$D$501,0))="","",INDEX(links!$A$2:$A$501,MATCH($C118,links!$D$2:$D$501,0))),""))</f>
        <v/>
      </c>
      <c r="H118" s="25">
        <f>IF($C118="","",IFERROR(IF(INDEX(links!$B$2:$B$501,MATCH($C118,links!$D$2:$D$501,0))="","",INDEX(links!$B$2:$B$501,MATCH($C118,links!$D$2:$D$501,0))),""))</f>
        <v/>
      </c>
      <c r="I118" s="25">
        <f>IF($C118="","",IFERROR(IF(INDEX(links!$C$2:$C$501,MATCH($C118,links!$D$2:$D$501,0))="","",INDEX(links!$C$2:$C$501,MATCH($C118,links!$D$2:$D$501,0))),""))</f>
        <v/>
      </c>
      <c r="J118" s="25">
        <f>IF($C118="","",IF($G118="","slug not in links; ","")&amp;IF($D118="","reading type missing; ","")&amp;IF(COUNTIFS(scans!$C$2:$C$1601,$C118,scans!$D$2:$D$1601,$D118)&gt;1,"two readings of this type: keep one; ",""))</f>
        <v/>
      </c>
    </row>
    <row r="119">
      <c r="A119" s="9" t="n"/>
      <c r="B119" s="33" t="n"/>
      <c r="G119" s="25">
        <f>IF($C119="","",IFERROR(IF(INDEX(links!$A$2:$A$501,MATCH($C119,links!$D$2:$D$501,0))="","",INDEX(links!$A$2:$A$501,MATCH($C119,links!$D$2:$D$501,0))),""))</f>
        <v/>
      </c>
      <c r="H119" s="25">
        <f>IF($C119="","",IFERROR(IF(INDEX(links!$B$2:$B$501,MATCH($C119,links!$D$2:$D$501,0))="","",INDEX(links!$B$2:$B$501,MATCH($C119,links!$D$2:$D$501,0))),""))</f>
        <v/>
      </c>
      <c r="I119" s="25">
        <f>IF($C119="","",IFERROR(IF(INDEX(links!$C$2:$C$501,MATCH($C119,links!$D$2:$D$501,0))="","",INDEX(links!$C$2:$C$501,MATCH($C119,links!$D$2:$D$501,0))),""))</f>
        <v/>
      </c>
      <c r="J119" s="25">
        <f>IF($C119="","",IF($G119="","slug not in links; ","")&amp;IF($D119="","reading type missing; ","")&amp;IF(COUNTIFS(scans!$C$2:$C$1601,$C119,scans!$D$2:$D$1601,$D119)&gt;1,"two readings of this type: keep one; ",""))</f>
        <v/>
      </c>
    </row>
    <row r="120">
      <c r="A120" s="9" t="n"/>
      <c r="B120" s="33" t="n"/>
      <c r="G120" s="25">
        <f>IF($C120="","",IFERROR(IF(INDEX(links!$A$2:$A$501,MATCH($C120,links!$D$2:$D$501,0))="","",INDEX(links!$A$2:$A$501,MATCH($C120,links!$D$2:$D$501,0))),""))</f>
        <v/>
      </c>
      <c r="H120" s="25">
        <f>IF($C120="","",IFERROR(IF(INDEX(links!$B$2:$B$501,MATCH($C120,links!$D$2:$D$501,0))="","",INDEX(links!$B$2:$B$501,MATCH($C120,links!$D$2:$D$501,0))),""))</f>
        <v/>
      </c>
      <c r="I120" s="25">
        <f>IF($C120="","",IFERROR(IF(INDEX(links!$C$2:$C$501,MATCH($C120,links!$D$2:$D$501,0))="","",INDEX(links!$C$2:$C$501,MATCH($C120,links!$D$2:$D$501,0))),""))</f>
        <v/>
      </c>
      <c r="J120" s="25">
        <f>IF($C120="","",IF($G120="","slug not in links; ","")&amp;IF($D120="","reading type missing; ","")&amp;IF(COUNTIFS(scans!$C$2:$C$1601,$C120,scans!$D$2:$D$1601,$D120)&gt;1,"two readings of this type: keep one; ",""))</f>
        <v/>
      </c>
    </row>
    <row r="121">
      <c r="A121" s="9" t="n"/>
      <c r="B121" s="33" t="n"/>
      <c r="G121" s="25">
        <f>IF($C121="","",IFERROR(IF(INDEX(links!$A$2:$A$501,MATCH($C121,links!$D$2:$D$501,0))="","",INDEX(links!$A$2:$A$501,MATCH($C121,links!$D$2:$D$501,0))),""))</f>
        <v/>
      </c>
      <c r="H121" s="25">
        <f>IF($C121="","",IFERROR(IF(INDEX(links!$B$2:$B$501,MATCH($C121,links!$D$2:$D$501,0))="","",INDEX(links!$B$2:$B$501,MATCH($C121,links!$D$2:$D$501,0))),""))</f>
        <v/>
      </c>
      <c r="I121" s="25">
        <f>IF($C121="","",IFERROR(IF(INDEX(links!$C$2:$C$501,MATCH($C121,links!$D$2:$D$501,0))="","",INDEX(links!$C$2:$C$501,MATCH($C121,links!$D$2:$D$501,0))),""))</f>
        <v/>
      </c>
      <c r="J121" s="25">
        <f>IF($C121="","",IF($G121="","slug not in links; ","")&amp;IF($D121="","reading type missing; ","")&amp;IF(COUNTIFS(scans!$C$2:$C$1601,$C121,scans!$D$2:$D$1601,$D121)&gt;1,"two readings of this type: keep one; ",""))</f>
        <v/>
      </c>
    </row>
    <row r="122">
      <c r="A122" s="9" t="n"/>
      <c r="B122" s="33" t="n"/>
      <c r="G122" s="25">
        <f>IF($C122="","",IFERROR(IF(INDEX(links!$A$2:$A$501,MATCH($C122,links!$D$2:$D$501,0))="","",INDEX(links!$A$2:$A$501,MATCH($C122,links!$D$2:$D$501,0))),""))</f>
        <v/>
      </c>
      <c r="H122" s="25">
        <f>IF($C122="","",IFERROR(IF(INDEX(links!$B$2:$B$501,MATCH($C122,links!$D$2:$D$501,0))="","",INDEX(links!$B$2:$B$501,MATCH($C122,links!$D$2:$D$501,0))),""))</f>
        <v/>
      </c>
      <c r="I122" s="25">
        <f>IF($C122="","",IFERROR(IF(INDEX(links!$C$2:$C$501,MATCH($C122,links!$D$2:$D$501,0))="","",INDEX(links!$C$2:$C$501,MATCH($C122,links!$D$2:$D$501,0))),""))</f>
        <v/>
      </c>
      <c r="J122" s="25">
        <f>IF($C122="","",IF($G122="","slug not in links; ","")&amp;IF($D122="","reading type missing; ","")&amp;IF(COUNTIFS(scans!$C$2:$C$1601,$C122,scans!$D$2:$D$1601,$D122)&gt;1,"two readings of this type: keep one; ",""))</f>
        <v/>
      </c>
    </row>
    <row r="123">
      <c r="A123" s="9" t="n"/>
      <c r="B123" s="33" t="n"/>
      <c r="G123" s="25">
        <f>IF($C123="","",IFERROR(IF(INDEX(links!$A$2:$A$501,MATCH($C123,links!$D$2:$D$501,0))="","",INDEX(links!$A$2:$A$501,MATCH($C123,links!$D$2:$D$501,0))),""))</f>
        <v/>
      </c>
      <c r="H123" s="25">
        <f>IF($C123="","",IFERROR(IF(INDEX(links!$B$2:$B$501,MATCH($C123,links!$D$2:$D$501,0))="","",INDEX(links!$B$2:$B$501,MATCH($C123,links!$D$2:$D$501,0))),""))</f>
        <v/>
      </c>
      <c r="I123" s="25">
        <f>IF($C123="","",IFERROR(IF(INDEX(links!$C$2:$C$501,MATCH($C123,links!$D$2:$D$501,0))="","",INDEX(links!$C$2:$C$501,MATCH($C123,links!$D$2:$D$501,0))),""))</f>
        <v/>
      </c>
      <c r="J123" s="25">
        <f>IF($C123="","",IF($G123="","slug not in links; ","")&amp;IF($D123="","reading type missing; ","")&amp;IF(COUNTIFS(scans!$C$2:$C$1601,$C123,scans!$D$2:$D$1601,$D123)&gt;1,"two readings of this type: keep one; ",""))</f>
        <v/>
      </c>
    </row>
    <row r="124">
      <c r="A124" s="9" t="n"/>
      <c r="B124" s="33" t="n"/>
      <c r="G124" s="25">
        <f>IF($C124="","",IFERROR(IF(INDEX(links!$A$2:$A$501,MATCH($C124,links!$D$2:$D$501,0))="","",INDEX(links!$A$2:$A$501,MATCH($C124,links!$D$2:$D$501,0))),""))</f>
        <v/>
      </c>
      <c r="H124" s="25">
        <f>IF($C124="","",IFERROR(IF(INDEX(links!$B$2:$B$501,MATCH($C124,links!$D$2:$D$501,0))="","",INDEX(links!$B$2:$B$501,MATCH($C124,links!$D$2:$D$501,0))),""))</f>
        <v/>
      </c>
      <c r="I124" s="25">
        <f>IF($C124="","",IFERROR(IF(INDEX(links!$C$2:$C$501,MATCH($C124,links!$D$2:$D$501,0))="","",INDEX(links!$C$2:$C$501,MATCH($C124,links!$D$2:$D$501,0))),""))</f>
        <v/>
      </c>
      <c r="J124" s="25">
        <f>IF($C124="","",IF($G124="","slug not in links; ","")&amp;IF($D124="","reading type missing; ","")&amp;IF(COUNTIFS(scans!$C$2:$C$1601,$C124,scans!$D$2:$D$1601,$D124)&gt;1,"two readings of this type: keep one; ",""))</f>
        <v/>
      </c>
    </row>
    <row r="125">
      <c r="A125" s="9" t="n"/>
      <c r="B125" s="33" t="n"/>
      <c r="G125" s="25">
        <f>IF($C125="","",IFERROR(IF(INDEX(links!$A$2:$A$501,MATCH($C125,links!$D$2:$D$501,0))="","",INDEX(links!$A$2:$A$501,MATCH($C125,links!$D$2:$D$501,0))),""))</f>
        <v/>
      </c>
      <c r="H125" s="25">
        <f>IF($C125="","",IFERROR(IF(INDEX(links!$B$2:$B$501,MATCH($C125,links!$D$2:$D$501,0))="","",INDEX(links!$B$2:$B$501,MATCH($C125,links!$D$2:$D$501,0))),""))</f>
        <v/>
      </c>
      <c r="I125" s="25">
        <f>IF($C125="","",IFERROR(IF(INDEX(links!$C$2:$C$501,MATCH($C125,links!$D$2:$D$501,0))="","",INDEX(links!$C$2:$C$501,MATCH($C125,links!$D$2:$D$501,0))),""))</f>
        <v/>
      </c>
      <c r="J125" s="25">
        <f>IF($C125="","",IF($G125="","slug not in links; ","")&amp;IF($D125="","reading type missing; ","")&amp;IF(COUNTIFS(scans!$C$2:$C$1601,$C125,scans!$D$2:$D$1601,$D125)&gt;1,"two readings of this type: keep one; ",""))</f>
        <v/>
      </c>
    </row>
    <row r="126">
      <c r="A126" s="9" t="n"/>
      <c r="B126" s="33" t="n"/>
      <c r="G126" s="25">
        <f>IF($C126="","",IFERROR(IF(INDEX(links!$A$2:$A$501,MATCH($C126,links!$D$2:$D$501,0))="","",INDEX(links!$A$2:$A$501,MATCH($C126,links!$D$2:$D$501,0))),""))</f>
        <v/>
      </c>
      <c r="H126" s="25">
        <f>IF($C126="","",IFERROR(IF(INDEX(links!$B$2:$B$501,MATCH($C126,links!$D$2:$D$501,0))="","",INDEX(links!$B$2:$B$501,MATCH($C126,links!$D$2:$D$501,0))),""))</f>
        <v/>
      </c>
      <c r="I126" s="25">
        <f>IF($C126="","",IFERROR(IF(INDEX(links!$C$2:$C$501,MATCH($C126,links!$D$2:$D$501,0))="","",INDEX(links!$C$2:$C$501,MATCH($C126,links!$D$2:$D$501,0))),""))</f>
        <v/>
      </c>
      <c r="J126" s="25">
        <f>IF($C126="","",IF($G126="","slug not in links; ","")&amp;IF($D126="","reading type missing; ","")&amp;IF(COUNTIFS(scans!$C$2:$C$1601,$C126,scans!$D$2:$D$1601,$D126)&gt;1,"two readings of this type: keep one; ",""))</f>
        <v/>
      </c>
    </row>
    <row r="127">
      <c r="A127" s="9" t="n"/>
      <c r="B127" s="33" t="n"/>
      <c r="G127" s="25">
        <f>IF($C127="","",IFERROR(IF(INDEX(links!$A$2:$A$501,MATCH($C127,links!$D$2:$D$501,0))="","",INDEX(links!$A$2:$A$501,MATCH($C127,links!$D$2:$D$501,0))),""))</f>
        <v/>
      </c>
      <c r="H127" s="25">
        <f>IF($C127="","",IFERROR(IF(INDEX(links!$B$2:$B$501,MATCH($C127,links!$D$2:$D$501,0))="","",INDEX(links!$B$2:$B$501,MATCH($C127,links!$D$2:$D$501,0))),""))</f>
        <v/>
      </c>
      <c r="I127" s="25">
        <f>IF($C127="","",IFERROR(IF(INDEX(links!$C$2:$C$501,MATCH($C127,links!$D$2:$D$501,0))="","",INDEX(links!$C$2:$C$501,MATCH($C127,links!$D$2:$D$501,0))),""))</f>
        <v/>
      </c>
      <c r="J127" s="25">
        <f>IF($C127="","",IF($G127="","slug not in links; ","")&amp;IF($D127="","reading type missing; ","")&amp;IF(COUNTIFS(scans!$C$2:$C$1601,$C127,scans!$D$2:$D$1601,$D127)&gt;1,"two readings of this type: keep one; ",""))</f>
        <v/>
      </c>
    </row>
    <row r="128">
      <c r="A128" s="9" t="n"/>
      <c r="B128" s="33" t="n"/>
      <c r="G128" s="25">
        <f>IF($C128="","",IFERROR(IF(INDEX(links!$A$2:$A$501,MATCH($C128,links!$D$2:$D$501,0))="","",INDEX(links!$A$2:$A$501,MATCH($C128,links!$D$2:$D$501,0))),""))</f>
        <v/>
      </c>
      <c r="H128" s="25">
        <f>IF($C128="","",IFERROR(IF(INDEX(links!$B$2:$B$501,MATCH($C128,links!$D$2:$D$501,0))="","",INDEX(links!$B$2:$B$501,MATCH($C128,links!$D$2:$D$501,0))),""))</f>
        <v/>
      </c>
      <c r="I128" s="25">
        <f>IF($C128="","",IFERROR(IF(INDEX(links!$C$2:$C$501,MATCH($C128,links!$D$2:$D$501,0))="","",INDEX(links!$C$2:$C$501,MATCH($C128,links!$D$2:$D$501,0))),""))</f>
        <v/>
      </c>
      <c r="J128" s="25">
        <f>IF($C128="","",IF($G128="","slug not in links; ","")&amp;IF($D128="","reading type missing; ","")&amp;IF(COUNTIFS(scans!$C$2:$C$1601,$C128,scans!$D$2:$D$1601,$D128)&gt;1,"two readings of this type: keep one; ",""))</f>
        <v/>
      </c>
    </row>
    <row r="129">
      <c r="A129" s="9" t="n"/>
      <c r="B129" s="33" t="n"/>
      <c r="G129" s="25">
        <f>IF($C129="","",IFERROR(IF(INDEX(links!$A$2:$A$501,MATCH($C129,links!$D$2:$D$501,0))="","",INDEX(links!$A$2:$A$501,MATCH($C129,links!$D$2:$D$501,0))),""))</f>
        <v/>
      </c>
      <c r="H129" s="25">
        <f>IF($C129="","",IFERROR(IF(INDEX(links!$B$2:$B$501,MATCH($C129,links!$D$2:$D$501,0))="","",INDEX(links!$B$2:$B$501,MATCH($C129,links!$D$2:$D$501,0))),""))</f>
        <v/>
      </c>
      <c r="I129" s="25">
        <f>IF($C129="","",IFERROR(IF(INDEX(links!$C$2:$C$501,MATCH($C129,links!$D$2:$D$501,0))="","",INDEX(links!$C$2:$C$501,MATCH($C129,links!$D$2:$D$501,0))),""))</f>
        <v/>
      </c>
      <c r="J129" s="25">
        <f>IF($C129="","",IF($G129="","slug not in links; ","")&amp;IF($D129="","reading type missing; ","")&amp;IF(COUNTIFS(scans!$C$2:$C$1601,$C129,scans!$D$2:$D$1601,$D129)&gt;1,"two readings of this type: keep one; ",""))</f>
        <v/>
      </c>
    </row>
    <row r="130">
      <c r="A130" s="9" t="n"/>
      <c r="B130" s="33" t="n"/>
      <c r="G130" s="25">
        <f>IF($C130="","",IFERROR(IF(INDEX(links!$A$2:$A$501,MATCH($C130,links!$D$2:$D$501,0))="","",INDEX(links!$A$2:$A$501,MATCH($C130,links!$D$2:$D$501,0))),""))</f>
        <v/>
      </c>
      <c r="H130" s="25">
        <f>IF($C130="","",IFERROR(IF(INDEX(links!$B$2:$B$501,MATCH($C130,links!$D$2:$D$501,0))="","",INDEX(links!$B$2:$B$501,MATCH($C130,links!$D$2:$D$501,0))),""))</f>
        <v/>
      </c>
      <c r="I130" s="25">
        <f>IF($C130="","",IFERROR(IF(INDEX(links!$C$2:$C$501,MATCH($C130,links!$D$2:$D$501,0))="","",INDEX(links!$C$2:$C$501,MATCH($C130,links!$D$2:$D$501,0))),""))</f>
        <v/>
      </c>
      <c r="J130" s="25">
        <f>IF($C130="","",IF($G130="","slug not in links; ","")&amp;IF($D130="","reading type missing; ","")&amp;IF(COUNTIFS(scans!$C$2:$C$1601,$C130,scans!$D$2:$D$1601,$D130)&gt;1,"two readings of this type: keep one; ",""))</f>
        <v/>
      </c>
    </row>
    <row r="131">
      <c r="A131" s="9" t="n"/>
      <c r="B131" s="33" t="n"/>
      <c r="G131" s="25">
        <f>IF($C131="","",IFERROR(IF(INDEX(links!$A$2:$A$501,MATCH($C131,links!$D$2:$D$501,0))="","",INDEX(links!$A$2:$A$501,MATCH($C131,links!$D$2:$D$501,0))),""))</f>
        <v/>
      </c>
      <c r="H131" s="25">
        <f>IF($C131="","",IFERROR(IF(INDEX(links!$B$2:$B$501,MATCH($C131,links!$D$2:$D$501,0))="","",INDEX(links!$B$2:$B$501,MATCH($C131,links!$D$2:$D$501,0))),""))</f>
        <v/>
      </c>
      <c r="I131" s="25">
        <f>IF($C131="","",IFERROR(IF(INDEX(links!$C$2:$C$501,MATCH($C131,links!$D$2:$D$501,0))="","",INDEX(links!$C$2:$C$501,MATCH($C131,links!$D$2:$D$501,0))),""))</f>
        <v/>
      </c>
      <c r="J131" s="25">
        <f>IF($C131="","",IF($G131="","slug not in links; ","")&amp;IF($D131="","reading type missing; ","")&amp;IF(COUNTIFS(scans!$C$2:$C$1601,$C131,scans!$D$2:$D$1601,$D131)&gt;1,"two readings of this type: keep one; ",""))</f>
        <v/>
      </c>
    </row>
    <row r="132">
      <c r="A132" s="9" t="n"/>
      <c r="B132" s="33" t="n"/>
      <c r="G132" s="25">
        <f>IF($C132="","",IFERROR(IF(INDEX(links!$A$2:$A$501,MATCH($C132,links!$D$2:$D$501,0))="","",INDEX(links!$A$2:$A$501,MATCH($C132,links!$D$2:$D$501,0))),""))</f>
        <v/>
      </c>
      <c r="H132" s="25">
        <f>IF($C132="","",IFERROR(IF(INDEX(links!$B$2:$B$501,MATCH($C132,links!$D$2:$D$501,0))="","",INDEX(links!$B$2:$B$501,MATCH($C132,links!$D$2:$D$501,0))),""))</f>
        <v/>
      </c>
      <c r="I132" s="25">
        <f>IF($C132="","",IFERROR(IF(INDEX(links!$C$2:$C$501,MATCH($C132,links!$D$2:$D$501,0))="","",INDEX(links!$C$2:$C$501,MATCH($C132,links!$D$2:$D$501,0))),""))</f>
        <v/>
      </c>
      <c r="J132" s="25">
        <f>IF($C132="","",IF($G132="","slug not in links; ","")&amp;IF($D132="","reading type missing; ","")&amp;IF(COUNTIFS(scans!$C$2:$C$1601,$C132,scans!$D$2:$D$1601,$D132)&gt;1,"two readings of this type: keep one; ",""))</f>
        <v/>
      </c>
    </row>
    <row r="133">
      <c r="A133" s="9" t="n"/>
      <c r="B133" s="33" t="n"/>
      <c r="G133" s="25">
        <f>IF($C133="","",IFERROR(IF(INDEX(links!$A$2:$A$501,MATCH($C133,links!$D$2:$D$501,0))="","",INDEX(links!$A$2:$A$501,MATCH($C133,links!$D$2:$D$501,0))),""))</f>
        <v/>
      </c>
      <c r="H133" s="25">
        <f>IF($C133="","",IFERROR(IF(INDEX(links!$B$2:$B$501,MATCH($C133,links!$D$2:$D$501,0))="","",INDEX(links!$B$2:$B$501,MATCH($C133,links!$D$2:$D$501,0))),""))</f>
        <v/>
      </c>
      <c r="I133" s="25">
        <f>IF($C133="","",IFERROR(IF(INDEX(links!$C$2:$C$501,MATCH($C133,links!$D$2:$D$501,0))="","",INDEX(links!$C$2:$C$501,MATCH($C133,links!$D$2:$D$501,0))),""))</f>
        <v/>
      </c>
      <c r="J133" s="25">
        <f>IF($C133="","",IF($G133="","slug not in links; ","")&amp;IF($D133="","reading type missing; ","")&amp;IF(COUNTIFS(scans!$C$2:$C$1601,$C133,scans!$D$2:$D$1601,$D133)&gt;1,"two readings of this type: keep one; ",""))</f>
        <v/>
      </c>
    </row>
    <row r="134">
      <c r="A134" s="9" t="n"/>
      <c r="B134" s="33" t="n"/>
      <c r="G134" s="25">
        <f>IF($C134="","",IFERROR(IF(INDEX(links!$A$2:$A$501,MATCH($C134,links!$D$2:$D$501,0))="","",INDEX(links!$A$2:$A$501,MATCH($C134,links!$D$2:$D$501,0))),""))</f>
        <v/>
      </c>
      <c r="H134" s="25">
        <f>IF($C134="","",IFERROR(IF(INDEX(links!$B$2:$B$501,MATCH($C134,links!$D$2:$D$501,0))="","",INDEX(links!$B$2:$B$501,MATCH($C134,links!$D$2:$D$501,0))),""))</f>
        <v/>
      </c>
      <c r="I134" s="25">
        <f>IF($C134="","",IFERROR(IF(INDEX(links!$C$2:$C$501,MATCH($C134,links!$D$2:$D$501,0))="","",INDEX(links!$C$2:$C$501,MATCH($C134,links!$D$2:$D$501,0))),""))</f>
        <v/>
      </c>
      <c r="J134" s="25">
        <f>IF($C134="","",IF($G134="","slug not in links; ","")&amp;IF($D134="","reading type missing; ","")&amp;IF(COUNTIFS(scans!$C$2:$C$1601,$C134,scans!$D$2:$D$1601,$D134)&gt;1,"two readings of this type: keep one; ",""))</f>
        <v/>
      </c>
    </row>
    <row r="135">
      <c r="A135" s="9" t="n"/>
      <c r="B135" s="33" t="n"/>
      <c r="G135" s="25">
        <f>IF($C135="","",IFERROR(IF(INDEX(links!$A$2:$A$501,MATCH($C135,links!$D$2:$D$501,0))="","",INDEX(links!$A$2:$A$501,MATCH($C135,links!$D$2:$D$501,0))),""))</f>
        <v/>
      </c>
      <c r="H135" s="25">
        <f>IF($C135="","",IFERROR(IF(INDEX(links!$B$2:$B$501,MATCH($C135,links!$D$2:$D$501,0))="","",INDEX(links!$B$2:$B$501,MATCH($C135,links!$D$2:$D$501,0))),""))</f>
        <v/>
      </c>
      <c r="I135" s="25">
        <f>IF($C135="","",IFERROR(IF(INDEX(links!$C$2:$C$501,MATCH($C135,links!$D$2:$D$501,0))="","",INDEX(links!$C$2:$C$501,MATCH($C135,links!$D$2:$D$501,0))),""))</f>
        <v/>
      </c>
      <c r="J135" s="25">
        <f>IF($C135="","",IF($G135="","slug not in links; ","")&amp;IF($D135="","reading type missing; ","")&amp;IF(COUNTIFS(scans!$C$2:$C$1601,$C135,scans!$D$2:$D$1601,$D135)&gt;1,"two readings of this type: keep one; ",""))</f>
        <v/>
      </c>
    </row>
    <row r="136">
      <c r="A136" s="9" t="n"/>
      <c r="B136" s="33" t="n"/>
      <c r="G136" s="25">
        <f>IF($C136="","",IFERROR(IF(INDEX(links!$A$2:$A$501,MATCH($C136,links!$D$2:$D$501,0))="","",INDEX(links!$A$2:$A$501,MATCH($C136,links!$D$2:$D$501,0))),""))</f>
        <v/>
      </c>
      <c r="H136" s="25">
        <f>IF($C136="","",IFERROR(IF(INDEX(links!$B$2:$B$501,MATCH($C136,links!$D$2:$D$501,0))="","",INDEX(links!$B$2:$B$501,MATCH($C136,links!$D$2:$D$501,0))),""))</f>
        <v/>
      </c>
      <c r="I136" s="25">
        <f>IF($C136="","",IFERROR(IF(INDEX(links!$C$2:$C$501,MATCH($C136,links!$D$2:$D$501,0))="","",INDEX(links!$C$2:$C$501,MATCH($C136,links!$D$2:$D$501,0))),""))</f>
        <v/>
      </c>
      <c r="J136" s="25">
        <f>IF($C136="","",IF($G136="","slug not in links; ","")&amp;IF($D136="","reading type missing; ","")&amp;IF(COUNTIFS(scans!$C$2:$C$1601,$C136,scans!$D$2:$D$1601,$D136)&gt;1,"two readings of this type: keep one; ",""))</f>
        <v/>
      </c>
    </row>
    <row r="137">
      <c r="A137" s="9" t="n"/>
      <c r="B137" s="33" t="n"/>
      <c r="G137" s="25">
        <f>IF($C137="","",IFERROR(IF(INDEX(links!$A$2:$A$501,MATCH($C137,links!$D$2:$D$501,0))="","",INDEX(links!$A$2:$A$501,MATCH($C137,links!$D$2:$D$501,0))),""))</f>
        <v/>
      </c>
      <c r="H137" s="25">
        <f>IF($C137="","",IFERROR(IF(INDEX(links!$B$2:$B$501,MATCH($C137,links!$D$2:$D$501,0))="","",INDEX(links!$B$2:$B$501,MATCH($C137,links!$D$2:$D$501,0))),""))</f>
        <v/>
      </c>
      <c r="I137" s="25">
        <f>IF($C137="","",IFERROR(IF(INDEX(links!$C$2:$C$501,MATCH($C137,links!$D$2:$D$501,0))="","",INDEX(links!$C$2:$C$501,MATCH($C137,links!$D$2:$D$501,0))),""))</f>
        <v/>
      </c>
      <c r="J137" s="25">
        <f>IF($C137="","",IF($G137="","slug not in links; ","")&amp;IF($D137="","reading type missing; ","")&amp;IF(COUNTIFS(scans!$C$2:$C$1601,$C137,scans!$D$2:$D$1601,$D137)&gt;1,"two readings of this type: keep one; ",""))</f>
        <v/>
      </c>
    </row>
    <row r="138">
      <c r="A138" s="9" t="n"/>
      <c r="B138" s="33" t="n"/>
      <c r="G138" s="25">
        <f>IF($C138="","",IFERROR(IF(INDEX(links!$A$2:$A$501,MATCH($C138,links!$D$2:$D$501,0))="","",INDEX(links!$A$2:$A$501,MATCH($C138,links!$D$2:$D$501,0))),""))</f>
        <v/>
      </c>
      <c r="H138" s="25">
        <f>IF($C138="","",IFERROR(IF(INDEX(links!$B$2:$B$501,MATCH($C138,links!$D$2:$D$501,0))="","",INDEX(links!$B$2:$B$501,MATCH($C138,links!$D$2:$D$501,0))),""))</f>
        <v/>
      </c>
      <c r="I138" s="25">
        <f>IF($C138="","",IFERROR(IF(INDEX(links!$C$2:$C$501,MATCH($C138,links!$D$2:$D$501,0))="","",INDEX(links!$C$2:$C$501,MATCH($C138,links!$D$2:$D$501,0))),""))</f>
        <v/>
      </c>
      <c r="J138" s="25">
        <f>IF($C138="","",IF($G138="","slug not in links; ","")&amp;IF($D138="","reading type missing; ","")&amp;IF(COUNTIFS(scans!$C$2:$C$1601,$C138,scans!$D$2:$D$1601,$D138)&gt;1,"two readings of this type: keep one; ",""))</f>
        <v/>
      </c>
    </row>
    <row r="139">
      <c r="A139" s="9" t="n"/>
      <c r="B139" s="33" t="n"/>
      <c r="G139" s="25">
        <f>IF($C139="","",IFERROR(IF(INDEX(links!$A$2:$A$501,MATCH($C139,links!$D$2:$D$501,0))="","",INDEX(links!$A$2:$A$501,MATCH($C139,links!$D$2:$D$501,0))),""))</f>
        <v/>
      </c>
      <c r="H139" s="25">
        <f>IF($C139="","",IFERROR(IF(INDEX(links!$B$2:$B$501,MATCH($C139,links!$D$2:$D$501,0))="","",INDEX(links!$B$2:$B$501,MATCH($C139,links!$D$2:$D$501,0))),""))</f>
        <v/>
      </c>
      <c r="I139" s="25">
        <f>IF($C139="","",IFERROR(IF(INDEX(links!$C$2:$C$501,MATCH($C139,links!$D$2:$D$501,0))="","",INDEX(links!$C$2:$C$501,MATCH($C139,links!$D$2:$D$501,0))),""))</f>
        <v/>
      </c>
      <c r="J139" s="25">
        <f>IF($C139="","",IF($G139="","slug not in links; ","")&amp;IF($D139="","reading type missing; ","")&amp;IF(COUNTIFS(scans!$C$2:$C$1601,$C139,scans!$D$2:$D$1601,$D139)&gt;1,"two readings of this type: keep one; ",""))</f>
        <v/>
      </c>
    </row>
    <row r="140">
      <c r="A140" s="9" t="n"/>
      <c r="B140" s="33" t="n"/>
      <c r="G140" s="25">
        <f>IF($C140="","",IFERROR(IF(INDEX(links!$A$2:$A$501,MATCH($C140,links!$D$2:$D$501,0))="","",INDEX(links!$A$2:$A$501,MATCH($C140,links!$D$2:$D$501,0))),""))</f>
        <v/>
      </c>
      <c r="H140" s="25">
        <f>IF($C140="","",IFERROR(IF(INDEX(links!$B$2:$B$501,MATCH($C140,links!$D$2:$D$501,0))="","",INDEX(links!$B$2:$B$501,MATCH($C140,links!$D$2:$D$501,0))),""))</f>
        <v/>
      </c>
      <c r="I140" s="25">
        <f>IF($C140="","",IFERROR(IF(INDEX(links!$C$2:$C$501,MATCH($C140,links!$D$2:$D$501,0))="","",INDEX(links!$C$2:$C$501,MATCH($C140,links!$D$2:$D$501,0))),""))</f>
        <v/>
      </c>
      <c r="J140" s="25">
        <f>IF($C140="","",IF($G140="","slug not in links; ","")&amp;IF($D140="","reading type missing; ","")&amp;IF(COUNTIFS(scans!$C$2:$C$1601,$C140,scans!$D$2:$D$1601,$D140)&gt;1,"two readings of this type: keep one; ",""))</f>
        <v/>
      </c>
    </row>
    <row r="141">
      <c r="A141" s="9" t="n"/>
      <c r="B141" s="33" t="n"/>
      <c r="G141" s="25">
        <f>IF($C141="","",IFERROR(IF(INDEX(links!$A$2:$A$501,MATCH($C141,links!$D$2:$D$501,0))="","",INDEX(links!$A$2:$A$501,MATCH($C141,links!$D$2:$D$501,0))),""))</f>
        <v/>
      </c>
      <c r="H141" s="25">
        <f>IF($C141="","",IFERROR(IF(INDEX(links!$B$2:$B$501,MATCH($C141,links!$D$2:$D$501,0))="","",INDEX(links!$B$2:$B$501,MATCH($C141,links!$D$2:$D$501,0))),""))</f>
        <v/>
      </c>
      <c r="I141" s="25">
        <f>IF($C141="","",IFERROR(IF(INDEX(links!$C$2:$C$501,MATCH($C141,links!$D$2:$D$501,0))="","",INDEX(links!$C$2:$C$501,MATCH($C141,links!$D$2:$D$501,0))),""))</f>
        <v/>
      </c>
      <c r="J141" s="25">
        <f>IF($C141="","",IF($G141="","slug not in links; ","")&amp;IF($D141="","reading type missing; ","")&amp;IF(COUNTIFS(scans!$C$2:$C$1601,$C141,scans!$D$2:$D$1601,$D141)&gt;1,"two readings of this type: keep one; ",""))</f>
        <v/>
      </c>
    </row>
    <row r="142">
      <c r="A142" s="9" t="n"/>
      <c r="B142" s="33" t="n"/>
      <c r="G142" s="25">
        <f>IF($C142="","",IFERROR(IF(INDEX(links!$A$2:$A$501,MATCH($C142,links!$D$2:$D$501,0))="","",INDEX(links!$A$2:$A$501,MATCH($C142,links!$D$2:$D$501,0))),""))</f>
        <v/>
      </c>
      <c r="H142" s="25">
        <f>IF($C142="","",IFERROR(IF(INDEX(links!$B$2:$B$501,MATCH($C142,links!$D$2:$D$501,0))="","",INDEX(links!$B$2:$B$501,MATCH($C142,links!$D$2:$D$501,0))),""))</f>
        <v/>
      </c>
      <c r="I142" s="25">
        <f>IF($C142="","",IFERROR(IF(INDEX(links!$C$2:$C$501,MATCH($C142,links!$D$2:$D$501,0))="","",INDEX(links!$C$2:$C$501,MATCH($C142,links!$D$2:$D$501,0))),""))</f>
        <v/>
      </c>
      <c r="J142" s="25">
        <f>IF($C142="","",IF($G142="","slug not in links; ","")&amp;IF($D142="","reading type missing; ","")&amp;IF(COUNTIFS(scans!$C$2:$C$1601,$C142,scans!$D$2:$D$1601,$D142)&gt;1,"two readings of this type: keep one; ",""))</f>
        <v/>
      </c>
    </row>
    <row r="143">
      <c r="A143" s="9" t="n"/>
      <c r="B143" s="33" t="n"/>
      <c r="G143" s="25">
        <f>IF($C143="","",IFERROR(IF(INDEX(links!$A$2:$A$501,MATCH($C143,links!$D$2:$D$501,0))="","",INDEX(links!$A$2:$A$501,MATCH($C143,links!$D$2:$D$501,0))),""))</f>
        <v/>
      </c>
      <c r="H143" s="25">
        <f>IF($C143="","",IFERROR(IF(INDEX(links!$B$2:$B$501,MATCH($C143,links!$D$2:$D$501,0))="","",INDEX(links!$B$2:$B$501,MATCH($C143,links!$D$2:$D$501,0))),""))</f>
        <v/>
      </c>
      <c r="I143" s="25">
        <f>IF($C143="","",IFERROR(IF(INDEX(links!$C$2:$C$501,MATCH($C143,links!$D$2:$D$501,0))="","",INDEX(links!$C$2:$C$501,MATCH($C143,links!$D$2:$D$501,0))),""))</f>
        <v/>
      </c>
      <c r="J143" s="25">
        <f>IF($C143="","",IF($G143="","slug not in links; ","")&amp;IF($D143="","reading type missing; ","")&amp;IF(COUNTIFS(scans!$C$2:$C$1601,$C143,scans!$D$2:$D$1601,$D143)&gt;1,"two readings of this type: keep one; ",""))</f>
        <v/>
      </c>
    </row>
    <row r="144">
      <c r="A144" s="9" t="n"/>
      <c r="B144" s="33" t="n"/>
      <c r="G144" s="25">
        <f>IF($C144="","",IFERROR(IF(INDEX(links!$A$2:$A$501,MATCH($C144,links!$D$2:$D$501,0))="","",INDEX(links!$A$2:$A$501,MATCH($C144,links!$D$2:$D$501,0))),""))</f>
        <v/>
      </c>
      <c r="H144" s="25">
        <f>IF($C144="","",IFERROR(IF(INDEX(links!$B$2:$B$501,MATCH($C144,links!$D$2:$D$501,0))="","",INDEX(links!$B$2:$B$501,MATCH($C144,links!$D$2:$D$501,0))),""))</f>
        <v/>
      </c>
      <c r="I144" s="25">
        <f>IF($C144="","",IFERROR(IF(INDEX(links!$C$2:$C$501,MATCH($C144,links!$D$2:$D$501,0))="","",INDEX(links!$C$2:$C$501,MATCH($C144,links!$D$2:$D$501,0))),""))</f>
        <v/>
      </c>
      <c r="J144" s="25">
        <f>IF($C144="","",IF($G144="","slug not in links; ","")&amp;IF($D144="","reading type missing; ","")&amp;IF(COUNTIFS(scans!$C$2:$C$1601,$C144,scans!$D$2:$D$1601,$D144)&gt;1,"two readings of this type: keep one; ",""))</f>
        <v/>
      </c>
    </row>
    <row r="145">
      <c r="A145" s="9" t="n"/>
      <c r="B145" s="33" t="n"/>
      <c r="G145" s="25">
        <f>IF($C145="","",IFERROR(IF(INDEX(links!$A$2:$A$501,MATCH($C145,links!$D$2:$D$501,0))="","",INDEX(links!$A$2:$A$501,MATCH($C145,links!$D$2:$D$501,0))),""))</f>
        <v/>
      </c>
      <c r="H145" s="25">
        <f>IF($C145="","",IFERROR(IF(INDEX(links!$B$2:$B$501,MATCH($C145,links!$D$2:$D$501,0))="","",INDEX(links!$B$2:$B$501,MATCH($C145,links!$D$2:$D$501,0))),""))</f>
        <v/>
      </c>
      <c r="I145" s="25">
        <f>IF($C145="","",IFERROR(IF(INDEX(links!$C$2:$C$501,MATCH($C145,links!$D$2:$D$501,0))="","",INDEX(links!$C$2:$C$501,MATCH($C145,links!$D$2:$D$501,0))),""))</f>
        <v/>
      </c>
      <c r="J145" s="25">
        <f>IF($C145="","",IF($G145="","slug not in links; ","")&amp;IF($D145="","reading type missing; ","")&amp;IF(COUNTIFS(scans!$C$2:$C$1601,$C145,scans!$D$2:$D$1601,$D145)&gt;1,"two readings of this type: keep one; ",""))</f>
        <v/>
      </c>
    </row>
    <row r="146">
      <c r="A146" s="9" t="n"/>
      <c r="B146" s="33" t="n"/>
      <c r="G146" s="25">
        <f>IF($C146="","",IFERROR(IF(INDEX(links!$A$2:$A$501,MATCH($C146,links!$D$2:$D$501,0))="","",INDEX(links!$A$2:$A$501,MATCH($C146,links!$D$2:$D$501,0))),""))</f>
        <v/>
      </c>
      <c r="H146" s="25">
        <f>IF($C146="","",IFERROR(IF(INDEX(links!$B$2:$B$501,MATCH($C146,links!$D$2:$D$501,0))="","",INDEX(links!$B$2:$B$501,MATCH($C146,links!$D$2:$D$501,0))),""))</f>
        <v/>
      </c>
      <c r="I146" s="25">
        <f>IF($C146="","",IFERROR(IF(INDEX(links!$C$2:$C$501,MATCH($C146,links!$D$2:$D$501,0))="","",INDEX(links!$C$2:$C$501,MATCH($C146,links!$D$2:$D$501,0))),""))</f>
        <v/>
      </c>
      <c r="J146" s="25">
        <f>IF($C146="","",IF($G146="","slug not in links; ","")&amp;IF($D146="","reading type missing; ","")&amp;IF(COUNTIFS(scans!$C$2:$C$1601,$C146,scans!$D$2:$D$1601,$D146)&gt;1,"two readings of this type: keep one; ",""))</f>
        <v/>
      </c>
    </row>
    <row r="147">
      <c r="A147" s="9" t="n"/>
      <c r="B147" s="33" t="n"/>
      <c r="G147" s="25">
        <f>IF($C147="","",IFERROR(IF(INDEX(links!$A$2:$A$501,MATCH($C147,links!$D$2:$D$501,0))="","",INDEX(links!$A$2:$A$501,MATCH($C147,links!$D$2:$D$501,0))),""))</f>
        <v/>
      </c>
      <c r="H147" s="25">
        <f>IF($C147="","",IFERROR(IF(INDEX(links!$B$2:$B$501,MATCH($C147,links!$D$2:$D$501,0))="","",INDEX(links!$B$2:$B$501,MATCH($C147,links!$D$2:$D$501,0))),""))</f>
        <v/>
      </c>
      <c r="I147" s="25">
        <f>IF($C147="","",IFERROR(IF(INDEX(links!$C$2:$C$501,MATCH($C147,links!$D$2:$D$501,0))="","",INDEX(links!$C$2:$C$501,MATCH($C147,links!$D$2:$D$501,0))),""))</f>
        <v/>
      </c>
      <c r="J147" s="25">
        <f>IF($C147="","",IF($G147="","slug not in links; ","")&amp;IF($D147="","reading type missing; ","")&amp;IF(COUNTIFS(scans!$C$2:$C$1601,$C147,scans!$D$2:$D$1601,$D147)&gt;1,"two readings of this type: keep one; ",""))</f>
        <v/>
      </c>
    </row>
    <row r="148">
      <c r="A148" s="9" t="n"/>
      <c r="B148" s="33" t="n"/>
      <c r="G148" s="25">
        <f>IF($C148="","",IFERROR(IF(INDEX(links!$A$2:$A$501,MATCH($C148,links!$D$2:$D$501,0))="","",INDEX(links!$A$2:$A$501,MATCH($C148,links!$D$2:$D$501,0))),""))</f>
        <v/>
      </c>
      <c r="H148" s="25">
        <f>IF($C148="","",IFERROR(IF(INDEX(links!$B$2:$B$501,MATCH($C148,links!$D$2:$D$501,0))="","",INDEX(links!$B$2:$B$501,MATCH($C148,links!$D$2:$D$501,0))),""))</f>
        <v/>
      </c>
      <c r="I148" s="25">
        <f>IF($C148="","",IFERROR(IF(INDEX(links!$C$2:$C$501,MATCH($C148,links!$D$2:$D$501,0))="","",INDEX(links!$C$2:$C$501,MATCH($C148,links!$D$2:$D$501,0))),""))</f>
        <v/>
      </c>
      <c r="J148" s="25">
        <f>IF($C148="","",IF($G148="","slug not in links; ","")&amp;IF($D148="","reading type missing; ","")&amp;IF(COUNTIFS(scans!$C$2:$C$1601,$C148,scans!$D$2:$D$1601,$D148)&gt;1,"two readings of this type: keep one; ",""))</f>
        <v/>
      </c>
    </row>
    <row r="149">
      <c r="A149" s="9" t="n"/>
      <c r="B149" s="33" t="n"/>
      <c r="G149" s="25">
        <f>IF($C149="","",IFERROR(IF(INDEX(links!$A$2:$A$501,MATCH($C149,links!$D$2:$D$501,0))="","",INDEX(links!$A$2:$A$501,MATCH($C149,links!$D$2:$D$501,0))),""))</f>
        <v/>
      </c>
      <c r="H149" s="25">
        <f>IF($C149="","",IFERROR(IF(INDEX(links!$B$2:$B$501,MATCH($C149,links!$D$2:$D$501,0))="","",INDEX(links!$B$2:$B$501,MATCH($C149,links!$D$2:$D$501,0))),""))</f>
        <v/>
      </c>
      <c r="I149" s="25">
        <f>IF($C149="","",IFERROR(IF(INDEX(links!$C$2:$C$501,MATCH($C149,links!$D$2:$D$501,0))="","",INDEX(links!$C$2:$C$501,MATCH($C149,links!$D$2:$D$501,0))),""))</f>
        <v/>
      </c>
      <c r="J149" s="25">
        <f>IF($C149="","",IF($G149="","slug not in links; ","")&amp;IF($D149="","reading type missing; ","")&amp;IF(COUNTIFS(scans!$C$2:$C$1601,$C149,scans!$D$2:$D$1601,$D149)&gt;1,"two readings of this type: keep one; ",""))</f>
        <v/>
      </c>
    </row>
    <row r="150">
      <c r="A150" s="9" t="n"/>
      <c r="B150" s="33" t="n"/>
      <c r="G150" s="25">
        <f>IF($C150="","",IFERROR(IF(INDEX(links!$A$2:$A$501,MATCH($C150,links!$D$2:$D$501,0))="","",INDEX(links!$A$2:$A$501,MATCH($C150,links!$D$2:$D$501,0))),""))</f>
        <v/>
      </c>
      <c r="H150" s="25">
        <f>IF($C150="","",IFERROR(IF(INDEX(links!$B$2:$B$501,MATCH($C150,links!$D$2:$D$501,0))="","",INDEX(links!$B$2:$B$501,MATCH($C150,links!$D$2:$D$501,0))),""))</f>
        <v/>
      </c>
      <c r="I150" s="25">
        <f>IF($C150="","",IFERROR(IF(INDEX(links!$C$2:$C$501,MATCH($C150,links!$D$2:$D$501,0))="","",INDEX(links!$C$2:$C$501,MATCH($C150,links!$D$2:$D$501,0))),""))</f>
        <v/>
      </c>
      <c r="J150" s="25">
        <f>IF($C150="","",IF($G150="","slug not in links; ","")&amp;IF($D150="","reading type missing; ","")&amp;IF(COUNTIFS(scans!$C$2:$C$1601,$C150,scans!$D$2:$D$1601,$D150)&gt;1,"two readings of this type: keep one; ",""))</f>
        <v/>
      </c>
    </row>
    <row r="151">
      <c r="A151" s="9" t="n"/>
      <c r="B151" s="33" t="n"/>
      <c r="G151" s="25">
        <f>IF($C151="","",IFERROR(IF(INDEX(links!$A$2:$A$501,MATCH($C151,links!$D$2:$D$501,0))="","",INDEX(links!$A$2:$A$501,MATCH($C151,links!$D$2:$D$501,0))),""))</f>
        <v/>
      </c>
      <c r="H151" s="25">
        <f>IF($C151="","",IFERROR(IF(INDEX(links!$B$2:$B$501,MATCH($C151,links!$D$2:$D$501,0))="","",INDEX(links!$B$2:$B$501,MATCH($C151,links!$D$2:$D$501,0))),""))</f>
        <v/>
      </c>
      <c r="I151" s="25">
        <f>IF($C151="","",IFERROR(IF(INDEX(links!$C$2:$C$501,MATCH($C151,links!$D$2:$D$501,0))="","",INDEX(links!$C$2:$C$501,MATCH($C151,links!$D$2:$D$501,0))),""))</f>
        <v/>
      </c>
      <c r="J151" s="25">
        <f>IF($C151="","",IF($G151="","slug not in links; ","")&amp;IF($D151="","reading type missing; ","")&amp;IF(COUNTIFS(scans!$C$2:$C$1601,$C151,scans!$D$2:$D$1601,$D151)&gt;1,"two readings of this type: keep one; ",""))</f>
        <v/>
      </c>
    </row>
    <row r="152">
      <c r="A152" s="9" t="n"/>
      <c r="B152" s="33" t="n"/>
      <c r="G152" s="25">
        <f>IF($C152="","",IFERROR(IF(INDEX(links!$A$2:$A$501,MATCH($C152,links!$D$2:$D$501,0))="","",INDEX(links!$A$2:$A$501,MATCH($C152,links!$D$2:$D$501,0))),""))</f>
        <v/>
      </c>
      <c r="H152" s="25">
        <f>IF($C152="","",IFERROR(IF(INDEX(links!$B$2:$B$501,MATCH($C152,links!$D$2:$D$501,0))="","",INDEX(links!$B$2:$B$501,MATCH($C152,links!$D$2:$D$501,0))),""))</f>
        <v/>
      </c>
      <c r="I152" s="25">
        <f>IF($C152="","",IFERROR(IF(INDEX(links!$C$2:$C$501,MATCH($C152,links!$D$2:$D$501,0))="","",INDEX(links!$C$2:$C$501,MATCH($C152,links!$D$2:$D$501,0))),""))</f>
        <v/>
      </c>
      <c r="J152" s="25">
        <f>IF($C152="","",IF($G152="","slug not in links; ","")&amp;IF($D152="","reading type missing; ","")&amp;IF(COUNTIFS(scans!$C$2:$C$1601,$C152,scans!$D$2:$D$1601,$D152)&gt;1,"two readings of this type: keep one; ",""))</f>
        <v/>
      </c>
    </row>
    <row r="153">
      <c r="A153" s="9" t="n"/>
      <c r="B153" s="33" t="n"/>
      <c r="G153" s="25">
        <f>IF($C153="","",IFERROR(IF(INDEX(links!$A$2:$A$501,MATCH($C153,links!$D$2:$D$501,0))="","",INDEX(links!$A$2:$A$501,MATCH($C153,links!$D$2:$D$501,0))),""))</f>
        <v/>
      </c>
      <c r="H153" s="25">
        <f>IF($C153="","",IFERROR(IF(INDEX(links!$B$2:$B$501,MATCH($C153,links!$D$2:$D$501,0))="","",INDEX(links!$B$2:$B$501,MATCH($C153,links!$D$2:$D$501,0))),""))</f>
        <v/>
      </c>
      <c r="I153" s="25">
        <f>IF($C153="","",IFERROR(IF(INDEX(links!$C$2:$C$501,MATCH($C153,links!$D$2:$D$501,0))="","",INDEX(links!$C$2:$C$501,MATCH($C153,links!$D$2:$D$501,0))),""))</f>
        <v/>
      </c>
      <c r="J153" s="25">
        <f>IF($C153="","",IF($G153="","slug not in links; ","")&amp;IF($D153="","reading type missing; ","")&amp;IF(COUNTIFS(scans!$C$2:$C$1601,$C153,scans!$D$2:$D$1601,$D153)&gt;1,"two readings of this type: keep one; ",""))</f>
        <v/>
      </c>
    </row>
    <row r="154">
      <c r="A154" s="9" t="n"/>
      <c r="B154" s="33" t="n"/>
      <c r="G154" s="25">
        <f>IF($C154="","",IFERROR(IF(INDEX(links!$A$2:$A$501,MATCH($C154,links!$D$2:$D$501,0))="","",INDEX(links!$A$2:$A$501,MATCH($C154,links!$D$2:$D$501,0))),""))</f>
        <v/>
      </c>
      <c r="H154" s="25">
        <f>IF($C154="","",IFERROR(IF(INDEX(links!$B$2:$B$501,MATCH($C154,links!$D$2:$D$501,0))="","",INDEX(links!$B$2:$B$501,MATCH($C154,links!$D$2:$D$501,0))),""))</f>
        <v/>
      </c>
      <c r="I154" s="25">
        <f>IF($C154="","",IFERROR(IF(INDEX(links!$C$2:$C$501,MATCH($C154,links!$D$2:$D$501,0))="","",INDEX(links!$C$2:$C$501,MATCH($C154,links!$D$2:$D$501,0))),""))</f>
        <v/>
      </c>
      <c r="J154" s="25">
        <f>IF($C154="","",IF($G154="","slug not in links; ","")&amp;IF($D154="","reading type missing; ","")&amp;IF(COUNTIFS(scans!$C$2:$C$1601,$C154,scans!$D$2:$D$1601,$D154)&gt;1,"two readings of this type: keep one; ",""))</f>
        <v/>
      </c>
    </row>
    <row r="155">
      <c r="A155" s="9" t="n"/>
      <c r="B155" s="33" t="n"/>
      <c r="G155" s="25">
        <f>IF($C155="","",IFERROR(IF(INDEX(links!$A$2:$A$501,MATCH($C155,links!$D$2:$D$501,0))="","",INDEX(links!$A$2:$A$501,MATCH($C155,links!$D$2:$D$501,0))),""))</f>
        <v/>
      </c>
      <c r="H155" s="25">
        <f>IF($C155="","",IFERROR(IF(INDEX(links!$B$2:$B$501,MATCH($C155,links!$D$2:$D$501,0))="","",INDEX(links!$B$2:$B$501,MATCH($C155,links!$D$2:$D$501,0))),""))</f>
        <v/>
      </c>
      <c r="I155" s="25">
        <f>IF($C155="","",IFERROR(IF(INDEX(links!$C$2:$C$501,MATCH($C155,links!$D$2:$D$501,0))="","",INDEX(links!$C$2:$C$501,MATCH($C155,links!$D$2:$D$501,0))),""))</f>
        <v/>
      </c>
      <c r="J155" s="25">
        <f>IF($C155="","",IF($G155="","slug not in links; ","")&amp;IF($D155="","reading type missing; ","")&amp;IF(COUNTIFS(scans!$C$2:$C$1601,$C155,scans!$D$2:$D$1601,$D155)&gt;1,"two readings of this type: keep one; ",""))</f>
        <v/>
      </c>
    </row>
    <row r="156">
      <c r="A156" s="9" t="n"/>
      <c r="B156" s="33" t="n"/>
      <c r="G156" s="25">
        <f>IF($C156="","",IFERROR(IF(INDEX(links!$A$2:$A$501,MATCH($C156,links!$D$2:$D$501,0))="","",INDEX(links!$A$2:$A$501,MATCH($C156,links!$D$2:$D$501,0))),""))</f>
        <v/>
      </c>
      <c r="H156" s="25">
        <f>IF($C156="","",IFERROR(IF(INDEX(links!$B$2:$B$501,MATCH($C156,links!$D$2:$D$501,0))="","",INDEX(links!$B$2:$B$501,MATCH($C156,links!$D$2:$D$501,0))),""))</f>
        <v/>
      </c>
      <c r="I156" s="25">
        <f>IF($C156="","",IFERROR(IF(INDEX(links!$C$2:$C$501,MATCH($C156,links!$D$2:$D$501,0))="","",INDEX(links!$C$2:$C$501,MATCH($C156,links!$D$2:$D$501,0))),""))</f>
        <v/>
      </c>
      <c r="J156" s="25">
        <f>IF($C156="","",IF($G156="","slug not in links; ","")&amp;IF($D156="","reading type missing; ","")&amp;IF(COUNTIFS(scans!$C$2:$C$1601,$C156,scans!$D$2:$D$1601,$D156)&gt;1,"two readings of this type: keep one; ",""))</f>
        <v/>
      </c>
    </row>
    <row r="157">
      <c r="A157" s="9" t="n"/>
      <c r="B157" s="33" t="n"/>
      <c r="G157" s="25">
        <f>IF($C157="","",IFERROR(IF(INDEX(links!$A$2:$A$501,MATCH($C157,links!$D$2:$D$501,0))="","",INDEX(links!$A$2:$A$501,MATCH($C157,links!$D$2:$D$501,0))),""))</f>
        <v/>
      </c>
      <c r="H157" s="25">
        <f>IF($C157="","",IFERROR(IF(INDEX(links!$B$2:$B$501,MATCH($C157,links!$D$2:$D$501,0))="","",INDEX(links!$B$2:$B$501,MATCH($C157,links!$D$2:$D$501,0))),""))</f>
        <v/>
      </c>
      <c r="I157" s="25">
        <f>IF($C157="","",IFERROR(IF(INDEX(links!$C$2:$C$501,MATCH($C157,links!$D$2:$D$501,0))="","",INDEX(links!$C$2:$C$501,MATCH($C157,links!$D$2:$D$501,0))),""))</f>
        <v/>
      </c>
      <c r="J157" s="25">
        <f>IF($C157="","",IF($G157="","slug not in links; ","")&amp;IF($D157="","reading type missing; ","")&amp;IF(COUNTIFS(scans!$C$2:$C$1601,$C157,scans!$D$2:$D$1601,$D157)&gt;1,"two readings of this type: keep one; ",""))</f>
        <v/>
      </c>
    </row>
    <row r="158">
      <c r="A158" s="9" t="n"/>
      <c r="B158" s="33" t="n"/>
      <c r="G158" s="25">
        <f>IF($C158="","",IFERROR(IF(INDEX(links!$A$2:$A$501,MATCH($C158,links!$D$2:$D$501,0))="","",INDEX(links!$A$2:$A$501,MATCH($C158,links!$D$2:$D$501,0))),""))</f>
        <v/>
      </c>
      <c r="H158" s="25">
        <f>IF($C158="","",IFERROR(IF(INDEX(links!$B$2:$B$501,MATCH($C158,links!$D$2:$D$501,0))="","",INDEX(links!$B$2:$B$501,MATCH($C158,links!$D$2:$D$501,0))),""))</f>
        <v/>
      </c>
      <c r="I158" s="25">
        <f>IF($C158="","",IFERROR(IF(INDEX(links!$C$2:$C$501,MATCH($C158,links!$D$2:$D$501,0))="","",INDEX(links!$C$2:$C$501,MATCH($C158,links!$D$2:$D$501,0))),""))</f>
        <v/>
      </c>
      <c r="J158" s="25">
        <f>IF($C158="","",IF($G158="","slug not in links; ","")&amp;IF($D158="","reading type missing; ","")&amp;IF(COUNTIFS(scans!$C$2:$C$1601,$C158,scans!$D$2:$D$1601,$D158)&gt;1,"two readings of this type: keep one; ",""))</f>
        <v/>
      </c>
    </row>
    <row r="159">
      <c r="A159" s="9" t="n"/>
      <c r="B159" s="33" t="n"/>
      <c r="G159" s="25">
        <f>IF($C159="","",IFERROR(IF(INDEX(links!$A$2:$A$501,MATCH($C159,links!$D$2:$D$501,0))="","",INDEX(links!$A$2:$A$501,MATCH($C159,links!$D$2:$D$501,0))),""))</f>
        <v/>
      </c>
      <c r="H159" s="25">
        <f>IF($C159="","",IFERROR(IF(INDEX(links!$B$2:$B$501,MATCH($C159,links!$D$2:$D$501,0))="","",INDEX(links!$B$2:$B$501,MATCH($C159,links!$D$2:$D$501,0))),""))</f>
        <v/>
      </c>
      <c r="I159" s="25">
        <f>IF($C159="","",IFERROR(IF(INDEX(links!$C$2:$C$501,MATCH($C159,links!$D$2:$D$501,0))="","",INDEX(links!$C$2:$C$501,MATCH($C159,links!$D$2:$D$501,0))),""))</f>
        <v/>
      </c>
      <c r="J159" s="25">
        <f>IF($C159="","",IF($G159="","slug not in links; ","")&amp;IF($D159="","reading type missing; ","")&amp;IF(COUNTIFS(scans!$C$2:$C$1601,$C159,scans!$D$2:$D$1601,$D159)&gt;1,"two readings of this type: keep one; ",""))</f>
        <v/>
      </c>
    </row>
    <row r="160">
      <c r="A160" s="9" t="n"/>
      <c r="B160" s="33" t="n"/>
      <c r="G160" s="25">
        <f>IF($C160="","",IFERROR(IF(INDEX(links!$A$2:$A$501,MATCH($C160,links!$D$2:$D$501,0))="","",INDEX(links!$A$2:$A$501,MATCH($C160,links!$D$2:$D$501,0))),""))</f>
        <v/>
      </c>
      <c r="H160" s="25">
        <f>IF($C160="","",IFERROR(IF(INDEX(links!$B$2:$B$501,MATCH($C160,links!$D$2:$D$501,0))="","",INDEX(links!$B$2:$B$501,MATCH($C160,links!$D$2:$D$501,0))),""))</f>
        <v/>
      </c>
      <c r="I160" s="25">
        <f>IF($C160="","",IFERROR(IF(INDEX(links!$C$2:$C$501,MATCH($C160,links!$D$2:$D$501,0))="","",INDEX(links!$C$2:$C$501,MATCH($C160,links!$D$2:$D$501,0))),""))</f>
        <v/>
      </c>
      <c r="J160" s="25">
        <f>IF($C160="","",IF($G160="","slug not in links; ","")&amp;IF($D160="","reading type missing; ","")&amp;IF(COUNTIFS(scans!$C$2:$C$1601,$C160,scans!$D$2:$D$1601,$D160)&gt;1,"two readings of this type: keep one; ",""))</f>
        <v/>
      </c>
    </row>
    <row r="161">
      <c r="A161" s="9" t="n"/>
      <c r="B161" s="33" t="n"/>
      <c r="G161" s="25">
        <f>IF($C161="","",IFERROR(IF(INDEX(links!$A$2:$A$501,MATCH($C161,links!$D$2:$D$501,0))="","",INDEX(links!$A$2:$A$501,MATCH($C161,links!$D$2:$D$501,0))),""))</f>
        <v/>
      </c>
      <c r="H161" s="25">
        <f>IF($C161="","",IFERROR(IF(INDEX(links!$B$2:$B$501,MATCH($C161,links!$D$2:$D$501,0))="","",INDEX(links!$B$2:$B$501,MATCH($C161,links!$D$2:$D$501,0))),""))</f>
        <v/>
      </c>
      <c r="I161" s="25">
        <f>IF($C161="","",IFERROR(IF(INDEX(links!$C$2:$C$501,MATCH($C161,links!$D$2:$D$501,0))="","",INDEX(links!$C$2:$C$501,MATCH($C161,links!$D$2:$D$501,0))),""))</f>
        <v/>
      </c>
      <c r="J161" s="25">
        <f>IF($C161="","",IF($G161="","slug not in links; ","")&amp;IF($D161="","reading type missing; ","")&amp;IF(COUNTIFS(scans!$C$2:$C$1601,$C161,scans!$D$2:$D$1601,$D161)&gt;1,"two readings of this type: keep one; ",""))</f>
        <v/>
      </c>
    </row>
    <row r="162">
      <c r="A162" s="9" t="n"/>
      <c r="B162" s="33" t="n"/>
      <c r="G162" s="25">
        <f>IF($C162="","",IFERROR(IF(INDEX(links!$A$2:$A$501,MATCH($C162,links!$D$2:$D$501,0))="","",INDEX(links!$A$2:$A$501,MATCH($C162,links!$D$2:$D$501,0))),""))</f>
        <v/>
      </c>
      <c r="H162" s="25">
        <f>IF($C162="","",IFERROR(IF(INDEX(links!$B$2:$B$501,MATCH($C162,links!$D$2:$D$501,0))="","",INDEX(links!$B$2:$B$501,MATCH($C162,links!$D$2:$D$501,0))),""))</f>
        <v/>
      </c>
      <c r="I162" s="25">
        <f>IF($C162="","",IFERROR(IF(INDEX(links!$C$2:$C$501,MATCH($C162,links!$D$2:$D$501,0))="","",INDEX(links!$C$2:$C$501,MATCH($C162,links!$D$2:$D$501,0))),""))</f>
        <v/>
      </c>
      <c r="J162" s="25">
        <f>IF($C162="","",IF($G162="","slug not in links; ","")&amp;IF($D162="","reading type missing; ","")&amp;IF(COUNTIFS(scans!$C$2:$C$1601,$C162,scans!$D$2:$D$1601,$D162)&gt;1,"two readings of this type: keep one; ",""))</f>
        <v/>
      </c>
    </row>
    <row r="163">
      <c r="A163" s="9" t="n"/>
      <c r="B163" s="33" t="n"/>
      <c r="G163" s="25">
        <f>IF($C163="","",IFERROR(IF(INDEX(links!$A$2:$A$501,MATCH($C163,links!$D$2:$D$501,0))="","",INDEX(links!$A$2:$A$501,MATCH($C163,links!$D$2:$D$501,0))),""))</f>
        <v/>
      </c>
      <c r="H163" s="25">
        <f>IF($C163="","",IFERROR(IF(INDEX(links!$B$2:$B$501,MATCH($C163,links!$D$2:$D$501,0))="","",INDEX(links!$B$2:$B$501,MATCH($C163,links!$D$2:$D$501,0))),""))</f>
        <v/>
      </c>
      <c r="I163" s="25">
        <f>IF($C163="","",IFERROR(IF(INDEX(links!$C$2:$C$501,MATCH($C163,links!$D$2:$D$501,0))="","",INDEX(links!$C$2:$C$501,MATCH($C163,links!$D$2:$D$501,0))),""))</f>
        <v/>
      </c>
      <c r="J163" s="25">
        <f>IF($C163="","",IF($G163="","slug not in links; ","")&amp;IF($D163="","reading type missing; ","")&amp;IF(COUNTIFS(scans!$C$2:$C$1601,$C163,scans!$D$2:$D$1601,$D163)&gt;1,"two readings of this type: keep one; ",""))</f>
        <v/>
      </c>
    </row>
    <row r="164">
      <c r="A164" s="9" t="n"/>
      <c r="B164" s="33" t="n"/>
      <c r="G164" s="25">
        <f>IF($C164="","",IFERROR(IF(INDEX(links!$A$2:$A$501,MATCH($C164,links!$D$2:$D$501,0))="","",INDEX(links!$A$2:$A$501,MATCH($C164,links!$D$2:$D$501,0))),""))</f>
        <v/>
      </c>
      <c r="H164" s="25">
        <f>IF($C164="","",IFERROR(IF(INDEX(links!$B$2:$B$501,MATCH($C164,links!$D$2:$D$501,0))="","",INDEX(links!$B$2:$B$501,MATCH($C164,links!$D$2:$D$501,0))),""))</f>
        <v/>
      </c>
      <c r="I164" s="25">
        <f>IF($C164="","",IFERROR(IF(INDEX(links!$C$2:$C$501,MATCH($C164,links!$D$2:$D$501,0))="","",INDEX(links!$C$2:$C$501,MATCH($C164,links!$D$2:$D$501,0))),""))</f>
        <v/>
      </c>
      <c r="J164" s="25">
        <f>IF($C164="","",IF($G164="","slug not in links; ","")&amp;IF($D164="","reading type missing; ","")&amp;IF(COUNTIFS(scans!$C$2:$C$1601,$C164,scans!$D$2:$D$1601,$D164)&gt;1,"two readings of this type: keep one; ",""))</f>
        <v/>
      </c>
    </row>
    <row r="165">
      <c r="A165" s="9" t="n"/>
      <c r="B165" s="33" t="n"/>
      <c r="G165" s="25">
        <f>IF($C165="","",IFERROR(IF(INDEX(links!$A$2:$A$501,MATCH($C165,links!$D$2:$D$501,0))="","",INDEX(links!$A$2:$A$501,MATCH($C165,links!$D$2:$D$501,0))),""))</f>
        <v/>
      </c>
      <c r="H165" s="25">
        <f>IF($C165="","",IFERROR(IF(INDEX(links!$B$2:$B$501,MATCH($C165,links!$D$2:$D$501,0))="","",INDEX(links!$B$2:$B$501,MATCH($C165,links!$D$2:$D$501,0))),""))</f>
        <v/>
      </c>
      <c r="I165" s="25">
        <f>IF($C165="","",IFERROR(IF(INDEX(links!$C$2:$C$501,MATCH($C165,links!$D$2:$D$501,0))="","",INDEX(links!$C$2:$C$501,MATCH($C165,links!$D$2:$D$501,0))),""))</f>
        <v/>
      </c>
      <c r="J165" s="25">
        <f>IF($C165="","",IF($G165="","slug not in links; ","")&amp;IF($D165="","reading type missing; ","")&amp;IF(COUNTIFS(scans!$C$2:$C$1601,$C165,scans!$D$2:$D$1601,$D165)&gt;1,"two readings of this type: keep one; ",""))</f>
        <v/>
      </c>
    </row>
    <row r="166">
      <c r="A166" s="9" t="n"/>
      <c r="B166" s="33" t="n"/>
      <c r="G166" s="25">
        <f>IF($C166="","",IFERROR(IF(INDEX(links!$A$2:$A$501,MATCH($C166,links!$D$2:$D$501,0))="","",INDEX(links!$A$2:$A$501,MATCH($C166,links!$D$2:$D$501,0))),""))</f>
        <v/>
      </c>
      <c r="H166" s="25">
        <f>IF($C166="","",IFERROR(IF(INDEX(links!$B$2:$B$501,MATCH($C166,links!$D$2:$D$501,0))="","",INDEX(links!$B$2:$B$501,MATCH($C166,links!$D$2:$D$501,0))),""))</f>
        <v/>
      </c>
      <c r="I166" s="25">
        <f>IF($C166="","",IFERROR(IF(INDEX(links!$C$2:$C$501,MATCH($C166,links!$D$2:$D$501,0))="","",INDEX(links!$C$2:$C$501,MATCH($C166,links!$D$2:$D$501,0))),""))</f>
        <v/>
      </c>
      <c r="J166" s="25">
        <f>IF($C166="","",IF($G166="","slug not in links; ","")&amp;IF($D166="","reading type missing; ","")&amp;IF(COUNTIFS(scans!$C$2:$C$1601,$C166,scans!$D$2:$D$1601,$D166)&gt;1,"two readings of this type: keep one; ",""))</f>
        <v/>
      </c>
    </row>
    <row r="167">
      <c r="A167" s="9" t="n"/>
      <c r="B167" s="33" t="n"/>
      <c r="G167" s="25">
        <f>IF($C167="","",IFERROR(IF(INDEX(links!$A$2:$A$501,MATCH($C167,links!$D$2:$D$501,0))="","",INDEX(links!$A$2:$A$501,MATCH($C167,links!$D$2:$D$501,0))),""))</f>
        <v/>
      </c>
      <c r="H167" s="25">
        <f>IF($C167="","",IFERROR(IF(INDEX(links!$B$2:$B$501,MATCH($C167,links!$D$2:$D$501,0))="","",INDEX(links!$B$2:$B$501,MATCH($C167,links!$D$2:$D$501,0))),""))</f>
        <v/>
      </c>
      <c r="I167" s="25">
        <f>IF($C167="","",IFERROR(IF(INDEX(links!$C$2:$C$501,MATCH($C167,links!$D$2:$D$501,0))="","",INDEX(links!$C$2:$C$501,MATCH($C167,links!$D$2:$D$501,0))),""))</f>
        <v/>
      </c>
      <c r="J167" s="25">
        <f>IF($C167="","",IF($G167="","slug not in links; ","")&amp;IF($D167="","reading type missing; ","")&amp;IF(COUNTIFS(scans!$C$2:$C$1601,$C167,scans!$D$2:$D$1601,$D167)&gt;1,"two readings of this type: keep one; ",""))</f>
        <v/>
      </c>
    </row>
    <row r="168">
      <c r="A168" s="9" t="n"/>
      <c r="B168" s="33" t="n"/>
      <c r="G168" s="25">
        <f>IF($C168="","",IFERROR(IF(INDEX(links!$A$2:$A$501,MATCH($C168,links!$D$2:$D$501,0))="","",INDEX(links!$A$2:$A$501,MATCH($C168,links!$D$2:$D$501,0))),""))</f>
        <v/>
      </c>
      <c r="H168" s="25">
        <f>IF($C168="","",IFERROR(IF(INDEX(links!$B$2:$B$501,MATCH($C168,links!$D$2:$D$501,0))="","",INDEX(links!$B$2:$B$501,MATCH($C168,links!$D$2:$D$501,0))),""))</f>
        <v/>
      </c>
      <c r="I168" s="25">
        <f>IF($C168="","",IFERROR(IF(INDEX(links!$C$2:$C$501,MATCH($C168,links!$D$2:$D$501,0))="","",INDEX(links!$C$2:$C$501,MATCH($C168,links!$D$2:$D$501,0))),""))</f>
        <v/>
      </c>
      <c r="J168" s="25">
        <f>IF($C168="","",IF($G168="","slug not in links; ","")&amp;IF($D168="","reading type missing; ","")&amp;IF(COUNTIFS(scans!$C$2:$C$1601,$C168,scans!$D$2:$D$1601,$D168)&gt;1,"two readings of this type: keep one; ",""))</f>
        <v/>
      </c>
    </row>
    <row r="169">
      <c r="A169" s="9" t="n"/>
      <c r="B169" s="33" t="n"/>
      <c r="G169" s="25">
        <f>IF($C169="","",IFERROR(IF(INDEX(links!$A$2:$A$501,MATCH($C169,links!$D$2:$D$501,0))="","",INDEX(links!$A$2:$A$501,MATCH($C169,links!$D$2:$D$501,0))),""))</f>
        <v/>
      </c>
      <c r="H169" s="25">
        <f>IF($C169="","",IFERROR(IF(INDEX(links!$B$2:$B$501,MATCH($C169,links!$D$2:$D$501,0))="","",INDEX(links!$B$2:$B$501,MATCH($C169,links!$D$2:$D$501,0))),""))</f>
        <v/>
      </c>
      <c r="I169" s="25">
        <f>IF($C169="","",IFERROR(IF(INDEX(links!$C$2:$C$501,MATCH($C169,links!$D$2:$D$501,0))="","",INDEX(links!$C$2:$C$501,MATCH($C169,links!$D$2:$D$501,0))),""))</f>
        <v/>
      </c>
      <c r="J169" s="25">
        <f>IF($C169="","",IF($G169="","slug not in links; ","")&amp;IF($D169="","reading type missing; ","")&amp;IF(COUNTIFS(scans!$C$2:$C$1601,$C169,scans!$D$2:$D$1601,$D169)&gt;1,"two readings of this type: keep one; ",""))</f>
        <v/>
      </c>
    </row>
    <row r="170">
      <c r="A170" s="9" t="n"/>
      <c r="B170" s="33" t="n"/>
      <c r="G170" s="25">
        <f>IF($C170="","",IFERROR(IF(INDEX(links!$A$2:$A$501,MATCH($C170,links!$D$2:$D$501,0))="","",INDEX(links!$A$2:$A$501,MATCH($C170,links!$D$2:$D$501,0))),""))</f>
        <v/>
      </c>
      <c r="H170" s="25">
        <f>IF($C170="","",IFERROR(IF(INDEX(links!$B$2:$B$501,MATCH($C170,links!$D$2:$D$501,0))="","",INDEX(links!$B$2:$B$501,MATCH($C170,links!$D$2:$D$501,0))),""))</f>
        <v/>
      </c>
      <c r="I170" s="25">
        <f>IF($C170="","",IFERROR(IF(INDEX(links!$C$2:$C$501,MATCH($C170,links!$D$2:$D$501,0))="","",INDEX(links!$C$2:$C$501,MATCH($C170,links!$D$2:$D$501,0))),""))</f>
        <v/>
      </c>
      <c r="J170" s="25">
        <f>IF($C170="","",IF($G170="","slug not in links; ","")&amp;IF($D170="","reading type missing; ","")&amp;IF(COUNTIFS(scans!$C$2:$C$1601,$C170,scans!$D$2:$D$1601,$D170)&gt;1,"two readings of this type: keep one; ",""))</f>
        <v/>
      </c>
    </row>
    <row r="171">
      <c r="A171" s="9" t="n"/>
      <c r="B171" s="33" t="n"/>
      <c r="G171" s="25">
        <f>IF($C171="","",IFERROR(IF(INDEX(links!$A$2:$A$501,MATCH($C171,links!$D$2:$D$501,0))="","",INDEX(links!$A$2:$A$501,MATCH($C171,links!$D$2:$D$501,0))),""))</f>
        <v/>
      </c>
      <c r="H171" s="25">
        <f>IF($C171="","",IFERROR(IF(INDEX(links!$B$2:$B$501,MATCH($C171,links!$D$2:$D$501,0))="","",INDEX(links!$B$2:$B$501,MATCH($C171,links!$D$2:$D$501,0))),""))</f>
        <v/>
      </c>
      <c r="I171" s="25">
        <f>IF($C171="","",IFERROR(IF(INDEX(links!$C$2:$C$501,MATCH($C171,links!$D$2:$D$501,0))="","",INDEX(links!$C$2:$C$501,MATCH($C171,links!$D$2:$D$501,0))),""))</f>
        <v/>
      </c>
      <c r="J171" s="25">
        <f>IF($C171="","",IF($G171="","slug not in links; ","")&amp;IF($D171="","reading type missing; ","")&amp;IF(COUNTIFS(scans!$C$2:$C$1601,$C171,scans!$D$2:$D$1601,$D171)&gt;1,"two readings of this type: keep one; ",""))</f>
        <v/>
      </c>
    </row>
    <row r="172">
      <c r="A172" s="9" t="n"/>
      <c r="B172" s="33" t="n"/>
      <c r="G172" s="25">
        <f>IF($C172="","",IFERROR(IF(INDEX(links!$A$2:$A$501,MATCH($C172,links!$D$2:$D$501,0))="","",INDEX(links!$A$2:$A$501,MATCH($C172,links!$D$2:$D$501,0))),""))</f>
        <v/>
      </c>
      <c r="H172" s="25">
        <f>IF($C172="","",IFERROR(IF(INDEX(links!$B$2:$B$501,MATCH($C172,links!$D$2:$D$501,0))="","",INDEX(links!$B$2:$B$501,MATCH($C172,links!$D$2:$D$501,0))),""))</f>
        <v/>
      </c>
      <c r="I172" s="25">
        <f>IF($C172="","",IFERROR(IF(INDEX(links!$C$2:$C$501,MATCH($C172,links!$D$2:$D$501,0))="","",INDEX(links!$C$2:$C$501,MATCH($C172,links!$D$2:$D$501,0))),""))</f>
        <v/>
      </c>
      <c r="J172" s="25">
        <f>IF($C172="","",IF($G172="","slug not in links; ","")&amp;IF($D172="","reading type missing; ","")&amp;IF(COUNTIFS(scans!$C$2:$C$1601,$C172,scans!$D$2:$D$1601,$D172)&gt;1,"two readings of this type: keep one; ",""))</f>
        <v/>
      </c>
    </row>
    <row r="173">
      <c r="A173" s="9" t="n"/>
      <c r="B173" s="33" t="n"/>
      <c r="G173" s="25">
        <f>IF($C173="","",IFERROR(IF(INDEX(links!$A$2:$A$501,MATCH($C173,links!$D$2:$D$501,0))="","",INDEX(links!$A$2:$A$501,MATCH($C173,links!$D$2:$D$501,0))),""))</f>
        <v/>
      </c>
      <c r="H173" s="25">
        <f>IF($C173="","",IFERROR(IF(INDEX(links!$B$2:$B$501,MATCH($C173,links!$D$2:$D$501,0))="","",INDEX(links!$B$2:$B$501,MATCH($C173,links!$D$2:$D$501,0))),""))</f>
        <v/>
      </c>
      <c r="I173" s="25">
        <f>IF($C173="","",IFERROR(IF(INDEX(links!$C$2:$C$501,MATCH($C173,links!$D$2:$D$501,0))="","",INDEX(links!$C$2:$C$501,MATCH($C173,links!$D$2:$D$501,0))),""))</f>
        <v/>
      </c>
      <c r="J173" s="25">
        <f>IF($C173="","",IF($G173="","slug not in links; ","")&amp;IF($D173="","reading type missing; ","")&amp;IF(COUNTIFS(scans!$C$2:$C$1601,$C173,scans!$D$2:$D$1601,$D173)&gt;1,"two readings of this type: keep one; ",""))</f>
        <v/>
      </c>
    </row>
    <row r="174">
      <c r="A174" s="9" t="n"/>
      <c r="B174" s="33" t="n"/>
      <c r="G174" s="25">
        <f>IF($C174="","",IFERROR(IF(INDEX(links!$A$2:$A$501,MATCH($C174,links!$D$2:$D$501,0))="","",INDEX(links!$A$2:$A$501,MATCH($C174,links!$D$2:$D$501,0))),""))</f>
        <v/>
      </c>
      <c r="H174" s="25">
        <f>IF($C174="","",IFERROR(IF(INDEX(links!$B$2:$B$501,MATCH($C174,links!$D$2:$D$501,0))="","",INDEX(links!$B$2:$B$501,MATCH($C174,links!$D$2:$D$501,0))),""))</f>
        <v/>
      </c>
      <c r="I174" s="25">
        <f>IF($C174="","",IFERROR(IF(INDEX(links!$C$2:$C$501,MATCH($C174,links!$D$2:$D$501,0))="","",INDEX(links!$C$2:$C$501,MATCH($C174,links!$D$2:$D$501,0))),""))</f>
        <v/>
      </c>
      <c r="J174" s="25">
        <f>IF($C174="","",IF($G174="","slug not in links; ","")&amp;IF($D174="","reading type missing; ","")&amp;IF(COUNTIFS(scans!$C$2:$C$1601,$C174,scans!$D$2:$D$1601,$D174)&gt;1,"two readings of this type: keep one; ",""))</f>
        <v/>
      </c>
    </row>
    <row r="175">
      <c r="A175" s="9" t="n"/>
      <c r="B175" s="33" t="n"/>
      <c r="G175" s="25">
        <f>IF($C175="","",IFERROR(IF(INDEX(links!$A$2:$A$501,MATCH($C175,links!$D$2:$D$501,0))="","",INDEX(links!$A$2:$A$501,MATCH($C175,links!$D$2:$D$501,0))),""))</f>
        <v/>
      </c>
      <c r="H175" s="25">
        <f>IF($C175="","",IFERROR(IF(INDEX(links!$B$2:$B$501,MATCH($C175,links!$D$2:$D$501,0))="","",INDEX(links!$B$2:$B$501,MATCH($C175,links!$D$2:$D$501,0))),""))</f>
        <v/>
      </c>
      <c r="I175" s="25">
        <f>IF($C175="","",IFERROR(IF(INDEX(links!$C$2:$C$501,MATCH($C175,links!$D$2:$D$501,0))="","",INDEX(links!$C$2:$C$501,MATCH($C175,links!$D$2:$D$501,0))),""))</f>
        <v/>
      </c>
      <c r="J175" s="25">
        <f>IF($C175="","",IF($G175="","slug not in links; ","")&amp;IF($D175="","reading type missing; ","")&amp;IF(COUNTIFS(scans!$C$2:$C$1601,$C175,scans!$D$2:$D$1601,$D175)&gt;1,"two readings of this type: keep one; ",""))</f>
        <v/>
      </c>
    </row>
    <row r="176">
      <c r="A176" s="9" t="n"/>
      <c r="B176" s="33" t="n"/>
      <c r="G176" s="25">
        <f>IF($C176="","",IFERROR(IF(INDEX(links!$A$2:$A$501,MATCH($C176,links!$D$2:$D$501,0))="","",INDEX(links!$A$2:$A$501,MATCH($C176,links!$D$2:$D$501,0))),""))</f>
        <v/>
      </c>
      <c r="H176" s="25">
        <f>IF($C176="","",IFERROR(IF(INDEX(links!$B$2:$B$501,MATCH($C176,links!$D$2:$D$501,0))="","",INDEX(links!$B$2:$B$501,MATCH($C176,links!$D$2:$D$501,0))),""))</f>
        <v/>
      </c>
      <c r="I176" s="25">
        <f>IF($C176="","",IFERROR(IF(INDEX(links!$C$2:$C$501,MATCH($C176,links!$D$2:$D$501,0))="","",INDEX(links!$C$2:$C$501,MATCH($C176,links!$D$2:$D$501,0))),""))</f>
        <v/>
      </c>
      <c r="J176" s="25">
        <f>IF($C176="","",IF($G176="","slug not in links; ","")&amp;IF($D176="","reading type missing; ","")&amp;IF(COUNTIFS(scans!$C$2:$C$1601,$C176,scans!$D$2:$D$1601,$D176)&gt;1,"two readings of this type: keep one; ",""))</f>
        <v/>
      </c>
    </row>
    <row r="177">
      <c r="A177" s="9" t="n"/>
      <c r="B177" s="33" t="n"/>
      <c r="G177" s="25">
        <f>IF($C177="","",IFERROR(IF(INDEX(links!$A$2:$A$501,MATCH($C177,links!$D$2:$D$501,0))="","",INDEX(links!$A$2:$A$501,MATCH($C177,links!$D$2:$D$501,0))),""))</f>
        <v/>
      </c>
      <c r="H177" s="25">
        <f>IF($C177="","",IFERROR(IF(INDEX(links!$B$2:$B$501,MATCH($C177,links!$D$2:$D$501,0))="","",INDEX(links!$B$2:$B$501,MATCH($C177,links!$D$2:$D$501,0))),""))</f>
        <v/>
      </c>
      <c r="I177" s="25">
        <f>IF($C177="","",IFERROR(IF(INDEX(links!$C$2:$C$501,MATCH($C177,links!$D$2:$D$501,0))="","",INDEX(links!$C$2:$C$501,MATCH($C177,links!$D$2:$D$501,0))),""))</f>
        <v/>
      </c>
      <c r="J177" s="25">
        <f>IF($C177="","",IF($G177="","slug not in links; ","")&amp;IF($D177="","reading type missing; ","")&amp;IF(COUNTIFS(scans!$C$2:$C$1601,$C177,scans!$D$2:$D$1601,$D177)&gt;1,"two readings of this type: keep one; ",""))</f>
        <v/>
      </c>
    </row>
    <row r="178">
      <c r="A178" s="9" t="n"/>
      <c r="B178" s="33" t="n"/>
      <c r="G178" s="25">
        <f>IF($C178="","",IFERROR(IF(INDEX(links!$A$2:$A$501,MATCH($C178,links!$D$2:$D$501,0))="","",INDEX(links!$A$2:$A$501,MATCH($C178,links!$D$2:$D$501,0))),""))</f>
        <v/>
      </c>
      <c r="H178" s="25">
        <f>IF($C178="","",IFERROR(IF(INDEX(links!$B$2:$B$501,MATCH($C178,links!$D$2:$D$501,0))="","",INDEX(links!$B$2:$B$501,MATCH($C178,links!$D$2:$D$501,0))),""))</f>
        <v/>
      </c>
      <c r="I178" s="25">
        <f>IF($C178="","",IFERROR(IF(INDEX(links!$C$2:$C$501,MATCH($C178,links!$D$2:$D$501,0))="","",INDEX(links!$C$2:$C$501,MATCH($C178,links!$D$2:$D$501,0))),""))</f>
        <v/>
      </c>
      <c r="J178" s="25">
        <f>IF($C178="","",IF($G178="","slug not in links; ","")&amp;IF($D178="","reading type missing; ","")&amp;IF(COUNTIFS(scans!$C$2:$C$1601,$C178,scans!$D$2:$D$1601,$D178)&gt;1,"two readings of this type: keep one; ",""))</f>
        <v/>
      </c>
    </row>
    <row r="179">
      <c r="A179" s="9" t="n"/>
      <c r="B179" s="33" t="n"/>
      <c r="G179" s="25">
        <f>IF($C179="","",IFERROR(IF(INDEX(links!$A$2:$A$501,MATCH($C179,links!$D$2:$D$501,0))="","",INDEX(links!$A$2:$A$501,MATCH($C179,links!$D$2:$D$501,0))),""))</f>
        <v/>
      </c>
      <c r="H179" s="25">
        <f>IF($C179="","",IFERROR(IF(INDEX(links!$B$2:$B$501,MATCH($C179,links!$D$2:$D$501,0))="","",INDEX(links!$B$2:$B$501,MATCH($C179,links!$D$2:$D$501,0))),""))</f>
        <v/>
      </c>
      <c r="I179" s="25">
        <f>IF($C179="","",IFERROR(IF(INDEX(links!$C$2:$C$501,MATCH($C179,links!$D$2:$D$501,0))="","",INDEX(links!$C$2:$C$501,MATCH($C179,links!$D$2:$D$501,0))),""))</f>
        <v/>
      </c>
      <c r="J179" s="25">
        <f>IF($C179="","",IF($G179="","slug not in links; ","")&amp;IF($D179="","reading type missing; ","")&amp;IF(COUNTIFS(scans!$C$2:$C$1601,$C179,scans!$D$2:$D$1601,$D179)&gt;1,"two readings of this type: keep one; ",""))</f>
        <v/>
      </c>
    </row>
    <row r="180">
      <c r="A180" s="9" t="n"/>
      <c r="B180" s="33" t="n"/>
      <c r="G180" s="25">
        <f>IF($C180="","",IFERROR(IF(INDEX(links!$A$2:$A$501,MATCH($C180,links!$D$2:$D$501,0))="","",INDEX(links!$A$2:$A$501,MATCH($C180,links!$D$2:$D$501,0))),""))</f>
        <v/>
      </c>
      <c r="H180" s="25">
        <f>IF($C180="","",IFERROR(IF(INDEX(links!$B$2:$B$501,MATCH($C180,links!$D$2:$D$501,0))="","",INDEX(links!$B$2:$B$501,MATCH($C180,links!$D$2:$D$501,0))),""))</f>
        <v/>
      </c>
      <c r="I180" s="25">
        <f>IF($C180="","",IFERROR(IF(INDEX(links!$C$2:$C$501,MATCH($C180,links!$D$2:$D$501,0))="","",INDEX(links!$C$2:$C$501,MATCH($C180,links!$D$2:$D$501,0))),""))</f>
        <v/>
      </c>
      <c r="J180" s="25">
        <f>IF($C180="","",IF($G180="","slug not in links; ","")&amp;IF($D180="","reading type missing; ","")&amp;IF(COUNTIFS(scans!$C$2:$C$1601,$C180,scans!$D$2:$D$1601,$D180)&gt;1,"two readings of this type: keep one; ",""))</f>
        <v/>
      </c>
    </row>
    <row r="181">
      <c r="A181" s="9" t="n"/>
      <c r="B181" s="33" t="n"/>
      <c r="G181" s="25">
        <f>IF($C181="","",IFERROR(IF(INDEX(links!$A$2:$A$501,MATCH($C181,links!$D$2:$D$501,0))="","",INDEX(links!$A$2:$A$501,MATCH($C181,links!$D$2:$D$501,0))),""))</f>
        <v/>
      </c>
      <c r="H181" s="25">
        <f>IF($C181="","",IFERROR(IF(INDEX(links!$B$2:$B$501,MATCH($C181,links!$D$2:$D$501,0))="","",INDEX(links!$B$2:$B$501,MATCH($C181,links!$D$2:$D$501,0))),""))</f>
        <v/>
      </c>
      <c r="I181" s="25">
        <f>IF($C181="","",IFERROR(IF(INDEX(links!$C$2:$C$501,MATCH($C181,links!$D$2:$D$501,0))="","",INDEX(links!$C$2:$C$501,MATCH($C181,links!$D$2:$D$501,0))),""))</f>
        <v/>
      </c>
      <c r="J181" s="25">
        <f>IF($C181="","",IF($G181="","slug not in links; ","")&amp;IF($D181="","reading type missing; ","")&amp;IF(COUNTIFS(scans!$C$2:$C$1601,$C181,scans!$D$2:$D$1601,$D181)&gt;1,"two readings of this type: keep one; ",""))</f>
        <v/>
      </c>
    </row>
    <row r="182">
      <c r="A182" s="9" t="n"/>
      <c r="B182" s="33" t="n"/>
      <c r="G182" s="25">
        <f>IF($C182="","",IFERROR(IF(INDEX(links!$A$2:$A$501,MATCH($C182,links!$D$2:$D$501,0))="","",INDEX(links!$A$2:$A$501,MATCH($C182,links!$D$2:$D$501,0))),""))</f>
        <v/>
      </c>
      <c r="H182" s="25">
        <f>IF($C182="","",IFERROR(IF(INDEX(links!$B$2:$B$501,MATCH($C182,links!$D$2:$D$501,0))="","",INDEX(links!$B$2:$B$501,MATCH($C182,links!$D$2:$D$501,0))),""))</f>
        <v/>
      </c>
      <c r="I182" s="25">
        <f>IF($C182="","",IFERROR(IF(INDEX(links!$C$2:$C$501,MATCH($C182,links!$D$2:$D$501,0))="","",INDEX(links!$C$2:$C$501,MATCH($C182,links!$D$2:$D$501,0))),""))</f>
        <v/>
      </c>
      <c r="J182" s="25">
        <f>IF($C182="","",IF($G182="","slug not in links; ","")&amp;IF($D182="","reading type missing; ","")&amp;IF(COUNTIFS(scans!$C$2:$C$1601,$C182,scans!$D$2:$D$1601,$D182)&gt;1,"two readings of this type: keep one; ",""))</f>
        <v/>
      </c>
    </row>
    <row r="183">
      <c r="A183" s="9" t="n"/>
      <c r="B183" s="33" t="n"/>
      <c r="G183" s="25">
        <f>IF($C183="","",IFERROR(IF(INDEX(links!$A$2:$A$501,MATCH($C183,links!$D$2:$D$501,0))="","",INDEX(links!$A$2:$A$501,MATCH($C183,links!$D$2:$D$501,0))),""))</f>
        <v/>
      </c>
      <c r="H183" s="25">
        <f>IF($C183="","",IFERROR(IF(INDEX(links!$B$2:$B$501,MATCH($C183,links!$D$2:$D$501,0))="","",INDEX(links!$B$2:$B$501,MATCH($C183,links!$D$2:$D$501,0))),""))</f>
        <v/>
      </c>
      <c r="I183" s="25">
        <f>IF($C183="","",IFERROR(IF(INDEX(links!$C$2:$C$501,MATCH($C183,links!$D$2:$D$501,0))="","",INDEX(links!$C$2:$C$501,MATCH($C183,links!$D$2:$D$501,0))),""))</f>
        <v/>
      </c>
      <c r="J183" s="25">
        <f>IF($C183="","",IF($G183="","slug not in links; ","")&amp;IF($D183="","reading type missing; ","")&amp;IF(COUNTIFS(scans!$C$2:$C$1601,$C183,scans!$D$2:$D$1601,$D183)&gt;1,"two readings of this type: keep one; ",""))</f>
        <v/>
      </c>
    </row>
    <row r="184">
      <c r="A184" s="9" t="n"/>
      <c r="B184" s="33" t="n"/>
      <c r="G184" s="25">
        <f>IF($C184="","",IFERROR(IF(INDEX(links!$A$2:$A$501,MATCH($C184,links!$D$2:$D$501,0))="","",INDEX(links!$A$2:$A$501,MATCH($C184,links!$D$2:$D$501,0))),""))</f>
        <v/>
      </c>
      <c r="H184" s="25">
        <f>IF($C184="","",IFERROR(IF(INDEX(links!$B$2:$B$501,MATCH($C184,links!$D$2:$D$501,0))="","",INDEX(links!$B$2:$B$501,MATCH($C184,links!$D$2:$D$501,0))),""))</f>
        <v/>
      </c>
      <c r="I184" s="25">
        <f>IF($C184="","",IFERROR(IF(INDEX(links!$C$2:$C$501,MATCH($C184,links!$D$2:$D$501,0))="","",INDEX(links!$C$2:$C$501,MATCH($C184,links!$D$2:$D$501,0))),""))</f>
        <v/>
      </c>
      <c r="J184" s="25">
        <f>IF($C184="","",IF($G184="","slug not in links; ","")&amp;IF($D184="","reading type missing; ","")&amp;IF(COUNTIFS(scans!$C$2:$C$1601,$C184,scans!$D$2:$D$1601,$D184)&gt;1,"two readings of this type: keep one; ",""))</f>
        <v/>
      </c>
    </row>
    <row r="185">
      <c r="A185" s="9" t="n"/>
      <c r="B185" s="33" t="n"/>
      <c r="G185" s="25">
        <f>IF($C185="","",IFERROR(IF(INDEX(links!$A$2:$A$501,MATCH($C185,links!$D$2:$D$501,0))="","",INDEX(links!$A$2:$A$501,MATCH($C185,links!$D$2:$D$501,0))),""))</f>
        <v/>
      </c>
      <c r="H185" s="25">
        <f>IF($C185="","",IFERROR(IF(INDEX(links!$B$2:$B$501,MATCH($C185,links!$D$2:$D$501,0))="","",INDEX(links!$B$2:$B$501,MATCH($C185,links!$D$2:$D$501,0))),""))</f>
        <v/>
      </c>
      <c r="I185" s="25">
        <f>IF($C185="","",IFERROR(IF(INDEX(links!$C$2:$C$501,MATCH($C185,links!$D$2:$D$501,0))="","",INDEX(links!$C$2:$C$501,MATCH($C185,links!$D$2:$D$501,0))),""))</f>
        <v/>
      </c>
      <c r="J185" s="25">
        <f>IF($C185="","",IF($G185="","slug not in links; ","")&amp;IF($D185="","reading type missing; ","")&amp;IF(COUNTIFS(scans!$C$2:$C$1601,$C185,scans!$D$2:$D$1601,$D185)&gt;1,"two readings of this type: keep one; ",""))</f>
        <v/>
      </c>
    </row>
    <row r="186">
      <c r="A186" s="9" t="n"/>
      <c r="B186" s="33" t="n"/>
      <c r="G186" s="25">
        <f>IF($C186="","",IFERROR(IF(INDEX(links!$A$2:$A$501,MATCH($C186,links!$D$2:$D$501,0))="","",INDEX(links!$A$2:$A$501,MATCH($C186,links!$D$2:$D$501,0))),""))</f>
        <v/>
      </c>
      <c r="H186" s="25">
        <f>IF($C186="","",IFERROR(IF(INDEX(links!$B$2:$B$501,MATCH($C186,links!$D$2:$D$501,0))="","",INDEX(links!$B$2:$B$501,MATCH($C186,links!$D$2:$D$501,0))),""))</f>
        <v/>
      </c>
      <c r="I186" s="25">
        <f>IF($C186="","",IFERROR(IF(INDEX(links!$C$2:$C$501,MATCH($C186,links!$D$2:$D$501,0))="","",INDEX(links!$C$2:$C$501,MATCH($C186,links!$D$2:$D$501,0))),""))</f>
        <v/>
      </c>
      <c r="J186" s="25">
        <f>IF($C186="","",IF($G186="","slug not in links; ","")&amp;IF($D186="","reading type missing; ","")&amp;IF(COUNTIFS(scans!$C$2:$C$1601,$C186,scans!$D$2:$D$1601,$D186)&gt;1,"two readings of this type: keep one; ",""))</f>
        <v/>
      </c>
    </row>
    <row r="187">
      <c r="A187" s="9" t="n"/>
      <c r="B187" s="33" t="n"/>
      <c r="G187" s="25">
        <f>IF($C187="","",IFERROR(IF(INDEX(links!$A$2:$A$501,MATCH($C187,links!$D$2:$D$501,0))="","",INDEX(links!$A$2:$A$501,MATCH($C187,links!$D$2:$D$501,0))),""))</f>
        <v/>
      </c>
      <c r="H187" s="25">
        <f>IF($C187="","",IFERROR(IF(INDEX(links!$B$2:$B$501,MATCH($C187,links!$D$2:$D$501,0))="","",INDEX(links!$B$2:$B$501,MATCH($C187,links!$D$2:$D$501,0))),""))</f>
        <v/>
      </c>
      <c r="I187" s="25">
        <f>IF($C187="","",IFERROR(IF(INDEX(links!$C$2:$C$501,MATCH($C187,links!$D$2:$D$501,0))="","",INDEX(links!$C$2:$C$501,MATCH($C187,links!$D$2:$D$501,0))),""))</f>
        <v/>
      </c>
      <c r="J187" s="25">
        <f>IF($C187="","",IF($G187="","slug not in links; ","")&amp;IF($D187="","reading type missing; ","")&amp;IF(COUNTIFS(scans!$C$2:$C$1601,$C187,scans!$D$2:$D$1601,$D187)&gt;1,"two readings of this type: keep one; ",""))</f>
        <v/>
      </c>
    </row>
    <row r="188">
      <c r="A188" s="9" t="n"/>
      <c r="B188" s="33" t="n"/>
      <c r="G188" s="25">
        <f>IF($C188="","",IFERROR(IF(INDEX(links!$A$2:$A$501,MATCH($C188,links!$D$2:$D$501,0))="","",INDEX(links!$A$2:$A$501,MATCH($C188,links!$D$2:$D$501,0))),""))</f>
        <v/>
      </c>
      <c r="H188" s="25">
        <f>IF($C188="","",IFERROR(IF(INDEX(links!$B$2:$B$501,MATCH($C188,links!$D$2:$D$501,0))="","",INDEX(links!$B$2:$B$501,MATCH($C188,links!$D$2:$D$501,0))),""))</f>
        <v/>
      </c>
      <c r="I188" s="25">
        <f>IF($C188="","",IFERROR(IF(INDEX(links!$C$2:$C$501,MATCH($C188,links!$D$2:$D$501,0))="","",INDEX(links!$C$2:$C$501,MATCH($C188,links!$D$2:$D$501,0))),""))</f>
        <v/>
      </c>
      <c r="J188" s="25">
        <f>IF($C188="","",IF($G188="","slug not in links; ","")&amp;IF($D188="","reading type missing; ","")&amp;IF(COUNTIFS(scans!$C$2:$C$1601,$C188,scans!$D$2:$D$1601,$D188)&gt;1,"two readings of this type: keep one; ",""))</f>
        <v/>
      </c>
    </row>
    <row r="189">
      <c r="A189" s="9" t="n"/>
      <c r="B189" s="33" t="n"/>
      <c r="G189" s="25">
        <f>IF($C189="","",IFERROR(IF(INDEX(links!$A$2:$A$501,MATCH($C189,links!$D$2:$D$501,0))="","",INDEX(links!$A$2:$A$501,MATCH($C189,links!$D$2:$D$501,0))),""))</f>
        <v/>
      </c>
      <c r="H189" s="25">
        <f>IF($C189="","",IFERROR(IF(INDEX(links!$B$2:$B$501,MATCH($C189,links!$D$2:$D$501,0))="","",INDEX(links!$B$2:$B$501,MATCH($C189,links!$D$2:$D$501,0))),""))</f>
        <v/>
      </c>
      <c r="I189" s="25">
        <f>IF($C189="","",IFERROR(IF(INDEX(links!$C$2:$C$501,MATCH($C189,links!$D$2:$D$501,0))="","",INDEX(links!$C$2:$C$501,MATCH($C189,links!$D$2:$D$501,0))),""))</f>
        <v/>
      </c>
      <c r="J189" s="25">
        <f>IF($C189="","",IF($G189="","slug not in links; ","")&amp;IF($D189="","reading type missing; ","")&amp;IF(COUNTIFS(scans!$C$2:$C$1601,$C189,scans!$D$2:$D$1601,$D189)&gt;1,"two readings of this type: keep one; ",""))</f>
        <v/>
      </c>
    </row>
    <row r="190">
      <c r="A190" s="9" t="n"/>
      <c r="B190" s="33" t="n"/>
      <c r="G190" s="25">
        <f>IF($C190="","",IFERROR(IF(INDEX(links!$A$2:$A$501,MATCH($C190,links!$D$2:$D$501,0))="","",INDEX(links!$A$2:$A$501,MATCH($C190,links!$D$2:$D$501,0))),""))</f>
        <v/>
      </c>
      <c r="H190" s="25">
        <f>IF($C190="","",IFERROR(IF(INDEX(links!$B$2:$B$501,MATCH($C190,links!$D$2:$D$501,0))="","",INDEX(links!$B$2:$B$501,MATCH($C190,links!$D$2:$D$501,0))),""))</f>
        <v/>
      </c>
      <c r="I190" s="25">
        <f>IF($C190="","",IFERROR(IF(INDEX(links!$C$2:$C$501,MATCH($C190,links!$D$2:$D$501,0))="","",INDEX(links!$C$2:$C$501,MATCH($C190,links!$D$2:$D$501,0))),""))</f>
        <v/>
      </c>
      <c r="J190" s="25">
        <f>IF($C190="","",IF($G190="","slug not in links; ","")&amp;IF($D190="","reading type missing; ","")&amp;IF(COUNTIFS(scans!$C$2:$C$1601,$C190,scans!$D$2:$D$1601,$D190)&gt;1,"two readings of this type: keep one; ",""))</f>
        <v/>
      </c>
    </row>
    <row r="191">
      <c r="A191" s="9" t="n"/>
      <c r="B191" s="33" t="n"/>
      <c r="G191" s="25">
        <f>IF($C191="","",IFERROR(IF(INDEX(links!$A$2:$A$501,MATCH($C191,links!$D$2:$D$501,0))="","",INDEX(links!$A$2:$A$501,MATCH($C191,links!$D$2:$D$501,0))),""))</f>
        <v/>
      </c>
      <c r="H191" s="25">
        <f>IF($C191="","",IFERROR(IF(INDEX(links!$B$2:$B$501,MATCH($C191,links!$D$2:$D$501,0))="","",INDEX(links!$B$2:$B$501,MATCH($C191,links!$D$2:$D$501,0))),""))</f>
        <v/>
      </c>
      <c r="I191" s="25">
        <f>IF($C191="","",IFERROR(IF(INDEX(links!$C$2:$C$501,MATCH($C191,links!$D$2:$D$501,0))="","",INDEX(links!$C$2:$C$501,MATCH($C191,links!$D$2:$D$501,0))),""))</f>
        <v/>
      </c>
      <c r="J191" s="25">
        <f>IF($C191="","",IF($G191="","slug not in links; ","")&amp;IF($D191="","reading type missing; ","")&amp;IF(COUNTIFS(scans!$C$2:$C$1601,$C191,scans!$D$2:$D$1601,$D191)&gt;1,"two readings of this type: keep one; ",""))</f>
        <v/>
      </c>
    </row>
    <row r="192">
      <c r="A192" s="9" t="n"/>
      <c r="B192" s="33" t="n"/>
      <c r="G192" s="25">
        <f>IF($C192="","",IFERROR(IF(INDEX(links!$A$2:$A$501,MATCH($C192,links!$D$2:$D$501,0))="","",INDEX(links!$A$2:$A$501,MATCH($C192,links!$D$2:$D$501,0))),""))</f>
        <v/>
      </c>
      <c r="H192" s="25">
        <f>IF($C192="","",IFERROR(IF(INDEX(links!$B$2:$B$501,MATCH($C192,links!$D$2:$D$501,0))="","",INDEX(links!$B$2:$B$501,MATCH($C192,links!$D$2:$D$501,0))),""))</f>
        <v/>
      </c>
      <c r="I192" s="25">
        <f>IF($C192="","",IFERROR(IF(INDEX(links!$C$2:$C$501,MATCH($C192,links!$D$2:$D$501,0))="","",INDEX(links!$C$2:$C$501,MATCH($C192,links!$D$2:$D$501,0))),""))</f>
        <v/>
      </c>
      <c r="J192" s="25">
        <f>IF($C192="","",IF($G192="","slug not in links; ","")&amp;IF($D192="","reading type missing; ","")&amp;IF(COUNTIFS(scans!$C$2:$C$1601,$C192,scans!$D$2:$D$1601,$D192)&gt;1,"two readings of this type: keep one; ",""))</f>
        <v/>
      </c>
    </row>
    <row r="193">
      <c r="A193" s="9" t="n"/>
      <c r="B193" s="33" t="n"/>
      <c r="G193" s="25">
        <f>IF($C193="","",IFERROR(IF(INDEX(links!$A$2:$A$501,MATCH($C193,links!$D$2:$D$501,0))="","",INDEX(links!$A$2:$A$501,MATCH($C193,links!$D$2:$D$501,0))),""))</f>
        <v/>
      </c>
      <c r="H193" s="25">
        <f>IF($C193="","",IFERROR(IF(INDEX(links!$B$2:$B$501,MATCH($C193,links!$D$2:$D$501,0))="","",INDEX(links!$B$2:$B$501,MATCH($C193,links!$D$2:$D$501,0))),""))</f>
        <v/>
      </c>
      <c r="I193" s="25">
        <f>IF($C193="","",IFERROR(IF(INDEX(links!$C$2:$C$501,MATCH($C193,links!$D$2:$D$501,0))="","",INDEX(links!$C$2:$C$501,MATCH($C193,links!$D$2:$D$501,0))),""))</f>
        <v/>
      </c>
      <c r="J193" s="25">
        <f>IF($C193="","",IF($G193="","slug not in links; ","")&amp;IF($D193="","reading type missing; ","")&amp;IF(COUNTIFS(scans!$C$2:$C$1601,$C193,scans!$D$2:$D$1601,$D193)&gt;1,"two readings of this type: keep one; ",""))</f>
        <v/>
      </c>
    </row>
    <row r="194">
      <c r="A194" s="9" t="n"/>
      <c r="B194" s="33" t="n"/>
      <c r="G194" s="25">
        <f>IF($C194="","",IFERROR(IF(INDEX(links!$A$2:$A$501,MATCH($C194,links!$D$2:$D$501,0))="","",INDEX(links!$A$2:$A$501,MATCH($C194,links!$D$2:$D$501,0))),""))</f>
        <v/>
      </c>
      <c r="H194" s="25">
        <f>IF($C194="","",IFERROR(IF(INDEX(links!$B$2:$B$501,MATCH($C194,links!$D$2:$D$501,0))="","",INDEX(links!$B$2:$B$501,MATCH($C194,links!$D$2:$D$501,0))),""))</f>
        <v/>
      </c>
      <c r="I194" s="25">
        <f>IF($C194="","",IFERROR(IF(INDEX(links!$C$2:$C$501,MATCH($C194,links!$D$2:$D$501,0))="","",INDEX(links!$C$2:$C$501,MATCH($C194,links!$D$2:$D$501,0))),""))</f>
        <v/>
      </c>
      <c r="J194" s="25">
        <f>IF($C194="","",IF($G194="","slug not in links; ","")&amp;IF($D194="","reading type missing; ","")&amp;IF(COUNTIFS(scans!$C$2:$C$1601,$C194,scans!$D$2:$D$1601,$D194)&gt;1,"two readings of this type: keep one; ",""))</f>
        <v/>
      </c>
    </row>
    <row r="195">
      <c r="A195" s="9" t="n"/>
      <c r="B195" s="33" t="n"/>
      <c r="G195" s="25">
        <f>IF($C195="","",IFERROR(IF(INDEX(links!$A$2:$A$501,MATCH($C195,links!$D$2:$D$501,0))="","",INDEX(links!$A$2:$A$501,MATCH($C195,links!$D$2:$D$501,0))),""))</f>
        <v/>
      </c>
      <c r="H195" s="25">
        <f>IF($C195="","",IFERROR(IF(INDEX(links!$B$2:$B$501,MATCH($C195,links!$D$2:$D$501,0))="","",INDEX(links!$B$2:$B$501,MATCH($C195,links!$D$2:$D$501,0))),""))</f>
        <v/>
      </c>
      <c r="I195" s="25">
        <f>IF($C195="","",IFERROR(IF(INDEX(links!$C$2:$C$501,MATCH($C195,links!$D$2:$D$501,0))="","",INDEX(links!$C$2:$C$501,MATCH($C195,links!$D$2:$D$501,0))),""))</f>
        <v/>
      </c>
      <c r="J195" s="25">
        <f>IF($C195="","",IF($G195="","slug not in links; ","")&amp;IF($D195="","reading type missing; ","")&amp;IF(COUNTIFS(scans!$C$2:$C$1601,$C195,scans!$D$2:$D$1601,$D195)&gt;1,"two readings of this type: keep one; ",""))</f>
        <v/>
      </c>
    </row>
    <row r="196">
      <c r="A196" s="9" t="n"/>
      <c r="B196" s="33" t="n"/>
      <c r="G196" s="25">
        <f>IF($C196="","",IFERROR(IF(INDEX(links!$A$2:$A$501,MATCH($C196,links!$D$2:$D$501,0))="","",INDEX(links!$A$2:$A$501,MATCH($C196,links!$D$2:$D$501,0))),""))</f>
        <v/>
      </c>
      <c r="H196" s="25">
        <f>IF($C196="","",IFERROR(IF(INDEX(links!$B$2:$B$501,MATCH($C196,links!$D$2:$D$501,0))="","",INDEX(links!$B$2:$B$501,MATCH($C196,links!$D$2:$D$501,0))),""))</f>
        <v/>
      </c>
      <c r="I196" s="25">
        <f>IF($C196="","",IFERROR(IF(INDEX(links!$C$2:$C$501,MATCH($C196,links!$D$2:$D$501,0))="","",INDEX(links!$C$2:$C$501,MATCH($C196,links!$D$2:$D$501,0))),""))</f>
        <v/>
      </c>
      <c r="J196" s="25">
        <f>IF($C196="","",IF($G196="","slug not in links; ","")&amp;IF($D196="","reading type missing; ","")&amp;IF(COUNTIFS(scans!$C$2:$C$1601,$C196,scans!$D$2:$D$1601,$D196)&gt;1,"two readings of this type: keep one; ",""))</f>
        <v/>
      </c>
    </row>
    <row r="197">
      <c r="A197" s="9" t="n"/>
      <c r="B197" s="33" t="n"/>
      <c r="G197" s="25">
        <f>IF($C197="","",IFERROR(IF(INDEX(links!$A$2:$A$501,MATCH($C197,links!$D$2:$D$501,0))="","",INDEX(links!$A$2:$A$501,MATCH($C197,links!$D$2:$D$501,0))),""))</f>
        <v/>
      </c>
      <c r="H197" s="25">
        <f>IF($C197="","",IFERROR(IF(INDEX(links!$B$2:$B$501,MATCH($C197,links!$D$2:$D$501,0))="","",INDEX(links!$B$2:$B$501,MATCH($C197,links!$D$2:$D$501,0))),""))</f>
        <v/>
      </c>
      <c r="I197" s="25">
        <f>IF($C197="","",IFERROR(IF(INDEX(links!$C$2:$C$501,MATCH($C197,links!$D$2:$D$501,0))="","",INDEX(links!$C$2:$C$501,MATCH($C197,links!$D$2:$D$501,0))),""))</f>
        <v/>
      </c>
      <c r="J197" s="25">
        <f>IF($C197="","",IF($G197="","slug not in links; ","")&amp;IF($D197="","reading type missing; ","")&amp;IF(COUNTIFS(scans!$C$2:$C$1601,$C197,scans!$D$2:$D$1601,$D197)&gt;1,"two readings of this type: keep one; ",""))</f>
        <v/>
      </c>
    </row>
    <row r="198">
      <c r="A198" s="9" t="n"/>
      <c r="B198" s="33" t="n"/>
      <c r="G198" s="25">
        <f>IF($C198="","",IFERROR(IF(INDEX(links!$A$2:$A$501,MATCH($C198,links!$D$2:$D$501,0))="","",INDEX(links!$A$2:$A$501,MATCH($C198,links!$D$2:$D$501,0))),""))</f>
        <v/>
      </c>
      <c r="H198" s="25">
        <f>IF($C198="","",IFERROR(IF(INDEX(links!$B$2:$B$501,MATCH($C198,links!$D$2:$D$501,0))="","",INDEX(links!$B$2:$B$501,MATCH($C198,links!$D$2:$D$501,0))),""))</f>
        <v/>
      </c>
      <c r="I198" s="25">
        <f>IF($C198="","",IFERROR(IF(INDEX(links!$C$2:$C$501,MATCH($C198,links!$D$2:$D$501,0))="","",INDEX(links!$C$2:$C$501,MATCH($C198,links!$D$2:$D$501,0))),""))</f>
        <v/>
      </c>
      <c r="J198" s="25">
        <f>IF($C198="","",IF($G198="","slug not in links; ","")&amp;IF($D198="","reading type missing; ","")&amp;IF(COUNTIFS(scans!$C$2:$C$1601,$C198,scans!$D$2:$D$1601,$D198)&gt;1,"two readings of this type: keep one; ",""))</f>
        <v/>
      </c>
    </row>
    <row r="199">
      <c r="A199" s="9" t="n"/>
      <c r="B199" s="33" t="n"/>
      <c r="G199" s="25">
        <f>IF($C199="","",IFERROR(IF(INDEX(links!$A$2:$A$501,MATCH($C199,links!$D$2:$D$501,0))="","",INDEX(links!$A$2:$A$501,MATCH($C199,links!$D$2:$D$501,0))),""))</f>
        <v/>
      </c>
      <c r="H199" s="25">
        <f>IF($C199="","",IFERROR(IF(INDEX(links!$B$2:$B$501,MATCH($C199,links!$D$2:$D$501,0))="","",INDEX(links!$B$2:$B$501,MATCH($C199,links!$D$2:$D$501,0))),""))</f>
        <v/>
      </c>
      <c r="I199" s="25">
        <f>IF($C199="","",IFERROR(IF(INDEX(links!$C$2:$C$501,MATCH($C199,links!$D$2:$D$501,0))="","",INDEX(links!$C$2:$C$501,MATCH($C199,links!$D$2:$D$501,0))),""))</f>
        <v/>
      </c>
      <c r="J199" s="25">
        <f>IF($C199="","",IF($G199="","slug not in links; ","")&amp;IF($D199="","reading type missing; ","")&amp;IF(COUNTIFS(scans!$C$2:$C$1601,$C199,scans!$D$2:$D$1601,$D199)&gt;1,"two readings of this type: keep one; ",""))</f>
        <v/>
      </c>
    </row>
    <row r="200">
      <c r="A200" s="9" t="n"/>
      <c r="B200" s="33" t="n"/>
      <c r="G200" s="25">
        <f>IF($C200="","",IFERROR(IF(INDEX(links!$A$2:$A$501,MATCH($C200,links!$D$2:$D$501,0))="","",INDEX(links!$A$2:$A$501,MATCH($C200,links!$D$2:$D$501,0))),""))</f>
        <v/>
      </c>
      <c r="H200" s="25">
        <f>IF($C200="","",IFERROR(IF(INDEX(links!$B$2:$B$501,MATCH($C200,links!$D$2:$D$501,0))="","",INDEX(links!$B$2:$B$501,MATCH($C200,links!$D$2:$D$501,0))),""))</f>
        <v/>
      </c>
      <c r="I200" s="25">
        <f>IF($C200="","",IFERROR(IF(INDEX(links!$C$2:$C$501,MATCH($C200,links!$D$2:$D$501,0))="","",INDEX(links!$C$2:$C$501,MATCH($C200,links!$D$2:$D$501,0))),""))</f>
        <v/>
      </c>
      <c r="J200" s="25">
        <f>IF($C200="","",IF($G200="","slug not in links; ","")&amp;IF($D200="","reading type missing; ","")&amp;IF(COUNTIFS(scans!$C$2:$C$1601,$C200,scans!$D$2:$D$1601,$D200)&gt;1,"two readings of this type: keep one; ",""))</f>
        <v/>
      </c>
    </row>
    <row r="201">
      <c r="A201" s="9" t="n"/>
      <c r="B201" s="33" t="n"/>
      <c r="G201" s="25">
        <f>IF($C201="","",IFERROR(IF(INDEX(links!$A$2:$A$501,MATCH($C201,links!$D$2:$D$501,0))="","",INDEX(links!$A$2:$A$501,MATCH($C201,links!$D$2:$D$501,0))),""))</f>
        <v/>
      </c>
      <c r="H201" s="25">
        <f>IF($C201="","",IFERROR(IF(INDEX(links!$B$2:$B$501,MATCH($C201,links!$D$2:$D$501,0))="","",INDEX(links!$B$2:$B$501,MATCH($C201,links!$D$2:$D$501,0))),""))</f>
        <v/>
      </c>
      <c r="I201" s="25">
        <f>IF($C201="","",IFERROR(IF(INDEX(links!$C$2:$C$501,MATCH($C201,links!$D$2:$D$501,0))="","",INDEX(links!$C$2:$C$501,MATCH($C201,links!$D$2:$D$501,0))),""))</f>
        <v/>
      </c>
      <c r="J201" s="25">
        <f>IF($C201="","",IF($G201="","slug not in links; ","")&amp;IF($D201="","reading type missing; ","")&amp;IF(COUNTIFS(scans!$C$2:$C$1601,$C201,scans!$D$2:$D$1601,$D201)&gt;1,"two readings of this type: keep one; ",""))</f>
        <v/>
      </c>
    </row>
    <row r="202">
      <c r="A202" s="9" t="n"/>
      <c r="B202" s="33" t="n"/>
      <c r="G202" s="25">
        <f>IF($C202="","",IFERROR(IF(INDEX(links!$A$2:$A$501,MATCH($C202,links!$D$2:$D$501,0))="","",INDEX(links!$A$2:$A$501,MATCH($C202,links!$D$2:$D$501,0))),""))</f>
        <v/>
      </c>
      <c r="H202" s="25">
        <f>IF($C202="","",IFERROR(IF(INDEX(links!$B$2:$B$501,MATCH($C202,links!$D$2:$D$501,0))="","",INDEX(links!$B$2:$B$501,MATCH($C202,links!$D$2:$D$501,0))),""))</f>
        <v/>
      </c>
      <c r="I202" s="25">
        <f>IF($C202="","",IFERROR(IF(INDEX(links!$C$2:$C$501,MATCH($C202,links!$D$2:$D$501,0))="","",INDEX(links!$C$2:$C$501,MATCH($C202,links!$D$2:$D$501,0))),""))</f>
        <v/>
      </c>
      <c r="J202" s="25">
        <f>IF($C202="","",IF($G202="","slug not in links; ","")&amp;IF($D202="","reading type missing; ","")&amp;IF(COUNTIFS(scans!$C$2:$C$1601,$C202,scans!$D$2:$D$1601,$D202)&gt;1,"two readings of this type: keep one; ",""))</f>
        <v/>
      </c>
    </row>
    <row r="203">
      <c r="A203" s="9" t="n"/>
      <c r="B203" s="33" t="n"/>
      <c r="G203" s="25">
        <f>IF($C203="","",IFERROR(IF(INDEX(links!$A$2:$A$501,MATCH($C203,links!$D$2:$D$501,0))="","",INDEX(links!$A$2:$A$501,MATCH($C203,links!$D$2:$D$501,0))),""))</f>
        <v/>
      </c>
      <c r="H203" s="25">
        <f>IF($C203="","",IFERROR(IF(INDEX(links!$B$2:$B$501,MATCH($C203,links!$D$2:$D$501,0))="","",INDEX(links!$B$2:$B$501,MATCH($C203,links!$D$2:$D$501,0))),""))</f>
        <v/>
      </c>
      <c r="I203" s="25">
        <f>IF($C203="","",IFERROR(IF(INDEX(links!$C$2:$C$501,MATCH($C203,links!$D$2:$D$501,0))="","",INDEX(links!$C$2:$C$501,MATCH($C203,links!$D$2:$D$501,0))),""))</f>
        <v/>
      </c>
      <c r="J203" s="25">
        <f>IF($C203="","",IF($G203="","slug not in links; ","")&amp;IF($D203="","reading type missing; ","")&amp;IF(COUNTIFS(scans!$C$2:$C$1601,$C203,scans!$D$2:$D$1601,$D203)&gt;1,"two readings of this type: keep one; ",""))</f>
        <v/>
      </c>
    </row>
    <row r="204">
      <c r="A204" s="9" t="n"/>
      <c r="B204" s="33" t="n"/>
      <c r="G204" s="25">
        <f>IF($C204="","",IFERROR(IF(INDEX(links!$A$2:$A$501,MATCH($C204,links!$D$2:$D$501,0))="","",INDEX(links!$A$2:$A$501,MATCH($C204,links!$D$2:$D$501,0))),""))</f>
        <v/>
      </c>
      <c r="H204" s="25">
        <f>IF($C204="","",IFERROR(IF(INDEX(links!$B$2:$B$501,MATCH($C204,links!$D$2:$D$501,0))="","",INDEX(links!$B$2:$B$501,MATCH($C204,links!$D$2:$D$501,0))),""))</f>
        <v/>
      </c>
      <c r="I204" s="25">
        <f>IF($C204="","",IFERROR(IF(INDEX(links!$C$2:$C$501,MATCH($C204,links!$D$2:$D$501,0))="","",INDEX(links!$C$2:$C$501,MATCH($C204,links!$D$2:$D$501,0))),""))</f>
        <v/>
      </c>
      <c r="J204" s="25">
        <f>IF($C204="","",IF($G204="","slug not in links; ","")&amp;IF($D204="","reading type missing; ","")&amp;IF(COUNTIFS(scans!$C$2:$C$1601,$C204,scans!$D$2:$D$1601,$D204)&gt;1,"two readings of this type: keep one; ",""))</f>
        <v/>
      </c>
    </row>
    <row r="205">
      <c r="A205" s="9" t="n"/>
      <c r="B205" s="33" t="n"/>
      <c r="G205" s="25">
        <f>IF($C205="","",IFERROR(IF(INDEX(links!$A$2:$A$501,MATCH($C205,links!$D$2:$D$501,0))="","",INDEX(links!$A$2:$A$501,MATCH($C205,links!$D$2:$D$501,0))),""))</f>
        <v/>
      </c>
      <c r="H205" s="25">
        <f>IF($C205="","",IFERROR(IF(INDEX(links!$B$2:$B$501,MATCH($C205,links!$D$2:$D$501,0))="","",INDEX(links!$B$2:$B$501,MATCH($C205,links!$D$2:$D$501,0))),""))</f>
        <v/>
      </c>
      <c r="I205" s="25">
        <f>IF($C205="","",IFERROR(IF(INDEX(links!$C$2:$C$501,MATCH($C205,links!$D$2:$D$501,0))="","",INDEX(links!$C$2:$C$501,MATCH($C205,links!$D$2:$D$501,0))),""))</f>
        <v/>
      </c>
      <c r="J205" s="25">
        <f>IF($C205="","",IF($G205="","slug not in links; ","")&amp;IF($D205="","reading type missing; ","")&amp;IF(COUNTIFS(scans!$C$2:$C$1601,$C205,scans!$D$2:$D$1601,$D205)&gt;1,"two readings of this type: keep one; ",""))</f>
        <v/>
      </c>
    </row>
    <row r="206">
      <c r="A206" s="9" t="n"/>
      <c r="B206" s="33" t="n"/>
      <c r="G206" s="25">
        <f>IF($C206="","",IFERROR(IF(INDEX(links!$A$2:$A$501,MATCH($C206,links!$D$2:$D$501,0))="","",INDEX(links!$A$2:$A$501,MATCH($C206,links!$D$2:$D$501,0))),""))</f>
        <v/>
      </c>
      <c r="H206" s="25">
        <f>IF($C206="","",IFERROR(IF(INDEX(links!$B$2:$B$501,MATCH($C206,links!$D$2:$D$501,0))="","",INDEX(links!$B$2:$B$501,MATCH($C206,links!$D$2:$D$501,0))),""))</f>
        <v/>
      </c>
      <c r="I206" s="25">
        <f>IF($C206="","",IFERROR(IF(INDEX(links!$C$2:$C$501,MATCH($C206,links!$D$2:$D$501,0))="","",INDEX(links!$C$2:$C$501,MATCH($C206,links!$D$2:$D$501,0))),""))</f>
        <v/>
      </c>
      <c r="J206" s="25">
        <f>IF($C206="","",IF($G206="","slug not in links; ","")&amp;IF($D206="","reading type missing; ","")&amp;IF(COUNTIFS(scans!$C$2:$C$1601,$C206,scans!$D$2:$D$1601,$D206)&gt;1,"two readings of this type: keep one; ",""))</f>
        <v/>
      </c>
    </row>
    <row r="207">
      <c r="A207" s="9" t="n"/>
      <c r="B207" s="33" t="n"/>
      <c r="G207" s="25">
        <f>IF($C207="","",IFERROR(IF(INDEX(links!$A$2:$A$501,MATCH($C207,links!$D$2:$D$501,0))="","",INDEX(links!$A$2:$A$501,MATCH($C207,links!$D$2:$D$501,0))),""))</f>
        <v/>
      </c>
      <c r="H207" s="25">
        <f>IF($C207="","",IFERROR(IF(INDEX(links!$B$2:$B$501,MATCH($C207,links!$D$2:$D$501,0))="","",INDEX(links!$B$2:$B$501,MATCH($C207,links!$D$2:$D$501,0))),""))</f>
        <v/>
      </c>
      <c r="I207" s="25">
        <f>IF($C207="","",IFERROR(IF(INDEX(links!$C$2:$C$501,MATCH($C207,links!$D$2:$D$501,0))="","",INDEX(links!$C$2:$C$501,MATCH($C207,links!$D$2:$D$501,0))),""))</f>
        <v/>
      </c>
      <c r="J207" s="25">
        <f>IF($C207="","",IF($G207="","slug not in links; ","")&amp;IF($D207="","reading type missing; ","")&amp;IF(COUNTIFS(scans!$C$2:$C$1601,$C207,scans!$D$2:$D$1601,$D207)&gt;1,"two readings of this type: keep one; ",""))</f>
        <v/>
      </c>
    </row>
    <row r="208">
      <c r="A208" s="9" t="n"/>
      <c r="B208" s="33" t="n"/>
      <c r="G208" s="25">
        <f>IF($C208="","",IFERROR(IF(INDEX(links!$A$2:$A$501,MATCH($C208,links!$D$2:$D$501,0))="","",INDEX(links!$A$2:$A$501,MATCH($C208,links!$D$2:$D$501,0))),""))</f>
        <v/>
      </c>
      <c r="H208" s="25">
        <f>IF($C208="","",IFERROR(IF(INDEX(links!$B$2:$B$501,MATCH($C208,links!$D$2:$D$501,0))="","",INDEX(links!$B$2:$B$501,MATCH($C208,links!$D$2:$D$501,0))),""))</f>
        <v/>
      </c>
      <c r="I208" s="25">
        <f>IF($C208="","",IFERROR(IF(INDEX(links!$C$2:$C$501,MATCH($C208,links!$D$2:$D$501,0))="","",INDEX(links!$C$2:$C$501,MATCH($C208,links!$D$2:$D$501,0))),""))</f>
        <v/>
      </c>
      <c r="J208" s="25">
        <f>IF($C208="","",IF($G208="","slug not in links; ","")&amp;IF($D208="","reading type missing; ","")&amp;IF(COUNTIFS(scans!$C$2:$C$1601,$C208,scans!$D$2:$D$1601,$D208)&gt;1,"two readings of this type: keep one; ",""))</f>
        <v/>
      </c>
    </row>
    <row r="209">
      <c r="A209" s="9" t="n"/>
      <c r="B209" s="33" t="n"/>
      <c r="G209" s="25">
        <f>IF($C209="","",IFERROR(IF(INDEX(links!$A$2:$A$501,MATCH($C209,links!$D$2:$D$501,0))="","",INDEX(links!$A$2:$A$501,MATCH($C209,links!$D$2:$D$501,0))),""))</f>
        <v/>
      </c>
      <c r="H209" s="25">
        <f>IF($C209="","",IFERROR(IF(INDEX(links!$B$2:$B$501,MATCH($C209,links!$D$2:$D$501,0))="","",INDEX(links!$B$2:$B$501,MATCH($C209,links!$D$2:$D$501,0))),""))</f>
        <v/>
      </c>
      <c r="I209" s="25">
        <f>IF($C209="","",IFERROR(IF(INDEX(links!$C$2:$C$501,MATCH($C209,links!$D$2:$D$501,0))="","",INDEX(links!$C$2:$C$501,MATCH($C209,links!$D$2:$D$501,0))),""))</f>
        <v/>
      </c>
      <c r="J209" s="25">
        <f>IF($C209="","",IF($G209="","slug not in links; ","")&amp;IF($D209="","reading type missing; ","")&amp;IF(COUNTIFS(scans!$C$2:$C$1601,$C209,scans!$D$2:$D$1601,$D209)&gt;1,"two readings of this type: keep one; ",""))</f>
        <v/>
      </c>
    </row>
    <row r="210">
      <c r="A210" s="9" t="n"/>
      <c r="B210" s="33" t="n"/>
      <c r="G210" s="25">
        <f>IF($C210="","",IFERROR(IF(INDEX(links!$A$2:$A$501,MATCH($C210,links!$D$2:$D$501,0))="","",INDEX(links!$A$2:$A$501,MATCH($C210,links!$D$2:$D$501,0))),""))</f>
        <v/>
      </c>
      <c r="H210" s="25">
        <f>IF($C210="","",IFERROR(IF(INDEX(links!$B$2:$B$501,MATCH($C210,links!$D$2:$D$501,0))="","",INDEX(links!$B$2:$B$501,MATCH($C210,links!$D$2:$D$501,0))),""))</f>
        <v/>
      </c>
      <c r="I210" s="25">
        <f>IF($C210="","",IFERROR(IF(INDEX(links!$C$2:$C$501,MATCH($C210,links!$D$2:$D$501,0))="","",INDEX(links!$C$2:$C$501,MATCH($C210,links!$D$2:$D$501,0))),""))</f>
        <v/>
      </c>
      <c r="J210" s="25">
        <f>IF($C210="","",IF($G210="","slug not in links; ","")&amp;IF($D210="","reading type missing; ","")&amp;IF(COUNTIFS(scans!$C$2:$C$1601,$C210,scans!$D$2:$D$1601,$D210)&gt;1,"two readings of this type: keep one; ",""))</f>
        <v/>
      </c>
    </row>
    <row r="211">
      <c r="A211" s="9" t="n"/>
      <c r="B211" s="33" t="n"/>
      <c r="G211" s="25">
        <f>IF($C211="","",IFERROR(IF(INDEX(links!$A$2:$A$501,MATCH($C211,links!$D$2:$D$501,0))="","",INDEX(links!$A$2:$A$501,MATCH($C211,links!$D$2:$D$501,0))),""))</f>
        <v/>
      </c>
      <c r="H211" s="25">
        <f>IF($C211="","",IFERROR(IF(INDEX(links!$B$2:$B$501,MATCH($C211,links!$D$2:$D$501,0))="","",INDEX(links!$B$2:$B$501,MATCH($C211,links!$D$2:$D$501,0))),""))</f>
        <v/>
      </c>
      <c r="I211" s="25">
        <f>IF($C211="","",IFERROR(IF(INDEX(links!$C$2:$C$501,MATCH($C211,links!$D$2:$D$501,0))="","",INDEX(links!$C$2:$C$501,MATCH($C211,links!$D$2:$D$501,0))),""))</f>
        <v/>
      </c>
      <c r="J211" s="25">
        <f>IF($C211="","",IF($G211="","slug not in links; ","")&amp;IF($D211="","reading type missing; ","")&amp;IF(COUNTIFS(scans!$C$2:$C$1601,$C211,scans!$D$2:$D$1601,$D211)&gt;1,"two readings of this type: keep one; ",""))</f>
        <v/>
      </c>
    </row>
    <row r="212">
      <c r="A212" s="9" t="n"/>
      <c r="B212" s="33" t="n"/>
      <c r="G212" s="25">
        <f>IF($C212="","",IFERROR(IF(INDEX(links!$A$2:$A$501,MATCH($C212,links!$D$2:$D$501,0))="","",INDEX(links!$A$2:$A$501,MATCH($C212,links!$D$2:$D$501,0))),""))</f>
        <v/>
      </c>
      <c r="H212" s="25">
        <f>IF($C212="","",IFERROR(IF(INDEX(links!$B$2:$B$501,MATCH($C212,links!$D$2:$D$501,0))="","",INDEX(links!$B$2:$B$501,MATCH($C212,links!$D$2:$D$501,0))),""))</f>
        <v/>
      </c>
      <c r="I212" s="25">
        <f>IF($C212="","",IFERROR(IF(INDEX(links!$C$2:$C$501,MATCH($C212,links!$D$2:$D$501,0))="","",INDEX(links!$C$2:$C$501,MATCH($C212,links!$D$2:$D$501,0))),""))</f>
        <v/>
      </c>
      <c r="J212" s="25">
        <f>IF($C212="","",IF($G212="","slug not in links; ","")&amp;IF($D212="","reading type missing; ","")&amp;IF(COUNTIFS(scans!$C$2:$C$1601,$C212,scans!$D$2:$D$1601,$D212)&gt;1,"two readings of this type: keep one; ",""))</f>
        <v/>
      </c>
    </row>
    <row r="213">
      <c r="A213" s="9" t="n"/>
      <c r="B213" s="33" t="n"/>
      <c r="G213" s="25">
        <f>IF($C213="","",IFERROR(IF(INDEX(links!$A$2:$A$501,MATCH($C213,links!$D$2:$D$501,0))="","",INDEX(links!$A$2:$A$501,MATCH($C213,links!$D$2:$D$501,0))),""))</f>
        <v/>
      </c>
      <c r="H213" s="25">
        <f>IF($C213="","",IFERROR(IF(INDEX(links!$B$2:$B$501,MATCH($C213,links!$D$2:$D$501,0))="","",INDEX(links!$B$2:$B$501,MATCH($C213,links!$D$2:$D$501,0))),""))</f>
        <v/>
      </c>
      <c r="I213" s="25">
        <f>IF($C213="","",IFERROR(IF(INDEX(links!$C$2:$C$501,MATCH($C213,links!$D$2:$D$501,0))="","",INDEX(links!$C$2:$C$501,MATCH($C213,links!$D$2:$D$501,0))),""))</f>
        <v/>
      </c>
      <c r="J213" s="25">
        <f>IF($C213="","",IF($G213="","slug not in links; ","")&amp;IF($D213="","reading type missing; ","")&amp;IF(COUNTIFS(scans!$C$2:$C$1601,$C213,scans!$D$2:$D$1601,$D213)&gt;1,"two readings of this type: keep one; ",""))</f>
        <v/>
      </c>
    </row>
    <row r="214">
      <c r="A214" s="9" t="n"/>
      <c r="B214" s="33" t="n"/>
      <c r="G214" s="25">
        <f>IF($C214="","",IFERROR(IF(INDEX(links!$A$2:$A$501,MATCH($C214,links!$D$2:$D$501,0))="","",INDEX(links!$A$2:$A$501,MATCH($C214,links!$D$2:$D$501,0))),""))</f>
        <v/>
      </c>
      <c r="H214" s="25">
        <f>IF($C214="","",IFERROR(IF(INDEX(links!$B$2:$B$501,MATCH($C214,links!$D$2:$D$501,0))="","",INDEX(links!$B$2:$B$501,MATCH($C214,links!$D$2:$D$501,0))),""))</f>
        <v/>
      </c>
      <c r="I214" s="25">
        <f>IF($C214="","",IFERROR(IF(INDEX(links!$C$2:$C$501,MATCH($C214,links!$D$2:$D$501,0))="","",INDEX(links!$C$2:$C$501,MATCH($C214,links!$D$2:$D$501,0))),""))</f>
        <v/>
      </c>
      <c r="J214" s="25">
        <f>IF($C214="","",IF($G214="","slug not in links; ","")&amp;IF($D214="","reading type missing; ","")&amp;IF(COUNTIFS(scans!$C$2:$C$1601,$C214,scans!$D$2:$D$1601,$D214)&gt;1,"two readings of this type: keep one; ",""))</f>
        <v/>
      </c>
    </row>
    <row r="215">
      <c r="A215" s="9" t="n"/>
      <c r="B215" s="33" t="n"/>
      <c r="G215" s="25">
        <f>IF($C215="","",IFERROR(IF(INDEX(links!$A$2:$A$501,MATCH($C215,links!$D$2:$D$501,0))="","",INDEX(links!$A$2:$A$501,MATCH($C215,links!$D$2:$D$501,0))),""))</f>
        <v/>
      </c>
      <c r="H215" s="25">
        <f>IF($C215="","",IFERROR(IF(INDEX(links!$B$2:$B$501,MATCH($C215,links!$D$2:$D$501,0))="","",INDEX(links!$B$2:$B$501,MATCH($C215,links!$D$2:$D$501,0))),""))</f>
        <v/>
      </c>
      <c r="I215" s="25">
        <f>IF($C215="","",IFERROR(IF(INDEX(links!$C$2:$C$501,MATCH($C215,links!$D$2:$D$501,0))="","",INDEX(links!$C$2:$C$501,MATCH($C215,links!$D$2:$D$501,0))),""))</f>
        <v/>
      </c>
      <c r="J215" s="25">
        <f>IF($C215="","",IF($G215="","slug not in links; ","")&amp;IF($D215="","reading type missing; ","")&amp;IF(COUNTIFS(scans!$C$2:$C$1601,$C215,scans!$D$2:$D$1601,$D215)&gt;1,"two readings of this type: keep one; ",""))</f>
        <v/>
      </c>
    </row>
    <row r="216">
      <c r="A216" s="9" t="n"/>
      <c r="B216" s="33" t="n"/>
      <c r="G216" s="25">
        <f>IF($C216="","",IFERROR(IF(INDEX(links!$A$2:$A$501,MATCH($C216,links!$D$2:$D$501,0))="","",INDEX(links!$A$2:$A$501,MATCH($C216,links!$D$2:$D$501,0))),""))</f>
        <v/>
      </c>
      <c r="H216" s="25">
        <f>IF($C216="","",IFERROR(IF(INDEX(links!$B$2:$B$501,MATCH($C216,links!$D$2:$D$501,0))="","",INDEX(links!$B$2:$B$501,MATCH($C216,links!$D$2:$D$501,0))),""))</f>
        <v/>
      </c>
      <c r="I216" s="25">
        <f>IF($C216="","",IFERROR(IF(INDEX(links!$C$2:$C$501,MATCH($C216,links!$D$2:$D$501,0))="","",INDEX(links!$C$2:$C$501,MATCH($C216,links!$D$2:$D$501,0))),""))</f>
        <v/>
      </c>
      <c r="J216" s="25">
        <f>IF($C216="","",IF($G216="","slug not in links; ","")&amp;IF($D216="","reading type missing; ","")&amp;IF(COUNTIFS(scans!$C$2:$C$1601,$C216,scans!$D$2:$D$1601,$D216)&gt;1,"two readings of this type: keep one; ",""))</f>
        <v/>
      </c>
    </row>
    <row r="217">
      <c r="A217" s="9" t="n"/>
      <c r="B217" s="33" t="n"/>
      <c r="G217" s="25">
        <f>IF($C217="","",IFERROR(IF(INDEX(links!$A$2:$A$501,MATCH($C217,links!$D$2:$D$501,0))="","",INDEX(links!$A$2:$A$501,MATCH($C217,links!$D$2:$D$501,0))),""))</f>
        <v/>
      </c>
      <c r="H217" s="25">
        <f>IF($C217="","",IFERROR(IF(INDEX(links!$B$2:$B$501,MATCH($C217,links!$D$2:$D$501,0))="","",INDEX(links!$B$2:$B$501,MATCH($C217,links!$D$2:$D$501,0))),""))</f>
        <v/>
      </c>
      <c r="I217" s="25">
        <f>IF($C217="","",IFERROR(IF(INDEX(links!$C$2:$C$501,MATCH($C217,links!$D$2:$D$501,0))="","",INDEX(links!$C$2:$C$501,MATCH($C217,links!$D$2:$D$501,0))),""))</f>
        <v/>
      </c>
      <c r="J217" s="25">
        <f>IF($C217="","",IF($G217="","slug not in links; ","")&amp;IF($D217="","reading type missing; ","")&amp;IF(COUNTIFS(scans!$C$2:$C$1601,$C217,scans!$D$2:$D$1601,$D217)&gt;1,"two readings of this type: keep one; ",""))</f>
        <v/>
      </c>
    </row>
    <row r="218">
      <c r="A218" s="9" t="n"/>
      <c r="B218" s="33" t="n"/>
      <c r="G218" s="25">
        <f>IF($C218="","",IFERROR(IF(INDEX(links!$A$2:$A$501,MATCH($C218,links!$D$2:$D$501,0))="","",INDEX(links!$A$2:$A$501,MATCH($C218,links!$D$2:$D$501,0))),""))</f>
        <v/>
      </c>
      <c r="H218" s="25">
        <f>IF($C218="","",IFERROR(IF(INDEX(links!$B$2:$B$501,MATCH($C218,links!$D$2:$D$501,0))="","",INDEX(links!$B$2:$B$501,MATCH($C218,links!$D$2:$D$501,0))),""))</f>
        <v/>
      </c>
      <c r="I218" s="25">
        <f>IF($C218="","",IFERROR(IF(INDEX(links!$C$2:$C$501,MATCH($C218,links!$D$2:$D$501,0))="","",INDEX(links!$C$2:$C$501,MATCH($C218,links!$D$2:$D$501,0))),""))</f>
        <v/>
      </c>
      <c r="J218" s="25">
        <f>IF($C218="","",IF($G218="","slug not in links; ","")&amp;IF($D218="","reading type missing; ","")&amp;IF(COUNTIFS(scans!$C$2:$C$1601,$C218,scans!$D$2:$D$1601,$D218)&gt;1,"two readings of this type: keep one; ",""))</f>
        <v/>
      </c>
    </row>
    <row r="219">
      <c r="A219" s="9" t="n"/>
      <c r="B219" s="33" t="n"/>
      <c r="G219" s="25">
        <f>IF($C219="","",IFERROR(IF(INDEX(links!$A$2:$A$501,MATCH($C219,links!$D$2:$D$501,0))="","",INDEX(links!$A$2:$A$501,MATCH($C219,links!$D$2:$D$501,0))),""))</f>
        <v/>
      </c>
      <c r="H219" s="25">
        <f>IF($C219="","",IFERROR(IF(INDEX(links!$B$2:$B$501,MATCH($C219,links!$D$2:$D$501,0))="","",INDEX(links!$B$2:$B$501,MATCH($C219,links!$D$2:$D$501,0))),""))</f>
        <v/>
      </c>
      <c r="I219" s="25">
        <f>IF($C219="","",IFERROR(IF(INDEX(links!$C$2:$C$501,MATCH($C219,links!$D$2:$D$501,0))="","",INDEX(links!$C$2:$C$501,MATCH($C219,links!$D$2:$D$501,0))),""))</f>
        <v/>
      </c>
      <c r="J219" s="25">
        <f>IF($C219="","",IF($G219="","slug not in links; ","")&amp;IF($D219="","reading type missing; ","")&amp;IF(COUNTIFS(scans!$C$2:$C$1601,$C219,scans!$D$2:$D$1601,$D219)&gt;1,"two readings of this type: keep one; ",""))</f>
        <v/>
      </c>
    </row>
    <row r="220">
      <c r="A220" s="9" t="n"/>
      <c r="B220" s="33" t="n"/>
      <c r="G220" s="25">
        <f>IF($C220="","",IFERROR(IF(INDEX(links!$A$2:$A$501,MATCH($C220,links!$D$2:$D$501,0))="","",INDEX(links!$A$2:$A$501,MATCH($C220,links!$D$2:$D$501,0))),""))</f>
        <v/>
      </c>
      <c r="H220" s="25">
        <f>IF($C220="","",IFERROR(IF(INDEX(links!$B$2:$B$501,MATCH($C220,links!$D$2:$D$501,0))="","",INDEX(links!$B$2:$B$501,MATCH($C220,links!$D$2:$D$501,0))),""))</f>
        <v/>
      </c>
      <c r="I220" s="25">
        <f>IF($C220="","",IFERROR(IF(INDEX(links!$C$2:$C$501,MATCH($C220,links!$D$2:$D$501,0))="","",INDEX(links!$C$2:$C$501,MATCH($C220,links!$D$2:$D$501,0))),""))</f>
        <v/>
      </c>
      <c r="J220" s="25">
        <f>IF($C220="","",IF($G220="","slug not in links; ","")&amp;IF($D220="","reading type missing; ","")&amp;IF(COUNTIFS(scans!$C$2:$C$1601,$C220,scans!$D$2:$D$1601,$D220)&gt;1,"two readings of this type: keep one; ",""))</f>
        <v/>
      </c>
    </row>
    <row r="221">
      <c r="A221" s="9" t="n"/>
      <c r="B221" s="33" t="n"/>
      <c r="G221" s="25">
        <f>IF($C221="","",IFERROR(IF(INDEX(links!$A$2:$A$501,MATCH($C221,links!$D$2:$D$501,0))="","",INDEX(links!$A$2:$A$501,MATCH($C221,links!$D$2:$D$501,0))),""))</f>
        <v/>
      </c>
      <c r="H221" s="25">
        <f>IF($C221="","",IFERROR(IF(INDEX(links!$B$2:$B$501,MATCH($C221,links!$D$2:$D$501,0))="","",INDEX(links!$B$2:$B$501,MATCH($C221,links!$D$2:$D$501,0))),""))</f>
        <v/>
      </c>
      <c r="I221" s="25">
        <f>IF($C221="","",IFERROR(IF(INDEX(links!$C$2:$C$501,MATCH($C221,links!$D$2:$D$501,0))="","",INDEX(links!$C$2:$C$501,MATCH($C221,links!$D$2:$D$501,0))),""))</f>
        <v/>
      </c>
      <c r="J221" s="25">
        <f>IF($C221="","",IF($G221="","slug not in links; ","")&amp;IF($D221="","reading type missing; ","")&amp;IF(COUNTIFS(scans!$C$2:$C$1601,$C221,scans!$D$2:$D$1601,$D221)&gt;1,"two readings of this type: keep one; ",""))</f>
        <v/>
      </c>
    </row>
    <row r="222">
      <c r="A222" s="9" t="n"/>
      <c r="B222" s="33" t="n"/>
      <c r="G222" s="25">
        <f>IF($C222="","",IFERROR(IF(INDEX(links!$A$2:$A$501,MATCH($C222,links!$D$2:$D$501,0))="","",INDEX(links!$A$2:$A$501,MATCH($C222,links!$D$2:$D$501,0))),""))</f>
        <v/>
      </c>
      <c r="H222" s="25">
        <f>IF($C222="","",IFERROR(IF(INDEX(links!$B$2:$B$501,MATCH($C222,links!$D$2:$D$501,0))="","",INDEX(links!$B$2:$B$501,MATCH($C222,links!$D$2:$D$501,0))),""))</f>
        <v/>
      </c>
      <c r="I222" s="25">
        <f>IF($C222="","",IFERROR(IF(INDEX(links!$C$2:$C$501,MATCH($C222,links!$D$2:$D$501,0))="","",INDEX(links!$C$2:$C$501,MATCH($C222,links!$D$2:$D$501,0))),""))</f>
        <v/>
      </c>
      <c r="J222" s="25">
        <f>IF($C222="","",IF($G222="","slug not in links; ","")&amp;IF($D222="","reading type missing; ","")&amp;IF(COUNTIFS(scans!$C$2:$C$1601,$C222,scans!$D$2:$D$1601,$D222)&gt;1,"two readings of this type: keep one; ",""))</f>
        <v/>
      </c>
    </row>
    <row r="223">
      <c r="A223" s="9" t="n"/>
      <c r="B223" s="33" t="n"/>
      <c r="G223" s="25">
        <f>IF($C223="","",IFERROR(IF(INDEX(links!$A$2:$A$501,MATCH($C223,links!$D$2:$D$501,0))="","",INDEX(links!$A$2:$A$501,MATCH($C223,links!$D$2:$D$501,0))),""))</f>
        <v/>
      </c>
      <c r="H223" s="25">
        <f>IF($C223="","",IFERROR(IF(INDEX(links!$B$2:$B$501,MATCH($C223,links!$D$2:$D$501,0))="","",INDEX(links!$B$2:$B$501,MATCH($C223,links!$D$2:$D$501,0))),""))</f>
        <v/>
      </c>
      <c r="I223" s="25">
        <f>IF($C223="","",IFERROR(IF(INDEX(links!$C$2:$C$501,MATCH($C223,links!$D$2:$D$501,0))="","",INDEX(links!$C$2:$C$501,MATCH($C223,links!$D$2:$D$501,0))),""))</f>
        <v/>
      </c>
      <c r="J223" s="25">
        <f>IF($C223="","",IF($G223="","slug not in links; ","")&amp;IF($D223="","reading type missing; ","")&amp;IF(COUNTIFS(scans!$C$2:$C$1601,$C223,scans!$D$2:$D$1601,$D223)&gt;1,"two readings of this type: keep one; ",""))</f>
        <v/>
      </c>
    </row>
    <row r="224">
      <c r="A224" s="9" t="n"/>
      <c r="B224" s="33" t="n"/>
      <c r="G224" s="25">
        <f>IF($C224="","",IFERROR(IF(INDEX(links!$A$2:$A$501,MATCH($C224,links!$D$2:$D$501,0))="","",INDEX(links!$A$2:$A$501,MATCH($C224,links!$D$2:$D$501,0))),""))</f>
        <v/>
      </c>
      <c r="H224" s="25">
        <f>IF($C224="","",IFERROR(IF(INDEX(links!$B$2:$B$501,MATCH($C224,links!$D$2:$D$501,0))="","",INDEX(links!$B$2:$B$501,MATCH($C224,links!$D$2:$D$501,0))),""))</f>
        <v/>
      </c>
      <c r="I224" s="25">
        <f>IF($C224="","",IFERROR(IF(INDEX(links!$C$2:$C$501,MATCH($C224,links!$D$2:$D$501,0))="","",INDEX(links!$C$2:$C$501,MATCH($C224,links!$D$2:$D$501,0))),""))</f>
        <v/>
      </c>
      <c r="J224" s="25">
        <f>IF($C224="","",IF($G224="","slug not in links; ","")&amp;IF($D224="","reading type missing; ","")&amp;IF(COUNTIFS(scans!$C$2:$C$1601,$C224,scans!$D$2:$D$1601,$D224)&gt;1,"two readings of this type: keep one; ",""))</f>
        <v/>
      </c>
    </row>
    <row r="225">
      <c r="A225" s="9" t="n"/>
      <c r="B225" s="33" t="n"/>
      <c r="G225" s="25">
        <f>IF($C225="","",IFERROR(IF(INDEX(links!$A$2:$A$501,MATCH($C225,links!$D$2:$D$501,0))="","",INDEX(links!$A$2:$A$501,MATCH($C225,links!$D$2:$D$501,0))),""))</f>
        <v/>
      </c>
      <c r="H225" s="25">
        <f>IF($C225="","",IFERROR(IF(INDEX(links!$B$2:$B$501,MATCH($C225,links!$D$2:$D$501,0))="","",INDEX(links!$B$2:$B$501,MATCH($C225,links!$D$2:$D$501,0))),""))</f>
        <v/>
      </c>
      <c r="I225" s="25">
        <f>IF($C225="","",IFERROR(IF(INDEX(links!$C$2:$C$501,MATCH($C225,links!$D$2:$D$501,0))="","",INDEX(links!$C$2:$C$501,MATCH($C225,links!$D$2:$D$501,0))),""))</f>
        <v/>
      </c>
      <c r="J225" s="25">
        <f>IF($C225="","",IF($G225="","slug not in links; ","")&amp;IF($D225="","reading type missing; ","")&amp;IF(COUNTIFS(scans!$C$2:$C$1601,$C225,scans!$D$2:$D$1601,$D225)&gt;1,"two readings of this type: keep one; ",""))</f>
        <v/>
      </c>
    </row>
    <row r="226">
      <c r="A226" s="9" t="n"/>
      <c r="B226" s="33" t="n"/>
      <c r="G226" s="25">
        <f>IF($C226="","",IFERROR(IF(INDEX(links!$A$2:$A$501,MATCH($C226,links!$D$2:$D$501,0))="","",INDEX(links!$A$2:$A$501,MATCH($C226,links!$D$2:$D$501,0))),""))</f>
        <v/>
      </c>
      <c r="H226" s="25">
        <f>IF($C226="","",IFERROR(IF(INDEX(links!$B$2:$B$501,MATCH($C226,links!$D$2:$D$501,0))="","",INDEX(links!$B$2:$B$501,MATCH($C226,links!$D$2:$D$501,0))),""))</f>
        <v/>
      </c>
      <c r="I226" s="25">
        <f>IF($C226="","",IFERROR(IF(INDEX(links!$C$2:$C$501,MATCH($C226,links!$D$2:$D$501,0))="","",INDEX(links!$C$2:$C$501,MATCH($C226,links!$D$2:$D$501,0))),""))</f>
        <v/>
      </c>
      <c r="J226" s="25">
        <f>IF($C226="","",IF($G226="","slug not in links; ","")&amp;IF($D226="","reading type missing; ","")&amp;IF(COUNTIFS(scans!$C$2:$C$1601,$C226,scans!$D$2:$D$1601,$D226)&gt;1,"two readings of this type: keep one; ",""))</f>
        <v/>
      </c>
    </row>
    <row r="227">
      <c r="A227" s="9" t="n"/>
      <c r="B227" s="33" t="n"/>
      <c r="G227" s="25">
        <f>IF($C227="","",IFERROR(IF(INDEX(links!$A$2:$A$501,MATCH($C227,links!$D$2:$D$501,0))="","",INDEX(links!$A$2:$A$501,MATCH($C227,links!$D$2:$D$501,0))),""))</f>
        <v/>
      </c>
      <c r="H227" s="25">
        <f>IF($C227="","",IFERROR(IF(INDEX(links!$B$2:$B$501,MATCH($C227,links!$D$2:$D$501,0))="","",INDEX(links!$B$2:$B$501,MATCH($C227,links!$D$2:$D$501,0))),""))</f>
        <v/>
      </c>
      <c r="I227" s="25">
        <f>IF($C227="","",IFERROR(IF(INDEX(links!$C$2:$C$501,MATCH($C227,links!$D$2:$D$501,0))="","",INDEX(links!$C$2:$C$501,MATCH($C227,links!$D$2:$D$501,0))),""))</f>
        <v/>
      </c>
      <c r="J227" s="25">
        <f>IF($C227="","",IF($G227="","slug not in links; ","")&amp;IF($D227="","reading type missing; ","")&amp;IF(COUNTIFS(scans!$C$2:$C$1601,$C227,scans!$D$2:$D$1601,$D227)&gt;1,"two readings of this type: keep one; ",""))</f>
        <v/>
      </c>
    </row>
    <row r="228">
      <c r="A228" s="9" t="n"/>
      <c r="B228" s="33" t="n"/>
      <c r="G228" s="25">
        <f>IF($C228="","",IFERROR(IF(INDEX(links!$A$2:$A$501,MATCH($C228,links!$D$2:$D$501,0))="","",INDEX(links!$A$2:$A$501,MATCH($C228,links!$D$2:$D$501,0))),""))</f>
        <v/>
      </c>
      <c r="H228" s="25">
        <f>IF($C228="","",IFERROR(IF(INDEX(links!$B$2:$B$501,MATCH($C228,links!$D$2:$D$501,0))="","",INDEX(links!$B$2:$B$501,MATCH($C228,links!$D$2:$D$501,0))),""))</f>
        <v/>
      </c>
      <c r="I228" s="25">
        <f>IF($C228="","",IFERROR(IF(INDEX(links!$C$2:$C$501,MATCH($C228,links!$D$2:$D$501,0))="","",INDEX(links!$C$2:$C$501,MATCH($C228,links!$D$2:$D$501,0))),""))</f>
        <v/>
      </c>
      <c r="J228" s="25">
        <f>IF($C228="","",IF($G228="","slug not in links; ","")&amp;IF($D228="","reading type missing; ","")&amp;IF(COUNTIFS(scans!$C$2:$C$1601,$C228,scans!$D$2:$D$1601,$D228)&gt;1,"two readings of this type: keep one; ",""))</f>
        <v/>
      </c>
    </row>
    <row r="229">
      <c r="A229" s="9" t="n"/>
      <c r="B229" s="33" t="n"/>
      <c r="G229" s="25">
        <f>IF($C229="","",IFERROR(IF(INDEX(links!$A$2:$A$501,MATCH($C229,links!$D$2:$D$501,0))="","",INDEX(links!$A$2:$A$501,MATCH($C229,links!$D$2:$D$501,0))),""))</f>
        <v/>
      </c>
      <c r="H229" s="25">
        <f>IF($C229="","",IFERROR(IF(INDEX(links!$B$2:$B$501,MATCH($C229,links!$D$2:$D$501,0))="","",INDEX(links!$B$2:$B$501,MATCH($C229,links!$D$2:$D$501,0))),""))</f>
        <v/>
      </c>
      <c r="I229" s="25">
        <f>IF($C229="","",IFERROR(IF(INDEX(links!$C$2:$C$501,MATCH($C229,links!$D$2:$D$501,0))="","",INDEX(links!$C$2:$C$501,MATCH($C229,links!$D$2:$D$501,0))),""))</f>
        <v/>
      </c>
      <c r="J229" s="25">
        <f>IF($C229="","",IF($G229="","slug not in links; ","")&amp;IF($D229="","reading type missing; ","")&amp;IF(COUNTIFS(scans!$C$2:$C$1601,$C229,scans!$D$2:$D$1601,$D229)&gt;1,"two readings of this type: keep one; ",""))</f>
        <v/>
      </c>
    </row>
    <row r="230">
      <c r="A230" s="9" t="n"/>
      <c r="B230" s="33" t="n"/>
      <c r="G230" s="25">
        <f>IF($C230="","",IFERROR(IF(INDEX(links!$A$2:$A$501,MATCH($C230,links!$D$2:$D$501,0))="","",INDEX(links!$A$2:$A$501,MATCH($C230,links!$D$2:$D$501,0))),""))</f>
        <v/>
      </c>
      <c r="H230" s="25">
        <f>IF($C230="","",IFERROR(IF(INDEX(links!$B$2:$B$501,MATCH($C230,links!$D$2:$D$501,0))="","",INDEX(links!$B$2:$B$501,MATCH($C230,links!$D$2:$D$501,0))),""))</f>
        <v/>
      </c>
      <c r="I230" s="25">
        <f>IF($C230="","",IFERROR(IF(INDEX(links!$C$2:$C$501,MATCH($C230,links!$D$2:$D$501,0))="","",INDEX(links!$C$2:$C$501,MATCH($C230,links!$D$2:$D$501,0))),""))</f>
        <v/>
      </c>
      <c r="J230" s="25">
        <f>IF($C230="","",IF($G230="","slug not in links; ","")&amp;IF($D230="","reading type missing; ","")&amp;IF(COUNTIFS(scans!$C$2:$C$1601,$C230,scans!$D$2:$D$1601,$D230)&gt;1,"two readings of this type: keep one; ",""))</f>
        <v/>
      </c>
    </row>
    <row r="231">
      <c r="A231" s="9" t="n"/>
      <c r="B231" s="33" t="n"/>
      <c r="G231" s="25">
        <f>IF($C231="","",IFERROR(IF(INDEX(links!$A$2:$A$501,MATCH($C231,links!$D$2:$D$501,0))="","",INDEX(links!$A$2:$A$501,MATCH($C231,links!$D$2:$D$501,0))),""))</f>
        <v/>
      </c>
      <c r="H231" s="25">
        <f>IF($C231="","",IFERROR(IF(INDEX(links!$B$2:$B$501,MATCH($C231,links!$D$2:$D$501,0))="","",INDEX(links!$B$2:$B$501,MATCH($C231,links!$D$2:$D$501,0))),""))</f>
        <v/>
      </c>
      <c r="I231" s="25">
        <f>IF($C231="","",IFERROR(IF(INDEX(links!$C$2:$C$501,MATCH($C231,links!$D$2:$D$501,0))="","",INDEX(links!$C$2:$C$501,MATCH($C231,links!$D$2:$D$501,0))),""))</f>
        <v/>
      </c>
      <c r="J231" s="25">
        <f>IF($C231="","",IF($G231="","slug not in links; ","")&amp;IF($D231="","reading type missing; ","")&amp;IF(COUNTIFS(scans!$C$2:$C$1601,$C231,scans!$D$2:$D$1601,$D231)&gt;1,"two readings of this type: keep one; ",""))</f>
        <v/>
      </c>
    </row>
    <row r="232">
      <c r="A232" s="9" t="n"/>
      <c r="B232" s="33" t="n"/>
      <c r="G232" s="25">
        <f>IF($C232="","",IFERROR(IF(INDEX(links!$A$2:$A$501,MATCH($C232,links!$D$2:$D$501,0))="","",INDEX(links!$A$2:$A$501,MATCH($C232,links!$D$2:$D$501,0))),""))</f>
        <v/>
      </c>
      <c r="H232" s="25">
        <f>IF($C232="","",IFERROR(IF(INDEX(links!$B$2:$B$501,MATCH($C232,links!$D$2:$D$501,0))="","",INDEX(links!$B$2:$B$501,MATCH($C232,links!$D$2:$D$501,0))),""))</f>
        <v/>
      </c>
      <c r="I232" s="25">
        <f>IF($C232="","",IFERROR(IF(INDEX(links!$C$2:$C$501,MATCH($C232,links!$D$2:$D$501,0))="","",INDEX(links!$C$2:$C$501,MATCH($C232,links!$D$2:$D$501,0))),""))</f>
        <v/>
      </c>
      <c r="J232" s="25">
        <f>IF($C232="","",IF($G232="","slug not in links; ","")&amp;IF($D232="","reading type missing; ","")&amp;IF(COUNTIFS(scans!$C$2:$C$1601,$C232,scans!$D$2:$D$1601,$D232)&gt;1,"two readings of this type: keep one; ",""))</f>
        <v/>
      </c>
    </row>
    <row r="233">
      <c r="A233" s="9" t="n"/>
      <c r="B233" s="33" t="n"/>
      <c r="G233" s="25">
        <f>IF($C233="","",IFERROR(IF(INDEX(links!$A$2:$A$501,MATCH($C233,links!$D$2:$D$501,0))="","",INDEX(links!$A$2:$A$501,MATCH($C233,links!$D$2:$D$501,0))),""))</f>
        <v/>
      </c>
      <c r="H233" s="25">
        <f>IF($C233="","",IFERROR(IF(INDEX(links!$B$2:$B$501,MATCH($C233,links!$D$2:$D$501,0))="","",INDEX(links!$B$2:$B$501,MATCH($C233,links!$D$2:$D$501,0))),""))</f>
        <v/>
      </c>
      <c r="I233" s="25">
        <f>IF($C233="","",IFERROR(IF(INDEX(links!$C$2:$C$501,MATCH($C233,links!$D$2:$D$501,0))="","",INDEX(links!$C$2:$C$501,MATCH($C233,links!$D$2:$D$501,0))),""))</f>
        <v/>
      </c>
      <c r="J233" s="25">
        <f>IF($C233="","",IF($G233="","slug not in links; ","")&amp;IF($D233="","reading type missing; ","")&amp;IF(COUNTIFS(scans!$C$2:$C$1601,$C233,scans!$D$2:$D$1601,$D233)&gt;1,"two readings of this type: keep one; ",""))</f>
        <v/>
      </c>
    </row>
    <row r="234">
      <c r="A234" s="9" t="n"/>
      <c r="B234" s="33" t="n"/>
      <c r="G234" s="25">
        <f>IF($C234="","",IFERROR(IF(INDEX(links!$A$2:$A$501,MATCH($C234,links!$D$2:$D$501,0))="","",INDEX(links!$A$2:$A$501,MATCH($C234,links!$D$2:$D$501,0))),""))</f>
        <v/>
      </c>
      <c r="H234" s="25">
        <f>IF($C234="","",IFERROR(IF(INDEX(links!$B$2:$B$501,MATCH($C234,links!$D$2:$D$501,0))="","",INDEX(links!$B$2:$B$501,MATCH($C234,links!$D$2:$D$501,0))),""))</f>
        <v/>
      </c>
      <c r="I234" s="25">
        <f>IF($C234="","",IFERROR(IF(INDEX(links!$C$2:$C$501,MATCH($C234,links!$D$2:$D$501,0))="","",INDEX(links!$C$2:$C$501,MATCH($C234,links!$D$2:$D$501,0))),""))</f>
        <v/>
      </c>
      <c r="J234" s="25">
        <f>IF($C234="","",IF($G234="","slug not in links; ","")&amp;IF($D234="","reading type missing; ","")&amp;IF(COUNTIFS(scans!$C$2:$C$1601,$C234,scans!$D$2:$D$1601,$D234)&gt;1,"two readings of this type: keep one; ",""))</f>
        <v/>
      </c>
    </row>
    <row r="235">
      <c r="A235" s="9" t="n"/>
      <c r="B235" s="33" t="n"/>
      <c r="G235" s="25">
        <f>IF($C235="","",IFERROR(IF(INDEX(links!$A$2:$A$501,MATCH($C235,links!$D$2:$D$501,0))="","",INDEX(links!$A$2:$A$501,MATCH($C235,links!$D$2:$D$501,0))),""))</f>
        <v/>
      </c>
      <c r="H235" s="25">
        <f>IF($C235="","",IFERROR(IF(INDEX(links!$B$2:$B$501,MATCH($C235,links!$D$2:$D$501,0))="","",INDEX(links!$B$2:$B$501,MATCH($C235,links!$D$2:$D$501,0))),""))</f>
        <v/>
      </c>
      <c r="I235" s="25">
        <f>IF($C235="","",IFERROR(IF(INDEX(links!$C$2:$C$501,MATCH($C235,links!$D$2:$D$501,0))="","",INDEX(links!$C$2:$C$501,MATCH($C235,links!$D$2:$D$501,0))),""))</f>
        <v/>
      </c>
      <c r="J235" s="25">
        <f>IF($C235="","",IF($G235="","slug not in links; ","")&amp;IF($D235="","reading type missing; ","")&amp;IF(COUNTIFS(scans!$C$2:$C$1601,$C235,scans!$D$2:$D$1601,$D235)&gt;1,"two readings of this type: keep one; ",""))</f>
        <v/>
      </c>
    </row>
    <row r="236">
      <c r="A236" s="9" t="n"/>
      <c r="B236" s="33" t="n"/>
      <c r="G236" s="25">
        <f>IF($C236="","",IFERROR(IF(INDEX(links!$A$2:$A$501,MATCH($C236,links!$D$2:$D$501,0))="","",INDEX(links!$A$2:$A$501,MATCH($C236,links!$D$2:$D$501,0))),""))</f>
        <v/>
      </c>
      <c r="H236" s="25">
        <f>IF($C236="","",IFERROR(IF(INDEX(links!$B$2:$B$501,MATCH($C236,links!$D$2:$D$501,0))="","",INDEX(links!$B$2:$B$501,MATCH($C236,links!$D$2:$D$501,0))),""))</f>
        <v/>
      </c>
      <c r="I236" s="25">
        <f>IF($C236="","",IFERROR(IF(INDEX(links!$C$2:$C$501,MATCH($C236,links!$D$2:$D$501,0))="","",INDEX(links!$C$2:$C$501,MATCH($C236,links!$D$2:$D$501,0))),""))</f>
        <v/>
      </c>
      <c r="J236" s="25">
        <f>IF($C236="","",IF($G236="","slug not in links; ","")&amp;IF($D236="","reading type missing; ","")&amp;IF(COUNTIFS(scans!$C$2:$C$1601,$C236,scans!$D$2:$D$1601,$D236)&gt;1,"two readings of this type: keep one; ",""))</f>
        <v/>
      </c>
    </row>
    <row r="237">
      <c r="A237" s="9" t="n"/>
      <c r="B237" s="33" t="n"/>
      <c r="G237" s="25">
        <f>IF($C237="","",IFERROR(IF(INDEX(links!$A$2:$A$501,MATCH($C237,links!$D$2:$D$501,0))="","",INDEX(links!$A$2:$A$501,MATCH($C237,links!$D$2:$D$501,0))),""))</f>
        <v/>
      </c>
      <c r="H237" s="25">
        <f>IF($C237="","",IFERROR(IF(INDEX(links!$B$2:$B$501,MATCH($C237,links!$D$2:$D$501,0))="","",INDEX(links!$B$2:$B$501,MATCH($C237,links!$D$2:$D$501,0))),""))</f>
        <v/>
      </c>
      <c r="I237" s="25">
        <f>IF($C237="","",IFERROR(IF(INDEX(links!$C$2:$C$501,MATCH($C237,links!$D$2:$D$501,0))="","",INDEX(links!$C$2:$C$501,MATCH($C237,links!$D$2:$D$501,0))),""))</f>
        <v/>
      </c>
      <c r="J237" s="25">
        <f>IF($C237="","",IF($G237="","slug not in links; ","")&amp;IF($D237="","reading type missing; ","")&amp;IF(COUNTIFS(scans!$C$2:$C$1601,$C237,scans!$D$2:$D$1601,$D237)&gt;1,"two readings of this type: keep one; ",""))</f>
        <v/>
      </c>
    </row>
    <row r="238">
      <c r="A238" s="9" t="n"/>
      <c r="B238" s="33" t="n"/>
      <c r="G238" s="25">
        <f>IF($C238="","",IFERROR(IF(INDEX(links!$A$2:$A$501,MATCH($C238,links!$D$2:$D$501,0))="","",INDEX(links!$A$2:$A$501,MATCH($C238,links!$D$2:$D$501,0))),""))</f>
        <v/>
      </c>
      <c r="H238" s="25">
        <f>IF($C238="","",IFERROR(IF(INDEX(links!$B$2:$B$501,MATCH($C238,links!$D$2:$D$501,0))="","",INDEX(links!$B$2:$B$501,MATCH($C238,links!$D$2:$D$501,0))),""))</f>
        <v/>
      </c>
      <c r="I238" s="25">
        <f>IF($C238="","",IFERROR(IF(INDEX(links!$C$2:$C$501,MATCH($C238,links!$D$2:$D$501,0))="","",INDEX(links!$C$2:$C$501,MATCH($C238,links!$D$2:$D$501,0))),""))</f>
        <v/>
      </c>
      <c r="J238" s="25">
        <f>IF($C238="","",IF($G238="","slug not in links; ","")&amp;IF($D238="","reading type missing; ","")&amp;IF(COUNTIFS(scans!$C$2:$C$1601,$C238,scans!$D$2:$D$1601,$D238)&gt;1,"two readings of this type: keep one; ",""))</f>
        <v/>
      </c>
    </row>
    <row r="239">
      <c r="A239" s="9" t="n"/>
      <c r="B239" s="33" t="n"/>
      <c r="G239" s="25">
        <f>IF($C239="","",IFERROR(IF(INDEX(links!$A$2:$A$501,MATCH($C239,links!$D$2:$D$501,0))="","",INDEX(links!$A$2:$A$501,MATCH($C239,links!$D$2:$D$501,0))),""))</f>
        <v/>
      </c>
      <c r="H239" s="25">
        <f>IF($C239="","",IFERROR(IF(INDEX(links!$B$2:$B$501,MATCH($C239,links!$D$2:$D$501,0))="","",INDEX(links!$B$2:$B$501,MATCH($C239,links!$D$2:$D$501,0))),""))</f>
        <v/>
      </c>
      <c r="I239" s="25">
        <f>IF($C239="","",IFERROR(IF(INDEX(links!$C$2:$C$501,MATCH($C239,links!$D$2:$D$501,0))="","",INDEX(links!$C$2:$C$501,MATCH($C239,links!$D$2:$D$501,0))),""))</f>
        <v/>
      </c>
      <c r="J239" s="25">
        <f>IF($C239="","",IF($G239="","slug not in links; ","")&amp;IF($D239="","reading type missing; ","")&amp;IF(COUNTIFS(scans!$C$2:$C$1601,$C239,scans!$D$2:$D$1601,$D239)&gt;1,"two readings of this type: keep one; ",""))</f>
        <v/>
      </c>
    </row>
    <row r="240">
      <c r="A240" s="9" t="n"/>
      <c r="B240" s="33" t="n"/>
      <c r="G240" s="25">
        <f>IF($C240="","",IFERROR(IF(INDEX(links!$A$2:$A$501,MATCH($C240,links!$D$2:$D$501,0))="","",INDEX(links!$A$2:$A$501,MATCH($C240,links!$D$2:$D$501,0))),""))</f>
        <v/>
      </c>
      <c r="H240" s="25">
        <f>IF($C240="","",IFERROR(IF(INDEX(links!$B$2:$B$501,MATCH($C240,links!$D$2:$D$501,0))="","",INDEX(links!$B$2:$B$501,MATCH($C240,links!$D$2:$D$501,0))),""))</f>
        <v/>
      </c>
      <c r="I240" s="25">
        <f>IF($C240="","",IFERROR(IF(INDEX(links!$C$2:$C$501,MATCH($C240,links!$D$2:$D$501,0))="","",INDEX(links!$C$2:$C$501,MATCH($C240,links!$D$2:$D$501,0))),""))</f>
        <v/>
      </c>
      <c r="J240" s="25">
        <f>IF($C240="","",IF($G240="","slug not in links; ","")&amp;IF($D240="","reading type missing; ","")&amp;IF(COUNTIFS(scans!$C$2:$C$1601,$C240,scans!$D$2:$D$1601,$D240)&gt;1,"two readings of this type: keep one; ",""))</f>
        <v/>
      </c>
    </row>
    <row r="241">
      <c r="A241" s="9" t="n"/>
      <c r="B241" s="33" t="n"/>
      <c r="G241" s="25">
        <f>IF($C241="","",IFERROR(IF(INDEX(links!$A$2:$A$501,MATCH($C241,links!$D$2:$D$501,0))="","",INDEX(links!$A$2:$A$501,MATCH($C241,links!$D$2:$D$501,0))),""))</f>
        <v/>
      </c>
      <c r="H241" s="25">
        <f>IF($C241="","",IFERROR(IF(INDEX(links!$B$2:$B$501,MATCH($C241,links!$D$2:$D$501,0))="","",INDEX(links!$B$2:$B$501,MATCH($C241,links!$D$2:$D$501,0))),""))</f>
        <v/>
      </c>
      <c r="I241" s="25">
        <f>IF($C241="","",IFERROR(IF(INDEX(links!$C$2:$C$501,MATCH($C241,links!$D$2:$D$501,0))="","",INDEX(links!$C$2:$C$501,MATCH($C241,links!$D$2:$D$501,0))),""))</f>
        <v/>
      </c>
      <c r="J241" s="25">
        <f>IF($C241="","",IF($G241="","slug not in links; ","")&amp;IF($D241="","reading type missing; ","")&amp;IF(COUNTIFS(scans!$C$2:$C$1601,$C241,scans!$D$2:$D$1601,$D241)&gt;1,"two readings of this type: keep one; ",""))</f>
        <v/>
      </c>
    </row>
    <row r="242">
      <c r="A242" s="9" t="n"/>
      <c r="B242" s="33" t="n"/>
      <c r="G242" s="25">
        <f>IF($C242="","",IFERROR(IF(INDEX(links!$A$2:$A$501,MATCH($C242,links!$D$2:$D$501,0))="","",INDEX(links!$A$2:$A$501,MATCH($C242,links!$D$2:$D$501,0))),""))</f>
        <v/>
      </c>
      <c r="H242" s="25">
        <f>IF($C242="","",IFERROR(IF(INDEX(links!$B$2:$B$501,MATCH($C242,links!$D$2:$D$501,0))="","",INDEX(links!$B$2:$B$501,MATCH($C242,links!$D$2:$D$501,0))),""))</f>
        <v/>
      </c>
      <c r="I242" s="25">
        <f>IF($C242="","",IFERROR(IF(INDEX(links!$C$2:$C$501,MATCH($C242,links!$D$2:$D$501,0))="","",INDEX(links!$C$2:$C$501,MATCH($C242,links!$D$2:$D$501,0))),""))</f>
        <v/>
      </c>
      <c r="J242" s="25">
        <f>IF($C242="","",IF($G242="","slug not in links; ","")&amp;IF($D242="","reading type missing; ","")&amp;IF(COUNTIFS(scans!$C$2:$C$1601,$C242,scans!$D$2:$D$1601,$D242)&gt;1,"two readings of this type: keep one; ",""))</f>
        <v/>
      </c>
    </row>
    <row r="243">
      <c r="A243" s="9" t="n"/>
      <c r="B243" s="33" t="n"/>
      <c r="G243" s="25">
        <f>IF($C243="","",IFERROR(IF(INDEX(links!$A$2:$A$501,MATCH($C243,links!$D$2:$D$501,0))="","",INDEX(links!$A$2:$A$501,MATCH($C243,links!$D$2:$D$501,0))),""))</f>
        <v/>
      </c>
      <c r="H243" s="25">
        <f>IF($C243="","",IFERROR(IF(INDEX(links!$B$2:$B$501,MATCH($C243,links!$D$2:$D$501,0))="","",INDEX(links!$B$2:$B$501,MATCH($C243,links!$D$2:$D$501,0))),""))</f>
        <v/>
      </c>
      <c r="I243" s="25">
        <f>IF($C243="","",IFERROR(IF(INDEX(links!$C$2:$C$501,MATCH($C243,links!$D$2:$D$501,0))="","",INDEX(links!$C$2:$C$501,MATCH($C243,links!$D$2:$D$501,0))),""))</f>
        <v/>
      </c>
      <c r="J243" s="25">
        <f>IF($C243="","",IF($G243="","slug not in links; ","")&amp;IF($D243="","reading type missing; ","")&amp;IF(COUNTIFS(scans!$C$2:$C$1601,$C243,scans!$D$2:$D$1601,$D243)&gt;1,"two readings of this type: keep one; ",""))</f>
        <v/>
      </c>
    </row>
    <row r="244">
      <c r="A244" s="9" t="n"/>
      <c r="B244" s="33" t="n"/>
      <c r="G244" s="25">
        <f>IF($C244="","",IFERROR(IF(INDEX(links!$A$2:$A$501,MATCH($C244,links!$D$2:$D$501,0))="","",INDEX(links!$A$2:$A$501,MATCH($C244,links!$D$2:$D$501,0))),""))</f>
        <v/>
      </c>
      <c r="H244" s="25">
        <f>IF($C244="","",IFERROR(IF(INDEX(links!$B$2:$B$501,MATCH($C244,links!$D$2:$D$501,0))="","",INDEX(links!$B$2:$B$501,MATCH($C244,links!$D$2:$D$501,0))),""))</f>
        <v/>
      </c>
      <c r="I244" s="25">
        <f>IF($C244="","",IFERROR(IF(INDEX(links!$C$2:$C$501,MATCH($C244,links!$D$2:$D$501,0))="","",INDEX(links!$C$2:$C$501,MATCH($C244,links!$D$2:$D$501,0))),""))</f>
        <v/>
      </c>
      <c r="J244" s="25">
        <f>IF($C244="","",IF($G244="","slug not in links; ","")&amp;IF($D244="","reading type missing; ","")&amp;IF(COUNTIFS(scans!$C$2:$C$1601,$C244,scans!$D$2:$D$1601,$D244)&gt;1,"two readings of this type: keep one; ",""))</f>
        <v/>
      </c>
    </row>
    <row r="245">
      <c r="A245" s="9" t="n"/>
      <c r="B245" s="33" t="n"/>
      <c r="G245" s="25">
        <f>IF($C245="","",IFERROR(IF(INDEX(links!$A$2:$A$501,MATCH($C245,links!$D$2:$D$501,0))="","",INDEX(links!$A$2:$A$501,MATCH($C245,links!$D$2:$D$501,0))),""))</f>
        <v/>
      </c>
      <c r="H245" s="25">
        <f>IF($C245="","",IFERROR(IF(INDEX(links!$B$2:$B$501,MATCH($C245,links!$D$2:$D$501,0))="","",INDEX(links!$B$2:$B$501,MATCH($C245,links!$D$2:$D$501,0))),""))</f>
        <v/>
      </c>
      <c r="I245" s="25">
        <f>IF($C245="","",IFERROR(IF(INDEX(links!$C$2:$C$501,MATCH($C245,links!$D$2:$D$501,0))="","",INDEX(links!$C$2:$C$501,MATCH($C245,links!$D$2:$D$501,0))),""))</f>
        <v/>
      </c>
      <c r="J245" s="25">
        <f>IF($C245="","",IF($G245="","slug not in links; ","")&amp;IF($D245="","reading type missing; ","")&amp;IF(COUNTIFS(scans!$C$2:$C$1601,$C245,scans!$D$2:$D$1601,$D245)&gt;1,"two readings of this type: keep one; ",""))</f>
        <v/>
      </c>
    </row>
    <row r="246">
      <c r="A246" s="9" t="n"/>
      <c r="B246" s="33" t="n"/>
      <c r="G246" s="25">
        <f>IF($C246="","",IFERROR(IF(INDEX(links!$A$2:$A$501,MATCH($C246,links!$D$2:$D$501,0))="","",INDEX(links!$A$2:$A$501,MATCH($C246,links!$D$2:$D$501,0))),""))</f>
        <v/>
      </c>
      <c r="H246" s="25">
        <f>IF($C246="","",IFERROR(IF(INDEX(links!$B$2:$B$501,MATCH($C246,links!$D$2:$D$501,0))="","",INDEX(links!$B$2:$B$501,MATCH($C246,links!$D$2:$D$501,0))),""))</f>
        <v/>
      </c>
      <c r="I246" s="25">
        <f>IF($C246="","",IFERROR(IF(INDEX(links!$C$2:$C$501,MATCH($C246,links!$D$2:$D$501,0))="","",INDEX(links!$C$2:$C$501,MATCH($C246,links!$D$2:$D$501,0))),""))</f>
        <v/>
      </c>
      <c r="J246" s="25">
        <f>IF($C246="","",IF($G246="","slug not in links; ","")&amp;IF($D246="","reading type missing; ","")&amp;IF(COUNTIFS(scans!$C$2:$C$1601,$C246,scans!$D$2:$D$1601,$D246)&gt;1,"two readings of this type: keep one; ",""))</f>
        <v/>
      </c>
    </row>
    <row r="247">
      <c r="A247" s="9" t="n"/>
      <c r="B247" s="33" t="n"/>
      <c r="G247" s="25">
        <f>IF($C247="","",IFERROR(IF(INDEX(links!$A$2:$A$501,MATCH($C247,links!$D$2:$D$501,0))="","",INDEX(links!$A$2:$A$501,MATCH($C247,links!$D$2:$D$501,0))),""))</f>
        <v/>
      </c>
      <c r="H247" s="25">
        <f>IF($C247="","",IFERROR(IF(INDEX(links!$B$2:$B$501,MATCH($C247,links!$D$2:$D$501,0))="","",INDEX(links!$B$2:$B$501,MATCH($C247,links!$D$2:$D$501,0))),""))</f>
        <v/>
      </c>
      <c r="I247" s="25">
        <f>IF($C247="","",IFERROR(IF(INDEX(links!$C$2:$C$501,MATCH($C247,links!$D$2:$D$501,0))="","",INDEX(links!$C$2:$C$501,MATCH($C247,links!$D$2:$D$501,0))),""))</f>
        <v/>
      </c>
      <c r="J247" s="25">
        <f>IF($C247="","",IF($G247="","slug not in links; ","")&amp;IF($D247="","reading type missing; ","")&amp;IF(COUNTIFS(scans!$C$2:$C$1601,$C247,scans!$D$2:$D$1601,$D247)&gt;1,"two readings of this type: keep one; ",""))</f>
        <v/>
      </c>
    </row>
    <row r="248">
      <c r="A248" s="9" t="n"/>
      <c r="B248" s="33" t="n"/>
      <c r="G248" s="25">
        <f>IF($C248="","",IFERROR(IF(INDEX(links!$A$2:$A$501,MATCH($C248,links!$D$2:$D$501,0))="","",INDEX(links!$A$2:$A$501,MATCH($C248,links!$D$2:$D$501,0))),""))</f>
        <v/>
      </c>
      <c r="H248" s="25">
        <f>IF($C248="","",IFERROR(IF(INDEX(links!$B$2:$B$501,MATCH($C248,links!$D$2:$D$501,0))="","",INDEX(links!$B$2:$B$501,MATCH($C248,links!$D$2:$D$501,0))),""))</f>
        <v/>
      </c>
      <c r="I248" s="25">
        <f>IF($C248="","",IFERROR(IF(INDEX(links!$C$2:$C$501,MATCH($C248,links!$D$2:$D$501,0))="","",INDEX(links!$C$2:$C$501,MATCH($C248,links!$D$2:$D$501,0))),""))</f>
        <v/>
      </c>
      <c r="J248" s="25">
        <f>IF($C248="","",IF($G248="","slug not in links; ","")&amp;IF($D248="","reading type missing; ","")&amp;IF(COUNTIFS(scans!$C$2:$C$1601,$C248,scans!$D$2:$D$1601,$D248)&gt;1,"two readings of this type: keep one; ",""))</f>
        <v/>
      </c>
    </row>
    <row r="249">
      <c r="A249" s="9" t="n"/>
      <c r="B249" s="33" t="n"/>
      <c r="G249" s="25">
        <f>IF($C249="","",IFERROR(IF(INDEX(links!$A$2:$A$501,MATCH($C249,links!$D$2:$D$501,0))="","",INDEX(links!$A$2:$A$501,MATCH($C249,links!$D$2:$D$501,0))),""))</f>
        <v/>
      </c>
      <c r="H249" s="25">
        <f>IF($C249="","",IFERROR(IF(INDEX(links!$B$2:$B$501,MATCH($C249,links!$D$2:$D$501,0))="","",INDEX(links!$B$2:$B$501,MATCH($C249,links!$D$2:$D$501,0))),""))</f>
        <v/>
      </c>
      <c r="I249" s="25">
        <f>IF($C249="","",IFERROR(IF(INDEX(links!$C$2:$C$501,MATCH($C249,links!$D$2:$D$501,0))="","",INDEX(links!$C$2:$C$501,MATCH($C249,links!$D$2:$D$501,0))),""))</f>
        <v/>
      </c>
      <c r="J249" s="25">
        <f>IF($C249="","",IF($G249="","slug not in links; ","")&amp;IF($D249="","reading type missing; ","")&amp;IF(COUNTIFS(scans!$C$2:$C$1601,$C249,scans!$D$2:$D$1601,$D249)&gt;1,"two readings of this type: keep one; ",""))</f>
        <v/>
      </c>
    </row>
    <row r="250">
      <c r="A250" s="9" t="n"/>
      <c r="B250" s="33" t="n"/>
      <c r="G250" s="25">
        <f>IF($C250="","",IFERROR(IF(INDEX(links!$A$2:$A$501,MATCH($C250,links!$D$2:$D$501,0))="","",INDEX(links!$A$2:$A$501,MATCH($C250,links!$D$2:$D$501,0))),""))</f>
        <v/>
      </c>
      <c r="H250" s="25">
        <f>IF($C250="","",IFERROR(IF(INDEX(links!$B$2:$B$501,MATCH($C250,links!$D$2:$D$501,0))="","",INDEX(links!$B$2:$B$501,MATCH($C250,links!$D$2:$D$501,0))),""))</f>
        <v/>
      </c>
      <c r="I250" s="25">
        <f>IF($C250="","",IFERROR(IF(INDEX(links!$C$2:$C$501,MATCH($C250,links!$D$2:$D$501,0))="","",INDEX(links!$C$2:$C$501,MATCH($C250,links!$D$2:$D$501,0))),""))</f>
        <v/>
      </c>
      <c r="J250" s="25">
        <f>IF($C250="","",IF($G250="","slug not in links; ","")&amp;IF($D250="","reading type missing; ","")&amp;IF(COUNTIFS(scans!$C$2:$C$1601,$C250,scans!$D$2:$D$1601,$D250)&gt;1,"two readings of this type: keep one; ",""))</f>
        <v/>
      </c>
    </row>
    <row r="251">
      <c r="A251" s="9" t="n"/>
      <c r="B251" s="33" t="n"/>
      <c r="G251" s="25">
        <f>IF($C251="","",IFERROR(IF(INDEX(links!$A$2:$A$501,MATCH($C251,links!$D$2:$D$501,0))="","",INDEX(links!$A$2:$A$501,MATCH($C251,links!$D$2:$D$501,0))),""))</f>
        <v/>
      </c>
      <c r="H251" s="25">
        <f>IF($C251="","",IFERROR(IF(INDEX(links!$B$2:$B$501,MATCH($C251,links!$D$2:$D$501,0))="","",INDEX(links!$B$2:$B$501,MATCH($C251,links!$D$2:$D$501,0))),""))</f>
        <v/>
      </c>
      <c r="I251" s="25">
        <f>IF($C251="","",IFERROR(IF(INDEX(links!$C$2:$C$501,MATCH($C251,links!$D$2:$D$501,0))="","",INDEX(links!$C$2:$C$501,MATCH($C251,links!$D$2:$D$501,0))),""))</f>
        <v/>
      </c>
      <c r="J251" s="25">
        <f>IF($C251="","",IF($G251="","slug not in links; ","")&amp;IF($D251="","reading type missing; ","")&amp;IF(COUNTIFS(scans!$C$2:$C$1601,$C251,scans!$D$2:$D$1601,$D251)&gt;1,"two readings of this type: keep one; ",""))</f>
        <v/>
      </c>
    </row>
    <row r="252">
      <c r="A252" s="9" t="n"/>
      <c r="B252" s="33" t="n"/>
      <c r="G252" s="25">
        <f>IF($C252="","",IFERROR(IF(INDEX(links!$A$2:$A$501,MATCH($C252,links!$D$2:$D$501,0))="","",INDEX(links!$A$2:$A$501,MATCH($C252,links!$D$2:$D$501,0))),""))</f>
        <v/>
      </c>
      <c r="H252" s="25">
        <f>IF($C252="","",IFERROR(IF(INDEX(links!$B$2:$B$501,MATCH($C252,links!$D$2:$D$501,0))="","",INDEX(links!$B$2:$B$501,MATCH($C252,links!$D$2:$D$501,0))),""))</f>
        <v/>
      </c>
      <c r="I252" s="25">
        <f>IF($C252="","",IFERROR(IF(INDEX(links!$C$2:$C$501,MATCH($C252,links!$D$2:$D$501,0))="","",INDEX(links!$C$2:$C$501,MATCH($C252,links!$D$2:$D$501,0))),""))</f>
        <v/>
      </c>
      <c r="J252" s="25">
        <f>IF($C252="","",IF($G252="","slug not in links; ","")&amp;IF($D252="","reading type missing; ","")&amp;IF(COUNTIFS(scans!$C$2:$C$1601,$C252,scans!$D$2:$D$1601,$D252)&gt;1,"two readings of this type: keep one; ",""))</f>
        <v/>
      </c>
    </row>
    <row r="253">
      <c r="A253" s="9" t="n"/>
      <c r="B253" s="33" t="n"/>
      <c r="G253" s="25">
        <f>IF($C253="","",IFERROR(IF(INDEX(links!$A$2:$A$501,MATCH($C253,links!$D$2:$D$501,0))="","",INDEX(links!$A$2:$A$501,MATCH($C253,links!$D$2:$D$501,0))),""))</f>
        <v/>
      </c>
      <c r="H253" s="25">
        <f>IF($C253="","",IFERROR(IF(INDEX(links!$B$2:$B$501,MATCH($C253,links!$D$2:$D$501,0))="","",INDEX(links!$B$2:$B$501,MATCH($C253,links!$D$2:$D$501,0))),""))</f>
        <v/>
      </c>
      <c r="I253" s="25">
        <f>IF($C253="","",IFERROR(IF(INDEX(links!$C$2:$C$501,MATCH($C253,links!$D$2:$D$501,0))="","",INDEX(links!$C$2:$C$501,MATCH($C253,links!$D$2:$D$501,0))),""))</f>
        <v/>
      </c>
      <c r="J253" s="25">
        <f>IF($C253="","",IF($G253="","slug not in links; ","")&amp;IF($D253="","reading type missing; ","")&amp;IF(COUNTIFS(scans!$C$2:$C$1601,$C253,scans!$D$2:$D$1601,$D253)&gt;1,"two readings of this type: keep one; ",""))</f>
        <v/>
      </c>
    </row>
    <row r="254">
      <c r="A254" s="9" t="n"/>
      <c r="B254" s="33" t="n"/>
      <c r="G254" s="25">
        <f>IF($C254="","",IFERROR(IF(INDEX(links!$A$2:$A$501,MATCH($C254,links!$D$2:$D$501,0))="","",INDEX(links!$A$2:$A$501,MATCH($C254,links!$D$2:$D$501,0))),""))</f>
        <v/>
      </c>
      <c r="H254" s="25">
        <f>IF($C254="","",IFERROR(IF(INDEX(links!$B$2:$B$501,MATCH($C254,links!$D$2:$D$501,0))="","",INDEX(links!$B$2:$B$501,MATCH($C254,links!$D$2:$D$501,0))),""))</f>
        <v/>
      </c>
      <c r="I254" s="25">
        <f>IF($C254="","",IFERROR(IF(INDEX(links!$C$2:$C$501,MATCH($C254,links!$D$2:$D$501,0))="","",INDEX(links!$C$2:$C$501,MATCH($C254,links!$D$2:$D$501,0))),""))</f>
        <v/>
      </c>
      <c r="J254" s="25">
        <f>IF($C254="","",IF($G254="","slug not in links; ","")&amp;IF($D254="","reading type missing; ","")&amp;IF(COUNTIFS(scans!$C$2:$C$1601,$C254,scans!$D$2:$D$1601,$D254)&gt;1,"two readings of this type: keep one; ",""))</f>
        <v/>
      </c>
    </row>
    <row r="255">
      <c r="A255" s="9" t="n"/>
      <c r="B255" s="33" t="n"/>
      <c r="G255" s="25">
        <f>IF($C255="","",IFERROR(IF(INDEX(links!$A$2:$A$501,MATCH($C255,links!$D$2:$D$501,0))="","",INDEX(links!$A$2:$A$501,MATCH($C255,links!$D$2:$D$501,0))),""))</f>
        <v/>
      </c>
      <c r="H255" s="25">
        <f>IF($C255="","",IFERROR(IF(INDEX(links!$B$2:$B$501,MATCH($C255,links!$D$2:$D$501,0))="","",INDEX(links!$B$2:$B$501,MATCH($C255,links!$D$2:$D$501,0))),""))</f>
        <v/>
      </c>
      <c r="I255" s="25">
        <f>IF($C255="","",IFERROR(IF(INDEX(links!$C$2:$C$501,MATCH($C255,links!$D$2:$D$501,0))="","",INDEX(links!$C$2:$C$501,MATCH($C255,links!$D$2:$D$501,0))),""))</f>
        <v/>
      </c>
      <c r="J255" s="25">
        <f>IF($C255="","",IF($G255="","slug not in links; ","")&amp;IF($D255="","reading type missing; ","")&amp;IF(COUNTIFS(scans!$C$2:$C$1601,$C255,scans!$D$2:$D$1601,$D255)&gt;1,"two readings of this type: keep one; ",""))</f>
        <v/>
      </c>
    </row>
    <row r="256">
      <c r="A256" s="9" t="n"/>
      <c r="B256" s="33" t="n"/>
      <c r="G256" s="25">
        <f>IF($C256="","",IFERROR(IF(INDEX(links!$A$2:$A$501,MATCH($C256,links!$D$2:$D$501,0))="","",INDEX(links!$A$2:$A$501,MATCH($C256,links!$D$2:$D$501,0))),""))</f>
        <v/>
      </c>
      <c r="H256" s="25">
        <f>IF($C256="","",IFERROR(IF(INDEX(links!$B$2:$B$501,MATCH($C256,links!$D$2:$D$501,0))="","",INDEX(links!$B$2:$B$501,MATCH($C256,links!$D$2:$D$501,0))),""))</f>
        <v/>
      </c>
      <c r="I256" s="25">
        <f>IF($C256="","",IFERROR(IF(INDEX(links!$C$2:$C$501,MATCH($C256,links!$D$2:$D$501,0))="","",INDEX(links!$C$2:$C$501,MATCH($C256,links!$D$2:$D$501,0))),""))</f>
        <v/>
      </c>
      <c r="J256" s="25">
        <f>IF($C256="","",IF($G256="","slug not in links; ","")&amp;IF($D256="","reading type missing; ","")&amp;IF(COUNTIFS(scans!$C$2:$C$1601,$C256,scans!$D$2:$D$1601,$D256)&gt;1,"two readings of this type: keep one; ",""))</f>
        <v/>
      </c>
    </row>
    <row r="257">
      <c r="A257" s="9" t="n"/>
      <c r="B257" s="33" t="n"/>
      <c r="G257" s="25">
        <f>IF($C257="","",IFERROR(IF(INDEX(links!$A$2:$A$501,MATCH($C257,links!$D$2:$D$501,0))="","",INDEX(links!$A$2:$A$501,MATCH($C257,links!$D$2:$D$501,0))),""))</f>
        <v/>
      </c>
      <c r="H257" s="25">
        <f>IF($C257="","",IFERROR(IF(INDEX(links!$B$2:$B$501,MATCH($C257,links!$D$2:$D$501,0))="","",INDEX(links!$B$2:$B$501,MATCH($C257,links!$D$2:$D$501,0))),""))</f>
        <v/>
      </c>
      <c r="I257" s="25">
        <f>IF($C257="","",IFERROR(IF(INDEX(links!$C$2:$C$501,MATCH($C257,links!$D$2:$D$501,0))="","",INDEX(links!$C$2:$C$501,MATCH($C257,links!$D$2:$D$501,0))),""))</f>
        <v/>
      </c>
      <c r="J257" s="25">
        <f>IF($C257="","",IF($G257="","slug not in links; ","")&amp;IF($D257="","reading type missing; ","")&amp;IF(COUNTIFS(scans!$C$2:$C$1601,$C257,scans!$D$2:$D$1601,$D257)&gt;1,"two readings of this type: keep one; ",""))</f>
        <v/>
      </c>
    </row>
    <row r="258">
      <c r="A258" s="9" t="n"/>
      <c r="B258" s="33" t="n"/>
      <c r="G258" s="25">
        <f>IF($C258="","",IFERROR(IF(INDEX(links!$A$2:$A$501,MATCH($C258,links!$D$2:$D$501,0))="","",INDEX(links!$A$2:$A$501,MATCH($C258,links!$D$2:$D$501,0))),""))</f>
        <v/>
      </c>
      <c r="H258" s="25">
        <f>IF($C258="","",IFERROR(IF(INDEX(links!$B$2:$B$501,MATCH($C258,links!$D$2:$D$501,0))="","",INDEX(links!$B$2:$B$501,MATCH($C258,links!$D$2:$D$501,0))),""))</f>
        <v/>
      </c>
      <c r="I258" s="25">
        <f>IF($C258="","",IFERROR(IF(INDEX(links!$C$2:$C$501,MATCH($C258,links!$D$2:$D$501,0))="","",INDEX(links!$C$2:$C$501,MATCH($C258,links!$D$2:$D$501,0))),""))</f>
        <v/>
      </c>
      <c r="J258" s="25">
        <f>IF($C258="","",IF($G258="","slug not in links; ","")&amp;IF($D258="","reading type missing; ","")&amp;IF(COUNTIFS(scans!$C$2:$C$1601,$C258,scans!$D$2:$D$1601,$D258)&gt;1,"two readings of this type: keep one; ",""))</f>
        <v/>
      </c>
    </row>
    <row r="259">
      <c r="A259" s="9" t="n"/>
      <c r="B259" s="33" t="n"/>
      <c r="G259" s="25">
        <f>IF($C259="","",IFERROR(IF(INDEX(links!$A$2:$A$501,MATCH($C259,links!$D$2:$D$501,0))="","",INDEX(links!$A$2:$A$501,MATCH($C259,links!$D$2:$D$501,0))),""))</f>
        <v/>
      </c>
      <c r="H259" s="25">
        <f>IF($C259="","",IFERROR(IF(INDEX(links!$B$2:$B$501,MATCH($C259,links!$D$2:$D$501,0))="","",INDEX(links!$B$2:$B$501,MATCH($C259,links!$D$2:$D$501,0))),""))</f>
        <v/>
      </c>
      <c r="I259" s="25">
        <f>IF($C259="","",IFERROR(IF(INDEX(links!$C$2:$C$501,MATCH($C259,links!$D$2:$D$501,0))="","",INDEX(links!$C$2:$C$501,MATCH($C259,links!$D$2:$D$501,0))),""))</f>
        <v/>
      </c>
      <c r="J259" s="25">
        <f>IF($C259="","",IF($G259="","slug not in links; ","")&amp;IF($D259="","reading type missing; ","")&amp;IF(COUNTIFS(scans!$C$2:$C$1601,$C259,scans!$D$2:$D$1601,$D259)&gt;1,"two readings of this type: keep one; ",""))</f>
        <v/>
      </c>
    </row>
    <row r="260">
      <c r="A260" s="9" t="n"/>
      <c r="B260" s="33" t="n"/>
      <c r="G260" s="25">
        <f>IF($C260="","",IFERROR(IF(INDEX(links!$A$2:$A$501,MATCH($C260,links!$D$2:$D$501,0))="","",INDEX(links!$A$2:$A$501,MATCH($C260,links!$D$2:$D$501,0))),""))</f>
        <v/>
      </c>
      <c r="H260" s="25">
        <f>IF($C260="","",IFERROR(IF(INDEX(links!$B$2:$B$501,MATCH($C260,links!$D$2:$D$501,0))="","",INDEX(links!$B$2:$B$501,MATCH($C260,links!$D$2:$D$501,0))),""))</f>
        <v/>
      </c>
      <c r="I260" s="25">
        <f>IF($C260="","",IFERROR(IF(INDEX(links!$C$2:$C$501,MATCH($C260,links!$D$2:$D$501,0))="","",INDEX(links!$C$2:$C$501,MATCH($C260,links!$D$2:$D$501,0))),""))</f>
        <v/>
      </c>
      <c r="J260" s="25">
        <f>IF($C260="","",IF($G260="","slug not in links; ","")&amp;IF($D260="","reading type missing; ","")&amp;IF(COUNTIFS(scans!$C$2:$C$1601,$C260,scans!$D$2:$D$1601,$D260)&gt;1,"two readings of this type: keep one; ",""))</f>
        <v/>
      </c>
    </row>
    <row r="261">
      <c r="A261" s="9" t="n"/>
      <c r="B261" s="33" t="n"/>
      <c r="G261" s="25">
        <f>IF($C261="","",IFERROR(IF(INDEX(links!$A$2:$A$501,MATCH($C261,links!$D$2:$D$501,0))="","",INDEX(links!$A$2:$A$501,MATCH($C261,links!$D$2:$D$501,0))),""))</f>
        <v/>
      </c>
      <c r="H261" s="25">
        <f>IF($C261="","",IFERROR(IF(INDEX(links!$B$2:$B$501,MATCH($C261,links!$D$2:$D$501,0))="","",INDEX(links!$B$2:$B$501,MATCH($C261,links!$D$2:$D$501,0))),""))</f>
        <v/>
      </c>
      <c r="I261" s="25">
        <f>IF($C261="","",IFERROR(IF(INDEX(links!$C$2:$C$501,MATCH($C261,links!$D$2:$D$501,0))="","",INDEX(links!$C$2:$C$501,MATCH($C261,links!$D$2:$D$501,0))),""))</f>
        <v/>
      </c>
      <c r="J261" s="25">
        <f>IF($C261="","",IF($G261="","slug not in links; ","")&amp;IF($D261="","reading type missing; ","")&amp;IF(COUNTIFS(scans!$C$2:$C$1601,$C261,scans!$D$2:$D$1601,$D261)&gt;1,"two readings of this type: keep one; ",""))</f>
        <v/>
      </c>
    </row>
    <row r="262">
      <c r="A262" s="9" t="n"/>
      <c r="B262" s="33" t="n"/>
      <c r="G262" s="25">
        <f>IF($C262="","",IFERROR(IF(INDEX(links!$A$2:$A$501,MATCH($C262,links!$D$2:$D$501,0))="","",INDEX(links!$A$2:$A$501,MATCH($C262,links!$D$2:$D$501,0))),""))</f>
        <v/>
      </c>
      <c r="H262" s="25">
        <f>IF($C262="","",IFERROR(IF(INDEX(links!$B$2:$B$501,MATCH($C262,links!$D$2:$D$501,0))="","",INDEX(links!$B$2:$B$501,MATCH($C262,links!$D$2:$D$501,0))),""))</f>
        <v/>
      </c>
      <c r="I262" s="25">
        <f>IF($C262="","",IFERROR(IF(INDEX(links!$C$2:$C$501,MATCH($C262,links!$D$2:$D$501,0))="","",INDEX(links!$C$2:$C$501,MATCH($C262,links!$D$2:$D$501,0))),""))</f>
        <v/>
      </c>
      <c r="J262" s="25">
        <f>IF($C262="","",IF($G262="","slug not in links; ","")&amp;IF($D262="","reading type missing; ","")&amp;IF(COUNTIFS(scans!$C$2:$C$1601,$C262,scans!$D$2:$D$1601,$D262)&gt;1,"two readings of this type: keep one; ",""))</f>
        <v/>
      </c>
    </row>
    <row r="263">
      <c r="A263" s="9" t="n"/>
      <c r="B263" s="33" t="n"/>
      <c r="G263" s="25">
        <f>IF($C263="","",IFERROR(IF(INDEX(links!$A$2:$A$501,MATCH($C263,links!$D$2:$D$501,0))="","",INDEX(links!$A$2:$A$501,MATCH($C263,links!$D$2:$D$501,0))),""))</f>
        <v/>
      </c>
      <c r="H263" s="25">
        <f>IF($C263="","",IFERROR(IF(INDEX(links!$B$2:$B$501,MATCH($C263,links!$D$2:$D$501,0))="","",INDEX(links!$B$2:$B$501,MATCH($C263,links!$D$2:$D$501,0))),""))</f>
        <v/>
      </c>
      <c r="I263" s="25">
        <f>IF($C263="","",IFERROR(IF(INDEX(links!$C$2:$C$501,MATCH($C263,links!$D$2:$D$501,0))="","",INDEX(links!$C$2:$C$501,MATCH($C263,links!$D$2:$D$501,0))),""))</f>
        <v/>
      </c>
      <c r="J263" s="25">
        <f>IF($C263="","",IF($G263="","slug not in links; ","")&amp;IF($D263="","reading type missing; ","")&amp;IF(COUNTIFS(scans!$C$2:$C$1601,$C263,scans!$D$2:$D$1601,$D263)&gt;1,"two readings of this type: keep one; ",""))</f>
        <v/>
      </c>
    </row>
    <row r="264">
      <c r="A264" s="9" t="n"/>
      <c r="B264" s="33" t="n"/>
      <c r="G264" s="25">
        <f>IF($C264="","",IFERROR(IF(INDEX(links!$A$2:$A$501,MATCH($C264,links!$D$2:$D$501,0))="","",INDEX(links!$A$2:$A$501,MATCH($C264,links!$D$2:$D$501,0))),""))</f>
        <v/>
      </c>
      <c r="H264" s="25">
        <f>IF($C264="","",IFERROR(IF(INDEX(links!$B$2:$B$501,MATCH($C264,links!$D$2:$D$501,0))="","",INDEX(links!$B$2:$B$501,MATCH($C264,links!$D$2:$D$501,0))),""))</f>
        <v/>
      </c>
      <c r="I264" s="25">
        <f>IF($C264="","",IFERROR(IF(INDEX(links!$C$2:$C$501,MATCH($C264,links!$D$2:$D$501,0))="","",INDEX(links!$C$2:$C$501,MATCH($C264,links!$D$2:$D$501,0))),""))</f>
        <v/>
      </c>
      <c r="J264" s="25">
        <f>IF($C264="","",IF($G264="","slug not in links; ","")&amp;IF($D264="","reading type missing; ","")&amp;IF(COUNTIFS(scans!$C$2:$C$1601,$C264,scans!$D$2:$D$1601,$D264)&gt;1,"two readings of this type: keep one; ",""))</f>
        <v/>
      </c>
    </row>
    <row r="265">
      <c r="A265" s="9" t="n"/>
      <c r="B265" s="33" t="n"/>
      <c r="G265" s="25">
        <f>IF($C265="","",IFERROR(IF(INDEX(links!$A$2:$A$501,MATCH($C265,links!$D$2:$D$501,0))="","",INDEX(links!$A$2:$A$501,MATCH($C265,links!$D$2:$D$501,0))),""))</f>
        <v/>
      </c>
      <c r="H265" s="25">
        <f>IF($C265="","",IFERROR(IF(INDEX(links!$B$2:$B$501,MATCH($C265,links!$D$2:$D$501,0))="","",INDEX(links!$B$2:$B$501,MATCH($C265,links!$D$2:$D$501,0))),""))</f>
        <v/>
      </c>
      <c r="I265" s="25">
        <f>IF($C265="","",IFERROR(IF(INDEX(links!$C$2:$C$501,MATCH($C265,links!$D$2:$D$501,0))="","",INDEX(links!$C$2:$C$501,MATCH($C265,links!$D$2:$D$501,0))),""))</f>
        <v/>
      </c>
      <c r="J265" s="25">
        <f>IF($C265="","",IF($G265="","slug not in links; ","")&amp;IF($D265="","reading type missing; ","")&amp;IF(COUNTIFS(scans!$C$2:$C$1601,$C265,scans!$D$2:$D$1601,$D265)&gt;1,"two readings of this type: keep one; ",""))</f>
        <v/>
      </c>
    </row>
    <row r="266">
      <c r="A266" s="9" t="n"/>
      <c r="B266" s="33" t="n"/>
      <c r="G266" s="25">
        <f>IF($C266="","",IFERROR(IF(INDEX(links!$A$2:$A$501,MATCH($C266,links!$D$2:$D$501,0))="","",INDEX(links!$A$2:$A$501,MATCH($C266,links!$D$2:$D$501,0))),""))</f>
        <v/>
      </c>
      <c r="H266" s="25">
        <f>IF($C266="","",IFERROR(IF(INDEX(links!$B$2:$B$501,MATCH($C266,links!$D$2:$D$501,0))="","",INDEX(links!$B$2:$B$501,MATCH($C266,links!$D$2:$D$501,0))),""))</f>
        <v/>
      </c>
      <c r="I266" s="25">
        <f>IF($C266="","",IFERROR(IF(INDEX(links!$C$2:$C$501,MATCH($C266,links!$D$2:$D$501,0))="","",INDEX(links!$C$2:$C$501,MATCH($C266,links!$D$2:$D$501,0))),""))</f>
        <v/>
      </c>
      <c r="J266" s="25">
        <f>IF($C266="","",IF($G266="","slug not in links; ","")&amp;IF($D266="","reading type missing; ","")&amp;IF(COUNTIFS(scans!$C$2:$C$1601,$C266,scans!$D$2:$D$1601,$D266)&gt;1,"two readings of this type: keep one; ",""))</f>
        <v/>
      </c>
    </row>
    <row r="267">
      <c r="A267" s="9" t="n"/>
      <c r="B267" s="33" t="n"/>
      <c r="G267" s="25">
        <f>IF($C267="","",IFERROR(IF(INDEX(links!$A$2:$A$501,MATCH($C267,links!$D$2:$D$501,0))="","",INDEX(links!$A$2:$A$501,MATCH($C267,links!$D$2:$D$501,0))),""))</f>
        <v/>
      </c>
      <c r="H267" s="25">
        <f>IF($C267="","",IFERROR(IF(INDEX(links!$B$2:$B$501,MATCH($C267,links!$D$2:$D$501,0))="","",INDEX(links!$B$2:$B$501,MATCH($C267,links!$D$2:$D$501,0))),""))</f>
        <v/>
      </c>
      <c r="I267" s="25">
        <f>IF($C267="","",IFERROR(IF(INDEX(links!$C$2:$C$501,MATCH($C267,links!$D$2:$D$501,0))="","",INDEX(links!$C$2:$C$501,MATCH($C267,links!$D$2:$D$501,0))),""))</f>
        <v/>
      </c>
      <c r="J267" s="25">
        <f>IF($C267="","",IF($G267="","slug not in links; ","")&amp;IF($D267="","reading type missing; ","")&amp;IF(COUNTIFS(scans!$C$2:$C$1601,$C267,scans!$D$2:$D$1601,$D267)&gt;1,"two readings of this type: keep one; ",""))</f>
        <v/>
      </c>
    </row>
    <row r="268">
      <c r="A268" s="9" t="n"/>
      <c r="B268" s="33" t="n"/>
      <c r="G268" s="25">
        <f>IF($C268="","",IFERROR(IF(INDEX(links!$A$2:$A$501,MATCH($C268,links!$D$2:$D$501,0))="","",INDEX(links!$A$2:$A$501,MATCH($C268,links!$D$2:$D$501,0))),""))</f>
        <v/>
      </c>
      <c r="H268" s="25">
        <f>IF($C268="","",IFERROR(IF(INDEX(links!$B$2:$B$501,MATCH($C268,links!$D$2:$D$501,0))="","",INDEX(links!$B$2:$B$501,MATCH($C268,links!$D$2:$D$501,0))),""))</f>
        <v/>
      </c>
      <c r="I268" s="25">
        <f>IF($C268="","",IFERROR(IF(INDEX(links!$C$2:$C$501,MATCH($C268,links!$D$2:$D$501,0))="","",INDEX(links!$C$2:$C$501,MATCH($C268,links!$D$2:$D$501,0))),""))</f>
        <v/>
      </c>
      <c r="J268" s="25">
        <f>IF($C268="","",IF($G268="","slug not in links; ","")&amp;IF($D268="","reading type missing; ","")&amp;IF(COUNTIFS(scans!$C$2:$C$1601,$C268,scans!$D$2:$D$1601,$D268)&gt;1,"two readings of this type: keep one; ",""))</f>
        <v/>
      </c>
    </row>
    <row r="269">
      <c r="A269" s="9" t="n"/>
      <c r="B269" s="33" t="n"/>
      <c r="G269" s="25">
        <f>IF($C269="","",IFERROR(IF(INDEX(links!$A$2:$A$501,MATCH($C269,links!$D$2:$D$501,0))="","",INDEX(links!$A$2:$A$501,MATCH($C269,links!$D$2:$D$501,0))),""))</f>
        <v/>
      </c>
      <c r="H269" s="25">
        <f>IF($C269="","",IFERROR(IF(INDEX(links!$B$2:$B$501,MATCH($C269,links!$D$2:$D$501,0))="","",INDEX(links!$B$2:$B$501,MATCH($C269,links!$D$2:$D$501,0))),""))</f>
        <v/>
      </c>
      <c r="I269" s="25">
        <f>IF($C269="","",IFERROR(IF(INDEX(links!$C$2:$C$501,MATCH($C269,links!$D$2:$D$501,0))="","",INDEX(links!$C$2:$C$501,MATCH($C269,links!$D$2:$D$501,0))),""))</f>
        <v/>
      </c>
      <c r="J269" s="25">
        <f>IF($C269="","",IF($G269="","slug not in links; ","")&amp;IF($D269="","reading type missing; ","")&amp;IF(COUNTIFS(scans!$C$2:$C$1601,$C269,scans!$D$2:$D$1601,$D269)&gt;1,"two readings of this type: keep one; ",""))</f>
        <v/>
      </c>
    </row>
    <row r="270">
      <c r="A270" s="9" t="n"/>
      <c r="B270" s="33" t="n"/>
      <c r="G270" s="25">
        <f>IF($C270="","",IFERROR(IF(INDEX(links!$A$2:$A$501,MATCH($C270,links!$D$2:$D$501,0))="","",INDEX(links!$A$2:$A$501,MATCH($C270,links!$D$2:$D$501,0))),""))</f>
        <v/>
      </c>
      <c r="H270" s="25">
        <f>IF($C270="","",IFERROR(IF(INDEX(links!$B$2:$B$501,MATCH($C270,links!$D$2:$D$501,0))="","",INDEX(links!$B$2:$B$501,MATCH($C270,links!$D$2:$D$501,0))),""))</f>
        <v/>
      </c>
      <c r="I270" s="25">
        <f>IF($C270="","",IFERROR(IF(INDEX(links!$C$2:$C$501,MATCH($C270,links!$D$2:$D$501,0))="","",INDEX(links!$C$2:$C$501,MATCH($C270,links!$D$2:$D$501,0))),""))</f>
        <v/>
      </c>
      <c r="J270" s="25">
        <f>IF($C270="","",IF($G270="","slug not in links; ","")&amp;IF($D270="","reading type missing; ","")&amp;IF(COUNTIFS(scans!$C$2:$C$1601,$C270,scans!$D$2:$D$1601,$D270)&gt;1,"two readings of this type: keep one; ",""))</f>
        <v/>
      </c>
    </row>
    <row r="271">
      <c r="A271" s="9" t="n"/>
      <c r="B271" s="33" t="n"/>
      <c r="G271" s="25">
        <f>IF($C271="","",IFERROR(IF(INDEX(links!$A$2:$A$501,MATCH($C271,links!$D$2:$D$501,0))="","",INDEX(links!$A$2:$A$501,MATCH($C271,links!$D$2:$D$501,0))),""))</f>
        <v/>
      </c>
      <c r="H271" s="25">
        <f>IF($C271="","",IFERROR(IF(INDEX(links!$B$2:$B$501,MATCH($C271,links!$D$2:$D$501,0))="","",INDEX(links!$B$2:$B$501,MATCH($C271,links!$D$2:$D$501,0))),""))</f>
        <v/>
      </c>
      <c r="I271" s="25">
        <f>IF($C271="","",IFERROR(IF(INDEX(links!$C$2:$C$501,MATCH($C271,links!$D$2:$D$501,0))="","",INDEX(links!$C$2:$C$501,MATCH($C271,links!$D$2:$D$501,0))),""))</f>
        <v/>
      </c>
      <c r="J271" s="25">
        <f>IF($C271="","",IF($G271="","slug not in links; ","")&amp;IF($D271="","reading type missing; ","")&amp;IF(COUNTIFS(scans!$C$2:$C$1601,$C271,scans!$D$2:$D$1601,$D271)&gt;1,"two readings of this type: keep one; ",""))</f>
        <v/>
      </c>
    </row>
    <row r="272">
      <c r="A272" s="9" t="n"/>
      <c r="B272" s="33" t="n"/>
      <c r="G272" s="25">
        <f>IF($C272="","",IFERROR(IF(INDEX(links!$A$2:$A$501,MATCH($C272,links!$D$2:$D$501,0))="","",INDEX(links!$A$2:$A$501,MATCH($C272,links!$D$2:$D$501,0))),""))</f>
        <v/>
      </c>
      <c r="H272" s="25">
        <f>IF($C272="","",IFERROR(IF(INDEX(links!$B$2:$B$501,MATCH($C272,links!$D$2:$D$501,0))="","",INDEX(links!$B$2:$B$501,MATCH($C272,links!$D$2:$D$501,0))),""))</f>
        <v/>
      </c>
      <c r="I272" s="25">
        <f>IF($C272="","",IFERROR(IF(INDEX(links!$C$2:$C$501,MATCH($C272,links!$D$2:$D$501,0))="","",INDEX(links!$C$2:$C$501,MATCH($C272,links!$D$2:$D$501,0))),""))</f>
        <v/>
      </c>
      <c r="J272" s="25">
        <f>IF($C272="","",IF($G272="","slug not in links; ","")&amp;IF($D272="","reading type missing; ","")&amp;IF(COUNTIFS(scans!$C$2:$C$1601,$C272,scans!$D$2:$D$1601,$D272)&gt;1,"two readings of this type: keep one; ",""))</f>
        <v/>
      </c>
    </row>
    <row r="273">
      <c r="A273" s="9" t="n"/>
      <c r="B273" s="33" t="n"/>
      <c r="G273" s="25">
        <f>IF($C273="","",IFERROR(IF(INDEX(links!$A$2:$A$501,MATCH($C273,links!$D$2:$D$501,0))="","",INDEX(links!$A$2:$A$501,MATCH($C273,links!$D$2:$D$501,0))),""))</f>
        <v/>
      </c>
      <c r="H273" s="25">
        <f>IF($C273="","",IFERROR(IF(INDEX(links!$B$2:$B$501,MATCH($C273,links!$D$2:$D$501,0))="","",INDEX(links!$B$2:$B$501,MATCH($C273,links!$D$2:$D$501,0))),""))</f>
        <v/>
      </c>
      <c r="I273" s="25">
        <f>IF($C273="","",IFERROR(IF(INDEX(links!$C$2:$C$501,MATCH($C273,links!$D$2:$D$501,0))="","",INDEX(links!$C$2:$C$501,MATCH($C273,links!$D$2:$D$501,0))),""))</f>
        <v/>
      </c>
      <c r="J273" s="25">
        <f>IF($C273="","",IF($G273="","slug not in links; ","")&amp;IF($D273="","reading type missing; ","")&amp;IF(COUNTIFS(scans!$C$2:$C$1601,$C273,scans!$D$2:$D$1601,$D273)&gt;1,"two readings of this type: keep one; ",""))</f>
        <v/>
      </c>
    </row>
    <row r="274">
      <c r="A274" s="9" t="n"/>
      <c r="B274" s="33" t="n"/>
      <c r="G274" s="25">
        <f>IF($C274="","",IFERROR(IF(INDEX(links!$A$2:$A$501,MATCH($C274,links!$D$2:$D$501,0))="","",INDEX(links!$A$2:$A$501,MATCH($C274,links!$D$2:$D$501,0))),""))</f>
        <v/>
      </c>
      <c r="H274" s="25">
        <f>IF($C274="","",IFERROR(IF(INDEX(links!$B$2:$B$501,MATCH($C274,links!$D$2:$D$501,0))="","",INDEX(links!$B$2:$B$501,MATCH($C274,links!$D$2:$D$501,0))),""))</f>
        <v/>
      </c>
      <c r="I274" s="25">
        <f>IF($C274="","",IFERROR(IF(INDEX(links!$C$2:$C$501,MATCH($C274,links!$D$2:$D$501,0))="","",INDEX(links!$C$2:$C$501,MATCH($C274,links!$D$2:$D$501,0))),""))</f>
        <v/>
      </c>
      <c r="J274" s="25">
        <f>IF($C274="","",IF($G274="","slug not in links; ","")&amp;IF($D274="","reading type missing; ","")&amp;IF(COUNTIFS(scans!$C$2:$C$1601,$C274,scans!$D$2:$D$1601,$D274)&gt;1,"two readings of this type: keep one; ",""))</f>
        <v/>
      </c>
    </row>
    <row r="275">
      <c r="A275" s="9" t="n"/>
      <c r="B275" s="33" t="n"/>
      <c r="G275" s="25">
        <f>IF($C275="","",IFERROR(IF(INDEX(links!$A$2:$A$501,MATCH($C275,links!$D$2:$D$501,0))="","",INDEX(links!$A$2:$A$501,MATCH($C275,links!$D$2:$D$501,0))),""))</f>
        <v/>
      </c>
      <c r="H275" s="25">
        <f>IF($C275="","",IFERROR(IF(INDEX(links!$B$2:$B$501,MATCH($C275,links!$D$2:$D$501,0))="","",INDEX(links!$B$2:$B$501,MATCH($C275,links!$D$2:$D$501,0))),""))</f>
        <v/>
      </c>
      <c r="I275" s="25">
        <f>IF($C275="","",IFERROR(IF(INDEX(links!$C$2:$C$501,MATCH($C275,links!$D$2:$D$501,0))="","",INDEX(links!$C$2:$C$501,MATCH($C275,links!$D$2:$D$501,0))),""))</f>
        <v/>
      </c>
      <c r="J275" s="25">
        <f>IF($C275="","",IF($G275="","slug not in links; ","")&amp;IF($D275="","reading type missing; ","")&amp;IF(COUNTIFS(scans!$C$2:$C$1601,$C275,scans!$D$2:$D$1601,$D275)&gt;1,"two readings of this type: keep one; ",""))</f>
        <v/>
      </c>
    </row>
    <row r="276">
      <c r="A276" s="9" t="n"/>
      <c r="B276" s="33" t="n"/>
      <c r="G276" s="25">
        <f>IF($C276="","",IFERROR(IF(INDEX(links!$A$2:$A$501,MATCH($C276,links!$D$2:$D$501,0))="","",INDEX(links!$A$2:$A$501,MATCH($C276,links!$D$2:$D$501,0))),""))</f>
        <v/>
      </c>
      <c r="H276" s="25">
        <f>IF($C276="","",IFERROR(IF(INDEX(links!$B$2:$B$501,MATCH($C276,links!$D$2:$D$501,0))="","",INDEX(links!$B$2:$B$501,MATCH($C276,links!$D$2:$D$501,0))),""))</f>
        <v/>
      </c>
      <c r="I276" s="25">
        <f>IF($C276="","",IFERROR(IF(INDEX(links!$C$2:$C$501,MATCH($C276,links!$D$2:$D$501,0))="","",INDEX(links!$C$2:$C$501,MATCH($C276,links!$D$2:$D$501,0))),""))</f>
        <v/>
      </c>
      <c r="J276" s="25">
        <f>IF($C276="","",IF($G276="","slug not in links; ","")&amp;IF($D276="","reading type missing; ","")&amp;IF(COUNTIFS(scans!$C$2:$C$1601,$C276,scans!$D$2:$D$1601,$D276)&gt;1,"two readings of this type: keep one; ",""))</f>
        <v/>
      </c>
    </row>
    <row r="277">
      <c r="A277" s="9" t="n"/>
      <c r="B277" s="33" t="n"/>
      <c r="G277" s="25">
        <f>IF($C277="","",IFERROR(IF(INDEX(links!$A$2:$A$501,MATCH($C277,links!$D$2:$D$501,0))="","",INDEX(links!$A$2:$A$501,MATCH($C277,links!$D$2:$D$501,0))),""))</f>
        <v/>
      </c>
      <c r="H277" s="25">
        <f>IF($C277="","",IFERROR(IF(INDEX(links!$B$2:$B$501,MATCH($C277,links!$D$2:$D$501,0))="","",INDEX(links!$B$2:$B$501,MATCH($C277,links!$D$2:$D$501,0))),""))</f>
        <v/>
      </c>
      <c r="I277" s="25">
        <f>IF($C277="","",IFERROR(IF(INDEX(links!$C$2:$C$501,MATCH($C277,links!$D$2:$D$501,0))="","",INDEX(links!$C$2:$C$501,MATCH($C277,links!$D$2:$D$501,0))),""))</f>
        <v/>
      </c>
      <c r="J277" s="25">
        <f>IF($C277="","",IF($G277="","slug not in links; ","")&amp;IF($D277="","reading type missing; ","")&amp;IF(COUNTIFS(scans!$C$2:$C$1601,$C277,scans!$D$2:$D$1601,$D277)&gt;1,"two readings of this type: keep one; ",""))</f>
        <v/>
      </c>
    </row>
    <row r="278">
      <c r="A278" s="9" t="n"/>
      <c r="B278" s="33" t="n"/>
      <c r="G278" s="25">
        <f>IF($C278="","",IFERROR(IF(INDEX(links!$A$2:$A$501,MATCH($C278,links!$D$2:$D$501,0))="","",INDEX(links!$A$2:$A$501,MATCH($C278,links!$D$2:$D$501,0))),""))</f>
        <v/>
      </c>
      <c r="H278" s="25">
        <f>IF($C278="","",IFERROR(IF(INDEX(links!$B$2:$B$501,MATCH($C278,links!$D$2:$D$501,0))="","",INDEX(links!$B$2:$B$501,MATCH($C278,links!$D$2:$D$501,0))),""))</f>
        <v/>
      </c>
      <c r="I278" s="25">
        <f>IF($C278="","",IFERROR(IF(INDEX(links!$C$2:$C$501,MATCH($C278,links!$D$2:$D$501,0))="","",INDEX(links!$C$2:$C$501,MATCH($C278,links!$D$2:$D$501,0))),""))</f>
        <v/>
      </c>
      <c r="J278" s="25">
        <f>IF($C278="","",IF($G278="","slug not in links; ","")&amp;IF($D278="","reading type missing; ","")&amp;IF(COUNTIFS(scans!$C$2:$C$1601,$C278,scans!$D$2:$D$1601,$D278)&gt;1,"two readings of this type: keep one; ",""))</f>
        <v/>
      </c>
    </row>
    <row r="279">
      <c r="A279" s="9" t="n"/>
      <c r="B279" s="33" t="n"/>
      <c r="G279" s="25">
        <f>IF($C279="","",IFERROR(IF(INDEX(links!$A$2:$A$501,MATCH($C279,links!$D$2:$D$501,0))="","",INDEX(links!$A$2:$A$501,MATCH($C279,links!$D$2:$D$501,0))),""))</f>
        <v/>
      </c>
      <c r="H279" s="25">
        <f>IF($C279="","",IFERROR(IF(INDEX(links!$B$2:$B$501,MATCH($C279,links!$D$2:$D$501,0))="","",INDEX(links!$B$2:$B$501,MATCH($C279,links!$D$2:$D$501,0))),""))</f>
        <v/>
      </c>
      <c r="I279" s="25">
        <f>IF($C279="","",IFERROR(IF(INDEX(links!$C$2:$C$501,MATCH($C279,links!$D$2:$D$501,0))="","",INDEX(links!$C$2:$C$501,MATCH($C279,links!$D$2:$D$501,0))),""))</f>
        <v/>
      </c>
      <c r="J279" s="25">
        <f>IF($C279="","",IF($G279="","slug not in links; ","")&amp;IF($D279="","reading type missing; ","")&amp;IF(COUNTIFS(scans!$C$2:$C$1601,$C279,scans!$D$2:$D$1601,$D279)&gt;1,"two readings of this type: keep one; ",""))</f>
        <v/>
      </c>
    </row>
    <row r="280">
      <c r="A280" s="9" t="n"/>
      <c r="B280" s="33" t="n"/>
      <c r="G280" s="25">
        <f>IF($C280="","",IFERROR(IF(INDEX(links!$A$2:$A$501,MATCH($C280,links!$D$2:$D$501,0))="","",INDEX(links!$A$2:$A$501,MATCH($C280,links!$D$2:$D$501,0))),""))</f>
        <v/>
      </c>
      <c r="H280" s="25">
        <f>IF($C280="","",IFERROR(IF(INDEX(links!$B$2:$B$501,MATCH($C280,links!$D$2:$D$501,0))="","",INDEX(links!$B$2:$B$501,MATCH($C280,links!$D$2:$D$501,0))),""))</f>
        <v/>
      </c>
      <c r="I280" s="25">
        <f>IF($C280="","",IFERROR(IF(INDEX(links!$C$2:$C$501,MATCH($C280,links!$D$2:$D$501,0))="","",INDEX(links!$C$2:$C$501,MATCH($C280,links!$D$2:$D$501,0))),""))</f>
        <v/>
      </c>
      <c r="J280" s="25">
        <f>IF($C280="","",IF($G280="","slug not in links; ","")&amp;IF($D280="","reading type missing; ","")&amp;IF(COUNTIFS(scans!$C$2:$C$1601,$C280,scans!$D$2:$D$1601,$D280)&gt;1,"two readings of this type: keep one; ",""))</f>
        <v/>
      </c>
    </row>
    <row r="281">
      <c r="A281" s="9" t="n"/>
      <c r="B281" s="33" t="n"/>
      <c r="G281" s="25">
        <f>IF($C281="","",IFERROR(IF(INDEX(links!$A$2:$A$501,MATCH($C281,links!$D$2:$D$501,0))="","",INDEX(links!$A$2:$A$501,MATCH($C281,links!$D$2:$D$501,0))),""))</f>
        <v/>
      </c>
      <c r="H281" s="25">
        <f>IF($C281="","",IFERROR(IF(INDEX(links!$B$2:$B$501,MATCH($C281,links!$D$2:$D$501,0))="","",INDEX(links!$B$2:$B$501,MATCH($C281,links!$D$2:$D$501,0))),""))</f>
        <v/>
      </c>
      <c r="I281" s="25">
        <f>IF($C281="","",IFERROR(IF(INDEX(links!$C$2:$C$501,MATCH($C281,links!$D$2:$D$501,0))="","",INDEX(links!$C$2:$C$501,MATCH($C281,links!$D$2:$D$501,0))),""))</f>
        <v/>
      </c>
      <c r="J281" s="25">
        <f>IF($C281="","",IF($G281="","slug not in links; ","")&amp;IF($D281="","reading type missing; ","")&amp;IF(COUNTIFS(scans!$C$2:$C$1601,$C281,scans!$D$2:$D$1601,$D281)&gt;1,"two readings of this type: keep one; ",""))</f>
        <v/>
      </c>
    </row>
    <row r="282">
      <c r="A282" s="9" t="n"/>
      <c r="B282" s="33" t="n"/>
      <c r="G282" s="25">
        <f>IF($C282="","",IFERROR(IF(INDEX(links!$A$2:$A$501,MATCH($C282,links!$D$2:$D$501,0))="","",INDEX(links!$A$2:$A$501,MATCH($C282,links!$D$2:$D$501,0))),""))</f>
        <v/>
      </c>
      <c r="H282" s="25">
        <f>IF($C282="","",IFERROR(IF(INDEX(links!$B$2:$B$501,MATCH($C282,links!$D$2:$D$501,0))="","",INDEX(links!$B$2:$B$501,MATCH($C282,links!$D$2:$D$501,0))),""))</f>
        <v/>
      </c>
      <c r="I282" s="25">
        <f>IF($C282="","",IFERROR(IF(INDEX(links!$C$2:$C$501,MATCH($C282,links!$D$2:$D$501,0))="","",INDEX(links!$C$2:$C$501,MATCH($C282,links!$D$2:$D$501,0))),""))</f>
        <v/>
      </c>
      <c r="J282" s="25">
        <f>IF($C282="","",IF($G282="","slug not in links; ","")&amp;IF($D282="","reading type missing; ","")&amp;IF(COUNTIFS(scans!$C$2:$C$1601,$C282,scans!$D$2:$D$1601,$D282)&gt;1,"two readings of this type: keep one; ",""))</f>
        <v/>
      </c>
    </row>
    <row r="283">
      <c r="A283" s="9" t="n"/>
      <c r="B283" s="33" t="n"/>
      <c r="G283" s="25">
        <f>IF($C283="","",IFERROR(IF(INDEX(links!$A$2:$A$501,MATCH($C283,links!$D$2:$D$501,0))="","",INDEX(links!$A$2:$A$501,MATCH($C283,links!$D$2:$D$501,0))),""))</f>
        <v/>
      </c>
      <c r="H283" s="25">
        <f>IF($C283="","",IFERROR(IF(INDEX(links!$B$2:$B$501,MATCH($C283,links!$D$2:$D$501,0))="","",INDEX(links!$B$2:$B$501,MATCH($C283,links!$D$2:$D$501,0))),""))</f>
        <v/>
      </c>
      <c r="I283" s="25">
        <f>IF($C283="","",IFERROR(IF(INDEX(links!$C$2:$C$501,MATCH($C283,links!$D$2:$D$501,0))="","",INDEX(links!$C$2:$C$501,MATCH($C283,links!$D$2:$D$501,0))),""))</f>
        <v/>
      </c>
      <c r="J283" s="25">
        <f>IF($C283="","",IF($G283="","slug not in links; ","")&amp;IF($D283="","reading type missing; ","")&amp;IF(COUNTIFS(scans!$C$2:$C$1601,$C283,scans!$D$2:$D$1601,$D283)&gt;1,"two readings of this type: keep one; ",""))</f>
        <v/>
      </c>
    </row>
    <row r="284">
      <c r="A284" s="9" t="n"/>
      <c r="B284" s="33" t="n"/>
      <c r="G284" s="25">
        <f>IF($C284="","",IFERROR(IF(INDEX(links!$A$2:$A$501,MATCH($C284,links!$D$2:$D$501,0))="","",INDEX(links!$A$2:$A$501,MATCH($C284,links!$D$2:$D$501,0))),""))</f>
        <v/>
      </c>
      <c r="H284" s="25">
        <f>IF($C284="","",IFERROR(IF(INDEX(links!$B$2:$B$501,MATCH($C284,links!$D$2:$D$501,0))="","",INDEX(links!$B$2:$B$501,MATCH($C284,links!$D$2:$D$501,0))),""))</f>
        <v/>
      </c>
      <c r="I284" s="25">
        <f>IF($C284="","",IFERROR(IF(INDEX(links!$C$2:$C$501,MATCH($C284,links!$D$2:$D$501,0))="","",INDEX(links!$C$2:$C$501,MATCH($C284,links!$D$2:$D$501,0))),""))</f>
        <v/>
      </c>
      <c r="J284" s="25">
        <f>IF($C284="","",IF($G284="","slug not in links; ","")&amp;IF($D284="","reading type missing; ","")&amp;IF(COUNTIFS(scans!$C$2:$C$1601,$C284,scans!$D$2:$D$1601,$D284)&gt;1,"two readings of this type: keep one; ",""))</f>
        <v/>
      </c>
    </row>
    <row r="285">
      <c r="A285" s="9" t="n"/>
      <c r="B285" s="33" t="n"/>
      <c r="G285" s="25">
        <f>IF($C285="","",IFERROR(IF(INDEX(links!$A$2:$A$501,MATCH($C285,links!$D$2:$D$501,0))="","",INDEX(links!$A$2:$A$501,MATCH($C285,links!$D$2:$D$501,0))),""))</f>
        <v/>
      </c>
      <c r="H285" s="25">
        <f>IF($C285="","",IFERROR(IF(INDEX(links!$B$2:$B$501,MATCH($C285,links!$D$2:$D$501,0))="","",INDEX(links!$B$2:$B$501,MATCH($C285,links!$D$2:$D$501,0))),""))</f>
        <v/>
      </c>
      <c r="I285" s="25">
        <f>IF($C285="","",IFERROR(IF(INDEX(links!$C$2:$C$501,MATCH($C285,links!$D$2:$D$501,0))="","",INDEX(links!$C$2:$C$501,MATCH($C285,links!$D$2:$D$501,0))),""))</f>
        <v/>
      </c>
      <c r="J285" s="25">
        <f>IF($C285="","",IF($G285="","slug not in links; ","")&amp;IF($D285="","reading type missing; ","")&amp;IF(COUNTIFS(scans!$C$2:$C$1601,$C285,scans!$D$2:$D$1601,$D285)&gt;1,"two readings of this type: keep one; ",""))</f>
        <v/>
      </c>
    </row>
    <row r="286">
      <c r="A286" s="9" t="n"/>
      <c r="B286" s="33" t="n"/>
      <c r="G286" s="25">
        <f>IF($C286="","",IFERROR(IF(INDEX(links!$A$2:$A$501,MATCH($C286,links!$D$2:$D$501,0))="","",INDEX(links!$A$2:$A$501,MATCH($C286,links!$D$2:$D$501,0))),""))</f>
        <v/>
      </c>
      <c r="H286" s="25">
        <f>IF($C286="","",IFERROR(IF(INDEX(links!$B$2:$B$501,MATCH($C286,links!$D$2:$D$501,0))="","",INDEX(links!$B$2:$B$501,MATCH($C286,links!$D$2:$D$501,0))),""))</f>
        <v/>
      </c>
      <c r="I286" s="25">
        <f>IF($C286="","",IFERROR(IF(INDEX(links!$C$2:$C$501,MATCH($C286,links!$D$2:$D$501,0))="","",INDEX(links!$C$2:$C$501,MATCH($C286,links!$D$2:$D$501,0))),""))</f>
        <v/>
      </c>
      <c r="J286" s="25">
        <f>IF($C286="","",IF($G286="","slug not in links; ","")&amp;IF($D286="","reading type missing; ","")&amp;IF(COUNTIFS(scans!$C$2:$C$1601,$C286,scans!$D$2:$D$1601,$D286)&gt;1,"two readings of this type: keep one; ",""))</f>
        <v/>
      </c>
    </row>
    <row r="287">
      <c r="A287" s="9" t="n"/>
      <c r="B287" s="33" t="n"/>
      <c r="G287" s="25">
        <f>IF($C287="","",IFERROR(IF(INDEX(links!$A$2:$A$501,MATCH($C287,links!$D$2:$D$501,0))="","",INDEX(links!$A$2:$A$501,MATCH($C287,links!$D$2:$D$501,0))),""))</f>
        <v/>
      </c>
      <c r="H287" s="25">
        <f>IF($C287="","",IFERROR(IF(INDEX(links!$B$2:$B$501,MATCH($C287,links!$D$2:$D$501,0))="","",INDEX(links!$B$2:$B$501,MATCH($C287,links!$D$2:$D$501,0))),""))</f>
        <v/>
      </c>
      <c r="I287" s="25">
        <f>IF($C287="","",IFERROR(IF(INDEX(links!$C$2:$C$501,MATCH($C287,links!$D$2:$D$501,0))="","",INDEX(links!$C$2:$C$501,MATCH($C287,links!$D$2:$D$501,0))),""))</f>
        <v/>
      </c>
      <c r="J287" s="25">
        <f>IF($C287="","",IF($G287="","slug not in links; ","")&amp;IF($D287="","reading type missing; ","")&amp;IF(COUNTIFS(scans!$C$2:$C$1601,$C287,scans!$D$2:$D$1601,$D287)&gt;1,"two readings of this type: keep one; ",""))</f>
        <v/>
      </c>
    </row>
    <row r="288">
      <c r="A288" s="9" t="n"/>
      <c r="B288" s="33" t="n"/>
      <c r="G288" s="25">
        <f>IF($C288="","",IFERROR(IF(INDEX(links!$A$2:$A$501,MATCH($C288,links!$D$2:$D$501,0))="","",INDEX(links!$A$2:$A$501,MATCH($C288,links!$D$2:$D$501,0))),""))</f>
        <v/>
      </c>
      <c r="H288" s="25">
        <f>IF($C288="","",IFERROR(IF(INDEX(links!$B$2:$B$501,MATCH($C288,links!$D$2:$D$501,0))="","",INDEX(links!$B$2:$B$501,MATCH($C288,links!$D$2:$D$501,0))),""))</f>
        <v/>
      </c>
      <c r="I288" s="25">
        <f>IF($C288="","",IFERROR(IF(INDEX(links!$C$2:$C$501,MATCH($C288,links!$D$2:$D$501,0))="","",INDEX(links!$C$2:$C$501,MATCH($C288,links!$D$2:$D$501,0))),""))</f>
        <v/>
      </c>
      <c r="J288" s="25">
        <f>IF($C288="","",IF($G288="","slug not in links; ","")&amp;IF($D288="","reading type missing; ","")&amp;IF(COUNTIFS(scans!$C$2:$C$1601,$C288,scans!$D$2:$D$1601,$D288)&gt;1,"two readings of this type: keep one; ",""))</f>
        <v/>
      </c>
    </row>
    <row r="289">
      <c r="A289" s="9" t="n"/>
      <c r="B289" s="33" t="n"/>
      <c r="G289" s="25">
        <f>IF($C289="","",IFERROR(IF(INDEX(links!$A$2:$A$501,MATCH($C289,links!$D$2:$D$501,0))="","",INDEX(links!$A$2:$A$501,MATCH($C289,links!$D$2:$D$501,0))),""))</f>
        <v/>
      </c>
      <c r="H289" s="25">
        <f>IF($C289="","",IFERROR(IF(INDEX(links!$B$2:$B$501,MATCH($C289,links!$D$2:$D$501,0))="","",INDEX(links!$B$2:$B$501,MATCH($C289,links!$D$2:$D$501,0))),""))</f>
        <v/>
      </c>
      <c r="I289" s="25">
        <f>IF($C289="","",IFERROR(IF(INDEX(links!$C$2:$C$501,MATCH($C289,links!$D$2:$D$501,0))="","",INDEX(links!$C$2:$C$501,MATCH($C289,links!$D$2:$D$501,0))),""))</f>
        <v/>
      </c>
      <c r="J289" s="25">
        <f>IF($C289="","",IF($G289="","slug not in links; ","")&amp;IF($D289="","reading type missing; ","")&amp;IF(COUNTIFS(scans!$C$2:$C$1601,$C289,scans!$D$2:$D$1601,$D289)&gt;1,"two readings of this type: keep one; ",""))</f>
        <v/>
      </c>
    </row>
    <row r="290">
      <c r="A290" s="9" t="n"/>
      <c r="B290" s="33" t="n"/>
      <c r="G290" s="25">
        <f>IF($C290="","",IFERROR(IF(INDEX(links!$A$2:$A$501,MATCH($C290,links!$D$2:$D$501,0))="","",INDEX(links!$A$2:$A$501,MATCH($C290,links!$D$2:$D$501,0))),""))</f>
        <v/>
      </c>
      <c r="H290" s="25">
        <f>IF($C290="","",IFERROR(IF(INDEX(links!$B$2:$B$501,MATCH($C290,links!$D$2:$D$501,0))="","",INDEX(links!$B$2:$B$501,MATCH($C290,links!$D$2:$D$501,0))),""))</f>
        <v/>
      </c>
      <c r="I290" s="25">
        <f>IF($C290="","",IFERROR(IF(INDEX(links!$C$2:$C$501,MATCH($C290,links!$D$2:$D$501,0))="","",INDEX(links!$C$2:$C$501,MATCH($C290,links!$D$2:$D$501,0))),""))</f>
        <v/>
      </c>
      <c r="J290" s="25">
        <f>IF($C290="","",IF($G290="","slug not in links; ","")&amp;IF($D290="","reading type missing; ","")&amp;IF(COUNTIFS(scans!$C$2:$C$1601,$C290,scans!$D$2:$D$1601,$D290)&gt;1,"two readings of this type: keep one; ",""))</f>
        <v/>
      </c>
    </row>
    <row r="291">
      <c r="A291" s="9" t="n"/>
      <c r="B291" s="33" t="n"/>
      <c r="G291" s="25">
        <f>IF($C291="","",IFERROR(IF(INDEX(links!$A$2:$A$501,MATCH($C291,links!$D$2:$D$501,0))="","",INDEX(links!$A$2:$A$501,MATCH($C291,links!$D$2:$D$501,0))),""))</f>
        <v/>
      </c>
      <c r="H291" s="25">
        <f>IF($C291="","",IFERROR(IF(INDEX(links!$B$2:$B$501,MATCH($C291,links!$D$2:$D$501,0))="","",INDEX(links!$B$2:$B$501,MATCH($C291,links!$D$2:$D$501,0))),""))</f>
        <v/>
      </c>
      <c r="I291" s="25">
        <f>IF($C291="","",IFERROR(IF(INDEX(links!$C$2:$C$501,MATCH($C291,links!$D$2:$D$501,0))="","",INDEX(links!$C$2:$C$501,MATCH($C291,links!$D$2:$D$501,0))),""))</f>
        <v/>
      </c>
      <c r="J291" s="25">
        <f>IF($C291="","",IF($G291="","slug not in links; ","")&amp;IF($D291="","reading type missing; ","")&amp;IF(COUNTIFS(scans!$C$2:$C$1601,$C291,scans!$D$2:$D$1601,$D291)&gt;1,"two readings of this type: keep one; ",""))</f>
        <v/>
      </c>
    </row>
    <row r="292">
      <c r="A292" s="9" t="n"/>
      <c r="B292" s="33" t="n"/>
      <c r="G292" s="25">
        <f>IF($C292="","",IFERROR(IF(INDEX(links!$A$2:$A$501,MATCH($C292,links!$D$2:$D$501,0))="","",INDEX(links!$A$2:$A$501,MATCH($C292,links!$D$2:$D$501,0))),""))</f>
        <v/>
      </c>
      <c r="H292" s="25">
        <f>IF($C292="","",IFERROR(IF(INDEX(links!$B$2:$B$501,MATCH($C292,links!$D$2:$D$501,0))="","",INDEX(links!$B$2:$B$501,MATCH($C292,links!$D$2:$D$501,0))),""))</f>
        <v/>
      </c>
      <c r="I292" s="25">
        <f>IF($C292="","",IFERROR(IF(INDEX(links!$C$2:$C$501,MATCH($C292,links!$D$2:$D$501,0))="","",INDEX(links!$C$2:$C$501,MATCH($C292,links!$D$2:$D$501,0))),""))</f>
        <v/>
      </c>
      <c r="J292" s="25">
        <f>IF($C292="","",IF($G292="","slug not in links; ","")&amp;IF($D292="","reading type missing; ","")&amp;IF(COUNTIFS(scans!$C$2:$C$1601,$C292,scans!$D$2:$D$1601,$D292)&gt;1,"two readings of this type: keep one; ",""))</f>
        <v/>
      </c>
    </row>
    <row r="293">
      <c r="A293" s="9" t="n"/>
      <c r="B293" s="33" t="n"/>
      <c r="G293" s="25">
        <f>IF($C293="","",IFERROR(IF(INDEX(links!$A$2:$A$501,MATCH($C293,links!$D$2:$D$501,0))="","",INDEX(links!$A$2:$A$501,MATCH($C293,links!$D$2:$D$501,0))),""))</f>
        <v/>
      </c>
      <c r="H293" s="25">
        <f>IF($C293="","",IFERROR(IF(INDEX(links!$B$2:$B$501,MATCH($C293,links!$D$2:$D$501,0))="","",INDEX(links!$B$2:$B$501,MATCH($C293,links!$D$2:$D$501,0))),""))</f>
        <v/>
      </c>
      <c r="I293" s="25">
        <f>IF($C293="","",IFERROR(IF(INDEX(links!$C$2:$C$501,MATCH($C293,links!$D$2:$D$501,0))="","",INDEX(links!$C$2:$C$501,MATCH($C293,links!$D$2:$D$501,0))),""))</f>
        <v/>
      </c>
      <c r="J293" s="25">
        <f>IF($C293="","",IF($G293="","slug not in links; ","")&amp;IF($D293="","reading type missing; ","")&amp;IF(COUNTIFS(scans!$C$2:$C$1601,$C293,scans!$D$2:$D$1601,$D293)&gt;1,"two readings of this type: keep one; ",""))</f>
        <v/>
      </c>
    </row>
    <row r="294">
      <c r="A294" s="9" t="n"/>
      <c r="B294" s="33" t="n"/>
      <c r="G294" s="25">
        <f>IF($C294="","",IFERROR(IF(INDEX(links!$A$2:$A$501,MATCH($C294,links!$D$2:$D$501,0))="","",INDEX(links!$A$2:$A$501,MATCH($C294,links!$D$2:$D$501,0))),""))</f>
        <v/>
      </c>
      <c r="H294" s="25">
        <f>IF($C294="","",IFERROR(IF(INDEX(links!$B$2:$B$501,MATCH($C294,links!$D$2:$D$501,0))="","",INDEX(links!$B$2:$B$501,MATCH($C294,links!$D$2:$D$501,0))),""))</f>
        <v/>
      </c>
      <c r="I294" s="25">
        <f>IF($C294="","",IFERROR(IF(INDEX(links!$C$2:$C$501,MATCH($C294,links!$D$2:$D$501,0))="","",INDEX(links!$C$2:$C$501,MATCH($C294,links!$D$2:$D$501,0))),""))</f>
        <v/>
      </c>
      <c r="J294" s="25">
        <f>IF($C294="","",IF($G294="","slug not in links; ","")&amp;IF($D294="","reading type missing; ","")&amp;IF(COUNTIFS(scans!$C$2:$C$1601,$C294,scans!$D$2:$D$1601,$D294)&gt;1,"two readings of this type: keep one; ",""))</f>
        <v/>
      </c>
    </row>
    <row r="295">
      <c r="A295" s="9" t="n"/>
      <c r="B295" s="33" t="n"/>
      <c r="G295" s="25">
        <f>IF($C295="","",IFERROR(IF(INDEX(links!$A$2:$A$501,MATCH($C295,links!$D$2:$D$501,0))="","",INDEX(links!$A$2:$A$501,MATCH($C295,links!$D$2:$D$501,0))),""))</f>
        <v/>
      </c>
      <c r="H295" s="25">
        <f>IF($C295="","",IFERROR(IF(INDEX(links!$B$2:$B$501,MATCH($C295,links!$D$2:$D$501,0))="","",INDEX(links!$B$2:$B$501,MATCH($C295,links!$D$2:$D$501,0))),""))</f>
        <v/>
      </c>
      <c r="I295" s="25">
        <f>IF($C295="","",IFERROR(IF(INDEX(links!$C$2:$C$501,MATCH($C295,links!$D$2:$D$501,0))="","",INDEX(links!$C$2:$C$501,MATCH($C295,links!$D$2:$D$501,0))),""))</f>
        <v/>
      </c>
      <c r="J295" s="25">
        <f>IF($C295="","",IF($G295="","slug not in links; ","")&amp;IF($D295="","reading type missing; ","")&amp;IF(COUNTIFS(scans!$C$2:$C$1601,$C295,scans!$D$2:$D$1601,$D295)&gt;1,"two readings of this type: keep one; ",""))</f>
        <v/>
      </c>
    </row>
    <row r="296">
      <c r="A296" s="9" t="n"/>
      <c r="B296" s="33" t="n"/>
      <c r="G296" s="25">
        <f>IF($C296="","",IFERROR(IF(INDEX(links!$A$2:$A$501,MATCH($C296,links!$D$2:$D$501,0))="","",INDEX(links!$A$2:$A$501,MATCH($C296,links!$D$2:$D$501,0))),""))</f>
        <v/>
      </c>
      <c r="H296" s="25">
        <f>IF($C296="","",IFERROR(IF(INDEX(links!$B$2:$B$501,MATCH($C296,links!$D$2:$D$501,0))="","",INDEX(links!$B$2:$B$501,MATCH($C296,links!$D$2:$D$501,0))),""))</f>
        <v/>
      </c>
      <c r="I296" s="25">
        <f>IF($C296="","",IFERROR(IF(INDEX(links!$C$2:$C$501,MATCH($C296,links!$D$2:$D$501,0))="","",INDEX(links!$C$2:$C$501,MATCH($C296,links!$D$2:$D$501,0))),""))</f>
        <v/>
      </c>
      <c r="J296" s="25">
        <f>IF($C296="","",IF($G296="","slug not in links; ","")&amp;IF($D296="","reading type missing; ","")&amp;IF(COUNTIFS(scans!$C$2:$C$1601,$C296,scans!$D$2:$D$1601,$D296)&gt;1,"two readings of this type: keep one; ",""))</f>
        <v/>
      </c>
    </row>
    <row r="297">
      <c r="A297" s="9" t="n"/>
      <c r="B297" s="33" t="n"/>
      <c r="G297" s="25">
        <f>IF($C297="","",IFERROR(IF(INDEX(links!$A$2:$A$501,MATCH($C297,links!$D$2:$D$501,0))="","",INDEX(links!$A$2:$A$501,MATCH($C297,links!$D$2:$D$501,0))),""))</f>
        <v/>
      </c>
      <c r="H297" s="25">
        <f>IF($C297="","",IFERROR(IF(INDEX(links!$B$2:$B$501,MATCH($C297,links!$D$2:$D$501,0))="","",INDEX(links!$B$2:$B$501,MATCH($C297,links!$D$2:$D$501,0))),""))</f>
        <v/>
      </c>
      <c r="I297" s="25">
        <f>IF($C297="","",IFERROR(IF(INDEX(links!$C$2:$C$501,MATCH($C297,links!$D$2:$D$501,0))="","",INDEX(links!$C$2:$C$501,MATCH($C297,links!$D$2:$D$501,0))),""))</f>
        <v/>
      </c>
      <c r="J297" s="25">
        <f>IF($C297="","",IF($G297="","slug not in links; ","")&amp;IF($D297="","reading type missing; ","")&amp;IF(COUNTIFS(scans!$C$2:$C$1601,$C297,scans!$D$2:$D$1601,$D297)&gt;1,"two readings of this type: keep one; ",""))</f>
        <v/>
      </c>
    </row>
    <row r="298">
      <c r="A298" s="9" t="n"/>
      <c r="B298" s="33" t="n"/>
      <c r="G298" s="25">
        <f>IF($C298="","",IFERROR(IF(INDEX(links!$A$2:$A$501,MATCH($C298,links!$D$2:$D$501,0))="","",INDEX(links!$A$2:$A$501,MATCH($C298,links!$D$2:$D$501,0))),""))</f>
        <v/>
      </c>
      <c r="H298" s="25">
        <f>IF($C298="","",IFERROR(IF(INDEX(links!$B$2:$B$501,MATCH($C298,links!$D$2:$D$501,0))="","",INDEX(links!$B$2:$B$501,MATCH($C298,links!$D$2:$D$501,0))),""))</f>
        <v/>
      </c>
      <c r="I298" s="25">
        <f>IF($C298="","",IFERROR(IF(INDEX(links!$C$2:$C$501,MATCH($C298,links!$D$2:$D$501,0))="","",INDEX(links!$C$2:$C$501,MATCH($C298,links!$D$2:$D$501,0))),""))</f>
        <v/>
      </c>
      <c r="J298" s="25">
        <f>IF($C298="","",IF($G298="","slug not in links; ","")&amp;IF($D298="","reading type missing; ","")&amp;IF(COUNTIFS(scans!$C$2:$C$1601,$C298,scans!$D$2:$D$1601,$D298)&gt;1,"two readings of this type: keep one; ",""))</f>
        <v/>
      </c>
    </row>
    <row r="299">
      <c r="A299" s="9" t="n"/>
      <c r="B299" s="33" t="n"/>
      <c r="G299" s="25">
        <f>IF($C299="","",IFERROR(IF(INDEX(links!$A$2:$A$501,MATCH($C299,links!$D$2:$D$501,0))="","",INDEX(links!$A$2:$A$501,MATCH($C299,links!$D$2:$D$501,0))),""))</f>
        <v/>
      </c>
      <c r="H299" s="25">
        <f>IF($C299="","",IFERROR(IF(INDEX(links!$B$2:$B$501,MATCH($C299,links!$D$2:$D$501,0))="","",INDEX(links!$B$2:$B$501,MATCH($C299,links!$D$2:$D$501,0))),""))</f>
        <v/>
      </c>
      <c r="I299" s="25">
        <f>IF($C299="","",IFERROR(IF(INDEX(links!$C$2:$C$501,MATCH($C299,links!$D$2:$D$501,0))="","",INDEX(links!$C$2:$C$501,MATCH($C299,links!$D$2:$D$501,0))),""))</f>
        <v/>
      </c>
      <c r="J299" s="25">
        <f>IF($C299="","",IF($G299="","slug not in links; ","")&amp;IF($D299="","reading type missing; ","")&amp;IF(COUNTIFS(scans!$C$2:$C$1601,$C299,scans!$D$2:$D$1601,$D299)&gt;1,"two readings of this type: keep one; ",""))</f>
        <v/>
      </c>
    </row>
    <row r="300">
      <c r="A300" s="9" t="n"/>
      <c r="B300" s="33" t="n"/>
      <c r="G300" s="25">
        <f>IF($C300="","",IFERROR(IF(INDEX(links!$A$2:$A$501,MATCH($C300,links!$D$2:$D$501,0))="","",INDEX(links!$A$2:$A$501,MATCH($C300,links!$D$2:$D$501,0))),""))</f>
        <v/>
      </c>
      <c r="H300" s="25">
        <f>IF($C300="","",IFERROR(IF(INDEX(links!$B$2:$B$501,MATCH($C300,links!$D$2:$D$501,0))="","",INDEX(links!$B$2:$B$501,MATCH($C300,links!$D$2:$D$501,0))),""))</f>
        <v/>
      </c>
      <c r="I300" s="25">
        <f>IF($C300="","",IFERROR(IF(INDEX(links!$C$2:$C$501,MATCH($C300,links!$D$2:$D$501,0))="","",INDEX(links!$C$2:$C$501,MATCH($C300,links!$D$2:$D$501,0))),""))</f>
        <v/>
      </c>
      <c r="J300" s="25">
        <f>IF($C300="","",IF($G300="","slug not in links; ","")&amp;IF($D300="","reading type missing; ","")&amp;IF(COUNTIFS(scans!$C$2:$C$1601,$C300,scans!$D$2:$D$1601,$D300)&gt;1,"two readings of this type: keep one; ",""))</f>
        <v/>
      </c>
    </row>
    <row r="301">
      <c r="A301" s="9" t="n"/>
      <c r="B301" s="33" t="n"/>
      <c r="G301" s="25">
        <f>IF($C301="","",IFERROR(IF(INDEX(links!$A$2:$A$501,MATCH($C301,links!$D$2:$D$501,0))="","",INDEX(links!$A$2:$A$501,MATCH($C301,links!$D$2:$D$501,0))),""))</f>
        <v/>
      </c>
      <c r="H301" s="25">
        <f>IF($C301="","",IFERROR(IF(INDEX(links!$B$2:$B$501,MATCH($C301,links!$D$2:$D$501,0))="","",INDEX(links!$B$2:$B$501,MATCH($C301,links!$D$2:$D$501,0))),""))</f>
        <v/>
      </c>
      <c r="I301" s="25">
        <f>IF($C301="","",IFERROR(IF(INDEX(links!$C$2:$C$501,MATCH($C301,links!$D$2:$D$501,0))="","",INDEX(links!$C$2:$C$501,MATCH($C301,links!$D$2:$D$501,0))),""))</f>
        <v/>
      </c>
      <c r="J301" s="25">
        <f>IF($C301="","",IF($G301="","slug not in links; ","")&amp;IF($D301="","reading type missing; ","")&amp;IF(COUNTIFS(scans!$C$2:$C$1601,$C301,scans!$D$2:$D$1601,$D301)&gt;1,"two readings of this type: keep one; ",""))</f>
        <v/>
      </c>
    </row>
    <row r="302">
      <c r="A302" s="9" t="n"/>
      <c r="B302" s="33" t="n"/>
      <c r="G302" s="25">
        <f>IF($C302="","",IFERROR(IF(INDEX(links!$A$2:$A$501,MATCH($C302,links!$D$2:$D$501,0))="","",INDEX(links!$A$2:$A$501,MATCH($C302,links!$D$2:$D$501,0))),""))</f>
        <v/>
      </c>
      <c r="H302" s="25">
        <f>IF($C302="","",IFERROR(IF(INDEX(links!$B$2:$B$501,MATCH($C302,links!$D$2:$D$501,0))="","",INDEX(links!$B$2:$B$501,MATCH($C302,links!$D$2:$D$501,0))),""))</f>
        <v/>
      </c>
      <c r="I302" s="25">
        <f>IF($C302="","",IFERROR(IF(INDEX(links!$C$2:$C$501,MATCH($C302,links!$D$2:$D$501,0))="","",INDEX(links!$C$2:$C$501,MATCH($C302,links!$D$2:$D$501,0))),""))</f>
        <v/>
      </c>
      <c r="J302" s="25">
        <f>IF($C302="","",IF($G302="","slug not in links; ","")&amp;IF($D302="","reading type missing; ","")&amp;IF(COUNTIFS(scans!$C$2:$C$1601,$C302,scans!$D$2:$D$1601,$D302)&gt;1,"two readings of this type: keep one; ",""))</f>
        <v/>
      </c>
    </row>
    <row r="303">
      <c r="A303" s="9" t="n"/>
      <c r="B303" s="33" t="n"/>
      <c r="G303" s="25">
        <f>IF($C303="","",IFERROR(IF(INDEX(links!$A$2:$A$501,MATCH($C303,links!$D$2:$D$501,0))="","",INDEX(links!$A$2:$A$501,MATCH($C303,links!$D$2:$D$501,0))),""))</f>
        <v/>
      </c>
      <c r="H303" s="25">
        <f>IF($C303="","",IFERROR(IF(INDEX(links!$B$2:$B$501,MATCH($C303,links!$D$2:$D$501,0))="","",INDEX(links!$B$2:$B$501,MATCH($C303,links!$D$2:$D$501,0))),""))</f>
        <v/>
      </c>
      <c r="I303" s="25">
        <f>IF($C303="","",IFERROR(IF(INDEX(links!$C$2:$C$501,MATCH($C303,links!$D$2:$D$501,0))="","",INDEX(links!$C$2:$C$501,MATCH($C303,links!$D$2:$D$501,0))),""))</f>
        <v/>
      </c>
      <c r="J303" s="25">
        <f>IF($C303="","",IF($G303="","slug not in links; ","")&amp;IF($D303="","reading type missing; ","")&amp;IF(COUNTIFS(scans!$C$2:$C$1601,$C303,scans!$D$2:$D$1601,$D303)&gt;1,"two readings of this type: keep one; ",""))</f>
        <v/>
      </c>
    </row>
    <row r="304">
      <c r="A304" s="9" t="n"/>
      <c r="B304" s="33" t="n"/>
      <c r="G304" s="25">
        <f>IF($C304="","",IFERROR(IF(INDEX(links!$A$2:$A$501,MATCH($C304,links!$D$2:$D$501,0))="","",INDEX(links!$A$2:$A$501,MATCH($C304,links!$D$2:$D$501,0))),""))</f>
        <v/>
      </c>
      <c r="H304" s="25">
        <f>IF($C304="","",IFERROR(IF(INDEX(links!$B$2:$B$501,MATCH($C304,links!$D$2:$D$501,0))="","",INDEX(links!$B$2:$B$501,MATCH($C304,links!$D$2:$D$501,0))),""))</f>
        <v/>
      </c>
      <c r="I304" s="25">
        <f>IF($C304="","",IFERROR(IF(INDEX(links!$C$2:$C$501,MATCH($C304,links!$D$2:$D$501,0))="","",INDEX(links!$C$2:$C$501,MATCH($C304,links!$D$2:$D$501,0))),""))</f>
        <v/>
      </c>
      <c r="J304" s="25">
        <f>IF($C304="","",IF($G304="","slug not in links; ","")&amp;IF($D304="","reading type missing; ","")&amp;IF(COUNTIFS(scans!$C$2:$C$1601,$C304,scans!$D$2:$D$1601,$D304)&gt;1,"two readings of this type: keep one; ",""))</f>
        <v/>
      </c>
    </row>
    <row r="305">
      <c r="A305" s="9" t="n"/>
      <c r="B305" s="33" t="n"/>
      <c r="G305" s="25">
        <f>IF($C305="","",IFERROR(IF(INDEX(links!$A$2:$A$501,MATCH($C305,links!$D$2:$D$501,0))="","",INDEX(links!$A$2:$A$501,MATCH($C305,links!$D$2:$D$501,0))),""))</f>
        <v/>
      </c>
      <c r="H305" s="25">
        <f>IF($C305="","",IFERROR(IF(INDEX(links!$B$2:$B$501,MATCH($C305,links!$D$2:$D$501,0))="","",INDEX(links!$B$2:$B$501,MATCH($C305,links!$D$2:$D$501,0))),""))</f>
        <v/>
      </c>
      <c r="I305" s="25">
        <f>IF($C305="","",IFERROR(IF(INDEX(links!$C$2:$C$501,MATCH($C305,links!$D$2:$D$501,0))="","",INDEX(links!$C$2:$C$501,MATCH($C305,links!$D$2:$D$501,0))),""))</f>
        <v/>
      </c>
      <c r="J305" s="25">
        <f>IF($C305="","",IF($G305="","slug not in links; ","")&amp;IF($D305="","reading type missing; ","")&amp;IF(COUNTIFS(scans!$C$2:$C$1601,$C305,scans!$D$2:$D$1601,$D305)&gt;1,"two readings of this type: keep one; ",""))</f>
        <v/>
      </c>
    </row>
    <row r="306">
      <c r="A306" s="9" t="n"/>
      <c r="B306" s="33" t="n"/>
      <c r="G306" s="25">
        <f>IF($C306="","",IFERROR(IF(INDEX(links!$A$2:$A$501,MATCH($C306,links!$D$2:$D$501,0))="","",INDEX(links!$A$2:$A$501,MATCH($C306,links!$D$2:$D$501,0))),""))</f>
        <v/>
      </c>
      <c r="H306" s="25">
        <f>IF($C306="","",IFERROR(IF(INDEX(links!$B$2:$B$501,MATCH($C306,links!$D$2:$D$501,0))="","",INDEX(links!$B$2:$B$501,MATCH($C306,links!$D$2:$D$501,0))),""))</f>
        <v/>
      </c>
      <c r="I306" s="25">
        <f>IF($C306="","",IFERROR(IF(INDEX(links!$C$2:$C$501,MATCH($C306,links!$D$2:$D$501,0))="","",INDEX(links!$C$2:$C$501,MATCH($C306,links!$D$2:$D$501,0))),""))</f>
        <v/>
      </c>
      <c r="J306" s="25">
        <f>IF($C306="","",IF($G306="","slug not in links; ","")&amp;IF($D306="","reading type missing; ","")&amp;IF(COUNTIFS(scans!$C$2:$C$1601,$C306,scans!$D$2:$D$1601,$D306)&gt;1,"two readings of this type: keep one; ",""))</f>
        <v/>
      </c>
    </row>
    <row r="307">
      <c r="A307" s="9" t="n"/>
      <c r="B307" s="33" t="n"/>
      <c r="G307" s="25">
        <f>IF($C307="","",IFERROR(IF(INDEX(links!$A$2:$A$501,MATCH($C307,links!$D$2:$D$501,0))="","",INDEX(links!$A$2:$A$501,MATCH($C307,links!$D$2:$D$501,0))),""))</f>
        <v/>
      </c>
      <c r="H307" s="25">
        <f>IF($C307="","",IFERROR(IF(INDEX(links!$B$2:$B$501,MATCH($C307,links!$D$2:$D$501,0))="","",INDEX(links!$B$2:$B$501,MATCH($C307,links!$D$2:$D$501,0))),""))</f>
        <v/>
      </c>
      <c r="I307" s="25">
        <f>IF($C307="","",IFERROR(IF(INDEX(links!$C$2:$C$501,MATCH($C307,links!$D$2:$D$501,0))="","",INDEX(links!$C$2:$C$501,MATCH($C307,links!$D$2:$D$501,0))),""))</f>
        <v/>
      </c>
      <c r="J307" s="25">
        <f>IF($C307="","",IF($G307="","slug not in links; ","")&amp;IF($D307="","reading type missing; ","")&amp;IF(COUNTIFS(scans!$C$2:$C$1601,$C307,scans!$D$2:$D$1601,$D307)&gt;1,"two readings of this type: keep one; ",""))</f>
        <v/>
      </c>
    </row>
    <row r="308">
      <c r="A308" s="9" t="n"/>
      <c r="B308" s="33" t="n"/>
      <c r="G308" s="25">
        <f>IF($C308="","",IFERROR(IF(INDEX(links!$A$2:$A$501,MATCH($C308,links!$D$2:$D$501,0))="","",INDEX(links!$A$2:$A$501,MATCH($C308,links!$D$2:$D$501,0))),""))</f>
        <v/>
      </c>
      <c r="H308" s="25">
        <f>IF($C308="","",IFERROR(IF(INDEX(links!$B$2:$B$501,MATCH($C308,links!$D$2:$D$501,0))="","",INDEX(links!$B$2:$B$501,MATCH($C308,links!$D$2:$D$501,0))),""))</f>
        <v/>
      </c>
      <c r="I308" s="25">
        <f>IF($C308="","",IFERROR(IF(INDEX(links!$C$2:$C$501,MATCH($C308,links!$D$2:$D$501,0))="","",INDEX(links!$C$2:$C$501,MATCH($C308,links!$D$2:$D$501,0))),""))</f>
        <v/>
      </c>
      <c r="J308" s="25">
        <f>IF($C308="","",IF($G308="","slug not in links; ","")&amp;IF($D308="","reading type missing; ","")&amp;IF(COUNTIFS(scans!$C$2:$C$1601,$C308,scans!$D$2:$D$1601,$D308)&gt;1,"two readings of this type: keep one; ",""))</f>
        <v/>
      </c>
    </row>
    <row r="309">
      <c r="A309" s="9" t="n"/>
      <c r="B309" s="33" t="n"/>
      <c r="G309" s="25">
        <f>IF($C309="","",IFERROR(IF(INDEX(links!$A$2:$A$501,MATCH($C309,links!$D$2:$D$501,0))="","",INDEX(links!$A$2:$A$501,MATCH($C309,links!$D$2:$D$501,0))),""))</f>
        <v/>
      </c>
      <c r="H309" s="25">
        <f>IF($C309="","",IFERROR(IF(INDEX(links!$B$2:$B$501,MATCH($C309,links!$D$2:$D$501,0))="","",INDEX(links!$B$2:$B$501,MATCH($C309,links!$D$2:$D$501,0))),""))</f>
        <v/>
      </c>
      <c r="I309" s="25">
        <f>IF($C309="","",IFERROR(IF(INDEX(links!$C$2:$C$501,MATCH($C309,links!$D$2:$D$501,0))="","",INDEX(links!$C$2:$C$501,MATCH($C309,links!$D$2:$D$501,0))),""))</f>
        <v/>
      </c>
      <c r="J309" s="25">
        <f>IF($C309="","",IF($G309="","slug not in links; ","")&amp;IF($D309="","reading type missing; ","")&amp;IF(COUNTIFS(scans!$C$2:$C$1601,$C309,scans!$D$2:$D$1601,$D309)&gt;1,"two readings of this type: keep one; ",""))</f>
        <v/>
      </c>
    </row>
    <row r="310">
      <c r="A310" s="9" t="n"/>
      <c r="B310" s="33" t="n"/>
      <c r="G310" s="25">
        <f>IF($C310="","",IFERROR(IF(INDEX(links!$A$2:$A$501,MATCH($C310,links!$D$2:$D$501,0))="","",INDEX(links!$A$2:$A$501,MATCH($C310,links!$D$2:$D$501,0))),""))</f>
        <v/>
      </c>
      <c r="H310" s="25">
        <f>IF($C310="","",IFERROR(IF(INDEX(links!$B$2:$B$501,MATCH($C310,links!$D$2:$D$501,0))="","",INDEX(links!$B$2:$B$501,MATCH($C310,links!$D$2:$D$501,0))),""))</f>
        <v/>
      </c>
      <c r="I310" s="25">
        <f>IF($C310="","",IFERROR(IF(INDEX(links!$C$2:$C$501,MATCH($C310,links!$D$2:$D$501,0))="","",INDEX(links!$C$2:$C$501,MATCH($C310,links!$D$2:$D$501,0))),""))</f>
        <v/>
      </c>
      <c r="J310" s="25">
        <f>IF($C310="","",IF($G310="","slug not in links; ","")&amp;IF($D310="","reading type missing; ","")&amp;IF(COUNTIFS(scans!$C$2:$C$1601,$C310,scans!$D$2:$D$1601,$D310)&gt;1,"two readings of this type: keep one; ",""))</f>
        <v/>
      </c>
    </row>
    <row r="311">
      <c r="A311" s="9" t="n"/>
      <c r="B311" s="33" t="n"/>
      <c r="G311" s="25">
        <f>IF($C311="","",IFERROR(IF(INDEX(links!$A$2:$A$501,MATCH($C311,links!$D$2:$D$501,0))="","",INDEX(links!$A$2:$A$501,MATCH($C311,links!$D$2:$D$501,0))),""))</f>
        <v/>
      </c>
      <c r="H311" s="25">
        <f>IF($C311="","",IFERROR(IF(INDEX(links!$B$2:$B$501,MATCH($C311,links!$D$2:$D$501,0))="","",INDEX(links!$B$2:$B$501,MATCH($C311,links!$D$2:$D$501,0))),""))</f>
        <v/>
      </c>
      <c r="I311" s="25">
        <f>IF($C311="","",IFERROR(IF(INDEX(links!$C$2:$C$501,MATCH($C311,links!$D$2:$D$501,0))="","",INDEX(links!$C$2:$C$501,MATCH($C311,links!$D$2:$D$501,0))),""))</f>
        <v/>
      </c>
      <c r="J311" s="25">
        <f>IF($C311="","",IF($G311="","slug not in links; ","")&amp;IF($D311="","reading type missing; ","")&amp;IF(COUNTIFS(scans!$C$2:$C$1601,$C311,scans!$D$2:$D$1601,$D311)&gt;1,"two readings of this type: keep one; ",""))</f>
        <v/>
      </c>
    </row>
    <row r="312">
      <c r="A312" s="9" t="n"/>
      <c r="B312" s="33" t="n"/>
      <c r="G312" s="25">
        <f>IF($C312="","",IFERROR(IF(INDEX(links!$A$2:$A$501,MATCH($C312,links!$D$2:$D$501,0))="","",INDEX(links!$A$2:$A$501,MATCH($C312,links!$D$2:$D$501,0))),""))</f>
        <v/>
      </c>
      <c r="H312" s="25">
        <f>IF($C312="","",IFERROR(IF(INDEX(links!$B$2:$B$501,MATCH($C312,links!$D$2:$D$501,0))="","",INDEX(links!$B$2:$B$501,MATCH($C312,links!$D$2:$D$501,0))),""))</f>
        <v/>
      </c>
      <c r="I312" s="25">
        <f>IF($C312="","",IFERROR(IF(INDEX(links!$C$2:$C$501,MATCH($C312,links!$D$2:$D$501,0))="","",INDEX(links!$C$2:$C$501,MATCH($C312,links!$D$2:$D$501,0))),""))</f>
        <v/>
      </c>
      <c r="J312" s="25">
        <f>IF($C312="","",IF($G312="","slug not in links; ","")&amp;IF($D312="","reading type missing; ","")&amp;IF(COUNTIFS(scans!$C$2:$C$1601,$C312,scans!$D$2:$D$1601,$D312)&gt;1,"two readings of this type: keep one; ",""))</f>
        <v/>
      </c>
    </row>
    <row r="313">
      <c r="A313" s="9" t="n"/>
      <c r="B313" s="33" t="n"/>
      <c r="G313" s="25">
        <f>IF($C313="","",IFERROR(IF(INDEX(links!$A$2:$A$501,MATCH($C313,links!$D$2:$D$501,0))="","",INDEX(links!$A$2:$A$501,MATCH($C313,links!$D$2:$D$501,0))),""))</f>
        <v/>
      </c>
      <c r="H313" s="25">
        <f>IF($C313="","",IFERROR(IF(INDEX(links!$B$2:$B$501,MATCH($C313,links!$D$2:$D$501,0))="","",INDEX(links!$B$2:$B$501,MATCH($C313,links!$D$2:$D$501,0))),""))</f>
        <v/>
      </c>
      <c r="I313" s="25">
        <f>IF($C313="","",IFERROR(IF(INDEX(links!$C$2:$C$501,MATCH($C313,links!$D$2:$D$501,0))="","",INDEX(links!$C$2:$C$501,MATCH($C313,links!$D$2:$D$501,0))),""))</f>
        <v/>
      </c>
      <c r="J313" s="25">
        <f>IF($C313="","",IF($G313="","slug not in links; ","")&amp;IF($D313="","reading type missing; ","")&amp;IF(COUNTIFS(scans!$C$2:$C$1601,$C313,scans!$D$2:$D$1601,$D313)&gt;1,"two readings of this type: keep one; ",""))</f>
        <v/>
      </c>
    </row>
    <row r="314">
      <c r="A314" s="9" t="n"/>
      <c r="B314" s="33" t="n"/>
      <c r="G314" s="25">
        <f>IF($C314="","",IFERROR(IF(INDEX(links!$A$2:$A$501,MATCH($C314,links!$D$2:$D$501,0))="","",INDEX(links!$A$2:$A$501,MATCH($C314,links!$D$2:$D$501,0))),""))</f>
        <v/>
      </c>
      <c r="H314" s="25">
        <f>IF($C314="","",IFERROR(IF(INDEX(links!$B$2:$B$501,MATCH($C314,links!$D$2:$D$501,0))="","",INDEX(links!$B$2:$B$501,MATCH($C314,links!$D$2:$D$501,0))),""))</f>
        <v/>
      </c>
      <c r="I314" s="25">
        <f>IF($C314="","",IFERROR(IF(INDEX(links!$C$2:$C$501,MATCH($C314,links!$D$2:$D$501,0))="","",INDEX(links!$C$2:$C$501,MATCH($C314,links!$D$2:$D$501,0))),""))</f>
        <v/>
      </c>
      <c r="J314" s="25">
        <f>IF($C314="","",IF($G314="","slug not in links; ","")&amp;IF($D314="","reading type missing; ","")&amp;IF(COUNTIFS(scans!$C$2:$C$1601,$C314,scans!$D$2:$D$1601,$D314)&gt;1,"two readings of this type: keep one; ",""))</f>
        <v/>
      </c>
    </row>
    <row r="315">
      <c r="A315" s="9" t="n"/>
      <c r="B315" s="33" t="n"/>
      <c r="G315" s="25">
        <f>IF($C315="","",IFERROR(IF(INDEX(links!$A$2:$A$501,MATCH($C315,links!$D$2:$D$501,0))="","",INDEX(links!$A$2:$A$501,MATCH($C315,links!$D$2:$D$501,0))),""))</f>
        <v/>
      </c>
      <c r="H315" s="25">
        <f>IF($C315="","",IFERROR(IF(INDEX(links!$B$2:$B$501,MATCH($C315,links!$D$2:$D$501,0))="","",INDEX(links!$B$2:$B$501,MATCH($C315,links!$D$2:$D$501,0))),""))</f>
        <v/>
      </c>
      <c r="I315" s="25">
        <f>IF($C315="","",IFERROR(IF(INDEX(links!$C$2:$C$501,MATCH($C315,links!$D$2:$D$501,0))="","",INDEX(links!$C$2:$C$501,MATCH($C315,links!$D$2:$D$501,0))),""))</f>
        <v/>
      </c>
      <c r="J315" s="25">
        <f>IF($C315="","",IF($G315="","slug not in links; ","")&amp;IF($D315="","reading type missing; ","")&amp;IF(COUNTIFS(scans!$C$2:$C$1601,$C315,scans!$D$2:$D$1601,$D315)&gt;1,"two readings of this type: keep one; ",""))</f>
        <v/>
      </c>
    </row>
    <row r="316">
      <c r="A316" s="9" t="n"/>
      <c r="B316" s="33" t="n"/>
      <c r="G316" s="25">
        <f>IF($C316="","",IFERROR(IF(INDEX(links!$A$2:$A$501,MATCH($C316,links!$D$2:$D$501,0))="","",INDEX(links!$A$2:$A$501,MATCH($C316,links!$D$2:$D$501,0))),""))</f>
        <v/>
      </c>
      <c r="H316" s="25">
        <f>IF($C316="","",IFERROR(IF(INDEX(links!$B$2:$B$501,MATCH($C316,links!$D$2:$D$501,0))="","",INDEX(links!$B$2:$B$501,MATCH($C316,links!$D$2:$D$501,0))),""))</f>
        <v/>
      </c>
      <c r="I316" s="25">
        <f>IF($C316="","",IFERROR(IF(INDEX(links!$C$2:$C$501,MATCH($C316,links!$D$2:$D$501,0))="","",INDEX(links!$C$2:$C$501,MATCH($C316,links!$D$2:$D$501,0))),""))</f>
        <v/>
      </c>
      <c r="J316" s="25">
        <f>IF($C316="","",IF($G316="","slug not in links; ","")&amp;IF($D316="","reading type missing; ","")&amp;IF(COUNTIFS(scans!$C$2:$C$1601,$C316,scans!$D$2:$D$1601,$D316)&gt;1,"two readings of this type: keep one; ",""))</f>
        <v/>
      </c>
    </row>
    <row r="317">
      <c r="A317" s="9" t="n"/>
      <c r="B317" s="33" t="n"/>
      <c r="G317" s="25">
        <f>IF($C317="","",IFERROR(IF(INDEX(links!$A$2:$A$501,MATCH($C317,links!$D$2:$D$501,0))="","",INDEX(links!$A$2:$A$501,MATCH($C317,links!$D$2:$D$501,0))),""))</f>
        <v/>
      </c>
      <c r="H317" s="25">
        <f>IF($C317="","",IFERROR(IF(INDEX(links!$B$2:$B$501,MATCH($C317,links!$D$2:$D$501,0))="","",INDEX(links!$B$2:$B$501,MATCH($C317,links!$D$2:$D$501,0))),""))</f>
        <v/>
      </c>
      <c r="I317" s="25">
        <f>IF($C317="","",IFERROR(IF(INDEX(links!$C$2:$C$501,MATCH($C317,links!$D$2:$D$501,0))="","",INDEX(links!$C$2:$C$501,MATCH($C317,links!$D$2:$D$501,0))),""))</f>
        <v/>
      </c>
      <c r="J317" s="25">
        <f>IF($C317="","",IF($G317="","slug not in links; ","")&amp;IF($D317="","reading type missing; ","")&amp;IF(COUNTIFS(scans!$C$2:$C$1601,$C317,scans!$D$2:$D$1601,$D317)&gt;1,"two readings of this type: keep one; ",""))</f>
        <v/>
      </c>
    </row>
    <row r="318">
      <c r="A318" s="9" t="n"/>
      <c r="B318" s="33" t="n"/>
      <c r="G318" s="25">
        <f>IF($C318="","",IFERROR(IF(INDEX(links!$A$2:$A$501,MATCH($C318,links!$D$2:$D$501,0))="","",INDEX(links!$A$2:$A$501,MATCH($C318,links!$D$2:$D$501,0))),""))</f>
        <v/>
      </c>
      <c r="H318" s="25">
        <f>IF($C318="","",IFERROR(IF(INDEX(links!$B$2:$B$501,MATCH($C318,links!$D$2:$D$501,0))="","",INDEX(links!$B$2:$B$501,MATCH($C318,links!$D$2:$D$501,0))),""))</f>
        <v/>
      </c>
      <c r="I318" s="25">
        <f>IF($C318="","",IFERROR(IF(INDEX(links!$C$2:$C$501,MATCH($C318,links!$D$2:$D$501,0))="","",INDEX(links!$C$2:$C$501,MATCH($C318,links!$D$2:$D$501,0))),""))</f>
        <v/>
      </c>
      <c r="J318" s="25">
        <f>IF($C318="","",IF($G318="","slug not in links; ","")&amp;IF($D318="","reading type missing; ","")&amp;IF(COUNTIFS(scans!$C$2:$C$1601,$C318,scans!$D$2:$D$1601,$D318)&gt;1,"two readings of this type: keep one; ",""))</f>
        <v/>
      </c>
    </row>
    <row r="319">
      <c r="A319" s="9" t="n"/>
      <c r="B319" s="33" t="n"/>
      <c r="G319" s="25">
        <f>IF($C319="","",IFERROR(IF(INDEX(links!$A$2:$A$501,MATCH($C319,links!$D$2:$D$501,0))="","",INDEX(links!$A$2:$A$501,MATCH($C319,links!$D$2:$D$501,0))),""))</f>
        <v/>
      </c>
      <c r="H319" s="25">
        <f>IF($C319="","",IFERROR(IF(INDEX(links!$B$2:$B$501,MATCH($C319,links!$D$2:$D$501,0))="","",INDEX(links!$B$2:$B$501,MATCH($C319,links!$D$2:$D$501,0))),""))</f>
        <v/>
      </c>
      <c r="I319" s="25">
        <f>IF($C319="","",IFERROR(IF(INDEX(links!$C$2:$C$501,MATCH($C319,links!$D$2:$D$501,0))="","",INDEX(links!$C$2:$C$501,MATCH($C319,links!$D$2:$D$501,0))),""))</f>
        <v/>
      </c>
      <c r="J319" s="25">
        <f>IF($C319="","",IF($G319="","slug not in links; ","")&amp;IF($D319="","reading type missing; ","")&amp;IF(COUNTIFS(scans!$C$2:$C$1601,$C319,scans!$D$2:$D$1601,$D319)&gt;1,"two readings of this type: keep one; ",""))</f>
        <v/>
      </c>
    </row>
    <row r="320">
      <c r="A320" s="9" t="n"/>
      <c r="B320" s="33" t="n"/>
      <c r="G320" s="25">
        <f>IF($C320="","",IFERROR(IF(INDEX(links!$A$2:$A$501,MATCH($C320,links!$D$2:$D$501,0))="","",INDEX(links!$A$2:$A$501,MATCH($C320,links!$D$2:$D$501,0))),""))</f>
        <v/>
      </c>
      <c r="H320" s="25">
        <f>IF($C320="","",IFERROR(IF(INDEX(links!$B$2:$B$501,MATCH($C320,links!$D$2:$D$501,0))="","",INDEX(links!$B$2:$B$501,MATCH($C320,links!$D$2:$D$501,0))),""))</f>
        <v/>
      </c>
      <c r="I320" s="25">
        <f>IF($C320="","",IFERROR(IF(INDEX(links!$C$2:$C$501,MATCH($C320,links!$D$2:$D$501,0))="","",INDEX(links!$C$2:$C$501,MATCH($C320,links!$D$2:$D$501,0))),""))</f>
        <v/>
      </c>
      <c r="J320" s="25">
        <f>IF($C320="","",IF($G320="","slug not in links; ","")&amp;IF($D320="","reading type missing; ","")&amp;IF(COUNTIFS(scans!$C$2:$C$1601,$C320,scans!$D$2:$D$1601,$D320)&gt;1,"two readings of this type: keep one; ",""))</f>
        <v/>
      </c>
    </row>
    <row r="321">
      <c r="A321" s="9" t="n"/>
      <c r="B321" s="33" t="n"/>
      <c r="G321" s="25">
        <f>IF($C321="","",IFERROR(IF(INDEX(links!$A$2:$A$501,MATCH($C321,links!$D$2:$D$501,0))="","",INDEX(links!$A$2:$A$501,MATCH($C321,links!$D$2:$D$501,0))),""))</f>
        <v/>
      </c>
      <c r="H321" s="25">
        <f>IF($C321="","",IFERROR(IF(INDEX(links!$B$2:$B$501,MATCH($C321,links!$D$2:$D$501,0))="","",INDEX(links!$B$2:$B$501,MATCH($C321,links!$D$2:$D$501,0))),""))</f>
        <v/>
      </c>
      <c r="I321" s="25">
        <f>IF($C321="","",IFERROR(IF(INDEX(links!$C$2:$C$501,MATCH($C321,links!$D$2:$D$501,0))="","",INDEX(links!$C$2:$C$501,MATCH($C321,links!$D$2:$D$501,0))),""))</f>
        <v/>
      </c>
      <c r="J321" s="25">
        <f>IF($C321="","",IF($G321="","slug not in links; ","")&amp;IF($D321="","reading type missing; ","")&amp;IF(COUNTIFS(scans!$C$2:$C$1601,$C321,scans!$D$2:$D$1601,$D321)&gt;1,"two readings of this type: keep one; ",""))</f>
        <v/>
      </c>
    </row>
    <row r="322">
      <c r="A322" s="9" t="n"/>
      <c r="B322" s="33" t="n"/>
      <c r="G322" s="25">
        <f>IF($C322="","",IFERROR(IF(INDEX(links!$A$2:$A$501,MATCH($C322,links!$D$2:$D$501,0))="","",INDEX(links!$A$2:$A$501,MATCH($C322,links!$D$2:$D$501,0))),""))</f>
        <v/>
      </c>
      <c r="H322" s="25">
        <f>IF($C322="","",IFERROR(IF(INDEX(links!$B$2:$B$501,MATCH($C322,links!$D$2:$D$501,0))="","",INDEX(links!$B$2:$B$501,MATCH($C322,links!$D$2:$D$501,0))),""))</f>
        <v/>
      </c>
      <c r="I322" s="25">
        <f>IF($C322="","",IFERROR(IF(INDEX(links!$C$2:$C$501,MATCH($C322,links!$D$2:$D$501,0))="","",INDEX(links!$C$2:$C$501,MATCH($C322,links!$D$2:$D$501,0))),""))</f>
        <v/>
      </c>
      <c r="J322" s="25">
        <f>IF($C322="","",IF($G322="","slug not in links; ","")&amp;IF($D322="","reading type missing; ","")&amp;IF(COUNTIFS(scans!$C$2:$C$1601,$C322,scans!$D$2:$D$1601,$D322)&gt;1,"two readings of this type: keep one; ",""))</f>
        <v/>
      </c>
    </row>
    <row r="323">
      <c r="A323" s="9" t="n"/>
      <c r="B323" s="33" t="n"/>
      <c r="G323" s="25">
        <f>IF($C323="","",IFERROR(IF(INDEX(links!$A$2:$A$501,MATCH($C323,links!$D$2:$D$501,0))="","",INDEX(links!$A$2:$A$501,MATCH($C323,links!$D$2:$D$501,0))),""))</f>
        <v/>
      </c>
      <c r="H323" s="25">
        <f>IF($C323="","",IFERROR(IF(INDEX(links!$B$2:$B$501,MATCH($C323,links!$D$2:$D$501,0))="","",INDEX(links!$B$2:$B$501,MATCH($C323,links!$D$2:$D$501,0))),""))</f>
        <v/>
      </c>
      <c r="I323" s="25">
        <f>IF($C323="","",IFERROR(IF(INDEX(links!$C$2:$C$501,MATCH($C323,links!$D$2:$D$501,0))="","",INDEX(links!$C$2:$C$501,MATCH($C323,links!$D$2:$D$501,0))),""))</f>
        <v/>
      </c>
      <c r="J323" s="25">
        <f>IF($C323="","",IF($G323="","slug not in links; ","")&amp;IF($D323="","reading type missing; ","")&amp;IF(COUNTIFS(scans!$C$2:$C$1601,$C323,scans!$D$2:$D$1601,$D323)&gt;1,"two readings of this type: keep one; ",""))</f>
        <v/>
      </c>
    </row>
    <row r="324">
      <c r="A324" s="9" t="n"/>
      <c r="B324" s="33" t="n"/>
      <c r="G324" s="25">
        <f>IF($C324="","",IFERROR(IF(INDEX(links!$A$2:$A$501,MATCH($C324,links!$D$2:$D$501,0))="","",INDEX(links!$A$2:$A$501,MATCH($C324,links!$D$2:$D$501,0))),""))</f>
        <v/>
      </c>
      <c r="H324" s="25">
        <f>IF($C324="","",IFERROR(IF(INDEX(links!$B$2:$B$501,MATCH($C324,links!$D$2:$D$501,0))="","",INDEX(links!$B$2:$B$501,MATCH($C324,links!$D$2:$D$501,0))),""))</f>
        <v/>
      </c>
      <c r="I324" s="25">
        <f>IF($C324="","",IFERROR(IF(INDEX(links!$C$2:$C$501,MATCH($C324,links!$D$2:$D$501,0))="","",INDEX(links!$C$2:$C$501,MATCH($C324,links!$D$2:$D$501,0))),""))</f>
        <v/>
      </c>
      <c r="J324" s="25">
        <f>IF($C324="","",IF($G324="","slug not in links; ","")&amp;IF($D324="","reading type missing; ","")&amp;IF(COUNTIFS(scans!$C$2:$C$1601,$C324,scans!$D$2:$D$1601,$D324)&gt;1,"two readings of this type: keep one; ",""))</f>
        <v/>
      </c>
    </row>
    <row r="325">
      <c r="A325" s="9" t="n"/>
      <c r="B325" s="33" t="n"/>
      <c r="G325" s="25">
        <f>IF($C325="","",IFERROR(IF(INDEX(links!$A$2:$A$501,MATCH($C325,links!$D$2:$D$501,0))="","",INDEX(links!$A$2:$A$501,MATCH($C325,links!$D$2:$D$501,0))),""))</f>
        <v/>
      </c>
      <c r="H325" s="25">
        <f>IF($C325="","",IFERROR(IF(INDEX(links!$B$2:$B$501,MATCH($C325,links!$D$2:$D$501,0))="","",INDEX(links!$B$2:$B$501,MATCH($C325,links!$D$2:$D$501,0))),""))</f>
        <v/>
      </c>
      <c r="I325" s="25">
        <f>IF($C325="","",IFERROR(IF(INDEX(links!$C$2:$C$501,MATCH($C325,links!$D$2:$D$501,0))="","",INDEX(links!$C$2:$C$501,MATCH($C325,links!$D$2:$D$501,0))),""))</f>
        <v/>
      </c>
      <c r="J325" s="25">
        <f>IF($C325="","",IF($G325="","slug not in links; ","")&amp;IF($D325="","reading type missing; ","")&amp;IF(COUNTIFS(scans!$C$2:$C$1601,$C325,scans!$D$2:$D$1601,$D325)&gt;1,"two readings of this type: keep one; ",""))</f>
        <v/>
      </c>
    </row>
    <row r="326">
      <c r="A326" s="9" t="n"/>
      <c r="B326" s="33" t="n"/>
      <c r="G326" s="25">
        <f>IF($C326="","",IFERROR(IF(INDEX(links!$A$2:$A$501,MATCH($C326,links!$D$2:$D$501,0))="","",INDEX(links!$A$2:$A$501,MATCH($C326,links!$D$2:$D$501,0))),""))</f>
        <v/>
      </c>
      <c r="H326" s="25">
        <f>IF($C326="","",IFERROR(IF(INDEX(links!$B$2:$B$501,MATCH($C326,links!$D$2:$D$501,0))="","",INDEX(links!$B$2:$B$501,MATCH($C326,links!$D$2:$D$501,0))),""))</f>
        <v/>
      </c>
      <c r="I326" s="25">
        <f>IF($C326="","",IFERROR(IF(INDEX(links!$C$2:$C$501,MATCH($C326,links!$D$2:$D$501,0))="","",INDEX(links!$C$2:$C$501,MATCH($C326,links!$D$2:$D$501,0))),""))</f>
        <v/>
      </c>
      <c r="J326" s="25">
        <f>IF($C326="","",IF($G326="","slug not in links; ","")&amp;IF($D326="","reading type missing; ","")&amp;IF(COUNTIFS(scans!$C$2:$C$1601,$C326,scans!$D$2:$D$1601,$D326)&gt;1,"two readings of this type: keep one; ",""))</f>
        <v/>
      </c>
    </row>
    <row r="327">
      <c r="A327" s="9" t="n"/>
      <c r="B327" s="33" t="n"/>
      <c r="G327" s="25">
        <f>IF($C327="","",IFERROR(IF(INDEX(links!$A$2:$A$501,MATCH($C327,links!$D$2:$D$501,0))="","",INDEX(links!$A$2:$A$501,MATCH($C327,links!$D$2:$D$501,0))),""))</f>
        <v/>
      </c>
      <c r="H327" s="25">
        <f>IF($C327="","",IFERROR(IF(INDEX(links!$B$2:$B$501,MATCH($C327,links!$D$2:$D$501,0))="","",INDEX(links!$B$2:$B$501,MATCH($C327,links!$D$2:$D$501,0))),""))</f>
        <v/>
      </c>
      <c r="I327" s="25">
        <f>IF($C327="","",IFERROR(IF(INDEX(links!$C$2:$C$501,MATCH($C327,links!$D$2:$D$501,0))="","",INDEX(links!$C$2:$C$501,MATCH($C327,links!$D$2:$D$501,0))),""))</f>
        <v/>
      </c>
      <c r="J327" s="25">
        <f>IF($C327="","",IF($G327="","slug not in links; ","")&amp;IF($D327="","reading type missing; ","")&amp;IF(COUNTIFS(scans!$C$2:$C$1601,$C327,scans!$D$2:$D$1601,$D327)&gt;1,"two readings of this type: keep one; ",""))</f>
        <v/>
      </c>
    </row>
    <row r="328">
      <c r="A328" s="9" t="n"/>
      <c r="B328" s="33" t="n"/>
      <c r="G328" s="25">
        <f>IF($C328="","",IFERROR(IF(INDEX(links!$A$2:$A$501,MATCH($C328,links!$D$2:$D$501,0))="","",INDEX(links!$A$2:$A$501,MATCH($C328,links!$D$2:$D$501,0))),""))</f>
        <v/>
      </c>
      <c r="H328" s="25">
        <f>IF($C328="","",IFERROR(IF(INDEX(links!$B$2:$B$501,MATCH($C328,links!$D$2:$D$501,0))="","",INDEX(links!$B$2:$B$501,MATCH($C328,links!$D$2:$D$501,0))),""))</f>
        <v/>
      </c>
      <c r="I328" s="25">
        <f>IF($C328="","",IFERROR(IF(INDEX(links!$C$2:$C$501,MATCH($C328,links!$D$2:$D$501,0))="","",INDEX(links!$C$2:$C$501,MATCH($C328,links!$D$2:$D$501,0))),""))</f>
        <v/>
      </c>
      <c r="J328" s="25">
        <f>IF($C328="","",IF($G328="","slug not in links; ","")&amp;IF($D328="","reading type missing; ","")&amp;IF(COUNTIFS(scans!$C$2:$C$1601,$C328,scans!$D$2:$D$1601,$D328)&gt;1,"two readings of this type: keep one; ",""))</f>
        <v/>
      </c>
    </row>
    <row r="329">
      <c r="A329" s="9" t="n"/>
      <c r="B329" s="33" t="n"/>
      <c r="G329" s="25">
        <f>IF($C329="","",IFERROR(IF(INDEX(links!$A$2:$A$501,MATCH($C329,links!$D$2:$D$501,0))="","",INDEX(links!$A$2:$A$501,MATCH($C329,links!$D$2:$D$501,0))),""))</f>
        <v/>
      </c>
      <c r="H329" s="25">
        <f>IF($C329="","",IFERROR(IF(INDEX(links!$B$2:$B$501,MATCH($C329,links!$D$2:$D$501,0))="","",INDEX(links!$B$2:$B$501,MATCH($C329,links!$D$2:$D$501,0))),""))</f>
        <v/>
      </c>
      <c r="I329" s="25">
        <f>IF($C329="","",IFERROR(IF(INDEX(links!$C$2:$C$501,MATCH($C329,links!$D$2:$D$501,0))="","",INDEX(links!$C$2:$C$501,MATCH($C329,links!$D$2:$D$501,0))),""))</f>
        <v/>
      </c>
      <c r="J329" s="25">
        <f>IF($C329="","",IF($G329="","slug not in links; ","")&amp;IF($D329="","reading type missing; ","")&amp;IF(COUNTIFS(scans!$C$2:$C$1601,$C329,scans!$D$2:$D$1601,$D329)&gt;1,"two readings of this type: keep one; ",""))</f>
        <v/>
      </c>
    </row>
    <row r="330">
      <c r="A330" s="9" t="n"/>
      <c r="B330" s="33" t="n"/>
      <c r="G330" s="25">
        <f>IF($C330="","",IFERROR(IF(INDEX(links!$A$2:$A$501,MATCH($C330,links!$D$2:$D$501,0))="","",INDEX(links!$A$2:$A$501,MATCH($C330,links!$D$2:$D$501,0))),""))</f>
        <v/>
      </c>
      <c r="H330" s="25">
        <f>IF($C330="","",IFERROR(IF(INDEX(links!$B$2:$B$501,MATCH($C330,links!$D$2:$D$501,0))="","",INDEX(links!$B$2:$B$501,MATCH($C330,links!$D$2:$D$501,0))),""))</f>
        <v/>
      </c>
      <c r="I330" s="25">
        <f>IF($C330="","",IFERROR(IF(INDEX(links!$C$2:$C$501,MATCH($C330,links!$D$2:$D$501,0))="","",INDEX(links!$C$2:$C$501,MATCH($C330,links!$D$2:$D$501,0))),""))</f>
        <v/>
      </c>
      <c r="J330" s="25">
        <f>IF($C330="","",IF($G330="","slug not in links; ","")&amp;IF($D330="","reading type missing; ","")&amp;IF(COUNTIFS(scans!$C$2:$C$1601,$C330,scans!$D$2:$D$1601,$D330)&gt;1,"two readings of this type: keep one; ",""))</f>
        <v/>
      </c>
    </row>
    <row r="331">
      <c r="A331" s="9" t="n"/>
      <c r="B331" s="33" t="n"/>
      <c r="G331" s="25">
        <f>IF($C331="","",IFERROR(IF(INDEX(links!$A$2:$A$501,MATCH($C331,links!$D$2:$D$501,0))="","",INDEX(links!$A$2:$A$501,MATCH($C331,links!$D$2:$D$501,0))),""))</f>
        <v/>
      </c>
      <c r="H331" s="25">
        <f>IF($C331="","",IFERROR(IF(INDEX(links!$B$2:$B$501,MATCH($C331,links!$D$2:$D$501,0))="","",INDEX(links!$B$2:$B$501,MATCH($C331,links!$D$2:$D$501,0))),""))</f>
        <v/>
      </c>
      <c r="I331" s="25">
        <f>IF($C331="","",IFERROR(IF(INDEX(links!$C$2:$C$501,MATCH($C331,links!$D$2:$D$501,0))="","",INDEX(links!$C$2:$C$501,MATCH($C331,links!$D$2:$D$501,0))),""))</f>
        <v/>
      </c>
      <c r="J331" s="25">
        <f>IF($C331="","",IF($G331="","slug not in links; ","")&amp;IF($D331="","reading type missing; ","")&amp;IF(COUNTIFS(scans!$C$2:$C$1601,$C331,scans!$D$2:$D$1601,$D331)&gt;1,"two readings of this type: keep one; ",""))</f>
        <v/>
      </c>
    </row>
    <row r="332">
      <c r="A332" s="9" t="n"/>
      <c r="B332" s="33" t="n"/>
      <c r="G332" s="25">
        <f>IF($C332="","",IFERROR(IF(INDEX(links!$A$2:$A$501,MATCH($C332,links!$D$2:$D$501,0))="","",INDEX(links!$A$2:$A$501,MATCH($C332,links!$D$2:$D$501,0))),""))</f>
        <v/>
      </c>
      <c r="H332" s="25">
        <f>IF($C332="","",IFERROR(IF(INDEX(links!$B$2:$B$501,MATCH($C332,links!$D$2:$D$501,0))="","",INDEX(links!$B$2:$B$501,MATCH($C332,links!$D$2:$D$501,0))),""))</f>
        <v/>
      </c>
      <c r="I332" s="25">
        <f>IF($C332="","",IFERROR(IF(INDEX(links!$C$2:$C$501,MATCH($C332,links!$D$2:$D$501,0))="","",INDEX(links!$C$2:$C$501,MATCH($C332,links!$D$2:$D$501,0))),""))</f>
        <v/>
      </c>
      <c r="J332" s="25">
        <f>IF($C332="","",IF($G332="","slug not in links; ","")&amp;IF($D332="","reading type missing; ","")&amp;IF(COUNTIFS(scans!$C$2:$C$1601,$C332,scans!$D$2:$D$1601,$D332)&gt;1,"two readings of this type: keep one; ",""))</f>
        <v/>
      </c>
    </row>
    <row r="333">
      <c r="A333" s="9" t="n"/>
      <c r="B333" s="33" t="n"/>
      <c r="G333" s="25">
        <f>IF($C333="","",IFERROR(IF(INDEX(links!$A$2:$A$501,MATCH($C333,links!$D$2:$D$501,0))="","",INDEX(links!$A$2:$A$501,MATCH($C333,links!$D$2:$D$501,0))),""))</f>
        <v/>
      </c>
      <c r="H333" s="25">
        <f>IF($C333="","",IFERROR(IF(INDEX(links!$B$2:$B$501,MATCH($C333,links!$D$2:$D$501,0))="","",INDEX(links!$B$2:$B$501,MATCH($C333,links!$D$2:$D$501,0))),""))</f>
        <v/>
      </c>
      <c r="I333" s="25">
        <f>IF($C333="","",IFERROR(IF(INDEX(links!$C$2:$C$501,MATCH($C333,links!$D$2:$D$501,0))="","",INDEX(links!$C$2:$C$501,MATCH($C333,links!$D$2:$D$501,0))),""))</f>
        <v/>
      </c>
      <c r="J333" s="25">
        <f>IF($C333="","",IF($G333="","slug not in links; ","")&amp;IF($D333="","reading type missing; ","")&amp;IF(COUNTIFS(scans!$C$2:$C$1601,$C333,scans!$D$2:$D$1601,$D333)&gt;1,"two readings of this type: keep one; ",""))</f>
        <v/>
      </c>
    </row>
    <row r="334">
      <c r="A334" s="9" t="n"/>
      <c r="B334" s="33" t="n"/>
      <c r="G334" s="25">
        <f>IF($C334="","",IFERROR(IF(INDEX(links!$A$2:$A$501,MATCH($C334,links!$D$2:$D$501,0))="","",INDEX(links!$A$2:$A$501,MATCH($C334,links!$D$2:$D$501,0))),""))</f>
        <v/>
      </c>
      <c r="H334" s="25">
        <f>IF($C334="","",IFERROR(IF(INDEX(links!$B$2:$B$501,MATCH($C334,links!$D$2:$D$501,0))="","",INDEX(links!$B$2:$B$501,MATCH($C334,links!$D$2:$D$501,0))),""))</f>
        <v/>
      </c>
      <c r="I334" s="25">
        <f>IF($C334="","",IFERROR(IF(INDEX(links!$C$2:$C$501,MATCH($C334,links!$D$2:$D$501,0))="","",INDEX(links!$C$2:$C$501,MATCH($C334,links!$D$2:$D$501,0))),""))</f>
        <v/>
      </c>
      <c r="J334" s="25">
        <f>IF($C334="","",IF($G334="","slug not in links; ","")&amp;IF($D334="","reading type missing; ","")&amp;IF(COUNTIFS(scans!$C$2:$C$1601,$C334,scans!$D$2:$D$1601,$D334)&gt;1,"two readings of this type: keep one; ",""))</f>
        <v/>
      </c>
    </row>
    <row r="335">
      <c r="A335" s="9" t="n"/>
      <c r="B335" s="33" t="n"/>
      <c r="G335" s="25">
        <f>IF($C335="","",IFERROR(IF(INDEX(links!$A$2:$A$501,MATCH($C335,links!$D$2:$D$501,0))="","",INDEX(links!$A$2:$A$501,MATCH($C335,links!$D$2:$D$501,0))),""))</f>
        <v/>
      </c>
      <c r="H335" s="25">
        <f>IF($C335="","",IFERROR(IF(INDEX(links!$B$2:$B$501,MATCH($C335,links!$D$2:$D$501,0))="","",INDEX(links!$B$2:$B$501,MATCH($C335,links!$D$2:$D$501,0))),""))</f>
        <v/>
      </c>
      <c r="I335" s="25">
        <f>IF($C335="","",IFERROR(IF(INDEX(links!$C$2:$C$501,MATCH($C335,links!$D$2:$D$501,0))="","",INDEX(links!$C$2:$C$501,MATCH($C335,links!$D$2:$D$501,0))),""))</f>
        <v/>
      </c>
      <c r="J335" s="25">
        <f>IF($C335="","",IF($G335="","slug not in links; ","")&amp;IF($D335="","reading type missing; ","")&amp;IF(COUNTIFS(scans!$C$2:$C$1601,$C335,scans!$D$2:$D$1601,$D335)&gt;1,"two readings of this type: keep one; ",""))</f>
        <v/>
      </c>
    </row>
    <row r="336">
      <c r="A336" s="9" t="n"/>
      <c r="B336" s="33" t="n"/>
      <c r="G336" s="25">
        <f>IF($C336="","",IFERROR(IF(INDEX(links!$A$2:$A$501,MATCH($C336,links!$D$2:$D$501,0))="","",INDEX(links!$A$2:$A$501,MATCH($C336,links!$D$2:$D$501,0))),""))</f>
        <v/>
      </c>
      <c r="H336" s="25">
        <f>IF($C336="","",IFERROR(IF(INDEX(links!$B$2:$B$501,MATCH($C336,links!$D$2:$D$501,0))="","",INDEX(links!$B$2:$B$501,MATCH($C336,links!$D$2:$D$501,0))),""))</f>
        <v/>
      </c>
      <c r="I336" s="25">
        <f>IF($C336="","",IFERROR(IF(INDEX(links!$C$2:$C$501,MATCH($C336,links!$D$2:$D$501,0))="","",INDEX(links!$C$2:$C$501,MATCH($C336,links!$D$2:$D$501,0))),""))</f>
        <v/>
      </c>
      <c r="J336" s="25">
        <f>IF($C336="","",IF($G336="","slug not in links; ","")&amp;IF($D336="","reading type missing; ","")&amp;IF(COUNTIFS(scans!$C$2:$C$1601,$C336,scans!$D$2:$D$1601,$D336)&gt;1,"two readings of this type: keep one; ",""))</f>
        <v/>
      </c>
    </row>
    <row r="337">
      <c r="A337" s="9" t="n"/>
      <c r="B337" s="33" t="n"/>
      <c r="G337" s="25">
        <f>IF($C337="","",IFERROR(IF(INDEX(links!$A$2:$A$501,MATCH($C337,links!$D$2:$D$501,0))="","",INDEX(links!$A$2:$A$501,MATCH($C337,links!$D$2:$D$501,0))),""))</f>
        <v/>
      </c>
      <c r="H337" s="25">
        <f>IF($C337="","",IFERROR(IF(INDEX(links!$B$2:$B$501,MATCH($C337,links!$D$2:$D$501,0))="","",INDEX(links!$B$2:$B$501,MATCH($C337,links!$D$2:$D$501,0))),""))</f>
        <v/>
      </c>
      <c r="I337" s="25">
        <f>IF($C337="","",IFERROR(IF(INDEX(links!$C$2:$C$501,MATCH($C337,links!$D$2:$D$501,0))="","",INDEX(links!$C$2:$C$501,MATCH($C337,links!$D$2:$D$501,0))),""))</f>
        <v/>
      </c>
      <c r="J337" s="25">
        <f>IF($C337="","",IF($G337="","slug not in links; ","")&amp;IF($D337="","reading type missing; ","")&amp;IF(COUNTIFS(scans!$C$2:$C$1601,$C337,scans!$D$2:$D$1601,$D337)&gt;1,"two readings of this type: keep one; ",""))</f>
        <v/>
      </c>
    </row>
    <row r="338">
      <c r="A338" s="9" t="n"/>
      <c r="B338" s="33" t="n"/>
      <c r="G338" s="25">
        <f>IF($C338="","",IFERROR(IF(INDEX(links!$A$2:$A$501,MATCH($C338,links!$D$2:$D$501,0))="","",INDEX(links!$A$2:$A$501,MATCH($C338,links!$D$2:$D$501,0))),""))</f>
        <v/>
      </c>
      <c r="H338" s="25">
        <f>IF($C338="","",IFERROR(IF(INDEX(links!$B$2:$B$501,MATCH($C338,links!$D$2:$D$501,0))="","",INDEX(links!$B$2:$B$501,MATCH($C338,links!$D$2:$D$501,0))),""))</f>
        <v/>
      </c>
      <c r="I338" s="25">
        <f>IF($C338="","",IFERROR(IF(INDEX(links!$C$2:$C$501,MATCH($C338,links!$D$2:$D$501,0))="","",INDEX(links!$C$2:$C$501,MATCH($C338,links!$D$2:$D$501,0))),""))</f>
        <v/>
      </c>
      <c r="J338" s="25">
        <f>IF($C338="","",IF($G338="","slug not in links; ","")&amp;IF($D338="","reading type missing; ","")&amp;IF(COUNTIFS(scans!$C$2:$C$1601,$C338,scans!$D$2:$D$1601,$D338)&gt;1,"two readings of this type: keep one; ",""))</f>
        <v/>
      </c>
    </row>
    <row r="339">
      <c r="A339" s="9" t="n"/>
      <c r="B339" s="33" t="n"/>
      <c r="G339" s="25">
        <f>IF($C339="","",IFERROR(IF(INDEX(links!$A$2:$A$501,MATCH($C339,links!$D$2:$D$501,0))="","",INDEX(links!$A$2:$A$501,MATCH($C339,links!$D$2:$D$501,0))),""))</f>
        <v/>
      </c>
      <c r="H339" s="25">
        <f>IF($C339="","",IFERROR(IF(INDEX(links!$B$2:$B$501,MATCH($C339,links!$D$2:$D$501,0))="","",INDEX(links!$B$2:$B$501,MATCH($C339,links!$D$2:$D$501,0))),""))</f>
        <v/>
      </c>
      <c r="I339" s="25">
        <f>IF($C339="","",IFERROR(IF(INDEX(links!$C$2:$C$501,MATCH($C339,links!$D$2:$D$501,0))="","",INDEX(links!$C$2:$C$501,MATCH($C339,links!$D$2:$D$501,0))),""))</f>
        <v/>
      </c>
      <c r="J339" s="25">
        <f>IF($C339="","",IF($G339="","slug not in links; ","")&amp;IF($D339="","reading type missing; ","")&amp;IF(COUNTIFS(scans!$C$2:$C$1601,$C339,scans!$D$2:$D$1601,$D339)&gt;1,"two readings of this type: keep one; ",""))</f>
        <v/>
      </c>
    </row>
    <row r="340">
      <c r="A340" s="9" t="n"/>
      <c r="B340" s="33" t="n"/>
      <c r="G340" s="25">
        <f>IF($C340="","",IFERROR(IF(INDEX(links!$A$2:$A$501,MATCH($C340,links!$D$2:$D$501,0))="","",INDEX(links!$A$2:$A$501,MATCH($C340,links!$D$2:$D$501,0))),""))</f>
        <v/>
      </c>
      <c r="H340" s="25">
        <f>IF($C340="","",IFERROR(IF(INDEX(links!$B$2:$B$501,MATCH($C340,links!$D$2:$D$501,0))="","",INDEX(links!$B$2:$B$501,MATCH($C340,links!$D$2:$D$501,0))),""))</f>
        <v/>
      </c>
      <c r="I340" s="25">
        <f>IF($C340="","",IFERROR(IF(INDEX(links!$C$2:$C$501,MATCH($C340,links!$D$2:$D$501,0))="","",INDEX(links!$C$2:$C$501,MATCH($C340,links!$D$2:$D$501,0))),""))</f>
        <v/>
      </c>
      <c r="J340" s="25">
        <f>IF($C340="","",IF($G340="","slug not in links; ","")&amp;IF($D340="","reading type missing; ","")&amp;IF(COUNTIFS(scans!$C$2:$C$1601,$C340,scans!$D$2:$D$1601,$D340)&gt;1,"two readings of this type: keep one; ",""))</f>
        <v/>
      </c>
    </row>
    <row r="341">
      <c r="A341" s="9" t="n"/>
      <c r="B341" s="33" t="n"/>
      <c r="G341" s="25">
        <f>IF($C341="","",IFERROR(IF(INDEX(links!$A$2:$A$501,MATCH($C341,links!$D$2:$D$501,0))="","",INDEX(links!$A$2:$A$501,MATCH($C341,links!$D$2:$D$501,0))),""))</f>
        <v/>
      </c>
      <c r="H341" s="25">
        <f>IF($C341="","",IFERROR(IF(INDEX(links!$B$2:$B$501,MATCH($C341,links!$D$2:$D$501,0))="","",INDEX(links!$B$2:$B$501,MATCH($C341,links!$D$2:$D$501,0))),""))</f>
        <v/>
      </c>
      <c r="I341" s="25">
        <f>IF($C341="","",IFERROR(IF(INDEX(links!$C$2:$C$501,MATCH($C341,links!$D$2:$D$501,0))="","",INDEX(links!$C$2:$C$501,MATCH($C341,links!$D$2:$D$501,0))),""))</f>
        <v/>
      </c>
      <c r="J341" s="25">
        <f>IF($C341="","",IF($G341="","slug not in links; ","")&amp;IF($D341="","reading type missing; ","")&amp;IF(COUNTIFS(scans!$C$2:$C$1601,$C341,scans!$D$2:$D$1601,$D341)&gt;1,"two readings of this type: keep one; ",""))</f>
        <v/>
      </c>
    </row>
    <row r="342">
      <c r="A342" s="9" t="n"/>
      <c r="B342" s="33" t="n"/>
      <c r="G342" s="25">
        <f>IF($C342="","",IFERROR(IF(INDEX(links!$A$2:$A$501,MATCH($C342,links!$D$2:$D$501,0))="","",INDEX(links!$A$2:$A$501,MATCH($C342,links!$D$2:$D$501,0))),""))</f>
        <v/>
      </c>
      <c r="H342" s="25">
        <f>IF($C342="","",IFERROR(IF(INDEX(links!$B$2:$B$501,MATCH($C342,links!$D$2:$D$501,0))="","",INDEX(links!$B$2:$B$501,MATCH($C342,links!$D$2:$D$501,0))),""))</f>
        <v/>
      </c>
      <c r="I342" s="25">
        <f>IF($C342="","",IFERROR(IF(INDEX(links!$C$2:$C$501,MATCH($C342,links!$D$2:$D$501,0))="","",INDEX(links!$C$2:$C$501,MATCH($C342,links!$D$2:$D$501,0))),""))</f>
        <v/>
      </c>
      <c r="J342" s="25">
        <f>IF($C342="","",IF($G342="","slug not in links; ","")&amp;IF($D342="","reading type missing; ","")&amp;IF(COUNTIFS(scans!$C$2:$C$1601,$C342,scans!$D$2:$D$1601,$D342)&gt;1,"two readings of this type: keep one; ",""))</f>
        <v/>
      </c>
    </row>
    <row r="343">
      <c r="A343" s="9" t="n"/>
      <c r="B343" s="33" t="n"/>
      <c r="G343" s="25">
        <f>IF($C343="","",IFERROR(IF(INDEX(links!$A$2:$A$501,MATCH($C343,links!$D$2:$D$501,0))="","",INDEX(links!$A$2:$A$501,MATCH($C343,links!$D$2:$D$501,0))),""))</f>
        <v/>
      </c>
      <c r="H343" s="25">
        <f>IF($C343="","",IFERROR(IF(INDEX(links!$B$2:$B$501,MATCH($C343,links!$D$2:$D$501,0))="","",INDEX(links!$B$2:$B$501,MATCH($C343,links!$D$2:$D$501,0))),""))</f>
        <v/>
      </c>
      <c r="I343" s="25">
        <f>IF($C343="","",IFERROR(IF(INDEX(links!$C$2:$C$501,MATCH($C343,links!$D$2:$D$501,0))="","",INDEX(links!$C$2:$C$501,MATCH($C343,links!$D$2:$D$501,0))),""))</f>
        <v/>
      </c>
      <c r="J343" s="25">
        <f>IF($C343="","",IF($G343="","slug not in links; ","")&amp;IF($D343="","reading type missing; ","")&amp;IF(COUNTIFS(scans!$C$2:$C$1601,$C343,scans!$D$2:$D$1601,$D343)&gt;1,"two readings of this type: keep one; ",""))</f>
        <v/>
      </c>
    </row>
    <row r="344">
      <c r="A344" s="9" t="n"/>
      <c r="B344" s="33" t="n"/>
      <c r="G344" s="25">
        <f>IF($C344="","",IFERROR(IF(INDEX(links!$A$2:$A$501,MATCH($C344,links!$D$2:$D$501,0))="","",INDEX(links!$A$2:$A$501,MATCH($C344,links!$D$2:$D$501,0))),""))</f>
        <v/>
      </c>
      <c r="H344" s="25">
        <f>IF($C344="","",IFERROR(IF(INDEX(links!$B$2:$B$501,MATCH($C344,links!$D$2:$D$501,0))="","",INDEX(links!$B$2:$B$501,MATCH($C344,links!$D$2:$D$501,0))),""))</f>
        <v/>
      </c>
      <c r="I344" s="25">
        <f>IF($C344="","",IFERROR(IF(INDEX(links!$C$2:$C$501,MATCH($C344,links!$D$2:$D$501,0))="","",INDEX(links!$C$2:$C$501,MATCH($C344,links!$D$2:$D$501,0))),""))</f>
        <v/>
      </c>
      <c r="J344" s="25">
        <f>IF($C344="","",IF($G344="","slug not in links; ","")&amp;IF($D344="","reading type missing; ","")&amp;IF(COUNTIFS(scans!$C$2:$C$1601,$C344,scans!$D$2:$D$1601,$D344)&gt;1,"two readings of this type: keep one; ",""))</f>
        <v/>
      </c>
    </row>
    <row r="345">
      <c r="A345" s="9" t="n"/>
      <c r="B345" s="33" t="n"/>
      <c r="G345" s="25">
        <f>IF($C345="","",IFERROR(IF(INDEX(links!$A$2:$A$501,MATCH($C345,links!$D$2:$D$501,0))="","",INDEX(links!$A$2:$A$501,MATCH($C345,links!$D$2:$D$501,0))),""))</f>
        <v/>
      </c>
      <c r="H345" s="25">
        <f>IF($C345="","",IFERROR(IF(INDEX(links!$B$2:$B$501,MATCH($C345,links!$D$2:$D$501,0))="","",INDEX(links!$B$2:$B$501,MATCH($C345,links!$D$2:$D$501,0))),""))</f>
        <v/>
      </c>
      <c r="I345" s="25">
        <f>IF($C345="","",IFERROR(IF(INDEX(links!$C$2:$C$501,MATCH($C345,links!$D$2:$D$501,0))="","",INDEX(links!$C$2:$C$501,MATCH($C345,links!$D$2:$D$501,0))),""))</f>
        <v/>
      </c>
      <c r="J345" s="25">
        <f>IF($C345="","",IF($G345="","slug not in links; ","")&amp;IF($D345="","reading type missing; ","")&amp;IF(COUNTIFS(scans!$C$2:$C$1601,$C345,scans!$D$2:$D$1601,$D345)&gt;1,"two readings of this type: keep one; ",""))</f>
        <v/>
      </c>
    </row>
    <row r="346">
      <c r="A346" s="9" t="n"/>
      <c r="B346" s="33" t="n"/>
      <c r="G346" s="25">
        <f>IF($C346="","",IFERROR(IF(INDEX(links!$A$2:$A$501,MATCH($C346,links!$D$2:$D$501,0))="","",INDEX(links!$A$2:$A$501,MATCH($C346,links!$D$2:$D$501,0))),""))</f>
        <v/>
      </c>
      <c r="H346" s="25">
        <f>IF($C346="","",IFERROR(IF(INDEX(links!$B$2:$B$501,MATCH($C346,links!$D$2:$D$501,0))="","",INDEX(links!$B$2:$B$501,MATCH($C346,links!$D$2:$D$501,0))),""))</f>
        <v/>
      </c>
      <c r="I346" s="25">
        <f>IF($C346="","",IFERROR(IF(INDEX(links!$C$2:$C$501,MATCH($C346,links!$D$2:$D$501,0))="","",INDEX(links!$C$2:$C$501,MATCH($C346,links!$D$2:$D$501,0))),""))</f>
        <v/>
      </c>
      <c r="J346" s="25">
        <f>IF($C346="","",IF($G346="","slug not in links; ","")&amp;IF($D346="","reading type missing; ","")&amp;IF(COUNTIFS(scans!$C$2:$C$1601,$C346,scans!$D$2:$D$1601,$D346)&gt;1,"two readings of this type: keep one; ",""))</f>
        <v/>
      </c>
    </row>
    <row r="347">
      <c r="A347" s="9" t="n"/>
      <c r="B347" s="33" t="n"/>
      <c r="G347" s="25">
        <f>IF($C347="","",IFERROR(IF(INDEX(links!$A$2:$A$501,MATCH($C347,links!$D$2:$D$501,0))="","",INDEX(links!$A$2:$A$501,MATCH($C347,links!$D$2:$D$501,0))),""))</f>
        <v/>
      </c>
      <c r="H347" s="25">
        <f>IF($C347="","",IFERROR(IF(INDEX(links!$B$2:$B$501,MATCH($C347,links!$D$2:$D$501,0))="","",INDEX(links!$B$2:$B$501,MATCH($C347,links!$D$2:$D$501,0))),""))</f>
        <v/>
      </c>
      <c r="I347" s="25">
        <f>IF($C347="","",IFERROR(IF(INDEX(links!$C$2:$C$501,MATCH($C347,links!$D$2:$D$501,0))="","",INDEX(links!$C$2:$C$501,MATCH($C347,links!$D$2:$D$501,0))),""))</f>
        <v/>
      </c>
      <c r="J347" s="25">
        <f>IF($C347="","",IF($G347="","slug not in links; ","")&amp;IF($D347="","reading type missing; ","")&amp;IF(COUNTIFS(scans!$C$2:$C$1601,$C347,scans!$D$2:$D$1601,$D347)&gt;1,"two readings of this type: keep one; ",""))</f>
        <v/>
      </c>
    </row>
    <row r="348">
      <c r="A348" s="9" t="n"/>
      <c r="B348" s="33" t="n"/>
      <c r="G348" s="25">
        <f>IF($C348="","",IFERROR(IF(INDEX(links!$A$2:$A$501,MATCH($C348,links!$D$2:$D$501,0))="","",INDEX(links!$A$2:$A$501,MATCH($C348,links!$D$2:$D$501,0))),""))</f>
        <v/>
      </c>
      <c r="H348" s="25">
        <f>IF($C348="","",IFERROR(IF(INDEX(links!$B$2:$B$501,MATCH($C348,links!$D$2:$D$501,0))="","",INDEX(links!$B$2:$B$501,MATCH($C348,links!$D$2:$D$501,0))),""))</f>
        <v/>
      </c>
      <c r="I348" s="25">
        <f>IF($C348="","",IFERROR(IF(INDEX(links!$C$2:$C$501,MATCH($C348,links!$D$2:$D$501,0))="","",INDEX(links!$C$2:$C$501,MATCH($C348,links!$D$2:$D$501,0))),""))</f>
        <v/>
      </c>
      <c r="J348" s="25">
        <f>IF($C348="","",IF($G348="","slug not in links; ","")&amp;IF($D348="","reading type missing; ","")&amp;IF(COUNTIFS(scans!$C$2:$C$1601,$C348,scans!$D$2:$D$1601,$D348)&gt;1,"two readings of this type: keep one; ",""))</f>
        <v/>
      </c>
    </row>
    <row r="349">
      <c r="A349" s="9" t="n"/>
      <c r="B349" s="33" t="n"/>
      <c r="G349" s="25">
        <f>IF($C349="","",IFERROR(IF(INDEX(links!$A$2:$A$501,MATCH($C349,links!$D$2:$D$501,0))="","",INDEX(links!$A$2:$A$501,MATCH($C349,links!$D$2:$D$501,0))),""))</f>
        <v/>
      </c>
      <c r="H349" s="25">
        <f>IF($C349="","",IFERROR(IF(INDEX(links!$B$2:$B$501,MATCH($C349,links!$D$2:$D$501,0))="","",INDEX(links!$B$2:$B$501,MATCH($C349,links!$D$2:$D$501,0))),""))</f>
        <v/>
      </c>
      <c r="I349" s="25">
        <f>IF($C349="","",IFERROR(IF(INDEX(links!$C$2:$C$501,MATCH($C349,links!$D$2:$D$501,0))="","",INDEX(links!$C$2:$C$501,MATCH($C349,links!$D$2:$D$501,0))),""))</f>
        <v/>
      </c>
      <c r="J349" s="25">
        <f>IF($C349="","",IF($G349="","slug not in links; ","")&amp;IF($D349="","reading type missing; ","")&amp;IF(COUNTIFS(scans!$C$2:$C$1601,$C349,scans!$D$2:$D$1601,$D349)&gt;1,"two readings of this type: keep one; ",""))</f>
        <v/>
      </c>
    </row>
    <row r="350">
      <c r="A350" s="9" t="n"/>
      <c r="B350" s="33" t="n"/>
      <c r="G350" s="25">
        <f>IF($C350="","",IFERROR(IF(INDEX(links!$A$2:$A$501,MATCH($C350,links!$D$2:$D$501,0))="","",INDEX(links!$A$2:$A$501,MATCH($C350,links!$D$2:$D$501,0))),""))</f>
        <v/>
      </c>
      <c r="H350" s="25">
        <f>IF($C350="","",IFERROR(IF(INDEX(links!$B$2:$B$501,MATCH($C350,links!$D$2:$D$501,0))="","",INDEX(links!$B$2:$B$501,MATCH($C350,links!$D$2:$D$501,0))),""))</f>
        <v/>
      </c>
      <c r="I350" s="25">
        <f>IF($C350="","",IFERROR(IF(INDEX(links!$C$2:$C$501,MATCH($C350,links!$D$2:$D$501,0))="","",INDEX(links!$C$2:$C$501,MATCH($C350,links!$D$2:$D$501,0))),""))</f>
        <v/>
      </c>
      <c r="J350" s="25">
        <f>IF($C350="","",IF($G350="","slug not in links; ","")&amp;IF($D350="","reading type missing; ","")&amp;IF(COUNTIFS(scans!$C$2:$C$1601,$C350,scans!$D$2:$D$1601,$D350)&gt;1,"two readings of this type: keep one; ",""))</f>
        <v/>
      </c>
    </row>
    <row r="351">
      <c r="A351" s="9" t="n"/>
      <c r="B351" s="33" t="n"/>
      <c r="G351" s="25">
        <f>IF($C351="","",IFERROR(IF(INDEX(links!$A$2:$A$501,MATCH($C351,links!$D$2:$D$501,0))="","",INDEX(links!$A$2:$A$501,MATCH($C351,links!$D$2:$D$501,0))),""))</f>
        <v/>
      </c>
      <c r="H351" s="25">
        <f>IF($C351="","",IFERROR(IF(INDEX(links!$B$2:$B$501,MATCH($C351,links!$D$2:$D$501,0))="","",INDEX(links!$B$2:$B$501,MATCH($C351,links!$D$2:$D$501,0))),""))</f>
        <v/>
      </c>
      <c r="I351" s="25">
        <f>IF($C351="","",IFERROR(IF(INDEX(links!$C$2:$C$501,MATCH($C351,links!$D$2:$D$501,0))="","",INDEX(links!$C$2:$C$501,MATCH($C351,links!$D$2:$D$501,0))),""))</f>
        <v/>
      </c>
      <c r="J351" s="25">
        <f>IF($C351="","",IF($G351="","slug not in links; ","")&amp;IF($D351="","reading type missing; ","")&amp;IF(COUNTIFS(scans!$C$2:$C$1601,$C351,scans!$D$2:$D$1601,$D351)&gt;1,"two readings of this type: keep one; ",""))</f>
        <v/>
      </c>
    </row>
    <row r="352">
      <c r="A352" s="9" t="n"/>
      <c r="B352" s="33" t="n"/>
      <c r="G352" s="25">
        <f>IF($C352="","",IFERROR(IF(INDEX(links!$A$2:$A$501,MATCH($C352,links!$D$2:$D$501,0))="","",INDEX(links!$A$2:$A$501,MATCH($C352,links!$D$2:$D$501,0))),""))</f>
        <v/>
      </c>
      <c r="H352" s="25">
        <f>IF($C352="","",IFERROR(IF(INDEX(links!$B$2:$B$501,MATCH($C352,links!$D$2:$D$501,0))="","",INDEX(links!$B$2:$B$501,MATCH($C352,links!$D$2:$D$501,0))),""))</f>
        <v/>
      </c>
      <c r="I352" s="25">
        <f>IF($C352="","",IFERROR(IF(INDEX(links!$C$2:$C$501,MATCH($C352,links!$D$2:$D$501,0))="","",INDEX(links!$C$2:$C$501,MATCH($C352,links!$D$2:$D$501,0))),""))</f>
        <v/>
      </c>
      <c r="J352" s="25">
        <f>IF($C352="","",IF($G352="","slug not in links; ","")&amp;IF($D352="","reading type missing; ","")&amp;IF(COUNTIFS(scans!$C$2:$C$1601,$C352,scans!$D$2:$D$1601,$D352)&gt;1,"two readings of this type: keep one; ",""))</f>
        <v/>
      </c>
    </row>
    <row r="353">
      <c r="A353" s="9" t="n"/>
      <c r="B353" s="33" t="n"/>
      <c r="G353" s="25">
        <f>IF($C353="","",IFERROR(IF(INDEX(links!$A$2:$A$501,MATCH($C353,links!$D$2:$D$501,0))="","",INDEX(links!$A$2:$A$501,MATCH($C353,links!$D$2:$D$501,0))),""))</f>
        <v/>
      </c>
      <c r="H353" s="25">
        <f>IF($C353="","",IFERROR(IF(INDEX(links!$B$2:$B$501,MATCH($C353,links!$D$2:$D$501,0))="","",INDEX(links!$B$2:$B$501,MATCH($C353,links!$D$2:$D$501,0))),""))</f>
        <v/>
      </c>
      <c r="I353" s="25">
        <f>IF($C353="","",IFERROR(IF(INDEX(links!$C$2:$C$501,MATCH($C353,links!$D$2:$D$501,0))="","",INDEX(links!$C$2:$C$501,MATCH($C353,links!$D$2:$D$501,0))),""))</f>
        <v/>
      </c>
      <c r="J353" s="25">
        <f>IF($C353="","",IF($G353="","slug not in links; ","")&amp;IF($D353="","reading type missing; ","")&amp;IF(COUNTIFS(scans!$C$2:$C$1601,$C353,scans!$D$2:$D$1601,$D353)&gt;1,"two readings of this type: keep one; ",""))</f>
        <v/>
      </c>
    </row>
    <row r="354">
      <c r="A354" s="9" t="n"/>
      <c r="B354" s="33" t="n"/>
      <c r="G354" s="25">
        <f>IF($C354="","",IFERROR(IF(INDEX(links!$A$2:$A$501,MATCH($C354,links!$D$2:$D$501,0))="","",INDEX(links!$A$2:$A$501,MATCH($C354,links!$D$2:$D$501,0))),""))</f>
        <v/>
      </c>
      <c r="H354" s="25">
        <f>IF($C354="","",IFERROR(IF(INDEX(links!$B$2:$B$501,MATCH($C354,links!$D$2:$D$501,0))="","",INDEX(links!$B$2:$B$501,MATCH($C354,links!$D$2:$D$501,0))),""))</f>
        <v/>
      </c>
      <c r="I354" s="25">
        <f>IF($C354="","",IFERROR(IF(INDEX(links!$C$2:$C$501,MATCH($C354,links!$D$2:$D$501,0))="","",INDEX(links!$C$2:$C$501,MATCH($C354,links!$D$2:$D$501,0))),""))</f>
        <v/>
      </c>
      <c r="J354" s="25">
        <f>IF($C354="","",IF($G354="","slug not in links; ","")&amp;IF($D354="","reading type missing; ","")&amp;IF(COUNTIFS(scans!$C$2:$C$1601,$C354,scans!$D$2:$D$1601,$D354)&gt;1,"two readings of this type: keep one; ",""))</f>
        <v/>
      </c>
    </row>
    <row r="355">
      <c r="A355" s="9" t="n"/>
      <c r="B355" s="33" t="n"/>
      <c r="G355" s="25">
        <f>IF($C355="","",IFERROR(IF(INDEX(links!$A$2:$A$501,MATCH($C355,links!$D$2:$D$501,0))="","",INDEX(links!$A$2:$A$501,MATCH($C355,links!$D$2:$D$501,0))),""))</f>
        <v/>
      </c>
      <c r="H355" s="25">
        <f>IF($C355="","",IFERROR(IF(INDEX(links!$B$2:$B$501,MATCH($C355,links!$D$2:$D$501,0))="","",INDEX(links!$B$2:$B$501,MATCH($C355,links!$D$2:$D$501,0))),""))</f>
        <v/>
      </c>
      <c r="I355" s="25">
        <f>IF($C355="","",IFERROR(IF(INDEX(links!$C$2:$C$501,MATCH($C355,links!$D$2:$D$501,0))="","",INDEX(links!$C$2:$C$501,MATCH($C355,links!$D$2:$D$501,0))),""))</f>
        <v/>
      </c>
      <c r="J355" s="25">
        <f>IF($C355="","",IF($G355="","slug not in links; ","")&amp;IF($D355="","reading type missing; ","")&amp;IF(COUNTIFS(scans!$C$2:$C$1601,$C355,scans!$D$2:$D$1601,$D355)&gt;1,"two readings of this type: keep one; ",""))</f>
        <v/>
      </c>
    </row>
    <row r="356">
      <c r="A356" s="9" t="n"/>
      <c r="B356" s="33" t="n"/>
      <c r="G356" s="25">
        <f>IF($C356="","",IFERROR(IF(INDEX(links!$A$2:$A$501,MATCH($C356,links!$D$2:$D$501,0))="","",INDEX(links!$A$2:$A$501,MATCH($C356,links!$D$2:$D$501,0))),""))</f>
        <v/>
      </c>
      <c r="H356" s="25">
        <f>IF($C356="","",IFERROR(IF(INDEX(links!$B$2:$B$501,MATCH($C356,links!$D$2:$D$501,0))="","",INDEX(links!$B$2:$B$501,MATCH($C356,links!$D$2:$D$501,0))),""))</f>
        <v/>
      </c>
      <c r="I356" s="25">
        <f>IF($C356="","",IFERROR(IF(INDEX(links!$C$2:$C$501,MATCH($C356,links!$D$2:$D$501,0))="","",INDEX(links!$C$2:$C$501,MATCH($C356,links!$D$2:$D$501,0))),""))</f>
        <v/>
      </c>
      <c r="J356" s="25">
        <f>IF($C356="","",IF($G356="","slug not in links; ","")&amp;IF($D356="","reading type missing; ","")&amp;IF(COUNTIFS(scans!$C$2:$C$1601,$C356,scans!$D$2:$D$1601,$D356)&gt;1,"two readings of this type: keep one; ",""))</f>
        <v/>
      </c>
    </row>
    <row r="357">
      <c r="A357" s="9" t="n"/>
      <c r="B357" s="33" t="n"/>
      <c r="G357" s="25">
        <f>IF($C357="","",IFERROR(IF(INDEX(links!$A$2:$A$501,MATCH($C357,links!$D$2:$D$501,0))="","",INDEX(links!$A$2:$A$501,MATCH($C357,links!$D$2:$D$501,0))),""))</f>
        <v/>
      </c>
      <c r="H357" s="25">
        <f>IF($C357="","",IFERROR(IF(INDEX(links!$B$2:$B$501,MATCH($C357,links!$D$2:$D$501,0))="","",INDEX(links!$B$2:$B$501,MATCH($C357,links!$D$2:$D$501,0))),""))</f>
        <v/>
      </c>
      <c r="I357" s="25">
        <f>IF($C357="","",IFERROR(IF(INDEX(links!$C$2:$C$501,MATCH($C357,links!$D$2:$D$501,0))="","",INDEX(links!$C$2:$C$501,MATCH($C357,links!$D$2:$D$501,0))),""))</f>
        <v/>
      </c>
      <c r="J357" s="25">
        <f>IF($C357="","",IF($G357="","slug not in links; ","")&amp;IF($D357="","reading type missing; ","")&amp;IF(COUNTIFS(scans!$C$2:$C$1601,$C357,scans!$D$2:$D$1601,$D357)&gt;1,"two readings of this type: keep one; ",""))</f>
        <v/>
      </c>
    </row>
    <row r="358">
      <c r="A358" s="9" t="n"/>
      <c r="B358" s="33" t="n"/>
      <c r="G358" s="25">
        <f>IF($C358="","",IFERROR(IF(INDEX(links!$A$2:$A$501,MATCH($C358,links!$D$2:$D$501,0))="","",INDEX(links!$A$2:$A$501,MATCH($C358,links!$D$2:$D$501,0))),""))</f>
        <v/>
      </c>
      <c r="H358" s="25">
        <f>IF($C358="","",IFERROR(IF(INDEX(links!$B$2:$B$501,MATCH($C358,links!$D$2:$D$501,0))="","",INDEX(links!$B$2:$B$501,MATCH($C358,links!$D$2:$D$501,0))),""))</f>
        <v/>
      </c>
      <c r="I358" s="25">
        <f>IF($C358="","",IFERROR(IF(INDEX(links!$C$2:$C$501,MATCH($C358,links!$D$2:$D$501,0))="","",INDEX(links!$C$2:$C$501,MATCH($C358,links!$D$2:$D$501,0))),""))</f>
        <v/>
      </c>
      <c r="J358" s="25">
        <f>IF($C358="","",IF($G358="","slug not in links; ","")&amp;IF($D358="","reading type missing; ","")&amp;IF(COUNTIFS(scans!$C$2:$C$1601,$C358,scans!$D$2:$D$1601,$D358)&gt;1,"two readings of this type: keep one; ",""))</f>
        <v/>
      </c>
    </row>
    <row r="359">
      <c r="A359" s="9" t="n"/>
      <c r="B359" s="33" t="n"/>
      <c r="G359" s="25">
        <f>IF($C359="","",IFERROR(IF(INDEX(links!$A$2:$A$501,MATCH($C359,links!$D$2:$D$501,0))="","",INDEX(links!$A$2:$A$501,MATCH($C359,links!$D$2:$D$501,0))),""))</f>
        <v/>
      </c>
      <c r="H359" s="25">
        <f>IF($C359="","",IFERROR(IF(INDEX(links!$B$2:$B$501,MATCH($C359,links!$D$2:$D$501,0))="","",INDEX(links!$B$2:$B$501,MATCH($C359,links!$D$2:$D$501,0))),""))</f>
        <v/>
      </c>
      <c r="I359" s="25">
        <f>IF($C359="","",IFERROR(IF(INDEX(links!$C$2:$C$501,MATCH($C359,links!$D$2:$D$501,0))="","",INDEX(links!$C$2:$C$501,MATCH($C359,links!$D$2:$D$501,0))),""))</f>
        <v/>
      </c>
      <c r="J359" s="25">
        <f>IF($C359="","",IF($G359="","slug not in links; ","")&amp;IF($D359="","reading type missing; ","")&amp;IF(COUNTIFS(scans!$C$2:$C$1601,$C359,scans!$D$2:$D$1601,$D359)&gt;1,"two readings of this type: keep one; ",""))</f>
        <v/>
      </c>
    </row>
    <row r="360">
      <c r="A360" s="9" t="n"/>
      <c r="B360" s="33" t="n"/>
      <c r="G360" s="25">
        <f>IF($C360="","",IFERROR(IF(INDEX(links!$A$2:$A$501,MATCH($C360,links!$D$2:$D$501,0))="","",INDEX(links!$A$2:$A$501,MATCH($C360,links!$D$2:$D$501,0))),""))</f>
        <v/>
      </c>
      <c r="H360" s="25">
        <f>IF($C360="","",IFERROR(IF(INDEX(links!$B$2:$B$501,MATCH($C360,links!$D$2:$D$501,0))="","",INDEX(links!$B$2:$B$501,MATCH($C360,links!$D$2:$D$501,0))),""))</f>
        <v/>
      </c>
      <c r="I360" s="25">
        <f>IF($C360="","",IFERROR(IF(INDEX(links!$C$2:$C$501,MATCH($C360,links!$D$2:$D$501,0))="","",INDEX(links!$C$2:$C$501,MATCH($C360,links!$D$2:$D$501,0))),""))</f>
        <v/>
      </c>
      <c r="J360" s="25">
        <f>IF($C360="","",IF($G360="","slug not in links; ","")&amp;IF($D360="","reading type missing; ","")&amp;IF(COUNTIFS(scans!$C$2:$C$1601,$C360,scans!$D$2:$D$1601,$D360)&gt;1,"two readings of this type: keep one; ",""))</f>
        <v/>
      </c>
    </row>
    <row r="361">
      <c r="A361" s="9" t="n"/>
      <c r="B361" s="33" t="n"/>
      <c r="G361" s="25">
        <f>IF($C361="","",IFERROR(IF(INDEX(links!$A$2:$A$501,MATCH($C361,links!$D$2:$D$501,0))="","",INDEX(links!$A$2:$A$501,MATCH($C361,links!$D$2:$D$501,0))),""))</f>
        <v/>
      </c>
      <c r="H361" s="25">
        <f>IF($C361="","",IFERROR(IF(INDEX(links!$B$2:$B$501,MATCH($C361,links!$D$2:$D$501,0))="","",INDEX(links!$B$2:$B$501,MATCH($C361,links!$D$2:$D$501,0))),""))</f>
        <v/>
      </c>
      <c r="I361" s="25">
        <f>IF($C361="","",IFERROR(IF(INDEX(links!$C$2:$C$501,MATCH($C361,links!$D$2:$D$501,0))="","",INDEX(links!$C$2:$C$501,MATCH($C361,links!$D$2:$D$501,0))),""))</f>
        <v/>
      </c>
      <c r="J361" s="25">
        <f>IF($C361="","",IF($G361="","slug not in links; ","")&amp;IF($D361="","reading type missing; ","")&amp;IF(COUNTIFS(scans!$C$2:$C$1601,$C361,scans!$D$2:$D$1601,$D361)&gt;1,"two readings of this type: keep one; ",""))</f>
        <v/>
      </c>
    </row>
    <row r="362">
      <c r="A362" s="9" t="n"/>
      <c r="B362" s="33" t="n"/>
      <c r="G362" s="25">
        <f>IF($C362="","",IFERROR(IF(INDEX(links!$A$2:$A$501,MATCH($C362,links!$D$2:$D$501,0))="","",INDEX(links!$A$2:$A$501,MATCH($C362,links!$D$2:$D$501,0))),""))</f>
        <v/>
      </c>
      <c r="H362" s="25">
        <f>IF($C362="","",IFERROR(IF(INDEX(links!$B$2:$B$501,MATCH($C362,links!$D$2:$D$501,0))="","",INDEX(links!$B$2:$B$501,MATCH($C362,links!$D$2:$D$501,0))),""))</f>
        <v/>
      </c>
      <c r="I362" s="25">
        <f>IF($C362="","",IFERROR(IF(INDEX(links!$C$2:$C$501,MATCH($C362,links!$D$2:$D$501,0))="","",INDEX(links!$C$2:$C$501,MATCH($C362,links!$D$2:$D$501,0))),""))</f>
        <v/>
      </c>
      <c r="J362" s="25">
        <f>IF($C362="","",IF($G362="","slug not in links; ","")&amp;IF($D362="","reading type missing; ","")&amp;IF(COUNTIFS(scans!$C$2:$C$1601,$C362,scans!$D$2:$D$1601,$D362)&gt;1,"two readings of this type: keep one; ",""))</f>
        <v/>
      </c>
    </row>
    <row r="363">
      <c r="A363" s="9" t="n"/>
      <c r="B363" s="33" t="n"/>
      <c r="G363" s="25">
        <f>IF($C363="","",IFERROR(IF(INDEX(links!$A$2:$A$501,MATCH($C363,links!$D$2:$D$501,0))="","",INDEX(links!$A$2:$A$501,MATCH($C363,links!$D$2:$D$501,0))),""))</f>
        <v/>
      </c>
      <c r="H363" s="25">
        <f>IF($C363="","",IFERROR(IF(INDEX(links!$B$2:$B$501,MATCH($C363,links!$D$2:$D$501,0))="","",INDEX(links!$B$2:$B$501,MATCH($C363,links!$D$2:$D$501,0))),""))</f>
        <v/>
      </c>
      <c r="I363" s="25">
        <f>IF($C363="","",IFERROR(IF(INDEX(links!$C$2:$C$501,MATCH($C363,links!$D$2:$D$501,0))="","",INDEX(links!$C$2:$C$501,MATCH($C363,links!$D$2:$D$501,0))),""))</f>
        <v/>
      </c>
      <c r="J363" s="25">
        <f>IF($C363="","",IF($G363="","slug not in links; ","")&amp;IF($D363="","reading type missing; ","")&amp;IF(COUNTIFS(scans!$C$2:$C$1601,$C363,scans!$D$2:$D$1601,$D363)&gt;1,"two readings of this type: keep one; ",""))</f>
        <v/>
      </c>
    </row>
    <row r="364">
      <c r="A364" s="9" t="n"/>
      <c r="B364" s="33" t="n"/>
      <c r="G364" s="25">
        <f>IF($C364="","",IFERROR(IF(INDEX(links!$A$2:$A$501,MATCH($C364,links!$D$2:$D$501,0))="","",INDEX(links!$A$2:$A$501,MATCH($C364,links!$D$2:$D$501,0))),""))</f>
        <v/>
      </c>
      <c r="H364" s="25">
        <f>IF($C364="","",IFERROR(IF(INDEX(links!$B$2:$B$501,MATCH($C364,links!$D$2:$D$501,0))="","",INDEX(links!$B$2:$B$501,MATCH($C364,links!$D$2:$D$501,0))),""))</f>
        <v/>
      </c>
      <c r="I364" s="25">
        <f>IF($C364="","",IFERROR(IF(INDEX(links!$C$2:$C$501,MATCH($C364,links!$D$2:$D$501,0))="","",INDEX(links!$C$2:$C$501,MATCH($C364,links!$D$2:$D$501,0))),""))</f>
        <v/>
      </c>
      <c r="J364" s="25">
        <f>IF($C364="","",IF($G364="","slug not in links; ","")&amp;IF($D364="","reading type missing; ","")&amp;IF(COUNTIFS(scans!$C$2:$C$1601,$C364,scans!$D$2:$D$1601,$D364)&gt;1,"two readings of this type: keep one; ",""))</f>
        <v/>
      </c>
    </row>
    <row r="365">
      <c r="A365" s="9" t="n"/>
      <c r="B365" s="33" t="n"/>
      <c r="G365" s="25">
        <f>IF($C365="","",IFERROR(IF(INDEX(links!$A$2:$A$501,MATCH($C365,links!$D$2:$D$501,0))="","",INDEX(links!$A$2:$A$501,MATCH($C365,links!$D$2:$D$501,0))),""))</f>
        <v/>
      </c>
      <c r="H365" s="25">
        <f>IF($C365="","",IFERROR(IF(INDEX(links!$B$2:$B$501,MATCH($C365,links!$D$2:$D$501,0))="","",INDEX(links!$B$2:$B$501,MATCH($C365,links!$D$2:$D$501,0))),""))</f>
        <v/>
      </c>
      <c r="I365" s="25">
        <f>IF($C365="","",IFERROR(IF(INDEX(links!$C$2:$C$501,MATCH($C365,links!$D$2:$D$501,0))="","",INDEX(links!$C$2:$C$501,MATCH($C365,links!$D$2:$D$501,0))),""))</f>
        <v/>
      </c>
      <c r="J365" s="25">
        <f>IF($C365="","",IF($G365="","slug not in links; ","")&amp;IF($D365="","reading type missing; ","")&amp;IF(COUNTIFS(scans!$C$2:$C$1601,$C365,scans!$D$2:$D$1601,$D365)&gt;1,"two readings of this type: keep one; ",""))</f>
        <v/>
      </c>
    </row>
    <row r="366">
      <c r="A366" s="9" t="n"/>
      <c r="B366" s="33" t="n"/>
      <c r="G366" s="25">
        <f>IF($C366="","",IFERROR(IF(INDEX(links!$A$2:$A$501,MATCH($C366,links!$D$2:$D$501,0))="","",INDEX(links!$A$2:$A$501,MATCH($C366,links!$D$2:$D$501,0))),""))</f>
        <v/>
      </c>
      <c r="H366" s="25">
        <f>IF($C366="","",IFERROR(IF(INDEX(links!$B$2:$B$501,MATCH($C366,links!$D$2:$D$501,0))="","",INDEX(links!$B$2:$B$501,MATCH($C366,links!$D$2:$D$501,0))),""))</f>
        <v/>
      </c>
      <c r="I366" s="25">
        <f>IF($C366="","",IFERROR(IF(INDEX(links!$C$2:$C$501,MATCH($C366,links!$D$2:$D$501,0))="","",INDEX(links!$C$2:$C$501,MATCH($C366,links!$D$2:$D$501,0))),""))</f>
        <v/>
      </c>
      <c r="J366" s="25">
        <f>IF($C366="","",IF($G366="","slug not in links; ","")&amp;IF($D366="","reading type missing; ","")&amp;IF(COUNTIFS(scans!$C$2:$C$1601,$C366,scans!$D$2:$D$1601,$D366)&gt;1,"two readings of this type: keep one; ",""))</f>
        <v/>
      </c>
    </row>
    <row r="367">
      <c r="A367" s="9" t="n"/>
      <c r="B367" s="33" t="n"/>
      <c r="G367" s="25">
        <f>IF($C367="","",IFERROR(IF(INDEX(links!$A$2:$A$501,MATCH($C367,links!$D$2:$D$501,0))="","",INDEX(links!$A$2:$A$501,MATCH($C367,links!$D$2:$D$501,0))),""))</f>
        <v/>
      </c>
      <c r="H367" s="25">
        <f>IF($C367="","",IFERROR(IF(INDEX(links!$B$2:$B$501,MATCH($C367,links!$D$2:$D$501,0))="","",INDEX(links!$B$2:$B$501,MATCH($C367,links!$D$2:$D$501,0))),""))</f>
        <v/>
      </c>
      <c r="I367" s="25">
        <f>IF($C367="","",IFERROR(IF(INDEX(links!$C$2:$C$501,MATCH($C367,links!$D$2:$D$501,0))="","",INDEX(links!$C$2:$C$501,MATCH($C367,links!$D$2:$D$501,0))),""))</f>
        <v/>
      </c>
      <c r="J367" s="25">
        <f>IF($C367="","",IF($G367="","slug not in links; ","")&amp;IF($D367="","reading type missing; ","")&amp;IF(COUNTIFS(scans!$C$2:$C$1601,$C367,scans!$D$2:$D$1601,$D367)&gt;1,"two readings of this type: keep one; ",""))</f>
        <v/>
      </c>
    </row>
    <row r="368">
      <c r="A368" s="9" t="n"/>
      <c r="B368" s="33" t="n"/>
      <c r="G368" s="25">
        <f>IF($C368="","",IFERROR(IF(INDEX(links!$A$2:$A$501,MATCH($C368,links!$D$2:$D$501,0))="","",INDEX(links!$A$2:$A$501,MATCH($C368,links!$D$2:$D$501,0))),""))</f>
        <v/>
      </c>
      <c r="H368" s="25">
        <f>IF($C368="","",IFERROR(IF(INDEX(links!$B$2:$B$501,MATCH($C368,links!$D$2:$D$501,0))="","",INDEX(links!$B$2:$B$501,MATCH($C368,links!$D$2:$D$501,0))),""))</f>
        <v/>
      </c>
      <c r="I368" s="25">
        <f>IF($C368="","",IFERROR(IF(INDEX(links!$C$2:$C$501,MATCH($C368,links!$D$2:$D$501,0))="","",INDEX(links!$C$2:$C$501,MATCH($C368,links!$D$2:$D$501,0))),""))</f>
        <v/>
      </c>
      <c r="J368" s="25">
        <f>IF($C368="","",IF($G368="","slug not in links; ","")&amp;IF($D368="","reading type missing; ","")&amp;IF(COUNTIFS(scans!$C$2:$C$1601,$C368,scans!$D$2:$D$1601,$D368)&gt;1,"two readings of this type: keep one; ",""))</f>
        <v/>
      </c>
    </row>
    <row r="369">
      <c r="A369" s="9" t="n"/>
      <c r="B369" s="33" t="n"/>
      <c r="G369" s="25">
        <f>IF($C369="","",IFERROR(IF(INDEX(links!$A$2:$A$501,MATCH($C369,links!$D$2:$D$501,0))="","",INDEX(links!$A$2:$A$501,MATCH($C369,links!$D$2:$D$501,0))),""))</f>
        <v/>
      </c>
      <c r="H369" s="25">
        <f>IF($C369="","",IFERROR(IF(INDEX(links!$B$2:$B$501,MATCH($C369,links!$D$2:$D$501,0))="","",INDEX(links!$B$2:$B$501,MATCH($C369,links!$D$2:$D$501,0))),""))</f>
        <v/>
      </c>
      <c r="I369" s="25">
        <f>IF($C369="","",IFERROR(IF(INDEX(links!$C$2:$C$501,MATCH($C369,links!$D$2:$D$501,0))="","",INDEX(links!$C$2:$C$501,MATCH($C369,links!$D$2:$D$501,0))),""))</f>
        <v/>
      </c>
      <c r="J369" s="25">
        <f>IF($C369="","",IF($G369="","slug not in links; ","")&amp;IF($D369="","reading type missing; ","")&amp;IF(COUNTIFS(scans!$C$2:$C$1601,$C369,scans!$D$2:$D$1601,$D369)&gt;1,"two readings of this type: keep one; ",""))</f>
        <v/>
      </c>
    </row>
    <row r="370">
      <c r="A370" s="9" t="n"/>
      <c r="B370" s="33" t="n"/>
      <c r="G370" s="25">
        <f>IF($C370="","",IFERROR(IF(INDEX(links!$A$2:$A$501,MATCH($C370,links!$D$2:$D$501,0))="","",INDEX(links!$A$2:$A$501,MATCH($C370,links!$D$2:$D$501,0))),""))</f>
        <v/>
      </c>
      <c r="H370" s="25">
        <f>IF($C370="","",IFERROR(IF(INDEX(links!$B$2:$B$501,MATCH($C370,links!$D$2:$D$501,0))="","",INDEX(links!$B$2:$B$501,MATCH($C370,links!$D$2:$D$501,0))),""))</f>
        <v/>
      </c>
      <c r="I370" s="25">
        <f>IF($C370="","",IFERROR(IF(INDEX(links!$C$2:$C$501,MATCH($C370,links!$D$2:$D$501,0))="","",INDEX(links!$C$2:$C$501,MATCH($C370,links!$D$2:$D$501,0))),""))</f>
        <v/>
      </c>
      <c r="J370" s="25">
        <f>IF($C370="","",IF($G370="","slug not in links; ","")&amp;IF($D370="","reading type missing; ","")&amp;IF(COUNTIFS(scans!$C$2:$C$1601,$C370,scans!$D$2:$D$1601,$D370)&gt;1,"two readings of this type: keep one; ",""))</f>
        <v/>
      </c>
    </row>
    <row r="371">
      <c r="A371" s="9" t="n"/>
      <c r="B371" s="33" t="n"/>
      <c r="G371" s="25">
        <f>IF($C371="","",IFERROR(IF(INDEX(links!$A$2:$A$501,MATCH($C371,links!$D$2:$D$501,0))="","",INDEX(links!$A$2:$A$501,MATCH($C371,links!$D$2:$D$501,0))),""))</f>
        <v/>
      </c>
      <c r="H371" s="25">
        <f>IF($C371="","",IFERROR(IF(INDEX(links!$B$2:$B$501,MATCH($C371,links!$D$2:$D$501,0))="","",INDEX(links!$B$2:$B$501,MATCH($C371,links!$D$2:$D$501,0))),""))</f>
        <v/>
      </c>
      <c r="I371" s="25">
        <f>IF($C371="","",IFERROR(IF(INDEX(links!$C$2:$C$501,MATCH($C371,links!$D$2:$D$501,0))="","",INDEX(links!$C$2:$C$501,MATCH($C371,links!$D$2:$D$501,0))),""))</f>
        <v/>
      </c>
      <c r="J371" s="25">
        <f>IF($C371="","",IF($G371="","slug not in links; ","")&amp;IF($D371="","reading type missing; ","")&amp;IF(COUNTIFS(scans!$C$2:$C$1601,$C371,scans!$D$2:$D$1601,$D371)&gt;1,"two readings of this type: keep one; ",""))</f>
        <v/>
      </c>
    </row>
    <row r="372">
      <c r="A372" s="9" t="n"/>
      <c r="B372" s="33" t="n"/>
      <c r="G372" s="25">
        <f>IF($C372="","",IFERROR(IF(INDEX(links!$A$2:$A$501,MATCH($C372,links!$D$2:$D$501,0))="","",INDEX(links!$A$2:$A$501,MATCH($C372,links!$D$2:$D$501,0))),""))</f>
        <v/>
      </c>
      <c r="H372" s="25">
        <f>IF($C372="","",IFERROR(IF(INDEX(links!$B$2:$B$501,MATCH($C372,links!$D$2:$D$501,0))="","",INDEX(links!$B$2:$B$501,MATCH($C372,links!$D$2:$D$501,0))),""))</f>
        <v/>
      </c>
      <c r="I372" s="25">
        <f>IF($C372="","",IFERROR(IF(INDEX(links!$C$2:$C$501,MATCH($C372,links!$D$2:$D$501,0))="","",INDEX(links!$C$2:$C$501,MATCH($C372,links!$D$2:$D$501,0))),""))</f>
        <v/>
      </c>
      <c r="J372" s="25">
        <f>IF($C372="","",IF($G372="","slug not in links; ","")&amp;IF($D372="","reading type missing; ","")&amp;IF(COUNTIFS(scans!$C$2:$C$1601,$C372,scans!$D$2:$D$1601,$D372)&gt;1,"two readings of this type: keep one; ",""))</f>
        <v/>
      </c>
    </row>
    <row r="373">
      <c r="A373" s="9" t="n"/>
      <c r="B373" s="33" t="n"/>
      <c r="G373" s="25">
        <f>IF($C373="","",IFERROR(IF(INDEX(links!$A$2:$A$501,MATCH($C373,links!$D$2:$D$501,0))="","",INDEX(links!$A$2:$A$501,MATCH($C373,links!$D$2:$D$501,0))),""))</f>
        <v/>
      </c>
      <c r="H373" s="25">
        <f>IF($C373="","",IFERROR(IF(INDEX(links!$B$2:$B$501,MATCH($C373,links!$D$2:$D$501,0))="","",INDEX(links!$B$2:$B$501,MATCH($C373,links!$D$2:$D$501,0))),""))</f>
        <v/>
      </c>
      <c r="I373" s="25">
        <f>IF($C373="","",IFERROR(IF(INDEX(links!$C$2:$C$501,MATCH($C373,links!$D$2:$D$501,0))="","",INDEX(links!$C$2:$C$501,MATCH($C373,links!$D$2:$D$501,0))),""))</f>
        <v/>
      </c>
      <c r="J373" s="25">
        <f>IF($C373="","",IF($G373="","slug not in links; ","")&amp;IF($D373="","reading type missing; ","")&amp;IF(COUNTIFS(scans!$C$2:$C$1601,$C373,scans!$D$2:$D$1601,$D373)&gt;1,"two readings of this type: keep one; ",""))</f>
        <v/>
      </c>
    </row>
    <row r="374">
      <c r="A374" s="9" t="n"/>
      <c r="B374" s="33" t="n"/>
      <c r="G374" s="25">
        <f>IF($C374="","",IFERROR(IF(INDEX(links!$A$2:$A$501,MATCH($C374,links!$D$2:$D$501,0))="","",INDEX(links!$A$2:$A$501,MATCH($C374,links!$D$2:$D$501,0))),""))</f>
        <v/>
      </c>
      <c r="H374" s="25">
        <f>IF($C374="","",IFERROR(IF(INDEX(links!$B$2:$B$501,MATCH($C374,links!$D$2:$D$501,0))="","",INDEX(links!$B$2:$B$501,MATCH($C374,links!$D$2:$D$501,0))),""))</f>
        <v/>
      </c>
      <c r="I374" s="25">
        <f>IF($C374="","",IFERROR(IF(INDEX(links!$C$2:$C$501,MATCH($C374,links!$D$2:$D$501,0))="","",INDEX(links!$C$2:$C$501,MATCH($C374,links!$D$2:$D$501,0))),""))</f>
        <v/>
      </c>
      <c r="J374" s="25">
        <f>IF($C374="","",IF($G374="","slug not in links; ","")&amp;IF($D374="","reading type missing; ","")&amp;IF(COUNTIFS(scans!$C$2:$C$1601,$C374,scans!$D$2:$D$1601,$D374)&gt;1,"two readings of this type: keep one; ",""))</f>
        <v/>
      </c>
    </row>
    <row r="375">
      <c r="A375" s="9" t="n"/>
      <c r="B375" s="33" t="n"/>
      <c r="G375" s="25">
        <f>IF($C375="","",IFERROR(IF(INDEX(links!$A$2:$A$501,MATCH($C375,links!$D$2:$D$501,0))="","",INDEX(links!$A$2:$A$501,MATCH($C375,links!$D$2:$D$501,0))),""))</f>
        <v/>
      </c>
      <c r="H375" s="25">
        <f>IF($C375="","",IFERROR(IF(INDEX(links!$B$2:$B$501,MATCH($C375,links!$D$2:$D$501,0))="","",INDEX(links!$B$2:$B$501,MATCH($C375,links!$D$2:$D$501,0))),""))</f>
        <v/>
      </c>
      <c r="I375" s="25">
        <f>IF($C375="","",IFERROR(IF(INDEX(links!$C$2:$C$501,MATCH($C375,links!$D$2:$D$501,0))="","",INDEX(links!$C$2:$C$501,MATCH($C375,links!$D$2:$D$501,0))),""))</f>
        <v/>
      </c>
      <c r="J375" s="25">
        <f>IF($C375="","",IF($G375="","slug not in links; ","")&amp;IF($D375="","reading type missing; ","")&amp;IF(COUNTIFS(scans!$C$2:$C$1601,$C375,scans!$D$2:$D$1601,$D375)&gt;1,"two readings of this type: keep one; ",""))</f>
        <v/>
      </c>
    </row>
    <row r="376">
      <c r="A376" s="9" t="n"/>
      <c r="B376" s="33" t="n"/>
      <c r="G376" s="25">
        <f>IF($C376="","",IFERROR(IF(INDEX(links!$A$2:$A$501,MATCH($C376,links!$D$2:$D$501,0))="","",INDEX(links!$A$2:$A$501,MATCH($C376,links!$D$2:$D$501,0))),""))</f>
        <v/>
      </c>
      <c r="H376" s="25">
        <f>IF($C376="","",IFERROR(IF(INDEX(links!$B$2:$B$501,MATCH($C376,links!$D$2:$D$501,0))="","",INDEX(links!$B$2:$B$501,MATCH($C376,links!$D$2:$D$501,0))),""))</f>
        <v/>
      </c>
      <c r="I376" s="25">
        <f>IF($C376="","",IFERROR(IF(INDEX(links!$C$2:$C$501,MATCH($C376,links!$D$2:$D$501,0))="","",INDEX(links!$C$2:$C$501,MATCH($C376,links!$D$2:$D$501,0))),""))</f>
        <v/>
      </c>
      <c r="J376" s="25">
        <f>IF($C376="","",IF($G376="","slug not in links; ","")&amp;IF($D376="","reading type missing; ","")&amp;IF(COUNTIFS(scans!$C$2:$C$1601,$C376,scans!$D$2:$D$1601,$D376)&gt;1,"two readings of this type: keep one; ",""))</f>
        <v/>
      </c>
    </row>
    <row r="377">
      <c r="A377" s="9" t="n"/>
      <c r="B377" s="33" t="n"/>
      <c r="G377" s="25">
        <f>IF($C377="","",IFERROR(IF(INDEX(links!$A$2:$A$501,MATCH($C377,links!$D$2:$D$501,0))="","",INDEX(links!$A$2:$A$501,MATCH($C377,links!$D$2:$D$501,0))),""))</f>
        <v/>
      </c>
      <c r="H377" s="25">
        <f>IF($C377="","",IFERROR(IF(INDEX(links!$B$2:$B$501,MATCH($C377,links!$D$2:$D$501,0))="","",INDEX(links!$B$2:$B$501,MATCH($C377,links!$D$2:$D$501,0))),""))</f>
        <v/>
      </c>
      <c r="I377" s="25">
        <f>IF($C377="","",IFERROR(IF(INDEX(links!$C$2:$C$501,MATCH($C377,links!$D$2:$D$501,0))="","",INDEX(links!$C$2:$C$501,MATCH($C377,links!$D$2:$D$501,0))),""))</f>
        <v/>
      </c>
      <c r="J377" s="25">
        <f>IF($C377="","",IF($G377="","slug not in links; ","")&amp;IF($D377="","reading type missing; ","")&amp;IF(COUNTIFS(scans!$C$2:$C$1601,$C377,scans!$D$2:$D$1601,$D377)&gt;1,"two readings of this type: keep one; ",""))</f>
        <v/>
      </c>
    </row>
    <row r="378">
      <c r="A378" s="9" t="n"/>
      <c r="B378" s="33" t="n"/>
      <c r="G378" s="25">
        <f>IF($C378="","",IFERROR(IF(INDEX(links!$A$2:$A$501,MATCH($C378,links!$D$2:$D$501,0))="","",INDEX(links!$A$2:$A$501,MATCH($C378,links!$D$2:$D$501,0))),""))</f>
        <v/>
      </c>
      <c r="H378" s="25">
        <f>IF($C378="","",IFERROR(IF(INDEX(links!$B$2:$B$501,MATCH($C378,links!$D$2:$D$501,0))="","",INDEX(links!$B$2:$B$501,MATCH($C378,links!$D$2:$D$501,0))),""))</f>
        <v/>
      </c>
      <c r="I378" s="25">
        <f>IF($C378="","",IFERROR(IF(INDEX(links!$C$2:$C$501,MATCH($C378,links!$D$2:$D$501,0))="","",INDEX(links!$C$2:$C$501,MATCH($C378,links!$D$2:$D$501,0))),""))</f>
        <v/>
      </c>
      <c r="J378" s="25">
        <f>IF($C378="","",IF($G378="","slug not in links; ","")&amp;IF($D378="","reading type missing; ","")&amp;IF(COUNTIFS(scans!$C$2:$C$1601,$C378,scans!$D$2:$D$1601,$D378)&gt;1,"two readings of this type: keep one; ",""))</f>
        <v/>
      </c>
    </row>
    <row r="379">
      <c r="A379" s="9" t="n"/>
      <c r="B379" s="33" t="n"/>
      <c r="G379" s="25">
        <f>IF($C379="","",IFERROR(IF(INDEX(links!$A$2:$A$501,MATCH($C379,links!$D$2:$D$501,0))="","",INDEX(links!$A$2:$A$501,MATCH($C379,links!$D$2:$D$501,0))),""))</f>
        <v/>
      </c>
      <c r="H379" s="25">
        <f>IF($C379="","",IFERROR(IF(INDEX(links!$B$2:$B$501,MATCH($C379,links!$D$2:$D$501,0))="","",INDEX(links!$B$2:$B$501,MATCH($C379,links!$D$2:$D$501,0))),""))</f>
        <v/>
      </c>
      <c r="I379" s="25">
        <f>IF($C379="","",IFERROR(IF(INDEX(links!$C$2:$C$501,MATCH($C379,links!$D$2:$D$501,0))="","",INDEX(links!$C$2:$C$501,MATCH($C379,links!$D$2:$D$501,0))),""))</f>
        <v/>
      </c>
      <c r="J379" s="25">
        <f>IF($C379="","",IF($G379="","slug not in links; ","")&amp;IF($D379="","reading type missing; ","")&amp;IF(COUNTIFS(scans!$C$2:$C$1601,$C379,scans!$D$2:$D$1601,$D379)&gt;1,"two readings of this type: keep one; ",""))</f>
        <v/>
      </c>
    </row>
    <row r="380">
      <c r="A380" s="9" t="n"/>
      <c r="B380" s="33" t="n"/>
      <c r="G380" s="25">
        <f>IF($C380="","",IFERROR(IF(INDEX(links!$A$2:$A$501,MATCH($C380,links!$D$2:$D$501,0))="","",INDEX(links!$A$2:$A$501,MATCH($C380,links!$D$2:$D$501,0))),""))</f>
        <v/>
      </c>
      <c r="H380" s="25">
        <f>IF($C380="","",IFERROR(IF(INDEX(links!$B$2:$B$501,MATCH($C380,links!$D$2:$D$501,0))="","",INDEX(links!$B$2:$B$501,MATCH($C380,links!$D$2:$D$501,0))),""))</f>
        <v/>
      </c>
      <c r="I380" s="25">
        <f>IF($C380="","",IFERROR(IF(INDEX(links!$C$2:$C$501,MATCH($C380,links!$D$2:$D$501,0))="","",INDEX(links!$C$2:$C$501,MATCH($C380,links!$D$2:$D$501,0))),""))</f>
        <v/>
      </c>
      <c r="J380" s="25">
        <f>IF($C380="","",IF($G380="","slug not in links; ","")&amp;IF($D380="","reading type missing; ","")&amp;IF(COUNTIFS(scans!$C$2:$C$1601,$C380,scans!$D$2:$D$1601,$D380)&gt;1,"two readings of this type: keep one; ",""))</f>
        <v/>
      </c>
    </row>
    <row r="381">
      <c r="A381" s="9" t="n"/>
      <c r="B381" s="33" t="n"/>
      <c r="G381" s="25">
        <f>IF($C381="","",IFERROR(IF(INDEX(links!$A$2:$A$501,MATCH($C381,links!$D$2:$D$501,0))="","",INDEX(links!$A$2:$A$501,MATCH($C381,links!$D$2:$D$501,0))),""))</f>
        <v/>
      </c>
      <c r="H381" s="25">
        <f>IF($C381="","",IFERROR(IF(INDEX(links!$B$2:$B$501,MATCH($C381,links!$D$2:$D$501,0))="","",INDEX(links!$B$2:$B$501,MATCH($C381,links!$D$2:$D$501,0))),""))</f>
        <v/>
      </c>
      <c r="I381" s="25">
        <f>IF($C381="","",IFERROR(IF(INDEX(links!$C$2:$C$501,MATCH($C381,links!$D$2:$D$501,0))="","",INDEX(links!$C$2:$C$501,MATCH($C381,links!$D$2:$D$501,0))),""))</f>
        <v/>
      </c>
      <c r="J381" s="25">
        <f>IF($C381="","",IF($G381="","slug not in links; ","")&amp;IF($D381="","reading type missing; ","")&amp;IF(COUNTIFS(scans!$C$2:$C$1601,$C381,scans!$D$2:$D$1601,$D381)&gt;1,"two readings of this type: keep one; ",""))</f>
        <v/>
      </c>
    </row>
    <row r="382">
      <c r="A382" s="9" t="n"/>
      <c r="B382" s="33" t="n"/>
      <c r="G382" s="25">
        <f>IF($C382="","",IFERROR(IF(INDEX(links!$A$2:$A$501,MATCH($C382,links!$D$2:$D$501,0))="","",INDEX(links!$A$2:$A$501,MATCH($C382,links!$D$2:$D$501,0))),""))</f>
        <v/>
      </c>
      <c r="H382" s="25">
        <f>IF($C382="","",IFERROR(IF(INDEX(links!$B$2:$B$501,MATCH($C382,links!$D$2:$D$501,0))="","",INDEX(links!$B$2:$B$501,MATCH($C382,links!$D$2:$D$501,0))),""))</f>
        <v/>
      </c>
      <c r="I382" s="25">
        <f>IF($C382="","",IFERROR(IF(INDEX(links!$C$2:$C$501,MATCH($C382,links!$D$2:$D$501,0))="","",INDEX(links!$C$2:$C$501,MATCH($C382,links!$D$2:$D$501,0))),""))</f>
        <v/>
      </c>
      <c r="J382" s="25">
        <f>IF($C382="","",IF($G382="","slug not in links; ","")&amp;IF($D382="","reading type missing; ","")&amp;IF(COUNTIFS(scans!$C$2:$C$1601,$C382,scans!$D$2:$D$1601,$D382)&gt;1,"two readings of this type: keep one; ",""))</f>
        <v/>
      </c>
    </row>
    <row r="383">
      <c r="A383" s="9" t="n"/>
      <c r="B383" s="33" t="n"/>
      <c r="G383" s="25">
        <f>IF($C383="","",IFERROR(IF(INDEX(links!$A$2:$A$501,MATCH($C383,links!$D$2:$D$501,0))="","",INDEX(links!$A$2:$A$501,MATCH($C383,links!$D$2:$D$501,0))),""))</f>
        <v/>
      </c>
      <c r="H383" s="25">
        <f>IF($C383="","",IFERROR(IF(INDEX(links!$B$2:$B$501,MATCH($C383,links!$D$2:$D$501,0))="","",INDEX(links!$B$2:$B$501,MATCH($C383,links!$D$2:$D$501,0))),""))</f>
        <v/>
      </c>
      <c r="I383" s="25">
        <f>IF($C383="","",IFERROR(IF(INDEX(links!$C$2:$C$501,MATCH($C383,links!$D$2:$D$501,0))="","",INDEX(links!$C$2:$C$501,MATCH($C383,links!$D$2:$D$501,0))),""))</f>
        <v/>
      </c>
      <c r="J383" s="25">
        <f>IF($C383="","",IF($G383="","slug not in links; ","")&amp;IF($D383="","reading type missing; ","")&amp;IF(COUNTIFS(scans!$C$2:$C$1601,$C383,scans!$D$2:$D$1601,$D383)&gt;1,"two readings of this type: keep one; ",""))</f>
        <v/>
      </c>
    </row>
    <row r="384">
      <c r="A384" s="9" t="n"/>
      <c r="B384" s="33" t="n"/>
      <c r="G384" s="25">
        <f>IF($C384="","",IFERROR(IF(INDEX(links!$A$2:$A$501,MATCH($C384,links!$D$2:$D$501,0))="","",INDEX(links!$A$2:$A$501,MATCH($C384,links!$D$2:$D$501,0))),""))</f>
        <v/>
      </c>
      <c r="H384" s="25">
        <f>IF($C384="","",IFERROR(IF(INDEX(links!$B$2:$B$501,MATCH($C384,links!$D$2:$D$501,0))="","",INDEX(links!$B$2:$B$501,MATCH($C384,links!$D$2:$D$501,0))),""))</f>
        <v/>
      </c>
      <c r="I384" s="25">
        <f>IF($C384="","",IFERROR(IF(INDEX(links!$C$2:$C$501,MATCH($C384,links!$D$2:$D$501,0))="","",INDEX(links!$C$2:$C$501,MATCH($C384,links!$D$2:$D$501,0))),""))</f>
        <v/>
      </c>
      <c r="J384" s="25">
        <f>IF($C384="","",IF($G384="","slug not in links; ","")&amp;IF($D384="","reading type missing; ","")&amp;IF(COUNTIFS(scans!$C$2:$C$1601,$C384,scans!$D$2:$D$1601,$D384)&gt;1,"two readings of this type: keep one; ",""))</f>
        <v/>
      </c>
    </row>
    <row r="385">
      <c r="A385" s="9" t="n"/>
      <c r="B385" s="33" t="n"/>
      <c r="G385" s="25">
        <f>IF($C385="","",IFERROR(IF(INDEX(links!$A$2:$A$501,MATCH($C385,links!$D$2:$D$501,0))="","",INDEX(links!$A$2:$A$501,MATCH($C385,links!$D$2:$D$501,0))),""))</f>
        <v/>
      </c>
      <c r="H385" s="25">
        <f>IF($C385="","",IFERROR(IF(INDEX(links!$B$2:$B$501,MATCH($C385,links!$D$2:$D$501,0))="","",INDEX(links!$B$2:$B$501,MATCH($C385,links!$D$2:$D$501,0))),""))</f>
        <v/>
      </c>
      <c r="I385" s="25">
        <f>IF($C385="","",IFERROR(IF(INDEX(links!$C$2:$C$501,MATCH($C385,links!$D$2:$D$501,0))="","",INDEX(links!$C$2:$C$501,MATCH($C385,links!$D$2:$D$501,0))),""))</f>
        <v/>
      </c>
      <c r="J385" s="25">
        <f>IF($C385="","",IF($G385="","slug not in links; ","")&amp;IF($D385="","reading type missing; ","")&amp;IF(COUNTIFS(scans!$C$2:$C$1601,$C385,scans!$D$2:$D$1601,$D385)&gt;1,"two readings of this type: keep one; ",""))</f>
        <v/>
      </c>
    </row>
    <row r="386">
      <c r="A386" s="9" t="n"/>
      <c r="B386" s="33" t="n"/>
      <c r="G386" s="25">
        <f>IF($C386="","",IFERROR(IF(INDEX(links!$A$2:$A$501,MATCH($C386,links!$D$2:$D$501,0))="","",INDEX(links!$A$2:$A$501,MATCH($C386,links!$D$2:$D$501,0))),""))</f>
        <v/>
      </c>
      <c r="H386" s="25">
        <f>IF($C386="","",IFERROR(IF(INDEX(links!$B$2:$B$501,MATCH($C386,links!$D$2:$D$501,0))="","",INDEX(links!$B$2:$B$501,MATCH($C386,links!$D$2:$D$501,0))),""))</f>
        <v/>
      </c>
      <c r="I386" s="25">
        <f>IF($C386="","",IFERROR(IF(INDEX(links!$C$2:$C$501,MATCH($C386,links!$D$2:$D$501,0))="","",INDEX(links!$C$2:$C$501,MATCH($C386,links!$D$2:$D$501,0))),""))</f>
        <v/>
      </c>
      <c r="J386" s="25">
        <f>IF($C386="","",IF($G386="","slug not in links; ","")&amp;IF($D386="","reading type missing; ","")&amp;IF(COUNTIFS(scans!$C$2:$C$1601,$C386,scans!$D$2:$D$1601,$D386)&gt;1,"two readings of this type: keep one; ",""))</f>
        <v/>
      </c>
    </row>
    <row r="387">
      <c r="A387" s="9" t="n"/>
      <c r="B387" s="33" t="n"/>
      <c r="G387" s="25">
        <f>IF($C387="","",IFERROR(IF(INDEX(links!$A$2:$A$501,MATCH($C387,links!$D$2:$D$501,0))="","",INDEX(links!$A$2:$A$501,MATCH($C387,links!$D$2:$D$501,0))),""))</f>
        <v/>
      </c>
      <c r="H387" s="25">
        <f>IF($C387="","",IFERROR(IF(INDEX(links!$B$2:$B$501,MATCH($C387,links!$D$2:$D$501,0))="","",INDEX(links!$B$2:$B$501,MATCH($C387,links!$D$2:$D$501,0))),""))</f>
        <v/>
      </c>
      <c r="I387" s="25">
        <f>IF($C387="","",IFERROR(IF(INDEX(links!$C$2:$C$501,MATCH($C387,links!$D$2:$D$501,0))="","",INDEX(links!$C$2:$C$501,MATCH($C387,links!$D$2:$D$501,0))),""))</f>
        <v/>
      </c>
      <c r="J387" s="25">
        <f>IF($C387="","",IF($G387="","slug not in links; ","")&amp;IF($D387="","reading type missing; ","")&amp;IF(COUNTIFS(scans!$C$2:$C$1601,$C387,scans!$D$2:$D$1601,$D387)&gt;1,"two readings of this type: keep one; ",""))</f>
        <v/>
      </c>
    </row>
    <row r="388">
      <c r="A388" s="9" t="n"/>
      <c r="B388" s="33" t="n"/>
      <c r="G388" s="25">
        <f>IF($C388="","",IFERROR(IF(INDEX(links!$A$2:$A$501,MATCH($C388,links!$D$2:$D$501,0))="","",INDEX(links!$A$2:$A$501,MATCH($C388,links!$D$2:$D$501,0))),""))</f>
        <v/>
      </c>
      <c r="H388" s="25">
        <f>IF($C388="","",IFERROR(IF(INDEX(links!$B$2:$B$501,MATCH($C388,links!$D$2:$D$501,0))="","",INDEX(links!$B$2:$B$501,MATCH($C388,links!$D$2:$D$501,0))),""))</f>
        <v/>
      </c>
      <c r="I388" s="25">
        <f>IF($C388="","",IFERROR(IF(INDEX(links!$C$2:$C$501,MATCH($C388,links!$D$2:$D$501,0))="","",INDEX(links!$C$2:$C$501,MATCH($C388,links!$D$2:$D$501,0))),""))</f>
        <v/>
      </c>
      <c r="J388" s="25">
        <f>IF($C388="","",IF($G388="","slug not in links; ","")&amp;IF($D388="","reading type missing; ","")&amp;IF(COUNTIFS(scans!$C$2:$C$1601,$C388,scans!$D$2:$D$1601,$D388)&gt;1,"two readings of this type: keep one; ",""))</f>
        <v/>
      </c>
    </row>
    <row r="389">
      <c r="A389" s="9" t="n"/>
      <c r="B389" s="33" t="n"/>
      <c r="G389" s="25">
        <f>IF($C389="","",IFERROR(IF(INDEX(links!$A$2:$A$501,MATCH($C389,links!$D$2:$D$501,0))="","",INDEX(links!$A$2:$A$501,MATCH($C389,links!$D$2:$D$501,0))),""))</f>
        <v/>
      </c>
      <c r="H389" s="25">
        <f>IF($C389="","",IFERROR(IF(INDEX(links!$B$2:$B$501,MATCH($C389,links!$D$2:$D$501,0))="","",INDEX(links!$B$2:$B$501,MATCH($C389,links!$D$2:$D$501,0))),""))</f>
        <v/>
      </c>
      <c r="I389" s="25">
        <f>IF($C389="","",IFERROR(IF(INDEX(links!$C$2:$C$501,MATCH($C389,links!$D$2:$D$501,0))="","",INDEX(links!$C$2:$C$501,MATCH($C389,links!$D$2:$D$501,0))),""))</f>
        <v/>
      </c>
      <c r="J389" s="25">
        <f>IF($C389="","",IF($G389="","slug not in links; ","")&amp;IF($D389="","reading type missing; ","")&amp;IF(COUNTIFS(scans!$C$2:$C$1601,$C389,scans!$D$2:$D$1601,$D389)&gt;1,"two readings of this type: keep one; ",""))</f>
        <v/>
      </c>
    </row>
    <row r="390">
      <c r="A390" s="9" t="n"/>
      <c r="B390" s="33" t="n"/>
      <c r="G390" s="25">
        <f>IF($C390="","",IFERROR(IF(INDEX(links!$A$2:$A$501,MATCH($C390,links!$D$2:$D$501,0))="","",INDEX(links!$A$2:$A$501,MATCH($C390,links!$D$2:$D$501,0))),""))</f>
        <v/>
      </c>
      <c r="H390" s="25">
        <f>IF($C390="","",IFERROR(IF(INDEX(links!$B$2:$B$501,MATCH($C390,links!$D$2:$D$501,0))="","",INDEX(links!$B$2:$B$501,MATCH($C390,links!$D$2:$D$501,0))),""))</f>
        <v/>
      </c>
      <c r="I390" s="25">
        <f>IF($C390="","",IFERROR(IF(INDEX(links!$C$2:$C$501,MATCH($C390,links!$D$2:$D$501,0))="","",INDEX(links!$C$2:$C$501,MATCH($C390,links!$D$2:$D$501,0))),""))</f>
        <v/>
      </c>
      <c r="J390" s="25">
        <f>IF($C390="","",IF($G390="","slug not in links; ","")&amp;IF($D390="","reading type missing; ","")&amp;IF(COUNTIFS(scans!$C$2:$C$1601,$C390,scans!$D$2:$D$1601,$D390)&gt;1,"two readings of this type: keep one; ",""))</f>
        <v/>
      </c>
    </row>
    <row r="391">
      <c r="A391" s="9" t="n"/>
      <c r="B391" s="33" t="n"/>
      <c r="G391" s="25">
        <f>IF($C391="","",IFERROR(IF(INDEX(links!$A$2:$A$501,MATCH($C391,links!$D$2:$D$501,0))="","",INDEX(links!$A$2:$A$501,MATCH($C391,links!$D$2:$D$501,0))),""))</f>
        <v/>
      </c>
      <c r="H391" s="25">
        <f>IF($C391="","",IFERROR(IF(INDEX(links!$B$2:$B$501,MATCH($C391,links!$D$2:$D$501,0))="","",INDEX(links!$B$2:$B$501,MATCH($C391,links!$D$2:$D$501,0))),""))</f>
        <v/>
      </c>
      <c r="I391" s="25">
        <f>IF($C391="","",IFERROR(IF(INDEX(links!$C$2:$C$501,MATCH($C391,links!$D$2:$D$501,0))="","",INDEX(links!$C$2:$C$501,MATCH($C391,links!$D$2:$D$501,0))),""))</f>
        <v/>
      </c>
      <c r="J391" s="25">
        <f>IF($C391="","",IF($G391="","slug not in links; ","")&amp;IF($D391="","reading type missing; ","")&amp;IF(COUNTIFS(scans!$C$2:$C$1601,$C391,scans!$D$2:$D$1601,$D391)&gt;1,"two readings of this type: keep one; ",""))</f>
        <v/>
      </c>
    </row>
    <row r="392">
      <c r="A392" s="9" t="n"/>
      <c r="B392" s="33" t="n"/>
      <c r="G392" s="25">
        <f>IF($C392="","",IFERROR(IF(INDEX(links!$A$2:$A$501,MATCH($C392,links!$D$2:$D$501,0))="","",INDEX(links!$A$2:$A$501,MATCH($C392,links!$D$2:$D$501,0))),""))</f>
        <v/>
      </c>
      <c r="H392" s="25">
        <f>IF($C392="","",IFERROR(IF(INDEX(links!$B$2:$B$501,MATCH($C392,links!$D$2:$D$501,0))="","",INDEX(links!$B$2:$B$501,MATCH($C392,links!$D$2:$D$501,0))),""))</f>
        <v/>
      </c>
      <c r="I392" s="25">
        <f>IF($C392="","",IFERROR(IF(INDEX(links!$C$2:$C$501,MATCH($C392,links!$D$2:$D$501,0))="","",INDEX(links!$C$2:$C$501,MATCH($C392,links!$D$2:$D$501,0))),""))</f>
        <v/>
      </c>
      <c r="J392" s="25">
        <f>IF($C392="","",IF($G392="","slug not in links; ","")&amp;IF($D392="","reading type missing; ","")&amp;IF(COUNTIFS(scans!$C$2:$C$1601,$C392,scans!$D$2:$D$1601,$D392)&gt;1,"two readings of this type: keep one; ",""))</f>
        <v/>
      </c>
    </row>
    <row r="393">
      <c r="A393" s="9" t="n"/>
      <c r="B393" s="33" t="n"/>
      <c r="G393" s="25">
        <f>IF($C393="","",IFERROR(IF(INDEX(links!$A$2:$A$501,MATCH($C393,links!$D$2:$D$501,0))="","",INDEX(links!$A$2:$A$501,MATCH($C393,links!$D$2:$D$501,0))),""))</f>
        <v/>
      </c>
      <c r="H393" s="25">
        <f>IF($C393="","",IFERROR(IF(INDEX(links!$B$2:$B$501,MATCH($C393,links!$D$2:$D$501,0))="","",INDEX(links!$B$2:$B$501,MATCH($C393,links!$D$2:$D$501,0))),""))</f>
        <v/>
      </c>
      <c r="I393" s="25">
        <f>IF($C393="","",IFERROR(IF(INDEX(links!$C$2:$C$501,MATCH($C393,links!$D$2:$D$501,0))="","",INDEX(links!$C$2:$C$501,MATCH($C393,links!$D$2:$D$501,0))),""))</f>
        <v/>
      </c>
      <c r="J393" s="25">
        <f>IF($C393="","",IF($G393="","slug not in links; ","")&amp;IF($D393="","reading type missing; ","")&amp;IF(COUNTIFS(scans!$C$2:$C$1601,$C393,scans!$D$2:$D$1601,$D393)&gt;1,"two readings of this type: keep one; ",""))</f>
        <v/>
      </c>
    </row>
    <row r="394">
      <c r="A394" s="9" t="n"/>
      <c r="B394" s="33" t="n"/>
      <c r="G394" s="25">
        <f>IF($C394="","",IFERROR(IF(INDEX(links!$A$2:$A$501,MATCH($C394,links!$D$2:$D$501,0))="","",INDEX(links!$A$2:$A$501,MATCH($C394,links!$D$2:$D$501,0))),""))</f>
        <v/>
      </c>
      <c r="H394" s="25">
        <f>IF($C394="","",IFERROR(IF(INDEX(links!$B$2:$B$501,MATCH($C394,links!$D$2:$D$501,0))="","",INDEX(links!$B$2:$B$501,MATCH($C394,links!$D$2:$D$501,0))),""))</f>
        <v/>
      </c>
      <c r="I394" s="25">
        <f>IF($C394="","",IFERROR(IF(INDEX(links!$C$2:$C$501,MATCH($C394,links!$D$2:$D$501,0))="","",INDEX(links!$C$2:$C$501,MATCH($C394,links!$D$2:$D$501,0))),""))</f>
        <v/>
      </c>
      <c r="J394" s="25">
        <f>IF($C394="","",IF($G394="","slug not in links; ","")&amp;IF($D394="","reading type missing; ","")&amp;IF(COUNTIFS(scans!$C$2:$C$1601,$C394,scans!$D$2:$D$1601,$D394)&gt;1,"two readings of this type: keep one; ",""))</f>
        <v/>
      </c>
    </row>
    <row r="395">
      <c r="A395" s="9" t="n"/>
      <c r="B395" s="33" t="n"/>
      <c r="G395" s="25">
        <f>IF($C395="","",IFERROR(IF(INDEX(links!$A$2:$A$501,MATCH($C395,links!$D$2:$D$501,0))="","",INDEX(links!$A$2:$A$501,MATCH($C395,links!$D$2:$D$501,0))),""))</f>
        <v/>
      </c>
      <c r="H395" s="25">
        <f>IF($C395="","",IFERROR(IF(INDEX(links!$B$2:$B$501,MATCH($C395,links!$D$2:$D$501,0))="","",INDEX(links!$B$2:$B$501,MATCH($C395,links!$D$2:$D$501,0))),""))</f>
        <v/>
      </c>
      <c r="I395" s="25">
        <f>IF($C395="","",IFERROR(IF(INDEX(links!$C$2:$C$501,MATCH($C395,links!$D$2:$D$501,0))="","",INDEX(links!$C$2:$C$501,MATCH($C395,links!$D$2:$D$501,0))),""))</f>
        <v/>
      </c>
      <c r="J395" s="25">
        <f>IF($C395="","",IF($G395="","slug not in links; ","")&amp;IF($D395="","reading type missing; ","")&amp;IF(COUNTIFS(scans!$C$2:$C$1601,$C395,scans!$D$2:$D$1601,$D395)&gt;1,"two readings of this type: keep one; ",""))</f>
        <v/>
      </c>
    </row>
    <row r="396">
      <c r="A396" s="9" t="n"/>
      <c r="B396" s="33" t="n"/>
      <c r="G396" s="25">
        <f>IF($C396="","",IFERROR(IF(INDEX(links!$A$2:$A$501,MATCH($C396,links!$D$2:$D$501,0))="","",INDEX(links!$A$2:$A$501,MATCH($C396,links!$D$2:$D$501,0))),""))</f>
        <v/>
      </c>
      <c r="H396" s="25">
        <f>IF($C396="","",IFERROR(IF(INDEX(links!$B$2:$B$501,MATCH($C396,links!$D$2:$D$501,0))="","",INDEX(links!$B$2:$B$501,MATCH($C396,links!$D$2:$D$501,0))),""))</f>
        <v/>
      </c>
      <c r="I396" s="25">
        <f>IF($C396="","",IFERROR(IF(INDEX(links!$C$2:$C$501,MATCH($C396,links!$D$2:$D$501,0))="","",INDEX(links!$C$2:$C$501,MATCH($C396,links!$D$2:$D$501,0))),""))</f>
        <v/>
      </c>
      <c r="J396" s="25">
        <f>IF($C396="","",IF($G396="","slug not in links; ","")&amp;IF($D396="","reading type missing; ","")&amp;IF(COUNTIFS(scans!$C$2:$C$1601,$C396,scans!$D$2:$D$1601,$D396)&gt;1,"two readings of this type: keep one; ",""))</f>
        <v/>
      </c>
    </row>
    <row r="397">
      <c r="A397" s="9" t="n"/>
      <c r="B397" s="33" t="n"/>
      <c r="G397" s="25">
        <f>IF($C397="","",IFERROR(IF(INDEX(links!$A$2:$A$501,MATCH($C397,links!$D$2:$D$501,0))="","",INDEX(links!$A$2:$A$501,MATCH($C397,links!$D$2:$D$501,0))),""))</f>
        <v/>
      </c>
      <c r="H397" s="25">
        <f>IF($C397="","",IFERROR(IF(INDEX(links!$B$2:$B$501,MATCH($C397,links!$D$2:$D$501,0))="","",INDEX(links!$B$2:$B$501,MATCH($C397,links!$D$2:$D$501,0))),""))</f>
        <v/>
      </c>
      <c r="I397" s="25">
        <f>IF($C397="","",IFERROR(IF(INDEX(links!$C$2:$C$501,MATCH($C397,links!$D$2:$D$501,0))="","",INDEX(links!$C$2:$C$501,MATCH($C397,links!$D$2:$D$501,0))),""))</f>
        <v/>
      </c>
      <c r="J397" s="25">
        <f>IF($C397="","",IF($G397="","slug not in links; ","")&amp;IF($D397="","reading type missing; ","")&amp;IF(COUNTIFS(scans!$C$2:$C$1601,$C397,scans!$D$2:$D$1601,$D397)&gt;1,"two readings of this type: keep one; ",""))</f>
        <v/>
      </c>
    </row>
    <row r="398">
      <c r="A398" s="9" t="n"/>
      <c r="B398" s="33" t="n"/>
      <c r="G398" s="25">
        <f>IF($C398="","",IFERROR(IF(INDEX(links!$A$2:$A$501,MATCH($C398,links!$D$2:$D$501,0))="","",INDEX(links!$A$2:$A$501,MATCH($C398,links!$D$2:$D$501,0))),""))</f>
        <v/>
      </c>
      <c r="H398" s="25">
        <f>IF($C398="","",IFERROR(IF(INDEX(links!$B$2:$B$501,MATCH($C398,links!$D$2:$D$501,0))="","",INDEX(links!$B$2:$B$501,MATCH($C398,links!$D$2:$D$501,0))),""))</f>
        <v/>
      </c>
      <c r="I398" s="25">
        <f>IF($C398="","",IFERROR(IF(INDEX(links!$C$2:$C$501,MATCH($C398,links!$D$2:$D$501,0))="","",INDEX(links!$C$2:$C$501,MATCH($C398,links!$D$2:$D$501,0))),""))</f>
        <v/>
      </c>
      <c r="J398" s="25">
        <f>IF($C398="","",IF($G398="","slug not in links; ","")&amp;IF($D398="","reading type missing; ","")&amp;IF(COUNTIFS(scans!$C$2:$C$1601,$C398,scans!$D$2:$D$1601,$D398)&gt;1,"two readings of this type: keep one; ",""))</f>
        <v/>
      </c>
    </row>
    <row r="399">
      <c r="A399" s="9" t="n"/>
      <c r="B399" s="33" t="n"/>
      <c r="G399" s="25">
        <f>IF($C399="","",IFERROR(IF(INDEX(links!$A$2:$A$501,MATCH($C399,links!$D$2:$D$501,0))="","",INDEX(links!$A$2:$A$501,MATCH($C399,links!$D$2:$D$501,0))),""))</f>
        <v/>
      </c>
      <c r="H399" s="25">
        <f>IF($C399="","",IFERROR(IF(INDEX(links!$B$2:$B$501,MATCH($C399,links!$D$2:$D$501,0))="","",INDEX(links!$B$2:$B$501,MATCH($C399,links!$D$2:$D$501,0))),""))</f>
        <v/>
      </c>
      <c r="I399" s="25">
        <f>IF($C399="","",IFERROR(IF(INDEX(links!$C$2:$C$501,MATCH($C399,links!$D$2:$D$501,0))="","",INDEX(links!$C$2:$C$501,MATCH($C399,links!$D$2:$D$501,0))),""))</f>
        <v/>
      </c>
      <c r="J399" s="25">
        <f>IF($C399="","",IF($G399="","slug not in links; ","")&amp;IF($D399="","reading type missing; ","")&amp;IF(COUNTIFS(scans!$C$2:$C$1601,$C399,scans!$D$2:$D$1601,$D399)&gt;1,"two readings of this type: keep one; ",""))</f>
        <v/>
      </c>
    </row>
    <row r="400">
      <c r="A400" s="9" t="n"/>
      <c r="B400" s="33" t="n"/>
      <c r="G400" s="25">
        <f>IF($C400="","",IFERROR(IF(INDEX(links!$A$2:$A$501,MATCH($C400,links!$D$2:$D$501,0))="","",INDEX(links!$A$2:$A$501,MATCH($C400,links!$D$2:$D$501,0))),""))</f>
        <v/>
      </c>
      <c r="H400" s="25">
        <f>IF($C400="","",IFERROR(IF(INDEX(links!$B$2:$B$501,MATCH($C400,links!$D$2:$D$501,0))="","",INDEX(links!$B$2:$B$501,MATCH($C400,links!$D$2:$D$501,0))),""))</f>
        <v/>
      </c>
      <c r="I400" s="25">
        <f>IF($C400="","",IFERROR(IF(INDEX(links!$C$2:$C$501,MATCH($C400,links!$D$2:$D$501,0))="","",INDEX(links!$C$2:$C$501,MATCH($C400,links!$D$2:$D$501,0))),""))</f>
        <v/>
      </c>
      <c r="J400" s="25">
        <f>IF($C400="","",IF($G400="","slug not in links; ","")&amp;IF($D400="","reading type missing; ","")&amp;IF(COUNTIFS(scans!$C$2:$C$1601,$C400,scans!$D$2:$D$1601,$D400)&gt;1,"two readings of this type: keep one; ",""))</f>
        <v/>
      </c>
    </row>
    <row r="401">
      <c r="A401" s="9" t="n"/>
      <c r="B401" s="33" t="n"/>
      <c r="G401" s="25">
        <f>IF($C401="","",IFERROR(IF(INDEX(links!$A$2:$A$501,MATCH($C401,links!$D$2:$D$501,0))="","",INDEX(links!$A$2:$A$501,MATCH($C401,links!$D$2:$D$501,0))),""))</f>
        <v/>
      </c>
      <c r="H401" s="25">
        <f>IF($C401="","",IFERROR(IF(INDEX(links!$B$2:$B$501,MATCH($C401,links!$D$2:$D$501,0))="","",INDEX(links!$B$2:$B$501,MATCH($C401,links!$D$2:$D$501,0))),""))</f>
        <v/>
      </c>
      <c r="I401" s="25">
        <f>IF($C401="","",IFERROR(IF(INDEX(links!$C$2:$C$501,MATCH($C401,links!$D$2:$D$501,0))="","",INDEX(links!$C$2:$C$501,MATCH($C401,links!$D$2:$D$501,0))),""))</f>
        <v/>
      </c>
      <c r="J401" s="25">
        <f>IF($C401="","",IF($G401="","slug not in links; ","")&amp;IF($D401="","reading type missing; ","")&amp;IF(COUNTIFS(scans!$C$2:$C$1601,$C401,scans!$D$2:$D$1601,$D401)&gt;1,"two readings of this type: keep one; ",""))</f>
        <v/>
      </c>
    </row>
    <row r="402">
      <c r="A402" s="9" t="n"/>
      <c r="B402" s="33" t="n"/>
      <c r="G402" s="25">
        <f>IF($C402="","",IFERROR(IF(INDEX(links!$A$2:$A$501,MATCH($C402,links!$D$2:$D$501,0))="","",INDEX(links!$A$2:$A$501,MATCH($C402,links!$D$2:$D$501,0))),""))</f>
        <v/>
      </c>
      <c r="H402" s="25">
        <f>IF($C402="","",IFERROR(IF(INDEX(links!$B$2:$B$501,MATCH($C402,links!$D$2:$D$501,0))="","",INDEX(links!$B$2:$B$501,MATCH($C402,links!$D$2:$D$501,0))),""))</f>
        <v/>
      </c>
      <c r="I402" s="25">
        <f>IF($C402="","",IFERROR(IF(INDEX(links!$C$2:$C$501,MATCH($C402,links!$D$2:$D$501,0))="","",INDEX(links!$C$2:$C$501,MATCH($C402,links!$D$2:$D$501,0))),""))</f>
        <v/>
      </c>
      <c r="J402" s="25">
        <f>IF($C402="","",IF($G402="","slug not in links; ","")&amp;IF($D402="","reading type missing; ","")&amp;IF(COUNTIFS(scans!$C$2:$C$1601,$C402,scans!$D$2:$D$1601,$D402)&gt;1,"two readings of this type: keep one; ",""))</f>
        <v/>
      </c>
    </row>
    <row r="403">
      <c r="A403" s="9" t="n"/>
      <c r="B403" s="33" t="n"/>
      <c r="G403" s="25">
        <f>IF($C403="","",IFERROR(IF(INDEX(links!$A$2:$A$501,MATCH($C403,links!$D$2:$D$501,0))="","",INDEX(links!$A$2:$A$501,MATCH($C403,links!$D$2:$D$501,0))),""))</f>
        <v/>
      </c>
      <c r="H403" s="25">
        <f>IF($C403="","",IFERROR(IF(INDEX(links!$B$2:$B$501,MATCH($C403,links!$D$2:$D$501,0))="","",INDEX(links!$B$2:$B$501,MATCH($C403,links!$D$2:$D$501,0))),""))</f>
        <v/>
      </c>
      <c r="I403" s="25">
        <f>IF($C403="","",IFERROR(IF(INDEX(links!$C$2:$C$501,MATCH($C403,links!$D$2:$D$501,0))="","",INDEX(links!$C$2:$C$501,MATCH($C403,links!$D$2:$D$501,0))),""))</f>
        <v/>
      </c>
      <c r="J403" s="25">
        <f>IF($C403="","",IF($G403="","slug not in links; ","")&amp;IF($D403="","reading type missing; ","")&amp;IF(COUNTIFS(scans!$C$2:$C$1601,$C403,scans!$D$2:$D$1601,$D403)&gt;1,"two readings of this type: keep one; ",""))</f>
        <v/>
      </c>
    </row>
    <row r="404">
      <c r="A404" s="9" t="n"/>
      <c r="B404" s="33" t="n"/>
      <c r="G404" s="25">
        <f>IF($C404="","",IFERROR(IF(INDEX(links!$A$2:$A$501,MATCH($C404,links!$D$2:$D$501,0))="","",INDEX(links!$A$2:$A$501,MATCH($C404,links!$D$2:$D$501,0))),""))</f>
        <v/>
      </c>
      <c r="H404" s="25">
        <f>IF($C404="","",IFERROR(IF(INDEX(links!$B$2:$B$501,MATCH($C404,links!$D$2:$D$501,0))="","",INDEX(links!$B$2:$B$501,MATCH($C404,links!$D$2:$D$501,0))),""))</f>
        <v/>
      </c>
      <c r="I404" s="25">
        <f>IF($C404="","",IFERROR(IF(INDEX(links!$C$2:$C$501,MATCH($C404,links!$D$2:$D$501,0))="","",INDEX(links!$C$2:$C$501,MATCH($C404,links!$D$2:$D$501,0))),""))</f>
        <v/>
      </c>
      <c r="J404" s="25">
        <f>IF($C404="","",IF($G404="","slug not in links; ","")&amp;IF($D404="","reading type missing; ","")&amp;IF(COUNTIFS(scans!$C$2:$C$1601,$C404,scans!$D$2:$D$1601,$D404)&gt;1,"two readings of this type: keep one; ",""))</f>
        <v/>
      </c>
    </row>
    <row r="405">
      <c r="A405" s="9" t="n"/>
      <c r="B405" s="33" t="n"/>
      <c r="G405" s="25">
        <f>IF($C405="","",IFERROR(IF(INDEX(links!$A$2:$A$501,MATCH($C405,links!$D$2:$D$501,0))="","",INDEX(links!$A$2:$A$501,MATCH($C405,links!$D$2:$D$501,0))),""))</f>
        <v/>
      </c>
      <c r="H405" s="25">
        <f>IF($C405="","",IFERROR(IF(INDEX(links!$B$2:$B$501,MATCH($C405,links!$D$2:$D$501,0))="","",INDEX(links!$B$2:$B$501,MATCH($C405,links!$D$2:$D$501,0))),""))</f>
        <v/>
      </c>
      <c r="I405" s="25">
        <f>IF($C405="","",IFERROR(IF(INDEX(links!$C$2:$C$501,MATCH($C405,links!$D$2:$D$501,0))="","",INDEX(links!$C$2:$C$501,MATCH($C405,links!$D$2:$D$501,0))),""))</f>
        <v/>
      </c>
      <c r="J405" s="25">
        <f>IF($C405="","",IF($G405="","slug not in links; ","")&amp;IF($D405="","reading type missing; ","")&amp;IF(COUNTIFS(scans!$C$2:$C$1601,$C405,scans!$D$2:$D$1601,$D405)&gt;1,"two readings of this type: keep one; ",""))</f>
        <v/>
      </c>
    </row>
    <row r="406">
      <c r="A406" s="9" t="n"/>
      <c r="B406" s="33" t="n"/>
      <c r="G406" s="25">
        <f>IF($C406="","",IFERROR(IF(INDEX(links!$A$2:$A$501,MATCH($C406,links!$D$2:$D$501,0))="","",INDEX(links!$A$2:$A$501,MATCH($C406,links!$D$2:$D$501,0))),""))</f>
        <v/>
      </c>
      <c r="H406" s="25">
        <f>IF($C406="","",IFERROR(IF(INDEX(links!$B$2:$B$501,MATCH($C406,links!$D$2:$D$501,0))="","",INDEX(links!$B$2:$B$501,MATCH($C406,links!$D$2:$D$501,0))),""))</f>
        <v/>
      </c>
      <c r="I406" s="25">
        <f>IF($C406="","",IFERROR(IF(INDEX(links!$C$2:$C$501,MATCH($C406,links!$D$2:$D$501,0))="","",INDEX(links!$C$2:$C$501,MATCH($C406,links!$D$2:$D$501,0))),""))</f>
        <v/>
      </c>
      <c r="J406" s="25">
        <f>IF($C406="","",IF($G406="","slug not in links; ","")&amp;IF($D406="","reading type missing; ","")&amp;IF(COUNTIFS(scans!$C$2:$C$1601,$C406,scans!$D$2:$D$1601,$D406)&gt;1,"two readings of this type: keep one; ",""))</f>
        <v/>
      </c>
    </row>
    <row r="407">
      <c r="A407" s="9" t="n"/>
      <c r="B407" s="33" t="n"/>
      <c r="G407" s="25">
        <f>IF($C407="","",IFERROR(IF(INDEX(links!$A$2:$A$501,MATCH($C407,links!$D$2:$D$501,0))="","",INDEX(links!$A$2:$A$501,MATCH($C407,links!$D$2:$D$501,0))),""))</f>
        <v/>
      </c>
      <c r="H407" s="25">
        <f>IF($C407="","",IFERROR(IF(INDEX(links!$B$2:$B$501,MATCH($C407,links!$D$2:$D$501,0))="","",INDEX(links!$B$2:$B$501,MATCH($C407,links!$D$2:$D$501,0))),""))</f>
        <v/>
      </c>
      <c r="I407" s="25">
        <f>IF($C407="","",IFERROR(IF(INDEX(links!$C$2:$C$501,MATCH($C407,links!$D$2:$D$501,0))="","",INDEX(links!$C$2:$C$501,MATCH($C407,links!$D$2:$D$501,0))),""))</f>
        <v/>
      </c>
      <c r="J407" s="25">
        <f>IF($C407="","",IF($G407="","slug not in links; ","")&amp;IF($D407="","reading type missing; ","")&amp;IF(COUNTIFS(scans!$C$2:$C$1601,$C407,scans!$D$2:$D$1601,$D407)&gt;1,"two readings of this type: keep one; ",""))</f>
        <v/>
      </c>
    </row>
    <row r="408">
      <c r="A408" s="9" t="n"/>
      <c r="B408" s="33" t="n"/>
      <c r="G408" s="25">
        <f>IF($C408="","",IFERROR(IF(INDEX(links!$A$2:$A$501,MATCH($C408,links!$D$2:$D$501,0))="","",INDEX(links!$A$2:$A$501,MATCH($C408,links!$D$2:$D$501,0))),""))</f>
        <v/>
      </c>
      <c r="H408" s="25">
        <f>IF($C408="","",IFERROR(IF(INDEX(links!$B$2:$B$501,MATCH($C408,links!$D$2:$D$501,0))="","",INDEX(links!$B$2:$B$501,MATCH($C408,links!$D$2:$D$501,0))),""))</f>
        <v/>
      </c>
      <c r="I408" s="25">
        <f>IF($C408="","",IFERROR(IF(INDEX(links!$C$2:$C$501,MATCH($C408,links!$D$2:$D$501,0))="","",INDEX(links!$C$2:$C$501,MATCH($C408,links!$D$2:$D$501,0))),""))</f>
        <v/>
      </c>
      <c r="J408" s="25">
        <f>IF($C408="","",IF($G408="","slug not in links; ","")&amp;IF($D408="","reading type missing; ","")&amp;IF(COUNTIFS(scans!$C$2:$C$1601,$C408,scans!$D$2:$D$1601,$D408)&gt;1,"two readings of this type: keep one; ",""))</f>
        <v/>
      </c>
    </row>
    <row r="409">
      <c r="A409" s="9" t="n"/>
      <c r="B409" s="33" t="n"/>
      <c r="G409" s="25">
        <f>IF($C409="","",IFERROR(IF(INDEX(links!$A$2:$A$501,MATCH($C409,links!$D$2:$D$501,0))="","",INDEX(links!$A$2:$A$501,MATCH($C409,links!$D$2:$D$501,0))),""))</f>
        <v/>
      </c>
      <c r="H409" s="25">
        <f>IF($C409="","",IFERROR(IF(INDEX(links!$B$2:$B$501,MATCH($C409,links!$D$2:$D$501,0))="","",INDEX(links!$B$2:$B$501,MATCH($C409,links!$D$2:$D$501,0))),""))</f>
        <v/>
      </c>
      <c r="I409" s="25">
        <f>IF($C409="","",IFERROR(IF(INDEX(links!$C$2:$C$501,MATCH($C409,links!$D$2:$D$501,0))="","",INDEX(links!$C$2:$C$501,MATCH($C409,links!$D$2:$D$501,0))),""))</f>
        <v/>
      </c>
      <c r="J409" s="25">
        <f>IF($C409="","",IF($G409="","slug not in links; ","")&amp;IF($D409="","reading type missing; ","")&amp;IF(COUNTIFS(scans!$C$2:$C$1601,$C409,scans!$D$2:$D$1601,$D409)&gt;1,"two readings of this type: keep one; ",""))</f>
        <v/>
      </c>
    </row>
    <row r="410">
      <c r="A410" s="9" t="n"/>
      <c r="B410" s="33" t="n"/>
      <c r="G410" s="25">
        <f>IF($C410="","",IFERROR(IF(INDEX(links!$A$2:$A$501,MATCH($C410,links!$D$2:$D$501,0))="","",INDEX(links!$A$2:$A$501,MATCH($C410,links!$D$2:$D$501,0))),""))</f>
        <v/>
      </c>
      <c r="H410" s="25">
        <f>IF($C410="","",IFERROR(IF(INDEX(links!$B$2:$B$501,MATCH($C410,links!$D$2:$D$501,0))="","",INDEX(links!$B$2:$B$501,MATCH($C410,links!$D$2:$D$501,0))),""))</f>
        <v/>
      </c>
      <c r="I410" s="25">
        <f>IF($C410="","",IFERROR(IF(INDEX(links!$C$2:$C$501,MATCH($C410,links!$D$2:$D$501,0))="","",INDEX(links!$C$2:$C$501,MATCH($C410,links!$D$2:$D$501,0))),""))</f>
        <v/>
      </c>
      <c r="J410" s="25">
        <f>IF($C410="","",IF($G410="","slug not in links; ","")&amp;IF($D410="","reading type missing; ","")&amp;IF(COUNTIFS(scans!$C$2:$C$1601,$C410,scans!$D$2:$D$1601,$D410)&gt;1,"two readings of this type: keep one; ",""))</f>
        <v/>
      </c>
    </row>
    <row r="411">
      <c r="A411" s="9" t="n"/>
      <c r="B411" s="33" t="n"/>
      <c r="G411" s="25">
        <f>IF($C411="","",IFERROR(IF(INDEX(links!$A$2:$A$501,MATCH($C411,links!$D$2:$D$501,0))="","",INDEX(links!$A$2:$A$501,MATCH($C411,links!$D$2:$D$501,0))),""))</f>
        <v/>
      </c>
      <c r="H411" s="25">
        <f>IF($C411="","",IFERROR(IF(INDEX(links!$B$2:$B$501,MATCH($C411,links!$D$2:$D$501,0))="","",INDEX(links!$B$2:$B$501,MATCH($C411,links!$D$2:$D$501,0))),""))</f>
        <v/>
      </c>
      <c r="I411" s="25">
        <f>IF($C411="","",IFERROR(IF(INDEX(links!$C$2:$C$501,MATCH($C411,links!$D$2:$D$501,0))="","",INDEX(links!$C$2:$C$501,MATCH($C411,links!$D$2:$D$501,0))),""))</f>
        <v/>
      </c>
      <c r="J411" s="25">
        <f>IF($C411="","",IF($G411="","slug not in links; ","")&amp;IF($D411="","reading type missing; ","")&amp;IF(COUNTIFS(scans!$C$2:$C$1601,$C411,scans!$D$2:$D$1601,$D411)&gt;1,"two readings of this type: keep one; ",""))</f>
        <v/>
      </c>
    </row>
    <row r="412">
      <c r="A412" s="9" t="n"/>
      <c r="B412" s="33" t="n"/>
      <c r="G412" s="25">
        <f>IF($C412="","",IFERROR(IF(INDEX(links!$A$2:$A$501,MATCH($C412,links!$D$2:$D$501,0))="","",INDEX(links!$A$2:$A$501,MATCH($C412,links!$D$2:$D$501,0))),""))</f>
        <v/>
      </c>
      <c r="H412" s="25">
        <f>IF($C412="","",IFERROR(IF(INDEX(links!$B$2:$B$501,MATCH($C412,links!$D$2:$D$501,0))="","",INDEX(links!$B$2:$B$501,MATCH($C412,links!$D$2:$D$501,0))),""))</f>
        <v/>
      </c>
      <c r="I412" s="25">
        <f>IF($C412="","",IFERROR(IF(INDEX(links!$C$2:$C$501,MATCH($C412,links!$D$2:$D$501,0))="","",INDEX(links!$C$2:$C$501,MATCH($C412,links!$D$2:$D$501,0))),""))</f>
        <v/>
      </c>
      <c r="J412" s="25">
        <f>IF($C412="","",IF($G412="","slug not in links; ","")&amp;IF($D412="","reading type missing; ","")&amp;IF(COUNTIFS(scans!$C$2:$C$1601,$C412,scans!$D$2:$D$1601,$D412)&gt;1,"two readings of this type: keep one; ",""))</f>
        <v/>
      </c>
    </row>
    <row r="413">
      <c r="A413" s="9" t="n"/>
      <c r="B413" s="33" t="n"/>
      <c r="G413" s="25">
        <f>IF($C413="","",IFERROR(IF(INDEX(links!$A$2:$A$501,MATCH($C413,links!$D$2:$D$501,0))="","",INDEX(links!$A$2:$A$501,MATCH($C413,links!$D$2:$D$501,0))),""))</f>
        <v/>
      </c>
      <c r="H413" s="25">
        <f>IF($C413="","",IFERROR(IF(INDEX(links!$B$2:$B$501,MATCH($C413,links!$D$2:$D$501,0))="","",INDEX(links!$B$2:$B$501,MATCH($C413,links!$D$2:$D$501,0))),""))</f>
        <v/>
      </c>
      <c r="I413" s="25">
        <f>IF($C413="","",IFERROR(IF(INDEX(links!$C$2:$C$501,MATCH($C413,links!$D$2:$D$501,0))="","",INDEX(links!$C$2:$C$501,MATCH($C413,links!$D$2:$D$501,0))),""))</f>
        <v/>
      </c>
      <c r="J413" s="25">
        <f>IF($C413="","",IF($G413="","slug not in links; ","")&amp;IF($D413="","reading type missing; ","")&amp;IF(COUNTIFS(scans!$C$2:$C$1601,$C413,scans!$D$2:$D$1601,$D413)&gt;1,"two readings of this type: keep one; ",""))</f>
        <v/>
      </c>
    </row>
    <row r="414">
      <c r="A414" s="9" t="n"/>
      <c r="B414" s="33" t="n"/>
      <c r="G414" s="25">
        <f>IF($C414="","",IFERROR(IF(INDEX(links!$A$2:$A$501,MATCH($C414,links!$D$2:$D$501,0))="","",INDEX(links!$A$2:$A$501,MATCH($C414,links!$D$2:$D$501,0))),""))</f>
        <v/>
      </c>
      <c r="H414" s="25">
        <f>IF($C414="","",IFERROR(IF(INDEX(links!$B$2:$B$501,MATCH($C414,links!$D$2:$D$501,0))="","",INDEX(links!$B$2:$B$501,MATCH($C414,links!$D$2:$D$501,0))),""))</f>
        <v/>
      </c>
      <c r="I414" s="25">
        <f>IF($C414="","",IFERROR(IF(INDEX(links!$C$2:$C$501,MATCH($C414,links!$D$2:$D$501,0))="","",INDEX(links!$C$2:$C$501,MATCH($C414,links!$D$2:$D$501,0))),""))</f>
        <v/>
      </c>
      <c r="J414" s="25">
        <f>IF($C414="","",IF($G414="","slug not in links; ","")&amp;IF($D414="","reading type missing; ","")&amp;IF(COUNTIFS(scans!$C$2:$C$1601,$C414,scans!$D$2:$D$1601,$D414)&gt;1,"two readings of this type: keep one; ",""))</f>
        <v/>
      </c>
    </row>
    <row r="415">
      <c r="A415" s="9" t="n"/>
      <c r="B415" s="33" t="n"/>
      <c r="G415" s="25">
        <f>IF($C415="","",IFERROR(IF(INDEX(links!$A$2:$A$501,MATCH($C415,links!$D$2:$D$501,0))="","",INDEX(links!$A$2:$A$501,MATCH($C415,links!$D$2:$D$501,0))),""))</f>
        <v/>
      </c>
      <c r="H415" s="25">
        <f>IF($C415="","",IFERROR(IF(INDEX(links!$B$2:$B$501,MATCH($C415,links!$D$2:$D$501,0))="","",INDEX(links!$B$2:$B$501,MATCH($C415,links!$D$2:$D$501,0))),""))</f>
        <v/>
      </c>
      <c r="I415" s="25">
        <f>IF($C415="","",IFERROR(IF(INDEX(links!$C$2:$C$501,MATCH($C415,links!$D$2:$D$501,0))="","",INDEX(links!$C$2:$C$501,MATCH($C415,links!$D$2:$D$501,0))),""))</f>
        <v/>
      </c>
      <c r="J415" s="25">
        <f>IF($C415="","",IF($G415="","slug not in links; ","")&amp;IF($D415="","reading type missing; ","")&amp;IF(COUNTIFS(scans!$C$2:$C$1601,$C415,scans!$D$2:$D$1601,$D415)&gt;1,"two readings of this type: keep one; ",""))</f>
        <v/>
      </c>
    </row>
    <row r="416">
      <c r="A416" s="9" t="n"/>
      <c r="B416" s="33" t="n"/>
      <c r="G416" s="25">
        <f>IF($C416="","",IFERROR(IF(INDEX(links!$A$2:$A$501,MATCH($C416,links!$D$2:$D$501,0))="","",INDEX(links!$A$2:$A$501,MATCH($C416,links!$D$2:$D$501,0))),""))</f>
        <v/>
      </c>
      <c r="H416" s="25">
        <f>IF($C416="","",IFERROR(IF(INDEX(links!$B$2:$B$501,MATCH($C416,links!$D$2:$D$501,0))="","",INDEX(links!$B$2:$B$501,MATCH($C416,links!$D$2:$D$501,0))),""))</f>
        <v/>
      </c>
      <c r="I416" s="25">
        <f>IF($C416="","",IFERROR(IF(INDEX(links!$C$2:$C$501,MATCH($C416,links!$D$2:$D$501,0))="","",INDEX(links!$C$2:$C$501,MATCH($C416,links!$D$2:$D$501,0))),""))</f>
        <v/>
      </c>
      <c r="J416" s="25">
        <f>IF($C416="","",IF($G416="","slug not in links; ","")&amp;IF($D416="","reading type missing; ","")&amp;IF(COUNTIFS(scans!$C$2:$C$1601,$C416,scans!$D$2:$D$1601,$D416)&gt;1,"two readings of this type: keep one; ",""))</f>
        <v/>
      </c>
    </row>
    <row r="417">
      <c r="A417" s="9" t="n"/>
      <c r="B417" s="33" t="n"/>
      <c r="G417" s="25">
        <f>IF($C417="","",IFERROR(IF(INDEX(links!$A$2:$A$501,MATCH($C417,links!$D$2:$D$501,0))="","",INDEX(links!$A$2:$A$501,MATCH($C417,links!$D$2:$D$501,0))),""))</f>
        <v/>
      </c>
      <c r="H417" s="25">
        <f>IF($C417="","",IFERROR(IF(INDEX(links!$B$2:$B$501,MATCH($C417,links!$D$2:$D$501,0))="","",INDEX(links!$B$2:$B$501,MATCH($C417,links!$D$2:$D$501,0))),""))</f>
        <v/>
      </c>
      <c r="I417" s="25">
        <f>IF($C417="","",IFERROR(IF(INDEX(links!$C$2:$C$501,MATCH($C417,links!$D$2:$D$501,0))="","",INDEX(links!$C$2:$C$501,MATCH($C417,links!$D$2:$D$501,0))),""))</f>
        <v/>
      </c>
      <c r="J417" s="25">
        <f>IF($C417="","",IF($G417="","slug not in links; ","")&amp;IF($D417="","reading type missing; ","")&amp;IF(COUNTIFS(scans!$C$2:$C$1601,$C417,scans!$D$2:$D$1601,$D417)&gt;1,"two readings of this type: keep one; ",""))</f>
        <v/>
      </c>
    </row>
    <row r="418">
      <c r="A418" s="9" t="n"/>
      <c r="B418" s="33" t="n"/>
      <c r="G418" s="25">
        <f>IF($C418="","",IFERROR(IF(INDEX(links!$A$2:$A$501,MATCH($C418,links!$D$2:$D$501,0))="","",INDEX(links!$A$2:$A$501,MATCH($C418,links!$D$2:$D$501,0))),""))</f>
        <v/>
      </c>
      <c r="H418" s="25">
        <f>IF($C418="","",IFERROR(IF(INDEX(links!$B$2:$B$501,MATCH($C418,links!$D$2:$D$501,0))="","",INDEX(links!$B$2:$B$501,MATCH($C418,links!$D$2:$D$501,0))),""))</f>
        <v/>
      </c>
      <c r="I418" s="25">
        <f>IF($C418="","",IFERROR(IF(INDEX(links!$C$2:$C$501,MATCH($C418,links!$D$2:$D$501,0))="","",INDEX(links!$C$2:$C$501,MATCH($C418,links!$D$2:$D$501,0))),""))</f>
        <v/>
      </c>
      <c r="J418" s="25">
        <f>IF($C418="","",IF($G418="","slug not in links; ","")&amp;IF($D418="","reading type missing; ","")&amp;IF(COUNTIFS(scans!$C$2:$C$1601,$C418,scans!$D$2:$D$1601,$D418)&gt;1,"two readings of this type: keep one; ",""))</f>
        <v/>
      </c>
    </row>
    <row r="419">
      <c r="A419" s="9" t="n"/>
      <c r="B419" s="33" t="n"/>
      <c r="G419" s="25">
        <f>IF($C419="","",IFERROR(IF(INDEX(links!$A$2:$A$501,MATCH($C419,links!$D$2:$D$501,0))="","",INDEX(links!$A$2:$A$501,MATCH($C419,links!$D$2:$D$501,0))),""))</f>
        <v/>
      </c>
      <c r="H419" s="25">
        <f>IF($C419="","",IFERROR(IF(INDEX(links!$B$2:$B$501,MATCH($C419,links!$D$2:$D$501,0))="","",INDEX(links!$B$2:$B$501,MATCH($C419,links!$D$2:$D$501,0))),""))</f>
        <v/>
      </c>
      <c r="I419" s="25">
        <f>IF($C419="","",IFERROR(IF(INDEX(links!$C$2:$C$501,MATCH($C419,links!$D$2:$D$501,0))="","",INDEX(links!$C$2:$C$501,MATCH($C419,links!$D$2:$D$501,0))),""))</f>
        <v/>
      </c>
      <c r="J419" s="25">
        <f>IF($C419="","",IF($G419="","slug not in links; ","")&amp;IF($D419="","reading type missing; ","")&amp;IF(COUNTIFS(scans!$C$2:$C$1601,$C419,scans!$D$2:$D$1601,$D419)&gt;1,"two readings of this type: keep one; ",""))</f>
        <v/>
      </c>
    </row>
    <row r="420">
      <c r="A420" s="9" t="n"/>
      <c r="B420" s="33" t="n"/>
      <c r="G420" s="25">
        <f>IF($C420="","",IFERROR(IF(INDEX(links!$A$2:$A$501,MATCH($C420,links!$D$2:$D$501,0))="","",INDEX(links!$A$2:$A$501,MATCH($C420,links!$D$2:$D$501,0))),""))</f>
        <v/>
      </c>
      <c r="H420" s="25">
        <f>IF($C420="","",IFERROR(IF(INDEX(links!$B$2:$B$501,MATCH($C420,links!$D$2:$D$501,0))="","",INDEX(links!$B$2:$B$501,MATCH($C420,links!$D$2:$D$501,0))),""))</f>
        <v/>
      </c>
      <c r="I420" s="25">
        <f>IF($C420="","",IFERROR(IF(INDEX(links!$C$2:$C$501,MATCH($C420,links!$D$2:$D$501,0))="","",INDEX(links!$C$2:$C$501,MATCH($C420,links!$D$2:$D$501,0))),""))</f>
        <v/>
      </c>
      <c r="J420" s="25">
        <f>IF($C420="","",IF($G420="","slug not in links; ","")&amp;IF($D420="","reading type missing; ","")&amp;IF(COUNTIFS(scans!$C$2:$C$1601,$C420,scans!$D$2:$D$1601,$D420)&gt;1,"two readings of this type: keep one; ",""))</f>
        <v/>
      </c>
    </row>
    <row r="421">
      <c r="A421" s="9" t="n"/>
      <c r="B421" s="33" t="n"/>
      <c r="G421" s="25">
        <f>IF($C421="","",IFERROR(IF(INDEX(links!$A$2:$A$501,MATCH($C421,links!$D$2:$D$501,0))="","",INDEX(links!$A$2:$A$501,MATCH($C421,links!$D$2:$D$501,0))),""))</f>
        <v/>
      </c>
      <c r="H421" s="25">
        <f>IF($C421="","",IFERROR(IF(INDEX(links!$B$2:$B$501,MATCH($C421,links!$D$2:$D$501,0))="","",INDEX(links!$B$2:$B$501,MATCH($C421,links!$D$2:$D$501,0))),""))</f>
        <v/>
      </c>
      <c r="I421" s="25">
        <f>IF($C421="","",IFERROR(IF(INDEX(links!$C$2:$C$501,MATCH($C421,links!$D$2:$D$501,0))="","",INDEX(links!$C$2:$C$501,MATCH($C421,links!$D$2:$D$501,0))),""))</f>
        <v/>
      </c>
      <c r="J421" s="25">
        <f>IF($C421="","",IF($G421="","slug not in links; ","")&amp;IF($D421="","reading type missing; ","")&amp;IF(COUNTIFS(scans!$C$2:$C$1601,$C421,scans!$D$2:$D$1601,$D421)&gt;1,"two readings of this type: keep one; ",""))</f>
        <v/>
      </c>
    </row>
    <row r="422">
      <c r="A422" s="9" t="n"/>
      <c r="B422" s="33" t="n"/>
      <c r="G422" s="25">
        <f>IF($C422="","",IFERROR(IF(INDEX(links!$A$2:$A$501,MATCH($C422,links!$D$2:$D$501,0))="","",INDEX(links!$A$2:$A$501,MATCH($C422,links!$D$2:$D$501,0))),""))</f>
        <v/>
      </c>
      <c r="H422" s="25">
        <f>IF($C422="","",IFERROR(IF(INDEX(links!$B$2:$B$501,MATCH($C422,links!$D$2:$D$501,0))="","",INDEX(links!$B$2:$B$501,MATCH($C422,links!$D$2:$D$501,0))),""))</f>
        <v/>
      </c>
      <c r="I422" s="25">
        <f>IF($C422="","",IFERROR(IF(INDEX(links!$C$2:$C$501,MATCH($C422,links!$D$2:$D$501,0))="","",INDEX(links!$C$2:$C$501,MATCH($C422,links!$D$2:$D$501,0))),""))</f>
        <v/>
      </c>
      <c r="J422" s="25">
        <f>IF($C422="","",IF($G422="","slug not in links; ","")&amp;IF($D422="","reading type missing; ","")&amp;IF(COUNTIFS(scans!$C$2:$C$1601,$C422,scans!$D$2:$D$1601,$D422)&gt;1,"two readings of this type: keep one; ",""))</f>
        <v/>
      </c>
    </row>
    <row r="423">
      <c r="A423" s="9" t="n"/>
      <c r="B423" s="33" t="n"/>
      <c r="G423" s="25">
        <f>IF($C423="","",IFERROR(IF(INDEX(links!$A$2:$A$501,MATCH($C423,links!$D$2:$D$501,0))="","",INDEX(links!$A$2:$A$501,MATCH($C423,links!$D$2:$D$501,0))),""))</f>
        <v/>
      </c>
      <c r="H423" s="25">
        <f>IF($C423="","",IFERROR(IF(INDEX(links!$B$2:$B$501,MATCH($C423,links!$D$2:$D$501,0))="","",INDEX(links!$B$2:$B$501,MATCH($C423,links!$D$2:$D$501,0))),""))</f>
        <v/>
      </c>
      <c r="I423" s="25">
        <f>IF($C423="","",IFERROR(IF(INDEX(links!$C$2:$C$501,MATCH($C423,links!$D$2:$D$501,0))="","",INDEX(links!$C$2:$C$501,MATCH($C423,links!$D$2:$D$501,0))),""))</f>
        <v/>
      </c>
      <c r="J423" s="25">
        <f>IF($C423="","",IF($G423="","slug not in links; ","")&amp;IF($D423="","reading type missing; ","")&amp;IF(COUNTIFS(scans!$C$2:$C$1601,$C423,scans!$D$2:$D$1601,$D423)&gt;1,"two readings of this type: keep one; ",""))</f>
        <v/>
      </c>
    </row>
    <row r="424">
      <c r="A424" s="9" t="n"/>
      <c r="B424" s="33" t="n"/>
      <c r="G424" s="25">
        <f>IF($C424="","",IFERROR(IF(INDEX(links!$A$2:$A$501,MATCH($C424,links!$D$2:$D$501,0))="","",INDEX(links!$A$2:$A$501,MATCH($C424,links!$D$2:$D$501,0))),""))</f>
        <v/>
      </c>
      <c r="H424" s="25">
        <f>IF($C424="","",IFERROR(IF(INDEX(links!$B$2:$B$501,MATCH($C424,links!$D$2:$D$501,0))="","",INDEX(links!$B$2:$B$501,MATCH($C424,links!$D$2:$D$501,0))),""))</f>
        <v/>
      </c>
      <c r="I424" s="25">
        <f>IF($C424="","",IFERROR(IF(INDEX(links!$C$2:$C$501,MATCH($C424,links!$D$2:$D$501,0))="","",INDEX(links!$C$2:$C$501,MATCH($C424,links!$D$2:$D$501,0))),""))</f>
        <v/>
      </c>
      <c r="J424" s="25">
        <f>IF($C424="","",IF($G424="","slug not in links; ","")&amp;IF($D424="","reading type missing; ","")&amp;IF(COUNTIFS(scans!$C$2:$C$1601,$C424,scans!$D$2:$D$1601,$D424)&gt;1,"two readings of this type: keep one; ",""))</f>
        <v/>
      </c>
    </row>
    <row r="425">
      <c r="A425" s="9" t="n"/>
      <c r="B425" s="33" t="n"/>
      <c r="G425" s="25">
        <f>IF($C425="","",IFERROR(IF(INDEX(links!$A$2:$A$501,MATCH($C425,links!$D$2:$D$501,0))="","",INDEX(links!$A$2:$A$501,MATCH($C425,links!$D$2:$D$501,0))),""))</f>
        <v/>
      </c>
      <c r="H425" s="25">
        <f>IF($C425="","",IFERROR(IF(INDEX(links!$B$2:$B$501,MATCH($C425,links!$D$2:$D$501,0))="","",INDEX(links!$B$2:$B$501,MATCH($C425,links!$D$2:$D$501,0))),""))</f>
        <v/>
      </c>
      <c r="I425" s="25">
        <f>IF($C425="","",IFERROR(IF(INDEX(links!$C$2:$C$501,MATCH($C425,links!$D$2:$D$501,0))="","",INDEX(links!$C$2:$C$501,MATCH($C425,links!$D$2:$D$501,0))),""))</f>
        <v/>
      </c>
      <c r="J425" s="25">
        <f>IF($C425="","",IF($G425="","slug not in links; ","")&amp;IF($D425="","reading type missing; ","")&amp;IF(COUNTIFS(scans!$C$2:$C$1601,$C425,scans!$D$2:$D$1601,$D425)&gt;1,"two readings of this type: keep one; ",""))</f>
        <v/>
      </c>
    </row>
    <row r="426">
      <c r="A426" s="9" t="n"/>
      <c r="B426" s="33" t="n"/>
      <c r="G426" s="25">
        <f>IF($C426="","",IFERROR(IF(INDEX(links!$A$2:$A$501,MATCH($C426,links!$D$2:$D$501,0))="","",INDEX(links!$A$2:$A$501,MATCH($C426,links!$D$2:$D$501,0))),""))</f>
        <v/>
      </c>
      <c r="H426" s="25">
        <f>IF($C426="","",IFERROR(IF(INDEX(links!$B$2:$B$501,MATCH($C426,links!$D$2:$D$501,0))="","",INDEX(links!$B$2:$B$501,MATCH($C426,links!$D$2:$D$501,0))),""))</f>
        <v/>
      </c>
      <c r="I426" s="25">
        <f>IF($C426="","",IFERROR(IF(INDEX(links!$C$2:$C$501,MATCH($C426,links!$D$2:$D$501,0))="","",INDEX(links!$C$2:$C$501,MATCH($C426,links!$D$2:$D$501,0))),""))</f>
        <v/>
      </c>
      <c r="J426" s="25">
        <f>IF($C426="","",IF($G426="","slug not in links; ","")&amp;IF($D426="","reading type missing; ","")&amp;IF(COUNTIFS(scans!$C$2:$C$1601,$C426,scans!$D$2:$D$1601,$D426)&gt;1,"two readings of this type: keep one; ",""))</f>
        <v/>
      </c>
    </row>
    <row r="427">
      <c r="A427" s="9" t="n"/>
      <c r="B427" s="33" t="n"/>
      <c r="G427" s="25">
        <f>IF($C427="","",IFERROR(IF(INDEX(links!$A$2:$A$501,MATCH($C427,links!$D$2:$D$501,0))="","",INDEX(links!$A$2:$A$501,MATCH($C427,links!$D$2:$D$501,0))),""))</f>
        <v/>
      </c>
      <c r="H427" s="25">
        <f>IF($C427="","",IFERROR(IF(INDEX(links!$B$2:$B$501,MATCH($C427,links!$D$2:$D$501,0))="","",INDEX(links!$B$2:$B$501,MATCH($C427,links!$D$2:$D$501,0))),""))</f>
        <v/>
      </c>
      <c r="I427" s="25">
        <f>IF($C427="","",IFERROR(IF(INDEX(links!$C$2:$C$501,MATCH($C427,links!$D$2:$D$501,0))="","",INDEX(links!$C$2:$C$501,MATCH($C427,links!$D$2:$D$501,0))),""))</f>
        <v/>
      </c>
      <c r="J427" s="25">
        <f>IF($C427="","",IF($G427="","slug not in links; ","")&amp;IF($D427="","reading type missing; ","")&amp;IF(COUNTIFS(scans!$C$2:$C$1601,$C427,scans!$D$2:$D$1601,$D427)&gt;1,"two readings of this type: keep one; ",""))</f>
        <v/>
      </c>
    </row>
    <row r="428">
      <c r="A428" s="9" t="n"/>
      <c r="B428" s="33" t="n"/>
      <c r="G428" s="25">
        <f>IF($C428="","",IFERROR(IF(INDEX(links!$A$2:$A$501,MATCH($C428,links!$D$2:$D$501,0))="","",INDEX(links!$A$2:$A$501,MATCH($C428,links!$D$2:$D$501,0))),""))</f>
        <v/>
      </c>
      <c r="H428" s="25">
        <f>IF($C428="","",IFERROR(IF(INDEX(links!$B$2:$B$501,MATCH($C428,links!$D$2:$D$501,0))="","",INDEX(links!$B$2:$B$501,MATCH($C428,links!$D$2:$D$501,0))),""))</f>
        <v/>
      </c>
      <c r="I428" s="25">
        <f>IF($C428="","",IFERROR(IF(INDEX(links!$C$2:$C$501,MATCH($C428,links!$D$2:$D$501,0))="","",INDEX(links!$C$2:$C$501,MATCH($C428,links!$D$2:$D$501,0))),""))</f>
        <v/>
      </c>
      <c r="J428" s="25">
        <f>IF($C428="","",IF($G428="","slug not in links; ","")&amp;IF($D428="","reading type missing; ","")&amp;IF(COUNTIFS(scans!$C$2:$C$1601,$C428,scans!$D$2:$D$1601,$D428)&gt;1,"two readings of this type: keep one; ",""))</f>
        <v/>
      </c>
    </row>
    <row r="429">
      <c r="A429" s="9" t="n"/>
      <c r="B429" s="33" t="n"/>
      <c r="G429" s="25">
        <f>IF($C429="","",IFERROR(IF(INDEX(links!$A$2:$A$501,MATCH($C429,links!$D$2:$D$501,0))="","",INDEX(links!$A$2:$A$501,MATCH($C429,links!$D$2:$D$501,0))),""))</f>
        <v/>
      </c>
      <c r="H429" s="25">
        <f>IF($C429="","",IFERROR(IF(INDEX(links!$B$2:$B$501,MATCH($C429,links!$D$2:$D$501,0))="","",INDEX(links!$B$2:$B$501,MATCH($C429,links!$D$2:$D$501,0))),""))</f>
        <v/>
      </c>
      <c r="I429" s="25">
        <f>IF($C429="","",IFERROR(IF(INDEX(links!$C$2:$C$501,MATCH($C429,links!$D$2:$D$501,0))="","",INDEX(links!$C$2:$C$501,MATCH($C429,links!$D$2:$D$501,0))),""))</f>
        <v/>
      </c>
      <c r="J429" s="25">
        <f>IF($C429="","",IF($G429="","slug not in links; ","")&amp;IF($D429="","reading type missing; ","")&amp;IF(COUNTIFS(scans!$C$2:$C$1601,$C429,scans!$D$2:$D$1601,$D429)&gt;1,"two readings of this type: keep one; ",""))</f>
        <v/>
      </c>
    </row>
    <row r="430">
      <c r="A430" s="9" t="n"/>
      <c r="B430" s="33" t="n"/>
      <c r="G430" s="25">
        <f>IF($C430="","",IFERROR(IF(INDEX(links!$A$2:$A$501,MATCH($C430,links!$D$2:$D$501,0))="","",INDEX(links!$A$2:$A$501,MATCH($C430,links!$D$2:$D$501,0))),""))</f>
        <v/>
      </c>
      <c r="H430" s="25">
        <f>IF($C430="","",IFERROR(IF(INDEX(links!$B$2:$B$501,MATCH($C430,links!$D$2:$D$501,0))="","",INDEX(links!$B$2:$B$501,MATCH($C430,links!$D$2:$D$501,0))),""))</f>
        <v/>
      </c>
      <c r="I430" s="25">
        <f>IF($C430="","",IFERROR(IF(INDEX(links!$C$2:$C$501,MATCH($C430,links!$D$2:$D$501,0))="","",INDEX(links!$C$2:$C$501,MATCH($C430,links!$D$2:$D$501,0))),""))</f>
        <v/>
      </c>
      <c r="J430" s="25">
        <f>IF($C430="","",IF($G430="","slug not in links; ","")&amp;IF($D430="","reading type missing; ","")&amp;IF(COUNTIFS(scans!$C$2:$C$1601,$C430,scans!$D$2:$D$1601,$D430)&gt;1,"two readings of this type: keep one; ",""))</f>
        <v/>
      </c>
    </row>
    <row r="431">
      <c r="A431" s="9" t="n"/>
      <c r="B431" s="33" t="n"/>
      <c r="G431" s="25">
        <f>IF($C431="","",IFERROR(IF(INDEX(links!$A$2:$A$501,MATCH($C431,links!$D$2:$D$501,0))="","",INDEX(links!$A$2:$A$501,MATCH($C431,links!$D$2:$D$501,0))),""))</f>
        <v/>
      </c>
      <c r="H431" s="25">
        <f>IF($C431="","",IFERROR(IF(INDEX(links!$B$2:$B$501,MATCH($C431,links!$D$2:$D$501,0))="","",INDEX(links!$B$2:$B$501,MATCH($C431,links!$D$2:$D$501,0))),""))</f>
        <v/>
      </c>
      <c r="I431" s="25">
        <f>IF($C431="","",IFERROR(IF(INDEX(links!$C$2:$C$501,MATCH($C431,links!$D$2:$D$501,0))="","",INDEX(links!$C$2:$C$501,MATCH($C431,links!$D$2:$D$501,0))),""))</f>
        <v/>
      </c>
      <c r="J431" s="25">
        <f>IF($C431="","",IF($G431="","slug not in links; ","")&amp;IF($D431="","reading type missing; ","")&amp;IF(COUNTIFS(scans!$C$2:$C$1601,$C431,scans!$D$2:$D$1601,$D431)&gt;1,"two readings of this type: keep one; ",""))</f>
        <v/>
      </c>
    </row>
    <row r="432">
      <c r="A432" s="9" t="n"/>
      <c r="B432" s="33" t="n"/>
      <c r="G432" s="25">
        <f>IF($C432="","",IFERROR(IF(INDEX(links!$A$2:$A$501,MATCH($C432,links!$D$2:$D$501,0))="","",INDEX(links!$A$2:$A$501,MATCH($C432,links!$D$2:$D$501,0))),""))</f>
        <v/>
      </c>
      <c r="H432" s="25">
        <f>IF($C432="","",IFERROR(IF(INDEX(links!$B$2:$B$501,MATCH($C432,links!$D$2:$D$501,0))="","",INDEX(links!$B$2:$B$501,MATCH($C432,links!$D$2:$D$501,0))),""))</f>
        <v/>
      </c>
      <c r="I432" s="25">
        <f>IF($C432="","",IFERROR(IF(INDEX(links!$C$2:$C$501,MATCH($C432,links!$D$2:$D$501,0))="","",INDEX(links!$C$2:$C$501,MATCH($C432,links!$D$2:$D$501,0))),""))</f>
        <v/>
      </c>
      <c r="J432" s="25">
        <f>IF($C432="","",IF($G432="","slug not in links; ","")&amp;IF($D432="","reading type missing; ","")&amp;IF(COUNTIFS(scans!$C$2:$C$1601,$C432,scans!$D$2:$D$1601,$D432)&gt;1,"two readings of this type: keep one; ",""))</f>
        <v/>
      </c>
    </row>
    <row r="433">
      <c r="A433" s="9" t="n"/>
      <c r="B433" s="33" t="n"/>
      <c r="G433" s="25">
        <f>IF($C433="","",IFERROR(IF(INDEX(links!$A$2:$A$501,MATCH($C433,links!$D$2:$D$501,0))="","",INDEX(links!$A$2:$A$501,MATCH($C433,links!$D$2:$D$501,0))),""))</f>
        <v/>
      </c>
      <c r="H433" s="25">
        <f>IF($C433="","",IFERROR(IF(INDEX(links!$B$2:$B$501,MATCH($C433,links!$D$2:$D$501,0))="","",INDEX(links!$B$2:$B$501,MATCH($C433,links!$D$2:$D$501,0))),""))</f>
        <v/>
      </c>
      <c r="I433" s="25">
        <f>IF($C433="","",IFERROR(IF(INDEX(links!$C$2:$C$501,MATCH($C433,links!$D$2:$D$501,0))="","",INDEX(links!$C$2:$C$501,MATCH($C433,links!$D$2:$D$501,0))),""))</f>
        <v/>
      </c>
      <c r="J433" s="25">
        <f>IF($C433="","",IF($G433="","slug not in links; ","")&amp;IF($D433="","reading type missing; ","")&amp;IF(COUNTIFS(scans!$C$2:$C$1601,$C433,scans!$D$2:$D$1601,$D433)&gt;1,"two readings of this type: keep one; ",""))</f>
        <v/>
      </c>
    </row>
    <row r="434">
      <c r="A434" s="9" t="n"/>
      <c r="B434" s="33" t="n"/>
      <c r="G434" s="25">
        <f>IF($C434="","",IFERROR(IF(INDEX(links!$A$2:$A$501,MATCH($C434,links!$D$2:$D$501,0))="","",INDEX(links!$A$2:$A$501,MATCH($C434,links!$D$2:$D$501,0))),""))</f>
        <v/>
      </c>
      <c r="H434" s="25">
        <f>IF($C434="","",IFERROR(IF(INDEX(links!$B$2:$B$501,MATCH($C434,links!$D$2:$D$501,0))="","",INDEX(links!$B$2:$B$501,MATCH($C434,links!$D$2:$D$501,0))),""))</f>
        <v/>
      </c>
      <c r="I434" s="25">
        <f>IF($C434="","",IFERROR(IF(INDEX(links!$C$2:$C$501,MATCH($C434,links!$D$2:$D$501,0))="","",INDEX(links!$C$2:$C$501,MATCH($C434,links!$D$2:$D$501,0))),""))</f>
        <v/>
      </c>
      <c r="J434" s="25">
        <f>IF($C434="","",IF($G434="","slug not in links; ","")&amp;IF($D434="","reading type missing; ","")&amp;IF(COUNTIFS(scans!$C$2:$C$1601,$C434,scans!$D$2:$D$1601,$D434)&gt;1,"two readings of this type: keep one; ",""))</f>
        <v/>
      </c>
    </row>
    <row r="435">
      <c r="A435" s="9" t="n"/>
      <c r="B435" s="33" t="n"/>
      <c r="G435" s="25">
        <f>IF($C435="","",IFERROR(IF(INDEX(links!$A$2:$A$501,MATCH($C435,links!$D$2:$D$501,0))="","",INDEX(links!$A$2:$A$501,MATCH($C435,links!$D$2:$D$501,0))),""))</f>
        <v/>
      </c>
      <c r="H435" s="25">
        <f>IF($C435="","",IFERROR(IF(INDEX(links!$B$2:$B$501,MATCH($C435,links!$D$2:$D$501,0))="","",INDEX(links!$B$2:$B$501,MATCH($C435,links!$D$2:$D$501,0))),""))</f>
        <v/>
      </c>
      <c r="I435" s="25">
        <f>IF($C435="","",IFERROR(IF(INDEX(links!$C$2:$C$501,MATCH($C435,links!$D$2:$D$501,0))="","",INDEX(links!$C$2:$C$501,MATCH($C435,links!$D$2:$D$501,0))),""))</f>
        <v/>
      </c>
      <c r="J435" s="25">
        <f>IF($C435="","",IF($G435="","slug not in links; ","")&amp;IF($D435="","reading type missing; ","")&amp;IF(COUNTIFS(scans!$C$2:$C$1601,$C435,scans!$D$2:$D$1601,$D435)&gt;1,"two readings of this type: keep one; ",""))</f>
        <v/>
      </c>
    </row>
    <row r="436">
      <c r="A436" s="9" t="n"/>
      <c r="B436" s="33" t="n"/>
      <c r="G436" s="25">
        <f>IF($C436="","",IFERROR(IF(INDEX(links!$A$2:$A$501,MATCH($C436,links!$D$2:$D$501,0))="","",INDEX(links!$A$2:$A$501,MATCH($C436,links!$D$2:$D$501,0))),""))</f>
        <v/>
      </c>
      <c r="H436" s="25">
        <f>IF($C436="","",IFERROR(IF(INDEX(links!$B$2:$B$501,MATCH($C436,links!$D$2:$D$501,0))="","",INDEX(links!$B$2:$B$501,MATCH($C436,links!$D$2:$D$501,0))),""))</f>
        <v/>
      </c>
      <c r="I436" s="25">
        <f>IF($C436="","",IFERROR(IF(INDEX(links!$C$2:$C$501,MATCH($C436,links!$D$2:$D$501,0))="","",INDEX(links!$C$2:$C$501,MATCH($C436,links!$D$2:$D$501,0))),""))</f>
        <v/>
      </c>
      <c r="J436" s="25">
        <f>IF($C436="","",IF($G436="","slug not in links; ","")&amp;IF($D436="","reading type missing; ","")&amp;IF(COUNTIFS(scans!$C$2:$C$1601,$C436,scans!$D$2:$D$1601,$D436)&gt;1,"two readings of this type: keep one; ",""))</f>
        <v/>
      </c>
    </row>
    <row r="437">
      <c r="A437" s="9" t="n"/>
      <c r="B437" s="33" t="n"/>
      <c r="G437" s="25">
        <f>IF($C437="","",IFERROR(IF(INDEX(links!$A$2:$A$501,MATCH($C437,links!$D$2:$D$501,0))="","",INDEX(links!$A$2:$A$501,MATCH($C437,links!$D$2:$D$501,0))),""))</f>
        <v/>
      </c>
      <c r="H437" s="25">
        <f>IF($C437="","",IFERROR(IF(INDEX(links!$B$2:$B$501,MATCH($C437,links!$D$2:$D$501,0))="","",INDEX(links!$B$2:$B$501,MATCH($C437,links!$D$2:$D$501,0))),""))</f>
        <v/>
      </c>
      <c r="I437" s="25">
        <f>IF($C437="","",IFERROR(IF(INDEX(links!$C$2:$C$501,MATCH($C437,links!$D$2:$D$501,0))="","",INDEX(links!$C$2:$C$501,MATCH($C437,links!$D$2:$D$501,0))),""))</f>
        <v/>
      </c>
      <c r="J437" s="25">
        <f>IF($C437="","",IF($G437="","slug not in links; ","")&amp;IF($D437="","reading type missing; ","")&amp;IF(COUNTIFS(scans!$C$2:$C$1601,$C437,scans!$D$2:$D$1601,$D437)&gt;1,"two readings of this type: keep one; ",""))</f>
        <v/>
      </c>
    </row>
    <row r="438">
      <c r="A438" s="9" t="n"/>
      <c r="B438" s="33" t="n"/>
      <c r="G438" s="25">
        <f>IF($C438="","",IFERROR(IF(INDEX(links!$A$2:$A$501,MATCH($C438,links!$D$2:$D$501,0))="","",INDEX(links!$A$2:$A$501,MATCH($C438,links!$D$2:$D$501,0))),""))</f>
        <v/>
      </c>
      <c r="H438" s="25">
        <f>IF($C438="","",IFERROR(IF(INDEX(links!$B$2:$B$501,MATCH($C438,links!$D$2:$D$501,0))="","",INDEX(links!$B$2:$B$501,MATCH($C438,links!$D$2:$D$501,0))),""))</f>
        <v/>
      </c>
      <c r="I438" s="25">
        <f>IF($C438="","",IFERROR(IF(INDEX(links!$C$2:$C$501,MATCH($C438,links!$D$2:$D$501,0))="","",INDEX(links!$C$2:$C$501,MATCH($C438,links!$D$2:$D$501,0))),""))</f>
        <v/>
      </c>
      <c r="J438" s="25">
        <f>IF($C438="","",IF($G438="","slug not in links; ","")&amp;IF($D438="","reading type missing; ","")&amp;IF(COUNTIFS(scans!$C$2:$C$1601,$C438,scans!$D$2:$D$1601,$D438)&gt;1,"two readings of this type: keep one; ",""))</f>
        <v/>
      </c>
    </row>
    <row r="439">
      <c r="A439" s="9" t="n"/>
      <c r="B439" s="33" t="n"/>
      <c r="G439" s="25">
        <f>IF($C439="","",IFERROR(IF(INDEX(links!$A$2:$A$501,MATCH($C439,links!$D$2:$D$501,0))="","",INDEX(links!$A$2:$A$501,MATCH($C439,links!$D$2:$D$501,0))),""))</f>
        <v/>
      </c>
      <c r="H439" s="25">
        <f>IF($C439="","",IFERROR(IF(INDEX(links!$B$2:$B$501,MATCH($C439,links!$D$2:$D$501,0))="","",INDEX(links!$B$2:$B$501,MATCH($C439,links!$D$2:$D$501,0))),""))</f>
        <v/>
      </c>
      <c r="I439" s="25">
        <f>IF($C439="","",IFERROR(IF(INDEX(links!$C$2:$C$501,MATCH($C439,links!$D$2:$D$501,0))="","",INDEX(links!$C$2:$C$501,MATCH($C439,links!$D$2:$D$501,0))),""))</f>
        <v/>
      </c>
      <c r="J439" s="25">
        <f>IF($C439="","",IF($G439="","slug not in links; ","")&amp;IF($D439="","reading type missing; ","")&amp;IF(COUNTIFS(scans!$C$2:$C$1601,$C439,scans!$D$2:$D$1601,$D439)&gt;1,"two readings of this type: keep one; ",""))</f>
        <v/>
      </c>
    </row>
    <row r="440">
      <c r="A440" s="9" t="n"/>
      <c r="B440" s="33" t="n"/>
      <c r="G440" s="25">
        <f>IF($C440="","",IFERROR(IF(INDEX(links!$A$2:$A$501,MATCH($C440,links!$D$2:$D$501,0))="","",INDEX(links!$A$2:$A$501,MATCH($C440,links!$D$2:$D$501,0))),""))</f>
        <v/>
      </c>
      <c r="H440" s="25">
        <f>IF($C440="","",IFERROR(IF(INDEX(links!$B$2:$B$501,MATCH($C440,links!$D$2:$D$501,0))="","",INDEX(links!$B$2:$B$501,MATCH($C440,links!$D$2:$D$501,0))),""))</f>
        <v/>
      </c>
      <c r="I440" s="25">
        <f>IF($C440="","",IFERROR(IF(INDEX(links!$C$2:$C$501,MATCH($C440,links!$D$2:$D$501,0))="","",INDEX(links!$C$2:$C$501,MATCH($C440,links!$D$2:$D$501,0))),""))</f>
        <v/>
      </c>
      <c r="J440" s="25">
        <f>IF($C440="","",IF($G440="","slug not in links; ","")&amp;IF($D440="","reading type missing; ","")&amp;IF(COUNTIFS(scans!$C$2:$C$1601,$C440,scans!$D$2:$D$1601,$D440)&gt;1,"two readings of this type: keep one; ",""))</f>
        <v/>
      </c>
    </row>
    <row r="441">
      <c r="A441" s="9" t="n"/>
      <c r="B441" s="33" t="n"/>
      <c r="G441" s="25">
        <f>IF($C441="","",IFERROR(IF(INDEX(links!$A$2:$A$501,MATCH($C441,links!$D$2:$D$501,0))="","",INDEX(links!$A$2:$A$501,MATCH($C441,links!$D$2:$D$501,0))),""))</f>
        <v/>
      </c>
      <c r="H441" s="25">
        <f>IF($C441="","",IFERROR(IF(INDEX(links!$B$2:$B$501,MATCH($C441,links!$D$2:$D$501,0))="","",INDEX(links!$B$2:$B$501,MATCH($C441,links!$D$2:$D$501,0))),""))</f>
        <v/>
      </c>
      <c r="I441" s="25">
        <f>IF($C441="","",IFERROR(IF(INDEX(links!$C$2:$C$501,MATCH($C441,links!$D$2:$D$501,0))="","",INDEX(links!$C$2:$C$501,MATCH($C441,links!$D$2:$D$501,0))),""))</f>
        <v/>
      </c>
      <c r="J441" s="25">
        <f>IF($C441="","",IF($G441="","slug not in links; ","")&amp;IF($D441="","reading type missing; ","")&amp;IF(COUNTIFS(scans!$C$2:$C$1601,$C441,scans!$D$2:$D$1601,$D441)&gt;1,"two readings of this type: keep one; ",""))</f>
        <v/>
      </c>
    </row>
    <row r="442">
      <c r="A442" s="9" t="n"/>
      <c r="B442" s="33" t="n"/>
      <c r="G442" s="25">
        <f>IF($C442="","",IFERROR(IF(INDEX(links!$A$2:$A$501,MATCH($C442,links!$D$2:$D$501,0))="","",INDEX(links!$A$2:$A$501,MATCH($C442,links!$D$2:$D$501,0))),""))</f>
        <v/>
      </c>
      <c r="H442" s="25">
        <f>IF($C442="","",IFERROR(IF(INDEX(links!$B$2:$B$501,MATCH($C442,links!$D$2:$D$501,0))="","",INDEX(links!$B$2:$B$501,MATCH($C442,links!$D$2:$D$501,0))),""))</f>
        <v/>
      </c>
      <c r="I442" s="25">
        <f>IF($C442="","",IFERROR(IF(INDEX(links!$C$2:$C$501,MATCH($C442,links!$D$2:$D$501,0))="","",INDEX(links!$C$2:$C$501,MATCH($C442,links!$D$2:$D$501,0))),""))</f>
        <v/>
      </c>
      <c r="J442" s="25">
        <f>IF($C442="","",IF($G442="","slug not in links; ","")&amp;IF($D442="","reading type missing; ","")&amp;IF(COUNTIFS(scans!$C$2:$C$1601,$C442,scans!$D$2:$D$1601,$D442)&gt;1,"two readings of this type: keep one; ",""))</f>
        <v/>
      </c>
    </row>
    <row r="443">
      <c r="A443" s="9" t="n"/>
      <c r="B443" s="33" t="n"/>
      <c r="G443" s="25">
        <f>IF($C443="","",IFERROR(IF(INDEX(links!$A$2:$A$501,MATCH($C443,links!$D$2:$D$501,0))="","",INDEX(links!$A$2:$A$501,MATCH($C443,links!$D$2:$D$501,0))),""))</f>
        <v/>
      </c>
      <c r="H443" s="25">
        <f>IF($C443="","",IFERROR(IF(INDEX(links!$B$2:$B$501,MATCH($C443,links!$D$2:$D$501,0))="","",INDEX(links!$B$2:$B$501,MATCH($C443,links!$D$2:$D$501,0))),""))</f>
        <v/>
      </c>
      <c r="I443" s="25">
        <f>IF($C443="","",IFERROR(IF(INDEX(links!$C$2:$C$501,MATCH($C443,links!$D$2:$D$501,0))="","",INDEX(links!$C$2:$C$501,MATCH($C443,links!$D$2:$D$501,0))),""))</f>
        <v/>
      </c>
      <c r="J443" s="25">
        <f>IF($C443="","",IF($G443="","slug not in links; ","")&amp;IF($D443="","reading type missing; ","")&amp;IF(COUNTIFS(scans!$C$2:$C$1601,$C443,scans!$D$2:$D$1601,$D443)&gt;1,"two readings of this type: keep one; ",""))</f>
        <v/>
      </c>
    </row>
    <row r="444">
      <c r="A444" s="9" t="n"/>
      <c r="B444" s="33" t="n"/>
      <c r="G444" s="25">
        <f>IF($C444="","",IFERROR(IF(INDEX(links!$A$2:$A$501,MATCH($C444,links!$D$2:$D$501,0))="","",INDEX(links!$A$2:$A$501,MATCH($C444,links!$D$2:$D$501,0))),""))</f>
        <v/>
      </c>
      <c r="H444" s="25">
        <f>IF($C444="","",IFERROR(IF(INDEX(links!$B$2:$B$501,MATCH($C444,links!$D$2:$D$501,0))="","",INDEX(links!$B$2:$B$501,MATCH($C444,links!$D$2:$D$501,0))),""))</f>
        <v/>
      </c>
      <c r="I444" s="25">
        <f>IF($C444="","",IFERROR(IF(INDEX(links!$C$2:$C$501,MATCH($C444,links!$D$2:$D$501,0))="","",INDEX(links!$C$2:$C$501,MATCH($C444,links!$D$2:$D$501,0))),""))</f>
        <v/>
      </c>
      <c r="J444" s="25">
        <f>IF($C444="","",IF($G444="","slug not in links; ","")&amp;IF($D444="","reading type missing; ","")&amp;IF(COUNTIFS(scans!$C$2:$C$1601,$C444,scans!$D$2:$D$1601,$D444)&gt;1,"two readings of this type: keep one; ",""))</f>
        <v/>
      </c>
    </row>
    <row r="445">
      <c r="A445" s="9" t="n"/>
      <c r="B445" s="33" t="n"/>
      <c r="G445" s="25">
        <f>IF($C445="","",IFERROR(IF(INDEX(links!$A$2:$A$501,MATCH($C445,links!$D$2:$D$501,0))="","",INDEX(links!$A$2:$A$501,MATCH($C445,links!$D$2:$D$501,0))),""))</f>
        <v/>
      </c>
      <c r="H445" s="25">
        <f>IF($C445="","",IFERROR(IF(INDEX(links!$B$2:$B$501,MATCH($C445,links!$D$2:$D$501,0))="","",INDEX(links!$B$2:$B$501,MATCH($C445,links!$D$2:$D$501,0))),""))</f>
        <v/>
      </c>
      <c r="I445" s="25">
        <f>IF($C445="","",IFERROR(IF(INDEX(links!$C$2:$C$501,MATCH($C445,links!$D$2:$D$501,0))="","",INDEX(links!$C$2:$C$501,MATCH($C445,links!$D$2:$D$501,0))),""))</f>
        <v/>
      </c>
      <c r="J445" s="25">
        <f>IF($C445="","",IF($G445="","slug not in links; ","")&amp;IF($D445="","reading type missing; ","")&amp;IF(COUNTIFS(scans!$C$2:$C$1601,$C445,scans!$D$2:$D$1601,$D445)&gt;1,"two readings of this type: keep one; ",""))</f>
        <v/>
      </c>
    </row>
    <row r="446">
      <c r="A446" s="9" t="n"/>
      <c r="B446" s="33" t="n"/>
      <c r="G446" s="25">
        <f>IF($C446="","",IFERROR(IF(INDEX(links!$A$2:$A$501,MATCH($C446,links!$D$2:$D$501,0))="","",INDEX(links!$A$2:$A$501,MATCH($C446,links!$D$2:$D$501,0))),""))</f>
        <v/>
      </c>
      <c r="H446" s="25">
        <f>IF($C446="","",IFERROR(IF(INDEX(links!$B$2:$B$501,MATCH($C446,links!$D$2:$D$501,0))="","",INDEX(links!$B$2:$B$501,MATCH($C446,links!$D$2:$D$501,0))),""))</f>
        <v/>
      </c>
      <c r="I446" s="25">
        <f>IF($C446="","",IFERROR(IF(INDEX(links!$C$2:$C$501,MATCH($C446,links!$D$2:$D$501,0))="","",INDEX(links!$C$2:$C$501,MATCH($C446,links!$D$2:$D$501,0))),""))</f>
        <v/>
      </c>
      <c r="J446" s="25">
        <f>IF($C446="","",IF($G446="","slug not in links; ","")&amp;IF($D446="","reading type missing; ","")&amp;IF(COUNTIFS(scans!$C$2:$C$1601,$C446,scans!$D$2:$D$1601,$D446)&gt;1,"two readings of this type: keep one; ",""))</f>
        <v/>
      </c>
    </row>
    <row r="447">
      <c r="A447" s="9" t="n"/>
      <c r="B447" s="33" t="n"/>
      <c r="G447" s="25">
        <f>IF($C447="","",IFERROR(IF(INDEX(links!$A$2:$A$501,MATCH($C447,links!$D$2:$D$501,0))="","",INDEX(links!$A$2:$A$501,MATCH($C447,links!$D$2:$D$501,0))),""))</f>
        <v/>
      </c>
      <c r="H447" s="25">
        <f>IF($C447="","",IFERROR(IF(INDEX(links!$B$2:$B$501,MATCH($C447,links!$D$2:$D$501,0))="","",INDEX(links!$B$2:$B$501,MATCH($C447,links!$D$2:$D$501,0))),""))</f>
        <v/>
      </c>
      <c r="I447" s="25">
        <f>IF($C447="","",IFERROR(IF(INDEX(links!$C$2:$C$501,MATCH($C447,links!$D$2:$D$501,0))="","",INDEX(links!$C$2:$C$501,MATCH($C447,links!$D$2:$D$501,0))),""))</f>
        <v/>
      </c>
      <c r="J447" s="25">
        <f>IF($C447="","",IF($G447="","slug not in links; ","")&amp;IF($D447="","reading type missing; ","")&amp;IF(COUNTIFS(scans!$C$2:$C$1601,$C447,scans!$D$2:$D$1601,$D447)&gt;1,"two readings of this type: keep one; ",""))</f>
        <v/>
      </c>
    </row>
    <row r="448">
      <c r="A448" s="9" t="n"/>
      <c r="B448" s="33" t="n"/>
      <c r="G448" s="25">
        <f>IF($C448="","",IFERROR(IF(INDEX(links!$A$2:$A$501,MATCH($C448,links!$D$2:$D$501,0))="","",INDEX(links!$A$2:$A$501,MATCH($C448,links!$D$2:$D$501,0))),""))</f>
        <v/>
      </c>
      <c r="H448" s="25">
        <f>IF($C448="","",IFERROR(IF(INDEX(links!$B$2:$B$501,MATCH($C448,links!$D$2:$D$501,0))="","",INDEX(links!$B$2:$B$501,MATCH($C448,links!$D$2:$D$501,0))),""))</f>
        <v/>
      </c>
      <c r="I448" s="25">
        <f>IF($C448="","",IFERROR(IF(INDEX(links!$C$2:$C$501,MATCH($C448,links!$D$2:$D$501,0))="","",INDEX(links!$C$2:$C$501,MATCH($C448,links!$D$2:$D$501,0))),""))</f>
        <v/>
      </c>
      <c r="J448" s="25">
        <f>IF($C448="","",IF($G448="","slug not in links; ","")&amp;IF($D448="","reading type missing; ","")&amp;IF(COUNTIFS(scans!$C$2:$C$1601,$C448,scans!$D$2:$D$1601,$D448)&gt;1,"two readings of this type: keep one; ",""))</f>
        <v/>
      </c>
    </row>
    <row r="449">
      <c r="A449" s="9" t="n"/>
      <c r="B449" s="33" t="n"/>
      <c r="G449" s="25">
        <f>IF($C449="","",IFERROR(IF(INDEX(links!$A$2:$A$501,MATCH($C449,links!$D$2:$D$501,0))="","",INDEX(links!$A$2:$A$501,MATCH($C449,links!$D$2:$D$501,0))),""))</f>
        <v/>
      </c>
      <c r="H449" s="25">
        <f>IF($C449="","",IFERROR(IF(INDEX(links!$B$2:$B$501,MATCH($C449,links!$D$2:$D$501,0))="","",INDEX(links!$B$2:$B$501,MATCH($C449,links!$D$2:$D$501,0))),""))</f>
        <v/>
      </c>
      <c r="I449" s="25">
        <f>IF($C449="","",IFERROR(IF(INDEX(links!$C$2:$C$501,MATCH($C449,links!$D$2:$D$501,0))="","",INDEX(links!$C$2:$C$501,MATCH($C449,links!$D$2:$D$501,0))),""))</f>
        <v/>
      </c>
      <c r="J449" s="25">
        <f>IF($C449="","",IF($G449="","slug not in links; ","")&amp;IF($D449="","reading type missing; ","")&amp;IF(COUNTIFS(scans!$C$2:$C$1601,$C449,scans!$D$2:$D$1601,$D449)&gt;1,"two readings of this type: keep one; ",""))</f>
        <v/>
      </c>
    </row>
    <row r="450">
      <c r="A450" s="9" t="n"/>
      <c r="B450" s="33" t="n"/>
      <c r="G450" s="25">
        <f>IF($C450="","",IFERROR(IF(INDEX(links!$A$2:$A$501,MATCH($C450,links!$D$2:$D$501,0))="","",INDEX(links!$A$2:$A$501,MATCH($C450,links!$D$2:$D$501,0))),""))</f>
        <v/>
      </c>
      <c r="H450" s="25">
        <f>IF($C450="","",IFERROR(IF(INDEX(links!$B$2:$B$501,MATCH($C450,links!$D$2:$D$501,0))="","",INDEX(links!$B$2:$B$501,MATCH($C450,links!$D$2:$D$501,0))),""))</f>
        <v/>
      </c>
      <c r="I450" s="25">
        <f>IF($C450="","",IFERROR(IF(INDEX(links!$C$2:$C$501,MATCH($C450,links!$D$2:$D$501,0))="","",INDEX(links!$C$2:$C$501,MATCH($C450,links!$D$2:$D$501,0))),""))</f>
        <v/>
      </c>
      <c r="J450" s="25">
        <f>IF($C450="","",IF($G450="","slug not in links; ","")&amp;IF($D450="","reading type missing; ","")&amp;IF(COUNTIFS(scans!$C$2:$C$1601,$C450,scans!$D$2:$D$1601,$D450)&gt;1,"two readings of this type: keep one; ",""))</f>
        <v/>
      </c>
    </row>
    <row r="451">
      <c r="A451" s="9" t="n"/>
      <c r="B451" s="33" t="n"/>
      <c r="G451" s="25">
        <f>IF($C451="","",IFERROR(IF(INDEX(links!$A$2:$A$501,MATCH($C451,links!$D$2:$D$501,0))="","",INDEX(links!$A$2:$A$501,MATCH($C451,links!$D$2:$D$501,0))),""))</f>
        <v/>
      </c>
      <c r="H451" s="25">
        <f>IF($C451="","",IFERROR(IF(INDEX(links!$B$2:$B$501,MATCH($C451,links!$D$2:$D$501,0))="","",INDEX(links!$B$2:$B$501,MATCH($C451,links!$D$2:$D$501,0))),""))</f>
        <v/>
      </c>
      <c r="I451" s="25">
        <f>IF($C451="","",IFERROR(IF(INDEX(links!$C$2:$C$501,MATCH($C451,links!$D$2:$D$501,0))="","",INDEX(links!$C$2:$C$501,MATCH($C451,links!$D$2:$D$501,0))),""))</f>
        <v/>
      </c>
      <c r="J451" s="25">
        <f>IF($C451="","",IF($G451="","slug not in links; ","")&amp;IF($D451="","reading type missing; ","")&amp;IF(COUNTIFS(scans!$C$2:$C$1601,$C451,scans!$D$2:$D$1601,$D451)&gt;1,"two readings of this type: keep one; ",""))</f>
        <v/>
      </c>
    </row>
    <row r="452">
      <c r="A452" s="9" t="n"/>
      <c r="B452" s="33" t="n"/>
      <c r="G452" s="25">
        <f>IF($C452="","",IFERROR(IF(INDEX(links!$A$2:$A$501,MATCH($C452,links!$D$2:$D$501,0))="","",INDEX(links!$A$2:$A$501,MATCH($C452,links!$D$2:$D$501,0))),""))</f>
        <v/>
      </c>
      <c r="H452" s="25">
        <f>IF($C452="","",IFERROR(IF(INDEX(links!$B$2:$B$501,MATCH($C452,links!$D$2:$D$501,0))="","",INDEX(links!$B$2:$B$501,MATCH($C452,links!$D$2:$D$501,0))),""))</f>
        <v/>
      </c>
      <c r="I452" s="25">
        <f>IF($C452="","",IFERROR(IF(INDEX(links!$C$2:$C$501,MATCH($C452,links!$D$2:$D$501,0))="","",INDEX(links!$C$2:$C$501,MATCH($C452,links!$D$2:$D$501,0))),""))</f>
        <v/>
      </c>
      <c r="J452" s="25">
        <f>IF($C452="","",IF($G452="","slug not in links; ","")&amp;IF($D452="","reading type missing; ","")&amp;IF(COUNTIFS(scans!$C$2:$C$1601,$C452,scans!$D$2:$D$1601,$D452)&gt;1,"two readings of this type: keep one; ",""))</f>
        <v/>
      </c>
    </row>
    <row r="453">
      <c r="A453" s="9" t="n"/>
      <c r="B453" s="33" t="n"/>
      <c r="G453" s="25">
        <f>IF($C453="","",IFERROR(IF(INDEX(links!$A$2:$A$501,MATCH($C453,links!$D$2:$D$501,0))="","",INDEX(links!$A$2:$A$501,MATCH($C453,links!$D$2:$D$501,0))),""))</f>
        <v/>
      </c>
      <c r="H453" s="25">
        <f>IF($C453="","",IFERROR(IF(INDEX(links!$B$2:$B$501,MATCH($C453,links!$D$2:$D$501,0))="","",INDEX(links!$B$2:$B$501,MATCH($C453,links!$D$2:$D$501,0))),""))</f>
        <v/>
      </c>
      <c r="I453" s="25">
        <f>IF($C453="","",IFERROR(IF(INDEX(links!$C$2:$C$501,MATCH($C453,links!$D$2:$D$501,0))="","",INDEX(links!$C$2:$C$501,MATCH($C453,links!$D$2:$D$501,0))),""))</f>
        <v/>
      </c>
      <c r="J453" s="25">
        <f>IF($C453="","",IF($G453="","slug not in links; ","")&amp;IF($D453="","reading type missing; ","")&amp;IF(COUNTIFS(scans!$C$2:$C$1601,$C453,scans!$D$2:$D$1601,$D453)&gt;1,"two readings of this type: keep one; ",""))</f>
        <v/>
      </c>
    </row>
    <row r="454">
      <c r="A454" s="9" t="n"/>
      <c r="B454" s="33" t="n"/>
      <c r="G454" s="25">
        <f>IF($C454="","",IFERROR(IF(INDEX(links!$A$2:$A$501,MATCH($C454,links!$D$2:$D$501,0))="","",INDEX(links!$A$2:$A$501,MATCH($C454,links!$D$2:$D$501,0))),""))</f>
        <v/>
      </c>
      <c r="H454" s="25">
        <f>IF($C454="","",IFERROR(IF(INDEX(links!$B$2:$B$501,MATCH($C454,links!$D$2:$D$501,0))="","",INDEX(links!$B$2:$B$501,MATCH($C454,links!$D$2:$D$501,0))),""))</f>
        <v/>
      </c>
      <c r="I454" s="25">
        <f>IF($C454="","",IFERROR(IF(INDEX(links!$C$2:$C$501,MATCH($C454,links!$D$2:$D$501,0))="","",INDEX(links!$C$2:$C$501,MATCH($C454,links!$D$2:$D$501,0))),""))</f>
        <v/>
      </c>
      <c r="J454" s="25">
        <f>IF($C454="","",IF($G454="","slug not in links; ","")&amp;IF($D454="","reading type missing; ","")&amp;IF(COUNTIFS(scans!$C$2:$C$1601,$C454,scans!$D$2:$D$1601,$D454)&gt;1,"two readings of this type: keep one; ",""))</f>
        <v/>
      </c>
    </row>
    <row r="455">
      <c r="A455" s="9" t="n"/>
      <c r="B455" s="33" t="n"/>
      <c r="G455" s="25">
        <f>IF($C455="","",IFERROR(IF(INDEX(links!$A$2:$A$501,MATCH($C455,links!$D$2:$D$501,0))="","",INDEX(links!$A$2:$A$501,MATCH($C455,links!$D$2:$D$501,0))),""))</f>
        <v/>
      </c>
      <c r="H455" s="25">
        <f>IF($C455="","",IFERROR(IF(INDEX(links!$B$2:$B$501,MATCH($C455,links!$D$2:$D$501,0))="","",INDEX(links!$B$2:$B$501,MATCH($C455,links!$D$2:$D$501,0))),""))</f>
        <v/>
      </c>
      <c r="I455" s="25">
        <f>IF($C455="","",IFERROR(IF(INDEX(links!$C$2:$C$501,MATCH($C455,links!$D$2:$D$501,0))="","",INDEX(links!$C$2:$C$501,MATCH($C455,links!$D$2:$D$501,0))),""))</f>
        <v/>
      </c>
      <c r="J455" s="25">
        <f>IF($C455="","",IF($G455="","slug not in links; ","")&amp;IF($D455="","reading type missing; ","")&amp;IF(COUNTIFS(scans!$C$2:$C$1601,$C455,scans!$D$2:$D$1601,$D455)&gt;1,"two readings of this type: keep one; ",""))</f>
        <v/>
      </c>
    </row>
    <row r="456">
      <c r="A456" s="9" t="n"/>
      <c r="B456" s="33" t="n"/>
      <c r="G456" s="25">
        <f>IF($C456="","",IFERROR(IF(INDEX(links!$A$2:$A$501,MATCH($C456,links!$D$2:$D$501,0))="","",INDEX(links!$A$2:$A$501,MATCH($C456,links!$D$2:$D$501,0))),""))</f>
        <v/>
      </c>
      <c r="H456" s="25">
        <f>IF($C456="","",IFERROR(IF(INDEX(links!$B$2:$B$501,MATCH($C456,links!$D$2:$D$501,0))="","",INDEX(links!$B$2:$B$501,MATCH($C456,links!$D$2:$D$501,0))),""))</f>
        <v/>
      </c>
      <c r="I456" s="25">
        <f>IF($C456="","",IFERROR(IF(INDEX(links!$C$2:$C$501,MATCH($C456,links!$D$2:$D$501,0))="","",INDEX(links!$C$2:$C$501,MATCH($C456,links!$D$2:$D$501,0))),""))</f>
        <v/>
      </c>
      <c r="J456" s="25">
        <f>IF($C456="","",IF($G456="","slug not in links; ","")&amp;IF($D456="","reading type missing; ","")&amp;IF(COUNTIFS(scans!$C$2:$C$1601,$C456,scans!$D$2:$D$1601,$D456)&gt;1,"two readings of this type: keep one; ",""))</f>
        <v/>
      </c>
    </row>
    <row r="457">
      <c r="A457" s="9" t="n"/>
      <c r="B457" s="33" t="n"/>
      <c r="G457" s="25">
        <f>IF($C457="","",IFERROR(IF(INDEX(links!$A$2:$A$501,MATCH($C457,links!$D$2:$D$501,0))="","",INDEX(links!$A$2:$A$501,MATCH($C457,links!$D$2:$D$501,0))),""))</f>
        <v/>
      </c>
      <c r="H457" s="25">
        <f>IF($C457="","",IFERROR(IF(INDEX(links!$B$2:$B$501,MATCH($C457,links!$D$2:$D$501,0))="","",INDEX(links!$B$2:$B$501,MATCH($C457,links!$D$2:$D$501,0))),""))</f>
        <v/>
      </c>
      <c r="I457" s="25">
        <f>IF($C457="","",IFERROR(IF(INDEX(links!$C$2:$C$501,MATCH($C457,links!$D$2:$D$501,0))="","",INDEX(links!$C$2:$C$501,MATCH($C457,links!$D$2:$D$501,0))),""))</f>
        <v/>
      </c>
      <c r="J457" s="25">
        <f>IF($C457="","",IF($G457="","slug not in links; ","")&amp;IF($D457="","reading type missing; ","")&amp;IF(COUNTIFS(scans!$C$2:$C$1601,$C457,scans!$D$2:$D$1601,$D457)&gt;1,"two readings of this type: keep one; ",""))</f>
        <v/>
      </c>
    </row>
    <row r="458">
      <c r="A458" s="9" t="n"/>
      <c r="B458" s="33" t="n"/>
      <c r="G458" s="25">
        <f>IF($C458="","",IFERROR(IF(INDEX(links!$A$2:$A$501,MATCH($C458,links!$D$2:$D$501,0))="","",INDEX(links!$A$2:$A$501,MATCH($C458,links!$D$2:$D$501,0))),""))</f>
        <v/>
      </c>
      <c r="H458" s="25">
        <f>IF($C458="","",IFERROR(IF(INDEX(links!$B$2:$B$501,MATCH($C458,links!$D$2:$D$501,0))="","",INDEX(links!$B$2:$B$501,MATCH($C458,links!$D$2:$D$501,0))),""))</f>
        <v/>
      </c>
      <c r="I458" s="25">
        <f>IF($C458="","",IFERROR(IF(INDEX(links!$C$2:$C$501,MATCH($C458,links!$D$2:$D$501,0))="","",INDEX(links!$C$2:$C$501,MATCH($C458,links!$D$2:$D$501,0))),""))</f>
        <v/>
      </c>
      <c r="J458" s="25">
        <f>IF($C458="","",IF($G458="","slug not in links; ","")&amp;IF($D458="","reading type missing; ","")&amp;IF(COUNTIFS(scans!$C$2:$C$1601,$C458,scans!$D$2:$D$1601,$D458)&gt;1,"two readings of this type: keep one; ",""))</f>
        <v/>
      </c>
    </row>
    <row r="459">
      <c r="A459" s="9" t="n"/>
      <c r="B459" s="33" t="n"/>
      <c r="G459" s="25">
        <f>IF($C459="","",IFERROR(IF(INDEX(links!$A$2:$A$501,MATCH($C459,links!$D$2:$D$501,0))="","",INDEX(links!$A$2:$A$501,MATCH($C459,links!$D$2:$D$501,0))),""))</f>
        <v/>
      </c>
      <c r="H459" s="25">
        <f>IF($C459="","",IFERROR(IF(INDEX(links!$B$2:$B$501,MATCH($C459,links!$D$2:$D$501,0))="","",INDEX(links!$B$2:$B$501,MATCH($C459,links!$D$2:$D$501,0))),""))</f>
        <v/>
      </c>
      <c r="I459" s="25">
        <f>IF($C459="","",IFERROR(IF(INDEX(links!$C$2:$C$501,MATCH($C459,links!$D$2:$D$501,0))="","",INDEX(links!$C$2:$C$501,MATCH($C459,links!$D$2:$D$501,0))),""))</f>
        <v/>
      </c>
      <c r="J459" s="25">
        <f>IF($C459="","",IF($G459="","slug not in links; ","")&amp;IF($D459="","reading type missing; ","")&amp;IF(COUNTIFS(scans!$C$2:$C$1601,$C459,scans!$D$2:$D$1601,$D459)&gt;1,"two readings of this type: keep one; ",""))</f>
        <v/>
      </c>
    </row>
    <row r="460">
      <c r="A460" s="9" t="n"/>
      <c r="B460" s="33" t="n"/>
      <c r="G460" s="25">
        <f>IF($C460="","",IFERROR(IF(INDEX(links!$A$2:$A$501,MATCH($C460,links!$D$2:$D$501,0))="","",INDEX(links!$A$2:$A$501,MATCH($C460,links!$D$2:$D$501,0))),""))</f>
        <v/>
      </c>
      <c r="H460" s="25">
        <f>IF($C460="","",IFERROR(IF(INDEX(links!$B$2:$B$501,MATCH($C460,links!$D$2:$D$501,0))="","",INDEX(links!$B$2:$B$501,MATCH($C460,links!$D$2:$D$501,0))),""))</f>
        <v/>
      </c>
      <c r="I460" s="25">
        <f>IF($C460="","",IFERROR(IF(INDEX(links!$C$2:$C$501,MATCH($C460,links!$D$2:$D$501,0))="","",INDEX(links!$C$2:$C$501,MATCH($C460,links!$D$2:$D$501,0))),""))</f>
        <v/>
      </c>
      <c r="J460" s="25">
        <f>IF($C460="","",IF($G460="","slug not in links; ","")&amp;IF($D460="","reading type missing; ","")&amp;IF(COUNTIFS(scans!$C$2:$C$1601,$C460,scans!$D$2:$D$1601,$D460)&gt;1,"two readings of this type: keep one; ",""))</f>
        <v/>
      </c>
    </row>
    <row r="461">
      <c r="A461" s="9" t="n"/>
      <c r="B461" s="33" t="n"/>
      <c r="G461" s="25">
        <f>IF($C461="","",IFERROR(IF(INDEX(links!$A$2:$A$501,MATCH($C461,links!$D$2:$D$501,0))="","",INDEX(links!$A$2:$A$501,MATCH($C461,links!$D$2:$D$501,0))),""))</f>
        <v/>
      </c>
      <c r="H461" s="25">
        <f>IF($C461="","",IFERROR(IF(INDEX(links!$B$2:$B$501,MATCH($C461,links!$D$2:$D$501,0))="","",INDEX(links!$B$2:$B$501,MATCH($C461,links!$D$2:$D$501,0))),""))</f>
        <v/>
      </c>
      <c r="I461" s="25">
        <f>IF($C461="","",IFERROR(IF(INDEX(links!$C$2:$C$501,MATCH($C461,links!$D$2:$D$501,0))="","",INDEX(links!$C$2:$C$501,MATCH($C461,links!$D$2:$D$501,0))),""))</f>
        <v/>
      </c>
      <c r="J461" s="25">
        <f>IF($C461="","",IF($G461="","slug not in links; ","")&amp;IF($D461="","reading type missing; ","")&amp;IF(COUNTIFS(scans!$C$2:$C$1601,$C461,scans!$D$2:$D$1601,$D461)&gt;1,"two readings of this type: keep one; ",""))</f>
        <v/>
      </c>
    </row>
    <row r="462">
      <c r="A462" s="9" t="n"/>
      <c r="B462" s="33" t="n"/>
      <c r="G462" s="25">
        <f>IF($C462="","",IFERROR(IF(INDEX(links!$A$2:$A$501,MATCH($C462,links!$D$2:$D$501,0))="","",INDEX(links!$A$2:$A$501,MATCH($C462,links!$D$2:$D$501,0))),""))</f>
        <v/>
      </c>
      <c r="H462" s="25">
        <f>IF($C462="","",IFERROR(IF(INDEX(links!$B$2:$B$501,MATCH($C462,links!$D$2:$D$501,0))="","",INDEX(links!$B$2:$B$501,MATCH($C462,links!$D$2:$D$501,0))),""))</f>
        <v/>
      </c>
      <c r="I462" s="25">
        <f>IF($C462="","",IFERROR(IF(INDEX(links!$C$2:$C$501,MATCH($C462,links!$D$2:$D$501,0))="","",INDEX(links!$C$2:$C$501,MATCH($C462,links!$D$2:$D$501,0))),""))</f>
        <v/>
      </c>
      <c r="J462" s="25">
        <f>IF($C462="","",IF($G462="","slug not in links; ","")&amp;IF($D462="","reading type missing; ","")&amp;IF(COUNTIFS(scans!$C$2:$C$1601,$C462,scans!$D$2:$D$1601,$D462)&gt;1,"two readings of this type: keep one; ",""))</f>
        <v/>
      </c>
    </row>
    <row r="463">
      <c r="A463" s="9" t="n"/>
      <c r="B463" s="33" t="n"/>
      <c r="G463" s="25">
        <f>IF($C463="","",IFERROR(IF(INDEX(links!$A$2:$A$501,MATCH($C463,links!$D$2:$D$501,0))="","",INDEX(links!$A$2:$A$501,MATCH($C463,links!$D$2:$D$501,0))),""))</f>
        <v/>
      </c>
      <c r="H463" s="25">
        <f>IF($C463="","",IFERROR(IF(INDEX(links!$B$2:$B$501,MATCH($C463,links!$D$2:$D$501,0))="","",INDEX(links!$B$2:$B$501,MATCH($C463,links!$D$2:$D$501,0))),""))</f>
        <v/>
      </c>
      <c r="I463" s="25">
        <f>IF($C463="","",IFERROR(IF(INDEX(links!$C$2:$C$501,MATCH($C463,links!$D$2:$D$501,0))="","",INDEX(links!$C$2:$C$501,MATCH($C463,links!$D$2:$D$501,0))),""))</f>
        <v/>
      </c>
      <c r="J463" s="25">
        <f>IF($C463="","",IF($G463="","slug not in links; ","")&amp;IF($D463="","reading type missing; ","")&amp;IF(COUNTIFS(scans!$C$2:$C$1601,$C463,scans!$D$2:$D$1601,$D463)&gt;1,"two readings of this type: keep one; ",""))</f>
        <v/>
      </c>
    </row>
    <row r="464">
      <c r="A464" s="9" t="n"/>
      <c r="B464" s="33" t="n"/>
      <c r="G464" s="25">
        <f>IF($C464="","",IFERROR(IF(INDEX(links!$A$2:$A$501,MATCH($C464,links!$D$2:$D$501,0))="","",INDEX(links!$A$2:$A$501,MATCH($C464,links!$D$2:$D$501,0))),""))</f>
        <v/>
      </c>
      <c r="H464" s="25">
        <f>IF($C464="","",IFERROR(IF(INDEX(links!$B$2:$B$501,MATCH($C464,links!$D$2:$D$501,0))="","",INDEX(links!$B$2:$B$501,MATCH($C464,links!$D$2:$D$501,0))),""))</f>
        <v/>
      </c>
      <c r="I464" s="25">
        <f>IF($C464="","",IFERROR(IF(INDEX(links!$C$2:$C$501,MATCH($C464,links!$D$2:$D$501,0))="","",INDEX(links!$C$2:$C$501,MATCH($C464,links!$D$2:$D$501,0))),""))</f>
        <v/>
      </c>
      <c r="J464" s="25">
        <f>IF($C464="","",IF($G464="","slug not in links; ","")&amp;IF($D464="","reading type missing; ","")&amp;IF(COUNTIFS(scans!$C$2:$C$1601,$C464,scans!$D$2:$D$1601,$D464)&gt;1,"two readings of this type: keep one; ",""))</f>
        <v/>
      </c>
    </row>
    <row r="465">
      <c r="A465" s="9" t="n"/>
      <c r="B465" s="33" t="n"/>
      <c r="G465" s="25">
        <f>IF($C465="","",IFERROR(IF(INDEX(links!$A$2:$A$501,MATCH($C465,links!$D$2:$D$501,0))="","",INDEX(links!$A$2:$A$501,MATCH($C465,links!$D$2:$D$501,0))),""))</f>
        <v/>
      </c>
      <c r="H465" s="25">
        <f>IF($C465="","",IFERROR(IF(INDEX(links!$B$2:$B$501,MATCH($C465,links!$D$2:$D$501,0))="","",INDEX(links!$B$2:$B$501,MATCH($C465,links!$D$2:$D$501,0))),""))</f>
        <v/>
      </c>
      <c r="I465" s="25">
        <f>IF($C465="","",IFERROR(IF(INDEX(links!$C$2:$C$501,MATCH($C465,links!$D$2:$D$501,0))="","",INDEX(links!$C$2:$C$501,MATCH($C465,links!$D$2:$D$501,0))),""))</f>
        <v/>
      </c>
      <c r="J465" s="25">
        <f>IF($C465="","",IF($G465="","slug not in links; ","")&amp;IF($D465="","reading type missing; ","")&amp;IF(COUNTIFS(scans!$C$2:$C$1601,$C465,scans!$D$2:$D$1601,$D465)&gt;1,"two readings of this type: keep one; ",""))</f>
        <v/>
      </c>
    </row>
    <row r="466">
      <c r="A466" s="9" t="n"/>
      <c r="B466" s="33" t="n"/>
      <c r="G466" s="25">
        <f>IF($C466="","",IFERROR(IF(INDEX(links!$A$2:$A$501,MATCH($C466,links!$D$2:$D$501,0))="","",INDEX(links!$A$2:$A$501,MATCH($C466,links!$D$2:$D$501,0))),""))</f>
        <v/>
      </c>
      <c r="H466" s="25">
        <f>IF($C466="","",IFERROR(IF(INDEX(links!$B$2:$B$501,MATCH($C466,links!$D$2:$D$501,0))="","",INDEX(links!$B$2:$B$501,MATCH($C466,links!$D$2:$D$501,0))),""))</f>
        <v/>
      </c>
      <c r="I466" s="25">
        <f>IF($C466="","",IFERROR(IF(INDEX(links!$C$2:$C$501,MATCH($C466,links!$D$2:$D$501,0))="","",INDEX(links!$C$2:$C$501,MATCH($C466,links!$D$2:$D$501,0))),""))</f>
        <v/>
      </c>
      <c r="J466" s="25">
        <f>IF($C466="","",IF($G466="","slug not in links; ","")&amp;IF($D466="","reading type missing; ","")&amp;IF(COUNTIFS(scans!$C$2:$C$1601,$C466,scans!$D$2:$D$1601,$D466)&gt;1,"two readings of this type: keep one; ",""))</f>
        <v/>
      </c>
    </row>
    <row r="467">
      <c r="A467" s="9" t="n"/>
      <c r="B467" s="33" t="n"/>
      <c r="G467" s="25">
        <f>IF($C467="","",IFERROR(IF(INDEX(links!$A$2:$A$501,MATCH($C467,links!$D$2:$D$501,0))="","",INDEX(links!$A$2:$A$501,MATCH($C467,links!$D$2:$D$501,0))),""))</f>
        <v/>
      </c>
      <c r="H467" s="25">
        <f>IF($C467="","",IFERROR(IF(INDEX(links!$B$2:$B$501,MATCH($C467,links!$D$2:$D$501,0))="","",INDEX(links!$B$2:$B$501,MATCH($C467,links!$D$2:$D$501,0))),""))</f>
        <v/>
      </c>
      <c r="I467" s="25">
        <f>IF($C467="","",IFERROR(IF(INDEX(links!$C$2:$C$501,MATCH($C467,links!$D$2:$D$501,0))="","",INDEX(links!$C$2:$C$501,MATCH($C467,links!$D$2:$D$501,0))),""))</f>
        <v/>
      </c>
      <c r="J467" s="25">
        <f>IF($C467="","",IF($G467="","slug not in links; ","")&amp;IF($D467="","reading type missing; ","")&amp;IF(COUNTIFS(scans!$C$2:$C$1601,$C467,scans!$D$2:$D$1601,$D467)&gt;1,"two readings of this type: keep one; ",""))</f>
        <v/>
      </c>
    </row>
    <row r="468">
      <c r="A468" s="9" t="n"/>
      <c r="B468" s="33" t="n"/>
      <c r="G468" s="25">
        <f>IF($C468="","",IFERROR(IF(INDEX(links!$A$2:$A$501,MATCH($C468,links!$D$2:$D$501,0))="","",INDEX(links!$A$2:$A$501,MATCH($C468,links!$D$2:$D$501,0))),""))</f>
        <v/>
      </c>
      <c r="H468" s="25">
        <f>IF($C468="","",IFERROR(IF(INDEX(links!$B$2:$B$501,MATCH($C468,links!$D$2:$D$501,0))="","",INDEX(links!$B$2:$B$501,MATCH($C468,links!$D$2:$D$501,0))),""))</f>
        <v/>
      </c>
      <c r="I468" s="25">
        <f>IF($C468="","",IFERROR(IF(INDEX(links!$C$2:$C$501,MATCH($C468,links!$D$2:$D$501,0))="","",INDEX(links!$C$2:$C$501,MATCH($C468,links!$D$2:$D$501,0))),""))</f>
        <v/>
      </c>
      <c r="J468" s="25">
        <f>IF($C468="","",IF($G468="","slug not in links; ","")&amp;IF($D468="","reading type missing; ","")&amp;IF(COUNTIFS(scans!$C$2:$C$1601,$C468,scans!$D$2:$D$1601,$D468)&gt;1,"two readings of this type: keep one; ",""))</f>
        <v/>
      </c>
    </row>
    <row r="469">
      <c r="A469" s="9" t="n"/>
      <c r="B469" s="33" t="n"/>
      <c r="G469" s="25">
        <f>IF($C469="","",IFERROR(IF(INDEX(links!$A$2:$A$501,MATCH($C469,links!$D$2:$D$501,0))="","",INDEX(links!$A$2:$A$501,MATCH($C469,links!$D$2:$D$501,0))),""))</f>
        <v/>
      </c>
      <c r="H469" s="25">
        <f>IF($C469="","",IFERROR(IF(INDEX(links!$B$2:$B$501,MATCH($C469,links!$D$2:$D$501,0))="","",INDEX(links!$B$2:$B$501,MATCH($C469,links!$D$2:$D$501,0))),""))</f>
        <v/>
      </c>
      <c r="I469" s="25">
        <f>IF($C469="","",IFERROR(IF(INDEX(links!$C$2:$C$501,MATCH($C469,links!$D$2:$D$501,0))="","",INDEX(links!$C$2:$C$501,MATCH($C469,links!$D$2:$D$501,0))),""))</f>
        <v/>
      </c>
      <c r="J469" s="25">
        <f>IF($C469="","",IF($G469="","slug not in links; ","")&amp;IF($D469="","reading type missing; ","")&amp;IF(COUNTIFS(scans!$C$2:$C$1601,$C469,scans!$D$2:$D$1601,$D469)&gt;1,"two readings of this type: keep one; ",""))</f>
        <v/>
      </c>
    </row>
    <row r="470">
      <c r="A470" s="9" t="n"/>
      <c r="B470" s="33" t="n"/>
      <c r="G470" s="25">
        <f>IF($C470="","",IFERROR(IF(INDEX(links!$A$2:$A$501,MATCH($C470,links!$D$2:$D$501,0))="","",INDEX(links!$A$2:$A$501,MATCH($C470,links!$D$2:$D$501,0))),""))</f>
        <v/>
      </c>
      <c r="H470" s="25">
        <f>IF($C470="","",IFERROR(IF(INDEX(links!$B$2:$B$501,MATCH($C470,links!$D$2:$D$501,0))="","",INDEX(links!$B$2:$B$501,MATCH($C470,links!$D$2:$D$501,0))),""))</f>
        <v/>
      </c>
      <c r="I470" s="25">
        <f>IF($C470="","",IFERROR(IF(INDEX(links!$C$2:$C$501,MATCH($C470,links!$D$2:$D$501,0))="","",INDEX(links!$C$2:$C$501,MATCH($C470,links!$D$2:$D$501,0))),""))</f>
        <v/>
      </c>
      <c r="J470" s="25">
        <f>IF($C470="","",IF($G470="","slug not in links; ","")&amp;IF($D470="","reading type missing; ","")&amp;IF(COUNTIFS(scans!$C$2:$C$1601,$C470,scans!$D$2:$D$1601,$D470)&gt;1,"two readings of this type: keep one; ",""))</f>
        <v/>
      </c>
    </row>
    <row r="471">
      <c r="A471" s="9" t="n"/>
      <c r="B471" s="33" t="n"/>
      <c r="G471" s="25">
        <f>IF($C471="","",IFERROR(IF(INDEX(links!$A$2:$A$501,MATCH($C471,links!$D$2:$D$501,0))="","",INDEX(links!$A$2:$A$501,MATCH($C471,links!$D$2:$D$501,0))),""))</f>
        <v/>
      </c>
      <c r="H471" s="25">
        <f>IF($C471="","",IFERROR(IF(INDEX(links!$B$2:$B$501,MATCH($C471,links!$D$2:$D$501,0))="","",INDEX(links!$B$2:$B$501,MATCH($C471,links!$D$2:$D$501,0))),""))</f>
        <v/>
      </c>
      <c r="I471" s="25">
        <f>IF($C471="","",IFERROR(IF(INDEX(links!$C$2:$C$501,MATCH($C471,links!$D$2:$D$501,0))="","",INDEX(links!$C$2:$C$501,MATCH($C471,links!$D$2:$D$501,0))),""))</f>
        <v/>
      </c>
      <c r="J471" s="25">
        <f>IF($C471="","",IF($G471="","slug not in links; ","")&amp;IF($D471="","reading type missing; ","")&amp;IF(COUNTIFS(scans!$C$2:$C$1601,$C471,scans!$D$2:$D$1601,$D471)&gt;1,"two readings of this type: keep one; ",""))</f>
        <v/>
      </c>
    </row>
    <row r="472">
      <c r="A472" s="9" t="n"/>
      <c r="B472" s="33" t="n"/>
      <c r="G472" s="25">
        <f>IF($C472="","",IFERROR(IF(INDEX(links!$A$2:$A$501,MATCH($C472,links!$D$2:$D$501,0))="","",INDEX(links!$A$2:$A$501,MATCH($C472,links!$D$2:$D$501,0))),""))</f>
        <v/>
      </c>
      <c r="H472" s="25">
        <f>IF($C472="","",IFERROR(IF(INDEX(links!$B$2:$B$501,MATCH($C472,links!$D$2:$D$501,0))="","",INDEX(links!$B$2:$B$501,MATCH($C472,links!$D$2:$D$501,0))),""))</f>
        <v/>
      </c>
      <c r="I472" s="25">
        <f>IF($C472="","",IFERROR(IF(INDEX(links!$C$2:$C$501,MATCH($C472,links!$D$2:$D$501,0))="","",INDEX(links!$C$2:$C$501,MATCH($C472,links!$D$2:$D$501,0))),""))</f>
        <v/>
      </c>
      <c r="J472" s="25">
        <f>IF($C472="","",IF($G472="","slug not in links; ","")&amp;IF($D472="","reading type missing; ","")&amp;IF(COUNTIFS(scans!$C$2:$C$1601,$C472,scans!$D$2:$D$1601,$D472)&gt;1,"two readings of this type: keep one; ",""))</f>
        <v/>
      </c>
    </row>
    <row r="473">
      <c r="A473" s="9" t="n"/>
      <c r="B473" s="33" t="n"/>
      <c r="G473" s="25">
        <f>IF($C473="","",IFERROR(IF(INDEX(links!$A$2:$A$501,MATCH($C473,links!$D$2:$D$501,0))="","",INDEX(links!$A$2:$A$501,MATCH($C473,links!$D$2:$D$501,0))),""))</f>
        <v/>
      </c>
      <c r="H473" s="25">
        <f>IF($C473="","",IFERROR(IF(INDEX(links!$B$2:$B$501,MATCH($C473,links!$D$2:$D$501,0))="","",INDEX(links!$B$2:$B$501,MATCH($C473,links!$D$2:$D$501,0))),""))</f>
        <v/>
      </c>
      <c r="I473" s="25">
        <f>IF($C473="","",IFERROR(IF(INDEX(links!$C$2:$C$501,MATCH($C473,links!$D$2:$D$501,0))="","",INDEX(links!$C$2:$C$501,MATCH($C473,links!$D$2:$D$501,0))),""))</f>
        <v/>
      </c>
      <c r="J473" s="25">
        <f>IF($C473="","",IF($G473="","slug not in links; ","")&amp;IF($D473="","reading type missing; ","")&amp;IF(COUNTIFS(scans!$C$2:$C$1601,$C473,scans!$D$2:$D$1601,$D473)&gt;1,"two readings of this type: keep one; ",""))</f>
        <v/>
      </c>
    </row>
    <row r="474">
      <c r="A474" s="9" t="n"/>
      <c r="B474" s="33" t="n"/>
      <c r="G474" s="25">
        <f>IF($C474="","",IFERROR(IF(INDEX(links!$A$2:$A$501,MATCH($C474,links!$D$2:$D$501,0))="","",INDEX(links!$A$2:$A$501,MATCH($C474,links!$D$2:$D$501,0))),""))</f>
        <v/>
      </c>
      <c r="H474" s="25">
        <f>IF($C474="","",IFERROR(IF(INDEX(links!$B$2:$B$501,MATCH($C474,links!$D$2:$D$501,0))="","",INDEX(links!$B$2:$B$501,MATCH($C474,links!$D$2:$D$501,0))),""))</f>
        <v/>
      </c>
      <c r="I474" s="25">
        <f>IF($C474="","",IFERROR(IF(INDEX(links!$C$2:$C$501,MATCH($C474,links!$D$2:$D$501,0))="","",INDEX(links!$C$2:$C$501,MATCH($C474,links!$D$2:$D$501,0))),""))</f>
        <v/>
      </c>
      <c r="J474" s="25">
        <f>IF($C474="","",IF($G474="","slug not in links; ","")&amp;IF($D474="","reading type missing; ","")&amp;IF(COUNTIFS(scans!$C$2:$C$1601,$C474,scans!$D$2:$D$1601,$D474)&gt;1,"two readings of this type: keep one; ",""))</f>
        <v/>
      </c>
    </row>
    <row r="475">
      <c r="A475" s="9" t="n"/>
      <c r="B475" s="33" t="n"/>
      <c r="G475" s="25">
        <f>IF($C475="","",IFERROR(IF(INDEX(links!$A$2:$A$501,MATCH($C475,links!$D$2:$D$501,0))="","",INDEX(links!$A$2:$A$501,MATCH($C475,links!$D$2:$D$501,0))),""))</f>
        <v/>
      </c>
      <c r="H475" s="25">
        <f>IF($C475="","",IFERROR(IF(INDEX(links!$B$2:$B$501,MATCH($C475,links!$D$2:$D$501,0))="","",INDEX(links!$B$2:$B$501,MATCH($C475,links!$D$2:$D$501,0))),""))</f>
        <v/>
      </c>
      <c r="I475" s="25">
        <f>IF($C475="","",IFERROR(IF(INDEX(links!$C$2:$C$501,MATCH($C475,links!$D$2:$D$501,0))="","",INDEX(links!$C$2:$C$501,MATCH($C475,links!$D$2:$D$501,0))),""))</f>
        <v/>
      </c>
      <c r="J475" s="25">
        <f>IF($C475="","",IF($G475="","slug not in links; ","")&amp;IF($D475="","reading type missing; ","")&amp;IF(COUNTIFS(scans!$C$2:$C$1601,$C475,scans!$D$2:$D$1601,$D475)&gt;1,"two readings of this type: keep one; ",""))</f>
        <v/>
      </c>
    </row>
    <row r="476">
      <c r="A476" s="9" t="n"/>
      <c r="B476" s="33" t="n"/>
      <c r="G476" s="25">
        <f>IF($C476="","",IFERROR(IF(INDEX(links!$A$2:$A$501,MATCH($C476,links!$D$2:$D$501,0))="","",INDEX(links!$A$2:$A$501,MATCH($C476,links!$D$2:$D$501,0))),""))</f>
        <v/>
      </c>
      <c r="H476" s="25">
        <f>IF($C476="","",IFERROR(IF(INDEX(links!$B$2:$B$501,MATCH($C476,links!$D$2:$D$501,0))="","",INDEX(links!$B$2:$B$501,MATCH($C476,links!$D$2:$D$501,0))),""))</f>
        <v/>
      </c>
      <c r="I476" s="25">
        <f>IF($C476="","",IFERROR(IF(INDEX(links!$C$2:$C$501,MATCH($C476,links!$D$2:$D$501,0))="","",INDEX(links!$C$2:$C$501,MATCH($C476,links!$D$2:$D$501,0))),""))</f>
        <v/>
      </c>
      <c r="J476" s="25">
        <f>IF($C476="","",IF($G476="","slug not in links; ","")&amp;IF($D476="","reading type missing; ","")&amp;IF(COUNTIFS(scans!$C$2:$C$1601,$C476,scans!$D$2:$D$1601,$D476)&gt;1,"two readings of this type: keep one; ",""))</f>
        <v/>
      </c>
    </row>
    <row r="477">
      <c r="A477" s="9" t="n"/>
      <c r="B477" s="33" t="n"/>
      <c r="G477" s="25">
        <f>IF($C477="","",IFERROR(IF(INDEX(links!$A$2:$A$501,MATCH($C477,links!$D$2:$D$501,0))="","",INDEX(links!$A$2:$A$501,MATCH($C477,links!$D$2:$D$501,0))),""))</f>
        <v/>
      </c>
      <c r="H477" s="25">
        <f>IF($C477="","",IFERROR(IF(INDEX(links!$B$2:$B$501,MATCH($C477,links!$D$2:$D$501,0))="","",INDEX(links!$B$2:$B$501,MATCH($C477,links!$D$2:$D$501,0))),""))</f>
        <v/>
      </c>
      <c r="I477" s="25">
        <f>IF($C477="","",IFERROR(IF(INDEX(links!$C$2:$C$501,MATCH($C477,links!$D$2:$D$501,0))="","",INDEX(links!$C$2:$C$501,MATCH($C477,links!$D$2:$D$501,0))),""))</f>
        <v/>
      </c>
      <c r="J477" s="25">
        <f>IF($C477="","",IF($G477="","slug not in links; ","")&amp;IF($D477="","reading type missing; ","")&amp;IF(COUNTIFS(scans!$C$2:$C$1601,$C477,scans!$D$2:$D$1601,$D477)&gt;1,"two readings of this type: keep one; ",""))</f>
        <v/>
      </c>
    </row>
    <row r="478">
      <c r="A478" s="9" t="n"/>
      <c r="B478" s="33" t="n"/>
      <c r="G478" s="25">
        <f>IF($C478="","",IFERROR(IF(INDEX(links!$A$2:$A$501,MATCH($C478,links!$D$2:$D$501,0))="","",INDEX(links!$A$2:$A$501,MATCH($C478,links!$D$2:$D$501,0))),""))</f>
        <v/>
      </c>
      <c r="H478" s="25">
        <f>IF($C478="","",IFERROR(IF(INDEX(links!$B$2:$B$501,MATCH($C478,links!$D$2:$D$501,0))="","",INDEX(links!$B$2:$B$501,MATCH($C478,links!$D$2:$D$501,0))),""))</f>
        <v/>
      </c>
      <c r="I478" s="25">
        <f>IF($C478="","",IFERROR(IF(INDEX(links!$C$2:$C$501,MATCH($C478,links!$D$2:$D$501,0))="","",INDEX(links!$C$2:$C$501,MATCH($C478,links!$D$2:$D$501,0))),""))</f>
        <v/>
      </c>
      <c r="J478" s="25">
        <f>IF($C478="","",IF($G478="","slug not in links; ","")&amp;IF($D478="","reading type missing; ","")&amp;IF(COUNTIFS(scans!$C$2:$C$1601,$C478,scans!$D$2:$D$1601,$D478)&gt;1,"two readings of this type: keep one; ",""))</f>
        <v/>
      </c>
    </row>
    <row r="479">
      <c r="A479" s="9" t="n"/>
      <c r="B479" s="33" t="n"/>
      <c r="G479" s="25">
        <f>IF($C479="","",IFERROR(IF(INDEX(links!$A$2:$A$501,MATCH($C479,links!$D$2:$D$501,0))="","",INDEX(links!$A$2:$A$501,MATCH($C479,links!$D$2:$D$501,0))),""))</f>
        <v/>
      </c>
      <c r="H479" s="25">
        <f>IF($C479="","",IFERROR(IF(INDEX(links!$B$2:$B$501,MATCH($C479,links!$D$2:$D$501,0))="","",INDEX(links!$B$2:$B$501,MATCH($C479,links!$D$2:$D$501,0))),""))</f>
        <v/>
      </c>
      <c r="I479" s="25">
        <f>IF($C479="","",IFERROR(IF(INDEX(links!$C$2:$C$501,MATCH($C479,links!$D$2:$D$501,0))="","",INDEX(links!$C$2:$C$501,MATCH($C479,links!$D$2:$D$501,0))),""))</f>
        <v/>
      </c>
      <c r="J479" s="25">
        <f>IF($C479="","",IF($G479="","slug not in links; ","")&amp;IF($D479="","reading type missing; ","")&amp;IF(COUNTIFS(scans!$C$2:$C$1601,$C479,scans!$D$2:$D$1601,$D479)&gt;1,"two readings of this type: keep one; ",""))</f>
        <v/>
      </c>
    </row>
    <row r="480">
      <c r="A480" s="9" t="n"/>
      <c r="B480" s="33" t="n"/>
      <c r="G480" s="25">
        <f>IF($C480="","",IFERROR(IF(INDEX(links!$A$2:$A$501,MATCH($C480,links!$D$2:$D$501,0))="","",INDEX(links!$A$2:$A$501,MATCH($C480,links!$D$2:$D$501,0))),""))</f>
        <v/>
      </c>
      <c r="H480" s="25">
        <f>IF($C480="","",IFERROR(IF(INDEX(links!$B$2:$B$501,MATCH($C480,links!$D$2:$D$501,0))="","",INDEX(links!$B$2:$B$501,MATCH($C480,links!$D$2:$D$501,0))),""))</f>
        <v/>
      </c>
      <c r="I480" s="25">
        <f>IF($C480="","",IFERROR(IF(INDEX(links!$C$2:$C$501,MATCH($C480,links!$D$2:$D$501,0))="","",INDEX(links!$C$2:$C$501,MATCH($C480,links!$D$2:$D$501,0))),""))</f>
        <v/>
      </c>
      <c r="J480" s="25">
        <f>IF($C480="","",IF($G480="","slug not in links; ","")&amp;IF($D480="","reading type missing; ","")&amp;IF(COUNTIFS(scans!$C$2:$C$1601,$C480,scans!$D$2:$D$1601,$D480)&gt;1,"two readings of this type: keep one; ",""))</f>
        <v/>
      </c>
    </row>
    <row r="481">
      <c r="A481" s="9" t="n"/>
      <c r="B481" s="33" t="n"/>
      <c r="G481" s="25">
        <f>IF($C481="","",IFERROR(IF(INDEX(links!$A$2:$A$501,MATCH($C481,links!$D$2:$D$501,0))="","",INDEX(links!$A$2:$A$501,MATCH($C481,links!$D$2:$D$501,0))),""))</f>
        <v/>
      </c>
      <c r="H481" s="25">
        <f>IF($C481="","",IFERROR(IF(INDEX(links!$B$2:$B$501,MATCH($C481,links!$D$2:$D$501,0))="","",INDEX(links!$B$2:$B$501,MATCH($C481,links!$D$2:$D$501,0))),""))</f>
        <v/>
      </c>
      <c r="I481" s="25">
        <f>IF($C481="","",IFERROR(IF(INDEX(links!$C$2:$C$501,MATCH($C481,links!$D$2:$D$501,0))="","",INDEX(links!$C$2:$C$501,MATCH($C481,links!$D$2:$D$501,0))),""))</f>
        <v/>
      </c>
      <c r="J481" s="25">
        <f>IF($C481="","",IF($G481="","slug not in links; ","")&amp;IF($D481="","reading type missing; ","")&amp;IF(COUNTIFS(scans!$C$2:$C$1601,$C481,scans!$D$2:$D$1601,$D481)&gt;1,"two readings of this type: keep one; ",""))</f>
        <v/>
      </c>
    </row>
    <row r="482">
      <c r="A482" s="9" t="n"/>
      <c r="B482" s="33" t="n"/>
      <c r="G482" s="25">
        <f>IF($C482="","",IFERROR(IF(INDEX(links!$A$2:$A$501,MATCH($C482,links!$D$2:$D$501,0))="","",INDEX(links!$A$2:$A$501,MATCH($C482,links!$D$2:$D$501,0))),""))</f>
        <v/>
      </c>
      <c r="H482" s="25">
        <f>IF($C482="","",IFERROR(IF(INDEX(links!$B$2:$B$501,MATCH($C482,links!$D$2:$D$501,0))="","",INDEX(links!$B$2:$B$501,MATCH($C482,links!$D$2:$D$501,0))),""))</f>
        <v/>
      </c>
      <c r="I482" s="25">
        <f>IF($C482="","",IFERROR(IF(INDEX(links!$C$2:$C$501,MATCH($C482,links!$D$2:$D$501,0))="","",INDEX(links!$C$2:$C$501,MATCH($C482,links!$D$2:$D$501,0))),""))</f>
        <v/>
      </c>
      <c r="J482" s="25">
        <f>IF($C482="","",IF($G482="","slug not in links; ","")&amp;IF($D482="","reading type missing; ","")&amp;IF(COUNTIFS(scans!$C$2:$C$1601,$C482,scans!$D$2:$D$1601,$D482)&gt;1,"two readings of this type: keep one; ",""))</f>
        <v/>
      </c>
    </row>
    <row r="483">
      <c r="A483" s="9" t="n"/>
      <c r="B483" s="33" t="n"/>
      <c r="G483" s="25">
        <f>IF($C483="","",IFERROR(IF(INDEX(links!$A$2:$A$501,MATCH($C483,links!$D$2:$D$501,0))="","",INDEX(links!$A$2:$A$501,MATCH($C483,links!$D$2:$D$501,0))),""))</f>
        <v/>
      </c>
      <c r="H483" s="25">
        <f>IF($C483="","",IFERROR(IF(INDEX(links!$B$2:$B$501,MATCH($C483,links!$D$2:$D$501,0))="","",INDEX(links!$B$2:$B$501,MATCH($C483,links!$D$2:$D$501,0))),""))</f>
        <v/>
      </c>
      <c r="I483" s="25">
        <f>IF($C483="","",IFERROR(IF(INDEX(links!$C$2:$C$501,MATCH($C483,links!$D$2:$D$501,0))="","",INDEX(links!$C$2:$C$501,MATCH($C483,links!$D$2:$D$501,0))),""))</f>
        <v/>
      </c>
      <c r="J483" s="25">
        <f>IF($C483="","",IF($G483="","slug not in links; ","")&amp;IF($D483="","reading type missing; ","")&amp;IF(COUNTIFS(scans!$C$2:$C$1601,$C483,scans!$D$2:$D$1601,$D483)&gt;1,"two readings of this type: keep one; ",""))</f>
        <v/>
      </c>
    </row>
    <row r="484">
      <c r="A484" s="9" t="n"/>
      <c r="B484" s="33" t="n"/>
      <c r="G484" s="25">
        <f>IF($C484="","",IFERROR(IF(INDEX(links!$A$2:$A$501,MATCH($C484,links!$D$2:$D$501,0))="","",INDEX(links!$A$2:$A$501,MATCH($C484,links!$D$2:$D$501,0))),""))</f>
        <v/>
      </c>
      <c r="H484" s="25">
        <f>IF($C484="","",IFERROR(IF(INDEX(links!$B$2:$B$501,MATCH($C484,links!$D$2:$D$501,0))="","",INDEX(links!$B$2:$B$501,MATCH($C484,links!$D$2:$D$501,0))),""))</f>
        <v/>
      </c>
      <c r="I484" s="25">
        <f>IF($C484="","",IFERROR(IF(INDEX(links!$C$2:$C$501,MATCH($C484,links!$D$2:$D$501,0))="","",INDEX(links!$C$2:$C$501,MATCH($C484,links!$D$2:$D$501,0))),""))</f>
        <v/>
      </c>
      <c r="J484" s="25">
        <f>IF($C484="","",IF($G484="","slug not in links; ","")&amp;IF($D484="","reading type missing; ","")&amp;IF(COUNTIFS(scans!$C$2:$C$1601,$C484,scans!$D$2:$D$1601,$D484)&gt;1,"two readings of this type: keep one; ",""))</f>
        <v/>
      </c>
    </row>
    <row r="485">
      <c r="A485" s="9" t="n"/>
      <c r="B485" s="33" t="n"/>
      <c r="G485" s="25">
        <f>IF($C485="","",IFERROR(IF(INDEX(links!$A$2:$A$501,MATCH($C485,links!$D$2:$D$501,0))="","",INDEX(links!$A$2:$A$501,MATCH($C485,links!$D$2:$D$501,0))),""))</f>
        <v/>
      </c>
      <c r="H485" s="25">
        <f>IF($C485="","",IFERROR(IF(INDEX(links!$B$2:$B$501,MATCH($C485,links!$D$2:$D$501,0))="","",INDEX(links!$B$2:$B$501,MATCH($C485,links!$D$2:$D$501,0))),""))</f>
        <v/>
      </c>
      <c r="I485" s="25">
        <f>IF($C485="","",IFERROR(IF(INDEX(links!$C$2:$C$501,MATCH($C485,links!$D$2:$D$501,0))="","",INDEX(links!$C$2:$C$501,MATCH($C485,links!$D$2:$D$501,0))),""))</f>
        <v/>
      </c>
      <c r="J485" s="25">
        <f>IF($C485="","",IF($G485="","slug not in links; ","")&amp;IF($D485="","reading type missing; ","")&amp;IF(COUNTIFS(scans!$C$2:$C$1601,$C485,scans!$D$2:$D$1601,$D485)&gt;1,"two readings of this type: keep one; ",""))</f>
        <v/>
      </c>
    </row>
    <row r="486">
      <c r="A486" s="9" t="n"/>
      <c r="B486" s="33" t="n"/>
      <c r="G486" s="25">
        <f>IF($C486="","",IFERROR(IF(INDEX(links!$A$2:$A$501,MATCH($C486,links!$D$2:$D$501,0))="","",INDEX(links!$A$2:$A$501,MATCH($C486,links!$D$2:$D$501,0))),""))</f>
        <v/>
      </c>
      <c r="H486" s="25">
        <f>IF($C486="","",IFERROR(IF(INDEX(links!$B$2:$B$501,MATCH($C486,links!$D$2:$D$501,0))="","",INDEX(links!$B$2:$B$501,MATCH($C486,links!$D$2:$D$501,0))),""))</f>
        <v/>
      </c>
      <c r="I486" s="25">
        <f>IF($C486="","",IFERROR(IF(INDEX(links!$C$2:$C$501,MATCH($C486,links!$D$2:$D$501,0))="","",INDEX(links!$C$2:$C$501,MATCH($C486,links!$D$2:$D$501,0))),""))</f>
        <v/>
      </c>
      <c r="J486" s="25">
        <f>IF($C486="","",IF($G486="","slug not in links; ","")&amp;IF($D486="","reading type missing; ","")&amp;IF(COUNTIFS(scans!$C$2:$C$1601,$C486,scans!$D$2:$D$1601,$D486)&gt;1,"two readings of this type: keep one; ",""))</f>
        <v/>
      </c>
    </row>
    <row r="487">
      <c r="A487" s="9" t="n"/>
      <c r="B487" s="33" t="n"/>
      <c r="G487" s="25">
        <f>IF($C487="","",IFERROR(IF(INDEX(links!$A$2:$A$501,MATCH($C487,links!$D$2:$D$501,0))="","",INDEX(links!$A$2:$A$501,MATCH($C487,links!$D$2:$D$501,0))),""))</f>
        <v/>
      </c>
      <c r="H487" s="25">
        <f>IF($C487="","",IFERROR(IF(INDEX(links!$B$2:$B$501,MATCH($C487,links!$D$2:$D$501,0))="","",INDEX(links!$B$2:$B$501,MATCH($C487,links!$D$2:$D$501,0))),""))</f>
        <v/>
      </c>
      <c r="I487" s="25">
        <f>IF($C487="","",IFERROR(IF(INDEX(links!$C$2:$C$501,MATCH($C487,links!$D$2:$D$501,0))="","",INDEX(links!$C$2:$C$501,MATCH($C487,links!$D$2:$D$501,0))),""))</f>
        <v/>
      </c>
      <c r="J487" s="25">
        <f>IF($C487="","",IF($G487="","slug not in links; ","")&amp;IF($D487="","reading type missing; ","")&amp;IF(COUNTIFS(scans!$C$2:$C$1601,$C487,scans!$D$2:$D$1601,$D487)&gt;1,"two readings of this type: keep one; ",""))</f>
        <v/>
      </c>
    </row>
    <row r="488">
      <c r="A488" s="9" t="n"/>
      <c r="B488" s="33" t="n"/>
      <c r="G488" s="25">
        <f>IF($C488="","",IFERROR(IF(INDEX(links!$A$2:$A$501,MATCH($C488,links!$D$2:$D$501,0))="","",INDEX(links!$A$2:$A$501,MATCH($C488,links!$D$2:$D$501,0))),""))</f>
        <v/>
      </c>
      <c r="H488" s="25">
        <f>IF($C488="","",IFERROR(IF(INDEX(links!$B$2:$B$501,MATCH($C488,links!$D$2:$D$501,0))="","",INDEX(links!$B$2:$B$501,MATCH($C488,links!$D$2:$D$501,0))),""))</f>
        <v/>
      </c>
      <c r="I488" s="25">
        <f>IF($C488="","",IFERROR(IF(INDEX(links!$C$2:$C$501,MATCH($C488,links!$D$2:$D$501,0))="","",INDEX(links!$C$2:$C$501,MATCH($C488,links!$D$2:$D$501,0))),""))</f>
        <v/>
      </c>
      <c r="J488" s="25">
        <f>IF($C488="","",IF($G488="","slug not in links; ","")&amp;IF($D488="","reading type missing; ","")&amp;IF(COUNTIFS(scans!$C$2:$C$1601,$C488,scans!$D$2:$D$1601,$D488)&gt;1,"two readings of this type: keep one; ",""))</f>
        <v/>
      </c>
    </row>
    <row r="489">
      <c r="A489" s="9" t="n"/>
      <c r="B489" s="33" t="n"/>
      <c r="G489" s="25">
        <f>IF($C489="","",IFERROR(IF(INDEX(links!$A$2:$A$501,MATCH($C489,links!$D$2:$D$501,0))="","",INDEX(links!$A$2:$A$501,MATCH($C489,links!$D$2:$D$501,0))),""))</f>
        <v/>
      </c>
      <c r="H489" s="25">
        <f>IF($C489="","",IFERROR(IF(INDEX(links!$B$2:$B$501,MATCH($C489,links!$D$2:$D$501,0))="","",INDEX(links!$B$2:$B$501,MATCH($C489,links!$D$2:$D$501,0))),""))</f>
        <v/>
      </c>
      <c r="I489" s="25">
        <f>IF($C489="","",IFERROR(IF(INDEX(links!$C$2:$C$501,MATCH($C489,links!$D$2:$D$501,0))="","",INDEX(links!$C$2:$C$501,MATCH($C489,links!$D$2:$D$501,0))),""))</f>
        <v/>
      </c>
      <c r="J489" s="25">
        <f>IF($C489="","",IF($G489="","slug not in links; ","")&amp;IF($D489="","reading type missing; ","")&amp;IF(COUNTIFS(scans!$C$2:$C$1601,$C489,scans!$D$2:$D$1601,$D489)&gt;1,"two readings of this type: keep one; ",""))</f>
        <v/>
      </c>
    </row>
    <row r="490">
      <c r="A490" s="9" t="n"/>
      <c r="B490" s="33" t="n"/>
      <c r="G490" s="25">
        <f>IF($C490="","",IFERROR(IF(INDEX(links!$A$2:$A$501,MATCH($C490,links!$D$2:$D$501,0))="","",INDEX(links!$A$2:$A$501,MATCH($C490,links!$D$2:$D$501,0))),""))</f>
        <v/>
      </c>
      <c r="H490" s="25">
        <f>IF($C490="","",IFERROR(IF(INDEX(links!$B$2:$B$501,MATCH($C490,links!$D$2:$D$501,0))="","",INDEX(links!$B$2:$B$501,MATCH($C490,links!$D$2:$D$501,0))),""))</f>
        <v/>
      </c>
      <c r="I490" s="25">
        <f>IF($C490="","",IFERROR(IF(INDEX(links!$C$2:$C$501,MATCH($C490,links!$D$2:$D$501,0))="","",INDEX(links!$C$2:$C$501,MATCH($C490,links!$D$2:$D$501,0))),""))</f>
        <v/>
      </c>
      <c r="J490" s="25">
        <f>IF($C490="","",IF($G490="","slug not in links; ","")&amp;IF($D490="","reading type missing; ","")&amp;IF(COUNTIFS(scans!$C$2:$C$1601,$C490,scans!$D$2:$D$1601,$D490)&gt;1,"two readings of this type: keep one; ",""))</f>
        <v/>
      </c>
    </row>
    <row r="491">
      <c r="A491" s="9" t="n"/>
      <c r="B491" s="33" t="n"/>
      <c r="G491" s="25">
        <f>IF($C491="","",IFERROR(IF(INDEX(links!$A$2:$A$501,MATCH($C491,links!$D$2:$D$501,0))="","",INDEX(links!$A$2:$A$501,MATCH($C491,links!$D$2:$D$501,0))),""))</f>
        <v/>
      </c>
      <c r="H491" s="25">
        <f>IF($C491="","",IFERROR(IF(INDEX(links!$B$2:$B$501,MATCH($C491,links!$D$2:$D$501,0))="","",INDEX(links!$B$2:$B$501,MATCH($C491,links!$D$2:$D$501,0))),""))</f>
        <v/>
      </c>
      <c r="I491" s="25">
        <f>IF($C491="","",IFERROR(IF(INDEX(links!$C$2:$C$501,MATCH($C491,links!$D$2:$D$501,0))="","",INDEX(links!$C$2:$C$501,MATCH($C491,links!$D$2:$D$501,0))),""))</f>
        <v/>
      </c>
      <c r="J491" s="25">
        <f>IF($C491="","",IF($G491="","slug not in links; ","")&amp;IF($D491="","reading type missing; ","")&amp;IF(COUNTIFS(scans!$C$2:$C$1601,$C491,scans!$D$2:$D$1601,$D491)&gt;1,"two readings of this type: keep one; ",""))</f>
        <v/>
      </c>
    </row>
    <row r="492">
      <c r="A492" s="9" t="n"/>
      <c r="B492" s="33" t="n"/>
      <c r="G492" s="25">
        <f>IF($C492="","",IFERROR(IF(INDEX(links!$A$2:$A$501,MATCH($C492,links!$D$2:$D$501,0))="","",INDEX(links!$A$2:$A$501,MATCH($C492,links!$D$2:$D$501,0))),""))</f>
        <v/>
      </c>
      <c r="H492" s="25">
        <f>IF($C492="","",IFERROR(IF(INDEX(links!$B$2:$B$501,MATCH($C492,links!$D$2:$D$501,0))="","",INDEX(links!$B$2:$B$501,MATCH($C492,links!$D$2:$D$501,0))),""))</f>
        <v/>
      </c>
      <c r="I492" s="25">
        <f>IF($C492="","",IFERROR(IF(INDEX(links!$C$2:$C$501,MATCH($C492,links!$D$2:$D$501,0))="","",INDEX(links!$C$2:$C$501,MATCH($C492,links!$D$2:$D$501,0))),""))</f>
        <v/>
      </c>
      <c r="J492" s="25">
        <f>IF($C492="","",IF($G492="","slug not in links; ","")&amp;IF($D492="","reading type missing; ","")&amp;IF(COUNTIFS(scans!$C$2:$C$1601,$C492,scans!$D$2:$D$1601,$D492)&gt;1,"two readings of this type: keep one; ",""))</f>
        <v/>
      </c>
    </row>
    <row r="493">
      <c r="A493" s="9" t="n"/>
      <c r="B493" s="33" t="n"/>
      <c r="G493" s="25">
        <f>IF($C493="","",IFERROR(IF(INDEX(links!$A$2:$A$501,MATCH($C493,links!$D$2:$D$501,0))="","",INDEX(links!$A$2:$A$501,MATCH($C493,links!$D$2:$D$501,0))),""))</f>
        <v/>
      </c>
      <c r="H493" s="25">
        <f>IF($C493="","",IFERROR(IF(INDEX(links!$B$2:$B$501,MATCH($C493,links!$D$2:$D$501,0))="","",INDEX(links!$B$2:$B$501,MATCH($C493,links!$D$2:$D$501,0))),""))</f>
        <v/>
      </c>
      <c r="I493" s="25">
        <f>IF($C493="","",IFERROR(IF(INDEX(links!$C$2:$C$501,MATCH($C493,links!$D$2:$D$501,0))="","",INDEX(links!$C$2:$C$501,MATCH($C493,links!$D$2:$D$501,0))),""))</f>
        <v/>
      </c>
      <c r="J493" s="25">
        <f>IF($C493="","",IF($G493="","slug not in links; ","")&amp;IF($D493="","reading type missing; ","")&amp;IF(COUNTIFS(scans!$C$2:$C$1601,$C493,scans!$D$2:$D$1601,$D493)&gt;1,"two readings of this type: keep one; ",""))</f>
        <v/>
      </c>
    </row>
    <row r="494">
      <c r="A494" s="9" t="n"/>
      <c r="B494" s="33" t="n"/>
      <c r="G494" s="25">
        <f>IF($C494="","",IFERROR(IF(INDEX(links!$A$2:$A$501,MATCH($C494,links!$D$2:$D$501,0))="","",INDEX(links!$A$2:$A$501,MATCH($C494,links!$D$2:$D$501,0))),""))</f>
        <v/>
      </c>
      <c r="H494" s="25">
        <f>IF($C494="","",IFERROR(IF(INDEX(links!$B$2:$B$501,MATCH($C494,links!$D$2:$D$501,0))="","",INDEX(links!$B$2:$B$501,MATCH($C494,links!$D$2:$D$501,0))),""))</f>
        <v/>
      </c>
      <c r="I494" s="25">
        <f>IF($C494="","",IFERROR(IF(INDEX(links!$C$2:$C$501,MATCH($C494,links!$D$2:$D$501,0))="","",INDEX(links!$C$2:$C$501,MATCH($C494,links!$D$2:$D$501,0))),""))</f>
        <v/>
      </c>
      <c r="J494" s="25">
        <f>IF($C494="","",IF($G494="","slug not in links; ","")&amp;IF($D494="","reading type missing; ","")&amp;IF(COUNTIFS(scans!$C$2:$C$1601,$C494,scans!$D$2:$D$1601,$D494)&gt;1,"two readings of this type: keep one; ",""))</f>
        <v/>
      </c>
    </row>
    <row r="495">
      <c r="A495" s="9" t="n"/>
      <c r="B495" s="33" t="n"/>
      <c r="G495" s="25">
        <f>IF($C495="","",IFERROR(IF(INDEX(links!$A$2:$A$501,MATCH($C495,links!$D$2:$D$501,0))="","",INDEX(links!$A$2:$A$501,MATCH($C495,links!$D$2:$D$501,0))),""))</f>
        <v/>
      </c>
      <c r="H495" s="25">
        <f>IF($C495="","",IFERROR(IF(INDEX(links!$B$2:$B$501,MATCH($C495,links!$D$2:$D$501,0))="","",INDEX(links!$B$2:$B$501,MATCH($C495,links!$D$2:$D$501,0))),""))</f>
        <v/>
      </c>
      <c r="I495" s="25">
        <f>IF($C495="","",IFERROR(IF(INDEX(links!$C$2:$C$501,MATCH($C495,links!$D$2:$D$501,0))="","",INDEX(links!$C$2:$C$501,MATCH($C495,links!$D$2:$D$501,0))),""))</f>
        <v/>
      </c>
      <c r="J495" s="25">
        <f>IF($C495="","",IF($G495="","slug not in links; ","")&amp;IF($D495="","reading type missing; ","")&amp;IF(COUNTIFS(scans!$C$2:$C$1601,$C495,scans!$D$2:$D$1601,$D495)&gt;1,"two readings of this type: keep one; ",""))</f>
        <v/>
      </c>
    </row>
    <row r="496">
      <c r="A496" s="9" t="n"/>
      <c r="B496" s="33" t="n"/>
      <c r="G496" s="25">
        <f>IF($C496="","",IFERROR(IF(INDEX(links!$A$2:$A$501,MATCH($C496,links!$D$2:$D$501,0))="","",INDEX(links!$A$2:$A$501,MATCH($C496,links!$D$2:$D$501,0))),""))</f>
        <v/>
      </c>
      <c r="H496" s="25">
        <f>IF($C496="","",IFERROR(IF(INDEX(links!$B$2:$B$501,MATCH($C496,links!$D$2:$D$501,0))="","",INDEX(links!$B$2:$B$501,MATCH($C496,links!$D$2:$D$501,0))),""))</f>
        <v/>
      </c>
      <c r="I496" s="25">
        <f>IF($C496="","",IFERROR(IF(INDEX(links!$C$2:$C$501,MATCH($C496,links!$D$2:$D$501,0))="","",INDEX(links!$C$2:$C$501,MATCH($C496,links!$D$2:$D$501,0))),""))</f>
        <v/>
      </c>
      <c r="J496" s="25">
        <f>IF($C496="","",IF($G496="","slug not in links; ","")&amp;IF($D496="","reading type missing; ","")&amp;IF(COUNTIFS(scans!$C$2:$C$1601,$C496,scans!$D$2:$D$1601,$D496)&gt;1,"two readings of this type: keep one; ",""))</f>
        <v/>
      </c>
    </row>
    <row r="497">
      <c r="A497" s="9" t="n"/>
      <c r="B497" s="33" t="n"/>
      <c r="G497" s="25">
        <f>IF($C497="","",IFERROR(IF(INDEX(links!$A$2:$A$501,MATCH($C497,links!$D$2:$D$501,0))="","",INDEX(links!$A$2:$A$501,MATCH($C497,links!$D$2:$D$501,0))),""))</f>
        <v/>
      </c>
      <c r="H497" s="25">
        <f>IF($C497="","",IFERROR(IF(INDEX(links!$B$2:$B$501,MATCH($C497,links!$D$2:$D$501,0))="","",INDEX(links!$B$2:$B$501,MATCH($C497,links!$D$2:$D$501,0))),""))</f>
        <v/>
      </c>
      <c r="I497" s="25">
        <f>IF($C497="","",IFERROR(IF(INDEX(links!$C$2:$C$501,MATCH($C497,links!$D$2:$D$501,0))="","",INDEX(links!$C$2:$C$501,MATCH($C497,links!$D$2:$D$501,0))),""))</f>
        <v/>
      </c>
      <c r="J497" s="25">
        <f>IF($C497="","",IF($G497="","slug not in links; ","")&amp;IF($D497="","reading type missing; ","")&amp;IF(COUNTIFS(scans!$C$2:$C$1601,$C497,scans!$D$2:$D$1601,$D497)&gt;1,"two readings of this type: keep one; ",""))</f>
        <v/>
      </c>
    </row>
    <row r="498">
      <c r="A498" s="9" t="n"/>
      <c r="B498" s="33" t="n"/>
      <c r="G498" s="25">
        <f>IF($C498="","",IFERROR(IF(INDEX(links!$A$2:$A$501,MATCH($C498,links!$D$2:$D$501,0))="","",INDEX(links!$A$2:$A$501,MATCH($C498,links!$D$2:$D$501,0))),""))</f>
        <v/>
      </c>
      <c r="H498" s="25">
        <f>IF($C498="","",IFERROR(IF(INDEX(links!$B$2:$B$501,MATCH($C498,links!$D$2:$D$501,0))="","",INDEX(links!$B$2:$B$501,MATCH($C498,links!$D$2:$D$501,0))),""))</f>
        <v/>
      </c>
      <c r="I498" s="25">
        <f>IF($C498="","",IFERROR(IF(INDEX(links!$C$2:$C$501,MATCH($C498,links!$D$2:$D$501,0))="","",INDEX(links!$C$2:$C$501,MATCH($C498,links!$D$2:$D$501,0))),""))</f>
        <v/>
      </c>
      <c r="J498" s="25">
        <f>IF($C498="","",IF($G498="","slug not in links; ","")&amp;IF($D498="","reading type missing; ","")&amp;IF(COUNTIFS(scans!$C$2:$C$1601,$C498,scans!$D$2:$D$1601,$D498)&gt;1,"two readings of this type: keep one; ",""))</f>
        <v/>
      </c>
    </row>
    <row r="499">
      <c r="A499" s="9" t="n"/>
      <c r="B499" s="33" t="n"/>
      <c r="G499" s="25">
        <f>IF($C499="","",IFERROR(IF(INDEX(links!$A$2:$A$501,MATCH($C499,links!$D$2:$D$501,0))="","",INDEX(links!$A$2:$A$501,MATCH($C499,links!$D$2:$D$501,0))),""))</f>
        <v/>
      </c>
      <c r="H499" s="25">
        <f>IF($C499="","",IFERROR(IF(INDEX(links!$B$2:$B$501,MATCH($C499,links!$D$2:$D$501,0))="","",INDEX(links!$B$2:$B$501,MATCH($C499,links!$D$2:$D$501,0))),""))</f>
        <v/>
      </c>
      <c r="I499" s="25">
        <f>IF($C499="","",IFERROR(IF(INDEX(links!$C$2:$C$501,MATCH($C499,links!$D$2:$D$501,0))="","",INDEX(links!$C$2:$C$501,MATCH($C499,links!$D$2:$D$501,0))),""))</f>
        <v/>
      </c>
      <c r="J499" s="25">
        <f>IF($C499="","",IF($G499="","slug not in links; ","")&amp;IF($D499="","reading type missing; ","")&amp;IF(COUNTIFS(scans!$C$2:$C$1601,$C499,scans!$D$2:$D$1601,$D499)&gt;1,"two readings of this type: keep one; ",""))</f>
        <v/>
      </c>
    </row>
    <row r="500">
      <c r="A500" s="9" t="n"/>
      <c r="B500" s="33" t="n"/>
      <c r="G500" s="25">
        <f>IF($C500="","",IFERROR(IF(INDEX(links!$A$2:$A$501,MATCH($C500,links!$D$2:$D$501,0))="","",INDEX(links!$A$2:$A$501,MATCH($C500,links!$D$2:$D$501,0))),""))</f>
        <v/>
      </c>
      <c r="H500" s="25">
        <f>IF($C500="","",IFERROR(IF(INDEX(links!$B$2:$B$501,MATCH($C500,links!$D$2:$D$501,0))="","",INDEX(links!$B$2:$B$501,MATCH($C500,links!$D$2:$D$501,0))),""))</f>
        <v/>
      </c>
      <c r="I500" s="25">
        <f>IF($C500="","",IFERROR(IF(INDEX(links!$C$2:$C$501,MATCH($C500,links!$D$2:$D$501,0))="","",INDEX(links!$C$2:$C$501,MATCH($C500,links!$D$2:$D$501,0))),""))</f>
        <v/>
      </c>
      <c r="J500" s="25">
        <f>IF($C500="","",IF($G500="","slug not in links; ","")&amp;IF($D500="","reading type missing; ","")&amp;IF(COUNTIFS(scans!$C$2:$C$1601,$C500,scans!$D$2:$D$1601,$D500)&gt;1,"two readings of this type: keep one; ",""))</f>
        <v/>
      </c>
    </row>
    <row r="501">
      <c r="A501" s="9" t="n"/>
      <c r="B501" s="33" t="n"/>
      <c r="G501" s="25">
        <f>IF($C501="","",IFERROR(IF(INDEX(links!$A$2:$A$501,MATCH($C501,links!$D$2:$D$501,0))="","",INDEX(links!$A$2:$A$501,MATCH($C501,links!$D$2:$D$501,0))),""))</f>
        <v/>
      </c>
      <c r="H501" s="25">
        <f>IF($C501="","",IFERROR(IF(INDEX(links!$B$2:$B$501,MATCH($C501,links!$D$2:$D$501,0))="","",INDEX(links!$B$2:$B$501,MATCH($C501,links!$D$2:$D$501,0))),""))</f>
        <v/>
      </c>
      <c r="I501" s="25">
        <f>IF($C501="","",IFERROR(IF(INDEX(links!$C$2:$C$501,MATCH($C501,links!$D$2:$D$501,0))="","",INDEX(links!$C$2:$C$501,MATCH($C501,links!$D$2:$D$501,0))),""))</f>
        <v/>
      </c>
      <c r="J501" s="25">
        <f>IF($C501="","",IF($G501="","slug not in links; ","")&amp;IF($D501="","reading type missing; ","")&amp;IF(COUNTIFS(scans!$C$2:$C$1601,$C501,scans!$D$2:$D$1601,$D501)&gt;1,"two readings of this type: keep one; ",""))</f>
        <v/>
      </c>
    </row>
    <row r="502">
      <c r="A502" s="9" t="n"/>
      <c r="B502" s="33" t="n"/>
      <c r="G502" s="25">
        <f>IF($C502="","",IFERROR(IF(INDEX(links!$A$2:$A$501,MATCH($C502,links!$D$2:$D$501,0))="","",INDEX(links!$A$2:$A$501,MATCH($C502,links!$D$2:$D$501,0))),""))</f>
        <v/>
      </c>
      <c r="H502" s="25">
        <f>IF($C502="","",IFERROR(IF(INDEX(links!$B$2:$B$501,MATCH($C502,links!$D$2:$D$501,0))="","",INDEX(links!$B$2:$B$501,MATCH($C502,links!$D$2:$D$501,0))),""))</f>
        <v/>
      </c>
      <c r="I502" s="25">
        <f>IF($C502="","",IFERROR(IF(INDEX(links!$C$2:$C$501,MATCH($C502,links!$D$2:$D$501,0))="","",INDEX(links!$C$2:$C$501,MATCH($C502,links!$D$2:$D$501,0))),""))</f>
        <v/>
      </c>
      <c r="J502" s="25">
        <f>IF($C502="","",IF($G502="","slug not in links; ","")&amp;IF($D502="","reading type missing; ","")&amp;IF(COUNTIFS(scans!$C$2:$C$1601,$C502,scans!$D$2:$D$1601,$D502)&gt;1,"two readings of this type: keep one; ",""))</f>
        <v/>
      </c>
    </row>
    <row r="503">
      <c r="A503" s="9" t="n"/>
      <c r="B503" s="33" t="n"/>
      <c r="G503" s="25">
        <f>IF($C503="","",IFERROR(IF(INDEX(links!$A$2:$A$501,MATCH($C503,links!$D$2:$D$501,0))="","",INDEX(links!$A$2:$A$501,MATCH($C503,links!$D$2:$D$501,0))),""))</f>
        <v/>
      </c>
      <c r="H503" s="25">
        <f>IF($C503="","",IFERROR(IF(INDEX(links!$B$2:$B$501,MATCH($C503,links!$D$2:$D$501,0))="","",INDEX(links!$B$2:$B$501,MATCH($C503,links!$D$2:$D$501,0))),""))</f>
        <v/>
      </c>
      <c r="I503" s="25">
        <f>IF($C503="","",IFERROR(IF(INDEX(links!$C$2:$C$501,MATCH($C503,links!$D$2:$D$501,0))="","",INDEX(links!$C$2:$C$501,MATCH($C503,links!$D$2:$D$501,0))),""))</f>
        <v/>
      </c>
      <c r="J503" s="25">
        <f>IF($C503="","",IF($G503="","slug not in links; ","")&amp;IF($D503="","reading type missing; ","")&amp;IF(COUNTIFS(scans!$C$2:$C$1601,$C503,scans!$D$2:$D$1601,$D503)&gt;1,"two readings of this type: keep one; ",""))</f>
        <v/>
      </c>
    </row>
    <row r="504">
      <c r="A504" s="9" t="n"/>
      <c r="B504" s="33" t="n"/>
      <c r="G504" s="25">
        <f>IF($C504="","",IFERROR(IF(INDEX(links!$A$2:$A$501,MATCH($C504,links!$D$2:$D$501,0))="","",INDEX(links!$A$2:$A$501,MATCH($C504,links!$D$2:$D$501,0))),""))</f>
        <v/>
      </c>
      <c r="H504" s="25">
        <f>IF($C504="","",IFERROR(IF(INDEX(links!$B$2:$B$501,MATCH($C504,links!$D$2:$D$501,0))="","",INDEX(links!$B$2:$B$501,MATCH($C504,links!$D$2:$D$501,0))),""))</f>
        <v/>
      </c>
      <c r="I504" s="25">
        <f>IF($C504="","",IFERROR(IF(INDEX(links!$C$2:$C$501,MATCH($C504,links!$D$2:$D$501,0))="","",INDEX(links!$C$2:$C$501,MATCH($C504,links!$D$2:$D$501,0))),""))</f>
        <v/>
      </c>
      <c r="J504" s="25">
        <f>IF($C504="","",IF($G504="","slug not in links; ","")&amp;IF($D504="","reading type missing; ","")&amp;IF(COUNTIFS(scans!$C$2:$C$1601,$C504,scans!$D$2:$D$1601,$D504)&gt;1,"two readings of this type: keep one; ",""))</f>
        <v/>
      </c>
    </row>
    <row r="505">
      <c r="A505" s="9" t="n"/>
      <c r="B505" s="33" t="n"/>
      <c r="G505" s="25">
        <f>IF($C505="","",IFERROR(IF(INDEX(links!$A$2:$A$501,MATCH($C505,links!$D$2:$D$501,0))="","",INDEX(links!$A$2:$A$501,MATCH($C505,links!$D$2:$D$501,0))),""))</f>
        <v/>
      </c>
      <c r="H505" s="25">
        <f>IF($C505="","",IFERROR(IF(INDEX(links!$B$2:$B$501,MATCH($C505,links!$D$2:$D$501,0))="","",INDEX(links!$B$2:$B$501,MATCH($C505,links!$D$2:$D$501,0))),""))</f>
        <v/>
      </c>
      <c r="I505" s="25">
        <f>IF($C505="","",IFERROR(IF(INDEX(links!$C$2:$C$501,MATCH($C505,links!$D$2:$D$501,0))="","",INDEX(links!$C$2:$C$501,MATCH($C505,links!$D$2:$D$501,0))),""))</f>
        <v/>
      </c>
      <c r="J505" s="25">
        <f>IF($C505="","",IF($G505="","slug not in links; ","")&amp;IF($D505="","reading type missing; ","")&amp;IF(COUNTIFS(scans!$C$2:$C$1601,$C505,scans!$D$2:$D$1601,$D505)&gt;1,"two readings of this type: keep one; ",""))</f>
        <v/>
      </c>
    </row>
    <row r="506">
      <c r="A506" s="9" t="n"/>
      <c r="B506" s="33" t="n"/>
      <c r="G506" s="25">
        <f>IF($C506="","",IFERROR(IF(INDEX(links!$A$2:$A$501,MATCH($C506,links!$D$2:$D$501,0))="","",INDEX(links!$A$2:$A$501,MATCH($C506,links!$D$2:$D$501,0))),""))</f>
        <v/>
      </c>
      <c r="H506" s="25">
        <f>IF($C506="","",IFERROR(IF(INDEX(links!$B$2:$B$501,MATCH($C506,links!$D$2:$D$501,0))="","",INDEX(links!$B$2:$B$501,MATCH($C506,links!$D$2:$D$501,0))),""))</f>
        <v/>
      </c>
      <c r="I506" s="25">
        <f>IF($C506="","",IFERROR(IF(INDEX(links!$C$2:$C$501,MATCH($C506,links!$D$2:$D$501,0))="","",INDEX(links!$C$2:$C$501,MATCH($C506,links!$D$2:$D$501,0))),""))</f>
        <v/>
      </c>
      <c r="J506" s="25">
        <f>IF($C506="","",IF($G506="","slug not in links; ","")&amp;IF($D506="","reading type missing; ","")&amp;IF(COUNTIFS(scans!$C$2:$C$1601,$C506,scans!$D$2:$D$1601,$D506)&gt;1,"two readings of this type: keep one; ",""))</f>
        <v/>
      </c>
    </row>
    <row r="507">
      <c r="A507" s="9" t="n"/>
      <c r="B507" s="33" t="n"/>
      <c r="G507" s="25">
        <f>IF($C507="","",IFERROR(IF(INDEX(links!$A$2:$A$501,MATCH($C507,links!$D$2:$D$501,0))="","",INDEX(links!$A$2:$A$501,MATCH($C507,links!$D$2:$D$501,0))),""))</f>
        <v/>
      </c>
      <c r="H507" s="25">
        <f>IF($C507="","",IFERROR(IF(INDEX(links!$B$2:$B$501,MATCH($C507,links!$D$2:$D$501,0))="","",INDEX(links!$B$2:$B$501,MATCH($C507,links!$D$2:$D$501,0))),""))</f>
        <v/>
      </c>
      <c r="I507" s="25">
        <f>IF($C507="","",IFERROR(IF(INDEX(links!$C$2:$C$501,MATCH($C507,links!$D$2:$D$501,0))="","",INDEX(links!$C$2:$C$501,MATCH($C507,links!$D$2:$D$501,0))),""))</f>
        <v/>
      </c>
      <c r="J507" s="25">
        <f>IF($C507="","",IF($G507="","slug not in links; ","")&amp;IF($D507="","reading type missing; ","")&amp;IF(COUNTIFS(scans!$C$2:$C$1601,$C507,scans!$D$2:$D$1601,$D507)&gt;1,"two readings of this type: keep one; ",""))</f>
        <v/>
      </c>
    </row>
    <row r="508">
      <c r="A508" s="9" t="n"/>
      <c r="B508" s="33" t="n"/>
      <c r="G508" s="25">
        <f>IF($C508="","",IFERROR(IF(INDEX(links!$A$2:$A$501,MATCH($C508,links!$D$2:$D$501,0))="","",INDEX(links!$A$2:$A$501,MATCH($C508,links!$D$2:$D$501,0))),""))</f>
        <v/>
      </c>
      <c r="H508" s="25">
        <f>IF($C508="","",IFERROR(IF(INDEX(links!$B$2:$B$501,MATCH($C508,links!$D$2:$D$501,0))="","",INDEX(links!$B$2:$B$501,MATCH($C508,links!$D$2:$D$501,0))),""))</f>
        <v/>
      </c>
      <c r="I508" s="25">
        <f>IF($C508="","",IFERROR(IF(INDEX(links!$C$2:$C$501,MATCH($C508,links!$D$2:$D$501,0))="","",INDEX(links!$C$2:$C$501,MATCH($C508,links!$D$2:$D$501,0))),""))</f>
        <v/>
      </c>
      <c r="J508" s="25">
        <f>IF($C508="","",IF($G508="","slug not in links; ","")&amp;IF($D508="","reading type missing; ","")&amp;IF(COUNTIFS(scans!$C$2:$C$1601,$C508,scans!$D$2:$D$1601,$D508)&gt;1,"two readings of this type: keep one; ",""))</f>
        <v/>
      </c>
    </row>
    <row r="509">
      <c r="A509" s="9" t="n"/>
      <c r="B509" s="33" t="n"/>
      <c r="G509" s="25">
        <f>IF($C509="","",IFERROR(IF(INDEX(links!$A$2:$A$501,MATCH($C509,links!$D$2:$D$501,0))="","",INDEX(links!$A$2:$A$501,MATCH($C509,links!$D$2:$D$501,0))),""))</f>
        <v/>
      </c>
      <c r="H509" s="25">
        <f>IF($C509="","",IFERROR(IF(INDEX(links!$B$2:$B$501,MATCH($C509,links!$D$2:$D$501,0))="","",INDEX(links!$B$2:$B$501,MATCH($C509,links!$D$2:$D$501,0))),""))</f>
        <v/>
      </c>
      <c r="I509" s="25">
        <f>IF($C509="","",IFERROR(IF(INDEX(links!$C$2:$C$501,MATCH($C509,links!$D$2:$D$501,0))="","",INDEX(links!$C$2:$C$501,MATCH($C509,links!$D$2:$D$501,0))),""))</f>
        <v/>
      </c>
      <c r="J509" s="25">
        <f>IF($C509="","",IF($G509="","slug not in links; ","")&amp;IF($D509="","reading type missing; ","")&amp;IF(COUNTIFS(scans!$C$2:$C$1601,$C509,scans!$D$2:$D$1601,$D509)&gt;1,"two readings of this type: keep one; ",""))</f>
        <v/>
      </c>
    </row>
    <row r="510">
      <c r="A510" s="9" t="n"/>
      <c r="B510" s="33" t="n"/>
      <c r="G510" s="25">
        <f>IF($C510="","",IFERROR(IF(INDEX(links!$A$2:$A$501,MATCH($C510,links!$D$2:$D$501,0))="","",INDEX(links!$A$2:$A$501,MATCH($C510,links!$D$2:$D$501,0))),""))</f>
        <v/>
      </c>
      <c r="H510" s="25">
        <f>IF($C510="","",IFERROR(IF(INDEX(links!$B$2:$B$501,MATCH($C510,links!$D$2:$D$501,0))="","",INDEX(links!$B$2:$B$501,MATCH($C510,links!$D$2:$D$501,0))),""))</f>
        <v/>
      </c>
      <c r="I510" s="25">
        <f>IF($C510="","",IFERROR(IF(INDEX(links!$C$2:$C$501,MATCH($C510,links!$D$2:$D$501,0))="","",INDEX(links!$C$2:$C$501,MATCH($C510,links!$D$2:$D$501,0))),""))</f>
        <v/>
      </c>
      <c r="J510" s="25">
        <f>IF($C510="","",IF($G510="","slug not in links; ","")&amp;IF($D510="","reading type missing; ","")&amp;IF(COUNTIFS(scans!$C$2:$C$1601,$C510,scans!$D$2:$D$1601,$D510)&gt;1,"two readings of this type: keep one; ",""))</f>
        <v/>
      </c>
    </row>
    <row r="511">
      <c r="A511" s="9" t="n"/>
      <c r="B511" s="33" t="n"/>
      <c r="G511" s="25">
        <f>IF($C511="","",IFERROR(IF(INDEX(links!$A$2:$A$501,MATCH($C511,links!$D$2:$D$501,0))="","",INDEX(links!$A$2:$A$501,MATCH($C511,links!$D$2:$D$501,0))),""))</f>
        <v/>
      </c>
      <c r="H511" s="25">
        <f>IF($C511="","",IFERROR(IF(INDEX(links!$B$2:$B$501,MATCH($C511,links!$D$2:$D$501,0))="","",INDEX(links!$B$2:$B$501,MATCH($C511,links!$D$2:$D$501,0))),""))</f>
        <v/>
      </c>
      <c r="I511" s="25">
        <f>IF($C511="","",IFERROR(IF(INDEX(links!$C$2:$C$501,MATCH($C511,links!$D$2:$D$501,0))="","",INDEX(links!$C$2:$C$501,MATCH($C511,links!$D$2:$D$501,0))),""))</f>
        <v/>
      </c>
      <c r="J511" s="25">
        <f>IF($C511="","",IF($G511="","slug not in links; ","")&amp;IF($D511="","reading type missing; ","")&amp;IF(COUNTIFS(scans!$C$2:$C$1601,$C511,scans!$D$2:$D$1601,$D511)&gt;1,"two readings of this type: keep one; ",""))</f>
        <v/>
      </c>
    </row>
    <row r="512">
      <c r="A512" s="9" t="n"/>
      <c r="B512" s="33" t="n"/>
      <c r="G512" s="25">
        <f>IF($C512="","",IFERROR(IF(INDEX(links!$A$2:$A$501,MATCH($C512,links!$D$2:$D$501,0))="","",INDEX(links!$A$2:$A$501,MATCH($C512,links!$D$2:$D$501,0))),""))</f>
        <v/>
      </c>
      <c r="H512" s="25">
        <f>IF($C512="","",IFERROR(IF(INDEX(links!$B$2:$B$501,MATCH($C512,links!$D$2:$D$501,0))="","",INDEX(links!$B$2:$B$501,MATCH($C512,links!$D$2:$D$501,0))),""))</f>
        <v/>
      </c>
      <c r="I512" s="25">
        <f>IF($C512="","",IFERROR(IF(INDEX(links!$C$2:$C$501,MATCH($C512,links!$D$2:$D$501,0))="","",INDEX(links!$C$2:$C$501,MATCH($C512,links!$D$2:$D$501,0))),""))</f>
        <v/>
      </c>
      <c r="J512" s="25">
        <f>IF($C512="","",IF($G512="","slug not in links; ","")&amp;IF($D512="","reading type missing; ","")&amp;IF(COUNTIFS(scans!$C$2:$C$1601,$C512,scans!$D$2:$D$1601,$D512)&gt;1,"two readings of this type: keep one; ",""))</f>
        <v/>
      </c>
    </row>
    <row r="513">
      <c r="A513" s="9" t="n"/>
      <c r="B513" s="33" t="n"/>
      <c r="G513" s="25">
        <f>IF($C513="","",IFERROR(IF(INDEX(links!$A$2:$A$501,MATCH($C513,links!$D$2:$D$501,0))="","",INDEX(links!$A$2:$A$501,MATCH($C513,links!$D$2:$D$501,0))),""))</f>
        <v/>
      </c>
      <c r="H513" s="25">
        <f>IF($C513="","",IFERROR(IF(INDEX(links!$B$2:$B$501,MATCH($C513,links!$D$2:$D$501,0))="","",INDEX(links!$B$2:$B$501,MATCH($C513,links!$D$2:$D$501,0))),""))</f>
        <v/>
      </c>
      <c r="I513" s="25">
        <f>IF($C513="","",IFERROR(IF(INDEX(links!$C$2:$C$501,MATCH($C513,links!$D$2:$D$501,0))="","",INDEX(links!$C$2:$C$501,MATCH($C513,links!$D$2:$D$501,0))),""))</f>
        <v/>
      </c>
      <c r="J513" s="25">
        <f>IF($C513="","",IF($G513="","slug not in links; ","")&amp;IF($D513="","reading type missing; ","")&amp;IF(COUNTIFS(scans!$C$2:$C$1601,$C513,scans!$D$2:$D$1601,$D513)&gt;1,"two readings of this type: keep one; ",""))</f>
        <v/>
      </c>
    </row>
    <row r="514">
      <c r="A514" s="9" t="n"/>
      <c r="B514" s="33" t="n"/>
      <c r="G514" s="25">
        <f>IF($C514="","",IFERROR(IF(INDEX(links!$A$2:$A$501,MATCH($C514,links!$D$2:$D$501,0))="","",INDEX(links!$A$2:$A$501,MATCH($C514,links!$D$2:$D$501,0))),""))</f>
        <v/>
      </c>
      <c r="H514" s="25">
        <f>IF($C514="","",IFERROR(IF(INDEX(links!$B$2:$B$501,MATCH($C514,links!$D$2:$D$501,0))="","",INDEX(links!$B$2:$B$501,MATCH($C514,links!$D$2:$D$501,0))),""))</f>
        <v/>
      </c>
      <c r="I514" s="25">
        <f>IF($C514="","",IFERROR(IF(INDEX(links!$C$2:$C$501,MATCH($C514,links!$D$2:$D$501,0))="","",INDEX(links!$C$2:$C$501,MATCH($C514,links!$D$2:$D$501,0))),""))</f>
        <v/>
      </c>
      <c r="J514" s="25">
        <f>IF($C514="","",IF($G514="","slug not in links; ","")&amp;IF($D514="","reading type missing; ","")&amp;IF(COUNTIFS(scans!$C$2:$C$1601,$C514,scans!$D$2:$D$1601,$D514)&gt;1,"two readings of this type: keep one; ",""))</f>
        <v/>
      </c>
    </row>
    <row r="515">
      <c r="A515" s="9" t="n"/>
      <c r="B515" s="33" t="n"/>
      <c r="G515" s="25">
        <f>IF($C515="","",IFERROR(IF(INDEX(links!$A$2:$A$501,MATCH($C515,links!$D$2:$D$501,0))="","",INDEX(links!$A$2:$A$501,MATCH($C515,links!$D$2:$D$501,0))),""))</f>
        <v/>
      </c>
      <c r="H515" s="25">
        <f>IF($C515="","",IFERROR(IF(INDEX(links!$B$2:$B$501,MATCH($C515,links!$D$2:$D$501,0))="","",INDEX(links!$B$2:$B$501,MATCH($C515,links!$D$2:$D$501,0))),""))</f>
        <v/>
      </c>
      <c r="I515" s="25">
        <f>IF($C515="","",IFERROR(IF(INDEX(links!$C$2:$C$501,MATCH($C515,links!$D$2:$D$501,0))="","",INDEX(links!$C$2:$C$501,MATCH($C515,links!$D$2:$D$501,0))),""))</f>
        <v/>
      </c>
      <c r="J515" s="25">
        <f>IF($C515="","",IF($G515="","slug not in links; ","")&amp;IF($D515="","reading type missing; ","")&amp;IF(COUNTIFS(scans!$C$2:$C$1601,$C515,scans!$D$2:$D$1601,$D515)&gt;1,"two readings of this type: keep one; ",""))</f>
        <v/>
      </c>
    </row>
    <row r="516">
      <c r="A516" s="9" t="n"/>
      <c r="B516" s="33" t="n"/>
      <c r="G516" s="25">
        <f>IF($C516="","",IFERROR(IF(INDEX(links!$A$2:$A$501,MATCH($C516,links!$D$2:$D$501,0))="","",INDEX(links!$A$2:$A$501,MATCH($C516,links!$D$2:$D$501,0))),""))</f>
        <v/>
      </c>
      <c r="H516" s="25">
        <f>IF($C516="","",IFERROR(IF(INDEX(links!$B$2:$B$501,MATCH($C516,links!$D$2:$D$501,0))="","",INDEX(links!$B$2:$B$501,MATCH($C516,links!$D$2:$D$501,0))),""))</f>
        <v/>
      </c>
      <c r="I516" s="25">
        <f>IF($C516="","",IFERROR(IF(INDEX(links!$C$2:$C$501,MATCH($C516,links!$D$2:$D$501,0))="","",INDEX(links!$C$2:$C$501,MATCH($C516,links!$D$2:$D$501,0))),""))</f>
        <v/>
      </c>
      <c r="J516" s="25">
        <f>IF($C516="","",IF($G516="","slug not in links; ","")&amp;IF($D516="","reading type missing; ","")&amp;IF(COUNTIFS(scans!$C$2:$C$1601,$C516,scans!$D$2:$D$1601,$D516)&gt;1,"two readings of this type: keep one; ",""))</f>
        <v/>
      </c>
    </row>
    <row r="517">
      <c r="A517" s="9" t="n"/>
      <c r="B517" s="33" t="n"/>
      <c r="G517" s="25">
        <f>IF($C517="","",IFERROR(IF(INDEX(links!$A$2:$A$501,MATCH($C517,links!$D$2:$D$501,0))="","",INDEX(links!$A$2:$A$501,MATCH($C517,links!$D$2:$D$501,0))),""))</f>
        <v/>
      </c>
      <c r="H517" s="25">
        <f>IF($C517="","",IFERROR(IF(INDEX(links!$B$2:$B$501,MATCH($C517,links!$D$2:$D$501,0))="","",INDEX(links!$B$2:$B$501,MATCH($C517,links!$D$2:$D$501,0))),""))</f>
        <v/>
      </c>
      <c r="I517" s="25">
        <f>IF($C517="","",IFERROR(IF(INDEX(links!$C$2:$C$501,MATCH($C517,links!$D$2:$D$501,0))="","",INDEX(links!$C$2:$C$501,MATCH($C517,links!$D$2:$D$501,0))),""))</f>
        <v/>
      </c>
      <c r="J517" s="25">
        <f>IF($C517="","",IF($G517="","slug not in links; ","")&amp;IF($D517="","reading type missing; ","")&amp;IF(COUNTIFS(scans!$C$2:$C$1601,$C517,scans!$D$2:$D$1601,$D517)&gt;1,"two readings of this type: keep one; ",""))</f>
        <v/>
      </c>
    </row>
    <row r="518">
      <c r="A518" s="9" t="n"/>
      <c r="B518" s="33" t="n"/>
      <c r="G518" s="25">
        <f>IF($C518="","",IFERROR(IF(INDEX(links!$A$2:$A$501,MATCH($C518,links!$D$2:$D$501,0))="","",INDEX(links!$A$2:$A$501,MATCH($C518,links!$D$2:$D$501,0))),""))</f>
        <v/>
      </c>
      <c r="H518" s="25">
        <f>IF($C518="","",IFERROR(IF(INDEX(links!$B$2:$B$501,MATCH($C518,links!$D$2:$D$501,0))="","",INDEX(links!$B$2:$B$501,MATCH($C518,links!$D$2:$D$501,0))),""))</f>
        <v/>
      </c>
      <c r="I518" s="25">
        <f>IF($C518="","",IFERROR(IF(INDEX(links!$C$2:$C$501,MATCH($C518,links!$D$2:$D$501,0))="","",INDEX(links!$C$2:$C$501,MATCH($C518,links!$D$2:$D$501,0))),""))</f>
        <v/>
      </c>
      <c r="J518" s="25">
        <f>IF($C518="","",IF($G518="","slug not in links; ","")&amp;IF($D518="","reading type missing; ","")&amp;IF(COUNTIFS(scans!$C$2:$C$1601,$C518,scans!$D$2:$D$1601,$D518)&gt;1,"two readings of this type: keep one; ",""))</f>
        <v/>
      </c>
    </row>
    <row r="519">
      <c r="A519" s="9" t="n"/>
      <c r="B519" s="33" t="n"/>
      <c r="G519" s="25">
        <f>IF($C519="","",IFERROR(IF(INDEX(links!$A$2:$A$501,MATCH($C519,links!$D$2:$D$501,0))="","",INDEX(links!$A$2:$A$501,MATCH($C519,links!$D$2:$D$501,0))),""))</f>
        <v/>
      </c>
      <c r="H519" s="25">
        <f>IF($C519="","",IFERROR(IF(INDEX(links!$B$2:$B$501,MATCH($C519,links!$D$2:$D$501,0))="","",INDEX(links!$B$2:$B$501,MATCH($C519,links!$D$2:$D$501,0))),""))</f>
        <v/>
      </c>
      <c r="I519" s="25">
        <f>IF($C519="","",IFERROR(IF(INDEX(links!$C$2:$C$501,MATCH($C519,links!$D$2:$D$501,0))="","",INDEX(links!$C$2:$C$501,MATCH($C519,links!$D$2:$D$501,0))),""))</f>
        <v/>
      </c>
      <c r="J519" s="25">
        <f>IF($C519="","",IF($G519="","slug not in links; ","")&amp;IF($D519="","reading type missing; ","")&amp;IF(COUNTIFS(scans!$C$2:$C$1601,$C519,scans!$D$2:$D$1601,$D519)&gt;1,"two readings of this type: keep one; ",""))</f>
        <v/>
      </c>
    </row>
    <row r="520">
      <c r="A520" s="9" t="n"/>
      <c r="B520" s="33" t="n"/>
      <c r="G520" s="25">
        <f>IF($C520="","",IFERROR(IF(INDEX(links!$A$2:$A$501,MATCH($C520,links!$D$2:$D$501,0))="","",INDEX(links!$A$2:$A$501,MATCH($C520,links!$D$2:$D$501,0))),""))</f>
        <v/>
      </c>
      <c r="H520" s="25">
        <f>IF($C520="","",IFERROR(IF(INDEX(links!$B$2:$B$501,MATCH($C520,links!$D$2:$D$501,0))="","",INDEX(links!$B$2:$B$501,MATCH($C520,links!$D$2:$D$501,0))),""))</f>
        <v/>
      </c>
      <c r="I520" s="25">
        <f>IF($C520="","",IFERROR(IF(INDEX(links!$C$2:$C$501,MATCH($C520,links!$D$2:$D$501,0))="","",INDEX(links!$C$2:$C$501,MATCH($C520,links!$D$2:$D$501,0))),""))</f>
        <v/>
      </c>
      <c r="J520" s="25">
        <f>IF($C520="","",IF($G520="","slug not in links; ","")&amp;IF($D520="","reading type missing; ","")&amp;IF(COUNTIFS(scans!$C$2:$C$1601,$C520,scans!$D$2:$D$1601,$D520)&gt;1,"two readings of this type: keep one; ",""))</f>
        <v/>
      </c>
    </row>
    <row r="521">
      <c r="A521" s="9" t="n"/>
      <c r="B521" s="33" t="n"/>
      <c r="G521" s="25">
        <f>IF($C521="","",IFERROR(IF(INDEX(links!$A$2:$A$501,MATCH($C521,links!$D$2:$D$501,0))="","",INDEX(links!$A$2:$A$501,MATCH($C521,links!$D$2:$D$501,0))),""))</f>
        <v/>
      </c>
      <c r="H521" s="25">
        <f>IF($C521="","",IFERROR(IF(INDEX(links!$B$2:$B$501,MATCH($C521,links!$D$2:$D$501,0))="","",INDEX(links!$B$2:$B$501,MATCH($C521,links!$D$2:$D$501,0))),""))</f>
        <v/>
      </c>
      <c r="I521" s="25">
        <f>IF($C521="","",IFERROR(IF(INDEX(links!$C$2:$C$501,MATCH($C521,links!$D$2:$D$501,0))="","",INDEX(links!$C$2:$C$501,MATCH($C521,links!$D$2:$D$501,0))),""))</f>
        <v/>
      </c>
      <c r="J521" s="25">
        <f>IF($C521="","",IF($G521="","slug not in links; ","")&amp;IF($D521="","reading type missing; ","")&amp;IF(COUNTIFS(scans!$C$2:$C$1601,$C521,scans!$D$2:$D$1601,$D521)&gt;1,"two readings of this type: keep one; ",""))</f>
        <v/>
      </c>
    </row>
    <row r="522">
      <c r="A522" s="9" t="n"/>
      <c r="B522" s="33" t="n"/>
      <c r="G522" s="25">
        <f>IF($C522="","",IFERROR(IF(INDEX(links!$A$2:$A$501,MATCH($C522,links!$D$2:$D$501,0))="","",INDEX(links!$A$2:$A$501,MATCH($C522,links!$D$2:$D$501,0))),""))</f>
        <v/>
      </c>
      <c r="H522" s="25">
        <f>IF($C522="","",IFERROR(IF(INDEX(links!$B$2:$B$501,MATCH($C522,links!$D$2:$D$501,0))="","",INDEX(links!$B$2:$B$501,MATCH($C522,links!$D$2:$D$501,0))),""))</f>
        <v/>
      </c>
      <c r="I522" s="25">
        <f>IF($C522="","",IFERROR(IF(INDEX(links!$C$2:$C$501,MATCH($C522,links!$D$2:$D$501,0))="","",INDEX(links!$C$2:$C$501,MATCH($C522,links!$D$2:$D$501,0))),""))</f>
        <v/>
      </c>
      <c r="J522" s="25">
        <f>IF($C522="","",IF($G522="","slug not in links; ","")&amp;IF($D522="","reading type missing; ","")&amp;IF(COUNTIFS(scans!$C$2:$C$1601,$C522,scans!$D$2:$D$1601,$D522)&gt;1,"two readings of this type: keep one; ",""))</f>
        <v/>
      </c>
    </row>
    <row r="523">
      <c r="A523" s="9" t="n"/>
      <c r="B523" s="33" t="n"/>
      <c r="G523" s="25">
        <f>IF($C523="","",IFERROR(IF(INDEX(links!$A$2:$A$501,MATCH($C523,links!$D$2:$D$501,0))="","",INDEX(links!$A$2:$A$501,MATCH($C523,links!$D$2:$D$501,0))),""))</f>
        <v/>
      </c>
      <c r="H523" s="25">
        <f>IF($C523="","",IFERROR(IF(INDEX(links!$B$2:$B$501,MATCH($C523,links!$D$2:$D$501,0))="","",INDEX(links!$B$2:$B$501,MATCH($C523,links!$D$2:$D$501,0))),""))</f>
        <v/>
      </c>
      <c r="I523" s="25">
        <f>IF($C523="","",IFERROR(IF(INDEX(links!$C$2:$C$501,MATCH($C523,links!$D$2:$D$501,0))="","",INDEX(links!$C$2:$C$501,MATCH($C523,links!$D$2:$D$501,0))),""))</f>
        <v/>
      </c>
      <c r="J523" s="25">
        <f>IF($C523="","",IF($G523="","slug not in links; ","")&amp;IF($D523="","reading type missing; ","")&amp;IF(COUNTIFS(scans!$C$2:$C$1601,$C523,scans!$D$2:$D$1601,$D523)&gt;1,"two readings of this type: keep one; ",""))</f>
        <v/>
      </c>
    </row>
    <row r="524">
      <c r="A524" s="9" t="n"/>
      <c r="B524" s="33" t="n"/>
      <c r="G524" s="25">
        <f>IF($C524="","",IFERROR(IF(INDEX(links!$A$2:$A$501,MATCH($C524,links!$D$2:$D$501,0))="","",INDEX(links!$A$2:$A$501,MATCH($C524,links!$D$2:$D$501,0))),""))</f>
        <v/>
      </c>
      <c r="H524" s="25">
        <f>IF($C524="","",IFERROR(IF(INDEX(links!$B$2:$B$501,MATCH($C524,links!$D$2:$D$501,0))="","",INDEX(links!$B$2:$B$501,MATCH($C524,links!$D$2:$D$501,0))),""))</f>
        <v/>
      </c>
      <c r="I524" s="25">
        <f>IF($C524="","",IFERROR(IF(INDEX(links!$C$2:$C$501,MATCH($C524,links!$D$2:$D$501,0))="","",INDEX(links!$C$2:$C$501,MATCH($C524,links!$D$2:$D$501,0))),""))</f>
        <v/>
      </c>
      <c r="J524" s="25">
        <f>IF($C524="","",IF($G524="","slug not in links; ","")&amp;IF($D524="","reading type missing; ","")&amp;IF(COUNTIFS(scans!$C$2:$C$1601,$C524,scans!$D$2:$D$1601,$D524)&gt;1,"two readings of this type: keep one; ",""))</f>
        <v/>
      </c>
    </row>
    <row r="525">
      <c r="A525" s="9" t="n"/>
      <c r="B525" s="33" t="n"/>
      <c r="G525" s="25">
        <f>IF($C525="","",IFERROR(IF(INDEX(links!$A$2:$A$501,MATCH($C525,links!$D$2:$D$501,0))="","",INDEX(links!$A$2:$A$501,MATCH($C525,links!$D$2:$D$501,0))),""))</f>
        <v/>
      </c>
      <c r="H525" s="25">
        <f>IF($C525="","",IFERROR(IF(INDEX(links!$B$2:$B$501,MATCH($C525,links!$D$2:$D$501,0))="","",INDEX(links!$B$2:$B$501,MATCH($C525,links!$D$2:$D$501,0))),""))</f>
        <v/>
      </c>
      <c r="I525" s="25">
        <f>IF($C525="","",IFERROR(IF(INDEX(links!$C$2:$C$501,MATCH($C525,links!$D$2:$D$501,0))="","",INDEX(links!$C$2:$C$501,MATCH($C525,links!$D$2:$D$501,0))),""))</f>
        <v/>
      </c>
      <c r="J525" s="25">
        <f>IF($C525="","",IF($G525="","slug not in links; ","")&amp;IF($D525="","reading type missing; ","")&amp;IF(COUNTIFS(scans!$C$2:$C$1601,$C525,scans!$D$2:$D$1601,$D525)&gt;1,"two readings of this type: keep one; ",""))</f>
        <v/>
      </c>
    </row>
    <row r="526">
      <c r="A526" s="9" t="n"/>
      <c r="B526" s="33" t="n"/>
      <c r="G526" s="25">
        <f>IF($C526="","",IFERROR(IF(INDEX(links!$A$2:$A$501,MATCH($C526,links!$D$2:$D$501,0))="","",INDEX(links!$A$2:$A$501,MATCH($C526,links!$D$2:$D$501,0))),""))</f>
        <v/>
      </c>
      <c r="H526" s="25">
        <f>IF($C526="","",IFERROR(IF(INDEX(links!$B$2:$B$501,MATCH($C526,links!$D$2:$D$501,0))="","",INDEX(links!$B$2:$B$501,MATCH($C526,links!$D$2:$D$501,0))),""))</f>
        <v/>
      </c>
      <c r="I526" s="25">
        <f>IF($C526="","",IFERROR(IF(INDEX(links!$C$2:$C$501,MATCH($C526,links!$D$2:$D$501,0))="","",INDEX(links!$C$2:$C$501,MATCH($C526,links!$D$2:$D$501,0))),""))</f>
        <v/>
      </c>
      <c r="J526" s="25">
        <f>IF($C526="","",IF($G526="","slug not in links; ","")&amp;IF($D526="","reading type missing; ","")&amp;IF(COUNTIFS(scans!$C$2:$C$1601,$C526,scans!$D$2:$D$1601,$D526)&gt;1,"two readings of this type: keep one; ",""))</f>
        <v/>
      </c>
    </row>
    <row r="527">
      <c r="A527" s="9" t="n"/>
      <c r="B527" s="33" t="n"/>
      <c r="G527" s="25">
        <f>IF($C527="","",IFERROR(IF(INDEX(links!$A$2:$A$501,MATCH($C527,links!$D$2:$D$501,0))="","",INDEX(links!$A$2:$A$501,MATCH($C527,links!$D$2:$D$501,0))),""))</f>
        <v/>
      </c>
      <c r="H527" s="25">
        <f>IF($C527="","",IFERROR(IF(INDEX(links!$B$2:$B$501,MATCH($C527,links!$D$2:$D$501,0))="","",INDEX(links!$B$2:$B$501,MATCH($C527,links!$D$2:$D$501,0))),""))</f>
        <v/>
      </c>
      <c r="I527" s="25">
        <f>IF($C527="","",IFERROR(IF(INDEX(links!$C$2:$C$501,MATCH($C527,links!$D$2:$D$501,0))="","",INDEX(links!$C$2:$C$501,MATCH($C527,links!$D$2:$D$501,0))),""))</f>
        <v/>
      </c>
      <c r="J527" s="25">
        <f>IF($C527="","",IF($G527="","slug not in links; ","")&amp;IF($D527="","reading type missing; ","")&amp;IF(COUNTIFS(scans!$C$2:$C$1601,$C527,scans!$D$2:$D$1601,$D527)&gt;1,"two readings of this type: keep one; ",""))</f>
        <v/>
      </c>
    </row>
    <row r="528">
      <c r="A528" s="9" t="n"/>
      <c r="B528" s="33" t="n"/>
      <c r="G528" s="25">
        <f>IF($C528="","",IFERROR(IF(INDEX(links!$A$2:$A$501,MATCH($C528,links!$D$2:$D$501,0))="","",INDEX(links!$A$2:$A$501,MATCH($C528,links!$D$2:$D$501,0))),""))</f>
        <v/>
      </c>
      <c r="H528" s="25">
        <f>IF($C528="","",IFERROR(IF(INDEX(links!$B$2:$B$501,MATCH($C528,links!$D$2:$D$501,0))="","",INDEX(links!$B$2:$B$501,MATCH($C528,links!$D$2:$D$501,0))),""))</f>
        <v/>
      </c>
      <c r="I528" s="25">
        <f>IF($C528="","",IFERROR(IF(INDEX(links!$C$2:$C$501,MATCH($C528,links!$D$2:$D$501,0))="","",INDEX(links!$C$2:$C$501,MATCH($C528,links!$D$2:$D$501,0))),""))</f>
        <v/>
      </c>
      <c r="J528" s="25">
        <f>IF($C528="","",IF($G528="","slug not in links; ","")&amp;IF($D528="","reading type missing; ","")&amp;IF(COUNTIFS(scans!$C$2:$C$1601,$C528,scans!$D$2:$D$1601,$D528)&gt;1,"two readings of this type: keep one; ",""))</f>
        <v/>
      </c>
    </row>
    <row r="529">
      <c r="A529" s="9" t="n"/>
      <c r="B529" s="33" t="n"/>
      <c r="G529" s="25">
        <f>IF($C529="","",IFERROR(IF(INDEX(links!$A$2:$A$501,MATCH($C529,links!$D$2:$D$501,0))="","",INDEX(links!$A$2:$A$501,MATCH($C529,links!$D$2:$D$501,0))),""))</f>
        <v/>
      </c>
      <c r="H529" s="25">
        <f>IF($C529="","",IFERROR(IF(INDEX(links!$B$2:$B$501,MATCH($C529,links!$D$2:$D$501,0))="","",INDEX(links!$B$2:$B$501,MATCH($C529,links!$D$2:$D$501,0))),""))</f>
        <v/>
      </c>
      <c r="I529" s="25">
        <f>IF($C529="","",IFERROR(IF(INDEX(links!$C$2:$C$501,MATCH($C529,links!$D$2:$D$501,0))="","",INDEX(links!$C$2:$C$501,MATCH($C529,links!$D$2:$D$501,0))),""))</f>
        <v/>
      </c>
      <c r="J529" s="25">
        <f>IF($C529="","",IF($G529="","slug not in links; ","")&amp;IF($D529="","reading type missing; ","")&amp;IF(COUNTIFS(scans!$C$2:$C$1601,$C529,scans!$D$2:$D$1601,$D529)&gt;1,"two readings of this type: keep one; ",""))</f>
        <v/>
      </c>
    </row>
    <row r="530">
      <c r="A530" s="9" t="n"/>
      <c r="B530" s="33" t="n"/>
      <c r="G530" s="25">
        <f>IF($C530="","",IFERROR(IF(INDEX(links!$A$2:$A$501,MATCH($C530,links!$D$2:$D$501,0))="","",INDEX(links!$A$2:$A$501,MATCH($C530,links!$D$2:$D$501,0))),""))</f>
        <v/>
      </c>
      <c r="H530" s="25">
        <f>IF($C530="","",IFERROR(IF(INDEX(links!$B$2:$B$501,MATCH($C530,links!$D$2:$D$501,0))="","",INDEX(links!$B$2:$B$501,MATCH($C530,links!$D$2:$D$501,0))),""))</f>
        <v/>
      </c>
      <c r="I530" s="25">
        <f>IF($C530="","",IFERROR(IF(INDEX(links!$C$2:$C$501,MATCH($C530,links!$D$2:$D$501,0))="","",INDEX(links!$C$2:$C$501,MATCH($C530,links!$D$2:$D$501,0))),""))</f>
        <v/>
      </c>
      <c r="J530" s="25">
        <f>IF($C530="","",IF($G530="","slug not in links; ","")&amp;IF($D530="","reading type missing; ","")&amp;IF(COUNTIFS(scans!$C$2:$C$1601,$C530,scans!$D$2:$D$1601,$D530)&gt;1,"two readings of this type: keep one; ",""))</f>
        <v/>
      </c>
    </row>
    <row r="531">
      <c r="A531" s="9" t="n"/>
      <c r="B531" s="33" t="n"/>
      <c r="G531" s="25">
        <f>IF($C531="","",IFERROR(IF(INDEX(links!$A$2:$A$501,MATCH($C531,links!$D$2:$D$501,0))="","",INDEX(links!$A$2:$A$501,MATCH($C531,links!$D$2:$D$501,0))),""))</f>
        <v/>
      </c>
      <c r="H531" s="25">
        <f>IF($C531="","",IFERROR(IF(INDEX(links!$B$2:$B$501,MATCH($C531,links!$D$2:$D$501,0))="","",INDEX(links!$B$2:$B$501,MATCH($C531,links!$D$2:$D$501,0))),""))</f>
        <v/>
      </c>
      <c r="I531" s="25">
        <f>IF($C531="","",IFERROR(IF(INDEX(links!$C$2:$C$501,MATCH($C531,links!$D$2:$D$501,0))="","",INDEX(links!$C$2:$C$501,MATCH($C531,links!$D$2:$D$501,0))),""))</f>
        <v/>
      </c>
      <c r="J531" s="25">
        <f>IF($C531="","",IF($G531="","slug not in links; ","")&amp;IF($D531="","reading type missing; ","")&amp;IF(COUNTIFS(scans!$C$2:$C$1601,$C531,scans!$D$2:$D$1601,$D531)&gt;1,"two readings of this type: keep one; ",""))</f>
        <v/>
      </c>
    </row>
    <row r="532">
      <c r="A532" s="9" t="n"/>
      <c r="B532" s="33" t="n"/>
      <c r="G532" s="25">
        <f>IF($C532="","",IFERROR(IF(INDEX(links!$A$2:$A$501,MATCH($C532,links!$D$2:$D$501,0))="","",INDEX(links!$A$2:$A$501,MATCH($C532,links!$D$2:$D$501,0))),""))</f>
        <v/>
      </c>
      <c r="H532" s="25">
        <f>IF($C532="","",IFERROR(IF(INDEX(links!$B$2:$B$501,MATCH($C532,links!$D$2:$D$501,0))="","",INDEX(links!$B$2:$B$501,MATCH($C532,links!$D$2:$D$501,0))),""))</f>
        <v/>
      </c>
      <c r="I532" s="25">
        <f>IF($C532="","",IFERROR(IF(INDEX(links!$C$2:$C$501,MATCH($C532,links!$D$2:$D$501,0))="","",INDEX(links!$C$2:$C$501,MATCH($C532,links!$D$2:$D$501,0))),""))</f>
        <v/>
      </c>
      <c r="J532" s="25">
        <f>IF($C532="","",IF($G532="","slug not in links; ","")&amp;IF($D532="","reading type missing; ","")&amp;IF(COUNTIFS(scans!$C$2:$C$1601,$C532,scans!$D$2:$D$1601,$D532)&gt;1,"two readings of this type: keep one; ",""))</f>
        <v/>
      </c>
    </row>
    <row r="533">
      <c r="A533" s="9" t="n"/>
      <c r="B533" s="33" t="n"/>
      <c r="G533" s="25">
        <f>IF($C533="","",IFERROR(IF(INDEX(links!$A$2:$A$501,MATCH($C533,links!$D$2:$D$501,0))="","",INDEX(links!$A$2:$A$501,MATCH($C533,links!$D$2:$D$501,0))),""))</f>
        <v/>
      </c>
      <c r="H533" s="25">
        <f>IF($C533="","",IFERROR(IF(INDEX(links!$B$2:$B$501,MATCH($C533,links!$D$2:$D$501,0))="","",INDEX(links!$B$2:$B$501,MATCH($C533,links!$D$2:$D$501,0))),""))</f>
        <v/>
      </c>
      <c r="I533" s="25">
        <f>IF($C533="","",IFERROR(IF(INDEX(links!$C$2:$C$501,MATCH($C533,links!$D$2:$D$501,0))="","",INDEX(links!$C$2:$C$501,MATCH($C533,links!$D$2:$D$501,0))),""))</f>
        <v/>
      </c>
      <c r="J533" s="25">
        <f>IF($C533="","",IF($G533="","slug not in links; ","")&amp;IF($D533="","reading type missing; ","")&amp;IF(COUNTIFS(scans!$C$2:$C$1601,$C533,scans!$D$2:$D$1601,$D533)&gt;1,"two readings of this type: keep one; ",""))</f>
        <v/>
      </c>
    </row>
    <row r="534">
      <c r="A534" s="9" t="n"/>
      <c r="B534" s="33" t="n"/>
      <c r="G534" s="25">
        <f>IF($C534="","",IFERROR(IF(INDEX(links!$A$2:$A$501,MATCH($C534,links!$D$2:$D$501,0))="","",INDEX(links!$A$2:$A$501,MATCH($C534,links!$D$2:$D$501,0))),""))</f>
        <v/>
      </c>
      <c r="H534" s="25">
        <f>IF($C534="","",IFERROR(IF(INDEX(links!$B$2:$B$501,MATCH($C534,links!$D$2:$D$501,0))="","",INDEX(links!$B$2:$B$501,MATCH($C534,links!$D$2:$D$501,0))),""))</f>
        <v/>
      </c>
      <c r="I534" s="25">
        <f>IF($C534="","",IFERROR(IF(INDEX(links!$C$2:$C$501,MATCH($C534,links!$D$2:$D$501,0))="","",INDEX(links!$C$2:$C$501,MATCH($C534,links!$D$2:$D$501,0))),""))</f>
        <v/>
      </c>
      <c r="J534" s="25">
        <f>IF($C534="","",IF($G534="","slug not in links; ","")&amp;IF($D534="","reading type missing; ","")&amp;IF(COUNTIFS(scans!$C$2:$C$1601,$C534,scans!$D$2:$D$1601,$D534)&gt;1,"two readings of this type: keep one; ",""))</f>
        <v/>
      </c>
    </row>
    <row r="535">
      <c r="A535" s="9" t="n"/>
      <c r="B535" s="33" t="n"/>
      <c r="G535" s="25">
        <f>IF($C535="","",IFERROR(IF(INDEX(links!$A$2:$A$501,MATCH($C535,links!$D$2:$D$501,0))="","",INDEX(links!$A$2:$A$501,MATCH($C535,links!$D$2:$D$501,0))),""))</f>
        <v/>
      </c>
      <c r="H535" s="25">
        <f>IF($C535="","",IFERROR(IF(INDEX(links!$B$2:$B$501,MATCH($C535,links!$D$2:$D$501,0))="","",INDEX(links!$B$2:$B$501,MATCH($C535,links!$D$2:$D$501,0))),""))</f>
        <v/>
      </c>
      <c r="I535" s="25">
        <f>IF($C535="","",IFERROR(IF(INDEX(links!$C$2:$C$501,MATCH($C535,links!$D$2:$D$501,0))="","",INDEX(links!$C$2:$C$501,MATCH($C535,links!$D$2:$D$501,0))),""))</f>
        <v/>
      </c>
      <c r="J535" s="25">
        <f>IF($C535="","",IF($G535="","slug not in links; ","")&amp;IF($D535="","reading type missing; ","")&amp;IF(COUNTIFS(scans!$C$2:$C$1601,$C535,scans!$D$2:$D$1601,$D535)&gt;1,"two readings of this type: keep one; ",""))</f>
        <v/>
      </c>
    </row>
    <row r="536">
      <c r="A536" s="9" t="n"/>
      <c r="B536" s="33" t="n"/>
      <c r="G536" s="25">
        <f>IF($C536="","",IFERROR(IF(INDEX(links!$A$2:$A$501,MATCH($C536,links!$D$2:$D$501,0))="","",INDEX(links!$A$2:$A$501,MATCH($C536,links!$D$2:$D$501,0))),""))</f>
        <v/>
      </c>
      <c r="H536" s="25">
        <f>IF($C536="","",IFERROR(IF(INDEX(links!$B$2:$B$501,MATCH($C536,links!$D$2:$D$501,0))="","",INDEX(links!$B$2:$B$501,MATCH($C536,links!$D$2:$D$501,0))),""))</f>
        <v/>
      </c>
      <c r="I536" s="25">
        <f>IF($C536="","",IFERROR(IF(INDEX(links!$C$2:$C$501,MATCH($C536,links!$D$2:$D$501,0))="","",INDEX(links!$C$2:$C$501,MATCH($C536,links!$D$2:$D$501,0))),""))</f>
        <v/>
      </c>
      <c r="J536" s="25">
        <f>IF($C536="","",IF($G536="","slug not in links; ","")&amp;IF($D536="","reading type missing; ","")&amp;IF(COUNTIFS(scans!$C$2:$C$1601,$C536,scans!$D$2:$D$1601,$D536)&gt;1,"two readings of this type: keep one; ",""))</f>
        <v/>
      </c>
    </row>
    <row r="537">
      <c r="A537" s="9" t="n"/>
      <c r="B537" s="33" t="n"/>
      <c r="G537" s="25">
        <f>IF($C537="","",IFERROR(IF(INDEX(links!$A$2:$A$501,MATCH($C537,links!$D$2:$D$501,0))="","",INDEX(links!$A$2:$A$501,MATCH($C537,links!$D$2:$D$501,0))),""))</f>
        <v/>
      </c>
      <c r="H537" s="25">
        <f>IF($C537="","",IFERROR(IF(INDEX(links!$B$2:$B$501,MATCH($C537,links!$D$2:$D$501,0))="","",INDEX(links!$B$2:$B$501,MATCH($C537,links!$D$2:$D$501,0))),""))</f>
        <v/>
      </c>
      <c r="I537" s="25">
        <f>IF($C537="","",IFERROR(IF(INDEX(links!$C$2:$C$501,MATCH($C537,links!$D$2:$D$501,0))="","",INDEX(links!$C$2:$C$501,MATCH($C537,links!$D$2:$D$501,0))),""))</f>
        <v/>
      </c>
      <c r="J537" s="25">
        <f>IF($C537="","",IF($G537="","slug not in links; ","")&amp;IF($D537="","reading type missing; ","")&amp;IF(COUNTIFS(scans!$C$2:$C$1601,$C537,scans!$D$2:$D$1601,$D537)&gt;1,"two readings of this type: keep one; ",""))</f>
        <v/>
      </c>
    </row>
    <row r="538">
      <c r="A538" s="9" t="n"/>
      <c r="B538" s="33" t="n"/>
      <c r="G538" s="25">
        <f>IF($C538="","",IFERROR(IF(INDEX(links!$A$2:$A$501,MATCH($C538,links!$D$2:$D$501,0))="","",INDEX(links!$A$2:$A$501,MATCH($C538,links!$D$2:$D$501,0))),""))</f>
        <v/>
      </c>
      <c r="H538" s="25">
        <f>IF($C538="","",IFERROR(IF(INDEX(links!$B$2:$B$501,MATCH($C538,links!$D$2:$D$501,0))="","",INDEX(links!$B$2:$B$501,MATCH($C538,links!$D$2:$D$501,0))),""))</f>
        <v/>
      </c>
      <c r="I538" s="25">
        <f>IF($C538="","",IFERROR(IF(INDEX(links!$C$2:$C$501,MATCH($C538,links!$D$2:$D$501,0))="","",INDEX(links!$C$2:$C$501,MATCH($C538,links!$D$2:$D$501,0))),""))</f>
        <v/>
      </c>
      <c r="J538" s="25">
        <f>IF($C538="","",IF($G538="","slug not in links; ","")&amp;IF($D538="","reading type missing; ","")&amp;IF(COUNTIFS(scans!$C$2:$C$1601,$C538,scans!$D$2:$D$1601,$D538)&gt;1,"two readings of this type: keep one; ",""))</f>
        <v/>
      </c>
    </row>
    <row r="539">
      <c r="A539" s="9" t="n"/>
      <c r="B539" s="33" t="n"/>
      <c r="G539" s="25">
        <f>IF($C539="","",IFERROR(IF(INDEX(links!$A$2:$A$501,MATCH($C539,links!$D$2:$D$501,0))="","",INDEX(links!$A$2:$A$501,MATCH($C539,links!$D$2:$D$501,0))),""))</f>
        <v/>
      </c>
      <c r="H539" s="25">
        <f>IF($C539="","",IFERROR(IF(INDEX(links!$B$2:$B$501,MATCH($C539,links!$D$2:$D$501,0))="","",INDEX(links!$B$2:$B$501,MATCH($C539,links!$D$2:$D$501,0))),""))</f>
        <v/>
      </c>
      <c r="I539" s="25">
        <f>IF($C539="","",IFERROR(IF(INDEX(links!$C$2:$C$501,MATCH($C539,links!$D$2:$D$501,0))="","",INDEX(links!$C$2:$C$501,MATCH($C539,links!$D$2:$D$501,0))),""))</f>
        <v/>
      </c>
      <c r="J539" s="25">
        <f>IF($C539="","",IF($G539="","slug not in links; ","")&amp;IF($D539="","reading type missing; ","")&amp;IF(COUNTIFS(scans!$C$2:$C$1601,$C539,scans!$D$2:$D$1601,$D539)&gt;1,"two readings of this type: keep one; ",""))</f>
        <v/>
      </c>
    </row>
    <row r="540">
      <c r="A540" s="9" t="n"/>
      <c r="B540" s="33" t="n"/>
      <c r="G540" s="25">
        <f>IF($C540="","",IFERROR(IF(INDEX(links!$A$2:$A$501,MATCH($C540,links!$D$2:$D$501,0))="","",INDEX(links!$A$2:$A$501,MATCH($C540,links!$D$2:$D$501,0))),""))</f>
        <v/>
      </c>
      <c r="H540" s="25">
        <f>IF($C540="","",IFERROR(IF(INDEX(links!$B$2:$B$501,MATCH($C540,links!$D$2:$D$501,0))="","",INDEX(links!$B$2:$B$501,MATCH($C540,links!$D$2:$D$501,0))),""))</f>
        <v/>
      </c>
      <c r="I540" s="25">
        <f>IF($C540="","",IFERROR(IF(INDEX(links!$C$2:$C$501,MATCH($C540,links!$D$2:$D$501,0))="","",INDEX(links!$C$2:$C$501,MATCH($C540,links!$D$2:$D$501,0))),""))</f>
        <v/>
      </c>
      <c r="J540" s="25">
        <f>IF($C540="","",IF($G540="","slug not in links; ","")&amp;IF($D540="","reading type missing; ","")&amp;IF(COUNTIFS(scans!$C$2:$C$1601,$C540,scans!$D$2:$D$1601,$D540)&gt;1,"two readings of this type: keep one; ",""))</f>
        <v/>
      </c>
    </row>
    <row r="541">
      <c r="A541" s="9" t="n"/>
      <c r="B541" s="33" t="n"/>
      <c r="G541" s="25">
        <f>IF($C541="","",IFERROR(IF(INDEX(links!$A$2:$A$501,MATCH($C541,links!$D$2:$D$501,0))="","",INDEX(links!$A$2:$A$501,MATCH($C541,links!$D$2:$D$501,0))),""))</f>
        <v/>
      </c>
      <c r="H541" s="25">
        <f>IF($C541="","",IFERROR(IF(INDEX(links!$B$2:$B$501,MATCH($C541,links!$D$2:$D$501,0))="","",INDEX(links!$B$2:$B$501,MATCH($C541,links!$D$2:$D$501,0))),""))</f>
        <v/>
      </c>
      <c r="I541" s="25">
        <f>IF($C541="","",IFERROR(IF(INDEX(links!$C$2:$C$501,MATCH($C541,links!$D$2:$D$501,0))="","",INDEX(links!$C$2:$C$501,MATCH($C541,links!$D$2:$D$501,0))),""))</f>
        <v/>
      </c>
      <c r="J541" s="25">
        <f>IF($C541="","",IF($G541="","slug not in links; ","")&amp;IF($D541="","reading type missing; ","")&amp;IF(COUNTIFS(scans!$C$2:$C$1601,$C541,scans!$D$2:$D$1601,$D541)&gt;1,"two readings of this type: keep one; ",""))</f>
        <v/>
      </c>
    </row>
    <row r="542">
      <c r="A542" s="9" t="n"/>
      <c r="B542" s="33" t="n"/>
      <c r="G542" s="25">
        <f>IF($C542="","",IFERROR(IF(INDEX(links!$A$2:$A$501,MATCH($C542,links!$D$2:$D$501,0))="","",INDEX(links!$A$2:$A$501,MATCH($C542,links!$D$2:$D$501,0))),""))</f>
        <v/>
      </c>
      <c r="H542" s="25">
        <f>IF($C542="","",IFERROR(IF(INDEX(links!$B$2:$B$501,MATCH($C542,links!$D$2:$D$501,0))="","",INDEX(links!$B$2:$B$501,MATCH($C542,links!$D$2:$D$501,0))),""))</f>
        <v/>
      </c>
      <c r="I542" s="25">
        <f>IF($C542="","",IFERROR(IF(INDEX(links!$C$2:$C$501,MATCH($C542,links!$D$2:$D$501,0))="","",INDEX(links!$C$2:$C$501,MATCH($C542,links!$D$2:$D$501,0))),""))</f>
        <v/>
      </c>
      <c r="J542" s="25">
        <f>IF($C542="","",IF($G542="","slug not in links; ","")&amp;IF($D542="","reading type missing; ","")&amp;IF(COUNTIFS(scans!$C$2:$C$1601,$C542,scans!$D$2:$D$1601,$D542)&gt;1,"two readings of this type: keep one; ",""))</f>
        <v/>
      </c>
    </row>
    <row r="543">
      <c r="A543" s="9" t="n"/>
      <c r="B543" s="33" t="n"/>
      <c r="G543" s="25">
        <f>IF($C543="","",IFERROR(IF(INDEX(links!$A$2:$A$501,MATCH($C543,links!$D$2:$D$501,0))="","",INDEX(links!$A$2:$A$501,MATCH($C543,links!$D$2:$D$501,0))),""))</f>
        <v/>
      </c>
      <c r="H543" s="25">
        <f>IF($C543="","",IFERROR(IF(INDEX(links!$B$2:$B$501,MATCH($C543,links!$D$2:$D$501,0))="","",INDEX(links!$B$2:$B$501,MATCH($C543,links!$D$2:$D$501,0))),""))</f>
        <v/>
      </c>
      <c r="I543" s="25">
        <f>IF($C543="","",IFERROR(IF(INDEX(links!$C$2:$C$501,MATCH($C543,links!$D$2:$D$501,0))="","",INDEX(links!$C$2:$C$501,MATCH($C543,links!$D$2:$D$501,0))),""))</f>
        <v/>
      </c>
      <c r="J543" s="25">
        <f>IF($C543="","",IF($G543="","slug not in links; ","")&amp;IF($D543="","reading type missing; ","")&amp;IF(COUNTIFS(scans!$C$2:$C$1601,$C543,scans!$D$2:$D$1601,$D543)&gt;1,"two readings of this type: keep one; ",""))</f>
        <v/>
      </c>
    </row>
    <row r="544">
      <c r="A544" s="9" t="n"/>
      <c r="B544" s="33" t="n"/>
      <c r="G544" s="25">
        <f>IF($C544="","",IFERROR(IF(INDEX(links!$A$2:$A$501,MATCH($C544,links!$D$2:$D$501,0))="","",INDEX(links!$A$2:$A$501,MATCH($C544,links!$D$2:$D$501,0))),""))</f>
        <v/>
      </c>
      <c r="H544" s="25">
        <f>IF($C544="","",IFERROR(IF(INDEX(links!$B$2:$B$501,MATCH($C544,links!$D$2:$D$501,0))="","",INDEX(links!$B$2:$B$501,MATCH($C544,links!$D$2:$D$501,0))),""))</f>
        <v/>
      </c>
      <c r="I544" s="25">
        <f>IF($C544="","",IFERROR(IF(INDEX(links!$C$2:$C$501,MATCH($C544,links!$D$2:$D$501,0))="","",INDEX(links!$C$2:$C$501,MATCH($C544,links!$D$2:$D$501,0))),""))</f>
        <v/>
      </c>
      <c r="J544" s="25">
        <f>IF($C544="","",IF($G544="","slug not in links; ","")&amp;IF($D544="","reading type missing; ","")&amp;IF(COUNTIFS(scans!$C$2:$C$1601,$C544,scans!$D$2:$D$1601,$D544)&gt;1,"two readings of this type: keep one; ",""))</f>
        <v/>
      </c>
    </row>
    <row r="545">
      <c r="A545" s="9" t="n"/>
      <c r="B545" s="33" t="n"/>
      <c r="G545" s="25">
        <f>IF($C545="","",IFERROR(IF(INDEX(links!$A$2:$A$501,MATCH($C545,links!$D$2:$D$501,0))="","",INDEX(links!$A$2:$A$501,MATCH($C545,links!$D$2:$D$501,0))),""))</f>
        <v/>
      </c>
      <c r="H545" s="25">
        <f>IF($C545="","",IFERROR(IF(INDEX(links!$B$2:$B$501,MATCH($C545,links!$D$2:$D$501,0))="","",INDEX(links!$B$2:$B$501,MATCH($C545,links!$D$2:$D$501,0))),""))</f>
        <v/>
      </c>
      <c r="I545" s="25">
        <f>IF($C545="","",IFERROR(IF(INDEX(links!$C$2:$C$501,MATCH($C545,links!$D$2:$D$501,0))="","",INDEX(links!$C$2:$C$501,MATCH($C545,links!$D$2:$D$501,0))),""))</f>
        <v/>
      </c>
      <c r="J545" s="25">
        <f>IF($C545="","",IF($G545="","slug not in links; ","")&amp;IF($D545="","reading type missing; ","")&amp;IF(COUNTIFS(scans!$C$2:$C$1601,$C545,scans!$D$2:$D$1601,$D545)&gt;1,"two readings of this type: keep one; ",""))</f>
        <v/>
      </c>
    </row>
    <row r="546">
      <c r="A546" s="9" t="n"/>
      <c r="B546" s="33" t="n"/>
      <c r="G546" s="25">
        <f>IF($C546="","",IFERROR(IF(INDEX(links!$A$2:$A$501,MATCH($C546,links!$D$2:$D$501,0))="","",INDEX(links!$A$2:$A$501,MATCH($C546,links!$D$2:$D$501,0))),""))</f>
        <v/>
      </c>
      <c r="H546" s="25">
        <f>IF($C546="","",IFERROR(IF(INDEX(links!$B$2:$B$501,MATCH($C546,links!$D$2:$D$501,0))="","",INDEX(links!$B$2:$B$501,MATCH($C546,links!$D$2:$D$501,0))),""))</f>
        <v/>
      </c>
      <c r="I546" s="25">
        <f>IF($C546="","",IFERROR(IF(INDEX(links!$C$2:$C$501,MATCH($C546,links!$D$2:$D$501,0))="","",INDEX(links!$C$2:$C$501,MATCH($C546,links!$D$2:$D$501,0))),""))</f>
        <v/>
      </c>
      <c r="J546" s="25">
        <f>IF($C546="","",IF($G546="","slug not in links; ","")&amp;IF($D546="","reading type missing; ","")&amp;IF(COUNTIFS(scans!$C$2:$C$1601,$C546,scans!$D$2:$D$1601,$D546)&gt;1,"two readings of this type: keep one; ",""))</f>
        <v/>
      </c>
    </row>
    <row r="547">
      <c r="A547" s="9" t="n"/>
      <c r="B547" s="33" t="n"/>
      <c r="G547" s="25">
        <f>IF($C547="","",IFERROR(IF(INDEX(links!$A$2:$A$501,MATCH($C547,links!$D$2:$D$501,0))="","",INDEX(links!$A$2:$A$501,MATCH($C547,links!$D$2:$D$501,0))),""))</f>
        <v/>
      </c>
      <c r="H547" s="25">
        <f>IF($C547="","",IFERROR(IF(INDEX(links!$B$2:$B$501,MATCH($C547,links!$D$2:$D$501,0))="","",INDEX(links!$B$2:$B$501,MATCH($C547,links!$D$2:$D$501,0))),""))</f>
        <v/>
      </c>
      <c r="I547" s="25">
        <f>IF($C547="","",IFERROR(IF(INDEX(links!$C$2:$C$501,MATCH($C547,links!$D$2:$D$501,0))="","",INDEX(links!$C$2:$C$501,MATCH($C547,links!$D$2:$D$501,0))),""))</f>
        <v/>
      </c>
      <c r="J547" s="25">
        <f>IF($C547="","",IF($G547="","slug not in links; ","")&amp;IF($D547="","reading type missing; ","")&amp;IF(COUNTIFS(scans!$C$2:$C$1601,$C547,scans!$D$2:$D$1601,$D547)&gt;1,"two readings of this type: keep one; ",""))</f>
        <v/>
      </c>
    </row>
    <row r="548">
      <c r="A548" s="9" t="n"/>
      <c r="B548" s="33" t="n"/>
      <c r="G548" s="25">
        <f>IF($C548="","",IFERROR(IF(INDEX(links!$A$2:$A$501,MATCH($C548,links!$D$2:$D$501,0))="","",INDEX(links!$A$2:$A$501,MATCH($C548,links!$D$2:$D$501,0))),""))</f>
        <v/>
      </c>
      <c r="H548" s="25">
        <f>IF($C548="","",IFERROR(IF(INDEX(links!$B$2:$B$501,MATCH($C548,links!$D$2:$D$501,0))="","",INDEX(links!$B$2:$B$501,MATCH($C548,links!$D$2:$D$501,0))),""))</f>
        <v/>
      </c>
      <c r="I548" s="25">
        <f>IF($C548="","",IFERROR(IF(INDEX(links!$C$2:$C$501,MATCH($C548,links!$D$2:$D$501,0))="","",INDEX(links!$C$2:$C$501,MATCH($C548,links!$D$2:$D$501,0))),""))</f>
        <v/>
      </c>
      <c r="J548" s="25">
        <f>IF($C548="","",IF($G548="","slug not in links; ","")&amp;IF($D548="","reading type missing; ","")&amp;IF(COUNTIFS(scans!$C$2:$C$1601,$C548,scans!$D$2:$D$1601,$D548)&gt;1,"two readings of this type: keep one; ",""))</f>
        <v/>
      </c>
    </row>
    <row r="549">
      <c r="A549" s="9" t="n"/>
      <c r="B549" s="33" t="n"/>
      <c r="G549" s="25">
        <f>IF($C549="","",IFERROR(IF(INDEX(links!$A$2:$A$501,MATCH($C549,links!$D$2:$D$501,0))="","",INDEX(links!$A$2:$A$501,MATCH($C549,links!$D$2:$D$501,0))),""))</f>
        <v/>
      </c>
      <c r="H549" s="25">
        <f>IF($C549="","",IFERROR(IF(INDEX(links!$B$2:$B$501,MATCH($C549,links!$D$2:$D$501,0))="","",INDEX(links!$B$2:$B$501,MATCH($C549,links!$D$2:$D$501,0))),""))</f>
        <v/>
      </c>
      <c r="I549" s="25">
        <f>IF($C549="","",IFERROR(IF(INDEX(links!$C$2:$C$501,MATCH($C549,links!$D$2:$D$501,0))="","",INDEX(links!$C$2:$C$501,MATCH($C549,links!$D$2:$D$501,0))),""))</f>
        <v/>
      </c>
      <c r="J549" s="25">
        <f>IF($C549="","",IF($G549="","slug not in links; ","")&amp;IF($D549="","reading type missing; ","")&amp;IF(COUNTIFS(scans!$C$2:$C$1601,$C549,scans!$D$2:$D$1601,$D549)&gt;1,"two readings of this type: keep one; ",""))</f>
        <v/>
      </c>
    </row>
    <row r="550">
      <c r="A550" s="9" t="n"/>
      <c r="B550" s="33" t="n"/>
      <c r="G550" s="25">
        <f>IF($C550="","",IFERROR(IF(INDEX(links!$A$2:$A$501,MATCH($C550,links!$D$2:$D$501,0))="","",INDEX(links!$A$2:$A$501,MATCH($C550,links!$D$2:$D$501,0))),""))</f>
        <v/>
      </c>
      <c r="H550" s="25">
        <f>IF($C550="","",IFERROR(IF(INDEX(links!$B$2:$B$501,MATCH($C550,links!$D$2:$D$501,0))="","",INDEX(links!$B$2:$B$501,MATCH($C550,links!$D$2:$D$501,0))),""))</f>
        <v/>
      </c>
      <c r="I550" s="25">
        <f>IF($C550="","",IFERROR(IF(INDEX(links!$C$2:$C$501,MATCH($C550,links!$D$2:$D$501,0))="","",INDEX(links!$C$2:$C$501,MATCH($C550,links!$D$2:$D$501,0))),""))</f>
        <v/>
      </c>
      <c r="J550" s="25">
        <f>IF($C550="","",IF($G550="","slug not in links; ","")&amp;IF($D550="","reading type missing; ","")&amp;IF(COUNTIFS(scans!$C$2:$C$1601,$C550,scans!$D$2:$D$1601,$D550)&gt;1,"two readings of this type: keep one; ",""))</f>
        <v/>
      </c>
    </row>
    <row r="551">
      <c r="A551" s="9" t="n"/>
      <c r="B551" s="33" t="n"/>
      <c r="G551" s="25">
        <f>IF($C551="","",IFERROR(IF(INDEX(links!$A$2:$A$501,MATCH($C551,links!$D$2:$D$501,0))="","",INDEX(links!$A$2:$A$501,MATCH($C551,links!$D$2:$D$501,0))),""))</f>
        <v/>
      </c>
      <c r="H551" s="25">
        <f>IF($C551="","",IFERROR(IF(INDEX(links!$B$2:$B$501,MATCH($C551,links!$D$2:$D$501,0))="","",INDEX(links!$B$2:$B$501,MATCH($C551,links!$D$2:$D$501,0))),""))</f>
        <v/>
      </c>
      <c r="I551" s="25">
        <f>IF($C551="","",IFERROR(IF(INDEX(links!$C$2:$C$501,MATCH($C551,links!$D$2:$D$501,0))="","",INDEX(links!$C$2:$C$501,MATCH($C551,links!$D$2:$D$501,0))),""))</f>
        <v/>
      </c>
      <c r="J551" s="25">
        <f>IF($C551="","",IF($G551="","slug not in links; ","")&amp;IF($D551="","reading type missing; ","")&amp;IF(COUNTIFS(scans!$C$2:$C$1601,$C551,scans!$D$2:$D$1601,$D551)&gt;1,"two readings of this type: keep one; ",""))</f>
        <v/>
      </c>
    </row>
    <row r="552">
      <c r="A552" s="9" t="n"/>
      <c r="B552" s="33" t="n"/>
      <c r="G552" s="25">
        <f>IF($C552="","",IFERROR(IF(INDEX(links!$A$2:$A$501,MATCH($C552,links!$D$2:$D$501,0))="","",INDEX(links!$A$2:$A$501,MATCH($C552,links!$D$2:$D$501,0))),""))</f>
        <v/>
      </c>
      <c r="H552" s="25">
        <f>IF($C552="","",IFERROR(IF(INDEX(links!$B$2:$B$501,MATCH($C552,links!$D$2:$D$501,0))="","",INDEX(links!$B$2:$B$501,MATCH($C552,links!$D$2:$D$501,0))),""))</f>
        <v/>
      </c>
      <c r="I552" s="25">
        <f>IF($C552="","",IFERROR(IF(INDEX(links!$C$2:$C$501,MATCH($C552,links!$D$2:$D$501,0))="","",INDEX(links!$C$2:$C$501,MATCH($C552,links!$D$2:$D$501,0))),""))</f>
        <v/>
      </c>
      <c r="J552" s="25">
        <f>IF($C552="","",IF($G552="","slug not in links; ","")&amp;IF($D552="","reading type missing; ","")&amp;IF(COUNTIFS(scans!$C$2:$C$1601,$C552,scans!$D$2:$D$1601,$D552)&gt;1,"two readings of this type: keep one; ",""))</f>
        <v/>
      </c>
    </row>
    <row r="553">
      <c r="A553" s="9" t="n"/>
      <c r="B553" s="33" t="n"/>
      <c r="G553" s="25">
        <f>IF($C553="","",IFERROR(IF(INDEX(links!$A$2:$A$501,MATCH($C553,links!$D$2:$D$501,0))="","",INDEX(links!$A$2:$A$501,MATCH($C553,links!$D$2:$D$501,0))),""))</f>
        <v/>
      </c>
      <c r="H553" s="25">
        <f>IF($C553="","",IFERROR(IF(INDEX(links!$B$2:$B$501,MATCH($C553,links!$D$2:$D$501,0))="","",INDEX(links!$B$2:$B$501,MATCH($C553,links!$D$2:$D$501,0))),""))</f>
        <v/>
      </c>
      <c r="I553" s="25">
        <f>IF($C553="","",IFERROR(IF(INDEX(links!$C$2:$C$501,MATCH($C553,links!$D$2:$D$501,0))="","",INDEX(links!$C$2:$C$501,MATCH($C553,links!$D$2:$D$501,0))),""))</f>
        <v/>
      </c>
      <c r="J553" s="25">
        <f>IF($C553="","",IF($G553="","slug not in links; ","")&amp;IF($D553="","reading type missing; ","")&amp;IF(COUNTIFS(scans!$C$2:$C$1601,$C553,scans!$D$2:$D$1601,$D553)&gt;1,"two readings of this type: keep one; ",""))</f>
        <v/>
      </c>
    </row>
    <row r="554">
      <c r="A554" s="9" t="n"/>
      <c r="B554" s="33" t="n"/>
      <c r="G554" s="25">
        <f>IF($C554="","",IFERROR(IF(INDEX(links!$A$2:$A$501,MATCH($C554,links!$D$2:$D$501,0))="","",INDEX(links!$A$2:$A$501,MATCH($C554,links!$D$2:$D$501,0))),""))</f>
        <v/>
      </c>
      <c r="H554" s="25">
        <f>IF($C554="","",IFERROR(IF(INDEX(links!$B$2:$B$501,MATCH($C554,links!$D$2:$D$501,0))="","",INDEX(links!$B$2:$B$501,MATCH($C554,links!$D$2:$D$501,0))),""))</f>
        <v/>
      </c>
      <c r="I554" s="25">
        <f>IF($C554="","",IFERROR(IF(INDEX(links!$C$2:$C$501,MATCH($C554,links!$D$2:$D$501,0))="","",INDEX(links!$C$2:$C$501,MATCH($C554,links!$D$2:$D$501,0))),""))</f>
        <v/>
      </c>
      <c r="J554" s="25">
        <f>IF($C554="","",IF($G554="","slug not in links; ","")&amp;IF($D554="","reading type missing; ","")&amp;IF(COUNTIFS(scans!$C$2:$C$1601,$C554,scans!$D$2:$D$1601,$D554)&gt;1,"two readings of this type: keep one; ",""))</f>
        <v/>
      </c>
    </row>
    <row r="555">
      <c r="A555" s="9" t="n"/>
      <c r="B555" s="33" t="n"/>
      <c r="G555" s="25">
        <f>IF($C555="","",IFERROR(IF(INDEX(links!$A$2:$A$501,MATCH($C555,links!$D$2:$D$501,0))="","",INDEX(links!$A$2:$A$501,MATCH($C555,links!$D$2:$D$501,0))),""))</f>
        <v/>
      </c>
      <c r="H555" s="25">
        <f>IF($C555="","",IFERROR(IF(INDEX(links!$B$2:$B$501,MATCH($C555,links!$D$2:$D$501,0))="","",INDEX(links!$B$2:$B$501,MATCH($C555,links!$D$2:$D$501,0))),""))</f>
        <v/>
      </c>
      <c r="I555" s="25">
        <f>IF($C555="","",IFERROR(IF(INDEX(links!$C$2:$C$501,MATCH($C555,links!$D$2:$D$501,0))="","",INDEX(links!$C$2:$C$501,MATCH($C555,links!$D$2:$D$501,0))),""))</f>
        <v/>
      </c>
      <c r="J555" s="25">
        <f>IF($C555="","",IF($G555="","slug not in links; ","")&amp;IF($D555="","reading type missing; ","")&amp;IF(COUNTIFS(scans!$C$2:$C$1601,$C555,scans!$D$2:$D$1601,$D555)&gt;1,"two readings of this type: keep one; ",""))</f>
        <v/>
      </c>
    </row>
    <row r="556">
      <c r="A556" s="9" t="n"/>
      <c r="B556" s="33" t="n"/>
      <c r="G556" s="25">
        <f>IF($C556="","",IFERROR(IF(INDEX(links!$A$2:$A$501,MATCH($C556,links!$D$2:$D$501,0))="","",INDEX(links!$A$2:$A$501,MATCH($C556,links!$D$2:$D$501,0))),""))</f>
        <v/>
      </c>
      <c r="H556" s="25">
        <f>IF($C556="","",IFERROR(IF(INDEX(links!$B$2:$B$501,MATCH($C556,links!$D$2:$D$501,0))="","",INDEX(links!$B$2:$B$501,MATCH($C556,links!$D$2:$D$501,0))),""))</f>
        <v/>
      </c>
      <c r="I556" s="25">
        <f>IF($C556="","",IFERROR(IF(INDEX(links!$C$2:$C$501,MATCH($C556,links!$D$2:$D$501,0))="","",INDEX(links!$C$2:$C$501,MATCH($C556,links!$D$2:$D$501,0))),""))</f>
        <v/>
      </c>
      <c r="J556" s="25">
        <f>IF($C556="","",IF($G556="","slug not in links; ","")&amp;IF($D556="","reading type missing; ","")&amp;IF(COUNTIFS(scans!$C$2:$C$1601,$C556,scans!$D$2:$D$1601,$D556)&gt;1,"two readings of this type: keep one; ",""))</f>
        <v/>
      </c>
    </row>
    <row r="557">
      <c r="A557" s="9" t="n"/>
      <c r="B557" s="33" t="n"/>
      <c r="G557" s="25">
        <f>IF($C557="","",IFERROR(IF(INDEX(links!$A$2:$A$501,MATCH($C557,links!$D$2:$D$501,0))="","",INDEX(links!$A$2:$A$501,MATCH($C557,links!$D$2:$D$501,0))),""))</f>
        <v/>
      </c>
      <c r="H557" s="25">
        <f>IF($C557="","",IFERROR(IF(INDEX(links!$B$2:$B$501,MATCH($C557,links!$D$2:$D$501,0))="","",INDEX(links!$B$2:$B$501,MATCH($C557,links!$D$2:$D$501,0))),""))</f>
        <v/>
      </c>
      <c r="I557" s="25">
        <f>IF($C557="","",IFERROR(IF(INDEX(links!$C$2:$C$501,MATCH($C557,links!$D$2:$D$501,0))="","",INDEX(links!$C$2:$C$501,MATCH($C557,links!$D$2:$D$501,0))),""))</f>
        <v/>
      </c>
      <c r="J557" s="25">
        <f>IF($C557="","",IF($G557="","slug not in links; ","")&amp;IF($D557="","reading type missing; ","")&amp;IF(COUNTIFS(scans!$C$2:$C$1601,$C557,scans!$D$2:$D$1601,$D557)&gt;1,"two readings of this type: keep one; ",""))</f>
        <v/>
      </c>
    </row>
    <row r="558">
      <c r="A558" s="9" t="n"/>
      <c r="B558" s="33" t="n"/>
      <c r="G558" s="25">
        <f>IF($C558="","",IFERROR(IF(INDEX(links!$A$2:$A$501,MATCH($C558,links!$D$2:$D$501,0))="","",INDEX(links!$A$2:$A$501,MATCH($C558,links!$D$2:$D$501,0))),""))</f>
        <v/>
      </c>
      <c r="H558" s="25">
        <f>IF($C558="","",IFERROR(IF(INDEX(links!$B$2:$B$501,MATCH($C558,links!$D$2:$D$501,0))="","",INDEX(links!$B$2:$B$501,MATCH($C558,links!$D$2:$D$501,0))),""))</f>
        <v/>
      </c>
      <c r="I558" s="25">
        <f>IF($C558="","",IFERROR(IF(INDEX(links!$C$2:$C$501,MATCH($C558,links!$D$2:$D$501,0))="","",INDEX(links!$C$2:$C$501,MATCH($C558,links!$D$2:$D$501,0))),""))</f>
        <v/>
      </c>
      <c r="J558" s="25">
        <f>IF($C558="","",IF($G558="","slug not in links; ","")&amp;IF($D558="","reading type missing; ","")&amp;IF(COUNTIFS(scans!$C$2:$C$1601,$C558,scans!$D$2:$D$1601,$D558)&gt;1,"two readings of this type: keep one; ",""))</f>
        <v/>
      </c>
    </row>
    <row r="559">
      <c r="A559" s="9" t="n"/>
      <c r="B559" s="33" t="n"/>
      <c r="G559" s="25">
        <f>IF($C559="","",IFERROR(IF(INDEX(links!$A$2:$A$501,MATCH($C559,links!$D$2:$D$501,0))="","",INDEX(links!$A$2:$A$501,MATCH($C559,links!$D$2:$D$501,0))),""))</f>
        <v/>
      </c>
      <c r="H559" s="25">
        <f>IF($C559="","",IFERROR(IF(INDEX(links!$B$2:$B$501,MATCH($C559,links!$D$2:$D$501,0))="","",INDEX(links!$B$2:$B$501,MATCH($C559,links!$D$2:$D$501,0))),""))</f>
        <v/>
      </c>
      <c r="I559" s="25">
        <f>IF($C559="","",IFERROR(IF(INDEX(links!$C$2:$C$501,MATCH($C559,links!$D$2:$D$501,0))="","",INDEX(links!$C$2:$C$501,MATCH($C559,links!$D$2:$D$501,0))),""))</f>
        <v/>
      </c>
      <c r="J559" s="25">
        <f>IF($C559="","",IF($G559="","slug not in links; ","")&amp;IF($D559="","reading type missing; ","")&amp;IF(COUNTIFS(scans!$C$2:$C$1601,$C559,scans!$D$2:$D$1601,$D559)&gt;1,"two readings of this type: keep one; ",""))</f>
        <v/>
      </c>
    </row>
    <row r="560">
      <c r="A560" s="9" t="n"/>
      <c r="B560" s="33" t="n"/>
      <c r="G560" s="25">
        <f>IF($C560="","",IFERROR(IF(INDEX(links!$A$2:$A$501,MATCH($C560,links!$D$2:$D$501,0))="","",INDEX(links!$A$2:$A$501,MATCH($C560,links!$D$2:$D$501,0))),""))</f>
        <v/>
      </c>
      <c r="H560" s="25">
        <f>IF($C560="","",IFERROR(IF(INDEX(links!$B$2:$B$501,MATCH($C560,links!$D$2:$D$501,0))="","",INDEX(links!$B$2:$B$501,MATCH($C560,links!$D$2:$D$501,0))),""))</f>
        <v/>
      </c>
      <c r="I560" s="25">
        <f>IF($C560="","",IFERROR(IF(INDEX(links!$C$2:$C$501,MATCH($C560,links!$D$2:$D$501,0))="","",INDEX(links!$C$2:$C$501,MATCH($C560,links!$D$2:$D$501,0))),""))</f>
        <v/>
      </c>
      <c r="J560" s="25">
        <f>IF($C560="","",IF($G560="","slug not in links; ","")&amp;IF($D560="","reading type missing; ","")&amp;IF(COUNTIFS(scans!$C$2:$C$1601,$C560,scans!$D$2:$D$1601,$D560)&gt;1,"two readings of this type: keep one; ",""))</f>
        <v/>
      </c>
    </row>
    <row r="561">
      <c r="A561" s="9" t="n"/>
      <c r="B561" s="33" t="n"/>
      <c r="G561" s="25">
        <f>IF($C561="","",IFERROR(IF(INDEX(links!$A$2:$A$501,MATCH($C561,links!$D$2:$D$501,0))="","",INDEX(links!$A$2:$A$501,MATCH($C561,links!$D$2:$D$501,0))),""))</f>
        <v/>
      </c>
      <c r="H561" s="25">
        <f>IF($C561="","",IFERROR(IF(INDEX(links!$B$2:$B$501,MATCH($C561,links!$D$2:$D$501,0))="","",INDEX(links!$B$2:$B$501,MATCH($C561,links!$D$2:$D$501,0))),""))</f>
        <v/>
      </c>
      <c r="I561" s="25">
        <f>IF($C561="","",IFERROR(IF(INDEX(links!$C$2:$C$501,MATCH($C561,links!$D$2:$D$501,0))="","",INDEX(links!$C$2:$C$501,MATCH($C561,links!$D$2:$D$501,0))),""))</f>
        <v/>
      </c>
      <c r="J561" s="25">
        <f>IF($C561="","",IF($G561="","slug not in links; ","")&amp;IF($D561="","reading type missing; ","")&amp;IF(COUNTIFS(scans!$C$2:$C$1601,$C561,scans!$D$2:$D$1601,$D561)&gt;1,"two readings of this type: keep one; ",""))</f>
        <v/>
      </c>
    </row>
    <row r="562">
      <c r="A562" s="9" t="n"/>
      <c r="B562" s="33" t="n"/>
      <c r="G562" s="25">
        <f>IF($C562="","",IFERROR(IF(INDEX(links!$A$2:$A$501,MATCH($C562,links!$D$2:$D$501,0))="","",INDEX(links!$A$2:$A$501,MATCH($C562,links!$D$2:$D$501,0))),""))</f>
        <v/>
      </c>
      <c r="H562" s="25">
        <f>IF($C562="","",IFERROR(IF(INDEX(links!$B$2:$B$501,MATCH($C562,links!$D$2:$D$501,0))="","",INDEX(links!$B$2:$B$501,MATCH($C562,links!$D$2:$D$501,0))),""))</f>
        <v/>
      </c>
      <c r="I562" s="25">
        <f>IF($C562="","",IFERROR(IF(INDEX(links!$C$2:$C$501,MATCH($C562,links!$D$2:$D$501,0))="","",INDEX(links!$C$2:$C$501,MATCH($C562,links!$D$2:$D$501,0))),""))</f>
        <v/>
      </c>
      <c r="J562" s="25">
        <f>IF($C562="","",IF($G562="","slug not in links; ","")&amp;IF($D562="","reading type missing; ","")&amp;IF(COUNTIFS(scans!$C$2:$C$1601,$C562,scans!$D$2:$D$1601,$D562)&gt;1,"two readings of this type: keep one; ",""))</f>
        <v/>
      </c>
    </row>
    <row r="563">
      <c r="A563" s="9" t="n"/>
      <c r="B563" s="33" t="n"/>
      <c r="G563" s="25">
        <f>IF($C563="","",IFERROR(IF(INDEX(links!$A$2:$A$501,MATCH($C563,links!$D$2:$D$501,0))="","",INDEX(links!$A$2:$A$501,MATCH($C563,links!$D$2:$D$501,0))),""))</f>
        <v/>
      </c>
      <c r="H563" s="25">
        <f>IF($C563="","",IFERROR(IF(INDEX(links!$B$2:$B$501,MATCH($C563,links!$D$2:$D$501,0))="","",INDEX(links!$B$2:$B$501,MATCH($C563,links!$D$2:$D$501,0))),""))</f>
        <v/>
      </c>
      <c r="I563" s="25">
        <f>IF($C563="","",IFERROR(IF(INDEX(links!$C$2:$C$501,MATCH($C563,links!$D$2:$D$501,0))="","",INDEX(links!$C$2:$C$501,MATCH($C563,links!$D$2:$D$501,0))),""))</f>
        <v/>
      </c>
      <c r="J563" s="25">
        <f>IF($C563="","",IF($G563="","slug not in links; ","")&amp;IF($D563="","reading type missing; ","")&amp;IF(COUNTIFS(scans!$C$2:$C$1601,$C563,scans!$D$2:$D$1601,$D563)&gt;1,"two readings of this type: keep one; ",""))</f>
        <v/>
      </c>
    </row>
    <row r="564">
      <c r="A564" s="9" t="n"/>
      <c r="B564" s="33" t="n"/>
      <c r="G564" s="25">
        <f>IF($C564="","",IFERROR(IF(INDEX(links!$A$2:$A$501,MATCH($C564,links!$D$2:$D$501,0))="","",INDEX(links!$A$2:$A$501,MATCH($C564,links!$D$2:$D$501,0))),""))</f>
        <v/>
      </c>
      <c r="H564" s="25">
        <f>IF($C564="","",IFERROR(IF(INDEX(links!$B$2:$B$501,MATCH($C564,links!$D$2:$D$501,0))="","",INDEX(links!$B$2:$B$501,MATCH($C564,links!$D$2:$D$501,0))),""))</f>
        <v/>
      </c>
      <c r="I564" s="25">
        <f>IF($C564="","",IFERROR(IF(INDEX(links!$C$2:$C$501,MATCH($C564,links!$D$2:$D$501,0))="","",INDEX(links!$C$2:$C$501,MATCH($C564,links!$D$2:$D$501,0))),""))</f>
        <v/>
      </c>
      <c r="J564" s="25">
        <f>IF($C564="","",IF($G564="","slug not in links; ","")&amp;IF($D564="","reading type missing; ","")&amp;IF(COUNTIFS(scans!$C$2:$C$1601,$C564,scans!$D$2:$D$1601,$D564)&gt;1,"two readings of this type: keep one; ",""))</f>
        <v/>
      </c>
    </row>
    <row r="565">
      <c r="A565" s="9" t="n"/>
      <c r="B565" s="33" t="n"/>
      <c r="G565" s="25">
        <f>IF($C565="","",IFERROR(IF(INDEX(links!$A$2:$A$501,MATCH($C565,links!$D$2:$D$501,0))="","",INDEX(links!$A$2:$A$501,MATCH($C565,links!$D$2:$D$501,0))),""))</f>
        <v/>
      </c>
      <c r="H565" s="25">
        <f>IF($C565="","",IFERROR(IF(INDEX(links!$B$2:$B$501,MATCH($C565,links!$D$2:$D$501,0))="","",INDEX(links!$B$2:$B$501,MATCH($C565,links!$D$2:$D$501,0))),""))</f>
        <v/>
      </c>
      <c r="I565" s="25">
        <f>IF($C565="","",IFERROR(IF(INDEX(links!$C$2:$C$501,MATCH($C565,links!$D$2:$D$501,0))="","",INDEX(links!$C$2:$C$501,MATCH($C565,links!$D$2:$D$501,0))),""))</f>
        <v/>
      </c>
      <c r="J565" s="25">
        <f>IF($C565="","",IF($G565="","slug not in links; ","")&amp;IF($D565="","reading type missing; ","")&amp;IF(COUNTIFS(scans!$C$2:$C$1601,$C565,scans!$D$2:$D$1601,$D565)&gt;1,"two readings of this type: keep one; ",""))</f>
        <v/>
      </c>
    </row>
    <row r="566">
      <c r="A566" s="9" t="n"/>
      <c r="B566" s="33" t="n"/>
      <c r="G566" s="25">
        <f>IF($C566="","",IFERROR(IF(INDEX(links!$A$2:$A$501,MATCH($C566,links!$D$2:$D$501,0))="","",INDEX(links!$A$2:$A$501,MATCH($C566,links!$D$2:$D$501,0))),""))</f>
        <v/>
      </c>
      <c r="H566" s="25">
        <f>IF($C566="","",IFERROR(IF(INDEX(links!$B$2:$B$501,MATCH($C566,links!$D$2:$D$501,0))="","",INDEX(links!$B$2:$B$501,MATCH($C566,links!$D$2:$D$501,0))),""))</f>
        <v/>
      </c>
      <c r="I566" s="25">
        <f>IF($C566="","",IFERROR(IF(INDEX(links!$C$2:$C$501,MATCH($C566,links!$D$2:$D$501,0))="","",INDEX(links!$C$2:$C$501,MATCH($C566,links!$D$2:$D$501,0))),""))</f>
        <v/>
      </c>
      <c r="J566" s="25">
        <f>IF($C566="","",IF($G566="","slug not in links; ","")&amp;IF($D566="","reading type missing; ","")&amp;IF(COUNTIFS(scans!$C$2:$C$1601,$C566,scans!$D$2:$D$1601,$D566)&gt;1,"two readings of this type: keep one; ",""))</f>
        <v/>
      </c>
    </row>
    <row r="567">
      <c r="A567" s="9" t="n"/>
      <c r="B567" s="33" t="n"/>
      <c r="G567" s="25">
        <f>IF($C567="","",IFERROR(IF(INDEX(links!$A$2:$A$501,MATCH($C567,links!$D$2:$D$501,0))="","",INDEX(links!$A$2:$A$501,MATCH($C567,links!$D$2:$D$501,0))),""))</f>
        <v/>
      </c>
      <c r="H567" s="25">
        <f>IF($C567="","",IFERROR(IF(INDEX(links!$B$2:$B$501,MATCH($C567,links!$D$2:$D$501,0))="","",INDEX(links!$B$2:$B$501,MATCH($C567,links!$D$2:$D$501,0))),""))</f>
        <v/>
      </c>
      <c r="I567" s="25">
        <f>IF($C567="","",IFERROR(IF(INDEX(links!$C$2:$C$501,MATCH($C567,links!$D$2:$D$501,0))="","",INDEX(links!$C$2:$C$501,MATCH($C567,links!$D$2:$D$501,0))),""))</f>
        <v/>
      </c>
      <c r="J567" s="25">
        <f>IF($C567="","",IF($G567="","slug not in links; ","")&amp;IF($D567="","reading type missing; ","")&amp;IF(COUNTIFS(scans!$C$2:$C$1601,$C567,scans!$D$2:$D$1601,$D567)&gt;1,"two readings of this type: keep one; ",""))</f>
        <v/>
      </c>
    </row>
    <row r="568">
      <c r="A568" s="9" t="n"/>
      <c r="B568" s="33" t="n"/>
      <c r="G568" s="25">
        <f>IF($C568="","",IFERROR(IF(INDEX(links!$A$2:$A$501,MATCH($C568,links!$D$2:$D$501,0))="","",INDEX(links!$A$2:$A$501,MATCH($C568,links!$D$2:$D$501,0))),""))</f>
        <v/>
      </c>
      <c r="H568" s="25">
        <f>IF($C568="","",IFERROR(IF(INDEX(links!$B$2:$B$501,MATCH($C568,links!$D$2:$D$501,0))="","",INDEX(links!$B$2:$B$501,MATCH($C568,links!$D$2:$D$501,0))),""))</f>
        <v/>
      </c>
      <c r="I568" s="25">
        <f>IF($C568="","",IFERROR(IF(INDEX(links!$C$2:$C$501,MATCH($C568,links!$D$2:$D$501,0))="","",INDEX(links!$C$2:$C$501,MATCH($C568,links!$D$2:$D$501,0))),""))</f>
        <v/>
      </c>
      <c r="J568" s="25">
        <f>IF($C568="","",IF($G568="","slug not in links; ","")&amp;IF($D568="","reading type missing; ","")&amp;IF(COUNTIFS(scans!$C$2:$C$1601,$C568,scans!$D$2:$D$1601,$D568)&gt;1,"two readings of this type: keep one; ",""))</f>
        <v/>
      </c>
    </row>
    <row r="569">
      <c r="A569" s="9" t="n"/>
      <c r="B569" s="33" t="n"/>
      <c r="G569" s="25">
        <f>IF($C569="","",IFERROR(IF(INDEX(links!$A$2:$A$501,MATCH($C569,links!$D$2:$D$501,0))="","",INDEX(links!$A$2:$A$501,MATCH($C569,links!$D$2:$D$501,0))),""))</f>
        <v/>
      </c>
      <c r="H569" s="25">
        <f>IF($C569="","",IFERROR(IF(INDEX(links!$B$2:$B$501,MATCH($C569,links!$D$2:$D$501,0))="","",INDEX(links!$B$2:$B$501,MATCH($C569,links!$D$2:$D$501,0))),""))</f>
        <v/>
      </c>
      <c r="I569" s="25">
        <f>IF($C569="","",IFERROR(IF(INDEX(links!$C$2:$C$501,MATCH($C569,links!$D$2:$D$501,0))="","",INDEX(links!$C$2:$C$501,MATCH($C569,links!$D$2:$D$501,0))),""))</f>
        <v/>
      </c>
      <c r="J569" s="25">
        <f>IF($C569="","",IF($G569="","slug not in links; ","")&amp;IF($D569="","reading type missing; ","")&amp;IF(COUNTIFS(scans!$C$2:$C$1601,$C569,scans!$D$2:$D$1601,$D569)&gt;1,"two readings of this type: keep one; ",""))</f>
        <v/>
      </c>
    </row>
    <row r="570">
      <c r="A570" s="9" t="n"/>
      <c r="B570" s="33" t="n"/>
      <c r="G570" s="25">
        <f>IF($C570="","",IFERROR(IF(INDEX(links!$A$2:$A$501,MATCH($C570,links!$D$2:$D$501,0))="","",INDEX(links!$A$2:$A$501,MATCH($C570,links!$D$2:$D$501,0))),""))</f>
        <v/>
      </c>
      <c r="H570" s="25">
        <f>IF($C570="","",IFERROR(IF(INDEX(links!$B$2:$B$501,MATCH($C570,links!$D$2:$D$501,0))="","",INDEX(links!$B$2:$B$501,MATCH($C570,links!$D$2:$D$501,0))),""))</f>
        <v/>
      </c>
      <c r="I570" s="25">
        <f>IF($C570="","",IFERROR(IF(INDEX(links!$C$2:$C$501,MATCH($C570,links!$D$2:$D$501,0))="","",INDEX(links!$C$2:$C$501,MATCH($C570,links!$D$2:$D$501,0))),""))</f>
        <v/>
      </c>
      <c r="J570" s="25">
        <f>IF($C570="","",IF($G570="","slug not in links; ","")&amp;IF($D570="","reading type missing; ","")&amp;IF(COUNTIFS(scans!$C$2:$C$1601,$C570,scans!$D$2:$D$1601,$D570)&gt;1,"two readings of this type: keep one; ",""))</f>
        <v/>
      </c>
    </row>
    <row r="571">
      <c r="A571" s="9" t="n"/>
      <c r="B571" s="33" t="n"/>
      <c r="G571" s="25">
        <f>IF($C571="","",IFERROR(IF(INDEX(links!$A$2:$A$501,MATCH($C571,links!$D$2:$D$501,0))="","",INDEX(links!$A$2:$A$501,MATCH($C571,links!$D$2:$D$501,0))),""))</f>
        <v/>
      </c>
      <c r="H571" s="25">
        <f>IF($C571="","",IFERROR(IF(INDEX(links!$B$2:$B$501,MATCH($C571,links!$D$2:$D$501,0))="","",INDEX(links!$B$2:$B$501,MATCH($C571,links!$D$2:$D$501,0))),""))</f>
        <v/>
      </c>
      <c r="I571" s="25">
        <f>IF($C571="","",IFERROR(IF(INDEX(links!$C$2:$C$501,MATCH($C571,links!$D$2:$D$501,0))="","",INDEX(links!$C$2:$C$501,MATCH($C571,links!$D$2:$D$501,0))),""))</f>
        <v/>
      </c>
      <c r="J571" s="25">
        <f>IF($C571="","",IF($G571="","slug not in links; ","")&amp;IF($D571="","reading type missing; ","")&amp;IF(COUNTIFS(scans!$C$2:$C$1601,$C571,scans!$D$2:$D$1601,$D571)&gt;1,"two readings of this type: keep one; ",""))</f>
        <v/>
      </c>
    </row>
    <row r="572">
      <c r="A572" s="9" t="n"/>
      <c r="B572" s="33" t="n"/>
      <c r="G572" s="25">
        <f>IF($C572="","",IFERROR(IF(INDEX(links!$A$2:$A$501,MATCH($C572,links!$D$2:$D$501,0))="","",INDEX(links!$A$2:$A$501,MATCH($C572,links!$D$2:$D$501,0))),""))</f>
        <v/>
      </c>
      <c r="H572" s="25">
        <f>IF($C572="","",IFERROR(IF(INDEX(links!$B$2:$B$501,MATCH($C572,links!$D$2:$D$501,0))="","",INDEX(links!$B$2:$B$501,MATCH($C572,links!$D$2:$D$501,0))),""))</f>
        <v/>
      </c>
      <c r="I572" s="25">
        <f>IF($C572="","",IFERROR(IF(INDEX(links!$C$2:$C$501,MATCH($C572,links!$D$2:$D$501,0))="","",INDEX(links!$C$2:$C$501,MATCH($C572,links!$D$2:$D$501,0))),""))</f>
        <v/>
      </c>
      <c r="J572" s="25">
        <f>IF($C572="","",IF($G572="","slug not in links; ","")&amp;IF($D572="","reading type missing; ","")&amp;IF(COUNTIFS(scans!$C$2:$C$1601,$C572,scans!$D$2:$D$1601,$D572)&gt;1,"two readings of this type: keep one; ",""))</f>
        <v/>
      </c>
    </row>
    <row r="573">
      <c r="A573" s="9" t="n"/>
      <c r="B573" s="33" t="n"/>
      <c r="G573" s="25">
        <f>IF($C573="","",IFERROR(IF(INDEX(links!$A$2:$A$501,MATCH($C573,links!$D$2:$D$501,0))="","",INDEX(links!$A$2:$A$501,MATCH($C573,links!$D$2:$D$501,0))),""))</f>
        <v/>
      </c>
      <c r="H573" s="25">
        <f>IF($C573="","",IFERROR(IF(INDEX(links!$B$2:$B$501,MATCH($C573,links!$D$2:$D$501,0))="","",INDEX(links!$B$2:$B$501,MATCH($C573,links!$D$2:$D$501,0))),""))</f>
        <v/>
      </c>
      <c r="I573" s="25">
        <f>IF($C573="","",IFERROR(IF(INDEX(links!$C$2:$C$501,MATCH($C573,links!$D$2:$D$501,0))="","",INDEX(links!$C$2:$C$501,MATCH($C573,links!$D$2:$D$501,0))),""))</f>
        <v/>
      </c>
      <c r="J573" s="25">
        <f>IF($C573="","",IF($G573="","slug not in links; ","")&amp;IF($D573="","reading type missing; ","")&amp;IF(COUNTIFS(scans!$C$2:$C$1601,$C573,scans!$D$2:$D$1601,$D573)&gt;1,"two readings of this type: keep one; ",""))</f>
        <v/>
      </c>
    </row>
    <row r="574">
      <c r="A574" s="9" t="n"/>
      <c r="B574" s="33" t="n"/>
      <c r="G574" s="25">
        <f>IF($C574="","",IFERROR(IF(INDEX(links!$A$2:$A$501,MATCH($C574,links!$D$2:$D$501,0))="","",INDEX(links!$A$2:$A$501,MATCH($C574,links!$D$2:$D$501,0))),""))</f>
        <v/>
      </c>
      <c r="H574" s="25">
        <f>IF($C574="","",IFERROR(IF(INDEX(links!$B$2:$B$501,MATCH($C574,links!$D$2:$D$501,0))="","",INDEX(links!$B$2:$B$501,MATCH($C574,links!$D$2:$D$501,0))),""))</f>
        <v/>
      </c>
      <c r="I574" s="25">
        <f>IF($C574="","",IFERROR(IF(INDEX(links!$C$2:$C$501,MATCH($C574,links!$D$2:$D$501,0))="","",INDEX(links!$C$2:$C$501,MATCH($C574,links!$D$2:$D$501,0))),""))</f>
        <v/>
      </c>
      <c r="J574" s="25">
        <f>IF($C574="","",IF($G574="","slug not in links; ","")&amp;IF($D574="","reading type missing; ","")&amp;IF(COUNTIFS(scans!$C$2:$C$1601,$C574,scans!$D$2:$D$1601,$D574)&gt;1,"two readings of this type: keep one; ",""))</f>
        <v/>
      </c>
    </row>
    <row r="575">
      <c r="A575" s="9" t="n"/>
      <c r="B575" s="33" t="n"/>
      <c r="G575" s="25">
        <f>IF($C575="","",IFERROR(IF(INDEX(links!$A$2:$A$501,MATCH($C575,links!$D$2:$D$501,0))="","",INDEX(links!$A$2:$A$501,MATCH($C575,links!$D$2:$D$501,0))),""))</f>
        <v/>
      </c>
      <c r="H575" s="25">
        <f>IF($C575="","",IFERROR(IF(INDEX(links!$B$2:$B$501,MATCH($C575,links!$D$2:$D$501,0))="","",INDEX(links!$B$2:$B$501,MATCH($C575,links!$D$2:$D$501,0))),""))</f>
        <v/>
      </c>
      <c r="I575" s="25">
        <f>IF($C575="","",IFERROR(IF(INDEX(links!$C$2:$C$501,MATCH($C575,links!$D$2:$D$501,0))="","",INDEX(links!$C$2:$C$501,MATCH($C575,links!$D$2:$D$501,0))),""))</f>
        <v/>
      </c>
      <c r="J575" s="25">
        <f>IF($C575="","",IF($G575="","slug not in links; ","")&amp;IF($D575="","reading type missing; ","")&amp;IF(COUNTIFS(scans!$C$2:$C$1601,$C575,scans!$D$2:$D$1601,$D575)&gt;1,"two readings of this type: keep one; ",""))</f>
        <v/>
      </c>
    </row>
    <row r="576">
      <c r="A576" s="9" t="n"/>
      <c r="B576" s="33" t="n"/>
      <c r="G576" s="25">
        <f>IF($C576="","",IFERROR(IF(INDEX(links!$A$2:$A$501,MATCH($C576,links!$D$2:$D$501,0))="","",INDEX(links!$A$2:$A$501,MATCH($C576,links!$D$2:$D$501,0))),""))</f>
        <v/>
      </c>
      <c r="H576" s="25">
        <f>IF($C576="","",IFERROR(IF(INDEX(links!$B$2:$B$501,MATCH($C576,links!$D$2:$D$501,0))="","",INDEX(links!$B$2:$B$501,MATCH($C576,links!$D$2:$D$501,0))),""))</f>
        <v/>
      </c>
      <c r="I576" s="25">
        <f>IF($C576="","",IFERROR(IF(INDEX(links!$C$2:$C$501,MATCH($C576,links!$D$2:$D$501,0))="","",INDEX(links!$C$2:$C$501,MATCH($C576,links!$D$2:$D$501,0))),""))</f>
        <v/>
      </c>
      <c r="J576" s="25">
        <f>IF($C576="","",IF($G576="","slug not in links; ","")&amp;IF($D576="","reading type missing; ","")&amp;IF(COUNTIFS(scans!$C$2:$C$1601,$C576,scans!$D$2:$D$1601,$D576)&gt;1,"two readings of this type: keep one; ",""))</f>
        <v/>
      </c>
    </row>
    <row r="577">
      <c r="A577" s="9" t="n"/>
      <c r="B577" s="33" t="n"/>
      <c r="G577" s="25">
        <f>IF($C577="","",IFERROR(IF(INDEX(links!$A$2:$A$501,MATCH($C577,links!$D$2:$D$501,0))="","",INDEX(links!$A$2:$A$501,MATCH($C577,links!$D$2:$D$501,0))),""))</f>
        <v/>
      </c>
      <c r="H577" s="25">
        <f>IF($C577="","",IFERROR(IF(INDEX(links!$B$2:$B$501,MATCH($C577,links!$D$2:$D$501,0))="","",INDEX(links!$B$2:$B$501,MATCH($C577,links!$D$2:$D$501,0))),""))</f>
        <v/>
      </c>
      <c r="I577" s="25">
        <f>IF($C577="","",IFERROR(IF(INDEX(links!$C$2:$C$501,MATCH($C577,links!$D$2:$D$501,0))="","",INDEX(links!$C$2:$C$501,MATCH($C577,links!$D$2:$D$501,0))),""))</f>
        <v/>
      </c>
      <c r="J577" s="25">
        <f>IF($C577="","",IF($G577="","slug not in links; ","")&amp;IF($D577="","reading type missing; ","")&amp;IF(COUNTIFS(scans!$C$2:$C$1601,$C577,scans!$D$2:$D$1601,$D577)&gt;1,"two readings of this type: keep one; ",""))</f>
        <v/>
      </c>
    </row>
    <row r="578">
      <c r="A578" s="9" t="n"/>
      <c r="B578" s="33" t="n"/>
      <c r="G578" s="25">
        <f>IF($C578="","",IFERROR(IF(INDEX(links!$A$2:$A$501,MATCH($C578,links!$D$2:$D$501,0))="","",INDEX(links!$A$2:$A$501,MATCH($C578,links!$D$2:$D$501,0))),""))</f>
        <v/>
      </c>
      <c r="H578" s="25">
        <f>IF($C578="","",IFERROR(IF(INDEX(links!$B$2:$B$501,MATCH($C578,links!$D$2:$D$501,0))="","",INDEX(links!$B$2:$B$501,MATCH($C578,links!$D$2:$D$501,0))),""))</f>
        <v/>
      </c>
      <c r="I578" s="25">
        <f>IF($C578="","",IFERROR(IF(INDEX(links!$C$2:$C$501,MATCH($C578,links!$D$2:$D$501,0))="","",INDEX(links!$C$2:$C$501,MATCH($C578,links!$D$2:$D$501,0))),""))</f>
        <v/>
      </c>
      <c r="J578" s="25">
        <f>IF($C578="","",IF($G578="","slug not in links; ","")&amp;IF($D578="","reading type missing; ","")&amp;IF(COUNTIFS(scans!$C$2:$C$1601,$C578,scans!$D$2:$D$1601,$D578)&gt;1,"two readings of this type: keep one; ",""))</f>
        <v/>
      </c>
    </row>
    <row r="579">
      <c r="A579" s="9" t="n"/>
      <c r="B579" s="33" t="n"/>
      <c r="G579" s="25">
        <f>IF($C579="","",IFERROR(IF(INDEX(links!$A$2:$A$501,MATCH($C579,links!$D$2:$D$501,0))="","",INDEX(links!$A$2:$A$501,MATCH($C579,links!$D$2:$D$501,0))),""))</f>
        <v/>
      </c>
      <c r="H579" s="25">
        <f>IF($C579="","",IFERROR(IF(INDEX(links!$B$2:$B$501,MATCH($C579,links!$D$2:$D$501,0))="","",INDEX(links!$B$2:$B$501,MATCH($C579,links!$D$2:$D$501,0))),""))</f>
        <v/>
      </c>
      <c r="I579" s="25">
        <f>IF($C579="","",IFERROR(IF(INDEX(links!$C$2:$C$501,MATCH($C579,links!$D$2:$D$501,0))="","",INDEX(links!$C$2:$C$501,MATCH($C579,links!$D$2:$D$501,0))),""))</f>
        <v/>
      </c>
      <c r="J579" s="25">
        <f>IF($C579="","",IF($G579="","slug not in links; ","")&amp;IF($D579="","reading type missing; ","")&amp;IF(COUNTIFS(scans!$C$2:$C$1601,$C579,scans!$D$2:$D$1601,$D579)&gt;1,"two readings of this type: keep one; ",""))</f>
        <v/>
      </c>
    </row>
    <row r="580">
      <c r="A580" s="9" t="n"/>
      <c r="B580" s="33" t="n"/>
      <c r="G580" s="25">
        <f>IF($C580="","",IFERROR(IF(INDEX(links!$A$2:$A$501,MATCH($C580,links!$D$2:$D$501,0))="","",INDEX(links!$A$2:$A$501,MATCH($C580,links!$D$2:$D$501,0))),""))</f>
        <v/>
      </c>
      <c r="H580" s="25">
        <f>IF($C580="","",IFERROR(IF(INDEX(links!$B$2:$B$501,MATCH($C580,links!$D$2:$D$501,0))="","",INDEX(links!$B$2:$B$501,MATCH($C580,links!$D$2:$D$501,0))),""))</f>
        <v/>
      </c>
      <c r="I580" s="25">
        <f>IF($C580="","",IFERROR(IF(INDEX(links!$C$2:$C$501,MATCH($C580,links!$D$2:$D$501,0))="","",INDEX(links!$C$2:$C$501,MATCH($C580,links!$D$2:$D$501,0))),""))</f>
        <v/>
      </c>
      <c r="J580" s="25">
        <f>IF($C580="","",IF($G580="","slug not in links; ","")&amp;IF($D580="","reading type missing; ","")&amp;IF(COUNTIFS(scans!$C$2:$C$1601,$C580,scans!$D$2:$D$1601,$D580)&gt;1,"two readings of this type: keep one; ",""))</f>
        <v/>
      </c>
    </row>
    <row r="581">
      <c r="A581" s="9" t="n"/>
      <c r="B581" s="33" t="n"/>
      <c r="G581" s="25">
        <f>IF($C581="","",IFERROR(IF(INDEX(links!$A$2:$A$501,MATCH($C581,links!$D$2:$D$501,0))="","",INDEX(links!$A$2:$A$501,MATCH($C581,links!$D$2:$D$501,0))),""))</f>
        <v/>
      </c>
      <c r="H581" s="25">
        <f>IF($C581="","",IFERROR(IF(INDEX(links!$B$2:$B$501,MATCH($C581,links!$D$2:$D$501,0))="","",INDEX(links!$B$2:$B$501,MATCH($C581,links!$D$2:$D$501,0))),""))</f>
        <v/>
      </c>
      <c r="I581" s="25">
        <f>IF($C581="","",IFERROR(IF(INDEX(links!$C$2:$C$501,MATCH($C581,links!$D$2:$D$501,0))="","",INDEX(links!$C$2:$C$501,MATCH($C581,links!$D$2:$D$501,0))),""))</f>
        <v/>
      </c>
      <c r="J581" s="25">
        <f>IF($C581="","",IF($G581="","slug not in links; ","")&amp;IF($D581="","reading type missing; ","")&amp;IF(COUNTIFS(scans!$C$2:$C$1601,$C581,scans!$D$2:$D$1601,$D581)&gt;1,"two readings of this type: keep one; ",""))</f>
        <v/>
      </c>
    </row>
    <row r="582">
      <c r="A582" s="9" t="n"/>
      <c r="B582" s="33" t="n"/>
      <c r="G582" s="25">
        <f>IF($C582="","",IFERROR(IF(INDEX(links!$A$2:$A$501,MATCH($C582,links!$D$2:$D$501,0))="","",INDEX(links!$A$2:$A$501,MATCH($C582,links!$D$2:$D$501,0))),""))</f>
        <v/>
      </c>
      <c r="H582" s="25">
        <f>IF($C582="","",IFERROR(IF(INDEX(links!$B$2:$B$501,MATCH($C582,links!$D$2:$D$501,0))="","",INDEX(links!$B$2:$B$501,MATCH($C582,links!$D$2:$D$501,0))),""))</f>
        <v/>
      </c>
      <c r="I582" s="25">
        <f>IF($C582="","",IFERROR(IF(INDEX(links!$C$2:$C$501,MATCH($C582,links!$D$2:$D$501,0))="","",INDEX(links!$C$2:$C$501,MATCH($C582,links!$D$2:$D$501,0))),""))</f>
        <v/>
      </c>
      <c r="J582" s="25">
        <f>IF($C582="","",IF($G582="","slug not in links; ","")&amp;IF($D582="","reading type missing; ","")&amp;IF(COUNTIFS(scans!$C$2:$C$1601,$C582,scans!$D$2:$D$1601,$D582)&gt;1,"two readings of this type: keep one; ",""))</f>
        <v/>
      </c>
    </row>
    <row r="583">
      <c r="A583" s="9" t="n"/>
      <c r="B583" s="33" t="n"/>
      <c r="G583" s="25">
        <f>IF($C583="","",IFERROR(IF(INDEX(links!$A$2:$A$501,MATCH($C583,links!$D$2:$D$501,0))="","",INDEX(links!$A$2:$A$501,MATCH($C583,links!$D$2:$D$501,0))),""))</f>
        <v/>
      </c>
      <c r="H583" s="25">
        <f>IF($C583="","",IFERROR(IF(INDEX(links!$B$2:$B$501,MATCH($C583,links!$D$2:$D$501,0))="","",INDEX(links!$B$2:$B$501,MATCH($C583,links!$D$2:$D$501,0))),""))</f>
        <v/>
      </c>
      <c r="I583" s="25">
        <f>IF($C583="","",IFERROR(IF(INDEX(links!$C$2:$C$501,MATCH($C583,links!$D$2:$D$501,0))="","",INDEX(links!$C$2:$C$501,MATCH($C583,links!$D$2:$D$501,0))),""))</f>
        <v/>
      </c>
      <c r="J583" s="25">
        <f>IF($C583="","",IF($G583="","slug not in links; ","")&amp;IF($D583="","reading type missing; ","")&amp;IF(COUNTIFS(scans!$C$2:$C$1601,$C583,scans!$D$2:$D$1601,$D583)&gt;1,"two readings of this type: keep one; ",""))</f>
        <v/>
      </c>
    </row>
    <row r="584">
      <c r="A584" s="9" t="n"/>
      <c r="B584" s="33" t="n"/>
      <c r="G584" s="25">
        <f>IF($C584="","",IFERROR(IF(INDEX(links!$A$2:$A$501,MATCH($C584,links!$D$2:$D$501,0))="","",INDEX(links!$A$2:$A$501,MATCH($C584,links!$D$2:$D$501,0))),""))</f>
        <v/>
      </c>
      <c r="H584" s="25">
        <f>IF($C584="","",IFERROR(IF(INDEX(links!$B$2:$B$501,MATCH($C584,links!$D$2:$D$501,0))="","",INDEX(links!$B$2:$B$501,MATCH($C584,links!$D$2:$D$501,0))),""))</f>
        <v/>
      </c>
      <c r="I584" s="25">
        <f>IF($C584="","",IFERROR(IF(INDEX(links!$C$2:$C$501,MATCH($C584,links!$D$2:$D$501,0))="","",INDEX(links!$C$2:$C$501,MATCH($C584,links!$D$2:$D$501,0))),""))</f>
        <v/>
      </c>
      <c r="J584" s="25">
        <f>IF($C584="","",IF($G584="","slug not in links; ","")&amp;IF($D584="","reading type missing; ","")&amp;IF(COUNTIFS(scans!$C$2:$C$1601,$C584,scans!$D$2:$D$1601,$D584)&gt;1,"two readings of this type: keep one; ",""))</f>
        <v/>
      </c>
    </row>
    <row r="585">
      <c r="A585" s="9" t="n"/>
      <c r="B585" s="33" t="n"/>
      <c r="G585" s="25">
        <f>IF($C585="","",IFERROR(IF(INDEX(links!$A$2:$A$501,MATCH($C585,links!$D$2:$D$501,0))="","",INDEX(links!$A$2:$A$501,MATCH($C585,links!$D$2:$D$501,0))),""))</f>
        <v/>
      </c>
      <c r="H585" s="25">
        <f>IF($C585="","",IFERROR(IF(INDEX(links!$B$2:$B$501,MATCH($C585,links!$D$2:$D$501,0))="","",INDEX(links!$B$2:$B$501,MATCH($C585,links!$D$2:$D$501,0))),""))</f>
        <v/>
      </c>
      <c r="I585" s="25">
        <f>IF($C585="","",IFERROR(IF(INDEX(links!$C$2:$C$501,MATCH($C585,links!$D$2:$D$501,0))="","",INDEX(links!$C$2:$C$501,MATCH($C585,links!$D$2:$D$501,0))),""))</f>
        <v/>
      </c>
      <c r="J585" s="25">
        <f>IF($C585="","",IF($G585="","slug not in links; ","")&amp;IF($D585="","reading type missing; ","")&amp;IF(COUNTIFS(scans!$C$2:$C$1601,$C585,scans!$D$2:$D$1601,$D585)&gt;1,"two readings of this type: keep one; ",""))</f>
        <v/>
      </c>
    </row>
    <row r="586">
      <c r="A586" s="9" t="n"/>
      <c r="B586" s="33" t="n"/>
      <c r="G586" s="25">
        <f>IF($C586="","",IFERROR(IF(INDEX(links!$A$2:$A$501,MATCH($C586,links!$D$2:$D$501,0))="","",INDEX(links!$A$2:$A$501,MATCH($C586,links!$D$2:$D$501,0))),""))</f>
        <v/>
      </c>
      <c r="H586" s="25">
        <f>IF($C586="","",IFERROR(IF(INDEX(links!$B$2:$B$501,MATCH($C586,links!$D$2:$D$501,0))="","",INDEX(links!$B$2:$B$501,MATCH($C586,links!$D$2:$D$501,0))),""))</f>
        <v/>
      </c>
      <c r="I586" s="25">
        <f>IF($C586="","",IFERROR(IF(INDEX(links!$C$2:$C$501,MATCH($C586,links!$D$2:$D$501,0))="","",INDEX(links!$C$2:$C$501,MATCH($C586,links!$D$2:$D$501,0))),""))</f>
        <v/>
      </c>
      <c r="J586" s="25">
        <f>IF($C586="","",IF($G586="","slug not in links; ","")&amp;IF($D586="","reading type missing; ","")&amp;IF(COUNTIFS(scans!$C$2:$C$1601,$C586,scans!$D$2:$D$1601,$D586)&gt;1,"two readings of this type: keep one; ",""))</f>
        <v/>
      </c>
    </row>
    <row r="587">
      <c r="A587" s="9" t="n"/>
      <c r="B587" s="33" t="n"/>
      <c r="G587" s="25">
        <f>IF($C587="","",IFERROR(IF(INDEX(links!$A$2:$A$501,MATCH($C587,links!$D$2:$D$501,0))="","",INDEX(links!$A$2:$A$501,MATCH($C587,links!$D$2:$D$501,0))),""))</f>
        <v/>
      </c>
      <c r="H587" s="25">
        <f>IF($C587="","",IFERROR(IF(INDEX(links!$B$2:$B$501,MATCH($C587,links!$D$2:$D$501,0))="","",INDEX(links!$B$2:$B$501,MATCH($C587,links!$D$2:$D$501,0))),""))</f>
        <v/>
      </c>
      <c r="I587" s="25">
        <f>IF($C587="","",IFERROR(IF(INDEX(links!$C$2:$C$501,MATCH($C587,links!$D$2:$D$501,0))="","",INDEX(links!$C$2:$C$501,MATCH($C587,links!$D$2:$D$501,0))),""))</f>
        <v/>
      </c>
      <c r="J587" s="25">
        <f>IF($C587="","",IF($G587="","slug not in links; ","")&amp;IF($D587="","reading type missing; ","")&amp;IF(COUNTIFS(scans!$C$2:$C$1601,$C587,scans!$D$2:$D$1601,$D587)&gt;1,"two readings of this type: keep one; ",""))</f>
        <v/>
      </c>
    </row>
    <row r="588">
      <c r="A588" s="9" t="n"/>
      <c r="B588" s="33" t="n"/>
      <c r="G588" s="25">
        <f>IF($C588="","",IFERROR(IF(INDEX(links!$A$2:$A$501,MATCH($C588,links!$D$2:$D$501,0))="","",INDEX(links!$A$2:$A$501,MATCH($C588,links!$D$2:$D$501,0))),""))</f>
        <v/>
      </c>
      <c r="H588" s="25">
        <f>IF($C588="","",IFERROR(IF(INDEX(links!$B$2:$B$501,MATCH($C588,links!$D$2:$D$501,0))="","",INDEX(links!$B$2:$B$501,MATCH($C588,links!$D$2:$D$501,0))),""))</f>
        <v/>
      </c>
      <c r="I588" s="25">
        <f>IF($C588="","",IFERROR(IF(INDEX(links!$C$2:$C$501,MATCH($C588,links!$D$2:$D$501,0))="","",INDEX(links!$C$2:$C$501,MATCH($C588,links!$D$2:$D$501,0))),""))</f>
        <v/>
      </c>
      <c r="J588" s="25">
        <f>IF($C588="","",IF($G588="","slug not in links; ","")&amp;IF($D588="","reading type missing; ","")&amp;IF(COUNTIFS(scans!$C$2:$C$1601,$C588,scans!$D$2:$D$1601,$D588)&gt;1,"two readings of this type: keep one; ",""))</f>
        <v/>
      </c>
    </row>
    <row r="589">
      <c r="A589" s="9" t="n"/>
      <c r="B589" s="33" t="n"/>
      <c r="G589" s="25">
        <f>IF($C589="","",IFERROR(IF(INDEX(links!$A$2:$A$501,MATCH($C589,links!$D$2:$D$501,0))="","",INDEX(links!$A$2:$A$501,MATCH($C589,links!$D$2:$D$501,0))),""))</f>
        <v/>
      </c>
      <c r="H589" s="25">
        <f>IF($C589="","",IFERROR(IF(INDEX(links!$B$2:$B$501,MATCH($C589,links!$D$2:$D$501,0))="","",INDEX(links!$B$2:$B$501,MATCH($C589,links!$D$2:$D$501,0))),""))</f>
        <v/>
      </c>
      <c r="I589" s="25">
        <f>IF($C589="","",IFERROR(IF(INDEX(links!$C$2:$C$501,MATCH($C589,links!$D$2:$D$501,0))="","",INDEX(links!$C$2:$C$501,MATCH($C589,links!$D$2:$D$501,0))),""))</f>
        <v/>
      </c>
      <c r="J589" s="25">
        <f>IF($C589="","",IF($G589="","slug not in links; ","")&amp;IF($D589="","reading type missing; ","")&amp;IF(COUNTIFS(scans!$C$2:$C$1601,$C589,scans!$D$2:$D$1601,$D589)&gt;1,"two readings of this type: keep one; ",""))</f>
        <v/>
      </c>
    </row>
    <row r="590">
      <c r="A590" s="9" t="n"/>
      <c r="B590" s="33" t="n"/>
      <c r="G590" s="25">
        <f>IF($C590="","",IFERROR(IF(INDEX(links!$A$2:$A$501,MATCH($C590,links!$D$2:$D$501,0))="","",INDEX(links!$A$2:$A$501,MATCH($C590,links!$D$2:$D$501,0))),""))</f>
        <v/>
      </c>
      <c r="H590" s="25">
        <f>IF($C590="","",IFERROR(IF(INDEX(links!$B$2:$B$501,MATCH($C590,links!$D$2:$D$501,0))="","",INDEX(links!$B$2:$B$501,MATCH($C590,links!$D$2:$D$501,0))),""))</f>
        <v/>
      </c>
      <c r="I590" s="25">
        <f>IF($C590="","",IFERROR(IF(INDEX(links!$C$2:$C$501,MATCH($C590,links!$D$2:$D$501,0))="","",INDEX(links!$C$2:$C$501,MATCH($C590,links!$D$2:$D$501,0))),""))</f>
        <v/>
      </c>
      <c r="J590" s="25">
        <f>IF($C590="","",IF($G590="","slug not in links; ","")&amp;IF($D590="","reading type missing; ","")&amp;IF(COUNTIFS(scans!$C$2:$C$1601,$C590,scans!$D$2:$D$1601,$D590)&gt;1,"two readings of this type: keep one; ",""))</f>
        <v/>
      </c>
    </row>
    <row r="591">
      <c r="A591" s="9" t="n"/>
      <c r="B591" s="33" t="n"/>
      <c r="G591" s="25">
        <f>IF($C591="","",IFERROR(IF(INDEX(links!$A$2:$A$501,MATCH($C591,links!$D$2:$D$501,0))="","",INDEX(links!$A$2:$A$501,MATCH($C591,links!$D$2:$D$501,0))),""))</f>
        <v/>
      </c>
      <c r="H591" s="25">
        <f>IF($C591="","",IFERROR(IF(INDEX(links!$B$2:$B$501,MATCH($C591,links!$D$2:$D$501,0))="","",INDEX(links!$B$2:$B$501,MATCH($C591,links!$D$2:$D$501,0))),""))</f>
        <v/>
      </c>
      <c r="I591" s="25">
        <f>IF($C591="","",IFERROR(IF(INDEX(links!$C$2:$C$501,MATCH($C591,links!$D$2:$D$501,0))="","",INDEX(links!$C$2:$C$501,MATCH($C591,links!$D$2:$D$501,0))),""))</f>
        <v/>
      </c>
      <c r="J591" s="25">
        <f>IF($C591="","",IF($G591="","slug not in links; ","")&amp;IF($D591="","reading type missing; ","")&amp;IF(COUNTIFS(scans!$C$2:$C$1601,$C591,scans!$D$2:$D$1601,$D591)&gt;1,"two readings of this type: keep one; ",""))</f>
        <v/>
      </c>
    </row>
    <row r="592">
      <c r="A592" s="9" t="n"/>
      <c r="B592" s="33" t="n"/>
      <c r="G592" s="25">
        <f>IF($C592="","",IFERROR(IF(INDEX(links!$A$2:$A$501,MATCH($C592,links!$D$2:$D$501,0))="","",INDEX(links!$A$2:$A$501,MATCH($C592,links!$D$2:$D$501,0))),""))</f>
        <v/>
      </c>
      <c r="H592" s="25">
        <f>IF($C592="","",IFERROR(IF(INDEX(links!$B$2:$B$501,MATCH($C592,links!$D$2:$D$501,0))="","",INDEX(links!$B$2:$B$501,MATCH($C592,links!$D$2:$D$501,0))),""))</f>
        <v/>
      </c>
      <c r="I592" s="25">
        <f>IF($C592="","",IFERROR(IF(INDEX(links!$C$2:$C$501,MATCH($C592,links!$D$2:$D$501,0))="","",INDEX(links!$C$2:$C$501,MATCH($C592,links!$D$2:$D$501,0))),""))</f>
        <v/>
      </c>
      <c r="J592" s="25">
        <f>IF($C592="","",IF($G592="","slug not in links; ","")&amp;IF($D592="","reading type missing; ","")&amp;IF(COUNTIFS(scans!$C$2:$C$1601,$C592,scans!$D$2:$D$1601,$D592)&gt;1,"two readings of this type: keep one; ",""))</f>
        <v/>
      </c>
    </row>
    <row r="593">
      <c r="A593" s="9" t="n"/>
      <c r="B593" s="33" t="n"/>
      <c r="G593" s="25">
        <f>IF($C593="","",IFERROR(IF(INDEX(links!$A$2:$A$501,MATCH($C593,links!$D$2:$D$501,0))="","",INDEX(links!$A$2:$A$501,MATCH($C593,links!$D$2:$D$501,0))),""))</f>
        <v/>
      </c>
      <c r="H593" s="25">
        <f>IF($C593="","",IFERROR(IF(INDEX(links!$B$2:$B$501,MATCH($C593,links!$D$2:$D$501,0))="","",INDEX(links!$B$2:$B$501,MATCH($C593,links!$D$2:$D$501,0))),""))</f>
        <v/>
      </c>
      <c r="I593" s="25">
        <f>IF($C593="","",IFERROR(IF(INDEX(links!$C$2:$C$501,MATCH($C593,links!$D$2:$D$501,0))="","",INDEX(links!$C$2:$C$501,MATCH($C593,links!$D$2:$D$501,0))),""))</f>
        <v/>
      </c>
      <c r="J593" s="25">
        <f>IF($C593="","",IF($G593="","slug not in links; ","")&amp;IF($D593="","reading type missing; ","")&amp;IF(COUNTIFS(scans!$C$2:$C$1601,$C593,scans!$D$2:$D$1601,$D593)&gt;1,"two readings of this type: keep one; ",""))</f>
        <v/>
      </c>
    </row>
    <row r="594">
      <c r="A594" s="9" t="n"/>
      <c r="B594" s="33" t="n"/>
      <c r="G594" s="25">
        <f>IF($C594="","",IFERROR(IF(INDEX(links!$A$2:$A$501,MATCH($C594,links!$D$2:$D$501,0))="","",INDEX(links!$A$2:$A$501,MATCH($C594,links!$D$2:$D$501,0))),""))</f>
        <v/>
      </c>
      <c r="H594" s="25">
        <f>IF($C594="","",IFERROR(IF(INDEX(links!$B$2:$B$501,MATCH($C594,links!$D$2:$D$501,0))="","",INDEX(links!$B$2:$B$501,MATCH($C594,links!$D$2:$D$501,0))),""))</f>
        <v/>
      </c>
      <c r="I594" s="25">
        <f>IF($C594="","",IFERROR(IF(INDEX(links!$C$2:$C$501,MATCH($C594,links!$D$2:$D$501,0))="","",INDEX(links!$C$2:$C$501,MATCH($C594,links!$D$2:$D$501,0))),""))</f>
        <v/>
      </c>
      <c r="J594" s="25">
        <f>IF($C594="","",IF($G594="","slug not in links; ","")&amp;IF($D594="","reading type missing; ","")&amp;IF(COUNTIFS(scans!$C$2:$C$1601,$C594,scans!$D$2:$D$1601,$D594)&gt;1,"two readings of this type: keep one; ",""))</f>
        <v/>
      </c>
    </row>
    <row r="595">
      <c r="A595" s="9" t="n"/>
      <c r="B595" s="33" t="n"/>
      <c r="G595" s="25">
        <f>IF($C595="","",IFERROR(IF(INDEX(links!$A$2:$A$501,MATCH($C595,links!$D$2:$D$501,0))="","",INDEX(links!$A$2:$A$501,MATCH($C595,links!$D$2:$D$501,0))),""))</f>
        <v/>
      </c>
      <c r="H595" s="25">
        <f>IF($C595="","",IFERROR(IF(INDEX(links!$B$2:$B$501,MATCH($C595,links!$D$2:$D$501,0))="","",INDEX(links!$B$2:$B$501,MATCH($C595,links!$D$2:$D$501,0))),""))</f>
        <v/>
      </c>
      <c r="I595" s="25">
        <f>IF($C595="","",IFERROR(IF(INDEX(links!$C$2:$C$501,MATCH($C595,links!$D$2:$D$501,0))="","",INDEX(links!$C$2:$C$501,MATCH($C595,links!$D$2:$D$501,0))),""))</f>
        <v/>
      </c>
      <c r="J595" s="25">
        <f>IF($C595="","",IF($G595="","slug not in links; ","")&amp;IF($D595="","reading type missing; ","")&amp;IF(COUNTIFS(scans!$C$2:$C$1601,$C595,scans!$D$2:$D$1601,$D595)&gt;1,"two readings of this type: keep one; ",""))</f>
        <v/>
      </c>
    </row>
    <row r="596">
      <c r="A596" s="9" t="n"/>
      <c r="B596" s="33" t="n"/>
      <c r="G596" s="25">
        <f>IF($C596="","",IFERROR(IF(INDEX(links!$A$2:$A$501,MATCH($C596,links!$D$2:$D$501,0))="","",INDEX(links!$A$2:$A$501,MATCH($C596,links!$D$2:$D$501,0))),""))</f>
        <v/>
      </c>
      <c r="H596" s="25">
        <f>IF($C596="","",IFERROR(IF(INDEX(links!$B$2:$B$501,MATCH($C596,links!$D$2:$D$501,0))="","",INDEX(links!$B$2:$B$501,MATCH($C596,links!$D$2:$D$501,0))),""))</f>
        <v/>
      </c>
      <c r="I596" s="25">
        <f>IF($C596="","",IFERROR(IF(INDEX(links!$C$2:$C$501,MATCH($C596,links!$D$2:$D$501,0))="","",INDEX(links!$C$2:$C$501,MATCH($C596,links!$D$2:$D$501,0))),""))</f>
        <v/>
      </c>
      <c r="J596" s="25">
        <f>IF($C596="","",IF($G596="","slug not in links; ","")&amp;IF($D596="","reading type missing; ","")&amp;IF(COUNTIFS(scans!$C$2:$C$1601,$C596,scans!$D$2:$D$1601,$D596)&gt;1,"two readings of this type: keep one; ",""))</f>
        <v/>
      </c>
    </row>
    <row r="597">
      <c r="A597" s="9" t="n"/>
      <c r="B597" s="33" t="n"/>
      <c r="G597" s="25">
        <f>IF($C597="","",IFERROR(IF(INDEX(links!$A$2:$A$501,MATCH($C597,links!$D$2:$D$501,0))="","",INDEX(links!$A$2:$A$501,MATCH($C597,links!$D$2:$D$501,0))),""))</f>
        <v/>
      </c>
      <c r="H597" s="25">
        <f>IF($C597="","",IFERROR(IF(INDEX(links!$B$2:$B$501,MATCH($C597,links!$D$2:$D$501,0))="","",INDEX(links!$B$2:$B$501,MATCH($C597,links!$D$2:$D$501,0))),""))</f>
        <v/>
      </c>
      <c r="I597" s="25">
        <f>IF($C597="","",IFERROR(IF(INDEX(links!$C$2:$C$501,MATCH($C597,links!$D$2:$D$501,0))="","",INDEX(links!$C$2:$C$501,MATCH($C597,links!$D$2:$D$501,0))),""))</f>
        <v/>
      </c>
      <c r="J597" s="25">
        <f>IF($C597="","",IF($G597="","slug not in links; ","")&amp;IF($D597="","reading type missing; ","")&amp;IF(COUNTIFS(scans!$C$2:$C$1601,$C597,scans!$D$2:$D$1601,$D597)&gt;1,"two readings of this type: keep one; ",""))</f>
        <v/>
      </c>
    </row>
    <row r="598">
      <c r="A598" s="9" t="n"/>
      <c r="B598" s="33" t="n"/>
      <c r="G598" s="25">
        <f>IF($C598="","",IFERROR(IF(INDEX(links!$A$2:$A$501,MATCH($C598,links!$D$2:$D$501,0))="","",INDEX(links!$A$2:$A$501,MATCH($C598,links!$D$2:$D$501,0))),""))</f>
        <v/>
      </c>
      <c r="H598" s="25">
        <f>IF($C598="","",IFERROR(IF(INDEX(links!$B$2:$B$501,MATCH($C598,links!$D$2:$D$501,0))="","",INDEX(links!$B$2:$B$501,MATCH($C598,links!$D$2:$D$501,0))),""))</f>
        <v/>
      </c>
      <c r="I598" s="25">
        <f>IF($C598="","",IFERROR(IF(INDEX(links!$C$2:$C$501,MATCH($C598,links!$D$2:$D$501,0))="","",INDEX(links!$C$2:$C$501,MATCH($C598,links!$D$2:$D$501,0))),""))</f>
        <v/>
      </c>
      <c r="J598" s="25">
        <f>IF($C598="","",IF($G598="","slug not in links; ","")&amp;IF($D598="","reading type missing; ","")&amp;IF(COUNTIFS(scans!$C$2:$C$1601,$C598,scans!$D$2:$D$1601,$D598)&gt;1,"two readings of this type: keep one; ",""))</f>
        <v/>
      </c>
    </row>
    <row r="599">
      <c r="A599" s="9" t="n"/>
      <c r="B599" s="33" t="n"/>
      <c r="G599" s="25">
        <f>IF($C599="","",IFERROR(IF(INDEX(links!$A$2:$A$501,MATCH($C599,links!$D$2:$D$501,0))="","",INDEX(links!$A$2:$A$501,MATCH($C599,links!$D$2:$D$501,0))),""))</f>
        <v/>
      </c>
      <c r="H599" s="25">
        <f>IF($C599="","",IFERROR(IF(INDEX(links!$B$2:$B$501,MATCH($C599,links!$D$2:$D$501,0))="","",INDEX(links!$B$2:$B$501,MATCH($C599,links!$D$2:$D$501,0))),""))</f>
        <v/>
      </c>
      <c r="I599" s="25">
        <f>IF($C599="","",IFERROR(IF(INDEX(links!$C$2:$C$501,MATCH($C599,links!$D$2:$D$501,0))="","",INDEX(links!$C$2:$C$501,MATCH($C599,links!$D$2:$D$501,0))),""))</f>
        <v/>
      </c>
      <c r="J599" s="25">
        <f>IF($C599="","",IF($G599="","slug not in links; ","")&amp;IF($D599="","reading type missing; ","")&amp;IF(COUNTIFS(scans!$C$2:$C$1601,$C599,scans!$D$2:$D$1601,$D599)&gt;1,"two readings of this type: keep one; ",""))</f>
        <v/>
      </c>
    </row>
    <row r="600">
      <c r="A600" s="9" t="n"/>
      <c r="B600" s="33" t="n"/>
      <c r="G600" s="25">
        <f>IF($C600="","",IFERROR(IF(INDEX(links!$A$2:$A$501,MATCH($C600,links!$D$2:$D$501,0))="","",INDEX(links!$A$2:$A$501,MATCH($C600,links!$D$2:$D$501,0))),""))</f>
        <v/>
      </c>
      <c r="H600" s="25">
        <f>IF($C600="","",IFERROR(IF(INDEX(links!$B$2:$B$501,MATCH($C600,links!$D$2:$D$501,0))="","",INDEX(links!$B$2:$B$501,MATCH($C600,links!$D$2:$D$501,0))),""))</f>
        <v/>
      </c>
      <c r="I600" s="25">
        <f>IF($C600="","",IFERROR(IF(INDEX(links!$C$2:$C$501,MATCH($C600,links!$D$2:$D$501,0))="","",INDEX(links!$C$2:$C$501,MATCH($C600,links!$D$2:$D$501,0))),""))</f>
        <v/>
      </c>
      <c r="J600" s="25">
        <f>IF($C600="","",IF($G600="","slug not in links; ","")&amp;IF($D600="","reading type missing; ","")&amp;IF(COUNTIFS(scans!$C$2:$C$1601,$C600,scans!$D$2:$D$1601,$D600)&gt;1,"two readings of this type: keep one; ",""))</f>
        <v/>
      </c>
    </row>
    <row r="601">
      <c r="A601" s="9" t="n"/>
      <c r="B601" s="33" t="n"/>
      <c r="G601" s="25">
        <f>IF($C601="","",IFERROR(IF(INDEX(links!$A$2:$A$501,MATCH($C601,links!$D$2:$D$501,0))="","",INDEX(links!$A$2:$A$501,MATCH($C601,links!$D$2:$D$501,0))),""))</f>
        <v/>
      </c>
      <c r="H601" s="25">
        <f>IF($C601="","",IFERROR(IF(INDEX(links!$B$2:$B$501,MATCH($C601,links!$D$2:$D$501,0))="","",INDEX(links!$B$2:$B$501,MATCH($C601,links!$D$2:$D$501,0))),""))</f>
        <v/>
      </c>
      <c r="I601" s="25">
        <f>IF($C601="","",IFERROR(IF(INDEX(links!$C$2:$C$501,MATCH($C601,links!$D$2:$D$501,0))="","",INDEX(links!$C$2:$C$501,MATCH($C601,links!$D$2:$D$501,0))),""))</f>
        <v/>
      </c>
      <c r="J601" s="25">
        <f>IF($C601="","",IF($G601="","slug not in links; ","")&amp;IF($D601="","reading type missing; ","")&amp;IF(COUNTIFS(scans!$C$2:$C$1601,$C601,scans!$D$2:$D$1601,$D601)&gt;1,"two readings of this type: keep one; ",""))</f>
        <v/>
      </c>
    </row>
    <row r="602">
      <c r="A602" s="9" t="n"/>
      <c r="B602" s="33" t="n"/>
      <c r="G602" s="25">
        <f>IF($C602="","",IFERROR(IF(INDEX(links!$A$2:$A$501,MATCH($C602,links!$D$2:$D$501,0))="","",INDEX(links!$A$2:$A$501,MATCH($C602,links!$D$2:$D$501,0))),""))</f>
        <v/>
      </c>
      <c r="H602" s="25">
        <f>IF($C602="","",IFERROR(IF(INDEX(links!$B$2:$B$501,MATCH($C602,links!$D$2:$D$501,0))="","",INDEX(links!$B$2:$B$501,MATCH($C602,links!$D$2:$D$501,0))),""))</f>
        <v/>
      </c>
      <c r="I602" s="25">
        <f>IF($C602="","",IFERROR(IF(INDEX(links!$C$2:$C$501,MATCH($C602,links!$D$2:$D$501,0))="","",INDEX(links!$C$2:$C$501,MATCH($C602,links!$D$2:$D$501,0))),""))</f>
        <v/>
      </c>
      <c r="J602" s="25">
        <f>IF($C602="","",IF($G602="","slug not in links; ","")&amp;IF($D602="","reading type missing; ","")&amp;IF(COUNTIFS(scans!$C$2:$C$1601,$C602,scans!$D$2:$D$1601,$D602)&gt;1,"two readings of this type: keep one; ",""))</f>
        <v/>
      </c>
    </row>
    <row r="603">
      <c r="A603" s="9" t="n"/>
      <c r="B603" s="33" t="n"/>
      <c r="G603" s="25">
        <f>IF($C603="","",IFERROR(IF(INDEX(links!$A$2:$A$501,MATCH($C603,links!$D$2:$D$501,0))="","",INDEX(links!$A$2:$A$501,MATCH($C603,links!$D$2:$D$501,0))),""))</f>
        <v/>
      </c>
      <c r="H603" s="25">
        <f>IF($C603="","",IFERROR(IF(INDEX(links!$B$2:$B$501,MATCH($C603,links!$D$2:$D$501,0))="","",INDEX(links!$B$2:$B$501,MATCH($C603,links!$D$2:$D$501,0))),""))</f>
        <v/>
      </c>
      <c r="I603" s="25">
        <f>IF($C603="","",IFERROR(IF(INDEX(links!$C$2:$C$501,MATCH($C603,links!$D$2:$D$501,0))="","",INDEX(links!$C$2:$C$501,MATCH($C603,links!$D$2:$D$501,0))),""))</f>
        <v/>
      </c>
      <c r="J603" s="25">
        <f>IF($C603="","",IF($G603="","slug not in links; ","")&amp;IF($D603="","reading type missing; ","")&amp;IF(COUNTIFS(scans!$C$2:$C$1601,$C603,scans!$D$2:$D$1601,$D603)&gt;1,"two readings of this type: keep one; ",""))</f>
        <v/>
      </c>
    </row>
    <row r="604">
      <c r="A604" s="9" t="n"/>
      <c r="B604" s="33" t="n"/>
      <c r="G604" s="25">
        <f>IF($C604="","",IFERROR(IF(INDEX(links!$A$2:$A$501,MATCH($C604,links!$D$2:$D$501,0))="","",INDEX(links!$A$2:$A$501,MATCH($C604,links!$D$2:$D$501,0))),""))</f>
        <v/>
      </c>
      <c r="H604" s="25">
        <f>IF($C604="","",IFERROR(IF(INDEX(links!$B$2:$B$501,MATCH($C604,links!$D$2:$D$501,0))="","",INDEX(links!$B$2:$B$501,MATCH($C604,links!$D$2:$D$501,0))),""))</f>
        <v/>
      </c>
      <c r="I604" s="25">
        <f>IF($C604="","",IFERROR(IF(INDEX(links!$C$2:$C$501,MATCH($C604,links!$D$2:$D$501,0))="","",INDEX(links!$C$2:$C$501,MATCH($C604,links!$D$2:$D$501,0))),""))</f>
        <v/>
      </c>
      <c r="J604" s="25">
        <f>IF($C604="","",IF($G604="","slug not in links; ","")&amp;IF($D604="","reading type missing; ","")&amp;IF(COUNTIFS(scans!$C$2:$C$1601,$C604,scans!$D$2:$D$1601,$D604)&gt;1,"two readings of this type: keep one; ",""))</f>
        <v/>
      </c>
    </row>
    <row r="605">
      <c r="A605" s="9" t="n"/>
      <c r="B605" s="33" t="n"/>
      <c r="G605" s="25">
        <f>IF($C605="","",IFERROR(IF(INDEX(links!$A$2:$A$501,MATCH($C605,links!$D$2:$D$501,0))="","",INDEX(links!$A$2:$A$501,MATCH($C605,links!$D$2:$D$501,0))),""))</f>
        <v/>
      </c>
      <c r="H605" s="25">
        <f>IF($C605="","",IFERROR(IF(INDEX(links!$B$2:$B$501,MATCH($C605,links!$D$2:$D$501,0))="","",INDEX(links!$B$2:$B$501,MATCH($C605,links!$D$2:$D$501,0))),""))</f>
        <v/>
      </c>
      <c r="I605" s="25">
        <f>IF($C605="","",IFERROR(IF(INDEX(links!$C$2:$C$501,MATCH($C605,links!$D$2:$D$501,0))="","",INDEX(links!$C$2:$C$501,MATCH($C605,links!$D$2:$D$501,0))),""))</f>
        <v/>
      </c>
      <c r="J605" s="25">
        <f>IF($C605="","",IF($G605="","slug not in links; ","")&amp;IF($D605="","reading type missing; ","")&amp;IF(COUNTIFS(scans!$C$2:$C$1601,$C605,scans!$D$2:$D$1601,$D605)&gt;1,"two readings of this type: keep one; ",""))</f>
        <v/>
      </c>
    </row>
    <row r="606">
      <c r="A606" s="9" t="n"/>
      <c r="B606" s="33" t="n"/>
      <c r="G606" s="25">
        <f>IF($C606="","",IFERROR(IF(INDEX(links!$A$2:$A$501,MATCH($C606,links!$D$2:$D$501,0))="","",INDEX(links!$A$2:$A$501,MATCH($C606,links!$D$2:$D$501,0))),""))</f>
        <v/>
      </c>
      <c r="H606" s="25">
        <f>IF($C606="","",IFERROR(IF(INDEX(links!$B$2:$B$501,MATCH($C606,links!$D$2:$D$501,0))="","",INDEX(links!$B$2:$B$501,MATCH($C606,links!$D$2:$D$501,0))),""))</f>
        <v/>
      </c>
      <c r="I606" s="25">
        <f>IF($C606="","",IFERROR(IF(INDEX(links!$C$2:$C$501,MATCH($C606,links!$D$2:$D$501,0))="","",INDEX(links!$C$2:$C$501,MATCH($C606,links!$D$2:$D$501,0))),""))</f>
        <v/>
      </c>
      <c r="J606" s="25">
        <f>IF($C606="","",IF($G606="","slug not in links; ","")&amp;IF($D606="","reading type missing; ","")&amp;IF(COUNTIFS(scans!$C$2:$C$1601,$C606,scans!$D$2:$D$1601,$D606)&gt;1,"two readings of this type: keep one; ",""))</f>
        <v/>
      </c>
    </row>
    <row r="607">
      <c r="A607" s="9" t="n"/>
      <c r="B607" s="33" t="n"/>
      <c r="G607" s="25">
        <f>IF($C607="","",IFERROR(IF(INDEX(links!$A$2:$A$501,MATCH($C607,links!$D$2:$D$501,0))="","",INDEX(links!$A$2:$A$501,MATCH($C607,links!$D$2:$D$501,0))),""))</f>
        <v/>
      </c>
      <c r="H607" s="25">
        <f>IF($C607="","",IFERROR(IF(INDEX(links!$B$2:$B$501,MATCH($C607,links!$D$2:$D$501,0))="","",INDEX(links!$B$2:$B$501,MATCH($C607,links!$D$2:$D$501,0))),""))</f>
        <v/>
      </c>
      <c r="I607" s="25">
        <f>IF($C607="","",IFERROR(IF(INDEX(links!$C$2:$C$501,MATCH($C607,links!$D$2:$D$501,0))="","",INDEX(links!$C$2:$C$501,MATCH($C607,links!$D$2:$D$501,0))),""))</f>
        <v/>
      </c>
      <c r="J607" s="25">
        <f>IF($C607="","",IF($G607="","slug not in links; ","")&amp;IF($D607="","reading type missing; ","")&amp;IF(COUNTIFS(scans!$C$2:$C$1601,$C607,scans!$D$2:$D$1601,$D607)&gt;1,"two readings of this type: keep one; ",""))</f>
        <v/>
      </c>
    </row>
    <row r="608">
      <c r="A608" s="9" t="n"/>
      <c r="B608" s="33" t="n"/>
      <c r="G608" s="25">
        <f>IF($C608="","",IFERROR(IF(INDEX(links!$A$2:$A$501,MATCH($C608,links!$D$2:$D$501,0))="","",INDEX(links!$A$2:$A$501,MATCH($C608,links!$D$2:$D$501,0))),""))</f>
        <v/>
      </c>
      <c r="H608" s="25">
        <f>IF($C608="","",IFERROR(IF(INDEX(links!$B$2:$B$501,MATCH($C608,links!$D$2:$D$501,0))="","",INDEX(links!$B$2:$B$501,MATCH($C608,links!$D$2:$D$501,0))),""))</f>
        <v/>
      </c>
      <c r="I608" s="25">
        <f>IF($C608="","",IFERROR(IF(INDEX(links!$C$2:$C$501,MATCH($C608,links!$D$2:$D$501,0))="","",INDEX(links!$C$2:$C$501,MATCH($C608,links!$D$2:$D$501,0))),""))</f>
        <v/>
      </c>
      <c r="J608" s="25">
        <f>IF($C608="","",IF($G608="","slug not in links; ","")&amp;IF($D608="","reading type missing; ","")&amp;IF(COUNTIFS(scans!$C$2:$C$1601,$C608,scans!$D$2:$D$1601,$D608)&gt;1,"two readings of this type: keep one; ",""))</f>
        <v/>
      </c>
    </row>
    <row r="609">
      <c r="A609" s="9" t="n"/>
      <c r="B609" s="33" t="n"/>
      <c r="G609" s="25">
        <f>IF($C609="","",IFERROR(IF(INDEX(links!$A$2:$A$501,MATCH($C609,links!$D$2:$D$501,0))="","",INDEX(links!$A$2:$A$501,MATCH($C609,links!$D$2:$D$501,0))),""))</f>
        <v/>
      </c>
      <c r="H609" s="25">
        <f>IF($C609="","",IFERROR(IF(INDEX(links!$B$2:$B$501,MATCH($C609,links!$D$2:$D$501,0))="","",INDEX(links!$B$2:$B$501,MATCH($C609,links!$D$2:$D$501,0))),""))</f>
        <v/>
      </c>
      <c r="I609" s="25">
        <f>IF($C609="","",IFERROR(IF(INDEX(links!$C$2:$C$501,MATCH($C609,links!$D$2:$D$501,0))="","",INDEX(links!$C$2:$C$501,MATCH($C609,links!$D$2:$D$501,0))),""))</f>
        <v/>
      </c>
      <c r="J609" s="25">
        <f>IF($C609="","",IF($G609="","slug not in links; ","")&amp;IF($D609="","reading type missing; ","")&amp;IF(COUNTIFS(scans!$C$2:$C$1601,$C609,scans!$D$2:$D$1601,$D609)&gt;1,"two readings of this type: keep one; ",""))</f>
        <v/>
      </c>
    </row>
    <row r="610">
      <c r="A610" s="9" t="n"/>
      <c r="B610" s="33" t="n"/>
      <c r="G610" s="25">
        <f>IF($C610="","",IFERROR(IF(INDEX(links!$A$2:$A$501,MATCH($C610,links!$D$2:$D$501,0))="","",INDEX(links!$A$2:$A$501,MATCH($C610,links!$D$2:$D$501,0))),""))</f>
        <v/>
      </c>
      <c r="H610" s="25">
        <f>IF($C610="","",IFERROR(IF(INDEX(links!$B$2:$B$501,MATCH($C610,links!$D$2:$D$501,0))="","",INDEX(links!$B$2:$B$501,MATCH($C610,links!$D$2:$D$501,0))),""))</f>
        <v/>
      </c>
      <c r="I610" s="25">
        <f>IF($C610="","",IFERROR(IF(INDEX(links!$C$2:$C$501,MATCH($C610,links!$D$2:$D$501,0))="","",INDEX(links!$C$2:$C$501,MATCH($C610,links!$D$2:$D$501,0))),""))</f>
        <v/>
      </c>
      <c r="J610" s="25">
        <f>IF($C610="","",IF($G610="","slug not in links; ","")&amp;IF($D610="","reading type missing; ","")&amp;IF(COUNTIFS(scans!$C$2:$C$1601,$C610,scans!$D$2:$D$1601,$D610)&gt;1,"two readings of this type: keep one; ",""))</f>
        <v/>
      </c>
    </row>
    <row r="611">
      <c r="A611" s="9" t="n"/>
      <c r="B611" s="33" t="n"/>
      <c r="G611" s="25">
        <f>IF($C611="","",IFERROR(IF(INDEX(links!$A$2:$A$501,MATCH($C611,links!$D$2:$D$501,0))="","",INDEX(links!$A$2:$A$501,MATCH($C611,links!$D$2:$D$501,0))),""))</f>
        <v/>
      </c>
      <c r="H611" s="25">
        <f>IF($C611="","",IFERROR(IF(INDEX(links!$B$2:$B$501,MATCH($C611,links!$D$2:$D$501,0))="","",INDEX(links!$B$2:$B$501,MATCH($C611,links!$D$2:$D$501,0))),""))</f>
        <v/>
      </c>
      <c r="I611" s="25">
        <f>IF($C611="","",IFERROR(IF(INDEX(links!$C$2:$C$501,MATCH($C611,links!$D$2:$D$501,0))="","",INDEX(links!$C$2:$C$501,MATCH($C611,links!$D$2:$D$501,0))),""))</f>
        <v/>
      </c>
      <c r="J611" s="25">
        <f>IF($C611="","",IF($G611="","slug not in links; ","")&amp;IF($D611="","reading type missing; ","")&amp;IF(COUNTIFS(scans!$C$2:$C$1601,$C611,scans!$D$2:$D$1601,$D611)&gt;1,"two readings of this type: keep one; ",""))</f>
        <v/>
      </c>
    </row>
    <row r="612">
      <c r="A612" s="9" t="n"/>
      <c r="B612" s="33" t="n"/>
      <c r="G612" s="25">
        <f>IF($C612="","",IFERROR(IF(INDEX(links!$A$2:$A$501,MATCH($C612,links!$D$2:$D$501,0))="","",INDEX(links!$A$2:$A$501,MATCH($C612,links!$D$2:$D$501,0))),""))</f>
        <v/>
      </c>
      <c r="H612" s="25">
        <f>IF($C612="","",IFERROR(IF(INDEX(links!$B$2:$B$501,MATCH($C612,links!$D$2:$D$501,0))="","",INDEX(links!$B$2:$B$501,MATCH($C612,links!$D$2:$D$501,0))),""))</f>
        <v/>
      </c>
      <c r="I612" s="25">
        <f>IF($C612="","",IFERROR(IF(INDEX(links!$C$2:$C$501,MATCH($C612,links!$D$2:$D$501,0))="","",INDEX(links!$C$2:$C$501,MATCH($C612,links!$D$2:$D$501,0))),""))</f>
        <v/>
      </c>
      <c r="J612" s="25">
        <f>IF($C612="","",IF($G612="","slug not in links; ","")&amp;IF($D612="","reading type missing; ","")&amp;IF(COUNTIFS(scans!$C$2:$C$1601,$C612,scans!$D$2:$D$1601,$D612)&gt;1,"two readings of this type: keep one; ",""))</f>
        <v/>
      </c>
    </row>
    <row r="613">
      <c r="A613" s="9" t="n"/>
      <c r="B613" s="33" t="n"/>
      <c r="G613" s="25">
        <f>IF($C613="","",IFERROR(IF(INDEX(links!$A$2:$A$501,MATCH($C613,links!$D$2:$D$501,0))="","",INDEX(links!$A$2:$A$501,MATCH($C613,links!$D$2:$D$501,0))),""))</f>
        <v/>
      </c>
      <c r="H613" s="25">
        <f>IF($C613="","",IFERROR(IF(INDEX(links!$B$2:$B$501,MATCH($C613,links!$D$2:$D$501,0))="","",INDEX(links!$B$2:$B$501,MATCH($C613,links!$D$2:$D$501,0))),""))</f>
        <v/>
      </c>
      <c r="I613" s="25">
        <f>IF($C613="","",IFERROR(IF(INDEX(links!$C$2:$C$501,MATCH($C613,links!$D$2:$D$501,0))="","",INDEX(links!$C$2:$C$501,MATCH($C613,links!$D$2:$D$501,0))),""))</f>
        <v/>
      </c>
      <c r="J613" s="25">
        <f>IF($C613="","",IF($G613="","slug not in links; ","")&amp;IF($D613="","reading type missing; ","")&amp;IF(COUNTIFS(scans!$C$2:$C$1601,$C613,scans!$D$2:$D$1601,$D613)&gt;1,"two readings of this type: keep one; ",""))</f>
        <v/>
      </c>
    </row>
    <row r="614">
      <c r="A614" s="9" t="n"/>
      <c r="B614" s="33" t="n"/>
      <c r="G614" s="25">
        <f>IF($C614="","",IFERROR(IF(INDEX(links!$A$2:$A$501,MATCH($C614,links!$D$2:$D$501,0))="","",INDEX(links!$A$2:$A$501,MATCH($C614,links!$D$2:$D$501,0))),""))</f>
        <v/>
      </c>
      <c r="H614" s="25">
        <f>IF($C614="","",IFERROR(IF(INDEX(links!$B$2:$B$501,MATCH($C614,links!$D$2:$D$501,0))="","",INDEX(links!$B$2:$B$501,MATCH($C614,links!$D$2:$D$501,0))),""))</f>
        <v/>
      </c>
      <c r="I614" s="25">
        <f>IF($C614="","",IFERROR(IF(INDEX(links!$C$2:$C$501,MATCH($C614,links!$D$2:$D$501,0))="","",INDEX(links!$C$2:$C$501,MATCH($C614,links!$D$2:$D$501,0))),""))</f>
        <v/>
      </c>
      <c r="J614" s="25">
        <f>IF($C614="","",IF($G614="","slug not in links; ","")&amp;IF($D614="","reading type missing; ","")&amp;IF(COUNTIFS(scans!$C$2:$C$1601,$C614,scans!$D$2:$D$1601,$D614)&gt;1,"two readings of this type: keep one; ",""))</f>
        <v/>
      </c>
    </row>
    <row r="615">
      <c r="A615" s="9" t="n"/>
      <c r="B615" s="33" t="n"/>
      <c r="G615" s="25">
        <f>IF($C615="","",IFERROR(IF(INDEX(links!$A$2:$A$501,MATCH($C615,links!$D$2:$D$501,0))="","",INDEX(links!$A$2:$A$501,MATCH($C615,links!$D$2:$D$501,0))),""))</f>
        <v/>
      </c>
      <c r="H615" s="25">
        <f>IF($C615="","",IFERROR(IF(INDEX(links!$B$2:$B$501,MATCH($C615,links!$D$2:$D$501,0))="","",INDEX(links!$B$2:$B$501,MATCH($C615,links!$D$2:$D$501,0))),""))</f>
        <v/>
      </c>
      <c r="I615" s="25">
        <f>IF($C615="","",IFERROR(IF(INDEX(links!$C$2:$C$501,MATCH($C615,links!$D$2:$D$501,0))="","",INDEX(links!$C$2:$C$501,MATCH($C615,links!$D$2:$D$501,0))),""))</f>
        <v/>
      </c>
      <c r="J615" s="25">
        <f>IF($C615="","",IF($G615="","slug not in links; ","")&amp;IF($D615="","reading type missing; ","")&amp;IF(COUNTIFS(scans!$C$2:$C$1601,$C615,scans!$D$2:$D$1601,$D615)&gt;1,"two readings of this type: keep one; ",""))</f>
        <v/>
      </c>
    </row>
    <row r="616">
      <c r="A616" s="9" t="n"/>
      <c r="B616" s="33" t="n"/>
      <c r="G616" s="25">
        <f>IF($C616="","",IFERROR(IF(INDEX(links!$A$2:$A$501,MATCH($C616,links!$D$2:$D$501,0))="","",INDEX(links!$A$2:$A$501,MATCH($C616,links!$D$2:$D$501,0))),""))</f>
        <v/>
      </c>
      <c r="H616" s="25">
        <f>IF($C616="","",IFERROR(IF(INDEX(links!$B$2:$B$501,MATCH($C616,links!$D$2:$D$501,0))="","",INDEX(links!$B$2:$B$501,MATCH($C616,links!$D$2:$D$501,0))),""))</f>
        <v/>
      </c>
      <c r="I616" s="25">
        <f>IF($C616="","",IFERROR(IF(INDEX(links!$C$2:$C$501,MATCH($C616,links!$D$2:$D$501,0))="","",INDEX(links!$C$2:$C$501,MATCH($C616,links!$D$2:$D$501,0))),""))</f>
        <v/>
      </c>
      <c r="J616" s="25">
        <f>IF($C616="","",IF($G616="","slug not in links; ","")&amp;IF($D616="","reading type missing; ","")&amp;IF(COUNTIFS(scans!$C$2:$C$1601,$C616,scans!$D$2:$D$1601,$D616)&gt;1,"two readings of this type: keep one; ",""))</f>
        <v/>
      </c>
    </row>
    <row r="617">
      <c r="A617" s="9" t="n"/>
      <c r="B617" s="33" t="n"/>
      <c r="G617" s="25">
        <f>IF($C617="","",IFERROR(IF(INDEX(links!$A$2:$A$501,MATCH($C617,links!$D$2:$D$501,0))="","",INDEX(links!$A$2:$A$501,MATCH($C617,links!$D$2:$D$501,0))),""))</f>
        <v/>
      </c>
      <c r="H617" s="25">
        <f>IF($C617="","",IFERROR(IF(INDEX(links!$B$2:$B$501,MATCH($C617,links!$D$2:$D$501,0))="","",INDEX(links!$B$2:$B$501,MATCH($C617,links!$D$2:$D$501,0))),""))</f>
        <v/>
      </c>
      <c r="I617" s="25">
        <f>IF($C617="","",IFERROR(IF(INDEX(links!$C$2:$C$501,MATCH($C617,links!$D$2:$D$501,0))="","",INDEX(links!$C$2:$C$501,MATCH($C617,links!$D$2:$D$501,0))),""))</f>
        <v/>
      </c>
      <c r="J617" s="25">
        <f>IF($C617="","",IF($G617="","slug not in links; ","")&amp;IF($D617="","reading type missing; ","")&amp;IF(COUNTIFS(scans!$C$2:$C$1601,$C617,scans!$D$2:$D$1601,$D617)&gt;1,"two readings of this type: keep one; ",""))</f>
        <v/>
      </c>
    </row>
    <row r="618">
      <c r="A618" s="9" t="n"/>
      <c r="B618" s="33" t="n"/>
      <c r="G618" s="25">
        <f>IF($C618="","",IFERROR(IF(INDEX(links!$A$2:$A$501,MATCH($C618,links!$D$2:$D$501,0))="","",INDEX(links!$A$2:$A$501,MATCH($C618,links!$D$2:$D$501,0))),""))</f>
        <v/>
      </c>
      <c r="H618" s="25">
        <f>IF($C618="","",IFERROR(IF(INDEX(links!$B$2:$B$501,MATCH($C618,links!$D$2:$D$501,0))="","",INDEX(links!$B$2:$B$501,MATCH($C618,links!$D$2:$D$501,0))),""))</f>
        <v/>
      </c>
      <c r="I618" s="25">
        <f>IF($C618="","",IFERROR(IF(INDEX(links!$C$2:$C$501,MATCH($C618,links!$D$2:$D$501,0))="","",INDEX(links!$C$2:$C$501,MATCH($C618,links!$D$2:$D$501,0))),""))</f>
        <v/>
      </c>
      <c r="J618" s="25">
        <f>IF($C618="","",IF($G618="","slug not in links; ","")&amp;IF($D618="","reading type missing; ","")&amp;IF(COUNTIFS(scans!$C$2:$C$1601,$C618,scans!$D$2:$D$1601,$D618)&gt;1,"two readings of this type: keep one; ",""))</f>
        <v/>
      </c>
    </row>
    <row r="619">
      <c r="A619" s="9" t="n"/>
      <c r="B619" s="33" t="n"/>
      <c r="G619" s="25">
        <f>IF($C619="","",IFERROR(IF(INDEX(links!$A$2:$A$501,MATCH($C619,links!$D$2:$D$501,0))="","",INDEX(links!$A$2:$A$501,MATCH($C619,links!$D$2:$D$501,0))),""))</f>
        <v/>
      </c>
      <c r="H619" s="25">
        <f>IF($C619="","",IFERROR(IF(INDEX(links!$B$2:$B$501,MATCH($C619,links!$D$2:$D$501,0))="","",INDEX(links!$B$2:$B$501,MATCH($C619,links!$D$2:$D$501,0))),""))</f>
        <v/>
      </c>
      <c r="I619" s="25">
        <f>IF($C619="","",IFERROR(IF(INDEX(links!$C$2:$C$501,MATCH($C619,links!$D$2:$D$501,0))="","",INDEX(links!$C$2:$C$501,MATCH($C619,links!$D$2:$D$501,0))),""))</f>
        <v/>
      </c>
      <c r="J619" s="25">
        <f>IF($C619="","",IF($G619="","slug not in links; ","")&amp;IF($D619="","reading type missing; ","")&amp;IF(COUNTIFS(scans!$C$2:$C$1601,$C619,scans!$D$2:$D$1601,$D619)&gt;1,"two readings of this type: keep one; ",""))</f>
        <v/>
      </c>
    </row>
    <row r="620">
      <c r="A620" s="9" t="n"/>
      <c r="B620" s="33" t="n"/>
      <c r="G620" s="25">
        <f>IF($C620="","",IFERROR(IF(INDEX(links!$A$2:$A$501,MATCH($C620,links!$D$2:$D$501,0))="","",INDEX(links!$A$2:$A$501,MATCH($C620,links!$D$2:$D$501,0))),""))</f>
        <v/>
      </c>
      <c r="H620" s="25">
        <f>IF($C620="","",IFERROR(IF(INDEX(links!$B$2:$B$501,MATCH($C620,links!$D$2:$D$501,0))="","",INDEX(links!$B$2:$B$501,MATCH($C620,links!$D$2:$D$501,0))),""))</f>
        <v/>
      </c>
      <c r="I620" s="25">
        <f>IF($C620="","",IFERROR(IF(INDEX(links!$C$2:$C$501,MATCH($C620,links!$D$2:$D$501,0))="","",INDEX(links!$C$2:$C$501,MATCH($C620,links!$D$2:$D$501,0))),""))</f>
        <v/>
      </c>
      <c r="J620" s="25">
        <f>IF($C620="","",IF($G620="","slug not in links; ","")&amp;IF($D620="","reading type missing; ","")&amp;IF(COUNTIFS(scans!$C$2:$C$1601,$C620,scans!$D$2:$D$1601,$D620)&gt;1,"two readings of this type: keep one; ",""))</f>
        <v/>
      </c>
    </row>
    <row r="621">
      <c r="A621" s="9" t="n"/>
      <c r="B621" s="33" t="n"/>
      <c r="G621" s="25">
        <f>IF($C621="","",IFERROR(IF(INDEX(links!$A$2:$A$501,MATCH($C621,links!$D$2:$D$501,0))="","",INDEX(links!$A$2:$A$501,MATCH($C621,links!$D$2:$D$501,0))),""))</f>
        <v/>
      </c>
      <c r="H621" s="25">
        <f>IF($C621="","",IFERROR(IF(INDEX(links!$B$2:$B$501,MATCH($C621,links!$D$2:$D$501,0))="","",INDEX(links!$B$2:$B$501,MATCH($C621,links!$D$2:$D$501,0))),""))</f>
        <v/>
      </c>
      <c r="I621" s="25">
        <f>IF($C621="","",IFERROR(IF(INDEX(links!$C$2:$C$501,MATCH($C621,links!$D$2:$D$501,0))="","",INDEX(links!$C$2:$C$501,MATCH($C621,links!$D$2:$D$501,0))),""))</f>
        <v/>
      </c>
      <c r="J621" s="25">
        <f>IF($C621="","",IF($G621="","slug not in links; ","")&amp;IF($D621="","reading type missing; ","")&amp;IF(COUNTIFS(scans!$C$2:$C$1601,$C621,scans!$D$2:$D$1601,$D621)&gt;1,"two readings of this type: keep one; ",""))</f>
        <v/>
      </c>
    </row>
    <row r="622">
      <c r="A622" s="9" t="n"/>
      <c r="B622" s="33" t="n"/>
      <c r="G622" s="25">
        <f>IF($C622="","",IFERROR(IF(INDEX(links!$A$2:$A$501,MATCH($C622,links!$D$2:$D$501,0))="","",INDEX(links!$A$2:$A$501,MATCH($C622,links!$D$2:$D$501,0))),""))</f>
        <v/>
      </c>
      <c r="H622" s="25">
        <f>IF($C622="","",IFERROR(IF(INDEX(links!$B$2:$B$501,MATCH($C622,links!$D$2:$D$501,0))="","",INDEX(links!$B$2:$B$501,MATCH($C622,links!$D$2:$D$501,0))),""))</f>
        <v/>
      </c>
      <c r="I622" s="25">
        <f>IF($C622="","",IFERROR(IF(INDEX(links!$C$2:$C$501,MATCH($C622,links!$D$2:$D$501,0))="","",INDEX(links!$C$2:$C$501,MATCH($C622,links!$D$2:$D$501,0))),""))</f>
        <v/>
      </c>
      <c r="J622" s="25">
        <f>IF($C622="","",IF($G622="","slug not in links; ","")&amp;IF($D622="","reading type missing; ","")&amp;IF(COUNTIFS(scans!$C$2:$C$1601,$C622,scans!$D$2:$D$1601,$D622)&gt;1,"two readings of this type: keep one; ",""))</f>
        <v/>
      </c>
    </row>
    <row r="623">
      <c r="A623" s="9" t="n"/>
      <c r="B623" s="33" t="n"/>
      <c r="G623" s="25">
        <f>IF($C623="","",IFERROR(IF(INDEX(links!$A$2:$A$501,MATCH($C623,links!$D$2:$D$501,0))="","",INDEX(links!$A$2:$A$501,MATCH($C623,links!$D$2:$D$501,0))),""))</f>
        <v/>
      </c>
      <c r="H623" s="25">
        <f>IF($C623="","",IFERROR(IF(INDEX(links!$B$2:$B$501,MATCH($C623,links!$D$2:$D$501,0))="","",INDEX(links!$B$2:$B$501,MATCH($C623,links!$D$2:$D$501,0))),""))</f>
        <v/>
      </c>
      <c r="I623" s="25">
        <f>IF($C623="","",IFERROR(IF(INDEX(links!$C$2:$C$501,MATCH($C623,links!$D$2:$D$501,0))="","",INDEX(links!$C$2:$C$501,MATCH($C623,links!$D$2:$D$501,0))),""))</f>
        <v/>
      </c>
      <c r="J623" s="25">
        <f>IF($C623="","",IF($G623="","slug not in links; ","")&amp;IF($D623="","reading type missing; ","")&amp;IF(COUNTIFS(scans!$C$2:$C$1601,$C623,scans!$D$2:$D$1601,$D623)&gt;1,"two readings of this type: keep one; ",""))</f>
        <v/>
      </c>
    </row>
    <row r="624">
      <c r="A624" s="9" t="n"/>
      <c r="B624" s="33" t="n"/>
      <c r="G624" s="25">
        <f>IF($C624="","",IFERROR(IF(INDEX(links!$A$2:$A$501,MATCH($C624,links!$D$2:$D$501,0))="","",INDEX(links!$A$2:$A$501,MATCH($C624,links!$D$2:$D$501,0))),""))</f>
        <v/>
      </c>
      <c r="H624" s="25">
        <f>IF($C624="","",IFERROR(IF(INDEX(links!$B$2:$B$501,MATCH($C624,links!$D$2:$D$501,0))="","",INDEX(links!$B$2:$B$501,MATCH($C624,links!$D$2:$D$501,0))),""))</f>
        <v/>
      </c>
      <c r="I624" s="25">
        <f>IF($C624="","",IFERROR(IF(INDEX(links!$C$2:$C$501,MATCH($C624,links!$D$2:$D$501,0))="","",INDEX(links!$C$2:$C$501,MATCH($C624,links!$D$2:$D$501,0))),""))</f>
        <v/>
      </c>
      <c r="J624" s="25">
        <f>IF($C624="","",IF($G624="","slug not in links; ","")&amp;IF($D624="","reading type missing; ","")&amp;IF(COUNTIFS(scans!$C$2:$C$1601,$C624,scans!$D$2:$D$1601,$D624)&gt;1,"two readings of this type: keep one; ",""))</f>
        <v/>
      </c>
    </row>
    <row r="625">
      <c r="A625" s="9" t="n"/>
      <c r="B625" s="33" t="n"/>
      <c r="G625" s="25">
        <f>IF($C625="","",IFERROR(IF(INDEX(links!$A$2:$A$501,MATCH($C625,links!$D$2:$D$501,0))="","",INDEX(links!$A$2:$A$501,MATCH($C625,links!$D$2:$D$501,0))),""))</f>
        <v/>
      </c>
      <c r="H625" s="25">
        <f>IF($C625="","",IFERROR(IF(INDEX(links!$B$2:$B$501,MATCH($C625,links!$D$2:$D$501,0))="","",INDEX(links!$B$2:$B$501,MATCH($C625,links!$D$2:$D$501,0))),""))</f>
        <v/>
      </c>
      <c r="I625" s="25">
        <f>IF($C625="","",IFERROR(IF(INDEX(links!$C$2:$C$501,MATCH($C625,links!$D$2:$D$501,0))="","",INDEX(links!$C$2:$C$501,MATCH($C625,links!$D$2:$D$501,0))),""))</f>
        <v/>
      </c>
      <c r="J625" s="25">
        <f>IF($C625="","",IF($G625="","slug not in links; ","")&amp;IF($D625="","reading type missing; ","")&amp;IF(COUNTIFS(scans!$C$2:$C$1601,$C625,scans!$D$2:$D$1601,$D625)&gt;1,"two readings of this type: keep one; ",""))</f>
        <v/>
      </c>
    </row>
    <row r="626">
      <c r="A626" s="9" t="n"/>
      <c r="B626" s="33" t="n"/>
      <c r="G626" s="25">
        <f>IF($C626="","",IFERROR(IF(INDEX(links!$A$2:$A$501,MATCH($C626,links!$D$2:$D$501,0))="","",INDEX(links!$A$2:$A$501,MATCH($C626,links!$D$2:$D$501,0))),""))</f>
        <v/>
      </c>
      <c r="H626" s="25">
        <f>IF($C626="","",IFERROR(IF(INDEX(links!$B$2:$B$501,MATCH($C626,links!$D$2:$D$501,0))="","",INDEX(links!$B$2:$B$501,MATCH($C626,links!$D$2:$D$501,0))),""))</f>
        <v/>
      </c>
      <c r="I626" s="25">
        <f>IF($C626="","",IFERROR(IF(INDEX(links!$C$2:$C$501,MATCH($C626,links!$D$2:$D$501,0))="","",INDEX(links!$C$2:$C$501,MATCH($C626,links!$D$2:$D$501,0))),""))</f>
        <v/>
      </c>
      <c r="J626" s="25">
        <f>IF($C626="","",IF($G626="","slug not in links; ","")&amp;IF($D626="","reading type missing; ","")&amp;IF(COUNTIFS(scans!$C$2:$C$1601,$C626,scans!$D$2:$D$1601,$D626)&gt;1,"two readings of this type: keep one; ",""))</f>
        <v/>
      </c>
    </row>
    <row r="627">
      <c r="A627" s="9" t="n"/>
      <c r="B627" s="33" t="n"/>
      <c r="G627" s="25">
        <f>IF($C627="","",IFERROR(IF(INDEX(links!$A$2:$A$501,MATCH($C627,links!$D$2:$D$501,0))="","",INDEX(links!$A$2:$A$501,MATCH($C627,links!$D$2:$D$501,0))),""))</f>
        <v/>
      </c>
      <c r="H627" s="25">
        <f>IF($C627="","",IFERROR(IF(INDEX(links!$B$2:$B$501,MATCH($C627,links!$D$2:$D$501,0))="","",INDEX(links!$B$2:$B$501,MATCH($C627,links!$D$2:$D$501,0))),""))</f>
        <v/>
      </c>
      <c r="I627" s="25">
        <f>IF($C627="","",IFERROR(IF(INDEX(links!$C$2:$C$501,MATCH($C627,links!$D$2:$D$501,0))="","",INDEX(links!$C$2:$C$501,MATCH($C627,links!$D$2:$D$501,0))),""))</f>
        <v/>
      </c>
      <c r="J627" s="25">
        <f>IF($C627="","",IF($G627="","slug not in links; ","")&amp;IF($D627="","reading type missing; ","")&amp;IF(COUNTIFS(scans!$C$2:$C$1601,$C627,scans!$D$2:$D$1601,$D627)&gt;1,"two readings of this type: keep one; ",""))</f>
        <v/>
      </c>
    </row>
    <row r="628">
      <c r="A628" s="9" t="n"/>
      <c r="B628" s="33" t="n"/>
      <c r="G628" s="25">
        <f>IF($C628="","",IFERROR(IF(INDEX(links!$A$2:$A$501,MATCH($C628,links!$D$2:$D$501,0))="","",INDEX(links!$A$2:$A$501,MATCH($C628,links!$D$2:$D$501,0))),""))</f>
        <v/>
      </c>
      <c r="H628" s="25">
        <f>IF($C628="","",IFERROR(IF(INDEX(links!$B$2:$B$501,MATCH($C628,links!$D$2:$D$501,0))="","",INDEX(links!$B$2:$B$501,MATCH($C628,links!$D$2:$D$501,0))),""))</f>
        <v/>
      </c>
      <c r="I628" s="25">
        <f>IF($C628="","",IFERROR(IF(INDEX(links!$C$2:$C$501,MATCH($C628,links!$D$2:$D$501,0))="","",INDEX(links!$C$2:$C$501,MATCH($C628,links!$D$2:$D$501,0))),""))</f>
        <v/>
      </c>
      <c r="J628" s="25">
        <f>IF($C628="","",IF($G628="","slug not in links; ","")&amp;IF($D628="","reading type missing; ","")&amp;IF(COUNTIFS(scans!$C$2:$C$1601,$C628,scans!$D$2:$D$1601,$D628)&gt;1,"two readings of this type: keep one; ",""))</f>
        <v/>
      </c>
    </row>
    <row r="629">
      <c r="A629" s="9" t="n"/>
      <c r="B629" s="33" t="n"/>
      <c r="G629" s="25">
        <f>IF($C629="","",IFERROR(IF(INDEX(links!$A$2:$A$501,MATCH($C629,links!$D$2:$D$501,0))="","",INDEX(links!$A$2:$A$501,MATCH($C629,links!$D$2:$D$501,0))),""))</f>
        <v/>
      </c>
      <c r="H629" s="25">
        <f>IF($C629="","",IFERROR(IF(INDEX(links!$B$2:$B$501,MATCH($C629,links!$D$2:$D$501,0))="","",INDEX(links!$B$2:$B$501,MATCH($C629,links!$D$2:$D$501,0))),""))</f>
        <v/>
      </c>
      <c r="I629" s="25">
        <f>IF($C629="","",IFERROR(IF(INDEX(links!$C$2:$C$501,MATCH($C629,links!$D$2:$D$501,0))="","",INDEX(links!$C$2:$C$501,MATCH($C629,links!$D$2:$D$501,0))),""))</f>
        <v/>
      </c>
      <c r="J629" s="25">
        <f>IF($C629="","",IF($G629="","slug not in links; ","")&amp;IF($D629="","reading type missing; ","")&amp;IF(COUNTIFS(scans!$C$2:$C$1601,$C629,scans!$D$2:$D$1601,$D629)&gt;1,"two readings of this type: keep one; ",""))</f>
        <v/>
      </c>
    </row>
    <row r="630">
      <c r="A630" s="9" t="n"/>
      <c r="B630" s="33" t="n"/>
      <c r="G630" s="25">
        <f>IF($C630="","",IFERROR(IF(INDEX(links!$A$2:$A$501,MATCH($C630,links!$D$2:$D$501,0))="","",INDEX(links!$A$2:$A$501,MATCH($C630,links!$D$2:$D$501,0))),""))</f>
        <v/>
      </c>
      <c r="H630" s="25">
        <f>IF($C630="","",IFERROR(IF(INDEX(links!$B$2:$B$501,MATCH($C630,links!$D$2:$D$501,0))="","",INDEX(links!$B$2:$B$501,MATCH($C630,links!$D$2:$D$501,0))),""))</f>
        <v/>
      </c>
      <c r="I630" s="25">
        <f>IF($C630="","",IFERROR(IF(INDEX(links!$C$2:$C$501,MATCH($C630,links!$D$2:$D$501,0))="","",INDEX(links!$C$2:$C$501,MATCH($C630,links!$D$2:$D$501,0))),""))</f>
        <v/>
      </c>
      <c r="J630" s="25">
        <f>IF($C630="","",IF($G630="","slug not in links; ","")&amp;IF($D630="","reading type missing; ","")&amp;IF(COUNTIFS(scans!$C$2:$C$1601,$C630,scans!$D$2:$D$1601,$D630)&gt;1,"two readings of this type: keep one; ",""))</f>
        <v/>
      </c>
    </row>
    <row r="631">
      <c r="A631" s="9" t="n"/>
      <c r="B631" s="33" t="n"/>
      <c r="G631" s="25">
        <f>IF($C631="","",IFERROR(IF(INDEX(links!$A$2:$A$501,MATCH($C631,links!$D$2:$D$501,0))="","",INDEX(links!$A$2:$A$501,MATCH($C631,links!$D$2:$D$501,0))),""))</f>
        <v/>
      </c>
      <c r="H631" s="25">
        <f>IF($C631="","",IFERROR(IF(INDEX(links!$B$2:$B$501,MATCH($C631,links!$D$2:$D$501,0))="","",INDEX(links!$B$2:$B$501,MATCH($C631,links!$D$2:$D$501,0))),""))</f>
        <v/>
      </c>
      <c r="I631" s="25">
        <f>IF($C631="","",IFERROR(IF(INDEX(links!$C$2:$C$501,MATCH($C631,links!$D$2:$D$501,0))="","",INDEX(links!$C$2:$C$501,MATCH($C631,links!$D$2:$D$501,0))),""))</f>
        <v/>
      </c>
      <c r="J631" s="25">
        <f>IF($C631="","",IF($G631="","slug not in links; ","")&amp;IF($D631="","reading type missing; ","")&amp;IF(COUNTIFS(scans!$C$2:$C$1601,$C631,scans!$D$2:$D$1601,$D631)&gt;1,"two readings of this type: keep one; ",""))</f>
        <v/>
      </c>
    </row>
    <row r="632">
      <c r="A632" s="9" t="n"/>
      <c r="B632" s="33" t="n"/>
      <c r="G632" s="25">
        <f>IF($C632="","",IFERROR(IF(INDEX(links!$A$2:$A$501,MATCH($C632,links!$D$2:$D$501,0))="","",INDEX(links!$A$2:$A$501,MATCH($C632,links!$D$2:$D$501,0))),""))</f>
        <v/>
      </c>
      <c r="H632" s="25">
        <f>IF($C632="","",IFERROR(IF(INDEX(links!$B$2:$B$501,MATCH($C632,links!$D$2:$D$501,0))="","",INDEX(links!$B$2:$B$501,MATCH($C632,links!$D$2:$D$501,0))),""))</f>
        <v/>
      </c>
      <c r="I632" s="25">
        <f>IF($C632="","",IFERROR(IF(INDEX(links!$C$2:$C$501,MATCH($C632,links!$D$2:$D$501,0))="","",INDEX(links!$C$2:$C$501,MATCH($C632,links!$D$2:$D$501,0))),""))</f>
        <v/>
      </c>
      <c r="J632" s="25">
        <f>IF($C632="","",IF($G632="","slug not in links; ","")&amp;IF($D632="","reading type missing; ","")&amp;IF(COUNTIFS(scans!$C$2:$C$1601,$C632,scans!$D$2:$D$1601,$D632)&gt;1,"two readings of this type: keep one; ",""))</f>
        <v/>
      </c>
    </row>
    <row r="633">
      <c r="A633" s="9" t="n"/>
      <c r="B633" s="33" t="n"/>
      <c r="G633" s="25">
        <f>IF($C633="","",IFERROR(IF(INDEX(links!$A$2:$A$501,MATCH($C633,links!$D$2:$D$501,0))="","",INDEX(links!$A$2:$A$501,MATCH($C633,links!$D$2:$D$501,0))),""))</f>
        <v/>
      </c>
      <c r="H633" s="25">
        <f>IF($C633="","",IFERROR(IF(INDEX(links!$B$2:$B$501,MATCH($C633,links!$D$2:$D$501,0))="","",INDEX(links!$B$2:$B$501,MATCH($C633,links!$D$2:$D$501,0))),""))</f>
        <v/>
      </c>
      <c r="I633" s="25">
        <f>IF($C633="","",IFERROR(IF(INDEX(links!$C$2:$C$501,MATCH($C633,links!$D$2:$D$501,0))="","",INDEX(links!$C$2:$C$501,MATCH($C633,links!$D$2:$D$501,0))),""))</f>
        <v/>
      </c>
      <c r="J633" s="25">
        <f>IF($C633="","",IF($G633="","slug not in links; ","")&amp;IF($D633="","reading type missing; ","")&amp;IF(COUNTIFS(scans!$C$2:$C$1601,$C633,scans!$D$2:$D$1601,$D633)&gt;1,"two readings of this type: keep one; ",""))</f>
        <v/>
      </c>
    </row>
    <row r="634">
      <c r="A634" s="9" t="n"/>
      <c r="B634" s="33" t="n"/>
      <c r="G634" s="25">
        <f>IF($C634="","",IFERROR(IF(INDEX(links!$A$2:$A$501,MATCH($C634,links!$D$2:$D$501,0))="","",INDEX(links!$A$2:$A$501,MATCH($C634,links!$D$2:$D$501,0))),""))</f>
        <v/>
      </c>
      <c r="H634" s="25">
        <f>IF($C634="","",IFERROR(IF(INDEX(links!$B$2:$B$501,MATCH($C634,links!$D$2:$D$501,0))="","",INDEX(links!$B$2:$B$501,MATCH($C634,links!$D$2:$D$501,0))),""))</f>
        <v/>
      </c>
      <c r="I634" s="25">
        <f>IF($C634="","",IFERROR(IF(INDEX(links!$C$2:$C$501,MATCH($C634,links!$D$2:$D$501,0))="","",INDEX(links!$C$2:$C$501,MATCH($C634,links!$D$2:$D$501,0))),""))</f>
        <v/>
      </c>
      <c r="J634" s="25">
        <f>IF($C634="","",IF($G634="","slug not in links; ","")&amp;IF($D634="","reading type missing; ","")&amp;IF(COUNTIFS(scans!$C$2:$C$1601,$C634,scans!$D$2:$D$1601,$D634)&gt;1,"two readings of this type: keep one; ",""))</f>
        <v/>
      </c>
    </row>
    <row r="635">
      <c r="A635" s="9" t="n"/>
      <c r="B635" s="33" t="n"/>
      <c r="G635" s="25">
        <f>IF($C635="","",IFERROR(IF(INDEX(links!$A$2:$A$501,MATCH($C635,links!$D$2:$D$501,0))="","",INDEX(links!$A$2:$A$501,MATCH($C635,links!$D$2:$D$501,0))),""))</f>
        <v/>
      </c>
      <c r="H635" s="25">
        <f>IF($C635="","",IFERROR(IF(INDEX(links!$B$2:$B$501,MATCH($C635,links!$D$2:$D$501,0))="","",INDEX(links!$B$2:$B$501,MATCH($C635,links!$D$2:$D$501,0))),""))</f>
        <v/>
      </c>
      <c r="I635" s="25">
        <f>IF($C635="","",IFERROR(IF(INDEX(links!$C$2:$C$501,MATCH($C635,links!$D$2:$D$501,0))="","",INDEX(links!$C$2:$C$501,MATCH($C635,links!$D$2:$D$501,0))),""))</f>
        <v/>
      </c>
      <c r="J635" s="25">
        <f>IF($C635="","",IF($G635="","slug not in links; ","")&amp;IF($D635="","reading type missing; ","")&amp;IF(COUNTIFS(scans!$C$2:$C$1601,$C635,scans!$D$2:$D$1601,$D635)&gt;1,"two readings of this type: keep one; ",""))</f>
        <v/>
      </c>
    </row>
    <row r="636">
      <c r="A636" s="9" t="n"/>
      <c r="B636" s="33" t="n"/>
      <c r="G636" s="25">
        <f>IF($C636="","",IFERROR(IF(INDEX(links!$A$2:$A$501,MATCH($C636,links!$D$2:$D$501,0))="","",INDEX(links!$A$2:$A$501,MATCH($C636,links!$D$2:$D$501,0))),""))</f>
        <v/>
      </c>
      <c r="H636" s="25">
        <f>IF($C636="","",IFERROR(IF(INDEX(links!$B$2:$B$501,MATCH($C636,links!$D$2:$D$501,0))="","",INDEX(links!$B$2:$B$501,MATCH($C636,links!$D$2:$D$501,0))),""))</f>
        <v/>
      </c>
      <c r="I636" s="25">
        <f>IF($C636="","",IFERROR(IF(INDEX(links!$C$2:$C$501,MATCH($C636,links!$D$2:$D$501,0))="","",INDEX(links!$C$2:$C$501,MATCH($C636,links!$D$2:$D$501,0))),""))</f>
        <v/>
      </c>
      <c r="J636" s="25">
        <f>IF($C636="","",IF($G636="","slug not in links; ","")&amp;IF($D636="","reading type missing; ","")&amp;IF(COUNTIFS(scans!$C$2:$C$1601,$C636,scans!$D$2:$D$1601,$D636)&gt;1,"two readings of this type: keep one; ",""))</f>
        <v/>
      </c>
    </row>
    <row r="637">
      <c r="A637" s="9" t="n"/>
      <c r="B637" s="33" t="n"/>
      <c r="G637" s="25">
        <f>IF($C637="","",IFERROR(IF(INDEX(links!$A$2:$A$501,MATCH($C637,links!$D$2:$D$501,0))="","",INDEX(links!$A$2:$A$501,MATCH($C637,links!$D$2:$D$501,0))),""))</f>
        <v/>
      </c>
      <c r="H637" s="25">
        <f>IF($C637="","",IFERROR(IF(INDEX(links!$B$2:$B$501,MATCH($C637,links!$D$2:$D$501,0))="","",INDEX(links!$B$2:$B$501,MATCH($C637,links!$D$2:$D$501,0))),""))</f>
        <v/>
      </c>
      <c r="I637" s="25">
        <f>IF($C637="","",IFERROR(IF(INDEX(links!$C$2:$C$501,MATCH($C637,links!$D$2:$D$501,0))="","",INDEX(links!$C$2:$C$501,MATCH($C637,links!$D$2:$D$501,0))),""))</f>
        <v/>
      </c>
      <c r="J637" s="25">
        <f>IF($C637="","",IF($G637="","slug not in links; ","")&amp;IF($D637="","reading type missing; ","")&amp;IF(COUNTIFS(scans!$C$2:$C$1601,$C637,scans!$D$2:$D$1601,$D637)&gt;1,"two readings of this type: keep one; ",""))</f>
        <v/>
      </c>
    </row>
    <row r="638">
      <c r="A638" s="9" t="n"/>
      <c r="B638" s="33" t="n"/>
      <c r="G638" s="25">
        <f>IF($C638="","",IFERROR(IF(INDEX(links!$A$2:$A$501,MATCH($C638,links!$D$2:$D$501,0))="","",INDEX(links!$A$2:$A$501,MATCH($C638,links!$D$2:$D$501,0))),""))</f>
        <v/>
      </c>
      <c r="H638" s="25">
        <f>IF($C638="","",IFERROR(IF(INDEX(links!$B$2:$B$501,MATCH($C638,links!$D$2:$D$501,0))="","",INDEX(links!$B$2:$B$501,MATCH($C638,links!$D$2:$D$501,0))),""))</f>
        <v/>
      </c>
      <c r="I638" s="25">
        <f>IF($C638="","",IFERROR(IF(INDEX(links!$C$2:$C$501,MATCH($C638,links!$D$2:$D$501,0))="","",INDEX(links!$C$2:$C$501,MATCH($C638,links!$D$2:$D$501,0))),""))</f>
        <v/>
      </c>
      <c r="J638" s="25">
        <f>IF($C638="","",IF($G638="","slug not in links; ","")&amp;IF($D638="","reading type missing; ","")&amp;IF(COUNTIFS(scans!$C$2:$C$1601,$C638,scans!$D$2:$D$1601,$D638)&gt;1,"two readings of this type: keep one; ",""))</f>
        <v/>
      </c>
    </row>
    <row r="639">
      <c r="A639" s="9" t="n"/>
      <c r="B639" s="33" t="n"/>
      <c r="G639" s="25">
        <f>IF($C639="","",IFERROR(IF(INDEX(links!$A$2:$A$501,MATCH($C639,links!$D$2:$D$501,0))="","",INDEX(links!$A$2:$A$501,MATCH($C639,links!$D$2:$D$501,0))),""))</f>
        <v/>
      </c>
      <c r="H639" s="25">
        <f>IF($C639="","",IFERROR(IF(INDEX(links!$B$2:$B$501,MATCH($C639,links!$D$2:$D$501,0))="","",INDEX(links!$B$2:$B$501,MATCH($C639,links!$D$2:$D$501,0))),""))</f>
        <v/>
      </c>
      <c r="I639" s="25">
        <f>IF($C639="","",IFERROR(IF(INDEX(links!$C$2:$C$501,MATCH($C639,links!$D$2:$D$501,0))="","",INDEX(links!$C$2:$C$501,MATCH($C639,links!$D$2:$D$501,0))),""))</f>
        <v/>
      </c>
      <c r="J639" s="25">
        <f>IF($C639="","",IF($G639="","slug not in links; ","")&amp;IF($D639="","reading type missing; ","")&amp;IF(COUNTIFS(scans!$C$2:$C$1601,$C639,scans!$D$2:$D$1601,$D639)&gt;1,"two readings of this type: keep one; ",""))</f>
        <v/>
      </c>
    </row>
    <row r="640">
      <c r="A640" s="9" t="n"/>
      <c r="B640" s="33" t="n"/>
      <c r="G640" s="25">
        <f>IF($C640="","",IFERROR(IF(INDEX(links!$A$2:$A$501,MATCH($C640,links!$D$2:$D$501,0))="","",INDEX(links!$A$2:$A$501,MATCH($C640,links!$D$2:$D$501,0))),""))</f>
        <v/>
      </c>
      <c r="H640" s="25">
        <f>IF($C640="","",IFERROR(IF(INDEX(links!$B$2:$B$501,MATCH($C640,links!$D$2:$D$501,0))="","",INDEX(links!$B$2:$B$501,MATCH($C640,links!$D$2:$D$501,0))),""))</f>
        <v/>
      </c>
      <c r="I640" s="25">
        <f>IF($C640="","",IFERROR(IF(INDEX(links!$C$2:$C$501,MATCH($C640,links!$D$2:$D$501,0))="","",INDEX(links!$C$2:$C$501,MATCH($C640,links!$D$2:$D$501,0))),""))</f>
        <v/>
      </c>
      <c r="J640" s="25">
        <f>IF($C640="","",IF($G640="","slug not in links; ","")&amp;IF($D640="","reading type missing; ","")&amp;IF(COUNTIFS(scans!$C$2:$C$1601,$C640,scans!$D$2:$D$1601,$D640)&gt;1,"two readings of this type: keep one; ",""))</f>
        <v/>
      </c>
    </row>
    <row r="641">
      <c r="A641" s="9" t="n"/>
      <c r="B641" s="33" t="n"/>
      <c r="G641" s="25">
        <f>IF($C641="","",IFERROR(IF(INDEX(links!$A$2:$A$501,MATCH($C641,links!$D$2:$D$501,0))="","",INDEX(links!$A$2:$A$501,MATCH($C641,links!$D$2:$D$501,0))),""))</f>
        <v/>
      </c>
      <c r="H641" s="25">
        <f>IF($C641="","",IFERROR(IF(INDEX(links!$B$2:$B$501,MATCH($C641,links!$D$2:$D$501,0))="","",INDEX(links!$B$2:$B$501,MATCH($C641,links!$D$2:$D$501,0))),""))</f>
        <v/>
      </c>
      <c r="I641" s="25">
        <f>IF($C641="","",IFERROR(IF(INDEX(links!$C$2:$C$501,MATCH($C641,links!$D$2:$D$501,0))="","",INDEX(links!$C$2:$C$501,MATCH($C641,links!$D$2:$D$501,0))),""))</f>
        <v/>
      </c>
      <c r="J641" s="25">
        <f>IF($C641="","",IF($G641="","slug not in links; ","")&amp;IF($D641="","reading type missing; ","")&amp;IF(COUNTIFS(scans!$C$2:$C$1601,$C641,scans!$D$2:$D$1601,$D641)&gt;1,"two readings of this type: keep one; ",""))</f>
        <v/>
      </c>
    </row>
    <row r="642">
      <c r="A642" s="9" t="n"/>
      <c r="B642" s="33" t="n"/>
      <c r="G642" s="25">
        <f>IF($C642="","",IFERROR(IF(INDEX(links!$A$2:$A$501,MATCH($C642,links!$D$2:$D$501,0))="","",INDEX(links!$A$2:$A$501,MATCH($C642,links!$D$2:$D$501,0))),""))</f>
        <v/>
      </c>
      <c r="H642" s="25">
        <f>IF($C642="","",IFERROR(IF(INDEX(links!$B$2:$B$501,MATCH($C642,links!$D$2:$D$501,0))="","",INDEX(links!$B$2:$B$501,MATCH($C642,links!$D$2:$D$501,0))),""))</f>
        <v/>
      </c>
      <c r="I642" s="25">
        <f>IF($C642="","",IFERROR(IF(INDEX(links!$C$2:$C$501,MATCH($C642,links!$D$2:$D$501,0))="","",INDEX(links!$C$2:$C$501,MATCH($C642,links!$D$2:$D$501,0))),""))</f>
        <v/>
      </c>
      <c r="J642" s="25">
        <f>IF($C642="","",IF($G642="","slug not in links; ","")&amp;IF($D642="","reading type missing; ","")&amp;IF(COUNTIFS(scans!$C$2:$C$1601,$C642,scans!$D$2:$D$1601,$D642)&gt;1,"two readings of this type: keep one; ",""))</f>
        <v/>
      </c>
    </row>
    <row r="643">
      <c r="A643" s="9" t="n"/>
      <c r="B643" s="33" t="n"/>
      <c r="G643" s="25">
        <f>IF($C643="","",IFERROR(IF(INDEX(links!$A$2:$A$501,MATCH($C643,links!$D$2:$D$501,0))="","",INDEX(links!$A$2:$A$501,MATCH($C643,links!$D$2:$D$501,0))),""))</f>
        <v/>
      </c>
      <c r="H643" s="25">
        <f>IF($C643="","",IFERROR(IF(INDEX(links!$B$2:$B$501,MATCH($C643,links!$D$2:$D$501,0))="","",INDEX(links!$B$2:$B$501,MATCH($C643,links!$D$2:$D$501,0))),""))</f>
        <v/>
      </c>
      <c r="I643" s="25">
        <f>IF($C643="","",IFERROR(IF(INDEX(links!$C$2:$C$501,MATCH($C643,links!$D$2:$D$501,0))="","",INDEX(links!$C$2:$C$501,MATCH($C643,links!$D$2:$D$501,0))),""))</f>
        <v/>
      </c>
      <c r="J643" s="25">
        <f>IF($C643="","",IF($G643="","slug not in links; ","")&amp;IF($D643="","reading type missing; ","")&amp;IF(COUNTIFS(scans!$C$2:$C$1601,$C643,scans!$D$2:$D$1601,$D643)&gt;1,"two readings of this type: keep one; ",""))</f>
        <v/>
      </c>
    </row>
    <row r="644">
      <c r="A644" s="9" t="n"/>
      <c r="B644" s="33" t="n"/>
      <c r="G644" s="25">
        <f>IF($C644="","",IFERROR(IF(INDEX(links!$A$2:$A$501,MATCH($C644,links!$D$2:$D$501,0))="","",INDEX(links!$A$2:$A$501,MATCH($C644,links!$D$2:$D$501,0))),""))</f>
        <v/>
      </c>
      <c r="H644" s="25">
        <f>IF($C644="","",IFERROR(IF(INDEX(links!$B$2:$B$501,MATCH($C644,links!$D$2:$D$501,0))="","",INDEX(links!$B$2:$B$501,MATCH($C644,links!$D$2:$D$501,0))),""))</f>
        <v/>
      </c>
      <c r="I644" s="25">
        <f>IF($C644="","",IFERROR(IF(INDEX(links!$C$2:$C$501,MATCH($C644,links!$D$2:$D$501,0))="","",INDEX(links!$C$2:$C$501,MATCH($C644,links!$D$2:$D$501,0))),""))</f>
        <v/>
      </c>
      <c r="J644" s="25">
        <f>IF($C644="","",IF($G644="","slug not in links; ","")&amp;IF($D644="","reading type missing; ","")&amp;IF(COUNTIFS(scans!$C$2:$C$1601,$C644,scans!$D$2:$D$1601,$D644)&gt;1,"two readings of this type: keep one; ",""))</f>
        <v/>
      </c>
    </row>
    <row r="645">
      <c r="A645" s="9" t="n"/>
      <c r="B645" s="33" t="n"/>
      <c r="G645" s="25">
        <f>IF($C645="","",IFERROR(IF(INDEX(links!$A$2:$A$501,MATCH($C645,links!$D$2:$D$501,0))="","",INDEX(links!$A$2:$A$501,MATCH($C645,links!$D$2:$D$501,0))),""))</f>
        <v/>
      </c>
      <c r="H645" s="25">
        <f>IF($C645="","",IFERROR(IF(INDEX(links!$B$2:$B$501,MATCH($C645,links!$D$2:$D$501,0))="","",INDEX(links!$B$2:$B$501,MATCH($C645,links!$D$2:$D$501,0))),""))</f>
        <v/>
      </c>
      <c r="I645" s="25">
        <f>IF($C645="","",IFERROR(IF(INDEX(links!$C$2:$C$501,MATCH($C645,links!$D$2:$D$501,0))="","",INDEX(links!$C$2:$C$501,MATCH($C645,links!$D$2:$D$501,0))),""))</f>
        <v/>
      </c>
      <c r="J645" s="25">
        <f>IF($C645="","",IF($G645="","slug not in links; ","")&amp;IF($D645="","reading type missing; ","")&amp;IF(COUNTIFS(scans!$C$2:$C$1601,$C645,scans!$D$2:$D$1601,$D645)&gt;1,"two readings of this type: keep one; ",""))</f>
        <v/>
      </c>
    </row>
    <row r="646">
      <c r="A646" s="9" t="n"/>
      <c r="B646" s="33" t="n"/>
      <c r="G646" s="25">
        <f>IF($C646="","",IFERROR(IF(INDEX(links!$A$2:$A$501,MATCH($C646,links!$D$2:$D$501,0))="","",INDEX(links!$A$2:$A$501,MATCH($C646,links!$D$2:$D$501,0))),""))</f>
        <v/>
      </c>
      <c r="H646" s="25">
        <f>IF($C646="","",IFERROR(IF(INDEX(links!$B$2:$B$501,MATCH($C646,links!$D$2:$D$501,0))="","",INDEX(links!$B$2:$B$501,MATCH($C646,links!$D$2:$D$501,0))),""))</f>
        <v/>
      </c>
      <c r="I646" s="25">
        <f>IF($C646="","",IFERROR(IF(INDEX(links!$C$2:$C$501,MATCH($C646,links!$D$2:$D$501,0))="","",INDEX(links!$C$2:$C$501,MATCH($C646,links!$D$2:$D$501,0))),""))</f>
        <v/>
      </c>
      <c r="J646" s="25">
        <f>IF($C646="","",IF($G646="","slug not in links; ","")&amp;IF($D646="","reading type missing; ","")&amp;IF(COUNTIFS(scans!$C$2:$C$1601,$C646,scans!$D$2:$D$1601,$D646)&gt;1,"two readings of this type: keep one; ",""))</f>
        <v/>
      </c>
    </row>
    <row r="647">
      <c r="A647" s="9" t="n"/>
      <c r="B647" s="33" t="n"/>
      <c r="G647" s="25">
        <f>IF($C647="","",IFERROR(IF(INDEX(links!$A$2:$A$501,MATCH($C647,links!$D$2:$D$501,0))="","",INDEX(links!$A$2:$A$501,MATCH($C647,links!$D$2:$D$501,0))),""))</f>
        <v/>
      </c>
      <c r="H647" s="25">
        <f>IF($C647="","",IFERROR(IF(INDEX(links!$B$2:$B$501,MATCH($C647,links!$D$2:$D$501,0))="","",INDEX(links!$B$2:$B$501,MATCH($C647,links!$D$2:$D$501,0))),""))</f>
        <v/>
      </c>
      <c r="I647" s="25">
        <f>IF($C647="","",IFERROR(IF(INDEX(links!$C$2:$C$501,MATCH($C647,links!$D$2:$D$501,0))="","",INDEX(links!$C$2:$C$501,MATCH($C647,links!$D$2:$D$501,0))),""))</f>
        <v/>
      </c>
      <c r="J647" s="25">
        <f>IF($C647="","",IF($G647="","slug not in links; ","")&amp;IF($D647="","reading type missing; ","")&amp;IF(COUNTIFS(scans!$C$2:$C$1601,$C647,scans!$D$2:$D$1601,$D647)&gt;1,"two readings of this type: keep one; ",""))</f>
        <v/>
      </c>
    </row>
    <row r="648">
      <c r="A648" s="9" t="n"/>
      <c r="B648" s="33" t="n"/>
      <c r="G648" s="25">
        <f>IF($C648="","",IFERROR(IF(INDEX(links!$A$2:$A$501,MATCH($C648,links!$D$2:$D$501,0))="","",INDEX(links!$A$2:$A$501,MATCH($C648,links!$D$2:$D$501,0))),""))</f>
        <v/>
      </c>
      <c r="H648" s="25">
        <f>IF($C648="","",IFERROR(IF(INDEX(links!$B$2:$B$501,MATCH($C648,links!$D$2:$D$501,0))="","",INDEX(links!$B$2:$B$501,MATCH($C648,links!$D$2:$D$501,0))),""))</f>
        <v/>
      </c>
      <c r="I648" s="25">
        <f>IF($C648="","",IFERROR(IF(INDEX(links!$C$2:$C$501,MATCH($C648,links!$D$2:$D$501,0))="","",INDEX(links!$C$2:$C$501,MATCH($C648,links!$D$2:$D$501,0))),""))</f>
        <v/>
      </c>
      <c r="J648" s="25">
        <f>IF($C648="","",IF($G648="","slug not in links; ","")&amp;IF($D648="","reading type missing; ","")&amp;IF(COUNTIFS(scans!$C$2:$C$1601,$C648,scans!$D$2:$D$1601,$D648)&gt;1,"two readings of this type: keep one; ",""))</f>
        <v/>
      </c>
    </row>
    <row r="649">
      <c r="A649" s="9" t="n"/>
      <c r="B649" s="33" t="n"/>
      <c r="G649" s="25">
        <f>IF($C649="","",IFERROR(IF(INDEX(links!$A$2:$A$501,MATCH($C649,links!$D$2:$D$501,0))="","",INDEX(links!$A$2:$A$501,MATCH($C649,links!$D$2:$D$501,0))),""))</f>
        <v/>
      </c>
      <c r="H649" s="25">
        <f>IF($C649="","",IFERROR(IF(INDEX(links!$B$2:$B$501,MATCH($C649,links!$D$2:$D$501,0))="","",INDEX(links!$B$2:$B$501,MATCH($C649,links!$D$2:$D$501,0))),""))</f>
        <v/>
      </c>
      <c r="I649" s="25">
        <f>IF($C649="","",IFERROR(IF(INDEX(links!$C$2:$C$501,MATCH($C649,links!$D$2:$D$501,0))="","",INDEX(links!$C$2:$C$501,MATCH($C649,links!$D$2:$D$501,0))),""))</f>
        <v/>
      </c>
      <c r="J649" s="25">
        <f>IF($C649="","",IF($G649="","slug not in links; ","")&amp;IF($D649="","reading type missing; ","")&amp;IF(COUNTIFS(scans!$C$2:$C$1601,$C649,scans!$D$2:$D$1601,$D649)&gt;1,"two readings of this type: keep one; ",""))</f>
        <v/>
      </c>
    </row>
    <row r="650">
      <c r="A650" s="9" t="n"/>
      <c r="B650" s="33" t="n"/>
      <c r="G650" s="25">
        <f>IF($C650="","",IFERROR(IF(INDEX(links!$A$2:$A$501,MATCH($C650,links!$D$2:$D$501,0))="","",INDEX(links!$A$2:$A$501,MATCH($C650,links!$D$2:$D$501,0))),""))</f>
        <v/>
      </c>
      <c r="H650" s="25">
        <f>IF($C650="","",IFERROR(IF(INDEX(links!$B$2:$B$501,MATCH($C650,links!$D$2:$D$501,0))="","",INDEX(links!$B$2:$B$501,MATCH($C650,links!$D$2:$D$501,0))),""))</f>
        <v/>
      </c>
      <c r="I650" s="25">
        <f>IF($C650="","",IFERROR(IF(INDEX(links!$C$2:$C$501,MATCH($C650,links!$D$2:$D$501,0))="","",INDEX(links!$C$2:$C$501,MATCH($C650,links!$D$2:$D$501,0))),""))</f>
        <v/>
      </c>
      <c r="J650" s="25">
        <f>IF($C650="","",IF($G650="","slug not in links; ","")&amp;IF($D650="","reading type missing; ","")&amp;IF(COUNTIFS(scans!$C$2:$C$1601,$C650,scans!$D$2:$D$1601,$D650)&gt;1,"two readings of this type: keep one; ",""))</f>
        <v/>
      </c>
    </row>
    <row r="651">
      <c r="A651" s="9" t="n"/>
      <c r="B651" s="33" t="n"/>
      <c r="G651" s="25">
        <f>IF($C651="","",IFERROR(IF(INDEX(links!$A$2:$A$501,MATCH($C651,links!$D$2:$D$501,0))="","",INDEX(links!$A$2:$A$501,MATCH($C651,links!$D$2:$D$501,0))),""))</f>
        <v/>
      </c>
      <c r="H651" s="25">
        <f>IF($C651="","",IFERROR(IF(INDEX(links!$B$2:$B$501,MATCH($C651,links!$D$2:$D$501,0))="","",INDEX(links!$B$2:$B$501,MATCH($C651,links!$D$2:$D$501,0))),""))</f>
        <v/>
      </c>
      <c r="I651" s="25">
        <f>IF($C651="","",IFERROR(IF(INDEX(links!$C$2:$C$501,MATCH($C651,links!$D$2:$D$501,0))="","",INDEX(links!$C$2:$C$501,MATCH($C651,links!$D$2:$D$501,0))),""))</f>
        <v/>
      </c>
      <c r="J651" s="25">
        <f>IF($C651="","",IF($G651="","slug not in links; ","")&amp;IF($D651="","reading type missing; ","")&amp;IF(COUNTIFS(scans!$C$2:$C$1601,$C651,scans!$D$2:$D$1601,$D651)&gt;1,"two readings of this type: keep one; ",""))</f>
        <v/>
      </c>
    </row>
    <row r="652">
      <c r="A652" s="9" t="n"/>
      <c r="B652" s="33" t="n"/>
      <c r="G652" s="25">
        <f>IF($C652="","",IFERROR(IF(INDEX(links!$A$2:$A$501,MATCH($C652,links!$D$2:$D$501,0))="","",INDEX(links!$A$2:$A$501,MATCH($C652,links!$D$2:$D$501,0))),""))</f>
        <v/>
      </c>
      <c r="H652" s="25">
        <f>IF($C652="","",IFERROR(IF(INDEX(links!$B$2:$B$501,MATCH($C652,links!$D$2:$D$501,0))="","",INDEX(links!$B$2:$B$501,MATCH($C652,links!$D$2:$D$501,0))),""))</f>
        <v/>
      </c>
      <c r="I652" s="25">
        <f>IF($C652="","",IFERROR(IF(INDEX(links!$C$2:$C$501,MATCH($C652,links!$D$2:$D$501,0))="","",INDEX(links!$C$2:$C$501,MATCH($C652,links!$D$2:$D$501,0))),""))</f>
        <v/>
      </c>
      <c r="J652" s="25">
        <f>IF($C652="","",IF($G652="","slug not in links; ","")&amp;IF($D652="","reading type missing; ","")&amp;IF(COUNTIFS(scans!$C$2:$C$1601,$C652,scans!$D$2:$D$1601,$D652)&gt;1,"two readings of this type: keep one; ",""))</f>
        <v/>
      </c>
    </row>
    <row r="653">
      <c r="A653" s="9" t="n"/>
      <c r="B653" s="33" t="n"/>
      <c r="G653" s="25">
        <f>IF($C653="","",IFERROR(IF(INDEX(links!$A$2:$A$501,MATCH($C653,links!$D$2:$D$501,0))="","",INDEX(links!$A$2:$A$501,MATCH($C653,links!$D$2:$D$501,0))),""))</f>
        <v/>
      </c>
      <c r="H653" s="25">
        <f>IF($C653="","",IFERROR(IF(INDEX(links!$B$2:$B$501,MATCH($C653,links!$D$2:$D$501,0))="","",INDEX(links!$B$2:$B$501,MATCH($C653,links!$D$2:$D$501,0))),""))</f>
        <v/>
      </c>
      <c r="I653" s="25">
        <f>IF($C653="","",IFERROR(IF(INDEX(links!$C$2:$C$501,MATCH($C653,links!$D$2:$D$501,0))="","",INDEX(links!$C$2:$C$501,MATCH($C653,links!$D$2:$D$501,0))),""))</f>
        <v/>
      </c>
      <c r="J653" s="25">
        <f>IF($C653="","",IF($G653="","slug not in links; ","")&amp;IF($D653="","reading type missing; ","")&amp;IF(COUNTIFS(scans!$C$2:$C$1601,$C653,scans!$D$2:$D$1601,$D653)&gt;1,"two readings of this type: keep one; ",""))</f>
        <v/>
      </c>
    </row>
    <row r="654">
      <c r="A654" s="9" t="n"/>
      <c r="B654" s="33" t="n"/>
      <c r="G654" s="25">
        <f>IF($C654="","",IFERROR(IF(INDEX(links!$A$2:$A$501,MATCH($C654,links!$D$2:$D$501,0))="","",INDEX(links!$A$2:$A$501,MATCH($C654,links!$D$2:$D$501,0))),""))</f>
        <v/>
      </c>
      <c r="H654" s="25">
        <f>IF($C654="","",IFERROR(IF(INDEX(links!$B$2:$B$501,MATCH($C654,links!$D$2:$D$501,0))="","",INDEX(links!$B$2:$B$501,MATCH($C654,links!$D$2:$D$501,0))),""))</f>
        <v/>
      </c>
      <c r="I654" s="25">
        <f>IF($C654="","",IFERROR(IF(INDEX(links!$C$2:$C$501,MATCH($C654,links!$D$2:$D$501,0))="","",INDEX(links!$C$2:$C$501,MATCH($C654,links!$D$2:$D$501,0))),""))</f>
        <v/>
      </c>
      <c r="J654" s="25">
        <f>IF($C654="","",IF($G654="","slug not in links; ","")&amp;IF($D654="","reading type missing; ","")&amp;IF(COUNTIFS(scans!$C$2:$C$1601,$C654,scans!$D$2:$D$1601,$D654)&gt;1,"two readings of this type: keep one; ",""))</f>
        <v/>
      </c>
    </row>
    <row r="655">
      <c r="A655" s="9" t="n"/>
      <c r="B655" s="33" t="n"/>
      <c r="G655" s="25">
        <f>IF($C655="","",IFERROR(IF(INDEX(links!$A$2:$A$501,MATCH($C655,links!$D$2:$D$501,0))="","",INDEX(links!$A$2:$A$501,MATCH($C655,links!$D$2:$D$501,0))),""))</f>
        <v/>
      </c>
      <c r="H655" s="25">
        <f>IF($C655="","",IFERROR(IF(INDEX(links!$B$2:$B$501,MATCH($C655,links!$D$2:$D$501,0))="","",INDEX(links!$B$2:$B$501,MATCH($C655,links!$D$2:$D$501,0))),""))</f>
        <v/>
      </c>
      <c r="I655" s="25">
        <f>IF($C655="","",IFERROR(IF(INDEX(links!$C$2:$C$501,MATCH($C655,links!$D$2:$D$501,0))="","",INDEX(links!$C$2:$C$501,MATCH($C655,links!$D$2:$D$501,0))),""))</f>
        <v/>
      </c>
      <c r="J655" s="25">
        <f>IF($C655="","",IF($G655="","slug not in links; ","")&amp;IF($D655="","reading type missing; ","")&amp;IF(COUNTIFS(scans!$C$2:$C$1601,$C655,scans!$D$2:$D$1601,$D655)&gt;1,"two readings of this type: keep one; ",""))</f>
        <v/>
      </c>
    </row>
    <row r="656">
      <c r="A656" s="9" t="n"/>
      <c r="B656" s="33" t="n"/>
      <c r="G656" s="25">
        <f>IF($C656="","",IFERROR(IF(INDEX(links!$A$2:$A$501,MATCH($C656,links!$D$2:$D$501,0))="","",INDEX(links!$A$2:$A$501,MATCH($C656,links!$D$2:$D$501,0))),""))</f>
        <v/>
      </c>
      <c r="H656" s="25">
        <f>IF($C656="","",IFERROR(IF(INDEX(links!$B$2:$B$501,MATCH($C656,links!$D$2:$D$501,0))="","",INDEX(links!$B$2:$B$501,MATCH($C656,links!$D$2:$D$501,0))),""))</f>
        <v/>
      </c>
      <c r="I656" s="25">
        <f>IF($C656="","",IFERROR(IF(INDEX(links!$C$2:$C$501,MATCH($C656,links!$D$2:$D$501,0))="","",INDEX(links!$C$2:$C$501,MATCH($C656,links!$D$2:$D$501,0))),""))</f>
        <v/>
      </c>
      <c r="J656" s="25">
        <f>IF($C656="","",IF($G656="","slug not in links; ","")&amp;IF($D656="","reading type missing; ","")&amp;IF(COUNTIFS(scans!$C$2:$C$1601,$C656,scans!$D$2:$D$1601,$D656)&gt;1,"two readings of this type: keep one; ",""))</f>
        <v/>
      </c>
    </row>
    <row r="657">
      <c r="A657" s="9" t="n"/>
      <c r="B657" s="33" t="n"/>
      <c r="G657" s="25">
        <f>IF($C657="","",IFERROR(IF(INDEX(links!$A$2:$A$501,MATCH($C657,links!$D$2:$D$501,0))="","",INDEX(links!$A$2:$A$501,MATCH($C657,links!$D$2:$D$501,0))),""))</f>
        <v/>
      </c>
      <c r="H657" s="25">
        <f>IF($C657="","",IFERROR(IF(INDEX(links!$B$2:$B$501,MATCH($C657,links!$D$2:$D$501,0))="","",INDEX(links!$B$2:$B$501,MATCH($C657,links!$D$2:$D$501,0))),""))</f>
        <v/>
      </c>
      <c r="I657" s="25">
        <f>IF($C657="","",IFERROR(IF(INDEX(links!$C$2:$C$501,MATCH($C657,links!$D$2:$D$501,0))="","",INDEX(links!$C$2:$C$501,MATCH($C657,links!$D$2:$D$501,0))),""))</f>
        <v/>
      </c>
      <c r="J657" s="25">
        <f>IF($C657="","",IF($G657="","slug not in links; ","")&amp;IF($D657="","reading type missing; ","")&amp;IF(COUNTIFS(scans!$C$2:$C$1601,$C657,scans!$D$2:$D$1601,$D657)&gt;1,"two readings of this type: keep one; ",""))</f>
        <v/>
      </c>
    </row>
    <row r="658">
      <c r="A658" s="9" t="n"/>
      <c r="B658" s="33" t="n"/>
      <c r="G658" s="25">
        <f>IF($C658="","",IFERROR(IF(INDEX(links!$A$2:$A$501,MATCH($C658,links!$D$2:$D$501,0))="","",INDEX(links!$A$2:$A$501,MATCH($C658,links!$D$2:$D$501,0))),""))</f>
        <v/>
      </c>
      <c r="H658" s="25">
        <f>IF($C658="","",IFERROR(IF(INDEX(links!$B$2:$B$501,MATCH($C658,links!$D$2:$D$501,0))="","",INDEX(links!$B$2:$B$501,MATCH($C658,links!$D$2:$D$501,0))),""))</f>
        <v/>
      </c>
      <c r="I658" s="25">
        <f>IF($C658="","",IFERROR(IF(INDEX(links!$C$2:$C$501,MATCH($C658,links!$D$2:$D$501,0))="","",INDEX(links!$C$2:$C$501,MATCH($C658,links!$D$2:$D$501,0))),""))</f>
        <v/>
      </c>
      <c r="J658" s="25">
        <f>IF($C658="","",IF($G658="","slug not in links; ","")&amp;IF($D658="","reading type missing; ","")&amp;IF(COUNTIFS(scans!$C$2:$C$1601,$C658,scans!$D$2:$D$1601,$D658)&gt;1,"two readings of this type: keep one; ",""))</f>
        <v/>
      </c>
    </row>
    <row r="659">
      <c r="A659" s="9" t="n"/>
      <c r="B659" s="33" t="n"/>
      <c r="G659" s="25">
        <f>IF($C659="","",IFERROR(IF(INDEX(links!$A$2:$A$501,MATCH($C659,links!$D$2:$D$501,0))="","",INDEX(links!$A$2:$A$501,MATCH($C659,links!$D$2:$D$501,0))),""))</f>
        <v/>
      </c>
      <c r="H659" s="25">
        <f>IF($C659="","",IFERROR(IF(INDEX(links!$B$2:$B$501,MATCH($C659,links!$D$2:$D$501,0))="","",INDEX(links!$B$2:$B$501,MATCH($C659,links!$D$2:$D$501,0))),""))</f>
        <v/>
      </c>
      <c r="I659" s="25">
        <f>IF($C659="","",IFERROR(IF(INDEX(links!$C$2:$C$501,MATCH($C659,links!$D$2:$D$501,0))="","",INDEX(links!$C$2:$C$501,MATCH($C659,links!$D$2:$D$501,0))),""))</f>
        <v/>
      </c>
      <c r="J659" s="25">
        <f>IF($C659="","",IF($G659="","slug not in links; ","")&amp;IF($D659="","reading type missing; ","")&amp;IF(COUNTIFS(scans!$C$2:$C$1601,$C659,scans!$D$2:$D$1601,$D659)&gt;1,"two readings of this type: keep one; ",""))</f>
        <v/>
      </c>
    </row>
    <row r="660">
      <c r="A660" s="9" t="n"/>
      <c r="B660" s="33" t="n"/>
      <c r="G660" s="25">
        <f>IF($C660="","",IFERROR(IF(INDEX(links!$A$2:$A$501,MATCH($C660,links!$D$2:$D$501,0))="","",INDEX(links!$A$2:$A$501,MATCH($C660,links!$D$2:$D$501,0))),""))</f>
        <v/>
      </c>
      <c r="H660" s="25">
        <f>IF($C660="","",IFERROR(IF(INDEX(links!$B$2:$B$501,MATCH($C660,links!$D$2:$D$501,0))="","",INDEX(links!$B$2:$B$501,MATCH($C660,links!$D$2:$D$501,0))),""))</f>
        <v/>
      </c>
      <c r="I660" s="25">
        <f>IF($C660="","",IFERROR(IF(INDEX(links!$C$2:$C$501,MATCH($C660,links!$D$2:$D$501,0))="","",INDEX(links!$C$2:$C$501,MATCH($C660,links!$D$2:$D$501,0))),""))</f>
        <v/>
      </c>
      <c r="J660" s="25">
        <f>IF($C660="","",IF($G660="","slug not in links; ","")&amp;IF($D660="","reading type missing; ","")&amp;IF(COUNTIFS(scans!$C$2:$C$1601,$C660,scans!$D$2:$D$1601,$D660)&gt;1,"two readings of this type: keep one; ",""))</f>
        <v/>
      </c>
    </row>
    <row r="661">
      <c r="A661" s="9" t="n"/>
      <c r="B661" s="33" t="n"/>
      <c r="G661" s="25">
        <f>IF($C661="","",IFERROR(IF(INDEX(links!$A$2:$A$501,MATCH($C661,links!$D$2:$D$501,0))="","",INDEX(links!$A$2:$A$501,MATCH($C661,links!$D$2:$D$501,0))),""))</f>
        <v/>
      </c>
      <c r="H661" s="25">
        <f>IF($C661="","",IFERROR(IF(INDEX(links!$B$2:$B$501,MATCH($C661,links!$D$2:$D$501,0))="","",INDEX(links!$B$2:$B$501,MATCH($C661,links!$D$2:$D$501,0))),""))</f>
        <v/>
      </c>
      <c r="I661" s="25">
        <f>IF($C661="","",IFERROR(IF(INDEX(links!$C$2:$C$501,MATCH($C661,links!$D$2:$D$501,0))="","",INDEX(links!$C$2:$C$501,MATCH($C661,links!$D$2:$D$501,0))),""))</f>
        <v/>
      </c>
      <c r="J661" s="25">
        <f>IF($C661="","",IF($G661="","slug not in links; ","")&amp;IF($D661="","reading type missing; ","")&amp;IF(COUNTIFS(scans!$C$2:$C$1601,$C661,scans!$D$2:$D$1601,$D661)&gt;1,"two readings of this type: keep one; ",""))</f>
        <v/>
      </c>
    </row>
    <row r="662">
      <c r="A662" s="9" t="n"/>
      <c r="B662" s="33" t="n"/>
      <c r="G662" s="25">
        <f>IF($C662="","",IFERROR(IF(INDEX(links!$A$2:$A$501,MATCH($C662,links!$D$2:$D$501,0))="","",INDEX(links!$A$2:$A$501,MATCH($C662,links!$D$2:$D$501,0))),""))</f>
        <v/>
      </c>
      <c r="H662" s="25">
        <f>IF($C662="","",IFERROR(IF(INDEX(links!$B$2:$B$501,MATCH($C662,links!$D$2:$D$501,0))="","",INDEX(links!$B$2:$B$501,MATCH($C662,links!$D$2:$D$501,0))),""))</f>
        <v/>
      </c>
      <c r="I662" s="25">
        <f>IF($C662="","",IFERROR(IF(INDEX(links!$C$2:$C$501,MATCH($C662,links!$D$2:$D$501,0))="","",INDEX(links!$C$2:$C$501,MATCH($C662,links!$D$2:$D$501,0))),""))</f>
        <v/>
      </c>
      <c r="J662" s="25">
        <f>IF($C662="","",IF($G662="","slug not in links; ","")&amp;IF($D662="","reading type missing; ","")&amp;IF(COUNTIFS(scans!$C$2:$C$1601,$C662,scans!$D$2:$D$1601,$D662)&gt;1,"two readings of this type: keep one; ",""))</f>
        <v/>
      </c>
    </row>
    <row r="663">
      <c r="A663" s="9" t="n"/>
      <c r="B663" s="33" t="n"/>
      <c r="G663" s="25">
        <f>IF($C663="","",IFERROR(IF(INDEX(links!$A$2:$A$501,MATCH($C663,links!$D$2:$D$501,0))="","",INDEX(links!$A$2:$A$501,MATCH($C663,links!$D$2:$D$501,0))),""))</f>
        <v/>
      </c>
      <c r="H663" s="25">
        <f>IF($C663="","",IFERROR(IF(INDEX(links!$B$2:$B$501,MATCH($C663,links!$D$2:$D$501,0))="","",INDEX(links!$B$2:$B$501,MATCH($C663,links!$D$2:$D$501,0))),""))</f>
        <v/>
      </c>
      <c r="I663" s="25">
        <f>IF($C663="","",IFERROR(IF(INDEX(links!$C$2:$C$501,MATCH($C663,links!$D$2:$D$501,0))="","",INDEX(links!$C$2:$C$501,MATCH($C663,links!$D$2:$D$501,0))),""))</f>
        <v/>
      </c>
      <c r="J663" s="25">
        <f>IF($C663="","",IF($G663="","slug not in links; ","")&amp;IF($D663="","reading type missing; ","")&amp;IF(COUNTIFS(scans!$C$2:$C$1601,$C663,scans!$D$2:$D$1601,$D663)&gt;1,"two readings of this type: keep one; ",""))</f>
        <v/>
      </c>
    </row>
    <row r="664">
      <c r="A664" s="9" t="n"/>
      <c r="B664" s="33" t="n"/>
      <c r="G664" s="25">
        <f>IF($C664="","",IFERROR(IF(INDEX(links!$A$2:$A$501,MATCH($C664,links!$D$2:$D$501,0))="","",INDEX(links!$A$2:$A$501,MATCH($C664,links!$D$2:$D$501,0))),""))</f>
        <v/>
      </c>
      <c r="H664" s="25">
        <f>IF($C664="","",IFERROR(IF(INDEX(links!$B$2:$B$501,MATCH($C664,links!$D$2:$D$501,0))="","",INDEX(links!$B$2:$B$501,MATCH($C664,links!$D$2:$D$501,0))),""))</f>
        <v/>
      </c>
      <c r="I664" s="25">
        <f>IF($C664="","",IFERROR(IF(INDEX(links!$C$2:$C$501,MATCH($C664,links!$D$2:$D$501,0))="","",INDEX(links!$C$2:$C$501,MATCH($C664,links!$D$2:$D$501,0))),""))</f>
        <v/>
      </c>
      <c r="J664" s="25">
        <f>IF($C664="","",IF($G664="","slug not in links; ","")&amp;IF($D664="","reading type missing; ","")&amp;IF(COUNTIFS(scans!$C$2:$C$1601,$C664,scans!$D$2:$D$1601,$D664)&gt;1,"two readings of this type: keep one; ",""))</f>
        <v/>
      </c>
    </row>
    <row r="665">
      <c r="A665" s="9" t="n"/>
      <c r="B665" s="33" t="n"/>
      <c r="G665" s="25">
        <f>IF($C665="","",IFERROR(IF(INDEX(links!$A$2:$A$501,MATCH($C665,links!$D$2:$D$501,0))="","",INDEX(links!$A$2:$A$501,MATCH($C665,links!$D$2:$D$501,0))),""))</f>
        <v/>
      </c>
      <c r="H665" s="25">
        <f>IF($C665="","",IFERROR(IF(INDEX(links!$B$2:$B$501,MATCH($C665,links!$D$2:$D$501,0))="","",INDEX(links!$B$2:$B$501,MATCH($C665,links!$D$2:$D$501,0))),""))</f>
        <v/>
      </c>
      <c r="I665" s="25">
        <f>IF($C665="","",IFERROR(IF(INDEX(links!$C$2:$C$501,MATCH($C665,links!$D$2:$D$501,0))="","",INDEX(links!$C$2:$C$501,MATCH($C665,links!$D$2:$D$501,0))),""))</f>
        <v/>
      </c>
      <c r="J665" s="25">
        <f>IF($C665="","",IF($G665="","slug not in links; ","")&amp;IF($D665="","reading type missing; ","")&amp;IF(COUNTIFS(scans!$C$2:$C$1601,$C665,scans!$D$2:$D$1601,$D665)&gt;1,"two readings of this type: keep one; ",""))</f>
        <v/>
      </c>
    </row>
    <row r="666">
      <c r="A666" s="9" t="n"/>
      <c r="B666" s="33" t="n"/>
      <c r="G666" s="25">
        <f>IF($C666="","",IFERROR(IF(INDEX(links!$A$2:$A$501,MATCH($C666,links!$D$2:$D$501,0))="","",INDEX(links!$A$2:$A$501,MATCH($C666,links!$D$2:$D$501,0))),""))</f>
        <v/>
      </c>
      <c r="H666" s="25">
        <f>IF($C666="","",IFERROR(IF(INDEX(links!$B$2:$B$501,MATCH($C666,links!$D$2:$D$501,0))="","",INDEX(links!$B$2:$B$501,MATCH($C666,links!$D$2:$D$501,0))),""))</f>
        <v/>
      </c>
      <c r="I666" s="25">
        <f>IF($C666="","",IFERROR(IF(INDEX(links!$C$2:$C$501,MATCH($C666,links!$D$2:$D$501,0))="","",INDEX(links!$C$2:$C$501,MATCH($C666,links!$D$2:$D$501,0))),""))</f>
        <v/>
      </c>
      <c r="J666" s="25">
        <f>IF($C666="","",IF($G666="","slug not in links; ","")&amp;IF($D666="","reading type missing; ","")&amp;IF(COUNTIFS(scans!$C$2:$C$1601,$C666,scans!$D$2:$D$1601,$D666)&gt;1,"two readings of this type: keep one; ",""))</f>
        <v/>
      </c>
    </row>
    <row r="667">
      <c r="A667" s="9" t="n"/>
      <c r="B667" s="33" t="n"/>
      <c r="G667" s="25">
        <f>IF($C667="","",IFERROR(IF(INDEX(links!$A$2:$A$501,MATCH($C667,links!$D$2:$D$501,0))="","",INDEX(links!$A$2:$A$501,MATCH($C667,links!$D$2:$D$501,0))),""))</f>
        <v/>
      </c>
      <c r="H667" s="25">
        <f>IF($C667="","",IFERROR(IF(INDEX(links!$B$2:$B$501,MATCH($C667,links!$D$2:$D$501,0))="","",INDEX(links!$B$2:$B$501,MATCH($C667,links!$D$2:$D$501,0))),""))</f>
        <v/>
      </c>
      <c r="I667" s="25">
        <f>IF($C667="","",IFERROR(IF(INDEX(links!$C$2:$C$501,MATCH($C667,links!$D$2:$D$501,0))="","",INDEX(links!$C$2:$C$501,MATCH($C667,links!$D$2:$D$501,0))),""))</f>
        <v/>
      </c>
      <c r="J667" s="25">
        <f>IF($C667="","",IF($G667="","slug not in links; ","")&amp;IF($D667="","reading type missing; ","")&amp;IF(COUNTIFS(scans!$C$2:$C$1601,$C667,scans!$D$2:$D$1601,$D667)&gt;1,"two readings of this type: keep one; ",""))</f>
        <v/>
      </c>
    </row>
    <row r="668">
      <c r="A668" s="9" t="n"/>
      <c r="B668" s="33" t="n"/>
      <c r="G668" s="25">
        <f>IF($C668="","",IFERROR(IF(INDEX(links!$A$2:$A$501,MATCH($C668,links!$D$2:$D$501,0))="","",INDEX(links!$A$2:$A$501,MATCH($C668,links!$D$2:$D$501,0))),""))</f>
        <v/>
      </c>
      <c r="H668" s="25">
        <f>IF($C668="","",IFERROR(IF(INDEX(links!$B$2:$B$501,MATCH($C668,links!$D$2:$D$501,0))="","",INDEX(links!$B$2:$B$501,MATCH($C668,links!$D$2:$D$501,0))),""))</f>
        <v/>
      </c>
      <c r="I668" s="25">
        <f>IF($C668="","",IFERROR(IF(INDEX(links!$C$2:$C$501,MATCH($C668,links!$D$2:$D$501,0))="","",INDEX(links!$C$2:$C$501,MATCH($C668,links!$D$2:$D$501,0))),""))</f>
        <v/>
      </c>
      <c r="J668" s="25">
        <f>IF($C668="","",IF($G668="","slug not in links; ","")&amp;IF($D668="","reading type missing; ","")&amp;IF(COUNTIFS(scans!$C$2:$C$1601,$C668,scans!$D$2:$D$1601,$D668)&gt;1,"two readings of this type: keep one; ",""))</f>
        <v/>
      </c>
    </row>
    <row r="669">
      <c r="A669" s="9" t="n"/>
      <c r="B669" s="33" t="n"/>
      <c r="G669" s="25">
        <f>IF($C669="","",IFERROR(IF(INDEX(links!$A$2:$A$501,MATCH($C669,links!$D$2:$D$501,0))="","",INDEX(links!$A$2:$A$501,MATCH($C669,links!$D$2:$D$501,0))),""))</f>
        <v/>
      </c>
      <c r="H669" s="25">
        <f>IF($C669="","",IFERROR(IF(INDEX(links!$B$2:$B$501,MATCH($C669,links!$D$2:$D$501,0))="","",INDEX(links!$B$2:$B$501,MATCH($C669,links!$D$2:$D$501,0))),""))</f>
        <v/>
      </c>
      <c r="I669" s="25">
        <f>IF($C669="","",IFERROR(IF(INDEX(links!$C$2:$C$501,MATCH($C669,links!$D$2:$D$501,0))="","",INDEX(links!$C$2:$C$501,MATCH($C669,links!$D$2:$D$501,0))),""))</f>
        <v/>
      </c>
      <c r="J669" s="25">
        <f>IF($C669="","",IF($G669="","slug not in links; ","")&amp;IF($D669="","reading type missing; ","")&amp;IF(COUNTIFS(scans!$C$2:$C$1601,$C669,scans!$D$2:$D$1601,$D669)&gt;1,"two readings of this type: keep one; ",""))</f>
        <v/>
      </c>
    </row>
    <row r="670">
      <c r="A670" s="9" t="n"/>
      <c r="B670" s="33" t="n"/>
      <c r="G670" s="25">
        <f>IF($C670="","",IFERROR(IF(INDEX(links!$A$2:$A$501,MATCH($C670,links!$D$2:$D$501,0))="","",INDEX(links!$A$2:$A$501,MATCH($C670,links!$D$2:$D$501,0))),""))</f>
        <v/>
      </c>
      <c r="H670" s="25">
        <f>IF($C670="","",IFERROR(IF(INDEX(links!$B$2:$B$501,MATCH($C670,links!$D$2:$D$501,0))="","",INDEX(links!$B$2:$B$501,MATCH($C670,links!$D$2:$D$501,0))),""))</f>
        <v/>
      </c>
      <c r="I670" s="25">
        <f>IF($C670="","",IFERROR(IF(INDEX(links!$C$2:$C$501,MATCH($C670,links!$D$2:$D$501,0))="","",INDEX(links!$C$2:$C$501,MATCH($C670,links!$D$2:$D$501,0))),""))</f>
        <v/>
      </c>
      <c r="J670" s="25">
        <f>IF($C670="","",IF($G670="","slug not in links; ","")&amp;IF($D670="","reading type missing; ","")&amp;IF(COUNTIFS(scans!$C$2:$C$1601,$C670,scans!$D$2:$D$1601,$D670)&gt;1,"two readings of this type: keep one; ",""))</f>
        <v/>
      </c>
    </row>
    <row r="671">
      <c r="A671" s="9" t="n"/>
      <c r="B671" s="33" t="n"/>
      <c r="G671" s="25">
        <f>IF($C671="","",IFERROR(IF(INDEX(links!$A$2:$A$501,MATCH($C671,links!$D$2:$D$501,0))="","",INDEX(links!$A$2:$A$501,MATCH($C671,links!$D$2:$D$501,0))),""))</f>
        <v/>
      </c>
      <c r="H671" s="25">
        <f>IF($C671="","",IFERROR(IF(INDEX(links!$B$2:$B$501,MATCH($C671,links!$D$2:$D$501,0))="","",INDEX(links!$B$2:$B$501,MATCH($C671,links!$D$2:$D$501,0))),""))</f>
        <v/>
      </c>
      <c r="I671" s="25">
        <f>IF($C671="","",IFERROR(IF(INDEX(links!$C$2:$C$501,MATCH($C671,links!$D$2:$D$501,0))="","",INDEX(links!$C$2:$C$501,MATCH($C671,links!$D$2:$D$501,0))),""))</f>
        <v/>
      </c>
      <c r="J671" s="25">
        <f>IF($C671="","",IF($G671="","slug not in links; ","")&amp;IF($D671="","reading type missing; ","")&amp;IF(COUNTIFS(scans!$C$2:$C$1601,$C671,scans!$D$2:$D$1601,$D671)&gt;1,"two readings of this type: keep one; ",""))</f>
        <v/>
      </c>
    </row>
    <row r="672">
      <c r="A672" s="9" t="n"/>
      <c r="B672" s="33" t="n"/>
      <c r="G672" s="25">
        <f>IF($C672="","",IFERROR(IF(INDEX(links!$A$2:$A$501,MATCH($C672,links!$D$2:$D$501,0))="","",INDEX(links!$A$2:$A$501,MATCH($C672,links!$D$2:$D$501,0))),""))</f>
        <v/>
      </c>
      <c r="H672" s="25">
        <f>IF($C672="","",IFERROR(IF(INDEX(links!$B$2:$B$501,MATCH($C672,links!$D$2:$D$501,0))="","",INDEX(links!$B$2:$B$501,MATCH($C672,links!$D$2:$D$501,0))),""))</f>
        <v/>
      </c>
      <c r="I672" s="25">
        <f>IF($C672="","",IFERROR(IF(INDEX(links!$C$2:$C$501,MATCH($C672,links!$D$2:$D$501,0))="","",INDEX(links!$C$2:$C$501,MATCH($C672,links!$D$2:$D$501,0))),""))</f>
        <v/>
      </c>
      <c r="J672" s="25">
        <f>IF($C672="","",IF($G672="","slug not in links; ","")&amp;IF($D672="","reading type missing; ","")&amp;IF(COUNTIFS(scans!$C$2:$C$1601,$C672,scans!$D$2:$D$1601,$D672)&gt;1,"two readings of this type: keep one; ",""))</f>
        <v/>
      </c>
    </row>
    <row r="673">
      <c r="A673" s="9" t="n"/>
      <c r="B673" s="33" t="n"/>
      <c r="G673" s="25">
        <f>IF($C673="","",IFERROR(IF(INDEX(links!$A$2:$A$501,MATCH($C673,links!$D$2:$D$501,0))="","",INDEX(links!$A$2:$A$501,MATCH($C673,links!$D$2:$D$501,0))),""))</f>
        <v/>
      </c>
      <c r="H673" s="25">
        <f>IF($C673="","",IFERROR(IF(INDEX(links!$B$2:$B$501,MATCH($C673,links!$D$2:$D$501,0))="","",INDEX(links!$B$2:$B$501,MATCH($C673,links!$D$2:$D$501,0))),""))</f>
        <v/>
      </c>
      <c r="I673" s="25">
        <f>IF($C673="","",IFERROR(IF(INDEX(links!$C$2:$C$501,MATCH($C673,links!$D$2:$D$501,0))="","",INDEX(links!$C$2:$C$501,MATCH($C673,links!$D$2:$D$501,0))),""))</f>
        <v/>
      </c>
      <c r="J673" s="25">
        <f>IF($C673="","",IF($G673="","slug not in links; ","")&amp;IF($D673="","reading type missing; ","")&amp;IF(COUNTIFS(scans!$C$2:$C$1601,$C673,scans!$D$2:$D$1601,$D673)&gt;1,"two readings of this type: keep one; ",""))</f>
        <v/>
      </c>
    </row>
    <row r="674">
      <c r="A674" s="9" t="n"/>
      <c r="B674" s="33" t="n"/>
      <c r="G674" s="25">
        <f>IF($C674="","",IFERROR(IF(INDEX(links!$A$2:$A$501,MATCH($C674,links!$D$2:$D$501,0))="","",INDEX(links!$A$2:$A$501,MATCH($C674,links!$D$2:$D$501,0))),""))</f>
        <v/>
      </c>
      <c r="H674" s="25">
        <f>IF($C674="","",IFERROR(IF(INDEX(links!$B$2:$B$501,MATCH($C674,links!$D$2:$D$501,0))="","",INDEX(links!$B$2:$B$501,MATCH($C674,links!$D$2:$D$501,0))),""))</f>
        <v/>
      </c>
      <c r="I674" s="25">
        <f>IF($C674="","",IFERROR(IF(INDEX(links!$C$2:$C$501,MATCH($C674,links!$D$2:$D$501,0))="","",INDEX(links!$C$2:$C$501,MATCH($C674,links!$D$2:$D$501,0))),""))</f>
        <v/>
      </c>
      <c r="J674" s="25">
        <f>IF($C674="","",IF($G674="","slug not in links; ","")&amp;IF($D674="","reading type missing; ","")&amp;IF(COUNTIFS(scans!$C$2:$C$1601,$C674,scans!$D$2:$D$1601,$D674)&gt;1,"two readings of this type: keep one; ",""))</f>
        <v/>
      </c>
    </row>
    <row r="675">
      <c r="A675" s="9" t="n"/>
      <c r="B675" s="33" t="n"/>
      <c r="G675" s="25">
        <f>IF($C675="","",IFERROR(IF(INDEX(links!$A$2:$A$501,MATCH($C675,links!$D$2:$D$501,0))="","",INDEX(links!$A$2:$A$501,MATCH($C675,links!$D$2:$D$501,0))),""))</f>
        <v/>
      </c>
      <c r="H675" s="25">
        <f>IF($C675="","",IFERROR(IF(INDEX(links!$B$2:$B$501,MATCH($C675,links!$D$2:$D$501,0))="","",INDEX(links!$B$2:$B$501,MATCH($C675,links!$D$2:$D$501,0))),""))</f>
        <v/>
      </c>
      <c r="I675" s="25">
        <f>IF($C675="","",IFERROR(IF(INDEX(links!$C$2:$C$501,MATCH($C675,links!$D$2:$D$501,0))="","",INDEX(links!$C$2:$C$501,MATCH($C675,links!$D$2:$D$501,0))),""))</f>
        <v/>
      </c>
      <c r="J675" s="25">
        <f>IF($C675="","",IF($G675="","slug not in links; ","")&amp;IF($D675="","reading type missing; ","")&amp;IF(COUNTIFS(scans!$C$2:$C$1601,$C675,scans!$D$2:$D$1601,$D675)&gt;1,"two readings of this type: keep one; ",""))</f>
        <v/>
      </c>
    </row>
    <row r="676">
      <c r="A676" s="9" t="n"/>
      <c r="B676" s="33" t="n"/>
      <c r="G676" s="25">
        <f>IF($C676="","",IFERROR(IF(INDEX(links!$A$2:$A$501,MATCH($C676,links!$D$2:$D$501,0))="","",INDEX(links!$A$2:$A$501,MATCH($C676,links!$D$2:$D$501,0))),""))</f>
        <v/>
      </c>
      <c r="H676" s="25">
        <f>IF($C676="","",IFERROR(IF(INDEX(links!$B$2:$B$501,MATCH($C676,links!$D$2:$D$501,0))="","",INDEX(links!$B$2:$B$501,MATCH($C676,links!$D$2:$D$501,0))),""))</f>
        <v/>
      </c>
      <c r="I676" s="25">
        <f>IF($C676="","",IFERROR(IF(INDEX(links!$C$2:$C$501,MATCH($C676,links!$D$2:$D$501,0))="","",INDEX(links!$C$2:$C$501,MATCH($C676,links!$D$2:$D$501,0))),""))</f>
        <v/>
      </c>
      <c r="J676" s="25">
        <f>IF($C676="","",IF($G676="","slug not in links; ","")&amp;IF($D676="","reading type missing; ","")&amp;IF(COUNTIFS(scans!$C$2:$C$1601,$C676,scans!$D$2:$D$1601,$D676)&gt;1,"two readings of this type: keep one; ",""))</f>
        <v/>
      </c>
    </row>
    <row r="677">
      <c r="A677" s="9" t="n"/>
      <c r="B677" s="33" t="n"/>
      <c r="G677" s="25">
        <f>IF($C677="","",IFERROR(IF(INDEX(links!$A$2:$A$501,MATCH($C677,links!$D$2:$D$501,0))="","",INDEX(links!$A$2:$A$501,MATCH($C677,links!$D$2:$D$501,0))),""))</f>
        <v/>
      </c>
      <c r="H677" s="25">
        <f>IF($C677="","",IFERROR(IF(INDEX(links!$B$2:$B$501,MATCH($C677,links!$D$2:$D$501,0))="","",INDEX(links!$B$2:$B$501,MATCH($C677,links!$D$2:$D$501,0))),""))</f>
        <v/>
      </c>
      <c r="I677" s="25">
        <f>IF($C677="","",IFERROR(IF(INDEX(links!$C$2:$C$501,MATCH($C677,links!$D$2:$D$501,0))="","",INDEX(links!$C$2:$C$501,MATCH($C677,links!$D$2:$D$501,0))),""))</f>
        <v/>
      </c>
      <c r="J677" s="25">
        <f>IF($C677="","",IF($G677="","slug not in links; ","")&amp;IF($D677="","reading type missing; ","")&amp;IF(COUNTIFS(scans!$C$2:$C$1601,$C677,scans!$D$2:$D$1601,$D677)&gt;1,"two readings of this type: keep one; ",""))</f>
        <v/>
      </c>
    </row>
    <row r="678">
      <c r="A678" s="9" t="n"/>
      <c r="B678" s="33" t="n"/>
      <c r="G678" s="25">
        <f>IF($C678="","",IFERROR(IF(INDEX(links!$A$2:$A$501,MATCH($C678,links!$D$2:$D$501,0))="","",INDEX(links!$A$2:$A$501,MATCH($C678,links!$D$2:$D$501,0))),""))</f>
        <v/>
      </c>
      <c r="H678" s="25">
        <f>IF($C678="","",IFERROR(IF(INDEX(links!$B$2:$B$501,MATCH($C678,links!$D$2:$D$501,0))="","",INDEX(links!$B$2:$B$501,MATCH($C678,links!$D$2:$D$501,0))),""))</f>
        <v/>
      </c>
      <c r="I678" s="25">
        <f>IF($C678="","",IFERROR(IF(INDEX(links!$C$2:$C$501,MATCH($C678,links!$D$2:$D$501,0))="","",INDEX(links!$C$2:$C$501,MATCH($C678,links!$D$2:$D$501,0))),""))</f>
        <v/>
      </c>
      <c r="J678" s="25">
        <f>IF($C678="","",IF($G678="","slug not in links; ","")&amp;IF($D678="","reading type missing; ","")&amp;IF(COUNTIFS(scans!$C$2:$C$1601,$C678,scans!$D$2:$D$1601,$D678)&gt;1,"two readings of this type: keep one; ",""))</f>
        <v/>
      </c>
    </row>
    <row r="679">
      <c r="A679" s="9" t="n"/>
      <c r="B679" s="33" t="n"/>
      <c r="G679" s="25">
        <f>IF($C679="","",IFERROR(IF(INDEX(links!$A$2:$A$501,MATCH($C679,links!$D$2:$D$501,0))="","",INDEX(links!$A$2:$A$501,MATCH($C679,links!$D$2:$D$501,0))),""))</f>
        <v/>
      </c>
      <c r="H679" s="25">
        <f>IF($C679="","",IFERROR(IF(INDEX(links!$B$2:$B$501,MATCH($C679,links!$D$2:$D$501,0))="","",INDEX(links!$B$2:$B$501,MATCH($C679,links!$D$2:$D$501,0))),""))</f>
        <v/>
      </c>
      <c r="I679" s="25">
        <f>IF($C679="","",IFERROR(IF(INDEX(links!$C$2:$C$501,MATCH($C679,links!$D$2:$D$501,0))="","",INDEX(links!$C$2:$C$501,MATCH($C679,links!$D$2:$D$501,0))),""))</f>
        <v/>
      </c>
      <c r="J679" s="25">
        <f>IF($C679="","",IF($G679="","slug not in links; ","")&amp;IF($D679="","reading type missing; ","")&amp;IF(COUNTIFS(scans!$C$2:$C$1601,$C679,scans!$D$2:$D$1601,$D679)&gt;1,"two readings of this type: keep one; ",""))</f>
        <v/>
      </c>
    </row>
    <row r="680">
      <c r="A680" s="9" t="n"/>
      <c r="B680" s="33" t="n"/>
      <c r="G680" s="25">
        <f>IF($C680="","",IFERROR(IF(INDEX(links!$A$2:$A$501,MATCH($C680,links!$D$2:$D$501,0))="","",INDEX(links!$A$2:$A$501,MATCH($C680,links!$D$2:$D$501,0))),""))</f>
        <v/>
      </c>
      <c r="H680" s="25">
        <f>IF($C680="","",IFERROR(IF(INDEX(links!$B$2:$B$501,MATCH($C680,links!$D$2:$D$501,0))="","",INDEX(links!$B$2:$B$501,MATCH($C680,links!$D$2:$D$501,0))),""))</f>
        <v/>
      </c>
      <c r="I680" s="25">
        <f>IF($C680="","",IFERROR(IF(INDEX(links!$C$2:$C$501,MATCH($C680,links!$D$2:$D$501,0))="","",INDEX(links!$C$2:$C$501,MATCH($C680,links!$D$2:$D$501,0))),""))</f>
        <v/>
      </c>
      <c r="J680" s="25">
        <f>IF($C680="","",IF($G680="","slug not in links; ","")&amp;IF($D680="","reading type missing; ","")&amp;IF(COUNTIFS(scans!$C$2:$C$1601,$C680,scans!$D$2:$D$1601,$D680)&gt;1,"two readings of this type: keep one; ",""))</f>
        <v/>
      </c>
    </row>
    <row r="681">
      <c r="A681" s="9" t="n"/>
      <c r="B681" s="33" t="n"/>
      <c r="G681" s="25">
        <f>IF($C681="","",IFERROR(IF(INDEX(links!$A$2:$A$501,MATCH($C681,links!$D$2:$D$501,0))="","",INDEX(links!$A$2:$A$501,MATCH($C681,links!$D$2:$D$501,0))),""))</f>
        <v/>
      </c>
      <c r="H681" s="25">
        <f>IF($C681="","",IFERROR(IF(INDEX(links!$B$2:$B$501,MATCH($C681,links!$D$2:$D$501,0))="","",INDEX(links!$B$2:$B$501,MATCH($C681,links!$D$2:$D$501,0))),""))</f>
        <v/>
      </c>
      <c r="I681" s="25">
        <f>IF($C681="","",IFERROR(IF(INDEX(links!$C$2:$C$501,MATCH($C681,links!$D$2:$D$501,0))="","",INDEX(links!$C$2:$C$501,MATCH($C681,links!$D$2:$D$501,0))),""))</f>
        <v/>
      </c>
      <c r="J681" s="25">
        <f>IF($C681="","",IF($G681="","slug not in links; ","")&amp;IF($D681="","reading type missing; ","")&amp;IF(COUNTIFS(scans!$C$2:$C$1601,$C681,scans!$D$2:$D$1601,$D681)&gt;1,"two readings of this type: keep one; ",""))</f>
        <v/>
      </c>
    </row>
    <row r="682">
      <c r="A682" s="9" t="n"/>
      <c r="B682" s="33" t="n"/>
      <c r="G682" s="25">
        <f>IF($C682="","",IFERROR(IF(INDEX(links!$A$2:$A$501,MATCH($C682,links!$D$2:$D$501,0))="","",INDEX(links!$A$2:$A$501,MATCH($C682,links!$D$2:$D$501,0))),""))</f>
        <v/>
      </c>
      <c r="H682" s="25">
        <f>IF($C682="","",IFERROR(IF(INDEX(links!$B$2:$B$501,MATCH($C682,links!$D$2:$D$501,0))="","",INDEX(links!$B$2:$B$501,MATCH($C682,links!$D$2:$D$501,0))),""))</f>
        <v/>
      </c>
      <c r="I682" s="25">
        <f>IF($C682="","",IFERROR(IF(INDEX(links!$C$2:$C$501,MATCH($C682,links!$D$2:$D$501,0))="","",INDEX(links!$C$2:$C$501,MATCH($C682,links!$D$2:$D$501,0))),""))</f>
        <v/>
      </c>
      <c r="J682" s="25">
        <f>IF($C682="","",IF($G682="","slug not in links; ","")&amp;IF($D682="","reading type missing; ","")&amp;IF(COUNTIFS(scans!$C$2:$C$1601,$C682,scans!$D$2:$D$1601,$D682)&gt;1,"two readings of this type: keep one; ",""))</f>
        <v/>
      </c>
    </row>
    <row r="683">
      <c r="A683" s="9" t="n"/>
      <c r="B683" s="33" t="n"/>
      <c r="G683" s="25">
        <f>IF($C683="","",IFERROR(IF(INDEX(links!$A$2:$A$501,MATCH($C683,links!$D$2:$D$501,0))="","",INDEX(links!$A$2:$A$501,MATCH($C683,links!$D$2:$D$501,0))),""))</f>
        <v/>
      </c>
      <c r="H683" s="25">
        <f>IF($C683="","",IFERROR(IF(INDEX(links!$B$2:$B$501,MATCH($C683,links!$D$2:$D$501,0))="","",INDEX(links!$B$2:$B$501,MATCH($C683,links!$D$2:$D$501,0))),""))</f>
        <v/>
      </c>
      <c r="I683" s="25">
        <f>IF($C683="","",IFERROR(IF(INDEX(links!$C$2:$C$501,MATCH($C683,links!$D$2:$D$501,0))="","",INDEX(links!$C$2:$C$501,MATCH($C683,links!$D$2:$D$501,0))),""))</f>
        <v/>
      </c>
      <c r="J683" s="25">
        <f>IF($C683="","",IF($G683="","slug not in links; ","")&amp;IF($D683="","reading type missing; ","")&amp;IF(COUNTIFS(scans!$C$2:$C$1601,$C683,scans!$D$2:$D$1601,$D683)&gt;1,"two readings of this type: keep one; ",""))</f>
        <v/>
      </c>
    </row>
    <row r="684">
      <c r="A684" s="9" t="n"/>
      <c r="B684" s="33" t="n"/>
      <c r="G684" s="25">
        <f>IF($C684="","",IFERROR(IF(INDEX(links!$A$2:$A$501,MATCH($C684,links!$D$2:$D$501,0))="","",INDEX(links!$A$2:$A$501,MATCH($C684,links!$D$2:$D$501,0))),""))</f>
        <v/>
      </c>
      <c r="H684" s="25">
        <f>IF($C684="","",IFERROR(IF(INDEX(links!$B$2:$B$501,MATCH($C684,links!$D$2:$D$501,0))="","",INDEX(links!$B$2:$B$501,MATCH($C684,links!$D$2:$D$501,0))),""))</f>
        <v/>
      </c>
      <c r="I684" s="25">
        <f>IF($C684="","",IFERROR(IF(INDEX(links!$C$2:$C$501,MATCH($C684,links!$D$2:$D$501,0))="","",INDEX(links!$C$2:$C$501,MATCH($C684,links!$D$2:$D$501,0))),""))</f>
        <v/>
      </c>
      <c r="J684" s="25">
        <f>IF($C684="","",IF($G684="","slug not in links; ","")&amp;IF($D684="","reading type missing; ","")&amp;IF(COUNTIFS(scans!$C$2:$C$1601,$C684,scans!$D$2:$D$1601,$D684)&gt;1,"two readings of this type: keep one; ",""))</f>
        <v/>
      </c>
    </row>
    <row r="685">
      <c r="A685" s="9" t="n"/>
      <c r="B685" s="33" t="n"/>
      <c r="G685" s="25">
        <f>IF($C685="","",IFERROR(IF(INDEX(links!$A$2:$A$501,MATCH($C685,links!$D$2:$D$501,0))="","",INDEX(links!$A$2:$A$501,MATCH($C685,links!$D$2:$D$501,0))),""))</f>
        <v/>
      </c>
      <c r="H685" s="25">
        <f>IF($C685="","",IFERROR(IF(INDEX(links!$B$2:$B$501,MATCH($C685,links!$D$2:$D$501,0))="","",INDEX(links!$B$2:$B$501,MATCH($C685,links!$D$2:$D$501,0))),""))</f>
        <v/>
      </c>
      <c r="I685" s="25">
        <f>IF($C685="","",IFERROR(IF(INDEX(links!$C$2:$C$501,MATCH($C685,links!$D$2:$D$501,0))="","",INDEX(links!$C$2:$C$501,MATCH($C685,links!$D$2:$D$501,0))),""))</f>
        <v/>
      </c>
      <c r="J685" s="25">
        <f>IF($C685="","",IF($G685="","slug not in links; ","")&amp;IF($D685="","reading type missing; ","")&amp;IF(COUNTIFS(scans!$C$2:$C$1601,$C685,scans!$D$2:$D$1601,$D685)&gt;1,"two readings of this type: keep one; ",""))</f>
        <v/>
      </c>
    </row>
    <row r="686">
      <c r="A686" s="9" t="n"/>
      <c r="B686" s="33" t="n"/>
      <c r="G686" s="25">
        <f>IF($C686="","",IFERROR(IF(INDEX(links!$A$2:$A$501,MATCH($C686,links!$D$2:$D$501,0))="","",INDEX(links!$A$2:$A$501,MATCH($C686,links!$D$2:$D$501,0))),""))</f>
        <v/>
      </c>
      <c r="H686" s="25">
        <f>IF($C686="","",IFERROR(IF(INDEX(links!$B$2:$B$501,MATCH($C686,links!$D$2:$D$501,0))="","",INDEX(links!$B$2:$B$501,MATCH($C686,links!$D$2:$D$501,0))),""))</f>
        <v/>
      </c>
      <c r="I686" s="25">
        <f>IF($C686="","",IFERROR(IF(INDEX(links!$C$2:$C$501,MATCH($C686,links!$D$2:$D$501,0))="","",INDEX(links!$C$2:$C$501,MATCH($C686,links!$D$2:$D$501,0))),""))</f>
        <v/>
      </c>
      <c r="J686" s="25">
        <f>IF($C686="","",IF($G686="","slug not in links; ","")&amp;IF($D686="","reading type missing; ","")&amp;IF(COUNTIFS(scans!$C$2:$C$1601,$C686,scans!$D$2:$D$1601,$D686)&gt;1,"two readings of this type: keep one; ",""))</f>
        <v/>
      </c>
    </row>
    <row r="687">
      <c r="A687" s="9" t="n"/>
      <c r="B687" s="33" t="n"/>
      <c r="G687" s="25">
        <f>IF($C687="","",IFERROR(IF(INDEX(links!$A$2:$A$501,MATCH($C687,links!$D$2:$D$501,0))="","",INDEX(links!$A$2:$A$501,MATCH($C687,links!$D$2:$D$501,0))),""))</f>
        <v/>
      </c>
      <c r="H687" s="25">
        <f>IF($C687="","",IFERROR(IF(INDEX(links!$B$2:$B$501,MATCH($C687,links!$D$2:$D$501,0))="","",INDEX(links!$B$2:$B$501,MATCH($C687,links!$D$2:$D$501,0))),""))</f>
        <v/>
      </c>
      <c r="I687" s="25">
        <f>IF($C687="","",IFERROR(IF(INDEX(links!$C$2:$C$501,MATCH($C687,links!$D$2:$D$501,0))="","",INDEX(links!$C$2:$C$501,MATCH($C687,links!$D$2:$D$501,0))),""))</f>
        <v/>
      </c>
      <c r="J687" s="25">
        <f>IF($C687="","",IF($G687="","slug not in links; ","")&amp;IF($D687="","reading type missing; ","")&amp;IF(COUNTIFS(scans!$C$2:$C$1601,$C687,scans!$D$2:$D$1601,$D687)&gt;1,"two readings of this type: keep one; ",""))</f>
        <v/>
      </c>
    </row>
    <row r="688">
      <c r="A688" s="9" t="n"/>
      <c r="B688" s="33" t="n"/>
      <c r="G688" s="25">
        <f>IF($C688="","",IFERROR(IF(INDEX(links!$A$2:$A$501,MATCH($C688,links!$D$2:$D$501,0))="","",INDEX(links!$A$2:$A$501,MATCH($C688,links!$D$2:$D$501,0))),""))</f>
        <v/>
      </c>
      <c r="H688" s="25">
        <f>IF($C688="","",IFERROR(IF(INDEX(links!$B$2:$B$501,MATCH($C688,links!$D$2:$D$501,0))="","",INDEX(links!$B$2:$B$501,MATCH($C688,links!$D$2:$D$501,0))),""))</f>
        <v/>
      </c>
      <c r="I688" s="25">
        <f>IF($C688="","",IFERROR(IF(INDEX(links!$C$2:$C$501,MATCH($C688,links!$D$2:$D$501,0))="","",INDEX(links!$C$2:$C$501,MATCH($C688,links!$D$2:$D$501,0))),""))</f>
        <v/>
      </c>
      <c r="J688" s="25">
        <f>IF($C688="","",IF($G688="","slug not in links; ","")&amp;IF($D688="","reading type missing; ","")&amp;IF(COUNTIFS(scans!$C$2:$C$1601,$C688,scans!$D$2:$D$1601,$D688)&gt;1,"two readings of this type: keep one; ",""))</f>
        <v/>
      </c>
    </row>
    <row r="689">
      <c r="A689" s="9" t="n"/>
      <c r="B689" s="33" t="n"/>
      <c r="G689" s="25">
        <f>IF($C689="","",IFERROR(IF(INDEX(links!$A$2:$A$501,MATCH($C689,links!$D$2:$D$501,0))="","",INDEX(links!$A$2:$A$501,MATCH($C689,links!$D$2:$D$501,0))),""))</f>
        <v/>
      </c>
      <c r="H689" s="25">
        <f>IF($C689="","",IFERROR(IF(INDEX(links!$B$2:$B$501,MATCH($C689,links!$D$2:$D$501,0))="","",INDEX(links!$B$2:$B$501,MATCH($C689,links!$D$2:$D$501,0))),""))</f>
        <v/>
      </c>
      <c r="I689" s="25">
        <f>IF($C689="","",IFERROR(IF(INDEX(links!$C$2:$C$501,MATCH($C689,links!$D$2:$D$501,0))="","",INDEX(links!$C$2:$C$501,MATCH($C689,links!$D$2:$D$501,0))),""))</f>
        <v/>
      </c>
      <c r="J689" s="25">
        <f>IF($C689="","",IF($G689="","slug not in links; ","")&amp;IF($D689="","reading type missing; ","")&amp;IF(COUNTIFS(scans!$C$2:$C$1601,$C689,scans!$D$2:$D$1601,$D689)&gt;1,"two readings of this type: keep one; ",""))</f>
        <v/>
      </c>
    </row>
    <row r="690">
      <c r="A690" s="9" t="n"/>
      <c r="B690" s="33" t="n"/>
      <c r="G690" s="25">
        <f>IF($C690="","",IFERROR(IF(INDEX(links!$A$2:$A$501,MATCH($C690,links!$D$2:$D$501,0))="","",INDEX(links!$A$2:$A$501,MATCH($C690,links!$D$2:$D$501,0))),""))</f>
        <v/>
      </c>
      <c r="H690" s="25">
        <f>IF($C690="","",IFERROR(IF(INDEX(links!$B$2:$B$501,MATCH($C690,links!$D$2:$D$501,0))="","",INDEX(links!$B$2:$B$501,MATCH($C690,links!$D$2:$D$501,0))),""))</f>
        <v/>
      </c>
      <c r="I690" s="25">
        <f>IF($C690="","",IFERROR(IF(INDEX(links!$C$2:$C$501,MATCH($C690,links!$D$2:$D$501,0))="","",INDEX(links!$C$2:$C$501,MATCH($C690,links!$D$2:$D$501,0))),""))</f>
        <v/>
      </c>
      <c r="J690" s="25">
        <f>IF($C690="","",IF($G690="","slug not in links; ","")&amp;IF($D690="","reading type missing; ","")&amp;IF(COUNTIFS(scans!$C$2:$C$1601,$C690,scans!$D$2:$D$1601,$D690)&gt;1,"two readings of this type: keep one; ",""))</f>
        <v/>
      </c>
    </row>
    <row r="691">
      <c r="A691" s="9" t="n"/>
      <c r="B691" s="33" t="n"/>
      <c r="G691" s="25">
        <f>IF($C691="","",IFERROR(IF(INDEX(links!$A$2:$A$501,MATCH($C691,links!$D$2:$D$501,0))="","",INDEX(links!$A$2:$A$501,MATCH($C691,links!$D$2:$D$501,0))),""))</f>
        <v/>
      </c>
      <c r="H691" s="25">
        <f>IF($C691="","",IFERROR(IF(INDEX(links!$B$2:$B$501,MATCH($C691,links!$D$2:$D$501,0))="","",INDEX(links!$B$2:$B$501,MATCH($C691,links!$D$2:$D$501,0))),""))</f>
        <v/>
      </c>
      <c r="I691" s="25">
        <f>IF($C691="","",IFERROR(IF(INDEX(links!$C$2:$C$501,MATCH($C691,links!$D$2:$D$501,0))="","",INDEX(links!$C$2:$C$501,MATCH($C691,links!$D$2:$D$501,0))),""))</f>
        <v/>
      </c>
      <c r="J691" s="25">
        <f>IF($C691="","",IF($G691="","slug not in links; ","")&amp;IF($D691="","reading type missing; ","")&amp;IF(COUNTIFS(scans!$C$2:$C$1601,$C691,scans!$D$2:$D$1601,$D691)&gt;1,"two readings of this type: keep one; ",""))</f>
        <v/>
      </c>
    </row>
    <row r="692">
      <c r="A692" s="9" t="n"/>
      <c r="B692" s="33" t="n"/>
      <c r="G692" s="25">
        <f>IF($C692="","",IFERROR(IF(INDEX(links!$A$2:$A$501,MATCH($C692,links!$D$2:$D$501,0))="","",INDEX(links!$A$2:$A$501,MATCH($C692,links!$D$2:$D$501,0))),""))</f>
        <v/>
      </c>
      <c r="H692" s="25">
        <f>IF($C692="","",IFERROR(IF(INDEX(links!$B$2:$B$501,MATCH($C692,links!$D$2:$D$501,0))="","",INDEX(links!$B$2:$B$501,MATCH($C692,links!$D$2:$D$501,0))),""))</f>
        <v/>
      </c>
      <c r="I692" s="25">
        <f>IF($C692="","",IFERROR(IF(INDEX(links!$C$2:$C$501,MATCH($C692,links!$D$2:$D$501,0))="","",INDEX(links!$C$2:$C$501,MATCH($C692,links!$D$2:$D$501,0))),""))</f>
        <v/>
      </c>
      <c r="J692" s="25">
        <f>IF($C692="","",IF($G692="","slug not in links; ","")&amp;IF($D692="","reading type missing; ","")&amp;IF(COUNTIFS(scans!$C$2:$C$1601,$C692,scans!$D$2:$D$1601,$D692)&gt;1,"two readings of this type: keep one; ",""))</f>
        <v/>
      </c>
    </row>
    <row r="693">
      <c r="A693" s="9" t="n"/>
      <c r="B693" s="33" t="n"/>
      <c r="G693" s="25">
        <f>IF($C693="","",IFERROR(IF(INDEX(links!$A$2:$A$501,MATCH($C693,links!$D$2:$D$501,0))="","",INDEX(links!$A$2:$A$501,MATCH($C693,links!$D$2:$D$501,0))),""))</f>
        <v/>
      </c>
      <c r="H693" s="25">
        <f>IF($C693="","",IFERROR(IF(INDEX(links!$B$2:$B$501,MATCH($C693,links!$D$2:$D$501,0))="","",INDEX(links!$B$2:$B$501,MATCH($C693,links!$D$2:$D$501,0))),""))</f>
        <v/>
      </c>
      <c r="I693" s="25">
        <f>IF($C693="","",IFERROR(IF(INDEX(links!$C$2:$C$501,MATCH($C693,links!$D$2:$D$501,0))="","",INDEX(links!$C$2:$C$501,MATCH($C693,links!$D$2:$D$501,0))),""))</f>
        <v/>
      </c>
      <c r="J693" s="25">
        <f>IF($C693="","",IF($G693="","slug not in links; ","")&amp;IF($D693="","reading type missing; ","")&amp;IF(COUNTIFS(scans!$C$2:$C$1601,$C693,scans!$D$2:$D$1601,$D693)&gt;1,"two readings of this type: keep one; ",""))</f>
        <v/>
      </c>
    </row>
    <row r="694">
      <c r="A694" s="9" t="n"/>
      <c r="B694" s="33" t="n"/>
      <c r="G694" s="25">
        <f>IF($C694="","",IFERROR(IF(INDEX(links!$A$2:$A$501,MATCH($C694,links!$D$2:$D$501,0))="","",INDEX(links!$A$2:$A$501,MATCH($C694,links!$D$2:$D$501,0))),""))</f>
        <v/>
      </c>
      <c r="H694" s="25">
        <f>IF($C694="","",IFERROR(IF(INDEX(links!$B$2:$B$501,MATCH($C694,links!$D$2:$D$501,0))="","",INDEX(links!$B$2:$B$501,MATCH($C694,links!$D$2:$D$501,0))),""))</f>
        <v/>
      </c>
      <c r="I694" s="25">
        <f>IF($C694="","",IFERROR(IF(INDEX(links!$C$2:$C$501,MATCH($C694,links!$D$2:$D$501,0))="","",INDEX(links!$C$2:$C$501,MATCH($C694,links!$D$2:$D$501,0))),""))</f>
        <v/>
      </c>
      <c r="J694" s="25">
        <f>IF($C694="","",IF($G694="","slug not in links; ","")&amp;IF($D694="","reading type missing; ","")&amp;IF(COUNTIFS(scans!$C$2:$C$1601,$C694,scans!$D$2:$D$1601,$D694)&gt;1,"two readings of this type: keep one; ",""))</f>
        <v/>
      </c>
    </row>
    <row r="695">
      <c r="A695" s="9" t="n"/>
      <c r="B695" s="33" t="n"/>
      <c r="G695" s="25">
        <f>IF($C695="","",IFERROR(IF(INDEX(links!$A$2:$A$501,MATCH($C695,links!$D$2:$D$501,0))="","",INDEX(links!$A$2:$A$501,MATCH($C695,links!$D$2:$D$501,0))),""))</f>
        <v/>
      </c>
      <c r="H695" s="25">
        <f>IF($C695="","",IFERROR(IF(INDEX(links!$B$2:$B$501,MATCH($C695,links!$D$2:$D$501,0))="","",INDEX(links!$B$2:$B$501,MATCH($C695,links!$D$2:$D$501,0))),""))</f>
        <v/>
      </c>
      <c r="I695" s="25">
        <f>IF($C695="","",IFERROR(IF(INDEX(links!$C$2:$C$501,MATCH($C695,links!$D$2:$D$501,0))="","",INDEX(links!$C$2:$C$501,MATCH($C695,links!$D$2:$D$501,0))),""))</f>
        <v/>
      </c>
      <c r="J695" s="25">
        <f>IF($C695="","",IF($G695="","slug not in links; ","")&amp;IF($D695="","reading type missing; ","")&amp;IF(COUNTIFS(scans!$C$2:$C$1601,$C695,scans!$D$2:$D$1601,$D695)&gt;1,"two readings of this type: keep one; ",""))</f>
        <v/>
      </c>
    </row>
    <row r="696">
      <c r="A696" s="9" t="n"/>
      <c r="B696" s="33" t="n"/>
      <c r="G696" s="25">
        <f>IF($C696="","",IFERROR(IF(INDEX(links!$A$2:$A$501,MATCH($C696,links!$D$2:$D$501,0))="","",INDEX(links!$A$2:$A$501,MATCH($C696,links!$D$2:$D$501,0))),""))</f>
        <v/>
      </c>
      <c r="H696" s="25">
        <f>IF($C696="","",IFERROR(IF(INDEX(links!$B$2:$B$501,MATCH($C696,links!$D$2:$D$501,0))="","",INDEX(links!$B$2:$B$501,MATCH($C696,links!$D$2:$D$501,0))),""))</f>
        <v/>
      </c>
      <c r="I696" s="25">
        <f>IF($C696="","",IFERROR(IF(INDEX(links!$C$2:$C$501,MATCH($C696,links!$D$2:$D$501,0))="","",INDEX(links!$C$2:$C$501,MATCH($C696,links!$D$2:$D$501,0))),""))</f>
        <v/>
      </c>
      <c r="J696" s="25">
        <f>IF($C696="","",IF($G696="","slug not in links; ","")&amp;IF($D696="","reading type missing; ","")&amp;IF(COUNTIFS(scans!$C$2:$C$1601,$C696,scans!$D$2:$D$1601,$D696)&gt;1,"two readings of this type: keep one; ",""))</f>
        <v/>
      </c>
    </row>
    <row r="697">
      <c r="A697" s="9" t="n"/>
      <c r="B697" s="33" t="n"/>
      <c r="G697" s="25">
        <f>IF($C697="","",IFERROR(IF(INDEX(links!$A$2:$A$501,MATCH($C697,links!$D$2:$D$501,0))="","",INDEX(links!$A$2:$A$501,MATCH($C697,links!$D$2:$D$501,0))),""))</f>
        <v/>
      </c>
      <c r="H697" s="25">
        <f>IF($C697="","",IFERROR(IF(INDEX(links!$B$2:$B$501,MATCH($C697,links!$D$2:$D$501,0))="","",INDEX(links!$B$2:$B$501,MATCH($C697,links!$D$2:$D$501,0))),""))</f>
        <v/>
      </c>
      <c r="I697" s="25">
        <f>IF($C697="","",IFERROR(IF(INDEX(links!$C$2:$C$501,MATCH($C697,links!$D$2:$D$501,0))="","",INDEX(links!$C$2:$C$501,MATCH($C697,links!$D$2:$D$501,0))),""))</f>
        <v/>
      </c>
      <c r="J697" s="25">
        <f>IF($C697="","",IF($G697="","slug not in links; ","")&amp;IF($D697="","reading type missing; ","")&amp;IF(COUNTIFS(scans!$C$2:$C$1601,$C697,scans!$D$2:$D$1601,$D697)&gt;1,"two readings of this type: keep one; ",""))</f>
        <v/>
      </c>
    </row>
    <row r="698">
      <c r="A698" s="9" t="n"/>
      <c r="B698" s="33" t="n"/>
      <c r="G698" s="25">
        <f>IF($C698="","",IFERROR(IF(INDEX(links!$A$2:$A$501,MATCH($C698,links!$D$2:$D$501,0))="","",INDEX(links!$A$2:$A$501,MATCH($C698,links!$D$2:$D$501,0))),""))</f>
        <v/>
      </c>
      <c r="H698" s="25">
        <f>IF($C698="","",IFERROR(IF(INDEX(links!$B$2:$B$501,MATCH($C698,links!$D$2:$D$501,0))="","",INDEX(links!$B$2:$B$501,MATCH($C698,links!$D$2:$D$501,0))),""))</f>
        <v/>
      </c>
      <c r="I698" s="25">
        <f>IF($C698="","",IFERROR(IF(INDEX(links!$C$2:$C$501,MATCH($C698,links!$D$2:$D$501,0))="","",INDEX(links!$C$2:$C$501,MATCH($C698,links!$D$2:$D$501,0))),""))</f>
        <v/>
      </c>
      <c r="J698" s="25">
        <f>IF($C698="","",IF($G698="","slug not in links; ","")&amp;IF($D698="","reading type missing; ","")&amp;IF(COUNTIFS(scans!$C$2:$C$1601,$C698,scans!$D$2:$D$1601,$D698)&gt;1,"two readings of this type: keep one; ",""))</f>
        <v/>
      </c>
    </row>
    <row r="699">
      <c r="A699" s="9" t="n"/>
      <c r="B699" s="33" t="n"/>
      <c r="G699" s="25">
        <f>IF($C699="","",IFERROR(IF(INDEX(links!$A$2:$A$501,MATCH($C699,links!$D$2:$D$501,0))="","",INDEX(links!$A$2:$A$501,MATCH($C699,links!$D$2:$D$501,0))),""))</f>
        <v/>
      </c>
      <c r="H699" s="25">
        <f>IF($C699="","",IFERROR(IF(INDEX(links!$B$2:$B$501,MATCH($C699,links!$D$2:$D$501,0))="","",INDEX(links!$B$2:$B$501,MATCH($C699,links!$D$2:$D$501,0))),""))</f>
        <v/>
      </c>
      <c r="I699" s="25">
        <f>IF($C699="","",IFERROR(IF(INDEX(links!$C$2:$C$501,MATCH($C699,links!$D$2:$D$501,0))="","",INDEX(links!$C$2:$C$501,MATCH($C699,links!$D$2:$D$501,0))),""))</f>
        <v/>
      </c>
      <c r="J699" s="25">
        <f>IF($C699="","",IF($G699="","slug not in links; ","")&amp;IF($D699="","reading type missing; ","")&amp;IF(COUNTIFS(scans!$C$2:$C$1601,$C699,scans!$D$2:$D$1601,$D699)&gt;1,"two readings of this type: keep one; ",""))</f>
        <v/>
      </c>
    </row>
    <row r="700">
      <c r="A700" s="9" t="n"/>
      <c r="B700" s="33" t="n"/>
      <c r="G700" s="25">
        <f>IF($C700="","",IFERROR(IF(INDEX(links!$A$2:$A$501,MATCH($C700,links!$D$2:$D$501,0))="","",INDEX(links!$A$2:$A$501,MATCH($C700,links!$D$2:$D$501,0))),""))</f>
        <v/>
      </c>
      <c r="H700" s="25">
        <f>IF($C700="","",IFERROR(IF(INDEX(links!$B$2:$B$501,MATCH($C700,links!$D$2:$D$501,0))="","",INDEX(links!$B$2:$B$501,MATCH($C700,links!$D$2:$D$501,0))),""))</f>
        <v/>
      </c>
      <c r="I700" s="25">
        <f>IF($C700="","",IFERROR(IF(INDEX(links!$C$2:$C$501,MATCH($C700,links!$D$2:$D$501,0))="","",INDEX(links!$C$2:$C$501,MATCH($C700,links!$D$2:$D$501,0))),""))</f>
        <v/>
      </c>
      <c r="J700" s="25">
        <f>IF($C700="","",IF($G700="","slug not in links; ","")&amp;IF($D700="","reading type missing; ","")&amp;IF(COUNTIFS(scans!$C$2:$C$1601,$C700,scans!$D$2:$D$1601,$D700)&gt;1,"two readings of this type: keep one; ",""))</f>
        <v/>
      </c>
    </row>
    <row r="701">
      <c r="A701" s="9" t="n"/>
      <c r="B701" s="33" t="n"/>
      <c r="G701" s="25">
        <f>IF($C701="","",IFERROR(IF(INDEX(links!$A$2:$A$501,MATCH($C701,links!$D$2:$D$501,0))="","",INDEX(links!$A$2:$A$501,MATCH($C701,links!$D$2:$D$501,0))),""))</f>
        <v/>
      </c>
      <c r="H701" s="25">
        <f>IF($C701="","",IFERROR(IF(INDEX(links!$B$2:$B$501,MATCH($C701,links!$D$2:$D$501,0))="","",INDEX(links!$B$2:$B$501,MATCH($C701,links!$D$2:$D$501,0))),""))</f>
        <v/>
      </c>
      <c r="I701" s="25">
        <f>IF($C701="","",IFERROR(IF(INDEX(links!$C$2:$C$501,MATCH($C701,links!$D$2:$D$501,0))="","",INDEX(links!$C$2:$C$501,MATCH($C701,links!$D$2:$D$501,0))),""))</f>
        <v/>
      </c>
      <c r="J701" s="25">
        <f>IF($C701="","",IF($G701="","slug not in links; ","")&amp;IF($D701="","reading type missing; ","")&amp;IF(COUNTIFS(scans!$C$2:$C$1601,$C701,scans!$D$2:$D$1601,$D701)&gt;1,"two readings of this type: keep one; ",""))</f>
        <v/>
      </c>
    </row>
    <row r="702">
      <c r="A702" s="9" t="n"/>
      <c r="B702" s="33" t="n"/>
      <c r="G702" s="25">
        <f>IF($C702="","",IFERROR(IF(INDEX(links!$A$2:$A$501,MATCH($C702,links!$D$2:$D$501,0))="","",INDEX(links!$A$2:$A$501,MATCH($C702,links!$D$2:$D$501,0))),""))</f>
        <v/>
      </c>
      <c r="H702" s="25">
        <f>IF($C702="","",IFERROR(IF(INDEX(links!$B$2:$B$501,MATCH($C702,links!$D$2:$D$501,0))="","",INDEX(links!$B$2:$B$501,MATCH($C702,links!$D$2:$D$501,0))),""))</f>
        <v/>
      </c>
      <c r="I702" s="25">
        <f>IF($C702="","",IFERROR(IF(INDEX(links!$C$2:$C$501,MATCH($C702,links!$D$2:$D$501,0))="","",INDEX(links!$C$2:$C$501,MATCH($C702,links!$D$2:$D$501,0))),""))</f>
        <v/>
      </c>
      <c r="J702" s="25">
        <f>IF($C702="","",IF($G702="","slug not in links; ","")&amp;IF($D702="","reading type missing; ","")&amp;IF(COUNTIFS(scans!$C$2:$C$1601,$C702,scans!$D$2:$D$1601,$D702)&gt;1,"two readings of this type: keep one; ",""))</f>
        <v/>
      </c>
    </row>
    <row r="703">
      <c r="A703" s="9" t="n"/>
      <c r="B703" s="33" t="n"/>
      <c r="G703" s="25">
        <f>IF($C703="","",IFERROR(IF(INDEX(links!$A$2:$A$501,MATCH($C703,links!$D$2:$D$501,0))="","",INDEX(links!$A$2:$A$501,MATCH($C703,links!$D$2:$D$501,0))),""))</f>
        <v/>
      </c>
      <c r="H703" s="25">
        <f>IF($C703="","",IFERROR(IF(INDEX(links!$B$2:$B$501,MATCH($C703,links!$D$2:$D$501,0))="","",INDEX(links!$B$2:$B$501,MATCH($C703,links!$D$2:$D$501,0))),""))</f>
        <v/>
      </c>
      <c r="I703" s="25">
        <f>IF($C703="","",IFERROR(IF(INDEX(links!$C$2:$C$501,MATCH($C703,links!$D$2:$D$501,0))="","",INDEX(links!$C$2:$C$501,MATCH($C703,links!$D$2:$D$501,0))),""))</f>
        <v/>
      </c>
      <c r="J703" s="25">
        <f>IF($C703="","",IF($G703="","slug not in links; ","")&amp;IF($D703="","reading type missing; ","")&amp;IF(COUNTIFS(scans!$C$2:$C$1601,$C703,scans!$D$2:$D$1601,$D703)&gt;1,"two readings of this type: keep one; ",""))</f>
        <v/>
      </c>
    </row>
    <row r="704">
      <c r="A704" s="9" t="n"/>
      <c r="B704" s="33" t="n"/>
      <c r="G704" s="25">
        <f>IF($C704="","",IFERROR(IF(INDEX(links!$A$2:$A$501,MATCH($C704,links!$D$2:$D$501,0))="","",INDEX(links!$A$2:$A$501,MATCH($C704,links!$D$2:$D$501,0))),""))</f>
        <v/>
      </c>
      <c r="H704" s="25">
        <f>IF($C704="","",IFERROR(IF(INDEX(links!$B$2:$B$501,MATCH($C704,links!$D$2:$D$501,0))="","",INDEX(links!$B$2:$B$501,MATCH($C704,links!$D$2:$D$501,0))),""))</f>
        <v/>
      </c>
      <c r="I704" s="25">
        <f>IF($C704="","",IFERROR(IF(INDEX(links!$C$2:$C$501,MATCH($C704,links!$D$2:$D$501,0))="","",INDEX(links!$C$2:$C$501,MATCH($C704,links!$D$2:$D$501,0))),""))</f>
        <v/>
      </c>
      <c r="J704" s="25">
        <f>IF($C704="","",IF($G704="","slug not in links; ","")&amp;IF($D704="","reading type missing; ","")&amp;IF(COUNTIFS(scans!$C$2:$C$1601,$C704,scans!$D$2:$D$1601,$D704)&gt;1,"two readings of this type: keep one; ",""))</f>
        <v/>
      </c>
    </row>
    <row r="705">
      <c r="A705" s="9" t="n"/>
      <c r="B705" s="33" t="n"/>
      <c r="G705" s="25">
        <f>IF($C705="","",IFERROR(IF(INDEX(links!$A$2:$A$501,MATCH($C705,links!$D$2:$D$501,0))="","",INDEX(links!$A$2:$A$501,MATCH($C705,links!$D$2:$D$501,0))),""))</f>
        <v/>
      </c>
      <c r="H705" s="25">
        <f>IF($C705="","",IFERROR(IF(INDEX(links!$B$2:$B$501,MATCH($C705,links!$D$2:$D$501,0))="","",INDEX(links!$B$2:$B$501,MATCH($C705,links!$D$2:$D$501,0))),""))</f>
        <v/>
      </c>
      <c r="I705" s="25">
        <f>IF($C705="","",IFERROR(IF(INDEX(links!$C$2:$C$501,MATCH($C705,links!$D$2:$D$501,0))="","",INDEX(links!$C$2:$C$501,MATCH($C705,links!$D$2:$D$501,0))),""))</f>
        <v/>
      </c>
      <c r="J705" s="25">
        <f>IF($C705="","",IF($G705="","slug not in links; ","")&amp;IF($D705="","reading type missing; ","")&amp;IF(COUNTIFS(scans!$C$2:$C$1601,$C705,scans!$D$2:$D$1601,$D705)&gt;1,"two readings of this type: keep one; ",""))</f>
        <v/>
      </c>
    </row>
    <row r="706">
      <c r="A706" s="9" t="n"/>
      <c r="B706" s="33" t="n"/>
      <c r="G706" s="25">
        <f>IF($C706="","",IFERROR(IF(INDEX(links!$A$2:$A$501,MATCH($C706,links!$D$2:$D$501,0))="","",INDEX(links!$A$2:$A$501,MATCH($C706,links!$D$2:$D$501,0))),""))</f>
        <v/>
      </c>
      <c r="H706" s="25">
        <f>IF($C706="","",IFERROR(IF(INDEX(links!$B$2:$B$501,MATCH($C706,links!$D$2:$D$501,0))="","",INDEX(links!$B$2:$B$501,MATCH($C706,links!$D$2:$D$501,0))),""))</f>
        <v/>
      </c>
      <c r="I706" s="25">
        <f>IF($C706="","",IFERROR(IF(INDEX(links!$C$2:$C$501,MATCH($C706,links!$D$2:$D$501,0))="","",INDEX(links!$C$2:$C$501,MATCH($C706,links!$D$2:$D$501,0))),""))</f>
        <v/>
      </c>
      <c r="J706" s="25">
        <f>IF($C706="","",IF($G706="","slug not in links; ","")&amp;IF($D706="","reading type missing; ","")&amp;IF(COUNTIFS(scans!$C$2:$C$1601,$C706,scans!$D$2:$D$1601,$D706)&gt;1,"two readings of this type: keep one; ",""))</f>
        <v/>
      </c>
    </row>
    <row r="707">
      <c r="A707" s="9" t="n"/>
      <c r="B707" s="33" t="n"/>
      <c r="G707" s="25">
        <f>IF($C707="","",IFERROR(IF(INDEX(links!$A$2:$A$501,MATCH($C707,links!$D$2:$D$501,0))="","",INDEX(links!$A$2:$A$501,MATCH($C707,links!$D$2:$D$501,0))),""))</f>
        <v/>
      </c>
      <c r="H707" s="25">
        <f>IF($C707="","",IFERROR(IF(INDEX(links!$B$2:$B$501,MATCH($C707,links!$D$2:$D$501,0))="","",INDEX(links!$B$2:$B$501,MATCH($C707,links!$D$2:$D$501,0))),""))</f>
        <v/>
      </c>
      <c r="I707" s="25">
        <f>IF($C707="","",IFERROR(IF(INDEX(links!$C$2:$C$501,MATCH($C707,links!$D$2:$D$501,0))="","",INDEX(links!$C$2:$C$501,MATCH($C707,links!$D$2:$D$501,0))),""))</f>
        <v/>
      </c>
      <c r="J707" s="25">
        <f>IF($C707="","",IF($G707="","slug not in links; ","")&amp;IF($D707="","reading type missing; ","")&amp;IF(COUNTIFS(scans!$C$2:$C$1601,$C707,scans!$D$2:$D$1601,$D707)&gt;1,"two readings of this type: keep one; ",""))</f>
        <v/>
      </c>
    </row>
    <row r="708">
      <c r="A708" s="9" t="n"/>
      <c r="B708" s="33" t="n"/>
      <c r="G708" s="25">
        <f>IF($C708="","",IFERROR(IF(INDEX(links!$A$2:$A$501,MATCH($C708,links!$D$2:$D$501,0))="","",INDEX(links!$A$2:$A$501,MATCH($C708,links!$D$2:$D$501,0))),""))</f>
        <v/>
      </c>
      <c r="H708" s="25">
        <f>IF($C708="","",IFERROR(IF(INDEX(links!$B$2:$B$501,MATCH($C708,links!$D$2:$D$501,0))="","",INDEX(links!$B$2:$B$501,MATCH($C708,links!$D$2:$D$501,0))),""))</f>
        <v/>
      </c>
      <c r="I708" s="25">
        <f>IF($C708="","",IFERROR(IF(INDEX(links!$C$2:$C$501,MATCH($C708,links!$D$2:$D$501,0))="","",INDEX(links!$C$2:$C$501,MATCH($C708,links!$D$2:$D$501,0))),""))</f>
        <v/>
      </c>
      <c r="J708" s="25">
        <f>IF($C708="","",IF($G708="","slug not in links; ","")&amp;IF($D708="","reading type missing; ","")&amp;IF(COUNTIFS(scans!$C$2:$C$1601,$C708,scans!$D$2:$D$1601,$D708)&gt;1,"two readings of this type: keep one; ",""))</f>
        <v/>
      </c>
    </row>
    <row r="709">
      <c r="A709" s="9" t="n"/>
      <c r="B709" s="33" t="n"/>
      <c r="G709" s="25">
        <f>IF($C709="","",IFERROR(IF(INDEX(links!$A$2:$A$501,MATCH($C709,links!$D$2:$D$501,0))="","",INDEX(links!$A$2:$A$501,MATCH($C709,links!$D$2:$D$501,0))),""))</f>
        <v/>
      </c>
      <c r="H709" s="25">
        <f>IF($C709="","",IFERROR(IF(INDEX(links!$B$2:$B$501,MATCH($C709,links!$D$2:$D$501,0))="","",INDEX(links!$B$2:$B$501,MATCH($C709,links!$D$2:$D$501,0))),""))</f>
        <v/>
      </c>
      <c r="I709" s="25">
        <f>IF($C709="","",IFERROR(IF(INDEX(links!$C$2:$C$501,MATCH($C709,links!$D$2:$D$501,0))="","",INDEX(links!$C$2:$C$501,MATCH($C709,links!$D$2:$D$501,0))),""))</f>
        <v/>
      </c>
      <c r="J709" s="25">
        <f>IF($C709="","",IF($G709="","slug not in links; ","")&amp;IF($D709="","reading type missing; ","")&amp;IF(COUNTIFS(scans!$C$2:$C$1601,$C709,scans!$D$2:$D$1601,$D709)&gt;1,"two readings of this type: keep one; ",""))</f>
        <v/>
      </c>
    </row>
    <row r="710">
      <c r="A710" s="9" t="n"/>
      <c r="B710" s="33" t="n"/>
      <c r="G710" s="25">
        <f>IF($C710="","",IFERROR(IF(INDEX(links!$A$2:$A$501,MATCH($C710,links!$D$2:$D$501,0))="","",INDEX(links!$A$2:$A$501,MATCH($C710,links!$D$2:$D$501,0))),""))</f>
        <v/>
      </c>
      <c r="H710" s="25">
        <f>IF($C710="","",IFERROR(IF(INDEX(links!$B$2:$B$501,MATCH($C710,links!$D$2:$D$501,0))="","",INDEX(links!$B$2:$B$501,MATCH($C710,links!$D$2:$D$501,0))),""))</f>
        <v/>
      </c>
      <c r="I710" s="25">
        <f>IF($C710="","",IFERROR(IF(INDEX(links!$C$2:$C$501,MATCH($C710,links!$D$2:$D$501,0))="","",INDEX(links!$C$2:$C$501,MATCH($C710,links!$D$2:$D$501,0))),""))</f>
        <v/>
      </c>
      <c r="J710" s="25">
        <f>IF($C710="","",IF($G710="","slug not in links; ","")&amp;IF($D710="","reading type missing; ","")&amp;IF(COUNTIFS(scans!$C$2:$C$1601,$C710,scans!$D$2:$D$1601,$D710)&gt;1,"two readings of this type: keep one; ",""))</f>
        <v/>
      </c>
    </row>
    <row r="711">
      <c r="A711" s="9" t="n"/>
      <c r="B711" s="33" t="n"/>
      <c r="G711" s="25">
        <f>IF($C711="","",IFERROR(IF(INDEX(links!$A$2:$A$501,MATCH($C711,links!$D$2:$D$501,0))="","",INDEX(links!$A$2:$A$501,MATCH($C711,links!$D$2:$D$501,0))),""))</f>
        <v/>
      </c>
      <c r="H711" s="25">
        <f>IF($C711="","",IFERROR(IF(INDEX(links!$B$2:$B$501,MATCH($C711,links!$D$2:$D$501,0))="","",INDEX(links!$B$2:$B$501,MATCH($C711,links!$D$2:$D$501,0))),""))</f>
        <v/>
      </c>
      <c r="I711" s="25">
        <f>IF($C711="","",IFERROR(IF(INDEX(links!$C$2:$C$501,MATCH($C711,links!$D$2:$D$501,0))="","",INDEX(links!$C$2:$C$501,MATCH($C711,links!$D$2:$D$501,0))),""))</f>
        <v/>
      </c>
      <c r="J711" s="25">
        <f>IF($C711="","",IF($G711="","slug not in links; ","")&amp;IF($D711="","reading type missing; ","")&amp;IF(COUNTIFS(scans!$C$2:$C$1601,$C711,scans!$D$2:$D$1601,$D711)&gt;1,"two readings of this type: keep one; ",""))</f>
        <v/>
      </c>
    </row>
    <row r="712">
      <c r="A712" s="9" t="n"/>
      <c r="B712" s="33" t="n"/>
      <c r="G712" s="25">
        <f>IF($C712="","",IFERROR(IF(INDEX(links!$A$2:$A$501,MATCH($C712,links!$D$2:$D$501,0))="","",INDEX(links!$A$2:$A$501,MATCH($C712,links!$D$2:$D$501,0))),""))</f>
        <v/>
      </c>
      <c r="H712" s="25">
        <f>IF($C712="","",IFERROR(IF(INDEX(links!$B$2:$B$501,MATCH($C712,links!$D$2:$D$501,0))="","",INDEX(links!$B$2:$B$501,MATCH($C712,links!$D$2:$D$501,0))),""))</f>
        <v/>
      </c>
      <c r="I712" s="25">
        <f>IF($C712="","",IFERROR(IF(INDEX(links!$C$2:$C$501,MATCH($C712,links!$D$2:$D$501,0))="","",INDEX(links!$C$2:$C$501,MATCH($C712,links!$D$2:$D$501,0))),""))</f>
        <v/>
      </c>
      <c r="J712" s="25">
        <f>IF($C712="","",IF($G712="","slug not in links; ","")&amp;IF($D712="","reading type missing; ","")&amp;IF(COUNTIFS(scans!$C$2:$C$1601,$C712,scans!$D$2:$D$1601,$D712)&gt;1,"two readings of this type: keep one; ",""))</f>
        <v/>
      </c>
    </row>
    <row r="713">
      <c r="A713" s="9" t="n"/>
      <c r="B713" s="33" t="n"/>
      <c r="G713" s="25">
        <f>IF($C713="","",IFERROR(IF(INDEX(links!$A$2:$A$501,MATCH($C713,links!$D$2:$D$501,0))="","",INDEX(links!$A$2:$A$501,MATCH($C713,links!$D$2:$D$501,0))),""))</f>
        <v/>
      </c>
      <c r="H713" s="25">
        <f>IF($C713="","",IFERROR(IF(INDEX(links!$B$2:$B$501,MATCH($C713,links!$D$2:$D$501,0))="","",INDEX(links!$B$2:$B$501,MATCH($C713,links!$D$2:$D$501,0))),""))</f>
        <v/>
      </c>
      <c r="I713" s="25">
        <f>IF($C713="","",IFERROR(IF(INDEX(links!$C$2:$C$501,MATCH($C713,links!$D$2:$D$501,0))="","",INDEX(links!$C$2:$C$501,MATCH($C713,links!$D$2:$D$501,0))),""))</f>
        <v/>
      </c>
      <c r="J713" s="25">
        <f>IF($C713="","",IF($G713="","slug not in links; ","")&amp;IF($D713="","reading type missing; ","")&amp;IF(COUNTIFS(scans!$C$2:$C$1601,$C713,scans!$D$2:$D$1601,$D713)&gt;1,"two readings of this type: keep one; ",""))</f>
        <v/>
      </c>
    </row>
    <row r="714">
      <c r="A714" s="9" t="n"/>
      <c r="B714" s="33" t="n"/>
      <c r="G714" s="25">
        <f>IF($C714="","",IFERROR(IF(INDEX(links!$A$2:$A$501,MATCH($C714,links!$D$2:$D$501,0))="","",INDEX(links!$A$2:$A$501,MATCH($C714,links!$D$2:$D$501,0))),""))</f>
        <v/>
      </c>
      <c r="H714" s="25">
        <f>IF($C714="","",IFERROR(IF(INDEX(links!$B$2:$B$501,MATCH($C714,links!$D$2:$D$501,0))="","",INDEX(links!$B$2:$B$501,MATCH($C714,links!$D$2:$D$501,0))),""))</f>
        <v/>
      </c>
      <c r="I714" s="25">
        <f>IF($C714="","",IFERROR(IF(INDEX(links!$C$2:$C$501,MATCH($C714,links!$D$2:$D$501,0))="","",INDEX(links!$C$2:$C$501,MATCH($C714,links!$D$2:$D$501,0))),""))</f>
        <v/>
      </c>
      <c r="J714" s="25">
        <f>IF($C714="","",IF($G714="","slug not in links; ","")&amp;IF($D714="","reading type missing; ","")&amp;IF(COUNTIFS(scans!$C$2:$C$1601,$C714,scans!$D$2:$D$1601,$D714)&gt;1,"two readings of this type: keep one; ",""))</f>
        <v/>
      </c>
    </row>
    <row r="715">
      <c r="A715" s="9" t="n"/>
      <c r="B715" s="33" t="n"/>
      <c r="G715" s="25">
        <f>IF($C715="","",IFERROR(IF(INDEX(links!$A$2:$A$501,MATCH($C715,links!$D$2:$D$501,0))="","",INDEX(links!$A$2:$A$501,MATCH($C715,links!$D$2:$D$501,0))),""))</f>
        <v/>
      </c>
      <c r="H715" s="25">
        <f>IF($C715="","",IFERROR(IF(INDEX(links!$B$2:$B$501,MATCH($C715,links!$D$2:$D$501,0))="","",INDEX(links!$B$2:$B$501,MATCH($C715,links!$D$2:$D$501,0))),""))</f>
        <v/>
      </c>
      <c r="I715" s="25">
        <f>IF($C715="","",IFERROR(IF(INDEX(links!$C$2:$C$501,MATCH($C715,links!$D$2:$D$501,0))="","",INDEX(links!$C$2:$C$501,MATCH($C715,links!$D$2:$D$501,0))),""))</f>
        <v/>
      </c>
      <c r="J715" s="25">
        <f>IF($C715="","",IF($G715="","slug not in links; ","")&amp;IF($D715="","reading type missing; ","")&amp;IF(COUNTIFS(scans!$C$2:$C$1601,$C715,scans!$D$2:$D$1601,$D715)&gt;1,"two readings of this type: keep one; ",""))</f>
        <v/>
      </c>
    </row>
    <row r="716">
      <c r="A716" s="9" t="n"/>
      <c r="B716" s="33" t="n"/>
      <c r="G716" s="25">
        <f>IF($C716="","",IFERROR(IF(INDEX(links!$A$2:$A$501,MATCH($C716,links!$D$2:$D$501,0))="","",INDEX(links!$A$2:$A$501,MATCH($C716,links!$D$2:$D$501,0))),""))</f>
        <v/>
      </c>
      <c r="H716" s="25">
        <f>IF($C716="","",IFERROR(IF(INDEX(links!$B$2:$B$501,MATCH($C716,links!$D$2:$D$501,0))="","",INDEX(links!$B$2:$B$501,MATCH($C716,links!$D$2:$D$501,0))),""))</f>
        <v/>
      </c>
      <c r="I716" s="25">
        <f>IF($C716="","",IFERROR(IF(INDEX(links!$C$2:$C$501,MATCH($C716,links!$D$2:$D$501,0))="","",INDEX(links!$C$2:$C$501,MATCH($C716,links!$D$2:$D$501,0))),""))</f>
        <v/>
      </c>
      <c r="J716" s="25">
        <f>IF($C716="","",IF($G716="","slug not in links; ","")&amp;IF($D716="","reading type missing; ","")&amp;IF(COUNTIFS(scans!$C$2:$C$1601,$C716,scans!$D$2:$D$1601,$D716)&gt;1,"two readings of this type: keep one; ",""))</f>
        <v/>
      </c>
    </row>
    <row r="717">
      <c r="A717" s="9" t="n"/>
      <c r="B717" s="33" t="n"/>
      <c r="G717" s="25">
        <f>IF($C717="","",IFERROR(IF(INDEX(links!$A$2:$A$501,MATCH($C717,links!$D$2:$D$501,0))="","",INDEX(links!$A$2:$A$501,MATCH($C717,links!$D$2:$D$501,0))),""))</f>
        <v/>
      </c>
      <c r="H717" s="25">
        <f>IF($C717="","",IFERROR(IF(INDEX(links!$B$2:$B$501,MATCH($C717,links!$D$2:$D$501,0))="","",INDEX(links!$B$2:$B$501,MATCH($C717,links!$D$2:$D$501,0))),""))</f>
        <v/>
      </c>
      <c r="I717" s="25">
        <f>IF($C717="","",IFERROR(IF(INDEX(links!$C$2:$C$501,MATCH($C717,links!$D$2:$D$501,0))="","",INDEX(links!$C$2:$C$501,MATCH($C717,links!$D$2:$D$501,0))),""))</f>
        <v/>
      </c>
      <c r="J717" s="25">
        <f>IF($C717="","",IF($G717="","slug not in links; ","")&amp;IF($D717="","reading type missing; ","")&amp;IF(COUNTIFS(scans!$C$2:$C$1601,$C717,scans!$D$2:$D$1601,$D717)&gt;1,"two readings of this type: keep one; ",""))</f>
        <v/>
      </c>
    </row>
    <row r="718">
      <c r="A718" s="9" t="n"/>
      <c r="B718" s="33" t="n"/>
      <c r="G718" s="25">
        <f>IF($C718="","",IFERROR(IF(INDEX(links!$A$2:$A$501,MATCH($C718,links!$D$2:$D$501,0))="","",INDEX(links!$A$2:$A$501,MATCH($C718,links!$D$2:$D$501,0))),""))</f>
        <v/>
      </c>
      <c r="H718" s="25">
        <f>IF($C718="","",IFERROR(IF(INDEX(links!$B$2:$B$501,MATCH($C718,links!$D$2:$D$501,0))="","",INDEX(links!$B$2:$B$501,MATCH($C718,links!$D$2:$D$501,0))),""))</f>
        <v/>
      </c>
      <c r="I718" s="25">
        <f>IF($C718="","",IFERROR(IF(INDEX(links!$C$2:$C$501,MATCH($C718,links!$D$2:$D$501,0))="","",INDEX(links!$C$2:$C$501,MATCH($C718,links!$D$2:$D$501,0))),""))</f>
        <v/>
      </c>
      <c r="J718" s="25">
        <f>IF($C718="","",IF($G718="","slug not in links; ","")&amp;IF($D718="","reading type missing; ","")&amp;IF(COUNTIFS(scans!$C$2:$C$1601,$C718,scans!$D$2:$D$1601,$D718)&gt;1,"two readings of this type: keep one; ",""))</f>
        <v/>
      </c>
    </row>
    <row r="719">
      <c r="A719" s="9" t="n"/>
      <c r="B719" s="33" t="n"/>
      <c r="G719" s="25">
        <f>IF($C719="","",IFERROR(IF(INDEX(links!$A$2:$A$501,MATCH($C719,links!$D$2:$D$501,0))="","",INDEX(links!$A$2:$A$501,MATCH($C719,links!$D$2:$D$501,0))),""))</f>
        <v/>
      </c>
      <c r="H719" s="25">
        <f>IF($C719="","",IFERROR(IF(INDEX(links!$B$2:$B$501,MATCH($C719,links!$D$2:$D$501,0))="","",INDEX(links!$B$2:$B$501,MATCH($C719,links!$D$2:$D$501,0))),""))</f>
        <v/>
      </c>
      <c r="I719" s="25">
        <f>IF($C719="","",IFERROR(IF(INDEX(links!$C$2:$C$501,MATCH($C719,links!$D$2:$D$501,0))="","",INDEX(links!$C$2:$C$501,MATCH($C719,links!$D$2:$D$501,0))),""))</f>
        <v/>
      </c>
      <c r="J719" s="25">
        <f>IF($C719="","",IF($G719="","slug not in links; ","")&amp;IF($D719="","reading type missing; ","")&amp;IF(COUNTIFS(scans!$C$2:$C$1601,$C719,scans!$D$2:$D$1601,$D719)&gt;1,"two readings of this type: keep one; ",""))</f>
        <v/>
      </c>
    </row>
    <row r="720">
      <c r="A720" s="9" t="n"/>
      <c r="B720" s="33" t="n"/>
      <c r="G720" s="25">
        <f>IF($C720="","",IFERROR(IF(INDEX(links!$A$2:$A$501,MATCH($C720,links!$D$2:$D$501,0))="","",INDEX(links!$A$2:$A$501,MATCH($C720,links!$D$2:$D$501,0))),""))</f>
        <v/>
      </c>
      <c r="H720" s="25">
        <f>IF($C720="","",IFERROR(IF(INDEX(links!$B$2:$B$501,MATCH($C720,links!$D$2:$D$501,0))="","",INDEX(links!$B$2:$B$501,MATCH($C720,links!$D$2:$D$501,0))),""))</f>
        <v/>
      </c>
      <c r="I720" s="25">
        <f>IF($C720="","",IFERROR(IF(INDEX(links!$C$2:$C$501,MATCH($C720,links!$D$2:$D$501,0))="","",INDEX(links!$C$2:$C$501,MATCH($C720,links!$D$2:$D$501,0))),""))</f>
        <v/>
      </c>
      <c r="J720" s="25">
        <f>IF($C720="","",IF($G720="","slug not in links; ","")&amp;IF($D720="","reading type missing; ","")&amp;IF(COUNTIFS(scans!$C$2:$C$1601,$C720,scans!$D$2:$D$1601,$D720)&gt;1,"two readings of this type: keep one; ",""))</f>
        <v/>
      </c>
    </row>
    <row r="721">
      <c r="A721" s="9" t="n"/>
      <c r="B721" s="33" t="n"/>
      <c r="G721" s="25">
        <f>IF($C721="","",IFERROR(IF(INDEX(links!$A$2:$A$501,MATCH($C721,links!$D$2:$D$501,0))="","",INDEX(links!$A$2:$A$501,MATCH($C721,links!$D$2:$D$501,0))),""))</f>
        <v/>
      </c>
      <c r="H721" s="25">
        <f>IF($C721="","",IFERROR(IF(INDEX(links!$B$2:$B$501,MATCH($C721,links!$D$2:$D$501,0))="","",INDEX(links!$B$2:$B$501,MATCH($C721,links!$D$2:$D$501,0))),""))</f>
        <v/>
      </c>
      <c r="I721" s="25">
        <f>IF($C721="","",IFERROR(IF(INDEX(links!$C$2:$C$501,MATCH($C721,links!$D$2:$D$501,0))="","",INDEX(links!$C$2:$C$501,MATCH($C721,links!$D$2:$D$501,0))),""))</f>
        <v/>
      </c>
      <c r="J721" s="25">
        <f>IF($C721="","",IF($G721="","slug not in links; ","")&amp;IF($D721="","reading type missing; ","")&amp;IF(COUNTIFS(scans!$C$2:$C$1601,$C721,scans!$D$2:$D$1601,$D721)&gt;1,"two readings of this type: keep one; ",""))</f>
        <v/>
      </c>
    </row>
    <row r="722">
      <c r="A722" s="9" t="n"/>
      <c r="B722" s="33" t="n"/>
      <c r="G722" s="25">
        <f>IF($C722="","",IFERROR(IF(INDEX(links!$A$2:$A$501,MATCH($C722,links!$D$2:$D$501,0))="","",INDEX(links!$A$2:$A$501,MATCH($C722,links!$D$2:$D$501,0))),""))</f>
        <v/>
      </c>
      <c r="H722" s="25">
        <f>IF($C722="","",IFERROR(IF(INDEX(links!$B$2:$B$501,MATCH($C722,links!$D$2:$D$501,0))="","",INDEX(links!$B$2:$B$501,MATCH($C722,links!$D$2:$D$501,0))),""))</f>
        <v/>
      </c>
      <c r="I722" s="25">
        <f>IF($C722="","",IFERROR(IF(INDEX(links!$C$2:$C$501,MATCH($C722,links!$D$2:$D$501,0))="","",INDEX(links!$C$2:$C$501,MATCH($C722,links!$D$2:$D$501,0))),""))</f>
        <v/>
      </c>
      <c r="J722" s="25">
        <f>IF($C722="","",IF($G722="","slug not in links; ","")&amp;IF($D722="","reading type missing; ","")&amp;IF(COUNTIFS(scans!$C$2:$C$1601,$C722,scans!$D$2:$D$1601,$D722)&gt;1,"two readings of this type: keep one; ",""))</f>
        <v/>
      </c>
    </row>
    <row r="723">
      <c r="A723" s="9" t="n"/>
      <c r="B723" s="33" t="n"/>
      <c r="G723" s="25">
        <f>IF($C723="","",IFERROR(IF(INDEX(links!$A$2:$A$501,MATCH($C723,links!$D$2:$D$501,0))="","",INDEX(links!$A$2:$A$501,MATCH($C723,links!$D$2:$D$501,0))),""))</f>
        <v/>
      </c>
      <c r="H723" s="25">
        <f>IF($C723="","",IFERROR(IF(INDEX(links!$B$2:$B$501,MATCH($C723,links!$D$2:$D$501,0))="","",INDEX(links!$B$2:$B$501,MATCH($C723,links!$D$2:$D$501,0))),""))</f>
        <v/>
      </c>
      <c r="I723" s="25">
        <f>IF($C723="","",IFERROR(IF(INDEX(links!$C$2:$C$501,MATCH($C723,links!$D$2:$D$501,0))="","",INDEX(links!$C$2:$C$501,MATCH($C723,links!$D$2:$D$501,0))),""))</f>
        <v/>
      </c>
      <c r="J723" s="25">
        <f>IF($C723="","",IF($G723="","slug not in links; ","")&amp;IF($D723="","reading type missing; ","")&amp;IF(COUNTIFS(scans!$C$2:$C$1601,$C723,scans!$D$2:$D$1601,$D723)&gt;1,"two readings of this type: keep one; ",""))</f>
        <v/>
      </c>
    </row>
    <row r="724">
      <c r="A724" s="9" t="n"/>
      <c r="B724" s="33" t="n"/>
      <c r="G724" s="25">
        <f>IF($C724="","",IFERROR(IF(INDEX(links!$A$2:$A$501,MATCH($C724,links!$D$2:$D$501,0))="","",INDEX(links!$A$2:$A$501,MATCH($C724,links!$D$2:$D$501,0))),""))</f>
        <v/>
      </c>
      <c r="H724" s="25">
        <f>IF($C724="","",IFERROR(IF(INDEX(links!$B$2:$B$501,MATCH($C724,links!$D$2:$D$501,0))="","",INDEX(links!$B$2:$B$501,MATCH($C724,links!$D$2:$D$501,0))),""))</f>
        <v/>
      </c>
      <c r="I724" s="25">
        <f>IF($C724="","",IFERROR(IF(INDEX(links!$C$2:$C$501,MATCH($C724,links!$D$2:$D$501,0))="","",INDEX(links!$C$2:$C$501,MATCH($C724,links!$D$2:$D$501,0))),""))</f>
        <v/>
      </c>
      <c r="J724" s="25">
        <f>IF($C724="","",IF($G724="","slug not in links; ","")&amp;IF($D724="","reading type missing; ","")&amp;IF(COUNTIFS(scans!$C$2:$C$1601,$C724,scans!$D$2:$D$1601,$D724)&gt;1,"two readings of this type: keep one; ",""))</f>
        <v/>
      </c>
    </row>
    <row r="725">
      <c r="A725" s="9" t="n"/>
      <c r="B725" s="33" t="n"/>
      <c r="G725" s="25">
        <f>IF($C725="","",IFERROR(IF(INDEX(links!$A$2:$A$501,MATCH($C725,links!$D$2:$D$501,0))="","",INDEX(links!$A$2:$A$501,MATCH($C725,links!$D$2:$D$501,0))),""))</f>
        <v/>
      </c>
      <c r="H725" s="25">
        <f>IF($C725="","",IFERROR(IF(INDEX(links!$B$2:$B$501,MATCH($C725,links!$D$2:$D$501,0))="","",INDEX(links!$B$2:$B$501,MATCH($C725,links!$D$2:$D$501,0))),""))</f>
        <v/>
      </c>
      <c r="I725" s="25">
        <f>IF($C725="","",IFERROR(IF(INDEX(links!$C$2:$C$501,MATCH($C725,links!$D$2:$D$501,0))="","",INDEX(links!$C$2:$C$501,MATCH($C725,links!$D$2:$D$501,0))),""))</f>
        <v/>
      </c>
      <c r="J725" s="25">
        <f>IF($C725="","",IF($G725="","slug not in links; ","")&amp;IF($D725="","reading type missing; ","")&amp;IF(COUNTIFS(scans!$C$2:$C$1601,$C725,scans!$D$2:$D$1601,$D725)&gt;1,"two readings of this type: keep one; ",""))</f>
        <v/>
      </c>
    </row>
    <row r="726">
      <c r="A726" s="9" t="n"/>
      <c r="B726" s="33" t="n"/>
      <c r="G726" s="25">
        <f>IF($C726="","",IFERROR(IF(INDEX(links!$A$2:$A$501,MATCH($C726,links!$D$2:$D$501,0))="","",INDEX(links!$A$2:$A$501,MATCH($C726,links!$D$2:$D$501,0))),""))</f>
        <v/>
      </c>
      <c r="H726" s="25">
        <f>IF($C726="","",IFERROR(IF(INDEX(links!$B$2:$B$501,MATCH($C726,links!$D$2:$D$501,0))="","",INDEX(links!$B$2:$B$501,MATCH($C726,links!$D$2:$D$501,0))),""))</f>
        <v/>
      </c>
      <c r="I726" s="25">
        <f>IF($C726="","",IFERROR(IF(INDEX(links!$C$2:$C$501,MATCH($C726,links!$D$2:$D$501,0))="","",INDEX(links!$C$2:$C$501,MATCH($C726,links!$D$2:$D$501,0))),""))</f>
        <v/>
      </c>
      <c r="J726" s="25">
        <f>IF($C726="","",IF($G726="","slug not in links; ","")&amp;IF($D726="","reading type missing; ","")&amp;IF(COUNTIFS(scans!$C$2:$C$1601,$C726,scans!$D$2:$D$1601,$D726)&gt;1,"two readings of this type: keep one; ",""))</f>
        <v/>
      </c>
    </row>
    <row r="727">
      <c r="A727" s="9" t="n"/>
      <c r="B727" s="33" t="n"/>
      <c r="G727" s="25">
        <f>IF($C727="","",IFERROR(IF(INDEX(links!$A$2:$A$501,MATCH($C727,links!$D$2:$D$501,0))="","",INDEX(links!$A$2:$A$501,MATCH($C727,links!$D$2:$D$501,0))),""))</f>
        <v/>
      </c>
      <c r="H727" s="25">
        <f>IF($C727="","",IFERROR(IF(INDEX(links!$B$2:$B$501,MATCH($C727,links!$D$2:$D$501,0))="","",INDEX(links!$B$2:$B$501,MATCH($C727,links!$D$2:$D$501,0))),""))</f>
        <v/>
      </c>
      <c r="I727" s="25">
        <f>IF($C727="","",IFERROR(IF(INDEX(links!$C$2:$C$501,MATCH($C727,links!$D$2:$D$501,0))="","",INDEX(links!$C$2:$C$501,MATCH($C727,links!$D$2:$D$501,0))),""))</f>
        <v/>
      </c>
      <c r="J727" s="25">
        <f>IF($C727="","",IF($G727="","slug not in links; ","")&amp;IF($D727="","reading type missing; ","")&amp;IF(COUNTIFS(scans!$C$2:$C$1601,$C727,scans!$D$2:$D$1601,$D727)&gt;1,"two readings of this type: keep one; ",""))</f>
        <v/>
      </c>
    </row>
    <row r="728">
      <c r="A728" s="9" t="n"/>
      <c r="B728" s="33" t="n"/>
      <c r="G728" s="25">
        <f>IF($C728="","",IFERROR(IF(INDEX(links!$A$2:$A$501,MATCH($C728,links!$D$2:$D$501,0))="","",INDEX(links!$A$2:$A$501,MATCH($C728,links!$D$2:$D$501,0))),""))</f>
        <v/>
      </c>
      <c r="H728" s="25">
        <f>IF($C728="","",IFERROR(IF(INDEX(links!$B$2:$B$501,MATCH($C728,links!$D$2:$D$501,0))="","",INDEX(links!$B$2:$B$501,MATCH($C728,links!$D$2:$D$501,0))),""))</f>
        <v/>
      </c>
      <c r="I728" s="25">
        <f>IF($C728="","",IFERROR(IF(INDEX(links!$C$2:$C$501,MATCH($C728,links!$D$2:$D$501,0))="","",INDEX(links!$C$2:$C$501,MATCH($C728,links!$D$2:$D$501,0))),""))</f>
        <v/>
      </c>
      <c r="J728" s="25">
        <f>IF($C728="","",IF($G728="","slug not in links; ","")&amp;IF($D728="","reading type missing; ","")&amp;IF(COUNTIFS(scans!$C$2:$C$1601,$C728,scans!$D$2:$D$1601,$D728)&gt;1,"two readings of this type: keep one; ",""))</f>
        <v/>
      </c>
    </row>
    <row r="729">
      <c r="A729" s="9" t="n"/>
      <c r="B729" s="33" t="n"/>
      <c r="G729" s="25">
        <f>IF($C729="","",IFERROR(IF(INDEX(links!$A$2:$A$501,MATCH($C729,links!$D$2:$D$501,0))="","",INDEX(links!$A$2:$A$501,MATCH($C729,links!$D$2:$D$501,0))),""))</f>
        <v/>
      </c>
      <c r="H729" s="25">
        <f>IF($C729="","",IFERROR(IF(INDEX(links!$B$2:$B$501,MATCH($C729,links!$D$2:$D$501,0))="","",INDEX(links!$B$2:$B$501,MATCH($C729,links!$D$2:$D$501,0))),""))</f>
        <v/>
      </c>
      <c r="I729" s="25">
        <f>IF($C729="","",IFERROR(IF(INDEX(links!$C$2:$C$501,MATCH($C729,links!$D$2:$D$501,0))="","",INDEX(links!$C$2:$C$501,MATCH($C729,links!$D$2:$D$501,0))),""))</f>
        <v/>
      </c>
      <c r="J729" s="25">
        <f>IF($C729="","",IF($G729="","slug not in links; ","")&amp;IF($D729="","reading type missing; ","")&amp;IF(COUNTIFS(scans!$C$2:$C$1601,$C729,scans!$D$2:$D$1601,$D729)&gt;1,"two readings of this type: keep one; ",""))</f>
        <v/>
      </c>
    </row>
    <row r="730">
      <c r="A730" s="9" t="n"/>
      <c r="B730" s="33" t="n"/>
      <c r="G730" s="25">
        <f>IF($C730="","",IFERROR(IF(INDEX(links!$A$2:$A$501,MATCH($C730,links!$D$2:$D$501,0))="","",INDEX(links!$A$2:$A$501,MATCH($C730,links!$D$2:$D$501,0))),""))</f>
        <v/>
      </c>
      <c r="H730" s="25">
        <f>IF($C730="","",IFERROR(IF(INDEX(links!$B$2:$B$501,MATCH($C730,links!$D$2:$D$501,0))="","",INDEX(links!$B$2:$B$501,MATCH($C730,links!$D$2:$D$501,0))),""))</f>
        <v/>
      </c>
      <c r="I730" s="25">
        <f>IF($C730="","",IFERROR(IF(INDEX(links!$C$2:$C$501,MATCH($C730,links!$D$2:$D$501,0))="","",INDEX(links!$C$2:$C$501,MATCH($C730,links!$D$2:$D$501,0))),""))</f>
        <v/>
      </c>
      <c r="J730" s="25">
        <f>IF($C730="","",IF($G730="","slug not in links; ","")&amp;IF($D730="","reading type missing; ","")&amp;IF(COUNTIFS(scans!$C$2:$C$1601,$C730,scans!$D$2:$D$1601,$D730)&gt;1,"two readings of this type: keep one; ",""))</f>
        <v/>
      </c>
    </row>
    <row r="731">
      <c r="A731" s="9" t="n"/>
      <c r="B731" s="33" t="n"/>
      <c r="G731" s="25">
        <f>IF($C731="","",IFERROR(IF(INDEX(links!$A$2:$A$501,MATCH($C731,links!$D$2:$D$501,0))="","",INDEX(links!$A$2:$A$501,MATCH($C731,links!$D$2:$D$501,0))),""))</f>
        <v/>
      </c>
      <c r="H731" s="25">
        <f>IF($C731="","",IFERROR(IF(INDEX(links!$B$2:$B$501,MATCH($C731,links!$D$2:$D$501,0))="","",INDEX(links!$B$2:$B$501,MATCH($C731,links!$D$2:$D$501,0))),""))</f>
        <v/>
      </c>
      <c r="I731" s="25">
        <f>IF($C731="","",IFERROR(IF(INDEX(links!$C$2:$C$501,MATCH($C731,links!$D$2:$D$501,0))="","",INDEX(links!$C$2:$C$501,MATCH($C731,links!$D$2:$D$501,0))),""))</f>
        <v/>
      </c>
      <c r="J731" s="25">
        <f>IF($C731="","",IF($G731="","slug not in links; ","")&amp;IF($D731="","reading type missing; ","")&amp;IF(COUNTIFS(scans!$C$2:$C$1601,$C731,scans!$D$2:$D$1601,$D731)&gt;1,"two readings of this type: keep one; ",""))</f>
        <v/>
      </c>
    </row>
    <row r="732">
      <c r="A732" s="9" t="n"/>
      <c r="B732" s="33" t="n"/>
      <c r="G732" s="25">
        <f>IF($C732="","",IFERROR(IF(INDEX(links!$A$2:$A$501,MATCH($C732,links!$D$2:$D$501,0))="","",INDEX(links!$A$2:$A$501,MATCH($C732,links!$D$2:$D$501,0))),""))</f>
        <v/>
      </c>
      <c r="H732" s="25">
        <f>IF($C732="","",IFERROR(IF(INDEX(links!$B$2:$B$501,MATCH($C732,links!$D$2:$D$501,0))="","",INDEX(links!$B$2:$B$501,MATCH($C732,links!$D$2:$D$501,0))),""))</f>
        <v/>
      </c>
      <c r="I732" s="25">
        <f>IF($C732="","",IFERROR(IF(INDEX(links!$C$2:$C$501,MATCH($C732,links!$D$2:$D$501,0))="","",INDEX(links!$C$2:$C$501,MATCH($C732,links!$D$2:$D$501,0))),""))</f>
        <v/>
      </c>
      <c r="J732" s="25">
        <f>IF($C732="","",IF($G732="","slug not in links; ","")&amp;IF($D732="","reading type missing; ","")&amp;IF(COUNTIFS(scans!$C$2:$C$1601,$C732,scans!$D$2:$D$1601,$D732)&gt;1,"two readings of this type: keep one; ",""))</f>
        <v/>
      </c>
    </row>
    <row r="733">
      <c r="A733" s="9" t="n"/>
      <c r="B733" s="33" t="n"/>
      <c r="G733" s="25">
        <f>IF($C733="","",IFERROR(IF(INDEX(links!$A$2:$A$501,MATCH($C733,links!$D$2:$D$501,0))="","",INDEX(links!$A$2:$A$501,MATCH($C733,links!$D$2:$D$501,0))),""))</f>
        <v/>
      </c>
      <c r="H733" s="25">
        <f>IF($C733="","",IFERROR(IF(INDEX(links!$B$2:$B$501,MATCH($C733,links!$D$2:$D$501,0))="","",INDEX(links!$B$2:$B$501,MATCH($C733,links!$D$2:$D$501,0))),""))</f>
        <v/>
      </c>
      <c r="I733" s="25">
        <f>IF($C733="","",IFERROR(IF(INDEX(links!$C$2:$C$501,MATCH($C733,links!$D$2:$D$501,0))="","",INDEX(links!$C$2:$C$501,MATCH($C733,links!$D$2:$D$501,0))),""))</f>
        <v/>
      </c>
      <c r="J733" s="25">
        <f>IF($C733="","",IF($G733="","slug not in links; ","")&amp;IF($D733="","reading type missing; ","")&amp;IF(COUNTIFS(scans!$C$2:$C$1601,$C733,scans!$D$2:$D$1601,$D733)&gt;1,"two readings of this type: keep one; ",""))</f>
        <v/>
      </c>
    </row>
    <row r="734">
      <c r="A734" s="9" t="n"/>
      <c r="B734" s="33" t="n"/>
      <c r="G734" s="25">
        <f>IF($C734="","",IFERROR(IF(INDEX(links!$A$2:$A$501,MATCH($C734,links!$D$2:$D$501,0))="","",INDEX(links!$A$2:$A$501,MATCH($C734,links!$D$2:$D$501,0))),""))</f>
        <v/>
      </c>
      <c r="H734" s="25">
        <f>IF($C734="","",IFERROR(IF(INDEX(links!$B$2:$B$501,MATCH($C734,links!$D$2:$D$501,0))="","",INDEX(links!$B$2:$B$501,MATCH($C734,links!$D$2:$D$501,0))),""))</f>
        <v/>
      </c>
      <c r="I734" s="25">
        <f>IF($C734="","",IFERROR(IF(INDEX(links!$C$2:$C$501,MATCH($C734,links!$D$2:$D$501,0))="","",INDEX(links!$C$2:$C$501,MATCH($C734,links!$D$2:$D$501,0))),""))</f>
        <v/>
      </c>
      <c r="J734" s="25">
        <f>IF($C734="","",IF($G734="","slug not in links; ","")&amp;IF($D734="","reading type missing; ","")&amp;IF(COUNTIFS(scans!$C$2:$C$1601,$C734,scans!$D$2:$D$1601,$D734)&gt;1,"two readings of this type: keep one; ",""))</f>
        <v/>
      </c>
    </row>
    <row r="735">
      <c r="A735" s="9" t="n"/>
      <c r="B735" s="33" t="n"/>
      <c r="G735" s="25">
        <f>IF($C735="","",IFERROR(IF(INDEX(links!$A$2:$A$501,MATCH($C735,links!$D$2:$D$501,0))="","",INDEX(links!$A$2:$A$501,MATCH($C735,links!$D$2:$D$501,0))),""))</f>
        <v/>
      </c>
      <c r="H735" s="25">
        <f>IF($C735="","",IFERROR(IF(INDEX(links!$B$2:$B$501,MATCH($C735,links!$D$2:$D$501,0))="","",INDEX(links!$B$2:$B$501,MATCH($C735,links!$D$2:$D$501,0))),""))</f>
        <v/>
      </c>
      <c r="I735" s="25">
        <f>IF($C735="","",IFERROR(IF(INDEX(links!$C$2:$C$501,MATCH($C735,links!$D$2:$D$501,0))="","",INDEX(links!$C$2:$C$501,MATCH($C735,links!$D$2:$D$501,0))),""))</f>
        <v/>
      </c>
      <c r="J735" s="25">
        <f>IF($C735="","",IF($G735="","slug not in links; ","")&amp;IF($D735="","reading type missing; ","")&amp;IF(COUNTIFS(scans!$C$2:$C$1601,$C735,scans!$D$2:$D$1601,$D735)&gt;1,"two readings of this type: keep one; ",""))</f>
        <v/>
      </c>
    </row>
    <row r="736">
      <c r="A736" s="9" t="n"/>
      <c r="B736" s="33" t="n"/>
      <c r="G736" s="25">
        <f>IF($C736="","",IFERROR(IF(INDEX(links!$A$2:$A$501,MATCH($C736,links!$D$2:$D$501,0))="","",INDEX(links!$A$2:$A$501,MATCH($C736,links!$D$2:$D$501,0))),""))</f>
        <v/>
      </c>
      <c r="H736" s="25">
        <f>IF($C736="","",IFERROR(IF(INDEX(links!$B$2:$B$501,MATCH($C736,links!$D$2:$D$501,0))="","",INDEX(links!$B$2:$B$501,MATCH($C736,links!$D$2:$D$501,0))),""))</f>
        <v/>
      </c>
      <c r="I736" s="25">
        <f>IF($C736="","",IFERROR(IF(INDEX(links!$C$2:$C$501,MATCH($C736,links!$D$2:$D$501,0))="","",INDEX(links!$C$2:$C$501,MATCH($C736,links!$D$2:$D$501,0))),""))</f>
        <v/>
      </c>
      <c r="J736" s="25">
        <f>IF($C736="","",IF($G736="","slug not in links; ","")&amp;IF($D736="","reading type missing; ","")&amp;IF(COUNTIFS(scans!$C$2:$C$1601,$C736,scans!$D$2:$D$1601,$D736)&gt;1,"two readings of this type: keep one; ",""))</f>
        <v/>
      </c>
    </row>
    <row r="737">
      <c r="A737" s="9" t="n"/>
      <c r="B737" s="33" t="n"/>
      <c r="G737" s="25">
        <f>IF($C737="","",IFERROR(IF(INDEX(links!$A$2:$A$501,MATCH($C737,links!$D$2:$D$501,0))="","",INDEX(links!$A$2:$A$501,MATCH($C737,links!$D$2:$D$501,0))),""))</f>
        <v/>
      </c>
      <c r="H737" s="25">
        <f>IF($C737="","",IFERROR(IF(INDEX(links!$B$2:$B$501,MATCH($C737,links!$D$2:$D$501,0))="","",INDEX(links!$B$2:$B$501,MATCH($C737,links!$D$2:$D$501,0))),""))</f>
        <v/>
      </c>
      <c r="I737" s="25">
        <f>IF($C737="","",IFERROR(IF(INDEX(links!$C$2:$C$501,MATCH($C737,links!$D$2:$D$501,0))="","",INDEX(links!$C$2:$C$501,MATCH($C737,links!$D$2:$D$501,0))),""))</f>
        <v/>
      </c>
      <c r="J737" s="25">
        <f>IF($C737="","",IF($G737="","slug not in links; ","")&amp;IF($D737="","reading type missing; ","")&amp;IF(COUNTIFS(scans!$C$2:$C$1601,$C737,scans!$D$2:$D$1601,$D737)&gt;1,"two readings of this type: keep one; ",""))</f>
        <v/>
      </c>
    </row>
    <row r="738">
      <c r="A738" s="9" t="n"/>
      <c r="B738" s="33" t="n"/>
      <c r="G738" s="25">
        <f>IF($C738="","",IFERROR(IF(INDEX(links!$A$2:$A$501,MATCH($C738,links!$D$2:$D$501,0))="","",INDEX(links!$A$2:$A$501,MATCH($C738,links!$D$2:$D$501,0))),""))</f>
        <v/>
      </c>
      <c r="H738" s="25">
        <f>IF($C738="","",IFERROR(IF(INDEX(links!$B$2:$B$501,MATCH($C738,links!$D$2:$D$501,0))="","",INDEX(links!$B$2:$B$501,MATCH($C738,links!$D$2:$D$501,0))),""))</f>
        <v/>
      </c>
      <c r="I738" s="25">
        <f>IF($C738="","",IFERROR(IF(INDEX(links!$C$2:$C$501,MATCH($C738,links!$D$2:$D$501,0))="","",INDEX(links!$C$2:$C$501,MATCH($C738,links!$D$2:$D$501,0))),""))</f>
        <v/>
      </c>
      <c r="J738" s="25">
        <f>IF($C738="","",IF($G738="","slug not in links; ","")&amp;IF($D738="","reading type missing; ","")&amp;IF(COUNTIFS(scans!$C$2:$C$1601,$C738,scans!$D$2:$D$1601,$D738)&gt;1,"two readings of this type: keep one; ",""))</f>
        <v/>
      </c>
    </row>
    <row r="739">
      <c r="A739" s="9" t="n"/>
      <c r="B739" s="33" t="n"/>
      <c r="G739" s="25">
        <f>IF($C739="","",IFERROR(IF(INDEX(links!$A$2:$A$501,MATCH($C739,links!$D$2:$D$501,0))="","",INDEX(links!$A$2:$A$501,MATCH($C739,links!$D$2:$D$501,0))),""))</f>
        <v/>
      </c>
      <c r="H739" s="25">
        <f>IF($C739="","",IFERROR(IF(INDEX(links!$B$2:$B$501,MATCH($C739,links!$D$2:$D$501,0))="","",INDEX(links!$B$2:$B$501,MATCH($C739,links!$D$2:$D$501,0))),""))</f>
        <v/>
      </c>
      <c r="I739" s="25">
        <f>IF($C739="","",IFERROR(IF(INDEX(links!$C$2:$C$501,MATCH($C739,links!$D$2:$D$501,0))="","",INDEX(links!$C$2:$C$501,MATCH($C739,links!$D$2:$D$501,0))),""))</f>
        <v/>
      </c>
      <c r="J739" s="25">
        <f>IF($C739="","",IF($G739="","slug not in links; ","")&amp;IF($D739="","reading type missing; ","")&amp;IF(COUNTIFS(scans!$C$2:$C$1601,$C739,scans!$D$2:$D$1601,$D739)&gt;1,"two readings of this type: keep one; ",""))</f>
        <v/>
      </c>
    </row>
    <row r="740">
      <c r="A740" s="9" t="n"/>
      <c r="B740" s="33" t="n"/>
      <c r="G740" s="25">
        <f>IF($C740="","",IFERROR(IF(INDEX(links!$A$2:$A$501,MATCH($C740,links!$D$2:$D$501,0))="","",INDEX(links!$A$2:$A$501,MATCH($C740,links!$D$2:$D$501,0))),""))</f>
        <v/>
      </c>
      <c r="H740" s="25">
        <f>IF($C740="","",IFERROR(IF(INDEX(links!$B$2:$B$501,MATCH($C740,links!$D$2:$D$501,0))="","",INDEX(links!$B$2:$B$501,MATCH($C740,links!$D$2:$D$501,0))),""))</f>
        <v/>
      </c>
      <c r="I740" s="25">
        <f>IF($C740="","",IFERROR(IF(INDEX(links!$C$2:$C$501,MATCH($C740,links!$D$2:$D$501,0))="","",INDEX(links!$C$2:$C$501,MATCH($C740,links!$D$2:$D$501,0))),""))</f>
        <v/>
      </c>
      <c r="J740" s="25">
        <f>IF($C740="","",IF($G740="","slug not in links; ","")&amp;IF($D740="","reading type missing; ","")&amp;IF(COUNTIFS(scans!$C$2:$C$1601,$C740,scans!$D$2:$D$1601,$D740)&gt;1,"two readings of this type: keep one; ",""))</f>
        <v/>
      </c>
    </row>
    <row r="741">
      <c r="A741" s="9" t="n"/>
      <c r="B741" s="33" t="n"/>
      <c r="G741" s="25">
        <f>IF($C741="","",IFERROR(IF(INDEX(links!$A$2:$A$501,MATCH($C741,links!$D$2:$D$501,0))="","",INDEX(links!$A$2:$A$501,MATCH($C741,links!$D$2:$D$501,0))),""))</f>
        <v/>
      </c>
      <c r="H741" s="25">
        <f>IF($C741="","",IFERROR(IF(INDEX(links!$B$2:$B$501,MATCH($C741,links!$D$2:$D$501,0))="","",INDEX(links!$B$2:$B$501,MATCH($C741,links!$D$2:$D$501,0))),""))</f>
        <v/>
      </c>
      <c r="I741" s="25">
        <f>IF($C741="","",IFERROR(IF(INDEX(links!$C$2:$C$501,MATCH($C741,links!$D$2:$D$501,0))="","",INDEX(links!$C$2:$C$501,MATCH($C741,links!$D$2:$D$501,0))),""))</f>
        <v/>
      </c>
      <c r="J741" s="25">
        <f>IF($C741="","",IF($G741="","slug not in links; ","")&amp;IF($D741="","reading type missing; ","")&amp;IF(COUNTIFS(scans!$C$2:$C$1601,$C741,scans!$D$2:$D$1601,$D741)&gt;1,"two readings of this type: keep one; ",""))</f>
        <v/>
      </c>
    </row>
    <row r="742">
      <c r="A742" s="9" t="n"/>
      <c r="B742" s="33" t="n"/>
      <c r="G742" s="25">
        <f>IF($C742="","",IFERROR(IF(INDEX(links!$A$2:$A$501,MATCH($C742,links!$D$2:$D$501,0))="","",INDEX(links!$A$2:$A$501,MATCH($C742,links!$D$2:$D$501,0))),""))</f>
        <v/>
      </c>
      <c r="H742" s="25">
        <f>IF($C742="","",IFERROR(IF(INDEX(links!$B$2:$B$501,MATCH($C742,links!$D$2:$D$501,0))="","",INDEX(links!$B$2:$B$501,MATCH($C742,links!$D$2:$D$501,0))),""))</f>
        <v/>
      </c>
      <c r="I742" s="25">
        <f>IF($C742="","",IFERROR(IF(INDEX(links!$C$2:$C$501,MATCH($C742,links!$D$2:$D$501,0))="","",INDEX(links!$C$2:$C$501,MATCH($C742,links!$D$2:$D$501,0))),""))</f>
        <v/>
      </c>
      <c r="J742" s="25">
        <f>IF($C742="","",IF($G742="","slug not in links; ","")&amp;IF($D742="","reading type missing; ","")&amp;IF(COUNTIFS(scans!$C$2:$C$1601,$C742,scans!$D$2:$D$1601,$D742)&gt;1,"two readings of this type: keep one; ",""))</f>
        <v/>
      </c>
    </row>
    <row r="743">
      <c r="A743" s="9" t="n"/>
      <c r="B743" s="33" t="n"/>
      <c r="G743" s="25">
        <f>IF($C743="","",IFERROR(IF(INDEX(links!$A$2:$A$501,MATCH($C743,links!$D$2:$D$501,0))="","",INDEX(links!$A$2:$A$501,MATCH($C743,links!$D$2:$D$501,0))),""))</f>
        <v/>
      </c>
      <c r="H743" s="25">
        <f>IF($C743="","",IFERROR(IF(INDEX(links!$B$2:$B$501,MATCH($C743,links!$D$2:$D$501,0))="","",INDEX(links!$B$2:$B$501,MATCH($C743,links!$D$2:$D$501,0))),""))</f>
        <v/>
      </c>
      <c r="I743" s="25">
        <f>IF($C743="","",IFERROR(IF(INDEX(links!$C$2:$C$501,MATCH($C743,links!$D$2:$D$501,0))="","",INDEX(links!$C$2:$C$501,MATCH($C743,links!$D$2:$D$501,0))),""))</f>
        <v/>
      </c>
      <c r="J743" s="25">
        <f>IF($C743="","",IF($G743="","slug not in links; ","")&amp;IF($D743="","reading type missing; ","")&amp;IF(COUNTIFS(scans!$C$2:$C$1601,$C743,scans!$D$2:$D$1601,$D743)&gt;1,"two readings of this type: keep one; ",""))</f>
        <v/>
      </c>
    </row>
    <row r="744">
      <c r="A744" s="9" t="n"/>
      <c r="B744" s="33" t="n"/>
      <c r="G744" s="25">
        <f>IF($C744="","",IFERROR(IF(INDEX(links!$A$2:$A$501,MATCH($C744,links!$D$2:$D$501,0))="","",INDEX(links!$A$2:$A$501,MATCH($C744,links!$D$2:$D$501,0))),""))</f>
        <v/>
      </c>
      <c r="H744" s="25">
        <f>IF($C744="","",IFERROR(IF(INDEX(links!$B$2:$B$501,MATCH($C744,links!$D$2:$D$501,0))="","",INDEX(links!$B$2:$B$501,MATCH($C744,links!$D$2:$D$501,0))),""))</f>
        <v/>
      </c>
      <c r="I744" s="25">
        <f>IF($C744="","",IFERROR(IF(INDEX(links!$C$2:$C$501,MATCH($C744,links!$D$2:$D$501,0))="","",INDEX(links!$C$2:$C$501,MATCH($C744,links!$D$2:$D$501,0))),""))</f>
        <v/>
      </c>
      <c r="J744" s="25">
        <f>IF($C744="","",IF($G744="","slug not in links; ","")&amp;IF($D744="","reading type missing; ","")&amp;IF(COUNTIFS(scans!$C$2:$C$1601,$C744,scans!$D$2:$D$1601,$D744)&gt;1,"two readings of this type: keep one; ",""))</f>
        <v/>
      </c>
    </row>
    <row r="745">
      <c r="A745" s="9" t="n"/>
      <c r="B745" s="33" t="n"/>
      <c r="G745" s="25">
        <f>IF($C745="","",IFERROR(IF(INDEX(links!$A$2:$A$501,MATCH($C745,links!$D$2:$D$501,0))="","",INDEX(links!$A$2:$A$501,MATCH($C745,links!$D$2:$D$501,0))),""))</f>
        <v/>
      </c>
      <c r="H745" s="25">
        <f>IF($C745="","",IFERROR(IF(INDEX(links!$B$2:$B$501,MATCH($C745,links!$D$2:$D$501,0))="","",INDEX(links!$B$2:$B$501,MATCH($C745,links!$D$2:$D$501,0))),""))</f>
        <v/>
      </c>
      <c r="I745" s="25">
        <f>IF($C745="","",IFERROR(IF(INDEX(links!$C$2:$C$501,MATCH($C745,links!$D$2:$D$501,0))="","",INDEX(links!$C$2:$C$501,MATCH($C745,links!$D$2:$D$501,0))),""))</f>
        <v/>
      </c>
      <c r="J745" s="25">
        <f>IF($C745="","",IF($G745="","slug not in links; ","")&amp;IF($D745="","reading type missing; ","")&amp;IF(COUNTIFS(scans!$C$2:$C$1601,$C745,scans!$D$2:$D$1601,$D745)&gt;1,"two readings of this type: keep one; ",""))</f>
        <v/>
      </c>
    </row>
    <row r="746">
      <c r="A746" s="9" t="n"/>
      <c r="B746" s="33" t="n"/>
      <c r="G746" s="25">
        <f>IF($C746="","",IFERROR(IF(INDEX(links!$A$2:$A$501,MATCH($C746,links!$D$2:$D$501,0))="","",INDEX(links!$A$2:$A$501,MATCH($C746,links!$D$2:$D$501,0))),""))</f>
        <v/>
      </c>
      <c r="H746" s="25">
        <f>IF($C746="","",IFERROR(IF(INDEX(links!$B$2:$B$501,MATCH($C746,links!$D$2:$D$501,0))="","",INDEX(links!$B$2:$B$501,MATCH($C746,links!$D$2:$D$501,0))),""))</f>
        <v/>
      </c>
      <c r="I746" s="25">
        <f>IF($C746="","",IFERROR(IF(INDEX(links!$C$2:$C$501,MATCH($C746,links!$D$2:$D$501,0))="","",INDEX(links!$C$2:$C$501,MATCH($C746,links!$D$2:$D$501,0))),""))</f>
        <v/>
      </c>
      <c r="J746" s="25">
        <f>IF($C746="","",IF($G746="","slug not in links; ","")&amp;IF($D746="","reading type missing; ","")&amp;IF(COUNTIFS(scans!$C$2:$C$1601,$C746,scans!$D$2:$D$1601,$D746)&gt;1,"two readings of this type: keep one; ",""))</f>
        <v/>
      </c>
    </row>
    <row r="747">
      <c r="A747" s="9" t="n"/>
      <c r="B747" s="33" t="n"/>
      <c r="G747" s="25">
        <f>IF($C747="","",IFERROR(IF(INDEX(links!$A$2:$A$501,MATCH($C747,links!$D$2:$D$501,0))="","",INDEX(links!$A$2:$A$501,MATCH($C747,links!$D$2:$D$501,0))),""))</f>
        <v/>
      </c>
      <c r="H747" s="25">
        <f>IF($C747="","",IFERROR(IF(INDEX(links!$B$2:$B$501,MATCH($C747,links!$D$2:$D$501,0))="","",INDEX(links!$B$2:$B$501,MATCH($C747,links!$D$2:$D$501,0))),""))</f>
        <v/>
      </c>
      <c r="I747" s="25">
        <f>IF($C747="","",IFERROR(IF(INDEX(links!$C$2:$C$501,MATCH($C747,links!$D$2:$D$501,0))="","",INDEX(links!$C$2:$C$501,MATCH($C747,links!$D$2:$D$501,0))),""))</f>
        <v/>
      </c>
      <c r="J747" s="25">
        <f>IF($C747="","",IF($G747="","slug not in links; ","")&amp;IF($D747="","reading type missing; ","")&amp;IF(COUNTIFS(scans!$C$2:$C$1601,$C747,scans!$D$2:$D$1601,$D747)&gt;1,"two readings of this type: keep one; ",""))</f>
        <v/>
      </c>
    </row>
    <row r="748">
      <c r="A748" s="9" t="n"/>
      <c r="B748" s="33" t="n"/>
      <c r="G748" s="25">
        <f>IF($C748="","",IFERROR(IF(INDEX(links!$A$2:$A$501,MATCH($C748,links!$D$2:$D$501,0))="","",INDEX(links!$A$2:$A$501,MATCH($C748,links!$D$2:$D$501,0))),""))</f>
        <v/>
      </c>
      <c r="H748" s="25">
        <f>IF($C748="","",IFERROR(IF(INDEX(links!$B$2:$B$501,MATCH($C748,links!$D$2:$D$501,0))="","",INDEX(links!$B$2:$B$501,MATCH($C748,links!$D$2:$D$501,0))),""))</f>
        <v/>
      </c>
      <c r="I748" s="25">
        <f>IF($C748="","",IFERROR(IF(INDEX(links!$C$2:$C$501,MATCH($C748,links!$D$2:$D$501,0))="","",INDEX(links!$C$2:$C$501,MATCH($C748,links!$D$2:$D$501,0))),""))</f>
        <v/>
      </c>
      <c r="J748" s="25">
        <f>IF($C748="","",IF($G748="","slug not in links; ","")&amp;IF($D748="","reading type missing; ","")&amp;IF(COUNTIFS(scans!$C$2:$C$1601,$C748,scans!$D$2:$D$1601,$D748)&gt;1,"two readings of this type: keep one; ",""))</f>
        <v/>
      </c>
    </row>
    <row r="749">
      <c r="A749" s="9" t="n"/>
      <c r="B749" s="33" t="n"/>
      <c r="G749" s="25">
        <f>IF($C749="","",IFERROR(IF(INDEX(links!$A$2:$A$501,MATCH($C749,links!$D$2:$D$501,0))="","",INDEX(links!$A$2:$A$501,MATCH($C749,links!$D$2:$D$501,0))),""))</f>
        <v/>
      </c>
      <c r="H749" s="25">
        <f>IF($C749="","",IFERROR(IF(INDEX(links!$B$2:$B$501,MATCH($C749,links!$D$2:$D$501,0))="","",INDEX(links!$B$2:$B$501,MATCH($C749,links!$D$2:$D$501,0))),""))</f>
        <v/>
      </c>
      <c r="I749" s="25">
        <f>IF($C749="","",IFERROR(IF(INDEX(links!$C$2:$C$501,MATCH($C749,links!$D$2:$D$501,0))="","",INDEX(links!$C$2:$C$501,MATCH($C749,links!$D$2:$D$501,0))),""))</f>
        <v/>
      </c>
      <c r="J749" s="25">
        <f>IF($C749="","",IF($G749="","slug not in links; ","")&amp;IF($D749="","reading type missing; ","")&amp;IF(COUNTIFS(scans!$C$2:$C$1601,$C749,scans!$D$2:$D$1601,$D749)&gt;1,"two readings of this type: keep one; ",""))</f>
        <v/>
      </c>
    </row>
    <row r="750">
      <c r="A750" s="9" t="n"/>
      <c r="B750" s="33" t="n"/>
      <c r="G750" s="25">
        <f>IF($C750="","",IFERROR(IF(INDEX(links!$A$2:$A$501,MATCH($C750,links!$D$2:$D$501,0))="","",INDEX(links!$A$2:$A$501,MATCH($C750,links!$D$2:$D$501,0))),""))</f>
        <v/>
      </c>
      <c r="H750" s="25">
        <f>IF($C750="","",IFERROR(IF(INDEX(links!$B$2:$B$501,MATCH($C750,links!$D$2:$D$501,0))="","",INDEX(links!$B$2:$B$501,MATCH($C750,links!$D$2:$D$501,0))),""))</f>
        <v/>
      </c>
      <c r="I750" s="25">
        <f>IF($C750="","",IFERROR(IF(INDEX(links!$C$2:$C$501,MATCH($C750,links!$D$2:$D$501,0))="","",INDEX(links!$C$2:$C$501,MATCH($C750,links!$D$2:$D$501,0))),""))</f>
        <v/>
      </c>
      <c r="J750" s="25">
        <f>IF($C750="","",IF($G750="","slug not in links; ","")&amp;IF($D750="","reading type missing; ","")&amp;IF(COUNTIFS(scans!$C$2:$C$1601,$C750,scans!$D$2:$D$1601,$D750)&gt;1,"two readings of this type: keep one; ",""))</f>
        <v/>
      </c>
    </row>
    <row r="751">
      <c r="A751" s="9" t="n"/>
      <c r="B751" s="33" t="n"/>
      <c r="G751" s="25">
        <f>IF($C751="","",IFERROR(IF(INDEX(links!$A$2:$A$501,MATCH($C751,links!$D$2:$D$501,0))="","",INDEX(links!$A$2:$A$501,MATCH($C751,links!$D$2:$D$501,0))),""))</f>
        <v/>
      </c>
      <c r="H751" s="25">
        <f>IF($C751="","",IFERROR(IF(INDEX(links!$B$2:$B$501,MATCH($C751,links!$D$2:$D$501,0))="","",INDEX(links!$B$2:$B$501,MATCH($C751,links!$D$2:$D$501,0))),""))</f>
        <v/>
      </c>
      <c r="I751" s="25">
        <f>IF($C751="","",IFERROR(IF(INDEX(links!$C$2:$C$501,MATCH($C751,links!$D$2:$D$501,0))="","",INDEX(links!$C$2:$C$501,MATCH($C751,links!$D$2:$D$501,0))),""))</f>
        <v/>
      </c>
      <c r="J751" s="25">
        <f>IF($C751="","",IF($G751="","slug not in links; ","")&amp;IF($D751="","reading type missing; ","")&amp;IF(COUNTIFS(scans!$C$2:$C$1601,$C751,scans!$D$2:$D$1601,$D751)&gt;1,"two readings of this type: keep one; ",""))</f>
        <v/>
      </c>
    </row>
    <row r="752">
      <c r="A752" s="9" t="n"/>
      <c r="B752" s="33" t="n"/>
      <c r="G752" s="25">
        <f>IF($C752="","",IFERROR(IF(INDEX(links!$A$2:$A$501,MATCH($C752,links!$D$2:$D$501,0))="","",INDEX(links!$A$2:$A$501,MATCH($C752,links!$D$2:$D$501,0))),""))</f>
        <v/>
      </c>
      <c r="H752" s="25">
        <f>IF($C752="","",IFERROR(IF(INDEX(links!$B$2:$B$501,MATCH($C752,links!$D$2:$D$501,0))="","",INDEX(links!$B$2:$B$501,MATCH($C752,links!$D$2:$D$501,0))),""))</f>
        <v/>
      </c>
      <c r="I752" s="25">
        <f>IF($C752="","",IFERROR(IF(INDEX(links!$C$2:$C$501,MATCH($C752,links!$D$2:$D$501,0))="","",INDEX(links!$C$2:$C$501,MATCH($C752,links!$D$2:$D$501,0))),""))</f>
        <v/>
      </c>
      <c r="J752" s="25">
        <f>IF($C752="","",IF($G752="","slug not in links; ","")&amp;IF($D752="","reading type missing; ","")&amp;IF(COUNTIFS(scans!$C$2:$C$1601,$C752,scans!$D$2:$D$1601,$D752)&gt;1,"two readings of this type: keep one; ",""))</f>
        <v/>
      </c>
    </row>
    <row r="753">
      <c r="A753" s="9" t="n"/>
      <c r="B753" s="33" t="n"/>
      <c r="G753" s="25">
        <f>IF($C753="","",IFERROR(IF(INDEX(links!$A$2:$A$501,MATCH($C753,links!$D$2:$D$501,0))="","",INDEX(links!$A$2:$A$501,MATCH($C753,links!$D$2:$D$501,0))),""))</f>
        <v/>
      </c>
      <c r="H753" s="25">
        <f>IF($C753="","",IFERROR(IF(INDEX(links!$B$2:$B$501,MATCH($C753,links!$D$2:$D$501,0))="","",INDEX(links!$B$2:$B$501,MATCH($C753,links!$D$2:$D$501,0))),""))</f>
        <v/>
      </c>
      <c r="I753" s="25">
        <f>IF($C753="","",IFERROR(IF(INDEX(links!$C$2:$C$501,MATCH($C753,links!$D$2:$D$501,0))="","",INDEX(links!$C$2:$C$501,MATCH($C753,links!$D$2:$D$501,0))),""))</f>
        <v/>
      </c>
      <c r="J753" s="25">
        <f>IF($C753="","",IF($G753="","slug not in links; ","")&amp;IF($D753="","reading type missing; ","")&amp;IF(COUNTIFS(scans!$C$2:$C$1601,$C753,scans!$D$2:$D$1601,$D753)&gt;1,"two readings of this type: keep one; ",""))</f>
        <v/>
      </c>
    </row>
    <row r="754">
      <c r="A754" s="9" t="n"/>
      <c r="B754" s="33" t="n"/>
      <c r="G754" s="25">
        <f>IF($C754="","",IFERROR(IF(INDEX(links!$A$2:$A$501,MATCH($C754,links!$D$2:$D$501,0))="","",INDEX(links!$A$2:$A$501,MATCH($C754,links!$D$2:$D$501,0))),""))</f>
        <v/>
      </c>
      <c r="H754" s="25">
        <f>IF($C754="","",IFERROR(IF(INDEX(links!$B$2:$B$501,MATCH($C754,links!$D$2:$D$501,0))="","",INDEX(links!$B$2:$B$501,MATCH($C754,links!$D$2:$D$501,0))),""))</f>
        <v/>
      </c>
      <c r="I754" s="25">
        <f>IF($C754="","",IFERROR(IF(INDEX(links!$C$2:$C$501,MATCH($C754,links!$D$2:$D$501,0))="","",INDEX(links!$C$2:$C$501,MATCH($C754,links!$D$2:$D$501,0))),""))</f>
        <v/>
      </c>
      <c r="J754" s="25">
        <f>IF($C754="","",IF($G754="","slug not in links; ","")&amp;IF($D754="","reading type missing; ","")&amp;IF(COUNTIFS(scans!$C$2:$C$1601,$C754,scans!$D$2:$D$1601,$D754)&gt;1,"two readings of this type: keep one; ",""))</f>
        <v/>
      </c>
    </row>
    <row r="755">
      <c r="A755" s="9" t="n"/>
      <c r="B755" s="33" t="n"/>
      <c r="G755" s="25">
        <f>IF($C755="","",IFERROR(IF(INDEX(links!$A$2:$A$501,MATCH($C755,links!$D$2:$D$501,0))="","",INDEX(links!$A$2:$A$501,MATCH($C755,links!$D$2:$D$501,0))),""))</f>
        <v/>
      </c>
      <c r="H755" s="25">
        <f>IF($C755="","",IFERROR(IF(INDEX(links!$B$2:$B$501,MATCH($C755,links!$D$2:$D$501,0))="","",INDEX(links!$B$2:$B$501,MATCH($C755,links!$D$2:$D$501,0))),""))</f>
        <v/>
      </c>
      <c r="I755" s="25">
        <f>IF($C755="","",IFERROR(IF(INDEX(links!$C$2:$C$501,MATCH($C755,links!$D$2:$D$501,0))="","",INDEX(links!$C$2:$C$501,MATCH($C755,links!$D$2:$D$501,0))),""))</f>
        <v/>
      </c>
      <c r="J755" s="25">
        <f>IF($C755="","",IF($G755="","slug not in links; ","")&amp;IF($D755="","reading type missing; ","")&amp;IF(COUNTIFS(scans!$C$2:$C$1601,$C755,scans!$D$2:$D$1601,$D755)&gt;1,"two readings of this type: keep one; ",""))</f>
        <v/>
      </c>
    </row>
    <row r="756">
      <c r="A756" s="9" t="n"/>
      <c r="B756" s="33" t="n"/>
      <c r="G756" s="25">
        <f>IF($C756="","",IFERROR(IF(INDEX(links!$A$2:$A$501,MATCH($C756,links!$D$2:$D$501,0))="","",INDEX(links!$A$2:$A$501,MATCH($C756,links!$D$2:$D$501,0))),""))</f>
        <v/>
      </c>
      <c r="H756" s="25">
        <f>IF($C756="","",IFERROR(IF(INDEX(links!$B$2:$B$501,MATCH($C756,links!$D$2:$D$501,0))="","",INDEX(links!$B$2:$B$501,MATCH($C756,links!$D$2:$D$501,0))),""))</f>
        <v/>
      </c>
      <c r="I756" s="25">
        <f>IF($C756="","",IFERROR(IF(INDEX(links!$C$2:$C$501,MATCH($C756,links!$D$2:$D$501,0))="","",INDEX(links!$C$2:$C$501,MATCH($C756,links!$D$2:$D$501,0))),""))</f>
        <v/>
      </c>
      <c r="J756" s="25">
        <f>IF($C756="","",IF($G756="","slug not in links; ","")&amp;IF($D756="","reading type missing; ","")&amp;IF(COUNTIFS(scans!$C$2:$C$1601,$C756,scans!$D$2:$D$1601,$D756)&gt;1,"two readings of this type: keep one; ",""))</f>
        <v/>
      </c>
    </row>
    <row r="757">
      <c r="A757" s="9" t="n"/>
      <c r="B757" s="33" t="n"/>
      <c r="G757" s="25">
        <f>IF($C757="","",IFERROR(IF(INDEX(links!$A$2:$A$501,MATCH($C757,links!$D$2:$D$501,0))="","",INDEX(links!$A$2:$A$501,MATCH($C757,links!$D$2:$D$501,0))),""))</f>
        <v/>
      </c>
      <c r="H757" s="25">
        <f>IF($C757="","",IFERROR(IF(INDEX(links!$B$2:$B$501,MATCH($C757,links!$D$2:$D$501,0))="","",INDEX(links!$B$2:$B$501,MATCH($C757,links!$D$2:$D$501,0))),""))</f>
        <v/>
      </c>
      <c r="I757" s="25">
        <f>IF($C757="","",IFERROR(IF(INDEX(links!$C$2:$C$501,MATCH($C757,links!$D$2:$D$501,0))="","",INDEX(links!$C$2:$C$501,MATCH($C757,links!$D$2:$D$501,0))),""))</f>
        <v/>
      </c>
      <c r="J757" s="25">
        <f>IF($C757="","",IF($G757="","slug not in links; ","")&amp;IF($D757="","reading type missing; ","")&amp;IF(COUNTIFS(scans!$C$2:$C$1601,$C757,scans!$D$2:$D$1601,$D757)&gt;1,"two readings of this type: keep one; ",""))</f>
        <v/>
      </c>
    </row>
    <row r="758">
      <c r="A758" s="9" t="n"/>
      <c r="B758" s="33" t="n"/>
      <c r="G758" s="25">
        <f>IF($C758="","",IFERROR(IF(INDEX(links!$A$2:$A$501,MATCH($C758,links!$D$2:$D$501,0))="","",INDEX(links!$A$2:$A$501,MATCH($C758,links!$D$2:$D$501,0))),""))</f>
        <v/>
      </c>
      <c r="H758" s="25">
        <f>IF($C758="","",IFERROR(IF(INDEX(links!$B$2:$B$501,MATCH($C758,links!$D$2:$D$501,0))="","",INDEX(links!$B$2:$B$501,MATCH($C758,links!$D$2:$D$501,0))),""))</f>
        <v/>
      </c>
      <c r="I758" s="25">
        <f>IF($C758="","",IFERROR(IF(INDEX(links!$C$2:$C$501,MATCH($C758,links!$D$2:$D$501,0))="","",INDEX(links!$C$2:$C$501,MATCH($C758,links!$D$2:$D$501,0))),""))</f>
        <v/>
      </c>
      <c r="J758" s="25">
        <f>IF($C758="","",IF($G758="","slug not in links; ","")&amp;IF($D758="","reading type missing; ","")&amp;IF(COUNTIFS(scans!$C$2:$C$1601,$C758,scans!$D$2:$D$1601,$D758)&gt;1,"two readings of this type: keep one; ",""))</f>
        <v/>
      </c>
    </row>
    <row r="759">
      <c r="A759" s="9" t="n"/>
      <c r="B759" s="33" t="n"/>
      <c r="G759" s="25">
        <f>IF($C759="","",IFERROR(IF(INDEX(links!$A$2:$A$501,MATCH($C759,links!$D$2:$D$501,0))="","",INDEX(links!$A$2:$A$501,MATCH($C759,links!$D$2:$D$501,0))),""))</f>
        <v/>
      </c>
      <c r="H759" s="25">
        <f>IF($C759="","",IFERROR(IF(INDEX(links!$B$2:$B$501,MATCH($C759,links!$D$2:$D$501,0))="","",INDEX(links!$B$2:$B$501,MATCH($C759,links!$D$2:$D$501,0))),""))</f>
        <v/>
      </c>
      <c r="I759" s="25">
        <f>IF($C759="","",IFERROR(IF(INDEX(links!$C$2:$C$501,MATCH($C759,links!$D$2:$D$501,0))="","",INDEX(links!$C$2:$C$501,MATCH($C759,links!$D$2:$D$501,0))),""))</f>
        <v/>
      </c>
      <c r="J759" s="25">
        <f>IF($C759="","",IF($G759="","slug not in links; ","")&amp;IF($D759="","reading type missing; ","")&amp;IF(COUNTIFS(scans!$C$2:$C$1601,$C759,scans!$D$2:$D$1601,$D759)&gt;1,"two readings of this type: keep one; ",""))</f>
        <v/>
      </c>
    </row>
    <row r="760">
      <c r="A760" s="9" t="n"/>
      <c r="B760" s="33" t="n"/>
      <c r="G760" s="25">
        <f>IF($C760="","",IFERROR(IF(INDEX(links!$A$2:$A$501,MATCH($C760,links!$D$2:$D$501,0))="","",INDEX(links!$A$2:$A$501,MATCH($C760,links!$D$2:$D$501,0))),""))</f>
        <v/>
      </c>
      <c r="H760" s="25">
        <f>IF($C760="","",IFERROR(IF(INDEX(links!$B$2:$B$501,MATCH($C760,links!$D$2:$D$501,0))="","",INDEX(links!$B$2:$B$501,MATCH($C760,links!$D$2:$D$501,0))),""))</f>
        <v/>
      </c>
      <c r="I760" s="25">
        <f>IF($C760="","",IFERROR(IF(INDEX(links!$C$2:$C$501,MATCH($C760,links!$D$2:$D$501,0))="","",INDEX(links!$C$2:$C$501,MATCH($C760,links!$D$2:$D$501,0))),""))</f>
        <v/>
      </c>
      <c r="J760" s="25">
        <f>IF($C760="","",IF($G760="","slug not in links; ","")&amp;IF($D760="","reading type missing; ","")&amp;IF(COUNTIFS(scans!$C$2:$C$1601,$C760,scans!$D$2:$D$1601,$D760)&gt;1,"two readings of this type: keep one; ",""))</f>
        <v/>
      </c>
    </row>
    <row r="761">
      <c r="A761" s="9" t="n"/>
      <c r="B761" s="33" t="n"/>
      <c r="G761" s="25">
        <f>IF($C761="","",IFERROR(IF(INDEX(links!$A$2:$A$501,MATCH($C761,links!$D$2:$D$501,0))="","",INDEX(links!$A$2:$A$501,MATCH($C761,links!$D$2:$D$501,0))),""))</f>
        <v/>
      </c>
      <c r="H761" s="25">
        <f>IF($C761="","",IFERROR(IF(INDEX(links!$B$2:$B$501,MATCH($C761,links!$D$2:$D$501,0))="","",INDEX(links!$B$2:$B$501,MATCH($C761,links!$D$2:$D$501,0))),""))</f>
        <v/>
      </c>
      <c r="I761" s="25">
        <f>IF($C761="","",IFERROR(IF(INDEX(links!$C$2:$C$501,MATCH($C761,links!$D$2:$D$501,0))="","",INDEX(links!$C$2:$C$501,MATCH($C761,links!$D$2:$D$501,0))),""))</f>
        <v/>
      </c>
      <c r="J761" s="25">
        <f>IF($C761="","",IF($G761="","slug not in links; ","")&amp;IF($D761="","reading type missing; ","")&amp;IF(COUNTIFS(scans!$C$2:$C$1601,$C761,scans!$D$2:$D$1601,$D761)&gt;1,"two readings of this type: keep one; ",""))</f>
        <v/>
      </c>
    </row>
    <row r="762">
      <c r="A762" s="9" t="n"/>
      <c r="B762" s="33" t="n"/>
      <c r="G762" s="25">
        <f>IF($C762="","",IFERROR(IF(INDEX(links!$A$2:$A$501,MATCH($C762,links!$D$2:$D$501,0))="","",INDEX(links!$A$2:$A$501,MATCH($C762,links!$D$2:$D$501,0))),""))</f>
        <v/>
      </c>
      <c r="H762" s="25">
        <f>IF($C762="","",IFERROR(IF(INDEX(links!$B$2:$B$501,MATCH($C762,links!$D$2:$D$501,0))="","",INDEX(links!$B$2:$B$501,MATCH($C762,links!$D$2:$D$501,0))),""))</f>
        <v/>
      </c>
      <c r="I762" s="25">
        <f>IF($C762="","",IFERROR(IF(INDEX(links!$C$2:$C$501,MATCH($C762,links!$D$2:$D$501,0))="","",INDEX(links!$C$2:$C$501,MATCH($C762,links!$D$2:$D$501,0))),""))</f>
        <v/>
      </c>
      <c r="J762" s="25">
        <f>IF($C762="","",IF($G762="","slug not in links; ","")&amp;IF($D762="","reading type missing; ","")&amp;IF(COUNTIFS(scans!$C$2:$C$1601,$C762,scans!$D$2:$D$1601,$D762)&gt;1,"two readings of this type: keep one; ",""))</f>
        <v/>
      </c>
    </row>
    <row r="763">
      <c r="A763" s="9" t="n"/>
      <c r="B763" s="33" t="n"/>
      <c r="G763" s="25">
        <f>IF($C763="","",IFERROR(IF(INDEX(links!$A$2:$A$501,MATCH($C763,links!$D$2:$D$501,0))="","",INDEX(links!$A$2:$A$501,MATCH($C763,links!$D$2:$D$501,0))),""))</f>
        <v/>
      </c>
      <c r="H763" s="25">
        <f>IF($C763="","",IFERROR(IF(INDEX(links!$B$2:$B$501,MATCH($C763,links!$D$2:$D$501,0))="","",INDEX(links!$B$2:$B$501,MATCH($C763,links!$D$2:$D$501,0))),""))</f>
        <v/>
      </c>
      <c r="I763" s="25">
        <f>IF($C763="","",IFERROR(IF(INDEX(links!$C$2:$C$501,MATCH($C763,links!$D$2:$D$501,0))="","",INDEX(links!$C$2:$C$501,MATCH($C763,links!$D$2:$D$501,0))),""))</f>
        <v/>
      </c>
      <c r="J763" s="25">
        <f>IF($C763="","",IF($G763="","slug not in links; ","")&amp;IF($D763="","reading type missing; ","")&amp;IF(COUNTIFS(scans!$C$2:$C$1601,$C763,scans!$D$2:$D$1601,$D763)&gt;1,"two readings of this type: keep one; ",""))</f>
        <v/>
      </c>
    </row>
    <row r="764">
      <c r="A764" s="9" t="n"/>
      <c r="B764" s="33" t="n"/>
      <c r="G764" s="25">
        <f>IF($C764="","",IFERROR(IF(INDEX(links!$A$2:$A$501,MATCH($C764,links!$D$2:$D$501,0))="","",INDEX(links!$A$2:$A$501,MATCH($C764,links!$D$2:$D$501,0))),""))</f>
        <v/>
      </c>
      <c r="H764" s="25">
        <f>IF($C764="","",IFERROR(IF(INDEX(links!$B$2:$B$501,MATCH($C764,links!$D$2:$D$501,0))="","",INDEX(links!$B$2:$B$501,MATCH($C764,links!$D$2:$D$501,0))),""))</f>
        <v/>
      </c>
      <c r="I764" s="25">
        <f>IF($C764="","",IFERROR(IF(INDEX(links!$C$2:$C$501,MATCH($C764,links!$D$2:$D$501,0))="","",INDEX(links!$C$2:$C$501,MATCH($C764,links!$D$2:$D$501,0))),""))</f>
        <v/>
      </c>
      <c r="J764" s="25">
        <f>IF($C764="","",IF($G764="","slug not in links; ","")&amp;IF($D764="","reading type missing; ","")&amp;IF(COUNTIFS(scans!$C$2:$C$1601,$C764,scans!$D$2:$D$1601,$D764)&gt;1,"two readings of this type: keep one; ",""))</f>
        <v/>
      </c>
    </row>
    <row r="765">
      <c r="A765" s="9" t="n"/>
      <c r="B765" s="33" t="n"/>
      <c r="G765" s="25">
        <f>IF($C765="","",IFERROR(IF(INDEX(links!$A$2:$A$501,MATCH($C765,links!$D$2:$D$501,0))="","",INDEX(links!$A$2:$A$501,MATCH($C765,links!$D$2:$D$501,0))),""))</f>
        <v/>
      </c>
      <c r="H765" s="25">
        <f>IF($C765="","",IFERROR(IF(INDEX(links!$B$2:$B$501,MATCH($C765,links!$D$2:$D$501,0))="","",INDEX(links!$B$2:$B$501,MATCH($C765,links!$D$2:$D$501,0))),""))</f>
        <v/>
      </c>
      <c r="I765" s="25">
        <f>IF($C765="","",IFERROR(IF(INDEX(links!$C$2:$C$501,MATCH($C765,links!$D$2:$D$501,0))="","",INDEX(links!$C$2:$C$501,MATCH($C765,links!$D$2:$D$501,0))),""))</f>
        <v/>
      </c>
      <c r="J765" s="25">
        <f>IF($C765="","",IF($G765="","slug not in links; ","")&amp;IF($D765="","reading type missing; ","")&amp;IF(COUNTIFS(scans!$C$2:$C$1601,$C765,scans!$D$2:$D$1601,$D765)&gt;1,"two readings of this type: keep one; ",""))</f>
        <v/>
      </c>
    </row>
    <row r="766">
      <c r="A766" s="9" t="n"/>
      <c r="B766" s="33" t="n"/>
      <c r="G766" s="25">
        <f>IF($C766="","",IFERROR(IF(INDEX(links!$A$2:$A$501,MATCH($C766,links!$D$2:$D$501,0))="","",INDEX(links!$A$2:$A$501,MATCH($C766,links!$D$2:$D$501,0))),""))</f>
        <v/>
      </c>
      <c r="H766" s="25">
        <f>IF($C766="","",IFERROR(IF(INDEX(links!$B$2:$B$501,MATCH($C766,links!$D$2:$D$501,0))="","",INDEX(links!$B$2:$B$501,MATCH($C766,links!$D$2:$D$501,0))),""))</f>
        <v/>
      </c>
      <c r="I766" s="25">
        <f>IF($C766="","",IFERROR(IF(INDEX(links!$C$2:$C$501,MATCH($C766,links!$D$2:$D$501,0))="","",INDEX(links!$C$2:$C$501,MATCH($C766,links!$D$2:$D$501,0))),""))</f>
        <v/>
      </c>
      <c r="J766" s="25">
        <f>IF($C766="","",IF($G766="","slug not in links; ","")&amp;IF($D766="","reading type missing; ","")&amp;IF(COUNTIFS(scans!$C$2:$C$1601,$C766,scans!$D$2:$D$1601,$D766)&gt;1,"two readings of this type: keep one; ",""))</f>
        <v/>
      </c>
    </row>
    <row r="767">
      <c r="A767" s="9" t="n"/>
      <c r="B767" s="33" t="n"/>
      <c r="G767" s="25">
        <f>IF($C767="","",IFERROR(IF(INDEX(links!$A$2:$A$501,MATCH($C767,links!$D$2:$D$501,0))="","",INDEX(links!$A$2:$A$501,MATCH($C767,links!$D$2:$D$501,0))),""))</f>
        <v/>
      </c>
      <c r="H767" s="25">
        <f>IF($C767="","",IFERROR(IF(INDEX(links!$B$2:$B$501,MATCH($C767,links!$D$2:$D$501,0))="","",INDEX(links!$B$2:$B$501,MATCH($C767,links!$D$2:$D$501,0))),""))</f>
        <v/>
      </c>
      <c r="I767" s="25">
        <f>IF($C767="","",IFERROR(IF(INDEX(links!$C$2:$C$501,MATCH($C767,links!$D$2:$D$501,0))="","",INDEX(links!$C$2:$C$501,MATCH($C767,links!$D$2:$D$501,0))),""))</f>
        <v/>
      </c>
      <c r="J767" s="25">
        <f>IF($C767="","",IF($G767="","slug not in links; ","")&amp;IF($D767="","reading type missing; ","")&amp;IF(COUNTIFS(scans!$C$2:$C$1601,$C767,scans!$D$2:$D$1601,$D767)&gt;1,"two readings of this type: keep one; ",""))</f>
        <v/>
      </c>
    </row>
    <row r="768">
      <c r="A768" s="9" t="n"/>
      <c r="B768" s="33" t="n"/>
      <c r="G768" s="25">
        <f>IF($C768="","",IFERROR(IF(INDEX(links!$A$2:$A$501,MATCH($C768,links!$D$2:$D$501,0))="","",INDEX(links!$A$2:$A$501,MATCH($C768,links!$D$2:$D$501,0))),""))</f>
        <v/>
      </c>
      <c r="H768" s="25">
        <f>IF($C768="","",IFERROR(IF(INDEX(links!$B$2:$B$501,MATCH($C768,links!$D$2:$D$501,0))="","",INDEX(links!$B$2:$B$501,MATCH($C768,links!$D$2:$D$501,0))),""))</f>
        <v/>
      </c>
      <c r="I768" s="25">
        <f>IF($C768="","",IFERROR(IF(INDEX(links!$C$2:$C$501,MATCH($C768,links!$D$2:$D$501,0))="","",INDEX(links!$C$2:$C$501,MATCH($C768,links!$D$2:$D$501,0))),""))</f>
        <v/>
      </c>
      <c r="J768" s="25">
        <f>IF($C768="","",IF($G768="","slug not in links; ","")&amp;IF($D768="","reading type missing; ","")&amp;IF(COUNTIFS(scans!$C$2:$C$1601,$C768,scans!$D$2:$D$1601,$D768)&gt;1,"two readings of this type: keep one; ",""))</f>
        <v/>
      </c>
    </row>
    <row r="769">
      <c r="A769" s="9" t="n"/>
      <c r="B769" s="33" t="n"/>
      <c r="G769" s="25">
        <f>IF($C769="","",IFERROR(IF(INDEX(links!$A$2:$A$501,MATCH($C769,links!$D$2:$D$501,0))="","",INDEX(links!$A$2:$A$501,MATCH($C769,links!$D$2:$D$501,0))),""))</f>
        <v/>
      </c>
      <c r="H769" s="25">
        <f>IF($C769="","",IFERROR(IF(INDEX(links!$B$2:$B$501,MATCH($C769,links!$D$2:$D$501,0))="","",INDEX(links!$B$2:$B$501,MATCH($C769,links!$D$2:$D$501,0))),""))</f>
        <v/>
      </c>
      <c r="I769" s="25">
        <f>IF($C769="","",IFERROR(IF(INDEX(links!$C$2:$C$501,MATCH($C769,links!$D$2:$D$501,0))="","",INDEX(links!$C$2:$C$501,MATCH($C769,links!$D$2:$D$501,0))),""))</f>
        <v/>
      </c>
      <c r="J769" s="25">
        <f>IF($C769="","",IF($G769="","slug not in links; ","")&amp;IF($D769="","reading type missing; ","")&amp;IF(COUNTIFS(scans!$C$2:$C$1601,$C769,scans!$D$2:$D$1601,$D769)&gt;1,"two readings of this type: keep one; ",""))</f>
        <v/>
      </c>
    </row>
    <row r="770">
      <c r="A770" s="9" t="n"/>
      <c r="B770" s="33" t="n"/>
      <c r="G770" s="25">
        <f>IF($C770="","",IFERROR(IF(INDEX(links!$A$2:$A$501,MATCH($C770,links!$D$2:$D$501,0))="","",INDEX(links!$A$2:$A$501,MATCH($C770,links!$D$2:$D$501,0))),""))</f>
        <v/>
      </c>
      <c r="H770" s="25">
        <f>IF($C770="","",IFERROR(IF(INDEX(links!$B$2:$B$501,MATCH($C770,links!$D$2:$D$501,0))="","",INDEX(links!$B$2:$B$501,MATCH($C770,links!$D$2:$D$501,0))),""))</f>
        <v/>
      </c>
      <c r="I770" s="25">
        <f>IF($C770="","",IFERROR(IF(INDEX(links!$C$2:$C$501,MATCH($C770,links!$D$2:$D$501,0))="","",INDEX(links!$C$2:$C$501,MATCH($C770,links!$D$2:$D$501,0))),""))</f>
        <v/>
      </c>
      <c r="J770" s="25">
        <f>IF($C770="","",IF($G770="","slug not in links; ","")&amp;IF($D770="","reading type missing; ","")&amp;IF(COUNTIFS(scans!$C$2:$C$1601,$C770,scans!$D$2:$D$1601,$D770)&gt;1,"two readings of this type: keep one; ",""))</f>
        <v/>
      </c>
    </row>
    <row r="771">
      <c r="A771" s="9" t="n"/>
      <c r="B771" s="33" t="n"/>
      <c r="G771" s="25">
        <f>IF($C771="","",IFERROR(IF(INDEX(links!$A$2:$A$501,MATCH($C771,links!$D$2:$D$501,0))="","",INDEX(links!$A$2:$A$501,MATCH($C771,links!$D$2:$D$501,0))),""))</f>
        <v/>
      </c>
      <c r="H771" s="25">
        <f>IF($C771="","",IFERROR(IF(INDEX(links!$B$2:$B$501,MATCH($C771,links!$D$2:$D$501,0))="","",INDEX(links!$B$2:$B$501,MATCH($C771,links!$D$2:$D$501,0))),""))</f>
        <v/>
      </c>
      <c r="I771" s="25">
        <f>IF($C771="","",IFERROR(IF(INDEX(links!$C$2:$C$501,MATCH($C771,links!$D$2:$D$501,0))="","",INDEX(links!$C$2:$C$501,MATCH($C771,links!$D$2:$D$501,0))),""))</f>
        <v/>
      </c>
      <c r="J771" s="25">
        <f>IF($C771="","",IF($G771="","slug not in links; ","")&amp;IF($D771="","reading type missing; ","")&amp;IF(COUNTIFS(scans!$C$2:$C$1601,$C771,scans!$D$2:$D$1601,$D771)&gt;1,"two readings of this type: keep one; ",""))</f>
        <v/>
      </c>
    </row>
    <row r="772">
      <c r="A772" s="9" t="n"/>
      <c r="B772" s="33" t="n"/>
      <c r="G772" s="25">
        <f>IF($C772="","",IFERROR(IF(INDEX(links!$A$2:$A$501,MATCH($C772,links!$D$2:$D$501,0))="","",INDEX(links!$A$2:$A$501,MATCH($C772,links!$D$2:$D$501,0))),""))</f>
        <v/>
      </c>
      <c r="H772" s="25">
        <f>IF($C772="","",IFERROR(IF(INDEX(links!$B$2:$B$501,MATCH($C772,links!$D$2:$D$501,0))="","",INDEX(links!$B$2:$B$501,MATCH($C772,links!$D$2:$D$501,0))),""))</f>
        <v/>
      </c>
      <c r="I772" s="25">
        <f>IF($C772="","",IFERROR(IF(INDEX(links!$C$2:$C$501,MATCH($C772,links!$D$2:$D$501,0))="","",INDEX(links!$C$2:$C$501,MATCH($C772,links!$D$2:$D$501,0))),""))</f>
        <v/>
      </c>
      <c r="J772" s="25">
        <f>IF($C772="","",IF($G772="","slug not in links; ","")&amp;IF($D772="","reading type missing; ","")&amp;IF(COUNTIFS(scans!$C$2:$C$1601,$C772,scans!$D$2:$D$1601,$D772)&gt;1,"two readings of this type: keep one; ",""))</f>
        <v/>
      </c>
    </row>
    <row r="773">
      <c r="A773" s="9" t="n"/>
      <c r="B773" s="33" t="n"/>
      <c r="G773" s="25">
        <f>IF($C773="","",IFERROR(IF(INDEX(links!$A$2:$A$501,MATCH($C773,links!$D$2:$D$501,0))="","",INDEX(links!$A$2:$A$501,MATCH($C773,links!$D$2:$D$501,0))),""))</f>
        <v/>
      </c>
      <c r="H773" s="25">
        <f>IF($C773="","",IFERROR(IF(INDEX(links!$B$2:$B$501,MATCH($C773,links!$D$2:$D$501,0))="","",INDEX(links!$B$2:$B$501,MATCH($C773,links!$D$2:$D$501,0))),""))</f>
        <v/>
      </c>
      <c r="I773" s="25">
        <f>IF($C773="","",IFERROR(IF(INDEX(links!$C$2:$C$501,MATCH($C773,links!$D$2:$D$501,0))="","",INDEX(links!$C$2:$C$501,MATCH($C773,links!$D$2:$D$501,0))),""))</f>
        <v/>
      </c>
      <c r="J773" s="25">
        <f>IF($C773="","",IF($G773="","slug not in links; ","")&amp;IF($D773="","reading type missing; ","")&amp;IF(COUNTIFS(scans!$C$2:$C$1601,$C773,scans!$D$2:$D$1601,$D773)&gt;1,"two readings of this type: keep one; ",""))</f>
        <v/>
      </c>
    </row>
    <row r="774">
      <c r="A774" s="9" t="n"/>
      <c r="B774" s="33" t="n"/>
      <c r="G774" s="25">
        <f>IF($C774="","",IFERROR(IF(INDEX(links!$A$2:$A$501,MATCH($C774,links!$D$2:$D$501,0))="","",INDEX(links!$A$2:$A$501,MATCH($C774,links!$D$2:$D$501,0))),""))</f>
        <v/>
      </c>
      <c r="H774" s="25">
        <f>IF($C774="","",IFERROR(IF(INDEX(links!$B$2:$B$501,MATCH($C774,links!$D$2:$D$501,0))="","",INDEX(links!$B$2:$B$501,MATCH($C774,links!$D$2:$D$501,0))),""))</f>
        <v/>
      </c>
      <c r="I774" s="25">
        <f>IF($C774="","",IFERROR(IF(INDEX(links!$C$2:$C$501,MATCH($C774,links!$D$2:$D$501,0))="","",INDEX(links!$C$2:$C$501,MATCH($C774,links!$D$2:$D$501,0))),""))</f>
        <v/>
      </c>
      <c r="J774" s="25">
        <f>IF($C774="","",IF($G774="","slug not in links; ","")&amp;IF($D774="","reading type missing; ","")&amp;IF(COUNTIFS(scans!$C$2:$C$1601,$C774,scans!$D$2:$D$1601,$D774)&gt;1,"two readings of this type: keep one; ",""))</f>
        <v/>
      </c>
    </row>
    <row r="775">
      <c r="A775" s="9" t="n"/>
      <c r="B775" s="33" t="n"/>
      <c r="G775" s="25">
        <f>IF($C775="","",IFERROR(IF(INDEX(links!$A$2:$A$501,MATCH($C775,links!$D$2:$D$501,0))="","",INDEX(links!$A$2:$A$501,MATCH($C775,links!$D$2:$D$501,0))),""))</f>
        <v/>
      </c>
      <c r="H775" s="25">
        <f>IF($C775="","",IFERROR(IF(INDEX(links!$B$2:$B$501,MATCH($C775,links!$D$2:$D$501,0))="","",INDEX(links!$B$2:$B$501,MATCH($C775,links!$D$2:$D$501,0))),""))</f>
        <v/>
      </c>
      <c r="I775" s="25">
        <f>IF($C775="","",IFERROR(IF(INDEX(links!$C$2:$C$501,MATCH($C775,links!$D$2:$D$501,0))="","",INDEX(links!$C$2:$C$501,MATCH($C775,links!$D$2:$D$501,0))),""))</f>
        <v/>
      </c>
      <c r="J775" s="25">
        <f>IF($C775="","",IF($G775="","slug not in links; ","")&amp;IF($D775="","reading type missing; ","")&amp;IF(COUNTIFS(scans!$C$2:$C$1601,$C775,scans!$D$2:$D$1601,$D775)&gt;1,"two readings of this type: keep one; ",""))</f>
        <v/>
      </c>
    </row>
    <row r="776">
      <c r="A776" s="9" t="n"/>
      <c r="B776" s="33" t="n"/>
      <c r="G776" s="25">
        <f>IF($C776="","",IFERROR(IF(INDEX(links!$A$2:$A$501,MATCH($C776,links!$D$2:$D$501,0))="","",INDEX(links!$A$2:$A$501,MATCH($C776,links!$D$2:$D$501,0))),""))</f>
        <v/>
      </c>
      <c r="H776" s="25">
        <f>IF($C776="","",IFERROR(IF(INDEX(links!$B$2:$B$501,MATCH($C776,links!$D$2:$D$501,0))="","",INDEX(links!$B$2:$B$501,MATCH($C776,links!$D$2:$D$501,0))),""))</f>
        <v/>
      </c>
      <c r="I776" s="25">
        <f>IF($C776="","",IFERROR(IF(INDEX(links!$C$2:$C$501,MATCH($C776,links!$D$2:$D$501,0))="","",INDEX(links!$C$2:$C$501,MATCH($C776,links!$D$2:$D$501,0))),""))</f>
        <v/>
      </c>
      <c r="J776" s="25">
        <f>IF($C776="","",IF($G776="","slug not in links; ","")&amp;IF($D776="","reading type missing; ","")&amp;IF(COUNTIFS(scans!$C$2:$C$1601,$C776,scans!$D$2:$D$1601,$D776)&gt;1,"two readings of this type: keep one; ",""))</f>
        <v/>
      </c>
    </row>
    <row r="777">
      <c r="A777" s="9" t="n"/>
      <c r="B777" s="33" t="n"/>
      <c r="G777" s="25">
        <f>IF($C777="","",IFERROR(IF(INDEX(links!$A$2:$A$501,MATCH($C777,links!$D$2:$D$501,0))="","",INDEX(links!$A$2:$A$501,MATCH($C777,links!$D$2:$D$501,0))),""))</f>
        <v/>
      </c>
      <c r="H777" s="25">
        <f>IF($C777="","",IFERROR(IF(INDEX(links!$B$2:$B$501,MATCH($C777,links!$D$2:$D$501,0))="","",INDEX(links!$B$2:$B$501,MATCH($C777,links!$D$2:$D$501,0))),""))</f>
        <v/>
      </c>
      <c r="I777" s="25">
        <f>IF($C777="","",IFERROR(IF(INDEX(links!$C$2:$C$501,MATCH($C777,links!$D$2:$D$501,0))="","",INDEX(links!$C$2:$C$501,MATCH($C777,links!$D$2:$D$501,0))),""))</f>
        <v/>
      </c>
      <c r="J777" s="25">
        <f>IF($C777="","",IF($G777="","slug not in links; ","")&amp;IF($D777="","reading type missing; ","")&amp;IF(COUNTIFS(scans!$C$2:$C$1601,$C777,scans!$D$2:$D$1601,$D777)&gt;1,"two readings of this type: keep one; ",""))</f>
        <v/>
      </c>
    </row>
    <row r="778">
      <c r="A778" s="9" t="n"/>
      <c r="B778" s="33" t="n"/>
      <c r="G778" s="25">
        <f>IF($C778="","",IFERROR(IF(INDEX(links!$A$2:$A$501,MATCH($C778,links!$D$2:$D$501,0))="","",INDEX(links!$A$2:$A$501,MATCH($C778,links!$D$2:$D$501,0))),""))</f>
        <v/>
      </c>
      <c r="H778" s="25">
        <f>IF($C778="","",IFERROR(IF(INDEX(links!$B$2:$B$501,MATCH($C778,links!$D$2:$D$501,0))="","",INDEX(links!$B$2:$B$501,MATCH($C778,links!$D$2:$D$501,0))),""))</f>
        <v/>
      </c>
      <c r="I778" s="25">
        <f>IF($C778="","",IFERROR(IF(INDEX(links!$C$2:$C$501,MATCH($C778,links!$D$2:$D$501,0))="","",INDEX(links!$C$2:$C$501,MATCH($C778,links!$D$2:$D$501,0))),""))</f>
        <v/>
      </c>
      <c r="J778" s="25">
        <f>IF($C778="","",IF($G778="","slug not in links; ","")&amp;IF($D778="","reading type missing; ","")&amp;IF(COUNTIFS(scans!$C$2:$C$1601,$C778,scans!$D$2:$D$1601,$D778)&gt;1,"two readings of this type: keep one; ",""))</f>
        <v/>
      </c>
    </row>
    <row r="779">
      <c r="A779" s="9" t="n"/>
      <c r="B779" s="33" t="n"/>
      <c r="G779" s="25">
        <f>IF($C779="","",IFERROR(IF(INDEX(links!$A$2:$A$501,MATCH($C779,links!$D$2:$D$501,0))="","",INDEX(links!$A$2:$A$501,MATCH($C779,links!$D$2:$D$501,0))),""))</f>
        <v/>
      </c>
      <c r="H779" s="25">
        <f>IF($C779="","",IFERROR(IF(INDEX(links!$B$2:$B$501,MATCH($C779,links!$D$2:$D$501,0))="","",INDEX(links!$B$2:$B$501,MATCH($C779,links!$D$2:$D$501,0))),""))</f>
        <v/>
      </c>
      <c r="I779" s="25">
        <f>IF($C779="","",IFERROR(IF(INDEX(links!$C$2:$C$501,MATCH($C779,links!$D$2:$D$501,0))="","",INDEX(links!$C$2:$C$501,MATCH($C779,links!$D$2:$D$501,0))),""))</f>
        <v/>
      </c>
      <c r="J779" s="25">
        <f>IF($C779="","",IF($G779="","slug not in links; ","")&amp;IF($D779="","reading type missing; ","")&amp;IF(COUNTIFS(scans!$C$2:$C$1601,$C779,scans!$D$2:$D$1601,$D779)&gt;1,"two readings of this type: keep one; ",""))</f>
        <v/>
      </c>
    </row>
    <row r="780">
      <c r="A780" s="9" t="n"/>
      <c r="B780" s="33" t="n"/>
      <c r="G780" s="25">
        <f>IF($C780="","",IFERROR(IF(INDEX(links!$A$2:$A$501,MATCH($C780,links!$D$2:$D$501,0))="","",INDEX(links!$A$2:$A$501,MATCH($C780,links!$D$2:$D$501,0))),""))</f>
        <v/>
      </c>
      <c r="H780" s="25">
        <f>IF($C780="","",IFERROR(IF(INDEX(links!$B$2:$B$501,MATCH($C780,links!$D$2:$D$501,0))="","",INDEX(links!$B$2:$B$501,MATCH($C780,links!$D$2:$D$501,0))),""))</f>
        <v/>
      </c>
      <c r="I780" s="25">
        <f>IF($C780="","",IFERROR(IF(INDEX(links!$C$2:$C$501,MATCH($C780,links!$D$2:$D$501,0))="","",INDEX(links!$C$2:$C$501,MATCH($C780,links!$D$2:$D$501,0))),""))</f>
        <v/>
      </c>
      <c r="J780" s="25">
        <f>IF($C780="","",IF($G780="","slug not in links; ","")&amp;IF($D780="","reading type missing; ","")&amp;IF(COUNTIFS(scans!$C$2:$C$1601,$C780,scans!$D$2:$D$1601,$D780)&gt;1,"two readings of this type: keep one; ",""))</f>
        <v/>
      </c>
    </row>
    <row r="781">
      <c r="A781" s="9" t="n"/>
      <c r="B781" s="33" t="n"/>
      <c r="G781" s="25">
        <f>IF($C781="","",IFERROR(IF(INDEX(links!$A$2:$A$501,MATCH($C781,links!$D$2:$D$501,0))="","",INDEX(links!$A$2:$A$501,MATCH($C781,links!$D$2:$D$501,0))),""))</f>
        <v/>
      </c>
      <c r="H781" s="25">
        <f>IF($C781="","",IFERROR(IF(INDEX(links!$B$2:$B$501,MATCH($C781,links!$D$2:$D$501,0))="","",INDEX(links!$B$2:$B$501,MATCH($C781,links!$D$2:$D$501,0))),""))</f>
        <v/>
      </c>
      <c r="I781" s="25">
        <f>IF($C781="","",IFERROR(IF(INDEX(links!$C$2:$C$501,MATCH($C781,links!$D$2:$D$501,0))="","",INDEX(links!$C$2:$C$501,MATCH($C781,links!$D$2:$D$501,0))),""))</f>
        <v/>
      </c>
      <c r="J781" s="25">
        <f>IF($C781="","",IF($G781="","slug not in links; ","")&amp;IF($D781="","reading type missing; ","")&amp;IF(COUNTIFS(scans!$C$2:$C$1601,$C781,scans!$D$2:$D$1601,$D781)&gt;1,"two readings of this type: keep one; ",""))</f>
        <v/>
      </c>
    </row>
    <row r="782">
      <c r="A782" s="9" t="n"/>
      <c r="B782" s="33" t="n"/>
      <c r="G782" s="25">
        <f>IF($C782="","",IFERROR(IF(INDEX(links!$A$2:$A$501,MATCH($C782,links!$D$2:$D$501,0))="","",INDEX(links!$A$2:$A$501,MATCH($C782,links!$D$2:$D$501,0))),""))</f>
        <v/>
      </c>
      <c r="H782" s="25">
        <f>IF($C782="","",IFERROR(IF(INDEX(links!$B$2:$B$501,MATCH($C782,links!$D$2:$D$501,0))="","",INDEX(links!$B$2:$B$501,MATCH($C782,links!$D$2:$D$501,0))),""))</f>
        <v/>
      </c>
      <c r="I782" s="25">
        <f>IF($C782="","",IFERROR(IF(INDEX(links!$C$2:$C$501,MATCH($C782,links!$D$2:$D$501,0))="","",INDEX(links!$C$2:$C$501,MATCH($C782,links!$D$2:$D$501,0))),""))</f>
        <v/>
      </c>
      <c r="J782" s="25">
        <f>IF($C782="","",IF($G782="","slug not in links; ","")&amp;IF($D782="","reading type missing; ","")&amp;IF(COUNTIFS(scans!$C$2:$C$1601,$C782,scans!$D$2:$D$1601,$D782)&gt;1,"two readings of this type: keep one; ",""))</f>
        <v/>
      </c>
    </row>
    <row r="783">
      <c r="A783" s="9" t="n"/>
      <c r="B783" s="33" t="n"/>
      <c r="G783" s="25">
        <f>IF($C783="","",IFERROR(IF(INDEX(links!$A$2:$A$501,MATCH($C783,links!$D$2:$D$501,0))="","",INDEX(links!$A$2:$A$501,MATCH($C783,links!$D$2:$D$501,0))),""))</f>
        <v/>
      </c>
      <c r="H783" s="25">
        <f>IF($C783="","",IFERROR(IF(INDEX(links!$B$2:$B$501,MATCH($C783,links!$D$2:$D$501,0))="","",INDEX(links!$B$2:$B$501,MATCH($C783,links!$D$2:$D$501,0))),""))</f>
        <v/>
      </c>
      <c r="I783" s="25">
        <f>IF($C783="","",IFERROR(IF(INDEX(links!$C$2:$C$501,MATCH($C783,links!$D$2:$D$501,0))="","",INDEX(links!$C$2:$C$501,MATCH($C783,links!$D$2:$D$501,0))),""))</f>
        <v/>
      </c>
      <c r="J783" s="25">
        <f>IF($C783="","",IF($G783="","slug not in links; ","")&amp;IF($D783="","reading type missing; ","")&amp;IF(COUNTIFS(scans!$C$2:$C$1601,$C783,scans!$D$2:$D$1601,$D783)&gt;1,"two readings of this type: keep one; ",""))</f>
        <v/>
      </c>
    </row>
    <row r="784">
      <c r="A784" s="9" t="n"/>
      <c r="B784" s="33" t="n"/>
      <c r="G784" s="25">
        <f>IF($C784="","",IFERROR(IF(INDEX(links!$A$2:$A$501,MATCH($C784,links!$D$2:$D$501,0))="","",INDEX(links!$A$2:$A$501,MATCH($C784,links!$D$2:$D$501,0))),""))</f>
        <v/>
      </c>
      <c r="H784" s="25">
        <f>IF($C784="","",IFERROR(IF(INDEX(links!$B$2:$B$501,MATCH($C784,links!$D$2:$D$501,0))="","",INDEX(links!$B$2:$B$501,MATCH($C784,links!$D$2:$D$501,0))),""))</f>
        <v/>
      </c>
      <c r="I784" s="25">
        <f>IF($C784="","",IFERROR(IF(INDEX(links!$C$2:$C$501,MATCH($C784,links!$D$2:$D$501,0))="","",INDEX(links!$C$2:$C$501,MATCH($C784,links!$D$2:$D$501,0))),""))</f>
        <v/>
      </c>
      <c r="J784" s="25">
        <f>IF($C784="","",IF($G784="","slug not in links; ","")&amp;IF($D784="","reading type missing; ","")&amp;IF(COUNTIFS(scans!$C$2:$C$1601,$C784,scans!$D$2:$D$1601,$D784)&gt;1,"two readings of this type: keep one; ",""))</f>
        <v/>
      </c>
    </row>
    <row r="785">
      <c r="A785" s="9" t="n"/>
      <c r="B785" s="33" t="n"/>
      <c r="G785" s="25">
        <f>IF($C785="","",IFERROR(IF(INDEX(links!$A$2:$A$501,MATCH($C785,links!$D$2:$D$501,0))="","",INDEX(links!$A$2:$A$501,MATCH($C785,links!$D$2:$D$501,0))),""))</f>
        <v/>
      </c>
      <c r="H785" s="25">
        <f>IF($C785="","",IFERROR(IF(INDEX(links!$B$2:$B$501,MATCH($C785,links!$D$2:$D$501,0))="","",INDEX(links!$B$2:$B$501,MATCH($C785,links!$D$2:$D$501,0))),""))</f>
        <v/>
      </c>
      <c r="I785" s="25">
        <f>IF($C785="","",IFERROR(IF(INDEX(links!$C$2:$C$501,MATCH($C785,links!$D$2:$D$501,0))="","",INDEX(links!$C$2:$C$501,MATCH($C785,links!$D$2:$D$501,0))),""))</f>
        <v/>
      </c>
      <c r="J785" s="25">
        <f>IF($C785="","",IF($G785="","slug not in links; ","")&amp;IF($D785="","reading type missing; ","")&amp;IF(COUNTIFS(scans!$C$2:$C$1601,$C785,scans!$D$2:$D$1601,$D785)&gt;1,"two readings of this type: keep one; ",""))</f>
        <v/>
      </c>
    </row>
    <row r="786">
      <c r="A786" s="9" t="n"/>
      <c r="B786" s="33" t="n"/>
      <c r="G786" s="25">
        <f>IF($C786="","",IFERROR(IF(INDEX(links!$A$2:$A$501,MATCH($C786,links!$D$2:$D$501,0))="","",INDEX(links!$A$2:$A$501,MATCH($C786,links!$D$2:$D$501,0))),""))</f>
        <v/>
      </c>
      <c r="H786" s="25">
        <f>IF($C786="","",IFERROR(IF(INDEX(links!$B$2:$B$501,MATCH($C786,links!$D$2:$D$501,0))="","",INDEX(links!$B$2:$B$501,MATCH($C786,links!$D$2:$D$501,0))),""))</f>
        <v/>
      </c>
      <c r="I786" s="25">
        <f>IF($C786="","",IFERROR(IF(INDEX(links!$C$2:$C$501,MATCH($C786,links!$D$2:$D$501,0))="","",INDEX(links!$C$2:$C$501,MATCH($C786,links!$D$2:$D$501,0))),""))</f>
        <v/>
      </c>
      <c r="J786" s="25">
        <f>IF($C786="","",IF($G786="","slug not in links; ","")&amp;IF($D786="","reading type missing; ","")&amp;IF(COUNTIFS(scans!$C$2:$C$1601,$C786,scans!$D$2:$D$1601,$D786)&gt;1,"two readings of this type: keep one; ",""))</f>
        <v/>
      </c>
    </row>
    <row r="787">
      <c r="A787" s="9" t="n"/>
      <c r="B787" s="33" t="n"/>
      <c r="G787" s="25">
        <f>IF($C787="","",IFERROR(IF(INDEX(links!$A$2:$A$501,MATCH($C787,links!$D$2:$D$501,0))="","",INDEX(links!$A$2:$A$501,MATCH($C787,links!$D$2:$D$501,0))),""))</f>
        <v/>
      </c>
      <c r="H787" s="25">
        <f>IF($C787="","",IFERROR(IF(INDEX(links!$B$2:$B$501,MATCH($C787,links!$D$2:$D$501,0))="","",INDEX(links!$B$2:$B$501,MATCH($C787,links!$D$2:$D$501,0))),""))</f>
        <v/>
      </c>
      <c r="I787" s="25">
        <f>IF($C787="","",IFERROR(IF(INDEX(links!$C$2:$C$501,MATCH($C787,links!$D$2:$D$501,0))="","",INDEX(links!$C$2:$C$501,MATCH($C787,links!$D$2:$D$501,0))),""))</f>
        <v/>
      </c>
      <c r="J787" s="25">
        <f>IF($C787="","",IF($G787="","slug not in links; ","")&amp;IF($D787="","reading type missing; ","")&amp;IF(COUNTIFS(scans!$C$2:$C$1601,$C787,scans!$D$2:$D$1601,$D787)&gt;1,"two readings of this type: keep one; ",""))</f>
        <v/>
      </c>
    </row>
    <row r="788">
      <c r="A788" s="9" t="n"/>
      <c r="B788" s="33" t="n"/>
      <c r="G788" s="25">
        <f>IF($C788="","",IFERROR(IF(INDEX(links!$A$2:$A$501,MATCH($C788,links!$D$2:$D$501,0))="","",INDEX(links!$A$2:$A$501,MATCH($C788,links!$D$2:$D$501,0))),""))</f>
        <v/>
      </c>
      <c r="H788" s="25">
        <f>IF($C788="","",IFERROR(IF(INDEX(links!$B$2:$B$501,MATCH($C788,links!$D$2:$D$501,0))="","",INDEX(links!$B$2:$B$501,MATCH($C788,links!$D$2:$D$501,0))),""))</f>
        <v/>
      </c>
      <c r="I788" s="25">
        <f>IF($C788="","",IFERROR(IF(INDEX(links!$C$2:$C$501,MATCH($C788,links!$D$2:$D$501,0))="","",INDEX(links!$C$2:$C$501,MATCH($C788,links!$D$2:$D$501,0))),""))</f>
        <v/>
      </c>
      <c r="J788" s="25">
        <f>IF($C788="","",IF($G788="","slug not in links; ","")&amp;IF($D788="","reading type missing; ","")&amp;IF(COUNTIFS(scans!$C$2:$C$1601,$C788,scans!$D$2:$D$1601,$D788)&gt;1,"two readings of this type: keep one; ",""))</f>
        <v/>
      </c>
    </row>
    <row r="789">
      <c r="A789" s="9" t="n"/>
      <c r="B789" s="33" t="n"/>
      <c r="G789" s="25">
        <f>IF($C789="","",IFERROR(IF(INDEX(links!$A$2:$A$501,MATCH($C789,links!$D$2:$D$501,0))="","",INDEX(links!$A$2:$A$501,MATCH($C789,links!$D$2:$D$501,0))),""))</f>
        <v/>
      </c>
      <c r="H789" s="25">
        <f>IF($C789="","",IFERROR(IF(INDEX(links!$B$2:$B$501,MATCH($C789,links!$D$2:$D$501,0))="","",INDEX(links!$B$2:$B$501,MATCH($C789,links!$D$2:$D$501,0))),""))</f>
        <v/>
      </c>
      <c r="I789" s="25">
        <f>IF($C789="","",IFERROR(IF(INDEX(links!$C$2:$C$501,MATCH($C789,links!$D$2:$D$501,0))="","",INDEX(links!$C$2:$C$501,MATCH($C789,links!$D$2:$D$501,0))),""))</f>
        <v/>
      </c>
      <c r="J789" s="25">
        <f>IF($C789="","",IF($G789="","slug not in links; ","")&amp;IF($D789="","reading type missing; ","")&amp;IF(COUNTIFS(scans!$C$2:$C$1601,$C789,scans!$D$2:$D$1601,$D789)&gt;1,"two readings of this type: keep one; ",""))</f>
        <v/>
      </c>
    </row>
    <row r="790">
      <c r="A790" s="9" t="n"/>
      <c r="B790" s="33" t="n"/>
      <c r="G790" s="25">
        <f>IF($C790="","",IFERROR(IF(INDEX(links!$A$2:$A$501,MATCH($C790,links!$D$2:$D$501,0))="","",INDEX(links!$A$2:$A$501,MATCH($C790,links!$D$2:$D$501,0))),""))</f>
        <v/>
      </c>
      <c r="H790" s="25">
        <f>IF($C790="","",IFERROR(IF(INDEX(links!$B$2:$B$501,MATCH($C790,links!$D$2:$D$501,0))="","",INDEX(links!$B$2:$B$501,MATCH($C790,links!$D$2:$D$501,0))),""))</f>
        <v/>
      </c>
      <c r="I790" s="25">
        <f>IF($C790="","",IFERROR(IF(INDEX(links!$C$2:$C$501,MATCH($C790,links!$D$2:$D$501,0))="","",INDEX(links!$C$2:$C$501,MATCH($C790,links!$D$2:$D$501,0))),""))</f>
        <v/>
      </c>
      <c r="J790" s="25">
        <f>IF($C790="","",IF($G790="","slug not in links; ","")&amp;IF($D790="","reading type missing; ","")&amp;IF(COUNTIFS(scans!$C$2:$C$1601,$C790,scans!$D$2:$D$1601,$D790)&gt;1,"two readings of this type: keep one; ",""))</f>
        <v/>
      </c>
    </row>
    <row r="791">
      <c r="A791" s="9" t="n"/>
      <c r="B791" s="33" t="n"/>
      <c r="G791" s="25">
        <f>IF($C791="","",IFERROR(IF(INDEX(links!$A$2:$A$501,MATCH($C791,links!$D$2:$D$501,0))="","",INDEX(links!$A$2:$A$501,MATCH($C791,links!$D$2:$D$501,0))),""))</f>
        <v/>
      </c>
      <c r="H791" s="25">
        <f>IF($C791="","",IFERROR(IF(INDEX(links!$B$2:$B$501,MATCH($C791,links!$D$2:$D$501,0))="","",INDEX(links!$B$2:$B$501,MATCH($C791,links!$D$2:$D$501,0))),""))</f>
        <v/>
      </c>
      <c r="I791" s="25">
        <f>IF($C791="","",IFERROR(IF(INDEX(links!$C$2:$C$501,MATCH($C791,links!$D$2:$D$501,0))="","",INDEX(links!$C$2:$C$501,MATCH($C791,links!$D$2:$D$501,0))),""))</f>
        <v/>
      </c>
      <c r="J791" s="25">
        <f>IF($C791="","",IF($G791="","slug not in links; ","")&amp;IF($D791="","reading type missing; ","")&amp;IF(COUNTIFS(scans!$C$2:$C$1601,$C791,scans!$D$2:$D$1601,$D791)&gt;1,"two readings of this type: keep one; ",""))</f>
        <v/>
      </c>
    </row>
    <row r="792">
      <c r="A792" s="9" t="n"/>
      <c r="B792" s="33" t="n"/>
      <c r="G792" s="25">
        <f>IF($C792="","",IFERROR(IF(INDEX(links!$A$2:$A$501,MATCH($C792,links!$D$2:$D$501,0))="","",INDEX(links!$A$2:$A$501,MATCH($C792,links!$D$2:$D$501,0))),""))</f>
        <v/>
      </c>
      <c r="H792" s="25">
        <f>IF($C792="","",IFERROR(IF(INDEX(links!$B$2:$B$501,MATCH($C792,links!$D$2:$D$501,0))="","",INDEX(links!$B$2:$B$501,MATCH($C792,links!$D$2:$D$501,0))),""))</f>
        <v/>
      </c>
      <c r="I792" s="25">
        <f>IF($C792="","",IFERROR(IF(INDEX(links!$C$2:$C$501,MATCH($C792,links!$D$2:$D$501,0))="","",INDEX(links!$C$2:$C$501,MATCH($C792,links!$D$2:$D$501,0))),""))</f>
        <v/>
      </c>
      <c r="J792" s="25">
        <f>IF($C792="","",IF($G792="","slug not in links; ","")&amp;IF($D792="","reading type missing; ","")&amp;IF(COUNTIFS(scans!$C$2:$C$1601,$C792,scans!$D$2:$D$1601,$D792)&gt;1,"two readings of this type: keep one; ",""))</f>
        <v/>
      </c>
    </row>
    <row r="793">
      <c r="A793" s="9" t="n"/>
      <c r="B793" s="33" t="n"/>
      <c r="G793" s="25">
        <f>IF($C793="","",IFERROR(IF(INDEX(links!$A$2:$A$501,MATCH($C793,links!$D$2:$D$501,0))="","",INDEX(links!$A$2:$A$501,MATCH($C793,links!$D$2:$D$501,0))),""))</f>
        <v/>
      </c>
      <c r="H793" s="25">
        <f>IF($C793="","",IFERROR(IF(INDEX(links!$B$2:$B$501,MATCH($C793,links!$D$2:$D$501,0))="","",INDEX(links!$B$2:$B$501,MATCH($C793,links!$D$2:$D$501,0))),""))</f>
        <v/>
      </c>
      <c r="I793" s="25">
        <f>IF($C793="","",IFERROR(IF(INDEX(links!$C$2:$C$501,MATCH($C793,links!$D$2:$D$501,0))="","",INDEX(links!$C$2:$C$501,MATCH($C793,links!$D$2:$D$501,0))),""))</f>
        <v/>
      </c>
      <c r="J793" s="25">
        <f>IF($C793="","",IF($G793="","slug not in links; ","")&amp;IF($D793="","reading type missing; ","")&amp;IF(COUNTIFS(scans!$C$2:$C$1601,$C793,scans!$D$2:$D$1601,$D793)&gt;1,"two readings of this type: keep one; ",""))</f>
        <v/>
      </c>
    </row>
    <row r="794">
      <c r="A794" s="9" t="n"/>
      <c r="B794" s="33" t="n"/>
      <c r="G794" s="25">
        <f>IF($C794="","",IFERROR(IF(INDEX(links!$A$2:$A$501,MATCH($C794,links!$D$2:$D$501,0))="","",INDEX(links!$A$2:$A$501,MATCH($C794,links!$D$2:$D$501,0))),""))</f>
        <v/>
      </c>
      <c r="H794" s="25">
        <f>IF($C794="","",IFERROR(IF(INDEX(links!$B$2:$B$501,MATCH($C794,links!$D$2:$D$501,0))="","",INDEX(links!$B$2:$B$501,MATCH($C794,links!$D$2:$D$501,0))),""))</f>
        <v/>
      </c>
      <c r="I794" s="25">
        <f>IF($C794="","",IFERROR(IF(INDEX(links!$C$2:$C$501,MATCH($C794,links!$D$2:$D$501,0))="","",INDEX(links!$C$2:$C$501,MATCH($C794,links!$D$2:$D$501,0))),""))</f>
        <v/>
      </c>
      <c r="J794" s="25">
        <f>IF($C794="","",IF($G794="","slug not in links; ","")&amp;IF($D794="","reading type missing; ","")&amp;IF(COUNTIFS(scans!$C$2:$C$1601,$C794,scans!$D$2:$D$1601,$D794)&gt;1,"two readings of this type: keep one; ",""))</f>
        <v/>
      </c>
    </row>
    <row r="795">
      <c r="A795" s="9" t="n"/>
      <c r="B795" s="33" t="n"/>
      <c r="G795" s="25">
        <f>IF($C795="","",IFERROR(IF(INDEX(links!$A$2:$A$501,MATCH($C795,links!$D$2:$D$501,0))="","",INDEX(links!$A$2:$A$501,MATCH($C795,links!$D$2:$D$501,0))),""))</f>
        <v/>
      </c>
      <c r="H795" s="25">
        <f>IF($C795="","",IFERROR(IF(INDEX(links!$B$2:$B$501,MATCH($C795,links!$D$2:$D$501,0))="","",INDEX(links!$B$2:$B$501,MATCH($C795,links!$D$2:$D$501,0))),""))</f>
        <v/>
      </c>
      <c r="I795" s="25">
        <f>IF($C795="","",IFERROR(IF(INDEX(links!$C$2:$C$501,MATCH($C795,links!$D$2:$D$501,0))="","",INDEX(links!$C$2:$C$501,MATCH($C795,links!$D$2:$D$501,0))),""))</f>
        <v/>
      </c>
      <c r="J795" s="25">
        <f>IF($C795="","",IF($G795="","slug not in links; ","")&amp;IF($D795="","reading type missing; ","")&amp;IF(COUNTIFS(scans!$C$2:$C$1601,$C795,scans!$D$2:$D$1601,$D795)&gt;1,"two readings of this type: keep one; ",""))</f>
        <v/>
      </c>
    </row>
    <row r="796">
      <c r="A796" s="9" t="n"/>
      <c r="B796" s="33" t="n"/>
      <c r="G796" s="25">
        <f>IF($C796="","",IFERROR(IF(INDEX(links!$A$2:$A$501,MATCH($C796,links!$D$2:$D$501,0))="","",INDEX(links!$A$2:$A$501,MATCH($C796,links!$D$2:$D$501,0))),""))</f>
        <v/>
      </c>
      <c r="H796" s="25">
        <f>IF($C796="","",IFERROR(IF(INDEX(links!$B$2:$B$501,MATCH($C796,links!$D$2:$D$501,0))="","",INDEX(links!$B$2:$B$501,MATCH($C796,links!$D$2:$D$501,0))),""))</f>
        <v/>
      </c>
      <c r="I796" s="25">
        <f>IF($C796="","",IFERROR(IF(INDEX(links!$C$2:$C$501,MATCH($C796,links!$D$2:$D$501,0))="","",INDEX(links!$C$2:$C$501,MATCH($C796,links!$D$2:$D$501,0))),""))</f>
        <v/>
      </c>
      <c r="J796" s="25">
        <f>IF($C796="","",IF($G796="","slug not in links; ","")&amp;IF($D796="","reading type missing; ","")&amp;IF(COUNTIFS(scans!$C$2:$C$1601,$C796,scans!$D$2:$D$1601,$D796)&gt;1,"two readings of this type: keep one; ",""))</f>
        <v/>
      </c>
    </row>
    <row r="797">
      <c r="A797" s="9" t="n"/>
      <c r="B797" s="33" t="n"/>
      <c r="G797" s="25">
        <f>IF($C797="","",IFERROR(IF(INDEX(links!$A$2:$A$501,MATCH($C797,links!$D$2:$D$501,0))="","",INDEX(links!$A$2:$A$501,MATCH($C797,links!$D$2:$D$501,0))),""))</f>
        <v/>
      </c>
      <c r="H797" s="25">
        <f>IF($C797="","",IFERROR(IF(INDEX(links!$B$2:$B$501,MATCH($C797,links!$D$2:$D$501,0))="","",INDEX(links!$B$2:$B$501,MATCH($C797,links!$D$2:$D$501,0))),""))</f>
        <v/>
      </c>
      <c r="I797" s="25">
        <f>IF($C797="","",IFERROR(IF(INDEX(links!$C$2:$C$501,MATCH($C797,links!$D$2:$D$501,0))="","",INDEX(links!$C$2:$C$501,MATCH($C797,links!$D$2:$D$501,0))),""))</f>
        <v/>
      </c>
      <c r="J797" s="25">
        <f>IF($C797="","",IF($G797="","slug not in links; ","")&amp;IF($D797="","reading type missing; ","")&amp;IF(COUNTIFS(scans!$C$2:$C$1601,$C797,scans!$D$2:$D$1601,$D797)&gt;1,"two readings of this type: keep one; ",""))</f>
        <v/>
      </c>
    </row>
    <row r="798">
      <c r="A798" s="9" t="n"/>
      <c r="B798" s="33" t="n"/>
      <c r="G798" s="25">
        <f>IF($C798="","",IFERROR(IF(INDEX(links!$A$2:$A$501,MATCH($C798,links!$D$2:$D$501,0))="","",INDEX(links!$A$2:$A$501,MATCH($C798,links!$D$2:$D$501,0))),""))</f>
        <v/>
      </c>
      <c r="H798" s="25">
        <f>IF($C798="","",IFERROR(IF(INDEX(links!$B$2:$B$501,MATCH($C798,links!$D$2:$D$501,0))="","",INDEX(links!$B$2:$B$501,MATCH($C798,links!$D$2:$D$501,0))),""))</f>
        <v/>
      </c>
      <c r="I798" s="25">
        <f>IF($C798="","",IFERROR(IF(INDEX(links!$C$2:$C$501,MATCH($C798,links!$D$2:$D$501,0))="","",INDEX(links!$C$2:$C$501,MATCH($C798,links!$D$2:$D$501,0))),""))</f>
        <v/>
      </c>
      <c r="J798" s="25">
        <f>IF($C798="","",IF($G798="","slug not in links; ","")&amp;IF($D798="","reading type missing; ","")&amp;IF(COUNTIFS(scans!$C$2:$C$1601,$C798,scans!$D$2:$D$1601,$D798)&gt;1,"two readings of this type: keep one; ",""))</f>
        <v/>
      </c>
    </row>
    <row r="799">
      <c r="A799" s="9" t="n"/>
      <c r="B799" s="33" t="n"/>
      <c r="G799" s="25">
        <f>IF($C799="","",IFERROR(IF(INDEX(links!$A$2:$A$501,MATCH($C799,links!$D$2:$D$501,0))="","",INDEX(links!$A$2:$A$501,MATCH($C799,links!$D$2:$D$501,0))),""))</f>
        <v/>
      </c>
      <c r="H799" s="25">
        <f>IF($C799="","",IFERROR(IF(INDEX(links!$B$2:$B$501,MATCH($C799,links!$D$2:$D$501,0))="","",INDEX(links!$B$2:$B$501,MATCH($C799,links!$D$2:$D$501,0))),""))</f>
        <v/>
      </c>
      <c r="I799" s="25">
        <f>IF($C799="","",IFERROR(IF(INDEX(links!$C$2:$C$501,MATCH($C799,links!$D$2:$D$501,0))="","",INDEX(links!$C$2:$C$501,MATCH($C799,links!$D$2:$D$501,0))),""))</f>
        <v/>
      </c>
      <c r="J799" s="25">
        <f>IF($C799="","",IF($G799="","slug not in links; ","")&amp;IF($D799="","reading type missing; ","")&amp;IF(COUNTIFS(scans!$C$2:$C$1601,$C799,scans!$D$2:$D$1601,$D799)&gt;1,"two readings of this type: keep one; ",""))</f>
        <v/>
      </c>
    </row>
    <row r="800">
      <c r="A800" s="9" t="n"/>
      <c r="B800" s="33" t="n"/>
      <c r="G800" s="25">
        <f>IF($C800="","",IFERROR(IF(INDEX(links!$A$2:$A$501,MATCH($C800,links!$D$2:$D$501,0))="","",INDEX(links!$A$2:$A$501,MATCH($C800,links!$D$2:$D$501,0))),""))</f>
        <v/>
      </c>
      <c r="H800" s="25">
        <f>IF($C800="","",IFERROR(IF(INDEX(links!$B$2:$B$501,MATCH($C800,links!$D$2:$D$501,0))="","",INDEX(links!$B$2:$B$501,MATCH($C800,links!$D$2:$D$501,0))),""))</f>
        <v/>
      </c>
      <c r="I800" s="25">
        <f>IF($C800="","",IFERROR(IF(INDEX(links!$C$2:$C$501,MATCH($C800,links!$D$2:$D$501,0))="","",INDEX(links!$C$2:$C$501,MATCH($C800,links!$D$2:$D$501,0))),""))</f>
        <v/>
      </c>
      <c r="J800" s="25">
        <f>IF($C800="","",IF($G800="","slug not in links; ","")&amp;IF($D800="","reading type missing; ","")&amp;IF(COUNTIFS(scans!$C$2:$C$1601,$C800,scans!$D$2:$D$1601,$D800)&gt;1,"two readings of this type: keep one; ",""))</f>
        <v/>
      </c>
    </row>
    <row r="801">
      <c r="A801" s="9" t="n"/>
      <c r="B801" s="33" t="n"/>
      <c r="G801" s="25">
        <f>IF($C801="","",IFERROR(IF(INDEX(links!$A$2:$A$501,MATCH($C801,links!$D$2:$D$501,0))="","",INDEX(links!$A$2:$A$501,MATCH($C801,links!$D$2:$D$501,0))),""))</f>
        <v/>
      </c>
      <c r="H801" s="25">
        <f>IF($C801="","",IFERROR(IF(INDEX(links!$B$2:$B$501,MATCH($C801,links!$D$2:$D$501,0))="","",INDEX(links!$B$2:$B$501,MATCH($C801,links!$D$2:$D$501,0))),""))</f>
        <v/>
      </c>
      <c r="I801" s="25">
        <f>IF($C801="","",IFERROR(IF(INDEX(links!$C$2:$C$501,MATCH($C801,links!$D$2:$D$501,0))="","",INDEX(links!$C$2:$C$501,MATCH($C801,links!$D$2:$D$501,0))),""))</f>
        <v/>
      </c>
      <c r="J801" s="25">
        <f>IF($C801="","",IF($G801="","slug not in links; ","")&amp;IF($D801="","reading type missing; ","")&amp;IF(COUNTIFS(scans!$C$2:$C$1601,$C801,scans!$D$2:$D$1601,$D801)&gt;1,"two readings of this type: keep one; ",""))</f>
        <v/>
      </c>
    </row>
    <row r="802">
      <c r="A802" s="9" t="n"/>
      <c r="B802" s="33" t="n"/>
      <c r="G802" s="25">
        <f>IF($C802="","",IFERROR(IF(INDEX(links!$A$2:$A$501,MATCH($C802,links!$D$2:$D$501,0))="","",INDEX(links!$A$2:$A$501,MATCH($C802,links!$D$2:$D$501,0))),""))</f>
        <v/>
      </c>
      <c r="H802" s="25">
        <f>IF($C802="","",IFERROR(IF(INDEX(links!$B$2:$B$501,MATCH($C802,links!$D$2:$D$501,0))="","",INDEX(links!$B$2:$B$501,MATCH($C802,links!$D$2:$D$501,0))),""))</f>
        <v/>
      </c>
      <c r="I802" s="25">
        <f>IF($C802="","",IFERROR(IF(INDEX(links!$C$2:$C$501,MATCH($C802,links!$D$2:$D$501,0))="","",INDEX(links!$C$2:$C$501,MATCH($C802,links!$D$2:$D$501,0))),""))</f>
        <v/>
      </c>
      <c r="J802" s="25">
        <f>IF($C802="","",IF($G802="","slug not in links; ","")&amp;IF($D802="","reading type missing; ","")&amp;IF(COUNTIFS(scans!$C$2:$C$1601,$C802,scans!$D$2:$D$1601,$D802)&gt;1,"two readings of this type: keep one; ",""))</f>
        <v/>
      </c>
    </row>
    <row r="803">
      <c r="A803" s="9" t="n"/>
      <c r="B803" s="33" t="n"/>
      <c r="G803" s="25">
        <f>IF($C803="","",IFERROR(IF(INDEX(links!$A$2:$A$501,MATCH($C803,links!$D$2:$D$501,0))="","",INDEX(links!$A$2:$A$501,MATCH($C803,links!$D$2:$D$501,0))),""))</f>
        <v/>
      </c>
      <c r="H803" s="25">
        <f>IF($C803="","",IFERROR(IF(INDEX(links!$B$2:$B$501,MATCH($C803,links!$D$2:$D$501,0))="","",INDEX(links!$B$2:$B$501,MATCH($C803,links!$D$2:$D$501,0))),""))</f>
        <v/>
      </c>
      <c r="I803" s="25">
        <f>IF($C803="","",IFERROR(IF(INDEX(links!$C$2:$C$501,MATCH($C803,links!$D$2:$D$501,0))="","",INDEX(links!$C$2:$C$501,MATCH($C803,links!$D$2:$D$501,0))),""))</f>
        <v/>
      </c>
      <c r="J803" s="25">
        <f>IF($C803="","",IF($G803="","slug not in links; ","")&amp;IF($D803="","reading type missing; ","")&amp;IF(COUNTIFS(scans!$C$2:$C$1601,$C803,scans!$D$2:$D$1601,$D803)&gt;1,"two readings of this type: keep one; ",""))</f>
        <v/>
      </c>
    </row>
    <row r="804">
      <c r="A804" s="9" t="n"/>
      <c r="B804" s="33" t="n"/>
      <c r="G804" s="25">
        <f>IF($C804="","",IFERROR(IF(INDEX(links!$A$2:$A$501,MATCH($C804,links!$D$2:$D$501,0))="","",INDEX(links!$A$2:$A$501,MATCH($C804,links!$D$2:$D$501,0))),""))</f>
        <v/>
      </c>
      <c r="H804" s="25">
        <f>IF($C804="","",IFERROR(IF(INDEX(links!$B$2:$B$501,MATCH($C804,links!$D$2:$D$501,0))="","",INDEX(links!$B$2:$B$501,MATCH($C804,links!$D$2:$D$501,0))),""))</f>
        <v/>
      </c>
      <c r="I804" s="25">
        <f>IF($C804="","",IFERROR(IF(INDEX(links!$C$2:$C$501,MATCH($C804,links!$D$2:$D$501,0))="","",INDEX(links!$C$2:$C$501,MATCH($C804,links!$D$2:$D$501,0))),""))</f>
        <v/>
      </c>
      <c r="J804" s="25">
        <f>IF($C804="","",IF($G804="","slug not in links; ","")&amp;IF($D804="","reading type missing; ","")&amp;IF(COUNTIFS(scans!$C$2:$C$1601,$C804,scans!$D$2:$D$1601,$D804)&gt;1,"two readings of this type: keep one; ",""))</f>
        <v/>
      </c>
    </row>
    <row r="805">
      <c r="A805" s="9" t="n"/>
      <c r="B805" s="33" t="n"/>
      <c r="G805" s="25">
        <f>IF($C805="","",IFERROR(IF(INDEX(links!$A$2:$A$501,MATCH($C805,links!$D$2:$D$501,0))="","",INDEX(links!$A$2:$A$501,MATCH($C805,links!$D$2:$D$501,0))),""))</f>
        <v/>
      </c>
      <c r="H805" s="25">
        <f>IF($C805="","",IFERROR(IF(INDEX(links!$B$2:$B$501,MATCH($C805,links!$D$2:$D$501,0))="","",INDEX(links!$B$2:$B$501,MATCH($C805,links!$D$2:$D$501,0))),""))</f>
        <v/>
      </c>
      <c r="I805" s="25">
        <f>IF($C805="","",IFERROR(IF(INDEX(links!$C$2:$C$501,MATCH($C805,links!$D$2:$D$501,0))="","",INDEX(links!$C$2:$C$501,MATCH($C805,links!$D$2:$D$501,0))),""))</f>
        <v/>
      </c>
      <c r="J805" s="25">
        <f>IF($C805="","",IF($G805="","slug not in links; ","")&amp;IF($D805="","reading type missing; ","")&amp;IF(COUNTIFS(scans!$C$2:$C$1601,$C805,scans!$D$2:$D$1601,$D805)&gt;1,"two readings of this type: keep one; ",""))</f>
        <v/>
      </c>
    </row>
    <row r="806">
      <c r="A806" s="9" t="n"/>
      <c r="B806" s="33" t="n"/>
      <c r="G806" s="25">
        <f>IF($C806="","",IFERROR(IF(INDEX(links!$A$2:$A$501,MATCH($C806,links!$D$2:$D$501,0))="","",INDEX(links!$A$2:$A$501,MATCH($C806,links!$D$2:$D$501,0))),""))</f>
        <v/>
      </c>
      <c r="H806" s="25">
        <f>IF($C806="","",IFERROR(IF(INDEX(links!$B$2:$B$501,MATCH($C806,links!$D$2:$D$501,0))="","",INDEX(links!$B$2:$B$501,MATCH($C806,links!$D$2:$D$501,0))),""))</f>
        <v/>
      </c>
      <c r="I806" s="25">
        <f>IF($C806="","",IFERROR(IF(INDEX(links!$C$2:$C$501,MATCH($C806,links!$D$2:$D$501,0))="","",INDEX(links!$C$2:$C$501,MATCH($C806,links!$D$2:$D$501,0))),""))</f>
        <v/>
      </c>
      <c r="J806" s="25">
        <f>IF($C806="","",IF($G806="","slug not in links; ","")&amp;IF($D806="","reading type missing; ","")&amp;IF(COUNTIFS(scans!$C$2:$C$1601,$C806,scans!$D$2:$D$1601,$D806)&gt;1,"two readings of this type: keep one; ",""))</f>
        <v/>
      </c>
    </row>
    <row r="807">
      <c r="A807" s="9" t="n"/>
      <c r="B807" s="33" t="n"/>
      <c r="G807" s="25">
        <f>IF($C807="","",IFERROR(IF(INDEX(links!$A$2:$A$501,MATCH($C807,links!$D$2:$D$501,0))="","",INDEX(links!$A$2:$A$501,MATCH($C807,links!$D$2:$D$501,0))),""))</f>
        <v/>
      </c>
      <c r="H807" s="25">
        <f>IF($C807="","",IFERROR(IF(INDEX(links!$B$2:$B$501,MATCH($C807,links!$D$2:$D$501,0))="","",INDEX(links!$B$2:$B$501,MATCH($C807,links!$D$2:$D$501,0))),""))</f>
        <v/>
      </c>
      <c r="I807" s="25">
        <f>IF($C807="","",IFERROR(IF(INDEX(links!$C$2:$C$501,MATCH($C807,links!$D$2:$D$501,0))="","",INDEX(links!$C$2:$C$501,MATCH($C807,links!$D$2:$D$501,0))),""))</f>
        <v/>
      </c>
      <c r="J807" s="25">
        <f>IF($C807="","",IF($G807="","slug not in links; ","")&amp;IF($D807="","reading type missing; ","")&amp;IF(COUNTIFS(scans!$C$2:$C$1601,$C807,scans!$D$2:$D$1601,$D807)&gt;1,"two readings of this type: keep one; ",""))</f>
        <v/>
      </c>
    </row>
    <row r="808">
      <c r="A808" s="9" t="n"/>
      <c r="B808" s="33" t="n"/>
      <c r="G808" s="25">
        <f>IF($C808="","",IFERROR(IF(INDEX(links!$A$2:$A$501,MATCH($C808,links!$D$2:$D$501,0))="","",INDEX(links!$A$2:$A$501,MATCH($C808,links!$D$2:$D$501,0))),""))</f>
        <v/>
      </c>
      <c r="H808" s="25">
        <f>IF($C808="","",IFERROR(IF(INDEX(links!$B$2:$B$501,MATCH($C808,links!$D$2:$D$501,0))="","",INDEX(links!$B$2:$B$501,MATCH($C808,links!$D$2:$D$501,0))),""))</f>
        <v/>
      </c>
      <c r="I808" s="25">
        <f>IF($C808="","",IFERROR(IF(INDEX(links!$C$2:$C$501,MATCH($C808,links!$D$2:$D$501,0))="","",INDEX(links!$C$2:$C$501,MATCH($C808,links!$D$2:$D$501,0))),""))</f>
        <v/>
      </c>
      <c r="J808" s="25">
        <f>IF($C808="","",IF($G808="","slug not in links; ","")&amp;IF($D808="","reading type missing; ","")&amp;IF(COUNTIFS(scans!$C$2:$C$1601,$C808,scans!$D$2:$D$1601,$D808)&gt;1,"two readings of this type: keep one; ",""))</f>
        <v/>
      </c>
    </row>
    <row r="809">
      <c r="A809" s="9" t="n"/>
      <c r="B809" s="33" t="n"/>
      <c r="G809" s="25">
        <f>IF($C809="","",IFERROR(IF(INDEX(links!$A$2:$A$501,MATCH($C809,links!$D$2:$D$501,0))="","",INDEX(links!$A$2:$A$501,MATCH($C809,links!$D$2:$D$501,0))),""))</f>
        <v/>
      </c>
      <c r="H809" s="25">
        <f>IF($C809="","",IFERROR(IF(INDEX(links!$B$2:$B$501,MATCH($C809,links!$D$2:$D$501,0))="","",INDEX(links!$B$2:$B$501,MATCH($C809,links!$D$2:$D$501,0))),""))</f>
        <v/>
      </c>
      <c r="I809" s="25">
        <f>IF($C809="","",IFERROR(IF(INDEX(links!$C$2:$C$501,MATCH($C809,links!$D$2:$D$501,0))="","",INDEX(links!$C$2:$C$501,MATCH($C809,links!$D$2:$D$501,0))),""))</f>
        <v/>
      </c>
      <c r="J809" s="25">
        <f>IF($C809="","",IF($G809="","slug not in links; ","")&amp;IF($D809="","reading type missing; ","")&amp;IF(COUNTIFS(scans!$C$2:$C$1601,$C809,scans!$D$2:$D$1601,$D809)&gt;1,"two readings of this type: keep one; ",""))</f>
        <v/>
      </c>
    </row>
    <row r="810">
      <c r="A810" s="9" t="n"/>
      <c r="B810" s="33" t="n"/>
      <c r="G810" s="25">
        <f>IF($C810="","",IFERROR(IF(INDEX(links!$A$2:$A$501,MATCH($C810,links!$D$2:$D$501,0))="","",INDEX(links!$A$2:$A$501,MATCH($C810,links!$D$2:$D$501,0))),""))</f>
        <v/>
      </c>
      <c r="H810" s="25">
        <f>IF($C810="","",IFERROR(IF(INDEX(links!$B$2:$B$501,MATCH($C810,links!$D$2:$D$501,0))="","",INDEX(links!$B$2:$B$501,MATCH($C810,links!$D$2:$D$501,0))),""))</f>
        <v/>
      </c>
      <c r="I810" s="25">
        <f>IF($C810="","",IFERROR(IF(INDEX(links!$C$2:$C$501,MATCH($C810,links!$D$2:$D$501,0))="","",INDEX(links!$C$2:$C$501,MATCH($C810,links!$D$2:$D$501,0))),""))</f>
        <v/>
      </c>
      <c r="J810" s="25">
        <f>IF($C810="","",IF($G810="","slug not in links; ","")&amp;IF($D810="","reading type missing; ","")&amp;IF(COUNTIFS(scans!$C$2:$C$1601,$C810,scans!$D$2:$D$1601,$D810)&gt;1,"two readings of this type: keep one; ",""))</f>
        <v/>
      </c>
    </row>
    <row r="811">
      <c r="A811" s="9" t="n"/>
      <c r="B811" s="33" t="n"/>
      <c r="G811" s="25">
        <f>IF($C811="","",IFERROR(IF(INDEX(links!$A$2:$A$501,MATCH($C811,links!$D$2:$D$501,0))="","",INDEX(links!$A$2:$A$501,MATCH($C811,links!$D$2:$D$501,0))),""))</f>
        <v/>
      </c>
      <c r="H811" s="25">
        <f>IF($C811="","",IFERROR(IF(INDEX(links!$B$2:$B$501,MATCH($C811,links!$D$2:$D$501,0))="","",INDEX(links!$B$2:$B$501,MATCH($C811,links!$D$2:$D$501,0))),""))</f>
        <v/>
      </c>
      <c r="I811" s="25">
        <f>IF($C811="","",IFERROR(IF(INDEX(links!$C$2:$C$501,MATCH($C811,links!$D$2:$D$501,0))="","",INDEX(links!$C$2:$C$501,MATCH($C811,links!$D$2:$D$501,0))),""))</f>
        <v/>
      </c>
      <c r="J811" s="25">
        <f>IF($C811="","",IF($G811="","slug not in links; ","")&amp;IF($D811="","reading type missing; ","")&amp;IF(COUNTIFS(scans!$C$2:$C$1601,$C811,scans!$D$2:$D$1601,$D811)&gt;1,"two readings of this type: keep one; ",""))</f>
        <v/>
      </c>
    </row>
    <row r="812">
      <c r="A812" s="9" t="n"/>
      <c r="B812" s="33" t="n"/>
      <c r="G812" s="25">
        <f>IF($C812="","",IFERROR(IF(INDEX(links!$A$2:$A$501,MATCH($C812,links!$D$2:$D$501,0))="","",INDEX(links!$A$2:$A$501,MATCH($C812,links!$D$2:$D$501,0))),""))</f>
        <v/>
      </c>
      <c r="H812" s="25">
        <f>IF($C812="","",IFERROR(IF(INDEX(links!$B$2:$B$501,MATCH($C812,links!$D$2:$D$501,0))="","",INDEX(links!$B$2:$B$501,MATCH($C812,links!$D$2:$D$501,0))),""))</f>
        <v/>
      </c>
      <c r="I812" s="25">
        <f>IF($C812="","",IFERROR(IF(INDEX(links!$C$2:$C$501,MATCH($C812,links!$D$2:$D$501,0))="","",INDEX(links!$C$2:$C$501,MATCH($C812,links!$D$2:$D$501,0))),""))</f>
        <v/>
      </c>
      <c r="J812" s="25">
        <f>IF($C812="","",IF($G812="","slug not in links; ","")&amp;IF($D812="","reading type missing; ","")&amp;IF(COUNTIFS(scans!$C$2:$C$1601,$C812,scans!$D$2:$D$1601,$D812)&gt;1,"two readings of this type: keep one; ",""))</f>
        <v/>
      </c>
    </row>
    <row r="813">
      <c r="A813" s="9" t="n"/>
      <c r="B813" s="33" t="n"/>
      <c r="G813" s="25">
        <f>IF($C813="","",IFERROR(IF(INDEX(links!$A$2:$A$501,MATCH($C813,links!$D$2:$D$501,0))="","",INDEX(links!$A$2:$A$501,MATCH($C813,links!$D$2:$D$501,0))),""))</f>
        <v/>
      </c>
      <c r="H813" s="25">
        <f>IF($C813="","",IFERROR(IF(INDEX(links!$B$2:$B$501,MATCH($C813,links!$D$2:$D$501,0))="","",INDEX(links!$B$2:$B$501,MATCH($C813,links!$D$2:$D$501,0))),""))</f>
        <v/>
      </c>
      <c r="I813" s="25">
        <f>IF($C813="","",IFERROR(IF(INDEX(links!$C$2:$C$501,MATCH($C813,links!$D$2:$D$501,0))="","",INDEX(links!$C$2:$C$501,MATCH($C813,links!$D$2:$D$501,0))),""))</f>
        <v/>
      </c>
      <c r="J813" s="25">
        <f>IF($C813="","",IF($G813="","slug not in links; ","")&amp;IF($D813="","reading type missing; ","")&amp;IF(COUNTIFS(scans!$C$2:$C$1601,$C813,scans!$D$2:$D$1601,$D813)&gt;1,"two readings of this type: keep one; ",""))</f>
        <v/>
      </c>
    </row>
    <row r="814">
      <c r="A814" s="9" t="n"/>
      <c r="B814" s="33" t="n"/>
      <c r="G814" s="25">
        <f>IF($C814="","",IFERROR(IF(INDEX(links!$A$2:$A$501,MATCH($C814,links!$D$2:$D$501,0))="","",INDEX(links!$A$2:$A$501,MATCH($C814,links!$D$2:$D$501,0))),""))</f>
        <v/>
      </c>
      <c r="H814" s="25">
        <f>IF($C814="","",IFERROR(IF(INDEX(links!$B$2:$B$501,MATCH($C814,links!$D$2:$D$501,0))="","",INDEX(links!$B$2:$B$501,MATCH($C814,links!$D$2:$D$501,0))),""))</f>
        <v/>
      </c>
      <c r="I814" s="25">
        <f>IF($C814="","",IFERROR(IF(INDEX(links!$C$2:$C$501,MATCH($C814,links!$D$2:$D$501,0))="","",INDEX(links!$C$2:$C$501,MATCH($C814,links!$D$2:$D$501,0))),""))</f>
        <v/>
      </c>
      <c r="J814" s="25">
        <f>IF($C814="","",IF($G814="","slug not in links; ","")&amp;IF($D814="","reading type missing; ","")&amp;IF(COUNTIFS(scans!$C$2:$C$1601,$C814,scans!$D$2:$D$1601,$D814)&gt;1,"two readings of this type: keep one; ",""))</f>
        <v/>
      </c>
    </row>
    <row r="815">
      <c r="A815" s="9" t="n"/>
      <c r="B815" s="33" t="n"/>
      <c r="G815" s="25">
        <f>IF($C815="","",IFERROR(IF(INDEX(links!$A$2:$A$501,MATCH($C815,links!$D$2:$D$501,0))="","",INDEX(links!$A$2:$A$501,MATCH($C815,links!$D$2:$D$501,0))),""))</f>
        <v/>
      </c>
      <c r="H815" s="25">
        <f>IF($C815="","",IFERROR(IF(INDEX(links!$B$2:$B$501,MATCH($C815,links!$D$2:$D$501,0))="","",INDEX(links!$B$2:$B$501,MATCH($C815,links!$D$2:$D$501,0))),""))</f>
        <v/>
      </c>
      <c r="I815" s="25">
        <f>IF($C815="","",IFERROR(IF(INDEX(links!$C$2:$C$501,MATCH($C815,links!$D$2:$D$501,0))="","",INDEX(links!$C$2:$C$501,MATCH($C815,links!$D$2:$D$501,0))),""))</f>
        <v/>
      </c>
      <c r="J815" s="25">
        <f>IF($C815="","",IF($G815="","slug not in links; ","")&amp;IF($D815="","reading type missing; ","")&amp;IF(COUNTIFS(scans!$C$2:$C$1601,$C815,scans!$D$2:$D$1601,$D815)&gt;1,"two readings of this type: keep one; ",""))</f>
        <v/>
      </c>
    </row>
    <row r="816">
      <c r="A816" s="9" t="n"/>
      <c r="B816" s="33" t="n"/>
      <c r="G816" s="25">
        <f>IF($C816="","",IFERROR(IF(INDEX(links!$A$2:$A$501,MATCH($C816,links!$D$2:$D$501,0))="","",INDEX(links!$A$2:$A$501,MATCH($C816,links!$D$2:$D$501,0))),""))</f>
        <v/>
      </c>
      <c r="H816" s="25">
        <f>IF($C816="","",IFERROR(IF(INDEX(links!$B$2:$B$501,MATCH($C816,links!$D$2:$D$501,0))="","",INDEX(links!$B$2:$B$501,MATCH($C816,links!$D$2:$D$501,0))),""))</f>
        <v/>
      </c>
      <c r="I816" s="25">
        <f>IF($C816="","",IFERROR(IF(INDEX(links!$C$2:$C$501,MATCH($C816,links!$D$2:$D$501,0))="","",INDEX(links!$C$2:$C$501,MATCH($C816,links!$D$2:$D$501,0))),""))</f>
        <v/>
      </c>
      <c r="J816" s="25">
        <f>IF($C816="","",IF($G816="","slug not in links; ","")&amp;IF($D816="","reading type missing; ","")&amp;IF(COUNTIFS(scans!$C$2:$C$1601,$C816,scans!$D$2:$D$1601,$D816)&gt;1,"two readings of this type: keep one; ",""))</f>
        <v/>
      </c>
    </row>
    <row r="817">
      <c r="A817" s="9" t="n"/>
      <c r="B817" s="33" t="n"/>
      <c r="G817" s="25">
        <f>IF($C817="","",IFERROR(IF(INDEX(links!$A$2:$A$501,MATCH($C817,links!$D$2:$D$501,0))="","",INDEX(links!$A$2:$A$501,MATCH($C817,links!$D$2:$D$501,0))),""))</f>
        <v/>
      </c>
      <c r="H817" s="25">
        <f>IF($C817="","",IFERROR(IF(INDEX(links!$B$2:$B$501,MATCH($C817,links!$D$2:$D$501,0))="","",INDEX(links!$B$2:$B$501,MATCH($C817,links!$D$2:$D$501,0))),""))</f>
        <v/>
      </c>
      <c r="I817" s="25">
        <f>IF($C817="","",IFERROR(IF(INDEX(links!$C$2:$C$501,MATCH($C817,links!$D$2:$D$501,0))="","",INDEX(links!$C$2:$C$501,MATCH($C817,links!$D$2:$D$501,0))),""))</f>
        <v/>
      </c>
      <c r="J817" s="25">
        <f>IF($C817="","",IF($G817="","slug not in links; ","")&amp;IF($D817="","reading type missing; ","")&amp;IF(COUNTIFS(scans!$C$2:$C$1601,$C817,scans!$D$2:$D$1601,$D817)&gt;1,"two readings of this type: keep one; ",""))</f>
        <v/>
      </c>
    </row>
    <row r="818">
      <c r="A818" s="9" t="n"/>
      <c r="B818" s="33" t="n"/>
      <c r="G818" s="25">
        <f>IF($C818="","",IFERROR(IF(INDEX(links!$A$2:$A$501,MATCH($C818,links!$D$2:$D$501,0))="","",INDEX(links!$A$2:$A$501,MATCH($C818,links!$D$2:$D$501,0))),""))</f>
        <v/>
      </c>
      <c r="H818" s="25">
        <f>IF($C818="","",IFERROR(IF(INDEX(links!$B$2:$B$501,MATCH($C818,links!$D$2:$D$501,0))="","",INDEX(links!$B$2:$B$501,MATCH($C818,links!$D$2:$D$501,0))),""))</f>
        <v/>
      </c>
      <c r="I818" s="25">
        <f>IF($C818="","",IFERROR(IF(INDEX(links!$C$2:$C$501,MATCH($C818,links!$D$2:$D$501,0))="","",INDEX(links!$C$2:$C$501,MATCH($C818,links!$D$2:$D$501,0))),""))</f>
        <v/>
      </c>
      <c r="J818" s="25">
        <f>IF($C818="","",IF($G818="","slug not in links; ","")&amp;IF($D818="","reading type missing; ","")&amp;IF(COUNTIFS(scans!$C$2:$C$1601,$C818,scans!$D$2:$D$1601,$D818)&gt;1,"two readings of this type: keep one; ",""))</f>
        <v/>
      </c>
    </row>
    <row r="819">
      <c r="A819" s="9" t="n"/>
      <c r="B819" s="33" t="n"/>
      <c r="G819" s="25">
        <f>IF($C819="","",IFERROR(IF(INDEX(links!$A$2:$A$501,MATCH($C819,links!$D$2:$D$501,0))="","",INDEX(links!$A$2:$A$501,MATCH($C819,links!$D$2:$D$501,0))),""))</f>
        <v/>
      </c>
      <c r="H819" s="25">
        <f>IF($C819="","",IFERROR(IF(INDEX(links!$B$2:$B$501,MATCH($C819,links!$D$2:$D$501,0))="","",INDEX(links!$B$2:$B$501,MATCH($C819,links!$D$2:$D$501,0))),""))</f>
        <v/>
      </c>
      <c r="I819" s="25">
        <f>IF($C819="","",IFERROR(IF(INDEX(links!$C$2:$C$501,MATCH($C819,links!$D$2:$D$501,0))="","",INDEX(links!$C$2:$C$501,MATCH($C819,links!$D$2:$D$501,0))),""))</f>
        <v/>
      </c>
      <c r="J819" s="25">
        <f>IF($C819="","",IF($G819="","slug not in links; ","")&amp;IF($D819="","reading type missing; ","")&amp;IF(COUNTIFS(scans!$C$2:$C$1601,$C819,scans!$D$2:$D$1601,$D819)&gt;1,"two readings of this type: keep one; ",""))</f>
        <v/>
      </c>
    </row>
    <row r="820">
      <c r="A820" s="9" t="n"/>
      <c r="B820" s="33" t="n"/>
      <c r="G820" s="25">
        <f>IF($C820="","",IFERROR(IF(INDEX(links!$A$2:$A$501,MATCH($C820,links!$D$2:$D$501,0))="","",INDEX(links!$A$2:$A$501,MATCH($C820,links!$D$2:$D$501,0))),""))</f>
        <v/>
      </c>
      <c r="H820" s="25">
        <f>IF($C820="","",IFERROR(IF(INDEX(links!$B$2:$B$501,MATCH($C820,links!$D$2:$D$501,0))="","",INDEX(links!$B$2:$B$501,MATCH($C820,links!$D$2:$D$501,0))),""))</f>
        <v/>
      </c>
      <c r="I820" s="25">
        <f>IF($C820="","",IFERROR(IF(INDEX(links!$C$2:$C$501,MATCH($C820,links!$D$2:$D$501,0))="","",INDEX(links!$C$2:$C$501,MATCH($C820,links!$D$2:$D$501,0))),""))</f>
        <v/>
      </c>
      <c r="J820" s="25">
        <f>IF($C820="","",IF($G820="","slug not in links; ","")&amp;IF($D820="","reading type missing; ","")&amp;IF(COUNTIFS(scans!$C$2:$C$1601,$C820,scans!$D$2:$D$1601,$D820)&gt;1,"two readings of this type: keep one; ",""))</f>
        <v/>
      </c>
    </row>
    <row r="821">
      <c r="A821" s="9" t="n"/>
      <c r="B821" s="33" t="n"/>
      <c r="G821" s="25">
        <f>IF($C821="","",IFERROR(IF(INDEX(links!$A$2:$A$501,MATCH($C821,links!$D$2:$D$501,0))="","",INDEX(links!$A$2:$A$501,MATCH($C821,links!$D$2:$D$501,0))),""))</f>
        <v/>
      </c>
      <c r="H821" s="25">
        <f>IF($C821="","",IFERROR(IF(INDEX(links!$B$2:$B$501,MATCH($C821,links!$D$2:$D$501,0))="","",INDEX(links!$B$2:$B$501,MATCH($C821,links!$D$2:$D$501,0))),""))</f>
        <v/>
      </c>
      <c r="I821" s="25">
        <f>IF($C821="","",IFERROR(IF(INDEX(links!$C$2:$C$501,MATCH($C821,links!$D$2:$D$501,0))="","",INDEX(links!$C$2:$C$501,MATCH($C821,links!$D$2:$D$501,0))),""))</f>
        <v/>
      </c>
      <c r="J821" s="25">
        <f>IF($C821="","",IF($G821="","slug not in links; ","")&amp;IF($D821="","reading type missing; ","")&amp;IF(COUNTIFS(scans!$C$2:$C$1601,$C821,scans!$D$2:$D$1601,$D821)&gt;1,"two readings of this type: keep one; ",""))</f>
        <v/>
      </c>
    </row>
    <row r="822">
      <c r="A822" s="9" t="n"/>
      <c r="B822" s="33" t="n"/>
      <c r="G822" s="25">
        <f>IF($C822="","",IFERROR(IF(INDEX(links!$A$2:$A$501,MATCH($C822,links!$D$2:$D$501,0))="","",INDEX(links!$A$2:$A$501,MATCH($C822,links!$D$2:$D$501,0))),""))</f>
        <v/>
      </c>
      <c r="H822" s="25">
        <f>IF($C822="","",IFERROR(IF(INDEX(links!$B$2:$B$501,MATCH($C822,links!$D$2:$D$501,0))="","",INDEX(links!$B$2:$B$501,MATCH($C822,links!$D$2:$D$501,0))),""))</f>
        <v/>
      </c>
      <c r="I822" s="25">
        <f>IF($C822="","",IFERROR(IF(INDEX(links!$C$2:$C$501,MATCH($C822,links!$D$2:$D$501,0))="","",INDEX(links!$C$2:$C$501,MATCH($C822,links!$D$2:$D$501,0))),""))</f>
        <v/>
      </c>
      <c r="J822" s="25">
        <f>IF($C822="","",IF($G822="","slug not in links; ","")&amp;IF($D822="","reading type missing; ","")&amp;IF(COUNTIFS(scans!$C$2:$C$1601,$C822,scans!$D$2:$D$1601,$D822)&gt;1,"two readings of this type: keep one; ",""))</f>
        <v/>
      </c>
    </row>
    <row r="823">
      <c r="A823" s="9" t="n"/>
      <c r="B823" s="33" t="n"/>
      <c r="G823" s="25">
        <f>IF($C823="","",IFERROR(IF(INDEX(links!$A$2:$A$501,MATCH($C823,links!$D$2:$D$501,0))="","",INDEX(links!$A$2:$A$501,MATCH($C823,links!$D$2:$D$501,0))),""))</f>
        <v/>
      </c>
      <c r="H823" s="25">
        <f>IF($C823="","",IFERROR(IF(INDEX(links!$B$2:$B$501,MATCH($C823,links!$D$2:$D$501,0))="","",INDEX(links!$B$2:$B$501,MATCH($C823,links!$D$2:$D$501,0))),""))</f>
        <v/>
      </c>
      <c r="I823" s="25">
        <f>IF($C823="","",IFERROR(IF(INDEX(links!$C$2:$C$501,MATCH($C823,links!$D$2:$D$501,0))="","",INDEX(links!$C$2:$C$501,MATCH($C823,links!$D$2:$D$501,0))),""))</f>
        <v/>
      </c>
      <c r="J823" s="25">
        <f>IF($C823="","",IF($G823="","slug not in links; ","")&amp;IF($D823="","reading type missing; ","")&amp;IF(COUNTIFS(scans!$C$2:$C$1601,$C823,scans!$D$2:$D$1601,$D823)&gt;1,"two readings of this type: keep one; ",""))</f>
        <v/>
      </c>
    </row>
    <row r="824">
      <c r="A824" s="9" t="n"/>
      <c r="B824" s="33" t="n"/>
      <c r="G824" s="25">
        <f>IF($C824="","",IFERROR(IF(INDEX(links!$A$2:$A$501,MATCH($C824,links!$D$2:$D$501,0))="","",INDEX(links!$A$2:$A$501,MATCH($C824,links!$D$2:$D$501,0))),""))</f>
        <v/>
      </c>
      <c r="H824" s="25">
        <f>IF($C824="","",IFERROR(IF(INDEX(links!$B$2:$B$501,MATCH($C824,links!$D$2:$D$501,0))="","",INDEX(links!$B$2:$B$501,MATCH($C824,links!$D$2:$D$501,0))),""))</f>
        <v/>
      </c>
      <c r="I824" s="25">
        <f>IF($C824="","",IFERROR(IF(INDEX(links!$C$2:$C$501,MATCH($C824,links!$D$2:$D$501,0))="","",INDEX(links!$C$2:$C$501,MATCH($C824,links!$D$2:$D$501,0))),""))</f>
        <v/>
      </c>
      <c r="J824" s="25">
        <f>IF($C824="","",IF($G824="","slug not in links; ","")&amp;IF($D824="","reading type missing; ","")&amp;IF(COUNTIFS(scans!$C$2:$C$1601,$C824,scans!$D$2:$D$1601,$D824)&gt;1,"two readings of this type: keep one; ",""))</f>
        <v/>
      </c>
    </row>
    <row r="825">
      <c r="A825" s="9" t="n"/>
      <c r="B825" s="33" t="n"/>
      <c r="G825" s="25">
        <f>IF($C825="","",IFERROR(IF(INDEX(links!$A$2:$A$501,MATCH($C825,links!$D$2:$D$501,0))="","",INDEX(links!$A$2:$A$501,MATCH($C825,links!$D$2:$D$501,0))),""))</f>
        <v/>
      </c>
      <c r="H825" s="25">
        <f>IF($C825="","",IFERROR(IF(INDEX(links!$B$2:$B$501,MATCH($C825,links!$D$2:$D$501,0))="","",INDEX(links!$B$2:$B$501,MATCH($C825,links!$D$2:$D$501,0))),""))</f>
        <v/>
      </c>
      <c r="I825" s="25">
        <f>IF($C825="","",IFERROR(IF(INDEX(links!$C$2:$C$501,MATCH($C825,links!$D$2:$D$501,0))="","",INDEX(links!$C$2:$C$501,MATCH($C825,links!$D$2:$D$501,0))),""))</f>
        <v/>
      </c>
      <c r="J825" s="25">
        <f>IF($C825="","",IF($G825="","slug not in links; ","")&amp;IF($D825="","reading type missing; ","")&amp;IF(COUNTIFS(scans!$C$2:$C$1601,$C825,scans!$D$2:$D$1601,$D825)&gt;1,"two readings of this type: keep one; ",""))</f>
        <v/>
      </c>
    </row>
    <row r="826">
      <c r="A826" s="9" t="n"/>
      <c r="B826" s="33" t="n"/>
      <c r="G826" s="25">
        <f>IF($C826="","",IFERROR(IF(INDEX(links!$A$2:$A$501,MATCH($C826,links!$D$2:$D$501,0))="","",INDEX(links!$A$2:$A$501,MATCH($C826,links!$D$2:$D$501,0))),""))</f>
        <v/>
      </c>
      <c r="H826" s="25">
        <f>IF($C826="","",IFERROR(IF(INDEX(links!$B$2:$B$501,MATCH($C826,links!$D$2:$D$501,0))="","",INDEX(links!$B$2:$B$501,MATCH($C826,links!$D$2:$D$501,0))),""))</f>
        <v/>
      </c>
      <c r="I826" s="25">
        <f>IF($C826="","",IFERROR(IF(INDEX(links!$C$2:$C$501,MATCH($C826,links!$D$2:$D$501,0))="","",INDEX(links!$C$2:$C$501,MATCH($C826,links!$D$2:$D$501,0))),""))</f>
        <v/>
      </c>
      <c r="J826" s="25">
        <f>IF($C826="","",IF($G826="","slug not in links; ","")&amp;IF($D826="","reading type missing; ","")&amp;IF(COUNTIFS(scans!$C$2:$C$1601,$C826,scans!$D$2:$D$1601,$D826)&gt;1,"two readings of this type: keep one; ",""))</f>
        <v/>
      </c>
    </row>
    <row r="827">
      <c r="A827" s="9" t="n"/>
      <c r="B827" s="33" t="n"/>
      <c r="G827" s="25">
        <f>IF($C827="","",IFERROR(IF(INDEX(links!$A$2:$A$501,MATCH($C827,links!$D$2:$D$501,0))="","",INDEX(links!$A$2:$A$501,MATCH($C827,links!$D$2:$D$501,0))),""))</f>
        <v/>
      </c>
      <c r="H827" s="25">
        <f>IF($C827="","",IFERROR(IF(INDEX(links!$B$2:$B$501,MATCH($C827,links!$D$2:$D$501,0))="","",INDEX(links!$B$2:$B$501,MATCH($C827,links!$D$2:$D$501,0))),""))</f>
        <v/>
      </c>
      <c r="I827" s="25">
        <f>IF($C827="","",IFERROR(IF(INDEX(links!$C$2:$C$501,MATCH($C827,links!$D$2:$D$501,0))="","",INDEX(links!$C$2:$C$501,MATCH($C827,links!$D$2:$D$501,0))),""))</f>
        <v/>
      </c>
      <c r="J827" s="25">
        <f>IF($C827="","",IF($G827="","slug not in links; ","")&amp;IF($D827="","reading type missing; ","")&amp;IF(COUNTIFS(scans!$C$2:$C$1601,$C827,scans!$D$2:$D$1601,$D827)&gt;1,"two readings of this type: keep one; ",""))</f>
        <v/>
      </c>
    </row>
    <row r="828">
      <c r="A828" s="9" t="n"/>
      <c r="B828" s="33" t="n"/>
      <c r="G828" s="25">
        <f>IF($C828="","",IFERROR(IF(INDEX(links!$A$2:$A$501,MATCH($C828,links!$D$2:$D$501,0))="","",INDEX(links!$A$2:$A$501,MATCH($C828,links!$D$2:$D$501,0))),""))</f>
        <v/>
      </c>
      <c r="H828" s="25">
        <f>IF($C828="","",IFERROR(IF(INDEX(links!$B$2:$B$501,MATCH($C828,links!$D$2:$D$501,0))="","",INDEX(links!$B$2:$B$501,MATCH($C828,links!$D$2:$D$501,0))),""))</f>
        <v/>
      </c>
      <c r="I828" s="25">
        <f>IF($C828="","",IFERROR(IF(INDEX(links!$C$2:$C$501,MATCH($C828,links!$D$2:$D$501,0))="","",INDEX(links!$C$2:$C$501,MATCH($C828,links!$D$2:$D$501,0))),""))</f>
        <v/>
      </c>
      <c r="J828" s="25">
        <f>IF($C828="","",IF($G828="","slug not in links; ","")&amp;IF($D828="","reading type missing; ","")&amp;IF(COUNTIFS(scans!$C$2:$C$1601,$C828,scans!$D$2:$D$1601,$D828)&gt;1,"two readings of this type: keep one; ",""))</f>
        <v/>
      </c>
    </row>
    <row r="829">
      <c r="A829" s="9" t="n"/>
      <c r="B829" s="33" t="n"/>
      <c r="G829" s="25">
        <f>IF($C829="","",IFERROR(IF(INDEX(links!$A$2:$A$501,MATCH($C829,links!$D$2:$D$501,0))="","",INDEX(links!$A$2:$A$501,MATCH($C829,links!$D$2:$D$501,0))),""))</f>
        <v/>
      </c>
      <c r="H829" s="25">
        <f>IF($C829="","",IFERROR(IF(INDEX(links!$B$2:$B$501,MATCH($C829,links!$D$2:$D$501,0))="","",INDEX(links!$B$2:$B$501,MATCH($C829,links!$D$2:$D$501,0))),""))</f>
        <v/>
      </c>
      <c r="I829" s="25">
        <f>IF($C829="","",IFERROR(IF(INDEX(links!$C$2:$C$501,MATCH($C829,links!$D$2:$D$501,0))="","",INDEX(links!$C$2:$C$501,MATCH($C829,links!$D$2:$D$501,0))),""))</f>
        <v/>
      </c>
      <c r="J829" s="25">
        <f>IF($C829="","",IF($G829="","slug not in links; ","")&amp;IF($D829="","reading type missing; ","")&amp;IF(COUNTIFS(scans!$C$2:$C$1601,$C829,scans!$D$2:$D$1601,$D829)&gt;1,"two readings of this type: keep one; ",""))</f>
        <v/>
      </c>
    </row>
    <row r="830">
      <c r="A830" s="9" t="n"/>
      <c r="B830" s="33" t="n"/>
      <c r="G830" s="25">
        <f>IF($C830="","",IFERROR(IF(INDEX(links!$A$2:$A$501,MATCH($C830,links!$D$2:$D$501,0))="","",INDEX(links!$A$2:$A$501,MATCH($C830,links!$D$2:$D$501,0))),""))</f>
        <v/>
      </c>
      <c r="H830" s="25">
        <f>IF($C830="","",IFERROR(IF(INDEX(links!$B$2:$B$501,MATCH($C830,links!$D$2:$D$501,0))="","",INDEX(links!$B$2:$B$501,MATCH($C830,links!$D$2:$D$501,0))),""))</f>
        <v/>
      </c>
      <c r="I830" s="25">
        <f>IF($C830="","",IFERROR(IF(INDEX(links!$C$2:$C$501,MATCH($C830,links!$D$2:$D$501,0))="","",INDEX(links!$C$2:$C$501,MATCH($C830,links!$D$2:$D$501,0))),""))</f>
        <v/>
      </c>
      <c r="J830" s="25">
        <f>IF($C830="","",IF($G830="","slug not in links; ","")&amp;IF($D830="","reading type missing; ","")&amp;IF(COUNTIFS(scans!$C$2:$C$1601,$C830,scans!$D$2:$D$1601,$D830)&gt;1,"two readings of this type: keep one; ",""))</f>
        <v/>
      </c>
    </row>
    <row r="831">
      <c r="A831" s="9" t="n"/>
      <c r="B831" s="33" t="n"/>
      <c r="G831" s="25">
        <f>IF($C831="","",IFERROR(IF(INDEX(links!$A$2:$A$501,MATCH($C831,links!$D$2:$D$501,0))="","",INDEX(links!$A$2:$A$501,MATCH($C831,links!$D$2:$D$501,0))),""))</f>
        <v/>
      </c>
      <c r="H831" s="25">
        <f>IF($C831="","",IFERROR(IF(INDEX(links!$B$2:$B$501,MATCH($C831,links!$D$2:$D$501,0))="","",INDEX(links!$B$2:$B$501,MATCH($C831,links!$D$2:$D$501,0))),""))</f>
        <v/>
      </c>
      <c r="I831" s="25">
        <f>IF($C831="","",IFERROR(IF(INDEX(links!$C$2:$C$501,MATCH($C831,links!$D$2:$D$501,0))="","",INDEX(links!$C$2:$C$501,MATCH($C831,links!$D$2:$D$501,0))),""))</f>
        <v/>
      </c>
      <c r="J831" s="25">
        <f>IF($C831="","",IF($G831="","slug not in links; ","")&amp;IF($D831="","reading type missing; ","")&amp;IF(COUNTIFS(scans!$C$2:$C$1601,$C831,scans!$D$2:$D$1601,$D831)&gt;1,"two readings of this type: keep one; ",""))</f>
        <v/>
      </c>
    </row>
    <row r="832">
      <c r="A832" s="9" t="n"/>
      <c r="B832" s="33" t="n"/>
      <c r="G832" s="25">
        <f>IF($C832="","",IFERROR(IF(INDEX(links!$A$2:$A$501,MATCH($C832,links!$D$2:$D$501,0))="","",INDEX(links!$A$2:$A$501,MATCH($C832,links!$D$2:$D$501,0))),""))</f>
        <v/>
      </c>
      <c r="H832" s="25">
        <f>IF($C832="","",IFERROR(IF(INDEX(links!$B$2:$B$501,MATCH($C832,links!$D$2:$D$501,0))="","",INDEX(links!$B$2:$B$501,MATCH($C832,links!$D$2:$D$501,0))),""))</f>
        <v/>
      </c>
      <c r="I832" s="25">
        <f>IF($C832="","",IFERROR(IF(INDEX(links!$C$2:$C$501,MATCH($C832,links!$D$2:$D$501,0))="","",INDEX(links!$C$2:$C$501,MATCH($C832,links!$D$2:$D$501,0))),""))</f>
        <v/>
      </c>
      <c r="J832" s="25">
        <f>IF($C832="","",IF($G832="","slug not in links; ","")&amp;IF($D832="","reading type missing; ","")&amp;IF(COUNTIFS(scans!$C$2:$C$1601,$C832,scans!$D$2:$D$1601,$D832)&gt;1,"two readings of this type: keep one; ",""))</f>
        <v/>
      </c>
    </row>
    <row r="833">
      <c r="A833" s="9" t="n"/>
      <c r="B833" s="33" t="n"/>
      <c r="G833" s="25">
        <f>IF($C833="","",IFERROR(IF(INDEX(links!$A$2:$A$501,MATCH($C833,links!$D$2:$D$501,0))="","",INDEX(links!$A$2:$A$501,MATCH($C833,links!$D$2:$D$501,0))),""))</f>
        <v/>
      </c>
      <c r="H833" s="25">
        <f>IF($C833="","",IFERROR(IF(INDEX(links!$B$2:$B$501,MATCH($C833,links!$D$2:$D$501,0))="","",INDEX(links!$B$2:$B$501,MATCH($C833,links!$D$2:$D$501,0))),""))</f>
        <v/>
      </c>
      <c r="I833" s="25">
        <f>IF($C833="","",IFERROR(IF(INDEX(links!$C$2:$C$501,MATCH($C833,links!$D$2:$D$501,0))="","",INDEX(links!$C$2:$C$501,MATCH($C833,links!$D$2:$D$501,0))),""))</f>
        <v/>
      </c>
      <c r="J833" s="25">
        <f>IF($C833="","",IF($G833="","slug not in links; ","")&amp;IF($D833="","reading type missing; ","")&amp;IF(COUNTIFS(scans!$C$2:$C$1601,$C833,scans!$D$2:$D$1601,$D833)&gt;1,"two readings of this type: keep one; ",""))</f>
        <v/>
      </c>
    </row>
    <row r="834">
      <c r="A834" s="9" t="n"/>
      <c r="B834" s="33" t="n"/>
      <c r="G834" s="25">
        <f>IF($C834="","",IFERROR(IF(INDEX(links!$A$2:$A$501,MATCH($C834,links!$D$2:$D$501,0))="","",INDEX(links!$A$2:$A$501,MATCH($C834,links!$D$2:$D$501,0))),""))</f>
        <v/>
      </c>
      <c r="H834" s="25">
        <f>IF($C834="","",IFERROR(IF(INDEX(links!$B$2:$B$501,MATCH($C834,links!$D$2:$D$501,0))="","",INDEX(links!$B$2:$B$501,MATCH($C834,links!$D$2:$D$501,0))),""))</f>
        <v/>
      </c>
      <c r="I834" s="25">
        <f>IF($C834="","",IFERROR(IF(INDEX(links!$C$2:$C$501,MATCH($C834,links!$D$2:$D$501,0))="","",INDEX(links!$C$2:$C$501,MATCH($C834,links!$D$2:$D$501,0))),""))</f>
        <v/>
      </c>
      <c r="J834" s="25">
        <f>IF($C834="","",IF($G834="","slug not in links; ","")&amp;IF($D834="","reading type missing; ","")&amp;IF(COUNTIFS(scans!$C$2:$C$1601,$C834,scans!$D$2:$D$1601,$D834)&gt;1,"two readings of this type: keep one; ",""))</f>
        <v/>
      </c>
    </row>
    <row r="835">
      <c r="A835" s="9" t="n"/>
      <c r="B835" s="33" t="n"/>
      <c r="G835" s="25">
        <f>IF($C835="","",IFERROR(IF(INDEX(links!$A$2:$A$501,MATCH($C835,links!$D$2:$D$501,0))="","",INDEX(links!$A$2:$A$501,MATCH($C835,links!$D$2:$D$501,0))),""))</f>
        <v/>
      </c>
      <c r="H835" s="25">
        <f>IF($C835="","",IFERROR(IF(INDEX(links!$B$2:$B$501,MATCH($C835,links!$D$2:$D$501,0))="","",INDEX(links!$B$2:$B$501,MATCH($C835,links!$D$2:$D$501,0))),""))</f>
        <v/>
      </c>
      <c r="I835" s="25">
        <f>IF($C835="","",IFERROR(IF(INDEX(links!$C$2:$C$501,MATCH($C835,links!$D$2:$D$501,0))="","",INDEX(links!$C$2:$C$501,MATCH($C835,links!$D$2:$D$501,0))),""))</f>
        <v/>
      </c>
      <c r="J835" s="25">
        <f>IF($C835="","",IF($G835="","slug not in links; ","")&amp;IF($D835="","reading type missing; ","")&amp;IF(COUNTIFS(scans!$C$2:$C$1601,$C835,scans!$D$2:$D$1601,$D835)&gt;1,"two readings of this type: keep one; ",""))</f>
        <v/>
      </c>
    </row>
    <row r="836">
      <c r="A836" s="9" t="n"/>
      <c r="B836" s="33" t="n"/>
      <c r="G836" s="25">
        <f>IF($C836="","",IFERROR(IF(INDEX(links!$A$2:$A$501,MATCH($C836,links!$D$2:$D$501,0))="","",INDEX(links!$A$2:$A$501,MATCH($C836,links!$D$2:$D$501,0))),""))</f>
        <v/>
      </c>
      <c r="H836" s="25">
        <f>IF($C836="","",IFERROR(IF(INDEX(links!$B$2:$B$501,MATCH($C836,links!$D$2:$D$501,0))="","",INDEX(links!$B$2:$B$501,MATCH($C836,links!$D$2:$D$501,0))),""))</f>
        <v/>
      </c>
      <c r="I836" s="25">
        <f>IF($C836="","",IFERROR(IF(INDEX(links!$C$2:$C$501,MATCH($C836,links!$D$2:$D$501,0))="","",INDEX(links!$C$2:$C$501,MATCH($C836,links!$D$2:$D$501,0))),""))</f>
        <v/>
      </c>
      <c r="J836" s="25">
        <f>IF($C836="","",IF($G836="","slug not in links; ","")&amp;IF($D836="","reading type missing; ","")&amp;IF(COUNTIFS(scans!$C$2:$C$1601,$C836,scans!$D$2:$D$1601,$D836)&gt;1,"two readings of this type: keep one; ",""))</f>
        <v/>
      </c>
    </row>
    <row r="837">
      <c r="A837" s="9" t="n"/>
      <c r="B837" s="33" t="n"/>
      <c r="G837" s="25">
        <f>IF($C837="","",IFERROR(IF(INDEX(links!$A$2:$A$501,MATCH($C837,links!$D$2:$D$501,0))="","",INDEX(links!$A$2:$A$501,MATCH($C837,links!$D$2:$D$501,0))),""))</f>
        <v/>
      </c>
      <c r="H837" s="25">
        <f>IF($C837="","",IFERROR(IF(INDEX(links!$B$2:$B$501,MATCH($C837,links!$D$2:$D$501,0))="","",INDEX(links!$B$2:$B$501,MATCH($C837,links!$D$2:$D$501,0))),""))</f>
        <v/>
      </c>
      <c r="I837" s="25">
        <f>IF($C837="","",IFERROR(IF(INDEX(links!$C$2:$C$501,MATCH($C837,links!$D$2:$D$501,0))="","",INDEX(links!$C$2:$C$501,MATCH($C837,links!$D$2:$D$501,0))),""))</f>
        <v/>
      </c>
      <c r="J837" s="25">
        <f>IF($C837="","",IF($G837="","slug not in links; ","")&amp;IF($D837="","reading type missing; ","")&amp;IF(COUNTIFS(scans!$C$2:$C$1601,$C837,scans!$D$2:$D$1601,$D837)&gt;1,"two readings of this type: keep one; ",""))</f>
        <v/>
      </c>
    </row>
    <row r="838">
      <c r="A838" s="9" t="n"/>
      <c r="B838" s="33" t="n"/>
      <c r="G838" s="25">
        <f>IF($C838="","",IFERROR(IF(INDEX(links!$A$2:$A$501,MATCH($C838,links!$D$2:$D$501,0))="","",INDEX(links!$A$2:$A$501,MATCH($C838,links!$D$2:$D$501,0))),""))</f>
        <v/>
      </c>
      <c r="H838" s="25">
        <f>IF($C838="","",IFERROR(IF(INDEX(links!$B$2:$B$501,MATCH($C838,links!$D$2:$D$501,0))="","",INDEX(links!$B$2:$B$501,MATCH($C838,links!$D$2:$D$501,0))),""))</f>
        <v/>
      </c>
      <c r="I838" s="25">
        <f>IF($C838="","",IFERROR(IF(INDEX(links!$C$2:$C$501,MATCH($C838,links!$D$2:$D$501,0))="","",INDEX(links!$C$2:$C$501,MATCH($C838,links!$D$2:$D$501,0))),""))</f>
        <v/>
      </c>
      <c r="J838" s="25">
        <f>IF($C838="","",IF($G838="","slug not in links; ","")&amp;IF($D838="","reading type missing; ","")&amp;IF(COUNTIFS(scans!$C$2:$C$1601,$C838,scans!$D$2:$D$1601,$D838)&gt;1,"two readings of this type: keep one; ",""))</f>
        <v/>
      </c>
    </row>
    <row r="839">
      <c r="A839" s="9" t="n"/>
      <c r="B839" s="33" t="n"/>
      <c r="G839" s="25">
        <f>IF($C839="","",IFERROR(IF(INDEX(links!$A$2:$A$501,MATCH($C839,links!$D$2:$D$501,0))="","",INDEX(links!$A$2:$A$501,MATCH($C839,links!$D$2:$D$501,0))),""))</f>
        <v/>
      </c>
      <c r="H839" s="25">
        <f>IF($C839="","",IFERROR(IF(INDEX(links!$B$2:$B$501,MATCH($C839,links!$D$2:$D$501,0))="","",INDEX(links!$B$2:$B$501,MATCH($C839,links!$D$2:$D$501,0))),""))</f>
        <v/>
      </c>
      <c r="I839" s="25">
        <f>IF($C839="","",IFERROR(IF(INDEX(links!$C$2:$C$501,MATCH($C839,links!$D$2:$D$501,0))="","",INDEX(links!$C$2:$C$501,MATCH($C839,links!$D$2:$D$501,0))),""))</f>
        <v/>
      </c>
      <c r="J839" s="25">
        <f>IF($C839="","",IF($G839="","slug not in links; ","")&amp;IF($D839="","reading type missing; ","")&amp;IF(COUNTIFS(scans!$C$2:$C$1601,$C839,scans!$D$2:$D$1601,$D839)&gt;1,"two readings of this type: keep one; ",""))</f>
        <v/>
      </c>
    </row>
    <row r="840">
      <c r="A840" s="9" t="n"/>
      <c r="B840" s="33" t="n"/>
      <c r="G840" s="25">
        <f>IF($C840="","",IFERROR(IF(INDEX(links!$A$2:$A$501,MATCH($C840,links!$D$2:$D$501,0))="","",INDEX(links!$A$2:$A$501,MATCH($C840,links!$D$2:$D$501,0))),""))</f>
        <v/>
      </c>
      <c r="H840" s="25">
        <f>IF($C840="","",IFERROR(IF(INDEX(links!$B$2:$B$501,MATCH($C840,links!$D$2:$D$501,0))="","",INDEX(links!$B$2:$B$501,MATCH($C840,links!$D$2:$D$501,0))),""))</f>
        <v/>
      </c>
      <c r="I840" s="25">
        <f>IF($C840="","",IFERROR(IF(INDEX(links!$C$2:$C$501,MATCH($C840,links!$D$2:$D$501,0))="","",INDEX(links!$C$2:$C$501,MATCH($C840,links!$D$2:$D$501,0))),""))</f>
        <v/>
      </c>
      <c r="J840" s="25">
        <f>IF($C840="","",IF($G840="","slug not in links; ","")&amp;IF($D840="","reading type missing; ","")&amp;IF(COUNTIFS(scans!$C$2:$C$1601,$C840,scans!$D$2:$D$1601,$D840)&gt;1,"two readings of this type: keep one; ",""))</f>
        <v/>
      </c>
    </row>
    <row r="841">
      <c r="A841" s="9" t="n"/>
      <c r="B841" s="33" t="n"/>
      <c r="G841" s="25">
        <f>IF($C841="","",IFERROR(IF(INDEX(links!$A$2:$A$501,MATCH($C841,links!$D$2:$D$501,0))="","",INDEX(links!$A$2:$A$501,MATCH($C841,links!$D$2:$D$501,0))),""))</f>
        <v/>
      </c>
      <c r="H841" s="25">
        <f>IF($C841="","",IFERROR(IF(INDEX(links!$B$2:$B$501,MATCH($C841,links!$D$2:$D$501,0))="","",INDEX(links!$B$2:$B$501,MATCH($C841,links!$D$2:$D$501,0))),""))</f>
        <v/>
      </c>
      <c r="I841" s="25">
        <f>IF($C841="","",IFERROR(IF(INDEX(links!$C$2:$C$501,MATCH($C841,links!$D$2:$D$501,0))="","",INDEX(links!$C$2:$C$501,MATCH($C841,links!$D$2:$D$501,0))),""))</f>
        <v/>
      </c>
      <c r="J841" s="25">
        <f>IF($C841="","",IF($G841="","slug not in links; ","")&amp;IF($D841="","reading type missing; ","")&amp;IF(COUNTIFS(scans!$C$2:$C$1601,$C841,scans!$D$2:$D$1601,$D841)&gt;1,"two readings of this type: keep one; ",""))</f>
        <v/>
      </c>
    </row>
    <row r="842">
      <c r="A842" s="9" t="n"/>
      <c r="B842" s="33" t="n"/>
      <c r="G842" s="25">
        <f>IF($C842="","",IFERROR(IF(INDEX(links!$A$2:$A$501,MATCH($C842,links!$D$2:$D$501,0))="","",INDEX(links!$A$2:$A$501,MATCH($C842,links!$D$2:$D$501,0))),""))</f>
        <v/>
      </c>
      <c r="H842" s="25">
        <f>IF($C842="","",IFERROR(IF(INDEX(links!$B$2:$B$501,MATCH($C842,links!$D$2:$D$501,0))="","",INDEX(links!$B$2:$B$501,MATCH($C842,links!$D$2:$D$501,0))),""))</f>
        <v/>
      </c>
      <c r="I842" s="25">
        <f>IF($C842="","",IFERROR(IF(INDEX(links!$C$2:$C$501,MATCH($C842,links!$D$2:$D$501,0))="","",INDEX(links!$C$2:$C$501,MATCH($C842,links!$D$2:$D$501,0))),""))</f>
        <v/>
      </c>
      <c r="J842" s="25">
        <f>IF($C842="","",IF($G842="","slug not in links; ","")&amp;IF($D842="","reading type missing; ","")&amp;IF(COUNTIFS(scans!$C$2:$C$1601,$C842,scans!$D$2:$D$1601,$D842)&gt;1,"two readings of this type: keep one; ",""))</f>
        <v/>
      </c>
    </row>
    <row r="843">
      <c r="A843" s="9" t="n"/>
      <c r="B843" s="33" t="n"/>
      <c r="G843" s="25">
        <f>IF($C843="","",IFERROR(IF(INDEX(links!$A$2:$A$501,MATCH($C843,links!$D$2:$D$501,0))="","",INDEX(links!$A$2:$A$501,MATCH($C843,links!$D$2:$D$501,0))),""))</f>
        <v/>
      </c>
      <c r="H843" s="25">
        <f>IF($C843="","",IFERROR(IF(INDEX(links!$B$2:$B$501,MATCH($C843,links!$D$2:$D$501,0))="","",INDEX(links!$B$2:$B$501,MATCH($C843,links!$D$2:$D$501,0))),""))</f>
        <v/>
      </c>
      <c r="I843" s="25">
        <f>IF($C843="","",IFERROR(IF(INDEX(links!$C$2:$C$501,MATCH($C843,links!$D$2:$D$501,0))="","",INDEX(links!$C$2:$C$501,MATCH($C843,links!$D$2:$D$501,0))),""))</f>
        <v/>
      </c>
      <c r="J843" s="25">
        <f>IF($C843="","",IF($G843="","slug not in links; ","")&amp;IF($D843="","reading type missing; ","")&amp;IF(COUNTIFS(scans!$C$2:$C$1601,$C843,scans!$D$2:$D$1601,$D843)&gt;1,"two readings of this type: keep one; ",""))</f>
        <v/>
      </c>
    </row>
    <row r="844">
      <c r="A844" s="9" t="n"/>
      <c r="B844" s="33" t="n"/>
      <c r="G844" s="25">
        <f>IF($C844="","",IFERROR(IF(INDEX(links!$A$2:$A$501,MATCH($C844,links!$D$2:$D$501,0))="","",INDEX(links!$A$2:$A$501,MATCH($C844,links!$D$2:$D$501,0))),""))</f>
        <v/>
      </c>
      <c r="H844" s="25">
        <f>IF($C844="","",IFERROR(IF(INDEX(links!$B$2:$B$501,MATCH($C844,links!$D$2:$D$501,0))="","",INDEX(links!$B$2:$B$501,MATCH($C844,links!$D$2:$D$501,0))),""))</f>
        <v/>
      </c>
      <c r="I844" s="25">
        <f>IF($C844="","",IFERROR(IF(INDEX(links!$C$2:$C$501,MATCH($C844,links!$D$2:$D$501,0))="","",INDEX(links!$C$2:$C$501,MATCH($C844,links!$D$2:$D$501,0))),""))</f>
        <v/>
      </c>
      <c r="J844" s="25">
        <f>IF($C844="","",IF($G844="","slug not in links; ","")&amp;IF($D844="","reading type missing; ","")&amp;IF(COUNTIFS(scans!$C$2:$C$1601,$C844,scans!$D$2:$D$1601,$D844)&gt;1,"two readings of this type: keep one; ",""))</f>
        <v/>
      </c>
    </row>
    <row r="845">
      <c r="A845" s="9" t="n"/>
      <c r="B845" s="33" t="n"/>
      <c r="G845" s="25">
        <f>IF($C845="","",IFERROR(IF(INDEX(links!$A$2:$A$501,MATCH($C845,links!$D$2:$D$501,0))="","",INDEX(links!$A$2:$A$501,MATCH($C845,links!$D$2:$D$501,0))),""))</f>
        <v/>
      </c>
      <c r="H845" s="25">
        <f>IF($C845="","",IFERROR(IF(INDEX(links!$B$2:$B$501,MATCH($C845,links!$D$2:$D$501,0))="","",INDEX(links!$B$2:$B$501,MATCH($C845,links!$D$2:$D$501,0))),""))</f>
        <v/>
      </c>
      <c r="I845" s="25">
        <f>IF($C845="","",IFERROR(IF(INDEX(links!$C$2:$C$501,MATCH($C845,links!$D$2:$D$501,0))="","",INDEX(links!$C$2:$C$501,MATCH($C845,links!$D$2:$D$501,0))),""))</f>
        <v/>
      </c>
      <c r="J845" s="25">
        <f>IF($C845="","",IF($G845="","slug not in links; ","")&amp;IF($D845="","reading type missing; ","")&amp;IF(COUNTIFS(scans!$C$2:$C$1601,$C845,scans!$D$2:$D$1601,$D845)&gt;1,"two readings of this type: keep one; ",""))</f>
        <v/>
      </c>
    </row>
    <row r="846">
      <c r="A846" s="9" t="n"/>
      <c r="B846" s="33" t="n"/>
      <c r="G846" s="25">
        <f>IF($C846="","",IFERROR(IF(INDEX(links!$A$2:$A$501,MATCH($C846,links!$D$2:$D$501,0))="","",INDEX(links!$A$2:$A$501,MATCH($C846,links!$D$2:$D$501,0))),""))</f>
        <v/>
      </c>
      <c r="H846" s="25">
        <f>IF($C846="","",IFERROR(IF(INDEX(links!$B$2:$B$501,MATCH($C846,links!$D$2:$D$501,0))="","",INDEX(links!$B$2:$B$501,MATCH($C846,links!$D$2:$D$501,0))),""))</f>
        <v/>
      </c>
      <c r="I846" s="25">
        <f>IF($C846="","",IFERROR(IF(INDEX(links!$C$2:$C$501,MATCH($C846,links!$D$2:$D$501,0))="","",INDEX(links!$C$2:$C$501,MATCH($C846,links!$D$2:$D$501,0))),""))</f>
        <v/>
      </c>
      <c r="J846" s="25">
        <f>IF($C846="","",IF($G846="","slug not in links; ","")&amp;IF($D846="","reading type missing; ","")&amp;IF(COUNTIFS(scans!$C$2:$C$1601,$C846,scans!$D$2:$D$1601,$D846)&gt;1,"two readings of this type: keep one; ",""))</f>
        <v/>
      </c>
    </row>
    <row r="847">
      <c r="A847" s="9" t="n"/>
      <c r="B847" s="33" t="n"/>
      <c r="G847" s="25">
        <f>IF($C847="","",IFERROR(IF(INDEX(links!$A$2:$A$501,MATCH($C847,links!$D$2:$D$501,0))="","",INDEX(links!$A$2:$A$501,MATCH($C847,links!$D$2:$D$501,0))),""))</f>
        <v/>
      </c>
      <c r="H847" s="25">
        <f>IF($C847="","",IFERROR(IF(INDEX(links!$B$2:$B$501,MATCH($C847,links!$D$2:$D$501,0))="","",INDEX(links!$B$2:$B$501,MATCH($C847,links!$D$2:$D$501,0))),""))</f>
        <v/>
      </c>
      <c r="I847" s="25">
        <f>IF($C847="","",IFERROR(IF(INDEX(links!$C$2:$C$501,MATCH($C847,links!$D$2:$D$501,0))="","",INDEX(links!$C$2:$C$501,MATCH($C847,links!$D$2:$D$501,0))),""))</f>
        <v/>
      </c>
      <c r="J847" s="25">
        <f>IF($C847="","",IF($G847="","slug not in links; ","")&amp;IF($D847="","reading type missing; ","")&amp;IF(COUNTIFS(scans!$C$2:$C$1601,$C847,scans!$D$2:$D$1601,$D847)&gt;1,"two readings of this type: keep one; ",""))</f>
        <v/>
      </c>
    </row>
    <row r="848">
      <c r="A848" s="9" t="n"/>
      <c r="B848" s="33" t="n"/>
      <c r="G848" s="25">
        <f>IF($C848="","",IFERROR(IF(INDEX(links!$A$2:$A$501,MATCH($C848,links!$D$2:$D$501,0))="","",INDEX(links!$A$2:$A$501,MATCH($C848,links!$D$2:$D$501,0))),""))</f>
        <v/>
      </c>
      <c r="H848" s="25">
        <f>IF($C848="","",IFERROR(IF(INDEX(links!$B$2:$B$501,MATCH($C848,links!$D$2:$D$501,0))="","",INDEX(links!$B$2:$B$501,MATCH($C848,links!$D$2:$D$501,0))),""))</f>
        <v/>
      </c>
      <c r="I848" s="25">
        <f>IF($C848="","",IFERROR(IF(INDEX(links!$C$2:$C$501,MATCH($C848,links!$D$2:$D$501,0))="","",INDEX(links!$C$2:$C$501,MATCH($C848,links!$D$2:$D$501,0))),""))</f>
        <v/>
      </c>
      <c r="J848" s="25">
        <f>IF($C848="","",IF($G848="","slug not in links; ","")&amp;IF($D848="","reading type missing; ","")&amp;IF(COUNTIFS(scans!$C$2:$C$1601,$C848,scans!$D$2:$D$1601,$D848)&gt;1,"two readings of this type: keep one; ",""))</f>
        <v/>
      </c>
    </row>
    <row r="849">
      <c r="A849" s="9" t="n"/>
      <c r="B849" s="33" t="n"/>
      <c r="G849" s="25">
        <f>IF($C849="","",IFERROR(IF(INDEX(links!$A$2:$A$501,MATCH($C849,links!$D$2:$D$501,0))="","",INDEX(links!$A$2:$A$501,MATCH($C849,links!$D$2:$D$501,0))),""))</f>
        <v/>
      </c>
      <c r="H849" s="25">
        <f>IF($C849="","",IFERROR(IF(INDEX(links!$B$2:$B$501,MATCH($C849,links!$D$2:$D$501,0))="","",INDEX(links!$B$2:$B$501,MATCH($C849,links!$D$2:$D$501,0))),""))</f>
        <v/>
      </c>
      <c r="I849" s="25">
        <f>IF($C849="","",IFERROR(IF(INDEX(links!$C$2:$C$501,MATCH($C849,links!$D$2:$D$501,0))="","",INDEX(links!$C$2:$C$501,MATCH($C849,links!$D$2:$D$501,0))),""))</f>
        <v/>
      </c>
      <c r="J849" s="25">
        <f>IF($C849="","",IF($G849="","slug not in links; ","")&amp;IF($D849="","reading type missing; ","")&amp;IF(COUNTIFS(scans!$C$2:$C$1601,$C849,scans!$D$2:$D$1601,$D849)&gt;1,"two readings of this type: keep one; ",""))</f>
        <v/>
      </c>
    </row>
    <row r="850">
      <c r="A850" s="9" t="n"/>
      <c r="B850" s="33" t="n"/>
      <c r="G850" s="25">
        <f>IF($C850="","",IFERROR(IF(INDEX(links!$A$2:$A$501,MATCH($C850,links!$D$2:$D$501,0))="","",INDEX(links!$A$2:$A$501,MATCH($C850,links!$D$2:$D$501,0))),""))</f>
        <v/>
      </c>
      <c r="H850" s="25">
        <f>IF($C850="","",IFERROR(IF(INDEX(links!$B$2:$B$501,MATCH($C850,links!$D$2:$D$501,0))="","",INDEX(links!$B$2:$B$501,MATCH($C850,links!$D$2:$D$501,0))),""))</f>
        <v/>
      </c>
      <c r="I850" s="25">
        <f>IF($C850="","",IFERROR(IF(INDEX(links!$C$2:$C$501,MATCH($C850,links!$D$2:$D$501,0))="","",INDEX(links!$C$2:$C$501,MATCH($C850,links!$D$2:$D$501,0))),""))</f>
        <v/>
      </c>
      <c r="J850" s="25">
        <f>IF($C850="","",IF($G850="","slug not in links; ","")&amp;IF($D850="","reading type missing; ","")&amp;IF(COUNTIFS(scans!$C$2:$C$1601,$C850,scans!$D$2:$D$1601,$D850)&gt;1,"two readings of this type: keep one; ",""))</f>
        <v/>
      </c>
    </row>
    <row r="851">
      <c r="A851" s="9" t="n"/>
      <c r="B851" s="33" t="n"/>
      <c r="G851" s="25">
        <f>IF($C851="","",IFERROR(IF(INDEX(links!$A$2:$A$501,MATCH($C851,links!$D$2:$D$501,0))="","",INDEX(links!$A$2:$A$501,MATCH($C851,links!$D$2:$D$501,0))),""))</f>
        <v/>
      </c>
      <c r="H851" s="25">
        <f>IF($C851="","",IFERROR(IF(INDEX(links!$B$2:$B$501,MATCH($C851,links!$D$2:$D$501,0))="","",INDEX(links!$B$2:$B$501,MATCH($C851,links!$D$2:$D$501,0))),""))</f>
        <v/>
      </c>
      <c r="I851" s="25">
        <f>IF($C851="","",IFERROR(IF(INDEX(links!$C$2:$C$501,MATCH($C851,links!$D$2:$D$501,0))="","",INDEX(links!$C$2:$C$501,MATCH($C851,links!$D$2:$D$501,0))),""))</f>
        <v/>
      </c>
      <c r="J851" s="25">
        <f>IF($C851="","",IF($G851="","slug not in links; ","")&amp;IF($D851="","reading type missing; ","")&amp;IF(COUNTIFS(scans!$C$2:$C$1601,$C851,scans!$D$2:$D$1601,$D851)&gt;1,"two readings of this type: keep one; ",""))</f>
        <v/>
      </c>
    </row>
    <row r="852">
      <c r="A852" s="9" t="n"/>
      <c r="B852" s="33" t="n"/>
      <c r="G852" s="25">
        <f>IF($C852="","",IFERROR(IF(INDEX(links!$A$2:$A$501,MATCH($C852,links!$D$2:$D$501,0))="","",INDEX(links!$A$2:$A$501,MATCH($C852,links!$D$2:$D$501,0))),""))</f>
        <v/>
      </c>
      <c r="H852" s="25">
        <f>IF($C852="","",IFERROR(IF(INDEX(links!$B$2:$B$501,MATCH($C852,links!$D$2:$D$501,0))="","",INDEX(links!$B$2:$B$501,MATCH($C852,links!$D$2:$D$501,0))),""))</f>
        <v/>
      </c>
      <c r="I852" s="25">
        <f>IF($C852="","",IFERROR(IF(INDEX(links!$C$2:$C$501,MATCH($C852,links!$D$2:$D$501,0))="","",INDEX(links!$C$2:$C$501,MATCH($C852,links!$D$2:$D$501,0))),""))</f>
        <v/>
      </c>
      <c r="J852" s="25">
        <f>IF($C852="","",IF($G852="","slug not in links; ","")&amp;IF($D852="","reading type missing; ","")&amp;IF(COUNTIFS(scans!$C$2:$C$1601,$C852,scans!$D$2:$D$1601,$D852)&gt;1,"two readings of this type: keep one; ",""))</f>
        <v/>
      </c>
    </row>
    <row r="853">
      <c r="A853" s="9" t="n"/>
      <c r="B853" s="33" t="n"/>
      <c r="G853" s="25">
        <f>IF($C853="","",IFERROR(IF(INDEX(links!$A$2:$A$501,MATCH($C853,links!$D$2:$D$501,0))="","",INDEX(links!$A$2:$A$501,MATCH($C853,links!$D$2:$D$501,0))),""))</f>
        <v/>
      </c>
      <c r="H853" s="25">
        <f>IF($C853="","",IFERROR(IF(INDEX(links!$B$2:$B$501,MATCH($C853,links!$D$2:$D$501,0))="","",INDEX(links!$B$2:$B$501,MATCH($C853,links!$D$2:$D$501,0))),""))</f>
        <v/>
      </c>
      <c r="I853" s="25">
        <f>IF($C853="","",IFERROR(IF(INDEX(links!$C$2:$C$501,MATCH($C853,links!$D$2:$D$501,0))="","",INDEX(links!$C$2:$C$501,MATCH($C853,links!$D$2:$D$501,0))),""))</f>
        <v/>
      </c>
      <c r="J853" s="25">
        <f>IF($C853="","",IF($G853="","slug not in links; ","")&amp;IF($D853="","reading type missing; ","")&amp;IF(COUNTIFS(scans!$C$2:$C$1601,$C853,scans!$D$2:$D$1601,$D853)&gt;1,"two readings of this type: keep one; ",""))</f>
        <v/>
      </c>
    </row>
    <row r="854">
      <c r="A854" s="9" t="n"/>
      <c r="B854" s="33" t="n"/>
      <c r="G854" s="25">
        <f>IF($C854="","",IFERROR(IF(INDEX(links!$A$2:$A$501,MATCH($C854,links!$D$2:$D$501,0))="","",INDEX(links!$A$2:$A$501,MATCH($C854,links!$D$2:$D$501,0))),""))</f>
        <v/>
      </c>
      <c r="H854" s="25">
        <f>IF($C854="","",IFERROR(IF(INDEX(links!$B$2:$B$501,MATCH($C854,links!$D$2:$D$501,0))="","",INDEX(links!$B$2:$B$501,MATCH($C854,links!$D$2:$D$501,0))),""))</f>
        <v/>
      </c>
      <c r="I854" s="25">
        <f>IF($C854="","",IFERROR(IF(INDEX(links!$C$2:$C$501,MATCH($C854,links!$D$2:$D$501,0))="","",INDEX(links!$C$2:$C$501,MATCH($C854,links!$D$2:$D$501,0))),""))</f>
        <v/>
      </c>
      <c r="J854" s="25">
        <f>IF($C854="","",IF($G854="","slug not in links; ","")&amp;IF($D854="","reading type missing; ","")&amp;IF(COUNTIFS(scans!$C$2:$C$1601,$C854,scans!$D$2:$D$1601,$D854)&gt;1,"two readings of this type: keep one; ",""))</f>
        <v/>
      </c>
    </row>
    <row r="855">
      <c r="A855" s="9" t="n"/>
      <c r="B855" s="33" t="n"/>
      <c r="G855" s="25">
        <f>IF($C855="","",IFERROR(IF(INDEX(links!$A$2:$A$501,MATCH($C855,links!$D$2:$D$501,0))="","",INDEX(links!$A$2:$A$501,MATCH($C855,links!$D$2:$D$501,0))),""))</f>
        <v/>
      </c>
      <c r="H855" s="25">
        <f>IF($C855="","",IFERROR(IF(INDEX(links!$B$2:$B$501,MATCH($C855,links!$D$2:$D$501,0))="","",INDEX(links!$B$2:$B$501,MATCH($C855,links!$D$2:$D$501,0))),""))</f>
        <v/>
      </c>
      <c r="I855" s="25">
        <f>IF($C855="","",IFERROR(IF(INDEX(links!$C$2:$C$501,MATCH($C855,links!$D$2:$D$501,0))="","",INDEX(links!$C$2:$C$501,MATCH($C855,links!$D$2:$D$501,0))),""))</f>
        <v/>
      </c>
      <c r="J855" s="25">
        <f>IF($C855="","",IF($G855="","slug not in links; ","")&amp;IF($D855="","reading type missing; ","")&amp;IF(COUNTIFS(scans!$C$2:$C$1601,$C855,scans!$D$2:$D$1601,$D855)&gt;1,"two readings of this type: keep one; ",""))</f>
        <v/>
      </c>
    </row>
    <row r="856">
      <c r="A856" s="9" t="n"/>
      <c r="B856" s="33" t="n"/>
      <c r="G856" s="25">
        <f>IF($C856="","",IFERROR(IF(INDEX(links!$A$2:$A$501,MATCH($C856,links!$D$2:$D$501,0))="","",INDEX(links!$A$2:$A$501,MATCH($C856,links!$D$2:$D$501,0))),""))</f>
        <v/>
      </c>
      <c r="H856" s="25">
        <f>IF($C856="","",IFERROR(IF(INDEX(links!$B$2:$B$501,MATCH($C856,links!$D$2:$D$501,0))="","",INDEX(links!$B$2:$B$501,MATCH($C856,links!$D$2:$D$501,0))),""))</f>
        <v/>
      </c>
      <c r="I856" s="25">
        <f>IF($C856="","",IFERROR(IF(INDEX(links!$C$2:$C$501,MATCH($C856,links!$D$2:$D$501,0))="","",INDEX(links!$C$2:$C$501,MATCH($C856,links!$D$2:$D$501,0))),""))</f>
        <v/>
      </c>
      <c r="J856" s="25">
        <f>IF($C856="","",IF($G856="","slug not in links; ","")&amp;IF($D856="","reading type missing; ","")&amp;IF(COUNTIFS(scans!$C$2:$C$1601,$C856,scans!$D$2:$D$1601,$D856)&gt;1,"two readings of this type: keep one; ",""))</f>
        <v/>
      </c>
    </row>
    <row r="857">
      <c r="A857" s="9" t="n"/>
      <c r="B857" s="33" t="n"/>
      <c r="G857" s="25">
        <f>IF($C857="","",IFERROR(IF(INDEX(links!$A$2:$A$501,MATCH($C857,links!$D$2:$D$501,0))="","",INDEX(links!$A$2:$A$501,MATCH($C857,links!$D$2:$D$501,0))),""))</f>
        <v/>
      </c>
      <c r="H857" s="25">
        <f>IF($C857="","",IFERROR(IF(INDEX(links!$B$2:$B$501,MATCH($C857,links!$D$2:$D$501,0))="","",INDEX(links!$B$2:$B$501,MATCH($C857,links!$D$2:$D$501,0))),""))</f>
        <v/>
      </c>
      <c r="I857" s="25">
        <f>IF($C857="","",IFERROR(IF(INDEX(links!$C$2:$C$501,MATCH($C857,links!$D$2:$D$501,0))="","",INDEX(links!$C$2:$C$501,MATCH($C857,links!$D$2:$D$501,0))),""))</f>
        <v/>
      </c>
      <c r="J857" s="25">
        <f>IF($C857="","",IF($G857="","slug not in links; ","")&amp;IF($D857="","reading type missing; ","")&amp;IF(COUNTIFS(scans!$C$2:$C$1601,$C857,scans!$D$2:$D$1601,$D857)&gt;1,"two readings of this type: keep one; ",""))</f>
        <v/>
      </c>
    </row>
    <row r="858">
      <c r="A858" s="9" t="n"/>
      <c r="B858" s="33" t="n"/>
      <c r="G858" s="25">
        <f>IF($C858="","",IFERROR(IF(INDEX(links!$A$2:$A$501,MATCH($C858,links!$D$2:$D$501,0))="","",INDEX(links!$A$2:$A$501,MATCH($C858,links!$D$2:$D$501,0))),""))</f>
        <v/>
      </c>
      <c r="H858" s="25">
        <f>IF($C858="","",IFERROR(IF(INDEX(links!$B$2:$B$501,MATCH($C858,links!$D$2:$D$501,0))="","",INDEX(links!$B$2:$B$501,MATCH($C858,links!$D$2:$D$501,0))),""))</f>
        <v/>
      </c>
      <c r="I858" s="25">
        <f>IF($C858="","",IFERROR(IF(INDEX(links!$C$2:$C$501,MATCH($C858,links!$D$2:$D$501,0))="","",INDEX(links!$C$2:$C$501,MATCH($C858,links!$D$2:$D$501,0))),""))</f>
        <v/>
      </c>
      <c r="J858" s="25">
        <f>IF($C858="","",IF($G858="","slug not in links; ","")&amp;IF($D858="","reading type missing; ","")&amp;IF(COUNTIFS(scans!$C$2:$C$1601,$C858,scans!$D$2:$D$1601,$D858)&gt;1,"two readings of this type: keep one; ",""))</f>
        <v/>
      </c>
    </row>
    <row r="859">
      <c r="A859" s="9" t="n"/>
      <c r="B859" s="33" t="n"/>
      <c r="G859" s="25">
        <f>IF($C859="","",IFERROR(IF(INDEX(links!$A$2:$A$501,MATCH($C859,links!$D$2:$D$501,0))="","",INDEX(links!$A$2:$A$501,MATCH($C859,links!$D$2:$D$501,0))),""))</f>
        <v/>
      </c>
      <c r="H859" s="25">
        <f>IF($C859="","",IFERROR(IF(INDEX(links!$B$2:$B$501,MATCH($C859,links!$D$2:$D$501,0))="","",INDEX(links!$B$2:$B$501,MATCH($C859,links!$D$2:$D$501,0))),""))</f>
        <v/>
      </c>
      <c r="I859" s="25">
        <f>IF($C859="","",IFERROR(IF(INDEX(links!$C$2:$C$501,MATCH($C859,links!$D$2:$D$501,0))="","",INDEX(links!$C$2:$C$501,MATCH($C859,links!$D$2:$D$501,0))),""))</f>
        <v/>
      </c>
      <c r="J859" s="25">
        <f>IF($C859="","",IF($G859="","slug not in links; ","")&amp;IF($D859="","reading type missing; ","")&amp;IF(COUNTIFS(scans!$C$2:$C$1601,$C859,scans!$D$2:$D$1601,$D859)&gt;1,"two readings of this type: keep one; ",""))</f>
        <v/>
      </c>
    </row>
    <row r="860">
      <c r="A860" s="9" t="n"/>
      <c r="B860" s="33" t="n"/>
      <c r="G860" s="25">
        <f>IF($C860="","",IFERROR(IF(INDEX(links!$A$2:$A$501,MATCH($C860,links!$D$2:$D$501,0))="","",INDEX(links!$A$2:$A$501,MATCH($C860,links!$D$2:$D$501,0))),""))</f>
        <v/>
      </c>
      <c r="H860" s="25">
        <f>IF($C860="","",IFERROR(IF(INDEX(links!$B$2:$B$501,MATCH($C860,links!$D$2:$D$501,0))="","",INDEX(links!$B$2:$B$501,MATCH($C860,links!$D$2:$D$501,0))),""))</f>
        <v/>
      </c>
      <c r="I860" s="25">
        <f>IF($C860="","",IFERROR(IF(INDEX(links!$C$2:$C$501,MATCH($C860,links!$D$2:$D$501,0))="","",INDEX(links!$C$2:$C$501,MATCH($C860,links!$D$2:$D$501,0))),""))</f>
        <v/>
      </c>
      <c r="J860" s="25">
        <f>IF($C860="","",IF($G860="","slug not in links; ","")&amp;IF($D860="","reading type missing; ","")&amp;IF(COUNTIFS(scans!$C$2:$C$1601,$C860,scans!$D$2:$D$1601,$D860)&gt;1,"two readings of this type: keep one; ",""))</f>
        <v/>
      </c>
    </row>
    <row r="861">
      <c r="A861" s="9" t="n"/>
      <c r="B861" s="33" t="n"/>
      <c r="G861" s="25">
        <f>IF($C861="","",IFERROR(IF(INDEX(links!$A$2:$A$501,MATCH($C861,links!$D$2:$D$501,0))="","",INDEX(links!$A$2:$A$501,MATCH($C861,links!$D$2:$D$501,0))),""))</f>
        <v/>
      </c>
      <c r="H861" s="25">
        <f>IF($C861="","",IFERROR(IF(INDEX(links!$B$2:$B$501,MATCH($C861,links!$D$2:$D$501,0))="","",INDEX(links!$B$2:$B$501,MATCH($C861,links!$D$2:$D$501,0))),""))</f>
        <v/>
      </c>
      <c r="I861" s="25">
        <f>IF($C861="","",IFERROR(IF(INDEX(links!$C$2:$C$501,MATCH($C861,links!$D$2:$D$501,0))="","",INDEX(links!$C$2:$C$501,MATCH($C861,links!$D$2:$D$501,0))),""))</f>
        <v/>
      </c>
      <c r="J861" s="25">
        <f>IF($C861="","",IF($G861="","slug not in links; ","")&amp;IF($D861="","reading type missing; ","")&amp;IF(COUNTIFS(scans!$C$2:$C$1601,$C861,scans!$D$2:$D$1601,$D861)&gt;1,"two readings of this type: keep one; ",""))</f>
        <v/>
      </c>
    </row>
    <row r="862">
      <c r="A862" s="9" t="n"/>
      <c r="B862" s="33" t="n"/>
      <c r="G862" s="25">
        <f>IF($C862="","",IFERROR(IF(INDEX(links!$A$2:$A$501,MATCH($C862,links!$D$2:$D$501,0))="","",INDEX(links!$A$2:$A$501,MATCH($C862,links!$D$2:$D$501,0))),""))</f>
        <v/>
      </c>
      <c r="H862" s="25">
        <f>IF($C862="","",IFERROR(IF(INDEX(links!$B$2:$B$501,MATCH($C862,links!$D$2:$D$501,0))="","",INDEX(links!$B$2:$B$501,MATCH($C862,links!$D$2:$D$501,0))),""))</f>
        <v/>
      </c>
      <c r="I862" s="25">
        <f>IF($C862="","",IFERROR(IF(INDEX(links!$C$2:$C$501,MATCH($C862,links!$D$2:$D$501,0))="","",INDEX(links!$C$2:$C$501,MATCH($C862,links!$D$2:$D$501,0))),""))</f>
        <v/>
      </c>
      <c r="J862" s="25">
        <f>IF($C862="","",IF($G862="","slug not in links; ","")&amp;IF($D862="","reading type missing; ","")&amp;IF(COUNTIFS(scans!$C$2:$C$1601,$C862,scans!$D$2:$D$1601,$D862)&gt;1,"two readings of this type: keep one; ",""))</f>
        <v/>
      </c>
    </row>
    <row r="863">
      <c r="A863" s="9" t="n"/>
      <c r="B863" s="33" t="n"/>
      <c r="G863" s="25">
        <f>IF($C863="","",IFERROR(IF(INDEX(links!$A$2:$A$501,MATCH($C863,links!$D$2:$D$501,0))="","",INDEX(links!$A$2:$A$501,MATCH($C863,links!$D$2:$D$501,0))),""))</f>
        <v/>
      </c>
      <c r="H863" s="25">
        <f>IF($C863="","",IFERROR(IF(INDEX(links!$B$2:$B$501,MATCH($C863,links!$D$2:$D$501,0))="","",INDEX(links!$B$2:$B$501,MATCH($C863,links!$D$2:$D$501,0))),""))</f>
        <v/>
      </c>
      <c r="I863" s="25">
        <f>IF($C863="","",IFERROR(IF(INDEX(links!$C$2:$C$501,MATCH($C863,links!$D$2:$D$501,0))="","",INDEX(links!$C$2:$C$501,MATCH($C863,links!$D$2:$D$501,0))),""))</f>
        <v/>
      </c>
      <c r="J863" s="25">
        <f>IF($C863="","",IF($G863="","slug not in links; ","")&amp;IF($D863="","reading type missing; ","")&amp;IF(COUNTIFS(scans!$C$2:$C$1601,$C863,scans!$D$2:$D$1601,$D863)&gt;1,"two readings of this type: keep one; ",""))</f>
        <v/>
      </c>
    </row>
    <row r="864">
      <c r="A864" s="9" t="n"/>
      <c r="B864" s="33" t="n"/>
      <c r="G864" s="25">
        <f>IF($C864="","",IFERROR(IF(INDEX(links!$A$2:$A$501,MATCH($C864,links!$D$2:$D$501,0))="","",INDEX(links!$A$2:$A$501,MATCH($C864,links!$D$2:$D$501,0))),""))</f>
        <v/>
      </c>
      <c r="H864" s="25">
        <f>IF($C864="","",IFERROR(IF(INDEX(links!$B$2:$B$501,MATCH($C864,links!$D$2:$D$501,0))="","",INDEX(links!$B$2:$B$501,MATCH($C864,links!$D$2:$D$501,0))),""))</f>
        <v/>
      </c>
      <c r="I864" s="25">
        <f>IF($C864="","",IFERROR(IF(INDEX(links!$C$2:$C$501,MATCH($C864,links!$D$2:$D$501,0))="","",INDEX(links!$C$2:$C$501,MATCH($C864,links!$D$2:$D$501,0))),""))</f>
        <v/>
      </c>
      <c r="J864" s="25">
        <f>IF($C864="","",IF($G864="","slug not in links; ","")&amp;IF($D864="","reading type missing; ","")&amp;IF(COUNTIFS(scans!$C$2:$C$1601,$C864,scans!$D$2:$D$1601,$D864)&gt;1,"two readings of this type: keep one; ",""))</f>
        <v/>
      </c>
    </row>
    <row r="865">
      <c r="A865" s="9" t="n"/>
      <c r="B865" s="33" t="n"/>
      <c r="G865" s="25">
        <f>IF($C865="","",IFERROR(IF(INDEX(links!$A$2:$A$501,MATCH($C865,links!$D$2:$D$501,0))="","",INDEX(links!$A$2:$A$501,MATCH($C865,links!$D$2:$D$501,0))),""))</f>
        <v/>
      </c>
      <c r="H865" s="25">
        <f>IF($C865="","",IFERROR(IF(INDEX(links!$B$2:$B$501,MATCH($C865,links!$D$2:$D$501,0))="","",INDEX(links!$B$2:$B$501,MATCH($C865,links!$D$2:$D$501,0))),""))</f>
        <v/>
      </c>
      <c r="I865" s="25">
        <f>IF($C865="","",IFERROR(IF(INDEX(links!$C$2:$C$501,MATCH($C865,links!$D$2:$D$501,0))="","",INDEX(links!$C$2:$C$501,MATCH($C865,links!$D$2:$D$501,0))),""))</f>
        <v/>
      </c>
      <c r="J865" s="25">
        <f>IF($C865="","",IF($G865="","slug not in links; ","")&amp;IF($D865="","reading type missing; ","")&amp;IF(COUNTIFS(scans!$C$2:$C$1601,$C865,scans!$D$2:$D$1601,$D865)&gt;1,"two readings of this type: keep one; ",""))</f>
        <v/>
      </c>
    </row>
    <row r="866">
      <c r="A866" s="9" t="n"/>
      <c r="B866" s="33" t="n"/>
      <c r="G866" s="25">
        <f>IF($C866="","",IFERROR(IF(INDEX(links!$A$2:$A$501,MATCH($C866,links!$D$2:$D$501,0))="","",INDEX(links!$A$2:$A$501,MATCH($C866,links!$D$2:$D$501,0))),""))</f>
        <v/>
      </c>
      <c r="H866" s="25">
        <f>IF($C866="","",IFERROR(IF(INDEX(links!$B$2:$B$501,MATCH($C866,links!$D$2:$D$501,0))="","",INDEX(links!$B$2:$B$501,MATCH($C866,links!$D$2:$D$501,0))),""))</f>
        <v/>
      </c>
      <c r="I866" s="25">
        <f>IF($C866="","",IFERROR(IF(INDEX(links!$C$2:$C$501,MATCH($C866,links!$D$2:$D$501,0))="","",INDEX(links!$C$2:$C$501,MATCH($C866,links!$D$2:$D$501,0))),""))</f>
        <v/>
      </c>
      <c r="J866" s="25">
        <f>IF($C866="","",IF($G866="","slug not in links; ","")&amp;IF($D866="","reading type missing; ","")&amp;IF(COUNTIFS(scans!$C$2:$C$1601,$C866,scans!$D$2:$D$1601,$D866)&gt;1,"two readings of this type: keep one; ",""))</f>
        <v/>
      </c>
    </row>
    <row r="867">
      <c r="A867" s="9" t="n"/>
      <c r="B867" s="33" t="n"/>
      <c r="G867" s="25">
        <f>IF($C867="","",IFERROR(IF(INDEX(links!$A$2:$A$501,MATCH($C867,links!$D$2:$D$501,0))="","",INDEX(links!$A$2:$A$501,MATCH($C867,links!$D$2:$D$501,0))),""))</f>
        <v/>
      </c>
      <c r="H867" s="25">
        <f>IF($C867="","",IFERROR(IF(INDEX(links!$B$2:$B$501,MATCH($C867,links!$D$2:$D$501,0))="","",INDEX(links!$B$2:$B$501,MATCH($C867,links!$D$2:$D$501,0))),""))</f>
        <v/>
      </c>
      <c r="I867" s="25">
        <f>IF($C867="","",IFERROR(IF(INDEX(links!$C$2:$C$501,MATCH($C867,links!$D$2:$D$501,0))="","",INDEX(links!$C$2:$C$501,MATCH($C867,links!$D$2:$D$501,0))),""))</f>
        <v/>
      </c>
      <c r="J867" s="25">
        <f>IF($C867="","",IF($G867="","slug not in links; ","")&amp;IF($D867="","reading type missing; ","")&amp;IF(COUNTIFS(scans!$C$2:$C$1601,$C867,scans!$D$2:$D$1601,$D867)&gt;1,"two readings of this type: keep one; ",""))</f>
        <v/>
      </c>
    </row>
    <row r="868">
      <c r="A868" s="9" t="n"/>
      <c r="B868" s="33" t="n"/>
      <c r="G868" s="25">
        <f>IF($C868="","",IFERROR(IF(INDEX(links!$A$2:$A$501,MATCH($C868,links!$D$2:$D$501,0))="","",INDEX(links!$A$2:$A$501,MATCH($C868,links!$D$2:$D$501,0))),""))</f>
        <v/>
      </c>
      <c r="H868" s="25">
        <f>IF($C868="","",IFERROR(IF(INDEX(links!$B$2:$B$501,MATCH($C868,links!$D$2:$D$501,0))="","",INDEX(links!$B$2:$B$501,MATCH($C868,links!$D$2:$D$501,0))),""))</f>
        <v/>
      </c>
      <c r="I868" s="25">
        <f>IF($C868="","",IFERROR(IF(INDEX(links!$C$2:$C$501,MATCH($C868,links!$D$2:$D$501,0))="","",INDEX(links!$C$2:$C$501,MATCH($C868,links!$D$2:$D$501,0))),""))</f>
        <v/>
      </c>
      <c r="J868" s="25">
        <f>IF($C868="","",IF($G868="","slug not in links; ","")&amp;IF($D868="","reading type missing; ","")&amp;IF(COUNTIFS(scans!$C$2:$C$1601,$C868,scans!$D$2:$D$1601,$D868)&gt;1,"two readings of this type: keep one; ",""))</f>
        <v/>
      </c>
    </row>
    <row r="869">
      <c r="A869" s="9" t="n"/>
      <c r="B869" s="33" t="n"/>
      <c r="G869" s="25">
        <f>IF($C869="","",IFERROR(IF(INDEX(links!$A$2:$A$501,MATCH($C869,links!$D$2:$D$501,0))="","",INDEX(links!$A$2:$A$501,MATCH($C869,links!$D$2:$D$501,0))),""))</f>
        <v/>
      </c>
      <c r="H869" s="25">
        <f>IF($C869="","",IFERROR(IF(INDEX(links!$B$2:$B$501,MATCH($C869,links!$D$2:$D$501,0))="","",INDEX(links!$B$2:$B$501,MATCH($C869,links!$D$2:$D$501,0))),""))</f>
        <v/>
      </c>
      <c r="I869" s="25">
        <f>IF($C869="","",IFERROR(IF(INDEX(links!$C$2:$C$501,MATCH($C869,links!$D$2:$D$501,0))="","",INDEX(links!$C$2:$C$501,MATCH($C869,links!$D$2:$D$501,0))),""))</f>
        <v/>
      </c>
      <c r="J869" s="25">
        <f>IF($C869="","",IF($G869="","slug not in links; ","")&amp;IF($D869="","reading type missing; ","")&amp;IF(COUNTIFS(scans!$C$2:$C$1601,$C869,scans!$D$2:$D$1601,$D869)&gt;1,"two readings of this type: keep one; ",""))</f>
        <v/>
      </c>
    </row>
    <row r="870">
      <c r="A870" s="9" t="n"/>
      <c r="B870" s="33" t="n"/>
      <c r="G870" s="25">
        <f>IF($C870="","",IFERROR(IF(INDEX(links!$A$2:$A$501,MATCH($C870,links!$D$2:$D$501,0))="","",INDEX(links!$A$2:$A$501,MATCH($C870,links!$D$2:$D$501,0))),""))</f>
        <v/>
      </c>
      <c r="H870" s="25">
        <f>IF($C870="","",IFERROR(IF(INDEX(links!$B$2:$B$501,MATCH($C870,links!$D$2:$D$501,0))="","",INDEX(links!$B$2:$B$501,MATCH($C870,links!$D$2:$D$501,0))),""))</f>
        <v/>
      </c>
      <c r="I870" s="25">
        <f>IF($C870="","",IFERROR(IF(INDEX(links!$C$2:$C$501,MATCH($C870,links!$D$2:$D$501,0))="","",INDEX(links!$C$2:$C$501,MATCH($C870,links!$D$2:$D$501,0))),""))</f>
        <v/>
      </c>
      <c r="J870" s="25">
        <f>IF($C870="","",IF($G870="","slug not in links; ","")&amp;IF($D870="","reading type missing; ","")&amp;IF(COUNTIFS(scans!$C$2:$C$1601,$C870,scans!$D$2:$D$1601,$D870)&gt;1,"two readings of this type: keep one; ",""))</f>
        <v/>
      </c>
    </row>
    <row r="871">
      <c r="A871" s="9" t="n"/>
      <c r="B871" s="33" t="n"/>
      <c r="G871" s="25">
        <f>IF($C871="","",IFERROR(IF(INDEX(links!$A$2:$A$501,MATCH($C871,links!$D$2:$D$501,0))="","",INDEX(links!$A$2:$A$501,MATCH($C871,links!$D$2:$D$501,0))),""))</f>
        <v/>
      </c>
      <c r="H871" s="25">
        <f>IF($C871="","",IFERROR(IF(INDEX(links!$B$2:$B$501,MATCH($C871,links!$D$2:$D$501,0))="","",INDEX(links!$B$2:$B$501,MATCH($C871,links!$D$2:$D$501,0))),""))</f>
        <v/>
      </c>
      <c r="I871" s="25">
        <f>IF($C871="","",IFERROR(IF(INDEX(links!$C$2:$C$501,MATCH($C871,links!$D$2:$D$501,0))="","",INDEX(links!$C$2:$C$501,MATCH($C871,links!$D$2:$D$501,0))),""))</f>
        <v/>
      </c>
      <c r="J871" s="25">
        <f>IF($C871="","",IF($G871="","slug not in links; ","")&amp;IF($D871="","reading type missing; ","")&amp;IF(COUNTIFS(scans!$C$2:$C$1601,$C871,scans!$D$2:$D$1601,$D871)&gt;1,"two readings of this type: keep one; ",""))</f>
        <v/>
      </c>
    </row>
    <row r="872">
      <c r="A872" s="9" t="n"/>
      <c r="B872" s="33" t="n"/>
      <c r="G872" s="25">
        <f>IF($C872="","",IFERROR(IF(INDEX(links!$A$2:$A$501,MATCH($C872,links!$D$2:$D$501,0))="","",INDEX(links!$A$2:$A$501,MATCH($C872,links!$D$2:$D$501,0))),""))</f>
        <v/>
      </c>
      <c r="H872" s="25">
        <f>IF($C872="","",IFERROR(IF(INDEX(links!$B$2:$B$501,MATCH($C872,links!$D$2:$D$501,0))="","",INDEX(links!$B$2:$B$501,MATCH($C872,links!$D$2:$D$501,0))),""))</f>
        <v/>
      </c>
      <c r="I872" s="25">
        <f>IF($C872="","",IFERROR(IF(INDEX(links!$C$2:$C$501,MATCH($C872,links!$D$2:$D$501,0))="","",INDEX(links!$C$2:$C$501,MATCH($C872,links!$D$2:$D$501,0))),""))</f>
        <v/>
      </c>
      <c r="J872" s="25">
        <f>IF($C872="","",IF($G872="","slug not in links; ","")&amp;IF($D872="","reading type missing; ","")&amp;IF(COUNTIFS(scans!$C$2:$C$1601,$C872,scans!$D$2:$D$1601,$D872)&gt;1,"two readings of this type: keep one; ",""))</f>
        <v/>
      </c>
    </row>
    <row r="873">
      <c r="A873" s="9" t="n"/>
      <c r="B873" s="33" t="n"/>
      <c r="G873" s="25">
        <f>IF($C873="","",IFERROR(IF(INDEX(links!$A$2:$A$501,MATCH($C873,links!$D$2:$D$501,0))="","",INDEX(links!$A$2:$A$501,MATCH($C873,links!$D$2:$D$501,0))),""))</f>
        <v/>
      </c>
      <c r="H873" s="25">
        <f>IF($C873="","",IFERROR(IF(INDEX(links!$B$2:$B$501,MATCH($C873,links!$D$2:$D$501,0))="","",INDEX(links!$B$2:$B$501,MATCH($C873,links!$D$2:$D$501,0))),""))</f>
        <v/>
      </c>
      <c r="I873" s="25">
        <f>IF($C873="","",IFERROR(IF(INDEX(links!$C$2:$C$501,MATCH($C873,links!$D$2:$D$501,0))="","",INDEX(links!$C$2:$C$501,MATCH($C873,links!$D$2:$D$501,0))),""))</f>
        <v/>
      </c>
      <c r="J873" s="25">
        <f>IF($C873="","",IF($G873="","slug not in links; ","")&amp;IF($D873="","reading type missing; ","")&amp;IF(COUNTIFS(scans!$C$2:$C$1601,$C873,scans!$D$2:$D$1601,$D873)&gt;1,"two readings of this type: keep one; ",""))</f>
        <v/>
      </c>
    </row>
    <row r="874">
      <c r="A874" s="9" t="n"/>
      <c r="B874" s="33" t="n"/>
      <c r="G874" s="25">
        <f>IF($C874="","",IFERROR(IF(INDEX(links!$A$2:$A$501,MATCH($C874,links!$D$2:$D$501,0))="","",INDEX(links!$A$2:$A$501,MATCH($C874,links!$D$2:$D$501,0))),""))</f>
        <v/>
      </c>
      <c r="H874" s="25">
        <f>IF($C874="","",IFERROR(IF(INDEX(links!$B$2:$B$501,MATCH($C874,links!$D$2:$D$501,0))="","",INDEX(links!$B$2:$B$501,MATCH($C874,links!$D$2:$D$501,0))),""))</f>
        <v/>
      </c>
      <c r="I874" s="25">
        <f>IF($C874="","",IFERROR(IF(INDEX(links!$C$2:$C$501,MATCH($C874,links!$D$2:$D$501,0))="","",INDEX(links!$C$2:$C$501,MATCH($C874,links!$D$2:$D$501,0))),""))</f>
        <v/>
      </c>
      <c r="J874" s="25">
        <f>IF($C874="","",IF($G874="","slug not in links; ","")&amp;IF($D874="","reading type missing; ","")&amp;IF(COUNTIFS(scans!$C$2:$C$1601,$C874,scans!$D$2:$D$1601,$D874)&gt;1,"two readings of this type: keep one; ",""))</f>
        <v/>
      </c>
    </row>
    <row r="875">
      <c r="A875" s="9" t="n"/>
      <c r="B875" s="33" t="n"/>
      <c r="G875" s="25">
        <f>IF($C875="","",IFERROR(IF(INDEX(links!$A$2:$A$501,MATCH($C875,links!$D$2:$D$501,0))="","",INDEX(links!$A$2:$A$501,MATCH($C875,links!$D$2:$D$501,0))),""))</f>
        <v/>
      </c>
      <c r="H875" s="25">
        <f>IF($C875="","",IFERROR(IF(INDEX(links!$B$2:$B$501,MATCH($C875,links!$D$2:$D$501,0))="","",INDEX(links!$B$2:$B$501,MATCH($C875,links!$D$2:$D$501,0))),""))</f>
        <v/>
      </c>
      <c r="I875" s="25">
        <f>IF($C875="","",IFERROR(IF(INDEX(links!$C$2:$C$501,MATCH($C875,links!$D$2:$D$501,0))="","",INDEX(links!$C$2:$C$501,MATCH($C875,links!$D$2:$D$501,0))),""))</f>
        <v/>
      </c>
      <c r="J875" s="25">
        <f>IF($C875="","",IF($G875="","slug not in links; ","")&amp;IF($D875="","reading type missing; ","")&amp;IF(COUNTIFS(scans!$C$2:$C$1601,$C875,scans!$D$2:$D$1601,$D875)&gt;1,"two readings of this type: keep one; ",""))</f>
        <v/>
      </c>
    </row>
    <row r="876">
      <c r="A876" s="9" t="n"/>
      <c r="B876" s="33" t="n"/>
      <c r="G876" s="25">
        <f>IF($C876="","",IFERROR(IF(INDEX(links!$A$2:$A$501,MATCH($C876,links!$D$2:$D$501,0))="","",INDEX(links!$A$2:$A$501,MATCH($C876,links!$D$2:$D$501,0))),""))</f>
        <v/>
      </c>
      <c r="H876" s="25">
        <f>IF($C876="","",IFERROR(IF(INDEX(links!$B$2:$B$501,MATCH($C876,links!$D$2:$D$501,0))="","",INDEX(links!$B$2:$B$501,MATCH($C876,links!$D$2:$D$501,0))),""))</f>
        <v/>
      </c>
      <c r="I876" s="25">
        <f>IF($C876="","",IFERROR(IF(INDEX(links!$C$2:$C$501,MATCH($C876,links!$D$2:$D$501,0))="","",INDEX(links!$C$2:$C$501,MATCH($C876,links!$D$2:$D$501,0))),""))</f>
        <v/>
      </c>
      <c r="J876" s="25">
        <f>IF($C876="","",IF($G876="","slug not in links; ","")&amp;IF($D876="","reading type missing; ","")&amp;IF(COUNTIFS(scans!$C$2:$C$1601,$C876,scans!$D$2:$D$1601,$D876)&gt;1,"two readings of this type: keep one; ",""))</f>
        <v/>
      </c>
    </row>
    <row r="877">
      <c r="A877" s="9" t="n"/>
      <c r="B877" s="33" t="n"/>
      <c r="G877" s="25">
        <f>IF($C877="","",IFERROR(IF(INDEX(links!$A$2:$A$501,MATCH($C877,links!$D$2:$D$501,0))="","",INDEX(links!$A$2:$A$501,MATCH($C877,links!$D$2:$D$501,0))),""))</f>
        <v/>
      </c>
      <c r="H877" s="25">
        <f>IF($C877="","",IFERROR(IF(INDEX(links!$B$2:$B$501,MATCH($C877,links!$D$2:$D$501,0))="","",INDEX(links!$B$2:$B$501,MATCH($C877,links!$D$2:$D$501,0))),""))</f>
        <v/>
      </c>
      <c r="I877" s="25">
        <f>IF($C877="","",IFERROR(IF(INDEX(links!$C$2:$C$501,MATCH($C877,links!$D$2:$D$501,0))="","",INDEX(links!$C$2:$C$501,MATCH($C877,links!$D$2:$D$501,0))),""))</f>
        <v/>
      </c>
      <c r="J877" s="25">
        <f>IF($C877="","",IF($G877="","slug not in links; ","")&amp;IF($D877="","reading type missing; ","")&amp;IF(COUNTIFS(scans!$C$2:$C$1601,$C877,scans!$D$2:$D$1601,$D877)&gt;1,"two readings of this type: keep one; ",""))</f>
        <v/>
      </c>
    </row>
    <row r="878">
      <c r="A878" s="9" t="n"/>
      <c r="B878" s="33" t="n"/>
      <c r="G878" s="25">
        <f>IF($C878="","",IFERROR(IF(INDEX(links!$A$2:$A$501,MATCH($C878,links!$D$2:$D$501,0))="","",INDEX(links!$A$2:$A$501,MATCH($C878,links!$D$2:$D$501,0))),""))</f>
        <v/>
      </c>
      <c r="H878" s="25">
        <f>IF($C878="","",IFERROR(IF(INDEX(links!$B$2:$B$501,MATCH($C878,links!$D$2:$D$501,0))="","",INDEX(links!$B$2:$B$501,MATCH($C878,links!$D$2:$D$501,0))),""))</f>
        <v/>
      </c>
      <c r="I878" s="25">
        <f>IF($C878="","",IFERROR(IF(INDEX(links!$C$2:$C$501,MATCH($C878,links!$D$2:$D$501,0))="","",INDEX(links!$C$2:$C$501,MATCH($C878,links!$D$2:$D$501,0))),""))</f>
        <v/>
      </c>
      <c r="J878" s="25">
        <f>IF($C878="","",IF($G878="","slug not in links; ","")&amp;IF($D878="","reading type missing; ","")&amp;IF(COUNTIFS(scans!$C$2:$C$1601,$C878,scans!$D$2:$D$1601,$D878)&gt;1,"two readings of this type: keep one; ",""))</f>
        <v/>
      </c>
    </row>
    <row r="879">
      <c r="A879" s="9" t="n"/>
      <c r="B879" s="33" t="n"/>
      <c r="G879" s="25">
        <f>IF($C879="","",IFERROR(IF(INDEX(links!$A$2:$A$501,MATCH($C879,links!$D$2:$D$501,0))="","",INDEX(links!$A$2:$A$501,MATCH($C879,links!$D$2:$D$501,0))),""))</f>
        <v/>
      </c>
      <c r="H879" s="25">
        <f>IF($C879="","",IFERROR(IF(INDEX(links!$B$2:$B$501,MATCH($C879,links!$D$2:$D$501,0))="","",INDEX(links!$B$2:$B$501,MATCH($C879,links!$D$2:$D$501,0))),""))</f>
        <v/>
      </c>
      <c r="I879" s="25">
        <f>IF($C879="","",IFERROR(IF(INDEX(links!$C$2:$C$501,MATCH($C879,links!$D$2:$D$501,0))="","",INDEX(links!$C$2:$C$501,MATCH($C879,links!$D$2:$D$501,0))),""))</f>
        <v/>
      </c>
      <c r="J879" s="25">
        <f>IF($C879="","",IF($G879="","slug not in links; ","")&amp;IF($D879="","reading type missing; ","")&amp;IF(COUNTIFS(scans!$C$2:$C$1601,$C879,scans!$D$2:$D$1601,$D879)&gt;1,"two readings of this type: keep one; ",""))</f>
        <v/>
      </c>
    </row>
    <row r="880">
      <c r="A880" s="9" t="n"/>
      <c r="B880" s="33" t="n"/>
      <c r="G880" s="25">
        <f>IF($C880="","",IFERROR(IF(INDEX(links!$A$2:$A$501,MATCH($C880,links!$D$2:$D$501,0))="","",INDEX(links!$A$2:$A$501,MATCH($C880,links!$D$2:$D$501,0))),""))</f>
        <v/>
      </c>
      <c r="H880" s="25">
        <f>IF($C880="","",IFERROR(IF(INDEX(links!$B$2:$B$501,MATCH($C880,links!$D$2:$D$501,0))="","",INDEX(links!$B$2:$B$501,MATCH($C880,links!$D$2:$D$501,0))),""))</f>
        <v/>
      </c>
      <c r="I880" s="25">
        <f>IF($C880="","",IFERROR(IF(INDEX(links!$C$2:$C$501,MATCH($C880,links!$D$2:$D$501,0))="","",INDEX(links!$C$2:$C$501,MATCH($C880,links!$D$2:$D$501,0))),""))</f>
        <v/>
      </c>
      <c r="J880" s="25">
        <f>IF($C880="","",IF($G880="","slug not in links; ","")&amp;IF($D880="","reading type missing; ","")&amp;IF(COUNTIFS(scans!$C$2:$C$1601,$C880,scans!$D$2:$D$1601,$D880)&gt;1,"two readings of this type: keep one; ",""))</f>
        <v/>
      </c>
    </row>
    <row r="881">
      <c r="A881" s="9" t="n"/>
      <c r="B881" s="33" t="n"/>
      <c r="G881" s="25">
        <f>IF($C881="","",IFERROR(IF(INDEX(links!$A$2:$A$501,MATCH($C881,links!$D$2:$D$501,0))="","",INDEX(links!$A$2:$A$501,MATCH($C881,links!$D$2:$D$501,0))),""))</f>
        <v/>
      </c>
      <c r="H881" s="25">
        <f>IF($C881="","",IFERROR(IF(INDEX(links!$B$2:$B$501,MATCH($C881,links!$D$2:$D$501,0))="","",INDEX(links!$B$2:$B$501,MATCH($C881,links!$D$2:$D$501,0))),""))</f>
        <v/>
      </c>
      <c r="I881" s="25">
        <f>IF($C881="","",IFERROR(IF(INDEX(links!$C$2:$C$501,MATCH($C881,links!$D$2:$D$501,0))="","",INDEX(links!$C$2:$C$501,MATCH($C881,links!$D$2:$D$501,0))),""))</f>
        <v/>
      </c>
      <c r="J881" s="25">
        <f>IF($C881="","",IF($G881="","slug not in links; ","")&amp;IF($D881="","reading type missing; ","")&amp;IF(COUNTIFS(scans!$C$2:$C$1601,$C881,scans!$D$2:$D$1601,$D881)&gt;1,"two readings of this type: keep one; ",""))</f>
        <v/>
      </c>
    </row>
    <row r="882">
      <c r="A882" s="9" t="n"/>
      <c r="B882" s="33" t="n"/>
      <c r="G882" s="25">
        <f>IF($C882="","",IFERROR(IF(INDEX(links!$A$2:$A$501,MATCH($C882,links!$D$2:$D$501,0))="","",INDEX(links!$A$2:$A$501,MATCH($C882,links!$D$2:$D$501,0))),""))</f>
        <v/>
      </c>
      <c r="H882" s="25">
        <f>IF($C882="","",IFERROR(IF(INDEX(links!$B$2:$B$501,MATCH($C882,links!$D$2:$D$501,0))="","",INDEX(links!$B$2:$B$501,MATCH($C882,links!$D$2:$D$501,0))),""))</f>
        <v/>
      </c>
      <c r="I882" s="25">
        <f>IF($C882="","",IFERROR(IF(INDEX(links!$C$2:$C$501,MATCH($C882,links!$D$2:$D$501,0))="","",INDEX(links!$C$2:$C$501,MATCH($C882,links!$D$2:$D$501,0))),""))</f>
        <v/>
      </c>
      <c r="J882" s="25">
        <f>IF($C882="","",IF($G882="","slug not in links; ","")&amp;IF($D882="","reading type missing; ","")&amp;IF(COUNTIFS(scans!$C$2:$C$1601,$C882,scans!$D$2:$D$1601,$D882)&gt;1,"two readings of this type: keep one; ",""))</f>
        <v/>
      </c>
    </row>
    <row r="883">
      <c r="A883" s="9" t="n"/>
      <c r="B883" s="33" t="n"/>
      <c r="G883" s="25">
        <f>IF($C883="","",IFERROR(IF(INDEX(links!$A$2:$A$501,MATCH($C883,links!$D$2:$D$501,0))="","",INDEX(links!$A$2:$A$501,MATCH($C883,links!$D$2:$D$501,0))),""))</f>
        <v/>
      </c>
      <c r="H883" s="25">
        <f>IF($C883="","",IFERROR(IF(INDEX(links!$B$2:$B$501,MATCH($C883,links!$D$2:$D$501,0))="","",INDEX(links!$B$2:$B$501,MATCH($C883,links!$D$2:$D$501,0))),""))</f>
        <v/>
      </c>
      <c r="I883" s="25">
        <f>IF($C883="","",IFERROR(IF(INDEX(links!$C$2:$C$501,MATCH($C883,links!$D$2:$D$501,0))="","",INDEX(links!$C$2:$C$501,MATCH($C883,links!$D$2:$D$501,0))),""))</f>
        <v/>
      </c>
      <c r="J883" s="25">
        <f>IF($C883="","",IF($G883="","slug not in links; ","")&amp;IF($D883="","reading type missing; ","")&amp;IF(COUNTIFS(scans!$C$2:$C$1601,$C883,scans!$D$2:$D$1601,$D883)&gt;1,"two readings of this type: keep one; ",""))</f>
        <v/>
      </c>
    </row>
    <row r="884">
      <c r="A884" s="9" t="n"/>
      <c r="B884" s="33" t="n"/>
      <c r="G884" s="25">
        <f>IF($C884="","",IFERROR(IF(INDEX(links!$A$2:$A$501,MATCH($C884,links!$D$2:$D$501,0))="","",INDEX(links!$A$2:$A$501,MATCH($C884,links!$D$2:$D$501,0))),""))</f>
        <v/>
      </c>
      <c r="H884" s="25">
        <f>IF($C884="","",IFERROR(IF(INDEX(links!$B$2:$B$501,MATCH($C884,links!$D$2:$D$501,0))="","",INDEX(links!$B$2:$B$501,MATCH($C884,links!$D$2:$D$501,0))),""))</f>
        <v/>
      </c>
      <c r="I884" s="25">
        <f>IF($C884="","",IFERROR(IF(INDEX(links!$C$2:$C$501,MATCH($C884,links!$D$2:$D$501,0))="","",INDEX(links!$C$2:$C$501,MATCH($C884,links!$D$2:$D$501,0))),""))</f>
        <v/>
      </c>
      <c r="J884" s="25">
        <f>IF($C884="","",IF($G884="","slug not in links; ","")&amp;IF($D884="","reading type missing; ","")&amp;IF(COUNTIFS(scans!$C$2:$C$1601,$C884,scans!$D$2:$D$1601,$D884)&gt;1,"two readings of this type: keep one; ",""))</f>
        <v/>
      </c>
    </row>
    <row r="885">
      <c r="A885" s="9" t="n"/>
      <c r="B885" s="33" t="n"/>
      <c r="G885" s="25">
        <f>IF($C885="","",IFERROR(IF(INDEX(links!$A$2:$A$501,MATCH($C885,links!$D$2:$D$501,0))="","",INDEX(links!$A$2:$A$501,MATCH($C885,links!$D$2:$D$501,0))),""))</f>
        <v/>
      </c>
      <c r="H885" s="25">
        <f>IF($C885="","",IFERROR(IF(INDEX(links!$B$2:$B$501,MATCH($C885,links!$D$2:$D$501,0))="","",INDEX(links!$B$2:$B$501,MATCH($C885,links!$D$2:$D$501,0))),""))</f>
        <v/>
      </c>
      <c r="I885" s="25">
        <f>IF($C885="","",IFERROR(IF(INDEX(links!$C$2:$C$501,MATCH($C885,links!$D$2:$D$501,0))="","",INDEX(links!$C$2:$C$501,MATCH($C885,links!$D$2:$D$501,0))),""))</f>
        <v/>
      </c>
      <c r="J885" s="25">
        <f>IF($C885="","",IF($G885="","slug not in links; ","")&amp;IF($D885="","reading type missing; ","")&amp;IF(COUNTIFS(scans!$C$2:$C$1601,$C885,scans!$D$2:$D$1601,$D885)&gt;1,"two readings of this type: keep one; ",""))</f>
        <v/>
      </c>
    </row>
    <row r="886">
      <c r="A886" s="9" t="n"/>
      <c r="B886" s="33" t="n"/>
      <c r="G886" s="25">
        <f>IF($C886="","",IFERROR(IF(INDEX(links!$A$2:$A$501,MATCH($C886,links!$D$2:$D$501,0))="","",INDEX(links!$A$2:$A$501,MATCH($C886,links!$D$2:$D$501,0))),""))</f>
        <v/>
      </c>
      <c r="H886" s="25">
        <f>IF($C886="","",IFERROR(IF(INDEX(links!$B$2:$B$501,MATCH($C886,links!$D$2:$D$501,0))="","",INDEX(links!$B$2:$B$501,MATCH($C886,links!$D$2:$D$501,0))),""))</f>
        <v/>
      </c>
      <c r="I886" s="25">
        <f>IF($C886="","",IFERROR(IF(INDEX(links!$C$2:$C$501,MATCH($C886,links!$D$2:$D$501,0))="","",INDEX(links!$C$2:$C$501,MATCH($C886,links!$D$2:$D$501,0))),""))</f>
        <v/>
      </c>
      <c r="J886" s="25">
        <f>IF($C886="","",IF($G886="","slug not in links; ","")&amp;IF($D886="","reading type missing; ","")&amp;IF(COUNTIFS(scans!$C$2:$C$1601,$C886,scans!$D$2:$D$1601,$D886)&gt;1,"two readings of this type: keep one; ",""))</f>
        <v/>
      </c>
    </row>
    <row r="887">
      <c r="A887" s="9" t="n"/>
      <c r="B887" s="33" t="n"/>
      <c r="G887" s="25">
        <f>IF($C887="","",IFERROR(IF(INDEX(links!$A$2:$A$501,MATCH($C887,links!$D$2:$D$501,0))="","",INDEX(links!$A$2:$A$501,MATCH($C887,links!$D$2:$D$501,0))),""))</f>
        <v/>
      </c>
      <c r="H887" s="25">
        <f>IF($C887="","",IFERROR(IF(INDEX(links!$B$2:$B$501,MATCH($C887,links!$D$2:$D$501,0))="","",INDEX(links!$B$2:$B$501,MATCH($C887,links!$D$2:$D$501,0))),""))</f>
        <v/>
      </c>
      <c r="I887" s="25">
        <f>IF($C887="","",IFERROR(IF(INDEX(links!$C$2:$C$501,MATCH($C887,links!$D$2:$D$501,0))="","",INDEX(links!$C$2:$C$501,MATCH($C887,links!$D$2:$D$501,0))),""))</f>
        <v/>
      </c>
      <c r="J887" s="25">
        <f>IF($C887="","",IF($G887="","slug not in links; ","")&amp;IF($D887="","reading type missing; ","")&amp;IF(COUNTIFS(scans!$C$2:$C$1601,$C887,scans!$D$2:$D$1601,$D887)&gt;1,"two readings of this type: keep one; ",""))</f>
        <v/>
      </c>
    </row>
    <row r="888">
      <c r="A888" s="9" t="n"/>
      <c r="B888" s="33" t="n"/>
      <c r="G888" s="25">
        <f>IF($C888="","",IFERROR(IF(INDEX(links!$A$2:$A$501,MATCH($C888,links!$D$2:$D$501,0))="","",INDEX(links!$A$2:$A$501,MATCH($C888,links!$D$2:$D$501,0))),""))</f>
        <v/>
      </c>
      <c r="H888" s="25">
        <f>IF($C888="","",IFERROR(IF(INDEX(links!$B$2:$B$501,MATCH($C888,links!$D$2:$D$501,0))="","",INDEX(links!$B$2:$B$501,MATCH($C888,links!$D$2:$D$501,0))),""))</f>
        <v/>
      </c>
      <c r="I888" s="25">
        <f>IF($C888="","",IFERROR(IF(INDEX(links!$C$2:$C$501,MATCH($C888,links!$D$2:$D$501,0))="","",INDEX(links!$C$2:$C$501,MATCH($C888,links!$D$2:$D$501,0))),""))</f>
        <v/>
      </c>
      <c r="J888" s="25">
        <f>IF($C888="","",IF($G888="","slug not in links; ","")&amp;IF($D888="","reading type missing; ","")&amp;IF(COUNTIFS(scans!$C$2:$C$1601,$C888,scans!$D$2:$D$1601,$D888)&gt;1,"two readings of this type: keep one; ",""))</f>
        <v/>
      </c>
    </row>
    <row r="889">
      <c r="A889" s="9" t="n"/>
      <c r="B889" s="33" t="n"/>
      <c r="G889" s="25">
        <f>IF($C889="","",IFERROR(IF(INDEX(links!$A$2:$A$501,MATCH($C889,links!$D$2:$D$501,0))="","",INDEX(links!$A$2:$A$501,MATCH($C889,links!$D$2:$D$501,0))),""))</f>
        <v/>
      </c>
      <c r="H889" s="25">
        <f>IF($C889="","",IFERROR(IF(INDEX(links!$B$2:$B$501,MATCH($C889,links!$D$2:$D$501,0))="","",INDEX(links!$B$2:$B$501,MATCH($C889,links!$D$2:$D$501,0))),""))</f>
        <v/>
      </c>
      <c r="I889" s="25">
        <f>IF($C889="","",IFERROR(IF(INDEX(links!$C$2:$C$501,MATCH($C889,links!$D$2:$D$501,0))="","",INDEX(links!$C$2:$C$501,MATCH($C889,links!$D$2:$D$501,0))),""))</f>
        <v/>
      </c>
      <c r="J889" s="25">
        <f>IF($C889="","",IF($G889="","slug not in links; ","")&amp;IF($D889="","reading type missing; ","")&amp;IF(COUNTIFS(scans!$C$2:$C$1601,$C889,scans!$D$2:$D$1601,$D889)&gt;1,"two readings of this type: keep one; ",""))</f>
        <v/>
      </c>
    </row>
    <row r="890">
      <c r="A890" s="9" t="n"/>
      <c r="B890" s="33" t="n"/>
      <c r="G890" s="25">
        <f>IF($C890="","",IFERROR(IF(INDEX(links!$A$2:$A$501,MATCH($C890,links!$D$2:$D$501,0))="","",INDEX(links!$A$2:$A$501,MATCH($C890,links!$D$2:$D$501,0))),""))</f>
        <v/>
      </c>
      <c r="H890" s="25">
        <f>IF($C890="","",IFERROR(IF(INDEX(links!$B$2:$B$501,MATCH($C890,links!$D$2:$D$501,0))="","",INDEX(links!$B$2:$B$501,MATCH($C890,links!$D$2:$D$501,0))),""))</f>
        <v/>
      </c>
      <c r="I890" s="25">
        <f>IF($C890="","",IFERROR(IF(INDEX(links!$C$2:$C$501,MATCH($C890,links!$D$2:$D$501,0))="","",INDEX(links!$C$2:$C$501,MATCH($C890,links!$D$2:$D$501,0))),""))</f>
        <v/>
      </c>
      <c r="J890" s="25">
        <f>IF($C890="","",IF($G890="","slug not in links; ","")&amp;IF($D890="","reading type missing; ","")&amp;IF(COUNTIFS(scans!$C$2:$C$1601,$C890,scans!$D$2:$D$1601,$D890)&gt;1,"two readings of this type: keep one; ",""))</f>
        <v/>
      </c>
    </row>
    <row r="891">
      <c r="A891" s="9" t="n"/>
      <c r="B891" s="33" t="n"/>
      <c r="G891" s="25">
        <f>IF($C891="","",IFERROR(IF(INDEX(links!$A$2:$A$501,MATCH($C891,links!$D$2:$D$501,0))="","",INDEX(links!$A$2:$A$501,MATCH($C891,links!$D$2:$D$501,0))),""))</f>
        <v/>
      </c>
      <c r="H891" s="25">
        <f>IF($C891="","",IFERROR(IF(INDEX(links!$B$2:$B$501,MATCH($C891,links!$D$2:$D$501,0))="","",INDEX(links!$B$2:$B$501,MATCH($C891,links!$D$2:$D$501,0))),""))</f>
        <v/>
      </c>
      <c r="I891" s="25">
        <f>IF($C891="","",IFERROR(IF(INDEX(links!$C$2:$C$501,MATCH($C891,links!$D$2:$D$501,0))="","",INDEX(links!$C$2:$C$501,MATCH($C891,links!$D$2:$D$501,0))),""))</f>
        <v/>
      </c>
      <c r="J891" s="25">
        <f>IF($C891="","",IF($G891="","slug not in links; ","")&amp;IF($D891="","reading type missing; ","")&amp;IF(COUNTIFS(scans!$C$2:$C$1601,$C891,scans!$D$2:$D$1601,$D891)&gt;1,"two readings of this type: keep one; ",""))</f>
        <v/>
      </c>
    </row>
    <row r="892">
      <c r="A892" s="9" t="n"/>
      <c r="B892" s="33" t="n"/>
      <c r="G892" s="25">
        <f>IF($C892="","",IFERROR(IF(INDEX(links!$A$2:$A$501,MATCH($C892,links!$D$2:$D$501,0))="","",INDEX(links!$A$2:$A$501,MATCH($C892,links!$D$2:$D$501,0))),""))</f>
        <v/>
      </c>
      <c r="H892" s="25">
        <f>IF($C892="","",IFERROR(IF(INDEX(links!$B$2:$B$501,MATCH($C892,links!$D$2:$D$501,0))="","",INDEX(links!$B$2:$B$501,MATCH($C892,links!$D$2:$D$501,0))),""))</f>
        <v/>
      </c>
      <c r="I892" s="25">
        <f>IF($C892="","",IFERROR(IF(INDEX(links!$C$2:$C$501,MATCH($C892,links!$D$2:$D$501,0))="","",INDEX(links!$C$2:$C$501,MATCH($C892,links!$D$2:$D$501,0))),""))</f>
        <v/>
      </c>
      <c r="J892" s="25">
        <f>IF($C892="","",IF($G892="","slug not in links; ","")&amp;IF($D892="","reading type missing; ","")&amp;IF(COUNTIFS(scans!$C$2:$C$1601,$C892,scans!$D$2:$D$1601,$D892)&gt;1,"two readings of this type: keep one; ",""))</f>
        <v/>
      </c>
    </row>
    <row r="893">
      <c r="A893" s="9" t="n"/>
      <c r="B893" s="33" t="n"/>
      <c r="G893" s="25">
        <f>IF($C893="","",IFERROR(IF(INDEX(links!$A$2:$A$501,MATCH($C893,links!$D$2:$D$501,0))="","",INDEX(links!$A$2:$A$501,MATCH($C893,links!$D$2:$D$501,0))),""))</f>
        <v/>
      </c>
      <c r="H893" s="25">
        <f>IF($C893="","",IFERROR(IF(INDEX(links!$B$2:$B$501,MATCH($C893,links!$D$2:$D$501,0))="","",INDEX(links!$B$2:$B$501,MATCH($C893,links!$D$2:$D$501,0))),""))</f>
        <v/>
      </c>
      <c r="I893" s="25">
        <f>IF($C893="","",IFERROR(IF(INDEX(links!$C$2:$C$501,MATCH($C893,links!$D$2:$D$501,0))="","",INDEX(links!$C$2:$C$501,MATCH($C893,links!$D$2:$D$501,0))),""))</f>
        <v/>
      </c>
      <c r="J893" s="25">
        <f>IF($C893="","",IF($G893="","slug not in links; ","")&amp;IF($D893="","reading type missing; ","")&amp;IF(COUNTIFS(scans!$C$2:$C$1601,$C893,scans!$D$2:$D$1601,$D893)&gt;1,"two readings of this type: keep one; ",""))</f>
        <v/>
      </c>
    </row>
    <row r="894">
      <c r="A894" s="9" t="n"/>
      <c r="B894" s="33" t="n"/>
      <c r="G894" s="25">
        <f>IF($C894="","",IFERROR(IF(INDEX(links!$A$2:$A$501,MATCH($C894,links!$D$2:$D$501,0))="","",INDEX(links!$A$2:$A$501,MATCH($C894,links!$D$2:$D$501,0))),""))</f>
        <v/>
      </c>
      <c r="H894" s="25">
        <f>IF($C894="","",IFERROR(IF(INDEX(links!$B$2:$B$501,MATCH($C894,links!$D$2:$D$501,0))="","",INDEX(links!$B$2:$B$501,MATCH($C894,links!$D$2:$D$501,0))),""))</f>
        <v/>
      </c>
      <c r="I894" s="25">
        <f>IF($C894="","",IFERROR(IF(INDEX(links!$C$2:$C$501,MATCH($C894,links!$D$2:$D$501,0))="","",INDEX(links!$C$2:$C$501,MATCH($C894,links!$D$2:$D$501,0))),""))</f>
        <v/>
      </c>
      <c r="J894" s="25">
        <f>IF($C894="","",IF($G894="","slug not in links; ","")&amp;IF($D894="","reading type missing; ","")&amp;IF(COUNTIFS(scans!$C$2:$C$1601,$C894,scans!$D$2:$D$1601,$D894)&gt;1,"two readings of this type: keep one; ",""))</f>
        <v/>
      </c>
    </row>
    <row r="895">
      <c r="A895" s="9" t="n"/>
      <c r="B895" s="33" t="n"/>
      <c r="G895" s="25">
        <f>IF($C895="","",IFERROR(IF(INDEX(links!$A$2:$A$501,MATCH($C895,links!$D$2:$D$501,0))="","",INDEX(links!$A$2:$A$501,MATCH($C895,links!$D$2:$D$501,0))),""))</f>
        <v/>
      </c>
      <c r="H895" s="25">
        <f>IF($C895="","",IFERROR(IF(INDEX(links!$B$2:$B$501,MATCH($C895,links!$D$2:$D$501,0))="","",INDEX(links!$B$2:$B$501,MATCH($C895,links!$D$2:$D$501,0))),""))</f>
        <v/>
      </c>
      <c r="I895" s="25">
        <f>IF($C895="","",IFERROR(IF(INDEX(links!$C$2:$C$501,MATCH($C895,links!$D$2:$D$501,0))="","",INDEX(links!$C$2:$C$501,MATCH($C895,links!$D$2:$D$501,0))),""))</f>
        <v/>
      </c>
      <c r="J895" s="25">
        <f>IF($C895="","",IF($G895="","slug not in links; ","")&amp;IF($D895="","reading type missing; ","")&amp;IF(COUNTIFS(scans!$C$2:$C$1601,$C895,scans!$D$2:$D$1601,$D895)&gt;1,"two readings of this type: keep one; ",""))</f>
        <v/>
      </c>
    </row>
    <row r="896">
      <c r="A896" s="9" t="n"/>
      <c r="B896" s="33" t="n"/>
      <c r="G896" s="25">
        <f>IF($C896="","",IFERROR(IF(INDEX(links!$A$2:$A$501,MATCH($C896,links!$D$2:$D$501,0))="","",INDEX(links!$A$2:$A$501,MATCH($C896,links!$D$2:$D$501,0))),""))</f>
        <v/>
      </c>
      <c r="H896" s="25">
        <f>IF($C896="","",IFERROR(IF(INDEX(links!$B$2:$B$501,MATCH($C896,links!$D$2:$D$501,0))="","",INDEX(links!$B$2:$B$501,MATCH($C896,links!$D$2:$D$501,0))),""))</f>
        <v/>
      </c>
      <c r="I896" s="25">
        <f>IF($C896="","",IFERROR(IF(INDEX(links!$C$2:$C$501,MATCH($C896,links!$D$2:$D$501,0))="","",INDEX(links!$C$2:$C$501,MATCH($C896,links!$D$2:$D$501,0))),""))</f>
        <v/>
      </c>
      <c r="J896" s="25">
        <f>IF($C896="","",IF($G896="","slug not in links; ","")&amp;IF($D896="","reading type missing; ","")&amp;IF(COUNTIFS(scans!$C$2:$C$1601,$C896,scans!$D$2:$D$1601,$D896)&gt;1,"two readings of this type: keep one; ",""))</f>
        <v/>
      </c>
    </row>
    <row r="897">
      <c r="A897" s="9" t="n"/>
      <c r="B897" s="33" t="n"/>
      <c r="G897" s="25">
        <f>IF($C897="","",IFERROR(IF(INDEX(links!$A$2:$A$501,MATCH($C897,links!$D$2:$D$501,0))="","",INDEX(links!$A$2:$A$501,MATCH($C897,links!$D$2:$D$501,0))),""))</f>
        <v/>
      </c>
      <c r="H897" s="25">
        <f>IF($C897="","",IFERROR(IF(INDEX(links!$B$2:$B$501,MATCH($C897,links!$D$2:$D$501,0))="","",INDEX(links!$B$2:$B$501,MATCH($C897,links!$D$2:$D$501,0))),""))</f>
        <v/>
      </c>
      <c r="I897" s="25">
        <f>IF($C897="","",IFERROR(IF(INDEX(links!$C$2:$C$501,MATCH($C897,links!$D$2:$D$501,0))="","",INDEX(links!$C$2:$C$501,MATCH($C897,links!$D$2:$D$501,0))),""))</f>
        <v/>
      </c>
      <c r="J897" s="25">
        <f>IF($C897="","",IF($G897="","slug not in links; ","")&amp;IF($D897="","reading type missing; ","")&amp;IF(COUNTIFS(scans!$C$2:$C$1601,$C897,scans!$D$2:$D$1601,$D897)&gt;1,"two readings of this type: keep one; ",""))</f>
        <v/>
      </c>
    </row>
    <row r="898">
      <c r="A898" s="9" t="n"/>
      <c r="B898" s="33" t="n"/>
      <c r="G898" s="25">
        <f>IF($C898="","",IFERROR(IF(INDEX(links!$A$2:$A$501,MATCH($C898,links!$D$2:$D$501,0))="","",INDEX(links!$A$2:$A$501,MATCH($C898,links!$D$2:$D$501,0))),""))</f>
        <v/>
      </c>
      <c r="H898" s="25">
        <f>IF($C898="","",IFERROR(IF(INDEX(links!$B$2:$B$501,MATCH($C898,links!$D$2:$D$501,0))="","",INDEX(links!$B$2:$B$501,MATCH($C898,links!$D$2:$D$501,0))),""))</f>
        <v/>
      </c>
      <c r="I898" s="25">
        <f>IF($C898="","",IFERROR(IF(INDEX(links!$C$2:$C$501,MATCH($C898,links!$D$2:$D$501,0))="","",INDEX(links!$C$2:$C$501,MATCH($C898,links!$D$2:$D$501,0))),""))</f>
        <v/>
      </c>
      <c r="J898" s="25">
        <f>IF($C898="","",IF($G898="","slug not in links; ","")&amp;IF($D898="","reading type missing; ","")&amp;IF(COUNTIFS(scans!$C$2:$C$1601,$C898,scans!$D$2:$D$1601,$D898)&gt;1,"two readings of this type: keep one; ",""))</f>
        <v/>
      </c>
    </row>
    <row r="899">
      <c r="A899" s="9" t="n"/>
      <c r="B899" s="33" t="n"/>
      <c r="G899" s="25">
        <f>IF($C899="","",IFERROR(IF(INDEX(links!$A$2:$A$501,MATCH($C899,links!$D$2:$D$501,0))="","",INDEX(links!$A$2:$A$501,MATCH($C899,links!$D$2:$D$501,0))),""))</f>
        <v/>
      </c>
      <c r="H899" s="25">
        <f>IF($C899="","",IFERROR(IF(INDEX(links!$B$2:$B$501,MATCH($C899,links!$D$2:$D$501,0))="","",INDEX(links!$B$2:$B$501,MATCH($C899,links!$D$2:$D$501,0))),""))</f>
        <v/>
      </c>
      <c r="I899" s="25">
        <f>IF($C899="","",IFERROR(IF(INDEX(links!$C$2:$C$501,MATCH($C899,links!$D$2:$D$501,0))="","",INDEX(links!$C$2:$C$501,MATCH($C899,links!$D$2:$D$501,0))),""))</f>
        <v/>
      </c>
      <c r="J899" s="25">
        <f>IF($C899="","",IF($G899="","slug not in links; ","")&amp;IF($D899="","reading type missing; ","")&amp;IF(COUNTIFS(scans!$C$2:$C$1601,$C899,scans!$D$2:$D$1601,$D899)&gt;1,"two readings of this type: keep one; ",""))</f>
        <v/>
      </c>
    </row>
    <row r="900">
      <c r="A900" s="9" t="n"/>
      <c r="B900" s="33" t="n"/>
      <c r="G900" s="25">
        <f>IF($C900="","",IFERROR(IF(INDEX(links!$A$2:$A$501,MATCH($C900,links!$D$2:$D$501,0))="","",INDEX(links!$A$2:$A$501,MATCH($C900,links!$D$2:$D$501,0))),""))</f>
        <v/>
      </c>
      <c r="H900" s="25">
        <f>IF($C900="","",IFERROR(IF(INDEX(links!$B$2:$B$501,MATCH($C900,links!$D$2:$D$501,0))="","",INDEX(links!$B$2:$B$501,MATCH($C900,links!$D$2:$D$501,0))),""))</f>
        <v/>
      </c>
      <c r="I900" s="25">
        <f>IF($C900="","",IFERROR(IF(INDEX(links!$C$2:$C$501,MATCH($C900,links!$D$2:$D$501,0))="","",INDEX(links!$C$2:$C$501,MATCH($C900,links!$D$2:$D$501,0))),""))</f>
        <v/>
      </c>
      <c r="J900" s="25">
        <f>IF($C900="","",IF($G900="","slug not in links; ","")&amp;IF($D900="","reading type missing; ","")&amp;IF(COUNTIFS(scans!$C$2:$C$1601,$C900,scans!$D$2:$D$1601,$D900)&gt;1,"two readings of this type: keep one; ",""))</f>
        <v/>
      </c>
    </row>
    <row r="901">
      <c r="A901" s="9" t="n"/>
      <c r="B901" s="33" t="n"/>
      <c r="G901" s="25">
        <f>IF($C901="","",IFERROR(IF(INDEX(links!$A$2:$A$501,MATCH($C901,links!$D$2:$D$501,0))="","",INDEX(links!$A$2:$A$501,MATCH($C901,links!$D$2:$D$501,0))),""))</f>
        <v/>
      </c>
      <c r="H901" s="25">
        <f>IF($C901="","",IFERROR(IF(INDEX(links!$B$2:$B$501,MATCH($C901,links!$D$2:$D$501,0))="","",INDEX(links!$B$2:$B$501,MATCH($C901,links!$D$2:$D$501,0))),""))</f>
        <v/>
      </c>
      <c r="I901" s="25">
        <f>IF($C901="","",IFERROR(IF(INDEX(links!$C$2:$C$501,MATCH($C901,links!$D$2:$D$501,0))="","",INDEX(links!$C$2:$C$501,MATCH($C901,links!$D$2:$D$501,0))),""))</f>
        <v/>
      </c>
      <c r="J901" s="25">
        <f>IF($C901="","",IF($G901="","slug not in links; ","")&amp;IF($D901="","reading type missing; ","")&amp;IF(COUNTIFS(scans!$C$2:$C$1601,$C901,scans!$D$2:$D$1601,$D901)&gt;1,"two readings of this type: keep one; ",""))</f>
        <v/>
      </c>
    </row>
    <row r="902">
      <c r="A902" s="9" t="n"/>
      <c r="B902" s="33" t="n"/>
      <c r="G902" s="25">
        <f>IF($C902="","",IFERROR(IF(INDEX(links!$A$2:$A$501,MATCH($C902,links!$D$2:$D$501,0))="","",INDEX(links!$A$2:$A$501,MATCH($C902,links!$D$2:$D$501,0))),""))</f>
        <v/>
      </c>
      <c r="H902" s="25">
        <f>IF($C902="","",IFERROR(IF(INDEX(links!$B$2:$B$501,MATCH($C902,links!$D$2:$D$501,0))="","",INDEX(links!$B$2:$B$501,MATCH($C902,links!$D$2:$D$501,0))),""))</f>
        <v/>
      </c>
      <c r="I902" s="25">
        <f>IF($C902="","",IFERROR(IF(INDEX(links!$C$2:$C$501,MATCH($C902,links!$D$2:$D$501,0))="","",INDEX(links!$C$2:$C$501,MATCH($C902,links!$D$2:$D$501,0))),""))</f>
        <v/>
      </c>
      <c r="J902" s="25">
        <f>IF($C902="","",IF($G902="","slug not in links; ","")&amp;IF($D902="","reading type missing; ","")&amp;IF(COUNTIFS(scans!$C$2:$C$1601,$C902,scans!$D$2:$D$1601,$D902)&gt;1,"two readings of this type: keep one; ",""))</f>
        <v/>
      </c>
    </row>
    <row r="903">
      <c r="A903" s="9" t="n"/>
      <c r="B903" s="33" t="n"/>
      <c r="G903" s="25">
        <f>IF($C903="","",IFERROR(IF(INDEX(links!$A$2:$A$501,MATCH($C903,links!$D$2:$D$501,0))="","",INDEX(links!$A$2:$A$501,MATCH($C903,links!$D$2:$D$501,0))),""))</f>
        <v/>
      </c>
      <c r="H903" s="25">
        <f>IF($C903="","",IFERROR(IF(INDEX(links!$B$2:$B$501,MATCH($C903,links!$D$2:$D$501,0))="","",INDEX(links!$B$2:$B$501,MATCH($C903,links!$D$2:$D$501,0))),""))</f>
        <v/>
      </c>
      <c r="I903" s="25">
        <f>IF($C903="","",IFERROR(IF(INDEX(links!$C$2:$C$501,MATCH($C903,links!$D$2:$D$501,0))="","",INDEX(links!$C$2:$C$501,MATCH($C903,links!$D$2:$D$501,0))),""))</f>
        <v/>
      </c>
      <c r="J903" s="25">
        <f>IF($C903="","",IF($G903="","slug not in links; ","")&amp;IF($D903="","reading type missing; ","")&amp;IF(COUNTIFS(scans!$C$2:$C$1601,$C903,scans!$D$2:$D$1601,$D903)&gt;1,"two readings of this type: keep one; ",""))</f>
        <v/>
      </c>
    </row>
    <row r="904">
      <c r="A904" s="9" t="n"/>
      <c r="B904" s="33" t="n"/>
      <c r="G904" s="25">
        <f>IF($C904="","",IFERROR(IF(INDEX(links!$A$2:$A$501,MATCH($C904,links!$D$2:$D$501,0))="","",INDEX(links!$A$2:$A$501,MATCH($C904,links!$D$2:$D$501,0))),""))</f>
        <v/>
      </c>
      <c r="H904" s="25">
        <f>IF($C904="","",IFERROR(IF(INDEX(links!$B$2:$B$501,MATCH($C904,links!$D$2:$D$501,0))="","",INDEX(links!$B$2:$B$501,MATCH($C904,links!$D$2:$D$501,0))),""))</f>
        <v/>
      </c>
      <c r="I904" s="25">
        <f>IF($C904="","",IFERROR(IF(INDEX(links!$C$2:$C$501,MATCH($C904,links!$D$2:$D$501,0))="","",INDEX(links!$C$2:$C$501,MATCH($C904,links!$D$2:$D$501,0))),""))</f>
        <v/>
      </c>
      <c r="J904" s="25">
        <f>IF($C904="","",IF($G904="","slug not in links; ","")&amp;IF($D904="","reading type missing; ","")&amp;IF(COUNTIFS(scans!$C$2:$C$1601,$C904,scans!$D$2:$D$1601,$D904)&gt;1,"two readings of this type: keep one; ",""))</f>
        <v/>
      </c>
    </row>
    <row r="905">
      <c r="A905" s="9" t="n"/>
      <c r="B905" s="33" t="n"/>
      <c r="G905" s="25">
        <f>IF($C905="","",IFERROR(IF(INDEX(links!$A$2:$A$501,MATCH($C905,links!$D$2:$D$501,0))="","",INDEX(links!$A$2:$A$501,MATCH($C905,links!$D$2:$D$501,0))),""))</f>
        <v/>
      </c>
      <c r="H905" s="25">
        <f>IF($C905="","",IFERROR(IF(INDEX(links!$B$2:$B$501,MATCH($C905,links!$D$2:$D$501,0))="","",INDEX(links!$B$2:$B$501,MATCH($C905,links!$D$2:$D$501,0))),""))</f>
        <v/>
      </c>
      <c r="I905" s="25">
        <f>IF($C905="","",IFERROR(IF(INDEX(links!$C$2:$C$501,MATCH($C905,links!$D$2:$D$501,0))="","",INDEX(links!$C$2:$C$501,MATCH($C905,links!$D$2:$D$501,0))),""))</f>
        <v/>
      </c>
      <c r="J905" s="25">
        <f>IF($C905="","",IF($G905="","slug not in links; ","")&amp;IF($D905="","reading type missing; ","")&amp;IF(COUNTIFS(scans!$C$2:$C$1601,$C905,scans!$D$2:$D$1601,$D905)&gt;1,"two readings of this type: keep one; ",""))</f>
        <v/>
      </c>
    </row>
    <row r="906">
      <c r="A906" s="9" t="n"/>
      <c r="B906" s="33" t="n"/>
      <c r="G906" s="25">
        <f>IF($C906="","",IFERROR(IF(INDEX(links!$A$2:$A$501,MATCH($C906,links!$D$2:$D$501,0))="","",INDEX(links!$A$2:$A$501,MATCH($C906,links!$D$2:$D$501,0))),""))</f>
        <v/>
      </c>
      <c r="H906" s="25">
        <f>IF($C906="","",IFERROR(IF(INDEX(links!$B$2:$B$501,MATCH($C906,links!$D$2:$D$501,0))="","",INDEX(links!$B$2:$B$501,MATCH($C906,links!$D$2:$D$501,0))),""))</f>
        <v/>
      </c>
      <c r="I906" s="25">
        <f>IF($C906="","",IFERROR(IF(INDEX(links!$C$2:$C$501,MATCH($C906,links!$D$2:$D$501,0))="","",INDEX(links!$C$2:$C$501,MATCH($C906,links!$D$2:$D$501,0))),""))</f>
        <v/>
      </c>
      <c r="J906" s="25">
        <f>IF($C906="","",IF($G906="","slug not in links; ","")&amp;IF($D906="","reading type missing; ","")&amp;IF(COUNTIFS(scans!$C$2:$C$1601,$C906,scans!$D$2:$D$1601,$D906)&gt;1,"two readings of this type: keep one; ",""))</f>
        <v/>
      </c>
    </row>
    <row r="907">
      <c r="A907" s="9" t="n"/>
      <c r="B907" s="33" t="n"/>
      <c r="G907" s="25">
        <f>IF($C907="","",IFERROR(IF(INDEX(links!$A$2:$A$501,MATCH($C907,links!$D$2:$D$501,0))="","",INDEX(links!$A$2:$A$501,MATCH($C907,links!$D$2:$D$501,0))),""))</f>
        <v/>
      </c>
      <c r="H907" s="25">
        <f>IF($C907="","",IFERROR(IF(INDEX(links!$B$2:$B$501,MATCH($C907,links!$D$2:$D$501,0))="","",INDEX(links!$B$2:$B$501,MATCH($C907,links!$D$2:$D$501,0))),""))</f>
        <v/>
      </c>
      <c r="I907" s="25">
        <f>IF($C907="","",IFERROR(IF(INDEX(links!$C$2:$C$501,MATCH($C907,links!$D$2:$D$501,0))="","",INDEX(links!$C$2:$C$501,MATCH($C907,links!$D$2:$D$501,0))),""))</f>
        <v/>
      </c>
      <c r="J907" s="25">
        <f>IF($C907="","",IF($G907="","slug not in links; ","")&amp;IF($D907="","reading type missing; ","")&amp;IF(COUNTIFS(scans!$C$2:$C$1601,$C907,scans!$D$2:$D$1601,$D907)&gt;1,"two readings of this type: keep one; ",""))</f>
        <v/>
      </c>
    </row>
    <row r="908">
      <c r="A908" s="9" t="n"/>
      <c r="B908" s="33" t="n"/>
      <c r="G908" s="25">
        <f>IF($C908="","",IFERROR(IF(INDEX(links!$A$2:$A$501,MATCH($C908,links!$D$2:$D$501,0))="","",INDEX(links!$A$2:$A$501,MATCH($C908,links!$D$2:$D$501,0))),""))</f>
        <v/>
      </c>
      <c r="H908" s="25">
        <f>IF($C908="","",IFERROR(IF(INDEX(links!$B$2:$B$501,MATCH($C908,links!$D$2:$D$501,0))="","",INDEX(links!$B$2:$B$501,MATCH($C908,links!$D$2:$D$501,0))),""))</f>
        <v/>
      </c>
      <c r="I908" s="25">
        <f>IF($C908="","",IFERROR(IF(INDEX(links!$C$2:$C$501,MATCH($C908,links!$D$2:$D$501,0))="","",INDEX(links!$C$2:$C$501,MATCH($C908,links!$D$2:$D$501,0))),""))</f>
        <v/>
      </c>
      <c r="J908" s="25">
        <f>IF($C908="","",IF($G908="","slug not in links; ","")&amp;IF($D908="","reading type missing; ","")&amp;IF(COUNTIFS(scans!$C$2:$C$1601,$C908,scans!$D$2:$D$1601,$D908)&gt;1,"two readings of this type: keep one; ",""))</f>
        <v/>
      </c>
    </row>
    <row r="909">
      <c r="A909" s="9" t="n"/>
      <c r="B909" s="33" t="n"/>
      <c r="G909" s="25">
        <f>IF($C909="","",IFERROR(IF(INDEX(links!$A$2:$A$501,MATCH($C909,links!$D$2:$D$501,0))="","",INDEX(links!$A$2:$A$501,MATCH($C909,links!$D$2:$D$501,0))),""))</f>
        <v/>
      </c>
      <c r="H909" s="25">
        <f>IF($C909="","",IFERROR(IF(INDEX(links!$B$2:$B$501,MATCH($C909,links!$D$2:$D$501,0))="","",INDEX(links!$B$2:$B$501,MATCH($C909,links!$D$2:$D$501,0))),""))</f>
        <v/>
      </c>
      <c r="I909" s="25">
        <f>IF($C909="","",IFERROR(IF(INDEX(links!$C$2:$C$501,MATCH($C909,links!$D$2:$D$501,0))="","",INDEX(links!$C$2:$C$501,MATCH($C909,links!$D$2:$D$501,0))),""))</f>
        <v/>
      </c>
      <c r="J909" s="25">
        <f>IF($C909="","",IF($G909="","slug not in links; ","")&amp;IF($D909="","reading type missing; ","")&amp;IF(COUNTIFS(scans!$C$2:$C$1601,$C909,scans!$D$2:$D$1601,$D909)&gt;1,"two readings of this type: keep one; ",""))</f>
        <v/>
      </c>
    </row>
    <row r="910">
      <c r="A910" s="9" t="n"/>
      <c r="B910" s="33" t="n"/>
      <c r="G910" s="25">
        <f>IF($C910="","",IFERROR(IF(INDEX(links!$A$2:$A$501,MATCH($C910,links!$D$2:$D$501,0))="","",INDEX(links!$A$2:$A$501,MATCH($C910,links!$D$2:$D$501,0))),""))</f>
        <v/>
      </c>
      <c r="H910" s="25">
        <f>IF($C910="","",IFERROR(IF(INDEX(links!$B$2:$B$501,MATCH($C910,links!$D$2:$D$501,0))="","",INDEX(links!$B$2:$B$501,MATCH($C910,links!$D$2:$D$501,0))),""))</f>
        <v/>
      </c>
      <c r="I910" s="25">
        <f>IF($C910="","",IFERROR(IF(INDEX(links!$C$2:$C$501,MATCH($C910,links!$D$2:$D$501,0))="","",INDEX(links!$C$2:$C$501,MATCH($C910,links!$D$2:$D$501,0))),""))</f>
        <v/>
      </c>
      <c r="J910" s="25">
        <f>IF($C910="","",IF($G910="","slug not in links; ","")&amp;IF($D910="","reading type missing; ","")&amp;IF(COUNTIFS(scans!$C$2:$C$1601,$C910,scans!$D$2:$D$1601,$D910)&gt;1,"two readings of this type: keep one; ",""))</f>
        <v/>
      </c>
    </row>
    <row r="911">
      <c r="A911" s="9" t="n"/>
      <c r="B911" s="33" t="n"/>
      <c r="G911" s="25">
        <f>IF($C911="","",IFERROR(IF(INDEX(links!$A$2:$A$501,MATCH($C911,links!$D$2:$D$501,0))="","",INDEX(links!$A$2:$A$501,MATCH($C911,links!$D$2:$D$501,0))),""))</f>
        <v/>
      </c>
      <c r="H911" s="25">
        <f>IF($C911="","",IFERROR(IF(INDEX(links!$B$2:$B$501,MATCH($C911,links!$D$2:$D$501,0))="","",INDEX(links!$B$2:$B$501,MATCH($C911,links!$D$2:$D$501,0))),""))</f>
        <v/>
      </c>
      <c r="I911" s="25">
        <f>IF($C911="","",IFERROR(IF(INDEX(links!$C$2:$C$501,MATCH($C911,links!$D$2:$D$501,0))="","",INDEX(links!$C$2:$C$501,MATCH($C911,links!$D$2:$D$501,0))),""))</f>
        <v/>
      </c>
      <c r="J911" s="25">
        <f>IF($C911="","",IF($G911="","slug not in links; ","")&amp;IF($D911="","reading type missing; ","")&amp;IF(COUNTIFS(scans!$C$2:$C$1601,$C911,scans!$D$2:$D$1601,$D911)&gt;1,"two readings of this type: keep one; ",""))</f>
        <v/>
      </c>
    </row>
    <row r="912">
      <c r="A912" s="9" t="n"/>
      <c r="B912" s="33" t="n"/>
      <c r="G912" s="25">
        <f>IF($C912="","",IFERROR(IF(INDEX(links!$A$2:$A$501,MATCH($C912,links!$D$2:$D$501,0))="","",INDEX(links!$A$2:$A$501,MATCH($C912,links!$D$2:$D$501,0))),""))</f>
        <v/>
      </c>
      <c r="H912" s="25">
        <f>IF($C912="","",IFERROR(IF(INDEX(links!$B$2:$B$501,MATCH($C912,links!$D$2:$D$501,0))="","",INDEX(links!$B$2:$B$501,MATCH($C912,links!$D$2:$D$501,0))),""))</f>
        <v/>
      </c>
      <c r="I912" s="25">
        <f>IF($C912="","",IFERROR(IF(INDEX(links!$C$2:$C$501,MATCH($C912,links!$D$2:$D$501,0))="","",INDEX(links!$C$2:$C$501,MATCH($C912,links!$D$2:$D$501,0))),""))</f>
        <v/>
      </c>
      <c r="J912" s="25">
        <f>IF($C912="","",IF($G912="","slug not in links; ","")&amp;IF($D912="","reading type missing; ","")&amp;IF(COUNTIFS(scans!$C$2:$C$1601,$C912,scans!$D$2:$D$1601,$D912)&gt;1,"two readings of this type: keep one; ",""))</f>
        <v/>
      </c>
    </row>
    <row r="913">
      <c r="A913" s="9" t="n"/>
      <c r="B913" s="33" t="n"/>
      <c r="G913" s="25">
        <f>IF($C913="","",IFERROR(IF(INDEX(links!$A$2:$A$501,MATCH($C913,links!$D$2:$D$501,0))="","",INDEX(links!$A$2:$A$501,MATCH($C913,links!$D$2:$D$501,0))),""))</f>
        <v/>
      </c>
      <c r="H913" s="25">
        <f>IF($C913="","",IFERROR(IF(INDEX(links!$B$2:$B$501,MATCH($C913,links!$D$2:$D$501,0))="","",INDEX(links!$B$2:$B$501,MATCH($C913,links!$D$2:$D$501,0))),""))</f>
        <v/>
      </c>
      <c r="I913" s="25">
        <f>IF($C913="","",IFERROR(IF(INDEX(links!$C$2:$C$501,MATCH($C913,links!$D$2:$D$501,0))="","",INDEX(links!$C$2:$C$501,MATCH($C913,links!$D$2:$D$501,0))),""))</f>
        <v/>
      </c>
      <c r="J913" s="25">
        <f>IF($C913="","",IF($G913="","slug not in links; ","")&amp;IF($D913="","reading type missing; ","")&amp;IF(COUNTIFS(scans!$C$2:$C$1601,$C913,scans!$D$2:$D$1601,$D913)&gt;1,"two readings of this type: keep one; ",""))</f>
        <v/>
      </c>
    </row>
    <row r="914">
      <c r="A914" s="9" t="n"/>
      <c r="B914" s="33" t="n"/>
      <c r="G914" s="25">
        <f>IF($C914="","",IFERROR(IF(INDEX(links!$A$2:$A$501,MATCH($C914,links!$D$2:$D$501,0))="","",INDEX(links!$A$2:$A$501,MATCH($C914,links!$D$2:$D$501,0))),""))</f>
        <v/>
      </c>
      <c r="H914" s="25">
        <f>IF($C914="","",IFERROR(IF(INDEX(links!$B$2:$B$501,MATCH($C914,links!$D$2:$D$501,0))="","",INDEX(links!$B$2:$B$501,MATCH($C914,links!$D$2:$D$501,0))),""))</f>
        <v/>
      </c>
      <c r="I914" s="25">
        <f>IF($C914="","",IFERROR(IF(INDEX(links!$C$2:$C$501,MATCH($C914,links!$D$2:$D$501,0))="","",INDEX(links!$C$2:$C$501,MATCH($C914,links!$D$2:$D$501,0))),""))</f>
        <v/>
      </c>
      <c r="J914" s="25">
        <f>IF($C914="","",IF($G914="","slug not in links; ","")&amp;IF($D914="","reading type missing; ","")&amp;IF(COUNTIFS(scans!$C$2:$C$1601,$C914,scans!$D$2:$D$1601,$D914)&gt;1,"two readings of this type: keep one; ",""))</f>
        <v/>
      </c>
    </row>
    <row r="915">
      <c r="A915" s="9" t="n"/>
      <c r="B915" s="33" t="n"/>
      <c r="G915" s="25">
        <f>IF($C915="","",IFERROR(IF(INDEX(links!$A$2:$A$501,MATCH($C915,links!$D$2:$D$501,0))="","",INDEX(links!$A$2:$A$501,MATCH($C915,links!$D$2:$D$501,0))),""))</f>
        <v/>
      </c>
      <c r="H915" s="25">
        <f>IF($C915="","",IFERROR(IF(INDEX(links!$B$2:$B$501,MATCH($C915,links!$D$2:$D$501,0))="","",INDEX(links!$B$2:$B$501,MATCH($C915,links!$D$2:$D$501,0))),""))</f>
        <v/>
      </c>
      <c r="I915" s="25">
        <f>IF($C915="","",IFERROR(IF(INDEX(links!$C$2:$C$501,MATCH($C915,links!$D$2:$D$501,0))="","",INDEX(links!$C$2:$C$501,MATCH($C915,links!$D$2:$D$501,0))),""))</f>
        <v/>
      </c>
      <c r="J915" s="25">
        <f>IF($C915="","",IF($G915="","slug not in links; ","")&amp;IF($D915="","reading type missing; ","")&amp;IF(COUNTIFS(scans!$C$2:$C$1601,$C915,scans!$D$2:$D$1601,$D915)&gt;1,"two readings of this type: keep one; ",""))</f>
        <v/>
      </c>
    </row>
    <row r="916">
      <c r="A916" s="9" t="n"/>
      <c r="B916" s="33" t="n"/>
      <c r="G916" s="25">
        <f>IF($C916="","",IFERROR(IF(INDEX(links!$A$2:$A$501,MATCH($C916,links!$D$2:$D$501,0))="","",INDEX(links!$A$2:$A$501,MATCH($C916,links!$D$2:$D$501,0))),""))</f>
        <v/>
      </c>
      <c r="H916" s="25">
        <f>IF($C916="","",IFERROR(IF(INDEX(links!$B$2:$B$501,MATCH($C916,links!$D$2:$D$501,0))="","",INDEX(links!$B$2:$B$501,MATCH($C916,links!$D$2:$D$501,0))),""))</f>
        <v/>
      </c>
      <c r="I916" s="25">
        <f>IF($C916="","",IFERROR(IF(INDEX(links!$C$2:$C$501,MATCH($C916,links!$D$2:$D$501,0))="","",INDEX(links!$C$2:$C$501,MATCH($C916,links!$D$2:$D$501,0))),""))</f>
        <v/>
      </c>
      <c r="J916" s="25">
        <f>IF($C916="","",IF($G916="","slug not in links; ","")&amp;IF($D916="","reading type missing; ","")&amp;IF(COUNTIFS(scans!$C$2:$C$1601,$C916,scans!$D$2:$D$1601,$D916)&gt;1,"two readings of this type: keep one; ",""))</f>
        <v/>
      </c>
    </row>
    <row r="917">
      <c r="A917" s="9" t="n"/>
      <c r="B917" s="33" t="n"/>
      <c r="G917" s="25">
        <f>IF($C917="","",IFERROR(IF(INDEX(links!$A$2:$A$501,MATCH($C917,links!$D$2:$D$501,0))="","",INDEX(links!$A$2:$A$501,MATCH($C917,links!$D$2:$D$501,0))),""))</f>
        <v/>
      </c>
      <c r="H917" s="25">
        <f>IF($C917="","",IFERROR(IF(INDEX(links!$B$2:$B$501,MATCH($C917,links!$D$2:$D$501,0))="","",INDEX(links!$B$2:$B$501,MATCH($C917,links!$D$2:$D$501,0))),""))</f>
        <v/>
      </c>
      <c r="I917" s="25">
        <f>IF($C917="","",IFERROR(IF(INDEX(links!$C$2:$C$501,MATCH($C917,links!$D$2:$D$501,0))="","",INDEX(links!$C$2:$C$501,MATCH($C917,links!$D$2:$D$501,0))),""))</f>
        <v/>
      </c>
      <c r="J917" s="25">
        <f>IF($C917="","",IF($G917="","slug not in links; ","")&amp;IF($D917="","reading type missing; ","")&amp;IF(COUNTIFS(scans!$C$2:$C$1601,$C917,scans!$D$2:$D$1601,$D917)&gt;1,"two readings of this type: keep one; ",""))</f>
        <v/>
      </c>
    </row>
    <row r="918">
      <c r="A918" s="9" t="n"/>
      <c r="B918" s="33" t="n"/>
      <c r="G918" s="25">
        <f>IF($C918="","",IFERROR(IF(INDEX(links!$A$2:$A$501,MATCH($C918,links!$D$2:$D$501,0))="","",INDEX(links!$A$2:$A$501,MATCH($C918,links!$D$2:$D$501,0))),""))</f>
        <v/>
      </c>
      <c r="H918" s="25">
        <f>IF($C918="","",IFERROR(IF(INDEX(links!$B$2:$B$501,MATCH($C918,links!$D$2:$D$501,0))="","",INDEX(links!$B$2:$B$501,MATCH($C918,links!$D$2:$D$501,0))),""))</f>
        <v/>
      </c>
      <c r="I918" s="25">
        <f>IF($C918="","",IFERROR(IF(INDEX(links!$C$2:$C$501,MATCH($C918,links!$D$2:$D$501,0))="","",INDEX(links!$C$2:$C$501,MATCH($C918,links!$D$2:$D$501,0))),""))</f>
        <v/>
      </c>
      <c r="J918" s="25">
        <f>IF($C918="","",IF($G918="","slug not in links; ","")&amp;IF($D918="","reading type missing; ","")&amp;IF(COUNTIFS(scans!$C$2:$C$1601,$C918,scans!$D$2:$D$1601,$D918)&gt;1,"two readings of this type: keep one; ",""))</f>
        <v/>
      </c>
    </row>
    <row r="919">
      <c r="A919" s="9" t="n"/>
      <c r="B919" s="33" t="n"/>
      <c r="G919" s="25">
        <f>IF($C919="","",IFERROR(IF(INDEX(links!$A$2:$A$501,MATCH($C919,links!$D$2:$D$501,0))="","",INDEX(links!$A$2:$A$501,MATCH($C919,links!$D$2:$D$501,0))),""))</f>
        <v/>
      </c>
      <c r="H919" s="25">
        <f>IF($C919="","",IFERROR(IF(INDEX(links!$B$2:$B$501,MATCH($C919,links!$D$2:$D$501,0))="","",INDEX(links!$B$2:$B$501,MATCH($C919,links!$D$2:$D$501,0))),""))</f>
        <v/>
      </c>
      <c r="I919" s="25">
        <f>IF($C919="","",IFERROR(IF(INDEX(links!$C$2:$C$501,MATCH($C919,links!$D$2:$D$501,0))="","",INDEX(links!$C$2:$C$501,MATCH($C919,links!$D$2:$D$501,0))),""))</f>
        <v/>
      </c>
      <c r="J919" s="25">
        <f>IF($C919="","",IF($G919="","slug not in links; ","")&amp;IF($D919="","reading type missing; ","")&amp;IF(COUNTIFS(scans!$C$2:$C$1601,$C919,scans!$D$2:$D$1601,$D919)&gt;1,"two readings of this type: keep one; ",""))</f>
        <v/>
      </c>
    </row>
    <row r="920">
      <c r="A920" s="9" t="n"/>
      <c r="B920" s="33" t="n"/>
      <c r="G920" s="25">
        <f>IF($C920="","",IFERROR(IF(INDEX(links!$A$2:$A$501,MATCH($C920,links!$D$2:$D$501,0))="","",INDEX(links!$A$2:$A$501,MATCH($C920,links!$D$2:$D$501,0))),""))</f>
        <v/>
      </c>
      <c r="H920" s="25">
        <f>IF($C920="","",IFERROR(IF(INDEX(links!$B$2:$B$501,MATCH($C920,links!$D$2:$D$501,0))="","",INDEX(links!$B$2:$B$501,MATCH($C920,links!$D$2:$D$501,0))),""))</f>
        <v/>
      </c>
      <c r="I920" s="25">
        <f>IF($C920="","",IFERROR(IF(INDEX(links!$C$2:$C$501,MATCH($C920,links!$D$2:$D$501,0))="","",INDEX(links!$C$2:$C$501,MATCH($C920,links!$D$2:$D$501,0))),""))</f>
        <v/>
      </c>
      <c r="J920" s="25">
        <f>IF($C920="","",IF($G920="","slug not in links; ","")&amp;IF($D920="","reading type missing; ","")&amp;IF(COUNTIFS(scans!$C$2:$C$1601,$C920,scans!$D$2:$D$1601,$D920)&gt;1,"two readings of this type: keep one; ",""))</f>
        <v/>
      </c>
    </row>
    <row r="921">
      <c r="A921" s="9" t="n"/>
      <c r="B921" s="33" t="n"/>
      <c r="G921" s="25">
        <f>IF($C921="","",IFERROR(IF(INDEX(links!$A$2:$A$501,MATCH($C921,links!$D$2:$D$501,0))="","",INDEX(links!$A$2:$A$501,MATCH($C921,links!$D$2:$D$501,0))),""))</f>
        <v/>
      </c>
      <c r="H921" s="25">
        <f>IF($C921="","",IFERROR(IF(INDEX(links!$B$2:$B$501,MATCH($C921,links!$D$2:$D$501,0))="","",INDEX(links!$B$2:$B$501,MATCH($C921,links!$D$2:$D$501,0))),""))</f>
        <v/>
      </c>
      <c r="I921" s="25">
        <f>IF($C921="","",IFERROR(IF(INDEX(links!$C$2:$C$501,MATCH($C921,links!$D$2:$D$501,0))="","",INDEX(links!$C$2:$C$501,MATCH($C921,links!$D$2:$D$501,0))),""))</f>
        <v/>
      </c>
      <c r="J921" s="25">
        <f>IF($C921="","",IF($G921="","slug not in links; ","")&amp;IF($D921="","reading type missing; ","")&amp;IF(COUNTIFS(scans!$C$2:$C$1601,$C921,scans!$D$2:$D$1601,$D921)&gt;1,"two readings of this type: keep one; ",""))</f>
        <v/>
      </c>
    </row>
    <row r="922">
      <c r="A922" s="9" t="n"/>
      <c r="B922" s="33" t="n"/>
      <c r="G922" s="25">
        <f>IF($C922="","",IFERROR(IF(INDEX(links!$A$2:$A$501,MATCH($C922,links!$D$2:$D$501,0))="","",INDEX(links!$A$2:$A$501,MATCH($C922,links!$D$2:$D$501,0))),""))</f>
        <v/>
      </c>
      <c r="H922" s="25">
        <f>IF($C922="","",IFERROR(IF(INDEX(links!$B$2:$B$501,MATCH($C922,links!$D$2:$D$501,0))="","",INDEX(links!$B$2:$B$501,MATCH($C922,links!$D$2:$D$501,0))),""))</f>
        <v/>
      </c>
      <c r="I922" s="25">
        <f>IF($C922="","",IFERROR(IF(INDEX(links!$C$2:$C$501,MATCH($C922,links!$D$2:$D$501,0))="","",INDEX(links!$C$2:$C$501,MATCH($C922,links!$D$2:$D$501,0))),""))</f>
        <v/>
      </c>
      <c r="J922" s="25">
        <f>IF($C922="","",IF($G922="","slug not in links; ","")&amp;IF($D922="","reading type missing; ","")&amp;IF(COUNTIFS(scans!$C$2:$C$1601,$C922,scans!$D$2:$D$1601,$D922)&gt;1,"two readings of this type: keep one; ",""))</f>
        <v/>
      </c>
    </row>
    <row r="923">
      <c r="A923" s="9" t="n"/>
      <c r="B923" s="33" t="n"/>
      <c r="G923" s="25">
        <f>IF($C923="","",IFERROR(IF(INDEX(links!$A$2:$A$501,MATCH($C923,links!$D$2:$D$501,0))="","",INDEX(links!$A$2:$A$501,MATCH($C923,links!$D$2:$D$501,0))),""))</f>
        <v/>
      </c>
      <c r="H923" s="25">
        <f>IF($C923="","",IFERROR(IF(INDEX(links!$B$2:$B$501,MATCH($C923,links!$D$2:$D$501,0))="","",INDEX(links!$B$2:$B$501,MATCH($C923,links!$D$2:$D$501,0))),""))</f>
        <v/>
      </c>
      <c r="I923" s="25">
        <f>IF($C923="","",IFERROR(IF(INDEX(links!$C$2:$C$501,MATCH($C923,links!$D$2:$D$501,0))="","",INDEX(links!$C$2:$C$501,MATCH($C923,links!$D$2:$D$501,0))),""))</f>
        <v/>
      </c>
      <c r="J923" s="25">
        <f>IF($C923="","",IF($G923="","slug not in links; ","")&amp;IF($D923="","reading type missing; ","")&amp;IF(COUNTIFS(scans!$C$2:$C$1601,$C923,scans!$D$2:$D$1601,$D923)&gt;1,"two readings of this type: keep one; ",""))</f>
        <v/>
      </c>
    </row>
    <row r="924">
      <c r="A924" s="9" t="n"/>
      <c r="B924" s="33" t="n"/>
      <c r="G924" s="25">
        <f>IF($C924="","",IFERROR(IF(INDEX(links!$A$2:$A$501,MATCH($C924,links!$D$2:$D$501,0))="","",INDEX(links!$A$2:$A$501,MATCH($C924,links!$D$2:$D$501,0))),""))</f>
        <v/>
      </c>
      <c r="H924" s="25">
        <f>IF($C924="","",IFERROR(IF(INDEX(links!$B$2:$B$501,MATCH($C924,links!$D$2:$D$501,0))="","",INDEX(links!$B$2:$B$501,MATCH($C924,links!$D$2:$D$501,0))),""))</f>
        <v/>
      </c>
      <c r="I924" s="25">
        <f>IF($C924="","",IFERROR(IF(INDEX(links!$C$2:$C$501,MATCH($C924,links!$D$2:$D$501,0))="","",INDEX(links!$C$2:$C$501,MATCH($C924,links!$D$2:$D$501,0))),""))</f>
        <v/>
      </c>
      <c r="J924" s="25">
        <f>IF($C924="","",IF($G924="","slug not in links; ","")&amp;IF($D924="","reading type missing; ","")&amp;IF(COUNTIFS(scans!$C$2:$C$1601,$C924,scans!$D$2:$D$1601,$D924)&gt;1,"two readings of this type: keep one; ",""))</f>
        <v/>
      </c>
    </row>
    <row r="925">
      <c r="A925" s="9" t="n"/>
      <c r="B925" s="33" t="n"/>
      <c r="G925" s="25">
        <f>IF($C925="","",IFERROR(IF(INDEX(links!$A$2:$A$501,MATCH($C925,links!$D$2:$D$501,0))="","",INDEX(links!$A$2:$A$501,MATCH($C925,links!$D$2:$D$501,0))),""))</f>
        <v/>
      </c>
      <c r="H925" s="25">
        <f>IF($C925="","",IFERROR(IF(INDEX(links!$B$2:$B$501,MATCH($C925,links!$D$2:$D$501,0))="","",INDEX(links!$B$2:$B$501,MATCH($C925,links!$D$2:$D$501,0))),""))</f>
        <v/>
      </c>
      <c r="I925" s="25">
        <f>IF($C925="","",IFERROR(IF(INDEX(links!$C$2:$C$501,MATCH($C925,links!$D$2:$D$501,0))="","",INDEX(links!$C$2:$C$501,MATCH($C925,links!$D$2:$D$501,0))),""))</f>
        <v/>
      </c>
      <c r="J925" s="25">
        <f>IF($C925="","",IF($G925="","slug not in links; ","")&amp;IF($D925="","reading type missing; ","")&amp;IF(COUNTIFS(scans!$C$2:$C$1601,$C925,scans!$D$2:$D$1601,$D925)&gt;1,"two readings of this type: keep one; ",""))</f>
        <v/>
      </c>
    </row>
    <row r="926">
      <c r="A926" s="9" t="n"/>
      <c r="B926" s="33" t="n"/>
      <c r="G926" s="25">
        <f>IF($C926="","",IFERROR(IF(INDEX(links!$A$2:$A$501,MATCH($C926,links!$D$2:$D$501,0))="","",INDEX(links!$A$2:$A$501,MATCH($C926,links!$D$2:$D$501,0))),""))</f>
        <v/>
      </c>
      <c r="H926" s="25">
        <f>IF($C926="","",IFERROR(IF(INDEX(links!$B$2:$B$501,MATCH($C926,links!$D$2:$D$501,0))="","",INDEX(links!$B$2:$B$501,MATCH($C926,links!$D$2:$D$501,0))),""))</f>
        <v/>
      </c>
      <c r="I926" s="25">
        <f>IF($C926="","",IFERROR(IF(INDEX(links!$C$2:$C$501,MATCH($C926,links!$D$2:$D$501,0))="","",INDEX(links!$C$2:$C$501,MATCH($C926,links!$D$2:$D$501,0))),""))</f>
        <v/>
      </c>
      <c r="J926" s="25">
        <f>IF($C926="","",IF($G926="","slug not in links; ","")&amp;IF($D926="","reading type missing; ","")&amp;IF(COUNTIFS(scans!$C$2:$C$1601,$C926,scans!$D$2:$D$1601,$D926)&gt;1,"two readings of this type: keep one; ",""))</f>
        <v/>
      </c>
    </row>
    <row r="927">
      <c r="A927" s="9" t="n"/>
      <c r="B927" s="33" t="n"/>
      <c r="G927" s="25">
        <f>IF($C927="","",IFERROR(IF(INDEX(links!$A$2:$A$501,MATCH($C927,links!$D$2:$D$501,0))="","",INDEX(links!$A$2:$A$501,MATCH($C927,links!$D$2:$D$501,0))),""))</f>
        <v/>
      </c>
      <c r="H927" s="25">
        <f>IF($C927="","",IFERROR(IF(INDEX(links!$B$2:$B$501,MATCH($C927,links!$D$2:$D$501,0))="","",INDEX(links!$B$2:$B$501,MATCH($C927,links!$D$2:$D$501,0))),""))</f>
        <v/>
      </c>
      <c r="I927" s="25">
        <f>IF($C927="","",IFERROR(IF(INDEX(links!$C$2:$C$501,MATCH($C927,links!$D$2:$D$501,0))="","",INDEX(links!$C$2:$C$501,MATCH($C927,links!$D$2:$D$501,0))),""))</f>
        <v/>
      </c>
      <c r="J927" s="25">
        <f>IF($C927="","",IF($G927="","slug not in links; ","")&amp;IF($D927="","reading type missing; ","")&amp;IF(COUNTIFS(scans!$C$2:$C$1601,$C927,scans!$D$2:$D$1601,$D927)&gt;1,"two readings of this type: keep one; ",""))</f>
        <v/>
      </c>
    </row>
    <row r="928">
      <c r="A928" s="9" t="n"/>
      <c r="B928" s="33" t="n"/>
      <c r="G928" s="25">
        <f>IF($C928="","",IFERROR(IF(INDEX(links!$A$2:$A$501,MATCH($C928,links!$D$2:$D$501,0))="","",INDEX(links!$A$2:$A$501,MATCH($C928,links!$D$2:$D$501,0))),""))</f>
        <v/>
      </c>
      <c r="H928" s="25">
        <f>IF($C928="","",IFERROR(IF(INDEX(links!$B$2:$B$501,MATCH($C928,links!$D$2:$D$501,0))="","",INDEX(links!$B$2:$B$501,MATCH($C928,links!$D$2:$D$501,0))),""))</f>
        <v/>
      </c>
      <c r="I928" s="25">
        <f>IF($C928="","",IFERROR(IF(INDEX(links!$C$2:$C$501,MATCH($C928,links!$D$2:$D$501,0))="","",INDEX(links!$C$2:$C$501,MATCH($C928,links!$D$2:$D$501,0))),""))</f>
        <v/>
      </c>
      <c r="J928" s="25">
        <f>IF($C928="","",IF($G928="","slug not in links; ","")&amp;IF($D928="","reading type missing; ","")&amp;IF(COUNTIFS(scans!$C$2:$C$1601,$C928,scans!$D$2:$D$1601,$D928)&gt;1,"two readings of this type: keep one; ",""))</f>
        <v/>
      </c>
    </row>
    <row r="929">
      <c r="A929" s="9" t="n"/>
      <c r="B929" s="33" t="n"/>
      <c r="G929" s="25">
        <f>IF($C929="","",IFERROR(IF(INDEX(links!$A$2:$A$501,MATCH($C929,links!$D$2:$D$501,0))="","",INDEX(links!$A$2:$A$501,MATCH($C929,links!$D$2:$D$501,0))),""))</f>
        <v/>
      </c>
      <c r="H929" s="25">
        <f>IF($C929="","",IFERROR(IF(INDEX(links!$B$2:$B$501,MATCH($C929,links!$D$2:$D$501,0))="","",INDEX(links!$B$2:$B$501,MATCH($C929,links!$D$2:$D$501,0))),""))</f>
        <v/>
      </c>
      <c r="I929" s="25">
        <f>IF($C929="","",IFERROR(IF(INDEX(links!$C$2:$C$501,MATCH($C929,links!$D$2:$D$501,0))="","",INDEX(links!$C$2:$C$501,MATCH($C929,links!$D$2:$D$501,0))),""))</f>
        <v/>
      </c>
      <c r="J929" s="25">
        <f>IF($C929="","",IF($G929="","slug not in links; ","")&amp;IF($D929="","reading type missing; ","")&amp;IF(COUNTIFS(scans!$C$2:$C$1601,$C929,scans!$D$2:$D$1601,$D929)&gt;1,"two readings of this type: keep one; ",""))</f>
        <v/>
      </c>
    </row>
    <row r="930">
      <c r="A930" s="9" t="n"/>
      <c r="B930" s="33" t="n"/>
      <c r="G930" s="25">
        <f>IF($C930="","",IFERROR(IF(INDEX(links!$A$2:$A$501,MATCH($C930,links!$D$2:$D$501,0))="","",INDEX(links!$A$2:$A$501,MATCH($C930,links!$D$2:$D$501,0))),""))</f>
        <v/>
      </c>
      <c r="H930" s="25">
        <f>IF($C930="","",IFERROR(IF(INDEX(links!$B$2:$B$501,MATCH($C930,links!$D$2:$D$501,0))="","",INDEX(links!$B$2:$B$501,MATCH($C930,links!$D$2:$D$501,0))),""))</f>
        <v/>
      </c>
      <c r="I930" s="25">
        <f>IF($C930="","",IFERROR(IF(INDEX(links!$C$2:$C$501,MATCH($C930,links!$D$2:$D$501,0))="","",INDEX(links!$C$2:$C$501,MATCH($C930,links!$D$2:$D$501,0))),""))</f>
        <v/>
      </c>
      <c r="J930" s="25">
        <f>IF($C930="","",IF($G930="","slug not in links; ","")&amp;IF($D930="","reading type missing; ","")&amp;IF(COUNTIFS(scans!$C$2:$C$1601,$C930,scans!$D$2:$D$1601,$D930)&gt;1,"two readings of this type: keep one; ",""))</f>
        <v/>
      </c>
    </row>
    <row r="931">
      <c r="A931" s="9" t="n"/>
      <c r="B931" s="33" t="n"/>
      <c r="G931" s="25">
        <f>IF($C931="","",IFERROR(IF(INDEX(links!$A$2:$A$501,MATCH($C931,links!$D$2:$D$501,0))="","",INDEX(links!$A$2:$A$501,MATCH($C931,links!$D$2:$D$501,0))),""))</f>
        <v/>
      </c>
      <c r="H931" s="25">
        <f>IF($C931="","",IFERROR(IF(INDEX(links!$B$2:$B$501,MATCH($C931,links!$D$2:$D$501,0))="","",INDEX(links!$B$2:$B$501,MATCH($C931,links!$D$2:$D$501,0))),""))</f>
        <v/>
      </c>
      <c r="I931" s="25">
        <f>IF($C931="","",IFERROR(IF(INDEX(links!$C$2:$C$501,MATCH($C931,links!$D$2:$D$501,0))="","",INDEX(links!$C$2:$C$501,MATCH($C931,links!$D$2:$D$501,0))),""))</f>
        <v/>
      </c>
      <c r="J931" s="25">
        <f>IF($C931="","",IF($G931="","slug not in links; ","")&amp;IF($D931="","reading type missing; ","")&amp;IF(COUNTIFS(scans!$C$2:$C$1601,$C931,scans!$D$2:$D$1601,$D931)&gt;1,"two readings of this type: keep one; ",""))</f>
        <v/>
      </c>
    </row>
    <row r="932">
      <c r="A932" s="9" t="n"/>
      <c r="B932" s="33" t="n"/>
      <c r="G932" s="25">
        <f>IF($C932="","",IFERROR(IF(INDEX(links!$A$2:$A$501,MATCH($C932,links!$D$2:$D$501,0))="","",INDEX(links!$A$2:$A$501,MATCH($C932,links!$D$2:$D$501,0))),""))</f>
        <v/>
      </c>
      <c r="H932" s="25">
        <f>IF($C932="","",IFERROR(IF(INDEX(links!$B$2:$B$501,MATCH($C932,links!$D$2:$D$501,0))="","",INDEX(links!$B$2:$B$501,MATCH($C932,links!$D$2:$D$501,0))),""))</f>
        <v/>
      </c>
      <c r="I932" s="25">
        <f>IF($C932="","",IFERROR(IF(INDEX(links!$C$2:$C$501,MATCH($C932,links!$D$2:$D$501,0))="","",INDEX(links!$C$2:$C$501,MATCH($C932,links!$D$2:$D$501,0))),""))</f>
        <v/>
      </c>
      <c r="J932" s="25">
        <f>IF($C932="","",IF($G932="","slug not in links; ","")&amp;IF($D932="","reading type missing; ","")&amp;IF(COUNTIFS(scans!$C$2:$C$1601,$C932,scans!$D$2:$D$1601,$D932)&gt;1,"two readings of this type: keep one; ",""))</f>
        <v/>
      </c>
    </row>
    <row r="933">
      <c r="A933" s="9" t="n"/>
      <c r="B933" s="33" t="n"/>
      <c r="G933" s="25">
        <f>IF($C933="","",IFERROR(IF(INDEX(links!$A$2:$A$501,MATCH($C933,links!$D$2:$D$501,0))="","",INDEX(links!$A$2:$A$501,MATCH($C933,links!$D$2:$D$501,0))),""))</f>
        <v/>
      </c>
      <c r="H933" s="25">
        <f>IF($C933="","",IFERROR(IF(INDEX(links!$B$2:$B$501,MATCH($C933,links!$D$2:$D$501,0))="","",INDEX(links!$B$2:$B$501,MATCH($C933,links!$D$2:$D$501,0))),""))</f>
        <v/>
      </c>
      <c r="I933" s="25">
        <f>IF($C933="","",IFERROR(IF(INDEX(links!$C$2:$C$501,MATCH($C933,links!$D$2:$D$501,0))="","",INDEX(links!$C$2:$C$501,MATCH($C933,links!$D$2:$D$501,0))),""))</f>
        <v/>
      </c>
      <c r="J933" s="25">
        <f>IF($C933="","",IF($G933="","slug not in links; ","")&amp;IF($D933="","reading type missing; ","")&amp;IF(COUNTIFS(scans!$C$2:$C$1601,$C933,scans!$D$2:$D$1601,$D933)&gt;1,"two readings of this type: keep one; ",""))</f>
        <v/>
      </c>
    </row>
    <row r="934">
      <c r="A934" s="9" t="n"/>
      <c r="B934" s="33" t="n"/>
      <c r="G934" s="25">
        <f>IF($C934="","",IFERROR(IF(INDEX(links!$A$2:$A$501,MATCH($C934,links!$D$2:$D$501,0))="","",INDEX(links!$A$2:$A$501,MATCH($C934,links!$D$2:$D$501,0))),""))</f>
        <v/>
      </c>
      <c r="H934" s="25">
        <f>IF($C934="","",IFERROR(IF(INDEX(links!$B$2:$B$501,MATCH($C934,links!$D$2:$D$501,0))="","",INDEX(links!$B$2:$B$501,MATCH($C934,links!$D$2:$D$501,0))),""))</f>
        <v/>
      </c>
      <c r="I934" s="25">
        <f>IF($C934="","",IFERROR(IF(INDEX(links!$C$2:$C$501,MATCH($C934,links!$D$2:$D$501,0))="","",INDEX(links!$C$2:$C$501,MATCH($C934,links!$D$2:$D$501,0))),""))</f>
        <v/>
      </c>
      <c r="J934" s="25">
        <f>IF($C934="","",IF($G934="","slug not in links; ","")&amp;IF($D934="","reading type missing; ","")&amp;IF(COUNTIFS(scans!$C$2:$C$1601,$C934,scans!$D$2:$D$1601,$D934)&gt;1,"two readings of this type: keep one; ",""))</f>
        <v/>
      </c>
    </row>
    <row r="935">
      <c r="A935" s="9" t="n"/>
      <c r="B935" s="33" t="n"/>
      <c r="G935" s="25">
        <f>IF($C935="","",IFERROR(IF(INDEX(links!$A$2:$A$501,MATCH($C935,links!$D$2:$D$501,0))="","",INDEX(links!$A$2:$A$501,MATCH($C935,links!$D$2:$D$501,0))),""))</f>
        <v/>
      </c>
      <c r="H935" s="25">
        <f>IF($C935="","",IFERROR(IF(INDEX(links!$B$2:$B$501,MATCH($C935,links!$D$2:$D$501,0))="","",INDEX(links!$B$2:$B$501,MATCH($C935,links!$D$2:$D$501,0))),""))</f>
        <v/>
      </c>
      <c r="I935" s="25">
        <f>IF($C935="","",IFERROR(IF(INDEX(links!$C$2:$C$501,MATCH($C935,links!$D$2:$D$501,0))="","",INDEX(links!$C$2:$C$501,MATCH($C935,links!$D$2:$D$501,0))),""))</f>
        <v/>
      </c>
      <c r="J935" s="25">
        <f>IF($C935="","",IF($G935="","slug not in links; ","")&amp;IF($D935="","reading type missing; ","")&amp;IF(COUNTIFS(scans!$C$2:$C$1601,$C935,scans!$D$2:$D$1601,$D935)&gt;1,"two readings of this type: keep one; ",""))</f>
        <v/>
      </c>
    </row>
    <row r="936">
      <c r="A936" s="9" t="n"/>
      <c r="B936" s="33" t="n"/>
      <c r="G936" s="25">
        <f>IF($C936="","",IFERROR(IF(INDEX(links!$A$2:$A$501,MATCH($C936,links!$D$2:$D$501,0))="","",INDEX(links!$A$2:$A$501,MATCH($C936,links!$D$2:$D$501,0))),""))</f>
        <v/>
      </c>
      <c r="H936" s="25">
        <f>IF($C936="","",IFERROR(IF(INDEX(links!$B$2:$B$501,MATCH($C936,links!$D$2:$D$501,0))="","",INDEX(links!$B$2:$B$501,MATCH($C936,links!$D$2:$D$501,0))),""))</f>
        <v/>
      </c>
      <c r="I936" s="25">
        <f>IF($C936="","",IFERROR(IF(INDEX(links!$C$2:$C$501,MATCH($C936,links!$D$2:$D$501,0))="","",INDEX(links!$C$2:$C$501,MATCH($C936,links!$D$2:$D$501,0))),""))</f>
        <v/>
      </c>
      <c r="J936" s="25">
        <f>IF($C936="","",IF($G936="","slug not in links; ","")&amp;IF($D936="","reading type missing; ","")&amp;IF(COUNTIFS(scans!$C$2:$C$1601,$C936,scans!$D$2:$D$1601,$D936)&gt;1,"two readings of this type: keep one; ",""))</f>
        <v/>
      </c>
    </row>
    <row r="937">
      <c r="A937" s="9" t="n"/>
      <c r="B937" s="33" t="n"/>
      <c r="G937" s="25">
        <f>IF($C937="","",IFERROR(IF(INDEX(links!$A$2:$A$501,MATCH($C937,links!$D$2:$D$501,0))="","",INDEX(links!$A$2:$A$501,MATCH($C937,links!$D$2:$D$501,0))),""))</f>
        <v/>
      </c>
      <c r="H937" s="25">
        <f>IF($C937="","",IFERROR(IF(INDEX(links!$B$2:$B$501,MATCH($C937,links!$D$2:$D$501,0))="","",INDEX(links!$B$2:$B$501,MATCH($C937,links!$D$2:$D$501,0))),""))</f>
        <v/>
      </c>
      <c r="I937" s="25">
        <f>IF($C937="","",IFERROR(IF(INDEX(links!$C$2:$C$501,MATCH($C937,links!$D$2:$D$501,0))="","",INDEX(links!$C$2:$C$501,MATCH($C937,links!$D$2:$D$501,0))),""))</f>
        <v/>
      </c>
      <c r="J937" s="25">
        <f>IF($C937="","",IF($G937="","slug not in links; ","")&amp;IF($D937="","reading type missing; ","")&amp;IF(COUNTIFS(scans!$C$2:$C$1601,$C937,scans!$D$2:$D$1601,$D937)&gt;1,"two readings of this type: keep one; ",""))</f>
        <v/>
      </c>
    </row>
    <row r="938">
      <c r="A938" s="9" t="n"/>
      <c r="B938" s="33" t="n"/>
      <c r="G938" s="25">
        <f>IF($C938="","",IFERROR(IF(INDEX(links!$A$2:$A$501,MATCH($C938,links!$D$2:$D$501,0))="","",INDEX(links!$A$2:$A$501,MATCH($C938,links!$D$2:$D$501,0))),""))</f>
        <v/>
      </c>
      <c r="H938" s="25">
        <f>IF($C938="","",IFERROR(IF(INDEX(links!$B$2:$B$501,MATCH($C938,links!$D$2:$D$501,0))="","",INDEX(links!$B$2:$B$501,MATCH($C938,links!$D$2:$D$501,0))),""))</f>
        <v/>
      </c>
      <c r="I938" s="25">
        <f>IF($C938="","",IFERROR(IF(INDEX(links!$C$2:$C$501,MATCH($C938,links!$D$2:$D$501,0))="","",INDEX(links!$C$2:$C$501,MATCH($C938,links!$D$2:$D$501,0))),""))</f>
        <v/>
      </c>
      <c r="J938" s="25">
        <f>IF($C938="","",IF($G938="","slug not in links; ","")&amp;IF($D938="","reading type missing; ","")&amp;IF(COUNTIFS(scans!$C$2:$C$1601,$C938,scans!$D$2:$D$1601,$D938)&gt;1,"two readings of this type: keep one; ",""))</f>
        <v/>
      </c>
    </row>
    <row r="939">
      <c r="A939" s="9" t="n"/>
      <c r="B939" s="33" t="n"/>
      <c r="G939" s="25">
        <f>IF($C939="","",IFERROR(IF(INDEX(links!$A$2:$A$501,MATCH($C939,links!$D$2:$D$501,0))="","",INDEX(links!$A$2:$A$501,MATCH($C939,links!$D$2:$D$501,0))),""))</f>
        <v/>
      </c>
      <c r="H939" s="25">
        <f>IF($C939="","",IFERROR(IF(INDEX(links!$B$2:$B$501,MATCH($C939,links!$D$2:$D$501,0))="","",INDEX(links!$B$2:$B$501,MATCH($C939,links!$D$2:$D$501,0))),""))</f>
        <v/>
      </c>
      <c r="I939" s="25">
        <f>IF($C939="","",IFERROR(IF(INDEX(links!$C$2:$C$501,MATCH($C939,links!$D$2:$D$501,0))="","",INDEX(links!$C$2:$C$501,MATCH($C939,links!$D$2:$D$501,0))),""))</f>
        <v/>
      </c>
      <c r="J939" s="25">
        <f>IF($C939="","",IF($G939="","slug not in links; ","")&amp;IF($D939="","reading type missing; ","")&amp;IF(COUNTIFS(scans!$C$2:$C$1601,$C939,scans!$D$2:$D$1601,$D939)&gt;1,"two readings of this type: keep one; ",""))</f>
        <v/>
      </c>
    </row>
    <row r="940">
      <c r="A940" s="9" t="n"/>
      <c r="B940" s="33" t="n"/>
      <c r="G940" s="25">
        <f>IF($C940="","",IFERROR(IF(INDEX(links!$A$2:$A$501,MATCH($C940,links!$D$2:$D$501,0))="","",INDEX(links!$A$2:$A$501,MATCH($C940,links!$D$2:$D$501,0))),""))</f>
        <v/>
      </c>
      <c r="H940" s="25">
        <f>IF($C940="","",IFERROR(IF(INDEX(links!$B$2:$B$501,MATCH($C940,links!$D$2:$D$501,0))="","",INDEX(links!$B$2:$B$501,MATCH($C940,links!$D$2:$D$501,0))),""))</f>
        <v/>
      </c>
      <c r="I940" s="25">
        <f>IF($C940="","",IFERROR(IF(INDEX(links!$C$2:$C$501,MATCH($C940,links!$D$2:$D$501,0))="","",INDEX(links!$C$2:$C$501,MATCH($C940,links!$D$2:$D$501,0))),""))</f>
        <v/>
      </c>
      <c r="J940" s="25">
        <f>IF($C940="","",IF($G940="","slug not in links; ","")&amp;IF($D940="","reading type missing; ","")&amp;IF(COUNTIFS(scans!$C$2:$C$1601,$C940,scans!$D$2:$D$1601,$D940)&gt;1,"two readings of this type: keep one; ",""))</f>
        <v/>
      </c>
    </row>
    <row r="941">
      <c r="A941" s="9" t="n"/>
      <c r="B941" s="33" t="n"/>
      <c r="G941" s="25">
        <f>IF($C941="","",IFERROR(IF(INDEX(links!$A$2:$A$501,MATCH($C941,links!$D$2:$D$501,0))="","",INDEX(links!$A$2:$A$501,MATCH($C941,links!$D$2:$D$501,0))),""))</f>
        <v/>
      </c>
      <c r="H941" s="25">
        <f>IF($C941="","",IFERROR(IF(INDEX(links!$B$2:$B$501,MATCH($C941,links!$D$2:$D$501,0))="","",INDEX(links!$B$2:$B$501,MATCH($C941,links!$D$2:$D$501,0))),""))</f>
        <v/>
      </c>
      <c r="I941" s="25">
        <f>IF($C941="","",IFERROR(IF(INDEX(links!$C$2:$C$501,MATCH($C941,links!$D$2:$D$501,0))="","",INDEX(links!$C$2:$C$501,MATCH($C941,links!$D$2:$D$501,0))),""))</f>
        <v/>
      </c>
      <c r="J941" s="25">
        <f>IF($C941="","",IF($G941="","slug not in links; ","")&amp;IF($D941="","reading type missing; ","")&amp;IF(COUNTIFS(scans!$C$2:$C$1601,$C941,scans!$D$2:$D$1601,$D941)&gt;1,"two readings of this type: keep one; ",""))</f>
        <v/>
      </c>
    </row>
    <row r="942">
      <c r="A942" s="9" t="n"/>
      <c r="B942" s="33" t="n"/>
      <c r="G942" s="25">
        <f>IF($C942="","",IFERROR(IF(INDEX(links!$A$2:$A$501,MATCH($C942,links!$D$2:$D$501,0))="","",INDEX(links!$A$2:$A$501,MATCH($C942,links!$D$2:$D$501,0))),""))</f>
        <v/>
      </c>
      <c r="H942" s="25">
        <f>IF($C942="","",IFERROR(IF(INDEX(links!$B$2:$B$501,MATCH($C942,links!$D$2:$D$501,0))="","",INDEX(links!$B$2:$B$501,MATCH($C942,links!$D$2:$D$501,0))),""))</f>
        <v/>
      </c>
      <c r="I942" s="25">
        <f>IF($C942="","",IFERROR(IF(INDEX(links!$C$2:$C$501,MATCH($C942,links!$D$2:$D$501,0))="","",INDEX(links!$C$2:$C$501,MATCH($C942,links!$D$2:$D$501,0))),""))</f>
        <v/>
      </c>
      <c r="J942" s="25">
        <f>IF($C942="","",IF($G942="","slug not in links; ","")&amp;IF($D942="","reading type missing; ","")&amp;IF(COUNTIFS(scans!$C$2:$C$1601,$C942,scans!$D$2:$D$1601,$D942)&gt;1,"two readings of this type: keep one; ",""))</f>
        <v/>
      </c>
    </row>
    <row r="943">
      <c r="A943" s="9" t="n"/>
      <c r="B943" s="33" t="n"/>
      <c r="G943" s="25">
        <f>IF($C943="","",IFERROR(IF(INDEX(links!$A$2:$A$501,MATCH($C943,links!$D$2:$D$501,0))="","",INDEX(links!$A$2:$A$501,MATCH($C943,links!$D$2:$D$501,0))),""))</f>
        <v/>
      </c>
      <c r="H943" s="25">
        <f>IF($C943="","",IFERROR(IF(INDEX(links!$B$2:$B$501,MATCH($C943,links!$D$2:$D$501,0))="","",INDEX(links!$B$2:$B$501,MATCH($C943,links!$D$2:$D$501,0))),""))</f>
        <v/>
      </c>
      <c r="I943" s="25">
        <f>IF($C943="","",IFERROR(IF(INDEX(links!$C$2:$C$501,MATCH($C943,links!$D$2:$D$501,0))="","",INDEX(links!$C$2:$C$501,MATCH($C943,links!$D$2:$D$501,0))),""))</f>
        <v/>
      </c>
      <c r="J943" s="25">
        <f>IF($C943="","",IF($G943="","slug not in links; ","")&amp;IF($D943="","reading type missing; ","")&amp;IF(COUNTIFS(scans!$C$2:$C$1601,$C943,scans!$D$2:$D$1601,$D943)&gt;1,"two readings of this type: keep one; ",""))</f>
        <v/>
      </c>
    </row>
    <row r="944">
      <c r="A944" s="9" t="n"/>
      <c r="B944" s="33" t="n"/>
      <c r="G944" s="25">
        <f>IF($C944="","",IFERROR(IF(INDEX(links!$A$2:$A$501,MATCH($C944,links!$D$2:$D$501,0))="","",INDEX(links!$A$2:$A$501,MATCH($C944,links!$D$2:$D$501,0))),""))</f>
        <v/>
      </c>
      <c r="H944" s="25">
        <f>IF($C944="","",IFERROR(IF(INDEX(links!$B$2:$B$501,MATCH($C944,links!$D$2:$D$501,0))="","",INDEX(links!$B$2:$B$501,MATCH($C944,links!$D$2:$D$501,0))),""))</f>
        <v/>
      </c>
      <c r="I944" s="25">
        <f>IF($C944="","",IFERROR(IF(INDEX(links!$C$2:$C$501,MATCH($C944,links!$D$2:$D$501,0))="","",INDEX(links!$C$2:$C$501,MATCH($C944,links!$D$2:$D$501,0))),""))</f>
        <v/>
      </c>
      <c r="J944" s="25">
        <f>IF($C944="","",IF($G944="","slug not in links; ","")&amp;IF($D944="","reading type missing; ","")&amp;IF(COUNTIFS(scans!$C$2:$C$1601,$C944,scans!$D$2:$D$1601,$D944)&gt;1,"two readings of this type: keep one; ",""))</f>
        <v/>
      </c>
    </row>
    <row r="945">
      <c r="A945" s="9" t="n"/>
      <c r="B945" s="33" t="n"/>
      <c r="G945" s="25">
        <f>IF($C945="","",IFERROR(IF(INDEX(links!$A$2:$A$501,MATCH($C945,links!$D$2:$D$501,0))="","",INDEX(links!$A$2:$A$501,MATCH($C945,links!$D$2:$D$501,0))),""))</f>
        <v/>
      </c>
      <c r="H945" s="25">
        <f>IF($C945="","",IFERROR(IF(INDEX(links!$B$2:$B$501,MATCH($C945,links!$D$2:$D$501,0))="","",INDEX(links!$B$2:$B$501,MATCH($C945,links!$D$2:$D$501,0))),""))</f>
        <v/>
      </c>
      <c r="I945" s="25">
        <f>IF($C945="","",IFERROR(IF(INDEX(links!$C$2:$C$501,MATCH($C945,links!$D$2:$D$501,0))="","",INDEX(links!$C$2:$C$501,MATCH($C945,links!$D$2:$D$501,0))),""))</f>
        <v/>
      </c>
      <c r="J945" s="25">
        <f>IF($C945="","",IF($G945="","slug not in links; ","")&amp;IF($D945="","reading type missing; ","")&amp;IF(COUNTIFS(scans!$C$2:$C$1601,$C945,scans!$D$2:$D$1601,$D945)&gt;1,"two readings of this type: keep one; ",""))</f>
        <v/>
      </c>
    </row>
    <row r="946">
      <c r="A946" s="9" t="n"/>
      <c r="B946" s="33" t="n"/>
      <c r="G946" s="25">
        <f>IF($C946="","",IFERROR(IF(INDEX(links!$A$2:$A$501,MATCH($C946,links!$D$2:$D$501,0))="","",INDEX(links!$A$2:$A$501,MATCH($C946,links!$D$2:$D$501,0))),""))</f>
        <v/>
      </c>
      <c r="H946" s="25">
        <f>IF($C946="","",IFERROR(IF(INDEX(links!$B$2:$B$501,MATCH($C946,links!$D$2:$D$501,0))="","",INDEX(links!$B$2:$B$501,MATCH($C946,links!$D$2:$D$501,0))),""))</f>
        <v/>
      </c>
      <c r="I946" s="25">
        <f>IF($C946="","",IFERROR(IF(INDEX(links!$C$2:$C$501,MATCH($C946,links!$D$2:$D$501,0))="","",INDEX(links!$C$2:$C$501,MATCH($C946,links!$D$2:$D$501,0))),""))</f>
        <v/>
      </c>
      <c r="J946" s="25">
        <f>IF($C946="","",IF($G946="","slug not in links; ","")&amp;IF($D946="","reading type missing; ","")&amp;IF(COUNTIFS(scans!$C$2:$C$1601,$C946,scans!$D$2:$D$1601,$D946)&gt;1,"two readings of this type: keep one; ",""))</f>
        <v/>
      </c>
    </row>
    <row r="947">
      <c r="A947" s="9" t="n"/>
      <c r="B947" s="33" t="n"/>
      <c r="G947" s="25">
        <f>IF($C947="","",IFERROR(IF(INDEX(links!$A$2:$A$501,MATCH($C947,links!$D$2:$D$501,0))="","",INDEX(links!$A$2:$A$501,MATCH($C947,links!$D$2:$D$501,0))),""))</f>
        <v/>
      </c>
      <c r="H947" s="25">
        <f>IF($C947="","",IFERROR(IF(INDEX(links!$B$2:$B$501,MATCH($C947,links!$D$2:$D$501,0))="","",INDEX(links!$B$2:$B$501,MATCH($C947,links!$D$2:$D$501,0))),""))</f>
        <v/>
      </c>
      <c r="I947" s="25">
        <f>IF($C947="","",IFERROR(IF(INDEX(links!$C$2:$C$501,MATCH($C947,links!$D$2:$D$501,0))="","",INDEX(links!$C$2:$C$501,MATCH($C947,links!$D$2:$D$501,0))),""))</f>
        <v/>
      </c>
      <c r="J947" s="25">
        <f>IF($C947="","",IF($G947="","slug not in links; ","")&amp;IF($D947="","reading type missing; ","")&amp;IF(COUNTIFS(scans!$C$2:$C$1601,$C947,scans!$D$2:$D$1601,$D947)&gt;1,"two readings of this type: keep one; ",""))</f>
        <v/>
      </c>
    </row>
    <row r="948">
      <c r="A948" s="9" t="n"/>
      <c r="B948" s="33" t="n"/>
      <c r="G948" s="25">
        <f>IF($C948="","",IFERROR(IF(INDEX(links!$A$2:$A$501,MATCH($C948,links!$D$2:$D$501,0))="","",INDEX(links!$A$2:$A$501,MATCH($C948,links!$D$2:$D$501,0))),""))</f>
        <v/>
      </c>
      <c r="H948" s="25">
        <f>IF($C948="","",IFERROR(IF(INDEX(links!$B$2:$B$501,MATCH($C948,links!$D$2:$D$501,0))="","",INDEX(links!$B$2:$B$501,MATCH($C948,links!$D$2:$D$501,0))),""))</f>
        <v/>
      </c>
      <c r="I948" s="25">
        <f>IF($C948="","",IFERROR(IF(INDEX(links!$C$2:$C$501,MATCH($C948,links!$D$2:$D$501,0))="","",INDEX(links!$C$2:$C$501,MATCH($C948,links!$D$2:$D$501,0))),""))</f>
        <v/>
      </c>
      <c r="J948" s="25">
        <f>IF($C948="","",IF($G948="","slug not in links; ","")&amp;IF($D948="","reading type missing; ","")&amp;IF(COUNTIFS(scans!$C$2:$C$1601,$C948,scans!$D$2:$D$1601,$D948)&gt;1,"two readings of this type: keep one; ",""))</f>
        <v/>
      </c>
    </row>
    <row r="949">
      <c r="A949" s="9" t="n"/>
      <c r="B949" s="33" t="n"/>
      <c r="G949" s="25">
        <f>IF($C949="","",IFERROR(IF(INDEX(links!$A$2:$A$501,MATCH($C949,links!$D$2:$D$501,0))="","",INDEX(links!$A$2:$A$501,MATCH($C949,links!$D$2:$D$501,0))),""))</f>
        <v/>
      </c>
      <c r="H949" s="25">
        <f>IF($C949="","",IFERROR(IF(INDEX(links!$B$2:$B$501,MATCH($C949,links!$D$2:$D$501,0))="","",INDEX(links!$B$2:$B$501,MATCH($C949,links!$D$2:$D$501,0))),""))</f>
        <v/>
      </c>
      <c r="I949" s="25">
        <f>IF($C949="","",IFERROR(IF(INDEX(links!$C$2:$C$501,MATCH($C949,links!$D$2:$D$501,0))="","",INDEX(links!$C$2:$C$501,MATCH($C949,links!$D$2:$D$501,0))),""))</f>
        <v/>
      </c>
      <c r="J949" s="25">
        <f>IF($C949="","",IF($G949="","slug not in links; ","")&amp;IF($D949="","reading type missing; ","")&amp;IF(COUNTIFS(scans!$C$2:$C$1601,$C949,scans!$D$2:$D$1601,$D949)&gt;1,"two readings of this type: keep one; ",""))</f>
        <v/>
      </c>
    </row>
    <row r="950">
      <c r="A950" s="9" t="n"/>
      <c r="B950" s="33" t="n"/>
      <c r="G950" s="25">
        <f>IF($C950="","",IFERROR(IF(INDEX(links!$A$2:$A$501,MATCH($C950,links!$D$2:$D$501,0))="","",INDEX(links!$A$2:$A$501,MATCH($C950,links!$D$2:$D$501,0))),""))</f>
        <v/>
      </c>
      <c r="H950" s="25">
        <f>IF($C950="","",IFERROR(IF(INDEX(links!$B$2:$B$501,MATCH($C950,links!$D$2:$D$501,0))="","",INDEX(links!$B$2:$B$501,MATCH($C950,links!$D$2:$D$501,0))),""))</f>
        <v/>
      </c>
      <c r="I950" s="25">
        <f>IF($C950="","",IFERROR(IF(INDEX(links!$C$2:$C$501,MATCH($C950,links!$D$2:$D$501,0))="","",INDEX(links!$C$2:$C$501,MATCH($C950,links!$D$2:$D$501,0))),""))</f>
        <v/>
      </c>
      <c r="J950" s="25">
        <f>IF($C950="","",IF($G950="","slug not in links; ","")&amp;IF($D950="","reading type missing; ","")&amp;IF(COUNTIFS(scans!$C$2:$C$1601,$C950,scans!$D$2:$D$1601,$D950)&gt;1,"two readings of this type: keep one; ",""))</f>
        <v/>
      </c>
    </row>
    <row r="951">
      <c r="A951" s="9" t="n"/>
      <c r="B951" s="33" t="n"/>
      <c r="G951" s="25">
        <f>IF($C951="","",IFERROR(IF(INDEX(links!$A$2:$A$501,MATCH($C951,links!$D$2:$D$501,0))="","",INDEX(links!$A$2:$A$501,MATCH($C951,links!$D$2:$D$501,0))),""))</f>
        <v/>
      </c>
      <c r="H951" s="25">
        <f>IF($C951="","",IFERROR(IF(INDEX(links!$B$2:$B$501,MATCH($C951,links!$D$2:$D$501,0))="","",INDEX(links!$B$2:$B$501,MATCH($C951,links!$D$2:$D$501,0))),""))</f>
        <v/>
      </c>
      <c r="I951" s="25">
        <f>IF($C951="","",IFERROR(IF(INDEX(links!$C$2:$C$501,MATCH($C951,links!$D$2:$D$501,0))="","",INDEX(links!$C$2:$C$501,MATCH($C951,links!$D$2:$D$501,0))),""))</f>
        <v/>
      </c>
      <c r="J951" s="25">
        <f>IF($C951="","",IF($G951="","slug not in links; ","")&amp;IF($D951="","reading type missing; ","")&amp;IF(COUNTIFS(scans!$C$2:$C$1601,$C951,scans!$D$2:$D$1601,$D951)&gt;1,"two readings of this type: keep one; ",""))</f>
        <v/>
      </c>
    </row>
    <row r="952">
      <c r="A952" s="9" t="n"/>
      <c r="B952" s="33" t="n"/>
      <c r="G952" s="25">
        <f>IF($C952="","",IFERROR(IF(INDEX(links!$A$2:$A$501,MATCH($C952,links!$D$2:$D$501,0))="","",INDEX(links!$A$2:$A$501,MATCH($C952,links!$D$2:$D$501,0))),""))</f>
        <v/>
      </c>
      <c r="H952" s="25">
        <f>IF($C952="","",IFERROR(IF(INDEX(links!$B$2:$B$501,MATCH($C952,links!$D$2:$D$501,0))="","",INDEX(links!$B$2:$B$501,MATCH($C952,links!$D$2:$D$501,0))),""))</f>
        <v/>
      </c>
      <c r="I952" s="25">
        <f>IF($C952="","",IFERROR(IF(INDEX(links!$C$2:$C$501,MATCH($C952,links!$D$2:$D$501,0))="","",INDEX(links!$C$2:$C$501,MATCH($C952,links!$D$2:$D$501,0))),""))</f>
        <v/>
      </c>
      <c r="J952" s="25">
        <f>IF($C952="","",IF($G952="","slug not in links; ","")&amp;IF($D952="","reading type missing; ","")&amp;IF(COUNTIFS(scans!$C$2:$C$1601,$C952,scans!$D$2:$D$1601,$D952)&gt;1,"two readings of this type: keep one; ",""))</f>
        <v/>
      </c>
    </row>
    <row r="953">
      <c r="A953" s="9" t="n"/>
      <c r="B953" s="33" t="n"/>
      <c r="G953" s="25">
        <f>IF($C953="","",IFERROR(IF(INDEX(links!$A$2:$A$501,MATCH($C953,links!$D$2:$D$501,0))="","",INDEX(links!$A$2:$A$501,MATCH($C953,links!$D$2:$D$501,0))),""))</f>
        <v/>
      </c>
      <c r="H953" s="25">
        <f>IF($C953="","",IFERROR(IF(INDEX(links!$B$2:$B$501,MATCH($C953,links!$D$2:$D$501,0))="","",INDEX(links!$B$2:$B$501,MATCH($C953,links!$D$2:$D$501,0))),""))</f>
        <v/>
      </c>
      <c r="I953" s="25">
        <f>IF($C953="","",IFERROR(IF(INDEX(links!$C$2:$C$501,MATCH($C953,links!$D$2:$D$501,0))="","",INDEX(links!$C$2:$C$501,MATCH($C953,links!$D$2:$D$501,0))),""))</f>
        <v/>
      </c>
      <c r="J953" s="25">
        <f>IF($C953="","",IF($G953="","slug not in links; ","")&amp;IF($D953="","reading type missing; ","")&amp;IF(COUNTIFS(scans!$C$2:$C$1601,$C953,scans!$D$2:$D$1601,$D953)&gt;1,"two readings of this type: keep one; ",""))</f>
        <v/>
      </c>
    </row>
    <row r="954">
      <c r="A954" s="9" t="n"/>
      <c r="B954" s="33" t="n"/>
      <c r="G954" s="25">
        <f>IF($C954="","",IFERROR(IF(INDEX(links!$A$2:$A$501,MATCH($C954,links!$D$2:$D$501,0))="","",INDEX(links!$A$2:$A$501,MATCH($C954,links!$D$2:$D$501,0))),""))</f>
        <v/>
      </c>
      <c r="H954" s="25">
        <f>IF($C954="","",IFERROR(IF(INDEX(links!$B$2:$B$501,MATCH($C954,links!$D$2:$D$501,0))="","",INDEX(links!$B$2:$B$501,MATCH($C954,links!$D$2:$D$501,0))),""))</f>
        <v/>
      </c>
      <c r="I954" s="25">
        <f>IF($C954="","",IFERROR(IF(INDEX(links!$C$2:$C$501,MATCH($C954,links!$D$2:$D$501,0))="","",INDEX(links!$C$2:$C$501,MATCH($C954,links!$D$2:$D$501,0))),""))</f>
        <v/>
      </c>
      <c r="J954" s="25">
        <f>IF($C954="","",IF($G954="","slug not in links; ","")&amp;IF($D954="","reading type missing; ","")&amp;IF(COUNTIFS(scans!$C$2:$C$1601,$C954,scans!$D$2:$D$1601,$D954)&gt;1,"two readings of this type: keep one; ",""))</f>
        <v/>
      </c>
    </row>
    <row r="955">
      <c r="A955" s="9" t="n"/>
      <c r="B955" s="33" t="n"/>
      <c r="G955" s="25">
        <f>IF($C955="","",IFERROR(IF(INDEX(links!$A$2:$A$501,MATCH($C955,links!$D$2:$D$501,0))="","",INDEX(links!$A$2:$A$501,MATCH($C955,links!$D$2:$D$501,0))),""))</f>
        <v/>
      </c>
      <c r="H955" s="25">
        <f>IF($C955="","",IFERROR(IF(INDEX(links!$B$2:$B$501,MATCH($C955,links!$D$2:$D$501,0))="","",INDEX(links!$B$2:$B$501,MATCH($C955,links!$D$2:$D$501,0))),""))</f>
        <v/>
      </c>
      <c r="I955" s="25">
        <f>IF($C955="","",IFERROR(IF(INDEX(links!$C$2:$C$501,MATCH($C955,links!$D$2:$D$501,0))="","",INDEX(links!$C$2:$C$501,MATCH($C955,links!$D$2:$D$501,0))),""))</f>
        <v/>
      </c>
      <c r="J955" s="25">
        <f>IF($C955="","",IF($G955="","slug not in links; ","")&amp;IF($D955="","reading type missing; ","")&amp;IF(COUNTIFS(scans!$C$2:$C$1601,$C955,scans!$D$2:$D$1601,$D955)&gt;1,"two readings of this type: keep one; ",""))</f>
        <v/>
      </c>
    </row>
    <row r="956">
      <c r="A956" s="9" t="n"/>
      <c r="B956" s="33" t="n"/>
      <c r="G956" s="25">
        <f>IF($C956="","",IFERROR(IF(INDEX(links!$A$2:$A$501,MATCH($C956,links!$D$2:$D$501,0))="","",INDEX(links!$A$2:$A$501,MATCH($C956,links!$D$2:$D$501,0))),""))</f>
        <v/>
      </c>
      <c r="H956" s="25">
        <f>IF($C956="","",IFERROR(IF(INDEX(links!$B$2:$B$501,MATCH($C956,links!$D$2:$D$501,0))="","",INDEX(links!$B$2:$B$501,MATCH($C956,links!$D$2:$D$501,0))),""))</f>
        <v/>
      </c>
      <c r="I956" s="25">
        <f>IF($C956="","",IFERROR(IF(INDEX(links!$C$2:$C$501,MATCH($C956,links!$D$2:$D$501,0))="","",INDEX(links!$C$2:$C$501,MATCH($C956,links!$D$2:$D$501,0))),""))</f>
        <v/>
      </c>
      <c r="J956" s="25">
        <f>IF($C956="","",IF($G956="","slug not in links; ","")&amp;IF($D956="","reading type missing; ","")&amp;IF(COUNTIFS(scans!$C$2:$C$1601,$C956,scans!$D$2:$D$1601,$D956)&gt;1,"two readings of this type: keep one; ",""))</f>
        <v/>
      </c>
    </row>
    <row r="957">
      <c r="A957" s="9" t="n"/>
      <c r="B957" s="33" t="n"/>
      <c r="G957" s="25">
        <f>IF($C957="","",IFERROR(IF(INDEX(links!$A$2:$A$501,MATCH($C957,links!$D$2:$D$501,0))="","",INDEX(links!$A$2:$A$501,MATCH($C957,links!$D$2:$D$501,0))),""))</f>
        <v/>
      </c>
      <c r="H957" s="25">
        <f>IF($C957="","",IFERROR(IF(INDEX(links!$B$2:$B$501,MATCH($C957,links!$D$2:$D$501,0))="","",INDEX(links!$B$2:$B$501,MATCH($C957,links!$D$2:$D$501,0))),""))</f>
        <v/>
      </c>
      <c r="I957" s="25">
        <f>IF($C957="","",IFERROR(IF(INDEX(links!$C$2:$C$501,MATCH($C957,links!$D$2:$D$501,0))="","",INDEX(links!$C$2:$C$501,MATCH($C957,links!$D$2:$D$501,0))),""))</f>
        <v/>
      </c>
      <c r="J957" s="25">
        <f>IF($C957="","",IF($G957="","slug not in links; ","")&amp;IF($D957="","reading type missing; ","")&amp;IF(COUNTIFS(scans!$C$2:$C$1601,$C957,scans!$D$2:$D$1601,$D957)&gt;1,"two readings of this type: keep one; ",""))</f>
        <v/>
      </c>
    </row>
    <row r="958">
      <c r="A958" s="9" t="n"/>
      <c r="B958" s="33" t="n"/>
      <c r="G958" s="25">
        <f>IF($C958="","",IFERROR(IF(INDEX(links!$A$2:$A$501,MATCH($C958,links!$D$2:$D$501,0))="","",INDEX(links!$A$2:$A$501,MATCH($C958,links!$D$2:$D$501,0))),""))</f>
        <v/>
      </c>
      <c r="H958" s="25">
        <f>IF($C958="","",IFERROR(IF(INDEX(links!$B$2:$B$501,MATCH($C958,links!$D$2:$D$501,0))="","",INDEX(links!$B$2:$B$501,MATCH($C958,links!$D$2:$D$501,0))),""))</f>
        <v/>
      </c>
      <c r="I958" s="25">
        <f>IF($C958="","",IFERROR(IF(INDEX(links!$C$2:$C$501,MATCH($C958,links!$D$2:$D$501,0))="","",INDEX(links!$C$2:$C$501,MATCH($C958,links!$D$2:$D$501,0))),""))</f>
        <v/>
      </c>
      <c r="J958" s="25">
        <f>IF($C958="","",IF($G958="","slug not in links; ","")&amp;IF($D958="","reading type missing; ","")&amp;IF(COUNTIFS(scans!$C$2:$C$1601,$C958,scans!$D$2:$D$1601,$D958)&gt;1,"two readings of this type: keep one; ",""))</f>
        <v/>
      </c>
    </row>
    <row r="959">
      <c r="A959" s="9" t="n"/>
      <c r="B959" s="33" t="n"/>
      <c r="G959" s="25">
        <f>IF($C959="","",IFERROR(IF(INDEX(links!$A$2:$A$501,MATCH($C959,links!$D$2:$D$501,0))="","",INDEX(links!$A$2:$A$501,MATCH($C959,links!$D$2:$D$501,0))),""))</f>
        <v/>
      </c>
      <c r="H959" s="25">
        <f>IF($C959="","",IFERROR(IF(INDEX(links!$B$2:$B$501,MATCH($C959,links!$D$2:$D$501,0))="","",INDEX(links!$B$2:$B$501,MATCH($C959,links!$D$2:$D$501,0))),""))</f>
        <v/>
      </c>
      <c r="I959" s="25">
        <f>IF($C959="","",IFERROR(IF(INDEX(links!$C$2:$C$501,MATCH($C959,links!$D$2:$D$501,0))="","",INDEX(links!$C$2:$C$501,MATCH($C959,links!$D$2:$D$501,0))),""))</f>
        <v/>
      </c>
      <c r="J959" s="25">
        <f>IF($C959="","",IF($G959="","slug not in links; ","")&amp;IF($D959="","reading type missing; ","")&amp;IF(COUNTIFS(scans!$C$2:$C$1601,$C959,scans!$D$2:$D$1601,$D959)&gt;1,"two readings of this type: keep one; ",""))</f>
        <v/>
      </c>
    </row>
    <row r="960">
      <c r="A960" s="9" t="n"/>
      <c r="B960" s="33" t="n"/>
      <c r="G960" s="25">
        <f>IF($C960="","",IFERROR(IF(INDEX(links!$A$2:$A$501,MATCH($C960,links!$D$2:$D$501,0))="","",INDEX(links!$A$2:$A$501,MATCH($C960,links!$D$2:$D$501,0))),""))</f>
        <v/>
      </c>
      <c r="H960" s="25">
        <f>IF($C960="","",IFERROR(IF(INDEX(links!$B$2:$B$501,MATCH($C960,links!$D$2:$D$501,0))="","",INDEX(links!$B$2:$B$501,MATCH($C960,links!$D$2:$D$501,0))),""))</f>
        <v/>
      </c>
      <c r="I960" s="25">
        <f>IF($C960="","",IFERROR(IF(INDEX(links!$C$2:$C$501,MATCH($C960,links!$D$2:$D$501,0))="","",INDEX(links!$C$2:$C$501,MATCH($C960,links!$D$2:$D$501,0))),""))</f>
        <v/>
      </c>
      <c r="J960" s="25">
        <f>IF($C960="","",IF($G960="","slug not in links; ","")&amp;IF($D960="","reading type missing; ","")&amp;IF(COUNTIFS(scans!$C$2:$C$1601,$C960,scans!$D$2:$D$1601,$D960)&gt;1,"two readings of this type: keep one; ",""))</f>
        <v/>
      </c>
    </row>
    <row r="961">
      <c r="A961" s="9" t="n"/>
      <c r="B961" s="33" t="n"/>
      <c r="G961" s="25">
        <f>IF($C961="","",IFERROR(IF(INDEX(links!$A$2:$A$501,MATCH($C961,links!$D$2:$D$501,0))="","",INDEX(links!$A$2:$A$501,MATCH($C961,links!$D$2:$D$501,0))),""))</f>
        <v/>
      </c>
      <c r="H961" s="25">
        <f>IF($C961="","",IFERROR(IF(INDEX(links!$B$2:$B$501,MATCH($C961,links!$D$2:$D$501,0))="","",INDEX(links!$B$2:$B$501,MATCH($C961,links!$D$2:$D$501,0))),""))</f>
        <v/>
      </c>
      <c r="I961" s="25">
        <f>IF($C961="","",IFERROR(IF(INDEX(links!$C$2:$C$501,MATCH($C961,links!$D$2:$D$501,0))="","",INDEX(links!$C$2:$C$501,MATCH($C961,links!$D$2:$D$501,0))),""))</f>
        <v/>
      </c>
      <c r="J961" s="25">
        <f>IF($C961="","",IF($G961="","slug not in links; ","")&amp;IF($D961="","reading type missing; ","")&amp;IF(COUNTIFS(scans!$C$2:$C$1601,$C961,scans!$D$2:$D$1601,$D961)&gt;1,"two readings of this type: keep one; ",""))</f>
        <v/>
      </c>
    </row>
    <row r="962">
      <c r="A962" s="9" t="n"/>
      <c r="B962" s="33" t="n"/>
      <c r="G962" s="25">
        <f>IF($C962="","",IFERROR(IF(INDEX(links!$A$2:$A$501,MATCH($C962,links!$D$2:$D$501,0))="","",INDEX(links!$A$2:$A$501,MATCH($C962,links!$D$2:$D$501,0))),""))</f>
        <v/>
      </c>
      <c r="H962" s="25">
        <f>IF($C962="","",IFERROR(IF(INDEX(links!$B$2:$B$501,MATCH($C962,links!$D$2:$D$501,0))="","",INDEX(links!$B$2:$B$501,MATCH($C962,links!$D$2:$D$501,0))),""))</f>
        <v/>
      </c>
      <c r="I962" s="25">
        <f>IF($C962="","",IFERROR(IF(INDEX(links!$C$2:$C$501,MATCH($C962,links!$D$2:$D$501,0))="","",INDEX(links!$C$2:$C$501,MATCH($C962,links!$D$2:$D$501,0))),""))</f>
        <v/>
      </c>
      <c r="J962" s="25">
        <f>IF($C962="","",IF($G962="","slug not in links; ","")&amp;IF($D962="","reading type missing; ","")&amp;IF(COUNTIFS(scans!$C$2:$C$1601,$C962,scans!$D$2:$D$1601,$D962)&gt;1,"two readings of this type: keep one; ",""))</f>
        <v/>
      </c>
    </row>
    <row r="963">
      <c r="A963" s="9" t="n"/>
      <c r="B963" s="33" t="n"/>
      <c r="G963" s="25">
        <f>IF($C963="","",IFERROR(IF(INDEX(links!$A$2:$A$501,MATCH($C963,links!$D$2:$D$501,0))="","",INDEX(links!$A$2:$A$501,MATCH($C963,links!$D$2:$D$501,0))),""))</f>
        <v/>
      </c>
      <c r="H963" s="25">
        <f>IF($C963="","",IFERROR(IF(INDEX(links!$B$2:$B$501,MATCH($C963,links!$D$2:$D$501,0))="","",INDEX(links!$B$2:$B$501,MATCH($C963,links!$D$2:$D$501,0))),""))</f>
        <v/>
      </c>
      <c r="I963" s="25">
        <f>IF($C963="","",IFERROR(IF(INDEX(links!$C$2:$C$501,MATCH($C963,links!$D$2:$D$501,0))="","",INDEX(links!$C$2:$C$501,MATCH($C963,links!$D$2:$D$501,0))),""))</f>
        <v/>
      </c>
      <c r="J963" s="25">
        <f>IF($C963="","",IF($G963="","slug not in links; ","")&amp;IF($D963="","reading type missing; ","")&amp;IF(COUNTIFS(scans!$C$2:$C$1601,$C963,scans!$D$2:$D$1601,$D963)&gt;1,"two readings of this type: keep one; ",""))</f>
        <v/>
      </c>
    </row>
    <row r="964">
      <c r="A964" s="9" t="n"/>
      <c r="B964" s="33" t="n"/>
      <c r="G964" s="25">
        <f>IF($C964="","",IFERROR(IF(INDEX(links!$A$2:$A$501,MATCH($C964,links!$D$2:$D$501,0))="","",INDEX(links!$A$2:$A$501,MATCH($C964,links!$D$2:$D$501,0))),""))</f>
        <v/>
      </c>
      <c r="H964" s="25">
        <f>IF($C964="","",IFERROR(IF(INDEX(links!$B$2:$B$501,MATCH($C964,links!$D$2:$D$501,0))="","",INDEX(links!$B$2:$B$501,MATCH($C964,links!$D$2:$D$501,0))),""))</f>
        <v/>
      </c>
      <c r="I964" s="25">
        <f>IF($C964="","",IFERROR(IF(INDEX(links!$C$2:$C$501,MATCH($C964,links!$D$2:$D$501,0))="","",INDEX(links!$C$2:$C$501,MATCH($C964,links!$D$2:$D$501,0))),""))</f>
        <v/>
      </c>
      <c r="J964" s="25">
        <f>IF($C964="","",IF($G964="","slug not in links; ","")&amp;IF($D964="","reading type missing; ","")&amp;IF(COUNTIFS(scans!$C$2:$C$1601,$C964,scans!$D$2:$D$1601,$D964)&gt;1,"two readings of this type: keep one; ",""))</f>
        <v/>
      </c>
    </row>
    <row r="965">
      <c r="A965" s="9" t="n"/>
      <c r="B965" s="33" t="n"/>
      <c r="G965" s="25">
        <f>IF($C965="","",IFERROR(IF(INDEX(links!$A$2:$A$501,MATCH($C965,links!$D$2:$D$501,0))="","",INDEX(links!$A$2:$A$501,MATCH($C965,links!$D$2:$D$501,0))),""))</f>
        <v/>
      </c>
      <c r="H965" s="25">
        <f>IF($C965="","",IFERROR(IF(INDEX(links!$B$2:$B$501,MATCH($C965,links!$D$2:$D$501,0))="","",INDEX(links!$B$2:$B$501,MATCH($C965,links!$D$2:$D$501,0))),""))</f>
        <v/>
      </c>
      <c r="I965" s="25">
        <f>IF($C965="","",IFERROR(IF(INDEX(links!$C$2:$C$501,MATCH($C965,links!$D$2:$D$501,0))="","",INDEX(links!$C$2:$C$501,MATCH($C965,links!$D$2:$D$501,0))),""))</f>
        <v/>
      </c>
      <c r="J965" s="25">
        <f>IF($C965="","",IF($G965="","slug not in links; ","")&amp;IF($D965="","reading type missing; ","")&amp;IF(COUNTIFS(scans!$C$2:$C$1601,$C965,scans!$D$2:$D$1601,$D965)&gt;1,"two readings of this type: keep one; ",""))</f>
        <v/>
      </c>
    </row>
    <row r="966">
      <c r="A966" s="9" t="n"/>
      <c r="B966" s="33" t="n"/>
      <c r="G966" s="25">
        <f>IF($C966="","",IFERROR(IF(INDEX(links!$A$2:$A$501,MATCH($C966,links!$D$2:$D$501,0))="","",INDEX(links!$A$2:$A$501,MATCH($C966,links!$D$2:$D$501,0))),""))</f>
        <v/>
      </c>
      <c r="H966" s="25">
        <f>IF($C966="","",IFERROR(IF(INDEX(links!$B$2:$B$501,MATCH($C966,links!$D$2:$D$501,0))="","",INDEX(links!$B$2:$B$501,MATCH($C966,links!$D$2:$D$501,0))),""))</f>
        <v/>
      </c>
      <c r="I966" s="25">
        <f>IF($C966="","",IFERROR(IF(INDEX(links!$C$2:$C$501,MATCH($C966,links!$D$2:$D$501,0))="","",INDEX(links!$C$2:$C$501,MATCH($C966,links!$D$2:$D$501,0))),""))</f>
        <v/>
      </c>
      <c r="J966" s="25">
        <f>IF($C966="","",IF($G966="","slug not in links; ","")&amp;IF($D966="","reading type missing; ","")&amp;IF(COUNTIFS(scans!$C$2:$C$1601,$C966,scans!$D$2:$D$1601,$D966)&gt;1,"two readings of this type: keep one; ",""))</f>
        <v/>
      </c>
    </row>
    <row r="967">
      <c r="A967" s="9" t="n"/>
      <c r="B967" s="33" t="n"/>
      <c r="G967" s="25">
        <f>IF($C967="","",IFERROR(IF(INDEX(links!$A$2:$A$501,MATCH($C967,links!$D$2:$D$501,0))="","",INDEX(links!$A$2:$A$501,MATCH($C967,links!$D$2:$D$501,0))),""))</f>
        <v/>
      </c>
      <c r="H967" s="25">
        <f>IF($C967="","",IFERROR(IF(INDEX(links!$B$2:$B$501,MATCH($C967,links!$D$2:$D$501,0))="","",INDEX(links!$B$2:$B$501,MATCH($C967,links!$D$2:$D$501,0))),""))</f>
        <v/>
      </c>
      <c r="I967" s="25">
        <f>IF($C967="","",IFERROR(IF(INDEX(links!$C$2:$C$501,MATCH($C967,links!$D$2:$D$501,0))="","",INDEX(links!$C$2:$C$501,MATCH($C967,links!$D$2:$D$501,0))),""))</f>
        <v/>
      </c>
      <c r="J967" s="25">
        <f>IF($C967="","",IF($G967="","slug not in links; ","")&amp;IF($D967="","reading type missing; ","")&amp;IF(COUNTIFS(scans!$C$2:$C$1601,$C967,scans!$D$2:$D$1601,$D967)&gt;1,"two readings of this type: keep one; ",""))</f>
        <v/>
      </c>
    </row>
    <row r="968">
      <c r="A968" s="9" t="n"/>
      <c r="B968" s="33" t="n"/>
      <c r="G968" s="25">
        <f>IF($C968="","",IFERROR(IF(INDEX(links!$A$2:$A$501,MATCH($C968,links!$D$2:$D$501,0))="","",INDEX(links!$A$2:$A$501,MATCH($C968,links!$D$2:$D$501,0))),""))</f>
        <v/>
      </c>
      <c r="H968" s="25">
        <f>IF($C968="","",IFERROR(IF(INDEX(links!$B$2:$B$501,MATCH($C968,links!$D$2:$D$501,0))="","",INDEX(links!$B$2:$B$501,MATCH($C968,links!$D$2:$D$501,0))),""))</f>
        <v/>
      </c>
      <c r="I968" s="25">
        <f>IF($C968="","",IFERROR(IF(INDEX(links!$C$2:$C$501,MATCH($C968,links!$D$2:$D$501,0))="","",INDEX(links!$C$2:$C$501,MATCH($C968,links!$D$2:$D$501,0))),""))</f>
        <v/>
      </c>
      <c r="J968" s="25">
        <f>IF($C968="","",IF($G968="","slug not in links; ","")&amp;IF($D968="","reading type missing; ","")&amp;IF(COUNTIFS(scans!$C$2:$C$1601,$C968,scans!$D$2:$D$1601,$D968)&gt;1,"two readings of this type: keep one; ",""))</f>
        <v/>
      </c>
    </row>
    <row r="969">
      <c r="A969" s="9" t="n"/>
      <c r="B969" s="33" t="n"/>
      <c r="G969" s="25">
        <f>IF($C969="","",IFERROR(IF(INDEX(links!$A$2:$A$501,MATCH($C969,links!$D$2:$D$501,0))="","",INDEX(links!$A$2:$A$501,MATCH($C969,links!$D$2:$D$501,0))),""))</f>
        <v/>
      </c>
      <c r="H969" s="25">
        <f>IF($C969="","",IFERROR(IF(INDEX(links!$B$2:$B$501,MATCH($C969,links!$D$2:$D$501,0))="","",INDEX(links!$B$2:$B$501,MATCH($C969,links!$D$2:$D$501,0))),""))</f>
        <v/>
      </c>
      <c r="I969" s="25">
        <f>IF($C969="","",IFERROR(IF(INDEX(links!$C$2:$C$501,MATCH($C969,links!$D$2:$D$501,0))="","",INDEX(links!$C$2:$C$501,MATCH($C969,links!$D$2:$D$501,0))),""))</f>
        <v/>
      </c>
      <c r="J969" s="25">
        <f>IF($C969="","",IF($G969="","slug not in links; ","")&amp;IF($D969="","reading type missing; ","")&amp;IF(COUNTIFS(scans!$C$2:$C$1601,$C969,scans!$D$2:$D$1601,$D969)&gt;1,"two readings of this type: keep one; ",""))</f>
        <v/>
      </c>
    </row>
    <row r="970">
      <c r="A970" s="9" t="n"/>
      <c r="B970" s="33" t="n"/>
      <c r="G970" s="25">
        <f>IF($C970="","",IFERROR(IF(INDEX(links!$A$2:$A$501,MATCH($C970,links!$D$2:$D$501,0))="","",INDEX(links!$A$2:$A$501,MATCH($C970,links!$D$2:$D$501,0))),""))</f>
        <v/>
      </c>
      <c r="H970" s="25">
        <f>IF($C970="","",IFERROR(IF(INDEX(links!$B$2:$B$501,MATCH($C970,links!$D$2:$D$501,0))="","",INDEX(links!$B$2:$B$501,MATCH($C970,links!$D$2:$D$501,0))),""))</f>
        <v/>
      </c>
      <c r="I970" s="25">
        <f>IF($C970="","",IFERROR(IF(INDEX(links!$C$2:$C$501,MATCH($C970,links!$D$2:$D$501,0))="","",INDEX(links!$C$2:$C$501,MATCH($C970,links!$D$2:$D$501,0))),""))</f>
        <v/>
      </c>
      <c r="J970" s="25">
        <f>IF($C970="","",IF($G970="","slug not in links; ","")&amp;IF($D970="","reading type missing; ","")&amp;IF(COUNTIFS(scans!$C$2:$C$1601,$C970,scans!$D$2:$D$1601,$D970)&gt;1,"two readings of this type: keep one; ",""))</f>
        <v/>
      </c>
    </row>
    <row r="971">
      <c r="A971" s="9" t="n"/>
      <c r="B971" s="33" t="n"/>
      <c r="G971" s="25">
        <f>IF($C971="","",IFERROR(IF(INDEX(links!$A$2:$A$501,MATCH($C971,links!$D$2:$D$501,0))="","",INDEX(links!$A$2:$A$501,MATCH($C971,links!$D$2:$D$501,0))),""))</f>
        <v/>
      </c>
      <c r="H971" s="25">
        <f>IF($C971="","",IFERROR(IF(INDEX(links!$B$2:$B$501,MATCH($C971,links!$D$2:$D$501,0))="","",INDEX(links!$B$2:$B$501,MATCH($C971,links!$D$2:$D$501,0))),""))</f>
        <v/>
      </c>
      <c r="I971" s="25">
        <f>IF($C971="","",IFERROR(IF(INDEX(links!$C$2:$C$501,MATCH($C971,links!$D$2:$D$501,0))="","",INDEX(links!$C$2:$C$501,MATCH($C971,links!$D$2:$D$501,0))),""))</f>
        <v/>
      </c>
      <c r="J971" s="25">
        <f>IF($C971="","",IF($G971="","slug not in links; ","")&amp;IF($D971="","reading type missing; ","")&amp;IF(COUNTIFS(scans!$C$2:$C$1601,$C971,scans!$D$2:$D$1601,$D971)&gt;1,"two readings of this type: keep one; ",""))</f>
        <v/>
      </c>
    </row>
    <row r="972">
      <c r="A972" s="9" t="n"/>
      <c r="B972" s="33" t="n"/>
      <c r="G972" s="25">
        <f>IF($C972="","",IFERROR(IF(INDEX(links!$A$2:$A$501,MATCH($C972,links!$D$2:$D$501,0))="","",INDEX(links!$A$2:$A$501,MATCH($C972,links!$D$2:$D$501,0))),""))</f>
        <v/>
      </c>
      <c r="H972" s="25">
        <f>IF($C972="","",IFERROR(IF(INDEX(links!$B$2:$B$501,MATCH($C972,links!$D$2:$D$501,0))="","",INDEX(links!$B$2:$B$501,MATCH($C972,links!$D$2:$D$501,0))),""))</f>
        <v/>
      </c>
      <c r="I972" s="25">
        <f>IF($C972="","",IFERROR(IF(INDEX(links!$C$2:$C$501,MATCH($C972,links!$D$2:$D$501,0))="","",INDEX(links!$C$2:$C$501,MATCH($C972,links!$D$2:$D$501,0))),""))</f>
        <v/>
      </c>
      <c r="J972" s="25">
        <f>IF($C972="","",IF($G972="","slug not in links; ","")&amp;IF($D972="","reading type missing; ","")&amp;IF(COUNTIFS(scans!$C$2:$C$1601,$C972,scans!$D$2:$D$1601,$D972)&gt;1,"two readings of this type: keep one; ",""))</f>
        <v/>
      </c>
    </row>
    <row r="973">
      <c r="A973" s="9" t="n"/>
      <c r="B973" s="33" t="n"/>
      <c r="G973" s="25">
        <f>IF($C973="","",IFERROR(IF(INDEX(links!$A$2:$A$501,MATCH($C973,links!$D$2:$D$501,0))="","",INDEX(links!$A$2:$A$501,MATCH($C973,links!$D$2:$D$501,0))),""))</f>
        <v/>
      </c>
      <c r="H973" s="25">
        <f>IF($C973="","",IFERROR(IF(INDEX(links!$B$2:$B$501,MATCH($C973,links!$D$2:$D$501,0))="","",INDEX(links!$B$2:$B$501,MATCH($C973,links!$D$2:$D$501,0))),""))</f>
        <v/>
      </c>
      <c r="I973" s="25">
        <f>IF($C973="","",IFERROR(IF(INDEX(links!$C$2:$C$501,MATCH($C973,links!$D$2:$D$501,0))="","",INDEX(links!$C$2:$C$501,MATCH($C973,links!$D$2:$D$501,0))),""))</f>
        <v/>
      </c>
      <c r="J973" s="25">
        <f>IF($C973="","",IF($G973="","slug not in links; ","")&amp;IF($D973="","reading type missing; ","")&amp;IF(COUNTIFS(scans!$C$2:$C$1601,$C973,scans!$D$2:$D$1601,$D973)&gt;1,"two readings of this type: keep one; ",""))</f>
        <v/>
      </c>
    </row>
    <row r="974">
      <c r="A974" s="9" t="n"/>
      <c r="B974" s="33" t="n"/>
      <c r="G974" s="25">
        <f>IF($C974="","",IFERROR(IF(INDEX(links!$A$2:$A$501,MATCH($C974,links!$D$2:$D$501,0))="","",INDEX(links!$A$2:$A$501,MATCH($C974,links!$D$2:$D$501,0))),""))</f>
        <v/>
      </c>
      <c r="H974" s="25">
        <f>IF($C974="","",IFERROR(IF(INDEX(links!$B$2:$B$501,MATCH($C974,links!$D$2:$D$501,0))="","",INDEX(links!$B$2:$B$501,MATCH($C974,links!$D$2:$D$501,0))),""))</f>
        <v/>
      </c>
      <c r="I974" s="25">
        <f>IF($C974="","",IFERROR(IF(INDEX(links!$C$2:$C$501,MATCH($C974,links!$D$2:$D$501,0))="","",INDEX(links!$C$2:$C$501,MATCH($C974,links!$D$2:$D$501,0))),""))</f>
        <v/>
      </c>
      <c r="J974" s="25">
        <f>IF($C974="","",IF($G974="","slug not in links; ","")&amp;IF($D974="","reading type missing; ","")&amp;IF(COUNTIFS(scans!$C$2:$C$1601,$C974,scans!$D$2:$D$1601,$D974)&gt;1,"two readings of this type: keep one; ",""))</f>
        <v/>
      </c>
    </row>
    <row r="975">
      <c r="A975" s="9" t="n"/>
      <c r="B975" s="33" t="n"/>
      <c r="G975" s="25">
        <f>IF($C975="","",IFERROR(IF(INDEX(links!$A$2:$A$501,MATCH($C975,links!$D$2:$D$501,0))="","",INDEX(links!$A$2:$A$501,MATCH($C975,links!$D$2:$D$501,0))),""))</f>
        <v/>
      </c>
      <c r="H975" s="25">
        <f>IF($C975="","",IFERROR(IF(INDEX(links!$B$2:$B$501,MATCH($C975,links!$D$2:$D$501,0))="","",INDEX(links!$B$2:$B$501,MATCH($C975,links!$D$2:$D$501,0))),""))</f>
        <v/>
      </c>
      <c r="I975" s="25">
        <f>IF($C975="","",IFERROR(IF(INDEX(links!$C$2:$C$501,MATCH($C975,links!$D$2:$D$501,0))="","",INDEX(links!$C$2:$C$501,MATCH($C975,links!$D$2:$D$501,0))),""))</f>
        <v/>
      </c>
      <c r="J975" s="25">
        <f>IF($C975="","",IF($G975="","slug not in links; ","")&amp;IF($D975="","reading type missing; ","")&amp;IF(COUNTIFS(scans!$C$2:$C$1601,$C975,scans!$D$2:$D$1601,$D975)&gt;1,"two readings of this type: keep one; ",""))</f>
        <v/>
      </c>
    </row>
    <row r="976">
      <c r="A976" s="9" t="n"/>
      <c r="B976" s="33" t="n"/>
      <c r="G976" s="25">
        <f>IF($C976="","",IFERROR(IF(INDEX(links!$A$2:$A$501,MATCH($C976,links!$D$2:$D$501,0))="","",INDEX(links!$A$2:$A$501,MATCH($C976,links!$D$2:$D$501,0))),""))</f>
        <v/>
      </c>
      <c r="H976" s="25">
        <f>IF($C976="","",IFERROR(IF(INDEX(links!$B$2:$B$501,MATCH($C976,links!$D$2:$D$501,0))="","",INDEX(links!$B$2:$B$501,MATCH($C976,links!$D$2:$D$501,0))),""))</f>
        <v/>
      </c>
      <c r="I976" s="25">
        <f>IF($C976="","",IFERROR(IF(INDEX(links!$C$2:$C$501,MATCH($C976,links!$D$2:$D$501,0))="","",INDEX(links!$C$2:$C$501,MATCH($C976,links!$D$2:$D$501,0))),""))</f>
        <v/>
      </c>
      <c r="J976" s="25">
        <f>IF($C976="","",IF($G976="","slug not in links; ","")&amp;IF($D976="","reading type missing; ","")&amp;IF(COUNTIFS(scans!$C$2:$C$1601,$C976,scans!$D$2:$D$1601,$D976)&gt;1,"two readings of this type: keep one; ",""))</f>
        <v/>
      </c>
    </row>
    <row r="977">
      <c r="A977" s="9" t="n"/>
      <c r="B977" s="33" t="n"/>
      <c r="G977" s="25">
        <f>IF($C977="","",IFERROR(IF(INDEX(links!$A$2:$A$501,MATCH($C977,links!$D$2:$D$501,0))="","",INDEX(links!$A$2:$A$501,MATCH($C977,links!$D$2:$D$501,0))),""))</f>
        <v/>
      </c>
      <c r="H977" s="25">
        <f>IF($C977="","",IFERROR(IF(INDEX(links!$B$2:$B$501,MATCH($C977,links!$D$2:$D$501,0))="","",INDEX(links!$B$2:$B$501,MATCH($C977,links!$D$2:$D$501,0))),""))</f>
        <v/>
      </c>
      <c r="I977" s="25">
        <f>IF($C977="","",IFERROR(IF(INDEX(links!$C$2:$C$501,MATCH($C977,links!$D$2:$D$501,0))="","",INDEX(links!$C$2:$C$501,MATCH($C977,links!$D$2:$D$501,0))),""))</f>
        <v/>
      </c>
      <c r="J977" s="25">
        <f>IF($C977="","",IF($G977="","slug not in links; ","")&amp;IF($D977="","reading type missing; ","")&amp;IF(COUNTIFS(scans!$C$2:$C$1601,$C977,scans!$D$2:$D$1601,$D977)&gt;1,"two readings of this type: keep one; ",""))</f>
        <v/>
      </c>
    </row>
    <row r="978">
      <c r="A978" s="9" t="n"/>
      <c r="B978" s="33" t="n"/>
      <c r="G978" s="25">
        <f>IF($C978="","",IFERROR(IF(INDEX(links!$A$2:$A$501,MATCH($C978,links!$D$2:$D$501,0))="","",INDEX(links!$A$2:$A$501,MATCH($C978,links!$D$2:$D$501,0))),""))</f>
        <v/>
      </c>
      <c r="H978" s="25">
        <f>IF($C978="","",IFERROR(IF(INDEX(links!$B$2:$B$501,MATCH($C978,links!$D$2:$D$501,0))="","",INDEX(links!$B$2:$B$501,MATCH($C978,links!$D$2:$D$501,0))),""))</f>
        <v/>
      </c>
      <c r="I978" s="25">
        <f>IF($C978="","",IFERROR(IF(INDEX(links!$C$2:$C$501,MATCH($C978,links!$D$2:$D$501,0))="","",INDEX(links!$C$2:$C$501,MATCH($C978,links!$D$2:$D$501,0))),""))</f>
        <v/>
      </c>
      <c r="J978" s="25">
        <f>IF($C978="","",IF($G978="","slug not in links; ","")&amp;IF($D978="","reading type missing; ","")&amp;IF(COUNTIFS(scans!$C$2:$C$1601,$C978,scans!$D$2:$D$1601,$D978)&gt;1,"two readings of this type: keep one; ",""))</f>
        <v/>
      </c>
    </row>
    <row r="979">
      <c r="A979" s="9" t="n"/>
      <c r="B979" s="33" t="n"/>
      <c r="G979" s="25">
        <f>IF($C979="","",IFERROR(IF(INDEX(links!$A$2:$A$501,MATCH($C979,links!$D$2:$D$501,0))="","",INDEX(links!$A$2:$A$501,MATCH($C979,links!$D$2:$D$501,0))),""))</f>
        <v/>
      </c>
      <c r="H979" s="25">
        <f>IF($C979="","",IFERROR(IF(INDEX(links!$B$2:$B$501,MATCH($C979,links!$D$2:$D$501,0))="","",INDEX(links!$B$2:$B$501,MATCH($C979,links!$D$2:$D$501,0))),""))</f>
        <v/>
      </c>
      <c r="I979" s="25">
        <f>IF($C979="","",IFERROR(IF(INDEX(links!$C$2:$C$501,MATCH($C979,links!$D$2:$D$501,0))="","",INDEX(links!$C$2:$C$501,MATCH($C979,links!$D$2:$D$501,0))),""))</f>
        <v/>
      </c>
      <c r="J979" s="25">
        <f>IF($C979="","",IF($G979="","slug not in links; ","")&amp;IF($D979="","reading type missing; ","")&amp;IF(COUNTIFS(scans!$C$2:$C$1601,$C979,scans!$D$2:$D$1601,$D979)&gt;1,"two readings of this type: keep one; ",""))</f>
        <v/>
      </c>
    </row>
    <row r="980">
      <c r="A980" s="9" t="n"/>
      <c r="B980" s="33" t="n"/>
      <c r="G980" s="25">
        <f>IF($C980="","",IFERROR(IF(INDEX(links!$A$2:$A$501,MATCH($C980,links!$D$2:$D$501,0))="","",INDEX(links!$A$2:$A$501,MATCH($C980,links!$D$2:$D$501,0))),""))</f>
        <v/>
      </c>
      <c r="H980" s="25">
        <f>IF($C980="","",IFERROR(IF(INDEX(links!$B$2:$B$501,MATCH($C980,links!$D$2:$D$501,0))="","",INDEX(links!$B$2:$B$501,MATCH($C980,links!$D$2:$D$501,0))),""))</f>
        <v/>
      </c>
      <c r="I980" s="25">
        <f>IF($C980="","",IFERROR(IF(INDEX(links!$C$2:$C$501,MATCH($C980,links!$D$2:$D$501,0))="","",INDEX(links!$C$2:$C$501,MATCH($C980,links!$D$2:$D$501,0))),""))</f>
        <v/>
      </c>
      <c r="J980" s="25">
        <f>IF($C980="","",IF($G980="","slug not in links; ","")&amp;IF($D980="","reading type missing; ","")&amp;IF(COUNTIFS(scans!$C$2:$C$1601,$C980,scans!$D$2:$D$1601,$D980)&gt;1,"two readings of this type: keep one; ",""))</f>
        <v/>
      </c>
    </row>
    <row r="981">
      <c r="A981" s="9" t="n"/>
      <c r="B981" s="33" t="n"/>
      <c r="G981" s="25">
        <f>IF($C981="","",IFERROR(IF(INDEX(links!$A$2:$A$501,MATCH($C981,links!$D$2:$D$501,0))="","",INDEX(links!$A$2:$A$501,MATCH($C981,links!$D$2:$D$501,0))),""))</f>
        <v/>
      </c>
      <c r="H981" s="25">
        <f>IF($C981="","",IFERROR(IF(INDEX(links!$B$2:$B$501,MATCH($C981,links!$D$2:$D$501,0))="","",INDEX(links!$B$2:$B$501,MATCH($C981,links!$D$2:$D$501,0))),""))</f>
        <v/>
      </c>
      <c r="I981" s="25">
        <f>IF($C981="","",IFERROR(IF(INDEX(links!$C$2:$C$501,MATCH($C981,links!$D$2:$D$501,0))="","",INDEX(links!$C$2:$C$501,MATCH($C981,links!$D$2:$D$501,0))),""))</f>
        <v/>
      </c>
      <c r="J981" s="25">
        <f>IF($C981="","",IF($G981="","slug not in links; ","")&amp;IF($D981="","reading type missing; ","")&amp;IF(COUNTIFS(scans!$C$2:$C$1601,$C981,scans!$D$2:$D$1601,$D981)&gt;1,"two readings of this type: keep one; ",""))</f>
        <v/>
      </c>
    </row>
    <row r="982">
      <c r="A982" s="9" t="n"/>
      <c r="B982" s="33" t="n"/>
      <c r="G982" s="25">
        <f>IF($C982="","",IFERROR(IF(INDEX(links!$A$2:$A$501,MATCH($C982,links!$D$2:$D$501,0))="","",INDEX(links!$A$2:$A$501,MATCH($C982,links!$D$2:$D$501,0))),""))</f>
        <v/>
      </c>
      <c r="H982" s="25">
        <f>IF($C982="","",IFERROR(IF(INDEX(links!$B$2:$B$501,MATCH($C982,links!$D$2:$D$501,0))="","",INDEX(links!$B$2:$B$501,MATCH($C982,links!$D$2:$D$501,0))),""))</f>
        <v/>
      </c>
      <c r="I982" s="25">
        <f>IF($C982="","",IFERROR(IF(INDEX(links!$C$2:$C$501,MATCH($C982,links!$D$2:$D$501,0))="","",INDEX(links!$C$2:$C$501,MATCH($C982,links!$D$2:$D$501,0))),""))</f>
        <v/>
      </c>
      <c r="J982" s="25">
        <f>IF($C982="","",IF($G982="","slug not in links; ","")&amp;IF($D982="","reading type missing; ","")&amp;IF(COUNTIFS(scans!$C$2:$C$1601,$C982,scans!$D$2:$D$1601,$D982)&gt;1,"two readings of this type: keep one; ",""))</f>
        <v/>
      </c>
    </row>
    <row r="983">
      <c r="A983" s="9" t="n"/>
      <c r="B983" s="33" t="n"/>
      <c r="G983" s="25">
        <f>IF($C983="","",IFERROR(IF(INDEX(links!$A$2:$A$501,MATCH($C983,links!$D$2:$D$501,0))="","",INDEX(links!$A$2:$A$501,MATCH($C983,links!$D$2:$D$501,0))),""))</f>
        <v/>
      </c>
      <c r="H983" s="25">
        <f>IF($C983="","",IFERROR(IF(INDEX(links!$B$2:$B$501,MATCH($C983,links!$D$2:$D$501,0))="","",INDEX(links!$B$2:$B$501,MATCH($C983,links!$D$2:$D$501,0))),""))</f>
        <v/>
      </c>
      <c r="I983" s="25">
        <f>IF($C983="","",IFERROR(IF(INDEX(links!$C$2:$C$501,MATCH($C983,links!$D$2:$D$501,0))="","",INDEX(links!$C$2:$C$501,MATCH($C983,links!$D$2:$D$501,0))),""))</f>
        <v/>
      </c>
      <c r="J983" s="25">
        <f>IF($C983="","",IF($G983="","slug not in links; ","")&amp;IF($D983="","reading type missing; ","")&amp;IF(COUNTIFS(scans!$C$2:$C$1601,$C983,scans!$D$2:$D$1601,$D983)&gt;1,"two readings of this type: keep one; ",""))</f>
        <v/>
      </c>
    </row>
    <row r="984">
      <c r="A984" s="9" t="n"/>
      <c r="B984" s="33" t="n"/>
      <c r="G984" s="25">
        <f>IF($C984="","",IFERROR(IF(INDEX(links!$A$2:$A$501,MATCH($C984,links!$D$2:$D$501,0))="","",INDEX(links!$A$2:$A$501,MATCH($C984,links!$D$2:$D$501,0))),""))</f>
        <v/>
      </c>
      <c r="H984" s="25">
        <f>IF($C984="","",IFERROR(IF(INDEX(links!$B$2:$B$501,MATCH($C984,links!$D$2:$D$501,0))="","",INDEX(links!$B$2:$B$501,MATCH($C984,links!$D$2:$D$501,0))),""))</f>
        <v/>
      </c>
      <c r="I984" s="25">
        <f>IF($C984="","",IFERROR(IF(INDEX(links!$C$2:$C$501,MATCH($C984,links!$D$2:$D$501,0))="","",INDEX(links!$C$2:$C$501,MATCH($C984,links!$D$2:$D$501,0))),""))</f>
        <v/>
      </c>
      <c r="J984" s="25">
        <f>IF($C984="","",IF($G984="","slug not in links; ","")&amp;IF($D984="","reading type missing; ","")&amp;IF(COUNTIFS(scans!$C$2:$C$1601,$C984,scans!$D$2:$D$1601,$D984)&gt;1,"two readings of this type: keep one; ",""))</f>
        <v/>
      </c>
    </row>
    <row r="985">
      <c r="A985" s="9" t="n"/>
      <c r="B985" s="33" t="n"/>
      <c r="G985" s="25">
        <f>IF($C985="","",IFERROR(IF(INDEX(links!$A$2:$A$501,MATCH($C985,links!$D$2:$D$501,0))="","",INDEX(links!$A$2:$A$501,MATCH($C985,links!$D$2:$D$501,0))),""))</f>
        <v/>
      </c>
      <c r="H985" s="25">
        <f>IF($C985="","",IFERROR(IF(INDEX(links!$B$2:$B$501,MATCH($C985,links!$D$2:$D$501,0))="","",INDEX(links!$B$2:$B$501,MATCH($C985,links!$D$2:$D$501,0))),""))</f>
        <v/>
      </c>
      <c r="I985" s="25">
        <f>IF($C985="","",IFERROR(IF(INDEX(links!$C$2:$C$501,MATCH($C985,links!$D$2:$D$501,0))="","",INDEX(links!$C$2:$C$501,MATCH($C985,links!$D$2:$D$501,0))),""))</f>
        <v/>
      </c>
      <c r="J985" s="25">
        <f>IF($C985="","",IF($G985="","slug not in links; ","")&amp;IF($D985="","reading type missing; ","")&amp;IF(COUNTIFS(scans!$C$2:$C$1601,$C985,scans!$D$2:$D$1601,$D985)&gt;1,"two readings of this type: keep one; ",""))</f>
        <v/>
      </c>
    </row>
    <row r="986">
      <c r="A986" s="9" t="n"/>
      <c r="B986" s="33" t="n"/>
      <c r="G986" s="25">
        <f>IF($C986="","",IFERROR(IF(INDEX(links!$A$2:$A$501,MATCH($C986,links!$D$2:$D$501,0))="","",INDEX(links!$A$2:$A$501,MATCH($C986,links!$D$2:$D$501,0))),""))</f>
        <v/>
      </c>
      <c r="H986" s="25">
        <f>IF($C986="","",IFERROR(IF(INDEX(links!$B$2:$B$501,MATCH($C986,links!$D$2:$D$501,0))="","",INDEX(links!$B$2:$B$501,MATCH($C986,links!$D$2:$D$501,0))),""))</f>
        <v/>
      </c>
      <c r="I986" s="25">
        <f>IF($C986="","",IFERROR(IF(INDEX(links!$C$2:$C$501,MATCH($C986,links!$D$2:$D$501,0))="","",INDEX(links!$C$2:$C$501,MATCH($C986,links!$D$2:$D$501,0))),""))</f>
        <v/>
      </c>
      <c r="J986" s="25">
        <f>IF($C986="","",IF($G986="","slug not in links; ","")&amp;IF($D986="","reading type missing; ","")&amp;IF(COUNTIFS(scans!$C$2:$C$1601,$C986,scans!$D$2:$D$1601,$D986)&gt;1,"two readings of this type: keep one; ",""))</f>
        <v/>
      </c>
    </row>
    <row r="987">
      <c r="A987" s="9" t="n"/>
      <c r="B987" s="33" t="n"/>
      <c r="G987" s="25">
        <f>IF($C987="","",IFERROR(IF(INDEX(links!$A$2:$A$501,MATCH($C987,links!$D$2:$D$501,0))="","",INDEX(links!$A$2:$A$501,MATCH($C987,links!$D$2:$D$501,0))),""))</f>
        <v/>
      </c>
      <c r="H987" s="25">
        <f>IF($C987="","",IFERROR(IF(INDEX(links!$B$2:$B$501,MATCH($C987,links!$D$2:$D$501,0))="","",INDEX(links!$B$2:$B$501,MATCH($C987,links!$D$2:$D$501,0))),""))</f>
        <v/>
      </c>
      <c r="I987" s="25">
        <f>IF($C987="","",IFERROR(IF(INDEX(links!$C$2:$C$501,MATCH($C987,links!$D$2:$D$501,0))="","",INDEX(links!$C$2:$C$501,MATCH($C987,links!$D$2:$D$501,0))),""))</f>
        <v/>
      </c>
      <c r="J987" s="25">
        <f>IF($C987="","",IF($G987="","slug not in links; ","")&amp;IF($D987="","reading type missing; ","")&amp;IF(COUNTIFS(scans!$C$2:$C$1601,$C987,scans!$D$2:$D$1601,$D987)&gt;1,"two readings of this type: keep one; ",""))</f>
        <v/>
      </c>
    </row>
    <row r="988">
      <c r="A988" s="9" t="n"/>
      <c r="B988" s="33" t="n"/>
      <c r="G988" s="25">
        <f>IF($C988="","",IFERROR(IF(INDEX(links!$A$2:$A$501,MATCH($C988,links!$D$2:$D$501,0))="","",INDEX(links!$A$2:$A$501,MATCH($C988,links!$D$2:$D$501,0))),""))</f>
        <v/>
      </c>
      <c r="H988" s="25">
        <f>IF($C988="","",IFERROR(IF(INDEX(links!$B$2:$B$501,MATCH($C988,links!$D$2:$D$501,0))="","",INDEX(links!$B$2:$B$501,MATCH($C988,links!$D$2:$D$501,0))),""))</f>
        <v/>
      </c>
      <c r="I988" s="25">
        <f>IF($C988="","",IFERROR(IF(INDEX(links!$C$2:$C$501,MATCH($C988,links!$D$2:$D$501,0))="","",INDEX(links!$C$2:$C$501,MATCH($C988,links!$D$2:$D$501,0))),""))</f>
        <v/>
      </c>
      <c r="J988" s="25">
        <f>IF($C988="","",IF($G988="","slug not in links; ","")&amp;IF($D988="","reading type missing; ","")&amp;IF(COUNTIFS(scans!$C$2:$C$1601,$C988,scans!$D$2:$D$1601,$D988)&gt;1,"two readings of this type: keep one; ",""))</f>
        <v/>
      </c>
    </row>
    <row r="989">
      <c r="A989" s="9" t="n"/>
      <c r="B989" s="33" t="n"/>
      <c r="G989" s="25">
        <f>IF($C989="","",IFERROR(IF(INDEX(links!$A$2:$A$501,MATCH($C989,links!$D$2:$D$501,0))="","",INDEX(links!$A$2:$A$501,MATCH($C989,links!$D$2:$D$501,0))),""))</f>
        <v/>
      </c>
      <c r="H989" s="25">
        <f>IF($C989="","",IFERROR(IF(INDEX(links!$B$2:$B$501,MATCH($C989,links!$D$2:$D$501,0))="","",INDEX(links!$B$2:$B$501,MATCH($C989,links!$D$2:$D$501,0))),""))</f>
        <v/>
      </c>
      <c r="I989" s="25">
        <f>IF($C989="","",IFERROR(IF(INDEX(links!$C$2:$C$501,MATCH($C989,links!$D$2:$D$501,0))="","",INDEX(links!$C$2:$C$501,MATCH($C989,links!$D$2:$D$501,0))),""))</f>
        <v/>
      </c>
      <c r="J989" s="25">
        <f>IF($C989="","",IF($G989="","slug not in links; ","")&amp;IF($D989="","reading type missing; ","")&amp;IF(COUNTIFS(scans!$C$2:$C$1601,$C989,scans!$D$2:$D$1601,$D989)&gt;1,"two readings of this type: keep one; ",""))</f>
        <v/>
      </c>
    </row>
    <row r="990">
      <c r="A990" s="9" t="n"/>
      <c r="B990" s="33" t="n"/>
      <c r="G990" s="25">
        <f>IF($C990="","",IFERROR(IF(INDEX(links!$A$2:$A$501,MATCH($C990,links!$D$2:$D$501,0))="","",INDEX(links!$A$2:$A$501,MATCH($C990,links!$D$2:$D$501,0))),""))</f>
        <v/>
      </c>
      <c r="H990" s="25">
        <f>IF($C990="","",IFERROR(IF(INDEX(links!$B$2:$B$501,MATCH($C990,links!$D$2:$D$501,0))="","",INDEX(links!$B$2:$B$501,MATCH($C990,links!$D$2:$D$501,0))),""))</f>
        <v/>
      </c>
      <c r="I990" s="25">
        <f>IF($C990="","",IFERROR(IF(INDEX(links!$C$2:$C$501,MATCH($C990,links!$D$2:$D$501,0))="","",INDEX(links!$C$2:$C$501,MATCH($C990,links!$D$2:$D$501,0))),""))</f>
        <v/>
      </c>
      <c r="J990" s="25">
        <f>IF($C990="","",IF($G990="","slug not in links; ","")&amp;IF($D990="","reading type missing; ","")&amp;IF(COUNTIFS(scans!$C$2:$C$1601,$C990,scans!$D$2:$D$1601,$D990)&gt;1,"two readings of this type: keep one; ",""))</f>
        <v/>
      </c>
    </row>
    <row r="991">
      <c r="A991" s="9" t="n"/>
      <c r="B991" s="33" t="n"/>
      <c r="G991" s="25">
        <f>IF($C991="","",IFERROR(IF(INDEX(links!$A$2:$A$501,MATCH($C991,links!$D$2:$D$501,0))="","",INDEX(links!$A$2:$A$501,MATCH($C991,links!$D$2:$D$501,0))),""))</f>
        <v/>
      </c>
      <c r="H991" s="25">
        <f>IF($C991="","",IFERROR(IF(INDEX(links!$B$2:$B$501,MATCH($C991,links!$D$2:$D$501,0))="","",INDEX(links!$B$2:$B$501,MATCH($C991,links!$D$2:$D$501,0))),""))</f>
        <v/>
      </c>
      <c r="I991" s="25">
        <f>IF($C991="","",IFERROR(IF(INDEX(links!$C$2:$C$501,MATCH($C991,links!$D$2:$D$501,0))="","",INDEX(links!$C$2:$C$501,MATCH($C991,links!$D$2:$D$501,0))),""))</f>
        <v/>
      </c>
      <c r="J991" s="25">
        <f>IF($C991="","",IF($G991="","slug not in links; ","")&amp;IF($D991="","reading type missing; ","")&amp;IF(COUNTIFS(scans!$C$2:$C$1601,$C991,scans!$D$2:$D$1601,$D991)&gt;1,"two readings of this type: keep one; ",""))</f>
        <v/>
      </c>
    </row>
    <row r="992">
      <c r="A992" s="9" t="n"/>
      <c r="B992" s="33" t="n"/>
      <c r="G992" s="25">
        <f>IF($C992="","",IFERROR(IF(INDEX(links!$A$2:$A$501,MATCH($C992,links!$D$2:$D$501,0))="","",INDEX(links!$A$2:$A$501,MATCH($C992,links!$D$2:$D$501,0))),""))</f>
        <v/>
      </c>
      <c r="H992" s="25">
        <f>IF($C992="","",IFERROR(IF(INDEX(links!$B$2:$B$501,MATCH($C992,links!$D$2:$D$501,0))="","",INDEX(links!$B$2:$B$501,MATCH($C992,links!$D$2:$D$501,0))),""))</f>
        <v/>
      </c>
      <c r="I992" s="25">
        <f>IF($C992="","",IFERROR(IF(INDEX(links!$C$2:$C$501,MATCH($C992,links!$D$2:$D$501,0))="","",INDEX(links!$C$2:$C$501,MATCH($C992,links!$D$2:$D$501,0))),""))</f>
        <v/>
      </c>
      <c r="J992" s="25">
        <f>IF($C992="","",IF($G992="","slug not in links; ","")&amp;IF($D992="","reading type missing; ","")&amp;IF(COUNTIFS(scans!$C$2:$C$1601,$C992,scans!$D$2:$D$1601,$D992)&gt;1,"two readings of this type: keep one; ",""))</f>
        <v/>
      </c>
    </row>
    <row r="993">
      <c r="A993" s="9" t="n"/>
      <c r="B993" s="33" t="n"/>
      <c r="G993" s="25">
        <f>IF($C993="","",IFERROR(IF(INDEX(links!$A$2:$A$501,MATCH($C993,links!$D$2:$D$501,0))="","",INDEX(links!$A$2:$A$501,MATCH($C993,links!$D$2:$D$501,0))),""))</f>
        <v/>
      </c>
      <c r="H993" s="25">
        <f>IF($C993="","",IFERROR(IF(INDEX(links!$B$2:$B$501,MATCH($C993,links!$D$2:$D$501,0))="","",INDEX(links!$B$2:$B$501,MATCH($C993,links!$D$2:$D$501,0))),""))</f>
        <v/>
      </c>
      <c r="I993" s="25">
        <f>IF($C993="","",IFERROR(IF(INDEX(links!$C$2:$C$501,MATCH($C993,links!$D$2:$D$501,0))="","",INDEX(links!$C$2:$C$501,MATCH($C993,links!$D$2:$D$501,0))),""))</f>
        <v/>
      </c>
      <c r="J993" s="25">
        <f>IF($C993="","",IF($G993="","slug not in links; ","")&amp;IF($D993="","reading type missing; ","")&amp;IF(COUNTIFS(scans!$C$2:$C$1601,$C993,scans!$D$2:$D$1601,$D993)&gt;1,"two readings of this type: keep one; ",""))</f>
        <v/>
      </c>
    </row>
    <row r="994">
      <c r="A994" s="9" t="n"/>
      <c r="B994" s="33" t="n"/>
      <c r="G994" s="25">
        <f>IF($C994="","",IFERROR(IF(INDEX(links!$A$2:$A$501,MATCH($C994,links!$D$2:$D$501,0))="","",INDEX(links!$A$2:$A$501,MATCH($C994,links!$D$2:$D$501,0))),""))</f>
        <v/>
      </c>
      <c r="H994" s="25">
        <f>IF($C994="","",IFERROR(IF(INDEX(links!$B$2:$B$501,MATCH($C994,links!$D$2:$D$501,0))="","",INDEX(links!$B$2:$B$501,MATCH($C994,links!$D$2:$D$501,0))),""))</f>
        <v/>
      </c>
      <c r="I994" s="25">
        <f>IF($C994="","",IFERROR(IF(INDEX(links!$C$2:$C$501,MATCH($C994,links!$D$2:$D$501,0))="","",INDEX(links!$C$2:$C$501,MATCH($C994,links!$D$2:$D$501,0))),""))</f>
        <v/>
      </c>
      <c r="J994" s="25">
        <f>IF($C994="","",IF($G994="","slug not in links; ","")&amp;IF($D994="","reading type missing; ","")&amp;IF(COUNTIFS(scans!$C$2:$C$1601,$C994,scans!$D$2:$D$1601,$D994)&gt;1,"two readings of this type: keep one; ",""))</f>
        <v/>
      </c>
    </row>
    <row r="995">
      <c r="A995" s="9" t="n"/>
      <c r="B995" s="33" t="n"/>
      <c r="G995" s="25">
        <f>IF($C995="","",IFERROR(IF(INDEX(links!$A$2:$A$501,MATCH($C995,links!$D$2:$D$501,0))="","",INDEX(links!$A$2:$A$501,MATCH($C995,links!$D$2:$D$501,0))),""))</f>
        <v/>
      </c>
      <c r="H995" s="25">
        <f>IF($C995="","",IFERROR(IF(INDEX(links!$B$2:$B$501,MATCH($C995,links!$D$2:$D$501,0))="","",INDEX(links!$B$2:$B$501,MATCH($C995,links!$D$2:$D$501,0))),""))</f>
        <v/>
      </c>
      <c r="I995" s="25">
        <f>IF($C995="","",IFERROR(IF(INDEX(links!$C$2:$C$501,MATCH($C995,links!$D$2:$D$501,0))="","",INDEX(links!$C$2:$C$501,MATCH($C995,links!$D$2:$D$501,0))),""))</f>
        <v/>
      </c>
      <c r="J995" s="25">
        <f>IF($C995="","",IF($G995="","slug not in links; ","")&amp;IF($D995="","reading type missing; ","")&amp;IF(COUNTIFS(scans!$C$2:$C$1601,$C995,scans!$D$2:$D$1601,$D995)&gt;1,"two readings of this type: keep one; ",""))</f>
        <v/>
      </c>
    </row>
    <row r="996">
      <c r="A996" s="9" t="n"/>
      <c r="B996" s="33" t="n"/>
      <c r="G996" s="25">
        <f>IF($C996="","",IFERROR(IF(INDEX(links!$A$2:$A$501,MATCH($C996,links!$D$2:$D$501,0))="","",INDEX(links!$A$2:$A$501,MATCH($C996,links!$D$2:$D$501,0))),""))</f>
        <v/>
      </c>
      <c r="H996" s="25">
        <f>IF($C996="","",IFERROR(IF(INDEX(links!$B$2:$B$501,MATCH($C996,links!$D$2:$D$501,0))="","",INDEX(links!$B$2:$B$501,MATCH($C996,links!$D$2:$D$501,0))),""))</f>
        <v/>
      </c>
      <c r="I996" s="25">
        <f>IF($C996="","",IFERROR(IF(INDEX(links!$C$2:$C$501,MATCH($C996,links!$D$2:$D$501,0))="","",INDEX(links!$C$2:$C$501,MATCH($C996,links!$D$2:$D$501,0))),""))</f>
        <v/>
      </c>
      <c r="J996" s="25">
        <f>IF($C996="","",IF($G996="","slug not in links; ","")&amp;IF($D996="","reading type missing; ","")&amp;IF(COUNTIFS(scans!$C$2:$C$1601,$C996,scans!$D$2:$D$1601,$D996)&gt;1,"two readings of this type: keep one; ",""))</f>
        <v/>
      </c>
    </row>
    <row r="997">
      <c r="A997" s="9" t="n"/>
      <c r="B997" s="33" t="n"/>
      <c r="G997" s="25">
        <f>IF($C997="","",IFERROR(IF(INDEX(links!$A$2:$A$501,MATCH($C997,links!$D$2:$D$501,0))="","",INDEX(links!$A$2:$A$501,MATCH($C997,links!$D$2:$D$501,0))),""))</f>
        <v/>
      </c>
      <c r="H997" s="25">
        <f>IF($C997="","",IFERROR(IF(INDEX(links!$B$2:$B$501,MATCH($C997,links!$D$2:$D$501,0))="","",INDEX(links!$B$2:$B$501,MATCH($C997,links!$D$2:$D$501,0))),""))</f>
        <v/>
      </c>
      <c r="I997" s="25">
        <f>IF($C997="","",IFERROR(IF(INDEX(links!$C$2:$C$501,MATCH($C997,links!$D$2:$D$501,0))="","",INDEX(links!$C$2:$C$501,MATCH($C997,links!$D$2:$D$501,0))),""))</f>
        <v/>
      </c>
      <c r="J997" s="25">
        <f>IF($C997="","",IF($G997="","slug not in links; ","")&amp;IF($D997="","reading type missing; ","")&amp;IF(COUNTIFS(scans!$C$2:$C$1601,$C997,scans!$D$2:$D$1601,$D997)&gt;1,"two readings of this type: keep one; ",""))</f>
        <v/>
      </c>
    </row>
    <row r="998">
      <c r="A998" s="9" t="n"/>
      <c r="B998" s="33" t="n"/>
      <c r="G998" s="25">
        <f>IF($C998="","",IFERROR(IF(INDEX(links!$A$2:$A$501,MATCH($C998,links!$D$2:$D$501,0))="","",INDEX(links!$A$2:$A$501,MATCH($C998,links!$D$2:$D$501,0))),""))</f>
        <v/>
      </c>
      <c r="H998" s="25">
        <f>IF($C998="","",IFERROR(IF(INDEX(links!$B$2:$B$501,MATCH($C998,links!$D$2:$D$501,0))="","",INDEX(links!$B$2:$B$501,MATCH($C998,links!$D$2:$D$501,0))),""))</f>
        <v/>
      </c>
      <c r="I998" s="25">
        <f>IF($C998="","",IFERROR(IF(INDEX(links!$C$2:$C$501,MATCH($C998,links!$D$2:$D$501,0))="","",INDEX(links!$C$2:$C$501,MATCH($C998,links!$D$2:$D$501,0))),""))</f>
        <v/>
      </c>
      <c r="J998" s="25">
        <f>IF($C998="","",IF($G998="","slug not in links; ","")&amp;IF($D998="","reading type missing; ","")&amp;IF(COUNTIFS(scans!$C$2:$C$1601,$C998,scans!$D$2:$D$1601,$D998)&gt;1,"two readings of this type: keep one; ",""))</f>
        <v/>
      </c>
    </row>
    <row r="999">
      <c r="A999" s="9" t="n"/>
      <c r="B999" s="33" t="n"/>
      <c r="G999" s="25">
        <f>IF($C999="","",IFERROR(IF(INDEX(links!$A$2:$A$501,MATCH($C999,links!$D$2:$D$501,0))="","",INDEX(links!$A$2:$A$501,MATCH($C999,links!$D$2:$D$501,0))),""))</f>
        <v/>
      </c>
      <c r="H999" s="25">
        <f>IF($C999="","",IFERROR(IF(INDEX(links!$B$2:$B$501,MATCH($C999,links!$D$2:$D$501,0))="","",INDEX(links!$B$2:$B$501,MATCH($C999,links!$D$2:$D$501,0))),""))</f>
        <v/>
      </c>
      <c r="I999" s="25">
        <f>IF($C999="","",IFERROR(IF(INDEX(links!$C$2:$C$501,MATCH($C999,links!$D$2:$D$501,0))="","",INDEX(links!$C$2:$C$501,MATCH($C999,links!$D$2:$D$501,0))),""))</f>
        <v/>
      </c>
      <c r="J999" s="25">
        <f>IF($C999="","",IF($G999="","slug not in links; ","")&amp;IF($D999="","reading type missing; ","")&amp;IF(COUNTIFS(scans!$C$2:$C$1601,$C999,scans!$D$2:$D$1601,$D999)&gt;1,"two readings of this type: keep one; ",""))</f>
        <v/>
      </c>
    </row>
    <row r="1000">
      <c r="A1000" s="9" t="n"/>
      <c r="B1000" s="33" t="n"/>
      <c r="G1000" s="25">
        <f>IF($C1000="","",IFERROR(IF(INDEX(links!$A$2:$A$501,MATCH($C1000,links!$D$2:$D$501,0))="","",INDEX(links!$A$2:$A$501,MATCH($C1000,links!$D$2:$D$501,0))),""))</f>
        <v/>
      </c>
      <c r="H1000" s="25">
        <f>IF($C1000="","",IFERROR(IF(INDEX(links!$B$2:$B$501,MATCH($C1000,links!$D$2:$D$501,0))="","",INDEX(links!$B$2:$B$501,MATCH($C1000,links!$D$2:$D$501,0))),""))</f>
        <v/>
      </c>
      <c r="I1000" s="25">
        <f>IF($C1000="","",IFERROR(IF(INDEX(links!$C$2:$C$501,MATCH($C1000,links!$D$2:$D$501,0))="","",INDEX(links!$C$2:$C$501,MATCH($C1000,links!$D$2:$D$501,0))),""))</f>
        <v/>
      </c>
      <c r="J1000" s="25">
        <f>IF($C1000="","",IF($G1000="","slug not in links; ","")&amp;IF($D1000="","reading type missing; ","")&amp;IF(COUNTIFS(scans!$C$2:$C$1601,$C1000,scans!$D$2:$D$1601,$D1000)&gt;1,"two readings of this type: keep one; ",""))</f>
        <v/>
      </c>
    </row>
    <row r="1001">
      <c r="A1001" s="9" t="n"/>
      <c r="B1001" s="33" t="n"/>
      <c r="G1001" s="25">
        <f>IF($C1001="","",IFERROR(IF(INDEX(links!$A$2:$A$501,MATCH($C1001,links!$D$2:$D$501,0))="","",INDEX(links!$A$2:$A$501,MATCH($C1001,links!$D$2:$D$501,0))),""))</f>
        <v/>
      </c>
      <c r="H1001" s="25">
        <f>IF($C1001="","",IFERROR(IF(INDEX(links!$B$2:$B$501,MATCH($C1001,links!$D$2:$D$501,0))="","",INDEX(links!$B$2:$B$501,MATCH($C1001,links!$D$2:$D$501,0))),""))</f>
        <v/>
      </c>
      <c r="I1001" s="25">
        <f>IF($C1001="","",IFERROR(IF(INDEX(links!$C$2:$C$501,MATCH($C1001,links!$D$2:$D$501,0))="","",INDEX(links!$C$2:$C$501,MATCH($C1001,links!$D$2:$D$501,0))),""))</f>
        <v/>
      </c>
      <c r="J1001" s="25">
        <f>IF($C1001="","",IF($G1001="","slug not in links; ","")&amp;IF($D1001="","reading type missing; ","")&amp;IF(COUNTIFS(scans!$C$2:$C$1601,$C1001,scans!$D$2:$D$1601,$D1001)&gt;1,"two readings of this type: keep one; ",""))</f>
        <v/>
      </c>
    </row>
    <row r="1002">
      <c r="A1002" s="9" t="n"/>
      <c r="B1002" s="33" t="n"/>
      <c r="G1002" s="25">
        <f>IF($C1002="","",IFERROR(IF(INDEX(links!$A$2:$A$501,MATCH($C1002,links!$D$2:$D$501,0))="","",INDEX(links!$A$2:$A$501,MATCH($C1002,links!$D$2:$D$501,0))),""))</f>
        <v/>
      </c>
      <c r="H1002" s="25">
        <f>IF($C1002="","",IFERROR(IF(INDEX(links!$B$2:$B$501,MATCH($C1002,links!$D$2:$D$501,0))="","",INDEX(links!$B$2:$B$501,MATCH($C1002,links!$D$2:$D$501,0))),""))</f>
        <v/>
      </c>
      <c r="I1002" s="25">
        <f>IF($C1002="","",IFERROR(IF(INDEX(links!$C$2:$C$501,MATCH($C1002,links!$D$2:$D$501,0))="","",INDEX(links!$C$2:$C$501,MATCH($C1002,links!$D$2:$D$501,0))),""))</f>
        <v/>
      </c>
      <c r="J1002" s="25">
        <f>IF($C1002="","",IF($G1002="","slug not in links; ","")&amp;IF($D1002="","reading type missing; ","")&amp;IF(COUNTIFS(scans!$C$2:$C$1601,$C1002,scans!$D$2:$D$1601,$D1002)&gt;1,"two readings of this type: keep one; ",""))</f>
        <v/>
      </c>
    </row>
    <row r="1003">
      <c r="A1003" s="9" t="n"/>
      <c r="B1003" s="33" t="n"/>
      <c r="G1003" s="25">
        <f>IF($C1003="","",IFERROR(IF(INDEX(links!$A$2:$A$501,MATCH($C1003,links!$D$2:$D$501,0))="","",INDEX(links!$A$2:$A$501,MATCH($C1003,links!$D$2:$D$501,0))),""))</f>
        <v/>
      </c>
      <c r="H1003" s="25">
        <f>IF($C1003="","",IFERROR(IF(INDEX(links!$B$2:$B$501,MATCH($C1003,links!$D$2:$D$501,0))="","",INDEX(links!$B$2:$B$501,MATCH($C1003,links!$D$2:$D$501,0))),""))</f>
        <v/>
      </c>
      <c r="I1003" s="25">
        <f>IF($C1003="","",IFERROR(IF(INDEX(links!$C$2:$C$501,MATCH($C1003,links!$D$2:$D$501,0))="","",INDEX(links!$C$2:$C$501,MATCH($C1003,links!$D$2:$D$501,0))),""))</f>
        <v/>
      </c>
      <c r="J1003" s="25">
        <f>IF($C1003="","",IF($G1003="","slug not in links; ","")&amp;IF($D1003="","reading type missing; ","")&amp;IF(COUNTIFS(scans!$C$2:$C$1601,$C1003,scans!$D$2:$D$1601,$D1003)&gt;1,"two readings of this type: keep one; ",""))</f>
        <v/>
      </c>
    </row>
    <row r="1004">
      <c r="A1004" s="9" t="n"/>
      <c r="B1004" s="33" t="n"/>
      <c r="G1004" s="25">
        <f>IF($C1004="","",IFERROR(IF(INDEX(links!$A$2:$A$501,MATCH($C1004,links!$D$2:$D$501,0))="","",INDEX(links!$A$2:$A$501,MATCH($C1004,links!$D$2:$D$501,0))),""))</f>
        <v/>
      </c>
      <c r="H1004" s="25">
        <f>IF($C1004="","",IFERROR(IF(INDEX(links!$B$2:$B$501,MATCH($C1004,links!$D$2:$D$501,0))="","",INDEX(links!$B$2:$B$501,MATCH($C1004,links!$D$2:$D$501,0))),""))</f>
        <v/>
      </c>
      <c r="I1004" s="25">
        <f>IF($C1004="","",IFERROR(IF(INDEX(links!$C$2:$C$501,MATCH($C1004,links!$D$2:$D$501,0))="","",INDEX(links!$C$2:$C$501,MATCH($C1004,links!$D$2:$D$501,0))),""))</f>
        <v/>
      </c>
      <c r="J1004" s="25">
        <f>IF($C1004="","",IF($G1004="","slug not in links; ","")&amp;IF($D1004="","reading type missing; ","")&amp;IF(COUNTIFS(scans!$C$2:$C$1601,$C1004,scans!$D$2:$D$1601,$D1004)&gt;1,"two readings of this type: keep one; ",""))</f>
        <v/>
      </c>
    </row>
    <row r="1005">
      <c r="A1005" s="9" t="n"/>
      <c r="B1005" s="33" t="n"/>
      <c r="G1005" s="25">
        <f>IF($C1005="","",IFERROR(IF(INDEX(links!$A$2:$A$501,MATCH($C1005,links!$D$2:$D$501,0))="","",INDEX(links!$A$2:$A$501,MATCH($C1005,links!$D$2:$D$501,0))),""))</f>
        <v/>
      </c>
      <c r="H1005" s="25">
        <f>IF($C1005="","",IFERROR(IF(INDEX(links!$B$2:$B$501,MATCH($C1005,links!$D$2:$D$501,0))="","",INDEX(links!$B$2:$B$501,MATCH($C1005,links!$D$2:$D$501,0))),""))</f>
        <v/>
      </c>
      <c r="I1005" s="25">
        <f>IF($C1005="","",IFERROR(IF(INDEX(links!$C$2:$C$501,MATCH($C1005,links!$D$2:$D$501,0))="","",INDEX(links!$C$2:$C$501,MATCH($C1005,links!$D$2:$D$501,0))),""))</f>
        <v/>
      </c>
      <c r="J1005" s="25">
        <f>IF($C1005="","",IF($G1005="","slug not in links; ","")&amp;IF($D1005="","reading type missing; ","")&amp;IF(COUNTIFS(scans!$C$2:$C$1601,$C1005,scans!$D$2:$D$1601,$D1005)&gt;1,"two readings of this type: keep one; ",""))</f>
        <v/>
      </c>
    </row>
    <row r="1006">
      <c r="A1006" s="9" t="n"/>
      <c r="B1006" s="33" t="n"/>
      <c r="G1006" s="25">
        <f>IF($C1006="","",IFERROR(IF(INDEX(links!$A$2:$A$501,MATCH($C1006,links!$D$2:$D$501,0))="","",INDEX(links!$A$2:$A$501,MATCH($C1006,links!$D$2:$D$501,0))),""))</f>
        <v/>
      </c>
      <c r="H1006" s="25">
        <f>IF($C1006="","",IFERROR(IF(INDEX(links!$B$2:$B$501,MATCH($C1006,links!$D$2:$D$501,0))="","",INDEX(links!$B$2:$B$501,MATCH($C1006,links!$D$2:$D$501,0))),""))</f>
        <v/>
      </c>
      <c r="I1006" s="25">
        <f>IF($C1006="","",IFERROR(IF(INDEX(links!$C$2:$C$501,MATCH($C1006,links!$D$2:$D$501,0))="","",INDEX(links!$C$2:$C$501,MATCH($C1006,links!$D$2:$D$501,0))),""))</f>
        <v/>
      </c>
      <c r="J1006" s="25">
        <f>IF($C1006="","",IF($G1006="","slug not in links; ","")&amp;IF($D1006="","reading type missing; ","")&amp;IF(COUNTIFS(scans!$C$2:$C$1601,$C1006,scans!$D$2:$D$1601,$D1006)&gt;1,"two readings of this type: keep one; ",""))</f>
        <v/>
      </c>
    </row>
    <row r="1007">
      <c r="A1007" s="9" t="n"/>
      <c r="B1007" s="33" t="n"/>
      <c r="G1007" s="25">
        <f>IF($C1007="","",IFERROR(IF(INDEX(links!$A$2:$A$501,MATCH($C1007,links!$D$2:$D$501,0))="","",INDEX(links!$A$2:$A$501,MATCH($C1007,links!$D$2:$D$501,0))),""))</f>
        <v/>
      </c>
      <c r="H1007" s="25">
        <f>IF($C1007="","",IFERROR(IF(INDEX(links!$B$2:$B$501,MATCH($C1007,links!$D$2:$D$501,0))="","",INDEX(links!$B$2:$B$501,MATCH($C1007,links!$D$2:$D$501,0))),""))</f>
        <v/>
      </c>
      <c r="I1007" s="25">
        <f>IF($C1007="","",IFERROR(IF(INDEX(links!$C$2:$C$501,MATCH($C1007,links!$D$2:$D$501,0))="","",INDEX(links!$C$2:$C$501,MATCH($C1007,links!$D$2:$D$501,0))),""))</f>
        <v/>
      </c>
      <c r="J1007" s="25">
        <f>IF($C1007="","",IF($G1007="","slug not in links; ","")&amp;IF($D1007="","reading type missing; ","")&amp;IF(COUNTIFS(scans!$C$2:$C$1601,$C1007,scans!$D$2:$D$1601,$D1007)&gt;1,"two readings of this type: keep one; ",""))</f>
        <v/>
      </c>
    </row>
    <row r="1008">
      <c r="A1008" s="9" t="n"/>
      <c r="B1008" s="33" t="n"/>
      <c r="G1008" s="25">
        <f>IF($C1008="","",IFERROR(IF(INDEX(links!$A$2:$A$501,MATCH($C1008,links!$D$2:$D$501,0))="","",INDEX(links!$A$2:$A$501,MATCH($C1008,links!$D$2:$D$501,0))),""))</f>
        <v/>
      </c>
      <c r="H1008" s="25">
        <f>IF($C1008="","",IFERROR(IF(INDEX(links!$B$2:$B$501,MATCH($C1008,links!$D$2:$D$501,0))="","",INDEX(links!$B$2:$B$501,MATCH($C1008,links!$D$2:$D$501,0))),""))</f>
        <v/>
      </c>
      <c r="I1008" s="25">
        <f>IF($C1008="","",IFERROR(IF(INDEX(links!$C$2:$C$501,MATCH($C1008,links!$D$2:$D$501,0))="","",INDEX(links!$C$2:$C$501,MATCH($C1008,links!$D$2:$D$501,0))),""))</f>
        <v/>
      </c>
      <c r="J1008" s="25">
        <f>IF($C1008="","",IF($G1008="","slug not in links; ","")&amp;IF($D1008="","reading type missing; ","")&amp;IF(COUNTIFS(scans!$C$2:$C$1601,$C1008,scans!$D$2:$D$1601,$D1008)&gt;1,"two readings of this type: keep one; ",""))</f>
        <v/>
      </c>
    </row>
    <row r="1009">
      <c r="A1009" s="9" t="n"/>
      <c r="B1009" s="33" t="n"/>
      <c r="G1009" s="25">
        <f>IF($C1009="","",IFERROR(IF(INDEX(links!$A$2:$A$501,MATCH($C1009,links!$D$2:$D$501,0))="","",INDEX(links!$A$2:$A$501,MATCH($C1009,links!$D$2:$D$501,0))),""))</f>
        <v/>
      </c>
      <c r="H1009" s="25">
        <f>IF($C1009="","",IFERROR(IF(INDEX(links!$B$2:$B$501,MATCH($C1009,links!$D$2:$D$501,0))="","",INDEX(links!$B$2:$B$501,MATCH($C1009,links!$D$2:$D$501,0))),""))</f>
        <v/>
      </c>
      <c r="I1009" s="25">
        <f>IF($C1009="","",IFERROR(IF(INDEX(links!$C$2:$C$501,MATCH($C1009,links!$D$2:$D$501,0))="","",INDEX(links!$C$2:$C$501,MATCH($C1009,links!$D$2:$D$501,0))),""))</f>
        <v/>
      </c>
      <c r="J1009" s="25">
        <f>IF($C1009="","",IF($G1009="","slug not in links; ","")&amp;IF($D1009="","reading type missing; ","")&amp;IF(COUNTIFS(scans!$C$2:$C$1601,$C1009,scans!$D$2:$D$1601,$D1009)&gt;1,"two readings of this type: keep one; ",""))</f>
        <v/>
      </c>
    </row>
    <row r="1010">
      <c r="A1010" s="9" t="n"/>
      <c r="B1010" s="33" t="n"/>
      <c r="G1010" s="25">
        <f>IF($C1010="","",IFERROR(IF(INDEX(links!$A$2:$A$501,MATCH($C1010,links!$D$2:$D$501,0))="","",INDEX(links!$A$2:$A$501,MATCH($C1010,links!$D$2:$D$501,0))),""))</f>
        <v/>
      </c>
      <c r="H1010" s="25">
        <f>IF($C1010="","",IFERROR(IF(INDEX(links!$B$2:$B$501,MATCH($C1010,links!$D$2:$D$501,0))="","",INDEX(links!$B$2:$B$501,MATCH($C1010,links!$D$2:$D$501,0))),""))</f>
        <v/>
      </c>
      <c r="I1010" s="25">
        <f>IF($C1010="","",IFERROR(IF(INDEX(links!$C$2:$C$501,MATCH($C1010,links!$D$2:$D$501,0))="","",INDEX(links!$C$2:$C$501,MATCH($C1010,links!$D$2:$D$501,0))),""))</f>
        <v/>
      </c>
      <c r="J1010" s="25">
        <f>IF($C1010="","",IF($G1010="","slug not in links; ","")&amp;IF($D1010="","reading type missing; ","")&amp;IF(COUNTIFS(scans!$C$2:$C$1601,$C1010,scans!$D$2:$D$1601,$D1010)&gt;1,"two readings of this type: keep one; ",""))</f>
        <v/>
      </c>
    </row>
    <row r="1011">
      <c r="A1011" s="9" t="n"/>
      <c r="B1011" s="33" t="n"/>
      <c r="G1011" s="25">
        <f>IF($C1011="","",IFERROR(IF(INDEX(links!$A$2:$A$501,MATCH($C1011,links!$D$2:$D$501,0))="","",INDEX(links!$A$2:$A$501,MATCH($C1011,links!$D$2:$D$501,0))),""))</f>
        <v/>
      </c>
      <c r="H1011" s="25">
        <f>IF($C1011="","",IFERROR(IF(INDEX(links!$B$2:$B$501,MATCH($C1011,links!$D$2:$D$501,0))="","",INDEX(links!$B$2:$B$501,MATCH($C1011,links!$D$2:$D$501,0))),""))</f>
        <v/>
      </c>
      <c r="I1011" s="25">
        <f>IF($C1011="","",IFERROR(IF(INDEX(links!$C$2:$C$501,MATCH($C1011,links!$D$2:$D$501,0))="","",INDEX(links!$C$2:$C$501,MATCH($C1011,links!$D$2:$D$501,0))),""))</f>
        <v/>
      </c>
      <c r="J1011" s="25">
        <f>IF($C1011="","",IF($G1011="","slug not in links; ","")&amp;IF($D1011="","reading type missing; ","")&amp;IF(COUNTIFS(scans!$C$2:$C$1601,$C1011,scans!$D$2:$D$1601,$D1011)&gt;1,"two readings of this type: keep one; ",""))</f>
        <v/>
      </c>
    </row>
    <row r="1012">
      <c r="A1012" s="9" t="n"/>
      <c r="B1012" s="33" t="n"/>
      <c r="G1012" s="25">
        <f>IF($C1012="","",IFERROR(IF(INDEX(links!$A$2:$A$501,MATCH($C1012,links!$D$2:$D$501,0))="","",INDEX(links!$A$2:$A$501,MATCH($C1012,links!$D$2:$D$501,0))),""))</f>
        <v/>
      </c>
      <c r="H1012" s="25">
        <f>IF($C1012="","",IFERROR(IF(INDEX(links!$B$2:$B$501,MATCH($C1012,links!$D$2:$D$501,0))="","",INDEX(links!$B$2:$B$501,MATCH($C1012,links!$D$2:$D$501,0))),""))</f>
        <v/>
      </c>
      <c r="I1012" s="25">
        <f>IF($C1012="","",IFERROR(IF(INDEX(links!$C$2:$C$501,MATCH($C1012,links!$D$2:$D$501,0))="","",INDEX(links!$C$2:$C$501,MATCH($C1012,links!$D$2:$D$501,0))),""))</f>
        <v/>
      </c>
      <c r="J1012" s="25">
        <f>IF($C1012="","",IF($G1012="","slug not in links; ","")&amp;IF($D1012="","reading type missing; ","")&amp;IF(COUNTIFS(scans!$C$2:$C$1601,$C1012,scans!$D$2:$D$1601,$D1012)&gt;1,"two readings of this type: keep one; ",""))</f>
        <v/>
      </c>
    </row>
    <row r="1013">
      <c r="A1013" s="9" t="n"/>
      <c r="B1013" s="33" t="n"/>
      <c r="G1013" s="25">
        <f>IF($C1013="","",IFERROR(IF(INDEX(links!$A$2:$A$501,MATCH($C1013,links!$D$2:$D$501,0))="","",INDEX(links!$A$2:$A$501,MATCH($C1013,links!$D$2:$D$501,0))),""))</f>
        <v/>
      </c>
      <c r="H1013" s="25">
        <f>IF($C1013="","",IFERROR(IF(INDEX(links!$B$2:$B$501,MATCH($C1013,links!$D$2:$D$501,0))="","",INDEX(links!$B$2:$B$501,MATCH($C1013,links!$D$2:$D$501,0))),""))</f>
        <v/>
      </c>
      <c r="I1013" s="25">
        <f>IF($C1013="","",IFERROR(IF(INDEX(links!$C$2:$C$501,MATCH($C1013,links!$D$2:$D$501,0))="","",INDEX(links!$C$2:$C$501,MATCH($C1013,links!$D$2:$D$501,0))),""))</f>
        <v/>
      </c>
      <c r="J1013" s="25">
        <f>IF($C1013="","",IF($G1013="","slug not in links; ","")&amp;IF($D1013="","reading type missing; ","")&amp;IF(COUNTIFS(scans!$C$2:$C$1601,$C1013,scans!$D$2:$D$1601,$D1013)&gt;1,"two readings of this type: keep one; ",""))</f>
        <v/>
      </c>
    </row>
    <row r="1014">
      <c r="A1014" s="9" t="n"/>
      <c r="B1014" s="33" t="n"/>
      <c r="G1014" s="25">
        <f>IF($C1014="","",IFERROR(IF(INDEX(links!$A$2:$A$501,MATCH($C1014,links!$D$2:$D$501,0))="","",INDEX(links!$A$2:$A$501,MATCH($C1014,links!$D$2:$D$501,0))),""))</f>
        <v/>
      </c>
      <c r="H1014" s="25">
        <f>IF($C1014="","",IFERROR(IF(INDEX(links!$B$2:$B$501,MATCH($C1014,links!$D$2:$D$501,0))="","",INDEX(links!$B$2:$B$501,MATCH($C1014,links!$D$2:$D$501,0))),""))</f>
        <v/>
      </c>
      <c r="I1014" s="25">
        <f>IF($C1014="","",IFERROR(IF(INDEX(links!$C$2:$C$501,MATCH($C1014,links!$D$2:$D$501,0))="","",INDEX(links!$C$2:$C$501,MATCH($C1014,links!$D$2:$D$501,0))),""))</f>
        <v/>
      </c>
      <c r="J1014" s="25">
        <f>IF($C1014="","",IF($G1014="","slug not in links; ","")&amp;IF($D1014="","reading type missing; ","")&amp;IF(COUNTIFS(scans!$C$2:$C$1601,$C1014,scans!$D$2:$D$1601,$D1014)&gt;1,"two readings of this type: keep one; ",""))</f>
        <v/>
      </c>
    </row>
    <row r="1015">
      <c r="A1015" s="9" t="n"/>
      <c r="B1015" s="33" t="n"/>
      <c r="G1015" s="25">
        <f>IF($C1015="","",IFERROR(IF(INDEX(links!$A$2:$A$501,MATCH($C1015,links!$D$2:$D$501,0))="","",INDEX(links!$A$2:$A$501,MATCH($C1015,links!$D$2:$D$501,0))),""))</f>
        <v/>
      </c>
      <c r="H1015" s="25">
        <f>IF($C1015="","",IFERROR(IF(INDEX(links!$B$2:$B$501,MATCH($C1015,links!$D$2:$D$501,0))="","",INDEX(links!$B$2:$B$501,MATCH($C1015,links!$D$2:$D$501,0))),""))</f>
        <v/>
      </c>
      <c r="I1015" s="25">
        <f>IF($C1015="","",IFERROR(IF(INDEX(links!$C$2:$C$501,MATCH($C1015,links!$D$2:$D$501,0))="","",INDEX(links!$C$2:$C$501,MATCH($C1015,links!$D$2:$D$501,0))),""))</f>
        <v/>
      </c>
      <c r="J1015" s="25">
        <f>IF($C1015="","",IF($G1015="","slug not in links; ","")&amp;IF($D1015="","reading type missing; ","")&amp;IF(COUNTIFS(scans!$C$2:$C$1601,$C1015,scans!$D$2:$D$1601,$D1015)&gt;1,"two readings of this type: keep one; ",""))</f>
        <v/>
      </c>
    </row>
    <row r="1016">
      <c r="A1016" s="9" t="n"/>
      <c r="B1016" s="33" t="n"/>
      <c r="G1016" s="25">
        <f>IF($C1016="","",IFERROR(IF(INDEX(links!$A$2:$A$501,MATCH($C1016,links!$D$2:$D$501,0))="","",INDEX(links!$A$2:$A$501,MATCH($C1016,links!$D$2:$D$501,0))),""))</f>
        <v/>
      </c>
      <c r="H1016" s="25">
        <f>IF($C1016="","",IFERROR(IF(INDEX(links!$B$2:$B$501,MATCH($C1016,links!$D$2:$D$501,0))="","",INDEX(links!$B$2:$B$501,MATCH($C1016,links!$D$2:$D$501,0))),""))</f>
        <v/>
      </c>
      <c r="I1016" s="25">
        <f>IF($C1016="","",IFERROR(IF(INDEX(links!$C$2:$C$501,MATCH($C1016,links!$D$2:$D$501,0))="","",INDEX(links!$C$2:$C$501,MATCH($C1016,links!$D$2:$D$501,0))),""))</f>
        <v/>
      </c>
      <c r="J1016" s="25">
        <f>IF($C1016="","",IF($G1016="","slug not in links; ","")&amp;IF($D1016="","reading type missing; ","")&amp;IF(COUNTIFS(scans!$C$2:$C$1601,$C1016,scans!$D$2:$D$1601,$D1016)&gt;1,"two readings of this type: keep one; ",""))</f>
        <v/>
      </c>
    </row>
    <row r="1017">
      <c r="A1017" s="9" t="n"/>
      <c r="B1017" s="33" t="n"/>
      <c r="G1017" s="25">
        <f>IF($C1017="","",IFERROR(IF(INDEX(links!$A$2:$A$501,MATCH($C1017,links!$D$2:$D$501,0))="","",INDEX(links!$A$2:$A$501,MATCH($C1017,links!$D$2:$D$501,0))),""))</f>
        <v/>
      </c>
      <c r="H1017" s="25">
        <f>IF($C1017="","",IFERROR(IF(INDEX(links!$B$2:$B$501,MATCH($C1017,links!$D$2:$D$501,0))="","",INDEX(links!$B$2:$B$501,MATCH($C1017,links!$D$2:$D$501,0))),""))</f>
        <v/>
      </c>
      <c r="I1017" s="25">
        <f>IF($C1017="","",IFERROR(IF(INDEX(links!$C$2:$C$501,MATCH($C1017,links!$D$2:$D$501,0))="","",INDEX(links!$C$2:$C$501,MATCH($C1017,links!$D$2:$D$501,0))),""))</f>
        <v/>
      </c>
      <c r="J1017" s="25">
        <f>IF($C1017="","",IF($G1017="","slug not in links; ","")&amp;IF($D1017="","reading type missing; ","")&amp;IF(COUNTIFS(scans!$C$2:$C$1601,$C1017,scans!$D$2:$D$1601,$D1017)&gt;1,"two readings of this type: keep one; ",""))</f>
        <v/>
      </c>
    </row>
    <row r="1018">
      <c r="A1018" s="9" t="n"/>
      <c r="B1018" s="33" t="n"/>
      <c r="G1018" s="25">
        <f>IF($C1018="","",IFERROR(IF(INDEX(links!$A$2:$A$501,MATCH($C1018,links!$D$2:$D$501,0))="","",INDEX(links!$A$2:$A$501,MATCH($C1018,links!$D$2:$D$501,0))),""))</f>
        <v/>
      </c>
      <c r="H1018" s="25">
        <f>IF($C1018="","",IFERROR(IF(INDEX(links!$B$2:$B$501,MATCH($C1018,links!$D$2:$D$501,0))="","",INDEX(links!$B$2:$B$501,MATCH($C1018,links!$D$2:$D$501,0))),""))</f>
        <v/>
      </c>
      <c r="I1018" s="25">
        <f>IF($C1018="","",IFERROR(IF(INDEX(links!$C$2:$C$501,MATCH($C1018,links!$D$2:$D$501,0))="","",INDEX(links!$C$2:$C$501,MATCH($C1018,links!$D$2:$D$501,0))),""))</f>
        <v/>
      </c>
      <c r="J1018" s="25">
        <f>IF($C1018="","",IF($G1018="","slug not in links; ","")&amp;IF($D1018="","reading type missing; ","")&amp;IF(COUNTIFS(scans!$C$2:$C$1601,$C1018,scans!$D$2:$D$1601,$D1018)&gt;1,"two readings of this type: keep one; ",""))</f>
        <v/>
      </c>
    </row>
    <row r="1019">
      <c r="A1019" s="9" t="n"/>
      <c r="B1019" s="33" t="n"/>
      <c r="G1019" s="25">
        <f>IF($C1019="","",IFERROR(IF(INDEX(links!$A$2:$A$501,MATCH($C1019,links!$D$2:$D$501,0))="","",INDEX(links!$A$2:$A$501,MATCH($C1019,links!$D$2:$D$501,0))),""))</f>
        <v/>
      </c>
      <c r="H1019" s="25">
        <f>IF($C1019="","",IFERROR(IF(INDEX(links!$B$2:$B$501,MATCH($C1019,links!$D$2:$D$501,0))="","",INDEX(links!$B$2:$B$501,MATCH($C1019,links!$D$2:$D$501,0))),""))</f>
        <v/>
      </c>
      <c r="I1019" s="25">
        <f>IF($C1019="","",IFERROR(IF(INDEX(links!$C$2:$C$501,MATCH($C1019,links!$D$2:$D$501,0))="","",INDEX(links!$C$2:$C$501,MATCH($C1019,links!$D$2:$D$501,0))),""))</f>
        <v/>
      </c>
      <c r="J1019" s="25">
        <f>IF($C1019="","",IF($G1019="","slug not in links; ","")&amp;IF($D1019="","reading type missing; ","")&amp;IF(COUNTIFS(scans!$C$2:$C$1601,$C1019,scans!$D$2:$D$1601,$D1019)&gt;1,"two readings of this type: keep one; ",""))</f>
        <v/>
      </c>
    </row>
    <row r="1020">
      <c r="A1020" s="9" t="n"/>
      <c r="B1020" s="33" t="n"/>
      <c r="G1020" s="25">
        <f>IF($C1020="","",IFERROR(IF(INDEX(links!$A$2:$A$501,MATCH($C1020,links!$D$2:$D$501,0))="","",INDEX(links!$A$2:$A$501,MATCH($C1020,links!$D$2:$D$501,0))),""))</f>
        <v/>
      </c>
      <c r="H1020" s="25">
        <f>IF($C1020="","",IFERROR(IF(INDEX(links!$B$2:$B$501,MATCH($C1020,links!$D$2:$D$501,0))="","",INDEX(links!$B$2:$B$501,MATCH($C1020,links!$D$2:$D$501,0))),""))</f>
        <v/>
      </c>
      <c r="I1020" s="25">
        <f>IF($C1020="","",IFERROR(IF(INDEX(links!$C$2:$C$501,MATCH($C1020,links!$D$2:$D$501,0))="","",INDEX(links!$C$2:$C$501,MATCH($C1020,links!$D$2:$D$501,0))),""))</f>
        <v/>
      </c>
      <c r="J1020" s="25">
        <f>IF($C1020="","",IF($G1020="","slug not in links; ","")&amp;IF($D1020="","reading type missing; ","")&amp;IF(COUNTIFS(scans!$C$2:$C$1601,$C1020,scans!$D$2:$D$1601,$D1020)&gt;1,"two readings of this type: keep one; ",""))</f>
        <v/>
      </c>
    </row>
    <row r="1021">
      <c r="A1021" s="9" t="n"/>
      <c r="B1021" s="33" t="n"/>
      <c r="G1021" s="25">
        <f>IF($C1021="","",IFERROR(IF(INDEX(links!$A$2:$A$501,MATCH($C1021,links!$D$2:$D$501,0))="","",INDEX(links!$A$2:$A$501,MATCH($C1021,links!$D$2:$D$501,0))),""))</f>
        <v/>
      </c>
      <c r="H1021" s="25">
        <f>IF($C1021="","",IFERROR(IF(INDEX(links!$B$2:$B$501,MATCH($C1021,links!$D$2:$D$501,0))="","",INDEX(links!$B$2:$B$501,MATCH($C1021,links!$D$2:$D$501,0))),""))</f>
        <v/>
      </c>
      <c r="I1021" s="25">
        <f>IF($C1021="","",IFERROR(IF(INDEX(links!$C$2:$C$501,MATCH($C1021,links!$D$2:$D$501,0))="","",INDEX(links!$C$2:$C$501,MATCH($C1021,links!$D$2:$D$501,0))),""))</f>
        <v/>
      </c>
      <c r="J1021" s="25">
        <f>IF($C1021="","",IF($G1021="","slug not in links; ","")&amp;IF($D1021="","reading type missing; ","")&amp;IF(COUNTIFS(scans!$C$2:$C$1601,$C1021,scans!$D$2:$D$1601,$D1021)&gt;1,"two readings of this type: keep one; ",""))</f>
        <v/>
      </c>
    </row>
    <row r="1022">
      <c r="A1022" s="9" t="n"/>
      <c r="B1022" s="33" t="n"/>
      <c r="G1022" s="25">
        <f>IF($C1022="","",IFERROR(IF(INDEX(links!$A$2:$A$501,MATCH($C1022,links!$D$2:$D$501,0))="","",INDEX(links!$A$2:$A$501,MATCH($C1022,links!$D$2:$D$501,0))),""))</f>
        <v/>
      </c>
      <c r="H1022" s="25">
        <f>IF($C1022="","",IFERROR(IF(INDEX(links!$B$2:$B$501,MATCH($C1022,links!$D$2:$D$501,0))="","",INDEX(links!$B$2:$B$501,MATCH($C1022,links!$D$2:$D$501,0))),""))</f>
        <v/>
      </c>
      <c r="I1022" s="25">
        <f>IF($C1022="","",IFERROR(IF(INDEX(links!$C$2:$C$501,MATCH($C1022,links!$D$2:$D$501,0))="","",INDEX(links!$C$2:$C$501,MATCH($C1022,links!$D$2:$D$501,0))),""))</f>
        <v/>
      </c>
      <c r="J1022" s="25">
        <f>IF($C1022="","",IF($G1022="","slug not in links; ","")&amp;IF($D1022="","reading type missing; ","")&amp;IF(COUNTIFS(scans!$C$2:$C$1601,$C1022,scans!$D$2:$D$1601,$D1022)&gt;1,"two readings of this type: keep one; ",""))</f>
        <v/>
      </c>
    </row>
    <row r="1023">
      <c r="A1023" s="9" t="n"/>
      <c r="B1023" s="33" t="n"/>
      <c r="G1023" s="25">
        <f>IF($C1023="","",IFERROR(IF(INDEX(links!$A$2:$A$501,MATCH($C1023,links!$D$2:$D$501,0))="","",INDEX(links!$A$2:$A$501,MATCH($C1023,links!$D$2:$D$501,0))),""))</f>
        <v/>
      </c>
      <c r="H1023" s="25">
        <f>IF($C1023="","",IFERROR(IF(INDEX(links!$B$2:$B$501,MATCH($C1023,links!$D$2:$D$501,0))="","",INDEX(links!$B$2:$B$501,MATCH($C1023,links!$D$2:$D$501,0))),""))</f>
        <v/>
      </c>
      <c r="I1023" s="25">
        <f>IF($C1023="","",IFERROR(IF(INDEX(links!$C$2:$C$501,MATCH($C1023,links!$D$2:$D$501,0))="","",INDEX(links!$C$2:$C$501,MATCH($C1023,links!$D$2:$D$501,0))),""))</f>
        <v/>
      </c>
      <c r="J1023" s="25">
        <f>IF($C1023="","",IF($G1023="","slug not in links; ","")&amp;IF($D1023="","reading type missing; ","")&amp;IF(COUNTIFS(scans!$C$2:$C$1601,$C1023,scans!$D$2:$D$1601,$D1023)&gt;1,"two readings of this type: keep one; ",""))</f>
        <v/>
      </c>
    </row>
    <row r="1024">
      <c r="A1024" s="9" t="n"/>
      <c r="B1024" s="33" t="n"/>
      <c r="G1024" s="25">
        <f>IF($C1024="","",IFERROR(IF(INDEX(links!$A$2:$A$501,MATCH($C1024,links!$D$2:$D$501,0))="","",INDEX(links!$A$2:$A$501,MATCH($C1024,links!$D$2:$D$501,0))),""))</f>
        <v/>
      </c>
      <c r="H1024" s="25">
        <f>IF($C1024="","",IFERROR(IF(INDEX(links!$B$2:$B$501,MATCH($C1024,links!$D$2:$D$501,0))="","",INDEX(links!$B$2:$B$501,MATCH($C1024,links!$D$2:$D$501,0))),""))</f>
        <v/>
      </c>
      <c r="I1024" s="25">
        <f>IF($C1024="","",IFERROR(IF(INDEX(links!$C$2:$C$501,MATCH($C1024,links!$D$2:$D$501,0))="","",INDEX(links!$C$2:$C$501,MATCH($C1024,links!$D$2:$D$501,0))),""))</f>
        <v/>
      </c>
      <c r="J1024" s="25">
        <f>IF($C1024="","",IF($G1024="","slug not in links; ","")&amp;IF($D1024="","reading type missing; ","")&amp;IF(COUNTIFS(scans!$C$2:$C$1601,$C1024,scans!$D$2:$D$1601,$D1024)&gt;1,"two readings of this type: keep one; ",""))</f>
        <v/>
      </c>
    </row>
    <row r="1025">
      <c r="A1025" s="9" t="n"/>
      <c r="B1025" s="33" t="n"/>
      <c r="G1025" s="25">
        <f>IF($C1025="","",IFERROR(IF(INDEX(links!$A$2:$A$501,MATCH($C1025,links!$D$2:$D$501,0))="","",INDEX(links!$A$2:$A$501,MATCH($C1025,links!$D$2:$D$501,0))),""))</f>
        <v/>
      </c>
      <c r="H1025" s="25">
        <f>IF($C1025="","",IFERROR(IF(INDEX(links!$B$2:$B$501,MATCH($C1025,links!$D$2:$D$501,0))="","",INDEX(links!$B$2:$B$501,MATCH($C1025,links!$D$2:$D$501,0))),""))</f>
        <v/>
      </c>
      <c r="I1025" s="25">
        <f>IF($C1025="","",IFERROR(IF(INDEX(links!$C$2:$C$501,MATCH($C1025,links!$D$2:$D$501,0))="","",INDEX(links!$C$2:$C$501,MATCH($C1025,links!$D$2:$D$501,0))),""))</f>
        <v/>
      </c>
      <c r="J1025" s="25">
        <f>IF($C1025="","",IF($G1025="","slug not in links; ","")&amp;IF($D1025="","reading type missing; ","")&amp;IF(COUNTIFS(scans!$C$2:$C$1601,$C1025,scans!$D$2:$D$1601,$D1025)&gt;1,"two readings of this type: keep one; ",""))</f>
        <v/>
      </c>
    </row>
    <row r="1026">
      <c r="A1026" s="9" t="n"/>
      <c r="B1026" s="33" t="n"/>
      <c r="G1026" s="25">
        <f>IF($C1026="","",IFERROR(IF(INDEX(links!$A$2:$A$501,MATCH($C1026,links!$D$2:$D$501,0))="","",INDEX(links!$A$2:$A$501,MATCH($C1026,links!$D$2:$D$501,0))),""))</f>
        <v/>
      </c>
      <c r="H1026" s="25">
        <f>IF($C1026="","",IFERROR(IF(INDEX(links!$B$2:$B$501,MATCH($C1026,links!$D$2:$D$501,0))="","",INDEX(links!$B$2:$B$501,MATCH($C1026,links!$D$2:$D$501,0))),""))</f>
        <v/>
      </c>
      <c r="I1026" s="25">
        <f>IF($C1026="","",IFERROR(IF(INDEX(links!$C$2:$C$501,MATCH($C1026,links!$D$2:$D$501,0))="","",INDEX(links!$C$2:$C$501,MATCH($C1026,links!$D$2:$D$501,0))),""))</f>
        <v/>
      </c>
      <c r="J1026" s="25">
        <f>IF($C1026="","",IF($G1026="","slug not in links; ","")&amp;IF($D1026="","reading type missing; ","")&amp;IF(COUNTIFS(scans!$C$2:$C$1601,$C1026,scans!$D$2:$D$1601,$D1026)&gt;1,"two readings of this type: keep one; ",""))</f>
        <v/>
      </c>
    </row>
    <row r="1027">
      <c r="A1027" s="9" t="n"/>
      <c r="B1027" s="33" t="n"/>
      <c r="G1027" s="25">
        <f>IF($C1027="","",IFERROR(IF(INDEX(links!$A$2:$A$501,MATCH($C1027,links!$D$2:$D$501,0))="","",INDEX(links!$A$2:$A$501,MATCH($C1027,links!$D$2:$D$501,0))),""))</f>
        <v/>
      </c>
      <c r="H1027" s="25">
        <f>IF($C1027="","",IFERROR(IF(INDEX(links!$B$2:$B$501,MATCH($C1027,links!$D$2:$D$501,0))="","",INDEX(links!$B$2:$B$501,MATCH($C1027,links!$D$2:$D$501,0))),""))</f>
        <v/>
      </c>
      <c r="I1027" s="25">
        <f>IF($C1027="","",IFERROR(IF(INDEX(links!$C$2:$C$501,MATCH($C1027,links!$D$2:$D$501,0))="","",INDEX(links!$C$2:$C$501,MATCH($C1027,links!$D$2:$D$501,0))),""))</f>
        <v/>
      </c>
      <c r="J1027" s="25">
        <f>IF($C1027="","",IF($G1027="","slug not in links; ","")&amp;IF($D1027="","reading type missing; ","")&amp;IF(COUNTIFS(scans!$C$2:$C$1601,$C1027,scans!$D$2:$D$1601,$D1027)&gt;1,"two readings of this type: keep one; ",""))</f>
        <v/>
      </c>
    </row>
    <row r="1028">
      <c r="A1028" s="9" t="n"/>
      <c r="B1028" s="33" t="n"/>
      <c r="G1028" s="25">
        <f>IF($C1028="","",IFERROR(IF(INDEX(links!$A$2:$A$501,MATCH($C1028,links!$D$2:$D$501,0))="","",INDEX(links!$A$2:$A$501,MATCH($C1028,links!$D$2:$D$501,0))),""))</f>
        <v/>
      </c>
      <c r="H1028" s="25">
        <f>IF($C1028="","",IFERROR(IF(INDEX(links!$B$2:$B$501,MATCH($C1028,links!$D$2:$D$501,0))="","",INDEX(links!$B$2:$B$501,MATCH($C1028,links!$D$2:$D$501,0))),""))</f>
        <v/>
      </c>
      <c r="I1028" s="25">
        <f>IF($C1028="","",IFERROR(IF(INDEX(links!$C$2:$C$501,MATCH($C1028,links!$D$2:$D$501,0))="","",INDEX(links!$C$2:$C$501,MATCH($C1028,links!$D$2:$D$501,0))),""))</f>
        <v/>
      </c>
      <c r="J1028" s="25">
        <f>IF($C1028="","",IF($G1028="","slug not in links; ","")&amp;IF($D1028="","reading type missing; ","")&amp;IF(COUNTIFS(scans!$C$2:$C$1601,$C1028,scans!$D$2:$D$1601,$D1028)&gt;1,"two readings of this type: keep one; ",""))</f>
        <v/>
      </c>
    </row>
    <row r="1029">
      <c r="A1029" s="9" t="n"/>
      <c r="B1029" s="33" t="n"/>
      <c r="G1029" s="25">
        <f>IF($C1029="","",IFERROR(IF(INDEX(links!$A$2:$A$501,MATCH($C1029,links!$D$2:$D$501,0))="","",INDEX(links!$A$2:$A$501,MATCH($C1029,links!$D$2:$D$501,0))),""))</f>
        <v/>
      </c>
      <c r="H1029" s="25">
        <f>IF($C1029="","",IFERROR(IF(INDEX(links!$B$2:$B$501,MATCH($C1029,links!$D$2:$D$501,0))="","",INDEX(links!$B$2:$B$501,MATCH($C1029,links!$D$2:$D$501,0))),""))</f>
        <v/>
      </c>
      <c r="I1029" s="25">
        <f>IF($C1029="","",IFERROR(IF(INDEX(links!$C$2:$C$501,MATCH($C1029,links!$D$2:$D$501,0))="","",INDEX(links!$C$2:$C$501,MATCH($C1029,links!$D$2:$D$501,0))),""))</f>
        <v/>
      </c>
      <c r="J1029" s="25">
        <f>IF($C1029="","",IF($G1029="","slug not in links; ","")&amp;IF($D1029="","reading type missing; ","")&amp;IF(COUNTIFS(scans!$C$2:$C$1601,$C1029,scans!$D$2:$D$1601,$D1029)&gt;1,"two readings of this type: keep one; ",""))</f>
        <v/>
      </c>
    </row>
    <row r="1030">
      <c r="A1030" s="9" t="n"/>
      <c r="B1030" s="33" t="n"/>
      <c r="G1030" s="25">
        <f>IF($C1030="","",IFERROR(IF(INDEX(links!$A$2:$A$501,MATCH($C1030,links!$D$2:$D$501,0))="","",INDEX(links!$A$2:$A$501,MATCH($C1030,links!$D$2:$D$501,0))),""))</f>
        <v/>
      </c>
      <c r="H1030" s="25">
        <f>IF($C1030="","",IFERROR(IF(INDEX(links!$B$2:$B$501,MATCH($C1030,links!$D$2:$D$501,0))="","",INDEX(links!$B$2:$B$501,MATCH($C1030,links!$D$2:$D$501,0))),""))</f>
        <v/>
      </c>
      <c r="I1030" s="25">
        <f>IF($C1030="","",IFERROR(IF(INDEX(links!$C$2:$C$501,MATCH($C1030,links!$D$2:$D$501,0))="","",INDEX(links!$C$2:$C$501,MATCH($C1030,links!$D$2:$D$501,0))),""))</f>
        <v/>
      </c>
      <c r="J1030" s="25">
        <f>IF($C1030="","",IF($G1030="","slug not in links; ","")&amp;IF($D1030="","reading type missing; ","")&amp;IF(COUNTIFS(scans!$C$2:$C$1601,$C1030,scans!$D$2:$D$1601,$D1030)&gt;1,"two readings of this type: keep one; ",""))</f>
        <v/>
      </c>
    </row>
    <row r="1031">
      <c r="A1031" s="9" t="n"/>
      <c r="B1031" s="33" t="n"/>
      <c r="G1031" s="25">
        <f>IF($C1031="","",IFERROR(IF(INDEX(links!$A$2:$A$501,MATCH($C1031,links!$D$2:$D$501,0))="","",INDEX(links!$A$2:$A$501,MATCH($C1031,links!$D$2:$D$501,0))),""))</f>
        <v/>
      </c>
      <c r="H1031" s="25">
        <f>IF($C1031="","",IFERROR(IF(INDEX(links!$B$2:$B$501,MATCH($C1031,links!$D$2:$D$501,0))="","",INDEX(links!$B$2:$B$501,MATCH($C1031,links!$D$2:$D$501,0))),""))</f>
        <v/>
      </c>
      <c r="I1031" s="25">
        <f>IF($C1031="","",IFERROR(IF(INDEX(links!$C$2:$C$501,MATCH($C1031,links!$D$2:$D$501,0))="","",INDEX(links!$C$2:$C$501,MATCH($C1031,links!$D$2:$D$501,0))),""))</f>
        <v/>
      </c>
      <c r="J1031" s="25">
        <f>IF($C1031="","",IF($G1031="","slug not in links; ","")&amp;IF($D1031="","reading type missing; ","")&amp;IF(COUNTIFS(scans!$C$2:$C$1601,$C1031,scans!$D$2:$D$1601,$D1031)&gt;1,"two readings of this type: keep one; ",""))</f>
        <v/>
      </c>
    </row>
    <row r="1032">
      <c r="A1032" s="9" t="n"/>
      <c r="B1032" s="33" t="n"/>
      <c r="G1032" s="25">
        <f>IF($C1032="","",IFERROR(IF(INDEX(links!$A$2:$A$501,MATCH($C1032,links!$D$2:$D$501,0))="","",INDEX(links!$A$2:$A$501,MATCH($C1032,links!$D$2:$D$501,0))),""))</f>
        <v/>
      </c>
      <c r="H1032" s="25">
        <f>IF($C1032="","",IFERROR(IF(INDEX(links!$B$2:$B$501,MATCH($C1032,links!$D$2:$D$501,0))="","",INDEX(links!$B$2:$B$501,MATCH($C1032,links!$D$2:$D$501,0))),""))</f>
        <v/>
      </c>
      <c r="I1032" s="25">
        <f>IF($C1032="","",IFERROR(IF(INDEX(links!$C$2:$C$501,MATCH($C1032,links!$D$2:$D$501,0))="","",INDEX(links!$C$2:$C$501,MATCH($C1032,links!$D$2:$D$501,0))),""))</f>
        <v/>
      </c>
      <c r="J1032" s="25">
        <f>IF($C1032="","",IF($G1032="","slug not in links; ","")&amp;IF($D1032="","reading type missing; ","")&amp;IF(COUNTIFS(scans!$C$2:$C$1601,$C1032,scans!$D$2:$D$1601,$D1032)&gt;1,"two readings of this type: keep one; ",""))</f>
        <v/>
      </c>
    </row>
    <row r="1033">
      <c r="A1033" s="9" t="n"/>
      <c r="B1033" s="33" t="n"/>
      <c r="G1033" s="25">
        <f>IF($C1033="","",IFERROR(IF(INDEX(links!$A$2:$A$501,MATCH($C1033,links!$D$2:$D$501,0))="","",INDEX(links!$A$2:$A$501,MATCH($C1033,links!$D$2:$D$501,0))),""))</f>
        <v/>
      </c>
      <c r="H1033" s="25">
        <f>IF($C1033="","",IFERROR(IF(INDEX(links!$B$2:$B$501,MATCH($C1033,links!$D$2:$D$501,0))="","",INDEX(links!$B$2:$B$501,MATCH($C1033,links!$D$2:$D$501,0))),""))</f>
        <v/>
      </c>
      <c r="I1033" s="25">
        <f>IF($C1033="","",IFERROR(IF(INDEX(links!$C$2:$C$501,MATCH($C1033,links!$D$2:$D$501,0))="","",INDEX(links!$C$2:$C$501,MATCH($C1033,links!$D$2:$D$501,0))),""))</f>
        <v/>
      </c>
      <c r="J1033" s="25">
        <f>IF($C1033="","",IF($G1033="","slug not in links; ","")&amp;IF($D1033="","reading type missing; ","")&amp;IF(COUNTIFS(scans!$C$2:$C$1601,$C1033,scans!$D$2:$D$1601,$D1033)&gt;1,"two readings of this type: keep one; ",""))</f>
        <v/>
      </c>
    </row>
    <row r="1034">
      <c r="A1034" s="9" t="n"/>
      <c r="B1034" s="33" t="n"/>
      <c r="G1034" s="25">
        <f>IF($C1034="","",IFERROR(IF(INDEX(links!$A$2:$A$501,MATCH($C1034,links!$D$2:$D$501,0))="","",INDEX(links!$A$2:$A$501,MATCH($C1034,links!$D$2:$D$501,0))),""))</f>
        <v/>
      </c>
      <c r="H1034" s="25">
        <f>IF($C1034="","",IFERROR(IF(INDEX(links!$B$2:$B$501,MATCH($C1034,links!$D$2:$D$501,0))="","",INDEX(links!$B$2:$B$501,MATCH($C1034,links!$D$2:$D$501,0))),""))</f>
        <v/>
      </c>
      <c r="I1034" s="25">
        <f>IF($C1034="","",IFERROR(IF(INDEX(links!$C$2:$C$501,MATCH($C1034,links!$D$2:$D$501,0))="","",INDEX(links!$C$2:$C$501,MATCH($C1034,links!$D$2:$D$501,0))),""))</f>
        <v/>
      </c>
      <c r="J1034" s="25">
        <f>IF($C1034="","",IF($G1034="","slug not in links; ","")&amp;IF($D1034="","reading type missing; ","")&amp;IF(COUNTIFS(scans!$C$2:$C$1601,$C1034,scans!$D$2:$D$1601,$D1034)&gt;1,"two readings of this type: keep one; ",""))</f>
        <v/>
      </c>
    </row>
    <row r="1035">
      <c r="A1035" s="9" t="n"/>
      <c r="B1035" s="33" t="n"/>
      <c r="G1035" s="25">
        <f>IF($C1035="","",IFERROR(IF(INDEX(links!$A$2:$A$501,MATCH($C1035,links!$D$2:$D$501,0))="","",INDEX(links!$A$2:$A$501,MATCH($C1035,links!$D$2:$D$501,0))),""))</f>
        <v/>
      </c>
      <c r="H1035" s="25">
        <f>IF($C1035="","",IFERROR(IF(INDEX(links!$B$2:$B$501,MATCH($C1035,links!$D$2:$D$501,0))="","",INDEX(links!$B$2:$B$501,MATCH($C1035,links!$D$2:$D$501,0))),""))</f>
        <v/>
      </c>
      <c r="I1035" s="25">
        <f>IF($C1035="","",IFERROR(IF(INDEX(links!$C$2:$C$501,MATCH($C1035,links!$D$2:$D$501,0))="","",INDEX(links!$C$2:$C$501,MATCH($C1035,links!$D$2:$D$501,0))),""))</f>
        <v/>
      </c>
      <c r="J1035" s="25">
        <f>IF($C1035="","",IF($G1035="","slug not in links; ","")&amp;IF($D1035="","reading type missing; ","")&amp;IF(COUNTIFS(scans!$C$2:$C$1601,$C1035,scans!$D$2:$D$1601,$D1035)&gt;1,"two readings of this type: keep one; ",""))</f>
        <v/>
      </c>
    </row>
    <row r="1036">
      <c r="A1036" s="9" t="n"/>
      <c r="B1036" s="33" t="n"/>
      <c r="G1036" s="25">
        <f>IF($C1036="","",IFERROR(IF(INDEX(links!$A$2:$A$501,MATCH($C1036,links!$D$2:$D$501,0))="","",INDEX(links!$A$2:$A$501,MATCH($C1036,links!$D$2:$D$501,0))),""))</f>
        <v/>
      </c>
      <c r="H1036" s="25">
        <f>IF($C1036="","",IFERROR(IF(INDEX(links!$B$2:$B$501,MATCH($C1036,links!$D$2:$D$501,0))="","",INDEX(links!$B$2:$B$501,MATCH($C1036,links!$D$2:$D$501,0))),""))</f>
        <v/>
      </c>
      <c r="I1036" s="25">
        <f>IF($C1036="","",IFERROR(IF(INDEX(links!$C$2:$C$501,MATCH($C1036,links!$D$2:$D$501,0))="","",INDEX(links!$C$2:$C$501,MATCH($C1036,links!$D$2:$D$501,0))),""))</f>
        <v/>
      </c>
      <c r="J1036" s="25">
        <f>IF($C1036="","",IF($G1036="","slug not in links; ","")&amp;IF($D1036="","reading type missing; ","")&amp;IF(COUNTIFS(scans!$C$2:$C$1601,$C1036,scans!$D$2:$D$1601,$D1036)&gt;1,"two readings of this type: keep one; ",""))</f>
        <v/>
      </c>
    </row>
    <row r="1037">
      <c r="A1037" s="9" t="n"/>
      <c r="B1037" s="33" t="n"/>
      <c r="G1037" s="25">
        <f>IF($C1037="","",IFERROR(IF(INDEX(links!$A$2:$A$501,MATCH($C1037,links!$D$2:$D$501,0))="","",INDEX(links!$A$2:$A$501,MATCH($C1037,links!$D$2:$D$501,0))),""))</f>
        <v/>
      </c>
      <c r="H1037" s="25">
        <f>IF($C1037="","",IFERROR(IF(INDEX(links!$B$2:$B$501,MATCH($C1037,links!$D$2:$D$501,0))="","",INDEX(links!$B$2:$B$501,MATCH($C1037,links!$D$2:$D$501,0))),""))</f>
        <v/>
      </c>
      <c r="I1037" s="25">
        <f>IF($C1037="","",IFERROR(IF(INDEX(links!$C$2:$C$501,MATCH($C1037,links!$D$2:$D$501,0))="","",INDEX(links!$C$2:$C$501,MATCH($C1037,links!$D$2:$D$501,0))),""))</f>
        <v/>
      </c>
      <c r="J1037" s="25">
        <f>IF($C1037="","",IF($G1037="","slug not in links; ","")&amp;IF($D1037="","reading type missing; ","")&amp;IF(COUNTIFS(scans!$C$2:$C$1601,$C1037,scans!$D$2:$D$1601,$D1037)&gt;1,"two readings of this type: keep one; ",""))</f>
        <v/>
      </c>
    </row>
    <row r="1038">
      <c r="A1038" s="9" t="n"/>
      <c r="B1038" s="33" t="n"/>
      <c r="G1038" s="25">
        <f>IF($C1038="","",IFERROR(IF(INDEX(links!$A$2:$A$501,MATCH($C1038,links!$D$2:$D$501,0))="","",INDEX(links!$A$2:$A$501,MATCH($C1038,links!$D$2:$D$501,0))),""))</f>
        <v/>
      </c>
      <c r="H1038" s="25">
        <f>IF($C1038="","",IFERROR(IF(INDEX(links!$B$2:$B$501,MATCH($C1038,links!$D$2:$D$501,0))="","",INDEX(links!$B$2:$B$501,MATCH($C1038,links!$D$2:$D$501,0))),""))</f>
        <v/>
      </c>
      <c r="I1038" s="25">
        <f>IF($C1038="","",IFERROR(IF(INDEX(links!$C$2:$C$501,MATCH($C1038,links!$D$2:$D$501,0))="","",INDEX(links!$C$2:$C$501,MATCH($C1038,links!$D$2:$D$501,0))),""))</f>
        <v/>
      </c>
      <c r="J1038" s="25">
        <f>IF($C1038="","",IF($G1038="","slug not in links; ","")&amp;IF($D1038="","reading type missing; ","")&amp;IF(COUNTIFS(scans!$C$2:$C$1601,$C1038,scans!$D$2:$D$1601,$D1038)&gt;1,"two readings of this type: keep one; ",""))</f>
        <v/>
      </c>
    </row>
    <row r="1039">
      <c r="A1039" s="9" t="n"/>
      <c r="B1039" s="33" t="n"/>
      <c r="G1039" s="25">
        <f>IF($C1039="","",IFERROR(IF(INDEX(links!$A$2:$A$501,MATCH($C1039,links!$D$2:$D$501,0))="","",INDEX(links!$A$2:$A$501,MATCH($C1039,links!$D$2:$D$501,0))),""))</f>
        <v/>
      </c>
      <c r="H1039" s="25">
        <f>IF($C1039="","",IFERROR(IF(INDEX(links!$B$2:$B$501,MATCH($C1039,links!$D$2:$D$501,0))="","",INDEX(links!$B$2:$B$501,MATCH($C1039,links!$D$2:$D$501,0))),""))</f>
        <v/>
      </c>
      <c r="I1039" s="25">
        <f>IF($C1039="","",IFERROR(IF(INDEX(links!$C$2:$C$501,MATCH($C1039,links!$D$2:$D$501,0))="","",INDEX(links!$C$2:$C$501,MATCH($C1039,links!$D$2:$D$501,0))),""))</f>
        <v/>
      </c>
      <c r="J1039" s="25">
        <f>IF($C1039="","",IF($G1039="","slug not in links; ","")&amp;IF($D1039="","reading type missing; ","")&amp;IF(COUNTIFS(scans!$C$2:$C$1601,$C1039,scans!$D$2:$D$1601,$D1039)&gt;1,"two readings of this type: keep one; ",""))</f>
        <v/>
      </c>
    </row>
    <row r="1040">
      <c r="A1040" s="9" t="n"/>
      <c r="B1040" s="33" t="n"/>
      <c r="G1040" s="25">
        <f>IF($C1040="","",IFERROR(IF(INDEX(links!$A$2:$A$501,MATCH($C1040,links!$D$2:$D$501,0))="","",INDEX(links!$A$2:$A$501,MATCH($C1040,links!$D$2:$D$501,0))),""))</f>
        <v/>
      </c>
      <c r="H1040" s="25">
        <f>IF($C1040="","",IFERROR(IF(INDEX(links!$B$2:$B$501,MATCH($C1040,links!$D$2:$D$501,0))="","",INDEX(links!$B$2:$B$501,MATCH($C1040,links!$D$2:$D$501,0))),""))</f>
        <v/>
      </c>
      <c r="I1040" s="25">
        <f>IF($C1040="","",IFERROR(IF(INDEX(links!$C$2:$C$501,MATCH($C1040,links!$D$2:$D$501,0))="","",INDEX(links!$C$2:$C$501,MATCH($C1040,links!$D$2:$D$501,0))),""))</f>
        <v/>
      </c>
      <c r="J1040" s="25">
        <f>IF($C1040="","",IF($G1040="","slug not in links; ","")&amp;IF($D1040="","reading type missing; ","")&amp;IF(COUNTIFS(scans!$C$2:$C$1601,$C1040,scans!$D$2:$D$1601,$D1040)&gt;1,"two readings of this type: keep one; ",""))</f>
        <v/>
      </c>
    </row>
    <row r="1041">
      <c r="A1041" s="9" t="n"/>
      <c r="B1041" s="33" t="n"/>
      <c r="G1041" s="25">
        <f>IF($C1041="","",IFERROR(IF(INDEX(links!$A$2:$A$501,MATCH($C1041,links!$D$2:$D$501,0))="","",INDEX(links!$A$2:$A$501,MATCH($C1041,links!$D$2:$D$501,0))),""))</f>
        <v/>
      </c>
      <c r="H1041" s="25">
        <f>IF($C1041="","",IFERROR(IF(INDEX(links!$B$2:$B$501,MATCH($C1041,links!$D$2:$D$501,0))="","",INDEX(links!$B$2:$B$501,MATCH($C1041,links!$D$2:$D$501,0))),""))</f>
        <v/>
      </c>
      <c r="I1041" s="25">
        <f>IF($C1041="","",IFERROR(IF(INDEX(links!$C$2:$C$501,MATCH($C1041,links!$D$2:$D$501,0))="","",INDEX(links!$C$2:$C$501,MATCH($C1041,links!$D$2:$D$501,0))),""))</f>
        <v/>
      </c>
      <c r="J1041" s="25">
        <f>IF($C1041="","",IF($G1041="","slug not in links; ","")&amp;IF($D1041="","reading type missing; ","")&amp;IF(COUNTIFS(scans!$C$2:$C$1601,$C1041,scans!$D$2:$D$1601,$D1041)&gt;1,"two readings of this type: keep one; ",""))</f>
        <v/>
      </c>
    </row>
    <row r="1042">
      <c r="A1042" s="9" t="n"/>
      <c r="B1042" s="33" t="n"/>
      <c r="G1042" s="25">
        <f>IF($C1042="","",IFERROR(IF(INDEX(links!$A$2:$A$501,MATCH($C1042,links!$D$2:$D$501,0))="","",INDEX(links!$A$2:$A$501,MATCH($C1042,links!$D$2:$D$501,0))),""))</f>
        <v/>
      </c>
      <c r="H1042" s="25">
        <f>IF($C1042="","",IFERROR(IF(INDEX(links!$B$2:$B$501,MATCH($C1042,links!$D$2:$D$501,0))="","",INDEX(links!$B$2:$B$501,MATCH($C1042,links!$D$2:$D$501,0))),""))</f>
        <v/>
      </c>
      <c r="I1042" s="25">
        <f>IF($C1042="","",IFERROR(IF(INDEX(links!$C$2:$C$501,MATCH($C1042,links!$D$2:$D$501,0))="","",INDEX(links!$C$2:$C$501,MATCH($C1042,links!$D$2:$D$501,0))),""))</f>
        <v/>
      </c>
      <c r="J1042" s="25">
        <f>IF($C1042="","",IF($G1042="","slug not in links; ","")&amp;IF($D1042="","reading type missing; ","")&amp;IF(COUNTIFS(scans!$C$2:$C$1601,$C1042,scans!$D$2:$D$1601,$D1042)&gt;1,"two readings of this type: keep one; ",""))</f>
        <v/>
      </c>
    </row>
    <row r="1043">
      <c r="A1043" s="9" t="n"/>
      <c r="B1043" s="33" t="n"/>
      <c r="G1043" s="25">
        <f>IF($C1043="","",IFERROR(IF(INDEX(links!$A$2:$A$501,MATCH($C1043,links!$D$2:$D$501,0))="","",INDEX(links!$A$2:$A$501,MATCH($C1043,links!$D$2:$D$501,0))),""))</f>
        <v/>
      </c>
      <c r="H1043" s="25">
        <f>IF($C1043="","",IFERROR(IF(INDEX(links!$B$2:$B$501,MATCH($C1043,links!$D$2:$D$501,0))="","",INDEX(links!$B$2:$B$501,MATCH($C1043,links!$D$2:$D$501,0))),""))</f>
        <v/>
      </c>
      <c r="I1043" s="25">
        <f>IF($C1043="","",IFERROR(IF(INDEX(links!$C$2:$C$501,MATCH($C1043,links!$D$2:$D$501,0))="","",INDEX(links!$C$2:$C$501,MATCH($C1043,links!$D$2:$D$501,0))),""))</f>
        <v/>
      </c>
      <c r="J1043" s="25">
        <f>IF($C1043="","",IF($G1043="","slug not in links; ","")&amp;IF($D1043="","reading type missing; ","")&amp;IF(COUNTIFS(scans!$C$2:$C$1601,$C1043,scans!$D$2:$D$1601,$D1043)&gt;1,"two readings of this type: keep one; ",""))</f>
        <v/>
      </c>
    </row>
    <row r="1044">
      <c r="A1044" s="9" t="n"/>
      <c r="B1044" s="33" t="n"/>
      <c r="G1044" s="25">
        <f>IF($C1044="","",IFERROR(IF(INDEX(links!$A$2:$A$501,MATCH($C1044,links!$D$2:$D$501,0))="","",INDEX(links!$A$2:$A$501,MATCH($C1044,links!$D$2:$D$501,0))),""))</f>
        <v/>
      </c>
      <c r="H1044" s="25">
        <f>IF($C1044="","",IFERROR(IF(INDEX(links!$B$2:$B$501,MATCH($C1044,links!$D$2:$D$501,0))="","",INDEX(links!$B$2:$B$501,MATCH($C1044,links!$D$2:$D$501,0))),""))</f>
        <v/>
      </c>
      <c r="I1044" s="25">
        <f>IF($C1044="","",IFERROR(IF(INDEX(links!$C$2:$C$501,MATCH($C1044,links!$D$2:$D$501,0))="","",INDEX(links!$C$2:$C$501,MATCH($C1044,links!$D$2:$D$501,0))),""))</f>
        <v/>
      </c>
      <c r="J1044" s="25">
        <f>IF($C1044="","",IF($G1044="","slug not in links; ","")&amp;IF($D1044="","reading type missing; ","")&amp;IF(COUNTIFS(scans!$C$2:$C$1601,$C1044,scans!$D$2:$D$1601,$D1044)&gt;1,"two readings of this type: keep one; ",""))</f>
        <v/>
      </c>
    </row>
    <row r="1045">
      <c r="A1045" s="9" t="n"/>
      <c r="B1045" s="33" t="n"/>
      <c r="G1045" s="25">
        <f>IF($C1045="","",IFERROR(IF(INDEX(links!$A$2:$A$501,MATCH($C1045,links!$D$2:$D$501,0))="","",INDEX(links!$A$2:$A$501,MATCH($C1045,links!$D$2:$D$501,0))),""))</f>
        <v/>
      </c>
      <c r="H1045" s="25">
        <f>IF($C1045="","",IFERROR(IF(INDEX(links!$B$2:$B$501,MATCH($C1045,links!$D$2:$D$501,0))="","",INDEX(links!$B$2:$B$501,MATCH($C1045,links!$D$2:$D$501,0))),""))</f>
        <v/>
      </c>
      <c r="I1045" s="25">
        <f>IF($C1045="","",IFERROR(IF(INDEX(links!$C$2:$C$501,MATCH($C1045,links!$D$2:$D$501,0))="","",INDEX(links!$C$2:$C$501,MATCH($C1045,links!$D$2:$D$501,0))),""))</f>
        <v/>
      </c>
      <c r="J1045" s="25">
        <f>IF($C1045="","",IF($G1045="","slug not in links; ","")&amp;IF($D1045="","reading type missing; ","")&amp;IF(COUNTIFS(scans!$C$2:$C$1601,$C1045,scans!$D$2:$D$1601,$D1045)&gt;1,"two readings of this type: keep one; ",""))</f>
        <v/>
      </c>
    </row>
    <row r="1046">
      <c r="A1046" s="9" t="n"/>
      <c r="B1046" s="33" t="n"/>
      <c r="G1046" s="25">
        <f>IF($C1046="","",IFERROR(IF(INDEX(links!$A$2:$A$501,MATCH($C1046,links!$D$2:$D$501,0))="","",INDEX(links!$A$2:$A$501,MATCH($C1046,links!$D$2:$D$501,0))),""))</f>
        <v/>
      </c>
      <c r="H1046" s="25">
        <f>IF($C1046="","",IFERROR(IF(INDEX(links!$B$2:$B$501,MATCH($C1046,links!$D$2:$D$501,0))="","",INDEX(links!$B$2:$B$501,MATCH($C1046,links!$D$2:$D$501,0))),""))</f>
        <v/>
      </c>
      <c r="I1046" s="25">
        <f>IF($C1046="","",IFERROR(IF(INDEX(links!$C$2:$C$501,MATCH($C1046,links!$D$2:$D$501,0))="","",INDEX(links!$C$2:$C$501,MATCH($C1046,links!$D$2:$D$501,0))),""))</f>
        <v/>
      </c>
      <c r="J1046" s="25">
        <f>IF($C1046="","",IF($G1046="","slug not in links; ","")&amp;IF($D1046="","reading type missing; ","")&amp;IF(COUNTIFS(scans!$C$2:$C$1601,$C1046,scans!$D$2:$D$1601,$D1046)&gt;1,"two readings of this type: keep one; ",""))</f>
        <v/>
      </c>
    </row>
    <row r="1047">
      <c r="A1047" s="9" t="n"/>
      <c r="B1047" s="33" t="n"/>
      <c r="G1047" s="25">
        <f>IF($C1047="","",IFERROR(IF(INDEX(links!$A$2:$A$501,MATCH($C1047,links!$D$2:$D$501,0))="","",INDEX(links!$A$2:$A$501,MATCH($C1047,links!$D$2:$D$501,0))),""))</f>
        <v/>
      </c>
      <c r="H1047" s="25">
        <f>IF($C1047="","",IFERROR(IF(INDEX(links!$B$2:$B$501,MATCH($C1047,links!$D$2:$D$501,0))="","",INDEX(links!$B$2:$B$501,MATCH($C1047,links!$D$2:$D$501,0))),""))</f>
        <v/>
      </c>
      <c r="I1047" s="25">
        <f>IF($C1047="","",IFERROR(IF(INDEX(links!$C$2:$C$501,MATCH($C1047,links!$D$2:$D$501,0))="","",INDEX(links!$C$2:$C$501,MATCH($C1047,links!$D$2:$D$501,0))),""))</f>
        <v/>
      </c>
      <c r="J1047" s="25">
        <f>IF($C1047="","",IF($G1047="","slug not in links; ","")&amp;IF($D1047="","reading type missing; ","")&amp;IF(COUNTIFS(scans!$C$2:$C$1601,$C1047,scans!$D$2:$D$1601,$D1047)&gt;1,"two readings of this type: keep one; ",""))</f>
        <v/>
      </c>
    </row>
    <row r="1048">
      <c r="A1048" s="9" t="n"/>
      <c r="B1048" s="33" t="n"/>
      <c r="G1048" s="25">
        <f>IF($C1048="","",IFERROR(IF(INDEX(links!$A$2:$A$501,MATCH($C1048,links!$D$2:$D$501,0))="","",INDEX(links!$A$2:$A$501,MATCH($C1048,links!$D$2:$D$501,0))),""))</f>
        <v/>
      </c>
      <c r="H1048" s="25">
        <f>IF($C1048="","",IFERROR(IF(INDEX(links!$B$2:$B$501,MATCH($C1048,links!$D$2:$D$501,0))="","",INDEX(links!$B$2:$B$501,MATCH($C1048,links!$D$2:$D$501,0))),""))</f>
        <v/>
      </c>
      <c r="I1048" s="25">
        <f>IF($C1048="","",IFERROR(IF(INDEX(links!$C$2:$C$501,MATCH($C1048,links!$D$2:$D$501,0))="","",INDEX(links!$C$2:$C$501,MATCH($C1048,links!$D$2:$D$501,0))),""))</f>
        <v/>
      </c>
      <c r="J1048" s="25">
        <f>IF($C1048="","",IF($G1048="","slug not in links; ","")&amp;IF($D1048="","reading type missing; ","")&amp;IF(COUNTIFS(scans!$C$2:$C$1601,$C1048,scans!$D$2:$D$1601,$D1048)&gt;1,"two readings of this type: keep one; ",""))</f>
        <v/>
      </c>
    </row>
    <row r="1049">
      <c r="A1049" s="9" t="n"/>
      <c r="B1049" s="33" t="n"/>
      <c r="G1049" s="25">
        <f>IF($C1049="","",IFERROR(IF(INDEX(links!$A$2:$A$501,MATCH($C1049,links!$D$2:$D$501,0))="","",INDEX(links!$A$2:$A$501,MATCH($C1049,links!$D$2:$D$501,0))),""))</f>
        <v/>
      </c>
      <c r="H1049" s="25">
        <f>IF($C1049="","",IFERROR(IF(INDEX(links!$B$2:$B$501,MATCH($C1049,links!$D$2:$D$501,0))="","",INDEX(links!$B$2:$B$501,MATCH($C1049,links!$D$2:$D$501,0))),""))</f>
        <v/>
      </c>
      <c r="I1049" s="25">
        <f>IF($C1049="","",IFERROR(IF(INDEX(links!$C$2:$C$501,MATCH($C1049,links!$D$2:$D$501,0))="","",INDEX(links!$C$2:$C$501,MATCH($C1049,links!$D$2:$D$501,0))),""))</f>
        <v/>
      </c>
      <c r="J1049" s="25">
        <f>IF($C1049="","",IF($G1049="","slug not in links; ","")&amp;IF($D1049="","reading type missing; ","")&amp;IF(COUNTIFS(scans!$C$2:$C$1601,$C1049,scans!$D$2:$D$1601,$D1049)&gt;1,"two readings of this type: keep one; ",""))</f>
        <v/>
      </c>
    </row>
    <row r="1050">
      <c r="A1050" s="9" t="n"/>
      <c r="B1050" s="33" t="n"/>
      <c r="G1050" s="25">
        <f>IF($C1050="","",IFERROR(IF(INDEX(links!$A$2:$A$501,MATCH($C1050,links!$D$2:$D$501,0))="","",INDEX(links!$A$2:$A$501,MATCH($C1050,links!$D$2:$D$501,0))),""))</f>
        <v/>
      </c>
      <c r="H1050" s="25">
        <f>IF($C1050="","",IFERROR(IF(INDEX(links!$B$2:$B$501,MATCH($C1050,links!$D$2:$D$501,0))="","",INDEX(links!$B$2:$B$501,MATCH($C1050,links!$D$2:$D$501,0))),""))</f>
        <v/>
      </c>
      <c r="I1050" s="25">
        <f>IF($C1050="","",IFERROR(IF(INDEX(links!$C$2:$C$501,MATCH($C1050,links!$D$2:$D$501,0))="","",INDEX(links!$C$2:$C$501,MATCH($C1050,links!$D$2:$D$501,0))),""))</f>
        <v/>
      </c>
      <c r="J1050" s="25">
        <f>IF($C1050="","",IF($G1050="","slug not in links; ","")&amp;IF($D1050="","reading type missing; ","")&amp;IF(COUNTIFS(scans!$C$2:$C$1601,$C1050,scans!$D$2:$D$1601,$D1050)&gt;1,"two readings of this type: keep one; ",""))</f>
        <v/>
      </c>
    </row>
    <row r="1051">
      <c r="A1051" s="9" t="n"/>
      <c r="B1051" s="33" t="n"/>
      <c r="G1051" s="25">
        <f>IF($C1051="","",IFERROR(IF(INDEX(links!$A$2:$A$501,MATCH($C1051,links!$D$2:$D$501,0))="","",INDEX(links!$A$2:$A$501,MATCH($C1051,links!$D$2:$D$501,0))),""))</f>
        <v/>
      </c>
      <c r="H1051" s="25">
        <f>IF($C1051="","",IFERROR(IF(INDEX(links!$B$2:$B$501,MATCH($C1051,links!$D$2:$D$501,0))="","",INDEX(links!$B$2:$B$501,MATCH($C1051,links!$D$2:$D$501,0))),""))</f>
        <v/>
      </c>
      <c r="I1051" s="25">
        <f>IF($C1051="","",IFERROR(IF(INDEX(links!$C$2:$C$501,MATCH($C1051,links!$D$2:$D$501,0))="","",INDEX(links!$C$2:$C$501,MATCH($C1051,links!$D$2:$D$501,0))),""))</f>
        <v/>
      </c>
      <c r="J1051" s="25">
        <f>IF($C1051="","",IF($G1051="","slug not in links; ","")&amp;IF($D1051="","reading type missing; ","")&amp;IF(COUNTIFS(scans!$C$2:$C$1601,$C1051,scans!$D$2:$D$1601,$D1051)&gt;1,"two readings of this type: keep one; ",""))</f>
        <v/>
      </c>
    </row>
    <row r="1052">
      <c r="A1052" s="9" t="n"/>
      <c r="B1052" s="33" t="n"/>
      <c r="G1052" s="25">
        <f>IF($C1052="","",IFERROR(IF(INDEX(links!$A$2:$A$501,MATCH($C1052,links!$D$2:$D$501,0))="","",INDEX(links!$A$2:$A$501,MATCH($C1052,links!$D$2:$D$501,0))),""))</f>
        <v/>
      </c>
      <c r="H1052" s="25">
        <f>IF($C1052="","",IFERROR(IF(INDEX(links!$B$2:$B$501,MATCH($C1052,links!$D$2:$D$501,0))="","",INDEX(links!$B$2:$B$501,MATCH($C1052,links!$D$2:$D$501,0))),""))</f>
        <v/>
      </c>
      <c r="I1052" s="25">
        <f>IF($C1052="","",IFERROR(IF(INDEX(links!$C$2:$C$501,MATCH($C1052,links!$D$2:$D$501,0))="","",INDEX(links!$C$2:$C$501,MATCH($C1052,links!$D$2:$D$501,0))),""))</f>
        <v/>
      </c>
      <c r="J1052" s="25">
        <f>IF($C1052="","",IF($G1052="","slug not in links; ","")&amp;IF($D1052="","reading type missing; ","")&amp;IF(COUNTIFS(scans!$C$2:$C$1601,$C1052,scans!$D$2:$D$1601,$D1052)&gt;1,"two readings of this type: keep one; ",""))</f>
        <v/>
      </c>
    </row>
    <row r="1053">
      <c r="A1053" s="9" t="n"/>
      <c r="B1053" s="33" t="n"/>
      <c r="G1053" s="25">
        <f>IF($C1053="","",IFERROR(IF(INDEX(links!$A$2:$A$501,MATCH($C1053,links!$D$2:$D$501,0))="","",INDEX(links!$A$2:$A$501,MATCH($C1053,links!$D$2:$D$501,0))),""))</f>
        <v/>
      </c>
      <c r="H1053" s="25">
        <f>IF($C1053="","",IFERROR(IF(INDEX(links!$B$2:$B$501,MATCH($C1053,links!$D$2:$D$501,0))="","",INDEX(links!$B$2:$B$501,MATCH($C1053,links!$D$2:$D$501,0))),""))</f>
        <v/>
      </c>
      <c r="I1053" s="25">
        <f>IF($C1053="","",IFERROR(IF(INDEX(links!$C$2:$C$501,MATCH($C1053,links!$D$2:$D$501,0))="","",INDEX(links!$C$2:$C$501,MATCH($C1053,links!$D$2:$D$501,0))),""))</f>
        <v/>
      </c>
      <c r="J1053" s="25">
        <f>IF($C1053="","",IF($G1053="","slug not in links; ","")&amp;IF($D1053="","reading type missing; ","")&amp;IF(COUNTIFS(scans!$C$2:$C$1601,$C1053,scans!$D$2:$D$1601,$D1053)&gt;1,"two readings of this type: keep one; ",""))</f>
        <v/>
      </c>
    </row>
    <row r="1054">
      <c r="A1054" s="9" t="n"/>
      <c r="B1054" s="33" t="n"/>
      <c r="G1054" s="25">
        <f>IF($C1054="","",IFERROR(IF(INDEX(links!$A$2:$A$501,MATCH($C1054,links!$D$2:$D$501,0))="","",INDEX(links!$A$2:$A$501,MATCH($C1054,links!$D$2:$D$501,0))),""))</f>
        <v/>
      </c>
      <c r="H1054" s="25">
        <f>IF($C1054="","",IFERROR(IF(INDEX(links!$B$2:$B$501,MATCH($C1054,links!$D$2:$D$501,0))="","",INDEX(links!$B$2:$B$501,MATCH($C1054,links!$D$2:$D$501,0))),""))</f>
        <v/>
      </c>
      <c r="I1054" s="25">
        <f>IF($C1054="","",IFERROR(IF(INDEX(links!$C$2:$C$501,MATCH($C1054,links!$D$2:$D$501,0))="","",INDEX(links!$C$2:$C$501,MATCH($C1054,links!$D$2:$D$501,0))),""))</f>
        <v/>
      </c>
      <c r="J1054" s="25">
        <f>IF($C1054="","",IF($G1054="","slug not in links; ","")&amp;IF($D1054="","reading type missing; ","")&amp;IF(COUNTIFS(scans!$C$2:$C$1601,$C1054,scans!$D$2:$D$1601,$D1054)&gt;1,"two readings of this type: keep one; ",""))</f>
        <v/>
      </c>
    </row>
    <row r="1055">
      <c r="A1055" s="9" t="n"/>
      <c r="B1055" s="33" t="n"/>
      <c r="G1055" s="25">
        <f>IF($C1055="","",IFERROR(IF(INDEX(links!$A$2:$A$501,MATCH($C1055,links!$D$2:$D$501,0))="","",INDEX(links!$A$2:$A$501,MATCH($C1055,links!$D$2:$D$501,0))),""))</f>
        <v/>
      </c>
      <c r="H1055" s="25">
        <f>IF($C1055="","",IFERROR(IF(INDEX(links!$B$2:$B$501,MATCH($C1055,links!$D$2:$D$501,0))="","",INDEX(links!$B$2:$B$501,MATCH($C1055,links!$D$2:$D$501,0))),""))</f>
        <v/>
      </c>
      <c r="I1055" s="25">
        <f>IF($C1055="","",IFERROR(IF(INDEX(links!$C$2:$C$501,MATCH($C1055,links!$D$2:$D$501,0))="","",INDEX(links!$C$2:$C$501,MATCH($C1055,links!$D$2:$D$501,0))),""))</f>
        <v/>
      </c>
      <c r="J1055" s="25">
        <f>IF($C1055="","",IF($G1055="","slug not in links; ","")&amp;IF($D1055="","reading type missing; ","")&amp;IF(COUNTIFS(scans!$C$2:$C$1601,$C1055,scans!$D$2:$D$1601,$D1055)&gt;1,"two readings of this type: keep one; ",""))</f>
        <v/>
      </c>
    </row>
    <row r="1056">
      <c r="A1056" s="9" t="n"/>
      <c r="B1056" s="33" t="n"/>
      <c r="G1056" s="25">
        <f>IF($C1056="","",IFERROR(IF(INDEX(links!$A$2:$A$501,MATCH($C1056,links!$D$2:$D$501,0))="","",INDEX(links!$A$2:$A$501,MATCH($C1056,links!$D$2:$D$501,0))),""))</f>
        <v/>
      </c>
      <c r="H1056" s="25">
        <f>IF($C1056="","",IFERROR(IF(INDEX(links!$B$2:$B$501,MATCH($C1056,links!$D$2:$D$501,0))="","",INDEX(links!$B$2:$B$501,MATCH($C1056,links!$D$2:$D$501,0))),""))</f>
        <v/>
      </c>
      <c r="I1056" s="25">
        <f>IF($C1056="","",IFERROR(IF(INDEX(links!$C$2:$C$501,MATCH($C1056,links!$D$2:$D$501,0))="","",INDEX(links!$C$2:$C$501,MATCH($C1056,links!$D$2:$D$501,0))),""))</f>
        <v/>
      </c>
      <c r="J1056" s="25">
        <f>IF($C1056="","",IF($G1056="","slug not in links; ","")&amp;IF($D1056="","reading type missing; ","")&amp;IF(COUNTIFS(scans!$C$2:$C$1601,$C1056,scans!$D$2:$D$1601,$D1056)&gt;1,"two readings of this type: keep one; ",""))</f>
        <v/>
      </c>
    </row>
    <row r="1057">
      <c r="A1057" s="9" t="n"/>
      <c r="B1057" s="33" t="n"/>
      <c r="G1057" s="25">
        <f>IF($C1057="","",IFERROR(IF(INDEX(links!$A$2:$A$501,MATCH($C1057,links!$D$2:$D$501,0))="","",INDEX(links!$A$2:$A$501,MATCH($C1057,links!$D$2:$D$501,0))),""))</f>
        <v/>
      </c>
      <c r="H1057" s="25">
        <f>IF($C1057="","",IFERROR(IF(INDEX(links!$B$2:$B$501,MATCH($C1057,links!$D$2:$D$501,0))="","",INDEX(links!$B$2:$B$501,MATCH($C1057,links!$D$2:$D$501,0))),""))</f>
        <v/>
      </c>
      <c r="I1057" s="25">
        <f>IF($C1057="","",IFERROR(IF(INDEX(links!$C$2:$C$501,MATCH($C1057,links!$D$2:$D$501,0))="","",INDEX(links!$C$2:$C$501,MATCH($C1057,links!$D$2:$D$501,0))),""))</f>
        <v/>
      </c>
      <c r="J1057" s="25">
        <f>IF($C1057="","",IF($G1057="","slug not in links; ","")&amp;IF($D1057="","reading type missing; ","")&amp;IF(COUNTIFS(scans!$C$2:$C$1601,$C1057,scans!$D$2:$D$1601,$D1057)&gt;1,"two readings of this type: keep one; ",""))</f>
        <v/>
      </c>
    </row>
    <row r="1058">
      <c r="A1058" s="9" t="n"/>
      <c r="B1058" s="33" t="n"/>
      <c r="G1058" s="25">
        <f>IF($C1058="","",IFERROR(IF(INDEX(links!$A$2:$A$501,MATCH($C1058,links!$D$2:$D$501,0))="","",INDEX(links!$A$2:$A$501,MATCH($C1058,links!$D$2:$D$501,0))),""))</f>
        <v/>
      </c>
      <c r="H1058" s="25">
        <f>IF($C1058="","",IFERROR(IF(INDEX(links!$B$2:$B$501,MATCH($C1058,links!$D$2:$D$501,0))="","",INDEX(links!$B$2:$B$501,MATCH($C1058,links!$D$2:$D$501,0))),""))</f>
        <v/>
      </c>
      <c r="I1058" s="25">
        <f>IF($C1058="","",IFERROR(IF(INDEX(links!$C$2:$C$501,MATCH($C1058,links!$D$2:$D$501,0))="","",INDEX(links!$C$2:$C$501,MATCH($C1058,links!$D$2:$D$501,0))),""))</f>
        <v/>
      </c>
      <c r="J1058" s="25">
        <f>IF($C1058="","",IF($G1058="","slug not in links; ","")&amp;IF($D1058="","reading type missing; ","")&amp;IF(COUNTIFS(scans!$C$2:$C$1601,$C1058,scans!$D$2:$D$1601,$D1058)&gt;1,"two readings of this type: keep one; ",""))</f>
        <v/>
      </c>
    </row>
    <row r="1059">
      <c r="A1059" s="9" t="n"/>
      <c r="B1059" s="33" t="n"/>
      <c r="G1059" s="25">
        <f>IF($C1059="","",IFERROR(IF(INDEX(links!$A$2:$A$501,MATCH($C1059,links!$D$2:$D$501,0))="","",INDEX(links!$A$2:$A$501,MATCH($C1059,links!$D$2:$D$501,0))),""))</f>
        <v/>
      </c>
      <c r="H1059" s="25">
        <f>IF($C1059="","",IFERROR(IF(INDEX(links!$B$2:$B$501,MATCH($C1059,links!$D$2:$D$501,0))="","",INDEX(links!$B$2:$B$501,MATCH($C1059,links!$D$2:$D$501,0))),""))</f>
        <v/>
      </c>
      <c r="I1059" s="25">
        <f>IF($C1059="","",IFERROR(IF(INDEX(links!$C$2:$C$501,MATCH($C1059,links!$D$2:$D$501,0))="","",INDEX(links!$C$2:$C$501,MATCH($C1059,links!$D$2:$D$501,0))),""))</f>
        <v/>
      </c>
      <c r="J1059" s="25">
        <f>IF($C1059="","",IF($G1059="","slug not in links; ","")&amp;IF($D1059="","reading type missing; ","")&amp;IF(COUNTIFS(scans!$C$2:$C$1601,$C1059,scans!$D$2:$D$1601,$D1059)&gt;1,"two readings of this type: keep one; ",""))</f>
        <v/>
      </c>
    </row>
    <row r="1060">
      <c r="A1060" s="9" t="n"/>
      <c r="B1060" s="33" t="n"/>
      <c r="G1060" s="25">
        <f>IF($C1060="","",IFERROR(IF(INDEX(links!$A$2:$A$501,MATCH($C1060,links!$D$2:$D$501,0))="","",INDEX(links!$A$2:$A$501,MATCH($C1060,links!$D$2:$D$501,0))),""))</f>
        <v/>
      </c>
      <c r="H1060" s="25">
        <f>IF($C1060="","",IFERROR(IF(INDEX(links!$B$2:$B$501,MATCH($C1060,links!$D$2:$D$501,0))="","",INDEX(links!$B$2:$B$501,MATCH($C1060,links!$D$2:$D$501,0))),""))</f>
        <v/>
      </c>
      <c r="I1060" s="25">
        <f>IF($C1060="","",IFERROR(IF(INDEX(links!$C$2:$C$501,MATCH($C1060,links!$D$2:$D$501,0))="","",INDEX(links!$C$2:$C$501,MATCH($C1060,links!$D$2:$D$501,0))),""))</f>
        <v/>
      </c>
      <c r="J1060" s="25">
        <f>IF($C1060="","",IF($G1060="","slug not in links; ","")&amp;IF($D1060="","reading type missing; ","")&amp;IF(COUNTIFS(scans!$C$2:$C$1601,$C1060,scans!$D$2:$D$1601,$D1060)&gt;1,"two readings of this type: keep one; ",""))</f>
        <v/>
      </c>
    </row>
    <row r="1061">
      <c r="A1061" s="9" t="n"/>
      <c r="B1061" s="33" t="n"/>
      <c r="G1061" s="25">
        <f>IF($C1061="","",IFERROR(IF(INDEX(links!$A$2:$A$501,MATCH($C1061,links!$D$2:$D$501,0))="","",INDEX(links!$A$2:$A$501,MATCH($C1061,links!$D$2:$D$501,0))),""))</f>
        <v/>
      </c>
      <c r="H1061" s="25">
        <f>IF($C1061="","",IFERROR(IF(INDEX(links!$B$2:$B$501,MATCH($C1061,links!$D$2:$D$501,0))="","",INDEX(links!$B$2:$B$501,MATCH($C1061,links!$D$2:$D$501,0))),""))</f>
        <v/>
      </c>
      <c r="I1061" s="25">
        <f>IF($C1061="","",IFERROR(IF(INDEX(links!$C$2:$C$501,MATCH($C1061,links!$D$2:$D$501,0))="","",INDEX(links!$C$2:$C$501,MATCH($C1061,links!$D$2:$D$501,0))),""))</f>
        <v/>
      </c>
      <c r="J1061" s="25">
        <f>IF($C1061="","",IF($G1061="","slug not in links; ","")&amp;IF($D1061="","reading type missing; ","")&amp;IF(COUNTIFS(scans!$C$2:$C$1601,$C1061,scans!$D$2:$D$1601,$D1061)&gt;1,"two readings of this type: keep one; ",""))</f>
        <v/>
      </c>
    </row>
    <row r="1062">
      <c r="A1062" s="9" t="n"/>
      <c r="B1062" s="33" t="n"/>
      <c r="G1062" s="25">
        <f>IF($C1062="","",IFERROR(IF(INDEX(links!$A$2:$A$501,MATCH($C1062,links!$D$2:$D$501,0))="","",INDEX(links!$A$2:$A$501,MATCH($C1062,links!$D$2:$D$501,0))),""))</f>
        <v/>
      </c>
      <c r="H1062" s="25">
        <f>IF($C1062="","",IFERROR(IF(INDEX(links!$B$2:$B$501,MATCH($C1062,links!$D$2:$D$501,0))="","",INDEX(links!$B$2:$B$501,MATCH($C1062,links!$D$2:$D$501,0))),""))</f>
        <v/>
      </c>
      <c r="I1062" s="25">
        <f>IF($C1062="","",IFERROR(IF(INDEX(links!$C$2:$C$501,MATCH($C1062,links!$D$2:$D$501,0))="","",INDEX(links!$C$2:$C$501,MATCH($C1062,links!$D$2:$D$501,0))),""))</f>
        <v/>
      </c>
      <c r="J1062" s="25">
        <f>IF($C1062="","",IF($G1062="","slug not in links; ","")&amp;IF($D1062="","reading type missing; ","")&amp;IF(COUNTIFS(scans!$C$2:$C$1601,$C1062,scans!$D$2:$D$1601,$D1062)&gt;1,"two readings of this type: keep one; ",""))</f>
        <v/>
      </c>
    </row>
    <row r="1063">
      <c r="A1063" s="9" t="n"/>
      <c r="B1063" s="33" t="n"/>
      <c r="G1063" s="25">
        <f>IF($C1063="","",IFERROR(IF(INDEX(links!$A$2:$A$501,MATCH($C1063,links!$D$2:$D$501,0))="","",INDEX(links!$A$2:$A$501,MATCH($C1063,links!$D$2:$D$501,0))),""))</f>
        <v/>
      </c>
      <c r="H1063" s="25">
        <f>IF($C1063="","",IFERROR(IF(INDEX(links!$B$2:$B$501,MATCH($C1063,links!$D$2:$D$501,0))="","",INDEX(links!$B$2:$B$501,MATCH($C1063,links!$D$2:$D$501,0))),""))</f>
        <v/>
      </c>
      <c r="I1063" s="25">
        <f>IF($C1063="","",IFERROR(IF(INDEX(links!$C$2:$C$501,MATCH($C1063,links!$D$2:$D$501,0))="","",INDEX(links!$C$2:$C$501,MATCH($C1063,links!$D$2:$D$501,0))),""))</f>
        <v/>
      </c>
      <c r="J1063" s="25">
        <f>IF($C1063="","",IF($G1063="","slug not in links; ","")&amp;IF($D1063="","reading type missing; ","")&amp;IF(COUNTIFS(scans!$C$2:$C$1601,$C1063,scans!$D$2:$D$1601,$D1063)&gt;1,"two readings of this type: keep one; ",""))</f>
        <v/>
      </c>
    </row>
    <row r="1064">
      <c r="A1064" s="9" t="n"/>
      <c r="B1064" s="33" t="n"/>
      <c r="G1064" s="25">
        <f>IF($C1064="","",IFERROR(IF(INDEX(links!$A$2:$A$501,MATCH($C1064,links!$D$2:$D$501,0))="","",INDEX(links!$A$2:$A$501,MATCH($C1064,links!$D$2:$D$501,0))),""))</f>
        <v/>
      </c>
      <c r="H1064" s="25">
        <f>IF($C1064="","",IFERROR(IF(INDEX(links!$B$2:$B$501,MATCH($C1064,links!$D$2:$D$501,0))="","",INDEX(links!$B$2:$B$501,MATCH($C1064,links!$D$2:$D$501,0))),""))</f>
        <v/>
      </c>
      <c r="I1064" s="25">
        <f>IF($C1064="","",IFERROR(IF(INDEX(links!$C$2:$C$501,MATCH($C1064,links!$D$2:$D$501,0))="","",INDEX(links!$C$2:$C$501,MATCH($C1064,links!$D$2:$D$501,0))),""))</f>
        <v/>
      </c>
      <c r="J1064" s="25">
        <f>IF($C1064="","",IF($G1064="","slug not in links; ","")&amp;IF($D1064="","reading type missing; ","")&amp;IF(COUNTIFS(scans!$C$2:$C$1601,$C1064,scans!$D$2:$D$1601,$D1064)&gt;1,"two readings of this type: keep one; ",""))</f>
        <v/>
      </c>
    </row>
    <row r="1065">
      <c r="A1065" s="9" t="n"/>
      <c r="B1065" s="33" t="n"/>
      <c r="G1065" s="25">
        <f>IF($C1065="","",IFERROR(IF(INDEX(links!$A$2:$A$501,MATCH($C1065,links!$D$2:$D$501,0))="","",INDEX(links!$A$2:$A$501,MATCH($C1065,links!$D$2:$D$501,0))),""))</f>
        <v/>
      </c>
      <c r="H1065" s="25">
        <f>IF($C1065="","",IFERROR(IF(INDEX(links!$B$2:$B$501,MATCH($C1065,links!$D$2:$D$501,0))="","",INDEX(links!$B$2:$B$501,MATCH($C1065,links!$D$2:$D$501,0))),""))</f>
        <v/>
      </c>
      <c r="I1065" s="25">
        <f>IF($C1065="","",IFERROR(IF(INDEX(links!$C$2:$C$501,MATCH($C1065,links!$D$2:$D$501,0))="","",INDEX(links!$C$2:$C$501,MATCH($C1065,links!$D$2:$D$501,0))),""))</f>
        <v/>
      </c>
      <c r="J1065" s="25">
        <f>IF($C1065="","",IF($G1065="","slug not in links; ","")&amp;IF($D1065="","reading type missing; ","")&amp;IF(COUNTIFS(scans!$C$2:$C$1601,$C1065,scans!$D$2:$D$1601,$D1065)&gt;1,"two readings of this type: keep one; ",""))</f>
        <v/>
      </c>
    </row>
    <row r="1066">
      <c r="A1066" s="9" t="n"/>
      <c r="B1066" s="33" t="n"/>
      <c r="G1066" s="25">
        <f>IF($C1066="","",IFERROR(IF(INDEX(links!$A$2:$A$501,MATCH($C1066,links!$D$2:$D$501,0))="","",INDEX(links!$A$2:$A$501,MATCH($C1066,links!$D$2:$D$501,0))),""))</f>
        <v/>
      </c>
      <c r="H1066" s="25">
        <f>IF($C1066="","",IFERROR(IF(INDEX(links!$B$2:$B$501,MATCH($C1066,links!$D$2:$D$501,0))="","",INDEX(links!$B$2:$B$501,MATCH($C1066,links!$D$2:$D$501,0))),""))</f>
        <v/>
      </c>
      <c r="I1066" s="25">
        <f>IF($C1066="","",IFERROR(IF(INDEX(links!$C$2:$C$501,MATCH($C1066,links!$D$2:$D$501,0))="","",INDEX(links!$C$2:$C$501,MATCH($C1066,links!$D$2:$D$501,0))),""))</f>
        <v/>
      </c>
      <c r="J1066" s="25">
        <f>IF($C1066="","",IF($G1066="","slug not in links; ","")&amp;IF($D1066="","reading type missing; ","")&amp;IF(COUNTIFS(scans!$C$2:$C$1601,$C1066,scans!$D$2:$D$1601,$D1066)&gt;1,"two readings of this type: keep one; ",""))</f>
        <v/>
      </c>
    </row>
    <row r="1067">
      <c r="A1067" s="9" t="n"/>
      <c r="B1067" s="33" t="n"/>
      <c r="G1067" s="25">
        <f>IF($C1067="","",IFERROR(IF(INDEX(links!$A$2:$A$501,MATCH($C1067,links!$D$2:$D$501,0))="","",INDEX(links!$A$2:$A$501,MATCH($C1067,links!$D$2:$D$501,0))),""))</f>
        <v/>
      </c>
      <c r="H1067" s="25">
        <f>IF($C1067="","",IFERROR(IF(INDEX(links!$B$2:$B$501,MATCH($C1067,links!$D$2:$D$501,0))="","",INDEX(links!$B$2:$B$501,MATCH($C1067,links!$D$2:$D$501,0))),""))</f>
        <v/>
      </c>
      <c r="I1067" s="25">
        <f>IF($C1067="","",IFERROR(IF(INDEX(links!$C$2:$C$501,MATCH($C1067,links!$D$2:$D$501,0))="","",INDEX(links!$C$2:$C$501,MATCH($C1067,links!$D$2:$D$501,0))),""))</f>
        <v/>
      </c>
      <c r="J1067" s="25">
        <f>IF($C1067="","",IF($G1067="","slug not in links; ","")&amp;IF($D1067="","reading type missing; ","")&amp;IF(COUNTIFS(scans!$C$2:$C$1601,$C1067,scans!$D$2:$D$1601,$D1067)&gt;1,"two readings of this type: keep one; ",""))</f>
        <v/>
      </c>
    </row>
    <row r="1068">
      <c r="A1068" s="9" t="n"/>
      <c r="B1068" s="33" t="n"/>
      <c r="G1068" s="25">
        <f>IF($C1068="","",IFERROR(IF(INDEX(links!$A$2:$A$501,MATCH($C1068,links!$D$2:$D$501,0))="","",INDEX(links!$A$2:$A$501,MATCH($C1068,links!$D$2:$D$501,0))),""))</f>
        <v/>
      </c>
      <c r="H1068" s="25">
        <f>IF($C1068="","",IFERROR(IF(INDEX(links!$B$2:$B$501,MATCH($C1068,links!$D$2:$D$501,0))="","",INDEX(links!$B$2:$B$501,MATCH($C1068,links!$D$2:$D$501,0))),""))</f>
        <v/>
      </c>
      <c r="I1068" s="25">
        <f>IF($C1068="","",IFERROR(IF(INDEX(links!$C$2:$C$501,MATCH($C1068,links!$D$2:$D$501,0))="","",INDEX(links!$C$2:$C$501,MATCH($C1068,links!$D$2:$D$501,0))),""))</f>
        <v/>
      </c>
      <c r="J1068" s="25">
        <f>IF($C1068="","",IF($G1068="","slug not in links; ","")&amp;IF($D1068="","reading type missing; ","")&amp;IF(COUNTIFS(scans!$C$2:$C$1601,$C1068,scans!$D$2:$D$1601,$D1068)&gt;1,"two readings of this type: keep one; ",""))</f>
        <v/>
      </c>
    </row>
    <row r="1069">
      <c r="A1069" s="9" t="n"/>
      <c r="B1069" s="33" t="n"/>
      <c r="G1069" s="25">
        <f>IF($C1069="","",IFERROR(IF(INDEX(links!$A$2:$A$501,MATCH($C1069,links!$D$2:$D$501,0))="","",INDEX(links!$A$2:$A$501,MATCH($C1069,links!$D$2:$D$501,0))),""))</f>
        <v/>
      </c>
      <c r="H1069" s="25">
        <f>IF($C1069="","",IFERROR(IF(INDEX(links!$B$2:$B$501,MATCH($C1069,links!$D$2:$D$501,0))="","",INDEX(links!$B$2:$B$501,MATCH($C1069,links!$D$2:$D$501,0))),""))</f>
        <v/>
      </c>
      <c r="I1069" s="25">
        <f>IF($C1069="","",IFERROR(IF(INDEX(links!$C$2:$C$501,MATCH($C1069,links!$D$2:$D$501,0))="","",INDEX(links!$C$2:$C$501,MATCH($C1069,links!$D$2:$D$501,0))),""))</f>
        <v/>
      </c>
      <c r="J1069" s="25">
        <f>IF($C1069="","",IF($G1069="","slug not in links; ","")&amp;IF($D1069="","reading type missing; ","")&amp;IF(COUNTIFS(scans!$C$2:$C$1601,$C1069,scans!$D$2:$D$1601,$D1069)&gt;1,"two readings of this type: keep one; ",""))</f>
        <v/>
      </c>
    </row>
    <row r="1070">
      <c r="A1070" s="9" t="n"/>
      <c r="B1070" s="33" t="n"/>
      <c r="G1070" s="25">
        <f>IF($C1070="","",IFERROR(IF(INDEX(links!$A$2:$A$501,MATCH($C1070,links!$D$2:$D$501,0))="","",INDEX(links!$A$2:$A$501,MATCH($C1070,links!$D$2:$D$501,0))),""))</f>
        <v/>
      </c>
      <c r="H1070" s="25">
        <f>IF($C1070="","",IFERROR(IF(INDEX(links!$B$2:$B$501,MATCH($C1070,links!$D$2:$D$501,0))="","",INDEX(links!$B$2:$B$501,MATCH($C1070,links!$D$2:$D$501,0))),""))</f>
        <v/>
      </c>
      <c r="I1070" s="25">
        <f>IF($C1070="","",IFERROR(IF(INDEX(links!$C$2:$C$501,MATCH($C1070,links!$D$2:$D$501,0))="","",INDEX(links!$C$2:$C$501,MATCH($C1070,links!$D$2:$D$501,0))),""))</f>
        <v/>
      </c>
      <c r="J1070" s="25">
        <f>IF($C1070="","",IF($G1070="","slug not in links; ","")&amp;IF($D1070="","reading type missing; ","")&amp;IF(COUNTIFS(scans!$C$2:$C$1601,$C1070,scans!$D$2:$D$1601,$D1070)&gt;1,"two readings of this type: keep one; ",""))</f>
        <v/>
      </c>
    </row>
    <row r="1071">
      <c r="A1071" s="9" t="n"/>
      <c r="B1071" s="33" t="n"/>
      <c r="G1071" s="25">
        <f>IF($C1071="","",IFERROR(IF(INDEX(links!$A$2:$A$501,MATCH($C1071,links!$D$2:$D$501,0))="","",INDEX(links!$A$2:$A$501,MATCH($C1071,links!$D$2:$D$501,0))),""))</f>
        <v/>
      </c>
      <c r="H1071" s="25">
        <f>IF($C1071="","",IFERROR(IF(INDEX(links!$B$2:$B$501,MATCH($C1071,links!$D$2:$D$501,0))="","",INDEX(links!$B$2:$B$501,MATCH($C1071,links!$D$2:$D$501,0))),""))</f>
        <v/>
      </c>
      <c r="I1071" s="25">
        <f>IF($C1071="","",IFERROR(IF(INDEX(links!$C$2:$C$501,MATCH($C1071,links!$D$2:$D$501,0))="","",INDEX(links!$C$2:$C$501,MATCH($C1071,links!$D$2:$D$501,0))),""))</f>
        <v/>
      </c>
      <c r="J1071" s="25">
        <f>IF($C1071="","",IF($G1071="","slug not in links; ","")&amp;IF($D1071="","reading type missing; ","")&amp;IF(COUNTIFS(scans!$C$2:$C$1601,$C1071,scans!$D$2:$D$1601,$D1071)&gt;1,"two readings of this type: keep one; ",""))</f>
        <v/>
      </c>
    </row>
    <row r="1072">
      <c r="A1072" s="9" t="n"/>
      <c r="B1072" s="33" t="n"/>
      <c r="G1072" s="25">
        <f>IF($C1072="","",IFERROR(IF(INDEX(links!$A$2:$A$501,MATCH($C1072,links!$D$2:$D$501,0))="","",INDEX(links!$A$2:$A$501,MATCH($C1072,links!$D$2:$D$501,0))),""))</f>
        <v/>
      </c>
      <c r="H1072" s="25">
        <f>IF($C1072="","",IFERROR(IF(INDEX(links!$B$2:$B$501,MATCH($C1072,links!$D$2:$D$501,0))="","",INDEX(links!$B$2:$B$501,MATCH($C1072,links!$D$2:$D$501,0))),""))</f>
        <v/>
      </c>
      <c r="I1072" s="25">
        <f>IF($C1072="","",IFERROR(IF(INDEX(links!$C$2:$C$501,MATCH($C1072,links!$D$2:$D$501,0))="","",INDEX(links!$C$2:$C$501,MATCH($C1072,links!$D$2:$D$501,0))),""))</f>
        <v/>
      </c>
      <c r="J1072" s="25">
        <f>IF($C1072="","",IF($G1072="","slug not in links; ","")&amp;IF($D1072="","reading type missing; ","")&amp;IF(COUNTIFS(scans!$C$2:$C$1601,$C1072,scans!$D$2:$D$1601,$D1072)&gt;1,"two readings of this type: keep one; ",""))</f>
        <v/>
      </c>
    </row>
    <row r="1073">
      <c r="A1073" s="9" t="n"/>
      <c r="B1073" s="33" t="n"/>
      <c r="G1073" s="25">
        <f>IF($C1073="","",IFERROR(IF(INDEX(links!$A$2:$A$501,MATCH($C1073,links!$D$2:$D$501,0))="","",INDEX(links!$A$2:$A$501,MATCH($C1073,links!$D$2:$D$501,0))),""))</f>
        <v/>
      </c>
      <c r="H1073" s="25">
        <f>IF($C1073="","",IFERROR(IF(INDEX(links!$B$2:$B$501,MATCH($C1073,links!$D$2:$D$501,0))="","",INDEX(links!$B$2:$B$501,MATCH($C1073,links!$D$2:$D$501,0))),""))</f>
        <v/>
      </c>
      <c r="I1073" s="25">
        <f>IF($C1073="","",IFERROR(IF(INDEX(links!$C$2:$C$501,MATCH($C1073,links!$D$2:$D$501,0))="","",INDEX(links!$C$2:$C$501,MATCH($C1073,links!$D$2:$D$501,0))),""))</f>
        <v/>
      </c>
      <c r="J1073" s="25">
        <f>IF($C1073="","",IF($G1073="","slug not in links; ","")&amp;IF($D1073="","reading type missing; ","")&amp;IF(COUNTIFS(scans!$C$2:$C$1601,$C1073,scans!$D$2:$D$1601,$D1073)&gt;1,"two readings of this type: keep one; ",""))</f>
        <v/>
      </c>
    </row>
    <row r="1074">
      <c r="A1074" s="9" t="n"/>
      <c r="B1074" s="33" t="n"/>
      <c r="G1074" s="25">
        <f>IF($C1074="","",IFERROR(IF(INDEX(links!$A$2:$A$501,MATCH($C1074,links!$D$2:$D$501,0))="","",INDEX(links!$A$2:$A$501,MATCH($C1074,links!$D$2:$D$501,0))),""))</f>
        <v/>
      </c>
      <c r="H1074" s="25">
        <f>IF($C1074="","",IFERROR(IF(INDEX(links!$B$2:$B$501,MATCH($C1074,links!$D$2:$D$501,0))="","",INDEX(links!$B$2:$B$501,MATCH($C1074,links!$D$2:$D$501,0))),""))</f>
        <v/>
      </c>
      <c r="I1074" s="25">
        <f>IF($C1074="","",IFERROR(IF(INDEX(links!$C$2:$C$501,MATCH($C1074,links!$D$2:$D$501,0))="","",INDEX(links!$C$2:$C$501,MATCH($C1074,links!$D$2:$D$501,0))),""))</f>
        <v/>
      </c>
      <c r="J1074" s="25">
        <f>IF($C1074="","",IF($G1074="","slug not in links; ","")&amp;IF($D1074="","reading type missing; ","")&amp;IF(COUNTIFS(scans!$C$2:$C$1601,$C1074,scans!$D$2:$D$1601,$D1074)&gt;1,"two readings of this type: keep one; ",""))</f>
        <v/>
      </c>
    </row>
    <row r="1075">
      <c r="A1075" s="9" t="n"/>
      <c r="B1075" s="33" t="n"/>
      <c r="G1075" s="25">
        <f>IF($C1075="","",IFERROR(IF(INDEX(links!$A$2:$A$501,MATCH($C1075,links!$D$2:$D$501,0))="","",INDEX(links!$A$2:$A$501,MATCH($C1075,links!$D$2:$D$501,0))),""))</f>
        <v/>
      </c>
      <c r="H1075" s="25">
        <f>IF($C1075="","",IFERROR(IF(INDEX(links!$B$2:$B$501,MATCH($C1075,links!$D$2:$D$501,0))="","",INDEX(links!$B$2:$B$501,MATCH($C1075,links!$D$2:$D$501,0))),""))</f>
        <v/>
      </c>
      <c r="I1075" s="25">
        <f>IF($C1075="","",IFERROR(IF(INDEX(links!$C$2:$C$501,MATCH($C1075,links!$D$2:$D$501,0))="","",INDEX(links!$C$2:$C$501,MATCH($C1075,links!$D$2:$D$501,0))),""))</f>
        <v/>
      </c>
      <c r="J1075" s="25">
        <f>IF($C1075="","",IF($G1075="","slug not in links; ","")&amp;IF($D1075="","reading type missing; ","")&amp;IF(COUNTIFS(scans!$C$2:$C$1601,$C1075,scans!$D$2:$D$1601,$D1075)&gt;1,"two readings of this type: keep one; ",""))</f>
        <v/>
      </c>
    </row>
    <row r="1076">
      <c r="A1076" s="9" t="n"/>
      <c r="B1076" s="33" t="n"/>
      <c r="G1076" s="25">
        <f>IF($C1076="","",IFERROR(IF(INDEX(links!$A$2:$A$501,MATCH($C1076,links!$D$2:$D$501,0))="","",INDEX(links!$A$2:$A$501,MATCH($C1076,links!$D$2:$D$501,0))),""))</f>
        <v/>
      </c>
      <c r="H1076" s="25">
        <f>IF($C1076="","",IFERROR(IF(INDEX(links!$B$2:$B$501,MATCH($C1076,links!$D$2:$D$501,0))="","",INDEX(links!$B$2:$B$501,MATCH($C1076,links!$D$2:$D$501,0))),""))</f>
        <v/>
      </c>
      <c r="I1076" s="25">
        <f>IF($C1076="","",IFERROR(IF(INDEX(links!$C$2:$C$501,MATCH($C1076,links!$D$2:$D$501,0))="","",INDEX(links!$C$2:$C$501,MATCH($C1076,links!$D$2:$D$501,0))),""))</f>
        <v/>
      </c>
      <c r="J1076" s="25">
        <f>IF($C1076="","",IF($G1076="","slug not in links; ","")&amp;IF($D1076="","reading type missing; ","")&amp;IF(COUNTIFS(scans!$C$2:$C$1601,$C1076,scans!$D$2:$D$1601,$D1076)&gt;1,"two readings of this type: keep one; ",""))</f>
        <v/>
      </c>
    </row>
    <row r="1077">
      <c r="A1077" s="9" t="n"/>
      <c r="B1077" s="33" t="n"/>
      <c r="G1077" s="25">
        <f>IF($C1077="","",IFERROR(IF(INDEX(links!$A$2:$A$501,MATCH($C1077,links!$D$2:$D$501,0))="","",INDEX(links!$A$2:$A$501,MATCH($C1077,links!$D$2:$D$501,0))),""))</f>
        <v/>
      </c>
      <c r="H1077" s="25">
        <f>IF($C1077="","",IFERROR(IF(INDEX(links!$B$2:$B$501,MATCH($C1077,links!$D$2:$D$501,0))="","",INDEX(links!$B$2:$B$501,MATCH($C1077,links!$D$2:$D$501,0))),""))</f>
        <v/>
      </c>
      <c r="I1077" s="25">
        <f>IF($C1077="","",IFERROR(IF(INDEX(links!$C$2:$C$501,MATCH($C1077,links!$D$2:$D$501,0))="","",INDEX(links!$C$2:$C$501,MATCH($C1077,links!$D$2:$D$501,0))),""))</f>
        <v/>
      </c>
      <c r="J1077" s="25">
        <f>IF($C1077="","",IF($G1077="","slug not in links; ","")&amp;IF($D1077="","reading type missing; ","")&amp;IF(COUNTIFS(scans!$C$2:$C$1601,$C1077,scans!$D$2:$D$1601,$D1077)&gt;1,"two readings of this type: keep one; ",""))</f>
        <v/>
      </c>
    </row>
    <row r="1078">
      <c r="A1078" s="9" t="n"/>
      <c r="B1078" s="33" t="n"/>
      <c r="G1078" s="25">
        <f>IF($C1078="","",IFERROR(IF(INDEX(links!$A$2:$A$501,MATCH($C1078,links!$D$2:$D$501,0))="","",INDEX(links!$A$2:$A$501,MATCH($C1078,links!$D$2:$D$501,0))),""))</f>
        <v/>
      </c>
      <c r="H1078" s="25">
        <f>IF($C1078="","",IFERROR(IF(INDEX(links!$B$2:$B$501,MATCH($C1078,links!$D$2:$D$501,0))="","",INDEX(links!$B$2:$B$501,MATCH($C1078,links!$D$2:$D$501,0))),""))</f>
        <v/>
      </c>
      <c r="I1078" s="25">
        <f>IF($C1078="","",IFERROR(IF(INDEX(links!$C$2:$C$501,MATCH($C1078,links!$D$2:$D$501,0))="","",INDEX(links!$C$2:$C$501,MATCH($C1078,links!$D$2:$D$501,0))),""))</f>
        <v/>
      </c>
      <c r="J1078" s="25">
        <f>IF($C1078="","",IF($G1078="","slug not in links; ","")&amp;IF($D1078="","reading type missing; ","")&amp;IF(COUNTIFS(scans!$C$2:$C$1601,$C1078,scans!$D$2:$D$1601,$D1078)&gt;1,"two readings of this type: keep one; ",""))</f>
        <v/>
      </c>
    </row>
    <row r="1079">
      <c r="A1079" s="9" t="n"/>
      <c r="B1079" s="33" t="n"/>
      <c r="G1079" s="25">
        <f>IF($C1079="","",IFERROR(IF(INDEX(links!$A$2:$A$501,MATCH($C1079,links!$D$2:$D$501,0))="","",INDEX(links!$A$2:$A$501,MATCH($C1079,links!$D$2:$D$501,0))),""))</f>
        <v/>
      </c>
      <c r="H1079" s="25">
        <f>IF($C1079="","",IFERROR(IF(INDEX(links!$B$2:$B$501,MATCH($C1079,links!$D$2:$D$501,0))="","",INDEX(links!$B$2:$B$501,MATCH($C1079,links!$D$2:$D$501,0))),""))</f>
        <v/>
      </c>
      <c r="I1079" s="25">
        <f>IF($C1079="","",IFERROR(IF(INDEX(links!$C$2:$C$501,MATCH($C1079,links!$D$2:$D$501,0))="","",INDEX(links!$C$2:$C$501,MATCH($C1079,links!$D$2:$D$501,0))),""))</f>
        <v/>
      </c>
      <c r="J1079" s="25">
        <f>IF($C1079="","",IF($G1079="","slug not in links; ","")&amp;IF($D1079="","reading type missing; ","")&amp;IF(COUNTIFS(scans!$C$2:$C$1601,$C1079,scans!$D$2:$D$1601,$D1079)&gt;1,"two readings of this type: keep one; ",""))</f>
        <v/>
      </c>
    </row>
    <row r="1080">
      <c r="A1080" s="9" t="n"/>
      <c r="B1080" s="33" t="n"/>
      <c r="G1080" s="25">
        <f>IF($C1080="","",IFERROR(IF(INDEX(links!$A$2:$A$501,MATCH($C1080,links!$D$2:$D$501,0))="","",INDEX(links!$A$2:$A$501,MATCH($C1080,links!$D$2:$D$501,0))),""))</f>
        <v/>
      </c>
      <c r="H1080" s="25">
        <f>IF($C1080="","",IFERROR(IF(INDEX(links!$B$2:$B$501,MATCH($C1080,links!$D$2:$D$501,0))="","",INDEX(links!$B$2:$B$501,MATCH($C1080,links!$D$2:$D$501,0))),""))</f>
        <v/>
      </c>
      <c r="I1080" s="25">
        <f>IF($C1080="","",IFERROR(IF(INDEX(links!$C$2:$C$501,MATCH($C1080,links!$D$2:$D$501,0))="","",INDEX(links!$C$2:$C$501,MATCH($C1080,links!$D$2:$D$501,0))),""))</f>
        <v/>
      </c>
      <c r="J1080" s="25">
        <f>IF($C1080="","",IF($G1080="","slug not in links; ","")&amp;IF($D1080="","reading type missing; ","")&amp;IF(COUNTIFS(scans!$C$2:$C$1601,$C1080,scans!$D$2:$D$1601,$D1080)&gt;1,"two readings of this type: keep one; ",""))</f>
        <v/>
      </c>
    </row>
    <row r="1081">
      <c r="A1081" s="9" t="n"/>
      <c r="B1081" s="33" t="n"/>
      <c r="G1081" s="25">
        <f>IF($C1081="","",IFERROR(IF(INDEX(links!$A$2:$A$501,MATCH($C1081,links!$D$2:$D$501,0))="","",INDEX(links!$A$2:$A$501,MATCH($C1081,links!$D$2:$D$501,0))),""))</f>
        <v/>
      </c>
      <c r="H1081" s="25">
        <f>IF($C1081="","",IFERROR(IF(INDEX(links!$B$2:$B$501,MATCH($C1081,links!$D$2:$D$501,0))="","",INDEX(links!$B$2:$B$501,MATCH($C1081,links!$D$2:$D$501,0))),""))</f>
        <v/>
      </c>
      <c r="I1081" s="25">
        <f>IF($C1081="","",IFERROR(IF(INDEX(links!$C$2:$C$501,MATCH($C1081,links!$D$2:$D$501,0))="","",INDEX(links!$C$2:$C$501,MATCH($C1081,links!$D$2:$D$501,0))),""))</f>
        <v/>
      </c>
      <c r="J1081" s="25">
        <f>IF($C1081="","",IF($G1081="","slug not in links; ","")&amp;IF($D1081="","reading type missing; ","")&amp;IF(COUNTIFS(scans!$C$2:$C$1601,$C1081,scans!$D$2:$D$1601,$D1081)&gt;1,"two readings of this type: keep one; ",""))</f>
        <v/>
      </c>
    </row>
    <row r="1082">
      <c r="A1082" s="9" t="n"/>
      <c r="B1082" s="33" t="n"/>
      <c r="G1082" s="25">
        <f>IF($C1082="","",IFERROR(IF(INDEX(links!$A$2:$A$501,MATCH($C1082,links!$D$2:$D$501,0))="","",INDEX(links!$A$2:$A$501,MATCH($C1082,links!$D$2:$D$501,0))),""))</f>
        <v/>
      </c>
      <c r="H1082" s="25">
        <f>IF($C1082="","",IFERROR(IF(INDEX(links!$B$2:$B$501,MATCH($C1082,links!$D$2:$D$501,0))="","",INDEX(links!$B$2:$B$501,MATCH($C1082,links!$D$2:$D$501,0))),""))</f>
        <v/>
      </c>
      <c r="I1082" s="25">
        <f>IF($C1082="","",IFERROR(IF(INDEX(links!$C$2:$C$501,MATCH($C1082,links!$D$2:$D$501,0))="","",INDEX(links!$C$2:$C$501,MATCH($C1082,links!$D$2:$D$501,0))),""))</f>
        <v/>
      </c>
      <c r="J1082" s="25">
        <f>IF($C1082="","",IF($G1082="","slug not in links; ","")&amp;IF($D1082="","reading type missing; ","")&amp;IF(COUNTIFS(scans!$C$2:$C$1601,$C1082,scans!$D$2:$D$1601,$D1082)&gt;1,"two readings of this type: keep one; ",""))</f>
        <v/>
      </c>
    </row>
    <row r="1083">
      <c r="A1083" s="9" t="n"/>
      <c r="B1083" s="33" t="n"/>
      <c r="G1083" s="25">
        <f>IF($C1083="","",IFERROR(IF(INDEX(links!$A$2:$A$501,MATCH($C1083,links!$D$2:$D$501,0))="","",INDEX(links!$A$2:$A$501,MATCH($C1083,links!$D$2:$D$501,0))),""))</f>
        <v/>
      </c>
      <c r="H1083" s="25">
        <f>IF($C1083="","",IFERROR(IF(INDEX(links!$B$2:$B$501,MATCH($C1083,links!$D$2:$D$501,0))="","",INDEX(links!$B$2:$B$501,MATCH($C1083,links!$D$2:$D$501,0))),""))</f>
        <v/>
      </c>
      <c r="I1083" s="25">
        <f>IF($C1083="","",IFERROR(IF(INDEX(links!$C$2:$C$501,MATCH($C1083,links!$D$2:$D$501,0))="","",INDEX(links!$C$2:$C$501,MATCH($C1083,links!$D$2:$D$501,0))),""))</f>
        <v/>
      </c>
      <c r="J1083" s="25">
        <f>IF($C1083="","",IF($G1083="","slug not in links; ","")&amp;IF($D1083="","reading type missing; ","")&amp;IF(COUNTIFS(scans!$C$2:$C$1601,$C1083,scans!$D$2:$D$1601,$D1083)&gt;1,"two readings of this type: keep one; ",""))</f>
        <v/>
      </c>
    </row>
    <row r="1084">
      <c r="A1084" s="9" t="n"/>
      <c r="B1084" s="33" t="n"/>
      <c r="G1084" s="25">
        <f>IF($C1084="","",IFERROR(IF(INDEX(links!$A$2:$A$501,MATCH($C1084,links!$D$2:$D$501,0))="","",INDEX(links!$A$2:$A$501,MATCH($C1084,links!$D$2:$D$501,0))),""))</f>
        <v/>
      </c>
      <c r="H1084" s="25">
        <f>IF($C1084="","",IFERROR(IF(INDEX(links!$B$2:$B$501,MATCH($C1084,links!$D$2:$D$501,0))="","",INDEX(links!$B$2:$B$501,MATCH($C1084,links!$D$2:$D$501,0))),""))</f>
        <v/>
      </c>
      <c r="I1084" s="25">
        <f>IF($C1084="","",IFERROR(IF(INDEX(links!$C$2:$C$501,MATCH($C1084,links!$D$2:$D$501,0))="","",INDEX(links!$C$2:$C$501,MATCH($C1084,links!$D$2:$D$501,0))),""))</f>
        <v/>
      </c>
      <c r="J1084" s="25">
        <f>IF($C1084="","",IF($G1084="","slug not in links; ","")&amp;IF($D1084="","reading type missing; ","")&amp;IF(COUNTIFS(scans!$C$2:$C$1601,$C1084,scans!$D$2:$D$1601,$D1084)&gt;1,"two readings of this type: keep one; ",""))</f>
        <v/>
      </c>
    </row>
    <row r="1085">
      <c r="A1085" s="9" t="n"/>
      <c r="B1085" s="33" t="n"/>
      <c r="G1085" s="25">
        <f>IF($C1085="","",IFERROR(IF(INDEX(links!$A$2:$A$501,MATCH($C1085,links!$D$2:$D$501,0))="","",INDEX(links!$A$2:$A$501,MATCH($C1085,links!$D$2:$D$501,0))),""))</f>
        <v/>
      </c>
      <c r="H1085" s="25">
        <f>IF($C1085="","",IFERROR(IF(INDEX(links!$B$2:$B$501,MATCH($C1085,links!$D$2:$D$501,0))="","",INDEX(links!$B$2:$B$501,MATCH($C1085,links!$D$2:$D$501,0))),""))</f>
        <v/>
      </c>
      <c r="I1085" s="25">
        <f>IF($C1085="","",IFERROR(IF(INDEX(links!$C$2:$C$501,MATCH($C1085,links!$D$2:$D$501,0))="","",INDEX(links!$C$2:$C$501,MATCH($C1085,links!$D$2:$D$501,0))),""))</f>
        <v/>
      </c>
      <c r="J1085" s="25">
        <f>IF($C1085="","",IF($G1085="","slug not in links; ","")&amp;IF($D1085="","reading type missing; ","")&amp;IF(COUNTIFS(scans!$C$2:$C$1601,$C1085,scans!$D$2:$D$1601,$D1085)&gt;1,"two readings of this type: keep one; ",""))</f>
        <v/>
      </c>
    </row>
    <row r="1086">
      <c r="A1086" s="9" t="n"/>
      <c r="B1086" s="33" t="n"/>
      <c r="G1086" s="25">
        <f>IF($C1086="","",IFERROR(IF(INDEX(links!$A$2:$A$501,MATCH($C1086,links!$D$2:$D$501,0))="","",INDEX(links!$A$2:$A$501,MATCH($C1086,links!$D$2:$D$501,0))),""))</f>
        <v/>
      </c>
      <c r="H1086" s="25">
        <f>IF($C1086="","",IFERROR(IF(INDEX(links!$B$2:$B$501,MATCH($C1086,links!$D$2:$D$501,0))="","",INDEX(links!$B$2:$B$501,MATCH($C1086,links!$D$2:$D$501,0))),""))</f>
        <v/>
      </c>
      <c r="I1086" s="25">
        <f>IF($C1086="","",IFERROR(IF(INDEX(links!$C$2:$C$501,MATCH($C1086,links!$D$2:$D$501,0))="","",INDEX(links!$C$2:$C$501,MATCH($C1086,links!$D$2:$D$501,0))),""))</f>
        <v/>
      </c>
      <c r="J1086" s="25">
        <f>IF($C1086="","",IF($G1086="","slug not in links; ","")&amp;IF($D1086="","reading type missing; ","")&amp;IF(COUNTIFS(scans!$C$2:$C$1601,$C1086,scans!$D$2:$D$1601,$D1086)&gt;1,"two readings of this type: keep one; ",""))</f>
        <v/>
      </c>
    </row>
    <row r="1087">
      <c r="A1087" s="9" t="n"/>
      <c r="B1087" s="33" t="n"/>
      <c r="G1087" s="25">
        <f>IF($C1087="","",IFERROR(IF(INDEX(links!$A$2:$A$501,MATCH($C1087,links!$D$2:$D$501,0))="","",INDEX(links!$A$2:$A$501,MATCH($C1087,links!$D$2:$D$501,0))),""))</f>
        <v/>
      </c>
      <c r="H1087" s="25">
        <f>IF($C1087="","",IFERROR(IF(INDEX(links!$B$2:$B$501,MATCH($C1087,links!$D$2:$D$501,0))="","",INDEX(links!$B$2:$B$501,MATCH($C1087,links!$D$2:$D$501,0))),""))</f>
        <v/>
      </c>
      <c r="I1087" s="25">
        <f>IF($C1087="","",IFERROR(IF(INDEX(links!$C$2:$C$501,MATCH($C1087,links!$D$2:$D$501,0))="","",INDEX(links!$C$2:$C$501,MATCH($C1087,links!$D$2:$D$501,0))),""))</f>
        <v/>
      </c>
      <c r="J1087" s="25">
        <f>IF($C1087="","",IF($G1087="","slug not in links; ","")&amp;IF($D1087="","reading type missing; ","")&amp;IF(COUNTIFS(scans!$C$2:$C$1601,$C1087,scans!$D$2:$D$1601,$D1087)&gt;1,"two readings of this type: keep one; ",""))</f>
        <v/>
      </c>
    </row>
    <row r="1088">
      <c r="A1088" s="9" t="n"/>
      <c r="B1088" s="33" t="n"/>
      <c r="G1088" s="25">
        <f>IF($C1088="","",IFERROR(IF(INDEX(links!$A$2:$A$501,MATCH($C1088,links!$D$2:$D$501,0))="","",INDEX(links!$A$2:$A$501,MATCH($C1088,links!$D$2:$D$501,0))),""))</f>
        <v/>
      </c>
      <c r="H1088" s="25">
        <f>IF($C1088="","",IFERROR(IF(INDEX(links!$B$2:$B$501,MATCH($C1088,links!$D$2:$D$501,0))="","",INDEX(links!$B$2:$B$501,MATCH($C1088,links!$D$2:$D$501,0))),""))</f>
        <v/>
      </c>
      <c r="I1088" s="25">
        <f>IF($C1088="","",IFERROR(IF(INDEX(links!$C$2:$C$501,MATCH($C1088,links!$D$2:$D$501,0))="","",INDEX(links!$C$2:$C$501,MATCH($C1088,links!$D$2:$D$501,0))),""))</f>
        <v/>
      </c>
      <c r="J1088" s="25">
        <f>IF($C1088="","",IF($G1088="","slug not in links; ","")&amp;IF($D1088="","reading type missing; ","")&amp;IF(COUNTIFS(scans!$C$2:$C$1601,$C1088,scans!$D$2:$D$1601,$D1088)&gt;1,"two readings of this type: keep one; ",""))</f>
        <v/>
      </c>
    </row>
    <row r="1089">
      <c r="A1089" s="9" t="n"/>
      <c r="B1089" s="33" t="n"/>
      <c r="G1089" s="25">
        <f>IF($C1089="","",IFERROR(IF(INDEX(links!$A$2:$A$501,MATCH($C1089,links!$D$2:$D$501,0))="","",INDEX(links!$A$2:$A$501,MATCH($C1089,links!$D$2:$D$501,0))),""))</f>
        <v/>
      </c>
      <c r="H1089" s="25">
        <f>IF($C1089="","",IFERROR(IF(INDEX(links!$B$2:$B$501,MATCH($C1089,links!$D$2:$D$501,0))="","",INDEX(links!$B$2:$B$501,MATCH($C1089,links!$D$2:$D$501,0))),""))</f>
        <v/>
      </c>
      <c r="I1089" s="25">
        <f>IF($C1089="","",IFERROR(IF(INDEX(links!$C$2:$C$501,MATCH($C1089,links!$D$2:$D$501,0))="","",INDEX(links!$C$2:$C$501,MATCH($C1089,links!$D$2:$D$501,0))),""))</f>
        <v/>
      </c>
      <c r="J1089" s="25">
        <f>IF($C1089="","",IF($G1089="","slug not in links; ","")&amp;IF($D1089="","reading type missing; ","")&amp;IF(COUNTIFS(scans!$C$2:$C$1601,$C1089,scans!$D$2:$D$1601,$D1089)&gt;1,"two readings of this type: keep one; ",""))</f>
        <v/>
      </c>
    </row>
    <row r="1090">
      <c r="A1090" s="9" t="n"/>
      <c r="B1090" s="33" t="n"/>
      <c r="G1090" s="25">
        <f>IF($C1090="","",IFERROR(IF(INDEX(links!$A$2:$A$501,MATCH($C1090,links!$D$2:$D$501,0))="","",INDEX(links!$A$2:$A$501,MATCH($C1090,links!$D$2:$D$501,0))),""))</f>
        <v/>
      </c>
      <c r="H1090" s="25">
        <f>IF($C1090="","",IFERROR(IF(INDEX(links!$B$2:$B$501,MATCH($C1090,links!$D$2:$D$501,0))="","",INDEX(links!$B$2:$B$501,MATCH($C1090,links!$D$2:$D$501,0))),""))</f>
        <v/>
      </c>
      <c r="I1090" s="25">
        <f>IF($C1090="","",IFERROR(IF(INDEX(links!$C$2:$C$501,MATCH($C1090,links!$D$2:$D$501,0))="","",INDEX(links!$C$2:$C$501,MATCH($C1090,links!$D$2:$D$501,0))),""))</f>
        <v/>
      </c>
      <c r="J1090" s="25">
        <f>IF($C1090="","",IF($G1090="","slug not in links; ","")&amp;IF($D1090="","reading type missing; ","")&amp;IF(COUNTIFS(scans!$C$2:$C$1601,$C1090,scans!$D$2:$D$1601,$D1090)&gt;1,"two readings of this type: keep one; ",""))</f>
        <v/>
      </c>
    </row>
    <row r="1091">
      <c r="A1091" s="9" t="n"/>
      <c r="B1091" s="33" t="n"/>
      <c r="G1091" s="25">
        <f>IF($C1091="","",IFERROR(IF(INDEX(links!$A$2:$A$501,MATCH($C1091,links!$D$2:$D$501,0))="","",INDEX(links!$A$2:$A$501,MATCH($C1091,links!$D$2:$D$501,0))),""))</f>
        <v/>
      </c>
      <c r="H1091" s="25">
        <f>IF($C1091="","",IFERROR(IF(INDEX(links!$B$2:$B$501,MATCH($C1091,links!$D$2:$D$501,0))="","",INDEX(links!$B$2:$B$501,MATCH($C1091,links!$D$2:$D$501,0))),""))</f>
        <v/>
      </c>
      <c r="I1091" s="25">
        <f>IF($C1091="","",IFERROR(IF(INDEX(links!$C$2:$C$501,MATCH($C1091,links!$D$2:$D$501,0))="","",INDEX(links!$C$2:$C$501,MATCH($C1091,links!$D$2:$D$501,0))),""))</f>
        <v/>
      </c>
      <c r="J1091" s="25">
        <f>IF($C1091="","",IF($G1091="","slug not in links; ","")&amp;IF($D1091="","reading type missing; ","")&amp;IF(COUNTIFS(scans!$C$2:$C$1601,$C1091,scans!$D$2:$D$1601,$D1091)&gt;1,"two readings of this type: keep one; ",""))</f>
        <v/>
      </c>
    </row>
    <row r="1092">
      <c r="A1092" s="9" t="n"/>
      <c r="B1092" s="33" t="n"/>
      <c r="G1092" s="25">
        <f>IF($C1092="","",IFERROR(IF(INDEX(links!$A$2:$A$501,MATCH($C1092,links!$D$2:$D$501,0))="","",INDEX(links!$A$2:$A$501,MATCH($C1092,links!$D$2:$D$501,0))),""))</f>
        <v/>
      </c>
      <c r="H1092" s="25">
        <f>IF($C1092="","",IFERROR(IF(INDEX(links!$B$2:$B$501,MATCH($C1092,links!$D$2:$D$501,0))="","",INDEX(links!$B$2:$B$501,MATCH($C1092,links!$D$2:$D$501,0))),""))</f>
        <v/>
      </c>
      <c r="I1092" s="25">
        <f>IF($C1092="","",IFERROR(IF(INDEX(links!$C$2:$C$501,MATCH($C1092,links!$D$2:$D$501,0))="","",INDEX(links!$C$2:$C$501,MATCH($C1092,links!$D$2:$D$501,0))),""))</f>
        <v/>
      </c>
      <c r="J1092" s="25">
        <f>IF($C1092="","",IF($G1092="","slug not in links; ","")&amp;IF($D1092="","reading type missing; ","")&amp;IF(COUNTIFS(scans!$C$2:$C$1601,$C1092,scans!$D$2:$D$1601,$D1092)&gt;1,"two readings of this type: keep one; ",""))</f>
        <v/>
      </c>
    </row>
    <row r="1093">
      <c r="A1093" s="9" t="n"/>
      <c r="B1093" s="33" t="n"/>
      <c r="G1093" s="25">
        <f>IF($C1093="","",IFERROR(IF(INDEX(links!$A$2:$A$501,MATCH($C1093,links!$D$2:$D$501,0))="","",INDEX(links!$A$2:$A$501,MATCH($C1093,links!$D$2:$D$501,0))),""))</f>
        <v/>
      </c>
      <c r="H1093" s="25">
        <f>IF($C1093="","",IFERROR(IF(INDEX(links!$B$2:$B$501,MATCH($C1093,links!$D$2:$D$501,0))="","",INDEX(links!$B$2:$B$501,MATCH($C1093,links!$D$2:$D$501,0))),""))</f>
        <v/>
      </c>
      <c r="I1093" s="25">
        <f>IF($C1093="","",IFERROR(IF(INDEX(links!$C$2:$C$501,MATCH($C1093,links!$D$2:$D$501,0))="","",INDEX(links!$C$2:$C$501,MATCH($C1093,links!$D$2:$D$501,0))),""))</f>
        <v/>
      </c>
      <c r="J1093" s="25">
        <f>IF($C1093="","",IF($G1093="","slug not in links; ","")&amp;IF($D1093="","reading type missing; ","")&amp;IF(COUNTIFS(scans!$C$2:$C$1601,$C1093,scans!$D$2:$D$1601,$D1093)&gt;1,"two readings of this type: keep one; ",""))</f>
        <v/>
      </c>
    </row>
    <row r="1094">
      <c r="A1094" s="9" t="n"/>
      <c r="B1094" s="33" t="n"/>
      <c r="G1094" s="25">
        <f>IF($C1094="","",IFERROR(IF(INDEX(links!$A$2:$A$501,MATCH($C1094,links!$D$2:$D$501,0))="","",INDEX(links!$A$2:$A$501,MATCH($C1094,links!$D$2:$D$501,0))),""))</f>
        <v/>
      </c>
      <c r="H1094" s="25">
        <f>IF($C1094="","",IFERROR(IF(INDEX(links!$B$2:$B$501,MATCH($C1094,links!$D$2:$D$501,0))="","",INDEX(links!$B$2:$B$501,MATCH($C1094,links!$D$2:$D$501,0))),""))</f>
        <v/>
      </c>
      <c r="I1094" s="25">
        <f>IF($C1094="","",IFERROR(IF(INDEX(links!$C$2:$C$501,MATCH($C1094,links!$D$2:$D$501,0))="","",INDEX(links!$C$2:$C$501,MATCH($C1094,links!$D$2:$D$501,0))),""))</f>
        <v/>
      </c>
      <c r="J1094" s="25">
        <f>IF($C1094="","",IF($G1094="","slug not in links; ","")&amp;IF($D1094="","reading type missing; ","")&amp;IF(COUNTIFS(scans!$C$2:$C$1601,$C1094,scans!$D$2:$D$1601,$D1094)&gt;1,"two readings of this type: keep one; ",""))</f>
        <v/>
      </c>
    </row>
    <row r="1095">
      <c r="A1095" s="9" t="n"/>
      <c r="B1095" s="33" t="n"/>
      <c r="G1095" s="25">
        <f>IF($C1095="","",IFERROR(IF(INDEX(links!$A$2:$A$501,MATCH($C1095,links!$D$2:$D$501,0))="","",INDEX(links!$A$2:$A$501,MATCH($C1095,links!$D$2:$D$501,0))),""))</f>
        <v/>
      </c>
      <c r="H1095" s="25">
        <f>IF($C1095="","",IFERROR(IF(INDEX(links!$B$2:$B$501,MATCH($C1095,links!$D$2:$D$501,0))="","",INDEX(links!$B$2:$B$501,MATCH($C1095,links!$D$2:$D$501,0))),""))</f>
        <v/>
      </c>
      <c r="I1095" s="25">
        <f>IF($C1095="","",IFERROR(IF(INDEX(links!$C$2:$C$501,MATCH($C1095,links!$D$2:$D$501,0))="","",INDEX(links!$C$2:$C$501,MATCH($C1095,links!$D$2:$D$501,0))),""))</f>
        <v/>
      </c>
      <c r="J1095" s="25">
        <f>IF($C1095="","",IF($G1095="","slug not in links; ","")&amp;IF($D1095="","reading type missing; ","")&amp;IF(COUNTIFS(scans!$C$2:$C$1601,$C1095,scans!$D$2:$D$1601,$D1095)&gt;1,"two readings of this type: keep one; ",""))</f>
        <v/>
      </c>
    </row>
    <row r="1096">
      <c r="A1096" s="9" t="n"/>
      <c r="B1096" s="33" t="n"/>
      <c r="G1096" s="25">
        <f>IF($C1096="","",IFERROR(IF(INDEX(links!$A$2:$A$501,MATCH($C1096,links!$D$2:$D$501,0))="","",INDEX(links!$A$2:$A$501,MATCH($C1096,links!$D$2:$D$501,0))),""))</f>
        <v/>
      </c>
      <c r="H1096" s="25">
        <f>IF($C1096="","",IFERROR(IF(INDEX(links!$B$2:$B$501,MATCH($C1096,links!$D$2:$D$501,0))="","",INDEX(links!$B$2:$B$501,MATCH($C1096,links!$D$2:$D$501,0))),""))</f>
        <v/>
      </c>
      <c r="I1096" s="25">
        <f>IF($C1096="","",IFERROR(IF(INDEX(links!$C$2:$C$501,MATCH($C1096,links!$D$2:$D$501,0))="","",INDEX(links!$C$2:$C$501,MATCH($C1096,links!$D$2:$D$501,0))),""))</f>
        <v/>
      </c>
      <c r="J1096" s="25">
        <f>IF($C1096="","",IF($G1096="","slug not in links; ","")&amp;IF($D1096="","reading type missing; ","")&amp;IF(COUNTIFS(scans!$C$2:$C$1601,$C1096,scans!$D$2:$D$1601,$D1096)&gt;1,"two readings of this type: keep one; ",""))</f>
        <v/>
      </c>
    </row>
    <row r="1097">
      <c r="A1097" s="9" t="n"/>
      <c r="B1097" s="33" t="n"/>
      <c r="G1097" s="25">
        <f>IF($C1097="","",IFERROR(IF(INDEX(links!$A$2:$A$501,MATCH($C1097,links!$D$2:$D$501,0))="","",INDEX(links!$A$2:$A$501,MATCH($C1097,links!$D$2:$D$501,0))),""))</f>
        <v/>
      </c>
      <c r="H1097" s="25">
        <f>IF($C1097="","",IFERROR(IF(INDEX(links!$B$2:$B$501,MATCH($C1097,links!$D$2:$D$501,0))="","",INDEX(links!$B$2:$B$501,MATCH($C1097,links!$D$2:$D$501,0))),""))</f>
        <v/>
      </c>
      <c r="I1097" s="25">
        <f>IF($C1097="","",IFERROR(IF(INDEX(links!$C$2:$C$501,MATCH($C1097,links!$D$2:$D$501,0))="","",INDEX(links!$C$2:$C$501,MATCH($C1097,links!$D$2:$D$501,0))),""))</f>
        <v/>
      </c>
      <c r="J1097" s="25">
        <f>IF($C1097="","",IF($G1097="","slug not in links; ","")&amp;IF($D1097="","reading type missing; ","")&amp;IF(COUNTIFS(scans!$C$2:$C$1601,$C1097,scans!$D$2:$D$1601,$D1097)&gt;1,"two readings of this type: keep one; ",""))</f>
        <v/>
      </c>
    </row>
    <row r="1098">
      <c r="A1098" s="9" t="n"/>
      <c r="B1098" s="33" t="n"/>
      <c r="G1098" s="25">
        <f>IF($C1098="","",IFERROR(IF(INDEX(links!$A$2:$A$501,MATCH($C1098,links!$D$2:$D$501,0))="","",INDEX(links!$A$2:$A$501,MATCH($C1098,links!$D$2:$D$501,0))),""))</f>
        <v/>
      </c>
      <c r="H1098" s="25">
        <f>IF($C1098="","",IFERROR(IF(INDEX(links!$B$2:$B$501,MATCH($C1098,links!$D$2:$D$501,0))="","",INDEX(links!$B$2:$B$501,MATCH($C1098,links!$D$2:$D$501,0))),""))</f>
        <v/>
      </c>
      <c r="I1098" s="25">
        <f>IF($C1098="","",IFERROR(IF(INDEX(links!$C$2:$C$501,MATCH($C1098,links!$D$2:$D$501,0))="","",INDEX(links!$C$2:$C$501,MATCH($C1098,links!$D$2:$D$501,0))),""))</f>
        <v/>
      </c>
      <c r="J1098" s="25">
        <f>IF($C1098="","",IF($G1098="","slug not in links; ","")&amp;IF($D1098="","reading type missing; ","")&amp;IF(COUNTIFS(scans!$C$2:$C$1601,$C1098,scans!$D$2:$D$1601,$D1098)&gt;1,"two readings of this type: keep one; ",""))</f>
        <v/>
      </c>
    </row>
    <row r="1099">
      <c r="A1099" s="9" t="n"/>
      <c r="B1099" s="33" t="n"/>
      <c r="G1099" s="25">
        <f>IF($C1099="","",IFERROR(IF(INDEX(links!$A$2:$A$501,MATCH($C1099,links!$D$2:$D$501,0))="","",INDEX(links!$A$2:$A$501,MATCH($C1099,links!$D$2:$D$501,0))),""))</f>
        <v/>
      </c>
      <c r="H1099" s="25">
        <f>IF($C1099="","",IFERROR(IF(INDEX(links!$B$2:$B$501,MATCH($C1099,links!$D$2:$D$501,0))="","",INDEX(links!$B$2:$B$501,MATCH($C1099,links!$D$2:$D$501,0))),""))</f>
        <v/>
      </c>
      <c r="I1099" s="25">
        <f>IF($C1099="","",IFERROR(IF(INDEX(links!$C$2:$C$501,MATCH($C1099,links!$D$2:$D$501,0))="","",INDEX(links!$C$2:$C$501,MATCH($C1099,links!$D$2:$D$501,0))),""))</f>
        <v/>
      </c>
      <c r="J1099" s="25">
        <f>IF($C1099="","",IF($G1099="","slug not in links; ","")&amp;IF($D1099="","reading type missing; ","")&amp;IF(COUNTIFS(scans!$C$2:$C$1601,$C1099,scans!$D$2:$D$1601,$D1099)&gt;1,"two readings of this type: keep one; ",""))</f>
        <v/>
      </c>
    </row>
    <row r="1100">
      <c r="A1100" s="9" t="n"/>
      <c r="B1100" s="33" t="n"/>
      <c r="G1100" s="25">
        <f>IF($C1100="","",IFERROR(IF(INDEX(links!$A$2:$A$501,MATCH($C1100,links!$D$2:$D$501,0))="","",INDEX(links!$A$2:$A$501,MATCH($C1100,links!$D$2:$D$501,0))),""))</f>
        <v/>
      </c>
      <c r="H1100" s="25">
        <f>IF($C1100="","",IFERROR(IF(INDEX(links!$B$2:$B$501,MATCH($C1100,links!$D$2:$D$501,0))="","",INDEX(links!$B$2:$B$501,MATCH($C1100,links!$D$2:$D$501,0))),""))</f>
        <v/>
      </c>
      <c r="I1100" s="25">
        <f>IF($C1100="","",IFERROR(IF(INDEX(links!$C$2:$C$501,MATCH($C1100,links!$D$2:$D$501,0))="","",INDEX(links!$C$2:$C$501,MATCH($C1100,links!$D$2:$D$501,0))),""))</f>
        <v/>
      </c>
      <c r="J1100" s="25">
        <f>IF($C1100="","",IF($G1100="","slug not in links; ","")&amp;IF($D1100="","reading type missing; ","")&amp;IF(COUNTIFS(scans!$C$2:$C$1601,$C1100,scans!$D$2:$D$1601,$D1100)&gt;1,"two readings of this type: keep one; ",""))</f>
        <v/>
      </c>
    </row>
    <row r="1101">
      <c r="A1101" s="9" t="n"/>
      <c r="B1101" s="33" t="n"/>
      <c r="G1101" s="25">
        <f>IF($C1101="","",IFERROR(IF(INDEX(links!$A$2:$A$501,MATCH($C1101,links!$D$2:$D$501,0))="","",INDEX(links!$A$2:$A$501,MATCH($C1101,links!$D$2:$D$501,0))),""))</f>
        <v/>
      </c>
      <c r="H1101" s="25">
        <f>IF($C1101="","",IFERROR(IF(INDEX(links!$B$2:$B$501,MATCH($C1101,links!$D$2:$D$501,0))="","",INDEX(links!$B$2:$B$501,MATCH($C1101,links!$D$2:$D$501,0))),""))</f>
        <v/>
      </c>
      <c r="I1101" s="25">
        <f>IF($C1101="","",IFERROR(IF(INDEX(links!$C$2:$C$501,MATCH($C1101,links!$D$2:$D$501,0))="","",INDEX(links!$C$2:$C$501,MATCH($C1101,links!$D$2:$D$501,0))),""))</f>
        <v/>
      </c>
      <c r="J1101" s="25">
        <f>IF($C1101="","",IF($G1101="","slug not in links; ","")&amp;IF($D1101="","reading type missing; ","")&amp;IF(COUNTIFS(scans!$C$2:$C$1601,$C1101,scans!$D$2:$D$1601,$D1101)&gt;1,"two readings of this type: keep one; ",""))</f>
        <v/>
      </c>
    </row>
    <row r="1102">
      <c r="A1102" s="9" t="n"/>
      <c r="B1102" s="33" t="n"/>
      <c r="G1102" s="25">
        <f>IF($C1102="","",IFERROR(IF(INDEX(links!$A$2:$A$501,MATCH($C1102,links!$D$2:$D$501,0))="","",INDEX(links!$A$2:$A$501,MATCH($C1102,links!$D$2:$D$501,0))),""))</f>
        <v/>
      </c>
      <c r="H1102" s="25">
        <f>IF($C1102="","",IFERROR(IF(INDEX(links!$B$2:$B$501,MATCH($C1102,links!$D$2:$D$501,0))="","",INDEX(links!$B$2:$B$501,MATCH($C1102,links!$D$2:$D$501,0))),""))</f>
        <v/>
      </c>
      <c r="I1102" s="25">
        <f>IF($C1102="","",IFERROR(IF(INDEX(links!$C$2:$C$501,MATCH($C1102,links!$D$2:$D$501,0))="","",INDEX(links!$C$2:$C$501,MATCH($C1102,links!$D$2:$D$501,0))),""))</f>
        <v/>
      </c>
      <c r="J1102" s="25">
        <f>IF($C1102="","",IF($G1102="","slug not in links; ","")&amp;IF($D1102="","reading type missing; ","")&amp;IF(COUNTIFS(scans!$C$2:$C$1601,$C1102,scans!$D$2:$D$1601,$D1102)&gt;1,"two readings of this type: keep one; ",""))</f>
        <v/>
      </c>
    </row>
    <row r="1103">
      <c r="A1103" s="9" t="n"/>
      <c r="B1103" s="33" t="n"/>
      <c r="G1103" s="25">
        <f>IF($C1103="","",IFERROR(IF(INDEX(links!$A$2:$A$501,MATCH($C1103,links!$D$2:$D$501,0))="","",INDEX(links!$A$2:$A$501,MATCH($C1103,links!$D$2:$D$501,0))),""))</f>
        <v/>
      </c>
      <c r="H1103" s="25">
        <f>IF($C1103="","",IFERROR(IF(INDEX(links!$B$2:$B$501,MATCH($C1103,links!$D$2:$D$501,0))="","",INDEX(links!$B$2:$B$501,MATCH($C1103,links!$D$2:$D$501,0))),""))</f>
        <v/>
      </c>
      <c r="I1103" s="25">
        <f>IF($C1103="","",IFERROR(IF(INDEX(links!$C$2:$C$501,MATCH($C1103,links!$D$2:$D$501,0))="","",INDEX(links!$C$2:$C$501,MATCH($C1103,links!$D$2:$D$501,0))),""))</f>
        <v/>
      </c>
      <c r="J1103" s="25">
        <f>IF($C1103="","",IF($G1103="","slug not in links; ","")&amp;IF($D1103="","reading type missing; ","")&amp;IF(COUNTIFS(scans!$C$2:$C$1601,$C1103,scans!$D$2:$D$1601,$D1103)&gt;1,"two readings of this type: keep one; ",""))</f>
        <v/>
      </c>
    </row>
    <row r="1104">
      <c r="A1104" s="9" t="n"/>
      <c r="B1104" s="33" t="n"/>
      <c r="G1104" s="25">
        <f>IF($C1104="","",IFERROR(IF(INDEX(links!$A$2:$A$501,MATCH($C1104,links!$D$2:$D$501,0))="","",INDEX(links!$A$2:$A$501,MATCH($C1104,links!$D$2:$D$501,0))),""))</f>
        <v/>
      </c>
      <c r="H1104" s="25">
        <f>IF($C1104="","",IFERROR(IF(INDEX(links!$B$2:$B$501,MATCH($C1104,links!$D$2:$D$501,0))="","",INDEX(links!$B$2:$B$501,MATCH($C1104,links!$D$2:$D$501,0))),""))</f>
        <v/>
      </c>
      <c r="I1104" s="25">
        <f>IF($C1104="","",IFERROR(IF(INDEX(links!$C$2:$C$501,MATCH($C1104,links!$D$2:$D$501,0))="","",INDEX(links!$C$2:$C$501,MATCH($C1104,links!$D$2:$D$501,0))),""))</f>
        <v/>
      </c>
      <c r="J1104" s="25">
        <f>IF($C1104="","",IF($G1104="","slug not in links; ","")&amp;IF($D1104="","reading type missing; ","")&amp;IF(COUNTIFS(scans!$C$2:$C$1601,$C1104,scans!$D$2:$D$1601,$D1104)&gt;1,"two readings of this type: keep one; ",""))</f>
        <v/>
      </c>
    </row>
    <row r="1105">
      <c r="A1105" s="9" t="n"/>
      <c r="B1105" s="33" t="n"/>
      <c r="G1105" s="25">
        <f>IF($C1105="","",IFERROR(IF(INDEX(links!$A$2:$A$501,MATCH($C1105,links!$D$2:$D$501,0))="","",INDEX(links!$A$2:$A$501,MATCH($C1105,links!$D$2:$D$501,0))),""))</f>
        <v/>
      </c>
      <c r="H1105" s="25">
        <f>IF($C1105="","",IFERROR(IF(INDEX(links!$B$2:$B$501,MATCH($C1105,links!$D$2:$D$501,0))="","",INDEX(links!$B$2:$B$501,MATCH($C1105,links!$D$2:$D$501,0))),""))</f>
        <v/>
      </c>
      <c r="I1105" s="25">
        <f>IF($C1105="","",IFERROR(IF(INDEX(links!$C$2:$C$501,MATCH($C1105,links!$D$2:$D$501,0))="","",INDEX(links!$C$2:$C$501,MATCH($C1105,links!$D$2:$D$501,0))),""))</f>
        <v/>
      </c>
      <c r="J1105" s="25">
        <f>IF($C1105="","",IF($G1105="","slug not in links; ","")&amp;IF($D1105="","reading type missing; ","")&amp;IF(COUNTIFS(scans!$C$2:$C$1601,$C1105,scans!$D$2:$D$1601,$D1105)&gt;1,"two readings of this type: keep one; ",""))</f>
        <v/>
      </c>
    </row>
    <row r="1106">
      <c r="A1106" s="9" t="n"/>
      <c r="B1106" s="33" t="n"/>
      <c r="G1106" s="25">
        <f>IF($C1106="","",IFERROR(IF(INDEX(links!$A$2:$A$501,MATCH($C1106,links!$D$2:$D$501,0))="","",INDEX(links!$A$2:$A$501,MATCH($C1106,links!$D$2:$D$501,0))),""))</f>
        <v/>
      </c>
      <c r="H1106" s="25">
        <f>IF($C1106="","",IFERROR(IF(INDEX(links!$B$2:$B$501,MATCH($C1106,links!$D$2:$D$501,0))="","",INDEX(links!$B$2:$B$501,MATCH($C1106,links!$D$2:$D$501,0))),""))</f>
        <v/>
      </c>
      <c r="I1106" s="25">
        <f>IF($C1106="","",IFERROR(IF(INDEX(links!$C$2:$C$501,MATCH($C1106,links!$D$2:$D$501,0))="","",INDEX(links!$C$2:$C$501,MATCH($C1106,links!$D$2:$D$501,0))),""))</f>
        <v/>
      </c>
      <c r="J1106" s="25">
        <f>IF($C1106="","",IF($G1106="","slug not in links; ","")&amp;IF($D1106="","reading type missing; ","")&amp;IF(COUNTIFS(scans!$C$2:$C$1601,$C1106,scans!$D$2:$D$1601,$D1106)&gt;1,"two readings of this type: keep one; ",""))</f>
        <v/>
      </c>
    </row>
    <row r="1107">
      <c r="A1107" s="9" t="n"/>
      <c r="B1107" s="33" t="n"/>
      <c r="G1107" s="25">
        <f>IF($C1107="","",IFERROR(IF(INDEX(links!$A$2:$A$501,MATCH($C1107,links!$D$2:$D$501,0))="","",INDEX(links!$A$2:$A$501,MATCH($C1107,links!$D$2:$D$501,0))),""))</f>
        <v/>
      </c>
      <c r="H1107" s="25">
        <f>IF($C1107="","",IFERROR(IF(INDEX(links!$B$2:$B$501,MATCH($C1107,links!$D$2:$D$501,0))="","",INDEX(links!$B$2:$B$501,MATCH($C1107,links!$D$2:$D$501,0))),""))</f>
        <v/>
      </c>
      <c r="I1107" s="25">
        <f>IF($C1107="","",IFERROR(IF(INDEX(links!$C$2:$C$501,MATCH($C1107,links!$D$2:$D$501,0))="","",INDEX(links!$C$2:$C$501,MATCH($C1107,links!$D$2:$D$501,0))),""))</f>
        <v/>
      </c>
      <c r="J1107" s="25">
        <f>IF($C1107="","",IF($G1107="","slug not in links; ","")&amp;IF($D1107="","reading type missing; ","")&amp;IF(COUNTIFS(scans!$C$2:$C$1601,$C1107,scans!$D$2:$D$1601,$D1107)&gt;1,"two readings of this type: keep one; ",""))</f>
        <v/>
      </c>
    </row>
    <row r="1108">
      <c r="A1108" s="9" t="n"/>
      <c r="B1108" s="33" t="n"/>
      <c r="G1108" s="25">
        <f>IF($C1108="","",IFERROR(IF(INDEX(links!$A$2:$A$501,MATCH($C1108,links!$D$2:$D$501,0))="","",INDEX(links!$A$2:$A$501,MATCH($C1108,links!$D$2:$D$501,0))),""))</f>
        <v/>
      </c>
      <c r="H1108" s="25">
        <f>IF($C1108="","",IFERROR(IF(INDEX(links!$B$2:$B$501,MATCH($C1108,links!$D$2:$D$501,0))="","",INDEX(links!$B$2:$B$501,MATCH($C1108,links!$D$2:$D$501,0))),""))</f>
        <v/>
      </c>
      <c r="I1108" s="25">
        <f>IF($C1108="","",IFERROR(IF(INDEX(links!$C$2:$C$501,MATCH($C1108,links!$D$2:$D$501,0))="","",INDEX(links!$C$2:$C$501,MATCH($C1108,links!$D$2:$D$501,0))),""))</f>
        <v/>
      </c>
      <c r="J1108" s="25">
        <f>IF($C1108="","",IF($G1108="","slug not in links; ","")&amp;IF($D1108="","reading type missing; ","")&amp;IF(COUNTIFS(scans!$C$2:$C$1601,$C1108,scans!$D$2:$D$1601,$D1108)&gt;1,"two readings of this type: keep one; ",""))</f>
        <v/>
      </c>
    </row>
    <row r="1109">
      <c r="A1109" s="9" t="n"/>
      <c r="B1109" s="33" t="n"/>
      <c r="G1109" s="25">
        <f>IF($C1109="","",IFERROR(IF(INDEX(links!$A$2:$A$501,MATCH($C1109,links!$D$2:$D$501,0))="","",INDEX(links!$A$2:$A$501,MATCH($C1109,links!$D$2:$D$501,0))),""))</f>
        <v/>
      </c>
      <c r="H1109" s="25">
        <f>IF($C1109="","",IFERROR(IF(INDEX(links!$B$2:$B$501,MATCH($C1109,links!$D$2:$D$501,0))="","",INDEX(links!$B$2:$B$501,MATCH($C1109,links!$D$2:$D$501,0))),""))</f>
        <v/>
      </c>
      <c r="I1109" s="25">
        <f>IF($C1109="","",IFERROR(IF(INDEX(links!$C$2:$C$501,MATCH($C1109,links!$D$2:$D$501,0))="","",INDEX(links!$C$2:$C$501,MATCH($C1109,links!$D$2:$D$501,0))),""))</f>
        <v/>
      </c>
      <c r="J1109" s="25">
        <f>IF($C1109="","",IF($G1109="","slug not in links; ","")&amp;IF($D1109="","reading type missing; ","")&amp;IF(COUNTIFS(scans!$C$2:$C$1601,$C1109,scans!$D$2:$D$1601,$D1109)&gt;1,"two readings of this type: keep one; ",""))</f>
        <v/>
      </c>
    </row>
    <row r="1110">
      <c r="A1110" s="9" t="n"/>
      <c r="B1110" s="33" t="n"/>
      <c r="G1110" s="25">
        <f>IF($C1110="","",IFERROR(IF(INDEX(links!$A$2:$A$501,MATCH($C1110,links!$D$2:$D$501,0))="","",INDEX(links!$A$2:$A$501,MATCH($C1110,links!$D$2:$D$501,0))),""))</f>
        <v/>
      </c>
      <c r="H1110" s="25">
        <f>IF($C1110="","",IFERROR(IF(INDEX(links!$B$2:$B$501,MATCH($C1110,links!$D$2:$D$501,0))="","",INDEX(links!$B$2:$B$501,MATCH($C1110,links!$D$2:$D$501,0))),""))</f>
        <v/>
      </c>
      <c r="I1110" s="25">
        <f>IF($C1110="","",IFERROR(IF(INDEX(links!$C$2:$C$501,MATCH($C1110,links!$D$2:$D$501,0))="","",INDEX(links!$C$2:$C$501,MATCH($C1110,links!$D$2:$D$501,0))),""))</f>
        <v/>
      </c>
      <c r="J1110" s="25">
        <f>IF($C1110="","",IF($G1110="","slug not in links; ","")&amp;IF($D1110="","reading type missing; ","")&amp;IF(COUNTIFS(scans!$C$2:$C$1601,$C1110,scans!$D$2:$D$1601,$D1110)&gt;1,"two readings of this type: keep one; ",""))</f>
        <v/>
      </c>
    </row>
    <row r="1111">
      <c r="A1111" s="9" t="n"/>
      <c r="B1111" s="33" t="n"/>
      <c r="G1111" s="25">
        <f>IF($C1111="","",IFERROR(IF(INDEX(links!$A$2:$A$501,MATCH($C1111,links!$D$2:$D$501,0))="","",INDEX(links!$A$2:$A$501,MATCH($C1111,links!$D$2:$D$501,0))),""))</f>
        <v/>
      </c>
      <c r="H1111" s="25">
        <f>IF($C1111="","",IFERROR(IF(INDEX(links!$B$2:$B$501,MATCH($C1111,links!$D$2:$D$501,0))="","",INDEX(links!$B$2:$B$501,MATCH($C1111,links!$D$2:$D$501,0))),""))</f>
        <v/>
      </c>
      <c r="I1111" s="25">
        <f>IF($C1111="","",IFERROR(IF(INDEX(links!$C$2:$C$501,MATCH($C1111,links!$D$2:$D$501,0))="","",INDEX(links!$C$2:$C$501,MATCH($C1111,links!$D$2:$D$501,0))),""))</f>
        <v/>
      </c>
      <c r="J1111" s="25">
        <f>IF($C1111="","",IF($G1111="","slug not in links; ","")&amp;IF($D1111="","reading type missing; ","")&amp;IF(COUNTIFS(scans!$C$2:$C$1601,$C1111,scans!$D$2:$D$1601,$D1111)&gt;1,"two readings of this type: keep one; ",""))</f>
        <v/>
      </c>
    </row>
    <row r="1112">
      <c r="A1112" s="9" t="n"/>
      <c r="B1112" s="33" t="n"/>
      <c r="G1112" s="25">
        <f>IF($C1112="","",IFERROR(IF(INDEX(links!$A$2:$A$501,MATCH($C1112,links!$D$2:$D$501,0))="","",INDEX(links!$A$2:$A$501,MATCH($C1112,links!$D$2:$D$501,0))),""))</f>
        <v/>
      </c>
      <c r="H1112" s="25">
        <f>IF($C1112="","",IFERROR(IF(INDEX(links!$B$2:$B$501,MATCH($C1112,links!$D$2:$D$501,0))="","",INDEX(links!$B$2:$B$501,MATCH($C1112,links!$D$2:$D$501,0))),""))</f>
        <v/>
      </c>
      <c r="I1112" s="25">
        <f>IF($C1112="","",IFERROR(IF(INDEX(links!$C$2:$C$501,MATCH($C1112,links!$D$2:$D$501,0))="","",INDEX(links!$C$2:$C$501,MATCH($C1112,links!$D$2:$D$501,0))),""))</f>
        <v/>
      </c>
      <c r="J1112" s="25">
        <f>IF($C1112="","",IF($G1112="","slug not in links; ","")&amp;IF($D1112="","reading type missing; ","")&amp;IF(COUNTIFS(scans!$C$2:$C$1601,$C1112,scans!$D$2:$D$1601,$D1112)&gt;1,"two readings of this type: keep one; ",""))</f>
        <v/>
      </c>
    </row>
    <row r="1113">
      <c r="A1113" s="9" t="n"/>
      <c r="B1113" s="33" t="n"/>
      <c r="G1113" s="25">
        <f>IF($C1113="","",IFERROR(IF(INDEX(links!$A$2:$A$501,MATCH($C1113,links!$D$2:$D$501,0))="","",INDEX(links!$A$2:$A$501,MATCH($C1113,links!$D$2:$D$501,0))),""))</f>
        <v/>
      </c>
      <c r="H1113" s="25">
        <f>IF($C1113="","",IFERROR(IF(INDEX(links!$B$2:$B$501,MATCH($C1113,links!$D$2:$D$501,0))="","",INDEX(links!$B$2:$B$501,MATCH($C1113,links!$D$2:$D$501,0))),""))</f>
        <v/>
      </c>
      <c r="I1113" s="25">
        <f>IF($C1113="","",IFERROR(IF(INDEX(links!$C$2:$C$501,MATCH($C1113,links!$D$2:$D$501,0))="","",INDEX(links!$C$2:$C$501,MATCH($C1113,links!$D$2:$D$501,0))),""))</f>
        <v/>
      </c>
      <c r="J1113" s="25">
        <f>IF($C1113="","",IF($G1113="","slug not in links; ","")&amp;IF($D1113="","reading type missing; ","")&amp;IF(COUNTIFS(scans!$C$2:$C$1601,$C1113,scans!$D$2:$D$1601,$D1113)&gt;1,"two readings of this type: keep one; ",""))</f>
        <v/>
      </c>
    </row>
    <row r="1114">
      <c r="A1114" s="9" t="n"/>
      <c r="B1114" s="33" t="n"/>
      <c r="G1114" s="25">
        <f>IF($C1114="","",IFERROR(IF(INDEX(links!$A$2:$A$501,MATCH($C1114,links!$D$2:$D$501,0))="","",INDEX(links!$A$2:$A$501,MATCH($C1114,links!$D$2:$D$501,0))),""))</f>
        <v/>
      </c>
      <c r="H1114" s="25">
        <f>IF($C1114="","",IFERROR(IF(INDEX(links!$B$2:$B$501,MATCH($C1114,links!$D$2:$D$501,0))="","",INDEX(links!$B$2:$B$501,MATCH($C1114,links!$D$2:$D$501,0))),""))</f>
        <v/>
      </c>
      <c r="I1114" s="25">
        <f>IF($C1114="","",IFERROR(IF(INDEX(links!$C$2:$C$501,MATCH($C1114,links!$D$2:$D$501,0))="","",INDEX(links!$C$2:$C$501,MATCH($C1114,links!$D$2:$D$501,0))),""))</f>
        <v/>
      </c>
      <c r="J1114" s="25">
        <f>IF($C1114="","",IF($G1114="","slug not in links; ","")&amp;IF($D1114="","reading type missing; ","")&amp;IF(COUNTIFS(scans!$C$2:$C$1601,$C1114,scans!$D$2:$D$1601,$D1114)&gt;1,"two readings of this type: keep one; ",""))</f>
        <v/>
      </c>
    </row>
    <row r="1115">
      <c r="A1115" s="9" t="n"/>
      <c r="B1115" s="33" t="n"/>
      <c r="G1115" s="25">
        <f>IF($C1115="","",IFERROR(IF(INDEX(links!$A$2:$A$501,MATCH($C1115,links!$D$2:$D$501,0))="","",INDEX(links!$A$2:$A$501,MATCH($C1115,links!$D$2:$D$501,0))),""))</f>
        <v/>
      </c>
      <c r="H1115" s="25">
        <f>IF($C1115="","",IFERROR(IF(INDEX(links!$B$2:$B$501,MATCH($C1115,links!$D$2:$D$501,0))="","",INDEX(links!$B$2:$B$501,MATCH($C1115,links!$D$2:$D$501,0))),""))</f>
        <v/>
      </c>
      <c r="I1115" s="25">
        <f>IF($C1115="","",IFERROR(IF(INDEX(links!$C$2:$C$501,MATCH($C1115,links!$D$2:$D$501,0))="","",INDEX(links!$C$2:$C$501,MATCH($C1115,links!$D$2:$D$501,0))),""))</f>
        <v/>
      </c>
      <c r="J1115" s="25">
        <f>IF($C1115="","",IF($G1115="","slug not in links; ","")&amp;IF($D1115="","reading type missing; ","")&amp;IF(COUNTIFS(scans!$C$2:$C$1601,$C1115,scans!$D$2:$D$1601,$D1115)&gt;1,"two readings of this type: keep one; ",""))</f>
        <v/>
      </c>
    </row>
    <row r="1116">
      <c r="A1116" s="9" t="n"/>
      <c r="B1116" s="33" t="n"/>
      <c r="G1116" s="25">
        <f>IF($C1116="","",IFERROR(IF(INDEX(links!$A$2:$A$501,MATCH($C1116,links!$D$2:$D$501,0))="","",INDEX(links!$A$2:$A$501,MATCH($C1116,links!$D$2:$D$501,0))),""))</f>
        <v/>
      </c>
      <c r="H1116" s="25">
        <f>IF($C1116="","",IFERROR(IF(INDEX(links!$B$2:$B$501,MATCH($C1116,links!$D$2:$D$501,0))="","",INDEX(links!$B$2:$B$501,MATCH($C1116,links!$D$2:$D$501,0))),""))</f>
        <v/>
      </c>
      <c r="I1116" s="25">
        <f>IF($C1116="","",IFERROR(IF(INDEX(links!$C$2:$C$501,MATCH($C1116,links!$D$2:$D$501,0))="","",INDEX(links!$C$2:$C$501,MATCH($C1116,links!$D$2:$D$501,0))),""))</f>
        <v/>
      </c>
      <c r="J1116" s="25">
        <f>IF($C1116="","",IF($G1116="","slug not in links; ","")&amp;IF($D1116="","reading type missing; ","")&amp;IF(COUNTIFS(scans!$C$2:$C$1601,$C1116,scans!$D$2:$D$1601,$D1116)&gt;1,"two readings of this type: keep one; ",""))</f>
        <v/>
      </c>
    </row>
    <row r="1117">
      <c r="A1117" s="9" t="n"/>
      <c r="B1117" s="33" t="n"/>
      <c r="G1117" s="25">
        <f>IF($C1117="","",IFERROR(IF(INDEX(links!$A$2:$A$501,MATCH($C1117,links!$D$2:$D$501,0))="","",INDEX(links!$A$2:$A$501,MATCH($C1117,links!$D$2:$D$501,0))),""))</f>
        <v/>
      </c>
      <c r="H1117" s="25">
        <f>IF($C1117="","",IFERROR(IF(INDEX(links!$B$2:$B$501,MATCH($C1117,links!$D$2:$D$501,0))="","",INDEX(links!$B$2:$B$501,MATCH($C1117,links!$D$2:$D$501,0))),""))</f>
        <v/>
      </c>
      <c r="I1117" s="25">
        <f>IF($C1117="","",IFERROR(IF(INDEX(links!$C$2:$C$501,MATCH($C1117,links!$D$2:$D$501,0))="","",INDEX(links!$C$2:$C$501,MATCH($C1117,links!$D$2:$D$501,0))),""))</f>
        <v/>
      </c>
      <c r="J1117" s="25">
        <f>IF($C1117="","",IF($G1117="","slug not in links; ","")&amp;IF($D1117="","reading type missing; ","")&amp;IF(COUNTIFS(scans!$C$2:$C$1601,$C1117,scans!$D$2:$D$1601,$D1117)&gt;1,"two readings of this type: keep one; ",""))</f>
        <v/>
      </c>
    </row>
    <row r="1118">
      <c r="A1118" s="9" t="n"/>
      <c r="B1118" s="33" t="n"/>
      <c r="G1118" s="25">
        <f>IF($C1118="","",IFERROR(IF(INDEX(links!$A$2:$A$501,MATCH($C1118,links!$D$2:$D$501,0))="","",INDEX(links!$A$2:$A$501,MATCH($C1118,links!$D$2:$D$501,0))),""))</f>
        <v/>
      </c>
      <c r="H1118" s="25">
        <f>IF($C1118="","",IFERROR(IF(INDEX(links!$B$2:$B$501,MATCH($C1118,links!$D$2:$D$501,0))="","",INDEX(links!$B$2:$B$501,MATCH($C1118,links!$D$2:$D$501,0))),""))</f>
        <v/>
      </c>
      <c r="I1118" s="25">
        <f>IF($C1118="","",IFERROR(IF(INDEX(links!$C$2:$C$501,MATCH($C1118,links!$D$2:$D$501,0))="","",INDEX(links!$C$2:$C$501,MATCH($C1118,links!$D$2:$D$501,0))),""))</f>
        <v/>
      </c>
      <c r="J1118" s="25">
        <f>IF($C1118="","",IF($G1118="","slug not in links; ","")&amp;IF($D1118="","reading type missing; ","")&amp;IF(COUNTIFS(scans!$C$2:$C$1601,$C1118,scans!$D$2:$D$1601,$D1118)&gt;1,"two readings of this type: keep one; ",""))</f>
        <v/>
      </c>
    </row>
    <row r="1119">
      <c r="A1119" s="9" t="n"/>
      <c r="B1119" s="33" t="n"/>
      <c r="G1119" s="25">
        <f>IF($C1119="","",IFERROR(IF(INDEX(links!$A$2:$A$501,MATCH($C1119,links!$D$2:$D$501,0))="","",INDEX(links!$A$2:$A$501,MATCH($C1119,links!$D$2:$D$501,0))),""))</f>
        <v/>
      </c>
      <c r="H1119" s="25">
        <f>IF($C1119="","",IFERROR(IF(INDEX(links!$B$2:$B$501,MATCH($C1119,links!$D$2:$D$501,0))="","",INDEX(links!$B$2:$B$501,MATCH($C1119,links!$D$2:$D$501,0))),""))</f>
        <v/>
      </c>
      <c r="I1119" s="25">
        <f>IF($C1119="","",IFERROR(IF(INDEX(links!$C$2:$C$501,MATCH($C1119,links!$D$2:$D$501,0))="","",INDEX(links!$C$2:$C$501,MATCH($C1119,links!$D$2:$D$501,0))),""))</f>
        <v/>
      </c>
      <c r="J1119" s="25">
        <f>IF($C1119="","",IF($G1119="","slug not in links; ","")&amp;IF($D1119="","reading type missing; ","")&amp;IF(COUNTIFS(scans!$C$2:$C$1601,$C1119,scans!$D$2:$D$1601,$D1119)&gt;1,"two readings of this type: keep one; ",""))</f>
        <v/>
      </c>
    </row>
    <row r="1120">
      <c r="A1120" s="9" t="n"/>
      <c r="B1120" s="33" t="n"/>
      <c r="G1120" s="25">
        <f>IF($C1120="","",IFERROR(IF(INDEX(links!$A$2:$A$501,MATCH($C1120,links!$D$2:$D$501,0))="","",INDEX(links!$A$2:$A$501,MATCH($C1120,links!$D$2:$D$501,0))),""))</f>
        <v/>
      </c>
      <c r="H1120" s="25">
        <f>IF($C1120="","",IFERROR(IF(INDEX(links!$B$2:$B$501,MATCH($C1120,links!$D$2:$D$501,0))="","",INDEX(links!$B$2:$B$501,MATCH($C1120,links!$D$2:$D$501,0))),""))</f>
        <v/>
      </c>
      <c r="I1120" s="25">
        <f>IF($C1120="","",IFERROR(IF(INDEX(links!$C$2:$C$501,MATCH($C1120,links!$D$2:$D$501,0))="","",INDEX(links!$C$2:$C$501,MATCH($C1120,links!$D$2:$D$501,0))),""))</f>
        <v/>
      </c>
      <c r="J1120" s="25">
        <f>IF($C1120="","",IF($G1120="","slug not in links; ","")&amp;IF($D1120="","reading type missing; ","")&amp;IF(COUNTIFS(scans!$C$2:$C$1601,$C1120,scans!$D$2:$D$1601,$D1120)&gt;1,"two readings of this type: keep one; ",""))</f>
        <v/>
      </c>
    </row>
    <row r="1121">
      <c r="A1121" s="9" t="n"/>
      <c r="B1121" s="33" t="n"/>
      <c r="G1121" s="25">
        <f>IF($C1121="","",IFERROR(IF(INDEX(links!$A$2:$A$501,MATCH($C1121,links!$D$2:$D$501,0))="","",INDEX(links!$A$2:$A$501,MATCH($C1121,links!$D$2:$D$501,0))),""))</f>
        <v/>
      </c>
      <c r="H1121" s="25">
        <f>IF($C1121="","",IFERROR(IF(INDEX(links!$B$2:$B$501,MATCH($C1121,links!$D$2:$D$501,0))="","",INDEX(links!$B$2:$B$501,MATCH($C1121,links!$D$2:$D$501,0))),""))</f>
        <v/>
      </c>
      <c r="I1121" s="25">
        <f>IF($C1121="","",IFERROR(IF(INDEX(links!$C$2:$C$501,MATCH($C1121,links!$D$2:$D$501,0))="","",INDEX(links!$C$2:$C$501,MATCH($C1121,links!$D$2:$D$501,0))),""))</f>
        <v/>
      </c>
      <c r="J1121" s="25">
        <f>IF($C1121="","",IF($G1121="","slug not in links; ","")&amp;IF($D1121="","reading type missing; ","")&amp;IF(COUNTIFS(scans!$C$2:$C$1601,$C1121,scans!$D$2:$D$1601,$D1121)&gt;1,"two readings of this type: keep one; ",""))</f>
        <v/>
      </c>
    </row>
    <row r="1122">
      <c r="A1122" s="9" t="n"/>
      <c r="B1122" s="33" t="n"/>
      <c r="G1122" s="25">
        <f>IF($C1122="","",IFERROR(IF(INDEX(links!$A$2:$A$501,MATCH($C1122,links!$D$2:$D$501,0))="","",INDEX(links!$A$2:$A$501,MATCH($C1122,links!$D$2:$D$501,0))),""))</f>
        <v/>
      </c>
      <c r="H1122" s="25">
        <f>IF($C1122="","",IFERROR(IF(INDEX(links!$B$2:$B$501,MATCH($C1122,links!$D$2:$D$501,0))="","",INDEX(links!$B$2:$B$501,MATCH($C1122,links!$D$2:$D$501,0))),""))</f>
        <v/>
      </c>
      <c r="I1122" s="25">
        <f>IF($C1122="","",IFERROR(IF(INDEX(links!$C$2:$C$501,MATCH($C1122,links!$D$2:$D$501,0))="","",INDEX(links!$C$2:$C$501,MATCH($C1122,links!$D$2:$D$501,0))),""))</f>
        <v/>
      </c>
      <c r="J1122" s="25">
        <f>IF($C1122="","",IF($G1122="","slug not in links; ","")&amp;IF($D1122="","reading type missing; ","")&amp;IF(COUNTIFS(scans!$C$2:$C$1601,$C1122,scans!$D$2:$D$1601,$D1122)&gt;1,"two readings of this type: keep one; ",""))</f>
        <v/>
      </c>
    </row>
    <row r="1123">
      <c r="A1123" s="9" t="n"/>
      <c r="B1123" s="33" t="n"/>
      <c r="G1123" s="25">
        <f>IF($C1123="","",IFERROR(IF(INDEX(links!$A$2:$A$501,MATCH($C1123,links!$D$2:$D$501,0))="","",INDEX(links!$A$2:$A$501,MATCH($C1123,links!$D$2:$D$501,0))),""))</f>
        <v/>
      </c>
      <c r="H1123" s="25">
        <f>IF($C1123="","",IFERROR(IF(INDEX(links!$B$2:$B$501,MATCH($C1123,links!$D$2:$D$501,0))="","",INDEX(links!$B$2:$B$501,MATCH($C1123,links!$D$2:$D$501,0))),""))</f>
        <v/>
      </c>
      <c r="I1123" s="25">
        <f>IF($C1123="","",IFERROR(IF(INDEX(links!$C$2:$C$501,MATCH($C1123,links!$D$2:$D$501,0))="","",INDEX(links!$C$2:$C$501,MATCH($C1123,links!$D$2:$D$501,0))),""))</f>
        <v/>
      </c>
      <c r="J1123" s="25">
        <f>IF($C1123="","",IF($G1123="","slug not in links; ","")&amp;IF($D1123="","reading type missing; ","")&amp;IF(COUNTIFS(scans!$C$2:$C$1601,$C1123,scans!$D$2:$D$1601,$D1123)&gt;1,"two readings of this type: keep one; ",""))</f>
        <v/>
      </c>
    </row>
    <row r="1124">
      <c r="A1124" s="9" t="n"/>
      <c r="B1124" s="33" t="n"/>
      <c r="G1124" s="25">
        <f>IF($C1124="","",IFERROR(IF(INDEX(links!$A$2:$A$501,MATCH($C1124,links!$D$2:$D$501,0))="","",INDEX(links!$A$2:$A$501,MATCH($C1124,links!$D$2:$D$501,0))),""))</f>
        <v/>
      </c>
      <c r="H1124" s="25">
        <f>IF($C1124="","",IFERROR(IF(INDEX(links!$B$2:$B$501,MATCH($C1124,links!$D$2:$D$501,0))="","",INDEX(links!$B$2:$B$501,MATCH($C1124,links!$D$2:$D$501,0))),""))</f>
        <v/>
      </c>
      <c r="I1124" s="25">
        <f>IF($C1124="","",IFERROR(IF(INDEX(links!$C$2:$C$501,MATCH($C1124,links!$D$2:$D$501,0))="","",INDEX(links!$C$2:$C$501,MATCH($C1124,links!$D$2:$D$501,0))),""))</f>
        <v/>
      </c>
      <c r="J1124" s="25">
        <f>IF($C1124="","",IF($G1124="","slug not in links; ","")&amp;IF($D1124="","reading type missing; ","")&amp;IF(COUNTIFS(scans!$C$2:$C$1601,$C1124,scans!$D$2:$D$1601,$D1124)&gt;1,"two readings of this type: keep one; ",""))</f>
        <v/>
      </c>
    </row>
    <row r="1125">
      <c r="A1125" s="9" t="n"/>
      <c r="B1125" s="33" t="n"/>
      <c r="G1125" s="25">
        <f>IF($C1125="","",IFERROR(IF(INDEX(links!$A$2:$A$501,MATCH($C1125,links!$D$2:$D$501,0))="","",INDEX(links!$A$2:$A$501,MATCH($C1125,links!$D$2:$D$501,0))),""))</f>
        <v/>
      </c>
      <c r="H1125" s="25">
        <f>IF($C1125="","",IFERROR(IF(INDEX(links!$B$2:$B$501,MATCH($C1125,links!$D$2:$D$501,0))="","",INDEX(links!$B$2:$B$501,MATCH($C1125,links!$D$2:$D$501,0))),""))</f>
        <v/>
      </c>
      <c r="I1125" s="25">
        <f>IF($C1125="","",IFERROR(IF(INDEX(links!$C$2:$C$501,MATCH($C1125,links!$D$2:$D$501,0))="","",INDEX(links!$C$2:$C$501,MATCH($C1125,links!$D$2:$D$501,0))),""))</f>
        <v/>
      </c>
      <c r="J1125" s="25">
        <f>IF($C1125="","",IF($G1125="","slug not in links; ","")&amp;IF($D1125="","reading type missing; ","")&amp;IF(COUNTIFS(scans!$C$2:$C$1601,$C1125,scans!$D$2:$D$1601,$D1125)&gt;1,"two readings of this type: keep one; ",""))</f>
        <v/>
      </c>
    </row>
    <row r="1126">
      <c r="A1126" s="9" t="n"/>
      <c r="B1126" s="33" t="n"/>
      <c r="G1126" s="25">
        <f>IF($C1126="","",IFERROR(IF(INDEX(links!$A$2:$A$501,MATCH($C1126,links!$D$2:$D$501,0))="","",INDEX(links!$A$2:$A$501,MATCH($C1126,links!$D$2:$D$501,0))),""))</f>
        <v/>
      </c>
      <c r="H1126" s="25">
        <f>IF($C1126="","",IFERROR(IF(INDEX(links!$B$2:$B$501,MATCH($C1126,links!$D$2:$D$501,0))="","",INDEX(links!$B$2:$B$501,MATCH($C1126,links!$D$2:$D$501,0))),""))</f>
        <v/>
      </c>
      <c r="I1126" s="25">
        <f>IF($C1126="","",IFERROR(IF(INDEX(links!$C$2:$C$501,MATCH($C1126,links!$D$2:$D$501,0))="","",INDEX(links!$C$2:$C$501,MATCH($C1126,links!$D$2:$D$501,0))),""))</f>
        <v/>
      </c>
      <c r="J1126" s="25">
        <f>IF($C1126="","",IF($G1126="","slug not in links; ","")&amp;IF($D1126="","reading type missing; ","")&amp;IF(COUNTIFS(scans!$C$2:$C$1601,$C1126,scans!$D$2:$D$1601,$D1126)&gt;1,"two readings of this type: keep one; ",""))</f>
        <v/>
      </c>
    </row>
    <row r="1127">
      <c r="A1127" s="9" t="n"/>
      <c r="B1127" s="33" t="n"/>
      <c r="G1127" s="25">
        <f>IF($C1127="","",IFERROR(IF(INDEX(links!$A$2:$A$501,MATCH($C1127,links!$D$2:$D$501,0))="","",INDEX(links!$A$2:$A$501,MATCH($C1127,links!$D$2:$D$501,0))),""))</f>
        <v/>
      </c>
      <c r="H1127" s="25">
        <f>IF($C1127="","",IFERROR(IF(INDEX(links!$B$2:$B$501,MATCH($C1127,links!$D$2:$D$501,0))="","",INDEX(links!$B$2:$B$501,MATCH($C1127,links!$D$2:$D$501,0))),""))</f>
        <v/>
      </c>
      <c r="I1127" s="25">
        <f>IF($C1127="","",IFERROR(IF(INDEX(links!$C$2:$C$501,MATCH($C1127,links!$D$2:$D$501,0))="","",INDEX(links!$C$2:$C$501,MATCH($C1127,links!$D$2:$D$501,0))),""))</f>
        <v/>
      </c>
      <c r="J1127" s="25">
        <f>IF($C1127="","",IF($G1127="","slug not in links; ","")&amp;IF($D1127="","reading type missing; ","")&amp;IF(COUNTIFS(scans!$C$2:$C$1601,$C1127,scans!$D$2:$D$1601,$D1127)&gt;1,"two readings of this type: keep one; ",""))</f>
        <v/>
      </c>
    </row>
    <row r="1128">
      <c r="A1128" s="9" t="n"/>
      <c r="B1128" s="33" t="n"/>
      <c r="G1128" s="25">
        <f>IF($C1128="","",IFERROR(IF(INDEX(links!$A$2:$A$501,MATCH($C1128,links!$D$2:$D$501,0))="","",INDEX(links!$A$2:$A$501,MATCH($C1128,links!$D$2:$D$501,0))),""))</f>
        <v/>
      </c>
      <c r="H1128" s="25">
        <f>IF($C1128="","",IFERROR(IF(INDEX(links!$B$2:$B$501,MATCH($C1128,links!$D$2:$D$501,0))="","",INDEX(links!$B$2:$B$501,MATCH($C1128,links!$D$2:$D$501,0))),""))</f>
        <v/>
      </c>
      <c r="I1128" s="25">
        <f>IF($C1128="","",IFERROR(IF(INDEX(links!$C$2:$C$501,MATCH($C1128,links!$D$2:$D$501,0))="","",INDEX(links!$C$2:$C$501,MATCH($C1128,links!$D$2:$D$501,0))),""))</f>
        <v/>
      </c>
      <c r="J1128" s="25">
        <f>IF($C1128="","",IF($G1128="","slug not in links; ","")&amp;IF($D1128="","reading type missing; ","")&amp;IF(COUNTIFS(scans!$C$2:$C$1601,$C1128,scans!$D$2:$D$1601,$D1128)&gt;1,"two readings of this type: keep one; ",""))</f>
        <v/>
      </c>
    </row>
    <row r="1129">
      <c r="A1129" s="9" t="n"/>
      <c r="B1129" s="33" t="n"/>
      <c r="G1129" s="25">
        <f>IF($C1129="","",IFERROR(IF(INDEX(links!$A$2:$A$501,MATCH($C1129,links!$D$2:$D$501,0))="","",INDEX(links!$A$2:$A$501,MATCH($C1129,links!$D$2:$D$501,0))),""))</f>
        <v/>
      </c>
      <c r="H1129" s="25">
        <f>IF($C1129="","",IFERROR(IF(INDEX(links!$B$2:$B$501,MATCH($C1129,links!$D$2:$D$501,0))="","",INDEX(links!$B$2:$B$501,MATCH($C1129,links!$D$2:$D$501,0))),""))</f>
        <v/>
      </c>
      <c r="I1129" s="25">
        <f>IF($C1129="","",IFERROR(IF(INDEX(links!$C$2:$C$501,MATCH($C1129,links!$D$2:$D$501,0))="","",INDEX(links!$C$2:$C$501,MATCH($C1129,links!$D$2:$D$501,0))),""))</f>
        <v/>
      </c>
      <c r="J1129" s="25">
        <f>IF($C1129="","",IF($G1129="","slug not in links; ","")&amp;IF($D1129="","reading type missing; ","")&amp;IF(COUNTIFS(scans!$C$2:$C$1601,$C1129,scans!$D$2:$D$1601,$D1129)&gt;1,"two readings of this type: keep one; ",""))</f>
        <v/>
      </c>
    </row>
    <row r="1130">
      <c r="A1130" s="9" t="n"/>
      <c r="B1130" s="33" t="n"/>
      <c r="G1130" s="25">
        <f>IF($C1130="","",IFERROR(IF(INDEX(links!$A$2:$A$501,MATCH($C1130,links!$D$2:$D$501,0))="","",INDEX(links!$A$2:$A$501,MATCH($C1130,links!$D$2:$D$501,0))),""))</f>
        <v/>
      </c>
      <c r="H1130" s="25">
        <f>IF($C1130="","",IFERROR(IF(INDEX(links!$B$2:$B$501,MATCH($C1130,links!$D$2:$D$501,0))="","",INDEX(links!$B$2:$B$501,MATCH($C1130,links!$D$2:$D$501,0))),""))</f>
        <v/>
      </c>
      <c r="I1130" s="25">
        <f>IF($C1130="","",IFERROR(IF(INDEX(links!$C$2:$C$501,MATCH($C1130,links!$D$2:$D$501,0))="","",INDEX(links!$C$2:$C$501,MATCH($C1130,links!$D$2:$D$501,0))),""))</f>
        <v/>
      </c>
      <c r="J1130" s="25">
        <f>IF($C1130="","",IF($G1130="","slug not in links; ","")&amp;IF($D1130="","reading type missing; ","")&amp;IF(COUNTIFS(scans!$C$2:$C$1601,$C1130,scans!$D$2:$D$1601,$D1130)&gt;1,"two readings of this type: keep one; ",""))</f>
        <v/>
      </c>
    </row>
    <row r="1131">
      <c r="A1131" s="9" t="n"/>
      <c r="B1131" s="33" t="n"/>
      <c r="G1131" s="25">
        <f>IF($C1131="","",IFERROR(IF(INDEX(links!$A$2:$A$501,MATCH($C1131,links!$D$2:$D$501,0))="","",INDEX(links!$A$2:$A$501,MATCH($C1131,links!$D$2:$D$501,0))),""))</f>
        <v/>
      </c>
      <c r="H1131" s="25">
        <f>IF($C1131="","",IFERROR(IF(INDEX(links!$B$2:$B$501,MATCH($C1131,links!$D$2:$D$501,0))="","",INDEX(links!$B$2:$B$501,MATCH($C1131,links!$D$2:$D$501,0))),""))</f>
        <v/>
      </c>
      <c r="I1131" s="25">
        <f>IF($C1131="","",IFERROR(IF(INDEX(links!$C$2:$C$501,MATCH($C1131,links!$D$2:$D$501,0))="","",INDEX(links!$C$2:$C$501,MATCH($C1131,links!$D$2:$D$501,0))),""))</f>
        <v/>
      </c>
      <c r="J1131" s="25">
        <f>IF($C1131="","",IF($G1131="","slug not in links; ","")&amp;IF($D1131="","reading type missing; ","")&amp;IF(COUNTIFS(scans!$C$2:$C$1601,$C1131,scans!$D$2:$D$1601,$D1131)&gt;1,"two readings of this type: keep one; ",""))</f>
        <v/>
      </c>
    </row>
    <row r="1132">
      <c r="A1132" s="9" t="n"/>
      <c r="B1132" s="33" t="n"/>
      <c r="G1132" s="25">
        <f>IF($C1132="","",IFERROR(IF(INDEX(links!$A$2:$A$501,MATCH($C1132,links!$D$2:$D$501,0))="","",INDEX(links!$A$2:$A$501,MATCH($C1132,links!$D$2:$D$501,0))),""))</f>
        <v/>
      </c>
      <c r="H1132" s="25">
        <f>IF($C1132="","",IFERROR(IF(INDEX(links!$B$2:$B$501,MATCH($C1132,links!$D$2:$D$501,0))="","",INDEX(links!$B$2:$B$501,MATCH($C1132,links!$D$2:$D$501,0))),""))</f>
        <v/>
      </c>
      <c r="I1132" s="25">
        <f>IF($C1132="","",IFERROR(IF(INDEX(links!$C$2:$C$501,MATCH($C1132,links!$D$2:$D$501,0))="","",INDEX(links!$C$2:$C$501,MATCH($C1132,links!$D$2:$D$501,0))),""))</f>
        <v/>
      </c>
      <c r="J1132" s="25">
        <f>IF($C1132="","",IF($G1132="","slug not in links; ","")&amp;IF($D1132="","reading type missing; ","")&amp;IF(COUNTIFS(scans!$C$2:$C$1601,$C1132,scans!$D$2:$D$1601,$D1132)&gt;1,"two readings of this type: keep one; ",""))</f>
        <v/>
      </c>
    </row>
    <row r="1133">
      <c r="A1133" s="9" t="n"/>
      <c r="B1133" s="33" t="n"/>
      <c r="G1133" s="25">
        <f>IF($C1133="","",IFERROR(IF(INDEX(links!$A$2:$A$501,MATCH($C1133,links!$D$2:$D$501,0))="","",INDEX(links!$A$2:$A$501,MATCH($C1133,links!$D$2:$D$501,0))),""))</f>
        <v/>
      </c>
      <c r="H1133" s="25">
        <f>IF($C1133="","",IFERROR(IF(INDEX(links!$B$2:$B$501,MATCH($C1133,links!$D$2:$D$501,0))="","",INDEX(links!$B$2:$B$501,MATCH($C1133,links!$D$2:$D$501,0))),""))</f>
        <v/>
      </c>
      <c r="I1133" s="25">
        <f>IF($C1133="","",IFERROR(IF(INDEX(links!$C$2:$C$501,MATCH($C1133,links!$D$2:$D$501,0))="","",INDEX(links!$C$2:$C$501,MATCH($C1133,links!$D$2:$D$501,0))),""))</f>
        <v/>
      </c>
      <c r="J1133" s="25">
        <f>IF($C1133="","",IF($G1133="","slug not in links; ","")&amp;IF($D1133="","reading type missing; ","")&amp;IF(COUNTIFS(scans!$C$2:$C$1601,$C1133,scans!$D$2:$D$1601,$D1133)&gt;1,"two readings of this type: keep one; ",""))</f>
        <v/>
      </c>
    </row>
    <row r="1134">
      <c r="A1134" s="9" t="n"/>
      <c r="B1134" s="33" t="n"/>
      <c r="G1134" s="25">
        <f>IF($C1134="","",IFERROR(IF(INDEX(links!$A$2:$A$501,MATCH($C1134,links!$D$2:$D$501,0))="","",INDEX(links!$A$2:$A$501,MATCH($C1134,links!$D$2:$D$501,0))),""))</f>
        <v/>
      </c>
      <c r="H1134" s="25">
        <f>IF($C1134="","",IFERROR(IF(INDEX(links!$B$2:$B$501,MATCH($C1134,links!$D$2:$D$501,0))="","",INDEX(links!$B$2:$B$501,MATCH($C1134,links!$D$2:$D$501,0))),""))</f>
        <v/>
      </c>
      <c r="I1134" s="25">
        <f>IF($C1134="","",IFERROR(IF(INDEX(links!$C$2:$C$501,MATCH($C1134,links!$D$2:$D$501,0))="","",INDEX(links!$C$2:$C$501,MATCH($C1134,links!$D$2:$D$501,0))),""))</f>
        <v/>
      </c>
      <c r="J1134" s="25">
        <f>IF($C1134="","",IF($G1134="","slug not in links; ","")&amp;IF($D1134="","reading type missing; ","")&amp;IF(COUNTIFS(scans!$C$2:$C$1601,$C1134,scans!$D$2:$D$1601,$D1134)&gt;1,"two readings of this type: keep one; ",""))</f>
        <v/>
      </c>
    </row>
    <row r="1135">
      <c r="A1135" s="9" t="n"/>
      <c r="B1135" s="33" t="n"/>
      <c r="G1135" s="25">
        <f>IF($C1135="","",IFERROR(IF(INDEX(links!$A$2:$A$501,MATCH($C1135,links!$D$2:$D$501,0))="","",INDEX(links!$A$2:$A$501,MATCH($C1135,links!$D$2:$D$501,0))),""))</f>
        <v/>
      </c>
      <c r="H1135" s="25">
        <f>IF($C1135="","",IFERROR(IF(INDEX(links!$B$2:$B$501,MATCH($C1135,links!$D$2:$D$501,0))="","",INDEX(links!$B$2:$B$501,MATCH($C1135,links!$D$2:$D$501,0))),""))</f>
        <v/>
      </c>
      <c r="I1135" s="25">
        <f>IF($C1135="","",IFERROR(IF(INDEX(links!$C$2:$C$501,MATCH($C1135,links!$D$2:$D$501,0))="","",INDEX(links!$C$2:$C$501,MATCH($C1135,links!$D$2:$D$501,0))),""))</f>
        <v/>
      </c>
      <c r="J1135" s="25">
        <f>IF($C1135="","",IF($G1135="","slug not in links; ","")&amp;IF($D1135="","reading type missing; ","")&amp;IF(COUNTIFS(scans!$C$2:$C$1601,$C1135,scans!$D$2:$D$1601,$D1135)&gt;1,"two readings of this type: keep one; ",""))</f>
        <v/>
      </c>
    </row>
    <row r="1136">
      <c r="A1136" s="9" t="n"/>
      <c r="B1136" s="33" t="n"/>
      <c r="G1136" s="25">
        <f>IF($C1136="","",IFERROR(IF(INDEX(links!$A$2:$A$501,MATCH($C1136,links!$D$2:$D$501,0))="","",INDEX(links!$A$2:$A$501,MATCH($C1136,links!$D$2:$D$501,0))),""))</f>
        <v/>
      </c>
      <c r="H1136" s="25">
        <f>IF($C1136="","",IFERROR(IF(INDEX(links!$B$2:$B$501,MATCH($C1136,links!$D$2:$D$501,0))="","",INDEX(links!$B$2:$B$501,MATCH($C1136,links!$D$2:$D$501,0))),""))</f>
        <v/>
      </c>
      <c r="I1136" s="25">
        <f>IF($C1136="","",IFERROR(IF(INDEX(links!$C$2:$C$501,MATCH($C1136,links!$D$2:$D$501,0))="","",INDEX(links!$C$2:$C$501,MATCH($C1136,links!$D$2:$D$501,0))),""))</f>
        <v/>
      </c>
      <c r="J1136" s="25">
        <f>IF($C1136="","",IF($G1136="","slug not in links; ","")&amp;IF($D1136="","reading type missing; ","")&amp;IF(COUNTIFS(scans!$C$2:$C$1601,$C1136,scans!$D$2:$D$1601,$D1136)&gt;1,"two readings of this type: keep one; ",""))</f>
        <v/>
      </c>
    </row>
    <row r="1137">
      <c r="A1137" s="9" t="n"/>
      <c r="B1137" s="33" t="n"/>
      <c r="G1137" s="25">
        <f>IF($C1137="","",IFERROR(IF(INDEX(links!$A$2:$A$501,MATCH($C1137,links!$D$2:$D$501,0))="","",INDEX(links!$A$2:$A$501,MATCH($C1137,links!$D$2:$D$501,0))),""))</f>
        <v/>
      </c>
      <c r="H1137" s="25">
        <f>IF($C1137="","",IFERROR(IF(INDEX(links!$B$2:$B$501,MATCH($C1137,links!$D$2:$D$501,0))="","",INDEX(links!$B$2:$B$501,MATCH($C1137,links!$D$2:$D$501,0))),""))</f>
        <v/>
      </c>
      <c r="I1137" s="25">
        <f>IF($C1137="","",IFERROR(IF(INDEX(links!$C$2:$C$501,MATCH($C1137,links!$D$2:$D$501,0))="","",INDEX(links!$C$2:$C$501,MATCH($C1137,links!$D$2:$D$501,0))),""))</f>
        <v/>
      </c>
      <c r="J1137" s="25">
        <f>IF($C1137="","",IF($G1137="","slug not in links; ","")&amp;IF($D1137="","reading type missing; ","")&amp;IF(COUNTIFS(scans!$C$2:$C$1601,$C1137,scans!$D$2:$D$1601,$D1137)&gt;1,"two readings of this type: keep one; ",""))</f>
        <v/>
      </c>
    </row>
    <row r="1138">
      <c r="A1138" s="9" t="n"/>
      <c r="B1138" s="33" t="n"/>
      <c r="G1138" s="25">
        <f>IF($C1138="","",IFERROR(IF(INDEX(links!$A$2:$A$501,MATCH($C1138,links!$D$2:$D$501,0))="","",INDEX(links!$A$2:$A$501,MATCH($C1138,links!$D$2:$D$501,0))),""))</f>
        <v/>
      </c>
      <c r="H1138" s="25">
        <f>IF($C1138="","",IFERROR(IF(INDEX(links!$B$2:$B$501,MATCH($C1138,links!$D$2:$D$501,0))="","",INDEX(links!$B$2:$B$501,MATCH($C1138,links!$D$2:$D$501,0))),""))</f>
        <v/>
      </c>
      <c r="I1138" s="25">
        <f>IF($C1138="","",IFERROR(IF(INDEX(links!$C$2:$C$501,MATCH($C1138,links!$D$2:$D$501,0))="","",INDEX(links!$C$2:$C$501,MATCH($C1138,links!$D$2:$D$501,0))),""))</f>
        <v/>
      </c>
      <c r="J1138" s="25">
        <f>IF($C1138="","",IF($G1138="","slug not in links; ","")&amp;IF($D1138="","reading type missing; ","")&amp;IF(COUNTIFS(scans!$C$2:$C$1601,$C1138,scans!$D$2:$D$1601,$D1138)&gt;1,"two readings of this type: keep one; ",""))</f>
        <v/>
      </c>
    </row>
    <row r="1139">
      <c r="A1139" s="9" t="n"/>
      <c r="B1139" s="33" t="n"/>
      <c r="G1139" s="25">
        <f>IF($C1139="","",IFERROR(IF(INDEX(links!$A$2:$A$501,MATCH($C1139,links!$D$2:$D$501,0))="","",INDEX(links!$A$2:$A$501,MATCH($C1139,links!$D$2:$D$501,0))),""))</f>
        <v/>
      </c>
      <c r="H1139" s="25">
        <f>IF($C1139="","",IFERROR(IF(INDEX(links!$B$2:$B$501,MATCH($C1139,links!$D$2:$D$501,0))="","",INDEX(links!$B$2:$B$501,MATCH($C1139,links!$D$2:$D$501,0))),""))</f>
        <v/>
      </c>
      <c r="I1139" s="25">
        <f>IF($C1139="","",IFERROR(IF(INDEX(links!$C$2:$C$501,MATCH($C1139,links!$D$2:$D$501,0))="","",INDEX(links!$C$2:$C$501,MATCH($C1139,links!$D$2:$D$501,0))),""))</f>
        <v/>
      </c>
      <c r="J1139" s="25">
        <f>IF($C1139="","",IF($G1139="","slug not in links; ","")&amp;IF($D1139="","reading type missing; ","")&amp;IF(COUNTIFS(scans!$C$2:$C$1601,$C1139,scans!$D$2:$D$1601,$D1139)&gt;1,"two readings of this type: keep one; ",""))</f>
        <v/>
      </c>
    </row>
    <row r="1140">
      <c r="A1140" s="9" t="n"/>
      <c r="B1140" s="33" t="n"/>
      <c r="G1140" s="25">
        <f>IF($C1140="","",IFERROR(IF(INDEX(links!$A$2:$A$501,MATCH($C1140,links!$D$2:$D$501,0))="","",INDEX(links!$A$2:$A$501,MATCH($C1140,links!$D$2:$D$501,0))),""))</f>
        <v/>
      </c>
      <c r="H1140" s="25">
        <f>IF($C1140="","",IFERROR(IF(INDEX(links!$B$2:$B$501,MATCH($C1140,links!$D$2:$D$501,0))="","",INDEX(links!$B$2:$B$501,MATCH($C1140,links!$D$2:$D$501,0))),""))</f>
        <v/>
      </c>
      <c r="I1140" s="25">
        <f>IF($C1140="","",IFERROR(IF(INDEX(links!$C$2:$C$501,MATCH($C1140,links!$D$2:$D$501,0))="","",INDEX(links!$C$2:$C$501,MATCH($C1140,links!$D$2:$D$501,0))),""))</f>
        <v/>
      </c>
      <c r="J1140" s="25">
        <f>IF($C1140="","",IF($G1140="","slug not in links; ","")&amp;IF($D1140="","reading type missing; ","")&amp;IF(COUNTIFS(scans!$C$2:$C$1601,$C1140,scans!$D$2:$D$1601,$D1140)&gt;1,"two readings of this type: keep one; ",""))</f>
        <v/>
      </c>
    </row>
    <row r="1141">
      <c r="A1141" s="9" t="n"/>
      <c r="B1141" s="33" t="n"/>
      <c r="G1141" s="25">
        <f>IF($C1141="","",IFERROR(IF(INDEX(links!$A$2:$A$501,MATCH($C1141,links!$D$2:$D$501,0))="","",INDEX(links!$A$2:$A$501,MATCH($C1141,links!$D$2:$D$501,0))),""))</f>
        <v/>
      </c>
      <c r="H1141" s="25">
        <f>IF($C1141="","",IFERROR(IF(INDEX(links!$B$2:$B$501,MATCH($C1141,links!$D$2:$D$501,0))="","",INDEX(links!$B$2:$B$501,MATCH($C1141,links!$D$2:$D$501,0))),""))</f>
        <v/>
      </c>
      <c r="I1141" s="25">
        <f>IF($C1141="","",IFERROR(IF(INDEX(links!$C$2:$C$501,MATCH($C1141,links!$D$2:$D$501,0))="","",INDEX(links!$C$2:$C$501,MATCH($C1141,links!$D$2:$D$501,0))),""))</f>
        <v/>
      </c>
      <c r="J1141" s="25">
        <f>IF($C1141="","",IF($G1141="","slug not in links; ","")&amp;IF($D1141="","reading type missing; ","")&amp;IF(COUNTIFS(scans!$C$2:$C$1601,$C1141,scans!$D$2:$D$1601,$D1141)&gt;1,"two readings of this type: keep one; ",""))</f>
        <v/>
      </c>
    </row>
    <row r="1142">
      <c r="A1142" s="9" t="n"/>
      <c r="B1142" s="33" t="n"/>
      <c r="G1142" s="25">
        <f>IF($C1142="","",IFERROR(IF(INDEX(links!$A$2:$A$501,MATCH($C1142,links!$D$2:$D$501,0))="","",INDEX(links!$A$2:$A$501,MATCH($C1142,links!$D$2:$D$501,0))),""))</f>
        <v/>
      </c>
      <c r="H1142" s="25">
        <f>IF($C1142="","",IFERROR(IF(INDEX(links!$B$2:$B$501,MATCH($C1142,links!$D$2:$D$501,0))="","",INDEX(links!$B$2:$B$501,MATCH($C1142,links!$D$2:$D$501,0))),""))</f>
        <v/>
      </c>
      <c r="I1142" s="25">
        <f>IF($C1142="","",IFERROR(IF(INDEX(links!$C$2:$C$501,MATCH($C1142,links!$D$2:$D$501,0))="","",INDEX(links!$C$2:$C$501,MATCH($C1142,links!$D$2:$D$501,0))),""))</f>
        <v/>
      </c>
      <c r="J1142" s="25">
        <f>IF($C1142="","",IF($G1142="","slug not in links; ","")&amp;IF($D1142="","reading type missing; ","")&amp;IF(COUNTIFS(scans!$C$2:$C$1601,$C1142,scans!$D$2:$D$1601,$D1142)&gt;1,"two readings of this type: keep one; ",""))</f>
        <v/>
      </c>
    </row>
    <row r="1143">
      <c r="A1143" s="9" t="n"/>
      <c r="B1143" s="33" t="n"/>
      <c r="G1143" s="25">
        <f>IF($C1143="","",IFERROR(IF(INDEX(links!$A$2:$A$501,MATCH($C1143,links!$D$2:$D$501,0))="","",INDEX(links!$A$2:$A$501,MATCH($C1143,links!$D$2:$D$501,0))),""))</f>
        <v/>
      </c>
      <c r="H1143" s="25">
        <f>IF($C1143="","",IFERROR(IF(INDEX(links!$B$2:$B$501,MATCH($C1143,links!$D$2:$D$501,0))="","",INDEX(links!$B$2:$B$501,MATCH($C1143,links!$D$2:$D$501,0))),""))</f>
        <v/>
      </c>
      <c r="I1143" s="25">
        <f>IF($C1143="","",IFERROR(IF(INDEX(links!$C$2:$C$501,MATCH($C1143,links!$D$2:$D$501,0))="","",INDEX(links!$C$2:$C$501,MATCH($C1143,links!$D$2:$D$501,0))),""))</f>
        <v/>
      </c>
      <c r="J1143" s="25">
        <f>IF($C1143="","",IF($G1143="","slug not in links; ","")&amp;IF($D1143="","reading type missing; ","")&amp;IF(COUNTIFS(scans!$C$2:$C$1601,$C1143,scans!$D$2:$D$1601,$D1143)&gt;1,"two readings of this type: keep one; ",""))</f>
        <v/>
      </c>
    </row>
    <row r="1144">
      <c r="A1144" s="9" t="n"/>
      <c r="B1144" s="33" t="n"/>
      <c r="G1144" s="25">
        <f>IF($C1144="","",IFERROR(IF(INDEX(links!$A$2:$A$501,MATCH($C1144,links!$D$2:$D$501,0))="","",INDEX(links!$A$2:$A$501,MATCH($C1144,links!$D$2:$D$501,0))),""))</f>
        <v/>
      </c>
      <c r="H1144" s="25">
        <f>IF($C1144="","",IFERROR(IF(INDEX(links!$B$2:$B$501,MATCH($C1144,links!$D$2:$D$501,0))="","",INDEX(links!$B$2:$B$501,MATCH($C1144,links!$D$2:$D$501,0))),""))</f>
        <v/>
      </c>
      <c r="I1144" s="25">
        <f>IF($C1144="","",IFERROR(IF(INDEX(links!$C$2:$C$501,MATCH($C1144,links!$D$2:$D$501,0))="","",INDEX(links!$C$2:$C$501,MATCH($C1144,links!$D$2:$D$501,0))),""))</f>
        <v/>
      </c>
      <c r="J1144" s="25">
        <f>IF($C1144="","",IF($G1144="","slug not in links; ","")&amp;IF($D1144="","reading type missing; ","")&amp;IF(COUNTIFS(scans!$C$2:$C$1601,$C1144,scans!$D$2:$D$1601,$D1144)&gt;1,"two readings of this type: keep one; ",""))</f>
        <v/>
      </c>
    </row>
    <row r="1145">
      <c r="A1145" s="9" t="n"/>
      <c r="B1145" s="33" t="n"/>
      <c r="G1145" s="25">
        <f>IF($C1145="","",IFERROR(IF(INDEX(links!$A$2:$A$501,MATCH($C1145,links!$D$2:$D$501,0))="","",INDEX(links!$A$2:$A$501,MATCH($C1145,links!$D$2:$D$501,0))),""))</f>
        <v/>
      </c>
      <c r="H1145" s="25">
        <f>IF($C1145="","",IFERROR(IF(INDEX(links!$B$2:$B$501,MATCH($C1145,links!$D$2:$D$501,0))="","",INDEX(links!$B$2:$B$501,MATCH($C1145,links!$D$2:$D$501,0))),""))</f>
        <v/>
      </c>
      <c r="I1145" s="25">
        <f>IF($C1145="","",IFERROR(IF(INDEX(links!$C$2:$C$501,MATCH($C1145,links!$D$2:$D$501,0))="","",INDEX(links!$C$2:$C$501,MATCH($C1145,links!$D$2:$D$501,0))),""))</f>
        <v/>
      </c>
      <c r="J1145" s="25">
        <f>IF($C1145="","",IF($G1145="","slug not in links; ","")&amp;IF($D1145="","reading type missing; ","")&amp;IF(COUNTIFS(scans!$C$2:$C$1601,$C1145,scans!$D$2:$D$1601,$D1145)&gt;1,"two readings of this type: keep one; ",""))</f>
        <v/>
      </c>
    </row>
    <row r="1146">
      <c r="A1146" s="9" t="n"/>
      <c r="B1146" s="33" t="n"/>
      <c r="G1146" s="25">
        <f>IF($C1146="","",IFERROR(IF(INDEX(links!$A$2:$A$501,MATCH($C1146,links!$D$2:$D$501,0))="","",INDEX(links!$A$2:$A$501,MATCH($C1146,links!$D$2:$D$501,0))),""))</f>
        <v/>
      </c>
      <c r="H1146" s="25">
        <f>IF($C1146="","",IFERROR(IF(INDEX(links!$B$2:$B$501,MATCH($C1146,links!$D$2:$D$501,0))="","",INDEX(links!$B$2:$B$501,MATCH($C1146,links!$D$2:$D$501,0))),""))</f>
        <v/>
      </c>
      <c r="I1146" s="25">
        <f>IF($C1146="","",IFERROR(IF(INDEX(links!$C$2:$C$501,MATCH($C1146,links!$D$2:$D$501,0))="","",INDEX(links!$C$2:$C$501,MATCH($C1146,links!$D$2:$D$501,0))),""))</f>
        <v/>
      </c>
      <c r="J1146" s="25">
        <f>IF($C1146="","",IF($G1146="","slug not in links; ","")&amp;IF($D1146="","reading type missing; ","")&amp;IF(COUNTIFS(scans!$C$2:$C$1601,$C1146,scans!$D$2:$D$1601,$D1146)&gt;1,"two readings of this type: keep one; ",""))</f>
        <v/>
      </c>
    </row>
    <row r="1147">
      <c r="A1147" s="9" t="n"/>
      <c r="B1147" s="33" t="n"/>
      <c r="G1147" s="25">
        <f>IF($C1147="","",IFERROR(IF(INDEX(links!$A$2:$A$501,MATCH($C1147,links!$D$2:$D$501,0))="","",INDEX(links!$A$2:$A$501,MATCH($C1147,links!$D$2:$D$501,0))),""))</f>
        <v/>
      </c>
      <c r="H1147" s="25">
        <f>IF($C1147="","",IFERROR(IF(INDEX(links!$B$2:$B$501,MATCH($C1147,links!$D$2:$D$501,0))="","",INDEX(links!$B$2:$B$501,MATCH($C1147,links!$D$2:$D$501,0))),""))</f>
        <v/>
      </c>
      <c r="I1147" s="25">
        <f>IF($C1147="","",IFERROR(IF(INDEX(links!$C$2:$C$501,MATCH($C1147,links!$D$2:$D$501,0))="","",INDEX(links!$C$2:$C$501,MATCH($C1147,links!$D$2:$D$501,0))),""))</f>
        <v/>
      </c>
      <c r="J1147" s="25">
        <f>IF($C1147="","",IF($G1147="","slug not in links; ","")&amp;IF($D1147="","reading type missing; ","")&amp;IF(COUNTIFS(scans!$C$2:$C$1601,$C1147,scans!$D$2:$D$1601,$D1147)&gt;1,"two readings of this type: keep one; ",""))</f>
        <v/>
      </c>
    </row>
    <row r="1148">
      <c r="A1148" s="9" t="n"/>
      <c r="B1148" s="33" t="n"/>
      <c r="G1148" s="25">
        <f>IF($C1148="","",IFERROR(IF(INDEX(links!$A$2:$A$501,MATCH($C1148,links!$D$2:$D$501,0))="","",INDEX(links!$A$2:$A$501,MATCH($C1148,links!$D$2:$D$501,0))),""))</f>
        <v/>
      </c>
      <c r="H1148" s="25">
        <f>IF($C1148="","",IFERROR(IF(INDEX(links!$B$2:$B$501,MATCH($C1148,links!$D$2:$D$501,0))="","",INDEX(links!$B$2:$B$501,MATCH($C1148,links!$D$2:$D$501,0))),""))</f>
        <v/>
      </c>
      <c r="I1148" s="25">
        <f>IF($C1148="","",IFERROR(IF(INDEX(links!$C$2:$C$501,MATCH($C1148,links!$D$2:$D$501,0))="","",INDEX(links!$C$2:$C$501,MATCH($C1148,links!$D$2:$D$501,0))),""))</f>
        <v/>
      </c>
      <c r="J1148" s="25">
        <f>IF($C1148="","",IF($G1148="","slug not in links; ","")&amp;IF($D1148="","reading type missing; ","")&amp;IF(COUNTIFS(scans!$C$2:$C$1601,$C1148,scans!$D$2:$D$1601,$D1148)&gt;1,"two readings of this type: keep one; ",""))</f>
        <v/>
      </c>
    </row>
    <row r="1149">
      <c r="A1149" s="9" t="n"/>
      <c r="B1149" s="33" t="n"/>
      <c r="G1149" s="25">
        <f>IF($C1149="","",IFERROR(IF(INDEX(links!$A$2:$A$501,MATCH($C1149,links!$D$2:$D$501,0))="","",INDEX(links!$A$2:$A$501,MATCH($C1149,links!$D$2:$D$501,0))),""))</f>
        <v/>
      </c>
      <c r="H1149" s="25">
        <f>IF($C1149="","",IFERROR(IF(INDEX(links!$B$2:$B$501,MATCH($C1149,links!$D$2:$D$501,0))="","",INDEX(links!$B$2:$B$501,MATCH($C1149,links!$D$2:$D$501,0))),""))</f>
        <v/>
      </c>
      <c r="I1149" s="25">
        <f>IF($C1149="","",IFERROR(IF(INDEX(links!$C$2:$C$501,MATCH($C1149,links!$D$2:$D$501,0))="","",INDEX(links!$C$2:$C$501,MATCH($C1149,links!$D$2:$D$501,0))),""))</f>
        <v/>
      </c>
      <c r="J1149" s="25">
        <f>IF($C1149="","",IF($G1149="","slug not in links; ","")&amp;IF($D1149="","reading type missing; ","")&amp;IF(COUNTIFS(scans!$C$2:$C$1601,$C1149,scans!$D$2:$D$1601,$D1149)&gt;1,"two readings of this type: keep one; ",""))</f>
        <v/>
      </c>
    </row>
    <row r="1150">
      <c r="A1150" s="9" t="n"/>
      <c r="B1150" s="33" t="n"/>
      <c r="G1150" s="25">
        <f>IF($C1150="","",IFERROR(IF(INDEX(links!$A$2:$A$501,MATCH($C1150,links!$D$2:$D$501,0))="","",INDEX(links!$A$2:$A$501,MATCH($C1150,links!$D$2:$D$501,0))),""))</f>
        <v/>
      </c>
      <c r="H1150" s="25">
        <f>IF($C1150="","",IFERROR(IF(INDEX(links!$B$2:$B$501,MATCH($C1150,links!$D$2:$D$501,0))="","",INDEX(links!$B$2:$B$501,MATCH($C1150,links!$D$2:$D$501,0))),""))</f>
        <v/>
      </c>
      <c r="I1150" s="25">
        <f>IF($C1150="","",IFERROR(IF(INDEX(links!$C$2:$C$501,MATCH($C1150,links!$D$2:$D$501,0))="","",INDEX(links!$C$2:$C$501,MATCH($C1150,links!$D$2:$D$501,0))),""))</f>
        <v/>
      </c>
      <c r="J1150" s="25">
        <f>IF($C1150="","",IF($G1150="","slug not in links; ","")&amp;IF($D1150="","reading type missing; ","")&amp;IF(COUNTIFS(scans!$C$2:$C$1601,$C1150,scans!$D$2:$D$1601,$D1150)&gt;1,"two readings of this type: keep one; ",""))</f>
        <v/>
      </c>
    </row>
    <row r="1151">
      <c r="A1151" s="9" t="n"/>
      <c r="B1151" s="33" t="n"/>
      <c r="G1151" s="25">
        <f>IF($C1151="","",IFERROR(IF(INDEX(links!$A$2:$A$501,MATCH($C1151,links!$D$2:$D$501,0))="","",INDEX(links!$A$2:$A$501,MATCH($C1151,links!$D$2:$D$501,0))),""))</f>
        <v/>
      </c>
      <c r="H1151" s="25">
        <f>IF($C1151="","",IFERROR(IF(INDEX(links!$B$2:$B$501,MATCH($C1151,links!$D$2:$D$501,0))="","",INDEX(links!$B$2:$B$501,MATCH($C1151,links!$D$2:$D$501,0))),""))</f>
        <v/>
      </c>
      <c r="I1151" s="25">
        <f>IF($C1151="","",IFERROR(IF(INDEX(links!$C$2:$C$501,MATCH($C1151,links!$D$2:$D$501,0))="","",INDEX(links!$C$2:$C$501,MATCH($C1151,links!$D$2:$D$501,0))),""))</f>
        <v/>
      </c>
      <c r="J1151" s="25">
        <f>IF($C1151="","",IF($G1151="","slug not in links; ","")&amp;IF($D1151="","reading type missing; ","")&amp;IF(COUNTIFS(scans!$C$2:$C$1601,$C1151,scans!$D$2:$D$1601,$D1151)&gt;1,"two readings of this type: keep one; ",""))</f>
        <v/>
      </c>
    </row>
    <row r="1152">
      <c r="A1152" s="9" t="n"/>
      <c r="B1152" s="33" t="n"/>
      <c r="G1152" s="25">
        <f>IF($C1152="","",IFERROR(IF(INDEX(links!$A$2:$A$501,MATCH($C1152,links!$D$2:$D$501,0))="","",INDEX(links!$A$2:$A$501,MATCH($C1152,links!$D$2:$D$501,0))),""))</f>
        <v/>
      </c>
      <c r="H1152" s="25">
        <f>IF($C1152="","",IFERROR(IF(INDEX(links!$B$2:$B$501,MATCH($C1152,links!$D$2:$D$501,0))="","",INDEX(links!$B$2:$B$501,MATCH($C1152,links!$D$2:$D$501,0))),""))</f>
        <v/>
      </c>
      <c r="I1152" s="25">
        <f>IF($C1152="","",IFERROR(IF(INDEX(links!$C$2:$C$501,MATCH($C1152,links!$D$2:$D$501,0))="","",INDEX(links!$C$2:$C$501,MATCH($C1152,links!$D$2:$D$501,0))),""))</f>
        <v/>
      </c>
      <c r="J1152" s="25">
        <f>IF($C1152="","",IF($G1152="","slug not in links; ","")&amp;IF($D1152="","reading type missing; ","")&amp;IF(COUNTIFS(scans!$C$2:$C$1601,$C1152,scans!$D$2:$D$1601,$D1152)&gt;1,"two readings of this type: keep one; ",""))</f>
        <v/>
      </c>
    </row>
    <row r="1153">
      <c r="A1153" s="9" t="n"/>
      <c r="B1153" s="33" t="n"/>
      <c r="G1153" s="25">
        <f>IF($C1153="","",IFERROR(IF(INDEX(links!$A$2:$A$501,MATCH($C1153,links!$D$2:$D$501,0))="","",INDEX(links!$A$2:$A$501,MATCH($C1153,links!$D$2:$D$501,0))),""))</f>
        <v/>
      </c>
      <c r="H1153" s="25">
        <f>IF($C1153="","",IFERROR(IF(INDEX(links!$B$2:$B$501,MATCH($C1153,links!$D$2:$D$501,0))="","",INDEX(links!$B$2:$B$501,MATCH($C1153,links!$D$2:$D$501,0))),""))</f>
        <v/>
      </c>
      <c r="I1153" s="25">
        <f>IF($C1153="","",IFERROR(IF(INDEX(links!$C$2:$C$501,MATCH($C1153,links!$D$2:$D$501,0))="","",INDEX(links!$C$2:$C$501,MATCH($C1153,links!$D$2:$D$501,0))),""))</f>
        <v/>
      </c>
      <c r="J1153" s="25">
        <f>IF($C1153="","",IF($G1153="","slug not in links; ","")&amp;IF($D1153="","reading type missing; ","")&amp;IF(COUNTIFS(scans!$C$2:$C$1601,$C1153,scans!$D$2:$D$1601,$D1153)&gt;1,"two readings of this type: keep one; ",""))</f>
        <v/>
      </c>
    </row>
    <row r="1154">
      <c r="A1154" s="9" t="n"/>
      <c r="B1154" s="33" t="n"/>
      <c r="G1154" s="25">
        <f>IF($C1154="","",IFERROR(IF(INDEX(links!$A$2:$A$501,MATCH($C1154,links!$D$2:$D$501,0))="","",INDEX(links!$A$2:$A$501,MATCH($C1154,links!$D$2:$D$501,0))),""))</f>
        <v/>
      </c>
      <c r="H1154" s="25">
        <f>IF($C1154="","",IFERROR(IF(INDEX(links!$B$2:$B$501,MATCH($C1154,links!$D$2:$D$501,0))="","",INDEX(links!$B$2:$B$501,MATCH($C1154,links!$D$2:$D$501,0))),""))</f>
        <v/>
      </c>
      <c r="I1154" s="25">
        <f>IF($C1154="","",IFERROR(IF(INDEX(links!$C$2:$C$501,MATCH($C1154,links!$D$2:$D$501,0))="","",INDEX(links!$C$2:$C$501,MATCH($C1154,links!$D$2:$D$501,0))),""))</f>
        <v/>
      </c>
      <c r="J1154" s="25">
        <f>IF($C1154="","",IF($G1154="","slug not in links; ","")&amp;IF($D1154="","reading type missing; ","")&amp;IF(COUNTIFS(scans!$C$2:$C$1601,$C1154,scans!$D$2:$D$1601,$D1154)&gt;1,"two readings of this type: keep one; ",""))</f>
        <v/>
      </c>
    </row>
    <row r="1155">
      <c r="A1155" s="9" t="n"/>
      <c r="B1155" s="33" t="n"/>
      <c r="G1155" s="25">
        <f>IF($C1155="","",IFERROR(IF(INDEX(links!$A$2:$A$501,MATCH($C1155,links!$D$2:$D$501,0))="","",INDEX(links!$A$2:$A$501,MATCH($C1155,links!$D$2:$D$501,0))),""))</f>
        <v/>
      </c>
      <c r="H1155" s="25">
        <f>IF($C1155="","",IFERROR(IF(INDEX(links!$B$2:$B$501,MATCH($C1155,links!$D$2:$D$501,0))="","",INDEX(links!$B$2:$B$501,MATCH($C1155,links!$D$2:$D$501,0))),""))</f>
        <v/>
      </c>
      <c r="I1155" s="25">
        <f>IF($C1155="","",IFERROR(IF(INDEX(links!$C$2:$C$501,MATCH($C1155,links!$D$2:$D$501,0))="","",INDEX(links!$C$2:$C$501,MATCH($C1155,links!$D$2:$D$501,0))),""))</f>
        <v/>
      </c>
      <c r="J1155" s="25">
        <f>IF($C1155="","",IF($G1155="","slug not in links; ","")&amp;IF($D1155="","reading type missing; ","")&amp;IF(COUNTIFS(scans!$C$2:$C$1601,$C1155,scans!$D$2:$D$1601,$D1155)&gt;1,"two readings of this type: keep one; ",""))</f>
        <v/>
      </c>
    </row>
    <row r="1156">
      <c r="A1156" s="9" t="n"/>
      <c r="B1156" s="33" t="n"/>
      <c r="G1156" s="25">
        <f>IF($C1156="","",IFERROR(IF(INDEX(links!$A$2:$A$501,MATCH($C1156,links!$D$2:$D$501,0))="","",INDEX(links!$A$2:$A$501,MATCH($C1156,links!$D$2:$D$501,0))),""))</f>
        <v/>
      </c>
      <c r="H1156" s="25">
        <f>IF($C1156="","",IFERROR(IF(INDEX(links!$B$2:$B$501,MATCH($C1156,links!$D$2:$D$501,0))="","",INDEX(links!$B$2:$B$501,MATCH($C1156,links!$D$2:$D$501,0))),""))</f>
        <v/>
      </c>
      <c r="I1156" s="25">
        <f>IF($C1156="","",IFERROR(IF(INDEX(links!$C$2:$C$501,MATCH($C1156,links!$D$2:$D$501,0))="","",INDEX(links!$C$2:$C$501,MATCH($C1156,links!$D$2:$D$501,0))),""))</f>
        <v/>
      </c>
      <c r="J1156" s="25">
        <f>IF($C1156="","",IF($G1156="","slug not in links; ","")&amp;IF($D1156="","reading type missing; ","")&amp;IF(COUNTIFS(scans!$C$2:$C$1601,$C1156,scans!$D$2:$D$1601,$D1156)&gt;1,"two readings of this type: keep one; ",""))</f>
        <v/>
      </c>
    </row>
    <row r="1157">
      <c r="A1157" s="9" t="n"/>
      <c r="B1157" s="33" t="n"/>
      <c r="G1157" s="25">
        <f>IF($C1157="","",IFERROR(IF(INDEX(links!$A$2:$A$501,MATCH($C1157,links!$D$2:$D$501,0))="","",INDEX(links!$A$2:$A$501,MATCH($C1157,links!$D$2:$D$501,0))),""))</f>
        <v/>
      </c>
      <c r="H1157" s="25">
        <f>IF($C1157="","",IFERROR(IF(INDEX(links!$B$2:$B$501,MATCH($C1157,links!$D$2:$D$501,0))="","",INDEX(links!$B$2:$B$501,MATCH($C1157,links!$D$2:$D$501,0))),""))</f>
        <v/>
      </c>
      <c r="I1157" s="25">
        <f>IF($C1157="","",IFERROR(IF(INDEX(links!$C$2:$C$501,MATCH($C1157,links!$D$2:$D$501,0))="","",INDEX(links!$C$2:$C$501,MATCH($C1157,links!$D$2:$D$501,0))),""))</f>
        <v/>
      </c>
      <c r="J1157" s="25">
        <f>IF($C1157="","",IF($G1157="","slug not in links; ","")&amp;IF($D1157="","reading type missing; ","")&amp;IF(COUNTIFS(scans!$C$2:$C$1601,$C1157,scans!$D$2:$D$1601,$D1157)&gt;1,"two readings of this type: keep one; ",""))</f>
        <v/>
      </c>
    </row>
    <row r="1158">
      <c r="A1158" s="9" t="n"/>
      <c r="B1158" s="33" t="n"/>
      <c r="G1158" s="25">
        <f>IF($C1158="","",IFERROR(IF(INDEX(links!$A$2:$A$501,MATCH($C1158,links!$D$2:$D$501,0))="","",INDEX(links!$A$2:$A$501,MATCH($C1158,links!$D$2:$D$501,0))),""))</f>
        <v/>
      </c>
      <c r="H1158" s="25">
        <f>IF($C1158="","",IFERROR(IF(INDEX(links!$B$2:$B$501,MATCH($C1158,links!$D$2:$D$501,0))="","",INDEX(links!$B$2:$B$501,MATCH($C1158,links!$D$2:$D$501,0))),""))</f>
        <v/>
      </c>
      <c r="I1158" s="25">
        <f>IF($C1158="","",IFERROR(IF(INDEX(links!$C$2:$C$501,MATCH($C1158,links!$D$2:$D$501,0))="","",INDEX(links!$C$2:$C$501,MATCH($C1158,links!$D$2:$D$501,0))),""))</f>
        <v/>
      </c>
      <c r="J1158" s="25">
        <f>IF($C1158="","",IF($G1158="","slug not in links; ","")&amp;IF($D1158="","reading type missing; ","")&amp;IF(COUNTIFS(scans!$C$2:$C$1601,$C1158,scans!$D$2:$D$1601,$D1158)&gt;1,"two readings of this type: keep one; ",""))</f>
        <v/>
      </c>
    </row>
    <row r="1159">
      <c r="A1159" s="9" t="n"/>
      <c r="B1159" s="33" t="n"/>
      <c r="G1159" s="25">
        <f>IF($C1159="","",IFERROR(IF(INDEX(links!$A$2:$A$501,MATCH($C1159,links!$D$2:$D$501,0))="","",INDEX(links!$A$2:$A$501,MATCH($C1159,links!$D$2:$D$501,0))),""))</f>
        <v/>
      </c>
      <c r="H1159" s="25">
        <f>IF($C1159="","",IFERROR(IF(INDEX(links!$B$2:$B$501,MATCH($C1159,links!$D$2:$D$501,0))="","",INDEX(links!$B$2:$B$501,MATCH($C1159,links!$D$2:$D$501,0))),""))</f>
        <v/>
      </c>
      <c r="I1159" s="25">
        <f>IF($C1159="","",IFERROR(IF(INDEX(links!$C$2:$C$501,MATCH($C1159,links!$D$2:$D$501,0))="","",INDEX(links!$C$2:$C$501,MATCH($C1159,links!$D$2:$D$501,0))),""))</f>
        <v/>
      </c>
      <c r="J1159" s="25">
        <f>IF($C1159="","",IF($G1159="","slug not in links; ","")&amp;IF($D1159="","reading type missing; ","")&amp;IF(COUNTIFS(scans!$C$2:$C$1601,$C1159,scans!$D$2:$D$1601,$D1159)&gt;1,"two readings of this type: keep one; ",""))</f>
        <v/>
      </c>
    </row>
    <row r="1160">
      <c r="A1160" s="9" t="n"/>
      <c r="B1160" s="33" t="n"/>
      <c r="G1160" s="25">
        <f>IF($C1160="","",IFERROR(IF(INDEX(links!$A$2:$A$501,MATCH($C1160,links!$D$2:$D$501,0))="","",INDEX(links!$A$2:$A$501,MATCH($C1160,links!$D$2:$D$501,0))),""))</f>
        <v/>
      </c>
      <c r="H1160" s="25">
        <f>IF($C1160="","",IFERROR(IF(INDEX(links!$B$2:$B$501,MATCH($C1160,links!$D$2:$D$501,0))="","",INDEX(links!$B$2:$B$501,MATCH($C1160,links!$D$2:$D$501,0))),""))</f>
        <v/>
      </c>
      <c r="I1160" s="25">
        <f>IF($C1160="","",IFERROR(IF(INDEX(links!$C$2:$C$501,MATCH($C1160,links!$D$2:$D$501,0))="","",INDEX(links!$C$2:$C$501,MATCH($C1160,links!$D$2:$D$501,0))),""))</f>
        <v/>
      </c>
      <c r="J1160" s="25">
        <f>IF($C1160="","",IF($G1160="","slug not in links; ","")&amp;IF($D1160="","reading type missing; ","")&amp;IF(COUNTIFS(scans!$C$2:$C$1601,$C1160,scans!$D$2:$D$1601,$D1160)&gt;1,"two readings of this type: keep one; ",""))</f>
        <v/>
      </c>
    </row>
    <row r="1161">
      <c r="A1161" s="9" t="n"/>
      <c r="B1161" s="33" t="n"/>
      <c r="G1161" s="25">
        <f>IF($C1161="","",IFERROR(IF(INDEX(links!$A$2:$A$501,MATCH($C1161,links!$D$2:$D$501,0))="","",INDEX(links!$A$2:$A$501,MATCH($C1161,links!$D$2:$D$501,0))),""))</f>
        <v/>
      </c>
      <c r="H1161" s="25">
        <f>IF($C1161="","",IFERROR(IF(INDEX(links!$B$2:$B$501,MATCH($C1161,links!$D$2:$D$501,0))="","",INDEX(links!$B$2:$B$501,MATCH($C1161,links!$D$2:$D$501,0))),""))</f>
        <v/>
      </c>
      <c r="I1161" s="25">
        <f>IF($C1161="","",IFERROR(IF(INDEX(links!$C$2:$C$501,MATCH($C1161,links!$D$2:$D$501,0))="","",INDEX(links!$C$2:$C$501,MATCH($C1161,links!$D$2:$D$501,0))),""))</f>
        <v/>
      </c>
      <c r="J1161" s="25">
        <f>IF($C1161="","",IF($G1161="","slug not in links; ","")&amp;IF($D1161="","reading type missing; ","")&amp;IF(COUNTIFS(scans!$C$2:$C$1601,$C1161,scans!$D$2:$D$1601,$D1161)&gt;1,"two readings of this type: keep one; ",""))</f>
        <v/>
      </c>
    </row>
    <row r="1162">
      <c r="A1162" s="9" t="n"/>
      <c r="B1162" s="33" t="n"/>
      <c r="G1162" s="25">
        <f>IF($C1162="","",IFERROR(IF(INDEX(links!$A$2:$A$501,MATCH($C1162,links!$D$2:$D$501,0))="","",INDEX(links!$A$2:$A$501,MATCH($C1162,links!$D$2:$D$501,0))),""))</f>
        <v/>
      </c>
      <c r="H1162" s="25">
        <f>IF($C1162="","",IFERROR(IF(INDEX(links!$B$2:$B$501,MATCH($C1162,links!$D$2:$D$501,0))="","",INDEX(links!$B$2:$B$501,MATCH($C1162,links!$D$2:$D$501,0))),""))</f>
        <v/>
      </c>
      <c r="I1162" s="25">
        <f>IF($C1162="","",IFERROR(IF(INDEX(links!$C$2:$C$501,MATCH($C1162,links!$D$2:$D$501,0))="","",INDEX(links!$C$2:$C$501,MATCH($C1162,links!$D$2:$D$501,0))),""))</f>
        <v/>
      </c>
      <c r="J1162" s="25">
        <f>IF($C1162="","",IF($G1162="","slug not in links; ","")&amp;IF($D1162="","reading type missing; ","")&amp;IF(COUNTIFS(scans!$C$2:$C$1601,$C1162,scans!$D$2:$D$1601,$D1162)&gt;1,"two readings of this type: keep one; ",""))</f>
        <v/>
      </c>
    </row>
    <row r="1163">
      <c r="A1163" s="9" t="n"/>
      <c r="B1163" s="33" t="n"/>
      <c r="G1163" s="25">
        <f>IF($C1163="","",IFERROR(IF(INDEX(links!$A$2:$A$501,MATCH($C1163,links!$D$2:$D$501,0))="","",INDEX(links!$A$2:$A$501,MATCH($C1163,links!$D$2:$D$501,0))),""))</f>
        <v/>
      </c>
      <c r="H1163" s="25">
        <f>IF($C1163="","",IFERROR(IF(INDEX(links!$B$2:$B$501,MATCH($C1163,links!$D$2:$D$501,0))="","",INDEX(links!$B$2:$B$501,MATCH($C1163,links!$D$2:$D$501,0))),""))</f>
        <v/>
      </c>
      <c r="I1163" s="25">
        <f>IF($C1163="","",IFERROR(IF(INDEX(links!$C$2:$C$501,MATCH($C1163,links!$D$2:$D$501,0))="","",INDEX(links!$C$2:$C$501,MATCH($C1163,links!$D$2:$D$501,0))),""))</f>
        <v/>
      </c>
      <c r="J1163" s="25">
        <f>IF($C1163="","",IF($G1163="","slug not in links; ","")&amp;IF($D1163="","reading type missing; ","")&amp;IF(COUNTIFS(scans!$C$2:$C$1601,$C1163,scans!$D$2:$D$1601,$D1163)&gt;1,"two readings of this type: keep one; ",""))</f>
        <v/>
      </c>
    </row>
    <row r="1164">
      <c r="A1164" s="9" t="n"/>
      <c r="B1164" s="33" t="n"/>
      <c r="G1164" s="25">
        <f>IF($C1164="","",IFERROR(IF(INDEX(links!$A$2:$A$501,MATCH($C1164,links!$D$2:$D$501,0))="","",INDEX(links!$A$2:$A$501,MATCH($C1164,links!$D$2:$D$501,0))),""))</f>
        <v/>
      </c>
      <c r="H1164" s="25">
        <f>IF($C1164="","",IFERROR(IF(INDEX(links!$B$2:$B$501,MATCH($C1164,links!$D$2:$D$501,0))="","",INDEX(links!$B$2:$B$501,MATCH($C1164,links!$D$2:$D$501,0))),""))</f>
        <v/>
      </c>
      <c r="I1164" s="25">
        <f>IF($C1164="","",IFERROR(IF(INDEX(links!$C$2:$C$501,MATCH($C1164,links!$D$2:$D$501,0))="","",INDEX(links!$C$2:$C$501,MATCH($C1164,links!$D$2:$D$501,0))),""))</f>
        <v/>
      </c>
      <c r="J1164" s="25">
        <f>IF($C1164="","",IF($G1164="","slug not in links; ","")&amp;IF($D1164="","reading type missing; ","")&amp;IF(COUNTIFS(scans!$C$2:$C$1601,$C1164,scans!$D$2:$D$1601,$D1164)&gt;1,"two readings of this type: keep one; ",""))</f>
        <v/>
      </c>
    </row>
    <row r="1165">
      <c r="A1165" s="9" t="n"/>
      <c r="B1165" s="33" t="n"/>
      <c r="G1165" s="25">
        <f>IF($C1165="","",IFERROR(IF(INDEX(links!$A$2:$A$501,MATCH($C1165,links!$D$2:$D$501,0))="","",INDEX(links!$A$2:$A$501,MATCH($C1165,links!$D$2:$D$501,0))),""))</f>
        <v/>
      </c>
      <c r="H1165" s="25">
        <f>IF($C1165="","",IFERROR(IF(INDEX(links!$B$2:$B$501,MATCH($C1165,links!$D$2:$D$501,0))="","",INDEX(links!$B$2:$B$501,MATCH($C1165,links!$D$2:$D$501,0))),""))</f>
        <v/>
      </c>
      <c r="I1165" s="25">
        <f>IF($C1165="","",IFERROR(IF(INDEX(links!$C$2:$C$501,MATCH($C1165,links!$D$2:$D$501,0))="","",INDEX(links!$C$2:$C$501,MATCH($C1165,links!$D$2:$D$501,0))),""))</f>
        <v/>
      </c>
      <c r="J1165" s="25">
        <f>IF($C1165="","",IF($G1165="","slug not in links; ","")&amp;IF($D1165="","reading type missing; ","")&amp;IF(COUNTIFS(scans!$C$2:$C$1601,$C1165,scans!$D$2:$D$1601,$D1165)&gt;1,"two readings of this type: keep one; ",""))</f>
        <v/>
      </c>
    </row>
    <row r="1166">
      <c r="A1166" s="9" t="n"/>
      <c r="B1166" s="33" t="n"/>
      <c r="G1166" s="25">
        <f>IF($C1166="","",IFERROR(IF(INDEX(links!$A$2:$A$501,MATCH($C1166,links!$D$2:$D$501,0))="","",INDEX(links!$A$2:$A$501,MATCH($C1166,links!$D$2:$D$501,0))),""))</f>
        <v/>
      </c>
      <c r="H1166" s="25">
        <f>IF($C1166="","",IFERROR(IF(INDEX(links!$B$2:$B$501,MATCH($C1166,links!$D$2:$D$501,0))="","",INDEX(links!$B$2:$B$501,MATCH($C1166,links!$D$2:$D$501,0))),""))</f>
        <v/>
      </c>
      <c r="I1166" s="25">
        <f>IF($C1166="","",IFERROR(IF(INDEX(links!$C$2:$C$501,MATCH($C1166,links!$D$2:$D$501,0))="","",INDEX(links!$C$2:$C$501,MATCH($C1166,links!$D$2:$D$501,0))),""))</f>
        <v/>
      </c>
      <c r="J1166" s="25">
        <f>IF($C1166="","",IF($G1166="","slug not in links; ","")&amp;IF($D1166="","reading type missing; ","")&amp;IF(COUNTIFS(scans!$C$2:$C$1601,$C1166,scans!$D$2:$D$1601,$D1166)&gt;1,"two readings of this type: keep one; ",""))</f>
        <v/>
      </c>
    </row>
    <row r="1167">
      <c r="A1167" s="9" t="n"/>
      <c r="B1167" s="33" t="n"/>
      <c r="G1167" s="25">
        <f>IF($C1167="","",IFERROR(IF(INDEX(links!$A$2:$A$501,MATCH($C1167,links!$D$2:$D$501,0))="","",INDEX(links!$A$2:$A$501,MATCH($C1167,links!$D$2:$D$501,0))),""))</f>
        <v/>
      </c>
      <c r="H1167" s="25">
        <f>IF($C1167="","",IFERROR(IF(INDEX(links!$B$2:$B$501,MATCH($C1167,links!$D$2:$D$501,0))="","",INDEX(links!$B$2:$B$501,MATCH($C1167,links!$D$2:$D$501,0))),""))</f>
        <v/>
      </c>
      <c r="I1167" s="25">
        <f>IF($C1167="","",IFERROR(IF(INDEX(links!$C$2:$C$501,MATCH($C1167,links!$D$2:$D$501,0))="","",INDEX(links!$C$2:$C$501,MATCH($C1167,links!$D$2:$D$501,0))),""))</f>
        <v/>
      </c>
      <c r="J1167" s="25">
        <f>IF($C1167="","",IF($G1167="","slug not in links; ","")&amp;IF($D1167="","reading type missing; ","")&amp;IF(COUNTIFS(scans!$C$2:$C$1601,$C1167,scans!$D$2:$D$1601,$D1167)&gt;1,"two readings of this type: keep one; ",""))</f>
        <v/>
      </c>
    </row>
    <row r="1168">
      <c r="A1168" s="9" t="n"/>
      <c r="B1168" s="33" t="n"/>
      <c r="G1168" s="25">
        <f>IF($C1168="","",IFERROR(IF(INDEX(links!$A$2:$A$501,MATCH($C1168,links!$D$2:$D$501,0))="","",INDEX(links!$A$2:$A$501,MATCH($C1168,links!$D$2:$D$501,0))),""))</f>
        <v/>
      </c>
      <c r="H1168" s="25">
        <f>IF($C1168="","",IFERROR(IF(INDEX(links!$B$2:$B$501,MATCH($C1168,links!$D$2:$D$501,0))="","",INDEX(links!$B$2:$B$501,MATCH($C1168,links!$D$2:$D$501,0))),""))</f>
        <v/>
      </c>
      <c r="I1168" s="25">
        <f>IF($C1168="","",IFERROR(IF(INDEX(links!$C$2:$C$501,MATCH($C1168,links!$D$2:$D$501,0))="","",INDEX(links!$C$2:$C$501,MATCH($C1168,links!$D$2:$D$501,0))),""))</f>
        <v/>
      </c>
      <c r="J1168" s="25">
        <f>IF($C1168="","",IF($G1168="","slug not in links; ","")&amp;IF($D1168="","reading type missing; ","")&amp;IF(COUNTIFS(scans!$C$2:$C$1601,$C1168,scans!$D$2:$D$1601,$D1168)&gt;1,"two readings of this type: keep one; ",""))</f>
        <v/>
      </c>
    </row>
    <row r="1169">
      <c r="A1169" s="9" t="n"/>
      <c r="B1169" s="33" t="n"/>
      <c r="G1169" s="25">
        <f>IF($C1169="","",IFERROR(IF(INDEX(links!$A$2:$A$501,MATCH($C1169,links!$D$2:$D$501,0))="","",INDEX(links!$A$2:$A$501,MATCH($C1169,links!$D$2:$D$501,0))),""))</f>
        <v/>
      </c>
      <c r="H1169" s="25">
        <f>IF($C1169="","",IFERROR(IF(INDEX(links!$B$2:$B$501,MATCH($C1169,links!$D$2:$D$501,0))="","",INDEX(links!$B$2:$B$501,MATCH($C1169,links!$D$2:$D$501,0))),""))</f>
        <v/>
      </c>
      <c r="I1169" s="25">
        <f>IF($C1169="","",IFERROR(IF(INDEX(links!$C$2:$C$501,MATCH($C1169,links!$D$2:$D$501,0))="","",INDEX(links!$C$2:$C$501,MATCH($C1169,links!$D$2:$D$501,0))),""))</f>
        <v/>
      </c>
      <c r="J1169" s="25">
        <f>IF($C1169="","",IF($G1169="","slug not in links; ","")&amp;IF($D1169="","reading type missing; ","")&amp;IF(COUNTIFS(scans!$C$2:$C$1601,$C1169,scans!$D$2:$D$1601,$D1169)&gt;1,"two readings of this type: keep one; ",""))</f>
        <v/>
      </c>
    </row>
    <row r="1170">
      <c r="A1170" s="9" t="n"/>
      <c r="B1170" s="33" t="n"/>
      <c r="G1170" s="25">
        <f>IF($C1170="","",IFERROR(IF(INDEX(links!$A$2:$A$501,MATCH($C1170,links!$D$2:$D$501,0))="","",INDEX(links!$A$2:$A$501,MATCH($C1170,links!$D$2:$D$501,0))),""))</f>
        <v/>
      </c>
      <c r="H1170" s="25">
        <f>IF($C1170="","",IFERROR(IF(INDEX(links!$B$2:$B$501,MATCH($C1170,links!$D$2:$D$501,0))="","",INDEX(links!$B$2:$B$501,MATCH($C1170,links!$D$2:$D$501,0))),""))</f>
        <v/>
      </c>
      <c r="I1170" s="25">
        <f>IF($C1170="","",IFERROR(IF(INDEX(links!$C$2:$C$501,MATCH($C1170,links!$D$2:$D$501,0))="","",INDEX(links!$C$2:$C$501,MATCH($C1170,links!$D$2:$D$501,0))),""))</f>
        <v/>
      </c>
      <c r="J1170" s="25">
        <f>IF($C1170="","",IF($G1170="","slug not in links; ","")&amp;IF($D1170="","reading type missing; ","")&amp;IF(COUNTIFS(scans!$C$2:$C$1601,$C1170,scans!$D$2:$D$1601,$D1170)&gt;1,"two readings of this type: keep one; ",""))</f>
        <v/>
      </c>
    </row>
    <row r="1171">
      <c r="A1171" s="9" t="n"/>
      <c r="B1171" s="33" t="n"/>
      <c r="G1171" s="25">
        <f>IF($C1171="","",IFERROR(IF(INDEX(links!$A$2:$A$501,MATCH($C1171,links!$D$2:$D$501,0))="","",INDEX(links!$A$2:$A$501,MATCH($C1171,links!$D$2:$D$501,0))),""))</f>
        <v/>
      </c>
      <c r="H1171" s="25">
        <f>IF($C1171="","",IFERROR(IF(INDEX(links!$B$2:$B$501,MATCH($C1171,links!$D$2:$D$501,0))="","",INDEX(links!$B$2:$B$501,MATCH($C1171,links!$D$2:$D$501,0))),""))</f>
        <v/>
      </c>
      <c r="I1171" s="25">
        <f>IF($C1171="","",IFERROR(IF(INDEX(links!$C$2:$C$501,MATCH($C1171,links!$D$2:$D$501,0))="","",INDEX(links!$C$2:$C$501,MATCH($C1171,links!$D$2:$D$501,0))),""))</f>
        <v/>
      </c>
      <c r="J1171" s="25">
        <f>IF($C1171="","",IF($G1171="","slug not in links; ","")&amp;IF($D1171="","reading type missing; ","")&amp;IF(COUNTIFS(scans!$C$2:$C$1601,$C1171,scans!$D$2:$D$1601,$D1171)&gt;1,"two readings of this type: keep one; ",""))</f>
        <v/>
      </c>
    </row>
    <row r="1172">
      <c r="A1172" s="9" t="n"/>
      <c r="B1172" s="33" t="n"/>
      <c r="G1172" s="25">
        <f>IF($C1172="","",IFERROR(IF(INDEX(links!$A$2:$A$501,MATCH($C1172,links!$D$2:$D$501,0))="","",INDEX(links!$A$2:$A$501,MATCH($C1172,links!$D$2:$D$501,0))),""))</f>
        <v/>
      </c>
      <c r="H1172" s="25">
        <f>IF($C1172="","",IFERROR(IF(INDEX(links!$B$2:$B$501,MATCH($C1172,links!$D$2:$D$501,0))="","",INDEX(links!$B$2:$B$501,MATCH($C1172,links!$D$2:$D$501,0))),""))</f>
        <v/>
      </c>
      <c r="I1172" s="25">
        <f>IF($C1172="","",IFERROR(IF(INDEX(links!$C$2:$C$501,MATCH($C1172,links!$D$2:$D$501,0))="","",INDEX(links!$C$2:$C$501,MATCH($C1172,links!$D$2:$D$501,0))),""))</f>
        <v/>
      </c>
      <c r="J1172" s="25">
        <f>IF($C1172="","",IF($G1172="","slug not in links; ","")&amp;IF($D1172="","reading type missing; ","")&amp;IF(COUNTIFS(scans!$C$2:$C$1601,$C1172,scans!$D$2:$D$1601,$D1172)&gt;1,"two readings of this type: keep one; ",""))</f>
        <v/>
      </c>
    </row>
    <row r="1173">
      <c r="A1173" s="9" t="n"/>
      <c r="B1173" s="33" t="n"/>
      <c r="G1173" s="25">
        <f>IF($C1173="","",IFERROR(IF(INDEX(links!$A$2:$A$501,MATCH($C1173,links!$D$2:$D$501,0))="","",INDEX(links!$A$2:$A$501,MATCH($C1173,links!$D$2:$D$501,0))),""))</f>
        <v/>
      </c>
      <c r="H1173" s="25">
        <f>IF($C1173="","",IFERROR(IF(INDEX(links!$B$2:$B$501,MATCH($C1173,links!$D$2:$D$501,0))="","",INDEX(links!$B$2:$B$501,MATCH($C1173,links!$D$2:$D$501,0))),""))</f>
        <v/>
      </c>
      <c r="I1173" s="25">
        <f>IF($C1173="","",IFERROR(IF(INDEX(links!$C$2:$C$501,MATCH($C1173,links!$D$2:$D$501,0))="","",INDEX(links!$C$2:$C$501,MATCH($C1173,links!$D$2:$D$501,0))),""))</f>
        <v/>
      </c>
      <c r="J1173" s="25">
        <f>IF($C1173="","",IF($G1173="","slug not in links; ","")&amp;IF($D1173="","reading type missing; ","")&amp;IF(COUNTIFS(scans!$C$2:$C$1601,$C1173,scans!$D$2:$D$1601,$D1173)&gt;1,"two readings of this type: keep one; ",""))</f>
        <v/>
      </c>
    </row>
    <row r="1174">
      <c r="A1174" s="9" t="n"/>
      <c r="B1174" s="33" t="n"/>
      <c r="G1174" s="25">
        <f>IF($C1174="","",IFERROR(IF(INDEX(links!$A$2:$A$501,MATCH($C1174,links!$D$2:$D$501,0))="","",INDEX(links!$A$2:$A$501,MATCH($C1174,links!$D$2:$D$501,0))),""))</f>
        <v/>
      </c>
      <c r="H1174" s="25">
        <f>IF($C1174="","",IFERROR(IF(INDEX(links!$B$2:$B$501,MATCH($C1174,links!$D$2:$D$501,0))="","",INDEX(links!$B$2:$B$501,MATCH($C1174,links!$D$2:$D$501,0))),""))</f>
        <v/>
      </c>
      <c r="I1174" s="25">
        <f>IF($C1174="","",IFERROR(IF(INDEX(links!$C$2:$C$501,MATCH($C1174,links!$D$2:$D$501,0))="","",INDEX(links!$C$2:$C$501,MATCH($C1174,links!$D$2:$D$501,0))),""))</f>
        <v/>
      </c>
      <c r="J1174" s="25">
        <f>IF($C1174="","",IF($G1174="","slug not in links; ","")&amp;IF($D1174="","reading type missing; ","")&amp;IF(COUNTIFS(scans!$C$2:$C$1601,$C1174,scans!$D$2:$D$1601,$D1174)&gt;1,"two readings of this type: keep one; ",""))</f>
        <v/>
      </c>
    </row>
    <row r="1175">
      <c r="A1175" s="9" t="n"/>
      <c r="B1175" s="33" t="n"/>
      <c r="G1175" s="25">
        <f>IF($C1175="","",IFERROR(IF(INDEX(links!$A$2:$A$501,MATCH($C1175,links!$D$2:$D$501,0))="","",INDEX(links!$A$2:$A$501,MATCH($C1175,links!$D$2:$D$501,0))),""))</f>
        <v/>
      </c>
      <c r="H1175" s="25">
        <f>IF($C1175="","",IFERROR(IF(INDEX(links!$B$2:$B$501,MATCH($C1175,links!$D$2:$D$501,0))="","",INDEX(links!$B$2:$B$501,MATCH($C1175,links!$D$2:$D$501,0))),""))</f>
        <v/>
      </c>
      <c r="I1175" s="25">
        <f>IF($C1175="","",IFERROR(IF(INDEX(links!$C$2:$C$501,MATCH($C1175,links!$D$2:$D$501,0))="","",INDEX(links!$C$2:$C$501,MATCH($C1175,links!$D$2:$D$501,0))),""))</f>
        <v/>
      </c>
      <c r="J1175" s="25">
        <f>IF($C1175="","",IF($G1175="","slug not in links; ","")&amp;IF($D1175="","reading type missing; ","")&amp;IF(COUNTIFS(scans!$C$2:$C$1601,$C1175,scans!$D$2:$D$1601,$D1175)&gt;1,"two readings of this type: keep one; ",""))</f>
        <v/>
      </c>
    </row>
    <row r="1176">
      <c r="A1176" s="9" t="n"/>
      <c r="B1176" s="33" t="n"/>
      <c r="G1176" s="25">
        <f>IF($C1176="","",IFERROR(IF(INDEX(links!$A$2:$A$501,MATCH($C1176,links!$D$2:$D$501,0))="","",INDEX(links!$A$2:$A$501,MATCH($C1176,links!$D$2:$D$501,0))),""))</f>
        <v/>
      </c>
      <c r="H1176" s="25">
        <f>IF($C1176="","",IFERROR(IF(INDEX(links!$B$2:$B$501,MATCH($C1176,links!$D$2:$D$501,0))="","",INDEX(links!$B$2:$B$501,MATCH($C1176,links!$D$2:$D$501,0))),""))</f>
        <v/>
      </c>
      <c r="I1176" s="25">
        <f>IF($C1176="","",IFERROR(IF(INDEX(links!$C$2:$C$501,MATCH($C1176,links!$D$2:$D$501,0))="","",INDEX(links!$C$2:$C$501,MATCH($C1176,links!$D$2:$D$501,0))),""))</f>
        <v/>
      </c>
      <c r="J1176" s="25">
        <f>IF($C1176="","",IF($G1176="","slug not in links; ","")&amp;IF($D1176="","reading type missing; ","")&amp;IF(COUNTIFS(scans!$C$2:$C$1601,$C1176,scans!$D$2:$D$1601,$D1176)&gt;1,"two readings of this type: keep one; ",""))</f>
        <v/>
      </c>
    </row>
    <row r="1177">
      <c r="A1177" s="9" t="n"/>
      <c r="B1177" s="33" t="n"/>
      <c r="G1177" s="25">
        <f>IF($C1177="","",IFERROR(IF(INDEX(links!$A$2:$A$501,MATCH($C1177,links!$D$2:$D$501,0))="","",INDEX(links!$A$2:$A$501,MATCH($C1177,links!$D$2:$D$501,0))),""))</f>
        <v/>
      </c>
      <c r="H1177" s="25">
        <f>IF($C1177="","",IFERROR(IF(INDEX(links!$B$2:$B$501,MATCH($C1177,links!$D$2:$D$501,0))="","",INDEX(links!$B$2:$B$501,MATCH($C1177,links!$D$2:$D$501,0))),""))</f>
        <v/>
      </c>
      <c r="I1177" s="25">
        <f>IF($C1177="","",IFERROR(IF(INDEX(links!$C$2:$C$501,MATCH($C1177,links!$D$2:$D$501,0))="","",INDEX(links!$C$2:$C$501,MATCH($C1177,links!$D$2:$D$501,0))),""))</f>
        <v/>
      </c>
      <c r="J1177" s="25">
        <f>IF($C1177="","",IF($G1177="","slug not in links; ","")&amp;IF($D1177="","reading type missing; ","")&amp;IF(COUNTIFS(scans!$C$2:$C$1601,$C1177,scans!$D$2:$D$1601,$D1177)&gt;1,"two readings of this type: keep one; ",""))</f>
        <v/>
      </c>
    </row>
    <row r="1178">
      <c r="A1178" s="9" t="n"/>
      <c r="B1178" s="33" t="n"/>
      <c r="G1178" s="25">
        <f>IF($C1178="","",IFERROR(IF(INDEX(links!$A$2:$A$501,MATCH($C1178,links!$D$2:$D$501,0))="","",INDEX(links!$A$2:$A$501,MATCH($C1178,links!$D$2:$D$501,0))),""))</f>
        <v/>
      </c>
      <c r="H1178" s="25">
        <f>IF($C1178="","",IFERROR(IF(INDEX(links!$B$2:$B$501,MATCH($C1178,links!$D$2:$D$501,0))="","",INDEX(links!$B$2:$B$501,MATCH($C1178,links!$D$2:$D$501,0))),""))</f>
        <v/>
      </c>
      <c r="I1178" s="25">
        <f>IF($C1178="","",IFERROR(IF(INDEX(links!$C$2:$C$501,MATCH($C1178,links!$D$2:$D$501,0))="","",INDEX(links!$C$2:$C$501,MATCH($C1178,links!$D$2:$D$501,0))),""))</f>
        <v/>
      </c>
      <c r="J1178" s="25">
        <f>IF($C1178="","",IF($G1178="","slug not in links; ","")&amp;IF($D1178="","reading type missing; ","")&amp;IF(COUNTIFS(scans!$C$2:$C$1601,$C1178,scans!$D$2:$D$1601,$D1178)&gt;1,"two readings of this type: keep one; ",""))</f>
        <v/>
      </c>
    </row>
    <row r="1179">
      <c r="A1179" s="9" t="n"/>
      <c r="B1179" s="33" t="n"/>
      <c r="G1179" s="25">
        <f>IF($C1179="","",IFERROR(IF(INDEX(links!$A$2:$A$501,MATCH($C1179,links!$D$2:$D$501,0))="","",INDEX(links!$A$2:$A$501,MATCH($C1179,links!$D$2:$D$501,0))),""))</f>
        <v/>
      </c>
      <c r="H1179" s="25">
        <f>IF($C1179="","",IFERROR(IF(INDEX(links!$B$2:$B$501,MATCH($C1179,links!$D$2:$D$501,0))="","",INDEX(links!$B$2:$B$501,MATCH($C1179,links!$D$2:$D$501,0))),""))</f>
        <v/>
      </c>
      <c r="I1179" s="25">
        <f>IF($C1179="","",IFERROR(IF(INDEX(links!$C$2:$C$501,MATCH($C1179,links!$D$2:$D$501,0))="","",INDEX(links!$C$2:$C$501,MATCH($C1179,links!$D$2:$D$501,0))),""))</f>
        <v/>
      </c>
      <c r="J1179" s="25">
        <f>IF($C1179="","",IF($G1179="","slug not in links; ","")&amp;IF($D1179="","reading type missing; ","")&amp;IF(COUNTIFS(scans!$C$2:$C$1601,$C1179,scans!$D$2:$D$1601,$D1179)&gt;1,"two readings of this type: keep one; ",""))</f>
        <v/>
      </c>
    </row>
    <row r="1180">
      <c r="A1180" s="9" t="n"/>
      <c r="B1180" s="33" t="n"/>
      <c r="G1180" s="25">
        <f>IF($C1180="","",IFERROR(IF(INDEX(links!$A$2:$A$501,MATCH($C1180,links!$D$2:$D$501,0))="","",INDEX(links!$A$2:$A$501,MATCH($C1180,links!$D$2:$D$501,0))),""))</f>
        <v/>
      </c>
      <c r="H1180" s="25">
        <f>IF($C1180="","",IFERROR(IF(INDEX(links!$B$2:$B$501,MATCH($C1180,links!$D$2:$D$501,0))="","",INDEX(links!$B$2:$B$501,MATCH($C1180,links!$D$2:$D$501,0))),""))</f>
        <v/>
      </c>
      <c r="I1180" s="25">
        <f>IF($C1180="","",IFERROR(IF(INDEX(links!$C$2:$C$501,MATCH($C1180,links!$D$2:$D$501,0))="","",INDEX(links!$C$2:$C$501,MATCH($C1180,links!$D$2:$D$501,0))),""))</f>
        <v/>
      </c>
      <c r="J1180" s="25">
        <f>IF($C1180="","",IF($G1180="","slug not in links; ","")&amp;IF($D1180="","reading type missing; ","")&amp;IF(COUNTIFS(scans!$C$2:$C$1601,$C1180,scans!$D$2:$D$1601,$D1180)&gt;1,"two readings of this type: keep one; ",""))</f>
        <v/>
      </c>
    </row>
    <row r="1181">
      <c r="A1181" s="9" t="n"/>
      <c r="B1181" s="33" t="n"/>
      <c r="G1181" s="25">
        <f>IF($C1181="","",IFERROR(IF(INDEX(links!$A$2:$A$501,MATCH($C1181,links!$D$2:$D$501,0))="","",INDEX(links!$A$2:$A$501,MATCH($C1181,links!$D$2:$D$501,0))),""))</f>
        <v/>
      </c>
      <c r="H1181" s="25">
        <f>IF($C1181="","",IFERROR(IF(INDEX(links!$B$2:$B$501,MATCH($C1181,links!$D$2:$D$501,0))="","",INDEX(links!$B$2:$B$501,MATCH($C1181,links!$D$2:$D$501,0))),""))</f>
        <v/>
      </c>
      <c r="I1181" s="25">
        <f>IF($C1181="","",IFERROR(IF(INDEX(links!$C$2:$C$501,MATCH($C1181,links!$D$2:$D$501,0))="","",INDEX(links!$C$2:$C$501,MATCH($C1181,links!$D$2:$D$501,0))),""))</f>
        <v/>
      </c>
      <c r="J1181" s="25">
        <f>IF($C1181="","",IF($G1181="","slug not in links; ","")&amp;IF($D1181="","reading type missing; ","")&amp;IF(COUNTIFS(scans!$C$2:$C$1601,$C1181,scans!$D$2:$D$1601,$D1181)&gt;1,"two readings of this type: keep one; ",""))</f>
        <v/>
      </c>
    </row>
    <row r="1182">
      <c r="A1182" s="9" t="n"/>
      <c r="B1182" s="33" t="n"/>
      <c r="G1182" s="25">
        <f>IF($C1182="","",IFERROR(IF(INDEX(links!$A$2:$A$501,MATCH($C1182,links!$D$2:$D$501,0))="","",INDEX(links!$A$2:$A$501,MATCH($C1182,links!$D$2:$D$501,0))),""))</f>
        <v/>
      </c>
      <c r="H1182" s="25">
        <f>IF($C1182="","",IFERROR(IF(INDEX(links!$B$2:$B$501,MATCH($C1182,links!$D$2:$D$501,0))="","",INDEX(links!$B$2:$B$501,MATCH($C1182,links!$D$2:$D$501,0))),""))</f>
        <v/>
      </c>
      <c r="I1182" s="25">
        <f>IF($C1182="","",IFERROR(IF(INDEX(links!$C$2:$C$501,MATCH($C1182,links!$D$2:$D$501,0))="","",INDEX(links!$C$2:$C$501,MATCH($C1182,links!$D$2:$D$501,0))),""))</f>
        <v/>
      </c>
      <c r="J1182" s="25">
        <f>IF($C1182="","",IF($G1182="","slug not in links; ","")&amp;IF($D1182="","reading type missing; ","")&amp;IF(COUNTIFS(scans!$C$2:$C$1601,$C1182,scans!$D$2:$D$1601,$D1182)&gt;1,"two readings of this type: keep one; ",""))</f>
        <v/>
      </c>
    </row>
    <row r="1183">
      <c r="A1183" s="9" t="n"/>
      <c r="B1183" s="33" t="n"/>
      <c r="G1183" s="25">
        <f>IF($C1183="","",IFERROR(IF(INDEX(links!$A$2:$A$501,MATCH($C1183,links!$D$2:$D$501,0))="","",INDEX(links!$A$2:$A$501,MATCH($C1183,links!$D$2:$D$501,0))),""))</f>
        <v/>
      </c>
      <c r="H1183" s="25">
        <f>IF($C1183="","",IFERROR(IF(INDEX(links!$B$2:$B$501,MATCH($C1183,links!$D$2:$D$501,0))="","",INDEX(links!$B$2:$B$501,MATCH($C1183,links!$D$2:$D$501,0))),""))</f>
        <v/>
      </c>
      <c r="I1183" s="25">
        <f>IF($C1183="","",IFERROR(IF(INDEX(links!$C$2:$C$501,MATCH($C1183,links!$D$2:$D$501,0))="","",INDEX(links!$C$2:$C$501,MATCH($C1183,links!$D$2:$D$501,0))),""))</f>
        <v/>
      </c>
      <c r="J1183" s="25">
        <f>IF($C1183="","",IF($G1183="","slug not in links; ","")&amp;IF($D1183="","reading type missing; ","")&amp;IF(COUNTIFS(scans!$C$2:$C$1601,$C1183,scans!$D$2:$D$1601,$D1183)&gt;1,"two readings of this type: keep one; ",""))</f>
        <v/>
      </c>
    </row>
    <row r="1184">
      <c r="A1184" s="9" t="n"/>
      <c r="B1184" s="33" t="n"/>
      <c r="G1184" s="25">
        <f>IF($C1184="","",IFERROR(IF(INDEX(links!$A$2:$A$501,MATCH($C1184,links!$D$2:$D$501,0))="","",INDEX(links!$A$2:$A$501,MATCH($C1184,links!$D$2:$D$501,0))),""))</f>
        <v/>
      </c>
      <c r="H1184" s="25">
        <f>IF($C1184="","",IFERROR(IF(INDEX(links!$B$2:$B$501,MATCH($C1184,links!$D$2:$D$501,0))="","",INDEX(links!$B$2:$B$501,MATCH($C1184,links!$D$2:$D$501,0))),""))</f>
        <v/>
      </c>
      <c r="I1184" s="25">
        <f>IF($C1184="","",IFERROR(IF(INDEX(links!$C$2:$C$501,MATCH($C1184,links!$D$2:$D$501,0))="","",INDEX(links!$C$2:$C$501,MATCH($C1184,links!$D$2:$D$501,0))),""))</f>
        <v/>
      </c>
      <c r="J1184" s="25">
        <f>IF($C1184="","",IF($G1184="","slug not in links; ","")&amp;IF($D1184="","reading type missing; ","")&amp;IF(COUNTIFS(scans!$C$2:$C$1601,$C1184,scans!$D$2:$D$1601,$D1184)&gt;1,"two readings of this type: keep one; ",""))</f>
        <v/>
      </c>
    </row>
    <row r="1185">
      <c r="A1185" s="9" t="n"/>
      <c r="B1185" s="33" t="n"/>
      <c r="G1185" s="25">
        <f>IF($C1185="","",IFERROR(IF(INDEX(links!$A$2:$A$501,MATCH($C1185,links!$D$2:$D$501,0))="","",INDEX(links!$A$2:$A$501,MATCH($C1185,links!$D$2:$D$501,0))),""))</f>
        <v/>
      </c>
      <c r="H1185" s="25">
        <f>IF($C1185="","",IFERROR(IF(INDEX(links!$B$2:$B$501,MATCH($C1185,links!$D$2:$D$501,0))="","",INDEX(links!$B$2:$B$501,MATCH($C1185,links!$D$2:$D$501,0))),""))</f>
        <v/>
      </c>
      <c r="I1185" s="25">
        <f>IF($C1185="","",IFERROR(IF(INDEX(links!$C$2:$C$501,MATCH($C1185,links!$D$2:$D$501,0))="","",INDEX(links!$C$2:$C$501,MATCH($C1185,links!$D$2:$D$501,0))),""))</f>
        <v/>
      </c>
      <c r="J1185" s="25">
        <f>IF($C1185="","",IF($G1185="","slug not in links; ","")&amp;IF($D1185="","reading type missing; ","")&amp;IF(COUNTIFS(scans!$C$2:$C$1601,$C1185,scans!$D$2:$D$1601,$D1185)&gt;1,"two readings of this type: keep one; ",""))</f>
        <v/>
      </c>
    </row>
    <row r="1186">
      <c r="A1186" s="9" t="n"/>
      <c r="B1186" s="33" t="n"/>
      <c r="G1186" s="25">
        <f>IF($C1186="","",IFERROR(IF(INDEX(links!$A$2:$A$501,MATCH($C1186,links!$D$2:$D$501,0))="","",INDEX(links!$A$2:$A$501,MATCH($C1186,links!$D$2:$D$501,0))),""))</f>
        <v/>
      </c>
      <c r="H1186" s="25">
        <f>IF($C1186="","",IFERROR(IF(INDEX(links!$B$2:$B$501,MATCH($C1186,links!$D$2:$D$501,0))="","",INDEX(links!$B$2:$B$501,MATCH($C1186,links!$D$2:$D$501,0))),""))</f>
        <v/>
      </c>
      <c r="I1186" s="25">
        <f>IF($C1186="","",IFERROR(IF(INDEX(links!$C$2:$C$501,MATCH($C1186,links!$D$2:$D$501,0))="","",INDEX(links!$C$2:$C$501,MATCH($C1186,links!$D$2:$D$501,0))),""))</f>
        <v/>
      </c>
      <c r="J1186" s="25">
        <f>IF($C1186="","",IF($G1186="","slug not in links; ","")&amp;IF($D1186="","reading type missing; ","")&amp;IF(COUNTIFS(scans!$C$2:$C$1601,$C1186,scans!$D$2:$D$1601,$D1186)&gt;1,"two readings of this type: keep one; ",""))</f>
        <v/>
      </c>
    </row>
    <row r="1187">
      <c r="A1187" s="9" t="n"/>
      <c r="B1187" s="33" t="n"/>
      <c r="G1187" s="25">
        <f>IF($C1187="","",IFERROR(IF(INDEX(links!$A$2:$A$501,MATCH($C1187,links!$D$2:$D$501,0))="","",INDEX(links!$A$2:$A$501,MATCH($C1187,links!$D$2:$D$501,0))),""))</f>
        <v/>
      </c>
      <c r="H1187" s="25">
        <f>IF($C1187="","",IFERROR(IF(INDEX(links!$B$2:$B$501,MATCH($C1187,links!$D$2:$D$501,0))="","",INDEX(links!$B$2:$B$501,MATCH($C1187,links!$D$2:$D$501,0))),""))</f>
        <v/>
      </c>
      <c r="I1187" s="25">
        <f>IF($C1187="","",IFERROR(IF(INDEX(links!$C$2:$C$501,MATCH($C1187,links!$D$2:$D$501,0))="","",INDEX(links!$C$2:$C$501,MATCH($C1187,links!$D$2:$D$501,0))),""))</f>
        <v/>
      </c>
      <c r="J1187" s="25">
        <f>IF($C1187="","",IF($G1187="","slug not in links; ","")&amp;IF($D1187="","reading type missing; ","")&amp;IF(COUNTIFS(scans!$C$2:$C$1601,$C1187,scans!$D$2:$D$1601,$D1187)&gt;1,"two readings of this type: keep one; ",""))</f>
        <v/>
      </c>
    </row>
    <row r="1188">
      <c r="A1188" s="9" t="n"/>
      <c r="B1188" s="33" t="n"/>
      <c r="G1188" s="25">
        <f>IF($C1188="","",IFERROR(IF(INDEX(links!$A$2:$A$501,MATCH($C1188,links!$D$2:$D$501,0))="","",INDEX(links!$A$2:$A$501,MATCH($C1188,links!$D$2:$D$501,0))),""))</f>
        <v/>
      </c>
      <c r="H1188" s="25">
        <f>IF($C1188="","",IFERROR(IF(INDEX(links!$B$2:$B$501,MATCH($C1188,links!$D$2:$D$501,0))="","",INDEX(links!$B$2:$B$501,MATCH($C1188,links!$D$2:$D$501,0))),""))</f>
        <v/>
      </c>
      <c r="I1188" s="25">
        <f>IF($C1188="","",IFERROR(IF(INDEX(links!$C$2:$C$501,MATCH($C1188,links!$D$2:$D$501,0))="","",INDEX(links!$C$2:$C$501,MATCH($C1188,links!$D$2:$D$501,0))),""))</f>
        <v/>
      </c>
      <c r="J1188" s="25">
        <f>IF($C1188="","",IF($G1188="","slug not in links; ","")&amp;IF($D1188="","reading type missing; ","")&amp;IF(COUNTIFS(scans!$C$2:$C$1601,$C1188,scans!$D$2:$D$1601,$D1188)&gt;1,"two readings of this type: keep one; ",""))</f>
        <v/>
      </c>
    </row>
    <row r="1189">
      <c r="A1189" s="9" t="n"/>
      <c r="B1189" s="33" t="n"/>
      <c r="G1189" s="25">
        <f>IF($C1189="","",IFERROR(IF(INDEX(links!$A$2:$A$501,MATCH($C1189,links!$D$2:$D$501,0))="","",INDEX(links!$A$2:$A$501,MATCH($C1189,links!$D$2:$D$501,0))),""))</f>
        <v/>
      </c>
      <c r="H1189" s="25">
        <f>IF($C1189="","",IFERROR(IF(INDEX(links!$B$2:$B$501,MATCH($C1189,links!$D$2:$D$501,0))="","",INDEX(links!$B$2:$B$501,MATCH($C1189,links!$D$2:$D$501,0))),""))</f>
        <v/>
      </c>
      <c r="I1189" s="25">
        <f>IF($C1189="","",IFERROR(IF(INDEX(links!$C$2:$C$501,MATCH($C1189,links!$D$2:$D$501,0))="","",INDEX(links!$C$2:$C$501,MATCH($C1189,links!$D$2:$D$501,0))),""))</f>
        <v/>
      </c>
      <c r="J1189" s="25">
        <f>IF($C1189="","",IF($G1189="","slug not in links; ","")&amp;IF($D1189="","reading type missing; ","")&amp;IF(COUNTIFS(scans!$C$2:$C$1601,$C1189,scans!$D$2:$D$1601,$D1189)&gt;1,"two readings of this type: keep one; ",""))</f>
        <v/>
      </c>
    </row>
    <row r="1190">
      <c r="A1190" s="9" t="n"/>
      <c r="B1190" s="33" t="n"/>
      <c r="G1190" s="25">
        <f>IF($C1190="","",IFERROR(IF(INDEX(links!$A$2:$A$501,MATCH($C1190,links!$D$2:$D$501,0))="","",INDEX(links!$A$2:$A$501,MATCH($C1190,links!$D$2:$D$501,0))),""))</f>
        <v/>
      </c>
      <c r="H1190" s="25">
        <f>IF($C1190="","",IFERROR(IF(INDEX(links!$B$2:$B$501,MATCH($C1190,links!$D$2:$D$501,0))="","",INDEX(links!$B$2:$B$501,MATCH($C1190,links!$D$2:$D$501,0))),""))</f>
        <v/>
      </c>
      <c r="I1190" s="25">
        <f>IF($C1190="","",IFERROR(IF(INDEX(links!$C$2:$C$501,MATCH($C1190,links!$D$2:$D$501,0))="","",INDEX(links!$C$2:$C$501,MATCH($C1190,links!$D$2:$D$501,0))),""))</f>
        <v/>
      </c>
      <c r="J1190" s="25">
        <f>IF($C1190="","",IF($G1190="","slug not in links; ","")&amp;IF($D1190="","reading type missing; ","")&amp;IF(COUNTIFS(scans!$C$2:$C$1601,$C1190,scans!$D$2:$D$1601,$D1190)&gt;1,"two readings of this type: keep one; ",""))</f>
        <v/>
      </c>
    </row>
    <row r="1191">
      <c r="A1191" s="9" t="n"/>
      <c r="B1191" s="33" t="n"/>
      <c r="G1191" s="25">
        <f>IF($C1191="","",IFERROR(IF(INDEX(links!$A$2:$A$501,MATCH($C1191,links!$D$2:$D$501,0))="","",INDEX(links!$A$2:$A$501,MATCH($C1191,links!$D$2:$D$501,0))),""))</f>
        <v/>
      </c>
      <c r="H1191" s="25">
        <f>IF($C1191="","",IFERROR(IF(INDEX(links!$B$2:$B$501,MATCH($C1191,links!$D$2:$D$501,0))="","",INDEX(links!$B$2:$B$501,MATCH($C1191,links!$D$2:$D$501,0))),""))</f>
        <v/>
      </c>
      <c r="I1191" s="25">
        <f>IF($C1191="","",IFERROR(IF(INDEX(links!$C$2:$C$501,MATCH($C1191,links!$D$2:$D$501,0))="","",INDEX(links!$C$2:$C$501,MATCH($C1191,links!$D$2:$D$501,0))),""))</f>
        <v/>
      </c>
      <c r="J1191" s="25">
        <f>IF($C1191="","",IF($G1191="","slug not in links; ","")&amp;IF($D1191="","reading type missing; ","")&amp;IF(COUNTIFS(scans!$C$2:$C$1601,$C1191,scans!$D$2:$D$1601,$D1191)&gt;1,"two readings of this type: keep one; ",""))</f>
        <v/>
      </c>
    </row>
    <row r="1192">
      <c r="A1192" s="9" t="n"/>
      <c r="B1192" s="33" t="n"/>
      <c r="G1192" s="25">
        <f>IF($C1192="","",IFERROR(IF(INDEX(links!$A$2:$A$501,MATCH($C1192,links!$D$2:$D$501,0))="","",INDEX(links!$A$2:$A$501,MATCH($C1192,links!$D$2:$D$501,0))),""))</f>
        <v/>
      </c>
      <c r="H1192" s="25">
        <f>IF($C1192="","",IFERROR(IF(INDEX(links!$B$2:$B$501,MATCH($C1192,links!$D$2:$D$501,0))="","",INDEX(links!$B$2:$B$501,MATCH($C1192,links!$D$2:$D$501,0))),""))</f>
        <v/>
      </c>
      <c r="I1192" s="25">
        <f>IF($C1192="","",IFERROR(IF(INDEX(links!$C$2:$C$501,MATCH($C1192,links!$D$2:$D$501,0))="","",INDEX(links!$C$2:$C$501,MATCH($C1192,links!$D$2:$D$501,0))),""))</f>
        <v/>
      </c>
      <c r="J1192" s="25">
        <f>IF($C1192="","",IF($G1192="","slug not in links; ","")&amp;IF($D1192="","reading type missing; ","")&amp;IF(COUNTIFS(scans!$C$2:$C$1601,$C1192,scans!$D$2:$D$1601,$D1192)&gt;1,"two readings of this type: keep one; ",""))</f>
        <v/>
      </c>
    </row>
    <row r="1193">
      <c r="A1193" s="9" t="n"/>
      <c r="B1193" s="33" t="n"/>
      <c r="G1193" s="25">
        <f>IF($C1193="","",IFERROR(IF(INDEX(links!$A$2:$A$501,MATCH($C1193,links!$D$2:$D$501,0))="","",INDEX(links!$A$2:$A$501,MATCH($C1193,links!$D$2:$D$501,0))),""))</f>
        <v/>
      </c>
      <c r="H1193" s="25">
        <f>IF($C1193="","",IFERROR(IF(INDEX(links!$B$2:$B$501,MATCH($C1193,links!$D$2:$D$501,0))="","",INDEX(links!$B$2:$B$501,MATCH($C1193,links!$D$2:$D$501,0))),""))</f>
        <v/>
      </c>
      <c r="I1193" s="25">
        <f>IF($C1193="","",IFERROR(IF(INDEX(links!$C$2:$C$501,MATCH($C1193,links!$D$2:$D$501,0))="","",INDEX(links!$C$2:$C$501,MATCH($C1193,links!$D$2:$D$501,0))),""))</f>
        <v/>
      </c>
      <c r="J1193" s="25">
        <f>IF($C1193="","",IF($G1193="","slug not in links; ","")&amp;IF($D1193="","reading type missing; ","")&amp;IF(COUNTIFS(scans!$C$2:$C$1601,$C1193,scans!$D$2:$D$1601,$D1193)&gt;1,"two readings of this type: keep one; ",""))</f>
        <v/>
      </c>
    </row>
    <row r="1194">
      <c r="A1194" s="9" t="n"/>
      <c r="B1194" s="33" t="n"/>
      <c r="G1194" s="25">
        <f>IF($C1194="","",IFERROR(IF(INDEX(links!$A$2:$A$501,MATCH($C1194,links!$D$2:$D$501,0))="","",INDEX(links!$A$2:$A$501,MATCH($C1194,links!$D$2:$D$501,0))),""))</f>
        <v/>
      </c>
      <c r="H1194" s="25">
        <f>IF($C1194="","",IFERROR(IF(INDEX(links!$B$2:$B$501,MATCH($C1194,links!$D$2:$D$501,0))="","",INDEX(links!$B$2:$B$501,MATCH($C1194,links!$D$2:$D$501,0))),""))</f>
        <v/>
      </c>
      <c r="I1194" s="25">
        <f>IF($C1194="","",IFERROR(IF(INDEX(links!$C$2:$C$501,MATCH($C1194,links!$D$2:$D$501,0))="","",INDEX(links!$C$2:$C$501,MATCH($C1194,links!$D$2:$D$501,0))),""))</f>
        <v/>
      </c>
      <c r="J1194" s="25">
        <f>IF($C1194="","",IF($G1194="","slug not in links; ","")&amp;IF($D1194="","reading type missing; ","")&amp;IF(COUNTIFS(scans!$C$2:$C$1601,$C1194,scans!$D$2:$D$1601,$D1194)&gt;1,"two readings of this type: keep one; ",""))</f>
        <v/>
      </c>
    </row>
    <row r="1195">
      <c r="A1195" s="9" t="n"/>
      <c r="B1195" s="33" t="n"/>
      <c r="G1195" s="25">
        <f>IF($C1195="","",IFERROR(IF(INDEX(links!$A$2:$A$501,MATCH($C1195,links!$D$2:$D$501,0))="","",INDEX(links!$A$2:$A$501,MATCH($C1195,links!$D$2:$D$501,0))),""))</f>
        <v/>
      </c>
      <c r="H1195" s="25">
        <f>IF($C1195="","",IFERROR(IF(INDEX(links!$B$2:$B$501,MATCH($C1195,links!$D$2:$D$501,0))="","",INDEX(links!$B$2:$B$501,MATCH($C1195,links!$D$2:$D$501,0))),""))</f>
        <v/>
      </c>
      <c r="I1195" s="25">
        <f>IF($C1195="","",IFERROR(IF(INDEX(links!$C$2:$C$501,MATCH($C1195,links!$D$2:$D$501,0))="","",INDEX(links!$C$2:$C$501,MATCH($C1195,links!$D$2:$D$501,0))),""))</f>
        <v/>
      </c>
      <c r="J1195" s="25">
        <f>IF($C1195="","",IF($G1195="","slug not in links; ","")&amp;IF($D1195="","reading type missing; ","")&amp;IF(COUNTIFS(scans!$C$2:$C$1601,$C1195,scans!$D$2:$D$1601,$D1195)&gt;1,"two readings of this type: keep one; ",""))</f>
        <v/>
      </c>
    </row>
    <row r="1196">
      <c r="A1196" s="9" t="n"/>
      <c r="B1196" s="33" t="n"/>
      <c r="G1196" s="25">
        <f>IF($C1196="","",IFERROR(IF(INDEX(links!$A$2:$A$501,MATCH($C1196,links!$D$2:$D$501,0))="","",INDEX(links!$A$2:$A$501,MATCH($C1196,links!$D$2:$D$501,0))),""))</f>
        <v/>
      </c>
      <c r="H1196" s="25">
        <f>IF($C1196="","",IFERROR(IF(INDEX(links!$B$2:$B$501,MATCH($C1196,links!$D$2:$D$501,0))="","",INDEX(links!$B$2:$B$501,MATCH($C1196,links!$D$2:$D$501,0))),""))</f>
        <v/>
      </c>
      <c r="I1196" s="25">
        <f>IF($C1196="","",IFERROR(IF(INDEX(links!$C$2:$C$501,MATCH($C1196,links!$D$2:$D$501,0))="","",INDEX(links!$C$2:$C$501,MATCH($C1196,links!$D$2:$D$501,0))),""))</f>
        <v/>
      </c>
      <c r="J1196" s="25">
        <f>IF($C1196="","",IF($G1196="","slug not in links; ","")&amp;IF($D1196="","reading type missing; ","")&amp;IF(COUNTIFS(scans!$C$2:$C$1601,$C1196,scans!$D$2:$D$1601,$D1196)&gt;1,"two readings of this type: keep one; ",""))</f>
        <v/>
      </c>
    </row>
    <row r="1197">
      <c r="A1197" s="9" t="n"/>
      <c r="B1197" s="33" t="n"/>
      <c r="G1197" s="25">
        <f>IF($C1197="","",IFERROR(IF(INDEX(links!$A$2:$A$501,MATCH($C1197,links!$D$2:$D$501,0))="","",INDEX(links!$A$2:$A$501,MATCH($C1197,links!$D$2:$D$501,0))),""))</f>
        <v/>
      </c>
      <c r="H1197" s="25">
        <f>IF($C1197="","",IFERROR(IF(INDEX(links!$B$2:$B$501,MATCH($C1197,links!$D$2:$D$501,0))="","",INDEX(links!$B$2:$B$501,MATCH($C1197,links!$D$2:$D$501,0))),""))</f>
        <v/>
      </c>
      <c r="I1197" s="25">
        <f>IF($C1197="","",IFERROR(IF(INDEX(links!$C$2:$C$501,MATCH($C1197,links!$D$2:$D$501,0))="","",INDEX(links!$C$2:$C$501,MATCH($C1197,links!$D$2:$D$501,0))),""))</f>
        <v/>
      </c>
      <c r="J1197" s="25">
        <f>IF($C1197="","",IF($G1197="","slug not in links; ","")&amp;IF($D1197="","reading type missing; ","")&amp;IF(COUNTIFS(scans!$C$2:$C$1601,$C1197,scans!$D$2:$D$1601,$D1197)&gt;1,"two readings of this type: keep one; ",""))</f>
        <v/>
      </c>
    </row>
    <row r="1198">
      <c r="A1198" s="9" t="n"/>
      <c r="B1198" s="33" t="n"/>
      <c r="G1198" s="25">
        <f>IF($C1198="","",IFERROR(IF(INDEX(links!$A$2:$A$501,MATCH($C1198,links!$D$2:$D$501,0))="","",INDEX(links!$A$2:$A$501,MATCH($C1198,links!$D$2:$D$501,0))),""))</f>
        <v/>
      </c>
      <c r="H1198" s="25">
        <f>IF($C1198="","",IFERROR(IF(INDEX(links!$B$2:$B$501,MATCH($C1198,links!$D$2:$D$501,0))="","",INDEX(links!$B$2:$B$501,MATCH($C1198,links!$D$2:$D$501,0))),""))</f>
        <v/>
      </c>
      <c r="I1198" s="25">
        <f>IF($C1198="","",IFERROR(IF(INDEX(links!$C$2:$C$501,MATCH($C1198,links!$D$2:$D$501,0))="","",INDEX(links!$C$2:$C$501,MATCH($C1198,links!$D$2:$D$501,0))),""))</f>
        <v/>
      </c>
      <c r="J1198" s="25">
        <f>IF($C1198="","",IF($G1198="","slug not in links; ","")&amp;IF($D1198="","reading type missing; ","")&amp;IF(COUNTIFS(scans!$C$2:$C$1601,$C1198,scans!$D$2:$D$1601,$D1198)&gt;1,"two readings of this type: keep one; ",""))</f>
        <v/>
      </c>
    </row>
    <row r="1199">
      <c r="A1199" s="9" t="n"/>
      <c r="B1199" s="33" t="n"/>
      <c r="G1199" s="25">
        <f>IF($C1199="","",IFERROR(IF(INDEX(links!$A$2:$A$501,MATCH($C1199,links!$D$2:$D$501,0))="","",INDEX(links!$A$2:$A$501,MATCH($C1199,links!$D$2:$D$501,0))),""))</f>
        <v/>
      </c>
      <c r="H1199" s="25">
        <f>IF($C1199="","",IFERROR(IF(INDEX(links!$B$2:$B$501,MATCH($C1199,links!$D$2:$D$501,0))="","",INDEX(links!$B$2:$B$501,MATCH($C1199,links!$D$2:$D$501,0))),""))</f>
        <v/>
      </c>
      <c r="I1199" s="25">
        <f>IF($C1199="","",IFERROR(IF(INDEX(links!$C$2:$C$501,MATCH($C1199,links!$D$2:$D$501,0))="","",INDEX(links!$C$2:$C$501,MATCH($C1199,links!$D$2:$D$501,0))),""))</f>
        <v/>
      </c>
      <c r="J1199" s="25">
        <f>IF($C1199="","",IF($G1199="","slug not in links; ","")&amp;IF($D1199="","reading type missing; ","")&amp;IF(COUNTIFS(scans!$C$2:$C$1601,$C1199,scans!$D$2:$D$1601,$D1199)&gt;1,"two readings of this type: keep one; ",""))</f>
        <v/>
      </c>
    </row>
    <row r="1200">
      <c r="A1200" s="9" t="n"/>
      <c r="B1200" s="33" t="n"/>
      <c r="G1200" s="25">
        <f>IF($C1200="","",IFERROR(IF(INDEX(links!$A$2:$A$501,MATCH($C1200,links!$D$2:$D$501,0))="","",INDEX(links!$A$2:$A$501,MATCH($C1200,links!$D$2:$D$501,0))),""))</f>
        <v/>
      </c>
      <c r="H1200" s="25">
        <f>IF($C1200="","",IFERROR(IF(INDEX(links!$B$2:$B$501,MATCH($C1200,links!$D$2:$D$501,0))="","",INDEX(links!$B$2:$B$501,MATCH($C1200,links!$D$2:$D$501,0))),""))</f>
        <v/>
      </c>
      <c r="I1200" s="25">
        <f>IF($C1200="","",IFERROR(IF(INDEX(links!$C$2:$C$501,MATCH($C1200,links!$D$2:$D$501,0))="","",INDEX(links!$C$2:$C$501,MATCH($C1200,links!$D$2:$D$501,0))),""))</f>
        <v/>
      </c>
      <c r="J1200" s="25">
        <f>IF($C1200="","",IF($G1200="","slug not in links; ","")&amp;IF($D1200="","reading type missing; ","")&amp;IF(COUNTIFS(scans!$C$2:$C$1601,$C1200,scans!$D$2:$D$1601,$D1200)&gt;1,"two readings of this type: keep one; ",""))</f>
        <v/>
      </c>
    </row>
    <row r="1201">
      <c r="A1201" s="9" t="n"/>
      <c r="B1201" s="33" t="n"/>
      <c r="G1201" s="25">
        <f>IF($C1201="","",IFERROR(IF(INDEX(links!$A$2:$A$501,MATCH($C1201,links!$D$2:$D$501,0))="","",INDEX(links!$A$2:$A$501,MATCH($C1201,links!$D$2:$D$501,0))),""))</f>
        <v/>
      </c>
      <c r="H1201" s="25">
        <f>IF($C1201="","",IFERROR(IF(INDEX(links!$B$2:$B$501,MATCH($C1201,links!$D$2:$D$501,0))="","",INDEX(links!$B$2:$B$501,MATCH($C1201,links!$D$2:$D$501,0))),""))</f>
        <v/>
      </c>
      <c r="I1201" s="25">
        <f>IF($C1201="","",IFERROR(IF(INDEX(links!$C$2:$C$501,MATCH($C1201,links!$D$2:$D$501,0))="","",INDEX(links!$C$2:$C$501,MATCH($C1201,links!$D$2:$D$501,0))),""))</f>
        <v/>
      </c>
      <c r="J1201" s="25">
        <f>IF($C1201="","",IF($G1201="","slug not in links; ","")&amp;IF($D1201="","reading type missing; ","")&amp;IF(COUNTIFS(scans!$C$2:$C$1601,$C1201,scans!$D$2:$D$1601,$D1201)&gt;1,"two readings of this type: keep one; ",""))</f>
        <v/>
      </c>
    </row>
    <row r="1202">
      <c r="A1202" s="9" t="n"/>
      <c r="B1202" s="33" t="n"/>
      <c r="G1202" s="25">
        <f>IF($C1202="","",IFERROR(IF(INDEX(links!$A$2:$A$501,MATCH($C1202,links!$D$2:$D$501,0))="","",INDEX(links!$A$2:$A$501,MATCH($C1202,links!$D$2:$D$501,0))),""))</f>
        <v/>
      </c>
      <c r="H1202" s="25">
        <f>IF($C1202="","",IFERROR(IF(INDEX(links!$B$2:$B$501,MATCH($C1202,links!$D$2:$D$501,0))="","",INDEX(links!$B$2:$B$501,MATCH($C1202,links!$D$2:$D$501,0))),""))</f>
        <v/>
      </c>
      <c r="I1202" s="25">
        <f>IF($C1202="","",IFERROR(IF(INDEX(links!$C$2:$C$501,MATCH($C1202,links!$D$2:$D$501,0))="","",INDEX(links!$C$2:$C$501,MATCH($C1202,links!$D$2:$D$501,0))),""))</f>
        <v/>
      </c>
      <c r="J1202" s="25">
        <f>IF($C1202="","",IF($G1202="","slug not in links; ","")&amp;IF($D1202="","reading type missing; ","")&amp;IF(COUNTIFS(scans!$C$2:$C$1601,$C1202,scans!$D$2:$D$1601,$D1202)&gt;1,"two readings of this type: keep one; ",""))</f>
        <v/>
      </c>
    </row>
    <row r="1203">
      <c r="A1203" s="9" t="n"/>
      <c r="B1203" s="33" t="n"/>
      <c r="G1203" s="25">
        <f>IF($C1203="","",IFERROR(IF(INDEX(links!$A$2:$A$501,MATCH($C1203,links!$D$2:$D$501,0))="","",INDEX(links!$A$2:$A$501,MATCH($C1203,links!$D$2:$D$501,0))),""))</f>
        <v/>
      </c>
      <c r="H1203" s="25">
        <f>IF($C1203="","",IFERROR(IF(INDEX(links!$B$2:$B$501,MATCH($C1203,links!$D$2:$D$501,0))="","",INDEX(links!$B$2:$B$501,MATCH($C1203,links!$D$2:$D$501,0))),""))</f>
        <v/>
      </c>
      <c r="I1203" s="25">
        <f>IF($C1203="","",IFERROR(IF(INDEX(links!$C$2:$C$501,MATCH($C1203,links!$D$2:$D$501,0))="","",INDEX(links!$C$2:$C$501,MATCH($C1203,links!$D$2:$D$501,0))),""))</f>
        <v/>
      </c>
      <c r="J1203" s="25">
        <f>IF($C1203="","",IF($G1203="","slug not in links; ","")&amp;IF($D1203="","reading type missing; ","")&amp;IF(COUNTIFS(scans!$C$2:$C$1601,$C1203,scans!$D$2:$D$1601,$D1203)&gt;1,"two readings of this type: keep one; ",""))</f>
        <v/>
      </c>
    </row>
    <row r="1204">
      <c r="A1204" s="9" t="n"/>
      <c r="B1204" s="33" t="n"/>
      <c r="G1204" s="25">
        <f>IF($C1204="","",IFERROR(IF(INDEX(links!$A$2:$A$501,MATCH($C1204,links!$D$2:$D$501,0))="","",INDEX(links!$A$2:$A$501,MATCH($C1204,links!$D$2:$D$501,0))),""))</f>
        <v/>
      </c>
      <c r="H1204" s="25">
        <f>IF($C1204="","",IFERROR(IF(INDEX(links!$B$2:$B$501,MATCH($C1204,links!$D$2:$D$501,0))="","",INDEX(links!$B$2:$B$501,MATCH($C1204,links!$D$2:$D$501,0))),""))</f>
        <v/>
      </c>
      <c r="I1204" s="25">
        <f>IF($C1204="","",IFERROR(IF(INDEX(links!$C$2:$C$501,MATCH($C1204,links!$D$2:$D$501,0))="","",INDEX(links!$C$2:$C$501,MATCH($C1204,links!$D$2:$D$501,0))),""))</f>
        <v/>
      </c>
      <c r="J1204" s="25">
        <f>IF($C1204="","",IF($G1204="","slug not in links; ","")&amp;IF($D1204="","reading type missing; ","")&amp;IF(COUNTIFS(scans!$C$2:$C$1601,$C1204,scans!$D$2:$D$1601,$D1204)&gt;1,"two readings of this type: keep one; ",""))</f>
        <v/>
      </c>
    </row>
    <row r="1205">
      <c r="A1205" s="9" t="n"/>
      <c r="B1205" s="33" t="n"/>
      <c r="G1205" s="25">
        <f>IF($C1205="","",IFERROR(IF(INDEX(links!$A$2:$A$501,MATCH($C1205,links!$D$2:$D$501,0))="","",INDEX(links!$A$2:$A$501,MATCH($C1205,links!$D$2:$D$501,0))),""))</f>
        <v/>
      </c>
      <c r="H1205" s="25">
        <f>IF($C1205="","",IFERROR(IF(INDEX(links!$B$2:$B$501,MATCH($C1205,links!$D$2:$D$501,0))="","",INDEX(links!$B$2:$B$501,MATCH($C1205,links!$D$2:$D$501,0))),""))</f>
        <v/>
      </c>
      <c r="I1205" s="25">
        <f>IF($C1205="","",IFERROR(IF(INDEX(links!$C$2:$C$501,MATCH($C1205,links!$D$2:$D$501,0))="","",INDEX(links!$C$2:$C$501,MATCH($C1205,links!$D$2:$D$501,0))),""))</f>
        <v/>
      </c>
      <c r="J1205" s="25">
        <f>IF($C1205="","",IF($G1205="","slug not in links; ","")&amp;IF($D1205="","reading type missing; ","")&amp;IF(COUNTIFS(scans!$C$2:$C$1601,$C1205,scans!$D$2:$D$1601,$D1205)&gt;1,"two readings of this type: keep one; ",""))</f>
        <v/>
      </c>
    </row>
    <row r="1206">
      <c r="A1206" s="9" t="n"/>
      <c r="B1206" s="33" t="n"/>
      <c r="G1206" s="25">
        <f>IF($C1206="","",IFERROR(IF(INDEX(links!$A$2:$A$501,MATCH($C1206,links!$D$2:$D$501,0))="","",INDEX(links!$A$2:$A$501,MATCH($C1206,links!$D$2:$D$501,0))),""))</f>
        <v/>
      </c>
      <c r="H1206" s="25">
        <f>IF($C1206="","",IFERROR(IF(INDEX(links!$B$2:$B$501,MATCH($C1206,links!$D$2:$D$501,0))="","",INDEX(links!$B$2:$B$501,MATCH($C1206,links!$D$2:$D$501,0))),""))</f>
        <v/>
      </c>
      <c r="I1206" s="25">
        <f>IF($C1206="","",IFERROR(IF(INDEX(links!$C$2:$C$501,MATCH($C1206,links!$D$2:$D$501,0))="","",INDEX(links!$C$2:$C$501,MATCH($C1206,links!$D$2:$D$501,0))),""))</f>
        <v/>
      </c>
      <c r="J1206" s="25">
        <f>IF($C1206="","",IF($G1206="","slug not in links; ","")&amp;IF($D1206="","reading type missing; ","")&amp;IF(COUNTIFS(scans!$C$2:$C$1601,$C1206,scans!$D$2:$D$1601,$D1206)&gt;1,"two readings of this type: keep one; ",""))</f>
        <v/>
      </c>
    </row>
    <row r="1207">
      <c r="A1207" s="9" t="n"/>
      <c r="B1207" s="33" t="n"/>
      <c r="G1207" s="25">
        <f>IF($C1207="","",IFERROR(IF(INDEX(links!$A$2:$A$501,MATCH($C1207,links!$D$2:$D$501,0))="","",INDEX(links!$A$2:$A$501,MATCH($C1207,links!$D$2:$D$501,0))),""))</f>
        <v/>
      </c>
      <c r="H1207" s="25">
        <f>IF($C1207="","",IFERROR(IF(INDEX(links!$B$2:$B$501,MATCH($C1207,links!$D$2:$D$501,0))="","",INDEX(links!$B$2:$B$501,MATCH($C1207,links!$D$2:$D$501,0))),""))</f>
        <v/>
      </c>
      <c r="I1207" s="25">
        <f>IF($C1207="","",IFERROR(IF(INDEX(links!$C$2:$C$501,MATCH($C1207,links!$D$2:$D$501,0))="","",INDEX(links!$C$2:$C$501,MATCH($C1207,links!$D$2:$D$501,0))),""))</f>
        <v/>
      </c>
      <c r="J1207" s="25">
        <f>IF($C1207="","",IF($G1207="","slug not in links; ","")&amp;IF($D1207="","reading type missing; ","")&amp;IF(COUNTIFS(scans!$C$2:$C$1601,$C1207,scans!$D$2:$D$1601,$D1207)&gt;1,"two readings of this type: keep one; ",""))</f>
        <v/>
      </c>
    </row>
    <row r="1208">
      <c r="A1208" s="9" t="n"/>
      <c r="B1208" s="33" t="n"/>
      <c r="G1208" s="25">
        <f>IF($C1208="","",IFERROR(IF(INDEX(links!$A$2:$A$501,MATCH($C1208,links!$D$2:$D$501,0))="","",INDEX(links!$A$2:$A$501,MATCH($C1208,links!$D$2:$D$501,0))),""))</f>
        <v/>
      </c>
      <c r="H1208" s="25">
        <f>IF($C1208="","",IFERROR(IF(INDEX(links!$B$2:$B$501,MATCH($C1208,links!$D$2:$D$501,0))="","",INDEX(links!$B$2:$B$501,MATCH($C1208,links!$D$2:$D$501,0))),""))</f>
        <v/>
      </c>
      <c r="I1208" s="25">
        <f>IF($C1208="","",IFERROR(IF(INDEX(links!$C$2:$C$501,MATCH($C1208,links!$D$2:$D$501,0))="","",INDEX(links!$C$2:$C$501,MATCH($C1208,links!$D$2:$D$501,0))),""))</f>
        <v/>
      </c>
      <c r="J1208" s="25">
        <f>IF($C1208="","",IF($G1208="","slug not in links; ","")&amp;IF($D1208="","reading type missing; ","")&amp;IF(COUNTIFS(scans!$C$2:$C$1601,$C1208,scans!$D$2:$D$1601,$D1208)&gt;1,"two readings of this type: keep one; ",""))</f>
        <v/>
      </c>
    </row>
    <row r="1209">
      <c r="A1209" s="9" t="n"/>
      <c r="B1209" s="33" t="n"/>
      <c r="G1209" s="25">
        <f>IF($C1209="","",IFERROR(IF(INDEX(links!$A$2:$A$501,MATCH($C1209,links!$D$2:$D$501,0))="","",INDEX(links!$A$2:$A$501,MATCH($C1209,links!$D$2:$D$501,0))),""))</f>
        <v/>
      </c>
      <c r="H1209" s="25">
        <f>IF($C1209="","",IFERROR(IF(INDEX(links!$B$2:$B$501,MATCH($C1209,links!$D$2:$D$501,0))="","",INDEX(links!$B$2:$B$501,MATCH($C1209,links!$D$2:$D$501,0))),""))</f>
        <v/>
      </c>
      <c r="I1209" s="25">
        <f>IF($C1209="","",IFERROR(IF(INDEX(links!$C$2:$C$501,MATCH($C1209,links!$D$2:$D$501,0))="","",INDEX(links!$C$2:$C$501,MATCH($C1209,links!$D$2:$D$501,0))),""))</f>
        <v/>
      </c>
      <c r="J1209" s="25">
        <f>IF($C1209="","",IF($G1209="","slug not in links; ","")&amp;IF($D1209="","reading type missing; ","")&amp;IF(COUNTIFS(scans!$C$2:$C$1601,$C1209,scans!$D$2:$D$1601,$D1209)&gt;1,"two readings of this type: keep one; ",""))</f>
        <v/>
      </c>
    </row>
    <row r="1210">
      <c r="A1210" s="9" t="n"/>
      <c r="B1210" s="33" t="n"/>
      <c r="G1210" s="25">
        <f>IF($C1210="","",IFERROR(IF(INDEX(links!$A$2:$A$501,MATCH($C1210,links!$D$2:$D$501,0))="","",INDEX(links!$A$2:$A$501,MATCH($C1210,links!$D$2:$D$501,0))),""))</f>
        <v/>
      </c>
      <c r="H1210" s="25">
        <f>IF($C1210="","",IFERROR(IF(INDEX(links!$B$2:$B$501,MATCH($C1210,links!$D$2:$D$501,0))="","",INDEX(links!$B$2:$B$501,MATCH($C1210,links!$D$2:$D$501,0))),""))</f>
        <v/>
      </c>
      <c r="I1210" s="25">
        <f>IF($C1210="","",IFERROR(IF(INDEX(links!$C$2:$C$501,MATCH($C1210,links!$D$2:$D$501,0))="","",INDEX(links!$C$2:$C$501,MATCH($C1210,links!$D$2:$D$501,0))),""))</f>
        <v/>
      </c>
      <c r="J1210" s="25">
        <f>IF($C1210="","",IF($G1210="","slug not in links; ","")&amp;IF($D1210="","reading type missing; ","")&amp;IF(COUNTIFS(scans!$C$2:$C$1601,$C1210,scans!$D$2:$D$1601,$D1210)&gt;1,"two readings of this type: keep one; ",""))</f>
        <v/>
      </c>
    </row>
    <row r="1211">
      <c r="A1211" s="9" t="n"/>
      <c r="B1211" s="33" t="n"/>
      <c r="G1211" s="25">
        <f>IF($C1211="","",IFERROR(IF(INDEX(links!$A$2:$A$501,MATCH($C1211,links!$D$2:$D$501,0))="","",INDEX(links!$A$2:$A$501,MATCH($C1211,links!$D$2:$D$501,0))),""))</f>
        <v/>
      </c>
      <c r="H1211" s="25">
        <f>IF($C1211="","",IFERROR(IF(INDEX(links!$B$2:$B$501,MATCH($C1211,links!$D$2:$D$501,0))="","",INDEX(links!$B$2:$B$501,MATCH($C1211,links!$D$2:$D$501,0))),""))</f>
        <v/>
      </c>
      <c r="I1211" s="25">
        <f>IF($C1211="","",IFERROR(IF(INDEX(links!$C$2:$C$501,MATCH($C1211,links!$D$2:$D$501,0))="","",INDEX(links!$C$2:$C$501,MATCH($C1211,links!$D$2:$D$501,0))),""))</f>
        <v/>
      </c>
      <c r="J1211" s="25">
        <f>IF($C1211="","",IF($G1211="","slug not in links; ","")&amp;IF($D1211="","reading type missing; ","")&amp;IF(COUNTIFS(scans!$C$2:$C$1601,$C1211,scans!$D$2:$D$1601,$D1211)&gt;1,"two readings of this type: keep one; ",""))</f>
        <v/>
      </c>
    </row>
    <row r="1212">
      <c r="A1212" s="9" t="n"/>
      <c r="B1212" s="33" t="n"/>
      <c r="G1212" s="25">
        <f>IF($C1212="","",IFERROR(IF(INDEX(links!$A$2:$A$501,MATCH($C1212,links!$D$2:$D$501,0))="","",INDEX(links!$A$2:$A$501,MATCH($C1212,links!$D$2:$D$501,0))),""))</f>
        <v/>
      </c>
      <c r="H1212" s="25">
        <f>IF($C1212="","",IFERROR(IF(INDEX(links!$B$2:$B$501,MATCH($C1212,links!$D$2:$D$501,0))="","",INDEX(links!$B$2:$B$501,MATCH($C1212,links!$D$2:$D$501,0))),""))</f>
        <v/>
      </c>
      <c r="I1212" s="25">
        <f>IF($C1212="","",IFERROR(IF(INDEX(links!$C$2:$C$501,MATCH($C1212,links!$D$2:$D$501,0))="","",INDEX(links!$C$2:$C$501,MATCH($C1212,links!$D$2:$D$501,0))),""))</f>
        <v/>
      </c>
      <c r="J1212" s="25">
        <f>IF($C1212="","",IF($G1212="","slug not in links; ","")&amp;IF($D1212="","reading type missing; ","")&amp;IF(COUNTIFS(scans!$C$2:$C$1601,$C1212,scans!$D$2:$D$1601,$D1212)&gt;1,"two readings of this type: keep one; ",""))</f>
        <v/>
      </c>
    </row>
    <row r="1213">
      <c r="A1213" s="9" t="n"/>
      <c r="B1213" s="33" t="n"/>
      <c r="G1213" s="25">
        <f>IF($C1213="","",IFERROR(IF(INDEX(links!$A$2:$A$501,MATCH($C1213,links!$D$2:$D$501,0))="","",INDEX(links!$A$2:$A$501,MATCH($C1213,links!$D$2:$D$501,0))),""))</f>
        <v/>
      </c>
      <c r="H1213" s="25">
        <f>IF($C1213="","",IFERROR(IF(INDEX(links!$B$2:$B$501,MATCH($C1213,links!$D$2:$D$501,0))="","",INDEX(links!$B$2:$B$501,MATCH($C1213,links!$D$2:$D$501,0))),""))</f>
        <v/>
      </c>
      <c r="I1213" s="25">
        <f>IF($C1213="","",IFERROR(IF(INDEX(links!$C$2:$C$501,MATCH($C1213,links!$D$2:$D$501,0))="","",INDEX(links!$C$2:$C$501,MATCH($C1213,links!$D$2:$D$501,0))),""))</f>
        <v/>
      </c>
      <c r="J1213" s="25">
        <f>IF($C1213="","",IF($G1213="","slug not in links; ","")&amp;IF($D1213="","reading type missing; ","")&amp;IF(COUNTIFS(scans!$C$2:$C$1601,$C1213,scans!$D$2:$D$1601,$D1213)&gt;1,"two readings of this type: keep one; ",""))</f>
        <v/>
      </c>
    </row>
    <row r="1214">
      <c r="A1214" s="9" t="n"/>
      <c r="B1214" s="33" t="n"/>
      <c r="G1214" s="25">
        <f>IF($C1214="","",IFERROR(IF(INDEX(links!$A$2:$A$501,MATCH($C1214,links!$D$2:$D$501,0))="","",INDEX(links!$A$2:$A$501,MATCH($C1214,links!$D$2:$D$501,0))),""))</f>
        <v/>
      </c>
      <c r="H1214" s="25">
        <f>IF($C1214="","",IFERROR(IF(INDEX(links!$B$2:$B$501,MATCH($C1214,links!$D$2:$D$501,0))="","",INDEX(links!$B$2:$B$501,MATCH($C1214,links!$D$2:$D$501,0))),""))</f>
        <v/>
      </c>
      <c r="I1214" s="25">
        <f>IF($C1214="","",IFERROR(IF(INDEX(links!$C$2:$C$501,MATCH($C1214,links!$D$2:$D$501,0))="","",INDEX(links!$C$2:$C$501,MATCH($C1214,links!$D$2:$D$501,0))),""))</f>
        <v/>
      </c>
      <c r="J1214" s="25">
        <f>IF($C1214="","",IF($G1214="","slug not in links; ","")&amp;IF($D1214="","reading type missing; ","")&amp;IF(COUNTIFS(scans!$C$2:$C$1601,$C1214,scans!$D$2:$D$1601,$D1214)&gt;1,"two readings of this type: keep one; ",""))</f>
        <v/>
      </c>
    </row>
    <row r="1215">
      <c r="A1215" s="9" t="n"/>
      <c r="B1215" s="33" t="n"/>
      <c r="G1215" s="25">
        <f>IF($C1215="","",IFERROR(IF(INDEX(links!$A$2:$A$501,MATCH($C1215,links!$D$2:$D$501,0))="","",INDEX(links!$A$2:$A$501,MATCH($C1215,links!$D$2:$D$501,0))),""))</f>
        <v/>
      </c>
      <c r="H1215" s="25">
        <f>IF($C1215="","",IFERROR(IF(INDEX(links!$B$2:$B$501,MATCH($C1215,links!$D$2:$D$501,0))="","",INDEX(links!$B$2:$B$501,MATCH($C1215,links!$D$2:$D$501,0))),""))</f>
        <v/>
      </c>
      <c r="I1215" s="25">
        <f>IF($C1215="","",IFERROR(IF(INDEX(links!$C$2:$C$501,MATCH($C1215,links!$D$2:$D$501,0))="","",INDEX(links!$C$2:$C$501,MATCH($C1215,links!$D$2:$D$501,0))),""))</f>
        <v/>
      </c>
      <c r="J1215" s="25">
        <f>IF($C1215="","",IF($G1215="","slug not in links; ","")&amp;IF($D1215="","reading type missing; ","")&amp;IF(COUNTIFS(scans!$C$2:$C$1601,$C1215,scans!$D$2:$D$1601,$D1215)&gt;1,"two readings of this type: keep one; ",""))</f>
        <v/>
      </c>
    </row>
    <row r="1216">
      <c r="A1216" s="9" t="n"/>
      <c r="B1216" s="33" t="n"/>
      <c r="G1216" s="25">
        <f>IF($C1216="","",IFERROR(IF(INDEX(links!$A$2:$A$501,MATCH($C1216,links!$D$2:$D$501,0))="","",INDEX(links!$A$2:$A$501,MATCH($C1216,links!$D$2:$D$501,0))),""))</f>
        <v/>
      </c>
      <c r="H1216" s="25">
        <f>IF($C1216="","",IFERROR(IF(INDEX(links!$B$2:$B$501,MATCH($C1216,links!$D$2:$D$501,0))="","",INDEX(links!$B$2:$B$501,MATCH($C1216,links!$D$2:$D$501,0))),""))</f>
        <v/>
      </c>
      <c r="I1216" s="25">
        <f>IF($C1216="","",IFERROR(IF(INDEX(links!$C$2:$C$501,MATCH($C1216,links!$D$2:$D$501,0))="","",INDEX(links!$C$2:$C$501,MATCH($C1216,links!$D$2:$D$501,0))),""))</f>
        <v/>
      </c>
      <c r="J1216" s="25">
        <f>IF($C1216="","",IF($G1216="","slug not in links; ","")&amp;IF($D1216="","reading type missing; ","")&amp;IF(COUNTIFS(scans!$C$2:$C$1601,$C1216,scans!$D$2:$D$1601,$D1216)&gt;1,"two readings of this type: keep one; ",""))</f>
        <v/>
      </c>
    </row>
    <row r="1217">
      <c r="A1217" s="9" t="n"/>
      <c r="B1217" s="33" t="n"/>
      <c r="G1217" s="25">
        <f>IF($C1217="","",IFERROR(IF(INDEX(links!$A$2:$A$501,MATCH($C1217,links!$D$2:$D$501,0))="","",INDEX(links!$A$2:$A$501,MATCH($C1217,links!$D$2:$D$501,0))),""))</f>
        <v/>
      </c>
      <c r="H1217" s="25">
        <f>IF($C1217="","",IFERROR(IF(INDEX(links!$B$2:$B$501,MATCH($C1217,links!$D$2:$D$501,0))="","",INDEX(links!$B$2:$B$501,MATCH($C1217,links!$D$2:$D$501,0))),""))</f>
        <v/>
      </c>
      <c r="I1217" s="25">
        <f>IF($C1217="","",IFERROR(IF(INDEX(links!$C$2:$C$501,MATCH($C1217,links!$D$2:$D$501,0))="","",INDEX(links!$C$2:$C$501,MATCH($C1217,links!$D$2:$D$501,0))),""))</f>
        <v/>
      </c>
      <c r="J1217" s="25">
        <f>IF($C1217="","",IF($G1217="","slug not in links; ","")&amp;IF($D1217="","reading type missing; ","")&amp;IF(COUNTIFS(scans!$C$2:$C$1601,$C1217,scans!$D$2:$D$1601,$D1217)&gt;1,"two readings of this type: keep one; ",""))</f>
        <v/>
      </c>
    </row>
    <row r="1218">
      <c r="A1218" s="9" t="n"/>
      <c r="B1218" s="33" t="n"/>
      <c r="G1218" s="25">
        <f>IF($C1218="","",IFERROR(IF(INDEX(links!$A$2:$A$501,MATCH($C1218,links!$D$2:$D$501,0))="","",INDEX(links!$A$2:$A$501,MATCH($C1218,links!$D$2:$D$501,0))),""))</f>
        <v/>
      </c>
      <c r="H1218" s="25">
        <f>IF($C1218="","",IFERROR(IF(INDEX(links!$B$2:$B$501,MATCH($C1218,links!$D$2:$D$501,0))="","",INDEX(links!$B$2:$B$501,MATCH($C1218,links!$D$2:$D$501,0))),""))</f>
        <v/>
      </c>
      <c r="I1218" s="25">
        <f>IF($C1218="","",IFERROR(IF(INDEX(links!$C$2:$C$501,MATCH($C1218,links!$D$2:$D$501,0))="","",INDEX(links!$C$2:$C$501,MATCH($C1218,links!$D$2:$D$501,0))),""))</f>
        <v/>
      </c>
      <c r="J1218" s="25">
        <f>IF($C1218="","",IF($G1218="","slug not in links; ","")&amp;IF($D1218="","reading type missing; ","")&amp;IF(COUNTIFS(scans!$C$2:$C$1601,$C1218,scans!$D$2:$D$1601,$D1218)&gt;1,"two readings of this type: keep one; ",""))</f>
        <v/>
      </c>
    </row>
    <row r="1219">
      <c r="A1219" s="9" t="n"/>
      <c r="B1219" s="33" t="n"/>
      <c r="G1219" s="25">
        <f>IF($C1219="","",IFERROR(IF(INDEX(links!$A$2:$A$501,MATCH($C1219,links!$D$2:$D$501,0))="","",INDEX(links!$A$2:$A$501,MATCH($C1219,links!$D$2:$D$501,0))),""))</f>
        <v/>
      </c>
      <c r="H1219" s="25">
        <f>IF($C1219="","",IFERROR(IF(INDEX(links!$B$2:$B$501,MATCH($C1219,links!$D$2:$D$501,0))="","",INDEX(links!$B$2:$B$501,MATCH($C1219,links!$D$2:$D$501,0))),""))</f>
        <v/>
      </c>
      <c r="I1219" s="25">
        <f>IF($C1219="","",IFERROR(IF(INDEX(links!$C$2:$C$501,MATCH($C1219,links!$D$2:$D$501,0))="","",INDEX(links!$C$2:$C$501,MATCH($C1219,links!$D$2:$D$501,0))),""))</f>
        <v/>
      </c>
      <c r="J1219" s="25">
        <f>IF($C1219="","",IF($G1219="","slug not in links; ","")&amp;IF($D1219="","reading type missing; ","")&amp;IF(COUNTIFS(scans!$C$2:$C$1601,$C1219,scans!$D$2:$D$1601,$D1219)&gt;1,"two readings of this type: keep one; ",""))</f>
        <v/>
      </c>
    </row>
    <row r="1220">
      <c r="A1220" s="9" t="n"/>
      <c r="B1220" s="33" t="n"/>
      <c r="G1220" s="25">
        <f>IF($C1220="","",IFERROR(IF(INDEX(links!$A$2:$A$501,MATCH($C1220,links!$D$2:$D$501,0))="","",INDEX(links!$A$2:$A$501,MATCH($C1220,links!$D$2:$D$501,0))),""))</f>
        <v/>
      </c>
      <c r="H1220" s="25">
        <f>IF($C1220="","",IFERROR(IF(INDEX(links!$B$2:$B$501,MATCH($C1220,links!$D$2:$D$501,0))="","",INDEX(links!$B$2:$B$501,MATCH($C1220,links!$D$2:$D$501,0))),""))</f>
        <v/>
      </c>
      <c r="I1220" s="25">
        <f>IF($C1220="","",IFERROR(IF(INDEX(links!$C$2:$C$501,MATCH($C1220,links!$D$2:$D$501,0))="","",INDEX(links!$C$2:$C$501,MATCH($C1220,links!$D$2:$D$501,0))),""))</f>
        <v/>
      </c>
      <c r="J1220" s="25">
        <f>IF($C1220="","",IF($G1220="","slug not in links; ","")&amp;IF($D1220="","reading type missing; ","")&amp;IF(COUNTIFS(scans!$C$2:$C$1601,$C1220,scans!$D$2:$D$1601,$D1220)&gt;1,"two readings of this type: keep one; ",""))</f>
        <v/>
      </c>
    </row>
    <row r="1221">
      <c r="A1221" s="9" t="n"/>
      <c r="B1221" s="33" t="n"/>
      <c r="G1221" s="25">
        <f>IF($C1221="","",IFERROR(IF(INDEX(links!$A$2:$A$501,MATCH($C1221,links!$D$2:$D$501,0))="","",INDEX(links!$A$2:$A$501,MATCH($C1221,links!$D$2:$D$501,0))),""))</f>
        <v/>
      </c>
      <c r="H1221" s="25">
        <f>IF($C1221="","",IFERROR(IF(INDEX(links!$B$2:$B$501,MATCH($C1221,links!$D$2:$D$501,0))="","",INDEX(links!$B$2:$B$501,MATCH($C1221,links!$D$2:$D$501,0))),""))</f>
        <v/>
      </c>
      <c r="I1221" s="25">
        <f>IF($C1221="","",IFERROR(IF(INDEX(links!$C$2:$C$501,MATCH($C1221,links!$D$2:$D$501,0))="","",INDEX(links!$C$2:$C$501,MATCH($C1221,links!$D$2:$D$501,0))),""))</f>
        <v/>
      </c>
      <c r="J1221" s="25">
        <f>IF($C1221="","",IF($G1221="","slug not in links; ","")&amp;IF($D1221="","reading type missing; ","")&amp;IF(COUNTIFS(scans!$C$2:$C$1601,$C1221,scans!$D$2:$D$1601,$D1221)&gt;1,"two readings of this type: keep one; ",""))</f>
        <v/>
      </c>
    </row>
    <row r="1222">
      <c r="A1222" s="9" t="n"/>
      <c r="B1222" s="33" t="n"/>
      <c r="G1222" s="25">
        <f>IF($C1222="","",IFERROR(IF(INDEX(links!$A$2:$A$501,MATCH($C1222,links!$D$2:$D$501,0))="","",INDEX(links!$A$2:$A$501,MATCH($C1222,links!$D$2:$D$501,0))),""))</f>
        <v/>
      </c>
      <c r="H1222" s="25">
        <f>IF($C1222="","",IFERROR(IF(INDEX(links!$B$2:$B$501,MATCH($C1222,links!$D$2:$D$501,0))="","",INDEX(links!$B$2:$B$501,MATCH($C1222,links!$D$2:$D$501,0))),""))</f>
        <v/>
      </c>
      <c r="I1222" s="25">
        <f>IF($C1222="","",IFERROR(IF(INDEX(links!$C$2:$C$501,MATCH($C1222,links!$D$2:$D$501,0))="","",INDEX(links!$C$2:$C$501,MATCH($C1222,links!$D$2:$D$501,0))),""))</f>
        <v/>
      </c>
      <c r="J1222" s="25">
        <f>IF($C1222="","",IF($G1222="","slug not in links; ","")&amp;IF($D1222="","reading type missing; ","")&amp;IF(COUNTIFS(scans!$C$2:$C$1601,$C1222,scans!$D$2:$D$1601,$D1222)&gt;1,"two readings of this type: keep one; ",""))</f>
        <v/>
      </c>
    </row>
    <row r="1223">
      <c r="A1223" s="9" t="n"/>
      <c r="B1223" s="33" t="n"/>
      <c r="G1223" s="25">
        <f>IF($C1223="","",IFERROR(IF(INDEX(links!$A$2:$A$501,MATCH($C1223,links!$D$2:$D$501,0))="","",INDEX(links!$A$2:$A$501,MATCH($C1223,links!$D$2:$D$501,0))),""))</f>
        <v/>
      </c>
      <c r="H1223" s="25">
        <f>IF($C1223="","",IFERROR(IF(INDEX(links!$B$2:$B$501,MATCH($C1223,links!$D$2:$D$501,0))="","",INDEX(links!$B$2:$B$501,MATCH($C1223,links!$D$2:$D$501,0))),""))</f>
        <v/>
      </c>
      <c r="I1223" s="25">
        <f>IF($C1223="","",IFERROR(IF(INDEX(links!$C$2:$C$501,MATCH($C1223,links!$D$2:$D$501,0))="","",INDEX(links!$C$2:$C$501,MATCH($C1223,links!$D$2:$D$501,0))),""))</f>
        <v/>
      </c>
      <c r="J1223" s="25">
        <f>IF($C1223="","",IF($G1223="","slug not in links; ","")&amp;IF($D1223="","reading type missing; ","")&amp;IF(COUNTIFS(scans!$C$2:$C$1601,$C1223,scans!$D$2:$D$1601,$D1223)&gt;1,"two readings of this type: keep one; ",""))</f>
        <v/>
      </c>
    </row>
    <row r="1224">
      <c r="A1224" s="9" t="n"/>
      <c r="B1224" s="33" t="n"/>
      <c r="G1224" s="25">
        <f>IF($C1224="","",IFERROR(IF(INDEX(links!$A$2:$A$501,MATCH($C1224,links!$D$2:$D$501,0))="","",INDEX(links!$A$2:$A$501,MATCH($C1224,links!$D$2:$D$501,0))),""))</f>
        <v/>
      </c>
      <c r="H1224" s="25">
        <f>IF($C1224="","",IFERROR(IF(INDEX(links!$B$2:$B$501,MATCH($C1224,links!$D$2:$D$501,0))="","",INDEX(links!$B$2:$B$501,MATCH($C1224,links!$D$2:$D$501,0))),""))</f>
        <v/>
      </c>
      <c r="I1224" s="25">
        <f>IF($C1224="","",IFERROR(IF(INDEX(links!$C$2:$C$501,MATCH($C1224,links!$D$2:$D$501,0))="","",INDEX(links!$C$2:$C$501,MATCH($C1224,links!$D$2:$D$501,0))),""))</f>
        <v/>
      </c>
      <c r="J1224" s="25">
        <f>IF($C1224="","",IF($G1224="","slug not in links; ","")&amp;IF($D1224="","reading type missing; ","")&amp;IF(COUNTIFS(scans!$C$2:$C$1601,$C1224,scans!$D$2:$D$1601,$D1224)&gt;1,"two readings of this type: keep one; ",""))</f>
        <v/>
      </c>
    </row>
    <row r="1225">
      <c r="A1225" s="9" t="n"/>
      <c r="B1225" s="33" t="n"/>
      <c r="G1225" s="25">
        <f>IF($C1225="","",IFERROR(IF(INDEX(links!$A$2:$A$501,MATCH($C1225,links!$D$2:$D$501,0))="","",INDEX(links!$A$2:$A$501,MATCH($C1225,links!$D$2:$D$501,0))),""))</f>
        <v/>
      </c>
      <c r="H1225" s="25">
        <f>IF($C1225="","",IFERROR(IF(INDEX(links!$B$2:$B$501,MATCH($C1225,links!$D$2:$D$501,0))="","",INDEX(links!$B$2:$B$501,MATCH($C1225,links!$D$2:$D$501,0))),""))</f>
        <v/>
      </c>
      <c r="I1225" s="25">
        <f>IF($C1225="","",IFERROR(IF(INDEX(links!$C$2:$C$501,MATCH($C1225,links!$D$2:$D$501,0))="","",INDEX(links!$C$2:$C$501,MATCH($C1225,links!$D$2:$D$501,0))),""))</f>
        <v/>
      </c>
      <c r="J1225" s="25">
        <f>IF($C1225="","",IF($G1225="","slug not in links; ","")&amp;IF($D1225="","reading type missing; ","")&amp;IF(COUNTIFS(scans!$C$2:$C$1601,$C1225,scans!$D$2:$D$1601,$D1225)&gt;1,"two readings of this type: keep one; ",""))</f>
        <v/>
      </c>
    </row>
    <row r="1226">
      <c r="A1226" s="9" t="n"/>
      <c r="B1226" s="33" t="n"/>
      <c r="G1226" s="25">
        <f>IF($C1226="","",IFERROR(IF(INDEX(links!$A$2:$A$501,MATCH($C1226,links!$D$2:$D$501,0))="","",INDEX(links!$A$2:$A$501,MATCH($C1226,links!$D$2:$D$501,0))),""))</f>
        <v/>
      </c>
      <c r="H1226" s="25">
        <f>IF($C1226="","",IFERROR(IF(INDEX(links!$B$2:$B$501,MATCH($C1226,links!$D$2:$D$501,0))="","",INDEX(links!$B$2:$B$501,MATCH($C1226,links!$D$2:$D$501,0))),""))</f>
        <v/>
      </c>
      <c r="I1226" s="25">
        <f>IF($C1226="","",IFERROR(IF(INDEX(links!$C$2:$C$501,MATCH($C1226,links!$D$2:$D$501,0))="","",INDEX(links!$C$2:$C$501,MATCH($C1226,links!$D$2:$D$501,0))),""))</f>
        <v/>
      </c>
      <c r="J1226" s="25">
        <f>IF($C1226="","",IF($G1226="","slug not in links; ","")&amp;IF($D1226="","reading type missing; ","")&amp;IF(COUNTIFS(scans!$C$2:$C$1601,$C1226,scans!$D$2:$D$1601,$D1226)&gt;1,"two readings of this type: keep one; ",""))</f>
        <v/>
      </c>
    </row>
    <row r="1227">
      <c r="A1227" s="9" t="n"/>
      <c r="B1227" s="33" t="n"/>
      <c r="G1227" s="25">
        <f>IF($C1227="","",IFERROR(IF(INDEX(links!$A$2:$A$501,MATCH($C1227,links!$D$2:$D$501,0))="","",INDEX(links!$A$2:$A$501,MATCH($C1227,links!$D$2:$D$501,0))),""))</f>
        <v/>
      </c>
      <c r="H1227" s="25">
        <f>IF($C1227="","",IFERROR(IF(INDEX(links!$B$2:$B$501,MATCH($C1227,links!$D$2:$D$501,0))="","",INDEX(links!$B$2:$B$501,MATCH($C1227,links!$D$2:$D$501,0))),""))</f>
        <v/>
      </c>
      <c r="I1227" s="25">
        <f>IF($C1227="","",IFERROR(IF(INDEX(links!$C$2:$C$501,MATCH($C1227,links!$D$2:$D$501,0))="","",INDEX(links!$C$2:$C$501,MATCH($C1227,links!$D$2:$D$501,0))),""))</f>
        <v/>
      </c>
      <c r="J1227" s="25">
        <f>IF($C1227="","",IF($G1227="","slug not in links; ","")&amp;IF($D1227="","reading type missing; ","")&amp;IF(COUNTIFS(scans!$C$2:$C$1601,$C1227,scans!$D$2:$D$1601,$D1227)&gt;1,"two readings of this type: keep one; ",""))</f>
        <v/>
      </c>
    </row>
    <row r="1228">
      <c r="A1228" s="9" t="n"/>
      <c r="B1228" s="33" t="n"/>
      <c r="G1228" s="25">
        <f>IF($C1228="","",IFERROR(IF(INDEX(links!$A$2:$A$501,MATCH($C1228,links!$D$2:$D$501,0))="","",INDEX(links!$A$2:$A$501,MATCH($C1228,links!$D$2:$D$501,0))),""))</f>
        <v/>
      </c>
      <c r="H1228" s="25">
        <f>IF($C1228="","",IFERROR(IF(INDEX(links!$B$2:$B$501,MATCH($C1228,links!$D$2:$D$501,0))="","",INDEX(links!$B$2:$B$501,MATCH($C1228,links!$D$2:$D$501,0))),""))</f>
        <v/>
      </c>
      <c r="I1228" s="25">
        <f>IF($C1228="","",IFERROR(IF(INDEX(links!$C$2:$C$501,MATCH($C1228,links!$D$2:$D$501,0))="","",INDEX(links!$C$2:$C$501,MATCH($C1228,links!$D$2:$D$501,0))),""))</f>
        <v/>
      </c>
      <c r="J1228" s="25">
        <f>IF($C1228="","",IF($G1228="","slug not in links; ","")&amp;IF($D1228="","reading type missing; ","")&amp;IF(COUNTIFS(scans!$C$2:$C$1601,$C1228,scans!$D$2:$D$1601,$D1228)&gt;1,"two readings of this type: keep one; ",""))</f>
        <v/>
      </c>
    </row>
    <row r="1229">
      <c r="A1229" s="9" t="n"/>
      <c r="B1229" s="33" t="n"/>
      <c r="G1229" s="25">
        <f>IF($C1229="","",IFERROR(IF(INDEX(links!$A$2:$A$501,MATCH($C1229,links!$D$2:$D$501,0))="","",INDEX(links!$A$2:$A$501,MATCH($C1229,links!$D$2:$D$501,0))),""))</f>
        <v/>
      </c>
      <c r="H1229" s="25">
        <f>IF($C1229="","",IFERROR(IF(INDEX(links!$B$2:$B$501,MATCH($C1229,links!$D$2:$D$501,0))="","",INDEX(links!$B$2:$B$501,MATCH($C1229,links!$D$2:$D$501,0))),""))</f>
        <v/>
      </c>
      <c r="I1229" s="25">
        <f>IF($C1229="","",IFERROR(IF(INDEX(links!$C$2:$C$501,MATCH($C1229,links!$D$2:$D$501,0))="","",INDEX(links!$C$2:$C$501,MATCH($C1229,links!$D$2:$D$501,0))),""))</f>
        <v/>
      </c>
      <c r="J1229" s="25">
        <f>IF($C1229="","",IF($G1229="","slug not in links; ","")&amp;IF($D1229="","reading type missing; ","")&amp;IF(COUNTIFS(scans!$C$2:$C$1601,$C1229,scans!$D$2:$D$1601,$D1229)&gt;1,"two readings of this type: keep one; ",""))</f>
        <v/>
      </c>
    </row>
    <row r="1230">
      <c r="A1230" s="9" t="n"/>
      <c r="B1230" s="33" t="n"/>
      <c r="G1230" s="25">
        <f>IF($C1230="","",IFERROR(IF(INDEX(links!$A$2:$A$501,MATCH($C1230,links!$D$2:$D$501,0))="","",INDEX(links!$A$2:$A$501,MATCH($C1230,links!$D$2:$D$501,0))),""))</f>
        <v/>
      </c>
      <c r="H1230" s="25">
        <f>IF($C1230="","",IFERROR(IF(INDEX(links!$B$2:$B$501,MATCH($C1230,links!$D$2:$D$501,0))="","",INDEX(links!$B$2:$B$501,MATCH($C1230,links!$D$2:$D$501,0))),""))</f>
        <v/>
      </c>
      <c r="I1230" s="25">
        <f>IF($C1230="","",IFERROR(IF(INDEX(links!$C$2:$C$501,MATCH($C1230,links!$D$2:$D$501,0))="","",INDEX(links!$C$2:$C$501,MATCH($C1230,links!$D$2:$D$501,0))),""))</f>
        <v/>
      </c>
      <c r="J1230" s="25">
        <f>IF($C1230="","",IF($G1230="","slug not in links; ","")&amp;IF($D1230="","reading type missing; ","")&amp;IF(COUNTIFS(scans!$C$2:$C$1601,$C1230,scans!$D$2:$D$1601,$D1230)&gt;1,"two readings of this type: keep one; ",""))</f>
        <v/>
      </c>
    </row>
    <row r="1231">
      <c r="A1231" s="9" t="n"/>
      <c r="B1231" s="33" t="n"/>
      <c r="G1231" s="25">
        <f>IF($C1231="","",IFERROR(IF(INDEX(links!$A$2:$A$501,MATCH($C1231,links!$D$2:$D$501,0))="","",INDEX(links!$A$2:$A$501,MATCH($C1231,links!$D$2:$D$501,0))),""))</f>
        <v/>
      </c>
      <c r="H1231" s="25">
        <f>IF($C1231="","",IFERROR(IF(INDEX(links!$B$2:$B$501,MATCH($C1231,links!$D$2:$D$501,0))="","",INDEX(links!$B$2:$B$501,MATCH($C1231,links!$D$2:$D$501,0))),""))</f>
        <v/>
      </c>
      <c r="I1231" s="25">
        <f>IF($C1231="","",IFERROR(IF(INDEX(links!$C$2:$C$501,MATCH($C1231,links!$D$2:$D$501,0))="","",INDEX(links!$C$2:$C$501,MATCH($C1231,links!$D$2:$D$501,0))),""))</f>
        <v/>
      </c>
      <c r="J1231" s="25">
        <f>IF($C1231="","",IF($G1231="","slug not in links; ","")&amp;IF($D1231="","reading type missing; ","")&amp;IF(COUNTIFS(scans!$C$2:$C$1601,$C1231,scans!$D$2:$D$1601,$D1231)&gt;1,"two readings of this type: keep one; ",""))</f>
        <v/>
      </c>
    </row>
    <row r="1232">
      <c r="A1232" s="9" t="n"/>
      <c r="B1232" s="33" t="n"/>
      <c r="G1232" s="25">
        <f>IF($C1232="","",IFERROR(IF(INDEX(links!$A$2:$A$501,MATCH($C1232,links!$D$2:$D$501,0))="","",INDEX(links!$A$2:$A$501,MATCH($C1232,links!$D$2:$D$501,0))),""))</f>
        <v/>
      </c>
      <c r="H1232" s="25">
        <f>IF($C1232="","",IFERROR(IF(INDEX(links!$B$2:$B$501,MATCH($C1232,links!$D$2:$D$501,0))="","",INDEX(links!$B$2:$B$501,MATCH($C1232,links!$D$2:$D$501,0))),""))</f>
        <v/>
      </c>
      <c r="I1232" s="25">
        <f>IF($C1232="","",IFERROR(IF(INDEX(links!$C$2:$C$501,MATCH($C1232,links!$D$2:$D$501,0))="","",INDEX(links!$C$2:$C$501,MATCH($C1232,links!$D$2:$D$501,0))),""))</f>
        <v/>
      </c>
      <c r="J1232" s="25">
        <f>IF($C1232="","",IF($G1232="","slug not in links; ","")&amp;IF($D1232="","reading type missing; ","")&amp;IF(COUNTIFS(scans!$C$2:$C$1601,$C1232,scans!$D$2:$D$1601,$D1232)&gt;1,"two readings of this type: keep one; ",""))</f>
        <v/>
      </c>
    </row>
    <row r="1233">
      <c r="A1233" s="9" t="n"/>
      <c r="B1233" s="33" t="n"/>
      <c r="G1233" s="25">
        <f>IF($C1233="","",IFERROR(IF(INDEX(links!$A$2:$A$501,MATCH($C1233,links!$D$2:$D$501,0))="","",INDEX(links!$A$2:$A$501,MATCH($C1233,links!$D$2:$D$501,0))),""))</f>
        <v/>
      </c>
      <c r="H1233" s="25">
        <f>IF($C1233="","",IFERROR(IF(INDEX(links!$B$2:$B$501,MATCH($C1233,links!$D$2:$D$501,0))="","",INDEX(links!$B$2:$B$501,MATCH($C1233,links!$D$2:$D$501,0))),""))</f>
        <v/>
      </c>
      <c r="I1233" s="25">
        <f>IF($C1233="","",IFERROR(IF(INDEX(links!$C$2:$C$501,MATCH($C1233,links!$D$2:$D$501,0))="","",INDEX(links!$C$2:$C$501,MATCH($C1233,links!$D$2:$D$501,0))),""))</f>
        <v/>
      </c>
      <c r="J1233" s="25">
        <f>IF($C1233="","",IF($G1233="","slug not in links; ","")&amp;IF($D1233="","reading type missing; ","")&amp;IF(COUNTIFS(scans!$C$2:$C$1601,$C1233,scans!$D$2:$D$1601,$D1233)&gt;1,"two readings of this type: keep one; ",""))</f>
        <v/>
      </c>
    </row>
    <row r="1234">
      <c r="A1234" s="9" t="n"/>
      <c r="B1234" s="33" t="n"/>
      <c r="G1234" s="25">
        <f>IF($C1234="","",IFERROR(IF(INDEX(links!$A$2:$A$501,MATCH($C1234,links!$D$2:$D$501,0))="","",INDEX(links!$A$2:$A$501,MATCH($C1234,links!$D$2:$D$501,0))),""))</f>
        <v/>
      </c>
      <c r="H1234" s="25">
        <f>IF($C1234="","",IFERROR(IF(INDEX(links!$B$2:$B$501,MATCH($C1234,links!$D$2:$D$501,0))="","",INDEX(links!$B$2:$B$501,MATCH($C1234,links!$D$2:$D$501,0))),""))</f>
        <v/>
      </c>
      <c r="I1234" s="25">
        <f>IF($C1234="","",IFERROR(IF(INDEX(links!$C$2:$C$501,MATCH($C1234,links!$D$2:$D$501,0))="","",INDEX(links!$C$2:$C$501,MATCH($C1234,links!$D$2:$D$501,0))),""))</f>
        <v/>
      </c>
      <c r="J1234" s="25">
        <f>IF($C1234="","",IF($G1234="","slug not in links; ","")&amp;IF($D1234="","reading type missing; ","")&amp;IF(COUNTIFS(scans!$C$2:$C$1601,$C1234,scans!$D$2:$D$1601,$D1234)&gt;1,"two readings of this type: keep one; ",""))</f>
        <v/>
      </c>
    </row>
    <row r="1235">
      <c r="A1235" s="9" t="n"/>
      <c r="B1235" s="33" t="n"/>
      <c r="G1235" s="25">
        <f>IF($C1235="","",IFERROR(IF(INDEX(links!$A$2:$A$501,MATCH($C1235,links!$D$2:$D$501,0))="","",INDEX(links!$A$2:$A$501,MATCH($C1235,links!$D$2:$D$501,0))),""))</f>
        <v/>
      </c>
      <c r="H1235" s="25">
        <f>IF($C1235="","",IFERROR(IF(INDEX(links!$B$2:$B$501,MATCH($C1235,links!$D$2:$D$501,0))="","",INDEX(links!$B$2:$B$501,MATCH($C1235,links!$D$2:$D$501,0))),""))</f>
        <v/>
      </c>
      <c r="I1235" s="25">
        <f>IF($C1235="","",IFERROR(IF(INDEX(links!$C$2:$C$501,MATCH($C1235,links!$D$2:$D$501,0))="","",INDEX(links!$C$2:$C$501,MATCH($C1235,links!$D$2:$D$501,0))),""))</f>
        <v/>
      </c>
      <c r="J1235" s="25">
        <f>IF($C1235="","",IF($G1235="","slug not in links; ","")&amp;IF($D1235="","reading type missing; ","")&amp;IF(COUNTIFS(scans!$C$2:$C$1601,$C1235,scans!$D$2:$D$1601,$D1235)&gt;1,"two readings of this type: keep one; ",""))</f>
        <v/>
      </c>
    </row>
    <row r="1236">
      <c r="A1236" s="9" t="n"/>
      <c r="B1236" s="33" t="n"/>
      <c r="G1236" s="25">
        <f>IF($C1236="","",IFERROR(IF(INDEX(links!$A$2:$A$501,MATCH($C1236,links!$D$2:$D$501,0))="","",INDEX(links!$A$2:$A$501,MATCH($C1236,links!$D$2:$D$501,0))),""))</f>
        <v/>
      </c>
      <c r="H1236" s="25">
        <f>IF($C1236="","",IFERROR(IF(INDEX(links!$B$2:$B$501,MATCH($C1236,links!$D$2:$D$501,0))="","",INDEX(links!$B$2:$B$501,MATCH($C1236,links!$D$2:$D$501,0))),""))</f>
        <v/>
      </c>
      <c r="I1236" s="25">
        <f>IF($C1236="","",IFERROR(IF(INDEX(links!$C$2:$C$501,MATCH($C1236,links!$D$2:$D$501,0))="","",INDEX(links!$C$2:$C$501,MATCH($C1236,links!$D$2:$D$501,0))),""))</f>
        <v/>
      </c>
      <c r="J1236" s="25">
        <f>IF($C1236="","",IF($G1236="","slug not in links; ","")&amp;IF($D1236="","reading type missing; ","")&amp;IF(COUNTIFS(scans!$C$2:$C$1601,$C1236,scans!$D$2:$D$1601,$D1236)&gt;1,"two readings of this type: keep one; ",""))</f>
        <v/>
      </c>
    </row>
    <row r="1237">
      <c r="A1237" s="9" t="n"/>
      <c r="B1237" s="33" t="n"/>
      <c r="G1237" s="25">
        <f>IF($C1237="","",IFERROR(IF(INDEX(links!$A$2:$A$501,MATCH($C1237,links!$D$2:$D$501,0))="","",INDEX(links!$A$2:$A$501,MATCH($C1237,links!$D$2:$D$501,0))),""))</f>
        <v/>
      </c>
      <c r="H1237" s="25">
        <f>IF($C1237="","",IFERROR(IF(INDEX(links!$B$2:$B$501,MATCH($C1237,links!$D$2:$D$501,0))="","",INDEX(links!$B$2:$B$501,MATCH($C1237,links!$D$2:$D$501,0))),""))</f>
        <v/>
      </c>
      <c r="I1237" s="25">
        <f>IF($C1237="","",IFERROR(IF(INDEX(links!$C$2:$C$501,MATCH($C1237,links!$D$2:$D$501,0))="","",INDEX(links!$C$2:$C$501,MATCH($C1237,links!$D$2:$D$501,0))),""))</f>
        <v/>
      </c>
      <c r="J1237" s="25">
        <f>IF($C1237="","",IF($G1237="","slug not in links; ","")&amp;IF($D1237="","reading type missing; ","")&amp;IF(COUNTIFS(scans!$C$2:$C$1601,$C1237,scans!$D$2:$D$1601,$D1237)&gt;1,"two readings of this type: keep one; ",""))</f>
        <v/>
      </c>
    </row>
    <row r="1238">
      <c r="A1238" s="9" t="n"/>
      <c r="B1238" s="33" t="n"/>
      <c r="G1238" s="25">
        <f>IF($C1238="","",IFERROR(IF(INDEX(links!$A$2:$A$501,MATCH($C1238,links!$D$2:$D$501,0))="","",INDEX(links!$A$2:$A$501,MATCH($C1238,links!$D$2:$D$501,0))),""))</f>
        <v/>
      </c>
      <c r="H1238" s="25">
        <f>IF($C1238="","",IFERROR(IF(INDEX(links!$B$2:$B$501,MATCH($C1238,links!$D$2:$D$501,0))="","",INDEX(links!$B$2:$B$501,MATCH($C1238,links!$D$2:$D$501,0))),""))</f>
        <v/>
      </c>
      <c r="I1238" s="25">
        <f>IF($C1238="","",IFERROR(IF(INDEX(links!$C$2:$C$501,MATCH($C1238,links!$D$2:$D$501,0))="","",INDEX(links!$C$2:$C$501,MATCH($C1238,links!$D$2:$D$501,0))),""))</f>
        <v/>
      </c>
      <c r="J1238" s="25">
        <f>IF($C1238="","",IF($G1238="","slug not in links; ","")&amp;IF($D1238="","reading type missing; ","")&amp;IF(COUNTIFS(scans!$C$2:$C$1601,$C1238,scans!$D$2:$D$1601,$D1238)&gt;1,"two readings of this type: keep one; ",""))</f>
        <v/>
      </c>
    </row>
    <row r="1239">
      <c r="A1239" s="9" t="n"/>
      <c r="B1239" s="33" t="n"/>
      <c r="G1239" s="25">
        <f>IF($C1239="","",IFERROR(IF(INDEX(links!$A$2:$A$501,MATCH($C1239,links!$D$2:$D$501,0))="","",INDEX(links!$A$2:$A$501,MATCH($C1239,links!$D$2:$D$501,0))),""))</f>
        <v/>
      </c>
      <c r="H1239" s="25">
        <f>IF($C1239="","",IFERROR(IF(INDEX(links!$B$2:$B$501,MATCH($C1239,links!$D$2:$D$501,0))="","",INDEX(links!$B$2:$B$501,MATCH($C1239,links!$D$2:$D$501,0))),""))</f>
        <v/>
      </c>
      <c r="I1239" s="25">
        <f>IF($C1239="","",IFERROR(IF(INDEX(links!$C$2:$C$501,MATCH($C1239,links!$D$2:$D$501,0))="","",INDEX(links!$C$2:$C$501,MATCH($C1239,links!$D$2:$D$501,0))),""))</f>
        <v/>
      </c>
      <c r="J1239" s="25">
        <f>IF($C1239="","",IF($G1239="","slug not in links; ","")&amp;IF($D1239="","reading type missing; ","")&amp;IF(COUNTIFS(scans!$C$2:$C$1601,$C1239,scans!$D$2:$D$1601,$D1239)&gt;1,"two readings of this type: keep one; ",""))</f>
        <v/>
      </c>
    </row>
    <row r="1240">
      <c r="A1240" s="9" t="n"/>
      <c r="B1240" s="33" t="n"/>
      <c r="G1240" s="25">
        <f>IF($C1240="","",IFERROR(IF(INDEX(links!$A$2:$A$501,MATCH($C1240,links!$D$2:$D$501,0))="","",INDEX(links!$A$2:$A$501,MATCH($C1240,links!$D$2:$D$501,0))),""))</f>
        <v/>
      </c>
      <c r="H1240" s="25">
        <f>IF($C1240="","",IFERROR(IF(INDEX(links!$B$2:$B$501,MATCH($C1240,links!$D$2:$D$501,0))="","",INDEX(links!$B$2:$B$501,MATCH($C1240,links!$D$2:$D$501,0))),""))</f>
        <v/>
      </c>
      <c r="I1240" s="25">
        <f>IF($C1240="","",IFERROR(IF(INDEX(links!$C$2:$C$501,MATCH($C1240,links!$D$2:$D$501,0))="","",INDEX(links!$C$2:$C$501,MATCH($C1240,links!$D$2:$D$501,0))),""))</f>
        <v/>
      </c>
      <c r="J1240" s="25">
        <f>IF($C1240="","",IF($G1240="","slug not in links; ","")&amp;IF($D1240="","reading type missing; ","")&amp;IF(COUNTIFS(scans!$C$2:$C$1601,$C1240,scans!$D$2:$D$1601,$D1240)&gt;1,"two readings of this type: keep one; ",""))</f>
        <v/>
      </c>
    </row>
    <row r="1241">
      <c r="A1241" s="9" t="n"/>
      <c r="B1241" s="33" t="n"/>
      <c r="G1241" s="25">
        <f>IF($C1241="","",IFERROR(IF(INDEX(links!$A$2:$A$501,MATCH($C1241,links!$D$2:$D$501,0))="","",INDEX(links!$A$2:$A$501,MATCH($C1241,links!$D$2:$D$501,0))),""))</f>
        <v/>
      </c>
      <c r="H1241" s="25">
        <f>IF($C1241="","",IFERROR(IF(INDEX(links!$B$2:$B$501,MATCH($C1241,links!$D$2:$D$501,0))="","",INDEX(links!$B$2:$B$501,MATCH($C1241,links!$D$2:$D$501,0))),""))</f>
        <v/>
      </c>
      <c r="I1241" s="25">
        <f>IF($C1241="","",IFERROR(IF(INDEX(links!$C$2:$C$501,MATCH($C1241,links!$D$2:$D$501,0))="","",INDEX(links!$C$2:$C$501,MATCH($C1241,links!$D$2:$D$501,0))),""))</f>
        <v/>
      </c>
      <c r="J1241" s="25">
        <f>IF($C1241="","",IF($G1241="","slug not in links; ","")&amp;IF($D1241="","reading type missing; ","")&amp;IF(COUNTIFS(scans!$C$2:$C$1601,$C1241,scans!$D$2:$D$1601,$D1241)&gt;1,"two readings of this type: keep one; ",""))</f>
        <v/>
      </c>
    </row>
    <row r="1242">
      <c r="A1242" s="9" t="n"/>
      <c r="B1242" s="33" t="n"/>
      <c r="G1242" s="25">
        <f>IF($C1242="","",IFERROR(IF(INDEX(links!$A$2:$A$501,MATCH($C1242,links!$D$2:$D$501,0))="","",INDEX(links!$A$2:$A$501,MATCH($C1242,links!$D$2:$D$501,0))),""))</f>
        <v/>
      </c>
      <c r="H1242" s="25">
        <f>IF($C1242="","",IFERROR(IF(INDEX(links!$B$2:$B$501,MATCH($C1242,links!$D$2:$D$501,0))="","",INDEX(links!$B$2:$B$501,MATCH($C1242,links!$D$2:$D$501,0))),""))</f>
        <v/>
      </c>
      <c r="I1242" s="25">
        <f>IF($C1242="","",IFERROR(IF(INDEX(links!$C$2:$C$501,MATCH($C1242,links!$D$2:$D$501,0))="","",INDEX(links!$C$2:$C$501,MATCH($C1242,links!$D$2:$D$501,0))),""))</f>
        <v/>
      </c>
      <c r="J1242" s="25">
        <f>IF($C1242="","",IF($G1242="","slug not in links; ","")&amp;IF($D1242="","reading type missing; ","")&amp;IF(COUNTIFS(scans!$C$2:$C$1601,$C1242,scans!$D$2:$D$1601,$D1242)&gt;1,"two readings of this type: keep one; ",""))</f>
        <v/>
      </c>
    </row>
    <row r="1243">
      <c r="A1243" s="9" t="n"/>
      <c r="B1243" s="33" t="n"/>
      <c r="G1243" s="25">
        <f>IF($C1243="","",IFERROR(IF(INDEX(links!$A$2:$A$501,MATCH($C1243,links!$D$2:$D$501,0))="","",INDEX(links!$A$2:$A$501,MATCH($C1243,links!$D$2:$D$501,0))),""))</f>
        <v/>
      </c>
      <c r="H1243" s="25">
        <f>IF($C1243="","",IFERROR(IF(INDEX(links!$B$2:$B$501,MATCH($C1243,links!$D$2:$D$501,0))="","",INDEX(links!$B$2:$B$501,MATCH($C1243,links!$D$2:$D$501,0))),""))</f>
        <v/>
      </c>
      <c r="I1243" s="25">
        <f>IF($C1243="","",IFERROR(IF(INDEX(links!$C$2:$C$501,MATCH($C1243,links!$D$2:$D$501,0))="","",INDEX(links!$C$2:$C$501,MATCH($C1243,links!$D$2:$D$501,0))),""))</f>
        <v/>
      </c>
      <c r="J1243" s="25">
        <f>IF($C1243="","",IF($G1243="","slug not in links; ","")&amp;IF($D1243="","reading type missing; ","")&amp;IF(COUNTIFS(scans!$C$2:$C$1601,$C1243,scans!$D$2:$D$1601,$D1243)&gt;1,"two readings of this type: keep one; ",""))</f>
        <v/>
      </c>
    </row>
    <row r="1244">
      <c r="A1244" s="9" t="n"/>
      <c r="B1244" s="33" t="n"/>
      <c r="G1244" s="25">
        <f>IF($C1244="","",IFERROR(IF(INDEX(links!$A$2:$A$501,MATCH($C1244,links!$D$2:$D$501,0))="","",INDEX(links!$A$2:$A$501,MATCH($C1244,links!$D$2:$D$501,0))),""))</f>
        <v/>
      </c>
      <c r="H1244" s="25">
        <f>IF($C1244="","",IFERROR(IF(INDEX(links!$B$2:$B$501,MATCH($C1244,links!$D$2:$D$501,0))="","",INDEX(links!$B$2:$B$501,MATCH($C1244,links!$D$2:$D$501,0))),""))</f>
        <v/>
      </c>
      <c r="I1244" s="25">
        <f>IF($C1244="","",IFERROR(IF(INDEX(links!$C$2:$C$501,MATCH($C1244,links!$D$2:$D$501,0))="","",INDEX(links!$C$2:$C$501,MATCH($C1244,links!$D$2:$D$501,0))),""))</f>
        <v/>
      </c>
      <c r="J1244" s="25">
        <f>IF($C1244="","",IF($G1244="","slug not in links; ","")&amp;IF($D1244="","reading type missing; ","")&amp;IF(COUNTIFS(scans!$C$2:$C$1601,$C1244,scans!$D$2:$D$1601,$D1244)&gt;1,"two readings of this type: keep one; ",""))</f>
        <v/>
      </c>
    </row>
    <row r="1245">
      <c r="A1245" s="9" t="n"/>
      <c r="B1245" s="33" t="n"/>
      <c r="G1245" s="25">
        <f>IF($C1245="","",IFERROR(IF(INDEX(links!$A$2:$A$501,MATCH($C1245,links!$D$2:$D$501,0))="","",INDEX(links!$A$2:$A$501,MATCH($C1245,links!$D$2:$D$501,0))),""))</f>
        <v/>
      </c>
      <c r="H1245" s="25">
        <f>IF($C1245="","",IFERROR(IF(INDEX(links!$B$2:$B$501,MATCH($C1245,links!$D$2:$D$501,0))="","",INDEX(links!$B$2:$B$501,MATCH($C1245,links!$D$2:$D$501,0))),""))</f>
        <v/>
      </c>
      <c r="I1245" s="25">
        <f>IF($C1245="","",IFERROR(IF(INDEX(links!$C$2:$C$501,MATCH($C1245,links!$D$2:$D$501,0))="","",INDEX(links!$C$2:$C$501,MATCH($C1245,links!$D$2:$D$501,0))),""))</f>
        <v/>
      </c>
      <c r="J1245" s="25">
        <f>IF($C1245="","",IF($G1245="","slug not in links; ","")&amp;IF($D1245="","reading type missing; ","")&amp;IF(COUNTIFS(scans!$C$2:$C$1601,$C1245,scans!$D$2:$D$1601,$D1245)&gt;1,"two readings of this type: keep one; ",""))</f>
        <v/>
      </c>
    </row>
    <row r="1246">
      <c r="A1246" s="9" t="n"/>
      <c r="B1246" s="33" t="n"/>
      <c r="G1246" s="25">
        <f>IF($C1246="","",IFERROR(IF(INDEX(links!$A$2:$A$501,MATCH($C1246,links!$D$2:$D$501,0))="","",INDEX(links!$A$2:$A$501,MATCH($C1246,links!$D$2:$D$501,0))),""))</f>
        <v/>
      </c>
      <c r="H1246" s="25">
        <f>IF($C1246="","",IFERROR(IF(INDEX(links!$B$2:$B$501,MATCH($C1246,links!$D$2:$D$501,0))="","",INDEX(links!$B$2:$B$501,MATCH($C1246,links!$D$2:$D$501,0))),""))</f>
        <v/>
      </c>
      <c r="I1246" s="25">
        <f>IF($C1246="","",IFERROR(IF(INDEX(links!$C$2:$C$501,MATCH($C1246,links!$D$2:$D$501,0))="","",INDEX(links!$C$2:$C$501,MATCH($C1246,links!$D$2:$D$501,0))),""))</f>
        <v/>
      </c>
      <c r="J1246" s="25">
        <f>IF($C1246="","",IF($G1246="","slug not in links; ","")&amp;IF($D1246="","reading type missing; ","")&amp;IF(COUNTIFS(scans!$C$2:$C$1601,$C1246,scans!$D$2:$D$1601,$D1246)&gt;1,"two readings of this type: keep one; ",""))</f>
        <v/>
      </c>
    </row>
    <row r="1247">
      <c r="A1247" s="9" t="n"/>
      <c r="B1247" s="33" t="n"/>
      <c r="G1247" s="25">
        <f>IF($C1247="","",IFERROR(IF(INDEX(links!$A$2:$A$501,MATCH($C1247,links!$D$2:$D$501,0))="","",INDEX(links!$A$2:$A$501,MATCH($C1247,links!$D$2:$D$501,0))),""))</f>
        <v/>
      </c>
      <c r="H1247" s="25">
        <f>IF($C1247="","",IFERROR(IF(INDEX(links!$B$2:$B$501,MATCH($C1247,links!$D$2:$D$501,0))="","",INDEX(links!$B$2:$B$501,MATCH($C1247,links!$D$2:$D$501,0))),""))</f>
        <v/>
      </c>
      <c r="I1247" s="25">
        <f>IF($C1247="","",IFERROR(IF(INDEX(links!$C$2:$C$501,MATCH($C1247,links!$D$2:$D$501,0))="","",INDEX(links!$C$2:$C$501,MATCH($C1247,links!$D$2:$D$501,0))),""))</f>
        <v/>
      </c>
      <c r="J1247" s="25">
        <f>IF($C1247="","",IF($G1247="","slug not in links; ","")&amp;IF($D1247="","reading type missing; ","")&amp;IF(COUNTIFS(scans!$C$2:$C$1601,$C1247,scans!$D$2:$D$1601,$D1247)&gt;1,"two readings of this type: keep one; ",""))</f>
        <v/>
      </c>
    </row>
    <row r="1248">
      <c r="A1248" s="9" t="n"/>
      <c r="B1248" s="33" t="n"/>
      <c r="G1248" s="25">
        <f>IF($C1248="","",IFERROR(IF(INDEX(links!$A$2:$A$501,MATCH($C1248,links!$D$2:$D$501,0))="","",INDEX(links!$A$2:$A$501,MATCH($C1248,links!$D$2:$D$501,0))),""))</f>
        <v/>
      </c>
      <c r="H1248" s="25">
        <f>IF($C1248="","",IFERROR(IF(INDEX(links!$B$2:$B$501,MATCH($C1248,links!$D$2:$D$501,0))="","",INDEX(links!$B$2:$B$501,MATCH($C1248,links!$D$2:$D$501,0))),""))</f>
        <v/>
      </c>
      <c r="I1248" s="25">
        <f>IF($C1248="","",IFERROR(IF(INDEX(links!$C$2:$C$501,MATCH($C1248,links!$D$2:$D$501,0))="","",INDEX(links!$C$2:$C$501,MATCH($C1248,links!$D$2:$D$501,0))),""))</f>
        <v/>
      </c>
      <c r="J1248" s="25">
        <f>IF($C1248="","",IF($G1248="","slug not in links; ","")&amp;IF($D1248="","reading type missing; ","")&amp;IF(COUNTIFS(scans!$C$2:$C$1601,$C1248,scans!$D$2:$D$1601,$D1248)&gt;1,"two readings of this type: keep one; ",""))</f>
        <v/>
      </c>
    </row>
    <row r="1249">
      <c r="A1249" s="9" t="n"/>
      <c r="B1249" s="33" t="n"/>
      <c r="G1249" s="25">
        <f>IF($C1249="","",IFERROR(IF(INDEX(links!$A$2:$A$501,MATCH($C1249,links!$D$2:$D$501,0))="","",INDEX(links!$A$2:$A$501,MATCH($C1249,links!$D$2:$D$501,0))),""))</f>
        <v/>
      </c>
      <c r="H1249" s="25">
        <f>IF($C1249="","",IFERROR(IF(INDEX(links!$B$2:$B$501,MATCH($C1249,links!$D$2:$D$501,0))="","",INDEX(links!$B$2:$B$501,MATCH($C1249,links!$D$2:$D$501,0))),""))</f>
        <v/>
      </c>
      <c r="I1249" s="25">
        <f>IF($C1249="","",IFERROR(IF(INDEX(links!$C$2:$C$501,MATCH($C1249,links!$D$2:$D$501,0))="","",INDEX(links!$C$2:$C$501,MATCH($C1249,links!$D$2:$D$501,0))),""))</f>
        <v/>
      </c>
      <c r="J1249" s="25">
        <f>IF($C1249="","",IF($G1249="","slug not in links; ","")&amp;IF($D1249="","reading type missing; ","")&amp;IF(COUNTIFS(scans!$C$2:$C$1601,$C1249,scans!$D$2:$D$1601,$D1249)&gt;1,"two readings of this type: keep one; ",""))</f>
        <v/>
      </c>
    </row>
    <row r="1250">
      <c r="A1250" s="9" t="n"/>
      <c r="B1250" s="33" t="n"/>
      <c r="G1250" s="25">
        <f>IF($C1250="","",IFERROR(IF(INDEX(links!$A$2:$A$501,MATCH($C1250,links!$D$2:$D$501,0))="","",INDEX(links!$A$2:$A$501,MATCH($C1250,links!$D$2:$D$501,0))),""))</f>
        <v/>
      </c>
      <c r="H1250" s="25">
        <f>IF($C1250="","",IFERROR(IF(INDEX(links!$B$2:$B$501,MATCH($C1250,links!$D$2:$D$501,0))="","",INDEX(links!$B$2:$B$501,MATCH($C1250,links!$D$2:$D$501,0))),""))</f>
        <v/>
      </c>
      <c r="I1250" s="25">
        <f>IF($C1250="","",IFERROR(IF(INDEX(links!$C$2:$C$501,MATCH($C1250,links!$D$2:$D$501,0))="","",INDEX(links!$C$2:$C$501,MATCH($C1250,links!$D$2:$D$501,0))),""))</f>
        <v/>
      </c>
      <c r="J1250" s="25">
        <f>IF($C1250="","",IF($G1250="","slug not in links; ","")&amp;IF($D1250="","reading type missing; ","")&amp;IF(COUNTIFS(scans!$C$2:$C$1601,$C1250,scans!$D$2:$D$1601,$D1250)&gt;1,"two readings of this type: keep one; ",""))</f>
        <v/>
      </c>
    </row>
    <row r="1251">
      <c r="A1251" s="9" t="n"/>
      <c r="B1251" s="33" t="n"/>
      <c r="G1251" s="25">
        <f>IF($C1251="","",IFERROR(IF(INDEX(links!$A$2:$A$501,MATCH($C1251,links!$D$2:$D$501,0))="","",INDEX(links!$A$2:$A$501,MATCH($C1251,links!$D$2:$D$501,0))),""))</f>
        <v/>
      </c>
      <c r="H1251" s="25">
        <f>IF($C1251="","",IFERROR(IF(INDEX(links!$B$2:$B$501,MATCH($C1251,links!$D$2:$D$501,0))="","",INDEX(links!$B$2:$B$501,MATCH($C1251,links!$D$2:$D$501,0))),""))</f>
        <v/>
      </c>
      <c r="I1251" s="25">
        <f>IF($C1251="","",IFERROR(IF(INDEX(links!$C$2:$C$501,MATCH($C1251,links!$D$2:$D$501,0))="","",INDEX(links!$C$2:$C$501,MATCH($C1251,links!$D$2:$D$501,0))),""))</f>
        <v/>
      </c>
      <c r="J1251" s="25">
        <f>IF($C1251="","",IF($G1251="","slug not in links; ","")&amp;IF($D1251="","reading type missing; ","")&amp;IF(COUNTIFS(scans!$C$2:$C$1601,$C1251,scans!$D$2:$D$1601,$D1251)&gt;1,"two readings of this type: keep one; ",""))</f>
        <v/>
      </c>
    </row>
    <row r="1252">
      <c r="A1252" s="9" t="n"/>
      <c r="B1252" s="33" t="n"/>
      <c r="G1252" s="25">
        <f>IF($C1252="","",IFERROR(IF(INDEX(links!$A$2:$A$501,MATCH($C1252,links!$D$2:$D$501,0))="","",INDEX(links!$A$2:$A$501,MATCH($C1252,links!$D$2:$D$501,0))),""))</f>
        <v/>
      </c>
      <c r="H1252" s="25">
        <f>IF($C1252="","",IFERROR(IF(INDEX(links!$B$2:$B$501,MATCH($C1252,links!$D$2:$D$501,0))="","",INDEX(links!$B$2:$B$501,MATCH($C1252,links!$D$2:$D$501,0))),""))</f>
        <v/>
      </c>
      <c r="I1252" s="25">
        <f>IF($C1252="","",IFERROR(IF(INDEX(links!$C$2:$C$501,MATCH($C1252,links!$D$2:$D$501,0))="","",INDEX(links!$C$2:$C$501,MATCH($C1252,links!$D$2:$D$501,0))),""))</f>
        <v/>
      </c>
      <c r="J1252" s="25">
        <f>IF($C1252="","",IF($G1252="","slug not in links; ","")&amp;IF($D1252="","reading type missing; ","")&amp;IF(COUNTIFS(scans!$C$2:$C$1601,$C1252,scans!$D$2:$D$1601,$D1252)&gt;1,"two readings of this type: keep one; ",""))</f>
        <v/>
      </c>
    </row>
    <row r="1253">
      <c r="A1253" s="9" t="n"/>
      <c r="B1253" s="33" t="n"/>
      <c r="G1253" s="25">
        <f>IF($C1253="","",IFERROR(IF(INDEX(links!$A$2:$A$501,MATCH($C1253,links!$D$2:$D$501,0))="","",INDEX(links!$A$2:$A$501,MATCH($C1253,links!$D$2:$D$501,0))),""))</f>
        <v/>
      </c>
      <c r="H1253" s="25">
        <f>IF($C1253="","",IFERROR(IF(INDEX(links!$B$2:$B$501,MATCH($C1253,links!$D$2:$D$501,0))="","",INDEX(links!$B$2:$B$501,MATCH($C1253,links!$D$2:$D$501,0))),""))</f>
        <v/>
      </c>
      <c r="I1253" s="25">
        <f>IF($C1253="","",IFERROR(IF(INDEX(links!$C$2:$C$501,MATCH($C1253,links!$D$2:$D$501,0))="","",INDEX(links!$C$2:$C$501,MATCH($C1253,links!$D$2:$D$501,0))),""))</f>
        <v/>
      </c>
      <c r="J1253" s="25">
        <f>IF($C1253="","",IF($G1253="","slug not in links; ","")&amp;IF($D1253="","reading type missing; ","")&amp;IF(COUNTIFS(scans!$C$2:$C$1601,$C1253,scans!$D$2:$D$1601,$D1253)&gt;1,"two readings of this type: keep one; ",""))</f>
        <v/>
      </c>
    </row>
    <row r="1254">
      <c r="A1254" s="9" t="n"/>
      <c r="B1254" s="33" t="n"/>
      <c r="G1254" s="25">
        <f>IF($C1254="","",IFERROR(IF(INDEX(links!$A$2:$A$501,MATCH($C1254,links!$D$2:$D$501,0))="","",INDEX(links!$A$2:$A$501,MATCH($C1254,links!$D$2:$D$501,0))),""))</f>
        <v/>
      </c>
      <c r="H1254" s="25">
        <f>IF($C1254="","",IFERROR(IF(INDEX(links!$B$2:$B$501,MATCH($C1254,links!$D$2:$D$501,0))="","",INDEX(links!$B$2:$B$501,MATCH($C1254,links!$D$2:$D$501,0))),""))</f>
        <v/>
      </c>
      <c r="I1254" s="25">
        <f>IF($C1254="","",IFERROR(IF(INDEX(links!$C$2:$C$501,MATCH($C1254,links!$D$2:$D$501,0))="","",INDEX(links!$C$2:$C$501,MATCH($C1254,links!$D$2:$D$501,0))),""))</f>
        <v/>
      </c>
      <c r="J1254" s="25">
        <f>IF($C1254="","",IF($G1254="","slug not in links; ","")&amp;IF($D1254="","reading type missing; ","")&amp;IF(COUNTIFS(scans!$C$2:$C$1601,$C1254,scans!$D$2:$D$1601,$D1254)&gt;1,"two readings of this type: keep one; ",""))</f>
        <v/>
      </c>
    </row>
    <row r="1255">
      <c r="A1255" s="9" t="n"/>
      <c r="B1255" s="33" t="n"/>
      <c r="G1255" s="25">
        <f>IF($C1255="","",IFERROR(IF(INDEX(links!$A$2:$A$501,MATCH($C1255,links!$D$2:$D$501,0))="","",INDEX(links!$A$2:$A$501,MATCH($C1255,links!$D$2:$D$501,0))),""))</f>
        <v/>
      </c>
      <c r="H1255" s="25">
        <f>IF($C1255="","",IFERROR(IF(INDEX(links!$B$2:$B$501,MATCH($C1255,links!$D$2:$D$501,0))="","",INDEX(links!$B$2:$B$501,MATCH($C1255,links!$D$2:$D$501,0))),""))</f>
        <v/>
      </c>
      <c r="I1255" s="25">
        <f>IF($C1255="","",IFERROR(IF(INDEX(links!$C$2:$C$501,MATCH($C1255,links!$D$2:$D$501,0))="","",INDEX(links!$C$2:$C$501,MATCH($C1255,links!$D$2:$D$501,0))),""))</f>
        <v/>
      </c>
      <c r="J1255" s="25">
        <f>IF($C1255="","",IF($G1255="","slug not in links; ","")&amp;IF($D1255="","reading type missing; ","")&amp;IF(COUNTIFS(scans!$C$2:$C$1601,$C1255,scans!$D$2:$D$1601,$D1255)&gt;1,"two readings of this type: keep one; ",""))</f>
        <v/>
      </c>
    </row>
    <row r="1256">
      <c r="A1256" s="9" t="n"/>
      <c r="B1256" s="33" t="n"/>
      <c r="G1256" s="25">
        <f>IF($C1256="","",IFERROR(IF(INDEX(links!$A$2:$A$501,MATCH($C1256,links!$D$2:$D$501,0))="","",INDEX(links!$A$2:$A$501,MATCH($C1256,links!$D$2:$D$501,0))),""))</f>
        <v/>
      </c>
      <c r="H1256" s="25">
        <f>IF($C1256="","",IFERROR(IF(INDEX(links!$B$2:$B$501,MATCH($C1256,links!$D$2:$D$501,0))="","",INDEX(links!$B$2:$B$501,MATCH($C1256,links!$D$2:$D$501,0))),""))</f>
        <v/>
      </c>
      <c r="I1256" s="25">
        <f>IF($C1256="","",IFERROR(IF(INDEX(links!$C$2:$C$501,MATCH($C1256,links!$D$2:$D$501,0))="","",INDEX(links!$C$2:$C$501,MATCH($C1256,links!$D$2:$D$501,0))),""))</f>
        <v/>
      </c>
      <c r="J1256" s="25">
        <f>IF($C1256="","",IF($G1256="","slug not in links; ","")&amp;IF($D1256="","reading type missing; ","")&amp;IF(COUNTIFS(scans!$C$2:$C$1601,$C1256,scans!$D$2:$D$1601,$D1256)&gt;1,"two readings of this type: keep one; ",""))</f>
        <v/>
      </c>
    </row>
    <row r="1257">
      <c r="A1257" s="9" t="n"/>
      <c r="B1257" s="33" t="n"/>
      <c r="G1257" s="25">
        <f>IF($C1257="","",IFERROR(IF(INDEX(links!$A$2:$A$501,MATCH($C1257,links!$D$2:$D$501,0))="","",INDEX(links!$A$2:$A$501,MATCH($C1257,links!$D$2:$D$501,0))),""))</f>
        <v/>
      </c>
      <c r="H1257" s="25">
        <f>IF($C1257="","",IFERROR(IF(INDEX(links!$B$2:$B$501,MATCH($C1257,links!$D$2:$D$501,0))="","",INDEX(links!$B$2:$B$501,MATCH($C1257,links!$D$2:$D$501,0))),""))</f>
        <v/>
      </c>
      <c r="I1257" s="25">
        <f>IF($C1257="","",IFERROR(IF(INDEX(links!$C$2:$C$501,MATCH($C1257,links!$D$2:$D$501,0))="","",INDEX(links!$C$2:$C$501,MATCH($C1257,links!$D$2:$D$501,0))),""))</f>
        <v/>
      </c>
      <c r="J1257" s="25">
        <f>IF($C1257="","",IF($G1257="","slug not in links; ","")&amp;IF($D1257="","reading type missing; ","")&amp;IF(COUNTIFS(scans!$C$2:$C$1601,$C1257,scans!$D$2:$D$1601,$D1257)&gt;1,"two readings of this type: keep one; ",""))</f>
        <v/>
      </c>
    </row>
    <row r="1258">
      <c r="A1258" s="9" t="n"/>
      <c r="B1258" s="33" t="n"/>
      <c r="G1258" s="25">
        <f>IF($C1258="","",IFERROR(IF(INDEX(links!$A$2:$A$501,MATCH($C1258,links!$D$2:$D$501,0))="","",INDEX(links!$A$2:$A$501,MATCH($C1258,links!$D$2:$D$501,0))),""))</f>
        <v/>
      </c>
      <c r="H1258" s="25">
        <f>IF($C1258="","",IFERROR(IF(INDEX(links!$B$2:$B$501,MATCH($C1258,links!$D$2:$D$501,0))="","",INDEX(links!$B$2:$B$501,MATCH($C1258,links!$D$2:$D$501,0))),""))</f>
        <v/>
      </c>
      <c r="I1258" s="25">
        <f>IF($C1258="","",IFERROR(IF(INDEX(links!$C$2:$C$501,MATCH($C1258,links!$D$2:$D$501,0))="","",INDEX(links!$C$2:$C$501,MATCH($C1258,links!$D$2:$D$501,0))),""))</f>
        <v/>
      </c>
      <c r="J1258" s="25">
        <f>IF($C1258="","",IF($G1258="","slug not in links; ","")&amp;IF($D1258="","reading type missing; ","")&amp;IF(COUNTIFS(scans!$C$2:$C$1601,$C1258,scans!$D$2:$D$1601,$D1258)&gt;1,"two readings of this type: keep one; ",""))</f>
        <v/>
      </c>
    </row>
    <row r="1259">
      <c r="A1259" s="9" t="n"/>
      <c r="B1259" s="33" t="n"/>
      <c r="G1259" s="25">
        <f>IF($C1259="","",IFERROR(IF(INDEX(links!$A$2:$A$501,MATCH($C1259,links!$D$2:$D$501,0))="","",INDEX(links!$A$2:$A$501,MATCH($C1259,links!$D$2:$D$501,0))),""))</f>
        <v/>
      </c>
      <c r="H1259" s="25">
        <f>IF($C1259="","",IFERROR(IF(INDEX(links!$B$2:$B$501,MATCH($C1259,links!$D$2:$D$501,0))="","",INDEX(links!$B$2:$B$501,MATCH($C1259,links!$D$2:$D$501,0))),""))</f>
        <v/>
      </c>
      <c r="I1259" s="25">
        <f>IF($C1259="","",IFERROR(IF(INDEX(links!$C$2:$C$501,MATCH($C1259,links!$D$2:$D$501,0))="","",INDEX(links!$C$2:$C$501,MATCH($C1259,links!$D$2:$D$501,0))),""))</f>
        <v/>
      </c>
      <c r="J1259" s="25">
        <f>IF($C1259="","",IF($G1259="","slug not in links; ","")&amp;IF($D1259="","reading type missing; ","")&amp;IF(COUNTIFS(scans!$C$2:$C$1601,$C1259,scans!$D$2:$D$1601,$D1259)&gt;1,"two readings of this type: keep one; ",""))</f>
        <v/>
      </c>
    </row>
    <row r="1260">
      <c r="A1260" s="9" t="n"/>
      <c r="B1260" s="33" t="n"/>
      <c r="G1260" s="25">
        <f>IF($C1260="","",IFERROR(IF(INDEX(links!$A$2:$A$501,MATCH($C1260,links!$D$2:$D$501,0))="","",INDEX(links!$A$2:$A$501,MATCH($C1260,links!$D$2:$D$501,0))),""))</f>
        <v/>
      </c>
      <c r="H1260" s="25">
        <f>IF($C1260="","",IFERROR(IF(INDEX(links!$B$2:$B$501,MATCH($C1260,links!$D$2:$D$501,0))="","",INDEX(links!$B$2:$B$501,MATCH($C1260,links!$D$2:$D$501,0))),""))</f>
        <v/>
      </c>
      <c r="I1260" s="25">
        <f>IF($C1260="","",IFERROR(IF(INDEX(links!$C$2:$C$501,MATCH($C1260,links!$D$2:$D$501,0))="","",INDEX(links!$C$2:$C$501,MATCH($C1260,links!$D$2:$D$501,0))),""))</f>
        <v/>
      </c>
      <c r="J1260" s="25">
        <f>IF($C1260="","",IF($G1260="","slug not in links; ","")&amp;IF($D1260="","reading type missing; ","")&amp;IF(COUNTIFS(scans!$C$2:$C$1601,$C1260,scans!$D$2:$D$1601,$D1260)&gt;1,"two readings of this type: keep one; ",""))</f>
        <v/>
      </c>
    </row>
    <row r="1261">
      <c r="A1261" s="9" t="n"/>
      <c r="B1261" s="33" t="n"/>
      <c r="G1261" s="25">
        <f>IF($C1261="","",IFERROR(IF(INDEX(links!$A$2:$A$501,MATCH($C1261,links!$D$2:$D$501,0))="","",INDEX(links!$A$2:$A$501,MATCH($C1261,links!$D$2:$D$501,0))),""))</f>
        <v/>
      </c>
      <c r="H1261" s="25">
        <f>IF($C1261="","",IFERROR(IF(INDEX(links!$B$2:$B$501,MATCH($C1261,links!$D$2:$D$501,0))="","",INDEX(links!$B$2:$B$501,MATCH($C1261,links!$D$2:$D$501,0))),""))</f>
        <v/>
      </c>
      <c r="I1261" s="25">
        <f>IF($C1261="","",IFERROR(IF(INDEX(links!$C$2:$C$501,MATCH($C1261,links!$D$2:$D$501,0))="","",INDEX(links!$C$2:$C$501,MATCH($C1261,links!$D$2:$D$501,0))),""))</f>
        <v/>
      </c>
      <c r="J1261" s="25">
        <f>IF($C1261="","",IF($G1261="","slug not in links; ","")&amp;IF($D1261="","reading type missing; ","")&amp;IF(COUNTIFS(scans!$C$2:$C$1601,$C1261,scans!$D$2:$D$1601,$D1261)&gt;1,"two readings of this type: keep one; ",""))</f>
        <v/>
      </c>
    </row>
    <row r="1262">
      <c r="A1262" s="9" t="n"/>
      <c r="B1262" s="33" t="n"/>
      <c r="G1262" s="25">
        <f>IF($C1262="","",IFERROR(IF(INDEX(links!$A$2:$A$501,MATCH($C1262,links!$D$2:$D$501,0))="","",INDEX(links!$A$2:$A$501,MATCH($C1262,links!$D$2:$D$501,0))),""))</f>
        <v/>
      </c>
      <c r="H1262" s="25">
        <f>IF($C1262="","",IFERROR(IF(INDEX(links!$B$2:$B$501,MATCH($C1262,links!$D$2:$D$501,0))="","",INDEX(links!$B$2:$B$501,MATCH($C1262,links!$D$2:$D$501,0))),""))</f>
        <v/>
      </c>
      <c r="I1262" s="25">
        <f>IF($C1262="","",IFERROR(IF(INDEX(links!$C$2:$C$501,MATCH($C1262,links!$D$2:$D$501,0))="","",INDEX(links!$C$2:$C$501,MATCH($C1262,links!$D$2:$D$501,0))),""))</f>
        <v/>
      </c>
      <c r="J1262" s="25">
        <f>IF($C1262="","",IF($G1262="","slug not in links; ","")&amp;IF($D1262="","reading type missing; ","")&amp;IF(COUNTIFS(scans!$C$2:$C$1601,$C1262,scans!$D$2:$D$1601,$D1262)&gt;1,"two readings of this type: keep one; ",""))</f>
        <v/>
      </c>
    </row>
    <row r="1263">
      <c r="A1263" s="9" t="n"/>
      <c r="B1263" s="33" t="n"/>
      <c r="G1263" s="25">
        <f>IF($C1263="","",IFERROR(IF(INDEX(links!$A$2:$A$501,MATCH($C1263,links!$D$2:$D$501,0))="","",INDEX(links!$A$2:$A$501,MATCH($C1263,links!$D$2:$D$501,0))),""))</f>
        <v/>
      </c>
      <c r="H1263" s="25">
        <f>IF($C1263="","",IFERROR(IF(INDEX(links!$B$2:$B$501,MATCH($C1263,links!$D$2:$D$501,0))="","",INDEX(links!$B$2:$B$501,MATCH($C1263,links!$D$2:$D$501,0))),""))</f>
        <v/>
      </c>
      <c r="I1263" s="25">
        <f>IF($C1263="","",IFERROR(IF(INDEX(links!$C$2:$C$501,MATCH($C1263,links!$D$2:$D$501,0))="","",INDEX(links!$C$2:$C$501,MATCH($C1263,links!$D$2:$D$501,0))),""))</f>
        <v/>
      </c>
      <c r="J1263" s="25">
        <f>IF($C1263="","",IF($G1263="","slug not in links; ","")&amp;IF($D1263="","reading type missing; ","")&amp;IF(COUNTIFS(scans!$C$2:$C$1601,$C1263,scans!$D$2:$D$1601,$D1263)&gt;1,"two readings of this type: keep one; ",""))</f>
        <v/>
      </c>
    </row>
    <row r="1264">
      <c r="A1264" s="9" t="n"/>
      <c r="B1264" s="33" t="n"/>
      <c r="G1264" s="25">
        <f>IF($C1264="","",IFERROR(IF(INDEX(links!$A$2:$A$501,MATCH($C1264,links!$D$2:$D$501,0))="","",INDEX(links!$A$2:$A$501,MATCH($C1264,links!$D$2:$D$501,0))),""))</f>
        <v/>
      </c>
      <c r="H1264" s="25">
        <f>IF($C1264="","",IFERROR(IF(INDEX(links!$B$2:$B$501,MATCH($C1264,links!$D$2:$D$501,0))="","",INDEX(links!$B$2:$B$501,MATCH($C1264,links!$D$2:$D$501,0))),""))</f>
        <v/>
      </c>
      <c r="I1264" s="25">
        <f>IF($C1264="","",IFERROR(IF(INDEX(links!$C$2:$C$501,MATCH($C1264,links!$D$2:$D$501,0))="","",INDEX(links!$C$2:$C$501,MATCH($C1264,links!$D$2:$D$501,0))),""))</f>
        <v/>
      </c>
      <c r="J1264" s="25">
        <f>IF($C1264="","",IF($G1264="","slug not in links; ","")&amp;IF($D1264="","reading type missing; ","")&amp;IF(COUNTIFS(scans!$C$2:$C$1601,$C1264,scans!$D$2:$D$1601,$D1264)&gt;1,"two readings of this type: keep one; ",""))</f>
        <v/>
      </c>
    </row>
    <row r="1265">
      <c r="A1265" s="9" t="n"/>
      <c r="B1265" s="33" t="n"/>
      <c r="G1265" s="25">
        <f>IF($C1265="","",IFERROR(IF(INDEX(links!$A$2:$A$501,MATCH($C1265,links!$D$2:$D$501,0))="","",INDEX(links!$A$2:$A$501,MATCH($C1265,links!$D$2:$D$501,0))),""))</f>
        <v/>
      </c>
      <c r="H1265" s="25">
        <f>IF($C1265="","",IFERROR(IF(INDEX(links!$B$2:$B$501,MATCH($C1265,links!$D$2:$D$501,0))="","",INDEX(links!$B$2:$B$501,MATCH($C1265,links!$D$2:$D$501,0))),""))</f>
        <v/>
      </c>
      <c r="I1265" s="25">
        <f>IF($C1265="","",IFERROR(IF(INDEX(links!$C$2:$C$501,MATCH($C1265,links!$D$2:$D$501,0))="","",INDEX(links!$C$2:$C$501,MATCH($C1265,links!$D$2:$D$501,0))),""))</f>
        <v/>
      </c>
      <c r="J1265" s="25">
        <f>IF($C1265="","",IF($G1265="","slug not in links; ","")&amp;IF($D1265="","reading type missing; ","")&amp;IF(COUNTIFS(scans!$C$2:$C$1601,$C1265,scans!$D$2:$D$1601,$D1265)&gt;1,"two readings of this type: keep one; ",""))</f>
        <v/>
      </c>
    </row>
    <row r="1266">
      <c r="A1266" s="9" t="n"/>
      <c r="B1266" s="33" t="n"/>
      <c r="G1266" s="25">
        <f>IF($C1266="","",IFERROR(IF(INDEX(links!$A$2:$A$501,MATCH($C1266,links!$D$2:$D$501,0))="","",INDEX(links!$A$2:$A$501,MATCH($C1266,links!$D$2:$D$501,0))),""))</f>
        <v/>
      </c>
      <c r="H1266" s="25">
        <f>IF($C1266="","",IFERROR(IF(INDEX(links!$B$2:$B$501,MATCH($C1266,links!$D$2:$D$501,0))="","",INDEX(links!$B$2:$B$501,MATCH($C1266,links!$D$2:$D$501,0))),""))</f>
        <v/>
      </c>
      <c r="I1266" s="25">
        <f>IF($C1266="","",IFERROR(IF(INDEX(links!$C$2:$C$501,MATCH($C1266,links!$D$2:$D$501,0))="","",INDEX(links!$C$2:$C$501,MATCH($C1266,links!$D$2:$D$501,0))),""))</f>
        <v/>
      </c>
      <c r="J1266" s="25">
        <f>IF($C1266="","",IF($G1266="","slug not in links; ","")&amp;IF($D1266="","reading type missing; ","")&amp;IF(COUNTIFS(scans!$C$2:$C$1601,$C1266,scans!$D$2:$D$1601,$D1266)&gt;1,"two readings of this type: keep one; ",""))</f>
        <v/>
      </c>
    </row>
    <row r="1267">
      <c r="A1267" s="9" t="n"/>
      <c r="B1267" s="33" t="n"/>
      <c r="G1267" s="25">
        <f>IF($C1267="","",IFERROR(IF(INDEX(links!$A$2:$A$501,MATCH($C1267,links!$D$2:$D$501,0))="","",INDEX(links!$A$2:$A$501,MATCH($C1267,links!$D$2:$D$501,0))),""))</f>
        <v/>
      </c>
      <c r="H1267" s="25">
        <f>IF($C1267="","",IFERROR(IF(INDEX(links!$B$2:$B$501,MATCH($C1267,links!$D$2:$D$501,0))="","",INDEX(links!$B$2:$B$501,MATCH($C1267,links!$D$2:$D$501,0))),""))</f>
        <v/>
      </c>
      <c r="I1267" s="25">
        <f>IF($C1267="","",IFERROR(IF(INDEX(links!$C$2:$C$501,MATCH($C1267,links!$D$2:$D$501,0))="","",INDEX(links!$C$2:$C$501,MATCH($C1267,links!$D$2:$D$501,0))),""))</f>
        <v/>
      </c>
      <c r="J1267" s="25">
        <f>IF($C1267="","",IF($G1267="","slug not in links; ","")&amp;IF($D1267="","reading type missing; ","")&amp;IF(COUNTIFS(scans!$C$2:$C$1601,$C1267,scans!$D$2:$D$1601,$D1267)&gt;1,"two readings of this type: keep one; ",""))</f>
        <v/>
      </c>
    </row>
    <row r="1268">
      <c r="A1268" s="9" t="n"/>
      <c r="B1268" s="33" t="n"/>
      <c r="G1268" s="25">
        <f>IF($C1268="","",IFERROR(IF(INDEX(links!$A$2:$A$501,MATCH($C1268,links!$D$2:$D$501,0))="","",INDEX(links!$A$2:$A$501,MATCH($C1268,links!$D$2:$D$501,0))),""))</f>
        <v/>
      </c>
      <c r="H1268" s="25">
        <f>IF($C1268="","",IFERROR(IF(INDEX(links!$B$2:$B$501,MATCH($C1268,links!$D$2:$D$501,0))="","",INDEX(links!$B$2:$B$501,MATCH($C1268,links!$D$2:$D$501,0))),""))</f>
        <v/>
      </c>
      <c r="I1268" s="25">
        <f>IF($C1268="","",IFERROR(IF(INDEX(links!$C$2:$C$501,MATCH($C1268,links!$D$2:$D$501,0))="","",INDEX(links!$C$2:$C$501,MATCH($C1268,links!$D$2:$D$501,0))),""))</f>
        <v/>
      </c>
      <c r="J1268" s="25">
        <f>IF($C1268="","",IF($G1268="","slug not in links; ","")&amp;IF($D1268="","reading type missing; ","")&amp;IF(COUNTIFS(scans!$C$2:$C$1601,$C1268,scans!$D$2:$D$1601,$D1268)&gt;1,"two readings of this type: keep one; ",""))</f>
        <v/>
      </c>
    </row>
    <row r="1269">
      <c r="A1269" s="9" t="n"/>
      <c r="B1269" s="33" t="n"/>
      <c r="G1269" s="25">
        <f>IF($C1269="","",IFERROR(IF(INDEX(links!$A$2:$A$501,MATCH($C1269,links!$D$2:$D$501,0))="","",INDEX(links!$A$2:$A$501,MATCH($C1269,links!$D$2:$D$501,0))),""))</f>
        <v/>
      </c>
      <c r="H1269" s="25">
        <f>IF($C1269="","",IFERROR(IF(INDEX(links!$B$2:$B$501,MATCH($C1269,links!$D$2:$D$501,0))="","",INDEX(links!$B$2:$B$501,MATCH($C1269,links!$D$2:$D$501,0))),""))</f>
        <v/>
      </c>
      <c r="I1269" s="25">
        <f>IF($C1269="","",IFERROR(IF(INDEX(links!$C$2:$C$501,MATCH($C1269,links!$D$2:$D$501,0))="","",INDEX(links!$C$2:$C$501,MATCH($C1269,links!$D$2:$D$501,0))),""))</f>
        <v/>
      </c>
      <c r="J1269" s="25">
        <f>IF($C1269="","",IF($G1269="","slug not in links; ","")&amp;IF($D1269="","reading type missing; ","")&amp;IF(COUNTIFS(scans!$C$2:$C$1601,$C1269,scans!$D$2:$D$1601,$D1269)&gt;1,"two readings of this type: keep one; ",""))</f>
        <v/>
      </c>
    </row>
    <row r="1270">
      <c r="A1270" s="9" t="n"/>
      <c r="B1270" s="33" t="n"/>
      <c r="G1270" s="25">
        <f>IF($C1270="","",IFERROR(IF(INDEX(links!$A$2:$A$501,MATCH($C1270,links!$D$2:$D$501,0))="","",INDEX(links!$A$2:$A$501,MATCH($C1270,links!$D$2:$D$501,0))),""))</f>
        <v/>
      </c>
      <c r="H1270" s="25">
        <f>IF($C1270="","",IFERROR(IF(INDEX(links!$B$2:$B$501,MATCH($C1270,links!$D$2:$D$501,0))="","",INDEX(links!$B$2:$B$501,MATCH($C1270,links!$D$2:$D$501,0))),""))</f>
        <v/>
      </c>
      <c r="I1270" s="25">
        <f>IF($C1270="","",IFERROR(IF(INDEX(links!$C$2:$C$501,MATCH($C1270,links!$D$2:$D$501,0))="","",INDEX(links!$C$2:$C$501,MATCH($C1270,links!$D$2:$D$501,0))),""))</f>
        <v/>
      </c>
      <c r="J1270" s="25">
        <f>IF($C1270="","",IF($G1270="","slug not in links; ","")&amp;IF($D1270="","reading type missing; ","")&amp;IF(COUNTIFS(scans!$C$2:$C$1601,$C1270,scans!$D$2:$D$1601,$D1270)&gt;1,"two readings of this type: keep one; ",""))</f>
        <v/>
      </c>
    </row>
    <row r="1271">
      <c r="A1271" s="9" t="n"/>
      <c r="B1271" s="33" t="n"/>
      <c r="G1271" s="25">
        <f>IF($C1271="","",IFERROR(IF(INDEX(links!$A$2:$A$501,MATCH($C1271,links!$D$2:$D$501,0))="","",INDEX(links!$A$2:$A$501,MATCH($C1271,links!$D$2:$D$501,0))),""))</f>
        <v/>
      </c>
      <c r="H1271" s="25">
        <f>IF($C1271="","",IFERROR(IF(INDEX(links!$B$2:$B$501,MATCH($C1271,links!$D$2:$D$501,0))="","",INDEX(links!$B$2:$B$501,MATCH($C1271,links!$D$2:$D$501,0))),""))</f>
        <v/>
      </c>
      <c r="I1271" s="25">
        <f>IF($C1271="","",IFERROR(IF(INDEX(links!$C$2:$C$501,MATCH($C1271,links!$D$2:$D$501,0))="","",INDEX(links!$C$2:$C$501,MATCH($C1271,links!$D$2:$D$501,0))),""))</f>
        <v/>
      </c>
      <c r="J1271" s="25">
        <f>IF($C1271="","",IF($G1271="","slug not in links; ","")&amp;IF($D1271="","reading type missing; ","")&amp;IF(COUNTIFS(scans!$C$2:$C$1601,$C1271,scans!$D$2:$D$1601,$D1271)&gt;1,"two readings of this type: keep one; ",""))</f>
        <v/>
      </c>
    </row>
    <row r="1272">
      <c r="A1272" s="9" t="n"/>
      <c r="B1272" s="33" t="n"/>
      <c r="G1272" s="25">
        <f>IF($C1272="","",IFERROR(IF(INDEX(links!$A$2:$A$501,MATCH($C1272,links!$D$2:$D$501,0))="","",INDEX(links!$A$2:$A$501,MATCH($C1272,links!$D$2:$D$501,0))),""))</f>
        <v/>
      </c>
      <c r="H1272" s="25">
        <f>IF($C1272="","",IFERROR(IF(INDEX(links!$B$2:$B$501,MATCH($C1272,links!$D$2:$D$501,0))="","",INDEX(links!$B$2:$B$501,MATCH($C1272,links!$D$2:$D$501,0))),""))</f>
        <v/>
      </c>
      <c r="I1272" s="25">
        <f>IF($C1272="","",IFERROR(IF(INDEX(links!$C$2:$C$501,MATCH($C1272,links!$D$2:$D$501,0))="","",INDEX(links!$C$2:$C$501,MATCH($C1272,links!$D$2:$D$501,0))),""))</f>
        <v/>
      </c>
      <c r="J1272" s="25">
        <f>IF($C1272="","",IF($G1272="","slug not in links; ","")&amp;IF($D1272="","reading type missing; ","")&amp;IF(COUNTIFS(scans!$C$2:$C$1601,$C1272,scans!$D$2:$D$1601,$D1272)&gt;1,"two readings of this type: keep one; ",""))</f>
        <v/>
      </c>
    </row>
    <row r="1273">
      <c r="A1273" s="9" t="n"/>
      <c r="B1273" s="33" t="n"/>
      <c r="G1273" s="25">
        <f>IF($C1273="","",IFERROR(IF(INDEX(links!$A$2:$A$501,MATCH($C1273,links!$D$2:$D$501,0))="","",INDEX(links!$A$2:$A$501,MATCH($C1273,links!$D$2:$D$501,0))),""))</f>
        <v/>
      </c>
      <c r="H1273" s="25">
        <f>IF($C1273="","",IFERROR(IF(INDEX(links!$B$2:$B$501,MATCH($C1273,links!$D$2:$D$501,0))="","",INDEX(links!$B$2:$B$501,MATCH($C1273,links!$D$2:$D$501,0))),""))</f>
        <v/>
      </c>
      <c r="I1273" s="25">
        <f>IF($C1273="","",IFERROR(IF(INDEX(links!$C$2:$C$501,MATCH($C1273,links!$D$2:$D$501,0))="","",INDEX(links!$C$2:$C$501,MATCH($C1273,links!$D$2:$D$501,0))),""))</f>
        <v/>
      </c>
      <c r="J1273" s="25">
        <f>IF($C1273="","",IF($G1273="","slug not in links; ","")&amp;IF($D1273="","reading type missing; ","")&amp;IF(COUNTIFS(scans!$C$2:$C$1601,$C1273,scans!$D$2:$D$1601,$D1273)&gt;1,"two readings of this type: keep one; ",""))</f>
        <v/>
      </c>
    </row>
    <row r="1274">
      <c r="A1274" s="9" t="n"/>
      <c r="B1274" s="33" t="n"/>
      <c r="G1274" s="25">
        <f>IF($C1274="","",IFERROR(IF(INDEX(links!$A$2:$A$501,MATCH($C1274,links!$D$2:$D$501,0))="","",INDEX(links!$A$2:$A$501,MATCH($C1274,links!$D$2:$D$501,0))),""))</f>
        <v/>
      </c>
      <c r="H1274" s="25">
        <f>IF($C1274="","",IFERROR(IF(INDEX(links!$B$2:$B$501,MATCH($C1274,links!$D$2:$D$501,0))="","",INDEX(links!$B$2:$B$501,MATCH($C1274,links!$D$2:$D$501,0))),""))</f>
        <v/>
      </c>
      <c r="I1274" s="25">
        <f>IF($C1274="","",IFERROR(IF(INDEX(links!$C$2:$C$501,MATCH($C1274,links!$D$2:$D$501,0))="","",INDEX(links!$C$2:$C$501,MATCH($C1274,links!$D$2:$D$501,0))),""))</f>
        <v/>
      </c>
      <c r="J1274" s="25">
        <f>IF($C1274="","",IF($G1274="","slug not in links; ","")&amp;IF($D1274="","reading type missing; ","")&amp;IF(COUNTIFS(scans!$C$2:$C$1601,$C1274,scans!$D$2:$D$1601,$D1274)&gt;1,"two readings of this type: keep one; ",""))</f>
        <v/>
      </c>
    </row>
    <row r="1275">
      <c r="A1275" s="9" t="n"/>
      <c r="B1275" s="33" t="n"/>
      <c r="G1275" s="25">
        <f>IF($C1275="","",IFERROR(IF(INDEX(links!$A$2:$A$501,MATCH($C1275,links!$D$2:$D$501,0))="","",INDEX(links!$A$2:$A$501,MATCH($C1275,links!$D$2:$D$501,0))),""))</f>
        <v/>
      </c>
      <c r="H1275" s="25">
        <f>IF($C1275="","",IFERROR(IF(INDEX(links!$B$2:$B$501,MATCH($C1275,links!$D$2:$D$501,0))="","",INDEX(links!$B$2:$B$501,MATCH($C1275,links!$D$2:$D$501,0))),""))</f>
        <v/>
      </c>
      <c r="I1275" s="25">
        <f>IF($C1275="","",IFERROR(IF(INDEX(links!$C$2:$C$501,MATCH($C1275,links!$D$2:$D$501,0))="","",INDEX(links!$C$2:$C$501,MATCH($C1275,links!$D$2:$D$501,0))),""))</f>
        <v/>
      </c>
      <c r="J1275" s="25">
        <f>IF($C1275="","",IF($G1275="","slug not in links; ","")&amp;IF($D1275="","reading type missing; ","")&amp;IF(COUNTIFS(scans!$C$2:$C$1601,$C1275,scans!$D$2:$D$1601,$D1275)&gt;1,"two readings of this type: keep one; ",""))</f>
        <v/>
      </c>
    </row>
    <row r="1276">
      <c r="A1276" s="9" t="n"/>
      <c r="B1276" s="33" t="n"/>
      <c r="G1276" s="25">
        <f>IF($C1276="","",IFERROR(IF(INDEX(links!$A$2:$A$501,MATCH($C1276,links!$D$2:$D$501,0))="","",INDEX(links!$A$2:$A$501,MATCH($C1276,links!$D$2:$D$501,0))),""))</f>
        <v/>
      </c>
      <c r="H1276" s="25">
        <f>IF($C1276="","",IFERROR(IF(INDEX(links!$B$2:$B$501,MATCH($C1276,links!$D$2:$D$501,0))="","",INDEX(links!$B$2:$B$501,MATCH($C1276,links!$D$2:$D$501,0))),""))</f>
        <v/>
      </c>
      <c r="I1276" s="25">
        <f>IF($C1276="","",IFERROR(IF(INDEX(links!$C$2:$C$501,MATCH($C1276,links!$D$2:$D$501,0))="","",INDEX(links!$C$2:$C$501,MATCH($C1276,links!$D$2:$D$501,0))),""))</f>
        <v/>
      </c>
      <c r="J1276" s="25">
        <f>IF($C1276="","",IF($G1276="","slug not in links; ","")&amp;IF($D1276="","reading type missing; ","")&amp;IF(COUNTIFS(scans!$C$2:$C$1601,$C1276,scans!$D$2:$D$1601,$D1276)&gt;1,"two readings of this type: keep one; ",""))</f>
        <v/>
      </c>
    </row>
    <row r="1277">
      <c r="A1277" s="9" t="n"/>
      <c r="B1277" s="33" t="n"/>
      <c r="G1277" s="25">
        <f>IF($C1277="","",IFERROR(IF(INDEX(links!$A$2:$A$501,MATCH($C1277,links!$D$2:$D$501,0))="","",INDEX(links!$A$2:$A$501,MATCH($C1277,links!$D$2:$D$501,0))),""))</f>
        <v/>
      </c>
      <c r="H1277" s="25">
        <f>IF($C1277="","",IFERROR(IF(INDEX(links!$B$2:$B$501,MATCH($C1277,links!$D$2:$D$501,0))="","",INDEX(links!$B$2:$B$501,MATCH($C1277,links!$D$2:$D$501,0))),""))</f>
        <v/>
      </c>
      <c r="I1277" s="25">
        <f>IF($C1277="","",IFERROR(IF(INDEX(links!$C$2:$C$501,MATCH($C1277,links!$D$2:$D$501,0))="","",INDEX(links!$C$2:$C$501,MATCH($C1277,links!$D$2:$D$501,0))),""))</f>
        <v/>
      </c>
      <c r="J1277" s="25">
        <f>IF($C1277="","",IF($G1277="","slug not in links; ","")&amp;IF($D1277="","reading type missing; ","")&amp;IF(COUNTIFS(scans!$C$2:$C$1601,$C1277,scans!$D$2:$D$1601,$D1277)&gt;1,"two readings of this type: keep one; ",""))</f>
        <v/>
      </c>
    </row>
    <row r="1278">
      <c r="A1278" s="9" t="n"/>
      <c r="B1278" s="33" t="n"/>
      <c r="G1278" s="25">
        <f>IF($C1278="","",IFERROR(IF(INDEX(links!$A$2:$A$501,MATCH($C1278,links!$D$2:$D$501,0))="","",INDEX(links!$A$2:$A$501,MATCH($C1278,links!$D$2:$D$501,0))),""))</f>
        <v/>
      </c>
      <c r="H1278" s="25">
        <f>IF($C1278="","",IFERROR(IF(INDEX(links!$B$2:$B$501,MATCH($C1278,links!$D$2:$D$501,0))="","",INDEX(links!$B$2:$B$501,MATCH($C1278,links!$D$2:$D$501,0))),""))</f>
        <v/>
      </c>
      <c r="I1278" s="25">
        <f>IF($C1278="","",IFERROR(IF(INDEX(links!$C$2:$C$501,MATCH($C1278,links!$D$2:$D$501,0))="","",INDEX(links!$C$2:$C$501,MATCH($C1278,links!$D$2:$D$501,0))),""))</f>
        <v/>
      </c>
      <c r="J1278" s="25">
        <f>IF($C1278="","",IF($G1278="","slug not in links; ","")&amp;IF($D1278="","reading type missing; ","")&amp;IF(COUNTIFS(scans!$C$2:$C$1601,$C1278,scans!$D$2:$D$1601,$D1278)&gt;1,"two readings of this type: keep one; ",""))</f>
        <v/>
      </c>
    </row>
    <row r="1279">
      <c r="A1279" s="9" t="n"/>
      <c r="B1279" s="33" t="n"/>
      <c r="G1279" s="25">
        <f>IF($C1279="","",IFERROR(IF(INDEX(links!$A$2:$A$501,MATCH($C1279,links!$D$2:$D$501,0))="","",INDEX(links!$A$2:$A$501,MATCH($C1279,links!$D$2:$D$501,0))),""))</f>
        <v/>
      </c>
      <c r="H1279" s="25">
        <f>IF($C1279="","",IFERROR(IF(INDEX(links!$B$2:$B$501,MATCH($C1279,links!$D$2:$D$501,0))="","",INDEX(links!$B$2:$B$501,MATCH($C1279,links!$D$2:$D$501,0))),""))</f>
        <v/>
      </c>
      <c r="I1279" s="25">
        <f>IF($C1279="","",IFERROR(IF(INDEX(links!$C$2:$C$501,MATCH($C1279,links!$D$2:$D$501,0))="","",INDEX(links!$C$2:$C$501,MATCH($C1279,links!$D$2:$D$501,0))),""))</f>
        <v/>
      </c>
      <c r="J1279" s="25">
        <f>IF($C1279="","",IF($G1279="","slug not in links; ","")&amp;IF($D1279="","reading type missing; ","")&amp;IF(COUNTIFS(scans!$C$2:$C$1601,$C1279,scans!$D$2:$D$1601,$D1279)&gt;1,"two readings of this type: keep one; ",""))</f>
        <v/>
      </c>
    </row>
    <row r="1280">
      <c r="A1280" s="9" t="n"/>
      <c r="B1280" s="33" t="n"/>
      <c r="G1280" s="25">
        <f>IF($C1280="","",IFERROR(IF(INDEX(links!$A$2:$A$501,MATCH($C1280,links!$D$2:$D$501,0))="","",INDEX(links!$A$2:$A$501,MATCH($C1280,links!$D$2:$D$501,0))),""))</f>
        <v/>
      </c>
      <c r="H1280" s="25">
        <f>IF($C1280="","",IFERROR(IF(INDEX(links!$B$2:$B$501,MATCH($C1280,links!$D$2:$D$501,0))="","",INDEX(links!$B$2:$B$501,MATCH($C1280,links!$D$2:$D$501,0))),""))</f>
        <v/>
      </c>
      <c r="I1280" s="25">
        <f>IF($C1280="","",IFERROR(IF(INDEX(links!$C$2:$C$501,MATCH($C1280,links!$D$2:$D$501,0))="","",INDEX(links!$C$2:$C$501,MATCH($C1280,links!$D$2:$D$501,0))),""))</f>
        <v/>
      </c>
      <c r="J1280" s="25">
        <f>IF($C1280="","",IF($G1280="","slug not in links; ","")&amp;IF($D1280="","reading type missing; ","")&amp;IF(COUNTIFS(scans!$C$2:$C$1601,$C1280,scans!$D$2:$D$1601,$D1280)&gt;1,"two readings of this type: keep one; ",""))</f>
        <v/>
      </c>
    </row>
    <row r="1281">
      <c r="A1281" s="9" t="n"/>
      <c r="B1281" s="33" t="n"/>
      <c r="G1281" s="25">
        <f>IF($C1281="","",IFERROR(IF(INDEX(links!$A$2:$A$501,MATCH($C1281,links!$D$2:$D$501,0))="","",INDEX(links!$A$2:$A$501,MATCH($C1281,links!$D$2:$D$501,0))),""))</f>
        <v/>
      </c>
      <c r="H1281" s="25">
        <f>IF($C1281="","",IFERROR(IF(INDEX(links!$B$2:$B$501,MATCH($C1281,links!$D$2:$D$501,0))="","",INDEX(links!$B$2:$B$501,MATCH($C1281,links!$D$2:$D$501,0))),""))</f>
        <v/>
      </c>
      <c r="I1281" s="25">
        <f>IF($C1281="","",IFERROR(IF(INDEX(links!$C$2:$C$501,MATCH($C1281,links!$D$2:$D$501,0))="","",INDEX(links!$C$2:$C$501,MATCH($C1281,links!$D$2:$D$501,0))),""))</f>
        <v/>
      </c>
      <c r="J1281" s="25">
        <f>IF($C1281="","",IF($G1281="","slug not in links; ","")&amp;IF($D1281="","reading type missing; ","")&amp;IF(COUNTIFS(scans!$C$2:$C$1601,$C1281,scans!$D$2:$D$1601,$D1281)&gt;1,"two readings of this type: keep one; ",""))</f>
        <v/>
      </c>
    </row>
    <row r="1282">
      <c r="A1282" s="9" t="n"/>
      <c r="B1282" s="33" t="n"/>
      <c r="G1282" s="25">
        <f>IF($C1282="","",IFERROR(IF(INDEX(links!$A$2:$A$501,MATCH($C1282,links!$D$2:$D$501,0))="","",INDEX(links!$A$2:$A$501,MATCH($C1282,links!$D$2:$D$501,0))),""))</f>
        <v/>
      </c>
      <c r="H1282" s="25">
        <f>IF($C1282="","",IFERROR(IF(INDEX(links!$B$2:$B$501,MATCH($C1282,links!$D$2:$D$501,0))="","",INDEX(links!$B$2:$B$501,MATCH($C1282,links!$D$2:$D$501,0))),""))</f>
        <v/>
      </c>
      <c r="I1282" s="25">
        <f>IF($C1282="","",IFERROR(IF(INDEX(links!$C$2:$C$501,MATCH($C1282,links!$D$2:$D$501,0))="","",INDEX(links!$C$2:$C$501,MATCH($C1282,links!$D$2:$D$501,0))),""))</f>
        <v/>
      </c>
      <c r="J1282" s="25">
        <f>IF($C1282="","",IF($G1282="","slug not in links; ","")&amp;IF($D1282="","reading type missing; ","")&amp;IF(COUNTIFS(scans!$C$2:$C$1601,$C1282,scans!$D$2:$D$1601,$D1282)&gt;1,"two readings of this type: keep one; ",""))</f>
        <v/>
      </c>
    </row>
    <row r="1283">
      <c r="A1283" s="9" t="n"/>
      <c r="B1283" s="33" t="n"/>
      <c r="G1283" s="25">
        <f>IF($C1283="","",IFERROR(IF(INDEX(links!$A$2:$A$501,MATCH($C1283,links!$D$2:$D$501,0))="","",INDEX(links!$A$2:$A$501,MATCH($C1283,links!$D$2:$D$501,0))),""))</f>
        <v/>
      </c>
      <c r="H1283" s="25">
        <f>IF($C1283="","",IFERROR(IF(INDEX(links!$B$2:$B$501,MATCH($C1283,links!$D$2:$D$501,0))="","",INDEX(links!$B$2:$B$501,MATCH($C1283,links!$D$2:$D$501,0))),""))</f>
        <v/>
      </c>
      <c r="I1283" s="25">
        <f>IF($C1283="","",IFERROR(IF(INDEX(links!$C$2:$C$501,MATCH($C1283,links!$D$2:$D$501,0))="","",INDEX(links!$C$2:$C$501,MATCH($C1283,links!$D$2:$D$501,0))),""))</f>
        <v/>
      </c>
      <c r="J1283" s="25">
        <f>IF($C1283="","",IF($G1283="","slug not in links; ","")&amp;IF($D1283="","reading type missing; ","")&amp;IF(COUNTIFS(scans!$C$2:$C$1601,$C1283,scans!$D$2:$D$1601,$D1283)&gt;1,"two readings of this type: keep one; ",""))</f>
        <v/>
      </c>
    </row>
    <row r="1284">
      <c r="A1284" s="9" t="n"/>
      <c r="B1284" s="33" t="n"/>
      <c r="G1284" s="25">
        <f>IF($C1284="","",IFERROR(IF(INDEX(links!$A$2:$A$501,MATCH($C1284,links!$D$2:$D$501,0))="","",INDEX(links!$A$2:$A$501,MATCH($C1284,links!$D$2:$D$501,0))),""))</f>
        <v/>
      </c>
      <c r="H1284" s="25">
        <f>IF($C1284="","",IFERROR(IF(INDEX(links!$B$2:$B$501,MATCH($C1284,links!$D$2:$D$501,0))="","",INDEX(links!$B$2:$B$501,MATCH($C1284,links!$D$2:$D$501,0))),""))</f>
        <v/>
      </c>
      <c r="I1284" s="25">
        <f>IF($C1284="","",IFERROR(IF(INDEX(links!$C$2:$C$501,MATCH($C1284,links!$D$2:$D$501,0))="","",INDEX(links!$C$2:$C$501,MATCH($C1284,links!$D$2:$D$501,0))),""))</f>
        <v/>
      </c>
      <c r="J1284" s="25">
        <f>IF($C1284="","",IF($G1284="","slug not in links; ","")&amp;IF($D1284="","reading type missing; ","")&amp;IF(COUNTIFS(scans!$C$2:$C$1601,$C1284,scans!$D$2:$D$1601,$D1284)&gt;1,"two readings of this type: keep one; ",""))</f>
        <v/>
      </c>
    </row>
    <row r="1285">
      <c r="A1285" s="9" t="n"/>
      <c r="B1285" s="33" t="n"/>
      <c r="G1285" s="25">
        <f>IF($C1285="","",IFERROR(IF(INDEX(links!$A$2:$A$501,MATCH($C1285,links!$D$2:$D$501,0))="","",INDEX(links!$A$2:$A$501,MATCH($C1285,links!$D$2:$D$501,0))),""))</f>
        <v/>
      </c>
      <c r="H1285" s="25">
        <f>IF($C1285="","",IFERROR(IF(INDEX(links!$B$2:$B$501,MATCH($C1285,links!$D$2:$D$501,0))="","",INDEX(links!$B$2:$B$501,MATCH($C1285,links!$D$2:$D$501,0))),""))</f>
        <v/>
      </c>
      <c r="I1285" s="25">
        <f>IF($C1285="","",IFERROR(IF(INDEX(links!$C$2:$C$501,MATCH($C1285,links!$D$2:$D$501,0))="","",INDEX(links!$C$2:$C$501,MATCH($C1285,links!$D$2:$D$501,0))),""))</f>
        <v/>
      </c>
      <c r="J1285" s="25">
        <f>IF($C1285="","",IF($G1285="","slug not in links; ","")&amp;IF($D1285="","reading type missing; ","")&amp;IF(COUNTIFS(scans!$C$2:$C$1601,$C1285,scans!$D$2:$D$1601,$D1285)&gt;1,"two readings of this type: keep one; ",""))</f>
        <v/>
      </c>
    </row>
    <row r="1286">
      <c r="A1286" s="9" t="n"/>
      <c r="B1286" s="33" t="n"/>
      <c r="G1286" s="25">
        <f>IF($C1286="","",IFERROR(IF(INDEX(links!$A$2:$A$501,MATCH($C1286,links!$D$2:$D$501,0))="","",INDEX(links!$A$2:$A$501,MATCH($C1286,links!$D$2:$D$501,0))),""))</f>
        <v/>
      </c>
      <c r="H1286" s="25">
        <f>IF($C1286="","",IFERROR(IF(INDEX(links!$B$2:$B$501,MATCH($C1286,links!$D$2:$D$501,0))="","",INDEX(links!$B$2:$B$501,MATCH($C1286,links!$D$2:$D$501,0))),""))</f>
        <v/>
      </c>
      <c r="I1286" s="25">
        <f>IF($C1286="","",IFERROR(IF(INDEX(links!$C$2:$C$501,MATCH($C1286,links!$D$2:$D$501,0))="","",INDEX(links!$C$2:$C$501,MATCH($C1286,links!$D$2:$D$501,0))),""))</f>
        <v/>
      </c>
      <c r="J1286" s="25">
        <f>IF($C1286="","",IF($G1286="","slug not in links; ","")&amp;IF($D1286="","reading type missing; ","")&amp;IF(COUNTIFS(scans!$C$2:$C$1601,$C1286,scans!$D$2:$D$1601,$D1286)&gt;1,"two readings of this type: keep one; ",""))</f>
        <v/>
      </c>
    </row>
    <row r="1287">
      <c r="A1287" s="9" t="n"/>
      <c r="B1287" s="33" t="n"/>
      <c r="G1287" s="25">
        <f>IF($C1287="","",IFERROR(IF(INDEX(links!$A$2:$A$501,MATCH($C1287,links!$D$2:$D$501,0))="","",INDEX(links!$A$2:$A$501,MATCH($C1287,links!$D$2:$D$501,0))),""))</f>
        <v/>
      </c>
      <c r="H1287" s="25">
        <f>IF($C1287="","",IFERROR(IF(INDEX(links!$B$2:$B$501,MATCH($C1287,links!$D$2:$D$501,0))="","",INDEX(links!$B$2:$B$501,MATCH($C1287,links!$D$2:$D$501,0))),""))</f>
        <v/>
      </c>
      <c r="I1287" s="25">
        <f>IF($C1287="","",IFERROR(IF(INDEX(links!$C$2:$C$501,MATCH($C1287,links!$D$2:$D$501,0))="","",INDEX(links!$C$2:$C$501,MATCH($C1287,links!$D$2:$D$501,0))),""))</f>
        <v/>
      </c>
      <c r="J1287" s="25">
        <f>IF($C1287="","",IF($G1287="","slug not in links; ","")&amp;IF($D1287="","reading type missing; ","")&amp;IF(COUNTIFS(scans!$C$2:$C$1601,$C1287,scans!$D$2:$D$1601,$D1287)&gt;1,"two readings of this type: keep one; ",""))</f>
        <v/>
      </c>
    </row>
    <row r="1288">
      <c r="A1288" s="9" t="n"/>
      <c r="B1288" s="33" t="n"/>
      <c r="G1288" s="25">
        <f>IF($C1288="","",IFERROR(IF(INDEX(links!$A$2:$A$501,MATCH($C1288,links!$D$2:$D$501,0))="","",INDEX(links!$A$2:$A$501,MATCH($C1288,links!$D$2:$D$501,0))),""))</f>
        <v/>
      </c>
      <c r="H1288" s="25">
        <f>IF($C1288="","",IFERROR(IF(INDEX(links!$B$2:$B$501,MATCH($C1288,links!$D$2:$D$501,0))="","",INDEX(links!$B$2:$B$501,MATCH($C1288,links!$D$2:$D$501,0))),""))</f>
        <v/>
      </c>
      <c r="I1288" s="25">
        <f>IF($C1288="","",IFERROR(IF(INDEX(links!$C$2:$C$501,MATCH($C1288,links!$D$2:$D$501,0))="","",INDEX(links!$C$2:$C$501,MATCH($C1288,links!$D$2:$D$501,0))),""))</f>
        <v/>
      </c>
      <c r="J1288" s="25">
        <f>IF($C1288="","",IF($G1288="","slug not in links; ","")&amp;IF($D1288="","reading type missing; ","")&amp;IF(COUNTIFS(scans!$C$2:$C$1601,$C1288,scans!$D$2:$D$1601,$D1288)&gt;1,"two readings of this type: keep one; ",""))</f>
        <v/>
      </c>
    </row>
    <row r="1289">
      <c r="A1289" s="9" t="n"/>
      <c r="B1289" s="33" t="n"/>
      <c r="G1289" s="25">
        <f>IF($C1289="","",IFERROR(IF(INDEX(links!$A$2:$A$501,MATCH($C1289,links!$D$2:$D$501,0))="","",INDEX(links!$A$2:$A$501,MATCH($C1289,links!$D$2:$D$501,0))),""))</f>
        <v/>
      </c>
      <c r="H1289" s="25">
        <f>IF($C1289="","",IFERROR(IF(INDEX(links!$B$2:$B$501,MATCH($C1289,links!$D$2:$D$501,0))="","",INDEX(links!$B$2:$B$501,MATCH($C1289,links!$D$2:$D$501,0))),""))</f>
        <v/>
      </c>
      <c r="I1289" s="25">
        <f>IF($C1289="","",IFERROR(IF(INDEX(links!$C$2:$C$501,MATCH($C1289,links!$D$2:$D$501,0))="","",INDEX(links!$C$2:$C$501,MATCH($C1289,links!$D$2:$D$501,0))),""))</f>
        <v/>
      </c>
      <c r="J1289" s="25">
        <f>IF($C1289="","",IF($G1289="","slug not in links; ","")&amp;IF($D1289="","reading type missing; ","")&amp;IF(COUNTIFS(scans!$C$2:$C$1601,$C1289,scans!$D$2:$D$1601,$D1289)&gt;1,"two readings of this type: keep one; ",""))</f>
        <v/>
      </c>
    </row>
    <row r="1290">
      <c r="A1290" s="9" t="n"/>
      <c r="B1290" s="33" t="n"/>
      <c r="G1290" s="25">
        <f>IF($C1290="","",IFERROR(IF(INDEX(links!$A$2:$A$501,MATCH($C1290,links!$D$2:$D$501,0))="","",INDEX(links!$A$2:$A$501,MATCH($C1290,links!$D$2:$D$501,0))),""))</f>
        <v/>
      </c>
      <c r="H1290" s="25">
        <f>IF($C1290="","",IFERROR(IF(INDEX(links!$B$2:$B$501,MATCH($C1290,links!$D$2:$D$501,0))="","",INDEX(links!$B$2:$B$501,MATCH($C1290,links!$D$2:$D$501,0))),""))</f>
        <v/>
      </c>
      <c r="I1290" s="25">
        <f>IF($C1290="","",IFERROR(IF(INDEX(links!$C$2:$C$501,MATCH($C1290,links!$D$2:$D$501,0))="","",INDEX(links!$C$2:$C$501,MATCH($C1290,links!$D$2:$D$501,0))),""))</f>
        <v/>
      </c>
      <c r="J1290" s="25">
        <f>IF($C1290="","",IF($G1290="","slug not in links; ","")&amp;IF($D1290="","reading type missing; ","")&amp;IF(COUNTIFS(scans!$C$2:$C$1601,$C1290,scans!$D$2:$D$1601,$D1290)&gt;1,"two readings of this type: keep one; ",""))</f>
        <v/>
      </c>
    </row>
    <row r="1291">
      <c r="A1291" s="9" t="n"/>
      <c r="B1291" s="33" t="n"/>
      <c r="G1291" s="25">
        <f>IF($C1291="","",IFERROR(IF(INDEX(links!$A$2:$A$501,MATCH($C1291,links!$D$2:$D$501,0))="","",INDEX(links!$A$2:$A$501,MATCH($C1291,links!$D$2:$D$501,0))),""))</f>
        <v/>
      </c>
      <c r="H1291" s="25">
        <f>IF($C1291="","",IFERROR(IF(INDEX(links!$B$2:$B$501,MATCH($C1291,links!$D$2:$D$501,0))="","",INDEX(links!$B$2:$B$501,MATCH($C1291,links!$D$2:$D$501,0))),""))</f>
        <v/>
      </c>
      <c r="I1291" s="25">
        <f>IF($C1291="","",IFERROR(IF(INDEX(links!$C$2:$C$501,MATCH($C1291,links!$D$2:$D$501,0))="","",INDEX(links!$C$2:$C$501,MATCH($C1291,links!$D$2:$D$501,0))),""))</f>
        <v/>
      </c>
      <c r="J1291" s="25">
        <f>IF($C1291="","",IF($G1291="","slug not in links; ","")&amp;IF($D1291="","reading type missing; ","")&amp;IF(COUNTIFS(scans!$C$2:$C$1601,$C1291,scans!$D$2:$D$1601,$D1291)&gt;1,"two readings of this type: keep one; ",""))</f>
        <v/>
      </c>
    </row>
    <row r="1292">
      <c r="A1292" s="9" t="n"/>
      <c r="B1292" s="33" t="n"/>
      <c r="G1292" s="25">
        <f>IF($C1292="","",IFERROR(IF(INDEX(links!$A$2:$A$501,MATCH($C1292,links!$D$2:$D$501,0))="","",INDEX(links!$A$2:$A$501,MATCH($C1292,links!$D$2:$D$501,0))),""))</f>
        <v/>
      </c>
      <c r="H1292" s="25">
        <f>IF($C1292="","",IFERROR(IF(INDEX(links!$B$2:$B$501,MATCH($C1292,links!$D$2:$D$501,0))="","",INDEX(links!$B$2:$B$501,MATCH($C1292,links!$D$2:$D$501,0))),""))</f>
        <v/>
      </c>
      <c r="I1292" s="25">
        <f>IF($C1292="","",IFERROR(IF(INDEX(links!$C$2:$C$501,MATCH($C1292,links!$D$2:$D$501,0))="","",INDEX(links!$C$2:$C$501,MATCH($C1292,links!$D$2:$D$501,0))),""))</f>
        <v/>
      </c>
      <c r="J1292" s="25">
        <f>IF($C1292="","",IF($G1292="","slug not in links; ","")&amp;IF($D1292="","reading type missing; ","")&amp;IF(COUNTIFS(scans!$C$2:$C$1601,$C1292,scans!$D$2:$D$1601,$D1292)&gt;1,"two readings of this type: keep one; ",""))</f>
        <v/>
      </c>
    </row>
    <row r="1293">
      <c r="A1293" s="9" t="n"/>
      <c r="B1293" s="33" t="n"/>
      <c r="G1293" s="25">
        <f>IF($C1293="","",IFERROR(IF(INDEX(links!$A$2:$A$501,MATCH($C1293,links!$D$2:$D$501,0))="","",INDEX(links!$A$2:$A$501,MATCH($C1293,links!$D$2:$D$501,0))),""))</f>
        <v/>
      </c>
      <c r="H1293" s="25">
        <f>IF($C1293="","",IFERROR(IF(INDEX(links!$B$2:$B$501,MATCH($C1293,links!$D$2:$D$501,0))="","",INDEX(links!$B$2:$B$501,MATCH($C1293,links!$D$2:$D$501,0))),""))</f>
        <v/>
      </c>
      <c r="I1293" s="25">
        <f>IF($C1293="","",IFERROR(IF(INDEX(links!$C$2:$C$501,MATCH($C1293,links!$D$2:$D$501,0))="","",INDEX(links!$C$2:$C$501,MATCH($C1293,links!$D$2:$D$501,0))),""))</f>
        <v/>
      </c>
      <c r="J1293" s="25">
        <f>IF($C1293="","",IF($G1293="","slug not in links; ","")&amp;IF($D1293="","reading type missing; ","")&amp;IF(COUNTIFS(scans!$C$2:$C$1601,$C1293,scans!$D$2:$D$1601,$D1293)&gt;1,"two readings of this type: keep one; ",""))</f>
        <v/>
      </c>
    </row>
    <row r="1294">
      <c r="A1294" s="9" t="n"/>
      <c r="B1294" s="33" t="n"/>
      <c r="G1294" s="25">
        <f>IF($C1294="","",IFERROR(IF(INDEX(links!$A$2:$A$501,MATCH($C1294,links!$D$2:$D$501,0))="","",INDEX(links!$A$2:$A$501,MATCH($C1294,links!$D$2:$D$501,0))),""))</f>
        <v/>
      </c>
      <c r="H1294" s="25">
        <f>IF($C1294="","",IFERROR(IF(INDEX(links!$B$2:$B$501,MATCH($C1294,links!$D$2:$D$501,0))="","",INDEX(links!$B$2:$B$501,MATCH($C1294,links!$D$2:$D$501,0))),""))</f>
        <v/>
      </c>
      <c r="I1294" s="25">
        <f>IF($C1294="","",IFERROR(IF(INDEX(links!$C$2:$C$501,MATCH($C1294,links!$D$2:$D$501,0))="","",INDEX(links!$C$2:$C$501,MATCH($C1294,links!$D$2:$D$501,0))),""))</f>
        <v/>
      </c>
      <c r="J1294" s="25">
        <f>IF($C1294="","",IF($G1294="","slug not in links; ","")&amp;IF($D1294="","reading type missing; ","")&amp;IF(COUNTIFS(scans!$C$2:$C$1601,$C1294,scans!$D$2:$D$1601,$D1294)&gt;1,"two readings of this type: keep one; ",""))</f>
        <v/>
      </c>
    </row>
    <row r="1295">
      <c r="A1295" s="9" t="n"/>
      <c r="B1295" s="33" t="n"/>
      <c r="G1295" s="25">
        <f>IF($C1295="","",IFERROR(IF(INDEX(links!$A$2:$A$501,MATCH($C1295,links!$D$2:$D$501,0))="","",INDEX(links!$A$2:$A$501,MATCH($C1295,links!$D$2:$D$501,0))),""))</f>
        <v/>
      </c>
      <c r="H1295" s="25">
        <f>IF($C1295="","",IFERROR(IF(INDEX(links!$B$2:$B$501,MATCH($C1295,links!$D$2:$D$501,0))="","",INDEX(links!$B$2:$B$501,MATCH($C1295,links!$D$2:$D$501,0))),""))</f>
        <v/>
      </c>
      <c r="I1295" s="25">
        <f>IF($C1295="","",IFERROR(IF(INDEX(links!$C$2:$C$501,MATCH($C1295,links!$D$2:$D$501,0))="","",INDEX(links!$C$2:$C$501,MATCH($C1295,links!$D$2:$D$501,0))),""))</f>
        <v/>
      </c>
      <c r="J1295" s="25">
        <f>IF($C1295="","",IF($G1295="","slug not in links; ","")&amp;IF($D1295="","reading type missing; ","")&amp;IF(COUNTIFS(scans!$C$2:$C$1601,$C1295,scans!$D$2:$D$1601,$D1295)&gt;1,"two readings of this type: keep one; ",""))</f>
        <v/>
      </c>
    </row>
    <row r="1296">
      <c r="A1296" s="9" t="n"/>
      <c r="B1296" s="33" t="n"/>
      <c r="G1296" s="25">
        <f>IF($C1296="","",IFERROR(IF(INDEX(links!$A$2:$A$501,MATCH($C1296,links!$D$2:$D$501,0))="","",INDEX(links!$A$2:$A$501,MATCH($C1296,links!$D$2:$D$501,0))),""))</f>
        <v/>
      </c>
      <c r="H1296" s="25">
        <f>IF($C1296="","",IFERROR(IF(INDEX(links!$B$2:$B$501,MATCH($C1296,links!$D$2:$D$501,0))="","",INDEX(links!$B$2:$B$501,MATCH($C1296,links!$D$2:$D$501,0))),""))</f>
        <v/>
      </c>
      <c r="I1296" s="25">
        <f>IF($C1296="","",IFERROR(IF(INDEX(links!$C$2:$C$501,MATCH($C1296,links!$D$2:$D$501,0))="","",INDEX(links!$C$2:$C$501,MATCH($C1296,links!$D$2:$D$501,0))),""))</f>
        <v/>
      </c>
      <c r="J1296" s="25">
        <f>IF($C1296="","",IF($G1296="","slug not in links; ","")&amp;IF($D1296="","reading type missing; ","")&amp;IF(COUNTIFS(scans!$C$2:$C$1601,$C1296,scans!$D$2:$D$1601,$D1296)&gt;1,"two readings of this type: keep one; ",""))</f>
        <v/>
      </c>
    </row>
    <row r="1297">
      <c r="A1297" s="9" t="n"/>
      <c r="B1297" s="33" t="n"/>
      <c r="G1297" s="25">
        <f>IF($C1297="","",IFERROR(IF(INDEX(links!$A$2:$A$501,MATCH($C1297,links!$D$2:$D$501,0))="","",INDEX(links!$A$2:$A$501,MATCH($C1297,links!$D$2:$D$501,0))),""))</f>
        <v/>
      </c>
      <c r="H1297" s="25">
        <f>IF($C1297="","",IFERROR(IF(INDEX(links!$B$2:$B$501,MATCH($C1297,links!$D$2:$D$501,0))="","",INDEX(links!$B$2:$B$501,MATCH($C1297,links!$D$2:$D$501,0))),""))</f>
        <v/>
      </c>
      <c r="I1297" s="25">
        <f>IF($C1297="","",IFERROR(IF(INDEX(links!$C$2:$C$501,MATCH($C1297,links!$D$2:$D$501,0))="","",INDEX(links!$C$2:$C$501,MATCH($C1297,links!$D$2:$D$501,0))),""))</f>
        <v/>
      </c>
      <c r="J1297" s="25">
        <f>IF($C1297="","",IF($G1297="","slug not in links; ","")&amp;IF($D1297="","reading type missing; ","")&amp;IF(COUNTIFS(scans!$C$2:$C$1601,$C1297,scans!$D$2:$D$1601,$D1297)&gt;1,"two readings of this type: keep one; ",""))</f>
        <v/>
      </c>
    </row>
    <row r="1298">
      <c r="A1298" s="9" t="n"/>
      <c r="B1298" s="33" t="n"/>
      <c r="G1298" s="25">
        <f>IF($C1298="","",IFERROR(IF(INDEX(links!$A$2:$A$501,MATCH($C1298,links!$D$2:$D$501,0))="","",INDEX(links!$A$2:$A$501,MATCH($C1298,links!$D$2:$D$501,0))),""))</f>
        <v/>
      </c>
      <c r="H1298" s="25">
        <f>IF($C1298="","",IFERROR(IF(INDEX(links!$B$2:$B$501,MATCH($C1298,links!$D$2:$D$501,0))="","",INDEX(links!$B$2:$B$501,MATCH($C1298,links!$D$2:$D$501,0))),""))</f>
        <v/>
      </c>
      <c r="I1298" s="25">
        <f>IF($C1298="","",IFERROR(IF(INDEX(links!$C$2:$C$501,MATCH($C1298,links!$D$2:$D$501,0))="","",INDEX(links!$C$2:$C$501,MATCH($C1298,links!$D$2:$D$501,0))),""))</f>
        <v/>
      </c>
      <c r="J1298" s="25">
        <f>IF($C1298="","",IF($G1298="","slug not in links; ","")&amp;IF($D1298="","reading type missing; ","")&amp;IF(COUNTIFS(scans!$C$2:$C$1601,$C1298,scans!$D$2:$D$1601,$D1298)&gt;1,"two readings of this type: keep one; ",""))</f>
        <v/>
      </c>
    </row>
    <row r="1299">
      <c r="A1299" s="9" t="n"/>
      <c r="B1299" s="33" t="n"/>
      <c r="G1299" s="25">
        <f>IF($C1299="","",IFERROR(IF(INDEX(links!$A$2:$A$501,MATCH($C1299,links!$D$2:$D$501,0))="","",INDEX(links!$A$2:$A$501,MATCH($C1299,links!$D$2:$D$501,0))),""))</f>
        <v/>
      </c>
      <c r="H1299" s="25">
        <f>IF($C1299="","",IFERROR(IF(INDEX(links!$B$2:$B$501,MATCH($C1299,links!$D$2:$D$501,0))="","",INDEX(links!$B$2:$B$501,MATCH($C1299,links!$D$2:$D$501,0))),""))</f>
        <v/>
      </c>
      <c r="I1299" s="25">
        <f>IF($C1299="","",IFERROR(IF(INDEX(links!$C$2:$C$501,MATCH($C1299,links!$D$2:$D$501,0))="","",INDEX(links!$C$2:$C$501,MATCH($C1299,links!$D$2:$D$501,0))),""))</f>
        <v/>
      </c>
      <c r="J1299" s="25">
        <f>IF($C1299="","",IF($G1299="","slug not in links; ","")&amp;IF($D1299="","reading type missing; ","")&amp;IF(COUNTIFS(scans!$C$2:$C$1601,$C1299,scans!$D$2:$D$1601,$D1299)&gt;1,"two readings of this type: keep one; ",""))</f>
        <v/>
      </c>
    </row>
    <row r="1300">
      <c r="A1300" s="9" t="n"/>
      <c r="B1300" s="33" t="n"/>
      <c r="G1300" s="25">
        <f>IF($C1300="","",IFERROR(IF(INDEX(links!$A$2:$A$501,MATCH($C1300,links!$D$2:$D$501,0))="","",INDEX(links!$A$2:$A$501,MATCH($C1300,links!$D$2:$D$501,0))),""))</f>
        <v/>
      </c>
      <c r="H1300" s="25">
        <f>IF($C1300="","",IFERROR(IF(INDEX(links!$B$2:$B$501,MATCH($C1300,links!$D$2:$D$501,0))="","",INDEX(links!$B$2:$B$501,MATCH($C1300,links!$D$2:$D$501,0))),""))</f>
        <v/>
      </c>
      <c r="I1300" s="25">
        <f>IF($C1300="","",IFERROR(IF(INDEX(links!$C$2:$C$501,MATCH($C1300,links!$D$2:$D$501,0))="","",INDEX(links!$C$2:$C$501,MATCH($C1300,links!$D$2:$D$501,0))),""))</f>
        <v/>
      </c>
      <c r="J1300" s="25">
        <f>IF($C1300="","",IF($G1300="","slug not in links; ","")&amp;IF($D1300="","reading type missing; ","")&amp;IF(COUNTIFS(scans!$C$2:$C$1601,$C1300,scans!$D$2:$D$1601,$D1300)&gt;1,"two readings of this type: keep one; ",""))</f>
        <v/>
      </c>
    </row>
    <row r="1301">
      <c r="A1301" s="9" t="n"/>
      <c r="B1301" s="33" t="n"/>
      <c r="G1301" s="25">
        <f>IF($C1301="","",IFERROR(IF(INDEX(links!$A$2:$A$501,MATCH($C1301,links!$D$2:$D$501,0))="","",INDEX(links!$A$2:$A$501,MATCH($C1301,links!$D$2:$D$501,0))),""))</f>
        <v/>
      </c>
      <c r="H1301" s="25">
        <f>IF($C1301="","",IFERROR(IF(INDEX(links!$B$2:$B$501,MATCH($C1301,links!$D$2:$D$501,0))="","",INDEX(links!$B$2:$B$501,MATCH($C1301,links!$D$2:$D$501,0))),""))</f>
        <v/>
      </c>
      <c r="I1301" s="25">
        <f>IF($C1301="","",IFERROR(IF(INDEX(links!$C$2:$C$501,MATCH($C1301,links!$D$2:$D$501,0))="","",INDEX(links!$C$2:$C$501,MATCH($C1301,links!$D$2:$D$501,0))),""))</f>
        <v/>
      </c>
      <c r="J1301" s="25">
        <f>IF($C1301="","",IF($G1301="","slug not in links; ","")&amp;IF($D1301="","reading type missing; ","")&amp;IF(COUNTIFS(scans!$C$2:$C$1601,$C1301,scans!$D$2:$D$1601,$D1301)&gt;1,"two readings of this type: keep one; ",""))</f>
        <v/>
      </c>
    </row>
    <row r="1302">
      <c r="A1302" s="9" t="n"/>
      <c r="B1302" s="33" t="n"/>
      <c r="G1302" s="25">
        <f>IF($C1302="","",IFERROR(IF(INDEX(links!$A$2:$A$501,MATCH($C1302,links!$D$2:$D$501,0))="","",INDEX(links!$A$2:$A$501,MATCH($C1302,links!$D$2:$D$501,0))),""))</f>
        <v/>
      </c>
      <c r="H1302" s="25">
        <f>IF($C1302="","",IFERROR(IF(INDEX(links!$B$2:$B$501,MATCH($C1302,links!$D$2:$D$501,0))="","",INDEX(links!$B$2:$B$501,MATCH($C1302,links!$D$2:$D$501,0))),""))</f>
        <v/>
      </c>
      <c r="I1302" s="25">
        <f>IF($C1302="","",IFERROR(IF(INDEX(links!$C$2:$C$501,MATCH($C1302,links!$D$2:$D$501,0))="","",INDEX(links!$C$2:$C$501,MATCH($C1302,links!$D$2:$D$501,0))),""))</f>
        <v/>
      </c>
      <c r="J1302" s="25">
        <f>IF($C1302="","",IF($G1302="","slug not in links; ","")&amp;IF($D1302="","reading type missing; ","")&amp;IF(COUNTIFS(scans!$C$2:$C$1601,$C1302,scans!$D$2:$D$1601,$D1302)&gt;1,"two readings of this type: keep one; ",""))</f>
        <v/>
      </c>
    </row>
    <row r="1303">
      <c r="A1303" s="9" t="n"/>
      <c r="B1303" s="33" t="n"/>
      <c r="G1303" s="25">
        <f>IF($C1303="","",IFERROR(IF(INDEX(links!$A$2:$A$501,MATCH($C1303,links!$D$2:$D$501,0))="","",INDEX(links!$A$2:$A$501,MATCH($C1303,links!$D$2:$D$501,0))),""))</f>
        <v/>
      </c>
      <c r="H1303" s="25">
        <f>IF($C1303="","",IFERROR(IF(INDEX(links!$B$2:$B$501,MATCH($C1303,links!$D$2:$D$501,0))="","",INDEX(links!$B$2:$B$501,MATCH($C1303,links!$D$2:$D$501,0))),""))</f>
        <v/>
      </c>
      <c r="I1303" s="25">
        <f>IF($C1303="","",IFERROR(IF(INDEX(links!$C$2:$C$501,MATCH($C1303,links!$D$2:$D$501,0))="","",INDEX(links!$C$2:$C$501,MATCH($C1303,links!$D$2:$D$501,0))),""))</f>
        <v/>
      </c>
      <c r="J1303" s="25">
        <f>IF($C1303="","",IF($G1303="","slug not in links; ","")&amp;IF($D1303="","reading type missing; ","")&amp;IF(COUNTIFS(scans!$C$2:$C$1601,$C1303,scans!$D$2:$D$1601,$D1303)&gt;1,"two readings of this type: keep one; ",""))</f>
        <v/>
      </c>
    </row>
    <row r="1304">
      <c r="A1304" s="9" t="n"/>
      <c r="B1304" s="33" t="n"/>
      <c r="G1304" s="25">
        <f>IF($C1304="","",IFERROR(IF(INDEX(links!$A$2:$A$501,MATCH($C1304,links!$D$2:$D$501,0))="","",INDEX(links!$A$2:$A$501,MATCH($C1304,links!$D$2:$D$501,0))),""))</f>
        <v/>
      </c>
      <c r="H1304" s="25">
        <f>IF($C1304="","",IFERROR(IF(INDEX(links!$B$2:$B$501,MATCH($C1304,links!$D$2:$D$501,0))="","",INDEX(links!$B$2:$B$501,MATCH($C1304,links!$D$2:$D$501,0))),""))</f>
        <v/>
      </c>
      <c r="I1304" s="25">
        <f>IF($C1304="","",IFERROR(IF(INDEX(links!$C$2:$C$501,MATCH($C1304,links!$D$2:$D$501,0))="","",INDEX(links!$C$2:$C$501,MATCH($C1304,links!$D$2:$D$501,0))),""))</f>
        <v/>
      </c>
      <c r="J1304" s="25">
        <f>IF($C1304="","",IF($G1304="","slug not in links; ","")&amp;IF($D1304="","reading type missing; ","")&amp;IF(COUNTIFS(scans!$C$2:$C$1601,$C1304,scans!$D$2:$D$1601,$D1304)&gt;1,"two readings of this type: keep one; ",""))</f>
        <v/>
      </c>
    </row>
    <row r="1305">
      <c r="A1305" s="9" t="n"/>
      <c r="B1305" s="33" t="n"/>
      <c r="G1305" s="25">
        <f>IF($C1305="","",IFERROR(IF(INDEX(links!$A$2:$A$501,MATCH($C1305,links!$D$2:$D$501,0))="","",INDEX(links!$A$2:$A$501,MATCH($C1305,links!$D$2:$D$501,0))),""))</f>
        <v/>
      </c>
      <c r="H1305" s="25">
        <f>IF($C1305="","",IFERROR(IF(INDEX(links!$B$2:$B$501,MATCH($C1305,links!$D$2:$D$501,0))="","",INDEX(links!$B$2:$B$501,MATCH($C1305,links!$D$2:$D$501,0))),""))</f>
        <v/>
      </c>
      <c r="I1305" s="25">
        <f>IF($C1305="","",IFERROR(IF(INDEX(links!$C$2:$C$501,MATCH($C1305,links!$D$2:$D$501,0))="","",INDEX(links!$C$2:$C$501,MATCH($C1305,links!$D$2:$D$501,0))),""))</f>
        <v/>
      </c>
      <c r="J1305" s="25">
        <f>IF($C1305="","",IF($G1305="","slug not in links; ","")&amp;IF($D1305="","reading type missing; ","")&amp;IF(COUNTIFS(scans!$C$2:$C$1601,$C1305,scans!$D$2:$D$1601,$D1305)&gt;1,"two readings of this type: keep one; ",""))</f>
        <v/>
      </c>
    </row>
    <row r="1306">
      <c r="A1306" s="9" t="n"/>
      <c r="B1306" s="33" t="n"/>
      <c r="G1306" s="25">
        <f>IF($C1306="","",IFERROR(IF(INDEX(links!$A$2:$A$501,MATCH($C1306,links!$D$2:$D$501,0))="","",INDEX(links!$A$2:$A$501,MATCH($C1306,links!$D$2:$D$501,0))),""))</f>
        <v/>
      </c>
      <c r="H1306" s="25">
        <f>IF($C1306="","",IFERROR(IF(INDEX(links!$B$2:$B$501,MATCH($C1306,links!$D$2:$D$501,0))="","",INDEX(links!$B$2:$B$501,MATCH($C1306,links!$D$2:$D$501,0))),""))</f>
        <v/>
      </c>
      <c r="I1306" s="25">
        <f>IF($C1306="","",IFERROR(IF(INDEX(links!$C$2:$C$501,MATCH($C1306,links!$D$2:$D$501,0))="","",INDEX(links!$C$2:$C$501,MATCH($C1306,links!$D$2:$D$501,0))),""))</f>
        <v/>
      </c>
      <c r="J1306" s="25">
        <f>IF($C1306="","",IF($G1306="","slug not in links; ","")&amp;IF($D1306="","reading type missing; ","")&amp;IF(COUNTIFS(scans!$C$2:$C$1601,$C1306,scans!$D$2:$D$1601,$D1306)&gt;1,"two readings of this type: keep one; ",""))</f>
        <v/>
      </c>
    </row>
    <row r="1307">
      <c r="A1307" s="9" t="n"/>
      <c r="B1307" s="33" t="n"/>
      <c r="G1307" s="25">
        <f>IF($C1307="","",IFERROR(IF(INDEX(links!$A$2:$A$501,MATCH($C1307,links!$D$2:$D$501,0))="","",INDEX(links!$A$2:$A$501,MATCH($C1307,links!$D$2:$D$501,0))),""))</f>
        <v/>
      </c>
      <c r="H1307" s="25">
        <f>IF($C1307="","",IFERROR(IF(INDEX(links!$B$2:$B$501,MATCH($C1307,links!$D$2:$D$501,0))="","",INDEX(links!$B$2:$B$501,MATCH($C1307,links!$D$2:$D$501,0))),""))</f>
        <v/>
      </c>
      <c r="I1307" s="25">
        <f>IF($C1307="","",IFERROR(IF(INDEX(links!$C$2:$C$501,MATCH($C1307,links!$D$2:$D$501,0))="","",INDEX(links!$C$2:$C$501,MATCH($C1307,links!$D$2:$D$501,0))),""))</f>
        <v/>
      </c>
      <c r="J1307" s="25">
        <f>IF($C1307="","",IF($G1307="","slug not in links; ","")&amp;IF($D1307="","reading type missing; ","")&amp;IF(COUNTIFS(scans!$C$2:$C$1601,$C1307,scans!$D$2:$D$1601,$D1307)&gt;1,"two readings of this type: keep one; ",""))</f>
        <v/>
      </c>
    </row>
    <row r="1308">
      <c r="A1308" s="9" t="n"/>
      <c r="B1308" s="33" t="n"/>
      <c r="G1308" s="25">
        <f>IF($C1308="","",IFERROR(IF(INDEX(links!$A$2:$A$501,MATCH($C1308,links!$D$2:$D$501,0))="","",INDEX(links!$A$2:$A$501,MATCH($C1308,links!$D$2:$D$501,0))),""))</f>
        <v/>
      </c>
      <c r="H1308" s="25">
        <f>IF($C1308="","",IFERROR(IF(INDEX(links!$B$2:$B$501,MATCH($C1308,links!$D$2:$D$501,0))="","",INDEX(links!$B$2:$B$501,MATCH($C1308,links!$D$2:$D$501,0))),""))</f>
        <v/>
      </c>
      <c r="I1308" s="25">
        <f>IF($C1308="","",IFERROR(IF(INDEX(links!$C$2:$C$501,MATCH($C1308,links!$D$2:$D$501,0))="","",INDEX(links!$C$2:$C$501,MATCH($C1308,links!$D$2:$D$501,0))),""))</f>
        <v/>
      </c>
      <c r="J1308" s="25">
        <f>IF($C1308="","",IF($G1308="","slug not in links; ","")&amp;IF($D1308="","reading type missing; ","")&amp;IF(COUNTIFS(scans!$C$2:$C$1601,$C1308,scans!$D$2:$D$1601,$D1308)&gt;1,"two readings of this type: keep one; ",""))</f>
        <v/>
      </c>
    </row>
    <row r="1309">
      <c r="A1309" s="9" t="n"/>
      <c r="B1309" s="33" t="n"/>
      <c r="G1309" s="25">
        <f>IF($C1309="","",IFERROR(IF(INDEX(links!$A$2:$A$501,MATCH($C1309,links!$D$2:$D$501,0))="","",INDEX(links!$A$2:$A$501,MATCH($C1309,links!$D$2:$D$501,0))),""))</f>
        <v/>
      </c>
      <c r="H1309" s="25">
        <f>IF($C1309="","",IFERROR(IF(INDEX(links!$B$2:$B$501,MATCH($C1309,links!$D$2:$D$501,0))="","",INDEX(links!$B$2:$B$501,MATCH($C1309,links!$D$2:$D$501,0))),""))</f>
        <v/>
      </c>
      <c r="I1309" s="25">
        <f>IF($C1309="","",IFERROR(IF(INDEX(links!$C$2:$C$501,MATCH($C1309,links!$D$2:$D$501,0))="","",INDEX(links!$C$2:$C$501,MATCH($C1309,links!$D$2:$D$501,0))),""))</f>
        <v/>
      </c>
      <c r="J1309" s="25">
        <f>IF($C1309="","",IF($G1309="","slug not in links; ","")&amp;IF($D1309="","reading type missing; ","")&amp;IF(COUNTIFS(scans!$C$2:$C$1601,$C1309,scans!$D$2:$D$1601,$D1309)&gt;1,"two readings of this type: keep one; ",""))</f>
        <v/>
      </c>
    </row>
    <row r="1310">
      <c r="A1310" s="9" t="n"/>
      <c r="B1310" s="33" t="n"/>
      <c r="G1310" s="25">
        <f>IF($C1310="","",IFERROR(IF(INDEX(links!$A$2:$A$501,MATCH($C1310,links!$D$2:$D$501,0))="","",INDEX(links!$A$2:$A$501,MATCH($C1310,links!$D$2:$D$501,0))),""))</f>
        <v/>
      </c>
      <c r="H1310" s="25">
        <f>IF($C1310="","",IFERROR(IF(INDEX(links!$B$2:$B$501,MATCH($C1310,links!$D$2:$D$501,0))="","",INDEX(links!$B$2:$B$501,MATCH($C1310,links!$D$2:$D$501,0))),""))</f>
        <v/>
      </c>
      <c r="I1310" s="25">
        <f>IF($C1310="","",IFERROR(IF(INDEX(links!$C$2:$C$501,MATCH($C1310,links!$D$2:$D$501,0))="","",INDEX(links!$C$2:$C$501,MATCH($C1310,links!$D$2:$D$501,0))),""))</f>
        <v/>
      </c>
      <c r="J1310" s="25">
        <f>IF($C1310="","",IF($G1310="","slug not in links; ","")&amp;IF($D1310="","reading type missing; ","")&amp;IF(COUNTIFS(scans!$C$2:$C$1601,$C1310,scans!$D$2:$D$1601,$D1310)&gt;1,"two readings of this type: keep one; ",""))</f>
        <v/>
      </c>
    </row>
    <row r="1311">
      <c r="A1311" s="9" t="n"/>
      <c r="B1311" s="33" t="n"/>
      <c r="G1311" s="25">
        <f>IF($C1311="","",IFERROR(IF(INDEX(links!$A$2:$A$501,MATCH($C1311,links!$D$2:$D$501,0))="","",INDEX(links!$A$2:$A$501,MATCH($C1311,links!$D$2:$D$501,0))),""))</f>
        <v/>
      </c>
      <c r="H1311" s="25">
        <f>IF($C1311="","",IFERROR(IF(INDEX(links!$B$2:$B$501,MATCH($C1311,links!$D$2:$D$501,0))="","",INDEX(links!$B$2:$B$501,MATCH($C1311,links!$D$2:$D$501,0))),""))</f>
        <v/>
      </c>
      <c r="I1311" s="25">
        <f>IF($C1311="","",IFERROR(IF(INDEX(links!$C$2:$C$501,MATCH($C1311,links!$D$2:$D$501,0))="","",INDEX(links!$C$2:$C$501,MATCH($C1311,links!$D$2:$D$501,0))),""))</f>
        <v/>
      </c>
      <c r="J1311" s="25">
        <f>IF($C1311="","",IF($G1311="","slug not in links; ","")&amp;IF($D1311="","reading type missing; ","")&amp;IF(COUNTIFS(scans!$C$2:$C$1601,$C1311,scans!$D$2:$D$1601,$D1311)&gt;1,"two readings of this type: keep one; ",""))</f>
        <v/>
      </c>
    </row>
    <row r="1312">
      <c r="A1312" s="9" t="n"/>
      <c r="B1312" s="33" t="n"/>
      <c r="G1312" s="25">
        <f>IF($C1312="","",IFERROR(IF(INDEX(links!$A$2:$A$501,MATCH($C1312,links!$D$2:$D$501,0))="","",INDEX(links!$A$2:$A$501,MATCH($C1312,links!$D$2:$D$501,0))),""))</f>
        <v/>
      </c>
      <c r="H1312" s="25">
        <f>IF($C1312="","",IFERROR(IF(INDEX(links!$B$2:$B$501,MATCH($C1312,links!$D$2:$D$501,0))="","",INDEX(links!$B$2:$B$501,MATCH($C1312,links!$D$2:$D$501,0))),""))</f>
        <v/>
      </c>
      <c r="I1312" s="25">
        <f>IF($C1312="","",IFERROR(IF(INDEX(links!$C$2:$C$501,MATCH($C1312,links!$D$2:$D$501,0))="","",INDEX(links!$C$2:$C$501,MATCH($C1312,links!$D$2:$D$501,0))),""))</f>
        <v/>
      </c>
      <c r="J1312" s="25">
        <f>IF($C1312="","",IF($G1312="","slug not in links; ","")&amp;IF($D1312="","reading type missing; ","")&amp;IF(COUNTIFS(scans!$C$2:$C$1601,$C1312,scans!$D$2:$D$1601,$D1312)&gt;1,"two readings of this type: keep one; ",""))</f>
        <v/>
      </c>
    </row>
    <row r="1313">
      <c r="A1313" s="9" t="n"/>
      <c r="B1313" s="33" t="n"/>
      <c r="G1313" s="25">
        <f>IF($C1313="","",IFERROR(IF(INDEX(links!$A$2:$A$501,MATCH($C1313,links!$D$2:$D$501,0))="","",INDEX(links!$A$2:$A$501,MATCH($C1313,links!$D$2:$D$501,0))),""))</f>
        <v/>
      </c>
      <c r="H1313" s="25">
        <f>IF($C1313="","",IFERROR(IF(INDEX(links!$B$2:$B$501,MATCH($C1313,links!$D$2:$D$501,0))="","",INDEX(links!$B$2:$B$501,MATCH($C1313,links!$D$2:$D$501,0))),""))</f>
        <v/>
      </c>
      <c r="I1313" s="25">
        <f>IF($C1313="","",IFERROR(IF(INDEX(links!$C$2:$C$501,MATCH($C1313,links!$D$2:$D$501,0))="","",INDEX(links!$C$2:$C$501,MATCH($C1313,links!$D$2:$D$501,0))),""))</f>
        <v/>
      </c>
      <c r="J1313" s="25">
        <f>IF($C1313="","",IF($G1313="","slug not in links; ","")&amp;IF($D1313="","reading type missing; ","")&amp;IF(COUNTIFS(scans!$C$2:$C$1601,$C1313,scans!$D$2:$D$1601,$D1313)&gt;1,"two readings of this type: keep one; ",""))</f>
        <v/>
      </c>
    </row>
    <row r="1314">
      <c r="A1314" s="9" t="n"/>
      <c r="B1314" s="33" t="n"/>
      <c r="G1314" s="25">
        <f>IF($C1314="","",IFERROR(IF(INDEX(links!$A$2:$A$501,MATCH($C1314,links!$D$2:$D$501,0))="","",INDEX(links!$A$2:$A$501,MATCH($C1314,links!$D$2:$D$501,0))),""))</f>
        <v/>
      </c>
      <c r="H1314" s="25">
        <f>IF($C1314="","",IFERROR(IF(INDEX(links!$B$2:$B$501,MATCH($C1314,links!$D$2:$D$501,0))="","",INDEX(links!$B$2:$B$501,MATCH($C1314,links!$D$2:$D$501,0))),""))</f>
        <v/>
      </c>
      <c r="I1314" s="25">
        <f>IF($C1314="","",IFERROR(IF(INDEX(links!$C$2:$C$501,MATCH($C1314,links!$D$2:$D$501,0))="","",INDEX(links!$C$2:$C$501,MATCH($C1314,links!$D$2:$D$501,0))),""))</f>
        <v/>
      </c>
      <c r="J1314" s="25">
        <f>IF($C1314="","",IF($G1314="","slug not in links; ","")&amp;IF($D1314="","reading type missing; ","")&amp;IF(COUNTIFS(scans!$C$2:$C$1601,$C1314,scans!$D$2:$D$1601,$D1314)&gt;1,"two readings of this type: keep one; ",""))</f>
        <v/>
      </c>
    </row>
    <row r="1315">
      <c r="A1315" s="9" t="n"/>
      <c r="B1315" s="33" t="n"/>
      <c r="G1315" s="25">
        <f>IF($C1315="","",IFERROR(IF(INDEX(links!$A$2:$A$501,MATCH($C1315,links!$D$2:$D$501,0))="","",INDEX(links!$A$2:$A$501,MATCH($C1315,links!$D$2:$D$501,0))),""))</f>
        <v/>
      </c>
      <c r="H1315" s="25">
        <f>IF($C1315="","",IFERROR(IF(INDEX(links!$B$2:$B$501,MATCH($C1315,links!$D$2:$D$501,0))="","",INDEX(links!$B$2:$B$501,MATCH($C1315,links!$D$2:$D$501,0))),""))</f>
        <v/>
      </c>
      <c r="I1315" s="25">
        <f>IF($C1315="","",IFERROR(IF(INDEX(links!$C$2:$C$501,MATCH($C1315,links!$D$2:$D$501,0))="","",INDEX(links!$C$2:$C$501,MATCH($C1315,links!$D$2:$D$501,0))),""))</f>
        <v/>
      </c>
      <c r="J1315" s="25">
        <f>IF($C1315="","",IF($G1315="","slug not in links; ","")&amp;IF($D1315="","reading type missing; ","")&amp;IF(COUNTIFS(scans!$C$2:$C$1601,$C1315,scans!$D$2:$D$1601,$D1315)&gt;1,"two readings of this type: keep one; ",""))</f>
        <v/>
      </c>
    </row>
    <row r="1316">
      <c r="A1316" s="9" t="n"/>
      <c r="B1316" s="33" t="n"/>
      <c r="G1316" s="25">
        <f>IF($C1316="","",IFERROR(IF(INDEX(links!$A$2:$A$501,MATCH($C1316,links!$D$2:$D$501,0))="","",INDEX(links!$A$2:$A$501,MATCH($C1316,links!$D$2:$D$501,0))),""))</f>
        <v/>
      </c>
      <c r="H1316" s="25">
        <f>IF($C1316="","",IFERROR(IF(INDEX(links!$B$2:$B$501,MATCH($C1316,links!$D$2:$D$501,0))="","",INDEX(links!$B$2:$B$501,MATCH($C1316,links!$D$2:$D$501,0))),""))</f>
        <v/>
      </c>
      <c r="I1316" s="25">
        <f>IF($C1316="","",IFERROR(IF(INDEX(links!$C$2:$C$501,MATCH($C1316,links!$D$2:$D$501,0))="","",INDEX(links!$C$2:$C$501,MATCH($C1316,links!$D$2:$D$501,0))),""))</f>
        <v/>
      </c>
      <c r="J1316" s="25">
        <f>IF($C1316="","",IF($G1316="","slug not in links; ","")&amp;IF($D1316="","reading type missing; ","")&amp;IF(COUNTIFS(scans!$C$2:$C$1601,$C1316,scans!$D$2:$D$1601,$D1316)&gt;1,"two readings of this type: keep one; ",""))</f>
        <v/>
      </c>
    </row>
    <row r="1317">
      <c r="A1317" s="9" t="n"/>
      <c r="B1317" s="33" t="n"/>
      <c r="G1317" s="25">
        <f>IF($C1317="","",IFERROR(IF(INDEX(links!$A$2:$A$501,MATCH($C1317,links!$D$2:$D$501,0))="","",INDEX(links!$A$2:$A$501,MATCH($C1317,links!$D$2:$D$501,0))),""))</f>
        <v/>
      </c>
      <c r="H1317" s="25">
        <f>IF($C1317="","",IFERROR(IF(INDEX(links!$B$2:$B$501,MATCH($C1317,links!$D$2:$D$501,0))="","",INDEX(links!$B$2:$B$501,MATCH($C1317,links!$D$2:$D$501,0))),""))</f>
        <v/>
      </c>
      <c r="I1317" s="25">
        <f>IF($C1317="","",IFERROR(IF(INDEX(links!$C$2:$C$501,MATCH($C1317,links!$D$2:$D$501,0))="","",INDEX(links!$C$2:$C$501,MATCH($C1317,links!$D$2:$D$501,0))),""))</f>
        <v/>
      </c>
      <c r="J1317" s="25">
        <f>IF($C1317="","",IF($G1317="","slug not in links; ","")&amp;IF($D1317="","reading type missing; ","")&amp;IF(COUNTIFS(scans!$C$2:$C$1601,$C1317,scans!$D$2:$D$1601,$D1317)&gt;1,"two readings of this type: keep one; ",""))</f>
        <v/>
      </c>
    </row>
    <row r="1318">
      <c r="A1318" s="9" t="n"/>
      <c r="B1318" s="33" t="n"/>
      <c r="G1318" s="25">
        <f>IF($C1318="","",IFERROR(IF(INDEX(links!$A$2:$A$501,MATCH($C1318,links!$D$2:$D$501,0))="","",INDEX(links!$A$2:$A$501,MATCH($C1318,links!$D$2:$D$501,0))),""))</f>
        <v/>
      </c>
      <c r="H1318" s="25">
        <f>IF($C1318="","",IFERROR(IF(INDEX(links!$B$2:$B$501,MATCH($C1318,links!$D$2:$D$501,0))="","",INDEX(links!$B$2:$B$501,MATCH($C1318,links!$D$2:$D$501,0))),""))</f>
        <v/>
      </c>
      <c r="I1318" s="25">
        <f>IF($C1318="","",IFERROR(IF(INDEX(links!$C$2:$C$501,MATCH($C1318,links!$D$2:$D$501,0))="","",INDEX(links!$C$2:$C$501,MATCH($C1318,links!$D$2:$D$501,0))),""))</f>
        <v/>
      </c>
      <c r="J1318" s="25">
        <f>IF($C1318="","",IF($G1318="","slug not in links; ","")&amp;IF($D1318="","reading type missing; ","")&amp;IF(COUNTIFS(scans!$C$2:$C$1601,$C1318,scans!$D$2:$D$1601,$D1318)&gt;1,"two readings of this type: keep one; ",""))</f>
        <v/>
      </c>
    </row>
    <row r="1319">
      <c r="A1319" s="9" t="n"/>
      <c r="B1319" s="33" t="n"/>
      <c r="G1319" s="25">
        <f>IF($C1319="","",IFERROR(IF(INDEX(links!$A$2:$A$501,MATCH($C1319,links!$D$2:$D$501,0))="","",INDEX(links!$A$2:$A$501,MATCH($C1319,links!$D$2:$D$501,0))),""))</f>
        <v/>
      </c>
      <c r="H1319" s="25">
        <f>IF($C1319="","",IFERROR(IF(INDEX(links!$B$2:$B$501,MATCH($C1319,links!$D$2:$D$501,0))="","",INDEX(links!$B$2:$B$501,MATCH($C1319,links!$D$2:$D$501,0))),""))</f>
        <v/>
      </c>
      <c r="I1319" s="25">
        <f>IF($C1319="","",IFERROR(IF(INDEX(links!$C$2:$C$501,MATCH($C1319,links!$D$2:$D$501,0))="","",INDEX(links!$C$2:$C$501,MATCH($C1319,links!$D$2:$D$501,0))),""))</f>
        <v/>
      </c>
      <c r="J1319" s="25">
        <f>IF($C1319="","",IF($G1319="","slug not in links; ","")&amp;IF($D1319="","reading type missing; ","")&amp;IF(COUNTIFS(scans!$C$2:$C$1601,$C1319,scans!$D$2:$D$1601,$D1319)&gt;1,"two readings of this type: keep one; ",""))</f>
        <v/>
      </c>
    </row>
    <row r="1320">
      <c r="A1320" s="9" t="n"/>
      <c r="B1320" s="33" t="n"/>
      <c r="G1320" s="25">
        <f>IF($C1320="","",IFERROR(IF(INDEX(links!$A$2:$A$501,MATCH($C1320,links!$D$2:$D$501,0))="","",INDEX(links!$A$2:$A$501,MATCH($C1320,links!$D$2:$D$501,0))),""))</f>
        <v/>
      </c>
      <c r="H1320" s="25">
        <f>IF($C1320="","",IFERROR(IF(INDEX(links!$B$2:$B$501,MATCH($C1320,links!$D$2:$D$501,0))="","",INDEX(links!$B$2:$B$501,MATCH($C1320,links!$D$2:$D$501,0))),""))</f>
        <v/>
      </c>
      <c r="I1320" s="25">
        <f>IF($C1320="","",IFERROR(IF(INDEX(links!$C$2:$C$501,MATCH($C1320,links!$D$2:$D$501,0))="","",INDEX(links!$C$2:$C$501,MATCH($C1320,links!$D$2:$D$501,0))),""))</f>
        <v/>
      </c>
      <c r="J1320" s="25">
        <f>IF($C1320="","",IF($G1320="","slug not in links; ","")&amp;IF($D1320="","reading type missing; ","")&amp;IF(COUNTIFS(scans!$C$2:$C$1601,$C1320,scans!$D$2:$D$1601,$D1320)&gt;1,"two readings of this type: keep one; ",""))</f>
        <v/>
      </c>
    </row>
    <row r="1321">
      <c r="A1321" s="9" t="n"/>
      <c r="B1321" s="33" t="n"/>
      <c r="G1321" s="25">
        <f>IF($C1321="","",IFERROR(IF(INDEX(links!$A$2:$A$501,MATCH($C1321,links!$D$2:$D$501,0))="","",INDEX(links!$A$2:$A$501,MATCH($C1321,links!$D$2:$D$501,0))),""))</f>
        <v/>
      </c>
      <c r="H1321" s="25">
        <f>IF($C1321="","",IFERROR(IF(INDEX(links!$B$2:$B$501,MATCH($C1321,links!$D$2:$D$501,0))="","",INDEX(links!$B$2:$B$501,MATCH($C1321,links!$D$2:$D$501,0))),""))</f>
        <v/>
      </c>
      <c r="I1321" s="25">
        <f>IF($C1321="","",IFERROR(IF(INDEX(links!$C$2:$C$501,MATCH($C1321,links!$D$2:$D$501,0))="","",INDEX(links!$C$2:$C$501,MATCH($C1321,links!$D$2:$D$501,0))),""))</f>
        <v/>
      </c>
      <c r="J1321" s="25">
        <f>IF($C1321="","",IF($G1321="","slug not in links; ","")&amp;IF($D1321="","reading type missing; ","")&amp;IF(COUNTIFS(scans!$C$2:$C$1601,$C1321,scans!$D$2:$D$1601,$D1321)&gt;1,"two readings of this type: keep one; ",""))</f>
        <v/>
      </c>
    </row>
    <row r="1322">
      <c r="A1322" s="9" t="n"/>
      <c r="B1322" s="33" t="n"/>
      <c r="G1322" s="25">
        <f>IF($C1322="","",IFERROR(IF(INDEX(links!$A$2:$A$501,MATCH($C1322,links!$D$2:$D$501,0))="","",INDEX(links!$A$2:$A$501,MATCH($C1322,links!$D$2:$D$501,0))),""))</f>
        <v/>
      </c>
      <c r="H1322" s="25">
        <f>IF($C1322="","",IFERROR(IF(INDEX(links!$B$2:$B$501,MATCH($C1322,links!$D$2:$D$501,0))="","",INDEX(links!$B$2:$B$501,MATCH($C1322,links!$D$2:$D$501,0))),""))</f>
        <v/>
      </c>
      <c r="I1322" s="25">
        <f>IF($C1322="","",IFERROR(IF(INDEX(links!$C$2:$C$501,MATCH($C1322,links!$D$2:$D$501,0))="","",INDEX(links!$C$2:$C$501,MATCH($C1322,links!$D$2:$D$501,0))),""))</f>
        <v/>
      </c>
      <c r="J1322" s="25">
        <f>IF($C1322="","",IF($G1322="","slug not in links; ","")&amp;IF($D1322="","reading type missing; ","")&amp;IF(COUNTIFS(scans!$C$2:$C$1601,$C1322,scans!$D$2:$D$1601,$D1322)&gt;1,"two readings of this type: keep one; ",""))</f>
        <v/>
      </c>
    </row>
    <row r="1323">
      <c r="A1323" s="9" t="n"/>
      <c r="B1323" s="33" t="n"/>
      <c r="G1323" s="25">
        <f>IF($C1323="","",IFERROR(IF(INDEX(links!$A$2:$A$501,MATCH($C1323,links!$D$2:$D$501,0))="","",INDEX(links!$A$2:$A$501,MATCH($C1323,links!$D$2:$D$501,0))),""))</f>
        <v/>
      </c>
      <c r="H1323" s="25">
        <f>IF($C1323="","",IFERROR(IF(INDEX(links!$B$2:$B$501,MATCH($C1323,links!$D$2:$D$501,0))="","",INDEX(links!$B$2:$B$501,MATCH($C1323,links!$D$2:$D$501,0))),""))</f>
        <v/>
      </c>
      <c r="I1323" s="25">
        <f>IF($C1323="","",IFERROR(IF(INDEX(links!$C$2:$C$501,MATCH($C1323,links!$D$2:$D$501,0))="","",INDEX(links!$C$2:$C$501,MATCH($C1323,links!$D$2:$D$501,0))),""))</f>
        <v/>
      </c>
      <c r="J1323" s="25">
        <f>IF($C1323="","",IF($G1323="","slug not in links; ","")&amp;IF($D1323="","reading type missing; ","")&amp;IF(COUNTIFS(scans!$C$2:$C$1601,$C1323,scans!$D$2:$D$1601,$D1323)&gt;1,"two readings of this type: keep one; ",""))</f>
        <v/>
      </c>
    </row>
    <row r="1324">
      <c r="A1324" s="9" t="n"/>
      <c r="B1324" s="33" t="n"/>
      <c r="G1324" s="25">
        <f>IF($C1324="","",IFERROR(IF(INDEX(links!$A$2:$A$501,MATCH($C1324,links!$D$2:$D$501,0))="","",INDEX(links!$A$2:$A$501,MATCH($C1324,links!$D$2:$D$501,0))),""))</f>
        <v/>
      </c>
      <c r="H1324" s="25">
        <f>IF($C1324="","",IFERROR(IF(INDEX(links!$B$2:$B$501,MATCH($C1324,links!$D$2:$D$501,0))="","",INDEX(links!$B$2:$B$501,MATCH($C1324,links!$D$2:$D$501,0))),""))</f>
        <v/>
      </c>
      <c r="I1324" s="25">
        <f>IF($C1324="","",IFERROR(IF(INDEX(links!$C$2:$C$501,MATCH($C1324,links!$D$2:$D$501,0))="","",INDEX(links!$C$2:$C$501,MATCH($C1324,links!$D$2:$D$501,0))),""))</f>
        <v/>
      </c>
      <c r="J1324" s="25">
        <f>IF($C1324="","",IF($G1324="","slug not in links; ","")&amp;IF($D1324="","reading type missing; ","")&amp;IF(COUNTIFS(scans!$C$2:$C$1601,$C1324,scans!$D$2:$D$1601,$D1324)&gt;1,"two readings of this type: keep one; ",""))</f>
        <v/>
      </c>
    </row>
    <row r="1325">
      <c r="A1325" s="9" t="n"/>
      <c r="B1325" s="33" t="n"/>
      <c r="G1325" s="25">
        <f>IF($C1325="","",IFERROR(IF(INDEX(links!$A$2:$A$501,MATCH($C1325,links!$D$2:$D$501,0))="","",INDEX(links!$A$2:$A$501,MATCH($C1325,links!$D$2:$D$501,0))),""))</f>
        <v/>
      </c>
      <c r="H1325" s="25">
        <f>IF($C1325="","",IFERROR(IF(INDEX(links!$B$2:$B$501,MATCH($C1325,links!$D$2:$D$501,0))="","",INDEX(links!$B$2:$B$501,MATCH($C1325,links!$D$2:$D$501,0))),""))</f>
        <v/>
      </c>
      <c r="I1325" s="25">
        <f>IF($C1325="","",IFERROR(IF(INDEX(links!$C$2:$C$501,MATCH($C1325,links!$D$2:$D$501,0))="","",INDEX(links!$C$2:$C$501,MATCH($C1325,links!$D$2:$D$501,0))),""))</f>
        <v/>
      </c>
      <c r="J1325" s="25">
        <f>IF($C1325="","",IF($G1325="","slug not in links; ","")&amp;IF($D1325="","reading type missing; ","")&amp;IF(COUNTIFS(scans!$C$2:$C$1601,$C1325,scans!$D$2:$D$1601,$D1325)&gt;1,"two readings of this type: keep one; ",""))</f>
        <v/>
      </c>
    </row>
    <row r="1326">
      <c r="A1326" s="9" t="n"/>
      <c r="B1326" s="33" t="n"/>
      <c r="G1326" s="25">
        <f>IF($C1326="","",IFERROR(IF(INDEX(links!$A$2:$A$501,MATCH($C1326,links!$D$2:$D$501,0))="","",INDEX(links!$A$2:$A$501,MATCH($C1326,links!$D$2:$D$501,0))),""))</f>
        <v/>
      </c>
      <c r="H1326" s="25">
        <f>IF($C1326="","",IFERROR(IF(INDEX(links!$B$2:$B$501,MATCH($C1326,links!$D$2:$D$501,0))="","",INDEX(links!$B$2:$B$501,MATCH($C1326,links!$D$2:$D$501,0))),""))</f>
        <v/>
      </c>
      <c r="I1326" s="25">
        <f>IF($C1326="","",IFERROR(IF(INDEX(links!$C$2:$C$501,MATCH($C1326,links!$D$2:$D$501,0))="","",INDEX(links!$C$2:$C$501,MATCH($C1326,links!$D$2:$D$501,0))),""))</f>
        <v/>
      </c>
      <c r="J1326" s="25">
        <f>IF($C1326="","",IF($G1326="","slug not in links; ","")&amp;IF($D1326="","reading type missing; ","")&amp;IF(COUNTIFS(scans!$C$2:$C$1601,$C1326,scans!$D$2:$D$1601,$D1326)&gt;1,"two readings of this type: keep one; ",""))</f>
        <v/>
      </c>
    </row>
    <row r="1327">
      <c r="A1327" s="9" t="n"/>
      <c r="B1327" s="33" t="n"/>
      <c r="G1327" s="25">
        <f>IF($C1327="","",IFERROR(IF(INDEX(links!$A$2:$A$501,MATCH($C1327,links!$D$2:$D$501,0))="","",INDEX(links!$A$2:$A$501,MATCH($C1327,links!$D$2:$D$501,0))),""))</f>
        <v/>
      </c>
      <c r="H1327" s="25">
        <f>IF($C1327="","",IFERROR(IF(INDEX(links!$B$2:$B$501,MATCH($C1327,links!$D$2:$D$501,0))="","",INDEX(links!$B$2:$B$501,MATCH($C1327,links!$D$2:$D$501,0))),""))</f>
        <v/>
      </c>
      <c r="I1327" s="25">
        <f>IF($C1327="","",IFERROR(IF(INDEX(links!$C$2:$C$501,MATCH($C1327,links!$D$2:$D$501,0))="","",INDEX(links!$C$2:$C$501,MATCH($C1327,links!$D$2:$D$501,0))),""))</f>
        <v/>
      </c>
      <c r="J1327" s="25">
        <f>IF($C1327="","",IF($G1327="","slug not in links; ","")&amp;IF($D1327="","reading type missing; ","")&amp;IF(COUNTIFS(scans!$C$2:$C$1601,$C1327,scans!$D$2:$D$1601,$D1327)&gt;1,"two readings of this type: keep one; ",""))</f>
        <v/>
      </c>
    </row>
    <row r="1328">
      <c r="A1328" s="9" t="n"/>
      <c r="B1328" s="33" t="n"/>
      <c r="G1328" s="25">
        <f>IF($C1328="","",IFERROR(IF(INDEX(links!$A$2:$A$501,MATCH($C1328,links!$D$2:$D$501,0))="","",INDEX(links!$A$2:$A$501,MATCH($C1328,links!$D$2:$D$501,0))),""))</f>
        <v/>
      </c>
      <c r="H1328" s="25">
        <f>IF($C1328="","",IFERROR(IF(INDEX(links!$B$2:$B$501,MATCH($C1328,links!$D$2:$D$501,0))="","",INDEX(links!$B$2:$B$501,MATCH($C1328,links!$D$2:$D$501,0))),""))</f>
        <v/>
      </c>
      <c r="I1328" s="25">
        <f>IF($C1328="","",IFERROR(IF(INDEX(links!$C$2:$C$501,MATCH($C1328,links!$D$2:$D$501,0))="","",INDEX(links!$C$2:$C$501,MATCH($C1328,links!$D$2:$D$501,0))),""))</f>
        <v/>
      </c>
      <c r="J1328" s="25">
        <f>IF($C1328="","",IF($G1328="","slug not in links; ","")&amp;IF($D1328="","reading type missing; ","")&amp;IF(COUNTIFS(scans!$C$2:$C$1601,$C1328,scans!$D$2:$D$1601,$D1328)&gt;1,"two readings of this type: keep one; ",""))</f>
        <v/>
      </c>
    </row>
    <row r="1329">
      <c r="A1329" s="9" t="n"/>
      <c r="B1329" s="33" t="n"/>
      <c r="G1329" s="25">
        <f>IF($C1329="","",IFERROR(IF(INDEX(links!$A$2:$A$501,MATCH($C1329,links!$D$2:$D$501,0))="","",INDEX(links!$A$2:$A$501,MATCH($C1329,links!$D$2:$D$501,0))),""))</f>
        <v/>
      </c>
      <c r="H1329" s="25">
        <f>IF($C1329="","",IFERROR(IF(INDEX(links!$B$2:$B$501,MATCH($C1329,links!$D$2:$D$501,0))="","",INDEX(links!$B$2:$B$501,MATCH($C1329,links!$D$2:$D$501,0))),""))</f>
        <v/>
      </c>
      <c r="I1329" s="25">
        <f>IF($C1329="","",IFERROR(IF(INDEX(links!$C$2:$C$501,MATCH($C1329,links!$D$2:$D$501,0))="","",INDEX(links!$C$2:$C$501,MATCH($C1329,links!$D$2:$D$501,0))),""))</f>
        <v/>
      </c>
      <c r="J1329" s="25">
        <f>IF($C1329="","",IF($G1329="","slug not in links; ","")&amp;IF($D1329="","reading type missing; ","")&amp;IF(COUNTIFS(scans!$C$2:$C$1601,$C1329,scans!$D$2:$D$1601,$D1329)&gt;1,"two readings of this type: keep one; ",""))</f>
        <v/>
      </c>
    </row>
    <row r="1330">
      <c r="A1330" s="9" t="n"/>
      <c r="B1330" s="33" t="n"/>
      <c r="G1330" s="25">
        <f>IF($C1330="","",IFERROR(IF(INDEX(links!$A$2:$A$501,MATCH($C1330,links!$D$2:$D$501,0))="","",INDEX(links!$A$2:$A$501,MATCH($C1330,links!$D$2:$D$501,0))),""))</f>
        <v/>
      </c>
      <c r="H1330" s="25">
        <f>IF($C1330="","",IFERROR(IF(INDEX(links!$B$2:$B$501,MATCH($C1330,links!$D$2:$D$501,0))="","",INDEX(links!$B$2:$B$501,MATCH($C1330,links!$D$2:$D$501,0))),""))</f>
        <v/>
      </c>
      <c r="I1330" s="25">
        <f>IF($C1330="","",IFERROR(IF(INDEX(links!$C$2:$C$501,MATCH($C1330,links!$D$2:$D$501,0))="","",INDEX(links!$C$2:$C$501,MATCH($C1330,links!$D$2:$D$501,0))),""))</f>
        <v/>
      </c>
      <c r="J1330" s="25">
        <f>IF($C1330="","",IF($G1330="","slug not in links; ","")&amp;IF($D1330="","reading type missing; ","")&amp;IF(COUNTIFS(scans!$C$2:$C$1601,$C1330,scans!$D$2:$D$1601,$D1330)&gt;1,"two readings of this type: keep one; ",""))</f>
        <v/>
      </c>
    </row>
    <row r="1331">
      <c r="A1331" s="9" t="n"/>
      <c r="B1331" s="33" t="n"/>
      <c r="G1331" s="25">
        <f>IF($C1331="","",IFERROR(IF(INDEX(links!$A$2:$A$501,MATCH($C1331,links!$D$2:$D$501,0))="","",INDEX(links!$A$2:$A$501,MATCH($C1331,links!$D$2:$D$501,0))),""))</f>
        <v/>
      </c>
      <c r="H1331" s="25">
        <f>IF($C1331="","",IFERROR(IF(INDEX(links!$B$2:$B$501,MATCH($C1331,links!$D$2:$D$501,0))="","",INDEX(links!$B$2:$B$501,MATCH($C1331,links!$D$2:$D$501,0))),""))</f>
        <v/>
      </c>
      <c r="I1331" s="25">
        <f>IF($C1331="","",IFERROR(IF(INDEX(links!$C$2:$C$501,MATCH($C1331,links!$D$2:$D$501,0))="","",INDEX(links!$C$2:$C$501,MATCH($C1331,links!$D$2:$D$501,0))),""))</f>
        <v/>
      </c>
      <c r="J1331" s="25">
        <f>IF($C1331="","",IF($G1331="","slug not in links; ","")&amp;IF($D1331="","reading type missing; ","")&amp;IF(COUNTIFS(scans!$C$2:$C$1601,$C1331,scans!$D$2:$D$1601,$D1331)&gt;1,"two readings of this type: keep one; ",""))</f>
        <v/>
      </c>
    </row>
    <row r="1332">
      <c r="A1332" s="9" t="n"/>
      <c r="B1332" s="33" t="n"/>
      <c r="G1332" s="25">
        <f>IF($C1332="","",IFERROR(IF(INDEX(links!$A$2:$A$501,MATCH($C1332,links!$D$2:$D$501,0))="","",INDEX(links!$A$2:$A$501,MATCH($C1332,links!$D$2:$D$501,0))),""))</f>
        <v/>
      </c>
      <c r="H1332" s="25">
        <f>IF($C1332="","",IFERROR(IF(INDEX(links!$B$2:$B$501,MATCH($C1332,links!$D$2:$D$501,0))="","",INDEX(links!$B$2:$B$501,MATCH($C1332,links!$D$2:$D$501,0))),""))</f>
        <v/>
      </c>
      <c r="I1332" s="25">
        <f>IF($C1332="","",IFERROR(IF(INDEX(links!$C$2:$C$501,MATCH($C1332,links!$D$2:$D$501,0))="","",INDEX(links!$C$2:$C$501,MATCH($C1332,links!$D$2:$D$501,0))),""))</f>
        <v/>
      </c>
      <c r="J1332" s="25">
        <f>IF($C1332="","",IF($G1332="","slug not in links; ","")&amp;IF($D1332="","reading type missing; ","")&amp;IF(COUNTIFS(scans!$C$2:$C$1601,$C1332,scans!$D$2:$D$1601,$D1332)&gt;1,"two readings of this type: keep one; ",""))</f>
        <v/>
      </c>
    </row>
    <row r="1333">
      <c r="A1333" s="9" t="n"/>
      <c r="B1333" s="33" t="n"/>
      <c r="G1333" s="25">
        <f>IF($C1333="","",IFERROR(IF(INDEX(links!$A$2:$A$501,MATCH($C1333,links!$D$2:$D$501,0))="","",INDEX(links!$A$2:$A$501,MATCH($C1333,links!$D$2:$D$501,0))),""))</f>
        <v/>
      </c>
      <c r="H1333" s="25">
        <f>IF($C1333="","",IFERROR(IF(INDEX(links!$B$2:$B$501,MATCH($C1333,links!$D$2:$D$501,0))="","",INDEX(links!$B$2:$B$501,MATCH($C1333,links!$D$2:$D$501,0))),""))</f>
        <v/>
      </c>
      <c r="I1333" s="25">
        <f>IF($C1333="","",IFERROR(IF(INDEX(links!$C$2:$C$501,MATCH($C1333,links!$D$2:$D$501,0))="","",INDEX(links!$C$2:$C$501,MATCH($C1333,links!$D$2:$D$501,0))),""))</f>
        <v/>
      </c>
      <c r="J1333" s="25">
        <f>IF($C1333="","",IF($G1333="","slug not in links; ","")&amp;IF($D1333="","reading type missing; ","")&amp;IF(COUNTIFS(scans!$C$2:$C$1601,$C1333,scans!$D$2:$D$1601,$D1333)&gt;1,"two readings of this type: keep one; ",""))</f>
        <v/>
      </c>
    </row>
    <row r="1334">
      <c r="A1334" s="9" t="n"/>
      <c r="B1334" s="33" t="n"/>
      <c r="G1334" s="25">
        <f>IF($C1334="","",IFERROR(IF(INDEX(links!$A$2:$A$501,MATCH($C1334,links!$D$2:$D$501,0))="","",INDEX(links!$A$2:$A$501,MATCH($C1334,links!$D$2:$D$501,0))),""))</f>
        <v/>
      </c>
      <c r="H1334" s="25">
        <f>IF($C1334="","",IFERROR(IF(INDEX(links!$B$2:$B$501,MATCH($C1334,links!$D$2:$D$501,0))="","",INDEX(links!$B$2:$B$501,MATCH($C1334,links!$D$2:$D$501,0))),""))</f>
        <v/>
      </c>
      <c r="I1334" s="25">
        <f>IF($C1334="","",IFERROR(IF(INDEX(links!$C$2:$C$501,MATCH($C1334,links!$D$2:$D$501,0))="","",INDEX(links!$C$2:$C$501,MATCH($C1334,links!$D$2:$D$501,0))),""))</f>
        <v/>
      </c>
      <c r="J1334" s="25">
        <f>IF($C1334="","",IF($G1334="","slug not in links; ","")&amp;IF($D1334="","reading type missing; ","")&amp;IF(COUNTIFS(scans!$C$2:$C$1601,$C1334,scans!$D$2:$D$1601,$D1334)&gt;1,"two readings of this type: keep one; ",""))</f>
        <v/>
      </c>
    </row>
    <row r="1335">
      <c r="A1335" s="9" t="n"/>
      <c r="B1335" s="33" t="n"/>
      <c r="G1335" s="25">
        <f>IF($C1335="","",IFERROR(IF(INDEX(links!$A$2:$A$501,MATCH($C1335,links!$D$2:$D$501,0))="","",INDEX(links!$A$2:$A$501,MATCH($C1335,links!$D$2:$D$501,0))),""))</f>
        <v/>
      </c>
      <c r="H1335" s="25">
        <f>IF($C1335="","",IFERROR(IF(INDEX(links!$B$2:$B$501,MATCH($C1335,links!$D$2:$D$501,0))="","",INDEX(links!$B$2:$B$501,MATCH($C1335,links!$D$2:$D$501,0))),""))</f>
        <v/>
      </c>
      <c r="I1335" s="25">
        <f>IF($C1335="","",IFERROR(IF(INDEX(links!$C$2:$C$501,MATCH($C1335,links!$D$2:$D$501,0))="","",INDEX(links!$C$2:$C$501,MATCH($C1335,links!$D$2:$D$501,0))),""))</f>
        <v/>
      </c>
      <c r="J1335" s="25">
        <f>IF($C1335="","",IF($G1335="","slug not in links; ","")&amp;IF($D1335="","reading type missing; ","")&amp;IF(COUNTIFS(scans!$C$2:$C$1601,$C1335,scans!$D$2:$D$1601,$D1335)&gt;1,"two readings of this type: keep one; ",""))</f>
        <v/>
      </c>
    </row>
    <row r="1336">
      <c r="A1336" s="9" t="n"/>
      <c r="B1336" s="33" t="n"/>
      <c r="G1336" s="25">
        <f>IF($C1336="","",IFERROR(IF(INDEX(links!$A$2:$A$501,MATCH($C1336,links!$D$2:$D$501,0))="","",INDEX(links!$A$2:$A$501,MATCH($C1336,links!$D$2:$D$501,0))),""))</f>
        <v/>
      </c>
      <c r="H1336" s="25">
        <f>IF($C1336="","",IFERROR(IF(INDEX(links!$B$2:$B$501,MATCH($C1336,links!$D$2:$D$501,0))="","",INDEX(links!$B$2:$B$501,MATCH($C1336,links!$D$2:$D$501,0))),""))</f>
        <v/>
      </c>
      <c r="I1336" s="25">
        <f>IF($C1336="","",IFERROR(IF(INDEX(links!$C$2:$C$501,MATCH($C1336,links!$D$2:$D$501,0))="","",INDEX(links!$C$2:$C$501,MATCH($C1336,links!$D$2:$D$501,0))),""))</f>
        <v/>
      </c>
      <c r="J1336" s="25">
        <f>IF($C1336="","",IF($G1336="","slug not in links; ","")&amp;IF($D1336="","reading type missing; ","")&amp;IF(COUNTIFS(scans!$C$2:$C$1601,$C1336,scans!$D$2:$D$1601,$D1336)&gt;1,"two readings of this type: keep one; ",""))</f>
        <v/>
      </c>
    </row>
    <row r="1337">
      <c r="A1337" s="9" t="n"/>
      <c r="B1337" s="33" t="n"/>
      <c r="G1337" s="25">
        <f>IF($C1337="","",IFERROR(IF(INDEX(links!$A$2:$A$501,MATCH($C1337,links!$D$2:$D$501,0))="","",INDEX(links!$A$2:$A$501,MATCH($C1337,links!$D$2:$D$501,0))),""))</f>
        <v/>
      </c>
      <c r="H1337" s="25">
        <f>IF($C1337="","",IFERROR(IF(INDEX(links!$B$2:$B$501,MATCH($C1337,links!$D$2:$D$501,0))="","",INDEX(links!$B$2:$B$501,MATCH($C1337,links!$D$2:$D$501,0))),""))</f>
        <v/>
      </c>
      <c r="I1337" s="25">
        <f>IF($C1337="","",IFERROR(IF(INDEX(links!$C$2:$C$501,MATCH($C1337,links!$D$2:$D$501,0))="","",INDEX(links!$C$2:$C$501,MATCH($C1337,links!$D$2:$D$501,0))),""))</f>
        <v/>
      </c>
      <c r="J1337" s="25">
        <f>IF($C1337="","",IF($G1337="","slug not in links; ","")&amp;IF($D1337="","reading type missing; ","")&amp;IF(COUNTIFS(scans!$C$2:$C$1601,$C1337,scans!$D$2:$D$1601,$D1337)&gt;1,"two readings of this type: keep one; ",""))</f>
        <v/>
      </c>
    </row>
    <row r="1338">
      <c r="A1338" s="9" t="n"/>
      <c r="B1338" s="33" t="n"/>
      <c r="G1338" s="25">
        <f>IF($C1338="","",IFERROR(IF(INDEX(links!$A$2:$A$501,MATCH($C1338,links!$D$2:$D$501,0))="","",INDEX(links!$A$2:$A$501,MATCH($C1338,links!$D$2:$D$501,0))),""))</f>
        <v/>
      </c>
      <c r="H1338" s="25">
        <f>IF($C1338="","",IFERROR(IF(INDEX(links!$B$2:$B$501,MATCH($C1338,links!$D$2:$D$501,0))="","",INDEX(links!$B$2:$B$501,MATCH($C1338,links!$D$2:$D$501,0))),""))</f>
        <v/>
      </c>
      <c r="I1338" s="25">
        <f>IF($C1338="","",IFERROR(IF(INDEX(links!$C$2:$C$501,MATCH($C1338,links!$D$2:$D$501,0))="","",INDEX(links!$C$2:$C$501,MATCH($C1338,links!$D$2:$D$501,0))),""))</f>
        <v/>
      </c>
      <c r="J1338" s="25">
        <f>IF($C1338="","",IF($G1338="","slug not in links; ","")&amp;IF($D1338="","reading type missing; ","")&amp;IF(COUNTIFS(scans!$C$2:$C$1601,$C1338,scans!$D$2:$D$1601,$D1338)&gt;1,"two readings of this type: keep one; ",""))</f>
        <v/>
      </c>
    </row>
    <row r="1339">
      <c r="A1339" s="9" t="n"/>
      <c r="B1339" s="33" t="n"/>
      <c r="G1339" s="25">
        <f>IF($C1339="","",IFERROR(IF(INDEX(links!$A$2:$A$501,MATCH($C1339,links!$D$2:$D$501,0))="","",INDEX(links!$A$2:$A$501,MATCH($C1339,links!$D$2:$D$501,0))),""))</f>
        <v/>
      </c>
      <c r="H1339" s="25">
        <f>IF($C1339="","",IFERROR(IF(INDEX(links!$B$2:$B$501,MATCH($C1339,links!$D$2:$D$501,0))="","",INDEX(links!$B$2:$B$501,MATCH($C1339,links!$D$2:$D$501,0))),""))</f>
        <v/>
      </c>
      <c r="I1339" s="25">
        <f>IF($C1339="","",IFERROR(IF(INDEX(links!$C$2:$C$501,MATCH($C1339,links!$D$2:$D$501,0))="","",INDEX(links!$C$2:$C$501,MATCH($C1339,links!$D$2:$D$501,0))),""))</f>
        <v/>
      </c>
      <c r="J1339" s="25">
        <f>IF($C1339="","",IF($G1339="","slug not in links; ","")&amp;IF($D1339="","reading type missing; ","")&amp;IF(COUNTIFS(scans!$C$2:$C$1601,$C1339,scans!$D$2:$D$1601,$D1339)&gt;1,"two readings of this type: keep one; ",""))</f>
        <v/>
      </c>
    </row>
    <row r="1340">
      <c r="A1340" s="9" t="n"/>
      <c r="B1340" s="33" t="n"/>
      <c r="G1340" s="25">
        <f>IF($C1340="","",IFERROR(IF(INDEX(links!$A$2:$A$501,MATCH($C1340,links!$D$2:$D$501,0))="","",INDEX(links!$A$2:$A$501,MATCH($C1340,links!$D$2:$D$501,0))),""))</f>
        <v/>
      </c>
      <c r="H1340" s="25">
        <f>IF($C1340="","",IFERROR(IF(INDEX(links!$B$2:$B$501,MATCH($C1340,links!$D$2:$D$501,0))="","",INDEX(links!$B$2:$B$501,MATCH($C1340,links!$D$2:$D$501,0))),""))</f>
        <v/>
      </c>
      <c r="I1340" s="25">
        <f>IF($C1340="","",IFERROR(IF(INDEX(links!$C$2:$C$501,MATCH($C1340,links!$D$2:$D$501,0))="","",INDEX(links!$C$2:$C$501,MATCH($C1340,links!$D$2:$D$501,0))),""))</f>
        <v/>
      </c>
      <c r="J1340" s="25">
        <f>IF($C1340="","",IF($G1340="","slug not in links; ","")&amp;IF($D1340="","reading type missing; ","")&amp;IF(COUNTIFS(scans!$C$2:$C$1601,$C1340,scans!$D$2:$D$1601,$D1340)&gt;1,"two readings of this type: keep one; ",""))</f>
        <v/>
      </c>
    </row>
    <row r="1341">
      <c r="A1341" s="9" t="n"/>
      <c r="B1341" s="33" t="n"/>
      <c r="G1341" s="25">
        <f>IF($C1341="","",IFERROR(IF(INDEX(links!$A$2:$A$501,MATCH($C1341,links!$D$2:$D$501,0))="","",INDEX(links!$A$2:$A$501,MATCH($C1341,links!$D$2:$D$501,0))),""))</f>
        <v/>
      </c>
      <c r="H1341" s="25">
        <f>IF($C1341="","",IFERROR(IF(INDEX(links!$B$2:$B$501,MATCH($C1341,links!$D$2:$D$501,0))="","",INDEX(links!$B$2:$B$501,MATCH($C1341,links!$D$2:$D$501,0))),""))</f>
        <v/>
      </c>
      <c r="I1341" s="25">
        <f>IF($C1341="","",IFERROR(IF(INDEX(links!$C$2:$C$501,MATCH($C1341,links!$D$2:$D$501,0))="","",INDEX(links!$C$2:$C$501,MATCH($C1341,links!$D$2:$D$501,0))),""))</f>
        <v/>
      </c>
      <c r="J1341" s="25">
        <f>IF($C1341="","",IF($G1341="","slug not in links; ","")&amp;IF($D1341="","reading type missing; ","")&amp;IF(COUNTIFS(scans!$C$2:$C$1601,$C1341,scans!$D$2:$D$1601,$D1341)&gt;1,"two readings of this type: keep one; ",""))</f>
        <v/>
      </c>
    </row>
    <row r="1342">
      <c r="A1342" s="9" t="n"/>
      <c r="B1342" s="33" t="n"/>
      <c r="G1342" s="25">
        <f>IF($C1342="","",IFERROR(IF(INDEX(links!$A$2:$A$501,MATCH($C1342,links!$D$2:$D$501,0))="","",INDEX(links!$A$2:$A$501,MATCH($C1342,links!$D$2:$D$501,0))),""))</f>
        <v/>
      </c>
      <c r="H1342" s="25">
        <f>IF($C1342="","",IFERROR(IF(INDEX(links!$B$2:$B$501,MATCH($C1342,links!$D$2:$D$501,0))="","",INDEX(links!$B$2:$B$501,MATCH($C1342,links!$D$2:$D$501,0))),""))</f>
        <v/>
      </c>
      <c r="I1342" s="25">
        <f>IF($C1342="","",IFERROR(IF(INDEX(links!$C$2:$C$501,MATCH($C1342,links!$D$2:$D$501,0))="","",INDEX(links!$C$2:$C$501,MATCH($C1342,links!$D$2:$D$501,0))),""))</f>
        <v/>
      </c>
      <c r="J1342" s="25">
        <f>IF($C1342="","",IF($G1342="","slug not in links; ","")&amp;IF($D1342="","reading type missing; ","")&amp;IF(COUNTIFS(scans!$C$2:$C$1601,$C1342,scans!$D$2:$D$1601,$D1342)&gt;1,"two readings of this type: keep one; ",""))</f>
        <v/>
      </c>
    </row>
    <row r="1343">
      <c r="A1343" s="9" t="n"/>
      <c r="B1343" s="33" t="n"/>
      <c r="G1343" s="25">
        <f>IF($C1343="","",IFERROR(IF(INDEX(links!$A$2:$A$501,MATCH($C1343,links!$D$2:$D$501,0))="","",INDEX(links!$A$2:$A$501,MATCH($C1343,links!$D$2:$D$501,0))),""))</f>
        <v/>
      </c>
      <c r="H1343" s="25">
        <f>IF($C1343="","",IFERROR(IF(INDEX(links!$B$2:$B$501,MATCH($C1343,links!$D$2:$D$501,0))="","",INDEX(links!$B$2:$B$501,MATCH($C1343,links!$D$2:$D$501,0))),""))</f>
        <v/>
      </c>
      <c r="I1343" s="25">
        <f>IF($C1343="","",IFERROR(IF(INDEX(links!$C$2:$C$501,MATCH($C1343,links!$D$2:$D$501,0))="","",INDEX(links!$C$2:$C$501,MATCH($C1343,links!$D$2:$D$501,0))),""))</f>
        <v/>
      </c>
      <c r="J1343" s="25">
        <f>IF($C1343="","",IF($G1343="","slug not in links; ","")&amp;IF($D1343="","reading type missing; ","")&amp;IF(COUNTIFS(scans!$C$2:$C$1601,$C1343,scans!$D$2:$D$1601,$D1343)&gt;1,"two readings of this type: keep one; ",""))</f>
        <v/>
      </c>
    </row>
    <row r="1344">
      <c r="A1344" s="9" t="n"/>
      <c r="B1344" s="33" t="n"/>
      <c r="G1344" s="25">
        <f>IF($C1344="","",IFERROR(IF(INDEX(links!$A$2:$A$501,MATCH($C1344,links!$D$2:$D$501,0))="","",INDEX(links!$A$2:$A$501,MATCH($C1344,links!$D$2:$D$501,0))),""))</f>
        <v/>
      </c>
      <c r="H1344" s="25">
        <f>IF($C1344="","",IFERROR(IF(INDEX(links!$B$2:$B$501,MATCH($C1344,links!$D$2:$D$501,0))="","",INDEX(links!$B$2:$B$501,MATCH($C1344,links!$D$2:$D$501,0))),""))</f>
        <v/>
      </c>
      <c r="I1344" s="25">
        <f>IF($C1344="","",IFERROR(IF(INDEX(links!$C$2:$C$501,MATCH($C1344,links!$D$2:$D$501,0))="","",INDEX(links!$C$2:$C$501,MATCH($C1344,links!$D$2:$D$501,0))),""))</f>
        <v/>
      </c>
      <c r="J1344" s="25">
        <f>IF($C1344="","",IF($G1344="","slug not in links; ","")&amp;IF($D1344="","reading type missing; ","")&amp;IF(COUNTIFS(scans!$C$2:$C$1601,$C1344,scans!$D$2:$D$1601,$D1344)&gt;1,"two readings of this type: keep one; ",""))</f>
        <v/>
      </c>
    </row>
    <row r="1345">
      <c r="A1345" s="9" t="n"/>
      <c r="B1345" s="33" t="n"/>
      <c r="G1345" s="25">
        <f>IF($C1345="","",IFERROR(IF(INDEX(links!$A$2:$A$501,MATCH($C1345,links!$D$2:$D$501,0))="","",INDEX(links!$A$2:$A$501,MATCH($C1345,links!$D$2:$D$501,0))),""))</f>
        <v/>
      </c>
      <c r="H1345" s="25">
        <f>IF($C1345="","",IFERROR(IF(INDEX(links!$B$2:$B$501,MATCH($C1345,links!$D$2:$D$501,0))="","",INDEX(links!$B$2:$B$501,MATCH($C1345,links!$D$2:$D$501,0))),""))</f>
        <v/>
      </c>
      <c r="I1345" s="25">
        <f>IF($C1345="","",IFERROR(IF(INDEX(links!$C$2:$C$501,MATCH($C1345,links!$D$2:$D$501,0))="","",INDEX(links!$C$2:$C$501,MATCH($C1345,links!$D$2:$D$501,0))),""))</f>
        <v/>
      </c>
      <c r="J1345" s="25">
        <f>IF($C1345="","",IF($G1345="","slug not in links; ","")&amp;IF($D1345="","reading type missing; ","")&amp;IF(COUNTIFS(scans!$C$2:$C$1601,$C1345,scans!$D$2:$D$1601,$D1345)&gt;1,"two readings of this type: keep one; ",""))</f>
        <v/>
      </c>
    </row>
    <row r="1346">
      <c r="A1346" s="9" t="n"/>
      <c r="B1346" s="33" t="n"/>
      <c r="G1346" s="25">
        <f>IF($C1346="","",IFERROR(IF(INDEX(links!$A$2:$A$501,MATCH($C1346,links!$D$2:$D$501,0))="","",INDEX(links!$A$2:$A$501,MATCH($C1346,links!$D$2:$D$501,0))),""))</f>
        <v/>
      </c>
      <c r="H1346" s="25">
        <f>IF($C1346="","",IFERROR(IF(INDEX(links!$B$2:$B$501,MATCH($C1346,links!$D$2:$D$501,0))="","",INDEX(links!$B$2:$B$501,MATCH($C1346,links!$D$2:$D$501,0))),""))</f>
        <v/>
      </c>
      <c r="I1346" s="25">
        <f>IF($C1346="","",IFERROR(IF(INDEX(links!$C$2:$C$501,MATCH($C1346,links!$D$2:$D$501,0))="","",INDEX(links!$C$2:$C$501,MATCH($C1346,links!$D$2:$D$501,0))),""))</f>
        <v/>
      </c>
      <c r="J1346" s="25">
        <f>IF($C1346="","",IF($G1346="","slug not in links; ","")&amp;IF($D1346="","reading type missing; ","")&amp;IF(COUNTIFS(scans!$C$2:$C$1601,$C1346,scans!$D$2:$D$1601,$D1346)&gt;1,"two readings of this type: keep one; ",""))</f>
        <v/>
      </c>
    </row>
    <row r="1347">
      <c r="A1347" s="9" t="n"/>
      <c r="B1347" s="33" t="n"/>
      <c r="G1347" s="25">
        <f>IF($C1347="","",IFERROR(IF(INDEX(links!$A$2:$A$501,MATCH($C1347,links!$D$2:$D$501,0))="","",INDEX(links!$A$2:$A$501,MATCH($C1347,links!$D$2:$D$501,0))),""))</f>
        <v/>
      </c>
      <c r="H1347" s="25">
        <f>IF($C1347="","",IFERROR(IF(INDEX(links!$B$2:$B$501,MATCH($C1347,links!$D$2:$D$501,0))="","",INDEX(links!$B$2:$B$501,MATCH($C1347,links!$D$2:$D$501,0))),""))</f>
        <v/>
      </c>
      <c r="I1347" s="25">
        <f>IF($C1347="","",IFERROR(IF(INDEX(links!$C$2:$C$501,MATCH($C1347,links!$D$2:$D$501,0))="","",INDEX(links!$C$2:$C$501,MATCH($C1347,links!$D$2:$D$501,0))),""))</f>
        <v/>
      </c>
      <c r="J1347" s="25">
        <f>IF($C1347="","",IF($G1347="","slug not in links; ","")&amp;IF($D1347="","reading type missing; ","")&amp;IF(COUNTIFS(scans!$C$2:$C$1601,$C1347,scans!$D$2:$D$1601,$D1347)&gt;1,"two readings of this type: keep one; ",""))</f>
        <v/>
      </c>
    </row>
    <row r="1348">
      <c r="A1348" s="9" t="n"/>
      <c r="B1348" s="33" t="n"/>
      <c r="G1348" s="25">
        <f>IF($C1348="","",IFERROR(IF(INDEX(links!$A$2:$A$501,MATCH($C1348,links!$D$2:$D$501,0))="","",INDEX(links!$A$2:$A$501,MATCH($C1348,links!$D$2:$D$501,0))),""))</f>
        <v/>
      </c>
      <c r="H1348" s="25">
        <f>IF($C1348="","",IFERROR(IF(INDEX(links!$B$2:$B$501,MATCH($C1348,links!$D$2:$D$501,0))="","",INDEX(links!$B$2:$B$501,MATCH($C1348,links!$D$2:$D$501,0))),""))</f>
        <v/>
      </c>
      <c r="I1348" s="25">
        <f>IF($C1348="","",IFERROR(IF(INDEX(links!$C$2:$C$501,MATCH($C1348,links!$D$2:$D$501,0))="","",INDEX(links!$C$2:$C$501,MATCH($C1348,links!$D$2:$D$501,0))),""))</f>
        <v/>
      </c>
      <c r="J1348" s="25">
        <f>IF($C1348="","",IF($G1348="","slug not in links; ","")&amp;IF($D1348="","reading type missing; ","")&amp;IF(COUNTIFS(scans!$C$2:$C$1601,$C1348,scans!$D$2:$D$1601,$D1348)&gt;1,"two readings of this type: keep one; ",""))</f>
        <v/>
      </c>
    </row>
    <row r="1349">
      <c r="A1349" s="9" t="n"/>
      <c r="B1349" s="33" t="n"/>
      <c r="G1349" s="25">
        <f>IF($C1349="","",IFERROR(IF(INDEX(links!$A$2:$A$501,MATCH($C1349,links!$D$2:$D$501,0))="","",INDEX(links!$A$2:$A$501,MATCH($C1349,links!$D$2:$D$501,0))),""))</f>
        <v/>
      </c>
      <c r="H1349" s="25">
        <f>IF($C1349="","",IFERROR(IF(INDEX(links!$B$2:$B$501,MATCH($C1349,links!$D$2:$D$501,0))="","",INDEX(links!$B$2:$B$501,MATCH($C1349,links!$D$2:$D$501,0))),""))</f>
        <v/>
      </c>
      <c r="I1349" s="25">
        <f>IF($C1349="","",IFERROR(IF(INDEX(links!$C$2:$C$501,MATCH($C1349,links!$D$2:$D$501,0))="","",INDEX(links!$C$2:$C$501,MATCH($C1349,links!$D$2:$D$501,0))),""))</f>
        <v/>
      </c>
      <c r="J1349" s="25">
        <f>IF($C1349="","",IF($G1349="","slug not in links; ","")&amp;IF($D1349="","reading type missing; ","")&amp;IF(COUNTIFS(scans!$C$2:$C$1601,$C1349,scans!$D$2:$D$1601,$D1349)&gt;1,"two readings of this type: keep one; ",""))</f>
        <v/>
      </c>
    </row>
    <row r="1350">
      <c r="A1350" s="9" t="n"/>
      <c r="B1350" s="33" t="n"/>
      <c r="G1350" s="25">
        <f>IF($C1350="","",IFERROR(IF(INDEX(links!$A$2:$A$501,MATCH($C1350,links!$D$2:$D$501,0))="","",INDEX(links!$A$2:$A$501,MATCH($C1350,links!$D$2:$D$501,0))),""))</f>
        <v/>
      </c>
      <c r="H1350" s="25">
        <f>IF($C1350="","",IFERROR(IF(INDEX(links!$B$2:$B$501,MATCH($C1350,links!$D$2:$D$501,0))="","",INDEX(links!$B$2:$B$501,MATCH($C1350,links!$D$2:$D$501,0))),""))</f>
        <v/>
      </c>
      <c r="I1350" s="25">
        <f>IF($C1350="","",IFERROR(IF(INDEX(links!$C$2:$C$501,MATCH($C1350,links!$D$2:$D$501,0))="","",INDEX(links!$C$2:$C$501,MATCH($C1350,links!$D$2:$D$501,0))),""))</f>
        <v/>
      </c>
      <c r="J1350" s="25">
        <f>IF($C1350="","",IF($G1350="","slug not in links; ","")&amp;IF($D1350="","reading type missing; ","")&amp;IF(COUNTIFS(scans!$C$2:$C$1601,$C1350,scans!$D$2:$D$1601,$D1350)&gt;1,"two readings of this type: keep one; ",""))</f>
        <v/>
      </c>
    </row>
    <row r="1351">
      <c r="A1351" s="9" t="n"/>
      <c r="B1351" s="33" t="n"/>
      <c r="G1351" s="25">
        <f>IF($C1351="","",IFERROR(IF(INDEX(links!$A$2:$A$501,MATCH($C1351,links!$D$2:$D$501,0))="","",INDEX(links!$A$2:$A$501,MATCH($C1351,links!$D$2:$D$501,0))),""))</f>
        <v/>
      </c>
      <c r="H1351" s="25">
        <f>IF($C1351="","",IFERROR(IF(INDEX(links!$B$2:$B$501,MATCH($C1351,links!$D$2:$D$501,0))="","",INDEX(links!$B$2:$B$501,MATCH($C1351,links!$D$2:$D$501,0))),""))</f>
        <v/>
      </c>
      <c r="I1351" s="25">
        <f>IF($C1351="","",IFERROR(IF(INDEX(links!$C$2:$C$501,MATCH($C1351,links!$D$2:$D$501,0))="","",INDEX(links!$C$2:$C$501,MATCH($C1351,links!$D$2:$D$501,0))),""))</f>
        <v/>
      </c>
      <c r="J1351" s="25">
        <f>IF($C1351="","",IF($G1351="","slug not in links; ","")&amp;IF($D1351="","reading type missing; ","")&amp;IF(COUNTIFS(scans!$C$2:$C$1601,$C1351,scans!$D$2:$D$1601,$D1351)&gt;1,"two readings of this type: keep one; ",""))</f>
        <v/>
      </c>
    </row>
    <row r="1352">
      <c r="A1352" s="9" t="n"/>
      <c r="B1352" s="33" t="n"/>
      <c r="G1352" s="25">
        <f>IF($C1352="","",IFERROR(IF(INDEX(links!$A$2:$A$501,MATCH($C1352,links!$D$2:$D$501,0))="","",INDEX(links!$A$2:$A$501,MATCH($C1352,links!$D$2:$D$501,0))),""))</f>
        <v/>
      </c>
      <c r="H1352" s="25">
        <f>IF($C1352="","",IFERROR(IF(INDEX(links!$B$2:$B$501,MATCH($C1352,links!$D$2:$D$501,0))="","",INDEX(links!$B$2:$B$501,MATCH($C1352,links!$D$2:$D$501,0))),""))</f>
        <v/>
      </c>
      <c r="I1352" s="25">
        <f>IF($C1352="","",IFERROR(IF(INDEX(links!$C$2:$C$501,MATCH($C1352,links!$D$2:$D$501,0))="","",INDEX(links!$C$2:$C$501,MATCH($C1352,links!$D$2:$D$501,0))),""))</f>
        <v/>
      </c>
      <c r="J1352" s="25">
        <f>IF($C1352="","",IF($G1352="","slug not in links; ","")&amp;IF($D1352="","reading type missing; ","")&amp;IF(COUNTIFS(scans!$C$2:$C$1601,$C1352,scans!$D$2:$D$1601,$D1352)&gt;1,"two readings of this type: keep one; ",""))</f>
        <v/>
      </c>
    </row>
    <row r="1353">
      <c r="A1353" s="9" t="n"/>
      <c r="B1353" s="33" t="n"/>
      <c r="G1353" s="25">
        <f>IF($C1353="","",IFERROR(IF(INDEX(links!$A$2:$A$501,MATCH($C1353,links!$D$2:$D$501,0))="","",INDEX(links!$A$2:$A$501,MATCH($C1353,links!$D$2:$D$501,0))),""))</f>
        <v/>
      </c>
      <c r="H1353" s="25">
        <f>IF($C1353="","",IFERROR(IF(INDEX(links!$B$2:$B$501,MATCH($C1353,links!$D$2:$D$501,0))="","",INDEX(links!$B$2:$B$501,MATCH($C1353,links!$D$2:$D$501,0))),""))</f>
        <v/>
      </c>
      <c r="I1353" s="25">
        <f>IF($C1353="","",IFERROR(IF(INDEX(links!$C$2:$C$501,MATCH($C1353,links!$D$2:$D$501,0))="","",INDEX(links!$C$2:$C$501,MATCH($C1353,links!$D$2:$D$501,0))),""))</f>
        <v/>
      </c>
      <c r="J1353" s="25">
        <f>IF($C1353="","",IF($G1353="","slug not in links; ","")&amp;IF($D1353="","reading type missing; ","")&amp;IF(COUNTIFS(scans!$C$2:$C$1601,$C1353,scans!$D$2:$D$1601,$D1353)&gt;1,"two readings of this type: keep one; ",""))</f>
        <v/>
      </c>
    </row>
    <row r="1354">
      <c r="A1354" s="9" t="n"/>
      <c r="B1354" s="33" t="n"/>
      <c r="G1354" s="25">
        <f>IF($C1354="","",IFERROR(IF(INDEX(links!$A$2:$A$501,MATCH($C1354,links!$D$2:$D$501,0))="","",INDEX(links!$A$2:$A$501,MATCH($C1354,links!$D$2:$D$501,0))),""))</f>
        <v/>
      </c>
      <c r="H1354" s="25">
        <f>IF($C1354="","",IFERROR(IF(INDEX(links!$B$2:$B$501,MATCH($C1354,links!$D$2:$D$501,0))="","",INDEX(links!$B$2:$B$501,MATCH($C1354,links!$D$2:$D$501,0))),""))</f>
        <v/>
      </c>
      <c r="I1354" s="25">
        <f>IF($C1354="","",IFERROR(IF(INDEX(links!$C$2:$C$501,MATCH($C1354,links!$D$2:$D$501,0))="","",INDEX(links!$C$2:$C$501,MATCH($C1354,links!$D$2:$D$501,0))),""))</f>
        <v/>
      </c>
      <c r="J1354" s="25">
        <f>IF($C1354="","",IF($G1354="","slug not in links; ","")&amp;IF($D1354="","reading type missing; ","")&amp;IF(COUNTIFS(scans!$C$2:$C$1601,$C1354,scans!$D$2:$D$1601,$D1354)&gt;1,"two readings of this type: keep one; ",""))</f>
        <v/>
      </c>
    </row>
    <row r="1355">
      <c r="A1355" s="9" t="n"/>
      <c r="B1355" s="33" t="n"/>
      <c r="G1355" s="25">
        <f>IF($C1355="","",IFERROR(IF(INDEX(links!$A$2:$A$501,MATCH($C1355,links!$D$2:$D$501,0))="","",INDEX(links!$A$2:$A$501,MATCH($C1355,links!$D$2:$D$501,0))),""))</f>
        <v/>
      </c>
      <c r="H1355" s="25">
        <f>IF($C1355="","",IFERROR(IF(INDEX(links!$B$2:$B$501,MATCH($C1355,links!$D$2:$D$501,0))="","",INDEX(links!$B$2:$B$501,MATCH($C1355,links!$D$2:$D$501,0))),""))</f>
        <v/>
      </c>
      <c r="I1355" s="25">
        <f>IF($C1355="","",IFERROR(IF(INDEX(links!$C$2:$C$501,MATCH($C1355,links!$D$2:$D$501,0))="","",INDEX(links!$C$2:$C$501,MATCH($C1355,links!$D$2:$D$501,0))),""))</f>
        <v/>
      </c>
      <c r="J1355" s="25">
        <f>IF($C1355="","",IF($G1355="","slug not in links; ","")&amp;IF($D1355="","reading type missing; ","")&amp;IF(COUNTIFS(scans!$C$2:$C$1601,$C1355,scans!$D$2:$D$1601,$D1355)&gt;1,"two readings of this type: keep one; ",""))</f>
        <v/>
      </c>
    </row>
    <row r="1356">
      <c r="A1356" s="9" t="n"/>
      <c r="B1356" s="33" t="n"/>
      <c r="G1356" s="25">
        <f>IF($C1356="","",IFERROR(IF(INDEX(links!$A$2:$A$501,MATCH($C1356,links!$D$2:$D$501,0))="","",INDEX(links!$A$2:$A$501,MATCH($C1356,links!$D$2:$D$501,0))),""))</f>
        <v/>
      </c>
      <c r="H1356" s="25">
        <f>IF($C1356="","",IFERROR(IF(INDEX(links!$B$2:$B$501,MATCH($C1356,links!$D$2:$D$501,0))="","",INDEX(links!$B$2:$B$501,MATCH($C1356,links!$D$2:$D$501,0))),""))</f>
        <v/>
      </c>
      <c r="I1356" s="25">
        <f>IF($C1356="","",IFERROR(IF(INDEX(links!$C$2:$C$501,MATCH($C1356,links!$D$2:$D$501,0))="","",INDEX(links!$C$2:$C$501,MATCH($C1356,links!$D$2:$D$501,0))),""))</f>
        <v/>
      </c>
      <c r="J1356" s="25">
        <f>IF($C1356="","",IF($G1356="","slug not in links; ","")&amp;IF($D1356="","reading type missing; ","")&amp;IF(COUNTIFS(scans!$C$2:$C$1601,$C1356,scans!$D$2:$D$1601,$D1356)&gt;1,"two readings of this type: keep one; ",""))</f>
        <v/>
      </c>
    </row>
    <row r="1357">
      <c r="A1357" s="9" t="n"/>
      <c r="B1357" s="33" t="n"/>
      <c r="G1357" s="25">
        <f>IF($C1357="","",IFERROR(IF(INDEX(links!$A$2:$A$501,MATCH($C1357,links!$D$2:$D$501,0))="","",INDEX(links!$A$2:$A$501,MATCH($C1357,links!$D$2:$D$501,0))),""))</f>
        <v/>
      </c>
      <c r="H1357" s="25">
        <f>IF($C1357="","",IFERROR(IF(INDEX(links!$B$2:$B$501,MATCH($C1357,links!$D$2:$D$501,0))="","",INDEX(links!$B$2:$B$501,MATCH($C1357,links!$D$2:$D$501,0))),""))</f>
        <v/>
      </c>
      <c r="I1357" s="25">
        <f>IF($C1357="","",IFERROR(IF(INDEX(links!$C$2:$C$501,MATCH($C1357,links!$D$2:$D$501,0))="","",INDEX(links!$C$2:$C$501,MATCH($C1357,links!$D$2:$D$501,0))),""))</f>
        <v/>
      </c>
      <c r="J1357" s="25">
        <f>IF($C1357="","",IF($G1357="","slug not in links; ","")&amp;IF($D1357="","reading type missing; ","")&amp;IF(COUNTIFS(scans!$C$2:$C$1601,$C1357,scans!$D$2:$D$1601,$D1357)&gt;1,"two readings of this type: keep one; ",""))</f>
        <v/>
      </c>
    </row>
    <row r="1358">
      <c r="A1358" s="9" t="n"/>
      <c r="B1358" s="33" t="n"/>
      <c r="G1358" s="25">
        <f>IF($C1358="","",IFERROR(IF(INDEX(links!$A$2:$A$501,MATCH($C1358,links!$D$2:$D$501,0))="","",INDEX(links!$A$2:$A$501,MATCH($C1358,links!$D$2:$D$501,0))),""))</f>
        <v/>
      </c>
      <c r="H1358" s="25">
        <f>IF($C1358="","",IFERROR(IF(INDEX(links!$B$2:$B$501,MATCH($C1358,links!$D$2:$D$501,0))="","",INDEX(links!$B$2:$B$501,MATCH($C1358,links!$D$2:$D$501,0))),""))</f>
        <v/>
      </c>
      <c r="I1358" s="25">
        <f>IF($C1358="","",IFERROR(IF(INDEX(links!$C$2:$C$501,MATCH($C1358,links!$D$2:$D$501,0))="","",INDEX(links!$C$2:$C$501,MATCH($C1358,links!$D$2:$D$501,0))),""))</f>
        <v/>
      </c>
      <c r="J1358" s="25">
        <f>IF($C1358="","",IF($G1358="","slug not in links; ","")&amp;IF($D1358="","reading type missing; ","")&amp;IF(COUNTIFS(scans!$C$2:$C$1601,$C1358,scans!$D$2:$D$1601,$D1358)&gt;1,"two readings of this type: keep one; ",""))</f>
        <v/>
      </c>
    </row>
    <row r="1359">
      <c r="A1359" s="9" t="n"/>
      <c r="B1359" s="33" t="n"/>
      <c r="G1359" s="25">
        <f>IF($C1359="","",IFERROR(IF(INDEX(links!$A$2:$A$501,MATCH($C1359,links!$D$2:$D$501,0))="","",INDEX(links!$A$2:$A$501,MATCH($C1359,links!$D$2:$D$501,0))),""))</f>
        <v/>
      </c>
      <c r="H1359" s="25">
        <f>IF($C1359="","",IFERROR(IF(INDEX(links!$B$2:$B$501,MATCH($C1359,links!$D$2:$D$501,0))="","",INDEX(links!$B$2:$B$501,MATCH($C1359,links!$D$2:$D$501,0))),""))</f>
        <v/>
      </c>
      <c r="I1359" s="25">
        <f>IF($C1359="","",IFERROR(IF(INDEX(links!$C$2:$C$501,MATCH($C1359,links!$D$2:$D$501,0))="","",INDEX(links!$C$2:$C$501,MATCH($C1359,links!$D$2:$D$501,0))),""))</f>
        <v/>
      </c>
      <c r="J1359" s="25">
        <f>IF($C1359="","",IF($G1359="","slug not in links; ","")&amp;IF($D1359="","reading type missing; ","")&amp;IF(COUNTIFS(scans!$C$2:$C$1601,$C1359,scans!$D$2:$D$1601,$D1359)&gt;1,"two readings of this type: keep one; ",""))</f>
        <v/>
      </c>
    </row>
    <row r="1360">
      <c r="A1360" s="9" t="n"/>
      <c r="B1360" s="33" t="n"/>
      <c r="G1360" s="25">
        <f>IF($C1360="","",IFERROR(IF(INDEX(links!$A$2:$A$501,MATCH($C1360,links!$D$2:$D$501,0))="","",INDEX(links!$A$2:$A$501,MATCH($C1360,links!$D$2:$D$501,0))),""))</f>
        <v/>
      </c>
      <c r="H1360" s="25">
        <f>IF($C1360="","",IFERROR(IF(INDEX(links!$B$2:$B$501,MATCH($C1360,links!$D$2:$D$501,0))="","",INDEX(links!$B$2:$B$501,MATCH($C1360,links!$D$2:$D$501,0))),""))</f>
        <v/>
      </c>
      <c r="I1360" s="25">
        <f>IF($C1360="","",IFERROR(IF(INDEX(links!$C$2:$C$501,MATCH($C1360,links!$D$2:$D$501,0))="","",INDEX(links!$C$2:$C$501,MATCH($C1360,links!$D$2:$D$501,0))),""))</f>
        <v/>
      </c>
      <c r="J1360" s="25">
        <f>IF($C1360="","",IF($G1360="","slug not in links; ","")&amp;IF($D1360="","reading type missing; ","")&amp;IF(COUNTIFS(scans!$C$2:$C$1601,$C1360,scans!$D$2:$D$1601,$D1360)&gt;1,"two readings of this type: keep one; ",""))</f>
        <v/>
      </c>
    </row>
    <row r="1361">
      <c r="A1361" s="9" t="n"/>
      <c r="B1361" s="33" t="n"/>
      <c r="G1361" s="25">
        <f>IF($C1361="","",IFERROR(IF(INDEX(links!$A$2:$A$501,MATCH($C1361,links!$D$2:$D$501,0))="","",INDEX(links!$A$2:$A$501,MATCH($C1361,links!$D$2:$D$501,0))),""))</f>
        <v/>
      </c>
      <c r="H1361" s="25">
        <f>IF($C1361="","",IFERROR(IF(INDEX(links!$B$2:$B$501,MATCH($C1361,links!$D$2:$D$501,0))="","",INDEX(links!$B$2:$B$501,MATCH($C1361,links!$D$2:$D$501,0))),""))</f>
        <v/>
      </c>
      <c r="I1361" s="25">
        <f>IF($C1361="","",IFERROR(IF(INDEX(links!$C$2:$C$501,MATCH($C1361,links!$D$2:$D$501,0))="","",INDEX(links!$C$2:$C$501,MATCH($C1361,links!$D$2:$D$501,0))),""))</f>
        <v/>
      </c>
      <c r="J1361" s="25">
        <f>IF($C1361="","",IF($G1361="","slug not in links; ","")&amp;IF($D1361="","reading type missing; ","")&amp;IF(COUNTIFS(scans!$C$2:$C$1601,$C1361,scans!$D$2:$D$1601,$D1361)&gt;1,"two readings of this type: keep one; ",""))</f>
        <v/>
      </c>
    </row>
    <row r="1362">
      <c r="A1362" s="9" t="n"/>
      <c r="B1362" s="33" t="n"/>
      <c r="G1362" s="25">
        <f>IF($C1362="","",IFERROR(IF(INDEX(links!$A$2:$A$501,MATCH($C1362,links!$D$2:$D$501,0))="","",INDEX(links!$A$2:$A$501,MATCH($C1362,links!$D$2:$D$501,0))),""))</f>
        <v/>
      </c>
      <c r="H1362" s="25">
        <f>IF($C1362="","",IFERROR(IF(INDEX(links!$B$2:$B$501,MATCH($C1362,links!$D$2:$D$501,0))="","",INDEX(links!$B$2:$B$501,MATCH($C1362,links!$D$2:$D$501,0))),""))</f>
        <v/>
      </c>
      <c r="I1362" s="25">
        <f>IF($C1362="","",IFERROR(IF(INDEX(links!$C$2:$C$501,MATCH($C1362,links!$D$2:$D$501,0))="","",INDEX(links!$C$2:$C$501,MATCH($C1362,links!$D$2:$D$501,0))),""))</f>
        <v/>
      </c>
      <c r="J1362" s="25">
        <f>IF($C1362="","",IF($G1362="","slug not in links; ","")&amp;IF($D1362="","reading type missing; ","")&amp;IF(COUNTIFS(scans!$C$2:$C$1601,$C1362,scans!$D$2:$D$1601,$D1362)&gt;1,"two readings of this type: keep one; ",""))</f>
        <v/>
      </c>
    </row>
    <row r="1363">
      <c r="A1363" s="9" t="n"/>
      <c r="B1363" s="33" t="n"/>
      <c r="G1363" s="25">
        <f>IF($C1363="","",IFERROR(IF(INDEX(links!$A$2:$A$501,MATCH($C1363,links!$D$2:$D$501,0))="","",INDEX(links!$A$2:$A$501,MATCH($C1363,links!$D$2:$D$501,0))),""))</f>
        <v/>
      </c>
      <c r="H1363" s="25">
        <f>IF($C1363="","",IFERROR(IF(INDEX(links!$B$2:$B$501,MATCH($C1363,links!$D$2:$D$501,0))="","",INDEX(links!$B$2:$B$501,MATCH($C1363,links!$D$2:$D$501,0))),""))</f>
        <v/>
      </c>
      <c r="I1363" s="25">
        <f>IF($C1363="","",IFERROR(IF(INDEX(links!$C$2:$C$501,MATCH($C1363,links!$D$2:$D$501,0))="","",INDEX(links!$C$2:$C$501,MATCH($C1363,links!$D$2:$D$501,0))),""))</f>
        <v/>
      </c>
      <c r="J1363" s="25">
        <f>IF($C1363="","",IF($G1363="","slug not in links; ","")&amp;IF($D1363="","reading type missing; ","")&amp;IF(COUNTIFS(scans!$C$2:$C$1601,$C1363,scans!$D$2:$D$1601,$D1363)&gt;1,"two readings of this type: keep one; ",""))</f>
        <v/>
      </c>
    </row>
    <row r="1364">
      <c r="A1364" s="9" t="n"/>
      <c r="B1364" s="33" t="n"/>
      <c r="G1364" s="25">
        <f>IF($C1364="","",IFERROR(IF(INDEX(links!$A$2:$A$501,MATCH($C1364,links!$D$2:$D$501,0))="","",INDEX(links!$A$2:$A$501,MATCH($C1364,links!$D$2:$D$501,0))),""))</f>
        <v/>
      </c>
      <c r="H1364" s="25">
        <f>IF($C1364="","",IFERROR(IF(INDEX(links!$B$2:$B$501,MATCH($C1364,links!$D$2:$D$501,0))="","",INDEX(links!$B$2:$B$501,MATCH($C1364,links!$D$2:$D$501,0))),""))</f>
        <v/>
      </c>
      <c r="I1364" s="25">
        <f>IF($C1364="","",IFERROR(IF(INDEX(links!$C$2:$C$501,MATCH($C1364,links!$D$2:$D$501,0))="","",INDEX(links!$C$2:$C$501,MATCH($C1364,links!$D$2:$D$501,0))),""))</f>
        <v/>
      </c>
      <c r="J1364" s="25">
        <f>IF($C1364="","",IF($G1364="","slug not in links; ","")&amp;IF($D1364="","reading type missing; ","")&amp;IF(COUNTIFS(scans!$C$2:$C$1601,$C1364,scans!$D$2:$D$1601,$D1364)&gt;1,"two readings of this type: keep one; ",""))</f>
        <v/>
      </c>
    </row>
    <row r="1365">
      <c r="A1365" s="9" t="n"/>
      <c r="B1365" s="33" t="n"/>
      <c r="G1365" s="25">
        <f>IF($C1365="","",IFERROR(IF(INDEX(links!$A$2:$A$501,MATCH($C1365,links!$D$2:$D$501,0))="","",INDEX(links!$A$2:$A$501,MATCH($C1365,links!$D$2:$D$501,0))),""))</f>
        <v/>
      </c>
      <c r="H1365" s="25">
        <f>IF($C1365="","",IFERROR(IF(INDEX(links!$B$2:$B$501,MATCH($C1365,links!$D$2:$D$501,0))="","",INDEX(links!$B$2:$B$501,MATCH($C1365,links!$D$2:$D$501,0))),""))</f>
        <v/>
      </c>
      <c r="I1365" s="25">
        <f>IF($C1365="","",IFERROR(IF(INDEX(links!$C$2:$C$501,MATCH($C1365,links!$D$2:$D$501,0))="","",INDEX(links!$C$2:$C$501,MATCH($C1365,links!$D$2:$D$501,0))),""))</f>
        <v/>
      </c>
      <c r="J1365" s="25">
        <f>IF($C1365="","",IF($G1365="","slug not in links; ","")&amp;IF($D1365="","reading type missing; ","")&amp;IF(COUNTIFS(scans!$C$2:$C$1601,$C1365,scans!$D$2:$D$1601,$D1365)&gt;1,"two readings of this type: keep one; ",""))</f>
        <v/>
      </c>
    </row>
    <row r="1366">
      <c r="A1366" s="9" t="n"/>
      <c r="B1366" s="33" t="n"/>
      <c r="G1366" s="25">
        <f>IF($C1366="","",IFERROR(IF(INDEX(links!$A$2:$A$501,MATCH($C1366,links!$D$2:$D$501,0))="","",INDEX(links!$A$2:$A$501,MATCH($C1366,links!$D$2:$D$501,0))),""))</f>
        <v/>
      </c>
      <c r="H1366" s="25">
        <f>IF($C1366="","",IFERROR(IF(INDEX(links!$B$2:$B$501,MATCH($C1366,links!$D$2:$D$501,0))="","",INDEX(links!$B$2:$B$501,MATCH($C1366,links!$D$2:$D$501,0))),""))</f>
        <v/>
      </c>
      <c r="I1366" s="25">
        <f>IF($C1366="","",IFERROR(IF(INDEX(links!$C$2:$C$501,MATCH($C1366,links!$D$2:$D$501,0))="","",INDEX(links!$C$2:$C$501,MATCH($C1366,links!$D$2:$D$501,0))),""))</f>
        <v/>
      </c>
      <c r="J1366" s="25">
        <f>IF($C1366="","",IF($G1366="","slug not in links; ","")&amp;IF($D1366="","reading type missing; ","")&amp;IF(COUNTIFS(scans!$C$2:$C$1601,$C1366,scans!$D$2:$D$1601,$D1366)&gt;1,"two readings of this type: keep one; ",""))</f>
        <v/>
      </c>
    </row>
    <row r="1367">
      <c r="A1367" s="9" t="n"/>
      <c r="B1367" s="33" t="n"/>
      <c r="G1367" s="25">
        <f>IF($C1367="","",IFERROR(IF(INDEX(links!$A$2:$A$501,MATCH($C1367,links!$D$2:$D$501,0))="","",INDEX(links!$A$2:$A$501,MATCH($C1367,links!$D$2:$D$501,0))),""))</f>
        <v/>
      </c>
      <c r="H1367" s="25">
        <f>IF($C1367="","",IFERROR(IF(INDEX(links!$B$2:$B$501,MATCH($C1367,links!$D$2:$D$501,0))="","",INDEX(links!$B$2:$B$501,MATCH($C1367,links!$D$2:$D$501,0))),""))</f>
        <v/>
      </c>
      <c r="I1367" s="25">
        <f>IF($C1367="","",IFERROR(IF(INDEX(links!$C$2:$C$501,MATCH($C1367,links!$D$2:$D$501,0))="","",INDEX(links!$C$2:$C$501,MATCH($C1367,links!$D$2:$D$501,0))),""))</f>
        <v/>
      </c>
      <c r="J1367" s="25">
        <f>IF($C1367="","",IF($G1367="","slug not in links; ","")&amp;IF($D1367="","reading type missing; ","")&amp;IF(COUNTIFS(scans!$C$2:$C$1601,$C1367,scans!$D$2:$D$1601,$D1367)&gt;1,"two readings of this type: keep one; ",""))</f>
        <v/>
      </c>
    </row>
    <row r="1368">
      <c r="A1368" s="9" t="n"/>
      <c r="B1368" s="33" t="n"/>
      <c r="G1368" s="25">
        <f>IF($C1368="","",IFERROR(IF(INDEX(links!$A$2:$A$501,MATCH($C1368,links!$D$2:$D$501,0))="","",INDEX(links!$A$2:$A$501,MATCH($C1368,links!$D$2:$D$501,0))),""))</f>
        <v/>
      </c>
      <c r="H1368" s="25">
        <f>IF($C1368="","",IFERROR(IF(INDEX(links!$B$2:$B$501,MATCH($C1368,links!$D$2:$D$501,0))="","",INDEX(links!$B$2:$B$501,MATCH($C1368,links!$D$2:$D$501,0))),""))</f>
        <v/>
      </c>
      <c r="I1368" s="25">
        <f>IF($C1368="","",IFERROR(IF(INDEX(links!$C$2:$C$501,MATCH($C1368,links!$D$2:$D$501,0))="","",INDEX(links!$C$2:$C$501,MATCH($C1368,links!$D$2:$D$501,0))),""))</f>
        <v/>
      </c>
      <c r="J1368" s="25">
        <f>IF($C1368="","",IF($G1368="","slug not in links; ","")&amp;IF($D1368="","reading type missing; ","")&amp;IF(COUNTIFS(scans!$C$2:$C$1601,$C1368,scans!$D$2:$D$1601,$D1368)&gt;1,"two readings of this type: keep one; ",""))</f>
        <v/>
      </c>
    </row>
    <row r="1369">
      <c r="A1369" s="9" t="n"/>
      <c r="B1369" s="33" t="n"/>
      <c r="G1369" s="25">
        <f>IF($C1369="","",IFERROR(IF(INDEX(links!$A$2:$A$501,MATCH($C1369,links!$D$2:$D$501,0))="","",INDEX(links!$A$2:$A$501,MATCH($C1369,links!$D$2:$D$501,0))),""))</f>
        <v/>
      </c>
      <c r="H1369" s="25">
        <f>IF($C1369="","",IFERROR(IF(INDEX(links!$B$2:$B$501,MATCH($C1369,links!$D$2:$D$501,0))="","",INDEX(links!$B$2:$B$501,MATCH($C1369,links!$D$2:$D$501,0))),""))</f>
        <v/>
      </c>
      <c r="I1369" s="25">
        <f>IF($C1369="","",IFERROR(IF(INDEX(links!$C$2:$C$501,MATCH($C1369,links!$D$2:$D$501,0))="","",INDEX(links!$C$2:$C$501,MATCH($C1369,links!$D$2:$D$501,0))),""))</f>
        <v/>
      </c>
      <c r="J1369" s="25">
        <f>IF($C1369="","",IF($G1369="","slug not in links; ","")&amp;IF($D1369="","reading type missing; ","")&amp;IF(COUNTIFS(scans!$C$2:$C$1601,$C1369,scans!$D$2:$D$1601,$D1369)&gt;1,"two readings of this type: keep one; ",""))</f>
        <v/>
      </c>
    </row>
    <row r="1370">
      <c r="A1370" s="9" t="n"/>
      <c r="B1370" s="33" t="n"/>
      <c r="G1370" s="25">
        <f>IF($C1370="","",IFERROR(IF(INDEX(links!$A$2:$A$501,MATCH($C1370,links!$D$2:$D$501,0))="","",INDEX(links!$A$2:$A$501,MATCH($C1370,links!$D$2:$D$501,0))),""))</f>
        <v/>
      </c>
      <c r="H1370" s="25">
        <f>IF($C1370="","",IFERROR(IF(INDEX(links!$B$2:$B$501,MATCH($C1370,links!$D$2:$D$501,0))="","",INDEX(links!$B$2:$B$501,MATCH($C1370,links!$D$2:$D$501,0))),""))</f>
        <v/>
      </c>
      <c r="I1370" s="25">
        <f>IF($C1370="","",IFERROR(IF(INDEX(links!$C$2:$C$501,MATCH($C1370,links!$D$2:$D$501,0))="","",INDEX(links!$C$2:$C$501,MATCH($C1370,links!$D$2:$D$501,0))),""))</f>
        <v/>
      </c>
      <c r="J1370" s="25">
        <f>IF($C1370="","",IF($G1370="","slug not in links; ","")&amp;IF($D1370="","reading type missing; ","")&amp;IF(COUNTIFS(scans!$C$2:$C$1601,$C1370,scans!$D$2:$D$1601,$D1370)&gt;1,"two readings of this type: keep one; ",""))</f>
        <v/>
      </c>
    </row>
    <row r="1371">
      <c r="A1371" s="9" t="n"/>
      <c r="B1371" s="33" t="n"/>
      <c r="G1371" s="25">
        <f>IF($C1371="","",IFERROR(IF(INDEX(links!$A$2:$A$501,MATCH($C1371,links!$D$2:$D$501,0))="","",INDEX(links!$A$2:$A$501,MATCH($C1371,links!$D$2:$D$501,0))),""))</f>
        <v/>
      </c>
      <c r="H1371" s="25">
        <f>IF($C1371="","",IFERROR(IF(INDEX(links!$B$2:$B$501,MATCH($C1371,links!$D$2:$D$501,0))="","",INDEX(links!$B$2:$B$501,MATCH($C1371,links!$D$2:$D$501,0))),""))</f>
        <v/>
      </c>
      <c r="I1371" s="25">
        <f>IF($C1371="","",IFERROR(IF(INDEX(links!$C$2:$C$501,MATCH($C1371,links!$D$2:$D$501,0))="","",INDEX(links!$C$2:$C$501,MATCH($C1371,links!$D$2:$D$501,0))),""))</f>
        <v/>
      </c>
      <c r="J1371" s="25">
        <f>IF($C1371="","",IF($G1371="","slug not in links; ","")&amp;IF($D1371="","reading type missing; ","")&amp;IF(COUNTIFS(scans!$C$2:$C$1601,$C1371,scans!$D$2:$D$1601,$D1371)&gt;1,"two readings of this type: keep one; ",""))</f>
        <v/>
      </c>
    </row>
    <row r="1372">
      <c r="A1372" s="9" t="n"/>
      <c r="B1372" s="33" t="n"/>
      <c r="G1372" s="25">
        <f>IF($C1372="","",IFERROR(IF(INDEX(links!$A$2:$A$501,MATCH($C1372,links!$D$2:$D$501,0))="","",INDEX(links!$A$2:$A$501,MATCH($C1372,links!$D$2:$D$501,0))),""))</f>
        <v/>
      </c>
      <c r="H1372" s="25">
        <f>IF($C1372="","",IFERROR(IF(INDEX(links!$B$2:$B$501,MATCH($C1372,links!$D$2:$D$501,0))="","",INDEX(links!$B$2:$B$501,MATCH($C1372,links!$D$2:$D$501,0))),""))</f>
        <v/>
      </c>
      <c r="I1372" s="25">
        <f>IF($C1372="","",IFERROR(IF(INDEX(links!$C$2:$C$501,MATCH($C1372,links!$D$2:$D$501,0))="","",INDEX(links!$C$2:$C$501,MATCH($C1372,links!$D$2:$D$501,0))),""))</f>
        <v/>
      </c>
      <c r="J1372" s="25">
        <f>IF($C1372="","",IF($G1372="","slug not in links; ","")&amp;IF($D1372="","reading type missing; ","")&amp;IF(COUNTIFS(scans!$C$2:$C$1601,$C1372,scans!$D$2:$D$1601,$D1372)&gt;1,"two readings of this type: keep one; ",""))</f>
        <v/>
      </c>
    </row>
    <row r="1373">
      <c r="A1373" s="9" t="n"/>
      <c r="B1373" s="33" t="n"/>
      <c r="G1373" s="25">
        <f>IF($C1373="","",IFERROR(IF(INDEX(links!$A$2:$A$501,MATCH($C1373,links!$D$2:$D$501,0))="","",INDEX(links!$A$2:$A$501,MATCH($C1373,links!$D$2:$D$501,0))),""))</f>
        <v/>
      </c>
      <c r="H1373" s="25">
        <f>IF($C1373="","",IFERROR(IF(INDEX(links!$B$2:$B$501,MATCH($C1373,links!$D$2:$D$501,0))="","",INDEX(links!$B$2:$B$501,MATCH($C1373,links!$D$2:$D$501,0))),""))</f>
        <v/>
      </c>
      <c r="I1373" s="25">
        <f>IF($C1373="","",IFERROR(IF(INDEX(links!$C$2:$C$501,MATCH($C1373,links!$D$2:$D$501,0))="","",INDEX(links!$C$2:$C$501,MATCH($C1373,links!$D$2:$D$501,0))),""))</f>
        <v/>
      </c>
      <c r="J1373" s="25">
        <f>IF($C1373="","",IF($G1373="","slug not in links; ","")&amp;IF($D1373="","reading type missing; ","")&amp;IF(COUNTIFS(scans!$C$2:$C$1601,$C1373,scans!$D$2:$D$1601,$D1373)&gt;1,"two readings of this type: keep one; ",""))</f>
        <v/>
      </c>
    </row>
    <row r="1374">
      <c r="A1374" s="9" t="n"/>
      <c r="B1374" s="33" t="n"/>
      <c r="G1374" s="25">
        <f>IF($C1374="","",IFERROR(IF(INDEX(links!$A$2:$A$501,MATCH($C1374,links!$D$2:$D$501,0))="","",INDEX(links!$A$2:$A$501,MATCH($C1374,links!$D$2:$D$501,0))),""))</f>
        <v/>
      </c>
      <c r="H1374" s="25">
        <f>IF($C1374="","",IFERROR(IF(INDEX(links!$B$2:$B$501,MATCH($C1374,links!$D$2:$D$501,0))="","",INDEX(links!$B$2:$B$501,MATCH($C1374,links!$D$2:$D$501,0))),""))</f>
        <v/>
      </c>
      <c r="I1374" s="25">
        <f>IF($C1374="","",IFERROR(IF(INDEX(links!$C$2:$C$501,MATCH($C1374,links!$D$2:$D$501,0))="","",INDEX(links!$C$2:$C$501,MATCH($C1374,links!$D$2:$D$501,0))),""))</f>
        <v/>
      </c>
      <c r="J1374" s="25">
        <f>IF($C1374="","",IF($G1374="","slug not in links; ","")&amp;IF($D1374="","reading type missing; ","")&amp;IF(COUNTIFS(scans!$C$2:$C$1601,$C1374,scans!$D$2:$D$1601,$D1374)&gt;1,"two readings of this type: keep one; ",""))</f>
        <v/>
      </c>
    </row>
    <row r="1375">
      <c r="A1375" s="9" t="n"/>
      <c r="B1375" s="33" t="n"/>
      <c r="G1375" s="25">
        <f>IF($C1375="","",IFERROR(IF(INDEX(links!$A$2:$A$501,MATCH($C1375,links!$D$2:$D$501,0))="","",INDEX(links!$A$2:$A$501,MATCH($C1375,links!$D$2:$D$501,0))),""))</f>
        <v/>
      </c>
      <c r="H1375" s="25">
        <f>IF($C1375="","",IFERROR(IF(INDEX(links!$B$2:$B$501,MATCH($C1375,links!$D$2:$D$501,0))="","",INDEX(links!$B$2:$B$501,MATCH($C1375,links!$D$2:$D$501,0))),""))</f>
        <v/>
      </c>
      <c r="I1375" s="25">
        <f>IF($C1375="","",IFERROR(IF(INDEX(links!$C$2:$C$501,MATCH($C1375,links!$D$2:$D$501,0))="","",INDEX(links!$C$2:$C$501,MATCH($C1375,links!$D$2:$D$501,0))),""))</f>
        <v/>
      </c>
      <c r="J1375" s="25">
        <f>IF($C1375="","",IF($G1375="","slug not in links; ","")&amp;IF($D1375="","reading type missing; ","")&amp;IF(COUNTIFS(scans!$C$2:$C$1601,$C1375,scans!$D$2:$D$1601,$D1375)&gt;1,"two readings of this type: keep one; ",""))</f>
        <v/>
      </c>
    </row>
    <row r="1376">
      <c r="A1376" s="9" t="n"/>
      <c r="B1376" s="33" t="n"/>
      <c r="G1376" s="25">
        <f>IF($C1376="","",IFERROR(IF(INDEX(links!$A$2:$A$501,MATCH($C1376,links!$D$2:$D$501,0))="","",INDEX(links!$A$2:$A$501,MATCH($C1376,links!$D$2:$D$501,0))),""))</f>
        <v/>
      </c>
      <c r="H1376" s="25">
        <f>IF($C1376="","",IFERROR(IF(INDEX(links!$B$2:$B$501,MATCH($C1376,links!$D$2:$D$501,0))="","",INDEX(links!$B$2:$B$501,MATCH($C1376,links!$D$2:$D$501,0))),""))</f>
        <v/>
      </c>
      <c r="I1376" s="25">
        <f>IF($C1376="","",IFERROR(IF(INDEX(links!$C$2:$C$501,MATCH($C1376,links!$D$2:$D$501,0))="","",INDEX(links!$C$2:$C$501,MATCH($C1376,links!$D$2:$D$501,0))),""))</f>
        <v/>
      </c>
      <c r="J1376" s="25">
        <f>IF($C1376="","",IF($G1376="","slug not in links; ","")&amp;IF($D1376="","reading type missing; ","")&amp;IF(COUNTIFS(scans!$C$2:$C$1601,$C1376,scans!$D$2:$D$1601,$D1376)&gt;1,"two readings of this type: keep one; ",""))</f>
        <v/>
      </c>
    </row>
    <row r="1377">
      <c r="A1377" s="9" t="n"/>
      <c r="B1377" s="33" t="n"/>
      <c r="G1377" s="25">
        <f>IF($C1377="","",IFERROR(IF(INDEX(links!$A$2:$A$501,MATCH($C1377,links!$D$2:$D$501,0))="","",INDEX(links!$A$2:$A$501,MATCH($C1377,links!$D$2:$D$501,0))),""))</f>
        <v/>
      </c>
      <c r="H1377" s="25">
        <f>IF($C1377="","",IFERROR(IF(INDEX(links!$B$2:$B$501,MATCH($C1377,links!$D$2:$D$501,0))="","",INDEX(links!$B$2:$B$501,MATCH($C1377,links!$D$2:$D$501,0))),""))</f>
        <v/>
      </c>
      <c r="I1377" s="25">
        <f>IF($C1377="","",IFERROR(IF(INDEX(links!$C$2:$C$501,MATCH($C1377,links!$D$2:$D$501,0))="","",INDEX(links!$C$2:$C$501,MATCH($C1377,links!$D$2:$D$501,0))),""))</f>
        <v/>
      </c>
      <c r="J1377" s="25">
        <f>IF($C1377="","",IF($G1377="","slug not in links; ","")&amp;IF($D1377="","reading type missing; ","")&amp;IF(COUNTIFS(scans!$C$2:$C$1601,$C1377,scans!$D$2:$D$1601,$D1377)&gt;1,"two readings of this type: keep one; ",""))</f>
        <v/>
      </c>
    </row>
    <row r="1378">
      <c r="A1378" s="9" t="n"/>
      <c r="B1378" s="33" t="n"/>
      <c r="G1378" s="25">
        <f>IF($C1378="","",IFERROR(IF(INDEX(links!$A$2:$A$501,MATCH($C1378,links!$D$2:$D$501,0))="","",INDEX(links!$A$2:$A$501,MATCH($C1378,links!$D$2:$D$501,0))),""))</f>
        <v/>
      </c>
      <c r="H1378" s="25">
        <f>IF($C1378="","",IFERROR(IF(INDEX(links!$B$2:$B$501,MATCH($C1378,links!$D$2:$D$501,0))="","",INDEX(links!$B$2:$B$501,MATCH($C1378,links!$D$2:$D$501,0))),""))</f>
        <v/>
      </c>
      <c r="I1378" s="25">
        <f>IF($C1378="","",IFERROR(IF(INDEX(links!$C$2:$C$501,MATCH($C1378,links!$D$2:$D$501,0))="","",INDEX(links!$C$2:$C$501,MATCH($C1378,links!$D$2:$D$501,0))),""))</f>
        <v/>
      </c>
      <c r="J1378" s="25">
        <f>IF($C1378="","",IF($G1378="","slug not in links; ","")&amp;IF($D1378="","reading type missing; ","")&amp;IF(COUNTIFS(scans!$C$2:$C$1601,$C1378,scans!$D$2:$D$1601,$D1378)&gt;1,"two readings of this type: keep one; ",""))</f>
        <v/>
      </c>
    </row>
    <row r="1379">
      <c r="A1379" s="9" t="n"/>
      <c r="B1379" s="33" t="n"/>
      <c r="G1379" s="25">
        <f>IF($C1379="","",IFERROR(IF(INDEX(links!$A$2:$A$501,MATCH($C1379,links!$D$2:$D$501,0))="","",INDEX(links!$A$2:$A$501,MATCH($C1379,links!$D$2:$D$501,0))),""))</f>
        <v/>
      </c>
      <c r="H1379" s="25">
        <f>IF($C1379="","",IFERROR(IF(INDEX(links!$B$2:$B$501,MATCH($C1379,links!$D$2:$D$501,0))="","",INDEX(links!$B$2:$B$501,MATCH($C1379,links!$D$2:$D$501,0))),""))</f>
        <v/>
      </c>
      <c r="I1379" s="25">
        <f>IF($C1379="","",IFERROR(IF(INDEX(links!$C$2:$C$501,MATCH($C1379,links!$D$2:$D$501,0))="","",INDEX(links!$C$2:$C$501,MATCH($C1379,links!$D$2:$D$501,0))),""))</f>
        <v/>
      </c>
      <c r="J1379" s="25">
        <f>IF($C1379="","",IF($G1379="","slug not in links; ","")&amp;IF($D1379="","reading type missing; ","")&amp;IF(COUNTIFS(scans!$C$2:$C$1601,$C1379,scans!$D$2:$D$1601,$D1379)&gt;1,"two readings of this type: keep one; ",""))</f>
        <v/>
      </c>
    </row>
    <row r="1380">
      <c r="A1380" s="9" t="n"/>
      <c r="B1380" s="33" t="n"/>
      <c r="G1380" s="25">
        <f>IF($C1380="","",IFERROR(IF(INDEX(links!$A$2:$A$501,MATCH($C1380,links!$D$2:$D$501,0))="","",INDEX(links!$A$2:$A$501,MATCH($C1380,links!$D$2:$D$501,0))),""))</f>
        <v/>
      </c>
      <c r="H1380" s="25">
        <f>IF($C1380="","",IFERROR(IF(INDEX(links!$B$2:$B$501,MATCH($C1380,links!$D$2:$D$501,0))="","",INDEX(links!$B$2:$B$501,MATCH($C1380,links!$D$2:$D$501,0))),""))</f>
        <v/>
      </c>
      <c r="I1380" s="25">
        <f>IF($C1380="","",IFERROR(IF(INDEX(links!$C$2:$C$501,MATCH($C1380,links!$D$2:$D$501,0))="","",INDEX(links!$C$2:$C$501,MATCH($C1380,links!$D$2:$D$501,0))),""))</f>
        <v/>
      </c>
      <c r="J1380" s="25">
        <f>IF($C1380="","",IF($G1380="","slug not in links; ","")&amp;IF($D1380="","reading type missing; ","")&amp;IF(COUNTIFS(scans!$C$2:$C$1601,$C1380,scans!$D$2:$D$1601,$D1380)&gt;1,"two readings of this type: keep one; ",""))</f>
        <v/>
      </c>
    </row>
    <row r="1381">
      <c r="A1381" s="9" t="n"/>
      <c r="B1381" s="33" t="n"/>
      <c r="G1381" s="25">
        <f>IF($C1381="","",IFERROR(IF(INDEX(links!$A$2:$A$501,MATCH($C1381,links!$D$2:$D$501,0))="","",INDEX(links!$A$2:$A$501,MATCH($C1381,links!$D$2:$D$501,0))),""))</f>
        <v/>
      </c>
      <c r="H1381" s="25">
        <f>IF($C1381="","",IFERROR(IF(INDEX(links!$B$2:$B$501,MATCH($C1381,links!$D$2:$D$501,0))="","",INDEX(links!$B$2:$B$501,MATCH($C1381,links!$D$2:$D$501,0))),""))</f>
        <v/>
      </c>
      <c r="I1381" s="25">
        <f>IF($C1381="","",IFERROR(IF(INDEX(links!$C$2:$C$501,MATCH($C1381,links!$D$2:$D$501,0))="","",INDEX(links!$C$2:$C$501,MATCH($C1381,links!$D$2:$D$501,0))),""))</f>
        <v/>
      </c>
      <c r="J1381" s="25">
        <f>IF($C1381="","",IF($G1381="","slug not in links; ","")&amp;IF($D1381="","reading type missing; ","")&amp;IF(COUNTIFS(scans!$C$2:$C$1601,$C1381,scans!$D$2:$D$1601,$D1381)&gt;1,"two readings of this type: keep one; ",""))</f>
        <v/>
      </c>
    </row>
    <row r="1382">
      <c r="A1382" s="9" t="n"/>
      <c r="B1382" s="33" t="n"/>
      <c r="G1382" s="25">
        <f>IF($C1382="","",IFERROR(IF(INDEX(links!$A$2:$A$501,MATCH($C1382,links!$D$2:$D$501,0))="","",INDEX(links!$A$2:$A$501,MATCH($C1382,links!$D$2:$D$501,0))),""))</f>
        <v/>
      </c>
      <c r="H1382" s="25">
        <f>IF($C1382="","",IFERROR(IF(INDEX(links!$B$2:$B$501,MATCH($C1382,links!$D$2:$D$501,0))="","",INDEX(links!$B$2:$B$501,MATCH($C1382,links!$D$2:$D$501,0))),""))</f>
        <v/>
      </c>
      <c r="I1382" s="25">
        <f>IF($C1382="","",IFERROR(IF(INDEX(links!$C$2:$C$501,MATCH($C1382,links!$D$2:$D$501,0))="","",INDEX(links!$C$2:$C$501,MATCH($C1382,links!$D$2:$D$501,0))),""))</f>
        <v/>
      </c>
      <c r="J1382" s="25">
        <f>IF($C1382="","",IF($G1382="","slug not in links; ","")&amp;IF($D1382="","reading type missing; ","")&amp;IF(COUNTIFS(scans!$C$2:$C$1601,$C1382,scans!$D$2:$D$1601,$D1382)&gt;1,"two readings of this type: keep one; ",""))</f>
        <v/>
      </c>
    </row>
    <row r="1383">
      <c r="A1383" s="9" t="n"/>
      <c r="B1383" s="33" t="n"/>
      <c r="G1383" s="25">
        <f>IF($C1383="","",IFERROR(IF(INDEX(links!$A$2:$A$501,MATCH($C1383,links!$D$2:$D$501,0))="","",INDEX(links!$A$2:$A$501,MATCH($C1383,links!$D$2:$D$501,0))),""))</f>
        <v/>
      </c>
      <c r="H1383" s="25">
        <f>IF($C1383="","",IFERROR(IF(INDEX(links!$B$2:$B$501,MATCH($C1383,links!$D$2:$D$501,0))="","",INDEX(links!$B$2:$B$501,MATCH($C1383,links!$D$2:$D$501,0))),""))</f>
        <v/>
      </c>
      <c r="I1383" s="25">
        <f>IF($C1383="","",IFERROR(IF(INDEX(links!$C$2:$C$501,MATCH($C1383,links!$D$2:$D$501,0))="","",INDEX(links!$C$2:$C$501,MATCH($C1383,links!$D$2:$D$501,0))),""))</f>
        <v/>
      </c>
      <c r="J1383" s="25">
        <f>IF($C1383="","",IF($G1383="","slug not in links; ","")&amp;IF($D1383="","reading type missing; ","")&amp;IF(COUNTIFS(scans!$C$2:$C$1601,$C1383,scans!$D$2:$D$1601,$D1383)&gt;1,"two readings of this type: keep one; ",""))</f>
        <v/>
      </c>
    </row>
    <row r="1384">
      <c r="A1384" s="9" t="n"/>
      <c r="B1384" s="33" t="n"/>
      <c r="G1384" s="25">
        <f>IF($C1384="","",IFERROR(IF(INDEX(links!$A$2:$A$501,MATCH($C1384,links!$D$2:$D$501,0))="","",INDEX(links!$A$2:$A$501,MATCH($C1384,links!$D$2:$D$501,0))),""))</f>
        <v/>
      </c>
      <c r="H1384" s="25">
        <f>IF($C1384="","",IFERROR(IF(INDEX(links!$B$2:$B$501,MATCH($C1384,links!$D$2:$D$501,0))="","",INDEX(links!$B$2:$B$501,MATCH($C1384,links!$D$2:$D$501,0))),""))</f>
        <v/>
      </c>
      <c r="I1384" s="25">
        <f>IF($C1384="","",IFERROR(IF(INDEX(links!$C$2:$C$501,MATCH($C1384,links!$D$2:$D$501,0))="","",INDEX(links!$C$2:$C$501,MATCH($C1384,links!$D$2:$D$501,0))),""))</f>
        <v/>
      </c>
      <c r="J1384" s="25">
        <f>IF($C1384="","",IF($G1384="","slug not in links; ","")&amp;IF($D1384="","reading type missing; ","")&amp;IF(COUNTIFS(scans!$C$2:$C$1601,$C1384,scans!$D$2:$D$1601,$D1384)&gt;1,"two readings of this type: keep one; ",""))</f>
        <v/>
      </c>
    </row>
    <row r="1385">
      <c r="A1385" s="9" t="n"/>
      <c r="B1385" s="33" t="n"/>
      <c r="G1385" s="25">
        <f>IF($C1385="","",IFERROR(IF(INDEX(links!$A$2:$A$501,MATCH($C1385,links!$D$2:$D$501,0))="","",INDEX(links!$A$2:$A$501,MATCH($C1385,links!$D$2:$D$501,0))),""))</f>
        <v/>
      </c>
      <c r="H1385" s="25">
        <f>IF($C1385="","",IFERROR(IF(INDEX(links!$B$2:$B$501,MATCH($C1385,links!$D$2:$D$501,0))="","",INDEX(links!$B$2:$B$501,MATCH($C1385,links!$D$2:$D$501,0))),""))</f>
        <v/>
      </c>
      <c r="I1385" s="25">
        <f>IF($C1385="","",IFERROR(IF(INDEX(links!$C$2:$C$501,MATCH($C1385,links!$D$2:$D$501,0))="","",INDEX(links!$C$2:$C$501,MATCH($C1385,links!$D$2:$D$501,0))),""))</f>
        <v/>
      </c>
      <c r="J1385" s="25">
        <f>IF($C1385="","",IF($G1385="","slug not in links; ","")&amp;IF($D1385="","reading type missing; ","")&amp;IF(COUNTIFS(scans!$C$2:$C$1601,$C1385,scans!$D$2:$D$1601,$D1385)&gt;1,"two readings of this type: keep one; ",""))</f>
        <v/>
      </c>
    </row>
    <row r="1386">
      <c r="A1386" s="9" t="n"/>
      <c r="B1386" s="33" t="n"/>
      <c r="G1386" s="25">
        <f>IF($C1386="","",IFERROR(IF(INDEX(links!$A$2:$A$501,MATCH($C1386,links!$D$2:$D$501,0))="","",INDEX(links!$A$2:$A$501,MATCH($C1386,links!$D$2:$D$501,0))),""))</f>
        <v/>
      </c>
      <c r="H1386" s="25">
        <f>IF($C1386="","",IFERROR(IF(INDEX(links!$B$2:$B$501,MATCH($C1386,links!$D$2:$D$501,0))="","",INDEX(links!$B$2:$B$501,MATCH($C1386,links!$D$2:$D$501,0))),""))</f>
        <v/>
      </c>
      <c r="I1386" s="25">
        <f>IF($C1386="","",IFERROR(IF(INDEX(links!$C$2:$C$501,MATCH($C1386,links!$D$2:$D$501,0))="","",INDEX(links!$C$2:$C$501,MATCH($C1386,links!$D$2:$D$501,0))),""))</f>
        <v/>
      </c>
      <c r="J1386" s="25">
        <f>IF($C1386="","",IF($G1386="","slug not in links; ","")&amp;IF($D1386="","reading type missing; ","")&amp;IF(COUNTIFS(scans!$C$2:$C$1601,$C1386,scans!$D$2:$D$1601,$D1386)&gt;1,"two readings of this type: keep one; ",""))</f>
        <v/>
      </c>
    </row>
    <row r="1387">
      <c r="A1387" s="9" t="n"/>
      <c r="B1387" s="33" t="n"/>
      <c r="G1387" s="25">
        <f>IF($C1387="","",IFERROR(IF(INDEX(links!$A$2:$A$501,MATCH($C1387,links!$D$2:$D$501,0))="","",INDEX(links!$A$2:$A$501,MATCH($C1387,links!$D$2:$D$501,0))),""))</f>
        <v/>
      </c>
      <c r="H1387" s="25">
        <f>IF($C1387="","",IFERROR(IF(INDEX(links!$B$2:$B$501,MATCH($C1387,links!$D$2:$D$501,0))="","",INDEX(links!$B$2:$B$501,MATCH($C1387,links!$D$2:$D$501,0))),""))</f>
        <v/>
      </c>
      <c r="I1387" s="25">
        <f>IF($C1387="","",IFERROR(IF(INDEX(links!$C$2:$C$501,MATCH($C1387,links!$D$2:$D$501,0))="","",INDEX(links!$C$2:$C$501,MATCH($C1387,links!$D$2:$D$501,0))),""))</f>
        <v/>
      </c>
      <c r="J1387" s="25">
        <f>IF($C1387="","",IF($G1387="","slug not in links; ","")&amp;IF($D1387="","reading type missing; ","")&amp;IF(COUNTIFS(scans!$C$2:$C$1601,$C1387,scans!$D$2:$D$1601,$D1387)&gt;1,"two readings of this type: keep one; ",""))</f>
        <v/>
      </c>
    </row>
    <row r="1388">
      <c r="A1388" s="9" t="n"/>
      <c r="B1388" s="33" t="n"/>
      <c r="G1388" s="25">
        <f>IF($C1388="","",IFERROR(IF(INDEX(links!$A$2:$A$501,MATCH($C1388,links!$D$2:$D$501,0))="","",INDEX(links!$A$2:$A$501,MATCH($C1388,links!$D$2:$D$501,0))),""))</f>
        <v/>
      </c>
      <c r="H1388" s="25">
        <f>IF($C1388="","",IFERROR(IF(INDEX(links!$B$2:$B$501,MATCH($C1388,links!$D$2:$D$501,0))="","",INDEX(links!$B$2:$B$501,MATCH($C1388,links!$D$2:$D$501,0))),""))</f>
        <v/>
      </c>
      <c r="I1388" s="25">
        <f>IF($C1388="","",IFERROR(IF(INDEX(links!$C$2:$C$501,MATCH($C1388,links!$D$2:$D$501,0))="","",INDEX(links!$C$2:$C$501,MATCH($C1388,links!$D$2:$D$501,0))),""))</f>
        <v/>
      </c>
      <c r="J1388" s="25">
        <f>IF($C1388="","",IF($G1388="","slug not in links; ","")&amp;IF($D1388="","reading type missing; ","")&amp;IF(COUNTIFS(scans!$C$2:$C$1601,$C1388,scans!$D$2:$D$1601,$D1388)&gt;1,"two readings of this type: keep one; ",""))</f>
        <v/>
      </c>
    </row>
    <row r="1389">
      <c r="A1389" s="9" t="n"/>
      <c r="B1389" s="33" t="n"/>
      <c r="G1389" s="25">
        <f>IF($C1389="","",IFERROR(IF(INDEX(links!$A$2:$A$501,MATCH($C1389,links!$D$2:$D$501,0))="","",INDEX(links!$A$2:$A$501,MATCH($C1389,links!$D$2:$D$501,0))),""))</f>
        <v/>
      </c>
      <c r="H1389" s="25">
        <f>IF($C1389="","",IFERROR(IF(INDEX(links!$B$2:$B$501,MATCH($C1389,links!$D$2:$D$501,0))="","",INDEX(links!$B$2:$B$501,MATCH($C1389,links!$D$2:$D$501,0))),""))</f>
        <v/>
      </c>
      <c r="I1389" s="25">
        <f>IF($C1389="","",IFERROR(IF(INDEX(links!$C$2:$C$501,MATCH($C1389,links!$D$2:$D$501,0))="","",INDEX(links!$C$2:$C$501,MATCH($C1389,links!$D$2:$D$501,0))),""))</f>
        <v/>
      </c>
      <c r="J1389" s="25">
        <f>IF($C1389="","",IF($G1389="","slug not in links; ","")&amp;IF($D1389="","reading type missing; ","")&amp;IF(COUNTIFS(scans!$C$2:$C$1601,$C1389,scans!$D$2:$D$1601,$D1389)&gt;1,"two readings of this type: keep one; ",""))</f>
        <v/>
      </c>
    </row>
    <row r="1390">
      <c r="A1390" s="9" t="n"/>
      <c r="B1390" s="33" t="n"/>
      <c r="G1390" s="25">
        <f>IF($C1390="","",IFERROR(IF(INDEX(links!$A$2:$A$501,MATCH($C1390,links!$D$2:$D$501,0))="","",INDEX(links!$A$2:$A$501,MATCH($C1390,links!$D$2:$D$501,0))),""))</f>
        <v/>
      </c>
      <c r="H1390" s="25">
        <f>IF($C1390="","",IFERROR(IF(INDEX(links!$B$2:$B$501,MATCH($C1390,links!$D$2:$D$501,0))="","",INDEX(links!$B$2:$B$501,MATCH($C1390,links!$D$2:$D$501,0))),""))</f>
        <v/>
      </c>
      <c r="I1390" s="25">
        <f>IF($C1390="","",IFERROR(IF(INDEX(links!$C$2:$C$501,MATCH($C1390,links!$D$2:$D$501,0))="","",INDEX(links!$C$2:$C$501,MATCH($C1390,links!$D$2:$D$501,0))),""))</f>
        <v/>
      </c>
      <c r="J1390" s="25">
        <f>IF($C1390="","",IF($G1390="","slug not in links; ","")&amp;IF($D1390="","reading type missing; ","")&amp;IF(COUNTIFS(scans!$C$2:$C$1601,$C1390,scans!$D$2:$D$1601,$D1390)&gt;1,"two readings of this type: keep one; ",""))</f>
        <v/>
      </c>
    </row>
    <row r="1391">
      <c r="A1391" s="9" t="n"/>
      <c r="B1391" s="33" t="n"/>
      <c r="G1391" s="25">
        <f>IF($C1391="","",IFERROR(IF(INDEX(links!$A$2:$A$501,MATCH($C1391,links!$D$2:$D$501,0))="","",INDEX(links!$A$2:$A$501,MATCH($C1391,links!$D$2:$D$501,0))),""))</f>
        <v/>
      </c>
      <c r="H1391" s="25">
        <f>IF($C1391="","",IFERROR(IF(INDEX(links!$B$2:$B$501,MATCH($C1391,links!$D$2:$D$501,0))="","",INDEX(links!$B$2:$B$501,MATCH($C1391,links!$D$2:$D$501,0))),""))</f>
        <v/>
      </c>
      <c r="I1391" s="25">
        <f>IF($C1391="","",IFERROR(IF(INDEX(links!$C$2:$C$501,MATCH($C1391,links!$D$2:$D$501,0))="","",INDEX(links!$C$2:$C$501,MATCH($C1391,links!$D$2:$D$501,0))),""))</f>
        <v/>
      </c>
      <c r="J1391" s="25">
        <f>IF($C1391="","",IF($G1391="","slug not in links; ","")&amp;IF($D1391="","reading type missing; ","")&amp;IF(COUNTIFS(scans!$C$2:$C$1601,$C1391,scans!$D$2:$D$1601,$D1391)&gt;1,"two readings of this type: keep one; ",""))</f>
        <v/>
      </c>
    </row>
    <row r="1392">
      <c r="A1392" s="9" t="n"/>
      <c r="B1392" s="33" t="n"/>
      <c r="G1392" s="25">
        <f>IF($C1392="","",IFERROR(IF(INDEX(links!$A$2:$A$501,MATCH($C1392,links!$D$2:$D$501,0))="","",INDEX(links!$A$2:$A$501,MATCH($C1392,links!$D$2:$D$501,0))),""))</f>
        <v/>
      </c>
      <c r="H1392" s="25">
        <f>IF($C1392="","",IFERROR(IF(INDEX(links!$B$2:$B$501,MATCH($C1392,links!$D$2:$D$501,0))="","",INDEX(links!$B$2:$B$501,MATCH($C1392,links!$D$2:$D$501,0))),""))</f>
        <v/>
      </c>
      <c r="I1392" s="25">
        <f>IF($C1392="","",IFERROR(IF(INDEX(links!$C$2:$C$501,MATCH($C1392,links!$D$2:$D$501,0))="","",INDEX(links!$C$2:$C$501,MATCH($C1392,links!$D$2:$D$501,0))),""))</f>
        <v/>
      </c>
      <c r="J1392" s="25">
        <f>IF($C1392="","",IF($G1392="","slug not in links; ","")&amp;IF($D1392="","reading type missing; ","")&amp;IF(COUNTIFS(scans!$C$2:$C$1601,$C1392,scans!$D$2:$D$1601,$D1392)&gt;1,"two readings of this type: keep one; ",""))</f>
        <v/>
      </c>
    </row>
    <row r="1393">
      <c r="A1393" s="9" t="n"/>
      <c r="B1393" s="33" t="n"/>
      <c r="G1393" s="25">
        <f>IF($C1393="","",IFERROR(IF(INDEX(links!$A$2:$A$501,MATCH($C1393,links!$D$2:$D$501,0))="","",INDEX(links!$A$2:$A$501,MATCH($C1393,links!$D$2:$D$501,0))),""))</f>
        <v/>
      </c>
      <c r="H1393" s="25">
        <f>IF($C1393="","",IFERROR(IF(INDEX(links!$B$2:$B$501,MATCH($C1393,links!$D$2:$D$501,0))="","",INDEX(links!$B$2:$B$501,MATCH($C1393,links!$D$2:$D$501,0))),""))</f>
        <v/>
      </c>
      <c r="I1393" s="25">
        <f>IF($C1393="","",IFERROR(IF(INDEX(links!$C$2:$C$501,MATCH($C1393,links!$D$2:$D$501,0))="","",INDEX(links!$C$2:$C$501,MATCH($C1393,links!$D$2:$D$501,0))),""))</f>
        <v/>
      </c>
      <c r="J1393" s="25">
        <f>IF($C1393="","",IF($G1393="","slug not in links; ","")&amp;IF($D1393="","reading type missing; ","")&amp;IF(COUNTIFS(scans!$C$2:$C$1601,$C1393,scans!$D$2:$D$1601,$D1393)&gt;1,"two readings of this type: keep one; ",""))</f>
        <v/>
      </c>
    </row>
    <row r="1394">
      <c r="A1394" s="9" t="n"/>
      <c r="B1394" s="33" t="n"/>
      <c r="G1394" s="25">
        <f>IF($C1394="","",IFERROR(IF(INDEX(links!$A$2:$A$501,MATCH($C1394,links!$D$2:$D$501,0))="","",INDEX(links!$A$2:$A$501,MATCH($C1394,links!$D$2:$D$501,0))),""))</f>
        <v/>
      </c>
      <c r="H1394" s="25">
        <f>IF($C1394="","",IFERROR(IF(INDEX(links!$B$2:$B$501,MATCH($C1394,links!$D$2:$D$501,0))="","",INDEX(links!$B$2:$B$501,MATCH($C1394,links!$D$2:$D$501,0))),""))</f>
        <v/>
      </c>
      <c r="I1394" s="25">
        <f>IF($C1394="","",IFERROR(IF(INDEX(links!$C$2:$C$501,MATCH($C1394,links!$D$2:$D$501,0))="","",INDEX(links!$C$2:$C$501,MATCH($C1394,links!$D$2:$D$501,0))),""))</f>
        <v/>
      </c>
      <c r="J1394" s="25">
        <f>IF($C1394="","",IF($G1394="","slug not in links; ","")&amp;IF($D1394="","reading type missing; ","")&amp;IF(COUNTIFS(scans!$C$2:$C$1601,$C1394,scans!$D$2:$D$1601,$D1394)&gt;1,"two readings of this type: keep one; ",""))</f>
        <v/>
      </c>
    </row>
    <row r="1395">
      <c r="A1395" s="9" t="n"/>
      <c r="B1395" s="33" t="n"/>
      <c r="G1395" s="25">
        <f>IF($C1395="","",IFERROR(IF(INDEX(links!$A$2:$A$501,MATCH($C1395,links!$D$2:$D$501,0))="","",INDEX(links!$A$2:$A$501,MATCH($C1395,links!$D$2:$D$501,0))),""))</f>
        <v/>
      </c>
      <c r="H1395" s="25">
        <f>IF($C1395="","",IFERROR(IF(INDEX(links!$B$2:$B$501,MATCH($C1395,links!$D$2:$D$501,0))="","",INDEX(links!$B$2:$B$501,MATCH($C1395,links!$D$2:$D$501,0))),""))</f>
        <v/>
      </c>
      <c r="I1395" s="25">
        <f>IF($C1395="","",IFERROR(IF(INDEX(links!$C$2:$C$501,MATCH($C1395,links!$D$2:$D$501,0))="","",INDEX(links!$C$2:$C$501,MATCH($C1395,links!$D$2:$D$501,0))),""))</f>
        <v/>
      </c>
      <c r="J1395" s="25">
        <f>IF($C1395="","",IF($G1395="","slug not in links; ","")&amp;IF($D1395="","reading type missing; ","")&amp;IF(COUNTIFS(scans!$C$2:$C$1601,$C1395,scans!$D$2:$D$1601,$D1395)&gt;1,"two readings of this type: keep one; ",""))</f>
        <v/>
      </c>
    </row>
    <row r="1396">
      <c r="A1396" s="9" t="n"/>
      <c r="B1396" s="33" t="n"/>
      <c r="G1396" s="25">
        <f>IF($C1396="","",IFERROR(IF(INDEX(links!$A$2:$A$501,MATCH($C1396,links!$D$2:$D$501,0))="","",INDEX(links!$A$2:$A$501,MATCH($C1396,links!$D$2:$D$501,0))),""))</f>
        <v/>
      </c>
      <c r="H1396" s="25">
        <f>IF($C1396="","",IFERROR(IF(INDEX(links!$B$2:$B$501,MATCH($C1396,links!$D$2:$D$501,0))="","",INDEX(links!$B$2:$B$501,MATCH($C1396,links!$D$2:$D$501,0))),""))</f>
        <v/>
      </c>
      <c r="I1396" s="25">
        <f>IF($C1396="","",IFERROR(IF(INDEX(links!$C$2:$C$501,MATCH($C1396,links!$D$2:$D$501,0))="","",INDEX(links!$C$2:$C$501,MATCH($C1396,links!$D$2:$D$501,0))),""))</f>
        <v/>
      </c>
      <c r="J1396" s="25">
        <f>IF($C1396="","",IF($G1396="","slug not in links; ","")&amp;IF($D1396="","reading type missing; ","")&amp;IF(COUNTIFS(scans!$C$2:$C$1601,$C1396,scans!$D$2:$D$1601,$D1396)&gt;1,"two readings of this type: keep one; ",""))</f>
        <v/>
      </c>
    </row>
    <row r="1397">
      <c r="A1397" s="9" t="n"/>
      <c r="B1397" s="33" t="n"/>
      <c r="G1397" s="25">
        <f>IF($C1397="","",IFERROR(IF(INDEX(links!$A$2:$A$501,MATCH($C1397,links!$D$2:$D$501,0))="","",INDEX(links!$A$2:$A$501,MATCH($C1397,links!$D$2:$D$501,0))),""))</f>
        <v/>
      </c>
      <c r="H1397" s="25">
        <f>IF($C1397="","",IFERROR(IF(INDEX(links!$B$2:$B$501,MATCH($C1397,links!$D$2:$D$501,0))="","",INDEX(links!$B$2:$B$501,MATCH($C1397,links!$D$2:$D$501,0))),""))</f>
        <v/>
      </c>
      <c r="I1397" s="25">
        <f>IF($C1397="","",IFERROR(IF(INDEX(links!$C$2:$C$501,MATCH($C1397,links!$D$2:$D$501,0))="","",INDEX(links!$C$2:$C$501,MATCH($C1397,links!$D$2:$D$501,0))),""))</f>
        <v/>
      </c>
      <c r="J1397" s="25">
        <f>IF($C1397="","",IF($G1397="","slug not in links; ","")&amp;IF($D1397="","reading type missing; ","")&amp;IF(COUNTIFS(scans!$C$2:$C$1601,$C1397,scans!$D$2:$D$1601,$D1397)&gt;1,"two readings of this type: keep one; ",""))</f>
        <v/>
      </c>
    </row>
    <row r="1398">
      <c r="A1398" s="9" t="n"/>
      <c r="B1398" s="33" t="n"/>
      <c r="G1398" s="25">
        <f>IF($C1398="","",IFERROR(IF(INDEX(links!$A$2:$A$501,MATCH($C1398,links!$D$2:$D$501,0))="","",INDEX(links!$A$2:$A$501,MATCH($C1398,links!$D$2:$D$501,0))),""))</f>
        <v/>
      </c>
      <c r="H1398" s="25">
        <f>IF($C1398="","",IFERROR(IF(INDEX(links!$B$2:$B$501,MATCH($C1398,links!$D$2:$D$501,0))="","",INDEX(links!$B$2:$B$501,MATCH($C1398,links!$D$2:$D$501,0))),""))</f>
        <v/>
      </c>
      <c r="I1398" s="25">
        <f>IF($C1398="","",IFERROR(IF(INDEX(links!$C$2:$C$501,MATCH($C1398,links!$D$2:$D$501,0))="","",INDEX(links!$C$2:$C$501,MATCH($C1398,links!$D$2:$D$501,0))),""))</f>
        <v/>
      </c>
      <c r="J1398" s="25">
        <f>IF($C1398="","",IF($G1398="","slug not in links; ","")&amp;IF($D1398="","reading type missing; ","")&amp;IF(COUNTIFS(scans!$C$2:$C$1601,$C1398,scans!$D$2:$D$1601,$D1398)&gt;1,"two readings of this type: keep one; ",""))</f>
        <v/>
      </c>
    </row>
    <row r="1399">
      <c r="A1399" s="9" t="n"/>
      <c r="B1399" s="33" t="n"/>
      <c r="G1399" s="25">
        <f>IF($C1399="","",IFERROR(IF(INDEX(links!$A$2:$A$501,MATCH($C1399,links!$D$2:$D$501,0))="","",INDEX(links!$A$2:$A$501,MATCH($C1399,links!$D$2:$D$501,0))),""))</f>
        <v/>
      </c>
      <c r="H1399" s="25">
        <f>IF($C1399="","",IFERROR(IF(INDEX(links!$B$2:$B$501,MATCH($C1399,links!$D$2:$D$501,0))="","",INDEX(links!$B$2:$B$501,MATCH($C1399,links!$D$2:$D$501,0))),""))</f>
        <v/>
      </c>
      <c r="I1399" s="25">
        <f>IF($C1399="","",IFERROR(IF(INDEX(links!$C$2:$C$501,MATCH($C1399,links!$D$2:$D$501,0))="","",INDEX(links!$C$2:$C$501,MATCH($C1399,links!$D$2:$D$501,0))),""))</f>
        <v/>
      </c>
      <c r="J1399" s="25">
        <f>IF($C1399="","",IF($G1399="","slug not in links; ","")&amp;IF($D1399="","reading type missing; ","")&amp;IF(COUNTIFS(scans!$C$2:$C$1601,$C1399,scans!$D$2:$D$1601,$D1399)&gt;1,"two readings of this type: keep one; ",""))</f>
        <v/>
      </c>
    </row>
    <row r="1400">
      <c r="A1400" s="9" t="n"/>
      <c r="B1400" s="33" t="n"/>
      <c r="G1400" s="25">
        <f>IF($C1400="","",IFERROR(IF(INDEX(links!$A$2:$A$501,MATCH($C1400,links!$D$2:$D$501,0))="","",INDEX(links!$A$2:$A$501,MATCH($C1400,links!$D$2:$D$501,0))),""))</f>
        <v/>
      </c>
      <c r="H1400" s="25">
        <f>IF($C1400="","",IFERROR(IF(INDEX(links!$B$2:$B$501,MATCH($C1400,links!$D$2:$D$501,0))="","",INDEX(links!$B$2:$B$501,MATCH($C1400,links!$D$2:$D$501,0))),""))</f>
        <v/>
      </c>
      <c r="I1400" s="25">
        <f>IF($C1400="","",IFERROR(IF(INDEX(links!$C$2:$C$501,MATCH($C1400,links!$D$2:$D$501,0))="","",INDEX(links!$C$2:$C$501,MATCH($C1400,links!$D$2:$D$501,0))),""))</f>
        <v/>
      </c>
      <c r="J1400" s="25">
        <f>IF($C1400="","",IF($G1400="","slug not in links; ","")&amp;IF($D1400="","reading type missing; ","")&amp;IF(COUNTIFS(scans!$C$2:$C$1601,$C1400,scans!$D$2:$D$1601,$D1400)&gt;1,"two readings of this type: keep one; ",""))</f>
        <v/>
      </c>
    </row>
    <row r="1401">
      <c r="A1401" s="9" t="n"/>
      <c r="B1401" s="33" t="n"/>
      <c r="G1401" s="25">
        <f>IF($C1401="","",IFERROR(IF(INDEX(links!$A$2:$A$501,MATCH($C1401,links!$D$2:$D$501,0))="","",INDEX(links!$A$2:$A$501,MATCH($C1401,links!$D$2:$D$501,0))),""))</f>
        <v/>
      </c>
      <c r="H1401" s="25">
        <f>IF($C1401="","",IFERROR(IF(INDEX(links!$B$2:$B$501,MATCH($C1401,links!$D$2:$D$501,0))="","",INDEX(links!$B$2:$B$501,MATCH($C1401,links!$D$2:$D$501,0))),""))</f>
        <v/>
      </c>
      <c r="I1401" s="25">
        <f>IF($C1401="","",IFERROR(IF(INDEX(links!$C$2:$C$501,MATCH($C1401,links!$D$2:$D$501,0))="","",INDEX(links!$C$2:$C$501,MATCH($C1401,links!$D$2:$D$501,0))),""))</f>
        <v/>
      </c>
      <c r="J1401" s="25">
        <f>IF($C1401="","",IF($G1401="","slug not in links; ","")&amp;IF($D1401="","reading type missing; ","")&amp;IF(COUNTIFS(scans!$C$2:$C$1601,$C1401,scans!$D$2:$D$1601,$D1401)&gt;1,"two readings of this type: keep one; ",""))</f>
        <v/>
      </c>
    </row>
    <row r="1402">
      <c r="A1402" s="9" t="n"/>
      <c r="B1402" s="33" t="n"/>
      <c r="G1402" s="25">
        <f>IF($C1402="","",IFERROR(IF(INDEX(links!$A$2:$A$501,MATCH($C1402,links!$D$2:$D$501,0))="","",INDEX(links!$A$2:$A$501,MATCH($C1402,links!$D$2:$D$501,0))),""))</f>
        <v/>
      </c>
      <c r="H1402" s="25">
        <f>IF($C1402="","",IFERROR(IF(INDEX(links!$B$2:$B$501,MATCH($C1402,links!$D$2:$D$501,0))="","",INDEX(links!$B$2:$B$501,MATCH($C1402,links!$D$2:$D$501,0))),""))</f>
        <v/>
      </c>
      <c r="I1402" s="25">
        <f>IF($C1402="","",IFERROR(IF(INDEX(links!$C$2:$C$501,MATCH($C1402,links!$D$2:$D$501,0))="","",INDEX(links!$C$2:$C$501,MATCH($C1402,links!$D$2:$D$501,0))),""))</f>
        <v/>
      </c>
      <c r="J1402" s="25">
        <f>IF($C1402="","",IF($G1402="","slug not in links; ","")&amp;IF($D1402="","reading type missing; ","")&amp;IF(COUNTIFS(scans!$C$2:$C$1601,$C1402,scans!$D$2:$D$1601,$D1402)&gt;1,"two readings of this type: keep one; ",""))</f>
        <v/>
      </c>
    </row>
    <row r="1403">
      <c r="A1403" s="9" t="n"/>
      <c r="B1403" s="33" t="n"/>
      <c r="G1403" s="25">
        <f>IF($C1403="","",IFERROR(IF(INDEX(links!$A$2:$A$501,MATCH($C1403,links!$D$2:$D$501,0))="","",INDEX(links!$A$2:$A$501,MATCH($C1403,links!$D$2:$D$501,0))),""))</f>
        <v/>
      </c>
      <c r="H1403" s="25">
        <f>IF($C1403="","",IFERROR(IF(INDEX(links!$B$2:$B$501,MATCH($C1403,links!$D$2:$D$501,0))="","",INDEX(links!$B$2:$B$501,MATCH($C1403,links!$D$2:$D$501,0))),""))</f>
        <v/>
      </c>
      <c r="I1403" s="25">
        <f>IF($C1403="","",IFERROR(IF(INDEX(links!$C$2:$C$501,MATCH($C1403,links!$D$2:$D$501,0))="","",INDEX(links!$C$2:$C$501,MATCH($C1403,links!$D$2:$D$501,0))),""))</f>
        <v/>
      </c>
      <c r="J1403" s="25">
        <f>IF($C1403="","",IF($G1403="","slug not in links; ","")&amp;IF($D1403="","reading type missing; ","")&amp;IF(COUNTIFS(scans!$C$2:$C$1601,$C1403,scans!$D$2:$D$1601,$D1403)&gt;1,"two readings of this type: keep one; ",""))</f>
        <v/>
      </c>
    </row>
    <row r="1404">
      <c r="A1404" s="9" t="n"/>
      <c r="B1404" s="33" t="n"/>
      <c r="G1404" s="25">
        <f>IF($C1404="","",IFERROR(IF(INDEX(links!$A$2:$A$501,MATCH($C1404,links!$D$2:$D$501,0))="","",INDEX(links!$A$2:$A$501,MATCH($C1404,links!$D$2:$D$501,0))),""))</f>
        <v/>
      </c>
      <c r="H1404" s="25">
        <f>IF($C1404="","",IFERROR(IF(INDEX(links!$B$2:$B$501,MATCH($C1404,links!$D$2:$D$501,0))="","",INDEX(links!$B$2:$B$501,MATCH($C1404,links!$D$2:$D$501,0))),""))</f>
        <v/>
      </c>
      <c r="I1404" s="25">
        <f>IF($C1404="","",IFERROR(IF(INDEX(links!$C$2:$C$501,MATCH($C1404,links!$D$2:$D$501,0))="","",INDEX(links!$C$2:$C$501,MATCH($C1404,links!$D$2:$D$501,0))),""))</f>
        <v/>
      </c>
      <c r="J1404" s="25">
        <f>IF($C1404="","",IF($G1404="","slug not in links; ","")&amp;IF($D1404="","reading type missing; ","")&amp;IF(COUNTIFS(scans!$C$2:$C$1601,$C1404,scans!$D$2:$D$1601,$D1404)&gt;1,"two readings of this type: keep one; ",""))</f>
        <v/>
      </c>
    </row>
    <row r="1405">
      <c r="A1405" s="9" t="n"/>
      <c r="B1405" s="33" t="n"/>
      <c r="G1405" s="25">
        <f>IF($C1405="","",IFERROR(IF(INDEX(links!$A$2:$A$501,MATCH($C1405,links!$D$2:$D$501,0))="","",INDEX(links!$A$2:$A$501,MATCH($C1405,links!$D$2:$D$501,0))),""))</f>
        <v/>
      </c>
      <c r="H1405" s="25">
        <f>IF($C1405="","",IFERROR(IF(INDEX(links!$B$2:$B$501,MATCH($C1405,links!$D$2:$D$501,0))="","",INDEX(links!$B$2:$B$501,MATCH($C1405,links!$D$2:$D$501,0))),""))</f>
        <v/>
      </c>
      <c r="I1405" s="25">
        <f>IF($C1405="","",IFERROR(IF(INDEX(links!$C$2:$C$501,MATCH($C1405,links!$D$2:$D$501,0))="","",INDEX(links!$C$2:$C$501,MATCH($C1405,links!$D$2:$D$501,0))),""))</f>
        <v/>
      </c>
      <c r="J1405" s="25">
        <f>IF($C1405="","",IF($G1405="","slug not in links; ","")&amp;IF($D1405="","reading type missing; ","")&amp;IF(COUNTIFS(scans!$C$2:$C$1601,$C1405,scans!$D$2:$D$1601,$D1405)&gt;1,"two readings of this type: keep one; ",""))</f>
        <v/>
      </c>
    </row>
    <row r="1406">
      <c r="A1406" s="9" t="n"/>
      <c r="B1406" s="33" t="n"/>
      <c r="G1406" s="25">
        <f>IF($C1406="","",IFERROR(IF(INDEX(links!$A$2:$A$501,MATCH($C1406,links!$D$2:$D$501,0))="","",INDEX(links!$A$2:$A$501,MATCH($C1406,links!$D$2:$D$501,0))),""))</f>
        <v/>
      </c>
      <c r="H1406" s="25">
        <f>IF($C1406="","",IFERROR(IF(INDEX(links!$B$2:$B$501,MATCH($C1406,links!$D$2:$D$501,0))="","",INDEX(links!$B$2:$B$501,MATCH($C1406,links!$D$2:$D$501,0))),""))</f>
        <v/>
      </c>
      <c r="I1406" s="25">
        <f>IF($C1406="","",IFERROR(IF(INDEX(links!$C$2:$C$501,MATCH($C1406,links!$D$2:$D$501,0))="","",INDEX(links!$C$2:$C$501,MATCH($C1406,links!$D$2:$D$501,0))),""))</f>
        <v/>
      </c>
      <c r="J1406" s="25">
        <f>IF($C1406="","",IF($G1406="","slug not in links; ","")&amp;IF($D1406="","reading type missing; ","")&amp;IF(COUNTIFS(scans!$C$2:$C$1601,$C1406,scans!$D$2:$D$1601,$D1406)&gt;1,"two readings of this type: keep one; ",""))</f>
        <v/>
      </c>
    </row>
    <row r="1407">
      <c r="A1407" s="9" t="n"/>
      <c r="B1407" s="33" t="n"/>
      <c r="G1407" s="25">
        <f>IF($C1407="","",IFERROR(IF(INDEX(links!$A$2:$A$501,MATCH($C1407,links!$D$2:$D$501,0))="","",INDEX(links!$A$2:$A$501,MATCH($C1407,links!$D$2:$D$501,0))),""))</f>
        <v/>
      </c>
      <c r="H1407" s="25">
        <f>IF($C1407="","",IFERROR(IF(INDEX(links!$B$2:$B$501,MATCH($C1407,links!$D$2:$D$501,0))="","",INDEX(links!$B$2:$B$501,MATCH($C1407,links!$D$2:$D$501,0))),""))</f>
        <v/>
      </c>
      <c r="I1407" s="25">
        <f>IF($C1407="","",IFERROR(IF(INDEX(links!$C$2:$C$501,MATCH($C1407,links!$D$2:$D$501,0))="","",INDEX(links!$C$2:$C$501,MATCH($C1407,links!$D$2:$D$501,0))),""))</f>
        <v/>
      </c>
      <c r="J1407" s="25">
        <f>IF($C1407="","",IF($G1407="","slug not in links; ","")&amp;IF($D1407="","reading type missing; ","")&amp;IF(COUNTIFS(scans!$C$2:$C$1601,$C1407,scans!$D$2:$D$1601,$D1407)&gt;1,"two readings of this type: keep one; ",""))</f>
        <v/>
      </c>
    </row>
    <row r="1408">
      <c r="A1408" s="9" t="n"/>
      <c r="B1408" s="33" t="n"/>
      <c r="G1408" s="25">
        <f>IF($C1408="","",IFERROR(IF(INDEX(links!$A$2:$A$501,MATCH($C1408,links!$D$2:$D$501,0))="","",INDEX(links!$A$2:$A$501,MATCH($C1408,links!$D$2:$D$501,0))),""))</f>
        <v/>
      </c>
      <c r="H1408" s="25">
        <f>IF($C1408="","",IFERROR(IF(INDEX(links!$B$2:$B$501,MATCH($C1408,links!$D$2:$D$501,0))="","",INDEX(links!$B$2:$B$501,MATCH($C1408,links!$D$2:$D$501,0))),""))</f>
        <v/>
      </c>
      <c r="I1408" s="25">
        <f>IF($C1408="","",IFERROR(IF(INDEX(links!$C$2:$C$501,MATCH($C1408,links!$D$2:$D$501,0))="","",INDEX(links!$C$2:$C$501,MATCH($C1408,links!$D$2:$D$501,0))),""))</f>
        <v/>
      </c>
      <c r="J1408" s="25">
        <f>IF($C1408="","",IF($G1408="","slug not in links; ","")&amp;IF($D1408="","reading type missing; ","")&amp;IF(COUNTIFS(scans!$C$2:$C$1601,$C1408,scans!$D$2:$D$1601,$D1408)&gt;1,"two readings of this type: keep one; ",""))</f>
        <v/>
      </c>
    </row>
    <row r="1409">
      <c r="A1409" s="9" t="n"/>
      <c r="B1409" s="33" t="n"/>
      <c r="G1409" s="25">
        <f>IF($C1409="","",IFERROR(IF(INDEX(links!$A$2:$A$501,MATCH($C1409,links!$D$2:$D$501,0))="","",INDEX(links!$A$2:$A$501,MATCH($C1409,links!$D$2:$D$501,0))),""))</f>
        <v/>
      </c>
      <c r="H1409" s="25">
        <f>IF($C1409="","",IFERROR(IF(INDEX(links!$B$2:$B$501,MATCH($C1409,links!$D$2:$D$501,0))="","",INDEX(links!$B$2:$B$501,MATCH($C1409,links!$D$2:$D$501,0))),""))</f>
        <v/>
      </c>
      <c r="I1409" s="25">
        <f>IF($C1409="","",IFERROR(IF(INDEX(links!$C$2:$C$501,MATCH($C1409,links!$D$2:$D$501,0))="","",INDEX(links!$C$2:$C$501,MATCH($C1409,links!$D$2:$D$501,0))),""))</f>
        <v/>
      </c>
      <c r="J1409" s="25">
        <f>IF($C1409="","",IF($G1409="","slug not in links; ","")&amp;IF($D1409="","reading type missing; ","")&amp;IF(COUNTIFS(scans!$C$2:$C$1601,$C1409,scans!$D$2:$D$1601,$D1409)&gt;1,"two readings of this type: keep one; ",""))</f>
        <v/>
      </c>
    </row>
    <row r="1410">
      <c r="A1410" s="9" t="n"/>
      <c r="B1410" s="33" t="n"/>
      <c r="G1410" s="25">
        <f>IF($C1410="","",IFERROR(IF(INDEX(links!$A$2:$A$501,MATCH($C1410,links!$D$2:$D$501,0))="","",INDEX(links!$A$2:$A$501,MATCH($C1410,links!$D$2:$D$501,0))),""))</f>
        <v/>
      </c>
      <c r="H1410" s="25">
        <f>IF($C1410="","",IFERROR(IF(INDEX(links!$B$2:$B$501,MATCH($C1410,links!$D$2:$D$501,0))="","",INDEX(links!$B$2:$B$501,MATCH($C1410,links!$D$2:$D$501,0))),""))</f>
        <v/>
      </c>
      <c r="I1410" s="25">
        <f>IF($C1410="","",IFERROR(IF(INDEX(links!$C$2:$C$501,MATCH($C1410,links!$D$2:$D$501,0))="","",INDEX(links!$C$2:$C$501,MATCH($C1410,links!$D$2:$D$501,0))),""))</f>
        <v/>
      </c>
      <c r="J1410" s="25">
        <f>IF($C1410="","",IF($G1410="","slug not in links; ","")&amp;IF($D1410="","reading type missing; ","")&amp;IF(COUNTIFS(scans!$C$2:$C$1601,$C1410,scans!$D$2:$D$1601,$D1410)&gt;1,"two readings of this type: keep one; ",""))</f>
        <v/>
      </c>
    </row>
    <row r="1411">
      <c r="A1411" s="9" t="n"/>
      <c r="B1411" s="33" t="n"/>
      <c r="G1411" s="25">
        <f>IF($C1411="","",IFERROR(IF(INDEX(links!$A$2:$A$501,MATCH($C1411,links!$D$2:$D$501,0))="","",INDEX(links!$A$2:$A$501,MATCH($C1411,links!$D$2:$D$501,0))),""))</f>
        <v/>
      </c>
      <c r="H1411" s="25">
        <f>IF($C1411="","",IFERROR(IF(INDEX(links!$B$2:$B$501,MATCH($C1411,links!$D$2:$D$501,0))="","",INDEX(links!$B$2:$B$501,MATCH($C1411,links!$D$2:$D$501,0))),""))</f>
        <v/>
      </c>
      <c r="I1411" s="25">
        <f>IF($C1411="","",IFERROR(IF(INDEX(links!$C$2:$C$501,MATCH($C1411,links!$D$2:$D$501,0))="","",INDEX(links!$C$2:$C$501,MATCH($C1411,links!$D$2:$D$501,0))),""))</f>
        <v/>
      </c>
      <c r="J1411" s="25">
        <f>IF($C1411="","",IF($G1411="","slug not in links; ","")&amp;IF($D1411="","reading type missing; ","")&amp;IF(COUNTIFS(scans!$C$2:$C$1601,$C1411,scans!$D$2:$D$1601,$D1411)&gt;1,"two readings of this type: keep one; ",""))</f>
        <v/>
      </c>
    </row>
    <row r="1412">
      <c r="A1412" s="9" t="n"/>
      <c r="B1412" s="33" t="n"/>
      <c r="G1412" s="25">
        <f>IF($C1412="","",IFERROR(IF(INDEX(links!$A$2:$A$501,MATCH($C1412,links!$D$2:$D$501,0))="","",INDEX(links!$A$2:$A$501,MATCH($C1412,links!$D$2:$D$501,0))),""))</f>
        <v/>
      </c>
      <c r="H1412" s="25">
        <f>IF($C1412="","",IFERROR(IF(INDEX(links!$B$2:$B$501,MATCH($C1412,links!$D$2:$D$501,0))="","",INDEX(links!$B$2:$B$501,MATCH($C1412,links!$D$2:$D$501,0))),""))</f>
        <v/>
      </c>
      <c r="I1412" s="25">
        <f>IF($C1412="","",IFERROR(IF(INDEX(links!$C$2:$C$501,MATCH($C1412,links!$D$2:$D$501,0))="","",INDEX(links!$C$2:$C$501,MATCH($C1412,links!$D$2:$D$501,0))),""))</f>
        <v/>
      </c>
      <c r="J1412" s="25">
        <f>IF($C1412="","",IF($G1412="","slug not in links; ","")&amp;IF($D1412="","reading type missing; ","")&amp;IF(COUNTIFS(scans!$C$2:$C$1601,$C1412,scans!$D$2:$D$1601,$D1412)&gt;1,"two readings of this type: keep one; ",""))</f>
        <v/>
      </c>
    </row>
    <row r="1413">
      <c r="A1413" s="9" t="n"/>
      <c r="B1413" s="33" t="n"/>
      <c r="G1413" s="25">
        <f>IF($C1413="","",IFERROR(IF(INDEX(links!$A$2:$A$501,MATCH($C1413,links!$D$2:$D$501,0))="","",INDEX(links!$A$2:$A$501,MATCH($C1413,links!$D$2:$D$501,0))),""))</f>
        <v/>
      </c>
      <c r="H1413" s="25">
        <f>IF($C1413="","",IFERROR(IF(INDEX(links!$B$2:$B$501,MATCH($C1413,links!$D$2:$D$501,0))="","",INDEX(links!$B$2:$B$501,MATCH($C1413,links!$D$2:$D$501,0))),""))</f>
        <v/>
      </c>
      <c r="I1413" s="25">
        <f>IF($C1413="","",IFERROR(IF(INDEX(links!$C$2:$C$501,MATCH($C1413,links!$D$2:$D$501,0))="","",INDEX(links!$C$2:$C$501,MATCH($C1413,links!$D$2:$D$501,0))),""))</f>
        <v/>
      </c>
      <c r="J1413" s="25">
        <f>IF($C1413="","",IF($G1413="","slug not in links; ","")&amp;IF($D1413="","reading type missing; ","")&amp;IF(COUNTIFS(scans!$C$2:$C$1601,$C1413,scans!$D$2:$D$1601,$D1413)&gt;1,"two readings of this type: keep one; ",""))</f>
        <v/>
      </c>
    </row>
    <row r="1414">
      <c r="A1414" s="9" t="n"/>
      <c r="B1414" s="33" t="n"/>
      <c r="G1414" s="25">
        <f>IF($C1414="","",IFERROR(IF(INDEX(links!$A$2:$A$501,MATCH($C1414,links!$D$2:$D$501,0))="","",INDEX(links!$A$2:$A$501,MATCH($C1414,links!$D$2:$D$501,0))),""))</f>
        <v/>
      </c>
      <c r="H1414" s="25">
        <f>IF($C1414="","",IFERROR(IF(INDEX(links!$B$2:$B$501,MATCH($C1414,links!$D$2:$D$501,0))="","",INDEX(links!$B$2:$B$501,MATCH($C1414,links!$D$2:$D$501,0))),""))</f>
        <v/>
      </c>
      <c r="I1414" s="25">
        <f>IF($C1414="","",IFERROR(IF(INDEX(links!$C$2:$C$501,MATCH($C1414,links!$D$2:$D$501,0))="","",INDEX(links!$C$2:$C$501,MATCH($C1414,links!$D$2:$D$501,0))),""))</f>
        <v/>
      </c>
      <c r="J1414" s="25">
        <f>IF($C1414="","",IF($G1414="","slug not in links; ","")&amp;IF($D1414="","reading type missing; ","")&amp;IF(COUNTIFS(scans!$C$2:$C$1601,$C1414,scans!$D$2:$D$1601,$D1414)&gt;1,"two readings of this type: keep one; ",""))</f>
        <v/>
      </c>
    </row>
    <row r="1415">
      <c r="A1415" s="9" t="n"/>
      <c r="B1415" s="33" t="n"/>
      <c r="G1415" s="25">
        <f>IF($C1415="","",IFERROR(IF(INDEX(links!$A$2:$A$501,MATCH($C1415,links!$D$2:$D$501,0))="","",INDEX(links!$A$2:$A$501,MATCH($C1415,links!$D$2:$D$501,0))),""))</f>
        <v/>
      </c>
      <c r="H1415" s="25">
        <f>IF($C1415="","",IFERROR(IF(INDEX(links!$B$2:$B$501,MATCH($C1415,links!$D$2:$D$501,0))="","",INDEX(links!$B$2:$B$501,MATCH($C1415,links!$D$2:$D$501,0))),""))</f>
        <v/>
      </c>
      <c r="I1415" s="25">
        <f>IF($C1415="","",IFERROR(IF(INDEX(links!$C$2:$C$501,MATCH($C1415,links!$D$2:$D$501,0))="","",INDEX(links!$C$2:$C$501,MATCH($C1415,links!$D$2:$D$501,0))),""))</f>
        <v/>
      </c>
      <c r="J1415" s="25">
        <f>IF($C1415="","",IF($G1415="","slug not in links; ","")&amp;IF($D1415="","reading type missing; ","")&amp;IF(COUNTIFS(scans!$C$2:$C$1601,$C1415,scans!$D$2:$D$1601,$D1415)&gt;1,"two readings of this type: keep one; ",""))</f>
        <v/>
      </c>
    </row>
    <row r="1416">
      <c r="A1416" s="9" t="n"/>
      <c r="B1416" s="33" t="n"/>
      <c r="G1416" s="25">
        <f>IF($C1416="","",IFERROR(IF(INDEX(links!$A$2:$A$501,MATCH($C1416,links!$D$2:$D$501,0))="","",INDEX(links!$A$2:$A$501,MATCH($C1416,links!$D$2:$D$501,0))),""))</f>
        <v/>
      </c>
      <c r="H1416" s="25">
        <f>IF($C1416="","",IFERROR(IF(INDEX(links!$B$2:$B$501,MATCH($C1416,links!$D$2:$D$501,0))="","",INDEX(links!$B$2:$B$501,MATCH($C1416,links!$D$2:$D$501,0))),""))</f>
        <v/>
      </c>
      <c r="I1416" s="25">
        <f>IF($C1416="","",IFERROR(IF(INDEX(links!$C$2:$C$501,MATCH($C1416,links!$D$2:$D$501,0))="","",INDEX(links!$C$2:$C$501,MATCH($C1416,links!$D$2:$D$501,0))),""))</f>
        <v/>
      </c>
      <c r="J1416" s="25">
        <f>IF($C1416="","",IF($G1416="","slug not in links; ","")&amp;IF($D1416="","reading type missing; ","")&amp;IF(COUNTIFS(scans!$C$2:$C$1601,$C1416,scans!$D$2:$D$1601,$D1416)&gt;1,"two readings of this type: keep one; ",""))</f>
        <v/>
      </c>
    </row>
    <row r="1417">
      <c r="A1417" s="9" t="n"/>
      <c r="B1417" s="33" t="n"/>
      <c r="G1417" s="25">
        <f>IF($C1417="","",IFERROR(IF(INDEX(links!$A$2:$A$501,MATCH($C1417,links!$D$2:$D$501,0))="","",INDEX(links!$A$2:$A$501,MATCH($C1417,links!$D$2:$D$501,0))),""))</f>
        <v/>
      </c>
      <c r="H1417" s="25">
        <f>IF($C1417="","",IFERROR(IF(INDEX(links!$B$2:$B$501,MATCH($C1417,links!$D$2:$D$501,0))="","",INDEX(links!$B$2:$B$501,MATCH($C1417,links!$D$2:$D$501,0))),""))</f>
        <v/>
      </c>
      <c r="I1417" s="25">
        <f>IF($C1417="","",IFERROR(IF(INDEX(links!$C$2:$C$501,MATCH($C1417,links!$D$2:$D$501,0))="","",INDEX(links!$C$2:$C$501,MATCH($C1417,links!$D$2:$D$501,0))),""))</f>
        <v/>
      </c>
      <c r="J1417" s="25">
        <f>IF($C1417="","",IF($G1417="","slug not in links; ","")&amp;IF($D1417="","reading type missing; ","")&amp;IF(COUNTIFS(scans!$C$2:$C$1601,$C1417,scans!$D$2:$D$1601,$D1417)&gt;1,"two readings of this type: keep one; ",""))</f>
        <v/>
      </c>
    </row>
    <row r="1418">
      <c r="A1418" s="9" t="n"/>
      <c r="B1418" s="33" t="n"/>
      <c r="G1418" s="25">
        <f>IF($C1418="","",IFERROR(IF(INDEX(links!$A$2:$A$501,MATCH($C1418,links!$D$2:$D$501,0))="","",INDEX(links!$A$2:$A$501,MATCH($C1418,links!$D$2:$D$501,0))),""))</f>
        <v/>
      </c>
      <c r="H1418" s="25">
        <f>IF($C1418="","",IFERROR(IF(INDEX(links!$B$2:$B$501,MATCH($C1418,links!$D$2:$D$501,0))="","",INDEX(links!$B$2:$B$501,MATCH($C1418,links!$D$2:$D$501,0))),""))</f>
        <v/>
      </c>
      <c r="I1418" s="25">
        <f>IF($C1418="","",IFERROR(IF(INDEX(links!$C$2:$C$501,MATCH($C1418,links!$D$2:$D$501,0))="","",INDEX(links!$C$2:$C$501,MATCH($C1418,links!$D$2:$D$501,0))),""))</f>
        <v/>
      </c>
      <c r="J1418" s="25">
        <f>IF($C1418="","",IF($G1418="","slug not in links; ","")&amp;IF($D1418="","reading type missing; ","")&amp;IF(COUNTIFS(scans!$C$2:$C$1601,$C1418,scans!$D$2:$D$1601,$D1418)&gt;1,"two readings of this type: keep one; ",""))</f>
        <v/>
      </c>
    </row>
    <row r="1419">
      <c r="A1419" s="9" t="n"/>
      <c r="B1419" s="33" t="n"/>
      <c r="G1419" s="25">
        <f>IF($C1419="","",IFERROR(IF(INDEX(links!$A$2:$A$501,MATCH($C1419,links!$D$2:$D$501,0))="","",INDEX(links!$A$2:$A$501,MATCH($C1419,links!$D$2:$D$501,0))),""))</f>
        <v/>
      </c>
      <c r="H1419" s="25">
        <f>IF($C1419="","",IFERROR(IF(INDEX(links!$B$2:$B$501,MATCH($C1419,links!$D$2:$D$501,0))="","",INDEX(links!$B$2:$B$501,MATCH($C1419,links!$D$2:$D$501,0))),""))</f>
        <v/>
      </c>
      <c r="I1419" s="25">
        <f>IF($C1419="","",IFERROR(IF(INDEX(links!$C$2:$C$501,MATCH($C1419,links!$D$2:$D$501,0))="","",INDEX(links!$C$2:$C$501,MATCH($C1419,links!$D$2:$D$501,0))),""))</f>
        <v/>
      </c>
      <c r="J1419" s="25">
        <f>IF($C1419="","",IF($G1419="","slug not in links; ","")&amp;IF($D1419="","reading type missing; ","")&amp;IF(COUNTIFS(scans!$C$2:$C$1601,$C1419,scans!$D$2:$D$1601,$D1419)&gt;1,"two readings of this type: keep one; ",""))</f>
        <v/>
      </c>
    </row>
    <row r="1420">
      <c r="A1420" s="9" t="n"/>
      <c r="B1420" s="33" t="n"/>
      <c r="G1420" s="25">
        <f>IF($C1420="","",IFERROR(IF(INDEX(links!$A$2:$A$501,MATCH($C1420,links!$D$2:$D$501,0))="","",INDEX(links!$A$2:$A$501,MATCH($C1420,links!$D$2:$D$501,0))),""))</f>
        <v/>
      </c>
      <c r="H1420" s="25">
        <f>IF($C1420="","",IFERROR(IF(INDEX(links!$B$2:$B$501,MATCH($C1420,links!$D$2:$D$501,0))="","",INDEX(links!$B$2:$B$501,MATCH($C1420,links!$D$2:$D$501,0))),""))</f>
        <v/>
      </c>
      <c r="I1420" s="25">
        <f>IF($C1420="","",IFERROR(IF(INDEX(links!$C$2:$C$501,MATCH($C1420,links!$D$2:$D$501,0))="","",INDEX(links!$C$2:$C$501,MATCH($C1420,links!$D$2:$D$501,0))),""))</f>
        <v/>
      </c>
      <c r="J1420" s="25">
        <f>IF($C1420="","",IF($G1420="","slug not in links; ","")&amp;IF($D1420="","reading type missing; ","")&amp;IF(COUNTIFS(scans!$C$2:$C$1601,$C1420,scans!$D$2:$D$1601,$D1420)&gt;1,"two readings of this type: keep one; ",""))</f>
        <v/>
      </c>
    </row>
    <row r="1421">
      <c r="A1421" s="9" t="n"/>
      <c r="B1421" s="33" t="n"/>
      <c r="G1421" s="25">
        <f>IF($C1421="","",IFERROR(IF(INDEX(links!$A$2:$A$501,MATCH($C1421,links!$D$2:$D$501,0))="","",INDEX(links!$A$2:$A$501,MATCH($C1421,links!$D$2:$D$501,0))),""))</f>
        <v/>
      </c>
      <c r="H1421" s="25">
        <f>IF($C1421="","",IFERROR(IF(INDEX(links!$B$2:$B$501,MATCH($C1421,links!$D$2:$D$501,0))="","",INDEX(links!$B$2:$B$501,MATCH($C1421,links!$D$2:$D$501,0))),""))</f>
        <v/>
      </c>
      <c r="I1421" s="25">
        <f>IF($C1421="","",IFERROR(IF(INDEX(links!$C$2:$C$501,MATCH($C1421,links!$D$2:$D$501,0))="","",INDEX(links!$C$2:$C$501,MATCH($C1421,links!$D$2:$D$501,0))),""))</f>
        <v/>
      </c>
      <c r="J1421" s="25">
        <f>IF($C1421="","",IF($G1421="","slug not in links; ","")&amp;IF($D1421="","reading type missing; ","")&amp;IF(COUNTIFS(scans!$C$2:$C$1601,$C1421,scans!$D$2:$D$1601,$D1421)&gt;1,"two readings of this type: keep one; ",""))</f>
        <v/>
      </c>
    </row>
    <row r="1422">
      <c r="A1422" s="9" t="n"/>
      <c r="B1422" s="33" t="n"/>
      <c r="G1422" s="25">
        <f>IF($C1422="","",IFERROR(IF(INDEX(links!$A$2:$A$501,MATCH($C1422,links!$D$2:$D$501,0))="","",INDEX(links!$A$2:$A$501,MATCH($C1422,links!$D$2:$D$501,0))),""))</f>
        <v/>
      </c>
      <c r="H1422" s="25">
        <f>IF($C1422="","",IFERROR(IF(INDEX(links!$B$2:$B$501,MATCH($C1422,links!$D$2:$D$501,0))="","",INDEX(links!$B$2:$B$501,MATCH($C1422,links!$D$2:$D$501,0))),""))</f>
        <v/>
      </c>
      <c r="I1422" s="25">
        <f>IF($C1422="","",IFERROR(IF(INDEX(links!$C$2:$C$501,MATCH($C1422,links!$D$2:$D$501,0))="","",INDEX(links!$C$2:$C$501,MATCH($C1422,links!$D$2:$D$501,0))),""))</f>
        <v/>
      </c>
      <c r="J1422" s="25">
        <f>IF($C1422="","",IF($G1422="","slug not in links; ","")&amp;IF($D1422="","reading type missing; ","")&amp;IF(COUNTIFS(scans!$C$2:$C$1601,$C1422,scans!$D$2:$D$1601,$D1422)&gt;1,"two readings of this type: keep one; ",""))</f>
        <v/>
      </c>
    </row>
    <row r="1423">
      <c r="A1423" s="9" t="n"/>
      <c r="B1423" s="33" t="n"/>
      <c r="G1423" s="25">
        <f>IF($C1423="","",IFERROR(IF(INDEX(links!$A$2:$A$501,MATCH($C1423,links!$D$2:$D$501,0))="","",INDEX(links!$A$2:$A$501,MATCH($C1423,links!$D$2:$D$501,0))),""))</f>
        <v/>
      </c>
      <c r="H1423" s="25">
        <f>IF($C1423="","",IFERROR(IF(INDEX(links!$B$2:$B$501,MATCH($C1423,links!$D$2:$D$501,0))="","",INDEX(links!$B$2:$B$501,MATCH($C1423,links!$D$2:$D$501,0))),""))</f>
        <v/>
      </c>
      <c r="I1423" s="25">
        <f>IF($C1423="","",IFERROR(IF(INDEX(links!$C$2:$C$501,MATCH($C1423,links!$D$2:$D$501,0))="","",INDEX(links!$C$2:$C$501,MATCH($C1423,links!$D$2:$D$501,0))),""))</f>
        <v/>
      </c>
      <c r="J1423" s="25">
        <f>IF($C1423="","",IF($G1423="","slug not in links; ","")&amp;IF($D1423="","reading type missing; ","")&amp;IF(COUNTIFS(scans!$C$2:$C$1601,$C1423,scans!$D$2:$D$1601,$D1423)&gt;1,"two readings of this type: keep one; ",""))</f>
        <v/>
      </c>
    </row>
    <row r="1424">
      <c r="A1424" s="9" t="n"/>
      <c r="B1424" s="33" t="n"/>
      <c r="G1424" s="25">
        <f>IF($C1424="","",IFERROR(IF(INDEX(links!$A$2:$A$501,MATCH($C1424,links!$D$2:$D$501,0))="","",INDEX(links!$A$2:$A$501,MATCH($C1424,links!$D$2:$D$501,0))),""))</f>
        <v/>
      </c>
      <c r="H1424" s="25">
        <f>IF($C1424="","",IFERROR(IF(INDEX(links!$B$2:$B$501,MATCH($C1424,links!$D$2:$D$501,0))="","",INDEX(links!$B$2:$B$501,MATCH($C1424,links!$D$2:$D$501,0))),""))</f>
        <v/>
      </c>
      <c r="I1424" s="25">
        <f>IF($C1424="","",IFERROR(IF(INDEX(links!$C$2:$C$501,MATCH($C1424,links!$D$2:$D$501,0))="","",INDEX(links!$C$2:$C$501,MATCH($C1424,links!$D$2:$D$501,0))),""))</f>
        <v/>
      </c>
      <c r="J1424" s="25">
        <f>IF($C1424="","",IF($G1424="","slug not in links; ","")&amp;IF($D1424="","reading type missing; ","")&amp;IF(COUNTIFS(scans!$C$2:$C$1601,$C1424,scans!$D$2:$D$1601,$D1424)&gt;1,"two readings of this type: keep one; ",""))</f>
        <v/>
      </c>
    </row>
    <row r="1425">
      <c r="A1425" s="9" t="n"/>
      <c r="B1425" s="33" t="n"/>
      <c r="G1425" s="25">
        <f>IF($C1425="","",IFERROR(IF(INDEX(links!$A$2:$A$501,MATCH($C1425,links!$D$2:$D$501,0))="","",INDEX(links!$A$2:$A$501,MATCH($C1425,links!$D$2:$D$501,0))),""))</f>
        <v/>
      </c>
      <c r="H1425" s="25">
        <f>IF($C1425="","",IFERROR(IF(INDEX(links!$B$2:$B$501,MATCH($C1425,links!$D$2:$D$501,0))="","",INDEX(links!$B$2:$B$501,MATCH($C1425,links!$D$2:$D$501,0))),""))</f>
        <v/>
      </c>
      <c r="I1425" s="25">
        <f>IF($C1425="","",IFERROR(IF(INDEX(links!$C$2:$C$501,MATCH($C1425,links!$D$2:$D$501,0))="","",INDEX(links!$C$2:$C$501,MATCH($C1425,links!$D$2:$D$501,0))),""))</f>
        <v/>
      </c>
      <c r="J1425" s="25">
        <f>IF($C1425="","",IF($G1425="","slug not in links; ","")&amp;IF($D1425="","reading type missing; ","")&amp;IF(COUNTIFS(scans!$C$2:$C$1601,$C1425,scans!$D$2:$D$1601,$D1425)&gt;1,"two readings of this type: keep one; ",""))</f>
        <v/>
      </c>
    </row>
    <row r="1426">
      <c r="A1426" s="9" t="n"/>
      <c r="B1426" s="33" t="n"/>
      <c r="G1426" s="25">
        <f>IF($C1426="","",IFERROR(IF(INDEX(links!$A$2:$A$501,MATCH($C1426,links!$D$2:$D$501,0))="","",INDEX(links!$A$2:$A$501,MATCH($C1426,links!$D$2:$D$501,0))),""))</f>
        <v/>
      </c>
      <c r="H1426" s="25">
        <f>IF($C1426="","",IFERROR(IF(INDEX(links!$B$2:$B$501,MATCH($C1426,links!$D$2:$D$501,0))="","",INDEX(links!$B$2:$B$501,MATCH($C1426,links!$D$2:$D$501,0))),""))</f>
        <v/>
      </c>
      <c r="I1426" s="25">
        <f>IF($C1426="","",IFERROR(IF(INDEX(links!$C$2:$C$501,MATCH($C1426,links!$D$2:$D$501,0))="","",INDEX(links!$C$2:$C$501,MATCH($C1426,links!$D$2:$D$501,0))),""))</f>
        <v/>
      </c>
      <c r="J1426" s="25">
        <f>IF($C1426="","",IF($G1426="","slug not in links; ","")&amp;IF($D1426="","reading type missing; ","")&amp;IF(COUNTIFS(scans!$C$2:$C$1601,$C1426,scans!$D$2:$D$1601,$D1426)&gt;1,"two readings of this type: keep one; ",""))</f>
        <v/>
      </c>
    </row>
    <row r="1427">
      <c r="A1427" s="9" t="n"/>
      <c r="B1427" s="33" t="n"/>
      <c r="G1427" s="25">
        <f>IF($C1427="","",IFERROR(IF(INDEX(links!$A$2:$A$501,MATCH($C1427,links!$D$2:$D$501,0))="","",INDEX(links!$A$2:$A$501,MATCH($C1427,links!$D$2:$D$501,0))),""))</f>
        <v/>
      </c>
      <c r="H1427" s="25">
        <f>IF($C1427="","",IFERROR(IF(INDEX(links!$B$2:$B$501,MATCH($C1427,links!$D$2:$D$501,0))="","",INDEX(links!$B$2:$B$501,MATCH($C1427,links!$D$2:$D$501,0))),""))</f>
        <v/>
      </c>
      <c r="I1427" s="25">
        <f>IF($C1427="","",IFERROR(IF(INDEX(links!$C$2:$C$501,MATCH($C1427,links!$D$2:$D$501,0))="","",INDEX(links!$C$2:$C$501,MATCH($C1427,links!$D$2:$D$501,0))),""))</f>
        <v/>
      </c>
      <c r="J1427" s="25">
        <f>IF($C1427="","",IF($G1427="","slug not in links; ","")&amp;IF($D1427="","reading type missing; ","")&amp;IF(COUNTIFS(scans!$C$2:$C$1601,$C1427,scans!$D$2:$D$1601,$D1427)&gt;1,"two readings of this type: keep one; ",""))</f>
        <v/>
      </c>
    </row>
    <row r="1428">
      <c r="A1428" s="9" t="n"/>
      <c r="B1428" s="33" t="n"/>
      <c r="G1428" s="25">
        <f>IF($C1428="","",IFERROR(IF(INDEX(links!$A$2:$A$501,MATCH($C1428,links!$D$2:$D$501,0))="","",INDEX(links!$A$2:$A$501,MATCH($C1428,links!$D$2:$D$501,0))),""))</f>
        <v/>
      </c>
      <c r="H1428" s="25">
        <f>IF($C1428="","",IFERROR(IF(INDEX(links!$B$2:$B$501,MATCH($C1428,links!$D$2:$D$501,0))="","",INDEX(links!$B$2:$B$501,MATCH($C1428,links!$D$2:$D$501,0))),""))</f>
        <v/>
      </c>
      <c r="I1428" s="25">
        <f>IF($C1428="","",IFERROR(IF(INDEX(links!$C$2:$C$501,MATCH($C1428,links!$D$2:$D$501,0))="","",INDEX(links!$C$2:$C$501,MATCH($C1428,links!$D$2:$D$501,0))),""))</f>
        <v/>
      </c>
      <c r="J1428" s="25">
        <f>IF($C1428="","",IF($G1428="","slug not in links; ","")&amp;IF($D1428="","reading type missing; ","")&amp;IF(COUNTIFS(scans!$C$2:$C$1601,$C1428,scans!$D$2:$D$1601,$D1428)&gt;1,"two readings of this type: keep one; ",""))</f>
        <v/>
      </c>
    </row>
    <row r="1429">
      <c r="A1429" s="9" t="n"/>
      <c r="B1429" s="33" t="n"/>
      <c r="G1429" s="25">
        <f>IF($C1429="","",IFERROR(IF(INDEX(links!$A$2:$A$501,MATCH($C1429,links!$D$2:$D$501,0))="","",INDEX(links!$A$2:$A$501,MATCH($C1429,links!$D$2:$D$501,0))),""))</f>
        <v/>
      </c>
      <c r="H1429" s="25">
        <f>IF($C1429="","",IFERROR(IF(INDEX(links!$B$2:$B$501,MATCH($C1429,links!$D$2:$D$501,0))="","",INDEX(links!$B$2:$B$501,MATCH($C1429,links!$D$2:$D$501,0))),""))</f>
        <v/>
      </c>
      <c r="I1429" s="25">
        <f>IF($C1429="","",IFERROR(IF(INDEX(links!$C$2:$C$501,MATCH($C1429,links!$D$2:$D$501,0))="","",INDEX(links!$C$2:$C$501,MATCH($C1429,links!$D$2:$D$501,0))),""))</f>
        <v/>
      </c>
      <c r="J1429" s="25">
        <f>IF($C1429="","",IF($G1429="","slug not in links; ","")&amp;IF($D1429="","reading type missing; ","")&amp;IF(COUNTIFS(scans!$C$2:$C$1601,$C1429,scans!$D$2:$D$1601,$D1429)&gt;1,"two readings of this type: keep one; ",""))</f>
        <v/>
      </c>
    </row>
    <row r="1430">
      <c r="A1430" s="9" t="n"/>
      <c r="B1430" s="33" t="n"/>
      <c r="G1430" s="25">
        <f>IF($C1430="","",IFERROR(IF(INDEX(links!$A$2:$A$501,MATCH($C1430,links!$D$2:$D$501,0))="","",INDEX(links!$A$2:$A$501,MATCH($C1430,links!$D$2:$D$501,0))),""))</f>
        <v/>
      </c>
      <c r="H1430" s="25">
        <f>IF($C1430="","",IFERROR(IF(INDEX(links!$B$2:$B$501,MATCH($C1430,links!$D$2:$D$501,0))="","",INDEX(links!$B$2:$B$501,MATCH($C1430,links!$D$2:$D$501,0))),""))</f>
        <v/>
      </c>
      <c r="I1430" s="25">
        <f>IF($C1430="","",IFERROR(IF(INDEX(links!$C$2:$C$501,MATCH($C1430,links!$D$2:$D$501,0))="","",INDEX(links!$C$2:$C$501,MATCH($C1430,links!$D$2:$D$501,0))),""))</f>
        <v/>
      </c>
      <c r="J1430" s="25">
        <f>IF($C1430="","",IF($G1430="","slug not in links; ","")&amp;IF($D1430="","reading type missing; ","")&amp;IF(COUNTIFS(scans!$C$2:$C$1601,$C1430,scans!$D$2:$D$1601,$D1430)&gt;1,"two readings of this type: keep one; ",""))</f>
        <v/>
      </c>
    </row>
    <row r="1431">
      <c r="A1431" s="9" t="n"/>
      <c r="B1431" s="33" t="n"/>
      <c r="G1431" s="25">
        <f>IF($C1431="","",IFERROR(IF(INDEX(links!$A$2:$A$501,MATCH($C1431,links!$D$2:$D$501,0))="","",INDEX(links!$A$2:$A$501,MATCH($C1431,links!$D$2:$D$501,0))),""))</f>
        <v/>
      </c>
      <c r="H1431" s="25">
        <f>IF($C1431="","",IFERROR(IF(INDEX(links!$B$2:$B$501,MATCH($C1431,links!$D$2:$D$501,0))="","",INDEX(links!$B$2:$B$501,MATCH($C1431,links!$D$2:$D$501,0))),""))</f>
        <v/>
      </c>
      <c r="I1431" s="25">
        <f>IF($C1431="","",IFERROR(IF(INDEX(links!$C$2:$C$501,MATCH($C1431,links!$D$2:$D$501,0))="","",INDEX(links!$C$2:$C$501,MATCH($C1431,links!$D$2:$D$501,0))),""))</f>
        <v/>
      </c>
      <c r="J1431" s="25">
        <f>IF($C1431="","",IF($G1431="","slug not in links; ","")&amp;IF($D1431="","reading type missing; ","")&amp;IF(COUNTIFS(scans!$C$2:$C$1601,$C1431,scans!$D$2:$D$1601,$D1431)&gt;1,"two readings of this type: keep one; ",""))</f>
        <v/>
      </c>
    </row>
    <row r="1432">
      <c r="A1432" s="9" t="n"/>
      <c r="B1432" s="33" t="n"/>
      <c r="G1432" s="25">
        <f>IF($C1432="","",IFERROR(IF(INDEX(links!$A$2:$A$501,MATCH($C1432,links!$D$2:$D$501,0))="","",INDEX(links!$A$2:$A$501,MATCH($C1432,links!$D$2:$D$501,0))),""))</f>
        <v/>
      </c>
      <c r="H1432" s="25">
        <f>IF($C1432="","",IFERROR(IF(INDEX(links!$B$2:$B$501,MATCH($C1432,links!$D$2:$D$501,0))="","",INDEX(links!$B$2:$B$501,MATCH($C1432,links!$D$2:$D$501,0))),""))</f>
        <v/>
      </c>
      <c r="I1432" s="25">
        <f>IF($C1432="","",IFERROR(IF(INDEX(links!$C$2:$C$501,MATCH($C1432,links!$D$2:$D$501,0))="","",INDEX(links!$C$2:$C$501,MATCH($C1432,links!$D$2:$D$501,0))),""))</f>
        <v/>
      </c>
      <c r="J1432" s="25">
        <f>IF($C1432="","",IF($G1432="","slug not in links; ","")&amp;IF($D1432="","reading type missing; ","")&amp;IF(COUNTIFS(scans!$C$2:$C$1601,$C1432,scans!$D$2:$D$1601,$D1432)&gt;1,"two readings of this type: keep one; ",""))</f>
        <v/>
      </c>
    </row>
    <row r="1433">
      <c r="A1433" s="9" t="n"/>
      <c r="B1433" s="33" t="n"/>
      <c r="G1433" s="25">
        <f>IF($C1433="","",IFERROR(IF(INDEX(links!$A$2:$A$501,MATCH($C1433,links!$D$2:$D$501,0))="","",INDEX(links!$A$2:$A$501,MATCH($C1433,links!$D$2:$D$501,0))),""))</f>
        <v/>
      </c>
      <c r="H1433" s="25">
        <f>IF($C1433="","",IFERROR(IF(INDEX(links!$B$2:$B$501,MATCH($C1433,links!$D$2:$D$501,0))="","",INDEX(links!$B$2:$B$501,MATCH($C1433,links!$D$2:$D$501,0))),""))</f>
        <v/>
      </c>
      <c r="I1433" s="25">
        <f>IF($C1433="","",IFERROR(IF(INDEX(links!$C$2:$C$501,MATCH($C1433,links!$D$2:$D$501,0))="","",INDEX(links!$C$2:$C$501,MATCH($C1433,links!$D$2:$D$501,0))),""))</f>
        <v/>
      </c>
      <c r="J1433" s="25">
        <f>IF($C1433="","",IF($G1433="","slug not in links; ","")&amp;IF($D1433="","reading type missing; ","")&amp;IF(COUNTIFS(scans!$C$2:$C$1601,$C1433,scans!$D$2:$D$1601,$D1433)&gt;1,"two readings of this type: keep one; ",""))</f>
        <v/>
      </c>
    </row>
    <row r="1434">
      <c r="A1434" s="9" t="n"/>
      <c r="B1434" s="33" t="n"/>
      <c r="G1434" s="25">
        <f>IF($C1434="","",IFERROR(IF(INDEX(links!$A$2:$A$501,MATCH($C1434,links!$D$2:$D$501,0))="","",INDEX(links!$A$2:$A$501,MATCH($C1434,links!$D$2:$D$501,0))),""))</f>
        <v/>
      </c>
      <c r="H1434" s="25">
        <f>IF($C1434="","",IFERROR(IF(INDEX(links!$B$2:$B$501,MATCH($C1434,links!$D$2:$D$501,0))="","",INDEX(links!$B$2:$B$501,MATCH($C1434,links!$D$2:$D$501,0))),""))</f>
        <v/>
      </c>
      <c r="I1434" s="25">
        <f>IF($C1434="","",IFERROR(IF(INDEX(links!$C$2:$C$501,MATCH($C1434,links!$D$2:$D$501,0))="","",INDEX(links!$C$2:$C$501,MATCH($C1434,links!$D$2:$D$501,0))),""))</f>
        <v/>
      </c>
      <c r="J1434" s="25">
        <f>IF($C1434="","",IF($G1434="","slug not in links; ","")&amp;IF($D1434="","reading type missing; ","")&amp;IF(COUNTIFS(scans!$C$2:$C$1601,$C1434,scans!$D$2:$D$1601,$D1434)&gt;1,"two readings of this type: keep one; ",""))</f>
        <v/>
      </c>
    </row>
    <row r="1435">
      <c r="A1435" s="9" t="n"/>
      <c r="B1435" s="33" t="n"/>
      <c r="G1435" s="25">
        <f>IF($C1435="","",IFERROR(IF(INDEX(links!$A$2:$A$501,MATCH($C1435,links!$D$2:$D$501,0))="","",INDEX(links!$A$2:$A$501,MATCH($C1435,links!$D$2:$D$501,0))),""))</f>
        <v/>
      </c>
      <c r="H1435" s="25">
        <f>IF($C1435="","",IFERROR(IF(INDEX(links!$B$2:$B$501,MATCH($C1435,links!$D$2:$D$501,0))="","",INDEX(links!$B$2:$B$501,MATCH($C1435,links!$D$2:$D$501,0))),""))</f>
        <v/>
      </c>
      <c r="I1435" s="25">
        <f>IF($C1435="","",IFERROR(IF(INDEX(links!$C$2:$C$501,MATCH($C1435,links!$D$2:$D$501,0))="","",INDEX(links!$C$2:$C$501,MATCH($C1435,links!$D$2:$D$501,0))),""))</f>
        <v/>
      </c>
      <c r="J1435" s="25">
        <f>IF($C1435="","",IF($G1435="","slug not in links; ","")&amp;IF($D1435="","reading type missing; ","")&amp;IF(COUNTIFS(scans!$C$2:$C$1601,$C1435,scans!$D$2:$D$1601,$D1435)&gt;1,"two readings of this type: keep one; ",""))</f>
        <v/>
      </c>
    </row>
    <row r="1436">
      <c r="A1436" s="9" t="n"/>
      <c r="B1436" s="33" t="n"/>
      <c r="G1436" s="25">
        <f>IF($C1436="","",IFERROR(IF(INDEX(links!$A$2:$A$501,MATCH($C1436,links!$D$2:$D$501,0))="","",INDEX(links!$A$2:$A$501,MATCH($C1436,links!$D$2:$D$501,0))),""))</f>
        <v/>
      </c>
      <c r="H1436" s="25">
        <f>IF($C1436="","",IFERROR(IF(INDEX(links!$B$2:$B$501,MATCH($C1436,links!$D$2:$D$501,0))="","",INDEX(links!$B$2:$B$501,MATCH($C1436,links!$D$2:$D$501,0))),""))</f>
        <v/>
      </c>
      <c r="I1436" s="25">
        <f>IF($C1436="","",IFERROR(IF(INDEX(links!$C$2:$C$501,MATCH($C1436,links!$D$2:$D$501,0))="","",INDEX(links!$C$2:$C$501,MATCH($C1436,links!$D$2:$D$501,0))),""))</f>
        <v/>
      </c>
      <c r="J1436" s="25">
        <f>IF($C1436="","",IF($G1436="","slug not in links; ","")&amp;IF($D1436="","reading type missing; ","")&amp;IF(COUNTIFS(scans!$C$2:$C$1601,$C1436,scans!$D$2:$D$1601,$D1436)&gt;1,"two readings of this type: keep one; ",""))</f>
        <v/>
      </c>
    </row>
    <row r="1437">
      <c r="A1437" s="9" t="n"/>
      <c r="B1437" s="33" t="n"/>
      <c r="G1437" s="25">
        <f>IF($C1437="","",IFERROR(IF(INDEX(links!$A$2:$A$501,MATCH($C1437,links!$D$2:$D$501,0))="","",INDEX(links!$A$2:$A$501,MATCH($C1437,links!$D$2:$D$501,0))),""))</f>
        <v/>
      </c>
      <c r="H1437" s="25">
        <f>IF($C1437="","",IFERROR(IF(INDEX(links!$B$2:$B$501,MATCH($C1437,links!$D$2:$D$501,0))="","",INDEX(links!$B$2:$B$501,MATCH($C1437,links!$D$2:$D$501,0))),""))</f>
        <v/>
      </c>
      <c r="I1437" s="25">
        <f>IF($C1437="","",IFERROR(IF(INDEX(links!$C$2:$C$501,MATCH($C1437,links!$D$2:$D$501,0))="","",INDEX(links!$C$2:$C$501,MATCH($C1437,links!$D$2:$D$501,0))),""))</f>
        <v/>
      </c>
      <c r="J1437" s="25">
        <f>IF($C1437="","",IF($G1437="","slug not in links; ","")&amp;IF($D1437="","reading type missing; ","")&amp;IF(COUNTIFS(scans!$C$2:$C$1601,$C1437,scans!$D$2:$D$1601,$D1437)&gt;1,"two readings of this type: keep one; ",""))</f>
        <v/>
      </c>
    </row>
    <row r="1438">
      <c r="A1438" s="9" t="n"/>
      <c r="B1438" s="33" t="n"/>
      <c r="G1438" s="25">
        <f>IF($C1438="","",IFERROR(IF(INDEX(links!$A$2:$A$501,MATCH($C1438,links!$D$2:$D$501,0))="","",INDEX(links!$A$2:$A$501,MATCH($C1438,links!$D$2:$D$501,0))),""))</f>
        <v/>
      </c>
      <c r="H1438" s="25">
        <f>IF($C1438="","",IFERROR(IF(INDEX(links!$B$2:$B$501,MATCH($C1438,links!$D$2:$D$501,0))="","",INDEX(links!$B$2:$B$501,MATCH($C1438,links!$D$2:$D$501,0))),""))</f>
        <v/>
      </c>
      <c r="I1438" s="25">
        <f>IF($C1438="","",IFERROR(IF(INDEX(links!$C$2:$C$501,MATCH($C1438,links!$D$2:$D$501,0))="","",INDEX(links!$C$2:$C$501,MATCH($C1438,links!$D$2:$D$501,0))),""))</f>
        <v/>
      </c>
      <c r="J1438" s="25">
        <f>IF($C1438="","",IF($G1438="","slug not in links; ","")&amp;IF($D1438="","reading type missing; ","")&amp;IF(COUNTIFS(scans!$C$2:$C$1601,$C1438,scans!$D$2:$D$1601,$D1438)&gt;1,"two readings of this type: keep one; ",""))</f>
        <v/>
      </c>
    </row>
    <row r="1439">
      <c r="A1439" s="9" t="n"/>
      <c r="B1439" s="33" t="n"/>
      <c r="G1439" s="25">
        <f>IF($C1439="","",IFERROR(IF(INDEX(links!$A$2:$A$501,MATCH($C1439,links!$D$2:$D$501,0))="","",INDEX(links!$A$2:$A$501,MATCH($C1439,links!$D$2:$D$501,0))),""))</f>
        <v/>
      </c>
      <c r="H1439" s="25">
        <f>IF($C1439="","",IFERROR(IF(INDEX(links!$B$2:$B$501,MATCH($C1439,links!$D$2:$D$501,0))="","",INDEX(links!$B$2:$B$501,MATCH($C1439,links!$D$2:$D$501,0))),""))</f>
        <v/>
      </c>
      <c r="I1439" s="25">
        <f>IF($C1439="","",IFERROR(IF(INDEX(links!$C$2:$C$501,MATCH($C1439,links!$D$2:$D$501,0))="","",INDEX(links!$C$2:$C$501,MATCH($C1439,links!$D$2:$D$501,0))),""))</f>
        <v/>
      </c>
      <c r="J1439" s="25">
        <f>IF($C1439="","",IF($G1439="","slug not in links; ","")&amp;IF($D1439="","reading type missing; ","")&amp;IF(COUNTIFS(scans!$C$2:$C$1601,$C1439,scans!$D$2:$D$1601,$D1439)&gt;1,"two readings of this type: keep one; ",""))</f>
        <v/>
      </c>
    </row>
    <row r="1440">
      <c r="A1440" s="9" t="n"/>
      <c r="B1440" s="33" t="n"/>
      <c r="G1440" s="25">
        <f>IF($C1440="","",IFERROR(IF(INDEX(links!$A$2:$A$501,MATCH($C1440,links!$D$2:$D$501,0))="","",INDEX(links!$A$2:$A$501,MATCH($C1440,links!$D$2:$D$501,0))),""))</f>
        <v/>
      </c>
      <c r="H1440" s="25">
        <f>IF($C1440="","",IFERROR(IF(INDEX(links!$B$2:$B$501,MATCH($C1440,links!$D$2:$D$501,0))="","",INDEX(links!$B$2:$B$501,MATCH($C1440,links!$D$2:$D$501,0))),""))</f>
        <v/>
      </c>
      <c r="I1440" s="25">
        <f>IF($C1440="","",IFERROR(IF(INDEX(links!$C$2:$C$501,MATCH($C1440,links!$D$2:$D$501,0))="","",INDEX(links!$C$2:$C$501,MATCH($C1440,links!$D$2:$D$501,0))),""))</f>
        <v/>
      </c>
      <c r="J1440" s="25">
        <f>IF($C1440="","",IF($G1440="","slug not in links; ","")&amp;IF($D1440="","reading type missing; ","")&amp;IF(COUNTIFS(scans!$C$2:$C$1601,$C1440,scans!$D$2:$D$1601,$D1440)&gt;1,"two readings of this type: keep one; ",""))</f>
        <v/>
      </c>
    </row>
    <row r="1441">
      <c r="A1441" s="9" t="n"/>
      <c r="B1441" s="33" t="n"/>
      <c r="G1441" s="25">
        <f>IF($C1441="","",IFERROR(IF(INDEX(links!$A$2:$A$501,MATCH($C1441,links!$D$2:$D$501,0))="","",INDEX(links!$A$2:$A$501,MATCH($C1441,links!$D$2:$D$501,0))),""))</f>
        <v/>
      </c>
      <c r="H1441" s="25">
        <f>IF($C1441="","",IFERROR(IF(INDEX(links!$B$2:$B$501,MATCH($C1441,links!$D$2:$D$501,0))="","",INDEX(links!$B$2:$B$501,MATCH($C1441,links!$D$2:$D$501,0))),""))</f>
        <v/>
      </c>
      <c r="I1441" s="25">
        <f>IF($C1441="","",IFERROR(IF(INDEX(links!$C$2:$C$501,MATCH($C1441,links!$D$2:$D$501,0))="","",INDEX(links!$C$2:$C$501,MATCH($C1441,links!$D$2:$D$501,0))),""))</f>
        <v/>
      </c>
      <c r="J1441" s="25">
        <f>IF($C1441="","",IF($G1441="","slug not in links; ","")&amp;IF($D1441="","reading type missing; ","")&amp;IF(COUNTIFS(scans!$C$2:$C$1601,$C1441,scans!$D$2:$D$1601,$D1441)&gt;1,"two readings of this type: keep one; ",""))</f>
        <v/>
      </c>
    </row>
    <row r="1442">
      <c r="A1442" s="9" t="n"/>
      <c r="B1442" s="33" t="n"/>
      <c r="G1442" s="25">
        <f>IF($C1442="","",IFERROR(IF(INDEX(links!$A$2:$A$501,MATCH($C1442,links!$D$2:$D$501,0))="","",INDEX(links!$A$2:$A$501,MATCH($C1442,links!$D$2:$D$501,0))),""))</f>
        <v/>
      </c>
      <c r="H1442" s="25">
        <f>IF($C1442="","",IFERROR(IF(INDEX(links!$B$2:$B$501,MATCH($C1442,links!$D$2:$D$501,0))="","",INDEX(links!$B$2:$B$501,MATCH($C1442,links!$D$2:$D$501,0))),""))</f>
        <v/>
      </c>
      <c r="I1442" s="25">
        <f>IF($C1442="","",IFERROR(IF(INDEX(links!$C$2:$C$501,MATCH($C1442,links!$D$2:$D$501,0))="","",INDEX(links!$C$2:$C$501,MATCH($C1442,links!$D$2:$D$501,0))),""))</f>
        <v/>
      </c>
      <c r="J1442" s="25">
        <f>IF($C1442="","",IF($G1442="","slug not in links; ","")&amp;IF($D1442="","reading type missing; ","")&amp;IF(COUNTIFS(scans!$C$2:$C$1601,$C1442,scans!$D$2:$D$1601,$D1442)&gt;1,"two readings of this type: keep one; ",""))</f>
        <v/>
      </c>
    </row>
    <row r="1443">
      <c r="A1443" s="9" t="n"/>
      <c r="B1443" s="33" t="n"/>
      <c r="G1443" s="25">
        <f>IF($C1443="","",IFERROR(IF(INDEX(links!$A$2:$A$501,MATCH($C1443,links!$D$2:$D$501,0))="","",INDEX(links!$A$2:$A$501,MATCH($C1443,links!$D$2:$D$501,0))),""))</f>
        <v/>
      </c>
      <c r="H1443" s="25">
        <f>IF($C1443="","",IFERROR(IF(INDEX(links!$B$2:$B$501,MATCH($C1443,links!$D$2:$D$501,0))="","",INDEX(links!$B$2:$B$501,MATCH($C1443,links!$D$2:$D$501,0))),""))</f>
        <v/>
      </c>
      <c r="I1443" s="25">
        <f>IF($C1443="","",IFERROR(IF(INDEX(links!$C$2:$C$501,MATCH($C1443,links!$D$2:$D$501,0))="","",INDEX(links!$C$2:$C$501,MATCH($C1443,links!$D$2:$D$501,0))),""))</f>
        <v/>
      </c>
      <c r="J1443" s="25">
        <f>IF($C1443="","",IF($G1443="","slug not in links; ","")&amp;IF($D1443="","reading type missing; ","")&amp;IF(COUNTIFS(scans!$C$2:$C$1601,$C1443,scans!$D$2:$D$1601,$D1443)&gt;1,"two readings of this type: keep one; ",""))</f>
        <v/>
      </c>
    </row>
    <row r="1444">
      <c r="A1444" s="9" t="n"/>
      <c r="B1444" s="33" t="n"/>
      <c r="G1444" s="25">
        <f>IF($C1444="","",IFERROR(IF(INDEX(links!$A$2:$A$501,MATCH($C1444,links!$D$2:$D$501,0))="","",INDEX(links!$A$2:$A$501,MATCH($C1444,links!$D$2:$D$501,0))),""))</f>
        <v/>
      </c>
      <c r="H1444" s="25">
        <f>IF($C1444="","",IFERROR(IF(INDEX(links!$B$2:$B$501,MATCH($C1444,links!$D$2:$D$501,0))="","",INDEX(links!$B$2:$B$501,MATCH($C1444,links!$D$2:$D$501,0))),""))</f>
        <v/>
      </c>
      <c r="I1444" s="25">
        <f>IF($C1444="","",IFERROR(IF(INDEX(links!$C$2:$C$501,MATCH($C1444,links!$D$2:$D$501,0))="","",INDEX(links!$C$2:$C$501,MATCH($C1444,links!$D$2:$D$501,0))),""))</f>
        <v/>
      </c>
      <c r="J1444" s="25">
        <f>IF($C1444="","",IF($G1444="","slug not in links; ","")&amp;IF($D1444="","reading type missing; ","")&amp;IF(COUNTIFS(scans!$C$2:$C$1601,$C1444,scans!$D$2:$D$1601,$D1444)&gt;1,"two readings of this type: keep one; ",""))</f>
        <v/>
      </c>
    </row>
    <row r="1445">
      <c r="A1445" s="9" t="n"/>
      <c r="B1445" s="33" t="n"/>
      <c r="G1445" s="25">
        <f>IF($C1445="","",IFERROR(IF(INDEX(links!$A$2:$A$501,MATCH($C1445,links!$D$2:$D$501,0))="","",INDEX(links!$A$2:$A$501,MATCH($C1445,links!$D$2:$D$501,0))),""))</f>
        <v/>
      </c>
      <c r="H1445" s="25">
        <f>IF($C1445="","",IFERROR(IF(INDEX(links!$B$2:$B$501,MATCH($C1445,links!$D$2:$D$501,0))="","",INDEX(links!$B$2:$B$501,MATCH($C1445,links!$D$2:$D$501,0))),""))</f>
        <v/>
      </c>
      <c r="I1445" s="25">
        <f>IF($C1445="","",IFERROR(IF(INDEX(links!$C$2:$C$501,MATCH($C1445,links!$D$2:$D$501,0))="","",INDEX(links!$C$2:$C$501,MATCH($C1445,links!$D$2:$D$501,0))),""))</f>
        <v/>
      </c>
      <c r="J1445" s="25">
        <f>IF($C1445="","",IF($G1445="","slug not in links; ","")&amp;IF($D1445="","reading type missing; ","")&amp;IF(COUNTIFS(scans!$C$2:$C$1601,$C1445,scans!$D$2:$D$1601,$D1445)&gt;1,"two readings of this type: keep one; ",""))</f>
        <v/>
      </c>
    </row>
    <row r="1446">
      <c r="A1446" s="9" t="n"/>
      <c r="B1446" s="33" t="n"/>
      <c r="G1446" s="25">
        <f>IF($C1446="","",IFERROR(IF(INDEX(links!$A$2:$A$501,MATCH($C1446,links!$D$2:$D$501,0))="","",INDEX(links!$A$2:$A$501,MATCH($C1446,links!$D$2:$D$501,0))),""))</f>
        <v/>
      </c>
      <c r="H1446" s="25">
        <f>IF($C1446="","",IFERROR(IF(INDEX(links!$B$2:$B$501,MATCH($C1446,links!$D$2:$D$501,0))="","",INDEX(links!$B$2:$B$501,MATCH($C1446,links!$D$2:$D$501,0))),""))</f>
        <v/>
      </c>
      <c r="I1446" s="25">
        <f>IF($C1446="","",IFERROR(IF(INDEX(links!$C$2:$C$501,MATCH($C1446,links!$D$2:$D$501,0))="","",INDEX(links!$C$2:$C$501,MATCH($C1446,links!$D$2:$D$501,0))),""))</f>
        <v/>
      </c>
      <c r="J1446" s="25">
        <f>IF($C1446="","",IF($G1446="","slug not in links; ","")&amp;IF($D1446="","reading type missing; ","")&amp;IF(COUNTIFS(scans!$C$2:$C$1601,$C1446,scans!$D$2:$D$1601,$D1446)&gt;1,"two readings of this type: keep one; ",""))</f>
        <v/>
      </c>
    </row>
    <row r="1447">
      <c r="A1447" s="9" t="n"/>
      <c r="B1447" s="33" t="n"/>
      <c r="G1447" s="25">
        <f>IF($C1447="","",IFERROR(IF(INDEX(links!$A$2:$A$501,MATCH($C1447,links!$D$2:$D$501,0))="","",INDEX(links!$A$2:$A$501,MATCH($C1447,links!$D$2:$D$501,0))),""))</f>
        <v/>
      </c>
      <c r="H1447" s="25">
        <f>IF($C1447="","",IFERROR(IF(INDEX(links!$B$2:$B$501,MATCH($C1447,links!$D$2:$D$501,0))="","",INDEX(links!$B$2:$B$501,MATCH($C1447,links!$D$2:$D$501,0))),""))</f>
        <v/>
      </c>
      <c r="I1447" s="25">
        <f>IF($C1447="","",IFERROR(IF(INDEX(links!$C$2:$C$501,MATCH($C1447,links!$D$2:$D$501,0))="","",INDEX(links!$C$2:$C$501,MATCH($C1447,links!$D$2:$D$501,0))),""))</f>
        <v/>
      </c>
      <c r="J1447" s="25">
        <f>IF($C1447="","",IF($G1447="","slug not in links; ","")&amp;IF($D1447="","reading type missing; ","")&amp;IF(COUNTIFS(scans!$C$2:$C$1601,$C1447,scans!$D$2:$D$1601,$D1447)&gt;1,"two readings of this type: keep one; ",""))</f>
        <v/>
      </c>
    </row>
    <row r="1448">
      <c r="A1448" s="9" t="n"/>
      <c r="B1448" s="33" t="n"/>
      <c r="G1448" s="25">
        <f>IF($C1448="","",IFERROR(IF(INDEX(links!$A$2:$A$501,MATCH($C1448,links!$D$2:$D$501,0))="","",INDEX(links!$A$2:$A$501,MATCH($C1448,links!$D$2:$D$501,0))),""))</f>
        <v/>
      </c>
      <c r="H1448" s="25">
        <f>IF($C1448="","",IFERROR(IF(INDEX(links!$B$2:$B$501,MATCH($C1448,links!$D$2:$D$501,0))="","",INDEX(links!$B$2:$B$501,MATCH($C1448,links!$D$2:$D$501,0))),""))</f>
        <v/>
      </c>
      <c r="I1448" s="25">
        <f>IF($C1448="","",IFERROR(IF(INDEX(links!$C$2:$C$501,MATCH($C1448,links!$D$2:$D$501,0))="","",INDEX(links!$C$2:$C$501,MATCH($C1448,links!$D$2:$D$501,0))),""))</f>
        <v/>
      </c>
      <c r="J1448" s="25">
        <f>IF($C1448="","",IF($G1448="","slug not in links; ","")&amp;IF($D1448="","reading type missing; ","")&amp;IF(COUNTIFS(scans!$C$2:$C$1601,$C1448,scans!$D$2:$D$1601,$D1448)&gt;1,"two readings of this type: keep one; ",""))</f>
        <v/>
      </c>
    </row>
    <row r="1449">
      <c r="A1449" s="9" t="n"/>
      <c r="B1449" s="33" t="n"/>
      <c r="G1449" s="25">
        <f>IF($C1449="","",IFERROR(IF(INDEX(links!$A$2:$A$501,MATCH($C1449,links!$D$2:$D$501,0))="","",INDEX(links!$A$2:$A$501,MATCH($C1449,links!$D$2:$D$501,0))),""))</f>
        <v/>
      </c>
      <c r="H1449" s="25">
        <f>IF($C1449="","",IFERROR(IF(INDEX(links!$B$2:$B$501,MATCH($C1449,links!$D$2:$D$501,0))="","",INDEX(links!$B$2:$B$501,MATCH($C1449,links!$D$2:$D$501,0))),""))</f>
        <v/>
      </c>
      <c r="I1449" s="25">
        <f>IF($C1449="","",IFERROR(IF(INDEX(links!$C$2:$C$501,MATCH($C1449,links!$D$2:$D$501,0))="","",INDEX(links!$C$2:$C$501,MATCH($C1449,links!$D$2:$D$501,0))),""))</f>
        <v/>
      </c>
      <c r="J1449" s="25">
        <f>IF($C1449="","",IF($G1449="","slug not in links; ","")&amp;IF($D1449="","reading type missing; ","")&amp;IF(COUNTIFS(scans!$C$2:$C$1601,$C1449,scans!$D$2:$D$1601,$D1449)&gt;1,"two readings of this type: keep one; ",""))</f>
        <v/>
      </c>
    </row>
    <row r="1450">
      <c r="A1450" s="9" t="n"/>
      <c r="B1450" s="33" t="n"/>
      <c r="G1450" s="25">
        <f>IF($C1450="","",IFERROR(IF(INDEX(links!$A$2:$A$501,MATCH($C1450,links!$D$2:$D$501,0))="","",INDEX(links!$A$2:$A$501,MATCH($C1450,links!$D$2:$D$501,0))),""))</f>
        <v/>
      </c>
      <c r="H1450" s="25">
        <f>IF($C1450="","",IFERROR(IF(INDEX(links!$B$2:$B$501,MATCH($C1450,links!$D$2:$D$501,0))="","",INDEX(links!$B$2:$B$501,MATCH($C1450,links!$D$2:$D$501,0))),""))</f>
        <v/>
      </c>
      <c r="I1450" s="25">
        <f>IF($C1450="","",IFERROR(IF(INDEX(links!$C$2:$C$501,MATCH($C1450,links!$D$2:$D$501,0))="","",INDEX(links!$C$2:$C$501,MATCH($C1450,links!$D$2:$D$501,0))),""))</f>
        <v/>
      </c>
      <c r="J1450" s="25">
        <f>IF($C1450="","",IF($G1450="","slug not in links; ","")&amp;IF($D1450="","reading type missing; ","")&amp;IF(COUNTIFS(scans!$C$2:$C$1601,$C1450,scans!$D$2:$D$1601,$D1450)&gt;1,"two readings of this type: keep one; ",""))</f>
        <v/>
      </c>
    </row>
    <row r="1451">
      <c r="A1451" s="9" t="n"/>
      <c r="B1451" s="33" t="n"/>
      <c r="G1451" s="25">
        <f>IF($C1451="","",IFERROR(IF(INDEX(links!$A$2:$A$501,MATCH($C1451,links!$D$2:$D$501,0))="","",INDEX(links!$A$2:$A$501,MATCH($C1451,links!$D$2:$D$501,0))),""))</f>
        <v/>
      </c>
      <c r="H1451" s="25">
        <f>IF($C1451="","",IFERROR(IF(INDEX(links!$B$2:$B$501,MATCH($C1451,links!$D$2:$D$501,0))="","",INDEX(links!$B$2:$B$501,MATCH($C1451,links!$D$2:$D$501,0))),""))</f>
        <v/>
      </c>
      <c r="I1451" s="25">
        <f>IF($C1451="","",IFERROR(IF(INDEX(links!$C$2:$C$501,MATCH($C1451,links!$D$2:$D$501,0))="","",INDEX(links!$C$2:$C$501,MATCH($C1451,links!$D$2:$D$501,0))),""))</f>
        <v/>
      </c>
      <c r="J1451" s="25">
        <f>IF($C1451="","",IF($G1451="","slug not in links; ","")&amp;IF($D1451="","reading type missing; ","")&amp;IF(COUNTIFS(scans!$C$2:$C$1601,$C1451,scans!$D$2:$D$1601,$D1451)&gt;1,"two readings of this type: keep one; ",""))</f>
        <v/>
      </c>
    </row>
    <row r="1452">
      <c r="A1452" s="9" t="n"/>
      <c r="B1452" s="33" t="n"/>
      <c r="G1452" s="25">
        <f>IF($C1452="","",IFERROR(IF(INDEX(links!$A$2:$A$501,MATCH($C1452,links!$D$2:$D$501,0))="","",INDEX(links!$A$2:$A$501,MATCH($C1452,links!$D$2:$D$501,0))),""))</f>
        <v/>
      </c>
      <c r="H1452" s="25">
        <f>IF($C1452="","",IFERROR(IF(INDEX(links!$B$2:$B$501,MATCH($C1452,links!$D$2:$D$501,0))="","",INDEX(links!$B$2:$B$501,MATCH($C1452,links!$D$2:$D$501,0))),""))</f>
        <v/>
      </c>
      <c r="I1452" s="25">
        <f>IF($C1452="","",IFERROR(IF(INDEX(links!$C$2:$C$501,MATCH($C1452,links!$D$2:$D$501,0))="","",INDEX(links!$C$2:$C$501,MATCH($C1452,links!$D$2:$D$501,0))),""))</f>
        <v/>
      </c>
      <c r="J1452" s="25">
        <f>IF($C1452="","",IF($G1452="","slug not in links; ","")&amp;IF($D1452="","reading type missing; ","")&amp;IF(COUNTIFS(scans!$C$2:$C$1601,$C1452,scans!$D$2:$D$1601,$D1452)&gt;1,"two readings of this type: keep one; ",""))</f>
        <v/>
      </c>
    </row>
    <row r="1453">
      <c r="A1453" s="9" t="n"/>
      <c r="B1453" s="33" t="n"/>
      <c r="G1453" s="25">
        <f>IF($C1453="","",IFERROR(IF(INDEX(links!$A$2:$A$501,MATCH($C1453,links!$D$2:$D$501,0))="","",INDEX(links!$A$2:$A$501,MATCH($C1453,links!$D$2:$D$501,0))),""))</f>
        <v/>
      </c>
      <c r="H1453" s="25">
        <f>IF($C1453="","",IFERROR(IF(INDEX(links!$B$2:$B$501,MATCH($C1453,links!$D$2:$D$501,0))="","",INDEX(links!$B$2:$B$501,MATCH($C1453,links!$D$2:$D$501,0))),""))</f>
        <v/>
      </c>
      <c r="I1453" s="25">
        <f>IF($C1453="","",IFERROR(IF(INDEX(links!$C$2:$C$501,MATCH($C1453,links!$D$2:$D$501,0))="","",INDEX(links!$C$2:$C$501,MATCH($C1453,links!$D$2:$D$501,0))),""))</f>
        <v/>
      </c>
      <c r="J1453" s="25">
        <f>IF($C1453="","",IF($G1453="","slug not in links; ","")&amp;IF($D1453="","reading type missing; ","")&amp;IF(COUNTIFS(scans!$C$2:$C$1601,$C1453,scans!$D$2:$D$1601,$D1453)&gt;1,"two readings of this type: keep one; ",""))</f>
        <v/>
      </c>
    </row>
    <row r="1454">
      <c r="A1454" s="9" t="n"/>
      <c r="B1454" s="33" t="n"/>
      <c r="G1454" s="25">
        <f>IF($C1454="","",IFERROR(IF(INDEX(links!$A$2:$A$501,MATCH($C1454,links!$D$2:$D$501,0))="","",INDEX(links!$A$2:$A$501,MATCH($C1454,links!$D$2:$D$501,0))),""))</f>
        <v/>
      </c>
      <c r="H1454" s="25">
        <f>IF($C1454="","",IFERROR(IF(INDEX(links!$B$2:$B$501,MATCH($C1454,links!$D$2:$D$501,0))="","",INDEX(links!$B$2:$B$501,MATCH($C1454,links!$D$2:$D$501,0))),""))</f>
        <v/>
      </c>
      <c r="I1454" s="25">
        <f>IF($C1454="","",IFERROR(IF(INDEX(links!$C$2:$C$501,MATCH($C1454,links!$D$2:$D$501,0))="","",INDEX(links!$C$2:$C$501,MATCH($C1454,links!$D$2:$D$501,0))),""))</f>
        <v/>
      </c>
      <c r="J1454" s="25">
        <f>IF($C1454="","",IF($G1454="","slug not in links; ","")&amp;IF($D1454="","reading type missing; ","")&amp;IF(COUNTIFS(scans!$C$2:$C$1601,$C1454,scans!$D$2:$D$1601,$D1454)&gt;1,"two readings of this type: keep one; ",""))</f>
        <v/>
      </c>
    </row>
    <row r="1455">
      <c r="A1455" s="9" t="n"/>
      <c r="B1455" s="33" t="n"/>
      <c r="G1455" s="25">
        <f>IF($C1455="","",IFERROR(IF(INDEX(links!$A$2:$A$501,MATCH($C1455,links!$D$2:$D$501,0))="","",INDEX(links!$A$2:$A$501,MATCH($C1455,links!$D$2:$D$501,0))),""))</f>
        <v/>
      </c>
      <c r="H1455" s="25">
        <f>IF($C1455="","",IFERROR(IF(INDEX(links!$B$2:$B$501,MATCH($C1455,links!$D$2:$D$501,0))="","",INDEX(links!$B$2:$B$501,MATCH($C1455,links!$D$2:$D$501,0))),""))</f>
        <v/>
      </c>
      <c r="I1455" s="25">
        <f>IF($C1455="","",IFERROR(IF(INDEX(links!$C$2:$C$501,MATCH($C1455,links!$D$2:$D$501,0))="","",INDEX(links!$C$2:$C$501,MATCH($C1455,links!$D$2:$D$501,0))),""))</f>
        <v/>
      </c>
      <c r="J1455" s="25">
        <f>IF($C1455="","",IF($G1455="","slug not in links; ","")&amp;IF($D1455="","reading type missing; ","")&amp;IF(COUNTIFS(scans!$C$2:$C$1601,$C1455,scans!$D$2:$D$1601,$D1455)&gt;1,"two readings of this type: keep one; ",""))</f>
        <v/>
      </c>
    </row>
    <row r="1456">
      <c r="A1456" s="9" t="n"/>
      <c r="B1456" s="33" t="n"/>
      <c r="G1456" s="25">
        <f>IF($C1456="","",IFERROR(IF(INDEX(links!$A$2:$A$501,MATCH($C1456,links!$D$2:$D$501,0))="","",INDEX(links!$A$2:$A$501,MATCH($C1456,links!$D$2:$D$501,0))),""))</f>
        <v/>
      </c>
      <c r="H1456" s="25">
        <f>IF($C1456="","",IFERROR(IF(INDEX(links!$B$2:$B$501,MATCH($C1456,links!$D$2:$D$501,0))="","",INDEX(links!$B$2:$B$501,MATCH($C1456,links!$D$2:$D$501,0))),""))</f>
        <v/>
      </c>
      <c r="I1456" s="25">
        <f>IF($C1456="","",IFERROR(IF(INDEX(links!$C$2:$C$501,MATCH($C1456,links!$D$2:$D$501,0))="","",INDEX(links!$C$2:$C$501,MATCH($C1456,links!$D$2:$D$501,0))),""))</f>
        <v/>
      </c>
      <c r="J1456" s="25">
        <f>IF($C1456="","",IF($G1456="","slug not in links; ","")&amp;IF($D1456="","reading type missing; ","")&amp;IF(COUNTIFS(scans!$C$2:$C$1601,$C1456,scans!$D$2:$D$1601,$D1456)&gt;1,"two readings of this type: keep one; ",""))</f>
        <v/>
      </c>
    </row>
    <row r="1457">
      <c r="A1457" s="9" t="n"/>
      <c r="B1457" s="33" t="n"/>
      <c r="G1457" s="25">
        <f>IF($C1457="","",IFERROR(IF(INDEX(links!$A$2:$A$501,MATCH($C1457,links!$D$2:$D$501,0))="","",INDEX(links!$A$2:$A$501,MATCH($C1457,links!$D$2:$D$501,0))),""))</f>
        <v/>
      </c>
      <c r="H1457" s="25">
        <f>IF($C1457="","",IFERROR(IF(INDEX(links!$B$2:$B$501,MATCH($C1457,links!$D$2:$D$501,0))="","",INDEX(links!$B$2:$B$501,MATCH($C1457,links!$D$2:$D$501,0))),""))</f>
        <v/>
      </c>
      <c r="I1457" s="25">
        <f>IF($C1457="","",IFERROR(IF(INDEX(links!$C$2:$C$501,MATCH($C1457,links!$D$2:$D$501,0))="","",INDEX(links!$C$2:$C$501,MATCH($C1457,links!$D$2:$D$501,0))),""))</f>
        <v/>
      </c>
      <c r="J1457" s="25">
        <f>IF($C1457="","",IF($G1457="","slug not in links; ","")&amp;IF($D1457="","reading type missing; ","")&amp;IF(COUNTIFS(scans!$C$2:$C$1601,$C1457,scans!$D$2:$D$1601,$D1457)&gt;1,"two readings of this type: keep one; ",""))</f>
        <v/>
      </c>
    </row>
    <row r="1458">
      <c r="A1458" s="9" t="n"/>
      <c r="B1458" s="33" t="n"/>
      <c r="G1458" s="25">
        <f>IF($C1458="","",IFERROR(IF(INDEX(links!$A$2:$A$501,MATCH($C1458,links!$D$2:$D$501,0))="","",INDEX(links!$A$2:$A$501,MATCH($C1458,links!$D$2:$D$501,0))),""))</f>
        <v/>
      </c>
      <c r="H1458" s="25">
        <f>IF($C1458="","",IFERROR(IF(INDEX(links!$B$2:$B$501,MATCH($C1458,links!$D$2:$D$501,0))="","",INDEX(links!$B$2:$B$501,MATCH($C1458,links!$D$2:$D$501,0))),""))</f>
        <v/>
      </c>
      <c r="I1458" s="25">
        <f>IF($C1458="","",IFERROR(IF(INDEX(links!$C$2:$C$501,MATCH($C1458,links!$D$2:$D$501,0))="","",INDEX(links!$C$2:$C$501,MATCH($C1458,links!$D$2:$D$501,0))),""))</f>
        <v/>
      </c>
      <c r="J1458" s="25">
        <f>IF($C1458="","",IF($G1458="","slug not in links; ","")&amp;IF($D1458="","reading type missing; ","")&amp;IF(COUNTIFS(scans!$C$2:$C$1601,$C1458,scans!$D$2:$D$1601,$D1458)&gt;1,"two readings of this type: keep one; ",""))</f>
        <v/>
      </c>
    </row>
    <row r="1459">
      <c r="A1459" s="9" t="n"/>
      <c r="B1459" s="33" t="n"/>
      <c r="G1459" s="25">
        <f>IF($C1459="","",IFERROR(IF(INDEX(links!$A$2:$A$501,MATCH($C1459,links!$D$2:$D$501,0))="","",INDEX(links!$A$2:$A$501,MATCH($C1459,links!$D$2:$D$501,0))),""))</f>
        <v/>
      </c>
      <c r="H1459" s="25">
        <f>IF($C1459="","",IFERROR(IF(INDEX(links!$B$2:$B$501,MATCH($C1459,links!$D$2:$D$501,0))="","",INDEX(links!$B$2:$B$501,MATCH($C1459,links!$D$2:$D$501,0))),""))</f>
        <v/>
      </c>
      <c r="I1459" s="25">
        <f>IF($C1459="","",IFERROR(IF(INDEX(links!$C$2:$C$501,MATCH($C1459,links!$D$2:$D$501,0))="","",INDEX(links!$C$2:$C$501,MATCH($C1459,links!$D$2:$D$501,0))),""))</f>
        <v/>
      </c>
      <c r="J1459" s="25">
        <f>IF($C1459="","",IF($G1459="","slug not in links; ","")&amp;IF($D1459="","reading type missing; ","")&amp;IF(COUNTIFS(scans!$C$2:$C$1601,$C1459,scans!$D$2:$D$1601,$D1459)&gt;1,"two readings of this type: keep one; ",""))</f>
        <v/>
      </c>
    </row>
    <row r="1460">
      <c r="A1460" s="9" t="n"/>
      <c r="B1460" s="33" t="n"/>
      <c r="G1460" s="25">
        <f>IF($C1460="","",IFERROR(IF(INDEX(links!$A$2:$A$501,MATCH($C1460,links!$D$2:$D$501,0))="","",INDEX(links!$A$2:$A$501,MATCH($C1460,links!$D$2:$D$501,0))),""))</f>
        <v/>
      </c>
      <c r="H1460" s="25">
        <f>IF($C1460="","",IFERROR(IF(INDEX(links!$B$2:$B$501,MATCH($C1460,links!$D$2:$D$501,0))="","",INDEX(links!$B$2:$B$501,MATCH($C1460,links!$D$2:$D$501,0))),""))</f>
        <v/>
      </c>
      <c r="I1460" s="25">
        <f>IF($C1460="","",IFERROR(IF(INDEX(links!$C$2:$C$501,MATCH($C1460,links!$D$2:$D$501,0))="","",INDEX(links!$C$2:$C$501,MATCH($C1460,links!$D$2:$D$501,0))),""))</f>
        <v/>
      </c>
      <c r="J1460" s="25">
        <f>IF($C1460="","",IF($G1460="","slug not in links; ","")&amp;IF($D1460="","reading type missing; ","")&amp;IF(COUNTIFS(scans!$C$2:$C$1601,$C1460,scans!$D$2:$D$1601,$D1460)&gt;1,"two readings of this type: keep one; ",""))</f>
        <v/>
      </c>
    </row>
    <row r="1461">
      <c r="A1461" s="9" t="n"/>
      <c r="B1461" s="33" t="n"/>
      <c r="G1461" s="25">
        <f>IF($C1461="","",IFERROR(IF(INDEX(links!$A$2:$A$501,MATCH($C1461,links!$D$2:$D$501,0))="","",INDEX(links!$A$2:$A$501,MATCH($C1461,links!$D$2:$D$501,0))),""))</f>
        <v/>
      </c>
      <c r="H1461" s="25">
        <f>IF($C1461="","",IFERROR(IF(INDEX(links!$B$2:$B$501,MATCH($C1461,links!$D$2:$D$501,0))="","",INDEX(links!$B$2:$B$501,MATCH($C1461,links!$D$2:$D$501,0))),""))</f>
        <v/>
      </c>
      <c r="I1461" s="25">
        <f>IF($C1461="","",IFERROR(IF(INDEX(links!$C$2:$C$501,MATCH($C1461,links!$D$2:$D$501,0))="","",INDEX(links!$C$2:$C$501,MATCH($C1461,links!$D$2:$D$501,0))),""))</f>
        <v/>
      </c>
      <c r="J1461" s="25">
        <f>IF($C1461="","",IF($G1461="","slug not in links; ","")&amp;IF($D1461="","reading type missing; ","")&amp;IF(COUNTIFS(scans!$C$2:$C$1601,$C1461,scans!$D$2:$D$1601,$D1461)&gt;1,"two readings of this type: keep one; ",""))</f>
        <v/>
      </c>
    </row>
    <row r="1462">
      <c r="A1462" s="9" t="n"/>
      <c r="B1462" s="33" t="n"/>
      <c r="G1462" s="25">
        <f>IF($C1462="","",IFERROR(IF(INDEX(links!$A$2:$A$501,MATCH($C1462,links!$D$2:$D$501,0))="","",INDEX(links!$A$2:$A$501,MATCH($C1462,links!$D$2:$D$501,0))),""))</f>
        <v/>
      </c>
      <c r="H1462" s="25">
        <f>IF($C1462="","",IFERROR(IF(INDEX(links!$B$2:$B$501,MATCH($C1462,links!$D$2:$D$501,0))="","",INDEX(links!$B$2:$B$501,MATCH($C1462,links!$D$2:$D$501,0))),""))</f>
        <v/>
      </c>
      <c r="I1462" s="25">
        <f>IF($C1462="","",IFERROR(IF(INDEX(links!$C$2:$C$501,MATCH($C1462,links!$D$2:$D$501,0))="","",INDEX(links!$C$2:$C$501,MATCH($C1462,links!$D$2:$D$501,0))),""))</f>
        <v/>
      </c>
      <c r="J1462" s="25">
        <f>IF($C1462="","",IF($G1462="","slug not in links; ","")&amp;IF($D1462="","reading type missing; ","")&amp;IF(COUNTIFS(scans!$C$2:$C$1601,$C1462,scans!$D$2:$D$1601,$D1462)&gt;1,"two readings of this type: keep one; ",""))</f>
        <v/>
      </c>
    </row>
    <row r="1463">
      <c r="A1463" s="9" t="n"/>
      <c r="B1463" s="33" t="n"/>
      <c r="G1463" s="25">
        <f>IF($C1463="","",IFERROR(IF(INDEX(links!$A$2:$A$501,MATCH($C1463,links!$D$2:$D$501,0))="","",INDEX(links!$A$2:$A$501,MATCH($C1463,links!$D$2:$D$501,0))),""))</f>
        <v/>
      </c>
      <c r="H1463" s="25">
        <f>IF($C1463="","",IFERROR(IF(INDEX(links!$B$2:$B$501,MATCH($C1463,links!$D$2:$D$501,0))="","",INDEX(links!$B$2:$B$501,MATCH($C1463,links!$D$2:$D$501,0))),""))</f>
        <v/>
      </c>
      <c r="I1463" s="25">
        <f>IF($C1463="","",IFERROR(IF(INDEX(links!$C$2:$C$501,MATCH($C1463,links!$D$2:$D$501,0))="","",INDEX(links!$C$2:$C$501,MATCH($C1463,links!$D$2:$D$501,0))),""))</f>
        <v/>
      </c>
      <c r="J1463" s="25">
        <f>IF($C1463="","",IF($G1463="","slug not in links; ","")&amp;IF($D1463="","reading type missing; ","")&amp;IF(COUNTIFS(scans!$C$2:$C$1601,$C1463,scans!$D$2:$D$1601,$D1463)&gt;1,"two readings of this type: keep one; ",""))</f>
        <v/>
      </c>
    </row>
    <row r="1464">
      <c r="A1464" s="9" t="n"/>
      <c r="B1464" s="33" t="n"/>
      <c r="G1464" s="25">
        <f>IF($C1464="","",IFERROR(IF(INDEX(links!$A$2:$A$501,MATCH($C1464,links!$D$2:$D$501,0))="","",INDEX(links!$A$2:$A$501,MATCH($C1464,links!$D$2:$D$501,0))),""))</f>
        <v/>
      </c>
      <c r="H1464" s="25">
        <f>IF($C1464="","",IFERROR(IF(INDEX(links!$B$2:$B$501,MATCH($C1464,links!$D$2:$D$501,0))="","",INDEX(links!$B$2:$B$501,MATCH($C1464,links!$D$2:$D$501,0))),""))</f>
        <v/>
      </c>
      <c r="I1464" s="25">
        <f>IF($C1464="","",IFERROR(IF(INDEX(links!$C$2:$C$501,MATCH($C1464,links!$D$2:$D$501,0))="","",INDEX(links!$C$2:$C$501,MATCH($C1464,links!$D$2:$D$501,0))),""))</f>
        <v/>
      </c>
      <c r="J1464" s="25">
        <f>IF($C1464="","",IF($G1464="","slug not in links; ","")&amp;IF($D1464="","reading type missing; ","")&amp;IF(COUNTIFS(scans!$C$2:$C$1601,$C1464,scans!$D$2:$D$1601,$D1464)&gt;1,"two readings of this type: keep one; ",""))</f>
        <v/>
      </c>
    </row>
    <row r="1465">
      <c r="A1465" s="9" t="n"/>
      <c r="B1465" s="33" t="n"/>
      <c r="G1465" s="25">
        <f>IF($C1465="","",IFERROR(IF(INDEX(links!$A$2:$A$501,MATCH($C1465,links!$D$2:$D$501,0))="","",INDEX(links!$A$2:$A$501,MATCH($C1465,links!$D$2:$D$501,0))),""))</f>
        <v/>
      </c>
      <c r="H1465" s="25">
        <f>IF($C1465="","",IFERROR(IF(INDEX(links!$B$2:$B$501,MATCH($C1465,links!$D$2:$D$501,0))="","",INDEX(links!$B$2:$B$501,MATCH($C1465,links!$D$2:$D$501,0))),""))</f>
        <v/>
      </c>
      <c r="I1465" s="25">
        <f>IF($C1465="","",IFERROR(IF(INDEX(links!$C$2:$C$501,MATCH($C1465,links!$D$2:$D$501,0))="","",INDEX(links!$C$2:$C$501,MATCH($C1465,links!$D$2:$D$501,0))),""))</f>
        <v/>
      </c>
      <c r="J1465" s="25">
        <f>IF($C1465="","",IF($G1465="","slug not in links; ","")&amp;IF($D1465="","reading type missing; ","")&amp;IF(COUNTIFS(scans!$C$2:$C$1601,$C1465,scans!$D$2:$D$1601,$D1465)&gt;1,"two readings of this type: keep one; ",""))</f>
        <v/>
      </c>
    </row>
    <row r="1466">
      <c r="A1466" s="9" t="n"/>
      <c r="B1466" s="33" t="n"/>
      <c r="G1466" s="25">
        <f>IF($C1466="","",IFERROR(IF(INDEX(links!$A$2:$A$501,MATCH($C1466,links!$D$2:$D$501,0))="","",INDEX(links!$A$2:$A$501,MATCH($C1466,links!$D$2:$D$501,0))),""))</f>
        <v/>
      </c>
      <c r="H1466" s="25">
        <f>IF($C1466="","",IFERROR(IF(INDEX(links!$B$2:$B$501,MATCH($C1466,links!$D$2:$D$501,0))="","",INDEX(links!$B$2:$B$501,MATCH($C1466,links!$D$2:$D$501,0))),""))</f>
        <v/>
      </c>
      <c r="I1466" s="25">
        <f>IF($C1466="","",IFERROR(IF(INDEX(links!$C$2:$C$501,MATCH($C1466,links!$D$2:$D$501,0))="","",INDEX(links!$C$2:$C$501,MATCH($C1466,links!$D$2:$D$501,0))),""))</f>
        <v/>
      </c>
      <c r="J1466" s="25">
        <f>IF($C1466="","",IF($G1466="","slug not in links; ","")&amp;IF($D1466="","reading type missing; ","")&amp;IF(COUNTIFS(scans!$C$2:$C$1601,$C1466,scans!$D$2:$D$1601,$D1466)&gt;1,"two readings of this type: keep one; ",""))</f>
        <v/>
      </c>
    </row>
    <row r="1467">
      <c r="A1467" s="9" t="n"/>
      <c r="B1467" s="33" t="n"/>
      <c r="G1467" s="25">
        <f>IF($C1467="","",IFERROR(IF(INDEX(links!$A$2:$A$501,MATCH($C1467,links!$D$2:$D$501,0))="","",INDEX(links!$A$2:$A$501,MATCH($C1467,links!$D$2:$D$501,0))),""))</f>
        <v/>
      </c>
      <c r="H1467" s="25">
        <f>IF($C1467="","",IFERROR(IF(INDEX(links!$B$2:$B$501,MATCH($C1467,links!$D$2:$D$501,0))="","",INDEX(links!$B$2:$B$501,MATCH($C1467,links!$D$2:$D$501,0))),""))</f>
        <v/>
      </c>
      <c r="I1467" s="25">
        <f>IF($C1467="","",IFERROR(IF(INDEX(links!$C$2:$C$501,MATCH($C1467,links!$D$2:$D$501,0))="","",INDEX(links!$C$2:$C$501,MATCH($C1467,links!$D$2:$D$501,0))),""))</f>
        <v/>
      </c>
      <c r="J1467" s="25">
        <f>IF($C1467="","",IF($G1467="","slug not in links; ","")&amp;IF($D1467="","reading type missing; ","")&amp;IF(COUNTIFS(scans!$C$2:$C$1601,$C1467,scans!$D$2:$D$1601,$D1467)&gt;1,"two readings of this type: keep one; ",""))</f>
        <v/>
      </c>
    </row>
    <row r="1468">
      <c r="A1468" s="9" t="n"/>
      <c r="B1468" s="33" t="n"/>
      <c r="G1468" s="25">
        <f>IF($C1468="","",IFERROR(IF(INDEX(links!$A$2:$A$501,MATCH($C1468,links!$D$2:$D$501,0))="","",INDEX(links!$A$2:$A$501,MATCH($C1468,links!$D$2:$D$501,0))),""))</f>
        <v/>
      </c>
      <c r="H1468" s="25">
        <f>IF($C1468="","",IFERROR(IF(INDEX(links!$B$2:$B$501,MATCH($C1468,links!$D$2:$D$501,0))="","",INDEX(links!$B$2:$B$501,MATCH($C1468,links!$D$2:$D$501,0))),""))</f>
        <v/>
      </c>
      <c r="I1468" s="25">
        <f>IF($C1468="","",IFERROR(IF(INDEX(links!$C$2:$C$501,MATCH($C1468,links!$D$2:$D$501,0))="","",INDEX(links!$C$2:$C$501,MATCH($C1468,links!$D$2:$D$501,0))),""))</f>
        <v/>
      </c>
      <c r="J1468" s="25">
        <f>IF($C1468="","",IF($G1468="","slug not in links; ","")&amp;IF($D1468="","reading type missing; ","")&amp;IF(COUNTIFS(scans!$C$2:$C$1601,$C1468,scans!$D$2:$D$1601,$D1468)&gt;1,"two readings of this type: keep one; ",""))</f>
        <v/>
      </c>
    </row>
    <row r="1469">
      <c r="A1469" s="9" t="n"/>
      <c r="B1469" s="33" t="n"/>
      <c r="G1469" s="25">
        <f>IF($C1469="","",IFERROR(IF(INDEX(links!$A$2:$A$501,MATCH($C1469,links!$D$2:$D$501,0))="","",INDEX(links!$A$2:$A$501,MATCH($C1469,links!$D$2:$D$501,0))),""))</f>
        <v/>
      </c>
      <c r="H1469" s="25">
        <f>IF($C1469="","",IFERROR(IF(INDEX(links!$B$2:$B$501,MATCH($C1469,links!$D$2:$D$501,0))="","",INDEX(links!$B$2:$B$501,MATCH($C1469,links!$D$2:$D$501,0))),""))</f>
        <v/>
      </c>
      <c r="I1469" s="25">
        <f>IF($C1469="","",IFERROR(IF(INDEX(links!$C$2:$C$501,MATCH($C1469,links!$D$2:$D$501,0))="","",INDEX(links!$C$2:$C$501,MATCH($C1469,links!$D$2:$D$501,0))),""))</f>
        <v/>
      </c>
      <c r="J1469" s="25">
        <f>IF($C1469="","",IF($G1469="","slug not in links; ","")&amp;IF($D1469="","reading type missing; ","")&amp;IF(COUNTIFS(scans!$C$2:$C$1601,$C1469,scans!$D$2:$D$1601,$D1469)&gt;1,"two readings of this type: keep one; ",""))</f>
        <v/>
      </c>
    </row>
    <row r="1470">
      <c r="A1470" s="9" t="n"/>
      <c r="B1470" s="33" t="n"/>
      <c r="G1470" s="25">
        <f>IF($C1470="","",IFERROR(IF(INDEX(links!$A$2:$A$501,MATCH($C1470,links!$D$2:$D$501,0))="","",INDEX(links!$A$2:$A$501,MATCH($C1470,links!$D$2:$D$501,0))),""))</f>
        <v/>
      </c>
      <c r="H1470" s="25">
        <f>IF($C1470="","",IFERROR(IF(INDEX(links!$B$2:$B$501,MATCH($C1470,links!$D$2:$D$501,0))="","",INDEX(links!$B$2:$B$501,MATCH($C1470,links!$D$2:$D$501,0))),""))</f>
        <v/>
      </c>
      <c r="I1470" s="25">
        <f>IF($C1470="","",IFERROR(IF(INDEX(links!$C$2:$C$501,MATCH($C1470,links!$D$2:$D$501,0))="","",INDEX(links!$C$2:$C$501,MATCH($C1470,links!$D$2:$D$501,0))),""))</f>
        <v/>
      </c>
      <c r="J1470" s="25">
        <f>IF($C1470="","",IF($G1470="","slug not in links; ","")&amp;IF($D1470="","reading type missing; ","")&amp;IF(COUNTIFS(scans!$C$2:$C$1601,$C1470,scans!$D$2:$D$1601,$D1470)&gt;1,"two readings of this type: keep one; ",""))</f>
        <v/>
      </c>
    </row>
    <row r="1471">
      <c r="A1471" s="9" t="n"/>
      <c r="B1471" s="33" t="n"/>
      <c r="G1471" s="25">
        <f>IF($C1471="","",IFERROR(IF(INDEX(links!$A$2:$A$501,MATCH($C1471,links!$D$2:$D$501,0))="","",INDEX(links!$A$2:$A$501,MATCH($C1471,links!$D$2:$D$501,0))),""))</f>
        <v/>
      </c>
      <c r="H1471" s="25">
        <f>IF($C1471="","",IFERROR(IF(INDEX(links!$B$2:$B$501,MATCH($C1471,links!$D$2:$D$501,0))="","",INDEX(links!$B$2:$B$501,MATCH($C1471,links!$D$2:$D$501,0))),""))</f>
        <v/>
      </c>
      <c r="I1471" s="25">
        <f>IF($C1471="","",IFERROR(IF(INDEX(links!$C$2:$C$501,MATCH($C1471,links!$D$2:$D$501,0))="","",INDEX(links!$C$2:$C$501,MATCH($C1471,links!$D$2:$D$501,0))),""))</f>
        <v/>
      </c>
      <c r="J1471" s="25">
        <f>IF($C1471="","",IF($G1471="","slug not in links; ","")&amp;IF($D1471="","reading type missing; ","")&amp;IF(COUNTIFS(scans!$C$2:$C$1601,$C1471,scans!$D$2:$D$1601,$D1471)&gt;1,"two readings of this type: keep one; ",""))</f>
        <v/>
      </c>
    </row>
    <row r="1472">
      <c r="A1472" s="9" t="n"/>
      <c r="B1472" s="33" t="n"/>
      <c r="G1472" s="25">
        <f>IF($C1472="","",IFERROR(IF(INDEX(links!$A$2:$A$501,MATCH($C1472,links!$D$2:$D$501,0))="","",INDEX(links!$A$2:$A$501,MATCH($C1472,links!$D$2:$D$501,0))),""))</f>
        <v/>
      </c>
      <c r="H1472" s="25">
        <f>IF($C1472="","",IFERROR(IF(INDEX(links!$B$2:$B$501,MATCH($C1472,links!$D$2:$D$501,0))="","",INDEX(links!$B$2:$B$501,MATCH($C1472,links!$D$2:$D$501,0))),""))</f>
        <v/>
      </c>
      <c r="I1472" s="25">
        <f>IF($C1472="","",IFERROR(IF(INDEX(links!$C$2:$C$501,MATCH($C1472,links!$D$2:$D$501,0))="","",INDEX(links!$C$2:$C$501,MATCH($C1472,links!$D$2:$D$501,0))),""))</f>
        <v/>
      </c>
      <c r="J1472" s="25">
        <f>IF($C1472="","",IF($G1472="","slug not in links; ","")&amp;IF($D1472="","reading type missing; ","")&amp;IF(COUNTIFS(scans!$C$2:$C$1601,$C1472,scans!$D$2:$D$1601,$D1472)&gt;1,"two readings of this type: keep one; ",""))</f>
        <v/>
      </c>
    </row>
    <row r="1473">
      <c r="A1473" s="9" t="n"/>
      <c r="B1473" s="33" t="n"/>
      <c r="G1473" s="25">
        <f>IF($C1473="","",IFERROR(IF(INDEX(links!$A$2:$A$501,MATCH($C1473,links!$D$2:$D$501,0))="","",INDEX(links!$A$2:$A$501,MATCH($C1473,links!$D$2:$D$501,0))),""))</f>
        <v/>
      </c>
      <c r="H1473" s="25">
        <f>IF($C1473="","",IFERROR(IF(INDEX(links!$B$2:$B$501,MATCH($C1473,links!$D$2:$D$501,0))="","",INDEX(links!$B$2:$B$501,MATCH($C1473,links!$D$2:$D$501,0))),""))</f>
        <v/>
      </c>
      <c r="I1473" s="25">
        <f>IF($C1473="","",IFERROR(IF(INDEX(links!$C$2:$C$501,MATCH($C1473,links!$D$2:$D$501,0))="","",INDEX(links!$C$2:$C$501,MATCH($C1473,links!$D$2:$D$501,0))),""))</f>
        <v/>
      </c>
      <c r="J1473" s="25">
        <f>IF($C1473="","",IF($G1473="","slug not in links; ","")&amp;IF($D1473="","reading type missing; ","")&amp;IF(COUNTIFS(scans!$C$2:$C$1601,$C1473,scans!$D$2:$D$1601,$D1473)&gt;1,"two readings of this type: keep one; ",""))</f>
        <v/>
      </c>
    </row>
    <row r="1474">
      <c r="A1474" s="9" t="n"/>
      <c r="B1474" s="33" t="n"/>
      <c r="G1474" s="25">
        <f>IF($C1474="","",IFERROR(IF(INDEX(links!$A$2:$A$501,MATCH($C1474,links!$D$2:$D$501,0))="","",INDEX(links!$A$2:$A$501,MATCH($C1474,links!$D$2:$D$501,0))),""))</f>
        <v/>
      </c>
      <c r="H1474" s="25">
        <f>IF($C1474="","",IFERROR(IF(INDEX(links!$B$2:$B$501,MATCH($C1474,links!$D$2:$D$501,0))="","",INDEX(links!$B$2:$B$501,MATCH($C1474,links!$D$2:$D$501,0))),""))</f>
        <v/>
      </c>
      <c r="I1474" s="25">
        <f>IF($C1474="","",IFERROR(IF(INDEX(links!$C$2:$C$501,MATCH($C1474,links!$D$2:$D$501,0))="","",INDEX(links!$C$2:$C$501,MATCH($C1474,links!$D$2:$D$501,0))),""))</f>
        <v/>
      </c>
      <c r="J1474" s="25">
        <f>IF($C1474="","",IF($G1474="","slug not in links; ","")&amp;IF($D1474="","reading type missing; ","")&amp;IF(COUNTIFS(scans!$C$2:$C$1601,$C1474,scans!$D$2:$D$1601,$D1474)&gt;1,"two readings of this type: keep one; ",""))</f>
        <v/>
      </c>
    </row>
    <row r="1475">
      <c r="A1475" s="9" t="n"/>
      <c r="B1475" s="33" t="n"/>
      <c r="G1475" s="25">
        <f>IF($C1475="","",IFERROR(IF(INDEX(links!$A$2:$A$501,MATCH($C1475,links!$D$2:$D$501,0))="","",INDEX(links!$A$2:$A$501,MATCH($C1475,links!$D$2:$D$501,0))),""))</f>
        <v/>
      </c>
      <c r="H1475" s="25">
        <f>IF($C1475="","",IFERROR(IF(INDEX(links!$B$2:$B$501,MATCH($C1475,links!$D$2:$D$501,0))="","",INDEX(links!$B$2:$B$501,MATCH($C1475,links!$D$2:$D$501,0))),""))</f>
        <v/>
      </c>
      <c r="I1475" s="25">
        <f>IF($C1475="","",IFERROR(IF(INDEX(links!$C$2:$C$501,MATCH($C1475,links!$D$2:$D$501,0))="","",INDEX(links!$C$2:$C$501,MATCH($C1475,links!$D$2:$D$501,0))),""))</f>
        <v/>
      </c>
      <c r="J1475" s="25">
        <f>IF($C1475="","",IF($G1475="","slug not in links; ","")&amp;IF($D1475="","reading type missing; ","")&amp;IF(COUNTIFS(scans!$C$2:$C$1601,$C1475,scans!$D$2:$D$1601,$D1475)&gt;1,"two readings of this type: keep one; ",""))</f>
        <v/>
      </c>
    </row>
    <row r="1476">
      <c r="A1476" s="9" t="n"/>
      <c r="B1476" s="33" t="n"/>
      <c r="G1476" s="25">
        <f>IF($C1476="","",IFERROR(IF(INDEX(links!$A$2:$A$501,MATCH($C1476,links!$D$2:$D$501,0))="","",INDEX(links!$A$2:$A$501,MATCH($C1476,links!$D$2:$D$501,0))),""))</f>
        <v/>
      </c>
      <c r="H1476" s="25">
        <f>IF($C1476="","",IFERROR(IF(INDEX(links!$B$2:$B$501,MATCH($C1476,links!$D$2:$D$501,0))="","",INDEX(links!$B$2:$B$501,MATCH($C1476,links!$D$2:$D$501,0))),""))</f>
        <v/>
      </c>
      <c r="I1476" s="25">
        <f>IF($C1476="","",IFERROR(IF(INDEX(links!$C$2:$C$501,MATCH($C1476,links!$D$2:$D$501,0))="","",INDEX(links!$C$2:$C$501,MATCH($C1476,links!$D$2:$D$501,0))),""))</f>
        <v/>
      </c>
      <c r="J1476" s="25">
        <f>IF($C1476="","",IF($G1476="","slug not in links; ","")&amp;IF($D1476="","reading type missing; ","")&amp;IF(COUNTIFS(scans!$C$2:$C$1601,$C1476,scans!$D$2:$D$1601,$D1476)&gt;1,"two readings of this type: keep one; ",""))</f>
        <v/>
      </c>
    </row>
    <row r="1477">
      <c r="A1477" s="9" t="n"/>
      <c r="B1477" s="33" t="n"/>
      <c r="G1477" s="25">
        <f>IF($C1477="","",IFERROR(IF(INDEX(links!$A$2:$A$501,MATCH($C1477,links!$D$2:$D$501,0))="","",INDEX(links!$A$2:$A$501,MATCH($C1477,links!$D$2:$D$501,0))),""))</f>
        <v/>
      </c>
      <c r="H1477" s="25">
        <f>IF($C1477="","",IFERROR(IF(INDEX(links!$B$2:$B$501,MATCH($C1477,links!$D$2:$D$501,0))="","",INDEX(links!$B$2:$B$501,MATCH($C1477,links!$D$2:$D$501,0))),""))</f>
        <v/>
      </c>
      <c r="I1477" s="25">
        <f>IF($C1477="","",IFERROR(IF(INDEX(links!$C$2:$C$501,MATCH($C1477,links!$D$2:$D$501,0))="","",INDEX(links!$C$2:$C$501,MATCH($C1477,links!$D$2:$D$501,0))),""))</f>
        <v/>
      </c>
      <c r="J1477" s="25">
        <f>IF($C1477="","",IF($G1477="","slug not in links; ","")&amp;IF($D1477="","reading type missing; ","")&amp;IF(COUNTIFS(scans!$C$2:$C$1601,$C1477,scans!$D$2:$D$1601,$D1477)&gt;1,"two readings of this type: keep one; ",""))</f>
        <v/>
      </c>
    </row>
    <row r="1478">
      <c r="A1478" s="9" t="n"/>
      <c r="B1478" s="33" t="n"/>
      <c r="G1478" s="25">
        <f>IF($C1478="","",IFERROR(IF(INDEX(links!$A$2:$A$501,MATCH($C1478,links!$D$2:$D$501,0))="","",INDEX(links!$A$2:$A$501,MATCH($C1478,links!$D$2:$D$501,0))),""))</f>
        <v/>
      </c>
      <c r="H1478" s="25">
        <f>IF($C1478="","",IFERROR(IF(INDEX(links!$B$2:$B$501,MATCH($C1478,links!$D$2:$D$501,0))="","",INDEX(links!$B$2:$B$501,MATCH($C1478,links!$D$2:$D$501,0))),""))</f>
        <v/>
      </c>
      <c r="I1478" s="25">
        <f>IF($C1478="","",IFERROR(IF(INDEX(links!$C$2:$C$501,MATCH($C1478,links!$D$2:$D$501,0))="","",INDEX(links!$C$2:$C$501,MATCH($C1478,links!$D$2:$D$501,0))),""))</f>
        <v/>
      </c>
      <c r="J1478" s="25">
        <f>IF($C1478="","",IF($G1478="","slug not in links; ","")&amp;IF($D1478="","reading type missing; ","")&amp;IF(COUNTIFS(scans!$C$2:$C$1601,$C1478,scans!$D$2:$D$1601,$D1478)&gt;1,"two readings of this type: keep one; ",""))</f>
        <v/>
      </c>
    </row>
    <row r="1479">
      <c r="A1479" s="9" t="n"/>
      <c r="B1479" s="33" t="n"/>
      <c r="G1479" s="25">
        <f>IF($C1479="","",IFERROR(IF(INDEX(links!$A$2:$A$501,MATCH($C1479,links!$D$2:$D$501,0))="","",INDEX(links!$A$2:$A$501,MATCH($C1479,links!$D$2:$D$501,0))),""))</f>
        <v/>
      </c>
      <c r="H1479" s="25">
        <f>IF($C1479="","",IFERROR(IF(INDEX(links!$B$2:$B$501,MATCH($C1479,links!$D$2:$D$501,0))="","",INDEX(links!$B$2:$B$501,MATCH($C1479,links!$D$2:$D$501,0))),""))</f>
        <v/>
      </c>
      <c r="I1479" s="25">
        <f>IF($C1479="","",IFERROR(IF(INDEX(links!$C$2:$C$501,MATCH($C1479,links!$D$2:$D$501,0))="","",INDEX(links!$C$2:$C$501,MATCH($C1479,links!$D$2:$D$501,0))),""))</f>
        <v/>
      </c>
      <c r="J1479" s="25">
        <f>IF($C1479="","",IF($G1479="","slug not in links; ","")&amp;IF($D1479="","reading type missing; ","")&amp;IF(COUNTIFS(scans!$C$2:$C$1601,$C1479,scans!$D$2:$D$1601,$D1479)&gt;1,"two readings of this type: keep one; ",""))</f>
        <v/>
      </c>
    </row>
    <row r="1480">
      <c r="A1480" s="9" t="n"/>
      <c r="B1480" s="33" t="n"/>
      <c r="G1480" s="25">
        <f>IF($C1480="","",IFERROR(IF(INDEX(links!$A$2:$A$501,MATCH($C1480,links!$D$2:$D$501,0))="","",INDEX(links!$A$2:$A$501,MATCH($C1480,links!$D$2:$D$501,0))),""))</f>
        <v/>
      </c>
      <c r="H1480" s="25">
        <f>IF($C1480="","",IFERROR(IF(INDEX(links!$B$2:$B$501,MATCH($C1480,links!$D$2:$D$501,0))="","",INDEX(links!$B$2:$B$501,MATCH($C1480,links!$D$2:$D$501,0))),""))</f>
        <v/>
      </c>
      <c r="I1480" s="25">
        <f>IF($C1480="","",IFERROR(IF(INDEX(links!$C$2:$C$501,MATCH($C1480,links!$D$2:$D$501,0))="","",INDEX(links!$C$2:$C$501,MATCH($C1480,links!$D$2:$D$501,0))),""))</f>
        <v/>
      </c>
      <c r="J1480" s="25">
        <f>IF($C1480="","",IF($G1480="","slug not in links; ","")&amp;IF($D1480="","reading type missing; ","")&amp;IF(COUNTIFS(scans!$C$2:$C$1601,$C1480,scans!$D$2:$D$1601,$D1480)&gt;1,"two readings of this type: keep one; ",""))</f>
        <v/>
      </c>
    </row>
    <row r="1481">
      <c r="A1481" s="9" t="n"/>
      <c r="B1481" s="33" t="n"/>
      <c r="G1481" s="25">
        <f>IF($C1481="","",IFERROR(IF(INDEX(links!$A$2:$A$501,MATCH($C1481,links!$D$2:$D$501,0))="","",INDEX(links!$A$2:$A$501,MATCH($C1481,links!$D$2:$D$501,0))),""))</f>
        <v/>
      </c>
      <c r="H1481" s="25">
        <f>IF($C1481="","",IFERROR(IF(INDEX(links!$B$2:$B$501,MATCH($C1481,links!$D$2:$D$501,0))="","",INDEX(links!$B$2:$B$501,MATCH($C1481,links!$D$2:$D$501,0))),""))</f>
        <v/>
      </c>
      <c r="I1481" s="25">
        <f>IF($C1481="","",IFERROR(IF(INDEX(links!$C$2:$C$501,MATCH($C1481,links!$D$2:$D$501,0))="","",INDEX(links!$C$2:$C$501,MATCH($C1481,links!$D$2:$D$501,0))),""))</f>
        <v/>
      </c>
      <c r="J1481" s="25">
        <f>IF($C1481="","",IF($G1481="","slug not in links; ","")&amp;IF($D1481="","reading type missing; ","")&amp;IF(COUNTIFS(scans!$C$2:$C$1601,$C1481,scans!$D$2:$D$1601,$D1481)&gt;1,"two readings of this type: keep one; ",""))</f>
        <v/>
      </c>
    </row>
    <row r="1482">
      <c r="A1482" s="9" t="n"/>
      <c r="B1482" s="33" t="n"/>
      <c r="G1482" s="25">
        <f>IF($C1482="","",IFERROR(IF(INDEX(links!$A$2:$A$501,MATCH($C1482,links!$D$2:$D$501,0))="","",INDEX(links!$A$2:$A$501,MATCH($C1482,links!$D$2:$D$501,0))),""))</f>
        <v/>
      </c>
      <c r="H1482" s="25">
        <f>IF($C1482="","",IFERROR(IF(INDEX(links!$B$2:$B$501,MATCH($C1482,links!$D$2:$D$501,0))="","",INDEX(links!$B$2:$B$501,MATCH($C1482,links!$D$2:$D$501,0))),""))</f>
        <v/>
      </c>
      <c r="I1482" s="25">
        <f>IF($C1482="","",IFERROR(IF(INDEX(links!$C$2:$C$501,MATCH($C1482,links!$D$2:$D$501,0))="","",INDEX(links!$C$2:$C$501,MATCH($C1482,links!$D$2:$D$501,0))),""))</f>
        <v/>
      </c>
      <c r="J1482" s="25">
        <f>IF($C1482="","",IF($G1482="","slug not in links; ","")&amp;IF($D1482="","reading type missing; ","")&amp;IF(COUNTIFS(scans!$C$2:$C$1601,$C1482,scans!$D$2:$D$1601,$D1482)&gt;1,"two readings of this type: keep one; ",""))</f>
        <v/>
      </c>
    </row>
    <row r="1483">
      <c r="A1483" s="9" t="n"/>
      <c r="B1483" s="33" t="n"/>
      <c r="G1483" s="25">
        <f>IF($C1483="","",IFERROR(IF(INDEX(links!$A$2:$A$501,MATCH($C1483,links!$D$2:$D$501,0))="","",INDEX(links!$A$2:$A$501,MATCH($C1483,links!$D$2:$D$501,0))),""))</f>
        <v/>
      </c>
      <c r="H1483" s="25">
        <f>IF($C1483="","",IFERROR(IF(INDEX(links!$B$2:$B$501,MATCH($C1483,links!$D$2:$D$501,0))="","",INDEX(links!$B$2:$B$501,MATCH($C1483,links!$D$2:$D$501,0))),""))</f>
        <v/>
      </c>
      <c r="I1483" s="25">
        <f>IF($C1483="","",IFERROR(IF(INDEX(links!$C$2:$C$501,MATCH($C1483,links!$D$2:$D$501,0))="","",INDEX(links!$C$2:$C$501,MATCH($C1483,links!$D$2:$D$501,0))),""))</f>
        <v/>
      </c>
      <c r="J1483" s="25">
        <f>IF($C1483="","",IF($G1483="","slug not in links; ","")&amp;IF($D1483="","reading type missing; ","")&amp;IF(COUNTIFS(scans!$C$2:$C$1601,$C1483,scans!$D$2:$D$1601,$D1483)&gt;1,"two readings of this type: keep one; ",""))</f>
        <v/>
      </c>
    </row>
    <row r="1484">
      <c r="A1484" s="9" t="n"/>
      <c r="B1484" s="33" t="n"/>
      <c r="G1484" s="25">
        <f>IF($C1484="","",IFERROR(IF(INDEX(links!$A$2:$A$501,MATCH($C1484,links!$D$2:$D$501,0))="","",INDEX(links!$A$2:$A$501,MATCH($C1484,links!$D$2:$D$501,0))),""))</f>
        <v/>
      </c>
      <c r="H1484" s="25">
        <f>IF($C1484="","",IFERROR(IF(INDEX(links!$B$2:$B$501,MATCH($C1484,links!$D$2:$D$501,0))="","",INDEX(links!$B$2:$B$501,MATCH($C1484,links!$D$2:$D$501,0))),""))</f>
        <v/>
      </c>
      <c r="I1484" s="25">
        <f>IF($C1484="","",IFERROR(IF(INDEX(links!$C$2:$C$501,MATCH($C1484,links!$D$2:$D$501,0))="","",INDEX(links!$C$2:$C$501,MATCH($C1484,links!$D$2:$D$501,0))),""))</f>
        <v/>
      </c>
      <c r="J1484" s="25">
        <f>IF($C1484="","",IF($G1484="","slug not in links; ","")&amp;IF($D1484="","reading type missing; ","")&amp;IF(COUNTIFS(scans!$C$2:$C$1601,$C1484,scans!$D$2:$D$1601,$D1484)&gt;1,"two readings of this type: keep one; ",""))</f>
        <v/>
      </c>
    </row>
    <row r="1485">
      <c r="A1485" s="9" t="n"/>
      <c r="B1485" s="33" t="n"/>
      <c r="G1485" s="25">
        <f>IF($C1485="","",IFERROR(IF(INDEX(links!$A$2:$A$501,MATCH($C1485,links!$D$2:$D$501,0))="","",INDEX(links!$A$2:$A$501,MATCH($C1485,links!$D$2:$D$501,0))),""))</f>
        <v/>
      </c>
      <c r="H1485" s="25">
        <f>IF($C1485="","",IFERROR(IF(INDEX(links!$B$2:$B$501,MATCH($C1485,links!$D$2:$D$501,0))="","",INDEX(links!$B$2:$B$501,MATCH($C1485,links!$D$2:$D$501,0))),""))</f>
        <v/>
      </c>
      <c r="I1485" s="25">
        <f>IF($C1485="","",IFERROR(IF(INDEX(links!$C$2:$C$501,MATCH($C1485,links!$D$2:$D$501,0))="","",INDEX(links!$C$2:$C$501,MATCH($C1485,links!$D$2:$D$501,0))),""))</f>
        <v/>
      </c>
      <c r="J1485" s="25">
        <f>IF($C1485="","",IF($G1485="","slug not in links; ","")&amp;IF($D1485="","reading type missing; ","")&amp;IF(COUNTIFS(scans!$C$2:$C$1601,$C1485,scans!$D$2:$D$1601,$D1485)&gt;1,"two readings of this type: keep one; ",""))</f>
        <v/>
      </c>
    </row>
    <row r="1486">
      <c r="A1486" s="9" t="n"/>
      <c r="B1486" s="33" t="n"/>
      <c r="G1486" s="25">
        <f>IF($C1486="","",IFERROR(IF(INDEX(links!$A$2:$A$501,MATCH($C1486,links!$D$2:$D$501,0))="","",INDEX(links!$A$2:$A$501,MATCH($C1486,links!$D$2:$D$501,0))),""))</f>
        <v/>
      </c>
      <c r="H1486" s="25">
        <f>IF($C1486="","",IFERROR(IF(INDEX(links!$B$2:$B$501,MATCH($C1486,links!$D$2:$D$501,0))="","",INDEX(links!$B$2:$B$501,MATCH($C1486,links!$D$2:$D$501,0))),""))</f>
        <v/>
      </c>
      <c r="I1486" s="25">
        <f>IF($C1486="","",IFERROR(IF(INDEX(links!$C$2:$C$501,MATCH($C1486,links!$D$2:$D$501,0))="","",INDEX(links!$C$2:$C$501,MATCH($C1486,links!$D$2:$D$501,0))),""))</f>
        <v/>
      </c>
      <c r="J1486" s="25">
        <f>IF($C1486="","",IF($G1486="","slug not in links; ","")&amp;IF($D1486="","reading type missing; ","")&amp;IF(COUNTIFS(scans!$C$2:$C$1601,$C1486,scans!$D$2:$D$1601,$D1486)&gt;1,"two readings of this type: keep one; ",""))</f>
        <v/>
      </c>
    </row>
    <row r="1487">
      <c r="A1487" s="9" t="n"/>
      <c r="B1487" s="33" t="n"/>
      <c r="G1487" s="25">
        <f>IF($C1487="","",IFERROR(IF(INDEX(links!$A$2:$A$501,MATCH($C1487,links!$D$2:$D$501,0))="","",INDEX(links!$A$2:$A$501,MATCH($C1487,links!$D$2:$D$501,0))),""))</f>
        <v/>
      </c>
      <c r="H1487" s="25">
        <f>IF($C1487="","",IFERROR(IF(INDEX(links!$B$2:$B$501,MATCH($C1487,links!$D$2:$D$501,0))="","",INDEX(links!$B$2:$B$501,MATCH($C1487,links!$D$2:$D$501,0))),""))</f>
        <v/>
      </c>
      <c r="I1487" s="25">
        <f>IF($C1487="","",IFERROR(IF(INDEX(links!$C$2:$C$501,MATCH($C1487,links!$D$2:$D$501,0))="","",INDEX(links!$C$2:$C$501,MATCH($C1487,links!$D$2:$D$501,0))),""))</f>
        <v/>
      </c>
      <c r="J1487" s="25">
        <f>IF($C1487="","",IF($G1487="","slug not in links; ","")&amp;IF($D1487="","reading type missing; ","")&amp;IF(COUNTIFS(scans!$C$2:$C$1601,$C1487,scans!$D$2:$D$1601,$D1487)&gt;1,"two readings of this type: keep one; ",""))</f>
        <v/>
      </c>
    </row>
    <row r="1488">
      <c r="A1488" s="9" t="n"/>
      <c r="B1488" s="33" t="n"/>
      <c r="G1488" s="25">
        <f>IF($C1488="","",IFERROR(IF(INDEX(links!$A$2:$A$501,MATCH($C1488,links!$D$2:$D$501,0))="","",INDEX(links!$A$2:$A$501,MATCH($C1488,links!$D$2:$D$501,0))),""))</f>
        <v/>
      </c>
      <c r="H1488" s="25">
        <f>IF($C1488="","",IFERROR(IF(INDEX(links!$B$2:$B$501,MATCH($C1488,links!$D$2:$D$501,0))="","",INDEX(links!$B$2:$B$501,MATCH($C1488,links!$D$2:$D$501,0))),""))</f>
        <v/>
      </c>
      <c r="I1488" s="25">
        <f>IF($C1488="","",IFERROR(IF(INDEX(links!$C$2:$C$501,MATCH($C1488,links!$D$2:$D$501,0))="","",INDEX(links!$C$2:$C$501,MATCH($C1488,links!$D$2:$D$501,0))),""))</f>
        <v/>
      </c>
      <c r="J1488" s="25">
        <f>IF($C1488="","",IF($G1488="","slug not in links; ","")&amp;IF($D1488="","reading type missing; ","")&amp;IF(COUNTIFS(scans!$C$2:$C$1601,$C1488,scans!$D$2:$D$1601,$D1488)&gt;1,"two readings of this type: keep one; ",""))</f>
        <v/>
      </c>
    </row>
    <row r="1489">
      <c r="A1489" s="9" t="n"/>
      <c r="B1489" s="33" t="n"/>
      <c r="G1489" s="25">
        <f>IF($C1489="","",IFERROR(IF(INDEX(links!$A$2:$A$501,MATCH($C1489,links!$D$2:$D$501,0))="","",INDEX(links!$A$2:$A$501,MATCH($C1489,links!$D$2:$D$501,0))),""))</f>
        <v/>
      </c>
      <c r="H1489" s="25">
        <f>IF($C1489="","",IFERROR(IF(INDEX(links!$B$2:$B$501,MATCH($C1489,links!$D$2:$D$501,0))="","",INDEX(links!$B$2:$B$501,MATCH($C1489,links!$D$2:$D$501,0))),""))</f>
        <v/>
      </c>
      <c r="I1489" s="25">
        <f>IF($C1489="","",IFERROR(IF(INDEX(links!$C$2:$C$501,MATCH($C1489,links!$D$2:$D$501,0))="","",INDEX(links!$C$2:$C$501,MATCH($C1489,links!$D$2:$D$501,0))),""))</f>
        <v/>
      </c>
      <c r="J1489" s="25">
        <f>IF($C1489="","",IF($G1489="","slug not in links; ","")&amp;IF($D1489="","reading type missing; ","")&amp;IF(COUNTIFS(scans!$C$2:$C$1601,$C1489,scans!$D$2:$D$1601,$D1489)&gt;1,"two readings of this type: keep one; ",""))</f>
        <v/>
      </c>
    </row>
    <row r="1490">
      <c r="A1490" s="9" t="n"/>
      <c r="B1490" s="33" t="n"/>
      <c r="G1490" s="25">
        <f>IF($C1490="","",IFERROR(IF(INDEX(links!$A$2:$A$501,MATCH($C1490,links!$D$2:$D$501,0))="","",INDEX(links!$A$2:$A$501,MATCH($C1490,links!$D$2:$D$501,0))),""))</f>
        <v/>
      </c>
      <c r="H1490" s="25">
        <f>IF($C1490="","",IFERROR(IF(INDEX(links!$B$2:$B$501,MATCH($C1490,links!$D$2:$D$501,0))="","",INDEX(links!$B$2:$B$501,MATCH($C1490,links!$D$2:$D$501,0))),""))</f>
        <v/>
      </c>
      <c r="I1490" s="25">
        <f>IF($C1490="","",IFERROR(IF(INDEX(links!$C$2:$C$501,MATCH($C1490,links!$D$2:$D$501,0))="","",INDEX(links!$C$2:$C$501,MATCH($C1490,links!$D$2:$D$501,0))),""))</f>
        <v/>
      </c>
      <c r="J1490" s="25">
        <f>IF($C1490="","",IF($G1490="","slug not in links; ","")&amp;IF($D1490="","reading type missing; ","")&amp;IF(COUNTIFS(scans!$C$2:$C$1601,$C1490,scans!$D$2:$D$1601,$D1490)&gt;1,"two readings of this type: keep one; ",""))</f>
        <v/>
      </c>
    </row>
    <row r="1491">
      <c r="A1491" s="9" t="n"/>
      <c r="B1491" s="33" t="n"/>
      <c r="G1491" s="25">
        <f>IF($C1491="","",IFERROR(IF(INDEX(links!$A$2:$A$501,MATCH($C1491,links!$D$2:$D$501,0))="","",INDEX(links!$A$2:$A$501,MATCH($C1491,links!$D$2:$D$501,0))),""))</f>
        <v/>
      </c>
      <c r="H1491" s="25">
        <f>IF($C1491="","",IFERROR(IF(INDEX(links!$B$2:$B$501,MATCH($C1491,links!$D$2:$D$501,0))="","",INDEX(links!$B$2:$B$501,MATCH($C1491,links!$D$2:$D$501,0))),""))</f>
        <v/>
      </c>
      <c r="I1491" s="25">
        <f>IF($C1491="","",IFERROR(IF(INDEX(links!$C$2:$C$501,MATCH($C1491,links!$D$2:$D$501,0))="","",INDEX(links!$C$2:$C$501,MATCH($C1491,links!$D$2:$D$501,0))),""))</f>
        <v/>
      </c>
      <c r="J1491" s="25">
        <f>IF($C1491="","",IF($G1491="","slug not in links; ","")&amp;IF($D1491="","reading type missing; ","")&amp;IF(COUNTIFS(scans!$C$2:$C$1601,$C1491,scans!$D$2:$D$1601,$D1491)&gt;1,"two readings of this type: keep one; ",""))</f>
        <v/>
      </c>
    </row>
    <row r="1492">
      <c r="A1492" s="9" t="n"/>
      <c r="B1492" s="33" t="n"/>
      <c r="G1492" s="25">
        <f>IF($C1492="","",IFERROR(IF(INDEX(links!$A$2:$A$501,MATCH($C1492,links!$D$2:$D$501,0))="","",INDEX(links!$A$2:$A$501,MATCH($C1492,links!$D$2:$D$501,0))),""))</f>
        <v/>
      </c>
      <c r="H1492" s="25">
        <f>IF($C1492="","",IFERROR(IF(INDEX(links!$B$2:$B$501,MATCH($C1492,links!$D$2:$D$501,0))="","",INDEX(links!$B$2:$B$501,MATCH($C1492,links!$D$2:$D$501,0))),""))</f>
        <v/>
      </c>
      <c r="I1492" s="25">
        <f>IF($C1492="","",IFERROR(IF(INDEX(links!$C$2:$C$501,MATCH($C1492,links!$D$2:$D$501,0))="","",INDEX(links!$C$2:$C$501,MATCH($C1492,links!$D$2:$D$501,0))),""))</f>
        <v/>
      </c>
      <c r="J1492" s="25">
        <f>IF($C1492="","",IF($G1492="","slug not in links; ","")&amp;IF($D1492="","reading type missing; ","")&amp;IF(COUNTIFS(scans!$C$2:$C$1601,$C1492,scans!$D$2:$D$1601,$D1492)&gt;1,"two readings of this type: keep one; ",""))</f>
        <v/>
      </c>
    </row>
    <row r="1493">
      <c r="A1493" s="9" t="n"/>
      <c r="B1493" s="33" t="n"/>
      <c r="G1493" s="25">
        <f>IF($C1493="","",IFERROR(IF(INDEX(links!$A$2:$A$501,MATCH($C1493,links!$D$2:$D$501,0))="","",INDEX(links!$A$2:$A$501,MATCH($C1493,links!$D$2:$D$501,0))),""))</f>
        <v/>
      </c>
      <c r="H1493" s="25">
        <f>IF($C1493="","",IFERROR(IF(INDEX(links!$B$2:$B$501,MATCH($C1493,links!$D$2:$D$501,0))="","",INDEX(links!$B$2:$B$501,MATCH($C1493,links!$D$2:$D$501,0))),""))</f>
        <v/>
      </c>
      <c r="I1493" s="25">
        <f>IF($C1493="","",IFERROR(IF(INDEX(links!$C$2:$C$501,MATCH($C1493,links!$D$2:$D$501,0))="","",INDEX(links!$C$2:$C$501,MATCH($C1493,links!$D$2:$D$501,0))),""))</f>
        <v/>
      </c>
      <c r="J1493" s="25">
        <f>IF($C1493="","",IF($G1493="","slug not in links; ","")&amp;IF($D1493="","reading type missing; ","")&amp;IF(COUNTIFS(scans!$C$2:$C$1601,$C1493,scans!$D$2:$D$1601,$D1493)&gt;1,"two readings of this type: keep one; ",""))</f>
        <v/>
      </c>
    </row>
    <row r="1494">
      <c r="A1494" s="9" t="n"/>
      <c r="B1494" s="33" t="n"/>
      <c r="G1494" s="25">
        <f>IF($C1494="","",IFERROR(IF(INDEX(links!$A$2:$A$501,MATCH($C1494,links!$D$2:$D$501,0))="","",INDEX(links!$A$2:$A$501,MATCH($C1494,links!$D$2:$D$501,0))),""))</f>
        <v/>
      </c>
      <c r="H1494" s="25">
        <f>IF($C1494="","",IFERROR(IF(INDEX(links!$B$2:$B$501,MATCH($C1494,links!$D$2:$D$501,0))="","",INDEX(links!$B$2:$B$501,MATCH($C1494,links!$D$2:$D$501,0))),""))</f>
        <v/>
      </c>
      <c r="I1494" s="25">
        <f>IF($C1494="","",IFERROR(IF(INDEX(links!$C$2:$C$501,MATCH($C1494,links!$D$2:$D$501,0))="","",INDEX(links!$C$2:$C$501,MATCH($C1494,links!$D$2:$D$501,0))),""))</f>
        <v/>
      </c>
      <c r="J1494" s="25">
        <f>IF($C1494="","",IF($G1494="","slug not in links; ","")&amp;IF($D1494="","reading type missing; ","")&amp;IF(COUNTIFS(scans!$C$2:$C$1601,$C1494,scans!$D$2:$D$1601,$D1494)&gt;1,"two readings of this type: keep one; ",""))</f>
        <v/>
      </c>
    </row>
    <row r="1495">
      <c r="A1495" s="9" t="n"/>
      <c r="B1495" s="33" t="n"/>
      <c r="G1495" s="25">
        <f>IF($C1495="","",IFERROR(IF(INDEX(links!$A$2:$A$501,MATCH($C1495,links!$D$2:$D$501,0))="","",INDEX(links!$A$2:$A$501,MATCH($C1495,links!$D$2:$D$501,0))),""))</f>
        <v/>
      </c>
      <c r="H1495" s="25">
        <f>IF($C1495="","",IFERROR(IF(INDEX(links!$B$2:$B$501,MATCH($C1495,links!$D$2:$D$501,0))="","",INDEX(links!$B$2:$B$501,MATCH($C1495,links!$D$2:$D$501,0))),""))</f>
        <v/>
      </c>
      <c r="I1495" s="25">
        <f>IF($C1495="","",IFERROR(IF(INDEX(links!$C$2:$C$501,MATCH($C1495,links!$D$2:$D$501,0))="","",INDEX(links!$C$2:$C$501,MATCH($C1495,links!$D$2:$D$501,0))),""))</f>
        <v/>
      </c>
      <c r="J1495" s="25">
        <f>IF($C1495="","",IF($G1495="","slug not in links; ","")&amp;IF($D1495="","reading type missing; ","")&amp;IF(COUNTIFS(scans!$C$2:$C$1601,$C1495,scans!$D$2:$D$1601,$D1495)&gt;1,"two readings of this type: keep one; ",""))</f>
        <v/>
      </c>
    </row>
    <row r="1496">
      <c r="A1496" s="9" t="n"/>
      <c r="B1496" s="33" t="n"/>
      <c r="G1496" s="25">
        <f>IF($C1496="","",IFERROR(IF(INDEX(links!$A$2:$A$501,MATCH($C1496,links!$D$2:$D$501,0))="","",INDEX(links!$A$2:$A$501,MATCH($C1496,links!$D$2:$D$501,0))),""))</f>
        <v/>
      </c>
      <c r="H1496" s="25">
        <f>IF($C1496="","",IFERROR(IF(INDEX(links!$B$2:$B$501,MATCH($C1496,links!$D$2:$D$501,0))="","",INDEX(links!$B$2:$B$501,MATCH($C1496,links!$D$2:$D$501,0))),""))</f>
        <v/>
      </c>
      <c r="I1496" s="25">
        <f>IF($C1496="","",IFERROR(IF(INDEX(links!$C$2:$C$501,MATCH($C1496,links!$D$2:$D$501,0))="","",INDEX(links!$C$2:$C$501,MATCH($C1496,links!$D$2:$D$501,0))),""))</f>
        <v/>
      </c>
      <c r="J1496" s="25">
        <f>IF($C1496="","",IF($G1496="","slug not in links; ","")&amp;IF($D1496="","reading type missing; ","")&amp;IF(COUNTIFS(scans!$C$2:$C$1601,$C1496,scans!$D$2:$D$1601,$D1496)&gt;1,"two readings of this type: keep one; ",""))</f>
        <v/>
      </c>
    </row>
    <row r="1497">
      <c r="A1497" s="9" t="n"/>
      <c r="B1497" s="33" t="n"/>
      <c r="G1497" s="25">
        <f>IF($C1497="","",IFERROR(IF(INDEX(links!$A$2:$A$501,MATCH($C1497,links!$D$2:$D$501,0))="","",INDEX(links!$A$2:$A$501,MATCH($C1497,links!$D$2:$D$501,0))),""))</f>
        <v/>
      </c>
      <c r="H1497" s="25">
        <f>IF($C1497="","",IFERROR(IF(INDEX(links!$B$2:$B$501,MATCH($C1497,links!$D$2:$D$501,0))="","",INDEX(links!$B$2:$B$501,MATCH($C1497,links!$D$2:$D$501,0))),""))</f>
        <v/>
      </c>
      <c r="I1497" s="25">
        <f>IF($C1497="","",IFERROR(IF(INDEX(links!$C$2:$C$501,MATCH($C1497,links!$D$2:$D$501,0))="","",INDEX(links!$C$2:$C$501,MATCH($C1497,links!$D$2:$D$501,0))),""))</f>
        <v/>
      </c>
      <c r="J1497" s="25">
        <f>IF($C1497="","",IF($G1497="","slug not in links; ","")&amp;IF($D1497="","reading type missing; ","")&amp;IF(COUNTIFS(scans!$C$2:$C$1601,$C1497,scans!$D$2:$D$1601,$D1497)&gt;1,"two readings of this type: keep one; ",""))</f>
        <v/>
      </c>
    </row>
    <row r="1498">
      <c r="A1498" s="9" t="n"/>
      <c r="B1498" s="33" t="n"/>
      <c r="G1498" s="25">
        <f>IF($C1498="","",IFERROR(IF(INDEX(links!$A$2:$A$501,MATCH($C1498,links!$D$2:$D$501,0))="","",INDEX(links!$A$2:$A$501,MATCH($C1498,links!$D$2:$D$501,0))),""))</f>
        <v/>
      </c>
      <c r="H1498" s="25">
        <f>IF($C1498="","",IFERROR(IF(INDEX(links!$B$2:$B$501,MATCH($C1498,links!$D$2:$D$501,0))="","",INDEX(links!$B$2:$B$501,MATCH($C1498,links!$D$2:$D$501,0))),""))</f>
        <v/>
      </c>
      <c r="I1498" s="25">
        <f>IF($C1498="","",IFERROR(IF(INDEX(links!$C$2:$C$501,MATCH($C1498,links!$D$2:$D$501,0))="","",INDEX(links!$C$2:$C$501,MATCH($C1498,links!$D$2:$D$501,0))),""))</f>
        <v/>
      </c>
      <c r="J1498" s="25">
        <f>IF($C1498="","",IF($G1498="","slug not in links; ","")&amp;IF($D1498="","reading type missing; ","")&amp;IF(COUNTIFS(scans!$C$2:$C$1601,$C1498,scans!$D$2:$D$1601,$D1498)&gt;1,"two readings of this type: keep one; ",""))</f>
        <v/>
      </c>
    </row>
    <row r="1499">
      <c r="A1499" s="9" t="n"/>
      <c r="B1499" s="33" t="n"/>
      <c r="G1499" s="25">
        <f>IF($C1499="","",IFERROR(IF(INDEX(links!$A$2:$A$501,MATCH($C1499,links!$D$2:$D$501,0))="","",INDEX(links!$A$2:$A$501,MATCH($C1499,links!$D$2:$D$501,0))),""))</f>
        <v/>
      </c>
      <c r="H1499" s="25">
        <f>IF($C1499="","",IFERROR(IF(INDEX(links!$B$2:$B$501,MATCH($C1499,links!$D$2:$D$501,0))="","",INDEX(links!$B$2:$B$501,MATCH($C1499,links!$D$2:$D$501,0))),""))</f>
        <v/>
      </c>
      <c r="I1499" s="25">
        <f>IF($C1499="","",IFERROR(IF(INDEX(links!$C$2:$C$501,MATCH($C1499,links!$D$2:$D$501,0))="","",INDEX(links!$C$2:$C$501,MATCH($C1499,links!$D$2:$D$501,0))),""))</f>
        <v/>
      </c>
      <c r="J1499" s="25">
        <f>IF($C1499="","",IF($G1499="","slug not in links; ","")&amp;IF($D1499="","reading type missing; ","")&amp;IF(COUNTIFS(scans!$C$2:$C$1601,$C1499,scans!$D$2:$D$1601,$D1499)&gt;1,"two readings of this type: keep one; ",""))</f>
        <v/>
      </c>
    </row>
    <row r="1500">
      <c r="A1500" s="9" t="n"/>
      <c r="B1500" s="33" t="n"/>
      <c r="G1500" s="25">
        <f>IF($C1500="","",IFERROR(IF(INDEX(links!$A$2:$A$501,MATCH($C1500,links!$D$2:$D$501,0))="","",INDEX(links!$A$2:$A$501,MATCH($C1500,links!$D$2:$D$501,0))),""))</f>
        <v/>
      </c>
      <c r="H1500" s="25">
        <f>IF($C1500="","",IFERROR(IF(INDEX(links!$B$2:$B$501,MATCH($C1500,links!$D$2:$D$501,0))="","",INDEX(links!$B$2:$B$501,MATCH($C1500,links!$D$2:$D$501,0))),""))</f>
        <v/>
      </c>
      <c r="I1500" s="25">
        <f>IF($C1500="","",IFERROR(IF(INDEX(links!$C$2:$C$501,MATCH($C1500,links!$D$2:$D$501,0))="","",INDEX(links!$C$2:$C$501,MATCH($C1500,links!$D$2:$D$501,0))),""))</f>
        <v/>
      </c>
      <c r="J1500" s="25">
        <f>IF($C1500="","",IF($G1500="","slug not in links; ","")&amp;IF($D1500="","reading type missing; ","")&amp;IF(COUNTIFS(scans!$C$2:$C$1601,$C1500,scans!$D$2:$D$1601,$D1500)&gt;1,"two readings of this type: keep one; ",""))</f>
        <v/>
      </c>
    </row>
    <row r="1501">
      <c r="A1501" s="9" t="n"/>
      <c r="B1501" s="33" t="n"/>
      <c r="G1501" s="25">
        <f>IF($C1501="","",IFERROR(IF(INDEX(links!$A$2:$A$501,MATCH($C1501,links!$D$2:$D$501,0))="","",INDEX(links!$A$2:$A$501,MATCH($C1501,links!$D$2:$D$501,0))),""))</f>
        <v/>
      </c>
      <c r="H1501" s="25">
        <f>IF($C1501="","",IFERROR(IF(INDEX(links!$B$2:$B$501,MATCH($C1501,links!$D$2:$D$501,0))="","",INDEX(links!$B$2:$B$501,MATCH($C1501,links!$D$2:$D$501,0))),""))</f>
        <v/>
      </c>
      <c r="I1501" s="25">
        <f>IF($C1501="","",IFERROR(IF(INDEX(links!$C$2:$C$501,MATCH($C1501,links!$D$2:$D$501,0))="","",INDEX(links!$C$2:$C$501,MATCH($C1501,links!$D$2:$D$501,0))),""))</f>
        <v/>
      </c>
      <c r="J1501" s="25">
        <f>IF($C1501="","",IF($G1501="","slug not in links; ","")&amp;IF($D1501="","reading type missing; ","")&amp;IF(COUNTIFS(scans!$C$2:$C$1601,$C1501,scans!$D$2:$D$1601,$D1501)&gt;1,"two readings of this type: keep one; ",""))</f>
        <v/>
      </c>
    </row>
    <row r="1502">
      <c r="A1502" s="9" t="n"/>
      <c r="B1502" s="33" t="n"/>
      <c r="G1502" s="25">
        <f>IF($C1502="","",IFERROR(IF(INDEX(links!$A$2:$A$501,MATCH($C1502,links!$D$2:$D$501,0))="","",INDEX(links!$A$2:$A$501,MATCH($C1502,links!$D$2:$D$501,0))),""))</f>
        <v/>
      </c>
      <c r="H1502" s="25">
        <f>IF($C1502="","",IFERROR(IF(INDEX(links!$B$2:$B$501,MATCH($C1502,links!$D$2:$D$501,0))="","",INDEX(links!$B$2:$B$501,MATCH($C1502,links!$D$2:$D$501,0))),""))</f>
        <v/>
      </c>
      <c r="I1502" s="25">
        <f>IF($C1502="","",IFERROR(IF(INDEX(links!$C$2:$C$501,MATCH($C1502,links!$D$2:$D$501,0))="","",INDEX(links!$C$2:$C$501,MATCH($C1502,links!$D$2:$D$501,0))),""))</f>
        <v/>
      </c>
      <c r="J1502" s="25">
        <f>IF($C1502="","",IF($G1502="","slug not in links; ","")&amp;IF($D1502="","reading type missing; ","")&amp;IF(COUNTIFS(scans!$C$2:$C$1601,$C1502,scans!$D$2:$D$1601,$D1502)&gt;1,"two readings of this type: keep one; ",""))</f>
        <v/>
      </c>
    </row>
    <row r="1503">
      <c r="A1503" s="9" t="n"/>
      <c r="B1503" s="33" t="n"/>
      <c r="G1503" s="25">
        <f>IF($C1503="","",IFERROR(IF(INDEX(links!$A$2:$A$501,MATCH($C1503,links!$D$2:$D$501,0))="","",INDEX(links!$A$2:$A$501,MATCH($C1503,links!$D$2:$D$501,0))),""))</f>
        <v/>
      </c>
      <c r="H1503" s="25">
        <f>IF($C1503="","",IFERROR(IF(INDEX(links!$B$2:$B$501,MATCH($C1503,links!$D$2:$D$501,0))="","",INDEX(links!$B$2:$B$501,MATCH($C1503,links!$D$2:$D$501,0))),""))</f>
        <v/>
      </c>
      <c r="I1503" s="25">
        <f>IF($C1503="","",IFERROR(IF(INDEX(links!$C$2:$C$501,MATCH($C1503,links!$D$2:$D$501,0))="","",INDEX(links!$C$2:$C$501,MATCH($C1503,links!$D$2:$D$501,0))),""))</f>
        <v/>
      </c>
      <c r="J1503" s="25">
        <f>IF($C1503="","",IF($G1503="","slug not in links; ","")&amp;IF($D1503="","reading type missing; ","")&amp;IF(COUNTIFS(scans!$C$2:$C$1601,$C1503,scans!$D$2:$D$1601,$D1503)&gt;1,"two readings of this type: keep one; ",""))</f>
        <v/>
      </c>
    </row>
    <row r="1504">
      <c r="A1504" s="9" t="n"/>
      <c r="B1504" s="33" t="n"/>
      <c r="G1504" s="25">
        <f>IF($C1504="","",IFERROR(IF(INDEX(links!$A$2:$A$501,MATCH($C1504,links!$D$2:$D$501,0))="","",INDEX(links!$A$2:$A$501,MATCH($C1504,links!$D$2:$D$501,0))),""))</f>
        <v/>
      </c>
      <c r="H1504" s="25">
        <f>IF($C1504="","",IFERROR(IF(INDEX(links!$B$2:$B$501,MATCH($C1504,links!$D$2:$D$501,0))="","",INDEX(links!$B$2:$B$501,MATCH($C1504,links!$D$2:$D$501,0))),""))</f>
        <v/>
      </c>
      <c r="I1504" s="25">
        <f>IF($C1504="","",IFERROR(IF(INDEX(links!$C$2:$C$501,MATCH($C1504,links!$D$2:$D$501,0))="","",INDEX(links!$C$2:$C$501,MATCH($C1504,links!$D$2:$D$501,0))),""))</f>
        <v/>
      </c>
      <c r="J1504" s="25">
        <f>IF($C1504="","",IF($G1504="","slug not in links; ","")&amp;IF($D1504="","reading type missing; ","")&amp;IF(COUNTIFS(scans!$C$2:$C$1601,$C1504,scans!$D$2:$D$1601,$D1504)&gt;1,"two readings of this type: keep one; ",""))</f>
        <v/>
      </c>
    </row>
    <row r="1505">
      <c r="A1505" s="9" t="n"/>
      <c r="B1505" s="33" t="n"/>
      <c r="G1505" s="25">
        <f>IF($C1505="","",IFERROR(IF(INDEX(links!$A$2:$A$501,MATCH($C1505,links!$D$2:$D$501,0))="","",INDEX(links!$A$2:$A$501,MATCH($C1505,links!$D$2:$D$501,0))),""))</f>
        <v/>
      </c>
      <c r="H1505" s="25">
        <f>IF($C1505="","",IFERROR(IF(INDEX(links!$B$2:$B$501,MATCH($C1505,links!$D$2:$D$501,0))="","",INDEX(links!$B$2:$B$501,MATCH($C1505,links!$D$2:$D$501,0))),""))</f>
        <v/>
      </c>
      <c r="I1505" s="25">
        <f>IF($C1505="","",IFERROR(IF(INDEX(links!$C$2:$C$501,MATCH($C1505,links!$D$2:$D$501,0))="","",INDEX(links!$C$2:$C$501,MATCH($C1505,links!$D$2:$D$501,0))),""))</f>
        <v/>
      </c>
      <c r="J1505" s="25">
        <f>IF($C1505="","",IF($G1505="","slug not in links; ","")&amp;IF($D1505="","reading type missing; ","")&amp;IF(COUNTIFS(scans!$C$2:$C$1601,$C1505,scans!$D$2:$D$1601,$D1505)&gt;1,"two readings of this type: keep one; ",""))</f>
        <v/>
      </c>
    </row>
    <row r="1506">
      <c r="A1506" s="9" t="n"/>
      <c r="B1506" s="33" t="n"/>
      <c r="G1506" s="25">
        <f>IF($C1506="","",IFERROR(IF(INDEX(links!$A$2:$A$501,MATCH($C1506,links!$D$2:$D$501,0))="","",INDEX(links!$A$2:$A$501,MATCH($C1506,links!$D$2:$D$501,0))),""))</f>
        <v/>
      </c>
      <c r="H1506" s="25">
        <f>IF($C1506="","",IFERROR(IF(INDEX(links!$B$2:$B$501,MATCH($C1506,links!$D$2:$D$501,0))="","",INDEX(links!$B$2:$B$501,MATCH($C1506,links!$D$2:$D$501,0))),""))</f>
        <v/>
      </c>
      <c r="I1506" s="25">
        <f>IF($C1506="","",IFERROR(IF(INDEX(links!$C$2:$C$501,MATCH($C1506,links!$D$2:$D$501,0))="","",INDEX(links!$C$2:$C$501,MATCH($C1506,links!$D$2:$D$501,0))),""))</f>
        <v/>
      </c>
      <c r="J1506" s="25">
        <f>IF($C1506="","",IF($G1506="","slug not in links; ","")&amp;IF($D1506="","reading type missing; ","")&amp;IF(COUNTIFS(scans!$C$2:$C$1601,$C1506,scans!$D$2:$D$1601,$D1506)&gt;1,"two readings of this type: keep one; ",""))</f>
        <v/>
      </c>
    </row>
    <row r="1507">
      <c r="A1507" s="9" t="n"/>
      <c r="B1507" s="33" t="n"/>
      <c r="G1507" s="25">
        <f>IF($C1507="","",IFERROR(IF(INDEX(links!$A$2:$A$501,MATCH($C1507,links!$D$2:$D$501,0))="","",INDEX(links!$A$2:$A$501,MATCH($C1507,links!$D$2:$D$501,0))),""))</f>
        <v/>
      </c>
      <c r="H1507" s="25">
        <f>IF($C1507="","",IFERROR(IF(INDEX(links!$B$2:$B$501,MATCH($C1507,links!$D$2:$D$501,0))="","",INDEX(links!$B$2:$B$501,MATCH($C1507,links!$D$2:$D$501,0))),""))</f>
        <v/>
      </c>
      <c r="I1507" s="25">
        <f>IF($C1507="","",IFERROR(IF(INDEX(links!$C$2:$C$501,MATCH($C1507,links!$D$2:$D$501,0))="","",INDEX(links!$C$2:$C$501,MATCH($C1507,links!$D$2:$D$501,0))),""))</f>
        <v/>
      </c>
      <c r="J1507" s="25">
        <f>IF($C1507="","",IF($G1507="","slug not in links; ","")&amp;IF($D1507="","reading type missing; ","")&amp;IF(COUNTIFS(scans!$C$2:$C$1601,$C1507,scans!$D$2:$D$1601,$D1507)&gt;1,"two readings of this type: keep one; ",""))</f>
        <v/>
      </c>
    </row>
    <row r="1508">
      <c r="A1508" s="9" t="n"/>
      <c r="B1508" s="33" t="n"/>
      <c r="G1508" s="25">
        <f>IF($C1508="","",IFERROR(IF(INDEX(links!$A$2:$A$501,MATCH($C1508,links!$D$2:$D$501,0))="","",INDEX(links!$A$2:$A$501,MATCH($C1508,links!$D$2:$D$501,0))),""))</f>
        <v/>
      </c>
      <c r="H1508" s="25">
        <f>IF($C1508="","",IFERROR(IF(INDEX(links!$B$2:$B$501,MATCH($C1508,links!$D$2:$D$501,0))="","",INDEX(links!$B$2:$B$501,MATCH($C1508,links!$D$2:$D$501,0))),""))</f>
        <v/>
      </c>
      <c r="I1508" s="25">
        <f>IF($C1508="","",IFERROR(IF(INDEX(links!$C$2:$C$501,MATCH($C1508,links!$D$2:$D$501,0))="","",INDEX(links!$C$2:$C$501,MATCH($C1508,links!$D$2:$D$501,0))),""))</f>
        <v/>
      </c>
      <c r="J1508" s="25">
        <f>IF($C1508="","",IF($G1508="","slug not in links; ","")&amp;IF($D1508="","reading type missing; ","")&amp;IF(COUNTIFS(scans!$C$2:$C$1601,$C1508,scans!$D$2:$D$1601,$D1508)&gt;1,"two readings of this type: keep one; ",""))</f>
        <v/>
      </c>
    </row>
    <row r="1509">
      <c r="A1509" s="9" t="n"/>
      <c r="B1509" s="33" t="n"/>
      <c r="G1509" s="25">
        <f>IF($C1509="","",IFERROR(IF(INDEX(links!$A$2:$A$501,MATCH($C1509,links!$D$2:$D$501,0))="","",INDEX(links!$A$2:$A$501,MATCH($C1509,links!$D$2:$D$501,0))),""))</f>
        <v/>
      </c>
      <c r="H1509" s="25">
        <f>IF($C1509="","",IFERROR(IF(INDEX(links!$B$2:$B$501,MATCH($C1509,links!$D$2:$D$501,0))="","",INDEX(links!$B$2:$B$501,MATCH($C1509,links!$D$2:$D$501,0))),""))</f>
        <v/>
      </c>
      <c r="I1509" s="25">
        <f>IF($C1509="","",IFERROR(IF(INDEX(links!$C$2:$C$501,MATCH($C1509,links!$D$2:$D$501,0))="","",INDEX(links!$C$2:$C$501,MATCH($C1509,links!$D$2:$D$501,0))),""))</f>
        <v/>
      </c>
      <c r="J1509" s="25">
        <f>IF($C1509="","",IF($G1509="","slug not in links; ","")&amp;IF($D1509="","reading type missing; ","")&amp;IF(COUNTIFS(scans!$C$2:$C$1601,$C1509,scans!$D$2:$D$1601,$D1509)&gt;1,"two readings of this type: keep one; ",""))</f>
        <v/>
      </c>
    </row>
    <row r="1510">
      <c r="A1510" s="9" t="n"/>
      <c r="B1510" s="33" t="n"/>
      <c r="G1510" s="25">
        <f>IF($C1510="","",IFERROR(IF(INDEX(links!$A$2:$A$501,MATCH($C1510,links!$D$2:$D$501,0))="","",INDEX(links!$A$2:$A$501,MATCH($C1510,links!$D$2:$D$501,0))),""))</f>
        <v/>
      </c>
      <c r="H1510" s="25">
        <f>IF($C1510="","",IFERROR(IF(INDEX(links!$B$2:$B$501,MATCH($C1510,links!$D$2:$D$501,0))="","",INDEX(links!$B$2:$B$501,MATCH($C1510,links!$D$2:$D$501,0))),""))</f>
        <v/>
      </c>
      <c r="I1510" s="25">
        <f>IF($C1510="","",IFERROR(IF(INDEX(links!$C$2:$C$501,MATCH($C1510,links!$D$2:$D$501,0))="","",INDEX(links!$C$2:$C$501,MATCH($C1510,links!$D$2:$D$501,0))),""))</f>
        <v/>
      </c>
      <c r="J1510" s="25">
        <f>IF($C1510="","",IF($G1510="","slug not in links; ","")&amp;IF($D1510="","reading type missing; ","")&amp;IF(COUNTIFS(scans!$C$2:$C$1601,$C1510,scans!$D$2:$D$1601,$D1510)&gt;1,"two readings of this type: keep one; ",""))</f>
        <v/>
      </c>
    </row>
    <row r="1511">
      <c r="A1511" s="9" t="n"/>
      <c r="B1511" s="33" t="n"/>
      <c r="G1511" s="25">
        <f>IF($C1511="","",IFERROR(IF(INDEX(links!$A$2:$A$501,MATCH($C1511,links!$D$2:$D$501,0))="","",INDEX(links!$A$2:$A$501,MATCH($C1511,links!$D$2:$D$501,0))),""))</f>
        <v/>
      </c>
      <c r="H1511" s="25">
        <f>IF($C1511="","",IFERROR(IF(INDEX(links!$B$2:$B$501,MATCH($C1511,links!$D$2:$D$501,0))="","",INDEX(links!$B$2:$B$501,MATCH($C1511,links!$D$2:$D$501,0))),""))</f>
        <v/>
      </c>
      <c r="I1511" s="25">
        <f>IF($C1511="","",IFERROR(IF(INDEX(links!$C$2:$C$501,MATCH($C1511,links!$D$2:$D$501,0))="","",INDEX(links!$C$2:$C$501,MATCH($C1511,links!$D$2:$D$501,0))),""))</f>
        <v/>
      </c>
      <c r="J1511" s="25">
        <f>IF($C1511="","",IF($G1511="","slug not in links; ","")&amp;IF($D1511="","reading type missing; ","")&amp;IF(COUNTIFS(scans!$C$2:$C$1601,$C1511,scans!$D$2:$D$1601,$D1511)&gt;1,"two readings of this type: keep one; ",""))</f>
        <v/>
      </c>
    </row>
    <row r="1512">
      <c r="A1512" s="9" t="n"/>
      <c r="B1512" s="33" t="n"/>
      <c r="G1512" s="25">
        <f>IF($C1512="","",IFERROR(IF(INDEX(links!$A$2:$A$501,MATCH($C1512,links!$D$2:$D$501,0))="","",INDEX(links!$A$2:$A$501,MATCH($C1512,links!$D$2:$D$501,0))),""))</f>
        <v/>
      </c>
      <c r="H1512" s="25">
        <f>IF($C1512="","",IFERROR(IF(INDEX(links!$B$2:$B$501,MATCH($C1512,links!$D$2:$D$501,0))="","",INDEX(links!$B$2:$B$501,MATCH($C1512,links!$D$2:$D$501,0))),""))</f>
        <v/>
      </c>
      <c r="I1512" s="25">
        <f>IF($C1512="","",IFERROR(IF(INDEX(links!$C$2:$C$501,MATCH($C1512,links!$D$2:$D$501,0))="","",INDEX(links!$C$2:$C$501,MATCH($C1512,links!$D$2:$D$501,0))),""))</f>
        <v/>
      </c>
      <c r="J1512" s="25">
        <f>IF($C1512="","",IF($G1512="","slug not in links; ","")&amp;IF($D1512="","reading type missing; ","")&amp;IF(COUNTIFS(scans!$C$2:$C$1601,$C1512,scans!$D$2:$D$1601,$D1512)&gt;1,"two readings of this type: keep one; ",""))</f>
        <v/>
      </c>
    </row>
    <row r="1513">
      <c r="A1513" s="9" t="n"/>
      <c r="B1513" s="33" t="n"/>
      <c r="G1513" s="25">
        <f>IF($C1513="","",IFERROR(IF(INDEX(links!$A$2:$A$501,MATCH($C1513,links!$D$2:$D$501,0))="","",INDEX(links!$A$2:$A$501,MATCH($C1513,links!$D$2:$D$501,0))),""))</f>
        <v/>
      </c>
      <c r="H1513" s="25">
        <f>IF($C1513="","",IFERROR(IF(INDEX(links!$B$2:$B$501,MATCH($C1513,links!$D$2:$D$501,0))="","",INDEX(links!$B$2:$B$501,MATCH($C1513,links!$D$2:$D$501,0))),""))</f>
        <v/>
      </c>
      <c r="I1513" s="25">
        <f>IF($C1513="","",IFERROR(IF(INDEX(links!$C$2:$C$501,MATCH($C1513,links!$D$2:$D$501,0))="","",INDEX(links!$C$2:$C$501,MATCH($C1513,links!$D$2:$D$501,0))),""))</f>
        <v/>
      </c>
      <c r="J1513" s="25">
        <f>IF($C1513="","",IF($G1513="","slug not in links; ","")&amp;IF($D1513="","reading type missing; ","")&amp;IF(COUNTIFS(scans!$C$2:$C$1601,$C1513,scans!$D$2:$D$1601,$D1513)&gt;1,"two readings of this type: keep one; ",""))</f>
        <v/>
      </c>
    </row>
    <row r="1514">
      <c r="A1514" s="9" t="n"/>
      <c r="B1514" s="33" t="n"/>
      <c r="G1514" s="25">
        <f>IF($C1514="","",IFERROR(IF(INDEX(links!$A$2:$A$501,MATCH($C1514,links!$D$2:$D$501,0))="","",INDEX(links!$A$2:$A$501,MATCH($C1514,links!$D$2:$D$501,0))),""))</f>
        <v/>
      </c>
      <c r="H1514" s="25">
        <f>IF($C1514="","",IFERROR(IF(INDEX(links!$B$2:$B$501,MATCH($C1514,links!$D$2:$D$501,0))="","",INDEX(links!$B$2:$B$501,MATCH($C1514,links!$D$2:$D$501,0))),""))</f>
        <v/>
      </c>
      <c r="I1514" s="25">
        <f>IF($C1514="","",IFERROR(IF(INDEX(links!$C$2:$C$501,MATCH($C1514,links!$D$2:$D$501,0))="","",INDEX(links!$C$2:$C$501,MATCH($C1514,links!$D$2:$D$501,0))),""))</f>
        <v/>
      </c>
      <c r="J1514" s="25">
        <f>IF($C1514="","",IF($G1514="","slug not in links; ","")&amp;IF($D1514="","reading type missing; ","")&amp;IF(COUNTIFS(scans!$C$2:$C$1601,$C1514,scans!$D$2:$D$1601,$D1514)&gt;1,"two readings of this type: keep one; ",""))</f>
        <v/>
      </c>
    </row>
    <row r="1515">
      <c r="A1515" s="9" t="n"/>
      <c r="B1515" s="33" t="n"/>
      <c r="G1515" s="25">
        <f>IF($C1515="","",IFERROR(IF(INDEX(links!$A$2:$A$501,MATCH($C1515,links!$D$2:$D$501,0))="","",INDEX(links!$A$2:$A$501,MATCH($C1515,links!$D$2:$D$501,0))),""))</f>
        <v/>
      </c>
      <c r="H1515" s="25">
        <f>IF($C1515="","",IFERROR(IF(INDEX(links!$B$2:$B$501,MATCH($C1515,links!$D$2:$D$501,0))="","",INDEX(links!$B$2:$B$501,MATCH($C1515,links!$D$2:$D$501,0))),""))</f>
        <v/>
      </c>
      <c r="I1515" s="25">
        <f>IF($C1515="","",IFERROR(IF(INDEX(links!$C$2:$C$501,MATCH($C1515,links!$D$2:$D$501,0))="","",INDEX(links!$C$2:$C$501,MATCH($C1515,links!$D$2:$D$501,0))),""))</f>
        <v/>
      </c>
      <c r="J1515" s="25">
        <f>IF($C1515="","",IF($G1515="","slug not in links; ","")&amp;IF($D1515="","reading type missing; ","")&amp;IF(COUNTIFS(scans!$C$2:$C$1601,$C1515,scans!$D$2:$D$1601,$D1515)&gt;1,"two readings of this type: keep one; ",""))</f>
        <v/>
      </c>
    </row>
    <row r="1516">
      <c r="A1516" s="9" t="n"/>
      <c r="B1516" s="33" t="n"/>
      <c r="G1516" s="25">
        <f>IF($C1516="","",IFERROR(IF(INDEX(links!$A$2:$A$501,MATCH($C1516,links!$D$2:$D$501,0))="","",INDEX(links!$A$2:$A$501,MATCH($C1516,links!$D$2:$D$501,0))),""))</f>
        <v/>
      </c>
      <c r="H1516" s="25">
        <f>IF($C1516="","",IFERROR(IF(INDEX(links!$B$2:$B$501,MATCH($C1516,links!$D$2:$D$501,0))="","",INDEX(links!$B$2:$B$501,MATCH($C1516,links!$D$2:$D$501,0))),""))</f>
        <v/>
      </c>
      <c r="I1516" s="25">
        <f>IF($C1516="","",IFERROR(IF(INDEX(links!$C$2:$C$501,MATCH($C1516,links!$D$2:$D$501,0))="","",INDEX(links!$C$2:$C$501,MATCH($C1516,links!$D$2:$D$501,0))),""))</f>
        <v/>
      </c>
      <c r="J1516" s="25">
        <f>IF($C1516="","",IF($G1516="","slug not in links; ","")&amp;IF($D1516="","reading type missing; ","")&amp;IF(COUNTIFS(scans!$C$2:$C$1601,$C1516,scans!$D$2:$D$1601,$D1516)&gt;1,"two readings of this type: keep one; ",""))</f>
        <v/>
      </c>
    </row>
    <row r="1517">
      <c r="A1517" s="9" t="n"/>
      <c r="B1517" s="33" t="n"/>
      <c r="G1517" s="25">
        <f>IF($C1517="","",IFERROR(IF(INDEX(links!$A$2:$A$501,MATCH($C1517,links!$D$2:$D$501,0))="","",INDEX(links!$A$2:$A$501,MATCH($C1517,links!$D$2:$D$501,0))),""))</f>
        <v/>
      </c>
      <c r="H1517" s="25">
        <f>IF($C1517="","",IFERROR(IF(INDEX(links!$B$2:$B$501,MATCH($C1517,links!$D$2:$D$501,0))="","",INDEX(links!$B$2:$B$501,MATCH($C1517,links!$D$2:$D$501,0))),""))</f>
        <v/>
      </c>
      <c r="I1517" s="25">
        <f>IF($C1517="","",IFERROR(IF(INDEX(links!$C$2:$C$501,MATCH($C1517,links!$D$2:$D$501,0))="","",INDEX(links!$C$2:$C$501,MATCH($C1517,links!$D$2:$D$501,0))),""))</f>
        <v/>
      </c>
      <c r="J1517" s="25">
        <f>IF($C1517="","",IF($G1517="","slug not in links; ","")&amp;IF($D1517="","reading type missing; ","")&amp;IF(COUNTIFS(scans!$C$2:$C$1601,$C1517,scans!$D$2:$D$1601,$D1517)&gt;1,"two readings of this type: keep one; ",""))</f>
        <v/>
      </c>
    </row>
    <row r="1518">
      <c r="A1518" s="9" t="n"/>
      <c r="B1518" s="33" t="n"/>
      <c r="G1518" s="25">
        <f>IF($C1518="","",IFERROR(IF(INDEX(links!$A$2:$A$501,MATCH($C1518,links!$D$2:$D$501,0))="","",INDEX(links!$A$2:$A$501,MATCH($C1518,links!$D$2:$D$501,0))),""))</f>
        <v/>
      </c>
      <c r="H1518" s="25">
        <f>IF($C1518="","",IFERROR(IF(INDEX(links!$B$2:$B$501,MATCH($C1518,links!$D$2:$D$501,0))="","",INDEX(links!$B$2:$B$501,MATCH($C1518,links!$D$2:$D$501,0))),""))</f>
        <v/>
      </c>
      <c r="I1518" s="25">
        <f>IF($C1518="","",IFERROR(IF(INDEX(links!$C$2:$C$501,MATCH($C1518,links!$D$2:$D$501,0))="","",INDEX(links!$C$2:$C$501,MATCH($C1518,links!$D$2:$D$501,0))),""))</f>
        <v/>
      </c>
      <c r="J1518" s="25">
        <f>IF($C1518="","",IF($G1518="","slug not in links; ","")&amp;IF($D1518="","reading type missing; ","")&amp;IF(COUNTIFS(scans!$C$2:$C$1601,$C1518,scans!$D$2:$D$1601,$D1518)&gt;1,"two readings of this type: keep one; ",""))</f>
        <v/>
      </c>
    </row>
    <row r="1519">
      <c r="A1519" s="9" t="n"/>
      <c r="B1519" s="33" t="n"/>
      <c r="G1519" s="25">
        <f>IF($C1519="","",IFERROR(IF(INDEX(links!$A$2:$A$501,MATCH($C1519,links!$D$2:$D$501,0))="","",INDEX(links!$A$2:$A$501,MATCH($C1519,links!$D$2:$D$501,0))),""))</f>
        <v/>
      </c>
      <c r="H1519" s="25">
        <f>IF($C1519="","",IFERROR(IF(INDEX(links!$B$2:$B$501,MATCH($C1519,links!$D$2:$D$501,0))="","",INDEX(links!$B$2:$B$501,MATCH($C1519,links!$D$2:$D$501,0))),""))</f>
        <v/>
      </c>
      <c r="I1519" s="25">
        <f>IF($C1519="","",IFERROR(IF(INDEX(links!$C$2:$C$501,MATCH($C1519,links!$D$2:$D$501,0))="","",INDEX(links!$C$2:$C$501,MATCH($C1519,links!$D$2:$D$501,0))),""))</f>
        <v/>
      </c>
      <c r="J1519" s="25">
        <f>IF($C1519="","",IF($G1519="","slug not in links; ","")&amp;IF($D1519="","reading type missing; ","")&amp;IF(COUNTIFS(scans!$C$2:$C$1601,$C1519,scans!$D$2:$D$1601,$D1519)&gt;1,"two readings of this type: keep one; ",""))</f>
        <v/>
      </c>
    </row>
    <row r="1520">
      <c r="A1520" s="9" t="n"/>
      <c r="B1520" s="33" t="n"/>
      <c r="G1520" s="25">
        <f>IF($C1520="","",IFERROR(IF(INDEX(links!$A$2:$A$501,MATCH($C1520,links!$D$2:$D$501,0))="","",INDEX(links!$A$2:$A$501,MATCH($C1520,links!$D$2:$D$501,0))),""))</f>
        <v/>
      </c>
      <c r="H1520" s="25">
        <f>IF($C1520="","",IFERROR(IF(INDEX(links!$B$2:$B$501,MATCH($C1520,links!$D$2:$D$501,0))="","",INDEX(links!$B$2:$B$501,MATCH($C1520,links!$D$2:$D$501,0))),""))</f>
        <v/>
      </c>
      <c r="I1520" s="25">
        <f>IF($C1520="","",IFERROR(IF(INDEX(links!$C$2:$C$501,MATCH($C1520,links!$D$2:$D$501,0))="","",INDEX(links!$C$2:$C$501,MATCH($C1520,links!$D$2:$D$501,0))),""))</f>
        <v/>
      </c>
      <c r="J1520" s="25">
        <f>IF($C1520="","",IF($G1520="","slug not in links; ","")&amp;IF($D1520="","reading type missing; ","")&amp;IF(COUNTIFS(scans!$C$2:$C$1601,$C1520,scans!$D$2:$D$1601,$D1520)&gt;1,"two readings of this type: keep one; ",""))</f>
        <v/>
      </c>
    </row>
    <row r="1521">
      <c r="A1521" s="9" t="n"/>
      <c r="B1521" s="33" t="n"/>
      <c r="G1521" s="25">
        <f>IF($C1521="","",IFERROR(IF(INDEX(links!$A$2:$A$501,MATCH($C1521,links!$D$2:$D$501,0))="","",INDEX(links!$A$2:$A$501,MATCH($C1521,links!$D$2:$D$501,0))),""))</f>
        <v/>
      </c>
      <c r="H1521" s="25">
        <f>IF($C1521="","",IFERROR(IF(INDEX(links!$B$2:$B$501,MATCH($C1521,links!$D$2:$D$501,0))="","",INDEX(links!$B$2:$B$501,MATCH($C1521,links!$D$2:$D$501,0))),""))</f>
        <v/>
      </c>
      <c r="I1521" s="25">
        <f>IF($C1521="","",IFERROR(IF(INDEX(links!$C$2:$C$501,MATCH($C1521,links!$D$2:$D$501,0))="","",INDEX(links!$C$2:$C$501,MATCH($C1521,links!$D$2:$D$501,0))),""))</f>
        <v/>
      </c>
      <c r="J1521" s="25">
        <f>IF($C1521="","",IF($G1521="","slug not in links; ","")&amp;IF($D1521="","reading type missing; ","")&amp;IF(COUNTIFS(scans!$C$2:$C$1601,$C1521,scans!$D$2:$D$1601,$D1521)&gt;1,"two readings of this type: keep one; ",""))</f>
        <v/>
      </c>
    </row>
    <row r="1522">
      <c r="A1522" s="9" t="n"/>
      <c r="B1522" s="33" t="n"/>
      <c r="G1522" s="25">
        <f>IF($C1522="","",IFERROR(IF(INDEX(links!$A$2:$A$501,MATCH($C1522,links!$D$2:$D$501,0))="","",INDEX(links!$A$2:$A$501,MATCH($C1522,links!$D$2:$D$501,0))),""))</f>
        <v/>
      </c>
      <c r="H1522" s="25">
        <f>IF($C1522="","",IFERROR(IF(INDEX(links!$B$2:$B$501,MATCH($C1522,links!$D$2:$D$501,0))="","",INDEX(links!$B$2:$B$501,MATCH($C1522,links!$D$2:$D$501,0))),""))</f>
        <v/>
      </c>
      <c r="I1522" s="25">
        <f>IF($C1522="","",IFERROR(IF(INDEX(links!$C$2:$C$501,MATCH($C1522,links!$D$2:$D$501,0))="","",INDEX(links!$C$2:$C$501,MATCH($C1522,links!$D$2:$D$501,0))),""))</f>
        <v/>
      </c>
      <c r="J1522" s="25">
        <f>IF($C1522="","",IF($G1522="","slug not in links; ","")&amp;IF($D1522="","reading type missing; ","")&amp;IF(COUNTIFS(scans!$C$2:$C$1601,$C1522,scans!$D$2:$D$1601,$D1522)&gt;1,"two readings of this type: keep one; ",""))</f>
        <v/>
      </c>
    </row>
    <row r="1523">
      <c r="A1523" s="9" t="n"/>
      <c r="B1523" s="33" t="n"/>
      <c r="G1523" s="25">
        <f>IF($C1523="","",IFERROR(IF(INDEX(links!$A$2:$A$501,MATCH($C1523,links!$D$2:$D$501,0))="","",INDEX(links!$A$2:$A$501,MATCH($C1523,links!$D$2:$D$501,0))),""))</f>
        <v/>
      </c>
      <c r="H1523" s="25">
        <f>IF($C1523="","",IFERROR(IF(INDEX(links!$B$2:$B$501,MATCH($C1523,links!$D$2:$D$501,0))="","",INDEX(links!$B$2:$B$501,MATCH($C1523,links!$D$2:$D$501,0))),""))</f>
        <v/>
      </c>
      <c r="I1523" s="25">
        <f>IF($C1523="","",IFERROR(IF(INDEX(links!$C$2:$C$501,MATCH($C1523,links!$D$2:$D$501,0))="","",INDEX(links!$C$2:$C$501,MATCH($C1523,links!$D$2:$D$501,0))),""))</f>
        <v/>
      </c>
      <c r="J1523" s="25">
        <f>IF($C1523="","",IF($G1523="","slug not in links; ","")&amp;IF($D1523="","reading type missing; ","")&amp;IF(COUNTIFS(scans!$C$2:$C$1601,$C1523,scans!$D$2:$D$1601,$D1523)&gt;1,"two readings of this type: keep one; ",""))</f>
        <v/>
      </c>
    </row>
    <row r="1524">
      <c r="A1524" s="9" t="n"/>
      <c r="B1524" s="33" t="n"/>
      <c r="G1524" s="25">
        <f>IF($C1524="","",IFERROR(IF(INDEX(links!$A$2:$A$501,MATCH($C1524,links!$D$2:$D$501,0))="","",INDEX(links!$A$2:$A$501,MATCH($C1524,links!$D$2:$D$501,0))),""))</f>
        <v/>
      </c>
      <c r="H1524" s="25">
        <f>IF($C1524="","",IFERROR(IF(INDEX(links!$B$2:$B$501,MATCH($C1524,links!$D$2:$D$501,0))="","",INDEX(links!$B$2:$B$501,MATCH($C1524,links!$D$2:$D$501,0))),""))</f>
        <v/>
      </c>
      <c r="I1524" s="25">
        <f>IF($C1524="","",IFERROR(IF(INDEX(links!$C$2:$C$501,MATCH($C1524,links!$D$2:$D$501,0))="","",INDEX(links!$C$2:$C$501,MATCH($C1524,links!$D$2:$D$501,0))),""))</f>
        <v/>
      </c>
      <c r="J1524" s="25">
        <f>IF($C1524="","",IF($G1524="","slug not in links; ","")&amp;IF($D1524="","reading type missing; ","")&amp;IF(COUNTIFS(scans!$C$2:$C$1601,$C1524,scans!$D$2:$D$1601,$D1524)&gt;1,"two readings of this type: keep one; ",""))</f>
        <v/>
      </c>
    </row>
    <row r="1525">
      <c r="A1525" s="9" t="n"/>
      <c r="B1525" s="33" t="n"/>
      <c r="G1525" s="25">
        <f>IF($C1525="","",IFERROR(IF(INDEX(links!$A$2:$A$501,MATCH($C1525,links!$D$2:$D$501,0))="","",INDEX(links!$A$2:$A$501,MATCH($C1525,links!$D$2:$D$501,0))),""))</f>
        <v/>
      </c>
      <c r="H1525" s="25">
        <f>IF($C1525="","",IFERROR(IF(INDEX(links!$B$2:$B$501,MATCH($C1525,links!$D$2:$D$501,0))="","",INDEX(links!$B$2:$B$501,MATCH($C1525,links!$D$2:$D$501,0))),""))</f>
        <v/>
      </c>
      <c r="I1525" s="25">
        <f>IF($C1525="","",IFERROR(IF(INDEX(links!$C$2:$C$501,MATCH($C1525,links!$D$2:$D$501,0))="","",INDEX(links!$C$2:$C$501,MATCH($C1525,links!$D$2:$D$501,0))),""))</f>
        <v/>
      </c>
      <c r="J1525" s="25">
        <f>IF($C1525="","",IF($G1525="","slug not in links; ","")&amp;IF($D1525="","reading type missing; ","")&amp;IF(COUNTIFS(scans!$C$2:$C$1601,$C1525,scans!$D$2:$D$1601,$D1525)&gt;1,"two readings of this type: keep one; ",""))</f>
        <v/>
      </c>
    </row>
    <row r="1526">
      <c r="A1526" s="9" t="n"/>
      <c r="B1526" s="33" t="n"/>
      <c r="G1526" s="25">
        <f>IF($C1526="","",IFERROR(IF(INDEX(links!$A$2:$A$501,MATCH($C1526,links!$D$2:$D$501,0))="","",INDEX(links!$A$2:$A$501,MATCH($C1526,links!$D$2:$D$501,0))),""))</f>
        <v/>
      </c>
      <c r="H1526" s="25">
        <f>IF($C1526="","",IFERROR(IF(INDEX(links!$B$2:$B$501,MATCH($C1526,links!$D$2:$D$501,0))="","",INDEX(links!$B$2:$B$501,MATCH($C1526,links!$D$2:$D$501,0))),""))</f>
        <v/>
      </c>
      <c r="I1526" s="25">
        <f>IF($C1526="","",IFERROR(IF(INDEX(links!$C$2:$C$501,MATCH($C1526,links!$D$2:$D$501,0))="","",INDEX(links!$C$2:$C$501,MATCH($C1526,links!$D$2:$D$501,0))),""))</f>
        <v/>
      </c>
      <c r="J1526" s="25">
        <f>IF($C1526="","",IF($G1526="","slug not in links; ","")&amp;IF($D1526="","reading type missing; ","")&amp;IF(COUNTIFS(scans!$C$2:$C$1601,$C1526,scans!$D$2:$D$1601,$D1526)&gt;1,"two readings of this type: keep one; ",""))</f>
        <v/>
      </c>
    </row>
    <row r="1527">
      <c r="A1527" s="9" t="n"/>
      <c r="B1527" s="33" t="n"/>
      <c r="G1527" s="25">
        <f>IF($C1527="","",IFERROR(IF(INDEX(links!$A$2:$A$501,MATCH($C1527,links!$D$2:$D$501,0))="","",INDEX(links!$A$2:$A$501,MATCH($C1527,links!$D$2:$D$501,0))),""))</f>
        <v/>
      </c>
      <c r="H1527" s="25">
        <f>IF($C1527="","",IFERROR(IF(INDEX(links!$B$2:$B$501,MATCH($C1527,links!$D$2:$D$501,0))="","",INDEX(links!$B$2:$B$501,MATCH($C1527,links!$D$2:$D$501,0))),""))</f>
        <v/>
      </c>
      <c r="I1527" s="25">
        <f>IF($C1527="","",IFERROR(IF(INDEX(links!$C$2:$C$501,MATCH($C1527,links!$D$2:$D$501,0))="","",INDEX(links!$C$2:$C$501,MATCH($C1527,links!$D$2:$D$501,0))),""))</f>
        <v/>
      </c>
      <c r="J1527" s="25">
        <f>IF($C1527="","",IF($G1527="","slug not in links; ","")&amp;IF($D1527="","reading type missing; ","")&amp;IF(COUNTIFS(scans!$C$2:$C$1601,$C1527,scans!$D$2:$D$1601,$D1527)&gt;1,"two readings of this type: keep one; ",""))</f>
        <v/>
      </c>
    </row>
    <row r="1528">
      <c r="A1528" s="9" t="n"/>
      <c r="B1528" s="33" t="n"/>
      <c r="G1528" s="25">
        <f>IF($C1528="","",IFERROR(IF(INDEX(links!$A$2:$A$501,MATCH($C1528,links!$D$2:$D$501,0))="","",INDEX(links!$A$2:$A$501,MATCH($C1528,links!$D$2:$D$501,0))),""))</f>
        <v/>
      </c>
      <c r="H1528" s="25">
        <f>IF($C1528="","",IFERROR(IF(INDEX(links!$B$2:$B$501,MATCH($C1528,links!$D$2:$D$501,0))="","",INDEX(links!$B$2:$B$501,MATCH($C1528,links!$D$2:$D$501,0))),""))</f>
        <v/>
      </c>
      <c r="I1528" s="25">
        <f>IF($C1528="","",IFERROR(IF(INDEX(links!$C$2:$C$501,MATCH($C1528,links!$D$2:$D$501,0))="","",INDEX(links!$C$2:$C$501,MATCH($C1528,links!$D$2:$D$501,0))),""))</f>
        <v/>
      </c>
      <c r="J1528" s="25">
        <f>IF($C1528="","",IF($G1528="","slug not in links; ","")&amp;IF($D1528="","reading type missing; ","")&amp;IF(COUNTIFS(scans!$C$2:$C$1601,$C1528,scans!$D$2:$D$1601,$D1528)&gt;1,"two readings of this type: keep one; ",""))</f>
        <v/>
      </c>
    </row>
    <row r="1529">
      <c r="A1529" s="9" t="n"/>
      <c r="B1529" s="33" t="n"/>
      <c r="G1529" s="25">
        <f>IF($C1529="","",IFERROR(IF(INDEX(links!$A$2:$A$501,MATCH($C1529,links!$D$2:$D$501,0))="","",INDEX(links!$A$2:$A$501,MATCH($C1529,links!$D$2:$D$501,0))),""))</f>
        <v/>
      </c>
      <c r="H1529" s="25">
        <f>IF($C1529="","",IFERROR(IF(INDEX(links!$B$2:$B$501,MATCH($C1529,links!$D$2:$D$501,0))="","",INDEX(links!$B$2:$B$501,MATCH($C1529,links!$D$2:$D$501,0))),""))</f>
        <v/>
      </c>
      <c r="I1529" s="25">
        <f>IF($C1529="","",IFERROR(IF(INDEX(links!$C$2:$C$501,MATCH($C1529,links!$D$2:$D$501,0))="","",INDEX(links!$C$2:$C$501,MATCH($C1529,links!$D$2:$D$501,0))),""))</f>
        <v/>
      </c>
      <c r="J1529" s="25">
        <f>IF($C1529="","",IF($G1529="","slug not in links; ","")&amp;IF($D1529="","reading type missing; ","")&amp;IF(COUNTIFS(scans!$C$2:$C$1601,$C1529,scans!$D$2:$D$1601,$D1529)&gt;1,"two readings of this type: keep one; ",""))</f>
        <v/>
      </c>
    </row>
    <row r="1530">
      <c r="A1530" s="9" t="n"/>
      <c r="B1530" s="33" t="n"/>
      <c r="G1530" s="25">
        <f>IF($C1530="","",IFERROR(IF(INDEX(links!$A$2:$A$501,MATCH($C1530,links!$D$2:$D$501,0))="","",INDEX(links!$A$2:$A$501,MATCH($C1530,links!$D$2:$D$501,0))),""))</f>
        <v/>
      </c>
      <c r="H1530" s="25">
        <f>IF($C1530="","",IFERROR(IF(INDEX(links!$B$2:$B$501,MATCH($C1530,links!$D$2:$D$501,0))="","",INDEX(links!$B$2:$B$501,MATCH($C1530,links!$D$2:$D$501,0))),""))</f>
        <v/>
      </c>
      <c r="I1530" s="25">
        <f>IF($C1530="","",IFERROR(IF(INDEX(links!$C$2:$C$501,MATCH($C1530,links!$D$2:$D$501,0))="","",INDEX(links!$C$2:$C$501,MATCH($C1530,links!$D$2:$D$501,0))),""))</f>
        <v/>
      </c>
      <c r="J1530" s="25">
        <f>IF($C1530="","",IF($G1530="","slug not in links; ","")&amp;IF($D1530="","reading type missing; ","")&amp;IF(COUNTIFS(scans!$C$2:$C$1601,$C1530,scans!$D$2:$D$1601,$D1530)&gt;1,"two readings of this type: keep one; ",""))</f>
        <v/>
      </c>
    </row>
    <row r="1531">
      <c r="A1531" s="9" t="n"/>
      <c r="B1531" s="33" t="n"/>
      <c r="G1531" s="25">
        <f>IF($C1531="","",IFERROR(IF(INDEX(links!$A$2:$A$501,MATCH($C1531,links!$D$2:$D$501,0))="","",INDEX(links!$A$2:$A$501,MATCH($C1531,links!$D$2:$D$501,0))),""))</f>
        <v/>
      </c>
      <c r="H1531" s="25">
        <f>IF($C1531="","",IFERROR(IF(INDEX(links!$B$2:$B$501,MATCH($C1531,links!$D$2:$D$501,0))="","",INDEX(links!$B$2:$B$501,MATCH($C1531,links!$D$2:$D$501,0))),""))</f>
        <v/>
      </c>
      <c r="I1531" s="25">
        <f>IF($C1531="","",IFERROR(IF(INDEX(links!$C$2:$C$501,MATCH($C1531,links!$D$2:$D$501,0))="","",INDEX(links!$C$2:$C$501,MATCH($C1531,links!$D$2:$D$501,0))),""))</f>
        <v/>
      </c>
      <c r="J1531" s="25">
        <f>IF($C1531="","",IF($G1531="","slug not in links; ","")&amp;IF($D1531="","reading type missing; ","")&amp;IF(COUNTIFS(scans!$C$2:$C$1601,$C1531,scans!$D$2:$D$1601,$D1531)&gt;1,"two readings of this type: keep one; ",""))</f>
        <v/>
      </c>
    </row>
    <row r="1532">
      <c r="A1532" s="9" t="n"/>
      <c r="B1532" s="33" t="n"/>
      <c r="G1532" s="25">
        <f>IF($C1532="","",IFERROR(IF(INDEX(links!$A$2:$A$501,MATCH($C1532,links!$D$2:$D$501,0))="","",INDEX(links!$A$2:$A$501,MATCH($C1532,links!$D$2:$D$501,0))),""))</f>
        <v/>
      </c>
      <c r="H1532" s="25">
        <f>IF($C1532="","",IFERROR(IF(INDEX(links!$B$2:$B$501,MATCH($C1532,links!$D$2:$D$501,0))="","",INDEX(links!$B$2:$B$501,MATCH($C1532,links!$D$2:$D$501,0))),""))</f>
        <v/>
      </c>
      <c r="I1532" s="25">
        <f>IF($C1532="","",IFERROR(IF(INDEX(links!$C$2:$C$501,MATCH($C1532,links!$D$2:$D$501,0))="","",INDEX(links!$C$2:$C$501,MATCH($C1532,links!$D$2:$D$501,0))),""))</f>
        <v/>
      </c>
      <c r="J1532" s="25">
        <f>IF($C1532="","",IF($G1532="","slug not in links; ","")&amp;IF($D1532="","reading type missing; ","")&amp;IF(COUNTIFS(scans!$C$2:$C$1601,$C1532,scans!$D$2:$D$1601,$D1532)&gt;1,"two readings of this type: keep one; ",""))</f>
        <v/>
      </c>
    </row>
    <row r="1533">
      <c r="A1533" s="9" t="n"/>
      <c r="B1533" s="33" t="n"/>
      <c r="G1533" s="25">
        <f>IF($C1533="","",IFERROR(IF(INDEX(links!$A$2:$A$501,MATCH($C1533,links!$D$2:$D$501,0))="","",INDEX(links!$A$2:$A$501,MATCH($C1533,links!$D$2:$D$501,0))),""))</f>
        <v/>
      </c>
      <c r="H1533" s="25">
        <f>IF($C1533="","",IFERROR(IF(INDEX(links!$B$2:$B$501,MATCH($C1533,links!$D$2:$D$501,0))="","",INDEX(links!$B$2:$B$501,MATCH($C1533,links!$D$2:$D$501,0))),""))</f>
        <v/>
      </c>
      <c r="I1533" s="25">
        <f>IF($C1533="","",IFERROR(IF(INDEX(links!$C$2:$C$501,MATCH($C1533,links!$D$2:$D$501,0))="","",INDEX(links!$C$2:$C$501,MATCH($C1533,links!$D$2:$D$501,0))),""))</f>
        <v/>
      </c>
      <c r="J1533" s="25">
        <f>IF($C1533="","",IF($G1533="","slug not in links; ","")&amp;IF($D1533="","reading type missing; ","")&amp;IF(COUNTIFS(scans!$C$2:$C$1601,$C1533,scans!$D$2:$D$1601,$D1533)&gt;1,"two readings of this type: keep one; ",""))</f>
        <v/>
      </c>
    </row>
    <row r="1534">
      <c r="A1534" s="9" t="n"/>
      <c r="B1534" s="33" t="n"/>
      <c r="G1534" s="25">
        <f>IF($C1534="","",IFERROR(IF(INDEX(links!$A$2:$A$501,MATCH($C1534,links!$D$2:$D$501,0))="","",INDEX(links!$A$2:$A$501,MATCH($C1534,links!$D$2:$D$501,0))),""))</f>
        <v/>
      </c>
      <c r="H1534" s="25">
        <f>IF($C1534="","",IFERROR(IF(INDEX(links!$B$2:$B$501,MATCH($C1534,links!$D$2:$D$501,0))="","",INDEX(links!$B$2:$B$501,MATCH($C1534,links!$D$2:$D$501,0))),""))</f>
        <v/>
      </c>
      <c r="I1534" s="25">
        <f>IF($C1534="","",IFERROR(IF(INDEX(links!$C$2:$C$501,MATCH($C1534,links!$D$2:$D$501,0))="","",INDEX(links!$C$2:$C$501,MATCH($C1534,links!$D$2:$D$501,0))),""))</f>
        <v/>
      </c>
      <c r="J1534" s="25">
        <f>IF($C1534="","",IF($G1534="","slug not in links; ","")&amp;IF($D1534="","reading type missing; ","")&amp;IF(COUNTIFS(scans!$C$2:$C$1601,$C1534,scans!$D$2:$D$1601,$D1534)&gt;1,"two readings of this type: keep one; ",""))</f>
        <v/>
      </c>
    </row>
    <row r="1535">
      <c r="A1535" s="9" t="n"/>
      <c r="B1535" s="33" t="n"/>
      <c r="G1535" s="25">
        <f>IF($C1535="","",IFERROR(IF(INDEX(links!$A$2:$A$501,MATCH($C1535,links!$D$2:$D$501,0))="","",INDEX(links!$A$2:$A$501,MATCH($C1535,links!$D$2:$D$501,0))),""))</f>
        <v/>
      </c>
      <c r="H1535" s="25">
        <f>IF($C1535="","",IFERROR(IF(INDEX(links!$B$2:$B$501,MATCH($C1535,links!$D$2:$D$501,0))="","",INDEX(links!$B$2:$B$501,MATCH($C1535,links!$D$2:$D$501,0))),""))</f>
        <v/>
      </c>
      <c r="I1535" s="25">
        <f>IF($C1535="","",IFERROR(IF(INDEX(links!$C$2:$C$501,MATCH($C1535,links!$D$2:$D$501,0))="","",INDEX(links!$C$2:$C$501,MATCH($C1535,links!$D$2:$D$501,0))),""))</f>
        <v/>
      </c>
      <c r="J1535" s="25">
        <f>IF($C1535="","",IF($G1535="","slug not in links; ","")&amp;IF($D1535="","reading type missing; ","")&amp;IF(COUNTIFS(scans!$C$2:$C$1601,$C1535,scans!$D$2:$D$1601,$D1535)&gt;1,"two readings of this type: keep one; ",""))</f>
        <v/>
      </c>
    </row>
    <row r="1536">
      <c r="A1536" s="9" t="n"/>
      <c r="B1536" s="33" t="n"/>
      <c r="G1536" s="25">
        <f>IF($C1536="","",IFERROR(IF(INDEX(links!$A$2:$A$501,MATCH($C1536,links!$D$2:$D$501,0))="","",INDEX(links!$A$2:$A$501,MATCH($C1536,links!$D$2:$D$501,0))),""))</f>
        <v/>
      </c>
      <c r="H1536" s="25">
        <f>IF($C1536="","",IFERROR(IF(INDEX(links!$B$2:$B$501,MATCH($C1536,links!$D$2:$D$501,0))="","",INDEX(links!$B$2:$B$501,MATCH($C1536,links!$D$2:$D$501,0))),""))</f>
        <v/>
      </c>
      <c r="I1536" s="25">
        <f>IF($C1536="","",IFERROR(IF(INDEX(links!$C$2:$C$501,MATCH($C1536,links!$D$2:$D$501,0))="","",INDEX(links!$C$2:$C$501,MATCH($C1536,links!$D$2:$D$501,0))),""))</f>
        <v/>
      </c>
      <c r="J1536" s="25">
        <f>IF($C1536="","",IF($G1536="","slug not in links; ","")&amp;IF($D1536="","reading type missing; ","")&amp;IF(COUNTIFS(scans!$C$2:$C$1601,$C1536,scans!$D$2:$D$1601,$D1536)&gt;1,"two readings of this type: keep one; ",""))</f>
        <v/>
      </c>
    </row>
    <row r="1537">
      <c r="A1537" s="9" t="n"/>
      <c r="B1537" s="33" t="n"/>
      <c r="G1537" s="25">
        <f>IF($C1537="","",IFERROR(IF(INDEX(links!$A$2:$A$501,MATCH($C1537,links!$D$2:$D$501,0))="","",INDEX(links!$A$2:$A$501,MATCH($C1537,links!$D$2:$D$501,0))),""))</f>
        <v/>
      </c>
      <c r="H1537" s="25">
        <f>IF($C1537="","",IFERROR(IF(INDEX(links!$B$2:$B$501,MATCH($C1537,links!$D$2:$D$501,0))="","",INDEX(links!$B$2:$B$501,MATCH($C1537,links!$D$2:$D$501,0))),""))</f>
        <v/>
      </c>
      <c r="I1537" s="25">
        <f>IF($C1537="","",IFERROR(IF(INDEX(links!$C$2:$C$501,MATCH($C1537,links!$D$2:$D$501,0))="","",INDEX(links!$C$2:$C$501,MATCH($C1537,links!$D$2:$D$501,0))),""))</f>
        <v/>
      </c>
      <c r="J1537" s="25">
        <f>IF($C1537="","",IF($G1537="","slug not in links; ","")&amp;IF($D1537="","reading type missing; ","")&amp;IF(COUNTIFS(scans!$C$2:$C$1601,$C1537,scans!$D$2:$D$1601,$D1537)&gt;1,"two readings of this type: keep one; ",""))</f>
        <v/>
      </c>
    </row>
    <row r="1538">
      <c r="A1538" s="9" t="n"/>
      <c r="B1538" s="33" t="n"/>
      <c r="G1538" s="25">
        <f>IF($C1538="","",IFERROR(IF(INDEX(links!$A$2:$A$501,MATCH($C1538,links!$D$2:$D$501,0))="","",INDEX(links!$A$2:$A$501,MATCH($C1538,links!$D$2:$D$501,0))),""))</f>
        <v/>
      </c>
      <c r="H1538" s="25">
        <f>IF($C1538="","",IFERROR(IF(INDEX(links!$B$2:$B$501,MATCH($C1538,links!$D$2:$D$501,0))="","",INDEX(links!$B$2:$B$501,MATCH($C1538,links!$D$2:$D$501,0))),""))</f>
        <v/>
      </c>
      <c r="I1538" s="25">
        <f>IF($C1538="","",IFERROR(IF(INDEX(links!$C$2:$C$501,MATCH($C1538,links!$D$2:$D$501,0))="","",INDEX(links!$C$2:$C$501,MATCH($C1538,links!$D$2:$D$501,0))),""))</f>
        <v/>
      </c>
      <c r="J1538" s="25">
        <f>IF($C1538="","",IF($G1538="","slug not in links; ","")&amp;IF($D1538="","reading type missing; ","")&amp;IF(COUNTIFS(scans!$C$2:$C$1601,$C1538,scans!$D$2:$D$1601,$D1538)&gt;1,"two readings of this type: keep one; ",""))</f>
        <v/>
      </c>
    </row>
    <row r="1539">
      <c r="A1539" s="9" t="n"/>
      <c r="B1539" s="33" t="n"/>
      <c r="G1539" s="25">
        <f>IF($C1539="","",IFERROR(IF(INDEX(links!$A$2:$A$501,MATCH($C1539,links!$D$2:$D$501,0))="","",INDEX(links!$A$2:$A$501,MATCH($C1539,links!$D$2:$D$501,0))),""))</f>
        <v/>
      </c>
      <c r="H1539" s="25">
        <f>IF($C1539="","",IFERROR(IF(INDEX(links!$B$2:$B$501,MATCH($C1539,links!$D$2:$D$501,0))="","",INDEX(links!$B$2:$B$501,MATCH($C1539,links!$D$2:$D$501,0))),""))</f>
        <v/>
      </c>
      <c r="I1539" s="25">
        <f>IF($C1539="","",IFERROR(IF(INDEX(links!$C$2:$C$501,MATCH($C1539,links!$D$2:$D$501,0))="","",INDEX(links!$C$2:$C$501,MATCH($C1539,links!$D$2:$D$501,0))),""))</f>
        <v/>
      </c>
      <c r="J1539" s="25">
        <f>IF($C1539="","",IF($G1539="","slug not in links; ","")&amp;IF($D1539="","reading type missing; ","")&amp;IF(COUNTIFS(scans!$C$2:$C$1601,$C1539,scans!$D$2:$D$1601,$D1539)&gt;1,"two readings of this type: keep one; ",""))</f>
        <v/>
      </c>
    </row>
    <row r="1540">
      <c r="A1540" s="9" t="n"/>
      <c r="B1540" s="33" t="n"/>
      <c r="G1540" s="25">
        <f>IF($C1540="","",IFERROR(IF(INDEX(links!$A$2:$A$501,MATCH($C1540,links!$D$2:$D$501,0))="","",INDEX(links!$A$2:$A$501,MATCH($C1540,links!$D$2:$D$501,0))),""))</f>
        <v/>
      </c>
      <c r="H1540" s="25">
        <f>IF($C1540="","",IFERROR(IF(INDEX(links!$B$2:$B$501,MATCH($C1540,links!$D$2:$D$501,0))="","",INDEX(links!$B$2:$B$501,MATCH($C1540,links!$D$2:$D$501,0))),""))</f>
        <v/>
      </c>
      <c r="I1540" s="25">
        <f>IF($C1540="","",IFERROR(IF(INDEX(links!$C$2:$C$501,MATCH($C1540,links!$D$2:$D$501,0))="","",INDEX(links!$C$2:$C$501,MATCH($C1540,links!$D$2:$D$501,0))),""))</f>
        <v/>
      </c>
      <c r="J1540" s="25">
        <f>IF($C1540="","",IF($G1540="","slug not in links; ","")&amp;IF($D1540="","reading type missing; ","")&amp;IF(COUNTIFS(scans!$C$2:$C$1601,$C1540,scans!$D$2:$D$1601,$D1540)&gt;1,"two readings of this type: keep one; ",""))</f>
        <v/>
      </c>
    </row>
    <row r="1541">
      <c r="A1541" s="9" t="n"/>
      <c r="B1541" s="33" t="n"/>
      <c r="G1541" s="25">
        <f>IF($C1541="","",IFERROR(IF(INDEX(links!$A$2:$A$501,MATCH($C1541,links!$D$2:$D$501,0))="","",INDEX(links!$A$2:$A$501,MATCH($C1541,links!$D$2:$D$501,0))),""))</f>
        <v/>
      </c>
      <c r="H1541" s="25">
        <f>IF($C1541="","",IFERROR(IF(INDEX(links!$B$2:$B$501,MATCH($C1541,links!$D$2:$D$501,0))="","",INDEX(links!$B$2:$B$501,MATCH($C1541,links!$D$2:$D$501,0))),""))</f>
        <v/>
      </c>
      <c r="I1541" s="25">
        <f>IF($C1541="","",IFERROR(IF(INDEX(links!$C$2:$C$501,MATCH($C1541,links!$D$2:$D$501,0))="","",INDEX(links!$C$2:$C$501,MATCH($C1541,links!$D$2:$D$501,0))),""))</f>
        <v/>
      </c>
      <c r="J1541" s="25">
        <f>IF($C1541="","",IF($G1541="","slug not in links; ","")&amp;IF($D1541="","reading type missing; ","")&amp;IF(COUNTIFS(scans!$C$2:$C$1601,$C1541,scans!$D$2:$D$1601,$D1541)&gt;1,"two readings of this type: keep one; ",""))</f>
        <v/>
      </c>
    </row>
    <row r="1542">
      <c r="A1542" s="9" t="n"/>
      <c r="B1542" s="33" t="n"/>
      <c r="G1542" s="25">
        <f>IF($C1542="","",IFERROR(IF(INDEX(links!$A$2:$A$501,MATCH($C1542,links!$D$2:$D$501,0))="","",INDEX(links!$A$2:$A$501,MATCH($C1542,links!$D$2:$D$501,0))),""))</f>
        <v/>
      </c>
      <c r="H1542" s="25">
        <f>IF($C1542="","",IFERROR(IF(INDEX(links!$B$2:$B$501,MATCH($C1542,links!$D$2:$D$501,0))="","",INDEX(links!$B$2:$B$501,MATCH($C1542,links!$D$2:$D$501,0))),""))</f>
        <v/>
      </c>
      <c r="I1542" s="25">
        <f>IF($C1542="","",IFERROR(IF(INDEX(links!$C$2:$C$501,MATCH($C1542,links!$D$2:$D$501,0))="","",INDEX(links!$C$2:$C$501,MATCH($C1542,links!$D$2:$D$501,0))),""))</f>
        <v/>
      </c>
      <c r="J1542" s="25">
        <f>IF($C1542="","",IF($G1542="","slug not in links; ","")&amp;IF($D1542="","reading type missing; ","")&amp;IF(COUNTIFS(scans!$C$2:$C$1601,$C1542,scans!$D$2:$D$1601,$D1542)&gt;1,"two readings of this type: keep one; ",""))</f>
        <v/>
      </c>
    </row>
    <row r="1543">
      <c r="A1543" s="9" t="n"/>
      <c r="B1543" s="33" t="n"/>
      <c r="G1543" s="25">
        <f>IF($C1543="","",IFERROR(IF(INDEX(links!$A$2:$A$501,MATCH($C1543,links!$D$2:$D$501,0))="","",INDEX(links!$A$2:$A$501,MATCH($C1543,links!$D$2:$D$501,0))),""))</f>
        <v/>
      </c>
      <c r="H1543" s="25">
        <f>IF($C1543="","",IFERROR(IF(INDEX(links!$B$2:$B$501,MATCH($C1543,links!$D$2:$D$501,0))="","",INDEX(links!$B$2:$B$501,MATCH($C1543,links!$D$2:$D$501,0))),""))</f>
        <v/>
      </c>
      <c r="I1543" s="25">
        <f>IF($C1543="","",IFERROR(IF(INDEX(links!$C$2:$C$501,MATCH($C1543,links!$D$2:$D$501,0))="","",INDEX(links!$C$2:$C$501,MATCH($C1543,links!$D$2:$D$501,0))),""))</f>
        <v/>
      </c>
      <c r="J1543" s="25">
        <f>IF($C1543="","",IF($G1543="","slug not in links; ","")&amp;IF($D1543="","reading type missing; ","")&amp;IF(COUNTIFS(scans!$C$2:$C$1601,$C1543,scans!$D$2:$D$1601,$D1543)&gt;1,"two readings of this type: keep one; ",""))</f>
        <v/>
      </c>
    </row>
    <row r="1544">
      <c r="A1544" s="9" t="n"/>
      <c r="B1544" s="33" t="n"/>
      <c r="G1544" s="25">
        <f>IF($C1544="","",IFERROR(IF(INDEX(links!$A$2:$A$501,MATCH($C1544,links!$D$2:$D$501,0))="","",INDEX(links!$A$2:$A$501,MATCH($C1544,links!$D$2:$D$501,0))),""))</f>
        <v/>
      </c>
      <c r="H1544" s="25">
        <f>IF($C1544="","",IFERROR(IF(INDEX(links!$B$2:$B$501,MATCH($C1544,links!$D$2:$D$501,0))="","",INDEX(links!$B$2:$B$501,MATCH($C1544,links!$D$2:$D$501,0))),""))</f>
        <v/>
      </c>
      <c r="I1544" s="25">
        <f>IF($C1544="","",IFERROR(IF(INDEX(links!$C$2:$C$501,MATCH($C1544,links!$D$2:$D$501,0))="","",INDEX(links!$C$2:$C$501,MATCH($C1544,links!$D$2:$D$501,0))),""))</f>
        <v/>
      </c>
      <c r="J1544" s="25">
        <f>IF($C1544="","",IF($G1544="","slug not in links; ","")&amp;IF($D1544="","reading type missing; ","")&amp;IF(COUNTIFS(scans!$C$2:$C$1601,$C1544,scans!$D$2:$D$1601,$D1544)&gt;1,"two readings of this type: keep one; ",""))</f>
        <v/>
      </c>
    </row>
    <row r="1545">
      <c r="A1545" s="9" t="n"/>
      <c r="B1545" s="33" t="n"/>
      <c r="G1545" s="25">
        <f>IF($C1545="","",IFERROR(IF(INDEX(links!$A$2:$A$501,MATCH($C1545,links!$D$2:$D$501,0))="","",INDEX(links!$A$2:$A$501,MATCH($C1545,links!$D$2:$D$501,0))),""))</f>
        <v/>
      </c>
      <c r="H1545" s="25">
        <f>IF($C1545="","",IFERROR(IF(INDEX(links!$B$2:$B$501,MATCH($C1545,links!$D$2:$D$501,0))="","",INDEX(links!$B$2:$B$501,MATCH($C1545,links!$D$2:$D$501,0))),""))</f>
        <v/>
      </c>
      <c r="I1545" s="25">
        <f>IF($C1545="","",IFERROR(IF(INDEX(links!$C$2:$C$501,MATCH($C1545,links!$D$2:$D$501,0))="","",INDEX(links!$C$2:$C$501,MATCH($C1545,links!$D$2:$D$501,0))),""))</f>
        <v/>
      </c>
      <c r="J1545" s="25">
        <f>IF($C1545="","",IF($G1545="","slug not in links; ","")&amp;IF($D1545="","reading type missing; ","")&amp;IF(COUNTIFS(scans!$C$2:$C$1601,$C1545,scans!$D$2:$D$1601,$D1545)&gt;1,"two readings of this type: keep one; ",""))</f>
        <v/>
      </c>
    </row>
    <row r="1546">
      <c r="A1546" s="9" t="n"/>
      <c r="B1546" s="33" t="n"/>
      <c r="G1546" s="25">
        <f>IF($C1546="","",IFERROR(IF(INDEX(links!$A$2:$A$501,MATCH($C1546,links!$D$2:$D$501,0))="","",INDEX(links!$A$2:$A$501,MATCH($C1546,links!$D$2:$D$501,0))),""))</f>
        <v/>
      </c>
      <c r="H1546" s="25">
        <f>IF($C1546="","",IFERROR(IF(INDEX(links!$B$2:$B$501,MATCH($C1546,links!$D$2:$D$501,0))="","",INDEX(links!$B$2:$B$501,MATCH($C1546,links!$D$2:$D$501,0))),""))</f>
        <v/>
      </c>
      <c r="I1546" s="25">
        <f>IF($C1546="","",IFERROR(IF(INDEX(links!$C$2:$C$501,MATCH($C1546,links!$D$2:$D$501,0))="","",INDEX(links!$C$2:$C$501,MATCH($C1546,links!$D$2:$D$501,0))),""))</f>
        <v/>
      </c>
      <c r="J1546" s="25">
        <f>IF($C1546="","",IF($G1546="","slug not in links; ","")&amp;IF($D1546="","reading type missing; ","")&amp;IF(COUNTIFS(scans!$C$2:$C$1601,$C1546,scans!$D$2:$D$1601,$D1546)&gt;1,"two readings of this type: keep one; ",""))</f>
        <v/>
      </c>
    </row>
    <row r="1547">
      <c r="A1547" s="9" t="n"/>
      <c r="B1547" s="33" t="n"/>
      <c r="G1547" s="25">
        <f>IF($C1547="","",IFERROR(IF(INDEX(links!$A$2:$A$501,MATCH($C1547,links!$D$2:$D$501,0))="","",INDEX(links!$A$2:$A$501,MATCH($C1547,links!$D$2:$D$501,0))),""))</f>
        <v/>
      </c>
      <c r="H1547" s="25">
        <f>IF($C1547="","",IFERROR(IF(INDEX(links!$B$2:$B$501,MATCH($C1547,links!$D$2:$D$501,0))="","",INDEX(links!$B$2:$B$501,MATCH($C1547,links!$D$2:$D$501,0))),""))</f>
        <v/>
      </c>
      <c r="I1547" s="25">
        <f>IF($C1547="","",IFERROR(IF(INDEX(links!$C$2:$C$501,MATCH($C1547,links!$D$2:$D$501,0))="","",INDEX(links!$C$2:$C$501,MATCH($C1547,links!$D$2:$D$501,0))),""))</f>
        <v/>
      </c>
      <c r="J1547" s="25">
        <f>IF($C1547="","",IF($G1547="","slug not in links; ","")&amp;IF($D1547="","reading type missing; ","")&amp;IF(COUNTIFS(scans!$C$2:$C$1601,$C1547,scans!$D$2:$D$1601,$D1547)&gt;1,"two readings of this type: keep one; ",""))</f>
        <v/>
      </c>
    </row>
    <row r="1548">
      <c r="A1548" s="9" t="n"/>
      <c r="B1548" s="33" t="n"/>
      <c r="G1548" s="25">
        <f>IF($C1548="","",IFERROR(IF(INDEX(links!$A$2:$A$501,MATCH($C1548,links!$D$2:$D$501,0))="","",INDEX(links!$A$2:$A$501,MATCH($C1548,links!$D$2:$D$501,0))),""))</f>
        <v/>
      </c>
      <c r="H1548" s="25">
        <f>IF($C1548="","",IFERROR(IF(INDEX(links!$B$2:$B$501,MATCH($C1548,links!$D$2:$D$501,0))="","",INDEX(links!$B$2:$B$501,MATCH($C1548,links!$D$2:$D$501,0))),""))</f>
        <v/>
      </c>
      <c r="I1548" s="25">
        <f>IF($C1548="","",IFERROR(IF(INDEX(links!$C$2:$C$501,MATCH($C1548,links!$D$2:$D$501,0))="","",INDEX(links!$C$2:$C$501,MATCH($C1548,links!$D$2:$D$501,0))),""))</f>
        <v/>
      </c>
      <c r="J1548" s="25">
        <f>IF($C1548="","",IF($G1548="","slug not in links; ","")&amp;IF($D1548="","reading type missing; ","")&amp;IF(COUNTIFS(scans!$C$2:$C$1601,$C1548,scans!$D$2:$D$1601,$D1548)&gt;1,"two readings of this type: keep one; ",""))</f>
        <v/>
      </c>
    </row>
    <row r="1549">
      <c r="A1549" s="9" t="n"/>
      <c r="B1549" s="33" t="n"/>
      <c r="G1549" s="25">
        <f>IF($C1549="","",IFERROR(IF(INDEX(links!$A$2:$A$501,MATCH($C1549,links!$D$2:$D$501,0))="","",INDEX(links!$A$2:$A$501,MATCH($C1549,links!$D$2:$D$501,0))),""))</f>
        <v/>
      </c>
      <c r="H1549" s="25">
        <f>IF($C1549="","",IFERROR(IF(INDEX(links!$B$2:$B$501,MATCH($C1549,links!$D$2:$D$501,0))="","",INDEX(links!$B$2:$B$501,MATCH($C1549,links!$D$2:$D$501,0))),""))</f>
        <v/>
      </c>
      <c r="I1549" s="25">
        <f>IF($C1549="","",IFERROR(IF(INDEX(links!$C$2:$C$501,MATCH($C1549,links!$D$2:$D$501,0))="","",INDEX(links!$C$2:$C$501,MATCH($C1549,links!$D$2:$D$501,0))),""))</f>
        <v/>
      </c>
      <c r="J1549" s="25">
        <f>IF($C1549="","",IF($G1549="","slug not in links; ","")&amp;IF($D1549="","reading type missing; ","")&amp;IF(COUNTIFS(scans!$C$2:$C$1601,$C1549,scans!$D$2:$D$1601,$D1549)&gt;1,"two readings of this type: keep one; ",""))</f>
        <v/>
      </c>
    </row>
    <row r="1550">
      <c r="A1550" s="9" t="n"/>
      <c r="B1550" s="33" t="n"/>
      <c r="G1550" s="25">
        <f>IF($C1550="","",IFERROR(IF(INDEX(links!$A$2:$A$501,MATCH($C1550,links!$D$2:$D$501,0))="","",INDEX(links!$A$2:$A$501,MATCH($C1550,links!$D$2:$D$501,0))),""))</f>
        <v/>
      </c>
      <c r="H1550" s="25">
        <f>IF($C1550="","",IFERROR(IF(INDEX(links!$B$2:$B$501,MATCH($C1550,links!$D$2:$D$501,0))="","",INDEX(links!$B$2:$B$501,MATCH($C1550,links!$D$2:$D$501,0))),""))</f>
        <v/>
      </c>
      <c r="I1550" s="25">
        <f>IF($C1550="","",IFERROR(IF(INDEX(links!$C$2:$C$501,MATCH($C1550,links!$D$2:$D$501,0))="","",INDEX(links!$C$2:$C$501,MATCH($C1550,links!$D$2:$D$501,0))),""))</f>
        <v/>
      </c>
      <c r="J1550" s="25">
        <f>IF($C1550="","",IF($G1550="","slug not in links; ","")&amp;IF($D1550="","reading type missing; ","")&amp;IF(COUNTIFS(scans!$C$2:$C$1601,$C1550,scans!$D$2:$D$1601,$D1550)&gt;1,"two readings of this type: keep one; ",""))</f>
        <v/>
      </c>
    </row>
    <row r="1551">
      <c r="A1551" s="9" t="n"/>
      <c r="B1551" s="33" t="n"/>
      <c r="G1551" s="25">
        <f>IF($C1551="","",IFERROR(IF(INDEX(links!$A$2:$A$501,MATCH($C1551,links!$D$2:$D$501,0))="","",INDEX(links!$A$2:$A$501,MATCH($C1551,links!$D$2:$D$501,0))),""))</f>
        <v/>
      </c>
      <c r="H1551" s="25">
        <f>IF($C1551="","",IFERROR(IF(INDEX(links!$B$2:$B$501,MATCH($C1551,links!$D$2:$D$501,0))="","",INDEX(links!$B$2:$B$501,MATCH($C1551,links!$D$2:$D$501,0))),""))</f>
        <v/>
      </c>
      <c r="I1551" s="25">
        <f>IF($C1551="","",IFERROR(IF(INDEX(links!$C$2:$C$501,MATCH($C1551,links!$D$2:$D$501,0))="","",INDEX(links!$C$2:$C$501,MATCH($C1551,links!$D$2:$D$501,0))),""))</f>
        <v/>
      </c>
      <c r="J1551" s="25">
        <f>IF($C1551="","",IF($G1551="","slug not in links; ","")&amp;IF($D1551="","reading type missing; ","")&amp;IF(COUNTIFS(scans!$C$2:$C$1601,$C1551,scans!$D$2:$D$1601,$D1551)&gt;1,"two readings of this type: keep one; ",""))</f>
        <v/>
      </c>
    </row>
    <row r="1552">
      <c r="A1552" s="9" t="n"/>
      <c r="B1552" s="33" t="n"/>
      <c r="G1552" s="25">
        <f>IF($C1552="","",IFERROR(IF(INDEX(links!$A$2:$A$501,MATCH($C1552,links!$D$2:$D$501,0))="","",INDEX(links!$A$2:$A$501,MATCH($C1552,links!$D$2:$D$501,0))),""))</f>
        <v/>
      </c>
      <c r="H1552" s="25">
        <f>IF($C1552="","",IFERROR(IF(INDEX(links!$B$2:$B$501,MATCH($C1552,links!$D$2:$D$501,0))="","",INDEX(links!$B$2:$B$501,MATCH($C1552,links!$D$2:$D$501,0))),""))</f>
        <v/>
      </c>
      <c r="I1552" s="25">
        <f>IF($C1552="","",IFERROR(IF(INDEX(links!$C$2:$C$501,MATCH($C1552,links!$D$2:$D$501,0))="","",INDEX(links!$C$2:$C$501,MATCH($C1552,links!$D$2:$D$501,0))),""))</f>
        <v/>
      </c>
      <c r="J1552" s="25">
        <f>IF($C1552="","",IF($G1552="","slug not in links; ","")&amp;IF($D1552="","reading type missing; ","")&amp;IF(COUNTIFS(scans!$C$2:$C$1601,$C1552,scans!$D$2:$D$1601,$D1552)&gt;1,"two readings of this type: keep one; ",""))</f>
        <v/>
      </c>
    </row>
    <row r="1553">
      <c r="A1553" s="9" t="n"/>
      <c r="B1553" s="33" t="n"/>
      <c r="G1553" s="25">
        <f>IF($C1553="","",IFERROR(IF(INDEX(links!$A$2:$A$501,MATCH($C1553,links!$D$2:$D$501,0))="","",INDEX(links!$A$2:$A$501,MATCH($C1553,links!$D$2:$D$501,0))),""))</f>
        <v/>
      </c>
      <c r="H1553" s="25">
        <f>IF($C1553="","",IFERROR(IF(INDEX(links!$B$2:$B$501,MATCH($C1553,links!$D$2:$D$501,0))="","",INDEX(links!$B$2:$B$501,MATCH($C1553,links!$D$2:$D$501,0))),""))</f>
        <v/>
      </c>
      <c r="I1553" s="25">
        <f>IF($C1553="","",IFERROR(IF(INDEX(links!$C$2:$C$501,MATCH($C1553,links!$D$2:$D$501,0))="","",INDEX(links!$C$2:$C$501,MATCH($C1553,links!$D$2:$D$501,0))),""))</f>
        <v/>
      </c>
      <c r="J1553" s="25">
        <f>IF($C1553="","",IF($G1553="","slug not in links; ","")&amp;IF($D1553="","reading type missing; ","")&amp;IF(COUNTIFS(scans!$C$2:$C$1601,$C1553,scans!$D$2:$D$1601,$D1553)&gt;1,"two readings of this type: keep one; ",""))</f>
        <v/>
      </c>
    </row>
    <row r="1554">
      <c r="A1554" s="9" t="n"/>
      <c r="B1554" s="33" t="n"/>
      <c r="G1554" s="25">
        <f>IF($C1554="","",IFERROR(IF(INDEX(links!$A$2:$A$501,MATCH($C1554,links!$D$2:$D$501,0))="","",INDEX(links!$A$2:$A$501,MATCH($C1554,links!$D$2:$D$501,0))),""))</f>
        <v/>
      </c>
      <c r="H1554" s="25">
        <f>IF($C1554="","",IFERROR(IF(INDEX(links!$B$2:$B$501,MATCH($C1554,links!$D$2:$D$501,0))="","",INDEX(links!$B$2:$B$501,MATCH($C1554,links!$D$2:$D$501,0))),""))</f>
        <v/>
      </c>
      <c r="I1554" s="25">
        <f>IF($C1554="","",IFERROR(IF(INDEX(links!$C$2:$C$501,MATCH($C1554,links!$D$2:$D$501,0))="","",INDEX(links!$C$2:$C$501,MATCH($C1554,links!$D$2:$D$501,0))),""))</f>
        <v/>
      </c>
      <c r="J1554" s="25">
        <f>IF($C1554="","",IF($G1554="","slug not in links; ","")&amp;IF($D1554="","reading type missing; ","")&amp;IF(COUNTIFS(scans!$C$2:$C$1601,$C1554,scans!$D$2:$D$1601,$D1554)&gt;1,"two readings of this type: keep one; ",""))</f>
        <v/>
      </c>
    </row>
    <row r="1555">
      <c r="A1555" s="9" t="n"/>
      <c r="B1555" s="33" t="n"/>
      <c r="G1555" s="25">
        <f>IF($C1555="","",IFERROR(IF(INDEX(links!$A$2:$A$501,MATCH($C1555,links!$D$2:$D$501,0))="","",INDEX(links!$A$2:$A$501,MATCH($C1555,links!$D$2:$D$501,0))),""))</f>
        <v/>
      </c>
      <c r="H1555" s="25">
        <f>IF($C1555="","",IFERROR(IF(INDEX(links!$B$2:$B$501,MATCH($C1555,links!$D$2:$D$501,0))="","",INDEX(links!$B$2:$B$501,MATCH($C1555,links!$D$2:$D$501,0))),""))</f>
        <v/>
      </c>
      <c r="I1555" s="25">
        <f>IF($C1555="","",IFERROR(IF(INDEX(links!$C$2:$C$501,MATCH($C1555,links!$D$2:$D$501,0))="","",INDEX(links!$C$2:$C$501,MATCH($C1555,links!$D$2:$D$501,0))),""))</f>
        <v/>
      </c>
      <c r="J1555" s="25">
        <f>IF($C1555="","",IF($G1555="","slug not in links; ","")&amp;IF($D1555="","reading type missing; ","")&amp;IF(COUNTIFS(scans!$C$2:$C$1601,$C1555,scans!$D$2:$D$1601,$D1555)&gt;1,"two readings of this type: keep one; ",""))</f>
        <v/>
      </c>
    </row>
    <row r="1556">
      <c r="A1556" s="9" t="n"/>
      <c r="B1556" s="33" t="n"/>
      <c r="G1556" s="25">
        <f>IF($C1556="","",IFERROR(IF(INDEX(links!$A$2:$A$501,MATCH($C1556,links!$D$2:$D$501,0))="","",INDEX(links!$A$2:$A$501,MATCH($C1556,links!$D$2:$D$501,0))),""))</f>
        <v/>
      </c>
      <c r="H1556" s="25">
        <f>IF($C1556="","",IFERROR(IF(INDEX(links!$B$2:$B$501,MATCH($C1556,links!$D$2:$D$501,0))="","",INDEX(links!$B$2:$B$501,MATCH($C1556,links!$D$2:$D$501,0))),""))</f>
        <v/>
      </c>
      <c r="I1556" s="25">
        <f>IF($C1556="","",IFERROR(IF(INDEX(links!$C$2:$C$501,MATCH($C1556,links!$D$2:$D$501,0))="","",INDEX(links!$C$2:$C$501,MATCH($C1556,links!$D$2:$D$501,0))),""))</f>
        <v/>
      </c>
      <c r="J1556" s="25">
        <f>IF($C1556="","",IF($G1556="","slug not in links; ","")&amp;IF($D1556="","reading type missing; ","")&amp;IF(COUNTIFS(scans!$C$2:$C$1601,$C1556,scans!$D$2:$D$1601,$D1556)&gt;1,"two readings of this type: keep one; ",""))</f>
        <v/>
      </c>
    </row>
    <row r="1557">
      <c r="A1557" s="9" t="n"/>
      <c r="B1557" s="33" t="n"/>
      <c r="G1557" s="25">
        <f>IF($C1557="","",IFERROR(IF(INDEX(links!$A$2:$A$501,MATCH($C1557,links!$D$2:$D$501,0))="","",INDEX(links!$A$2:$A$501,MATCH($C1557,links!$D$2:$D$501,0))),""))</f>
        <v/>
      </c>
      <c r="H1557" s="25">
        <f>IF($C1557="","",IFERROR(IF(INDEX(links!$B$2:$B$501,MATCH($C1557,links!$D$2:$D$501,0))="","",INDEX(links!$B$2:$B$501,MATCH($C1557,links!$D$2:$D$501,0))),""))</f>
        <v/>
      </c>
      <c r="I1557" s="25">
        <f>IF($C1557="","",IFERROR(IF(INDEX(links!$C$2:$C$501,MATCH($C1557,links!$D$2:$D$501,0))="","",INDEX(links!$C$2:$C$501,MATCH($C1557,links!$D$2:$D$501,0))),""))</f>
        <v/>
      </c>
      <c r="J1557" s="25">
        <f>IF($C1557="","",IF($G1557="","slug not in links; ","")&amp;IF($D1557="","reading type missing; ","")&amp;IF(COUNTIFS(scans!$C$2:$C$1601,$C1557,scans!$D$2:$D$1601,$D1557)&gt;1,"two readings of this type: keep one; ",""))</f>
        <v/>
      </c>
    </row>
    <row r="1558">
      <c r="A1558" s="9" t="n"/>
      <c r="B1558" s="33" t="n"/>
      <c r="G1558" s="25">
        <f>IF($C1558="","",IFERROR(IF(INDEX(links!$A$2:$A$501,MATCH($C1558,links!$D$2:$D$501,0))="","",INDEX(links!$A$2:$A$501,MATCH($C1558,links!$D$2:$D$501,0))),""))</f>
        <v/>
      </c>
      <c r="H1558" s="25">
        <f>IF($C1558="","",IFERROR(IF(INDEX(links!$B$2:$B$501,MATCH($C1558,links!$D$2:$D$501,0))="","",INDEX(links!$B$2:$B$501,MATCH($C1558,links!$D$2:$D$501,0))),""))</f>
        <v/>
      </c>
      <c r="I1558" s="25">
        <f>IF($C1558="","",IFERROR(IF(INDEX(links!$C$2:$C$501,MATCH($C1558,links!$D$2:$D$501,0))="","",INDEX(links!$C$2:$C$501,MATCH($C1558,links!$D$2:$D$501,0))),""))</f>
        <v/>
      </c>
      <c r="J1558" s="25">
        <f>IF($C1558="","",IF($G1558="","slug not in links; ","")&amp;IF($D1558="","reading type missing; ","")&amp;IF(COUNTIFS(scans!$C$2:$C$1601,$C1558,scans!$D$2:$D$1601,$D1558)&gt;1,"two readings of this type: keep one; ",""))</f>
        <v/>
      </c>
    </row>
    <row r="1559">
      <c r="A1559" s="9" t="n"/>
      <c r="B1559" s="33" t="n"/>
      <c r="G1559" s="25">
        <f>IF($C1559="","",IFERROR(IF(INDEX(links!$A$2:$A$501,MATCH($C1559,links!$D$2:$D$501,0))="","",INDEX(links!$A$2:$A$501,MATCH($C1559,links!$D$2:$D$501,0))),""))</f>
        <v/>
      </c>
      <c r="H1559" s="25">
        <f>IF($C1559="","",IFERROR(IF(INDEX(links!$B$2:$B$501,MATCH($C1559,links!$D$2:$D$501,0))="","",INDEX(links!$B$2:$B$501,MATCH($C1559,links!$D$2:$D$501,0))),""))</f>
        <v/>
      </c>
      <c r="I1559" s="25">
        <f>IF($C1559="","",IFERROR(IF(INDEX(links!$C$2:$C$501,MATCH($C1559,links!$D$2:$D$501,0))="","",INDEX(links!$C$2:$C$501,MATCH($C1559,links!$D$2:$D$501,0))),""))</f>
        <v/>
      </c>
      <c r="J1559" s="25">
        <f>IF($C1559="","",IF($G1559="","slug not in links; ","")&amp;IF($D1559="","reading type missing; ","")&amp;IF(COUNTIFS(scans!$C$2:$C$1601,$C1559,scans!$D$2:$D$1601,$D1559)&gt;1,"two readings of this type: keep one; ",""))</f>
        <v/>
      </c>
    </row>
    <row r="1560">
      <c r="A1560" s="9" t="n"/>
      <c r="B1560" s="33" t="n"/>
      <c r="G1560" s="25">
        <f>IF($C1560="","",IFERROR(IF(INDEX(links!$A$2:$A$501,MATCH($C1560,links!$D$2:$D$501,0))="","",INDEX(links!$A$2:$A$501,MATCH($C1560,links!$D$2:$D$501,0))),""))</f>
        <v/>
      </c>
      <c r="H1560" s="25">
        <f>IF($C1560="","",IFERROR(IF(INDEX(links!$B$2:$B$501,MATCH($C1560,links!$D$2:$D$501,0))="","",INDEX(links!$B$2:$B$501,MATCH($C1560,links!$D$2:$D$501,0))),""))</f>
        <v/>
      </c>
      <c r="I1560" s="25">
        <f>IF($C1560="","",IFERROR(IF(INDEX(links!$C$2:$C$501,MATCH($C1560,links!$D$2:$D$501,0))="","",INDEX(links!$C$2:$C$501,MATCH($C1560,links!$D$2:$D$501,0))),""))</f>
        <v/>
      </c>
      <c r="J1560" s="25">
        <f>IF($C1560="","",IF($G1560="","slug not in links; ","")&amp;IF($D1560="","reading type missing; ","")&amp;IF(COUNTIFS(scans!$C$2:$C$1601,$C1560,scans!$D$2:$D$1601,$D1560)&gt;1,"two readings of this type: keep one; ",""))</f>
        <v/>
      </c>
    </row>
    <row r="1561">
      <c r="A1561" s="9" t="n"/>
      <c r="B1561" s="33" t="n"/>
      <c r="G1561" s="25">
        <f>IF($C1561="","",IFERROR(IF(INDEX(links!$A$2:$A$501,MATCH($C1561,links!$D$2:$D$501,0))="","",INDEX(links!$A$2:$A$501,MATCH($C1561,links!$D$2:$D$501,0))),""))</f>
        <v/>
      </c>
      <c r="H1561" s="25">
        <f>IF($C1561="","",IFERROR(IF(INDEX(links!$B$2:$B$501,MATCH($C1561,links!$D$2:$D$501,0))="","",INDEX(links!$B$2:$B$501,MATCH($C1561,links!$D$2:$D$501,0))),""))</f>
        <v/>
      </c>
      <c r="I1561" s="25">
        <f>IF($C1561="","",IFERROR(IF(INDEX(links!$C$2:$C$501,MATCH($C1561,links!$D$2:$D$501,0))="","",INDEX(links!$C$2:$C$501,MATCH($C1561,links!$D$2:$D$501,0))),""))</f>
        <v/>
      </c>
      <c r="J1561" s="25">
        <f>IF($C1561="","",IF($G1561="","slug not in links; ","")&amp;IF($D1561="","reading type missing; ","")&amp;IF(COUNTIFS(scans!$C$2:$C$1601,$C1561,scans!$D$2:$D$1601,$D1561)&gt;1,"two readings of this type: keep one; ",""))</f>
        <v/>
      </c>
    </row>
    <row r="1562">
      <c r="A1562" s="9" t="n"/>
      <c r="B1562" s="33" t="n"/>
      <c r="G1562" s="25">
        <f>IF($C1562="","",IFERROR(IF(INDEX(links!$A$2:$A$501,MATCH($C1562,links!$D$2:$D$501,0))="","",INDEX(links!$A$2:$A$501,MATCH($C1562,links!$D$2:$D$501,0))),""))</f>
        <v/>
      </c>
      <c r="H1562" s="25">
        <f>IF($C1562="","",IFERROR(IF(INDEX(links!$B$2:$B$501,MATCH($C1562,links!$D$2:$D$501,0))="","",INDEX(links!$B$2:$B$501,MATCH($C1562,links!$D$2:$D$501,0))),""))</f>
        <v/>
      </c>
      <c r="I1562" s="25">
        <f>IF($C1562="","",IFERROR(IF(INDEX(links!$C$2:$C$501,MATCH($C1562,links!$D$2:$D$501,0))="","",INDEX(links!$C$2:$C$501,MATCH($C1562,links!$D$2:$D$501,0))),""))</f>
        <v/>
      </c>
      <c r="J1562" s="25">
        <f>IF($C1562="","",IF($G1562="","slug not in links; ","")&amp;IF($D1562="","reading type missing; ","")&amp;IF(COUNTIFS(scans!$C$2:$C$1601,$C1562,scans!$D$2:$D$1601,$D1562)&gt;1,"two readings of this type: keep one; ",""))</f>
        <v/>
      </c>
    </row>
    <row r="1563">
      <c r="A1563" s="9" t="n"/>
      <c r="B1563" s="33" t="n"/>
      <c r="G1563" s="25">
        <f>IF($C1563="","",IFERROR(IF(INDEX(links!$A$2:$A$501,MATCH($C1563,links!$D$2:$D$501,0))="","",INDEX(links!$A$2:$A$501,MATCH($C1563,links!$D$2:$D$501,0))),""))</f>
        <v/>
      </c>
      <c r="H1563" s="25">
        <f>IF($C1563="","",IFERROR(IF(INDEX(links!$B$2:$B$501,MATCH($C1563,links!$D$2:$D$501,0))="","",INDEX(links!$B$2:$B$501,MATCH($C1563,links!$D$2:$D$501,0))),""))</f>
        <v/>
      </c>
      <c r="I1563" s="25">
        <f>IF($C1563="","",IFERROR(IF(INDEX(links!$C$2:$C$501,MATCH($C1563,links!$D$2:$D$501,0))="","",INDEX(links!$C$2:$C$501,MATCH($C1563,links!$D$2:$D$501,0))),""))</f>
        <v/>
      </c>
      <c r="J1563" s="25">
        <f>IF($C1563="","",IF($G1563="","slug not in links; ","")&amp;IF($D1563="","reading type missing; ","")&amp;IF(COUNTIFS(scans!$C$2:$C$1601,$C1563,scans!$D$2:$D$1601,$D1563)&gt;1,"two readings of this type: keep one; ",""))</f>
        <v/>
      </c>
    </row>
    <row r="1564">
      <c r="A1564" s="9" t="n"/>
      <c r="B1564" s="33" t="n"/>
      <c r="G1564" s="25">
        <f>IF($C1564="","",IFERROR(IF(INDEX(links!$A$2:$A$501,MATCH($C1564,links!$D$2:$D$501,0))="","",INDEX(links!$A$2:$A$501,MATCH($C1564,links!$D$2:$D$501,0))),""))</f>
        <v/>
      </c>
      <c r="H1564" s="25">
        <f>IF($C1564="","",IFERROR(IF(INDEX(links!$B$2:$B$501,MATCH($C1564,links!$D$2:$D$501,0))="","",INDEX(links!$B$2:$B$501,MATCH($C1564,links!$D$2:$D$501,0))),""))</f>
        <v/>
      </c>
      <c r="I1564" s="25">
        <f>IF($C1564="","",IFERROR(IF(INDEX(links!$C$2:$C$501,MATCH($C1564,links!$D$2:$D$501,0))="","",INDEX(links!$C$2:$C$501,MATCH($C1564,links!$D$2:$D$501,0))),""))</f>
        <v/>
      </c>
      <c r="J1564" s="25">
        <f>IF($C1564="","",IF($G1564="","slug not in links; ","")&amp;IF($D1564="","reading type missing; ","")&amp;IF(COUNTIFS(scans!$C$2:$C$1601,$C1564,scans!$D$2:$D$1601,$D1564)&gt;1,"two readings of this type: keep one; ",""))</f>
        <v/>
      </c>
    </row>
    <row r="1565">
      <c r="A1565" s="9" t="n"/>
      <c r="B1565" s="33" t="n"/>
      <c r="G1565" s="25">
        <f>IF($C1565="","",IFERROR(IF(INDEX(links!$A$2:$A$501,MATCH($C1565,links!$D$2:$D$501,0))="","",INDEX(links!$A$2:$A$501,MATCH($C1565,links!$D$2:$D$501,0))),""))</f>
        <v/>
      </c>
      <c r="H1565" s="25">
        <f>IF($C1565="","",IFERROR(IF(INDEX(links!$B$2:$B$501,MATCH($C1565,links!$D$2:$D$501,0))="","",INDEX(links!$B$2:$B$501,MATCH($C1565,links!$D$2:$D$501,0))),""))</f>
        <v/>
      </c>
      <c r="I1565" s="25">
        <f>IF($C1565="","",IFERROR(IF(INDEX(links!$C$2:$C$501,MATCH($C1565,links!$D$2:$D$501,0))="","",INDEX(links!$C$2:$C$501,MATCH($C1565,links!$D$2:$D$501,0))),""))</f>
        <v/>
      </c>
      <c r="J1565" s="25">
        <f>IF($C1565="","",IF($G1565="","slug not in links; ","")&amp;IF($D1565="","reading type missing; ","")&amp;IF(COUNTIFS(scans!$C$2:$C$1601,$C1565,scans!$D$2:$D$1601,$D1565)&gt;1,"two readings of this type: keep one; ",""))</f>
        <v/>
      </c>
    </row>
    <row r="1566">
      <c r="A1566" s="9" t="n"/>
      <c r="B1566" s="33" t="n"/>
      <c r="G1566" s="25">
        <f>IF($C1566="","",IFERROR(IF(INDEX(links!$A$2:$A$501,MATCH($C1566,links!$D$2:$D$501,0))="","",INDEX(links!$A$2:$A$501,MATCH($C1566,links!$D$2:$D$501,0))),""))</f>
        <v/>
      </c>
      <c r="H1566" s="25">
        <f>IF($C1566="","",IFERROR(IF(INDEX(links!$B$2:$B$501,MATCH($C1566,links!$D$2:$D$501,0))="","",INDEX(links!$B$2:$B$501,MATCH($C1566,links!$D$2:$D$501,0))),""))</f>
        <v/>
      </c>
      <c r="I1566" s="25">
        <f>IF($C1566="","",IFERROR(IF(INDEX(links!$C$2:$C$501,MATCH($C1566,links!$D$2:$D$501,0))="","",INDEX(links!$C$2:$C$501,MATCH($C1566,links!$D$2:$D$501,0))),""))</f>
        <v/>
      </c>
      <c r="J1566" s="25">
        <f>IF($C1566="","",IF($G1566="","slug not in links; ","")&amp;IF($D1566="","reading type missing; ","")&amp;IF(COUNTIFS(scans!$C$2:$C$1601,$C1566,scans!$D$2:$D$1601,$D1566)&gt;1,"two readings of this type: keep one; ",""))</f>
        <v/>
      </c>
    </row>
    <row r="1567">
      <c r="A1567" s="9" t="n"/>
      <c r="B1567" s="33" t="n"/>
      <c r="G1567" s="25">
        <f>IF($C1567="","",IFERROR(IF(INDEX(links!$A$2:$A$501,MATCH($C1567,links!$D$2:$D$501,0))="","",INDEX(links!$A$2:$A$501,MATCH($C1567,links!$D$2:$D$501,0))),""))</f>
        <v/>
      </c>
      <c r="H1567" s="25">
        <f>IF($C1567="","",IFERROR(IF(INDEX(links!$B$2:$B$501,MATCH($C1567,links!$D$2:$D$501,0))="","",INDEX(links!$B$2:$B$501,MATCH($C1567,links!$D$2:$D$501,0))),""))</f>
        <v/>
      </c>
      <c r="I1567" s="25">
        <f>IF($C1567="","",IFERROR(IF(INDEX(links!$C$2:$C$501,MATCH($C1567,links!$D$2:$D$501,0))="","",INDEX(links!$C$2:$C$501,MATCH($C1567,links!$D$2:$D$501,0))),""))</f>
        <v/>
      </c>
      <c r="J1567" s="25">
        <f>IF($C1567="","",IF($G1567="","slug not in links; ","")&amp;IF($D1567="","reading type missing; ","")&amp;IF(COUNTIFS(scans!$C$2:$C$1601,$C1567,scans!$D$2:$D$1601,$D1567)&gt;1,"two readings of this type: keep one; ",""))</f>
        <v/>
      </c>
    </row>
    <row r="1568">
      <c r="A1568" s="9" t="n"/>
      <c r="B1568" s="33" t="n"/>
      <c r="G1568" s="25">
        <f>IF($C1568="","",IFERROR(IF(INDEX(links!$A$2:$A$501,MATCH($C1568,links!$D$2:$D$501,0))="","",INDEX(links!$A$2:$A$501,MATCH($C1568,links!$D$2:$D$501,0))),""))</f>
        <v/>
      </c>
      <c r="H1568" s="25">
        <f>IF($C1568="","",IFERROR(IF(INDEX(links!$B$2:$B$501,MATCH($C1568,links!$D$2:$D$501,0))="","",INDEX(links!$B$2:$B$501,MATCH($C1568,links!$D$2:$D$501,0))),""))</f>
        <v/>
      </c>
      <c r="I1568" s="25">
        <f>IF($C1568="","",IFERROR(IF(INDEX(links!$C$2:$C$501,MATCH($C1568,links!$D$2:$D$501,0))="","",INDEX(links!$C$2:$C$501,MATCH($C1568,links!$D$2:$D$501,0))),""))</f>
        <v/>
      </c>
      <c r="J1568" s="25">
        <f>IF($C1568="","",IF($G1568="","slug not in links; ","")&amp;IF($D1568="","reading type missing; ","")&amp;IF(COUNTIFS(scans!$C$2:$C$1601,$C1568,scans!$D$2:$D$1601,$D1568)&gt;1,"two readings of this type: keep one; ",""))</f>
        <v/>
      </c>
    </row>
    <row r="1569">
      <c r="A1569" s="9" t="n"/>
      <c r="B1569" s="33" t="n"/>
      <c r="G1569" s="25">
        <f>IF($C1569="","",IFERROR(IF(INDEX(links!$A$2:$A$501,MATCH($C1569,links!$D$2:$D$501,0))="","",INDEX(links!$A$2:$A$501,MATCH($C1569,links!$D$2:$D$501,0))),""))</f>
        <v/>
      </c>
      <c r="H1569" s="25">
        <f>IF($C1569="","",IFERROR(IF(INDEX(links!$B$2:$B$501,MATCH($C1569,links!$D$2:$D$501,0))="","",INDEX(links!$B$2:$B$501,MATCH($C1569,links!$D$2:$D$501,0))),""))</f>
        <v/>
      </c>
      <c r="I1569" s="25">
        <f>IF($C1569="","",IFERROR(IF(INDEX(links!$C$2:$C$501,MATCH($C1569,links!$D$2:$D$501,0))="","",INDEX(links!$C$2:$C$501,MATCH($C1569,links!$D$2:$D$501,0))),""))</f>
        <v/>
      </c>
      <c r="J1569" s="25">
        <f>IF($C1569="","",IF($G1569="","slug not in links; ","")&amp;IF($D1569="","reading type missing; ","")&amp;IF(COUNTIFS(scans!$C$2:$C$1601,$C1569,scans!$D$2:$D$1601,$D1569)&gt;1,"two readings of this type: keep one; ",""))</f>
        <v/>
      </c>
    </row>
    <row r="1570">
      <c r="A1570" s="9" t="n"/>
      <c r="B1570" s="33" t="n"/>
      <c r="G1570" s="25">
        <f>IF($C1570="","",IFERROR(IF(INDEX(links!$A$2:$A$501,MATCH($C1570,links!$D$2:$D$501,0))="","",INDEX(links!$A$2:$A$501,MATCH($C1570,links!$D$2:$D$501,0))),""))</f>
        <v/>
      </c>
      <c r="H1570" s="25">
        <f>IF($C1570="","",IFERROR(IF(INDEX(links!$B$2:$B$501,MATCH($C1570,links!$D$2:$D$501,0))="","",INDEX(links!$B$2:$B$501,MATCH($C1570,links!$D$2:$D$501,0))),""))</f>
        <v/>
      </c>
      <c r="I1570" s="25">
        <f>IF($C1570="","",IFERROR(IF(INDEX(links!$C$2:$C$501,MATCH($C1570,links!$D$2:$D$501,0))="","",INDEX(links!$C$2:$C$501,MATCH($C1570,links!$D$2:$D$501,0))),""))</f>
        <v/>
      </c>
      <c r="J1570" s="25">
        <f>IF($C1570="","",IF($G1570="","slug not in links; ","")&amp;IF($D1570="","reading type missing; ","")&amp;IF(COUNTIFS(scans!$C$2:$C$1601,$C1570,scans!$D$2:$D$1601,$D1570)&gt;1,"two readings of this type: keep one; ",""))</f>
        <v/>
      </c>
    </row>
    <row r="1571">
      <c r="A1571" s="9" t="n"/>
      <c r="B1571" s="33" t="n"/>
      <c r="G1571" s="25">
        <f>IF($C1571="","",IFERROR(IF(INDEX(links!$A$2:$A$501,MATCH($C1571,links!$D$2:$D$501,0))="","",INDEX(links!$A$2:$A$501,MATCH($C1571,links!$D$2:$D$501,0))),""))</f>
        <v/>
      </c>
      <c r="H1571" s="25">
        <f>IF($C1571="","",IFERROR(IF(INDEX(links!$B$2:$B$501,MATCH($C1571,links!$D$2:$D$501,0))="","",INDEX(links!$B$2:$B$501,MATCH($C1571,links!$D$2:$D$501,0))),""))</f>
        <v/>
      </c>
      <c r="I1571" s="25">
        <f>IF($C1571="","",IFERROR(IF(INDEX(links!$C$2:$C$501,MATCH($C1571,links!$D$2:$D$501,0))="","",INDEX(links!$C$2:$C$501,MATCH($C1571,links!$D$2:$D$501,0))),""))</f>
        <v/>
      </c>
      <c r="J1571" s="25">
        <f>IF($C1571="","",IF($G1571="","slug not in links; ","")&amp;IF($D1571="","reading type missing; ","")&amp;IF(COUNTIFS(scans!$C$2:$C$1601,$C1571,scans!$D$2:$D$1601,$D1571)&gt;1,"two readings of this type: keep one; ",""))</f>
        <v/>
      </c>
    </row>
    <row r="1572">
      <c r="A1572" s="9" t="n"/>
      <c r="B1572" s="33" t="n"/>
      <c r="G1572" s="25">
        <f>IF($C1572="","",IFERROR(IF(INDEX(links!$A$2:$A$501,MATCH($C1572,links!$D$2:$D$501,0))="","",INDEX(links!$A$2:$A$501,MATCH($C1572,links!$D$2:$D$501,0))),""))</f>
        <v/>
      </c>
      <c r="H1572" s="25">
        <f>IF($C1572="","",IFERROR(IF(INDEX(links!$B$2:$B$501,MATCH($C1572,links!$D$2:$D$501,0))="","",INDEX(links!$B$2:$B$501,MATCH($C1572,links!$D$2:$D$501,0))),""))</f>
        <v/>
      </c>
      <c r="I1572" s="25">
        <f>IF($C1572="","",IFERROR(IF(INDEX(links!$C$2:$C$501,MATCH($C1572,links!$D$2:$D$501,0))="","",INDEX(links!$C$2:$C$501,MATCH($C1572,links!$D$2:$D$501,0))),""))</f>
        <v/>
      </c>
      <c r="J1572" s="25">
        <f>IF($C1572="","",IF($G1572="","slug not in links; ","")&amp;IF($D1572="","reading type missing; ","")&amp;IF(COUNTIFS(scans!$C$2:$C$1601,$C1572,scans!$D$2:$D$1601,$D1572)&gt;1,"two readings of this type: keep one; ",""))</f>
        <v/>
      </c>
    </row>
    <row r="1573">
      <c r="A1573" s="9" t="n"/>
      <c r="B1573" s="33" t="n"/>
      <c r="G1573" s="25">
        <f>IF($C1573="","",IFERROR(IF(INDEX(links!$A$2:$A$501,MATCH($C1573,links!$D$2:$D$501,0))="","",INDEX(links!$A$2:$A$501,MATCH($C1573,links!$D$2:$D$501,0))),""))</f>
        <v/>
      </c>
      <c r="H1573" s="25">
        <f>IF($C1573="","",IFERROR(IF(INDEX(links!$B$2:$B$501,MATCH($C1573,links!$D$2:$D$501,0))="","",INDEX(links!$B$2:$B$501,MATCH($C1573,links!$D$2:$D$501,0))),""))</f>
        <v/>
      </c>
      <c r="I1573" s="25">
        <f>IF($C1573="","",IFERROR(IF(INDEX(links!$C$2:$C$501,MATCH($C1573,links!$D$2:$D$501,0))="","",INDEX(links!$C$2:$C$501,MATCH($C1573,links!$D$2:$D$501,0))),""))</f>
        <v/>
      </c>
      <c r="J1573" s="25">
        <f>IF($C1573="","",IF($G1573="","slug not in links; ","")&amp;IF($D1573="","reading type missing; ","")&amp;IF(COUNTIFS(scans!$C$2:$C$1601,$C1573,scans!$D$2:$D$1601,$D1573)&gt;1,"two readings of this type: keep one; ",""))</f>
        <v/>
      </c>
    </row>
    <row r="1574">
      <c r="A1574" s="9" t="n"/>
      <c r="B1574" s="33" t="n"/>
      <c r="G1574" s="25">
        <f>IF($C1574="","",IFERROR(IF(INDEX(links!$A$2:$A$501,MATCH($C1574,links!$D$2:$D$501,0))="","",INDEX(links!$A$2:$A$501,MATCH($C1574,links!$D$2:$D$501,0))),""))</f>
        <v/>
      </c>
      <c r="H1574" s="25">
        <f>IF($C1574="","",IFERROR(IF(INDEX(links!$B$2:$B$501,MATCH($C1574,links!$D$2:$D$501,0))="","",INDEX(links!$B$2:$B$501,MATCH($C1574,links!$D$2:$D$501,0))),""))</f>
        <v/>
      </c>
      <c r="I1574" s="25">
        <f>IF($C1574="","",IFERROR(IF(INDEX(links!$C$2:$C$501,MATCH($C1574,links!$D$2:$D$501,0))="","",INDEX(links!$C$2:$C$501,MATCH($C1574,links!$D$2:$D$501,0))),""))</f>
        <v/>
      </c>
      <c r="J1574" s="25">
        <f>IF($C1574="","",IF($G1574="","slug not in links; ","")&amp;IF($D1574="","reading type missing; ","")&amp;IF(COUNTIFS(scans!$C$2:$C$1601,$C1574,scans!$D$2:$D$1601,$D1574)&gt;1,"two readings of this type: keep one; ",""))</f>
        <v/>
      </c>
    </row>
    <row r="1575">
      <c r="A1575" s="9" t="n"/>
      <c r="B1575" s="33" t="n"/>
      <c r="G1575" s="25">
        <f>IF($C1575="","",IFERROR(IF(INDEX(links!$A$2:$A$501,MATCH($C1575,links!$D$2:$D$501,0))="","",INDEX(links!$A$2:$A$501,MATCH($C1575,links!$D$2:$D$501,0))),""))</f>
        <v/>
      </c>
      <c r="H1575" s="25">
        <f>IF($C1575="","",IFERROR(IF(INDEX(links!$B$2:$B$501,MATCH($C1575,links!$D$2:$D$501,0))="","",INDEX(links!$B$2:$B$501,MATCH($C1575,links!$D$2:$D$501,0))),""))</f>
        <v/>
      </c>
      <c r="I1575" s="25">
        <f>IF($C1575="","",IFERROR(IF(INDEX(links!$C$2:$C$501,MATCH($C1575,links!$D$2:$D$501,0))="","",INDEX(links!$C$2:$C$501,MATCH($C1575,links!$D$2:$D$501,0))),""))</f>
        <v/>
      </c>
      <c r="J1575" s="25">
        <f>IF($C1575="","",IF($G1575="","slug not in links; ","")&amp;IF($D1575="","reading type missing; ","")&amp;IF(COUNTIFS(scans!$C$2:$C$1601,$C1575,scans!$D$2:$D$1601,$D1575)&gt;1,"two readings of this type: keep one; ",""))</f>
        <v/>
      </c>
    </row>
    <row r="1576">
      <c r="A1576" s="9" t="n"/>
      <c r="B1576" s="33" t="n"/>
      <c r="G1576" s="25">
        <f>IF($C1576="","",IFERROR(IF(INDEX(links!$A$2:$A$501,MATCH($C1576,links!$D$2:$D$501,0))="","",INDEX(links!$A$2:$A$501,MATCH($C1576,links!$D$2:$D$501,0))),""))</f>
        <v/>
      </c>
      <c r="H1576" s="25">
        <f>IF($C1576="","",IFERROR(IF(INDEX(links!$B$2:$B$501,MATCH($C1576,links!$D$2:$D$501,0))="","",INDEX(links!$B$2:$B$501,MATCH($C1576,links!$D$2:$D$501,0))),""))</f>
        <v/>
      </c>
      <c r="I1576" s="25">
        <f>IF($C1576="","",IFERROR(IF(INDEX(links!$C$2:$C$501,MATCH($C1576,links!$D$2:$D$501,0))="","",INDEX(links!$C$2:$C$501,MATCH($C1576,links!$D$2:$D$501,0))),""))</f>
        <v/>
      </c>
      <c r="J1576" s="25">
        <f>IF($C1576="","",IF($G1576="","slug not in links; ","")&amp;IF($D1576="","reading type missing; ","")&amp;IF(COUNTIFS(scans!$C$2:$C$1601,$C1576,scans!$D$2:$D$1601,$D1576)&gt;1,"two readings of this type: keep one; ",""))</f>
        <v/>
      </c>
    </row>
    <row r="1577">
      <c r="A1577" s="9" t="n"/>
      <c r="B1577" s="33" t="n"/>
      <c r="G1577" s="25">
        <f>IF($C1577="","",IFERROR(IF(INDEX(links!$A$2:$A$501,MATCH($C1577,links!$D$2:$D$501,0))="","",INDEX(links!$A$2:$A$501,MATCH($C1577,links!$D$2:$D$501,0))),""))</f>
        <v/>
      </c>
      <c r="H1577" s="25">
        <f>IF($C1577="","",IFERROR(IF(INDEX(links!$B$2:$B$501,MATCH($C1577,links!$D$2:$D$501,0))="","",INDEX(links!$B$2:$B$501,MATCH($C1577,links!$D$2:$D$501,0))),""))</f>
        <v/>
      </c>
      <c r="I1577" s="25">
        <f>IF($C1577="","",IFERROR(IF(INDEX(links!$C$2:$C$501,MATCH($C1577,links!$D$2:$D$501,0))="","",INDEX(links!$C$2:$C$501,MATCH($C1577,links!$D$2:$D$501,0))),""))</f>
        <v/>
      </c>
      <c r="J1577" s="25">
        <f>IF($C1577="","",IF($G1577="","slug not in links; ","")&amp;IF($D1577="","reading type missing; ","")&amp;IF(COUNTIFS(scans!$C$2:$C$1601,$C1577,scans!$D$2:$D$1601,$D1577)&gt;1,"two readings of this type: keep one; ",""))</f>
        <v/>
      </c>
    </row>
    <row r="1578">
      <c r="A1578" s="9" t="n"/>
      <c r="B1578" s="33" t="n"/>
      <c r="G1578" s="25">
        <f>IF($C1578="","",IFERROR(IF(INDEX(links!$A$2:$A$501,MATCH($C1578,links!$D$2:$D$501,0))="","",INDEX(links!$A$2:$A$501,MATCH($C1578,links!$D$2:$D$501,0))),""))</f>
        <v/>
      </c>
      <c r="H1578" s="25">
        <f>IF($C1578="","",IFERROR(IF(INDEX(links!$B$2:$B$501,MATCH($C1578,links!$D$2:$D$501,0))="","",INDEX(links!$B$2:$B$501,MATCH($C1578,links!$D$2:$D$501,0))),""))</f>
        <v/>
      </c>
      <c r="I1578" s="25">
        <f>IF($C1578="","",IFERROR(IF(INDEX(links!$C$2:$C$501,MATCH($C1578,links!$D$2:$D$501,0))="","",INDEX(links!$C$2:$C$501,MATCH($C1578,links!$D$2:$D$501,0))),""))</f>
        <v/>
      </c>
      <c r="J1578" s="25">
        <f>IF($C1578="","",IF($G1578="","slug not in links; ","")&amp;IF($D1578="","reading type missing; ","")&amp;IF(COUNTIFS(scans!$C$2:$C$1601,$C1578,scans!$D$2:$D$1601,$D1578)&gt;1,"two readings of this type: keep one; ",""))</f>
        <v/>
      </c>
    </row>
    <row r="1579">
      <c r="A1579" s="9" t="n"/>
      <c r="B1579" s="33" t="n"/>
      <c r="G1579" s="25">
        <f>IF($C1579="","",IFERROR(IF(INDEX(links!$A$2:$A$501,MATCH($C1579,links!$D$2:$D$501,0))="","",INDEX(links!$A$2:$A$501,MATCH($C1579,links!$D$2:$D$501,0))),""))</f>
        <v/>
      </c>
      <c r="H1579" s="25">
        <f>IF($C1579="","",IFERROR(IF(INDEX(links!$B$2:$B$501,MATCH($C1579,links!$D$2:$D$501,0))="","",INDEX(links!$B$2:$B$501,MATCH($C1579,links!$D$2:$D$501,0))),""))</f>
        <v/>
      </c>
      <c r="I1579" s="25">
        <f>IF($C1579="","",IFERROR(IF(INDEX(links!$C$2:$C$501,MATCH($C1579,links!$D$2:$D$501,0))="","",INDEX(links!$C$2:$C$501,MATCH($C1579,links!$D$2:$D$501,0))),""))</f>
        <v/>
      </c>
      <c r="J1579" s="25">
        <f>IF($C1579="","",IF($G1579="","slug not in links; ","")&amp;IF($D1579="","reading type missing; ","")&amp;IF(COUNTIFS(scans!$C$2:$C$1601,$C1579,scans!$D$2:$D$1601,$D1579)&gt;1,"two readings of this type: keep one; ",""))</f>
        <v/>
      </c>
    </row>
    <row r="1580">
      <c r="A1580" s="9" t="n"/>
      <c r="B1580" s="33" t="n"/>
      <c r="G1580" s="25">
        <f>IF($C1580="","",IFERROR(IF(INDEX(links!$A$2:$A$501,MATCH($C1580,links!$D$2:$D$501,0))="","",INDEX(links!$A$2:$A$501,MATCH($C1580,links!$D$2:$D$501,0))),""))</f>
        <v/>
      </c>
      <c r="H1580" s="25">
        <f>IF($C1580="","",IFERROR(IF(INDEX(links!$B$2:$B$501,MATCH($C1580,links!$D$2:$D$501,0))="","",INDEX(links!$B$2:$B$501,MATCH($C1580,links!$D$2:$D$501,0))),""))</f>
        <v/>
      </c>
      <c r="I1580" s="25">
        <f>IF($C1580="","",IFERROR(IF(INDEX(links!$C$2:$C$501,MATCH($C1580,links!$D$2:$D$501,0))="","",INDEX(links!$C$2:$C$501,MATCH($C1580,links!$D$2:$D$501,0))),""))</f>
        <v/>
      </c>
      <c r="J1580" s="25">
        <f>IF($C1580="","",IF($G1580="","slug not in links; ","")&amp;IF($D1580="","reading type missing; ","")&amp;IF(COUNTIFS(scans!$C$2:$C$1601,$C1580,scans!$D$2:$D$1601,$D1580)&gt;1,"two readings of this type: keep one; ",""))</f>
        <v/>
      </c>
    </row>
    <row r="1581">
      <c r="A1581" s="9" t="n"/>
      <c r="B1581" s="33" t="n"/>
      <c r="G1581" s="25">
        <f>IF($C1581="","",IFERROR(IF(INDEX(links!$A$2:$A$501,MATCH($C1581,links!$D$2:$D$501,0))="","",INDEX(links!$A$2:$A$501,MATCH($C1581,links!$D$2:$D$501,0))),""))</f>
        <v/>
      </c>
      <c r="H1581" s="25">
        <f>IF($C1581="","",IFERROR(IF(INDEX(links!$B$2:$B$501,MATCH($C1581,links!$D$2:$D$501,0))="","",INDEX(links!$B$2:$B$501,MATCH($C1581,links!$D$2:$D$501,0))),""))</f>
        <v/>
      </c>
      <c r="I1581" s="25">
        <f>IF($C1581="","",IFERROR(IF(INDEX(links!$C$2:$C$501,MATCH($C1581,links!$D$2:$D$501,0))="","",INDEX(links!$C$2:$C$501,MATCH($C1581,links!$D$2:$D$501,0))),""))</f>
        <v/>
      </c>
      <c r="J1581" s="25">
        <f>IF($C1581="","",IF($G1581="","slug not in links; ","")&amp;IF($D1581="","reading type missing; ","")&amp;IF(COUNTIFS(scans!$C$2:$C$1601,$C1581,scans!$D$2:$D$1601,$D1581)&gt;1,"two readings of this type: keep one; ",""))</f>
        <v/>
      </c>
    </row>
    <row r="1582">
      <c r="A1582" s="9" t="n"/>
      <c r="B1582" s="33" t="n"/>
      <c r="G1582" s="25">
        <f>IF($C1582="","",IFERROR(IF(INDEX(links!$A$2:$A$501,MATCH($C1582,links!$D$2:$D$501,0))="","",INDEX(links!$A$2:$A$501,MATCH($C1582,links!$D$2:$D$501,0))),""))</f>
        <v/>
      </c>
      <c r="H1582" s="25">
        <f>IF($C1582="","",IFERROR(IF(INDEX(links!$B$2:$B$501,MATCH($C1582,links!$D$2:$D$501,0))="","",INDEX(links!$B$2:$B$501,MATCH($C1582,links!$D$2:$D$501,0))),""))</f>
        <v/>
      </c>
      <c r="I1582" s="25">
        <f>IF($C1582="","",IFERROR(IF(INDEX(links!$C$2:$C$501,MATCH($C1582,links!$D$2:$D$501,0))="","",INDEX(links!$C$2:$C$501,MATCH($C1582,links!$D$2:$D$501,0))),""))</f>
        <v/>
      </c>
      <c r="J1582" s="25">
        <f>IF($C1582="","",IF($G1582="","slug not in links; ","")&amp;IF($D1582="","reading type missing; ","")&amp;IF(COUNTIFS(scans!$C$2:$C$1601,$C1582,scans!$D$2:$D$1601,$D1582)&gt;1,"two readings of this type: keep one; ",""))</f>
        <v/>
      </c>
    </row>
    <row r="1583">
      <c r="A1583" s="9" t="n"/>
      <c r="B1583" s="33" t="n"/>
      <c r="G1583" s="25">
        <f>IF($C1583="","",IFERROR(IF(INDEX(links!$A$2:$A$501,MATCH($C1583,links!$D$2:$D$501,0))="","",INDEX(links!$A$2:$A$501,MATCH($C1583,links!$D$2:$D$501,0))),""))</f>
        <v/>
      </c>
      <c r="H1583" s="25">
        <f>IF($C1583="","",IFERROR(IF(INDEX(links!$B$2:$B$501,MATCH($C1583,links!$D$2:$D$501,0))="","",INDEX(links!$B$2:$B$501,MATCH($C1583,links!$D$2:$D$501,0))),""))</f>
        <v/>
      </c>
      <c r="I1583" s="25">
        <f>IF($C1583="","",IFERROR(IF(INDEX(links!$C$2:$C$501,MATCH($C1583,links!$D$2:$D$501,0))="","",INDEX(links!$C$2:$C$501,MATCH($C1583,links!$D$2:$D$501,0))),""))</f>
        <v/>
      </c>
      <c r="J1583" s="25">
        <f>IF($C1583="","",IF($G1583="","slug not in links; ","")&amp;IF($D1583="","reading type missing; ","")&amp;IF(COUNTIFS(scans!$C$2:$C$1601,$C1583,scans!$D$2:$D$1601,$D1583)&gt;1,"two readings of this type: keep one; ",""))</f>
        <v/>
      </c>
    </row>
    <row r="1584">
      <c r="A1584" s="9" t="n"/>
      <c r="B1584" s="33" t="n"/>
      <c r="G1584" s="25">
        <f>IF($C1584="","",IFERROR(IF(INDEX(links!$A$2:$A$501,MATCH($C1584,links!$D$2:$D$501,0))="","",INDEX(links!$A$2:$A$501,MATCH($C1584,links!$D$2:$D$501,0))),""))</f>
        <v/>
      </c>
      <c r="H1584" s="25">
        <f>IF($C1584="","",IFERROR(IF(INDEX(links!$B$2:$B$501,MATCH($C1584,links!$D$2:$D$501,0))="","",INDEX(links!$B$2:$B$501,MATCH($C1584,links!$D$2:$D$501,0))),""))</f>
        <v/>
      </c>
      <c r="I1584" s="25">
        <f>IF($C1584="","",IFERROR(IF(INDEX(links!$C$2:$C$501,MATCH($C1584,links!$D$2:$D$501,0))="","",INDEX(links!$C$2:$C$501,MATCH($C1584,links!$D$2:$D$501,0))),""))</f>
        <v/>
      </c>
      <c r="J1584" s="25">
        <f>IF($C1584="","",IF($G1584="","slug not in links; ","")&amp;IF($D1584="","reading type missing; ","")&amp;IF(COUNTIFS(scans!$C$2:$C$1601,$C1584,scans!$D$2:$D$1601,$D1584)&gt;1,"two readings of this type: keep one; ",""))</f>
        <v/>
      </c>
    </row>
    <row r="1585">
      <c r="A1585" s="9" t="n"/>
      <c r="B1585" s="33" t="n"/>
      <c r="G1585" s="25">
        <f>IF($C1585="","",IFERROR(IF(INDEX(links!$A$2:$A$501,MATCH($C1585,links!$D$2:$D$501,0))="","",INDEX(links!$A$2:$A$501,MATCH($C1585,links!$D$2:$D$501,0))),""))</f>
        <v/>
      </c>
      <c r="H1585" s="25">
        <f>IF($C1585="","",IFERROR(IF(INDEX(links!$B$2:$B$501,MATCH($C1585,links!$D$2:$D$501,0))="","",INDEX(links!$B$2:$B$501,MATCH($C1585,links!$D$2:$D$501,0))),""))</f>
        <v/>
      </c>
      <c r="I1585" s="25">
        <f>IF($C1585="","",IFERROR(IF(INDEX(links!$C$2:$C$501,MATCH($C1585,links!$D$2:$D$501,0))="","",INDEX(links!$C$2:$C$501,MATCH($C1585,links!$D$2:$D$501,0))),""))</f>
        <v/>
      </c>
      <c r="J1585" s="25">
        <f>IF($C1585="","",IF($G1585="","slug not in links; ","")&amp;IF($D1585="","reading type missing; ","")&amp;IF(COUNTIFS(scans!$C$2:$C$1601,$C1585,scans!$D$2:$D$1601,$D1585)&gt;1,"two readings of this type: keep one; ",""))</f>
        <v/>
      </c>
    </row>
    <row r="1586">
      <c r="A1586" s="9" t="n"/>
      <c r="B1586" s="33" t="n"/>
      <c r="G1586" s="25">
        <f>IF($C1586="","",IFERROR(IF(INDEX(links!$A$2:$A$501,MATCH($C1586,links!$D$2:$D$501,0))="","",INDEX(links!$A$2:$A$501,MATCH($C1586,links!$D$2:$D$501,0))),""))</f>
        <v/>
      </c>
      <c r="H1586" s="25">
        <f>IF($C1586="","",IFERROR(IF(INDEX(links!$B$2:$B$501,MATCH($C1586,links!$D$2:$D$501,0))="","",INDEX(links!$B$2:$B$501,MATCH($C1586,links!$D$2:$D$501,0))),""))</f>
        <v/>
      </c>
      <c r="I1586" s="25">
        <f>IF($C1586="","",IFERROR(IF(INDEX(links!$C$2:$C$501,MATCH($C1586,links!$D$2:$D$501,0))="","",INDEX(links!$C$2:$C$501,MATCH($C1586,links!$D$2:$D$501,0))),""))</f>
        <v/>
      </c>
      <c r="J1586" s="25">
        <f>IF($C1586="","",IF($G1586="","slug not in links; ","")&amp;IF($D1586="","reading type missing; ","")&amp;IF(COUNTIFS(scans!$C$2:$C$1601,$C1586,scans!$D$2:$D$1601,$D1586)&gt;1,"two readings of this type: keep one; ",""))</f>
        <v/>
      </c>
    </row>
    <row r="1587">
      <c r="A1587" s="9" t="n"/>
      <c r="B1587" s="33" t="n"/>
      <c r="G1587" s="25">
        <f>IF($C1587="","",IFERROR(IF(INDEX(links!$A$2:$A$501,MATCH($C1587,links!$D$2:$D$501,0))="","",INDEX(links!$A$2:$A$501,MATCH($C1587,links!$D$2:$D$501,0))),""))</f>
        <v/>
      </c>
      <c r="H1587" s="25">
        <f>IF($C1587="","",IFERROR(IF(INDEX(links!$B$2:$B$501,MATCH($C1587,links!$D$2:$D$501,0))="","",INDEX(links!$B$2:$B$501,MATCH($C1587,links!$D$2:$D$501,0))),""))</f>
        <v/>
      </c>
      <c r="I1587" s="25">
        <f>IF($C1587="","",IFERROR(IF(INDEX(links!$C$2:$C$501,MATCH($C1587,links!$D$2:$D$501,0))="","",INDEX(links!$C$2:$C$501,MATCH($C1587,links!$D$2:$D$501,0))),""))</f>
        <v/>
      </c>
      <c r="J1587" s="25">
        <f>IF($C1587="","",IF($G1587="","slug not in links; ","")&amp;IF($D1587="","reading type missing; ","")&amp;IF(COUNTIFS(scans!$C$2:$C$1601,$C1587,scans!$D$2:$D$1601,$D1587)&gt;1,"two readings of this type: keep one; ",""))</f>
        <v/>
      </c>
    </row>
    <row r="1588">
      <c r="A1588" s="9" t="n"/>
      <c r="B1588" s="33" t="n"/>
      <c r="G1588" s="25">
        <f>IF($C1588="","",IFERROR(IF(INDEX(links!$A$2:$A$501,MATCH($C1588,links!$D$2:$D$501,0))="","",INDEX(links!$A$2:$A$501,MATCH($C1588,links!$D$2:$D$501,0))),""))</f>
        <v/>
      </c>
      <c r="H1588" s="25">
        <f>IF($C1588="","",IFERROR(IF(INDEX(links!$B$2:$B$501,MATCH($C1588,links!$D$2:$D$501,0))="","",INDEX(links!$B$2:$B$501,MATCH($C1588,links!$D$2:$D$501,0))),""))</f>
        <v/>
      </c>
      <c r="I1588" s="25">
        <f>IF($C1588="","",IFERROR(IF(INDEX(links!$C$2:$C$501,MATCH($C1588,links!$D$2:$D$501,0))="","",INDEX(links!$C$2:$C$501,MATCH($C1588,links!$D$2:$D$501,0))),""))</f>
        <v/>
      </c>
      <c r="J1588" s="25">
        <f>IF($C1588="","",IF($G1588="","slug not in links; ","")&amp;IF($D1588="","reading type missing; ","")&amp;IF(COUNTIFS(scans!$C$2:$C$1601,$C1588,scans!$D$2:$D$1601,$D1588)&gt;1,"two readings of this type: keep one; ",""))</f>
        <v/>
      </c>
    </row>
    <row r="1589">
      <c r="A1589" s="9" t="n"/>
      <c r="B1589" s="33" t="n"/>
      <c r="G1589" s="25">
        <f>IF($C1589="","",IFERROR(IF(INDEX(links!$A$2:$A$501,MATCH($C1589,links!$D$2:$D$501,0))="","",INDEX(links!$A$2:$A$501,MATCH($C1589,links!$D$2:$D$501,0))),""))</f>
        <v/>
      </c>
      <c r="H1589" s="25">
        <f>IF($C1589="","",IFERROR(IF(INDEX(links!$B$2:$B$501,MATCH($C1589,links!$D$2:$D$501,0))="","",INDEX(links!$B$2:$B$501,MATCH($C1589,links!$D$2:$D$501,0))),""))</f>
        <v/>
      </c>
      <c r="I1589" s="25">
        <f>IF($C1589="","",IFERROR(IF(INDEX(links!$C$2:$C$501,MATCH($C1589,links!$D$2:$D$501,0))="","",INDEX(links!$C$2:$C$501,MATCH($C1589,links!$D$2:$D$501,0))),""))</f>
        <v/>
      </c>
      <c r="J1589" s="25">
        <f>IF($C1589="","",IF($G1589="","slug not in links; ","")&amp;IF($D1589="","reading type missing; ","")&amp;IF(COUNTIFS(scans!$C$2:$C$1601,$C1589,scans!$D$2:$D$1601,$D1589)&gt;1,"two readings of this type: keep one; ",""))</f>
        <v/>
      </c>
    </row>
    <row r="1590">
      <c r="A1590" s="9" t="n"/>
      <c r="B1590" s="33" t="n"/>
      <c r="G1590" s="25">
        <f>IF($C1590="","",IFERROR(IF(INDEX(links!$A$2:$A$501,MATCH($C1590,links!$D$2:$D$501,0))="","",INDEX(links!$A$2:$A$501,MATCH($C1590,links!$D$2:$D$501,0))),""))</f>
        <v/>
      </c>
      <c r="H1590" s="25">
        <f>IF($C1590="","",IFERROR(IF(INDEX(links!$B$2:$B$501,MATCH($C1590,links!$D$2:$D$501,0))="","",INDEX(links!$B$2:$B$501,MATCH($C1590,links!$D$2:$D$501,0))),""))</f>
        <v/>
      </c>
      <c r="I1590" s="25">
        <f>IF($C1590="","",IFERROR(IF(INDEX(links!$C$2:$C$501,MATCH($C1590,links!$D$2:$D$501,0))="","",INDEX(links!$C$2:$C$501,MATCH($C1590,links!$D$2:$D$501,0))),""))</f>
        <v/>
      </c>
      <c r="J1590" s="25">
        <f>IF($C1590="","",IF($G1590="","slug not in links; ","")&amp;IF($D1590="","reading type missing; ","")&amp;IF(COUNTIFS(scans!$C$2:$C$1601,$C1590,scans!$D$2:$D$1601,$D1590)&gt;1,"two readings of this type: keep one; ",""))</f>
        <v/>
      </c>
    </row>
    <row r="1591">
      <c r="A1591" s="9" t="n"/>
      <c r="B1591" s="33" t="n"/>
      <c r="G1591" s="25">
        <f>IF($C1591="","",IFERROR(IF(INDEX(links!$A$2:$A$501,MATCH($C1591,links!$D$2:$D$501,0))="","",INDEX(links!$A$2:$A$501,MATCH($C1591,links!$D$2:$D$501,0))),""))</f>
        <v/>
      </c>
      <c r="H1591" s="25">
        <f>IF($C1591="","",IFERROR(IF(INDEX(links!$B$2:$B$501,MATCH($C1591,links!$D$2:$D$501,0))="","",INDEX(links!$B$2:$B$501,MATCH($C1591,links!$D$2:$D$501,0))),""))</f>
        <v/>
      </c>
      <c r="I1591" s="25">
        <f>IF($C1591="","",IFERROR(IF(INDEX(links!$C$2:$C$501,MATCH($C1591,links!$D$2:$D$501,0))="","",INDEX(links!$C$2:$C$501,MATCH($C1591,links!$D$2:$D$501,0))),""))</f>
        <v/>
      </c>
      <c r="J1591" s="25">
        <f>IF($C1591="","",IF($G1591="","slug not in links; ","")&amp;IF($D1591="","reading type missing; ","")&amp;IF(COUNTIFS(scans!$C$2:$C$1601,$C1591,scans!$D$2:$D$1601,$D1591)&gt;1,"two readings of this type: keep one; ",""))</f>
        <v/>
      </c>
    </row>
    <row r="1592">
      <c r="A1592" s="9" t="n"/>
      <c r="B1592" s="33" t="n"/>
      <c r="G1592" s="25">
        <f>IF($C1592="","",IFERROR(IF(INDEX(links!$A$2:$A$501,MATCH($C1592,links!$D$2:$D$501,0))="","",INDEX(links!$A$2:$A$501,MATCH($C1592,links!$D$2:$D$501,0))),""))</f>
        <v/>
      </c>
      <c r="H1592" s="25">
        <f>IF($C1592="","",IFERROR(IF(INDEX(links!$B$2:$B$501,MATCH($C1592,links!$D$2:$D$501,0))="","",INDEX(links!$B$2:$B$501,MATCH($C1592,links!$D$2:$D$501,0))),""))</f>
        <v/>
      </c>
      <c r="I1592" s="25">
        <f>IF($C1592="","",IFERROR(IF(INDEX(links!$C$2:$C$501,MATCH($C1592,links!$D$2:$D$501,0))="","",INDEX(links!$C$2:$C$501,MATCH($C1592,links!$D$2:$D$501,0))),""))</f>
        <v/>
      </c>
      <c r="J1592" s="25">
        <f>IF($C1592="","",IF($G1592="","slug not in links; ","")&amp;IF($D1592="","reading type missing; ","")&amp;IF(COUNTIFS(scans!$C$2:$C$1601,$C1592,scans!$D$2:$D$1601,$D1592)&gt;1,"two readings of this type: keep one; ",""))</f>
        <v/>
      </c>
    </row>
    <row r="1593">
      <c r="A1593" s="9" t="n"/>
      <c r="B1593" s="33" t="n"/>
      <c r="G1593" s="25">
        <f>IF($C1593="","",IFERROR(IF(INDEX(links!$A$2:$A$501,MATCH($C1593,links!$D$2:$D$501,0))="","",INDEX(links!$A$2:$A$501,MATCH($C1593,links!$D$2:$D$501,0))),""))</f>
        <v/>
      </c>
      <c r="H1593" s="25">
        <f>IF($C1593="","",IFERROR(IF(INDEX(links!$B$2:$B$501,MATCH($C1593,links!$D$2:$D$501,0))="","",INDEX(links!$B$2:$B$501,MATCH($C1593,links!$D$2:$D$501,0))),""))</f>
        <v/>
      </c>
      <c r="I1593" s="25">
        <f>IF($C1593="","",IFERROR(IF(INDEX(links!$C$2:$C$501,MATCH($C1593,links!$D$2:$D$501,0))="","",INDEX(links!$C$2:$C$501,MATCH($C1593,links!$D$2:$D$501,0))),""))</f>
        <v/>
      </c>
      <c r="J1593" s="25">
        <f>IF($C1593="","",IF($G1593="","slug not in links; ","")&amp;IF($D1593="","reading type missing; ","")&amp;IF(COUNTIFS(scans!$C$2:$C$1601,$C1593,scans!$D$2:$D$1601,$D1593)&gt;1,"two readings of this type: keep one; ",""))</f>
        <v/>
      </c>
    </row>
    <row r="1594">
      <c r="A1594" s="9" t="n"/>
      <c r="B1594" s="33" t="n"/>
      <c r="G1594" s="25">
        <f>IF($C1594="","",IFERROR(IF(INDEX(links!$A$2:$A$501,MATCH($C1594,links!$D$2:$D$501,0))="","",INDEX(links!$A$2:$A$501,MATCH($C1594,links!$D$2:$D$501,0))),""))</f>
        <v/>
      </c>
      <c r="H1594" s="25">
        <f>IF($C1594="","",IFERROR(IF(INDEX(links!$B$2:$B$501,MATCH($C1594,links!$D$2:$D$501,0))="","",INDEX(links!$B$2:$B$501,MATCH($C1594,links!$D$2:$D$501,0))),""))</f>
        <v/>
      </c>
      <c r="I1594" s="25">
        <f>IF($C1594="","",IFERROR(IF(INDEX(links!$C$2:$C$501,MATCH($C1594,links!$D$2:$D$501,0))="","",INDEX(links!$C$2:$C$501,MATCH($C1594,links!$D$2:$D$501,0))),""))</f>
        <v/>
      </c>
      <c r="J1594" s="25">
        <f>IF($C1594="","",IF($G1594="","slug not in links; ","")&amp;IF($D1594="","reading type missing; ","")&amp;IF(COUNTIFS(scans!$C$2:$C$1601,$C1594,scans!$D$2:$D$1601,$D1594)&gt;1,"two readings of this type: keep one; ",""))</f>
        <v/>
      </c>
    </row>
    <row r="1595">
      <c r="A1595" s="9" t="n"/>
      <c r="B1595" s="33" t="n"/>
      <c r="G1595" s="25">
        <f>IF($C1595="","",IFERROR(IF(INDEX(links!$A$2:$A$501,MATCH($C1595,links!$D$2:$D$501,0))="","",INDEX(links!$A$2:$A$501,MATCH($C1595,links!$D$2:$D$501,0))),""))</f>
        <v/>
      </c>
      <c r="H1595" s="25">
        <f>IF($C1595="","",IFERROR(IF(INDEX(links!$B$2:$B$501,MATCH($C1595,links!$D$2:$D$501,0))="","",INDEX(links!$B$2:$B$501,MATCH($C1595,links!$D$2:$D$501,0))),""))</f>
        <v/>
      </c>
      <c r="I1595" s="25">
        <f>IF($C1595="","",IFERROR(IF(INDEX(links!$C$2:$C$501,MATCH($C1595,links!$D$2:$D$501,0))="","",INDEX(links!$C$2:$C$501,MATCH($C1595,links!$D$2:$D$501,0))),""))</f>
        <v/>
      </c>
      <c r="J1595" s="25">
        <f>IF($C1595="","",IF($G1595="","slug not in links; ","")&amp;IF($D1595="","reading type missing; ","")&amp;IF(COUNTIFS(scans!$C$2:$C$1601,$C1595,scans!$D$2:$D$1601,$D1595)&gt;1,"two readings of this type: keep one; ",""))</f>
        <v/>
      </c>
    </row>
    <row r="1596">
      <c r="A1596" s="9" t="n"/>
      <c r="B1596" s="33" t="n"/>
      <c r="G1596" s="25">
        <f>IF($C1596="","",IFERROR(IF(INDEX(links!$A$2:$A$501,MATCH($C1596,links!$D$2:$D$501,0))="","",INDEX(links!$A$2:$A$501,MATCH($C1596,links!$D$2:$D$501,0))),""))</f>
        <v/>
      </c>
      <c r="H1596" s="25">
        <f>IF($C1596="","",IFERROR(IF(INDEX(links!$B$2:$B$501,MATCH($C1596,links!$D$2:$D$501,0))="","",INDEX(links!$B$2:$B$501,MATCH($C1596,links!$D$2:$D$501,0))),""))</f>
        <v/>
      </c>
      <c r="I1596" s="25">
        <f>IF($C1596="","",IFERROR(IF(INDEX(links!$C$2:$C$501,MATCH($C1596,links!$D$2:$D$501,0))="","",INDEX(links!$C$2:$C$501,MATCH($C1596,links!$D$2:$D$501,0))),""))</f>
        <v/>
      </c>
      <c r="J1596" s="25">
        <f>IF($C1596="","",IF($G1596="","slug not in links; ","")&amp;IF($D1596="","reading type missing; ","")&amp;IF(COUNTIFS(scans!$C$2:$C$1601,$C1596,scans!$D$2:$D$1601,$D1596)&gt;1,"two readings of this type: keep one; ",""))</f>
        <v/>
      </c>
    </row>
    <row r="1597">
      <c r="A1597" s="9" t="n"/>
      <c r="B1597" s="33" t="n"/>
      <c r="G1597" s="25">
        <f>IF($C1597="","",IFERROR(IF(INDEX(links!$A$2:$A$501,MATCH($C1597,links!$D$2:$D$501,0))="","",INDEX(links!$A$2:$A$501,MATCH($C1597,links!$D$2:$D$501,0))),""))</f>
        <v/>
      </c>
      <c r="H1597" s="25">
        <f>IF($C1597="","",IFERROR(IF(INDEX(links!$B$2:$B$501,MATCH($C1597,links!$D$2:$D$501,0))="","",INDEX(links!$B$2:$B$501,MATCH($C1597,links!$D$2:$D$501,0))),""))</f>
        <v/>
      </c>
      <c r="I1597" s="25">
        <f>IF($C1597="","",IFERROR(IF(INDEX(links!$C$2:$C$501,MATCH($C1597,links!$D$2:$D$501,0))="","",INDEX(links!$C$2:$C$501,MATCH($C1597,links!$D$2:$D$501,0))),""))</f>
        <v/>
      </c>
      <c r="J1597" s="25">
        <f>IF($C1597="","",IF($G1597="","slug not in links; ","")&amp;IF($D1597="","reading type missing; ","")&amp;IF(COUNTIFS(scans!$C$2:$C$1601,$C1597,scans!$D$2:$D$1601,$D1597)&gt;1,"two readings of this type: keep one; ",""))</f>
        <v/>
      </c>
    </row>
    <row r="1598">
      <c r="A1598" s="9" t="n"/>
      <c r="B1598" s="33" t="n"/>
      <c r="G1598" s="25">
        <f>IF($C1598="","",IFERROR(IF(INDEX(links!$A$2:$A$501,MATCH($C1598,links!$D$2:$D$501,0))="","",INDEX(links!$A$2:$A$501,MATCH($C1598,links!$D$2:$D$501,0))),""))</f>
        <v/>
      </c>
      <c r="H1598" s="25">
        <f>IF($C1598="","",IFERROR(IF(INDEX(links!$B$2:$B$501,MATCH($C1598,links!$D$2:$D$501,0))="","",INDEX(links!$B$2:$B$501,MATCH($C1598,links!$D$2:$D$501,0))),""))</f>
        <v/>
      </c>
      <c r="I1598" s="25">
        <f>IF($C1598="","",IFERROR(IF(INDEX(links!$C$2:$C$501,MATCH($C1598,links!$D$2:$D$501,0))="","",INDEX(links!$C$2:$C$501,MATCH($C1598,links!$D$2:$D$501,0))),""))</f>
        <v/>
      </c>
      <c r="J1598" s="25">
        <f>IF($C1598="","",IF($G1598="","slug not in links; ","")&amp;IF($D1598="","reading type missing; ","")&amp;IF(COUNTIFS(scans!$C$2:$C$1601,$C1598,scans!$D$2:$D$1601,$D1598)&gt;1,"two readings of this type: keep one; ",""))</f>
        <v/>
      </c>
    </row>
    <row r="1599">
      <c r="A1599" s="9" t="n"/>
      <c r="B1599" s="33" t="n"/>
      <c r="G1599" s="25">
        <f>IF($C1599="","",IFERROR(IF(INDEX(links!$A$2:$A$501,MATCH($C1599,links!$D$2:$D$501,0))="","",INDEX(links!$A$2:$A$501,MATCH($C1599,links!$D$2:$D$501,0))),""))</f>
        <v/>
      </c>
      <c r="H1599" s="25">
        <f>IF($C1599="","",IFERROR(IF(INDEX(links!$B$2:$B$501,MATCH($C1599,links!$D$2:$D$501,0))="","",INDEX(links!$B$2:$B$501,MATCH($C1599,links!$D$2:$D$501,0))),""))</f>
        <v/>
      </c>
      <c r="I1599" s="25">
        <f>IF($C1599="","",IFERROR(IF(INDEX(links!$C$2:$C$501,MATCH($C1599,links!$D$2:$D$501,0))="","",INDEX(links!$C$2:$C$501,MATCH($C1599,links!$D$2:$D$501,0))),""))</f>
        <v/>
      </c>
      <c r="J1599" s="25">
        <f>IF($C1599="","",IF($G1599="","slug not in links; ","")&amp;IF($D1599="","reading type missing; ","")&amp;IF(COUNTIFS(scans!$C$2:$C$1601,$C1599,scans!$D$2:$D$1601,$D1599)&gt;1,"two readings of this type: keep one; ",""))</f>
        <v/>
      </c>
    </row>
    <row r="1600">
      <c r="A1600" s="9" t="n"/>
      <c r="B1600" s="33" t="n"/>
      <c r="G1600" s="25">
        <f>IF($C1600="","",IFERROR(IF(INDEX(links!$A$2:$A$501,MATCH($C1600,links!$D$2:$D$501,0))="","",INDEX(links!$A$2:$A$501,MATCH($C1600,links!$D$2:$D$501,0))),""))</f>
        <v/>
      </c>
      <c r="H1600" s="25">
        <f>IF($C1600="","",IFERROR(IF(INDEX(links!$B$2:$B$501,MATCH($C1600,links!$D$2:$D$501,0))="","",INDEX(links!$B$2:$B$501,MATCH($C1600,links!$D$2:$D$501,0))),""))</f>
        <v/>
      </c>
      <c r="I1600" s="25">
        <f>IF($C1600="","",IFERROR(IF(INDEX(links!$C$2:$C$501,MATCH($C1600,links!$D$2:$D$501,0))="","",INDEX(links!$C$2:$C$501,MATCH($C1600,links!$D$2:$D$501,0))),""))</f>
        <v/>
      </c>
      <c r="J1600" s="25">
        <f>IF($C1600="","",IF($G1600="","slug not in links; ","")&amp;IF($D1600="","reading type missing; ","")&amp;IF(COUNTIFS(scans!$C$2:$C$1601,$C1600,scans!$D$2:$D$1601,$D1600)&gt;1,"two readings of this type: keep one; ",""))</f>
        <v/>
      </c>
    </row>
    <row r="1601">
      <c r="A1601" s="9" t="n"/>
      <c r="B1601" s="33" t="n"/>
      <c r="G1601" s="25">
        <f>IF($C1601="","",IFERROR(IF(INDEX(links!$A$2:$A$501,MATCH($C1601,links!$D$2:$D$501,0))="","",INDEX(links!$A$2:$A$501,MATCH($C1601,links!$D$2:$D$501,0))),""))</f>
        <v/>
      </c>
      <c r="H1601" s="25">
        <f>IF($C1601="","",IFERROR(IF(INDEX(links!$B$2:$B$501,MATCH($C1601,links!$D$2:$D$501,0))="","",INDEX(links!$B$2:$B$501,MATCH($C1601,links!$D$2:$D$501,0))),""))</f>
        <v/>
      </c>
      <c r="I1601" s="25">
        <f>IF($C1601="","",IFERROR(IF(INDEX(links!$C$2:$C$501,MATCH($C1601,links!$D$2:$D$501,0))="","",INDEX(links!$C$2:$C$501,MATCH($C1601,links!$D$2:$D$501,0))),""))</f>
        <v/>
      </c>
      <c r="J1601" s="25">
        <f>IF($C1601="","",IF($G1601="","slug not in links; ","")&amp;IF($D1601="","reading type missing; ","")&amp;IF(COUNTIFS(scans!$C$2:$C$1601,$C1601,scans!$D$2:$D$1601,$D1601)&gt;1,"two readings of this type: keep one; ",""))</f>
        <v/>
      </c>
    </row>
  </sheetData>
  <conditionalFormatting sqref="J2:J1601">
    <cfRule type="expression" priority="1" dxfId="1">
      <formula>LEN(J2)&gt;0</formula>
    </cfRule>
  </conditionalFormatting>
  <dataValidations count="1">
    <dataValidation sqref="D2:D1601" showDropDown="0" showInputMessage="0" showErrorMessage="1" allowBlank="1" errorTitle="Not on the list" error="Pick a value from the list." type="list">
      <formula1>"baseline,mid,close,late"</formula1>
    </dataValidation>
  </dataValidation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tabColor rgb="00E2EFDA"/>
    <outlinePr summaryBelow="1" summaryRight="1"/>
    <pageSetUpPr/>
  </sheetPr>
  <dimension ref="A1:H1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8" customWidth="1" min="3" max="3"/>
    <col width="14" customWidth="1" min="4" max="4"/>
    <col width="16" customWidth="1" min="5" max="5"/>
    <col width="24" customWidth="1" min="6" max="6"/>
    <col width="7" customWidth="1" min="7" max="7"/>
    <col width="7" customWidth="1" min="8" max="8"/>
  </cols>
  <sheetData>
    <row r="1">
      <c r="A1" s="23" t="inlineStr">
        <is>
          <t>campaign_id</t>
        </is>
      </c>
      <c r="B1" s="23" t="inlineStr">
        <is>
          <t>as_of_date</t>
        </is>
      </c>
      <c r="C1" s="23" t="inlineStr">
        <is>
          <t>redemptions_to_date</t>
        </is>
      </c>
      <c r="D1" s="23" t="inlineStr">
        <is>
          <t>reported_date</t>
        </is>
      </c>
      <c r="E1" s="23" t="inlineStr">
        <is>
          <t>reported_by_role</t>
        </is>
      </c>
      <c r="F1" s="23" t="inlineStr">
        <is>
          <t>note</t>
        </is>
      </c>
      <c r="G1" s="24" t="inlineStr">
        <is>
          <t>days_after_drop</t>
        </is>
      </c>
      <c r="H1" s="24" t="inlineStr">
        <is>
          <t>is_day30</t>
        </is>
      </c>
    </row>
    <row r="2">
      <c r="B2" s="9" t="n"/>
      <c r="D2" s="9" t="n"/>
      <c r="G2" s="25">
        <f>IF(OR($A2="",$B2="",IFERROR(IF(INDEX(campaigns!$BG$2:$BG$51,MATCH($A2,campaigns!$A$2:$A$51,0))="","",INDEX(campaigns!$BG$2:$BG$51,MATCH($A2,campaigns!$A$2:$A$51,0))),"")=""),"",$B2-N(IFERROR(IF(INDEX(campaigns!$BG$2:$BG$51,MATCH($A2,campaigns!$A$2:$A$51,0))="","",INDEX(campaigns!$BG$2:$BG$51,MATCH($A2,campaigns!$A$2:$A$51,0))),"")))</f>
        <v/>
      </c>
      <c r="H2" s="25">
        <f>IF($G2="","",IF($G2&gt;=30,"Y","N"))</f>
        <v/>
      </c>
    </row>
    <row r="3">
      <c r="B3" s="9" t="n"/>
      <c r="D3" s="9" t="n"/>
      <c r="G3" s="25">
        <f>IF(OR($A3="",$B3="",IFERROR(IF(INDEX(campaigns!$BG$2:$BG$51,MATCH($A3,campaigns!$A$2:$A$51,0))="","",INDEX(campaigns!$BG$2:$BG$51,MATCH($A3,campaigns!$A$2:$A$51,0))),"")=""),"",$B3-N(IFERROR(IF(INDEX(campaigns!$BG$2:$BG$51,MATCH($A3,campaigns!$A$2:$A$51,0))="","",INDEX(campaigns!$BG$2:$BG$51,MATCH($A3,campaigns!$A$2:$A$51,0))),"")))</f>
        <v/>
      </c>
      <c r="H3" s="25">
        <f>IF($G3="","",IF($G3&gt;=30,"Y","N"))</f>
        <v/>
      </c>
    </row>
    <row r="4">
      <c r="B4" s="9" t="n"/>
      <c r="D4" s="9" t="n"/>
      <c r="G4" s="25">
        <f>IF(OR($A4="",$B4="",IFERROR(IF(INDEX(campaigns!$BG$2:$BG$51,MATCH($A4,campaigns!$A$2:$A$51,0))="","",INDEX(campaigns!$BG$2:$BG$51,MATCH($A4,campaigns!$A$2:$A$51,0))),"")=""),"",$B4-N(IFERROR(IF(INDEX(campaigns!$BG$2:$BG$51,MATCH($A4,campaigns!$A$2:$A$51,0))="","",INDEX(campaigns!$BG$2:$BG$51,MATCH($A4,campaigns!$A$2:$A$51,0))),"")))</f>
        <v/>
      </c>
      <c r="H4" s="25">
        <f>IF($G4="","",IF($G4&gt;=30,"Y","N"))</f>
        <v/>
      </c>
    </row>
    <row r="5">
      <c r="B5" s="9" t="n"/>
      <c r="D5" s="9" t="n"/>
      <c r="G5" s="25">
        <f>IF(OR($A5="",$B5="",IFERROR(IF(INDEX(campaigns!$BG$2:$BG$51,MATCH($A5,campaigns!$A$2:$A$51,0))="","",INDEX(campaigns!$BG$2:$BG$51,MATCH($A5,campaigns!$A$2:$A$51,0))),"")=""),"",$B5-N(IFERROR(IF(INDEX(campaigns!$BG$2:$BG$51,MATCH($A5,campaigns!$A$2:$A$51,0))="","",INDEX(campaigns!$BG$2:$BG$51,MATCH($A5,campaigns!$A$2:$A$51,0))),"")))</f>
        <v/>
      </c>
      <c r="H5" s="25">
        <f>IF($G5="","",IF($G5&gt;=30,"Y","N"))</f>
        <v/>
      </c>
    </row>
    <row r="6">
      <c r="B6" s="9" t="n"/>
      <c r="D6" s="9" t="n"/>
      <c r="G6" s="25">
        <f>IF(OR($A6="",$B6="",IFERROR(IF(INDEX(campaigns!$BG$2:$BG$51,MATCH($A6,campaigns!$A$2:$A$51,0))="","",INDEX(campaigns!$BG$2:$BG$51,MATCH($A6,campaigns!$A$2:$A$51,0))),"")=""),"",$B6-N(IFERROR(IF(INDEX(campaigns!$BG$2:$BG$51,MATCH($A6,campaigns!$A$2:$A$51,0))="","",INDEX(campaigns!$BG$2:$BG$51,MATCH($A6,campaigns!$A$2:$A$51,0))),"")))</f>
        <v/>
      </c>
      <c r="H6" s="25">
        <f>IF($G6="","",IF($G6&gt;=30,"Y","N"))</f>
        <v/>
      </c>
    </row>
    <row r="7">
      <c r="B7" s="9" t="n"/>
      <c r="D7" s="9" t="n"/>
      <c r="G7" s="25">
        <f>IF(OR($A7="",$B7="",IFERROR(IF(INDEX(campaigns!$BG$2:$BG$51,MATCH($A7,campaigns!$A$2:$A$51,0))="","",INDEX(campaigns!$BG$2:$BG$51,MATCH($A7,campaigns!$A$2:$A$51,0))),"")=""),"",$B7-N(IFERROR(IF(INDEX(campaigns!$BG$2:$BG$51,MATCH($A7,campaigns!$A$2:$A$51,0))="","",INDEX(campaigns!$BG$2:$BG$51,MATCH($A7,campaigns!$A$2:$A$51,0))),"")))</f>
        <v/>
      </c>
      <c r="H7" s="25">
        <f>IF($G7="","",IF($G7&gt;=30,"Y","N"))</f>
        <v/>
      </c>
    </row>
    <row r="8">
      <c r="B8" s="9" t="n"/>
      <c r="D8" s="9" t="n"/>
      <c r="G8" s="25">
        <f>IF(OR($A8="",$B8="",IFERROR(IF(INDEX(campaigns!$BG$2:$BG$51,MATCH($A8,campaigns!$A$2:$A$51,0))="","",INDEX(campaigns!$BG$2:$BG$51,MATCH($A8,campaigns!$A$2:$A$51,0))),"")=""),"",$B8-N(IFERROR(IF(INDEX(campaigns!$BG$2:$BG$51,MATCH($A8,campaigns!$A$2:$A$51,0))="","",INDEX(campaigns!$BG$2:$BG$51,MATCH($A8,campaigns!$A$2:$A$51,0))),"")))</f>
        <v/>
      </c>
      <c r="H8" s="25">
        <f>IF($G8="","",IF($G8&gt;=30,"Y","N"))</f>
        <v/>
      </c>
    </row>
    <row r="9">
      <c r="B9" s="9" t="n"/>
      <c r="D9" s="9" t="n"/>
      <c r="G9" s="25">
        <f>IF(OR($A9="",$B9="",IFERROR(IF(INDEX(campaigns!$BG$2:$BG$51,MATCH($A9,campaigns!$A$2:$A$51,0))="","",INDEX(campaigns!$BG$2:$BG$51,MATCH($A9,campaigns!$A$2:$A$51,0))),"")=""),"",$B9-N(IFERROR(IF(INDEX(campaigns!$BG$2:$BG$51,MATCH($A9,campaigns!$A$2:$A$51,0))="","",INDEX(campaigns!$BG$2:$BG$51,MATCH($A9,campaigns!$A$2:$A$51,0))),"")))</f>
        <v/>
      </c>
      <c r="H9" s="25">
        <f>IF($G9="","",IF($G9&gt;=30,"Y","N"))</f>
        <v/>
      </c>
    </row>
    <row r="10">
      <c r="B10" s="9" t="n"/>
      <c r="D10" s="9" t="n"/>
      <c r="G10" s="25">
        <f>IF(OR($A10="",$B10="",IFERROR(IF(INDEX(campaigns!$BG$2:$BG$51,MATCH($A10,campaigns!$A$2:$A$51,0))="","",INDEX(campaigns!$BG$2:$BG$51,MATCH($A10,campaigns!$A$2:$A$51,0))),"")=""),"",$B10-N(IFERROR(IF(INDEX(campaigns!$BG$2:$BG$51,MATCH($A10,campaigns!$A$2:$A$51,0))="","",INDEX(campaigns!$BG$2:$BG$51,MATCH($A10,campaigns!$A$2:$A$51,0))),"")))</f>
        <v/>
      </c>
      <c r="H10" s="25">
        <f>IF($G10="","",IF($G10&gt;=30,"Y","N"))</f>
        <v/>
      </c>
    </row>
    <row r="11">
      <c r="B11" s="9" t="n"/>
      <c r="D11" s="9" t="n"/>
      <c r="G11" s="25">
        <f>IF(OR($A11="",$B11="",IFERROR(IF(INDEX(campaigns!$BG$2:$BG$51,MATCH($A11,campaigns!$A$2:$A$51,0))="","",INDEX(campaigns!$BG$2:$BG$51,MATCH($A11,campaigns!$A$2:$A$51,0))),"")=""),"",$B11-N(IFERROR(IF(INDEX(campaigns!$BG$2:$BG$51,MATCH($A11,campaigns!$A$2:$A$51,0))="","",INDEX(campaigns!$BG$2:$BG$51,MATCH($A11,campaigns!$A$2:$A$51,0))),"")))</f>
        <v/>
      </c>
      <c r="H11" s="25">
        <f>IF($G11="","",IF($G11&gt;=30,"Y","N"))</f>
        <v/>
      </c>
    </row>
    <row r="12">
      <c r="B12" s="9" t="n"/>
      <c r="D12" s="9" t="n"/>
      <c r="G12" s="25">
        <f>IF(OR($A12="",$B12="",IFERROR(IF(INDEX(campaigns!$BG$2:$BG$51,MATCH($A12,campaigns!$A$2:$A$51,0))="","",INDEX(campaigns!$BG$2:$BG$51,MATCH($A12,campaigns!$A$2:$A$51,0))),"")=""),"",$B12-N(IFERROR(IF(INDEX(campaigns!$BG$2:$BG$51,MATCH($A12,campaigns!$A$2:$A$51,0))="","",INDEX(campaigns!$BG$2:$BG$51,MATCH($A12,campaigns!$A$2:$A$51,0))),"")))</f>
        <v/>
      </c>
      <c r="H12" s="25">
        <f>IF($G12="","",IF($G12&gt;=30,"Y","N"))</f>
        <v/>
      </c>
    </row>
    <row r="13">
      <c r="B13" s="9" t="n"/>
      <c r="D13" s="9" t="n"/>
      <c r="G13" s="25">
        <f>IF(OR($A13="",$B13="",IFERROR(IF(INDEX(campaigns!$BG$2:$BG$51,MATCH($A13,campaigns!$A$2:$A$51,0))="","",INDEX(campaigns!$BG$2:$BG$51,MATCH($A13,campaigns!$A$2:$A$51,0))),"")=""),"",$B13-N(IFERROR(IF(INDEX(campaigns!$BG$2:$BG$51,MATCH($A13,campaigns!$A$2:$A$51,0))="","",INDEX(campaigns!$BG$2:$BG$51,MATCH($A13,campaigns!$A$2:$A$51,0))),"")))</f>
        <v/>
      </c>
      <c r="H13" s="25">
        <f>IF($G13="","",IF($G13&gt;=30,"Y","N"))</f>
        <v/>
      </c>
    </row>
    <row r="14">
      <c r="B14" s="9" t="n"/>
      <c r="D14" s="9" t="n"/>
      <c r="G14" s="25">
        <f>IF(OR($A14="",$B14="",IFERROR(IF(INDEX(campaigns!$BG$2:$BG$51,MATCH($A14,campaigns!$A$2:$A$51,0))="","",INDEX(campaigns!$BG$2:$BG$51,MATCH($A14,campaigns!$A$2:$A$51,0))),"")=""),"",$B14-N(IFERROR(IF(INDEX(campaigns!$BG$2:$BG$51,MATCH($A14,campaigns!$A$2:$A$51,0))="","",INDEX(campaigns!$BG$2:$BG$51,MATCH($A14,campaigns!$A$2:$A$51,0))),"")))</f>
        <v/>
      </c>
      <c r="H14" s="25">
        <f>IF($G14="","",IF($G14&gt;=30,"Y","N"))</f>
        <v/>
      </c>
    </row>
    <row r="15">
      <c r="B15" s="9" t="n"/>
      <c r="D15" s="9" t="n"/>
      <c r="G15" s="25">
        <f>IF(OR($A15="",$B15="",IFERROR(IF(INDEX(campaigns!$BG$2:$BG$51,MATCH($A15,campaigns!$A$2:$A$51,0))="","",INDEX(campaigns!$BG$2:$BG$51,MATCH($A15,campaigns!$A$2:$A$51,0))),"")=""),"",$B15-N(IFERROR(IF(INDEX(campaigns!$BG$2:$BG$51,MATCH($A15,campaigns!$A$2:$A$51,0))="","",INDEX(campaigns!$BG$2:$BG$51,MATCH($A15,campaigns!$A$2:$A$51,0))),"")))</f>
        <v/>
      </c>
      <c r="H15" s="25">
        <f>IF($G15="","",IF($G15&gt;=30,"Y","N"))</f>
        <v/>
      </c>
    </row>
    <row r="16">
      <c r="B16" s="9" t="n"/>
      <c r="D16" s="9" t="n"/>
      <c r="G16" s="25">
        <f>IF(OR($A16="",$B16="",IFERROR(IF(INDEX(campaigns!$BG$2:$BG$51,MATCH($A16,campaigns!$A$2:$A$51,0))="","",INDEX(campaigns!$BG$2:$BG$51,MATCH($A16,campaigns!$A$2:$A$51,0))),"")=""),"",$B16-N(IFERROR(IF(INDEX(campaigns!$BG$2:$BG$51,MATCH($A16,campaigns!$A$2:$A$51,0))="","",INDEX(campaigns!$BG$2:$BG$51,MATCH($A16,campaigns!$A$2:$A$51,0))),"")))</f>
        <v/>
      </c>
      <c r="H16" s="25">
        <f>IF($G16="","",IF($G16&gt;=30,"Y","N"))</f>
        <v/>
      </c>
    </row>
    <row r="17">
      <c r="B17" s="9" t="n"/>
      <c r="D17" s="9" t="n"/>
      <c r="G17" s="25">
        <f>IF(OR($A17="",$B17="",IFERROR(IF(INDEX(campaigns!$BG$2:$BG$51,MATCH($A17,campaigns!$A$2:$A$51,0))="","",INDEX(campaigns!$BG$2:$BG$51,MATCH($A17,campaigns!$A$2:$A$51,0))),"")=""),"",$B17-N(IFERROR(IF(INDEX(campaigns!$BG$2:$BG$51,MATCH($A17,campaigns!$A$2:$A$51,0))="","",INDEX(campaigns!$BG$2:$BG$51,MATCH($A17,campaigns!$A$2:$A$51,0))),"")))</f>
        <v/>
      </c>
      <c r="H17" s="25">
        <f>IF($G17="","",IF($G17&gt;=30,"Y","N"))</f>
        <v/>
      </c>
    </row>
    <row r="18">
      <c r="B18" s="9" t="n"/>
      <c r="D18" s="9" t="n"/>
      <c r="G18" s="25">
        <f>IF(OR($A18="",$B18="",IFERROR(IF(INDEX(campaigns!$BG$2:$BG$51,MATCH($A18,campaigns!$A$2:$A$51,0))="","",INDEX(campaigns!$BG$2:$BG$51,MATCH($A18,campaigns!$A$2:$A$51,0))),"")=""),"",$B18-N(IFERROR(IF(INDEX(campaigns!$BG$2:$BG$51,MATCH($A18,campaigns!$A$2:$A$51,0))="","",INDEX(campaigns!$BG$2:$BG$51,MATCH($A18,campaigns!$A$2:$A$51,0))),"")))</f>
        <v/>
      </c>
      <c r="H18" s="25">
        <f>IF($G18="","",IF($G18&gt;=30,"Y","N"))</f>
        <v/>
      </c>
    </row>
    <row r="19">
      <c r="B19" s="9" t="n"/>
      <c r="D19" s="9" t="n"/>
      <c r="G19" s="25">
        <f>IF(OR($A19="",$B19="",IFERROR(IF(INDEX(campaigns!$BG$2:$BG$51,MATCH($A19,campaigns!$A$2:$A$51,0))="","",INDEX(campaigns!$BG$2:$BG$51,MATCH($A19,campaigns!$A$2:$A$51,0))),"")=""),"",$B19-N(IFERROR(IF(INDEX(campaigns!$BG$2:$BG$51,MATCH($A19,campaigns!$A$2:$A$51,0))="","",INDEX(campaigns!$BG$2:$BG$51,MATCH($A19,campaigns!$A$2:$A$51,0))),"")))</f>
        <v/>
      </c>
      <c r="H19" s="25">
        <f>IF($G19="","",IF($G19&gt;=30,"Y","N"))</f>
        <v/>
      </c>
    </row>
    <row r="20">
      <c r="B20" s="9" t="n"/>
      <c r="D20" s="9" t="n"/>
      <c r="G20" s="25">
        <f>IF(OR($A20="",$B20="",IFERROR(IF(INDEX(campaigns!$BG$2:$BG$51,MATCH($A20,campaigns!$A$2:$A$51,0))="","",INDEX(campaigns!$BG$2:$BG$51,MATCH($A20,campaigns!$A$2:$A$51,0))),"")=""),"",$B20-N(IFERROR(IF(INDEX(campaigns!$BG$2:$BG$51,MATCH($A20,campaigns!$A$2:$A$51,0))="","",INDEX(campaigns!$BG$2:$BG$51,MATCH($A20,campaigns!$A$2:$A$51,0))),"")))</f>
        <v/>
      </c>
      <c r="H20" s="25">
        <f>IF($G20="","",IF($G20&gt;=30,"Y","N"))</f>
        <v/>
      </c>
    </row>
    <row r="21">
      <c r="B21" s="9" t="n"/>
      <c r="D21" s="9" t="n"/>
      <c r="G21" s="25">
        <f>IF(OR($A21="",$B21="",IFERROR(IF(INDEX(campaigns!$BG$2:$BG$51,MATCH($A21,campaigns!$A$2:$A$51,0))="","",INDEX(campaigns!$BG$2:$BG$51,MATCH($A21,campaigns!$A$2:$A$51,0))),"")=""),"",$B21-N(IFERROR(IF(INDEX(campaigns!$BG$2:$BG$51,MATCH($A21,campaigns!$A$2:$A$51,0))="","",INDEX(campaigns!$BG$2:$BG$51,MATCH($A21,campaigns!$A$2:$A$51,0))),"")))</f>
        <v/>
      </c>
      <c r="H21" s="25">
        <f>IF($G21="","",IF($G21&gt;=30,"Y","N"))</f>
        <v/>
      </c>
    </row>
    <row r="22">
      <c r="B22" s="9" t="n"/>
      <c r="D22" s="9" t="n"/>
      <c r="G22" s="25">
        <f>IF(OR($A22="",$B22="",IFERROR(IF(INDEX(campaigns!$BG$2:$BG$51,MATCH($A22,campaigns!$A$2:$A$51,0))="","",INDEX(campaigns!$BG$2:$BG$51,MATCH($A22,campaigns!$A$2:$A$51,0))),"")=""),"",$B22-N(IFERROR(IF(INDEX(campaigns!$BG$2:$BG$51,MATCH($A22,campaigns!$A$2:$A$51,0))="","",INDEX(campaigns!$BG$2:$BG$51,MATCH($A22,campaigns!$A$2:$A$51,0))),"")))</f>
        <v/>
      </c>
      <c r="H22" s="25">
        <f>IF($G22="","",IF($G22&gt;=30,"Y","N"))</f>
        <v/>
      </c>
    </row>
    <row r="23">
      <c r="B23" s="9" t="n"/>
      <c r="D23" s="9" t="n"/>
      <c r="G23" s="25">
        <f>IF(OR($A23="",$B23="",IFERROR(IF(INDEX(campaigns!$BG$2:$BG$51,MATCH($A23,campaigns!$A$2:$A$51,0))="","",INDEX(campaigns!$BG$2:$BG$51,MATCH($A23,campaigns!$A$2:$A$51,0))),"")=""),"",$B23-N(IFERROR(IF(INDEX(campaigns!$BG$2:$BG$51,MATCH($A23,campaigns!$A$2:$A$51,0))="","",INDEX(campaigns!$BG$2:$BG$51,MATCH($A23,campaigns!$A$2:$A$51,0))),"")))</f>
        <v/>
      </c>
      <c r="H23" s="25">
        <f>IF($G23="","",IF($G23&gt;=30,"Y","N"))</f>
        <v/>
      </c>
    </row>
    <row r="24">
      <c r="B24" s="9" t="n"/>
      <c r="D24" s="9" t="n"/>
      <c r="G24" s="25">
        <f>IF(OR($A24="",$B24="",IFERROR(IF(INDEX(campaigns!$BG$2:$BG$51,MATCH($A24,campaigns!$A$2:$A$51,0))="","",INDEX(campaigns!$BG$2:$BG$51,MATCH($A24,campaigns!$A$2:$A$51,0))),"")=""),"",$B24-N(IFERROR(IF(INDEX(campaigns!$BG$2:$BG$51,MATCH($A24,campaigns!$A$2:$A$51,0))="","",INDEX(campaigns!$BG$2:$BG$51,MATCH($A24,campaigns!$A$2:$A$51,0))),"")))</f>
        <v/>
      </c>
      <c r="H24" s="25">
        <f>IF($G24="","",IF($G24&gt;=30,"Y","N"))</f>
        <v/>
      </c>
    </row>
    <row r="25">
      <c r="B25" s="9" t="n"/>
      <c r="D25" s="9" t="n"/>
      <c r="G25" s="25">
        <f>IF(OR($A25="",$B25="",IFERROR(IF(INDEX(campaigns!$BG$2:$BG$51,MATCH($A25,campaigns!$A$2:$A$51,0))="","",INDEX(campaigns!$BG$2:$BG$51,MATCH($A25,campaigns!$A$2:$A$51,0))),"")=""),"",$B25-N(IFERROR(IF(INDEX(campaigns!$BG$2:$BG$51,MATCH($A25,campaigns!$A$2:$A$51,0))="","",INDEX(campaigns!$BG$2:$BG$51,MATCH($A25,campaigns!$A$2:$A$51,0))),"")))</f>
        <v/>
      </c>
      <c r="H25" s="25">
        <f>IF($G25="","",IF($G25&gt;=30,"Y","N"))</f>
        <v/>
      </c>
    </row>
    <row r="26">
      <c r="B26" s="9" t="n"/>
      <c r="D26" s="9" t="n"/>
      <c r="G26" s="25">
        <f>IF(OR($A26="",$B26="",IFERROR(IF(INDEX(campaigns!$BG$2:$BG$51,MATCH($A26,campaigns!$A$2:$A$51,0))="","",INDEX(campaigns!$BG$2:$BG$51,MATCH($A26,campaigns!$A$2:$A$51,0))),"")=""),"",$B26-N(IFERROR(IF(INDEX(campaigns!$BG$2:$BG$51,MATCH($A26,campaigns!$A$2:$A$51,0))="","",INDEX(campaigns!$BG$2:$BG$51,MATCH($A26,campaigns!$A$2:$A$51,0))),"")))</f>
        <v/>
      </c>
      <c r="H26" s="25">
        <f>IF($G26="","",IF($G26&gt;=30,"Y","N"))</f>
        <v/>
      </c>
    </row>
    <row r="27">
      <c r="B27" s="9" t="n"/>
      <c r="D27" s="9" t="n"/>
      <c r="G27" s="25">
        <f>IF(OR($A27="",$B27="",IFERROR(IF(INDEX(campaigns!$BG$2:$BG$51,MATCH($A27,campaigns!$A$2:$A$51,0))="","",INDEX(campaigns!$BG$2:$BG$51,MATCH($A27,campaigns!$A$2:$A$51,0))),"")=""),"",$B27-N(IFERROR(IF(INDEX(campaigns!$BG$2:$BG$51,MATCH($A27,campaigns!$A$2:$A$51,0))="","",INDEX(campaigns!$BG$2:$BG$51,MATCH($A27,campaigns!$A$2:$A$51,0))),"")))</f>
        <v/>
      </c>
      <c r="H27" s="25">
        <f>IF($G27="","",IF($G27&gt;=30,"Y","N"))</f>
        <v/>
      </c>
    </row>
    <row r="28">
      <c r="B28" s="9" t="n"/>
      <c r="D28" s="9" t="n"/>
      <c r="G28" s="25">
        <f>IF(OR($A28="",$B28="",IFERROR(IF(INDEX(campaigns!$BG$2:$BG$51,MATCH($A28,campaigns!$A$2:$A$51,0))="","",INDEX(campaigns!$BG$2:$BG$51,MATCH($A28,campaigns!$A$2:$A$51,0))),"")=""),"",$B28-N(IFERROR(IF(INDEX(campaigns!$BG$2:$BG$51,MATCH($A28,campaigns!$A$2:$A$51,0))="","",INDEX(campaigns!$BG$2:$BG$51,MATCH($A28,campaigns!$A$2:$A$51,0))),"")))</f>
        <v/>
      </c>
      <c r="H28" s="25">
        <f>IF($G28="","",IF($G28&gt;=30,"Y","N"))</f>
        <v/>
      </c>
    </row>
    <row r="29">
      <c r="B29" s="9" t="n"/>
      <c r="D29" s="9" t="n"/>
      <c r="G29" s="25">
        <f>IF(OR($A29="",$B29="",IFERROR(IF(INDEX(campaigns!$BG$2:$BG$51,MATCH($A29,campaigns!$A$2:$A$51,0))="","",INDEX(campaigns!$BG$2:$BG$51,MATCH($A29,campaigns!$A$2:$A$51,0))),"")=""),"",$B29-N(IFERROR(IF(INDEX(campaigns!$BG$2:$BG$51,MATCH($A29,campaigns!$A$2:$A$51,0))="","",INDEX(campaigns!$BG$2:$BG$51,MATCH($A29,campaigns!$A$2:$A$51,0))),"")))</f>
        <v/>
      </c>
      <c r="H29" s="25">
        <f>IF($G29="","",IF($G29&gt;=30,"Y","N"))</f>
        <v/>
      </c>
    </row>
    <row r="30">
      <c r="B30" s="9" t="n"/>
      <c r="D30" s="9" t="n"/>
      <c r="G30" s="25">
        <f>IF(OR($A30="",$B30="",IFERROR(IF(INDEX(campaigns!$BG$2:$BG$51,MATCH($A30,campaigns!$A$2:$A$51,0))="","",INDEX(campaigns!$BG$2:$BG$51,MATCH($A30,campaigns!$A$2:$A$51,0))),"")=""),"",$B30-N(IFERROR(IF(INDEX(campaigns!$BG$2:$BG$51,MATCH($A30,campaigns!$A$2:$A$51,0))="","",INDEX(campaigns!$BG$2:$BG$51,MATCH($A30,campaigns!$A$2:$A$51,0))),"")))</f>
        <v/>
      </c>
      <c r="H30" s="25">
        <f>IF($G30="","",IF($G30&gt;=30,"Y","N"))</f>
        <v/>
      </c>
    </row>
    <row r="31">
      <c r="B31" s="9" t="n"/>
      <c r="D31" s="9" t="n"/>
      <c r="G31" s="25">
        <f>IF(OR($A31="",$B31="",IFERROR(IF(INDEX(campaigns!$BG$2:$BG$51,MATCH($A31,campaigns!$A$2:$A$51,0))="","",INDEX(campaigns!$BG$2:$BG$51,MATCH($A31,campaigns!$A$2:$A$51,0))),"")=""),"",$B31-N(IFERROR(IF(INDEX(campaigns!$BG$2:$BG$51,MATCH($A31,campaigns!$A$2:$A$51,0))="","",INDEX(campaigns!$BG$2:$BG$51,MATCH($A31,campaigns!$A$2:$A$51,0))),"")))</f>
        <v/>
      </c>
      <c r="H31" s="25">
        <f>IF($G31="","",IF($G31&gt;=30,"Y","N"))</f>
        <v/>
      </c>
    </row>
    <row r="32">
      <c r="B32" s="9" t="n"/>
      <c r="D32" s="9" t="n"/>
      <c r="G32" s="25">
        <f>IF(OR($A32="",$B32="",IFERROR(IF(INDEX(campaigns!$BG$2:$BG$51,MATCH($A32,campaigns!$A$2:$A$51,0))="","",INDEX(campaigns!$BG$2:$BG$51,MATCH($A32,campaigns!$A$2:$A$51,0))),"")=""),"",$B32-N(IFERROR(IF(INDEX(campaigns!$BG$2:$BG$51,MATCH($A32,campaigns!$A$2:$A$51,0))="","",INDEX(campaigns!$BG$2:$BG$51,MATCH($A32,campaigns!$A$2:$A$51,0))),"")))</f>
        <v/>
      </c>
      <c r="H32" s="25">
        <f>IF($G32="","",IF($G32&gt;=30,"Y","N"))</f>
        <v/>
      </c>
    </row>
    <row r="33">
      <c r="B33" s="9" t="n"/>
      <c r="D33" s="9" t="n"/>
      <c r="G33" s="25">
        <f>IF(OR($A33="",$B33="",IFERROR(IF(INDEX(campaigns!$BG$2:$BG$51,MATCH($A33,campaigns!$A$2:$A$51,0))="","",INDEX(campaigns!$BG$2:$BG$51,MATCH($A33,campaigns!$A$2:$A$51,0))),"")=""),"",$B33-N(IFERROR(IF(INDEX(campaigns!$BG$2:$BG$51,MATCH($A33,campaigns!$A$2:$A$51,0))="","",INDEX(campaigns!$BG$2:$BG$51,MATCH($A33,campaigns!$A$2:$A$51,0))),"")))</f>
        <v/>
      </c>
      <c r="H33" s="25">
        <f>IF($G33="","",IF($G33&gt;=30,"Y","N"))</f>
        <v/>
      </c>
    </row>
    <row r="34">
      <c r="B34" s="9" t="n"/>
      <c r="D34" s="9" t="n"/>
      <c r="G34" s="25">
        <f>IF(OR($A34="",$B34="",IFERROR(IF(INDEX(campaigns!$BG$2:$BG$51,MATCH($A34,campaigns!$A$2:$A$51,0))="","",INDEX(campaigns!$BG$2:$BG$51,MATCH($A34,campaigns!$A$2:$A$51,0))),"")=""),"",$B34-N(IFERROR(IF(INDEX(campaigns!$BG$2:$BG$51,MATCH($A34,campaigns!$A$2:$A$51,0))="","",INDEX(campaigns!$BG$2:$BG$51,MATCH($A34,campaigns!$A$2:$A$51,0))),"")))</f>
        <v/>
      </c>
      <c r="H34" s="25">
        <f>IF($G34="","",IF($G34&gt;=30,"Y","N"))</f>
        <v/>
      </c>
    </row>
    <row r="35">
      <c r="B35" s="9" t="n"/>
      <c r="D35" s="9" t="n"/>
      <c r="G35" s="25">
        <f>IF(OR($A35="",$B35="",IFERROR(IF(INDEX(campaigns!$BG$2:$BG$51,MATCH($A35,campaigns!$A$2:$A$51,0))="","",INDEX(campaigns!$BG$2:$BG$51,MATCH($A35,campaigns!$A$2:$A$51,0))),"")=""),"",$B35-N(IFERROR(IF(INDEX(campaigns!$BG$2:$BG$51,MATCH($A35,campaigns!$A$2:$A$51,0))="","",INDEX(campaigns!$BG$2:$BG$51,MATCH($A35,campaigns!$A$2:$A$51,0))),"")))</f>
        <v/>
      </c>
      <c r="H35" s="25">
        <f>IF($G35="","",IF($G35&gt;=30,"Y","N"))</f>
        <v/>
      </c>
    </row>
    <row r="36">
      <c r="B36" s="9" t="n"/>
      <c r="D36" s="9" t="n"/>
      <c r="G36" s="25">
        <f>IF(OR($A36="",$B36="",IFERROR(IF(INDEX(campaigns!$BG$2:$BG$51,MATCH($A36,campaigns!$A$2:$A$51,0))="","",INDEX(campaigns!$BG$2:$BG$51,MATCH($A36,campaigns!$A$2:$A$51,0))),"")=""),"",$B36-N(IFERROR(IF(INDEX(campaigns!$BG$2:$BG$51,MATCH($A36,campaigns!$A$2:$A$51,0))="","",INDEX(campaigns!$BG$2:$BG$51,MATCH($A36,campaigns!$A$2:$A$51,0))),"")))</f>
        <v/>
      </c>
      <c r="H36" s="25">
        <f>IF($G36="","",IF($G36&gt;=30,"Y","N"))</f>
        <v/>
      </c>
    </row>
    <row r="37">
      <c r="B37" s="9" t="n"/>
      <c r="D37" s="9" t="n"/>
      <c r="G37" s="25">
        <f>IF(OR($A37="",$B37="",IFERROR(IF(INDEX(campaigns!$BG$2:$BG$51,MATCH($A37,campaigns!$A$2:$A$51,0))="","",INDEX(campaigns!$BG$2:$BG$51,MATCH($A37,campaigns!$A$2:$A$51,0))),"")=""),"",$B37-N(IFERROR(IF(INDEX(campaigns!$BG$2:$BG$51,MATCH($A37,campaigns!$A$2:$A$51,0))="","",INDEX(campaigns!$BG$2:$BG$51,MATCH($A37,campaigns!$A$2:$A$51,0))),"")))</f>
        <v/>
      </c>
      <c r="H37" s="25">
        <f>IF($G37="","",IF($G37&gt;=30,"Y","N"))</f>
        <v/>
      </c>
    </row>
    <row r="38">
      <c r="B38" s="9" t="n"/>
      <c r="D38" s="9" t="n"/>
      <c r="G38" s="25">
        <f>IF(OR($A38="",$B38="",IFERROR(IF(INDEX(campaigns!$BG$2:$BG$51,MATCH($A38,campaigns!$A$2:$A$51,0))="","",INDEX(campaigns!$BG$2:$BG$51,MATCH($A38,campaigns!$A$2:$A$51,0))),"")=""),"",$B38-N(IFERROR(IF(INDEX(campaigns!$BG$2:$BG$51,MATCH($A38,campaigns!$A$2:$A$51,0))="","",INDEX(campaigns!$BG$2:$BG$51,MATCH($A38,campaigns!$A$2:$A$51,0))),"")))</f>
        <v/>
      </c>
      <c r="H38" s="25">
        <f>IF($G38="","",IF($G38&gt;=30,"Y","N"))</f>
        <v/>
      </c>
    </row>
    <row r="39">
      <c r="B39" s="9" t="n"/>
      <c r="D39" s="9" t="n"/>
      <c r="G39" s="25">
        <f>IF(OR($A39="",$B39="",IFERROR(IF(INDEX(campaigns!$BG$2:$BG$51,MATCH($A39,campaigns!$A$2:$A$51,0))="","",INDEX(campaigns!$BG$2:$BG$51,MATCH($A39,campaigns!$A$2:$A$51,0))),"")=""),"",$B39-N(IFERROR(IF(INDEX(campaigns!$BG$2:$BG$51,MATCH($A39,campaigns!$A$2:$A$51,0))="","",INDEX(campaigns!$BG$2:$BG$51,MATCH($A39,campaigns!$A$2:$A$51,0))),"")))</f>
        <v/>
      </c>
      <c r="H39" s="25">
        <f>IF($G39="","",IF($G39&gt;=30,"Y","N"))</f>
        <v/>
      </c>
    </row>
    <row r="40">
      <c r="B40" s="9" t="n"/>
      <c r="D40" s="9" t="n"/>
      <c r="G40" s="25">
        <f>IF(OR($A40="",$B40="",IFERROR(IF(INDEX(campaigns!$BG$2:$BG$51,MATCH($A40,campaigns!$A$2:$A$51,0))="","",INDEX(campaigns!$BG$2:$BG$51,MATCH($A40,campaigns!$A$2:$A$51,0))),"")=""),"",$B40-N(IFERROR(IF(INDEX(campaigns!$BG$2:$BG$51,MATCH($A40,campaigns!$A$2:$A$51,0))="","",INDEX(campaigns!$BG$2:$BG$51,MATCH($A40,campaigns!$A$2:$A$51,0))),"")))</f>
        <v/>
      </c>
      <c r="H40" s="25">
        <f>IF($G40="","",IF($G40&gt;=30,"Y","N"))</f>
        <v/>
      </c>
    </row>
    <row r="41">
      <c r="B41" s="9" t="n"/>
      <c r="D41" s="9" t="n"/>
      <c r="G41" s="25">
        <f>IF(OR($A41="",$B41="",IFERROR(IF(INDEX(campaigns!$BG$2:$BG$51,MATCH($A41,campaigns!$A$2:$A$51,0))="","",INDEX(campaigns!$BG$2:$BG$51,MATCH($A41,campaigns!$A$2:$A$51,0))),"")=""),"",$B41-N(IFERROR(IF(INDEX(campaigns!$BG$2:$BG$51,MATCH($A41,campaigns!$A$2:$A$51,0))="","",INDEX(campaigns!$BG$2:$BG$51,MATCH($A41,campaigns!$A$2:$A$51,0))),"")))</f>
        <v/>
      </c>
      <c r="H41" s="25">
        <f>IF($G41="","",IF($G41&gt;=30,"Y","N"))</f>
        <v/>
      </c>
    </row>
    <row r="42">
      <c r="B42" s="9" t="n"/>
      <c r="D42" s="9" t="n"/>
      <c r="G42" s="25">
        <f>IF(OR($A42="",$B42="",IFERROR(IF(INDEX(campaigns!$BG$2:$BG$51,MATCH($A42,campaigns!$A$2:$A$51,0))="","",INDEX(campaigns!$BG$2:$BG$51,MATCH($A42,campaigns!$A$2:$A$51,0))),"")=""),"",$B42-N(IFERROR(IF(INDEX(campaigns!$BG$2:$BG$51,MATCH($A42,campaigns!$A$2:$A$51,0))="","",INDEX(campaigns!$BG$2:$BG$51,MATCH($A42,campaigns!$A$2:$A$51,0))),"")))</f>
        <v/>
      </c>
      <c r="H42" s="25">
        <f>IF($G42="","",IF($G42&gt;=30,"Y","N"))</f>
        <v/>
      </c>
    </row>
    <row r="43">
      <c r="B43" s="9" t="n"/>
      <c r="D43" s="9" t="n"/>
      <c r="G43" s="25">
        <f>IF(OR($A43="",$B43="",IFERROR(IF(INDEX(campaigns!$BG$2:$BG$51,MATCH($A43,campaigns!$A$2:$A$51,0))="","",INDEX(campaigns!$BG$2:$BG$51,MATCH($A43,campaigns!$A$2:$A$51,0))),"")=""),"",$B43-N(IFERROR(IF(INDEX(campaigns!$BG$2:$BG$51,MATCH($A43,campaigns!$A$2:$A$51,0))="","",INDEX(campaigns!$BG$2:$BG$51,MATCH($A43,campaigns!$A$2:$A$51,0))),"")))</f>
        <v/>
      </c>
      <c r="H43" s="25">
        <f>IF($G43="","",IF($G43&gt;=30,"Y","N"))</f>
        <v/>
      </c>
    </row>
    <row r="44">
      <c r="B44" s="9" t="n"/>
      <c r="D44" s="9" t="n"/>
      <c r="G44" s="25">
        <f>IF(OR($A44="",$B44="",IFERROR(IF(INDEX(campaigns!$BG$2:$BG$51,MATCH($A44,campaigns!$A$2:$A$51,0))="","",INDEX(campaigns!$BG$2:$BG$51,MATCH($A44,campaigns!$A$2:$A$51,0))),"")=""),"",$B44-N(IFERROR(IF(INDEX(campaigns!$BG$2:$BG$51,MATCH($A44,campaigns!$A$2:$A$51,0))="","",INDEX(campaigns!$BG$2:$BG$51,MATCH($A44,campaigns!$A$2:$A$51,0))),"")))</f>
        <v/>
      </c>
      <c r="H44" s="25">
        <f>IF($G44="","",IF($G44&gt;=30,"Y","N"))</f>
        <v/>
      </c>
    </row>
    <row r="45">
      <c r="B45" s="9" t="n"/>
      <c r="D45" s="9" t="n"/>
      <c r="G45" s="25">
        <f>IF(OR($A45="",$B45="",IFERROR(IF(INDEX(campaigns!$BG$2:$BG$51,MATCH($A45,campaigns!$A$2:$A$51,0))="","",INDEX(campaigns!$BG$2:$BG$51,MATCH($A45,campaigns!$A$2:$A$51,0))),"")=""),"",$B45-N(IFERROR(IF(INDEX(campaigns!$BG$2:$BG$51,MATCH($A45,campaigns!$A$2:$A$51,0))="","",INDEX(campaigns!$BG$2:$BG$51,MATCH($A45,campaigns!$A$2:$A$51,0))),"")))</f>
        <v/>
      </c>
      <c r="H45" s="25">
        <f>IF($G45="","",IF($G45&gt;=30,"Y","N"))</f>
        <v/>
      </c>
    </row>
    <row r="46">
      <c r="B46" s="9" t="n"/>
      <c r="D46" s="9" t="n"/>
      <c r="G46" s="25">
        <f>IF(OR($A46="",$B46="",IFERROR(IF(INDEX(campaigns!$BG$2:$BG$51,MATCH($A46,campaigns!$A$2:$A$51,0))="","",INDEX(campaigns!$BG$2:$BG$51,MATCH($A46,campaigns!$A$2:$A$51,0))),"")=""),"",$B46-N(IFERROR(IF(INDEX(campaigns!$BG$2:$BG$51,MATCH($A46,campaigns!$A$2:$A$51,0))="","",INDEX(campaigns!$BG$2:$BG$51,MATCH($A46,campaigns!$A$2:$A$51,0))),"")))</f>
        <v/>
      </c>
      <c r="H46" s="25">
        <f>IF($G46="","",IF($G46&gt;=30,"Y","N"))</f>
        <v/>
      </c>
    </row>
    <row r="47">
      <c r="B47" s="9" t="n"/>
      <c r="D47" s="9" t="n"/>
      <c r="G47" s="25">
        <f>IF(OR($A47="",$B47="",IFERROR(IF(INDEX(campaigns!$BG$2:$BG$51,MATCH($A47,campaigns!$A$2:$A$51,0))="","",INDEX(campaigns!$BG$2:$BG$51,MATCH($A47,campaigns!$A$2:$A$51,0))),"")=""),"",$B47-N(IFERROR(IF(INDEX(campaigns!$BG$2:$BG$51,MATCH($A47,campaigns!$A$2:$A$51,0))="","",INDEX(campaigns!$BG$2:$BG$51,MATCH($A47,campaigns!$A$2:$A$51,0))),"")))</f>
        <v/>
      </c>
      <c r="H47" s="25">
        <f>IF($G47="","",IF($G47&gt;=30,"Y","N"))</f>
        <v/>
      </c>
    </row>
    <row r="48">
      <c r="B48" s="9" t="n"/>
      <c r="D48" s="9" t="n"/>
      <c r="G48" s="25">
        <f>IF(OR($A48="",$B48="",IFERROR(IF(INDEX(campaigns!$BG$2:$BG$51,MATCH($A48,campaigns!$A$2:$A$51,0))="","",INDEX(campaigns!$BG$2:$BG$51,MATCH($A48,campaigns!$A$2:$A$51,0))),"")=""),"",$B48-N(IFERROR(IF(INDEX(campaigns!$BG$2:$BG$51,MATCH($A48,campaigns!$A$2:$A$51,0))="","",INDEX(campaigns!$BG$2:$BG$51,MATCH($A48,campaigns!$A$2:$A$51,0))),"")))</f>
        <v/>
      </c>
      <c r="H48" s="25">
        <f>IF($G48="","",IF($G48&gt;=30,"Y","N"))</f>
        <v/>
      </c>
    </row>
    <row r="49">
      <c r="B49" s="9" t="n"/>
      <c r="D49" s="9" t="n"/>
      <c r="G49" s="25">
        <f>IF(OR($A49="",$B49="",IFERROR(IF(INDEX(campaigns!$BG$2:$BG$51,MATCH($A49,campaigns!$A$2:$A$51,0))="","",INDEX(campaigns!$BG$2:$BG$51,MATCH($A49,campaigns!$A$2:$A$51,0))),"")=""),"",$B49-N(IFERROR(IF(INDEX(campaigns!$BG$2:$BG$51,MATCH($A49,campaigns!$A$2:$A$51,0))="","",INDEX(campaigns!$BG$2:$BG$51,MATCH($A49,campaigns!$A$2:$A$51,0))),"")))</f>
        <v/>
      </c>
      <c r="H49" s="25">
        <f>IF($G49="","",IF($G49&gt;=30,"Y","N"))</f>
        <v/>
      </c>
    </row>
    <row r="50">
      <c r="B50" s="9" t="n"/>
      <c r="D50" s="9" t="n"/>
      <c r="G50" s="25">
        <f>IF(OR($A50="",$B50="",IFERROR(IF(INDEX(campaigns!$BG$2:$BG$51,MATCH($A50,campaigns!$A$2:$A$51,0))="","",INDEX(campaigns!$BG$2:$BG$51,MATCH($A50,campaigns!$A$2:$A$51,0))),"")=""),"",$B50-N(IFERROR(IF(INDEX(campaigns!$BG$2:$BG$51,MATCH($A50,campaigns!$A$2:$A$51,0))="","",INDEX(campaigns!$BG$2:$BG$51,MATCH($A50,campaigns!$A$2:$A$51,0))),"")))</f>
        <v/>
      </c>
      <c r="H50" s="25">
        <f>IF($G50="","",IF($G50&gt;=30,"Y","N"))</f>
        <v/>
      </c>
    </row>
    <row r="51">
      <c r="B51" s="9" t="n"/>
      <c r="D51" s="9" t="n"/>
      <c r="G51" s="25">
        <f>IF(OR($A51="",$B51="",IFERROR(IF(INDEX(campaigns!$BG$2:$BG$51,MATCH($A51,campaigns!$A$2:$A$51,0))="","",INDEX(campaigns!$BG$2:$BG$51,MATCH($A51,campaigns!$A$2:$A$51,0))),"")=""),"",$B51-N(IFERROR(IF(INDEX(campaigns!$BG$2:$BG$51,MATCH($A51,campaigns!$A$2:$A$51,0))="","",INDEX(campaigns!$BG$2:$BG$51,MATCH($A51,campaigns!$A$2:$A$51,0))),"")))</f>
        <v/>
      </c>
      <c r="H51" s="25">
        <f>IF($G51="","",IF($G51&gt;=30,"Y","N"))</f>
        <v/>
      </c>
    </row>
    <row r="52">
      <c r="B52" s="9" t="n"/>
      <c r="D52" s="9" t="n"/>
      <c r="G52" s="25">
        <f>IF(OR($A52="",$B52="",IFERROR(IF(INDEX(campaigns!$BG$2:$BG$51,MATCH($A52,campaigns!$A$2:$A$51,0))="","",INDEX(campaigns!$BG$2:$BG$51,MATCH($A52,campaigns!$A$2:$A$51,0))),"")=""),"",$B52-N(IFERROR(IF(INDEX(campaigns!$BG$2:$BG$51,MATCH($A52,campaigns!$A$2:$A$51,0))="","",INDEX(campaigns!$BG$2:$BG$51,MATCH($A52,campaigns!$A$2:$A$51,0))),"")))</f>
        <v/>
      </c>
      <c r="H52" s="25">
        <f>IF($G52="","",IF($G52&gt;=30,"Y","N"))</f>
        <v/>
      </c>
    </row>
    <row r="53">
      <c r="B53" s="9" t="n"/>
      <c r="D53" s="9" t="n"/>
      <c r="G53" s="25">
        <f>IF(OR($A53="",$B53="",IFERROR(IF(INDEX(campaigns!$BG$2:$BG$51,MATCH($A53,campaigns!$A$2:$A$51,0))="","",INDEX(campaigns!$BG$2:$BG$51,MATCH($A53,campaigns!$A$2:$A$51,0))),"")=""),"",$B53-N(IFERROR(IF(INDEX(campaigns!$BG$2:$BG$51,MATCH($A53,campaigns!$A$2:$A$51,0))="","",INDEX(campaigns!$BG$2:$BG$51,MATCH($A53,campaigns!$A$2:$A$51,0))),"")))</f>
        <v/>
      </c>
      <c r="H53" s="25">
        <f>IF($G53="","",IF($G53&gt;=30,"Y","N"))</f>
        <v/>
      </c>
    </row>
    <row r="54">
      <c r="B54" s="9" t="n"/>
      <c r="D54" s="9" t="n"/>
      <c r="G54" s="25">
        <f>IF(OR($A54="",$B54="",IFERROR(IF(INDEX(campaigns!$BG$2:$BG$51,MATCH($A54,campaigns!$A$2:$A$51,0))="","",INDEX(campaigns!$BG$2:$BG$51,MATCH($A54,campaigns!$A$2:$A$51,0))),"")=""),"",$B54-N(IFERROR(IF(INDEX(campaigns!$BG$2:$BG$51,MATCH($A54,campaigns!$A$2:$A$51,0))="","",INDEX(campaigns!$BG$2:$BG$51,MATCH($A54,campaigns!$A$2:$A$51,0))),"")))</f>
        <v/>
      </c>
      <c r="H54" s="25">
        <f>IF($G54="","",IF($G54&gt;=30,"Y","N"))</f>
        <v/>
      </c>
    </row>
    <row r="55">
      <c r="B55" s="9" t="n"/>
      <c r="D55" s="9" t="n"/>
      <c r="G55" s="25">
        <f>IF(OR($A55="",$B55="",IFERROR(IF(INDEX(campaigns!$BG$2:$BG$51,MATCH($A55,campaigns!$A$2:$A$51,0))="","",INDEX(campaigns!$BG$2:$BG$51,MATCH($A55,campaigns!$A$2:$A$51,0))),"")=""),"",$B55-N(IFERROR(IF(INDEX(campaigns!$BG$2:$BG$51,MATCH($A55,campaigns!$A$2:$A$51,0))="","",INDEX(campaigns!$BG$2:$BG$51,MATCH($A55,campaigns!$A$2:$A$51,0))),"")))</f>
        <v/>
      </c>
      <c r="H55" s="25">
        <f>IF($G55="","",IF($G55&gt;=30,"Y","N"))</f>
        <v/>
      </c>
    </row>
    <row r="56">
      <c r="B56" s="9" t="n"/>
      <c r="D56" s="9" t="n"/>
      <c r="G56" s="25">
        <f>IF(OR($A56="",$B56="",IFERROR(IF(INDEX(campaigns!$BG$2:$BG$51,MATCH($A56,campaigns!$A$2:$A$51,0))="","",INDEX(campaigns!$BG$2:$BG$51,MATCH($A56,campaigns!$A$2:$A$51,0))),"")=""),"",$B56-N(IFERROR(IF(INDEX(campaigns!$BG$2:$BG$51,MATCH($A56,campaigns!$A$2:$A$51,0))="","",INDEX(campaigns!$BG$2:$BG$51,MATCH($A56,campaigns!$A$2:$A$51,0))),"")))</f>
        <v/>
      </c>
      <c r="H56" s="25">
        <f>IF($G56="","",IF($G56&gt;=30,"Y","N"))</f>
        <v/>
      </c>
    </row>
    <row r="57">
      <c r="B57" s="9" t="n"/>
      <c r="D57" s="9" t="n"/>
      <c r="G57" s="25">
        <f>IF(OR($A57="",$B57="",IFERROR(IF(INDEX(campaigns!$BG$2:$BG$51,MATCH($A57,campaigns!$A$2:$A$51,0))="","",INDEX(campaigns!$BG$2:$BG$51,MATCH($A57,campaigns!$A$2:$A$51,0))),"")=""),"",$B57-N(IFERROR(IF(INDEX(campaigns!$BG$2:$BG$51,MATCH($A57,campaigns!$A$2:$A$51,0))="","",INDEX(campaigns!$BG$2:$BG$51,MATCH($A57,campaigns!$A$2:$A$51,0))),"")))</f>
        <v/>
      </c>
      <c r="H57" s="25">
        <f>IF($G57="","",IF($G57&gt;=30,"Y","N"))</f>
        <v/>
      </c>
    </row>
    <row r="58">
      <c r="B58" s="9" t="n"/>
      <c r="D58" s="9" t="n"/>
      <c r="G58" s="25">
        <f>IF(OR($A58="",$B58="",IFERROR(IF(INDEX(campaigns!$BG$2:$BG$51,MATCH($A58,campaigns!$A$2:$A$51,0))="","",INDEX(campaigns!$BG$2:$BG$51,MATCH($A58,campaigns!$A$2:$A$51,0))),"")=""),"",$B58-N(IFERROR(IF(INDEX(campaigns!$BG$2:$BG$51,MATCH($A58,campaigns!$A$2:$A$51,0))="","",INDEX(campaigns!$BG$2:$BG$51,MATCH($A58,campaigns!$A$2:$A$51,0))),"")))</f>
        <v/>
      </c>
      <c r="H58" s="25">
        <f>IF($G58="","",IF($G58&gt;=30,"Y","N"))</f>
        <v/>
      </c>
    </row>
    <row r="59">
      <c r="B59" s="9" t="n"/>
      <c r="D59" s="9" t="n"/>
      <c r="G59" s="25">
        <f>IF(OR($A59="",$B59="",IFERROR(IF(INDEX(campaigns!$BG$2:$BG$51,MATCH($A59,campaigns!$A$2:$A$51,0))="","",INDEX(campaigns!$BG$2:$BG$51,MATCH($A59,campaigns!$A$2:$A$51,0))),"")=""),"",$B59-N(IFERROR(IF(INDEX(campaigns!$BG$2:$BG$51,MATCH($A59,campaigns!$A$2:$A$51,0))="","",INDEX(campaigns!$BG$2:$BG$51,MATCH($A59,campaigns!$A$2:$A$51,0))),"")))</f>
        <v/>
      </c>
      <c r="H59" s="25">
        <f>IF($G59="","",IF($G59&gt;=30,"Y","N"))</f>
        <v/>
      </c>
    </row>
    <row r="60">
      <c r="B60" s="9" t="n"/>
      <c r="D60" s="9" t="n"/>
      <c r="G60" s="25">
        <f>IF(OR($A60="",$B60="",IFERROR(IF(INDEX(campaigns!$BG$2:$BG$51,MATCH($A60,campaigns!$A$2:$A$51,0))="","",INDEX(campaigns!$BG$2:$BG$51,MATCH($A60,campaigns!$A$2:$A$51,0))),"")=""),"",$B60-N(IFERROR(IF(INDEX(campaigns!$BG$2:$BG$51,MATCH($A60,campaigns!$A$2:$A$51,0))="","",INDEX(campaigns!$BG$2:$BG$51,MATCH($A60,campaigns!$A$2:$A$51,0))),"")))</f>
        <v/>
      </c>
      <c r="H60" s="25">
        <f>IF($G60="","",IF($G60&gt;=30,"Y","N"))</f>
        <v/>
      </c>
    </row>
    <row r="61">
      <c r="B61" s="9" t="n"/>
      <c r="D61" s="9" t="n"/>
      <c r="G61" s="25">
        <f>IF(OR($A61="",$B61="",IFERROR(IF(INDEX(campaigns!$BG$2:$BG$51,MATCH($A61,campaigns!$A$2:$A$51,0))="","",INDEX(campaigns!$BG$2:$BG$51,MATCH($A61,campaigns!$A$2:$A$51,0))),"")=""),"",$B61-N(IFERROR(IF(INDEX(campaigns!$BG$2:$BG$51,MATCH($A61,campaigns!$A$2:$A$51,0))="","",INDEX(campaigns!$BG$2:$BG$51,MATCH($A61,campaigns!$A$2:$A$51,0))),"")))</f>
        <v/>
      </c>
      <c r="H61" s="25">
        <f>IF($G61="","",IF($G61&gt;=30,"Y","N"))</f>
        <v/>
      </c>
    </row>
    <row r="62">
      <c r="B62" s="9" t="n"/>
      <c r="D62" s="9" t="n"/>
      <c r="G62" s="25">
        <f>IF(OR($A62="",$B62="",IFERROR(IF(INDEX(campaigns!$BG$2:$BG$51,MATCH($A62,campaigns!$A$2:$A$51,0))="","",INDEX(campaigns!$BG$2:$BG$51,MATCH($A62,campaigns!$A$2:$A$51,0))),"")=""),"",$B62-N(IFERROR(IF(INDEX(campaigns!$BG$2:$BG$51,MATCH($A62,campaigns!$A$2:$A$51,0))="","",INDEX(campaigns!$BG$2:$BG$51,MATCH($A62,campaigns!$A$2:$A$51,0))),"")))</f>
        <v/>
      </c>
      <c r="H62" s="25">
        <f>IF($G62="","",IF($G62&gt;=30,"Y","N"))</f>
        <v/>
      </c>
    </row>
    <row r="63">
      <c r="B63" s="9" t="n"/>
      <c r="D63" s="9" t="n"/>
      <c r="G63" s="25">
        <f>IF(OR($A63="",$B63="",IFERROR(IF(INDEX(campaigns!$BG$2:$BG$51,MATCH($A63,campaigns!$A$2:$A$51,0))="","",INDEX(campaigns!$BG$2:$BG$51,MATCH($A63,campaigns!$A$2:$A$51,0))),"")=""),"",$B63-N(IFERROR(IF(INDEX(campaigns!$BG$2:$BG$51,MATCH($A63,campaigns!$A$2:$A$51,0))="","",INDEX(campaigns!$BG$2:$BG$51,MATCH($A63,campaigns!$A$2:$A$51,0))),"")))</f>
        <v/>
      </c>
      <c r="H63" s="25">
        <f>IF($G63="","",IF($G63&gt;=30,"Y","N"))</f>
        <v/>
      </c>
    </row>
    <row r="64">
      <c r="B64" s="9" t="n"/>
      <c r="D64" s="9" t="n"/>
      <c r="G64" s="25">
        <f>IF(OR($A64="",$B64="",IFERROR(IF(INDEX(campaigns!$BG$2:$BG$51,MATCH($A64,campaigns!$A$2:$A$51,0))="","",INDEX(campaigns!$BG$2:$BG$51,MATCH($A64,campaigns!$A$2:$A$51,0))),"")=""),"",$B64-N(IFERROR(IF(INDEX(campaigns!$BG$2:$BG$51,MATCH($A64,campaigns!$A$2:$A$51,0))="","",INDEX(campaigns!$BG$2:$BG$51,MATCH($A64,campaigns!$A$2:$A$51,0))),"")))</f>
        <v/>
      </c>
      <c r="H64" s="25">
        <f>IF($G64="","",IF($G64&gt;=30,"Y","N"))</f>
        <v/>
      </c>
    </row>
    <row r="65">
      <c r="B65" s="9" t="n"/>
      <c r="D65" s="9" t="n"/>
      <c r="G65" s="25">
        <f>IF(OR($A65="",$B65="",IFERROR(IF(INDEX(campaigns!$BG$2:$BG$51,MATCH($A65,campaigns!$A$2:$A$51,0))="","",INDEX(campaigns!$BG$2:$BG$51,MATCH($A65,campaigns!$A$2:$A$51,0))),"")=""),"",$B65-N(IFERROR(IF(INDEX(campaigns!$BG$2:$BG$51,MATCH($A65,campaigns!$A$2:$A$51,0))="","",INDEX(campaigns!$BG$2:$BG$51,MATCH($A65,campaigns!$A$2:$A$51,0))),"")))</f>
        <v/>
      </c>
      <c r="H65" s="25">
        <f>IF($G65="","",IF($G65&gt;=30,"Y","N"))</f>
        <v/>
      </c>
    </row>
    <row r="66">
      <c r="B66" s="9" t="n"/>
      <c r="D66" s="9" t="n"/>
      <c r="G66" s="25">
        <f>IF(OR($A66="",$B66="",IFERROR(IF(INDEX(campaigns!$BG$2:$BG$51,MATCH($A66,campaigns!$A$2:$A$51,0))="","",INDEX(campaigns!$BG$2:$BG$51,MATCH($A66,campaigns!$A$2:$A$51,0))),"")=""),"",$B66-N(IFERROR(IF(INDEX(campaigns!$BG$2:$BG$51,MATCH($A66,campaigns!$A$2:$A$51,0))="","",INDEX(campaigns!$BG$2:$BG$51,MATCH($A66,campaigns!$A$2:$A$51,0))),"")))</f>
        <v/>
      </c>
      <c r="H66" s="25">
        <f>IF($G66="","",IF($G66&gt;=30,"Y","N"))</f>
        <v/>
      </c>
    </row>
    <row r="67">
      <c r="B67" s="9" t="n"/>
      <c r="D67" s="9" t="n"/>
      <c r="G67" s="25">
        <f>IF(OR($A67="",$B67="",IFERROR(IF(INDEX(campaigns!$BG$2:$BG$51,MATCH($A67,campaigns!$A$2:$A$51,0))="","",INDEX(campaigns!$BG$2:$BG$51,MATCH($A67,campaigns!$A$2:$A$51,0))),"")=""),"",$B67-N(IFERROR(IF(INDEX(campaigns!$BG$2:$BG$51,MATCH($A67,campaigns!$A$2:$A$51,0))="","",INDEX(campaigns!$BG$2:$BG$51,MATCH($A67,campaigns!$A$2:$A$51,0))),"")))</f>
        <v/>
      </c>
      <c r="H67" s="25">
        <f>IF($G67="","",IF($G67&gt;=30,"Y","N"))</f>
        <v/>
      </c>
    </row>
    <row r="68">
      <c r="B68" s="9" t="n"/>
      <c r="D68" s="9" t="n"/>
      <c r="G68" s="25">
        <f>IF(OR($A68="",$B68="",IFERROR(IF(INDEX(campaigns!$BG$2:$BG$51,MATCH($A68,campaigns!$A$2:$A$51,0))="","",INDEX(campaigns!$BG$2:$BG$51,MATCH($A68,campaigns!$A$2:$A$51,0))),"")=""),"",$B68-N(IFERROR(IF(INDEX(campaigns!$BG$2:$BG$51,MATCH($A68,campaigns!$A$2:$A$51,0))="","",INDEX(campaigns!$BG$2:$BG$51,MATCH($A68,campaigns!$A$2:$A$51,0))),"")))</f>
        <v/>
      </c>
      <c r="H68" s="25">
        <f>IF($G68="","",IF($G68&gt;=30,"Y","N"))</f>
        <v/>
      </c>
    </row>
    <row r="69">
      <c r="B69" s="9" t="n"/>
      <c r="D69" s="9" t="n"/>
      <c r="G69" s="25">
        <f>IF(OR($A69="",$B69="",IFERROR(IF(INDEX(campaigns!$BG$2:$BG$51,MATCH($A69,campaigns!$A$2:$A$51,0))="","",INDEX(campaigns!$BG$2:$BG$51,MATCH($A69,campaigns!$A$2:$A$51,0))),"")=""),"",$B69-N(IFERROR(IF(INDEX(campaigns!$BG$2:$BG$51,MATCH($A69,campaigns!$A$2:$A$51,0))="","",INDEX(campaigns!$BG$2:$BG$51,MATCH($A69,campaigns!$A$2:$A$51,0))),"")))</f>
        <v/>
      </c>
      <c r="H69" s="25">
        <f>IF($G69="","",IF($G69&gt;=30,"Y","N"))</f>
        <v/>
      </c>
    </row>
    <row r="70">
      <c r="B70" s="9" t="n"/>
      <c r="D70" s="9" t="n"/>
      <c r="G70" s="25">
        <f>IF(OR($A70="",$B70="",IFERROR(IF(INDEX(campaigns!$BG$2:$BG$51,MATCH($A70,campaigns!$A$2:$A$51,0))="","",INDEX(campaigns!$BG$2:$BG$51,MATCH($A70,campaigns!$A$2:$A$51,0))),"")=""),"",$B70-N(IFERROR(IF(INDEX(campaigns!$BG$2:$BG$51,MATCH($A70,campaigns!$A$2:$A$51,0))="","",INDEX(campaigns!$BG$2:$BG$51,MATCH($A70,campaigns!$A$2:$A$51,0))),"")))</f>
        <v/>
      </c>
      <c r="H70" s="25">
        <f>IF($G70="","",IF($G70&gt;=30,"Y","N"))</f>
        <v/>
      </c>
    </row>
    <row r="71">
      <c r="B71" s="9" t="n"/>
      <c r="D71" s="9" t="n"/>
      <c r="G71" s="25">
        <f>IF(OR($A71="",$B71="",IFERROR(IF(INDEX(campaigns!$BG$2:$BG$51,MATCH($A71,campaigns!$A$2:$A$51,0))="","",INDEX(campaigns!$BG$2:$BG$51,MATCH($A71,campaigns!$A$2:$A$51,0))),"")=""),"",$B71-N(IFERROR(IF(INDEX(campaigns!$BG$2:$BG$51,MATCH($A71,campaigns!$A$2:$A$51,0))="","",INDEX(campaigns!$BG$2:$BG$51,MATCH($A71,campaigns!$A$2:$A$51,0))),"")))</f>
        <v/>
      </c>
      <c r="H71" s="25">
        <f>IF($G71="","",IF($G71&gt;=30,"Y","N"))</f>
        <v/>
      </c>
    </row>
    <row r="72">
      <c r="B72" s="9" t="n"/>
      <c r="D72" s="9" t="n"/>
      <c r="G72" s="25">
        <f>IF(OR($A72="",$B72="",IFERROR(IF(INDEX(campaigns!$BG$2:$BG$51,MATCH($A72,campaigns!$A$2:$A$51,0))="","",INDEX(campaigns!$BG$2:$BG$51,MATCH($A72,campaigns!$A$2:$A$51,0))),"")=""),"",$B72-N(IFERROR(IF(INDEX(campaigns!$BG$2:$BG$51,MATCH($A72,campaigns!$A$2:$A$51,0))="","",INDEX(campaigns!$BG$2:$BG$51,MATCH($A72,campaigns!$A$2:$A$51,0))),"")))</f>
        <v/>
      </c>
      <c r="H72" s="25">
        <f>IF($G72="","",IF($G72&gt;=30,"Y","N"))</f>
        <v/>
      </c>
    </row>
    <row r="73">
      <c r="B73" s="9" t="n"/>
      <c r="D73" s="9" t="n"/>
      <c r="G73" s="25">
        <f>IF(OR($A73="",$B73="",IFERROR(IF(INDEX(campaigns!$BG$2:$BG$51,MATCH($A73,campaigns!$A$2:$A$51,0))="","",INDEX(campaigns!$BG$2:$BG$51,MATCH($A73,campaigns!$A$2:$A$51,0))),"")=""),"",$B73-N(IFERROR(IF(INDEX(campaigns!$BG$2:$BG$51,MATCH($A73,campaigns!$A$2:$A$51,0))="","",INDEX(campaigns!$BG$2:$BG$51,MATCH($A73,campaigns!$A$2:$A$51,0))),"")))</f>
        <v/>
      </c>
      <c r="H73" s="25">
        <f>IF($G73="","",IF($G73&gt;=30,"Y","N"))</f>
        <v/>
      </c>
    </row>
    <row r="74">
      <c r="B74" s="9" t="n"/>
      <c r="D74" s="9" t="n"/>
      <c r="G74" s="25">
        <f>IF(OR($A74="",$B74="",IFERROR(IF(INDEX(campaigns!$BG$2:$BG$51,MATCH($A74,campaigns!$A$2:$A$51,0))="","",INDEX(campaigns!$BG$2:$BG$51,MATCH($A74,campaigns!$A$2:$A$51,0))),"")=""),"",$B74-N(IFERROR(IF(INDEX(campaigns!$BG$2:$BG$51,MATCH($A74,campaigns!$A$2:$A$51,0))="","",INDEX(campaigns!$BG$2:$BG$51,MATCH($A74,campaigns!$A$2:$A$51,0))),"")))</f>
        <v/>
      </c>
      <c r="H74" s="25">
        <f>IF($G74="","",IF($G74&gt;=30,"Y","N"))</f>
        <v/>
      </c>
    </row>
    <row r="75">
      <c r="B75" s="9" t="n"/>
      <c r="D75" s="9" t="n"/>
      <c r="G75" s="25">
        <f>IF(OR($A75="",$B75="",IFERROR(IF(INDEX(campaigns!$BG$2:$BG$51,MATCH($A75,campaigns!$A$2:$A$51,0))="","",INDEX(campaigns!$BG$2:$BG$51,MATCH($A75,campaigns!$A$2:$A$51,0))),"")=""),"",$B75-N(IFERROR(IF(INDEX(campaigns!$BG$2:$BG$51,MATCH($A75,campaigns!$A$2:$A$51,0))="","",INDEX(campaigns!$BG$2:$BG$51,MATCH($A75,campaigns!$A$2:$A$51,0))),"")))</f>
        <v/>
      </c>
      <c r="H75" s="25">
        <f>IF($G75="","",IF($G75&gt;=30,"Y","N"))</f>
        <v/>
      </c>
    </row>
    <row r="76">
      <c r="B76" s="9" t="n"/>
      <c r="D76" s="9" t="n"/>
      <c r="G76" s="25">
        <f>IF(OR($A76="",$B76="",IFERROR(IF(INDEX(campaigns!$BG$2:$BG$51,MATCH($A76,campaigns!$A$2:$A$51,0))="","",INDEX(campaigns!$BG$2:$BG$51,MATCH($A76,campaigns!$A$2:$A$51,0))),"")=""),"",$B76-N(IFERROR(IF(INDEX(campaigns!$BG$2:$BG$51,MATCH($A76,campaigns!$A$2:$A$51,0))="","",INDEX(campaigns!$BG$2:$BG$51,MATCH($A76,campaigns!$A$2:$A$51,0))),"")))</f>
        <v/>
      </c>
      <c r="H76" s="25">
        <f>IF($G76="","",IF($G76&gt;=30,"Y","N"))</f>
        <v/>
      </c>
    </row>
    <row r="77">
      <c r="B77" s="9" t="n"/>
      <c r="D77" s="9" t="n"/>
      <c r="G77" s="25">
        <f>IF(OR($A77="",$B77="",IFERROR(IF(INDEX(campaigns!$BG$2:$BG$51,MATCH($A77,campaigns!$A$2:$A$51,0))="","",INDEX(campaigns!$BG$2:$BG$51,MATCH($A77,campaigns!$A$2:$A$51,0))),"")=""),"",$B77-N(IFERROR(IF(INDEX(campaigns!$BG$2:$BG$51,MATCH($A77,campaigns!$A$2:$A$51,0))="","",INDEX(campaigns!$BG$2:$BG$51,MATCH($A77,campaigns!$A$2:$A$51,0))),"")))</f>
        <v/>
      </c>
      <c r="H77" s="25">
        <f>IF($G77="","",IF($G77&gt;=30,"Y","N"))</f>
        <v/>
      </c>
    </row>
    <row r="78">
      <c r="B78" s="9" t="n"/>
      <c r="D78" s="9" t="n"/>
      <c r="G78" s="25">
        <f>IF(OR($A78="",$B78="",IFERROR(IF(INDEX(campaigns!$BG$2:$BG$51,MATCH($A78,campaigns!$A$2:$A$51,0))="","",INDEX(campaigns!$BG$2:$BG$51,MATCH($A78,campaigns!$A$2:$A$51,0))),"")=""),"",$B78-N(IFERROR(IF(INDEX(campaigns!$BG$2:$BG$51,MATCH($A78,campaigns!$A$2:$A$51,0))="","",INDEX(campaigns!$BG$2:$BG$51,MATCH($A78,campaigns!$A$2:$A$51,0))),"")))</f>
        <v/>
      </c>
      <c r="H78" s="25">
        <f>IF($G78="","",IF($G78&gt;=30,"Y","N"))</f>
        <v/>
      </c>
    </row>
    <row r="79">
      <c r="B79" s="9" t="n"/>
      <c r="D79" s="9" t="n"/>
      <c r="G79" s="25">
        <f>IF(OR($A79="",$B79="",IFERROR(IF(INDEX(campaigns!$BG$2:$BG$51,MATCH($A79,campaigns!$A$2:$A$51,0))="","",INDEX(campaigns!$BG$2:$BG$51,MATCH($A79,campaigns!$A$2:$A$51,0))),"")=""),"",$B79-N(IFERROR(IF(INDEX(campaigns!$BG$2:$BG$51,MATCH($A79,campaigns!$A$2:$A$51,0))="","",INDEX(campaigns!$BG$2:$BG$51,MATCH($A79,campaigns!$A$2:$A$51,0))),"")))</f>
        <v/>
      </c>
      <c r="H79" s="25">
        <f>IF($G79="","",IF($G79&gt;=30,"Y","N"))</f>
        <v/>
      </c>
    </row>
    <row r="80">
      <c r="B80" s="9" t="n"/>
      <c r="D80" s="9" t="n"/>
      <c r="G80" s="25">
        <f>IF(OR($A80="",$B80="",IFERROR(IF(INDEX(campaigns!$BG$2:$BG$51,MATCH($A80,campaigns!$A$2:$A$51,0))="","",INDEX(campaigns!$BG$2:$BG$51,MATCH($A80,campaigns!$A$2:$A$51,0))),"")=""),"",$B80-N(IFERROR(IF(INDEX(campaigns!$BG$2:$BG$51,MATCH($A80,campaigns!$A$2:$A$51,0))="","",INDEX(campaigns!$BG$2:$BG$51,MATCH($A80,campaigns!$A$2:$A$51,0))),"")))</f>
        <v/>
      </c>
      <c r="H80" s="25">
        <f>IF($G80="","",IF($G80&gt;=30,"Y","N"))</f>
        <v/>
      </c>
    </row>
    <row r="81">
      <c r="B81" s="9" t="n"/>
      <c r="D81" s="9" t="n"/>
      <c r="G81" s="25">
        <f>IF(OR($A81="",$B81="",IFERROR(IF(INDEX(campaigns!$BG$2:$BG$51,MATCH($A81,campaigns!$A$2:$A$51,0))="","",INDEX(campaigns!$BG$2:$BG$51,MATCH($A81,campaigns!$A$2:$A$51,0))),"")=""),"",$B81-N(IFERROR(IF(INDEX(campaigns!$BG$2:$BG$51,MATCH($A81,campaigns!$A$2:$A$51,0))="","",INDEX(campaigns!$BG$2:$BG$51,MATCH($A81,campaigns!$A$2:$A$51,0))),"")))</f>
        <v/>
      </c>
      <c r="H81" s="25">
        <f>IF($G81="","",IF($G81&gt;=30,"Y","N"))</f>
        <v/>
      </c>
    </row>
    <row r="82">
      <c r="B82" s="9" t="n"/>
      <c r="D82" s="9" t="n"/>
      <c r="G82" s="25">
        <f>IF(OR($A82="",$B82="",IFERROR(IF(INDEX(campaigns!$BG$2:$BG$51,MATCH($A82,campaigns!$A$2:$A$51,0))="","",INDEX(campaigns!$BG$2:$BG$51,MATCH($A82,campaigns!$A$2:$A$51,0))),"")=""),"",$B82-N(IFERROR(IF(INDEX(campaigns!$BG$2:$BG$51,MATCH($A82,campaigns!$A$2:$A$51,0))="","",INDEX(campaigns!$BG$2:$BG$51,MATCH($A82,campaigns!$A$2:$A$51,0))),"")))</f>
        <v/>
      </c>
      <c r="H82" s="25">
        <f>IF($G82="","",IF($G82&gt;=30,"Y","N"))</f>
        <v/>
      </c>
    </row>
    <row r="83">
      <c r="B83" s="9" t="n"/>
      <c r="D83" s="9" t="n"/>
      <c r="G83" s="25">
        <f>IF(OR($A83="",$B83="",IFERROR(IF(INDEX(campaigns!$BG$2:$BG$51,MATCH($A83,campaigns!$A$2:$A$51,0))="","",INDEX(campaigns!$BG$2:$BG$51,MATCH($A83,campaigns!$A$2:$A$51,0))),"")=""),"",$B83-N(IFERROR(IF(INDEX(campaigns!$BG$2:$BG$51,MATCH($A83,campaigns!$A$2:$A$51,0))="","",INDEX(campaigns!$BG$2:$BG$51,MATCH($A83,campaigns!$A$2:$A$51,0))),"")))</f>
        <v/>
      </c>
      <c r="H83" s="25">
        <f>IF($G83="","",IF($G83&gt;=30,"Y","N"))</f>
        <v/>
      </c>
    </row>
    <row r="84">
      <c r="B84" s="9" t="n"/>
      <c r="D84" s="9" t="n"/>
      <c r="G84" s="25">
        <f>IF(OR($A84="",$B84="",IFERROR(IF(INDEX(campaigns!$BG$2:$BG$51,MATCH($A84,campaigns!$A$2:$A$51,0))="","",INDEX(campaigns!$BG$2:$BG$51,MATCH($A84,campaigns!$A$2:$A$51,0))),"")=""),"",$B84-N(IFERROR(IF(INDEX(campaigns!$BG$2:$BG$51,MATCH($A84,campaigns!$A$2:$A$51,0))="","",INDEX(campaigns!$BG$2:$BG$51,MATCH($A84,campaigns!$A$2:$A$51,0))),"")))</f>
        <v/>
      </c>
      <c r="H84" s="25">
        <f>IF($G84="","",IF($G84&gt;=30,"Y","N"))</f>
        <v/>
      </c>
    </row>
    <row r="85">
      <c r="B85" s="9" t="n"/>
      <c r="D85" s="9" t="n"/>
      <c r="G85" s="25">
        <f>IF(OR($A85="",$B85="",IFERROR(IF(INDEX(campaigns!$BG$2:$BG$51,MATCH($A85,campaigns!$A$2:$A$51,0))="","",INDEX(campaigns!$BG$2:$BG$51,MATCH($A85,campaigns!$A$2:$A$51,0))),"")=""),"",$B85-N(IFERROR(IF(INDEX(campaigns!$BG$2:$BG$51,MATCH($A85,campaigns!$A$2:$A$51,0))="","",INDEX(campaigns!$BG$2:$BG$51,MATCH($A85,campaigns!$A$2:$A$51,0))),"")))</f>
        <v/>
      </c>
      <c r="H85" s="25">
        <f>IF($G85="","",IF($G85&gt;=30,"Y","N"))</f>
        <v/>
      </c>
    </row>
    <row r="86">
      <c r="B86" s="9" t="n"/>
      <c r="D86" s="9" t="n"/>
      <c r="G86" s="25">
        <f>IF(OR($A86="",$B86="",IFERROR(IF(INDEX(campaigns!$BG$2:$BG$51,MATCH($A86,campaigns!$A$2:$A$51,0))="","",INDEX(campaigns!$BG$2:$BG$51,MATCH($A86,campaigns!$A$2:$A$51,0))),"")=""),"",$B86-N(IFERROR(IF(INDEX(campaigns!$BG$2:$BG$51,MATCH($A86,campaigns!$A$2:$A$51,0))="","",INDEX(campaigns!$BG$2:$BG$51,MATCH($A86,campaigns!$A$2:$A$51,0))),"")))</f>
        <v/>
      </c>
      <c r="H86" s="25">
        <f>IF($G86="","",IF($G86&gt;=30,"Y","N"))</f>
        <v/>
      </c>
    </row>
    <row r="87">
      <c r="B87" s="9" t="n"/>
      <c r="D87" s="9" t="n"/>
      <c r="G87" s="25">
        <f>IF(OR($A87="",$B87="",IFERROR(IF(INDEX(campaigns!$BG$2:$BG$51,MATCH($A87,campaigns!$A$2:$A$51,0))="","",INDEX(campaigns!$BG$2:$BG$51,MATCH($A87,campaigns!$A$2:$A$51,0))),"")=""),"",$B87-N(IFERROR(IF(INDEX(campaigns!$BG$2:$BG$51,MATCH($A87,campaigns!$A$2:$A$51,0))="","",INDEX(campaigns!$BG$2:$BG$51,MATCH($A87,campaigns!$A$2:$A$51,0))),"")))</f>
        <v/>
      </c>
      <c r="H87" s="25">
        <f>IF($G87="","",IF($G87&gt;=30,"Y","N"))</f>
        <v/>
      </c>
    </row>
    <row r="88">
      <c r="B88" s="9" t="n"/>
      <c r="D88" s="9" t="n"/>
      <c r="G88" s="25">
        <f>IF(OR($A88="",$B88="",IFERROR(IF(INDEX(campaigns!$BG$2:$BG$51,MATCH($A88,campaigns!$A$2:$A$51,0))="","",INDEX(campaigns!$BG$2:$BG$51,MATCH($A88,campaigns!$A$2:$A$51,0))),"")=""),"",$B88-N(IFERROR(IF(INDEX(campaigns!$BG$2:$BG$51,MATCH($A88,campaigns!$A$2:$A$51,0))="","",INDEX(campaigns!$BG$2:$BG$51,MATCH($A88,campaigns!$A$2:$A$51,0))),"")))</f>
        <v/>
      </c>
      <c r="H88" s="25">
        <f>IF($G88="","",IF($G88&gt;=30,"Y","N"))</f>
        <v/>
      </c>
    </row>
    <row r="89">
      <c r="B89" s="9" t="n"/>
      <c r="D89" s="9" t="n"/>
      <c r="G89" s="25">
        <f>IF(OR($A89="",$B89="",IFERROR(IF(INDEX(campaigns!$BG$2:$BG$51,MATCH($A89,campaigns!$A$2:$A$51,0))="","",INDEX(campaigns!$BG$2:$BG$51,MATCH($A89,campaigns!$A$2:$A$51,0))),"")=""),"",$B89-N(IFERROR(IF(INDEX(campaigns!$BG$2:$BG$51,MATCH($A89,campaigns!$A$2:$A$51,0))="","",INDEX(campaigns!$BG$2:$BG$51,MATCH($A89,campaigns!$A$2:$A$51,0))),"")))</f>
        <v/>
      </c>
      <c r="H89" s="25">
        <f>IF($G89="","",IF($G89&gt;=30,"Y","N"))</f>
        <v/>
      </c>
    </row>
    <row r="90">
      <c r="B90" s="9" t="n"/>
      <c r="D90" s="9" t="n"/>
      <c r="G90" s="25">
        <f>IF(OR($A90="",$B90="",IFERROR(IF(INDEX(campaigns!$BG$2:$BG$51,MATCH($A90,campaigns!$A$2:$A$51,0))="","",INDEX(campaigns!$BG$2:$BG$51,MATCH($A90,campaigns!$A$2:$A$51,0))),"")=""),"",$B90-N(IFERROR(IF(INDEX(campaigns!$BG$2:$BG$51,MATCH($A90,campaigns!$A$2:$A$51,0))="","",INDEX(campaigns!$BG$2:$BG$51,MATCH($A90,campaigns!$A$2:$A$51,0))),"")))</f>
        <v/>
      </c>
      <c r="H90" s="25">
        <f>IF($G90="","",IF($G90&gt;=30,"Y","N"))</f>
        <v/>
      </c>
    </row>
    <row r="91">
      <c r="B91" s="9" t="n"/>
      <c r="D91" s="9" t="n"/>
      <c r="G91" s="25">
        <f>IF(OR($A91="",$B91="",IFERROR(IF(INDEX(campaigns!$BG$2:$BG$51,MATCH($A91,campaigns!$A$2:$A$51,0))="","",INDEX(campaigns!$BG$2:$BG$51,MATCH($A91,campaigns!$A$2:$A$51,0))),"")=""),"",$B91-N(IFERROR(IF(INDEX(campaigns!$BG$2:$BG$51,MATCH($A91,campaigns!$A$2:$A$51,0))="","",INDEX(campaigns!$BG$2:$BG$51,MATCH($A91,campaigns!$A$2:$A$51,0))),"")))</f>
        <v/>
      </c>
      <c r="H91" s="25">
        <f>IF($G91="","",IF($G91&gt;=30,"Y","N"))</f>
        <v/>
      </c>
    </row>
    <row r="92">
      <c r="B92" s="9" t="n"/>
      <c r="D92" s="9" t="n"/>
      <c r="G92" s="25">
        <f>IF(OR($A92="",$B92="",IFERROR(IF(INDEX(campaigns!$BG$2:$BG$51,MATCH($A92,campaigns!$A$2:$A$51,0))="","",INDEX(campaigns!$BG$2:$BG$51,MATCH($A92,campaigns!$A$2:$A$51,0))),"")=""),"",$B92-N(IFERROR(IF(INDEX(campaigns!$BG$2:$BG$51,MATCH($A92,campaigns!$A$2:$A$51,0))="","",INDEX(campaigns!$BG$2:$BG$51,MATCH($A92,campaigns!$A$2:$A$51,0))),"")))</f>
        <v/>
      </c>
      <c r="H92" s="25">
        <f>IF($G92="","",IF($G92&gt;=30,"Y","N"))</f>
        <v/>
      </c>
    </row>
    <row r="93">
      <c r="B93" s="9" t="n"/>
      <c r="D93" s="9" t="n"/>
      <c r="G93" s="25">
        <f>IF(OR($A93="",$B93="",IFERROR(IF(INDEX(campaigns!$BG$2:$BG$51,MATCH($A93,campaigns!$A$2:$A$51,0))="","",INDEX(campaigns!$BG$2:$BG$51,MATCH($A93,campaigns!$A$2:$A$51,0))),"")=""),"",$B93-N(IFERROR(IF(INDEX(campaigns!$BG$2:$BG$51,MATCH($A93,campaigns!$A$2:$A$51,0))="","",INDEX(campaigns!$BG$2:$BG$51,MATCH($A93,campaigns!$A$2:$A$51,0))),"")))</f>
        <v/>
      </c>
      <c r="H93" s="25">
        <f>IF($G93="","",IF($G93&gt;=30,"Y","N"))</f>
        <v/>
      </c>
    </row>
    <row r="94">
      <c r="B94" s="9" t="n"/>
      <c r="D94" s="9" t="n"/>
      <c r="G94" s="25">
        <f>IF(OR($A94="",$B94="",IFERROR(IF(INDEX(campaigns!$BG$2:$BG$51,MATCH($A94,campaigns!$A$2:$A$51,0))="","",INDEX(campaigns!$BG$2:$BG$51,MATCH($A94,campaigns!$A$2:$A$51,0))),"")=""),"",$B94-N(IFERROR(IF(INDEX(campaigns!$BG$2:$BG$51,MATCH($A94,campaigns!$A$2:$A$51,0))="","",INDEX(campaigns!$BG$2:$BG$51,MATCH($A94,campaigns!$A$2:$A$51,0))),"")))</f>
        <v/>
      </c>
      <c r="H94" s="25">
        <f>IF($G94="","",IF($G94&gt;=30,"Y","N"))</f>
        <v/>
      </c>
    </row>
    <row r="95">
      <c r="B95" s="9" t="n"/>
      <c r="D95" s="9" t="n"/>
      <c r="G95" s="25">
        <f>IF(OR($A95="",$B95="",IFERROR(IF(INDEX(campaigns!$BG$2:$BG$51,MATCH($A95,campaigns!$A$2:$A$51,0))="","",INDEX(campaigns!$BG$2:$BG$51,MATCH($A95,campaigns!$A$2:$A$51,0))),"")=""),"",$B95-N(IFERROR(IF(INDEX(campaigns!$BG$2:$BG$51,MATCH($A95,campaigns!$A$2:$A$51,0))="","",INDEX(campaigns!$BG$2:$BG$51,MATCH($A95,campaigns!$A$2:$A$51,0))),"")))</f>
        <v/>
      </c>
      <c r="H95" s="25">
        <f>IF($G95="","",IF($G95&gt;=30,"Y","N"))</f>
        <v/>
      </c>
    </row>
    <row r="96">
      <c r="B96" s="9" t="n"/>
      <c r="D96" s="9" t="n"/>
      <c r="G96" s="25">
        <f>IF(OR($A96="",$B96="",IFERROR(IF(INDEX(campaigns!$BG$2:$BG$51,MATCH($A96,campaigns!$A$2:$A$51,0))="","",INDEX(campaigns!$BG$2:$BG$51,MATCH($A96,campaigns!$A$2:$A$51,0))),"")=""),"",$B96-N(IFERROR(IF(INDEX(campaigns!$BG$2:$BG$51,MATCH($A96,campaigns!$A$2:$A$51,0))="","",INDEX(campaigns!$BG$2:$BG$51,MATCH($A96,campaigns!$A$2:$A$51,0))),"")))</f>
        <v/>
      </c>
      <c r="H96" s="25">
        <f>IF($G96="","",IF($G96&gt;=30,"Y","N"))</f>
        <v/>
      </c>
    </row>
    <row r="97">
      <c r="B97" s="9" t="n"/>
      <c r="D97" s="9" t="n"/>
      <c r="G97" s="25">
        <f>IF(OR($A97="",$B97="",IFERROR(IF(INDEX(campaigns!$BG$2:$BG$51,MATCH($A97,campaigns!$A$2:$A$51,0))="","",INDEX(campaigns!$BG$2:$BG$51,MATCH($A97,campaigns!$A$2:$A$51,0))),"")=""),"",$B97-N(IFERROR(IF(INDEX(campaigns!$BG$2:$BG$51,MATCH($A97,campaigns!$A$2:$A$51,0))="","",INDEX(campaigns!$BG$2:$BG$51,MATCH($A97,campaigns!$A$2:$A$51,0))),"")))</f>
        <v/>
      </c>
      <c r="H97" s="25">
        <f>IF($G97="","",IF($G97&gt;=30,"Y","N"))</f>
        <v/>
      </c>
    </row>
    <row r="98">
      <c r="B98" s="9" t="n"/>
      <c r="D98" s="9" t="n"/>
      <c r="G98" s="25">
        <f>IF(OR($A98="",$B98="",IFERROR(IF(INDEX(campaigns!$BG$2:$BG$51,MATCH($A98,campaigns!$A$2:$A$51,0))="","",INDEX(campaigns!$BG$2:$BG$51,MATCH($A98,campaigns!$A$2:$A$51,0))),"")=""),"",$B98-N(IFERROR(IF(INDEX(campaigns!$BG$2:$BG$51,MATCH($A98,campaigns!$A$2:$A$51,0))="","",INDEX(campaigns!$BG$2:$BG$51,MATCH($A98,campaigns!$A$2:$A$51,0))),"")))</f>
        <v/>
      </c>
      <c r="H98" s="25">
        <f>IF($G98="","",IF($G98&gt;=30,"Y","N"))</f>
        <v/>
      </c>
    </row>
    <row r="99">
      <c r="B99" s="9" t="n"/>
      <c r="D99" s="9" t="n"/>
      <c r="G99" s="25">
        <f>IF(OR($A99="",$B99="",IFERROR(IF(INDEX(campaigns!$BG$2:$BG$51,MATCH($A99,campaigns!$A$2:$A$51,0))="","",INDEX(campaigns!$BG$2:$BG$51,MATCH($A99,campaigns!$A$2:$A$51,0))),"")=""),"",$B99-N(IFERROR(IF(INDEX(campaigns!$BG$2:$BG$51,MATCH($A99,campaigns!$A$2:$A$51,0))="","",INDEX(campaigns!$BG$2:$BG$51,MATCH($A99,campaigns!$A$2:$A$51,0))),"")))</f>
        <v/>
      </c>
      <c r="H99" s="25">
        <f>IF($G99="","",IF($G99&gt;=30,"Y","N"))</f>
        <v/>
      </c>
    </row>
    <row r="100">
      <c r="B100" s="9" t="n"/>
      <c r="D100" s="9" t="n"/>
      <c r="G100" s="25">
        <f>IF(OR($A100="",$B100="",IFERROR(IF(INDEX(campaigns!$BG$2:$BG$51,MATCH($A100,campaigns!$A$2:$A$51,0))="","",INDEX(campaigns!$BG$2:$BG$51,MATCH($A100,campaigns!$A$2:$A$51,0))),"")=""),"",$B100-N(IFERROR(IF(INDEX(campaigns!$BG$2:$BG$51,MATCH($A100,campaigns!$A$2:$A$51,0))="","",INDEX(campaigns!$BG$2:$BG$51,MATCH($A100,campaigns!$A$2:$A$51,0))),"")))</f>
        <v/>
      </c>
      <c r="H100" s="25">
        <f>IF($G100="","",IF($G100&gt;=30,"Y","N"))</f>
        <v/>
      </c>
    </row>
    <row r="101">
      <c r="B101" s="9" t="n"/>
      <c r="D101" s="9" t="n"/>
      <c r="G101" s="25">
        <f>IF(OR($A101="",$B101="",IFERROR(IF(INDEX(campaigns!$BG$2:$BG$51,MATCH($A101,campaigns!$A$2:$A$51,0))="","",INDEX(campaigns!$BG$2:$BG$51,MATCH($A101,campaigns!$A$2:$A$51,0))),"")=""),"",$B101-N(IFERROR(IF(INDEX(campaigns!$BG$2:$BG$51,MATCH($A101,campaigns!$A$2:$A$51,0))="","",INDEX(campaigns!$BG$2:$BG$51,MATCH($A101,campaigns!$A$2:$A$51,0))),"")))</f>
        <v/>
      </c>
      <c r="H101" s="25">
        <f>IF($G101="","",IF($G101&gt;=30,"Y","N"))</f>
        <v/>
      </c>
    </row>
    <row r="102">
      <c r="B102" s="9" t="n"/>
      <c r="D102" s="9" t="n"/>
      <c r="G102" s="25">
        <f>IF(OR($A102="",$B102="",IFERROR(IF(INDEX(campaigns!$BG$2:$BG$51,MATCH($A102,campaigns!$A$2:$A$51,0))="","",INDEX(campaigns!$BG$2:$BG$51,MATCH($A102,campaigns!$A$2:$A$51,0))),"")=""),"",$B102-N(IFERROR(IF(INDEX(campaigns!$BG$2:$BG$51,MATCH($A102,campaigns!$A$2:$A$51,0))="","",INDEX(campaigns!$BG$2:$BG$51,MATCH($A102,campaigns!$A$2:$A$51,0))),"")))</f>
        <v/>
      </c>
      <c r="H102" s="25">
        <f>IF($G102="","",IF($G102&gt;=30,"Y","N"))</f>
        <v/>
      </c>
    </row>
    <row r="103">
      <c r="B103" s="9" t="n"/>
      <c r="D103" s="9" t="n"/>
      <c r="G103" s="25">
        <f>IF(OR($A103="",$B103="",IFERROR(IF(INDEX(campaigns!$BG$2:$BG$51,MATCH($A103,campaigns!$A$2:$A$51,0))="","",INDEX(campaigns!$BG$2:$BG$51,MATCH($A103,campaigns!$A$2:$A$51,0))),"")=""),"",$B103-N(IFERROR(IF(INDEX(campaigns!$BG$2:$BG$51,MATCH($A103,campaigns!$A$2:$A$51,0))="","",INDEX(campaigns!$BG$2:$BG$51,MATCH($A103,campaigns!$A$2:$A$51,0))),"")))</f>
        <v/>
      </c>
      <c r="H103" s="25">
        <f>IF($G103="","",IF($G103&gt;=30,"Y","N"))</f>
        <v/>
      </c>
    </row>
    <row r="104">
      <c r="B104" s="9" t="n"/>
      <c r="D104" s="9" t="n"/>
      <c r="G104" s="25">
        <f>IF(OR($A104="",$B104="",IFERROR(IF(INDEX(campaigns!$BG$2:$BG$51,MATCH($A104,campaigns!$A$2:$A$51,0))="","",INDEX(campaigns!$BG$2:$BG$51,MATCH($A104,campaigns!$A$2:$A$51,0))),"")=""),"",$B104-N(IFERROR(IF(INDEX(campaigns!$BG$2:$BG$51,MATCH($A104,campaigns!$A$2:$A$51,0))="","",INDEX(campaigns!$BG$2:$BG$51,MATCH($A104,campaigns!$A$2:$A$51,0))),"")))</f>
        <v/>
      </c>
      <c r="H104" s="25">
        <f>IF($G104="","",IF($G104&gt;=30,"Y","N"))</f>
        <v/>
      </c>
    </row>
    <row r="105">
      <c r="B105" s="9" t="n"/>
      <c r="D105" s="9" t="n"/>
      <c r="G105" s="25">
        <f>IF(OR($A105="",$B105="",IFERROR(IF(INDEX(campaigns!$BG$2:$BG$51,MATCH($A105,campaigns!$A$2:$A$51,0))="","",INDEX(campaigns!$BG$2:$BG$51,MATCH($A105,campaigns!$A$2:$A$51,0))),"")=""),"",$B105-N(IFERROR(IF(INDEX(campaigns!$BG$2:$BG$51,MATCH($A105,campaigns!$A$2:$A$51,0))="","",INDEX(campaigns!$BG$2:$BG$51,MATCH($A105,campaigns!$A$2:$A$51,0))),"")))</f>
        <v/>
      </c>
      <c r="H105" s="25">
        <f>IF($G105="","",IF($G105&gt;=30,"Y","N"))</f>
        <v/>
      </c>
    </row>
    <row r="106">
      <c r="B106" s="9" t="n"/>
      <c r="D106" s="9" t="n"/>
      <c r="G106" s="25">
        <f>IF(OR($A106="",$B106="",IFERROR(IF(INDEX(campaigns!$BG$2:$BG$51,MATCH($A106,campaigns!$A$2:$A$51,0))="","",INDEX(campaigns!$BG$2:$BG$51,MATCH($A106,campaigns!$A$2:$A$51,0))),"")=""),"",$B106-N(IFERROR(IF(INDEX(campaigns!$BG$2:$BG$51,MATCH($A106,campaigns!$A$2:$A$51,0))="","",INDEX(campaigns!$BG$2:$BG$51,MATCH($A106,campaigns!$A$2:$A$51,0))),"")))</f>
        <v/>
      </c>
      <c r="H106" s="25">
        <f>IF($G106="","",IF($G106&gt;=30,"Y","N"))</f>
        <v/>
      </c>
    </row>
    <row r="107">
      <c r="B107" s="9" t="n"/>
      <c r="D107" s="9" t="n"/>
      <c r="G107" s="25">
        <f>IF(OR($A107="",$B107="",IFERROR(IF(INDEX(campaigns!$BG$2:$BG$51,MATCH($A107,campaigns!$A$2:$A$51,0))="","",INDEX(campaigns!$BG$2:$BG$51,MATCH($A107,campaigns!$A$2:$A$51,0))),"")=""),"",$B107-N(IFERROR(IF(INDEX(campaigns!$BG$2:$BG$51,MATCH($A107,campaigns!$A$2:$A$51,0))="","",INDEX(campaigns!$BG$2:$BG$51,MATCH($A107,campaigns!$A$2:$A$51,0))),"")))</f>
        <v/>
      </c>
      <c r="H107" s="25">
        <f>IF($G107="","",IF($G107&gt;=30,"Y","N"))</f>
        <v/>
      </c>
    </row>
    <row r="108">
      <c r="B108" s="9" t="n"/>
      <c r="D108" s="9" t="n"/>
      <c r="G108" s="25">
        <f>IF(OR($A108="",$B108="",IFERROR(IF(INDEX(campaigns!$BG$2:$BG$51,MATCH($A108,campaigns!$A$2:$A$51,0))="","",INDEX(campaigns!$BG$2:$BG$51,MATCH($A108,campaigns!$A$2:$A$51,0))),"")=""),"",$B108-N(IFERROR(IF(INDEX(campaigns!$BG$2:$BG$51,MATCH($A108,campaigns!$A$2:$A$51,0))="","",INDEX(campaigns!$BG$2:$BG$51,MATCH($A108,campaigns!$A$2:$A$51,0))),"")))</f>
        <v/>
      </c>
      <c r="H108" s="25">
        <f>IF($G108="","",IF($G108&gt;=30,"Y","N"))</f>
        <v/>
      </c>
    </row>
    <row r="109">
      <c r="B109" s="9" t="n"/>
      <c r="D109" s="9" t="n"/>
      <c r="G109" s="25">
        <f>IF(OR($A109="",$B109="",IFERROR(IF(INDEX(campaigns!$BG$2:$BG$51,MATCH($A109,campaigns!$A$2:$A$51,0))="","",INDEX(campaigns!$BG$2:$BG$51,MATCH($A109,campaigns!$A$2:$A$51,0))),"")=""),"",$B109-N(IFERROR(IF(INDEX(campaigns!$BG$2:$BG$51,MATCH($A109,campaigns!$A$2:$A$51,0))="","",INDEX(campaigns!$BG$2:$BG$51,MATCH($A109,campaigns!$A$2:$A$51,0))),"")))</f>
        <v/>
      </c>
      <c r="H109" s="25">
        <f>IF($G109="","",IF($G109&gt;=30,"Y","N"))</f>
        <v/>
      </c>
    </row>
    <row r="110">
      <c r="B110" s="9" t="n"/>
      <c r="D110" s="9" t="n"/>
      <c r="G110" s="25">
        <f>IF(OR($A110="",$B110="",IFERROR(IF(INDEX(campaigns!$BG$2:$BG$51,MATCH($A110,campaigns!$A$2:$A$51,0))="","",INDEX(campaigns!$BG$2:$BG$51,MATCH($A110,campaigns!$A$2:$A$51,0))),"")=""),"",$B110-N(IFERROR(IF(INDEX(campaigns!$BG$2:$BG$51,MATCH($A110,campaigns!$A$2:$A$51,0))="","",INDEX(campaigns!$BG$2:$BG$51,MATCH($A110,campaigns!$A$2:$A$51,0))),"")))</f>
        <v/>
      </c>
      <c r="H110" s="25">
        <f>IF($G110="","",IF($G110&gt;=30,"Y","N"))</f>
        <v/>
      </c>
    </row>
    <row r="111">
      <c r="B111" s="9" t="n"/>
      <c r="D111" s="9" t="n"/>
      <c r="G111" s="25">
        <f>IF(OR($A111="",$B111="",IFERROR(IF(INDEX(campaigns!$BG$2:$BG$51,MATCH($A111,campaigns!$A$2:$A$51,0))="","",INDEX(campaigns!$BG$2:$BG$51,MATCH($A111,campaigns!$A$2:$A$51,0))),"")=""),"",$B111-N(IFERROR(IF(INDEX(campaigns!$BG$2:$BG$51,MATCH($A111,campaigns!$A$2:$A$51,0))="","",INDEX(campaigns!$BG$2:$BG$51,MATCH($A111,campaigns!$A$2:$A$51,0))),"")))</f>
        <v/>
      </c>
      <c r="H111" s="25">
        <f>IF($G111="","",IF($G111&gt;=30,"Y","N"))</f>
        <v/>
      </c>
    </row>
    <row r="112">
      <c r="B112" s="9" t="n"/>
      <c r="D112" s="9" t="n"/>
      <c r="G112" s="25">
        <f>IF(OR($A112="",$B112="",IFERROR(IF(INDEX(campaigns!$BG$2:$BG$51,MATCH($A112,campaigns!$A$2:$A$51,0))="","",INDEX(campaigns!$BG$2:$BG$51,MATCH($A112,campaigns!$A$2:$A$51,0))),"")=""),"",$B112-N(IFERROR(IF(INDEX(campaigns!$BG$2:$BG$51,MATCH($A112,campaigns!$A$2:$A$51,0))="","",INDEX(campaigns!$BG$2:$BG$51,MATCH($A112,campaigns!$A$2:$A$51,0))),"")))</f>
        <v/>
      </c>
      <c r="H112" s="25">
        <f>IF($G112="","",IF($G112&gt;=30,"Y","N"))</f>
        <v/>
      </c>
    </row>
    <row r="113">
      <c r="B113" s="9" t="n"/>
      <c r="D113" s="9" t="n"/>
      <c r="G113" s="25">
        <f>IF(OR($A113="",$B113="",IFERROR(IF(INDEX(campaigns!$BG$2:$BG$51,MATCH($A113,campaigns!$A$2:$A$51,0))="","",INDEX(campaigns!$BG$2:$BG$51,MATCH($A113,campaigns!$A$2:$A$51,0))),"")=""),"",$B113-N(IFERROR(IF(INDEX(campaigns!$BG$2:$BG$51,MATCH($A113,campaigns!$A$2:$A$51,0))="","",INDEX(campaigns!$BG$2:$BG$51,MATCH($A113,campaigns!$A$2:$A$51,0))),"")))</f>
        <v/>
      </c>
      <c r="H113" s="25">
        <f>IF($G113="","",IF($G113&gt;=30,"Y","N"))</f>
        <v/>
      </c>
    </row>
    <row r="114">
      <c r="B114" s="9" t="n"/>
      <c r="D114" s="9" t="n"/>
      <c r="G114" s="25">
        <f>IF(OR($A114="",$B114="",IFERROR(IF(INDEX(campaigns!$BG$2:$BG$51,MATCH($A114,campaigns!$A$2:$A$51,0))="","",INDEX(campaigns!$BG$2:$BG$51,MATCH($A114,campaigns!$A$2:$A$51,0))),"")=""),"",$B114-N(IFERROR(IF(INDEX(campaigns!$BG$2:$BG$51,MATCH($A114,campaigns!$A$2:$A$51,0))="","",INDEX(campaigns!$BG$2:$BG$51,MATCH($A114,campaigns!$A$2:$A$51,0))),"")))</f>
        <v/>
      </c>
      <c r="H114" s="25">
        <f>IF($G114="","",IF($G114&gt;=30,"Y","N"))</f>
        <v/>
      </c>
    </row>
    <row r="115">
      <c r="B115" s="9" t="n"/>
      <c r="D115" s="9" t="n"/>
      <c r="G115" s="25">
        <f>IF(OR($A115="",$B115="",IFERROR(IF(INDEX(campaigns!$BG$2:$BG$51,MATCH($A115,campaigns!$A$2:$A$51,0))="","",INDEX(campaigns!$BG$2:$BG$51,MATCH($A115,campaigns!$A$2:$A$51,0))),"")=""),"",$B115-N(IFERROR(IF(INDEX(campaigns!$BG$2:$BG$51,MATCH($A115,campaigns!$A$2:$A$51,0))="","",INDEX(campaigns!$BG$2:$BG$51,MATCH($A115,campaigns!$A$2:$A$51,0))),"")))</f>
        <v/>
      </c>
      <c r="H115" s="25">
        <f>IF($G115="","",IF($G115&gt;=30,"Y","N"))</f>
        <v/>
      </c>
    </row>
    <row r="116">
      <c r="B116" s="9" t="n"/>
      <c r="D116" s="9" t="n"/>
      <c r="G116" s="25">
        <f>IF(OR($A116="",$B116="",IFERROR(IF(INDEX(campaigns!$BG$2:$BG$51,MATCH($A116,campaigns!$A$2:$A$51,0))="","",INDEX(campaigns!$BG$2:$BG$51,MATCH($A116,campaigns!$A$2:$A$51,0))),"")=""),"",$B116-N(IFERROR(IF(INDEX(campaigns!$BG$2:$BG$51,MATCH($A116,campaigns!$A$2:$A$51,0))="","",INDEX(campaigns!$BG$2:$BG$51,MATCH($A116,campaigns!$A$2:$A$51,0))),"")))</f>
        <v/>
      </c>
      <c r="H116" s="25">
        <f>IF($G116="","",IF($G116&gt;=30,"Y","N"))</f>
        <v/>
      </c>
    </row>
    <row r="117">
      <c r="B117" s="9" t="n"/>
      <c r="D117" s="9" t="n"/>
      <c r="G117" s="25">
        <f>IF(OR($A117="",$B117="",IFERROR(IF(INDEX(campaigns!$BG$2:$BG$51,MATCH($A117,campaigns!$A$2:$A$51,0))="","",INDEX(campaigns!$BG$2:$BG$51,MATCH($A117,campaigns!$A$2:$A$51,0))),"")=""),"",$B117-N(IFERROR(IF(INDEX(campaigns!$BG$2:$BG$51,MATCH($A117,campaigns!$A$2:$A$51,0))="","",INDEX(campaigns!$BG$2:$BG$51,MATCH($A117,campaigns!$A$2:$A$51,0))),"")))</f>
        <v/>
      </c>
      <c r="H117" s="25">
        <f>IF($G117="","",IF($G117&gt;=30,"Y","N"))</f>
        <v/>
      </c>
    </row>
    <row r="118">
      <c r="B118" s="9" t="n"/>
      <c r="D118" s="9" t="n"/>
      <c r="G118" s="25">
        <f>IF(OR($A118="",$B118="",IFERROR(IF(INDEX(campaigns!$BG$2:$BG$51,MATCH($A118,campaigns!$A$2:$A$51,0))="","",INDEX(campaigns!$BG$2:$BG$51,MATCH($A118,campaigns!$A$2:$A$51,0))),"")=""),"",$B118-N(IFERROR(IF(INDEX(campaigns!$BG$2:$BG$51,MATCH($A118,campaigns!$A$2:$A$51,0))="","",INDEX(campaigns!$BG$2:$BG$51,MATCH($A118,campaigns!$A$2:$A$51,0))),"")))</f>
        <v/>
      </c>
      <c r="H118" s="25">
        <f>IF($G118="","",IF($G118&gt;=30,"Y","N"))</f>
        <v/>
      </c>
    </row>
    <row r="119">
      <c r="B119" s="9" t="n"/>
      <c r="D119" s="9" t="n"/>
      <c r="G119" s="25">
        <f>IF(OR($A119="",$B119="",IFERROR(IF(INDEX(campaigns!$BG$2:$BG$51,MATCH($A119,campaigns!$A$2:$A$51,0))="","",INDEX(campaigns!$BG$2:$BG$51,MATCH($A119,campaigns!$A$2:$A$51,0))),"")=""),"",$B119-N(IFERROR(IF(INDEX(campaigns!$BG$2:$BG$51,MATCH($A119,campaigns!$A$2:$A$51,0))="","",INDEX(campaigns!$BG$2:$BG$51,MATCH($A119,campaigns!$A$2:$A$51,0))),"")))</f>
        <v/>
      </c>
      <c r="H119" s="25">
        <f>IF($G119="","",IF($G119&gt;=30,"Y","N"))</f>
        <v/>
      </c>
    </row>
    <row r="120">
      <c r="B120" s="9" t="n"/>
      <c r="D120" s="9" t="n"/>
      <c r="G120" s="25">
        <f>IF(OR($A120="",$B120="",IFERROR(IF(INDEX(campaigns!$BG$2:$BG$51,MATCH($A120,campaigns!$A$2:$A$51,0))="","",INDEX(campaigns!$BG$2:$BG$51,MATCH($A120,campaigns!$A$2:$A$51,0))),"")=""),"",$B120-N(IFERROR(IF(INDEX(campaigns!$BG$2:$BG$51,MATCH($A120,campaigns!$A$2:$A$51,0))="","",INDEX(campaigns!$BG$2:$BG$51,MATCH($A120,campaigns!$A$2:$A$51,0))),"")))</f>
        <v/>
      </c>
      <c r="H120" s="25">
        <f>IF($G120="","",IF($G120&gt;=30,"Y","N"))</f>
        <v/>
      </c>
    </row>
    <row r="121">
      <c r="B121" s="9" t="n"/>
      <c r="D121" s="9" t="n"/>
      <c r="G121" s="25">
        <f>IF(OR($A121="",$B121="",IFERROR(IF(INDEX(campaigns!$BG$2:$BG$51,MATCH($A121,campaigns!$A$2:$A$51,0))="","",INDEX(campaigns!$BG$2:$BG$51,MATCH($A121,campaigns!$A$2:$A$51,0))),"")=""),"",$B121-N(IFERROR(IF(INDEX(campaigns!$BG$2:$BG$51,MATCH($A121,campaigns!$A$2:$A$51,0))="","",INDEX(campaigns!$BG$2:$BG$51,MATCH($A121,campaigns!$A$2:$A$51,0))),"")))</f>
        <v/>
      </c>
      <c r="H121" s="25">
        <f>IF($G121="","",IF($G121&gt;=30,"Y","N"))</f>
        <v/>
      </c>
    </row>
  </sheetData>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tabColor rgb="00FCE4D6"/>
    <outlinePr summaryBelow="1" summaryRight="1"/>
    <pageSetUpPr/>
  </sheetPr>
  <dimension ref="A1:O1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8" customWidth="1" min="3" max="3"/>
    <col width="14" customWidth="1" min="4" max="4"/>
    <col width="14" customWidth="1" min="5" max="5"/>
    <col width="14" customWidth="1" min="6" max="6"/>
    <col width="14" customWidth="1" min="7" max="7"/>
    <col width="34" customWidth="1" min="8" max="8"/>
    <col width="30" customWidth="1" min="9" max="9"/>
    <col width="14" customWidth="1" min="10" max="10"/>
    <col width="14" customWidth="1" min="11" max="11"/>
    <col width="14" customWidth="1" min="12" max="12"/>
    <col width="20" customWidth="1" min="13" max="13"/>
    <col width="7" customWidth="1" min="14" max="14"/>
    <col width="34" customWidth="1" min="15" max="15"/>
  </cols>
  <sheetData>
    <row r="1">
      <c r="A1" s="23" t="inlineStr">
        <is>
          <t>issue_id</t>
        </is>
      </c>
      <c r="B1" s="23" t="inlineStr">
        <is>
          <t>date</t>
        </is>
      </c>
      <c r="C1" s="23" t="inlineStr">
        <is>
          <t>time</t>
        </is>
      </c>
      <c r="D1" s="23" t="inlineStr">
        <is>
          <t>drop_id</t>
        </is>
      </c>
      <c r="E1" s="23" t="inlineStr">
        <is>
          <t>campaign_id</t>
        </is>
      </c>
      <c r="F1" s="23" t="inlineStr">
        <is>
          <t>office_id</t>
        </is>
      </c>
      <c r="G1" s="23" t="inlineStr">
        <is>
          <t>issue_type</t>
        </is>
      </c>
      <c r="H1" s="23" t="inlineStr">
        <is>
          <t>what_happened</t>
        </is>
      </c>
      <c r="I1" s="23" t="inlineStr">
        <is>
          <t>action_taken</t>
        </is>
      </c>
      <c r="J1" s="23" t="inlineStr">
        <is>
          <t>brand_told_date</t>
        </is>
      </c>
      <c r="K1" s="23" t="inlineStr">
        <is>
          <t>office_told_date</t>
        </is>
      </c>
      <c r="L1" s="23" t="inlineStr">
        <is>
          <t>closed_date</t>
        </is>
      </c>
      <c r="M1" s="23" t="inlineStr">
        <is>
          <t>note</t>
        </is>
      </c>
      <c r="N1" s="24" t="inlineStr">
        <is>
          <t>days_open</t>
        </is>
      </c>
      <c r="O1" s="24" t="inlineStr">
        <is>
          <t>checks</t>
        </is>
      </c>
    </row>
    <row r="2">
      <c r="A2" t="inlineStr">
        <is>
          <t>SAMPLE-ISS-001</t>
        </is>
      </c>
      <c r="B2" s="9" t="n">
        <v>46386</v>
      </c>
      <c r="C2" s="33" t="n">
        <v>0.4791666666666667</v>
      </c>
      <c r="D2" t="inlineStr">
        <is>
          <t>SAMPLE-DRP-001</t>
        </is>
      </c>
      <c r="E2" t="inlineStr">
        <is>
          <t>SAMPLE-CMP-002</t>
        </is>
      </c>
      <c r="G2" t="inlineStr">
        <is>
          <t>damaged_or_short_dated</t>
        </is>
      </c>
      <c r="H2" t="inlineStr">
        <is>
          <t>SAMPLE 12 cans with best-by 2027-03-01 (under 60 days on the drop day) and 4 dented cans on arrival.</t>
        </is>
      </c>
      <c r="I2" t="inlineStr">
        <is>
          <t>SAMPLE photographed, set aside, counts sent; brand asked for return with the leftovers.</t>
        </is>
      </c>
      <c r="J2" s="9" t="n">
        <v>46386</v>
      </c>
      <c r="K2" s="9" t="n"/>
      <c r="L2" s="9" t="n">
        <v>46409</v>
      </c>
      <c r="N2" s="25">
        <f>IF($B2="","",IF($L2="",IF(config!$B$37&lt;&gt;"",config!$B$37,TODAY())-$B2,$L2-$B2))</f>
        <v/>
      </c>
      <c r="O2" s="25">
        <f>IF($B2="","",IF(AND($G2="complaint_or_reaction",OR($J2="",$J2&gt;$B2)),"REMOVE the product at that office and tell the brand TODAY; ","")&amp;IF(AND($G2="recall_or_pull",$L2=""),"pull from every office within one business day; tell every office today; ","")&amp;IF($G2="brand_asks_employee_data","info: decline: we collect no employee data; ","")&amp;IF(AND($G2="late_arrival",$L2=""),"not in by T-3: slip one week (tools/opscal.py slip), tell every office today; ",""))</f>
        <v/>
      </c>
    </row>
    <row r="3">
      <c r="A3" t="inlineStr">
        <is>
          <t>SAMPLE-ISS-002</t>
        </is>
      </c>
      <c r="B3" s="9" t="n">
        <v>46399</v>
      </c>
      <c r="C3" s="33" t="n">
        <v>0.4527777777777778</v>
      </c>
      <c r="D3" t="inlineStr">
        <is>
          <t>SAMPLE-DRP-001</t>
        </is>
      </c>
      <c r="F3" t="inlineStr">
        <is>
          <t>SAMPLE-O-004</t>
        </is>
      </c>
      <c r="G3" t="inlineStr">
        <is>
          <t>owner_absent</t>
        </is>
      </c>
      <c r="H3" t="inlineStr">
        <is>
          <t>SAMPLE owner out; mailroom signed for both cases, as agreed at intake.</t>
        </is>
      </c>
      <c r="I3" t="inlineStr">
        <is>
          <t>SAMPLE texted owner; owner placed the drinks Wednesday and the crisps Thursday.</t>
        </is>
      </c>
      <c r="J3" s="9" t="n"/>
      <c r="K3" s="9" t="n">
        <v>46399</v>
      </c>
      <c r="L3" s="9" t="n">
        <v>46401</v>
      </c>
      <c r="N3" s="25">
        <f>IF($B3="","",IF($L3="",IF(config!$B$37&lt;&gt;"",config!$B$37,TODAY())-$B3,$L3-$B3))</f>
        <v/>
      </c>
      <c r="O3" s="25">
        <f>IF($B3="","",IF(AND($G3="complaint_or_reaction",OR($J3="",$J3&gt;$B3)),"REMOVE the product at that office and tell the brand TODAY; ","")&amp;IF(AND($G3="recall_or_pull",$L3=""),"pull from every office within one business day; tell every office today; ","")&amp;IF($G3="brand_asks_employee_data","info: decline: we collect no employee data; ","")&amp;IF(AND($G3="late_arrival",$L3=""),"not in by T-3: slip one week (tools/opscal.py slip), tell every office today; ",""))</f>
        <v/>
      </c>
    </row>
    <row r="4">
      <c r="A4" t="inlineStr">
        <is>
          <t>SAMPLE-ISS-003</t>
        </is>
      </c>
      <c r="B4" s="9" t="n">
        <v>46400</v>
      </c>
      <c r="C4" s="33" t="n">
        <v>0.7083333333333334</v>
      </c>
      <c r="D4" t="inlineStr">
        <is>
          <t>SAMPLE-DRP-001</t>
        </is>
      </c>
      <c r="E4" t="inlineStr">
        <is>
          <t>SAMPLE-CMP-001</t>
        </is>
      </c>
      <c r="F4" t="inlineStr">
        <is>
          <t>SAMPLE-O-004</t>
        </is>
      </c>
      <c r="G4" t="inlineStr">
        <is>
          <t>placement_late</t>
        </is>
      </c>
      <c r="H4" t="inlineStr">
        <is>
          <t>SAMPLE crisps not placed by T+1 at office D; placed on day 3.</t>
        </is>
      </c>
      <c r="I4" t="inlineStr">
        <is>
          <t>SAMPLE refunded $120 (credit note SAMPLE-INV-003); agree a placement time at intake.</t>
        </is>
      </c>
      <c r="J4" s="9" t="n">
        <v>46400</v>
      </c>
      <c r="K4" s="9" t="n">
        <v>46400</v>
      </c>
      <c r="L4" s="9" t="n">
        <v>46402</v>
      </c>
      <c r="N4" s="25">
        <f>IF($B4="","",IF($L4="",IF(config!$B$37&lt;&gt;"",config!$B$37,TODAY())-$B4,$L4-$B4))</f>
        <v/>
      </c>
      <c r="O4" s="25">
        <f>IF($B4="","",IF(AND($G4="complaint_or_reaction",OR($J4="",$J4&gt;$B4)),"REMOVE the product at that office and tell the brand TODAY; ","")&amp;IF(AND($G4="recall_or_pull",$L4=""),"pull from every office within one business day; tell every office today; ","")&amp;IF($G4="brand_asks_employee_data","info: decline: we collect no employee data; ","")&amp;IF(AND($G4="late_arrival",$L4=""),"not in by T-3: slip one week (tools/opscal.py slip), tell every office today; ",""))</f>
        <v/>
      </c>
    </row>
    <row r="5">
      <c r="A5" t="inlineStr">
        <is>
          <t>SAMPLE-ISS-005</t>
        </is>
      </c>
      <c r="B5" s="9" t="n">
        <v>46395</v>
      </c>
      <c r="C5" s="33" t="n">
        <v>0.4166666666666667</v>
      </c>
      <c r="D5" t="inlineStr">
        <is>
          <t>SAMPLE-DRP-002</t>
        </is>
      </c>
      <c r="E5" t="inlineStr">
        <is>
          <t>SAMPLE-CMP-004</t>
        </is>
      </c>
      <c r="F5" t="inlineStr">
        <is>
          <t>SAMPLE-O-007</t>
        </is>
      </c>
      <c r="G5" t="inlineStr">
        <is>
          <t>other</t>
        </is>
      </c>
      <c r="H5" t="inlineStr">
        <is>
          <t>SAMPLE office vetoes tree nuts; the package says packed in a facility that also handles tree nuts.</t>
        </is>
      </c>
      <c r="I5" t="inlineStr">
        <is>
          <t>SAMPLE office said no; no roster office free; $150 off the balance.</t>
        </is>
      </c>
      <c r="J5" s="9" t="n">
        <v>46395</v>
      </c>
      <c r="K5" s="9" t="n">
        <v>46395</v>
      </c>
      <c r="L5" s="9" t="n">
        <v>46428</v>
      </c>
      <c r="N5" s="25">
        <f>IF($B5="","",IF($L5="",IF(config!$B$37&lt;&gt;"",config!$B$37,TODAY())-$B5,$L5-$B5))</f>
        <v/>
      </c>
      <c r="O5" s="25">
        <f>IF($B5="","",IF(AND($G5="complaint_or_reaction",OR($J5="",$J5&gt;$B5)),"REMOVE the product at that office and tell the brand TODAY; ","")&amp;IF(AND($G5="recall_or_pull",$L5=""),"pull from every office within one business day; tell every office today; ","")&amp;IF($G5="brand_asks_employee_data","info: decline: we collect no employee data; ","")&amp;IF(AND($G5="late_arrival",$L5=""),"not in by T-3: slip one week (tools/opscal.py slip), tell every office today; ",""))</f>
        <v/>
      </c>
    </row>
    <row r="6">
      <c r="B6" s="9" t="n"/>
      <c r="C6" s="33" t="n"/>
      <c r="J6" s="9" t="n"/>
      <c r="K6" s="9" t="n"/>
      <c r="L6" s="9" t="n"/>
      <c r="N6" s="25">
        <f>IF($B6="","",IF($L6="",IF(config!$B$37&lt;&gt;"",config!$B$37,TODAY())-$B6,$L6-$B6))</f>
        <v/>
      </c>
      <c r="O6" s="25">
        <f>IF($B6="","",IF(AND($G6="complaint_or_reaction",OR($J6="",$J6&gt;$B6)),"REMOVE the product at that office and tell the brand TODAY; ","")&amp;IF(AND($G6="recall_or_pull",$L6=""),"pull from every office within one business day; tell every office today; ","")&amp;IF($G6="brand_asks_employee_data","info: decline: we collect no employee data; ","")&amp;IF(AND($G6="late_arrival",$L6=""),"not in by T-3: slip one week (tools/opscal.py slip), tell every office today; ",""))</f>
        <v/>
      </c>
    </row>
    <row r="7">
      <c r="B7" s="9" t="n"/>
      <c r="C7" s="33" t="n"/>
      <c r="J7" s="9" t="n"/>
      <c r="K7" s="9" t="n"/>
      <c r="L7" s="9" t="n"/>
      <c r="N7" s="25">
        <f>IF($B7="","",IF($L7="",IF(config!$B$37&lt;&gt;"",config!$B$37,TODAY())-$B7,$L7-$B7))</f>
        <v/>
      </c>
      <c r="O7" s="25">
        <f>IF($B7="","",IF(AND($G7="complaint_or_reaction",OR($J7="",$J7&gt;$B7)),"REMOVE the product at that office and tell the brand TODAY; ","")&amp;IF(AND($G7="recall_or_pull",$L7=""),"pull from every office within one business day; tell every office today; ","")&amp;IF($G7="brand_asks_employee_data","info: decline: we collect no employee data; ","")&amp;IF(AND($G7="late_arrival",$L7=""),"not in by T-3: slip one week (tools/opscal.py slip), tell every office today; ",""))</f>
        <v/>
      </c>
    </row>
    <row r="8">
      <c r="B8" s="9" t="n"/>
      <c r="C8" s="33" t="n"/>
      <c r="J8" s="9" t="n"/>
      <c r="K8" s="9" t="n"/>
      <c r="L8" s="9" t="n"/>
      <c r="N8" s="25">
        <f>IF($B8="","",IF($L8="",IF(config!$B$37&lt;&gt;"",config!$B$37,TODAY())-$B8,$L8-$B8))</f>
        <v/>
      </c>
      <c r="O8" s="25">
        <f>IF($B8="","",IF(AND($G8="complaint_or_reaction",OR($J8="",$J8&gt;$B8)),"REMOVE the product at that office and tell the brand TODAY; ","")&amp;IF(AND($G8="recall_or_pull",$L8=""),"pull from every office within one business day; tell every office today; ","")&amp;IF($G8="brand_asks_employee_data","info: decline: we collect no employee data; ","")&amp;IF(AND($G8="late_arrival",$L8=""),"not in by T-3: slip one week (tools/opscal.py slip), tell every office today; ",""))</f>
        <v/>
      </c>
    </row>
    <row r="9">
      <c r="B9" s="9" t="n"/>
      <c r="C9" s="33" t="n"/>
      <c r="J9" s="9" t="n"/>
      <c r="K9" s="9" t="n"/>
      <c r="L9" s="9" t="n"/>
      <c r="N9" s="25">
        <f>IF($B9="","",IF($L9="",IF(config!$B$37&lt;&gt;"",config!$B$37,TODAY())-$B9,$L9-$B9))</f>
        <v/>
      </c>
      <c r="O9" s="25">
        <f>IF($B9="","",IF(AND($G9="complaint_or_reaction",OR($J9="",$J9&gt;$B9)),"REMOVE the product at that office and tell the brand TODAY; ","")&amp;IF(AND($G9="recall_or_pull",$L9=""),"pull from every office within one business day; tell every office today; ","")&amp;IF($G9="brand_asks_employee_data","info: decline: we collect no employee data; ","")&amp;IF(AND($G9="late_arrival",$L9=""),"not in by T-3: slip one week (tools/opscal.py slip), tell every office today; ",""))</f>
        <v/>
      </c>
    </row>
    <row r="10">
      <c r="B10" s="9" t="n"/>
      <c r="C10" s="33" t="n"/>
      <c r="J10" s="9" t="n"/>
      <c r="K10" s="9" t="n"/>
      <c r="L10" s="9" t="n"/>
      <c r="N10" s="25">
        <f>IF($B10="","",IF($L10="",IF(config!$B$37&lt;&gt;"",config!$B$37,TODAY())-$B10,$L10-$B10))</f>
        <v/>
      </c>
      <c r="O10" s="25">
        <f>IF($B10="","",IF(AND($G10="complaint_or_reaction",OR($J10="",$J10&gt;$B10)),"REMOVE the product at that office and tell the brand TODAY; ","")&amp;IF(AND($G10="recall_or_pull",$L10=""),"pull from every office within one business day; tell every office today; ","")&amp;IF($G10="brand_asks_employee_data","info: decline: we collect no employee data; ","")&amp;IF(AND($G10="late_arrival",$L10=""),"not in by T-3: slip one week (tools/opscal.py slip), tell every office today; ",""))</f>
        <v/>
      </c>
    </row>
    <row r="11">
      <c r="B11" s="9" t="n"/>
      <c r="C11" s="33" t="n"/>
      <c r="J11" s="9" t="n"/>
      <c r="K11" s="9" t="n"/>
      <c r="L11" s="9" t="n"/>
      <c r="N11" s="25">
        <f>IF($B11="","",IF($L11="",IF(config!$B$37&lt;&gt;"",config!$B$37,TODAY())-$B11,$L11-$B11))</f>
        <v/>
      </c>
      <c r="O11" s="25">
        <f>IF($B11="","",IF(AND($G11="complaint_or_reaction",OR($J11="",$J11&gt;$B11)),"REMOVE the product at that office and tell the brand TODAY; ","")&amp;IF(AND($G11="recall_or_pull",$L11=""),"pull from every office within one business day; tell every office today; ","")&amp;IF($G11="brand_asks_employee_data","info: decline: we collect no employee data; ","")&amp;IF(AND($G11="late_arrival",$L11=""),"not in by T-3: slip one week (tools/opscal.py slip), tell every office today; ",""))</f>
        <v/>
      </c>
    </row>
    <row r="12">
      <c r="B12" s="9" t="n"/>
      <c r="C12" s="33" t="n"/>
      <c r="J12" s="9" t="n"/>
      <c r="K12" s="9" t="n"/>
      <c r="L12" s="9" t="n"/>
      <c r="N12" s="25">
        <f>IF($B12="","",IF($L12="",IF(config!$B$37&lt;&gt;"",config!$B$37,TODAY())-$B12,$L12-$B12))</f>
        <v/>
      </c>
      <c r="O12" s="25">
        <f>IF($B12="","",IF(AND($G12="complaint_or_reaction",OR($J12="",$J12&gt;$B12)),"REMOVE the product at that office and tell the brand TODAY; ","")&amp;IF(AND($G12="recall_or_pull",$L12=""),"pull from every office within one business day; tell every office today; ","")&amp;IF($G12="brand_asks_employee_data","info: decline: we collect no employee data; ","")&amp;IF(AND($G12="late_arrival",$L12=""),"not in by T-3: slip one week (tools/opscal.py slip), tell every office today; ",""))</f>
        <v/>
      </c>
    </row>
    <row r="13">
      <c r="B13" s="9" t="n"/>
      <c r="C13" s="33" t="n"/>
      <c r="J13" s="9" t="n"/>
      <c r="K13" s="9" t="n"/>
      <c r="L13" s="9" t="n"/>
      <c r="N13" s="25">
        <f>IF($B13="","",IF($L13="",IF(config!$B$37&lt;&gt;"",config!$B$37,TODAY())-$B13,$L13-$B13))</f>
        <v/>
      </c>
      <c r="O13" s="25">
        <f>IF($B13="","",IF(AND($G13="complaint_or_reaction",OR($J13="",$J13&gt;$B13)),"REMOVE the product at that office and tell the brand TODAY; ","")&amp;IF(AND($G13="recall_or_pull",$L13=""),"pull from every office within one business day; tell every office today; ","")&amp;IF($G13="brand_asks_employee_data","info: decline: we collect no employee data; ","")&amp;IF(AND($G13="late_arrival",$L13=""),"not in by T-3: slip one week (tools/opscal.py slip), tell every office today; ",""))</f>
        <v/>
      </c>
    </row>
    <row r="14">
      <c r="B14" s="9" t="n"/>
      <c r="C14" s="33" t="n"/>
      <c r="J14" s="9" t="n"/>
      <c r="K14" s="9" t="n"/>
      <c r="L14" s="9" t="n"/>
      <c r="N14" s="25">
        <f>IF($B14="","",IF($L14="",IF(config!$B$37&lt;&gt;"",config!$B$37,TODAY())-$B14,$L14-$B14))</f>
        <v/>
      </c>
      <c r="O14" s="25">
        <f>IF($B14="","",IF(AND($G14="complaint_or_reaction",OR($J14="",$J14&gt;$B14)),"REMOVE the product at that office and tell the brand TODAY; ","")&amp;IF(AND($G14="recall_or_pull",$L14=""),"pull from every office within one business day; tell every office today; ","")&amp;IF($G14="brand_asks_employee_data","info: decline: we collect no employee data; ","")&amp;IF(AND($G14="late_arrival",$L14=""),"not in by T-3: slip one week (tools/opscal.py slip), tell every office today; ",""))</f>
        <v/>
      </c>
    </row>
    <row r="15">
      <c r="B15" s="9" t="n"/>
      <c r="C15" s="33" t="n"/>
      <c r="J15" s="9" t="n"/>
      <c r="K15" s="9" t="n"/>
      <c r="L15" s="9" t="n"/>
      <c r="N15" s="25">
        <f>IF($B15="","",IF($L15="",IF(config!$B$37&lt;&gt;"",config!$B$37,TODAY())-$B15,$L15-$B15))</f>
        <v/>
      </c>
      <c r="O15" s="25">
        <f>IF($B15="","",IF(AND($G15="complaint_or_reaction",OR($J15="",$J15&gt;$B15)),"REMOVE the product at that office and tell the brand TODAY; ","")&amp;IF(AND($G15="recall_or_pull",$L15=""),"pull from every office within one business day; tell every office today; ","")&amp;IF($G15="brand_asks_employee_data","info: decline: we collect no employee data; ","")&amp;IF(AND($G15="late_arrival",$L15=""),"not in by T-3: slip one week (tools/opscal.py slip), tell every office today; ",""))</f>
        <v/>
      </c>
    </row>
    <row r="16">
      <c r="B16" s="9" t="n"/>
      <c r="C16" s="33" t="n"/>
      <c r="J16" s="9" t="n"/>
      <c r="K16" s="9" t="n"/>
      <c r="L16" s="9" t="n"/>
      <c r="N16" s="25">
        <f>IF($B16="","",IF($L16="",IF(config!$B$37&lt;&gt;"",config!$B$37,TODAY())-$B16,$L16-$B16))</f>
        <v/>
      </c>
      <c r="O16" s="25">
        <f>IF($B16="","",IF(AND($G16="complaint_or_reaction",OR($J16="",$J16&gt;$B16)),"REMOVE the product at that office and tell the brand TODAY; ","")&amp;IF(AND($G16="recall_or_pull",$L16=""),"pull from every office within one business day; tell every office today; ","")&amp;IF($G16="brand_asks_employee_data","info: decline: we collect no employee data; ","")&amp;IF(AND($G16="late_arrival",$L16=""),"not in by T-3: slip one week (tools/opscal.py slip), tell every office today; ",""))</f>
        <v/>
      </c>
    </row>
    <row r="17">
      <c r="B17" s="9" t="n"/>
      <c r="C17" s="33" t="n"/>
      <c r="J17" s="9" t="n"/>
      <c r="K17" s="9" t="n"/>
      <c r="L17" s="9" t="n"/>
      <c r="N17" s="25">
        <f>IF($B17="","",IF($L17="",IF(config!$B$37&lt;&gt;"",config!$B$37,TODAY())-$B17,$L17-$B17))</f>
        <v/>
      </c>
      <c r="O17" s="25">
        <f>IF($B17="","",IF(AND($G17="complaint_or_reaction",OR($J17="",$J17&gt;$B17)),"REMOVE the product at that office and tell the brand TODAY; ","")&amp;IF(AND($G17="recall_or_pull",$L17=""),"pull from every office within one business day; tell every office today; ","")&amp;IF($G17="brand_asks_employee_data","info: decline: we collect no employee data; ","")&amp;IF(AND($G17="late_arrival",$L17=""),"not in by T-3: slip one week (tools/opscal.py slip), tell every office today; ",""))</f>
        <v/>
      </c>
    </row>
    <row r="18">
      <c r="B18" s="9" t="n"/>
      <c r="C18" s="33" t="n"/>
      <c r="J18" s="9" t="n"/>
      <c r="K18" s="9" t="n"/>
      <c r="L18" s="9" t="n"/>
      <c r="N18" s="25">
        <f>IF($B18="","",IF($L18="",IF(config!$B$37&lt;&gt;"",config!$B$37,TODAY())-$B18,$L18-$B18))</f>
        <v/>
      </c>
      <c r="O18" s="25">
        <f>IF($B18="","",IF(AND($G18="complaint_or_reaction",OR($J18="",$J18&gt;$B18)),"REMOVE the product at that office and tell the brand TODAY; ","")&amp;IF(AND($G18="recall_or_pull",$L18=""),"pull from every office within one business day; tell every office today; ","")&amp;IF($G18="brand_asks_employee_data","info: decline: we collect no employee data; ","")&amp;IF(AND($G18="late_arrival",$L18=""),"not in by T-3: slip one week (tools/opscal.py slip), tell every office today; ",""))</f>
        <v/>
      </c>
    </row>
    <row r="19">
      <c r="B19" s="9" t="n"/>
      <c r="C19" s="33" t="n"/>
      <c r="J19" s="9" t="n"/>
      <c r="K19" s="9" t="n"/>
      <c r="L19" s="9" t="n"/>
      <c r="N19" s="25">
        <f>IF($B19="","",IF($L19="",IF(config!$B$37&lt;&gt;"",config!$B$37,TODAY())-$B19,$L19-$B19))</f>
        <v/>
      </c>
      <c r="O19" s="25">
        <f>IF($B19="","",IF(AND($G19="complaint_or_reaction",OR($J19="",$J19&gt;$B19)),"REMOVE the product at that office and tell the brand TODAY; ","")&amp;IF(AND($G19="recall_or_pull",$L19=""),"pull from every office within one business day; tell every office today; ","")&amp;IF($G19="brand_asks_employee_data","info: decline: we collect no employee data; ","")&amp;IF(AND($G19="late_arrival",$L19=""),"not in by T-3: slip one week (tools/opscal.py slip), tell every office today; ",""))</f>
        <v/>
      </c>
    </row>
    <row r="20">
      <c r="B20" s="9" t="n"/>
      <c r="C20" s="33" t="n"/>
      <c r="J20" s="9" t="n"/>
      <c r="K20" s="9" t="n"/>
      <c r="L20" s="9" t="n"/>
      <c r="N20" s="25">
        <f>IF($B20="","",IF($L20="",IF(config!$B$37&lt;&gt;"",config!$B$37,TODAY())-$B20,$L20-$B20))</f>
        <v/>
      </c>
      <c r="O20" s="25">
        <f>IF($B20="","",IF(AND($G20="complaint_or_reaction",OR($J20="",$J20&gt;$B20)),"REMOVE the product at that office and tell the brand TODAY; ","")&amp;IF(AND($G20="recall_or_pull",$L20=""),"pull from every office within one business day; tell every office today; ","")&amp;IF($G20="brand_asks_employee_data","info: decline: we collect no employee data; ","")&amp;IF(AND($G20="late_arrival",$L20=""),"not in by T-3: slip one week (tools/opscal.py slip), tell every office today; ",""))</f>
        <v/>
      </c>
    </row>
    <row r="21">
      <c r="B21" s="9" t="n"/>
      <c r="C21" s="33" t="n"/>
      <c r="J21" s="9" t="n"/>
      <c r="K21" s="9" t="n"/>
      <c r="L21" s="9" t="n"/>
      <c r="N21" s="25">
        <f>IF($B21="","",IF($L21="",IF(config!$B$37&lt;&gt;"",config!$B$37,TODAY())-$B21,$L21-$B21))</f>
        <v/>
      </c>
      <c r="O21" s="25">
        <f>IF($B21="","",IF(AND($G21="complaint_or_reaction",OR($J21="",$J21&gt;$B21)),"REMOVE the product at that office and tell the brand TODAY; ","")&amp;IF(AND($G21="recall_or_pull",$L21=""),"pull from every office within one business day; tell every office today; ","")&amp;IF($G21="brand_asks_employee_data","info: decline: we collect no employee data; ","")&amp;IF(AND($G21="late_arrival",$L21=""),"not in by T-3: slip one week (tools/opscal.py slip), tell every office today; ",""))</f>
        <v/>
      </c>
    </row>
    <row r="22">
      <c r="B22" s="9" t="n"/>
      <c r="C22" s="33" t="n"/>
      <c r="J22" s="9" t="n"/>
      <c r="K22" s="9" t="n"/>
      <c r="L22" s="9" t="n"/>
      <c r="N22" s="25">
        <f>IF($B22="","",IF($L22="",IF(config!$B$37&lt;&gt;"",config!$B$37,TODAY())-$B22,$L22-$B22))</f>
        <v/>
      </c>
      <c r="O22" s="25">
        <f>IF($B22="","",IF(AND($G22="complaint_or_reaction",OR($J22="",$J22&gt;$B22)),"REMOVE the product at that office and tell the brand TODAY; ","")&amp;IF(AND($G22="recall_or_pull",$L22=""),"pull from every office within one business day; tell every office today; ","")&amp;IF($G22="brand_asks_employee_data","info: decline: we collect no employee data; ","")&amp;IF(AND($G22="late_arrival",$L22=""),"not in by T-3: slip one week (tools/opscal.py slip), tell every office today; ",""))</f>
        <v/>
      </c>
    </row>
    <row r="23">
      <c r="B23" s="9" t="n"/>
      <c r="C23" s="33" t="n"/>
      <c r="J23" s="9" t="n"/>
      <c r="K23" s="9" t="n"/>
      <c r="L23" s="9" t="n"/>
      <c r="N23" s="25">
        <f>IF($B23="","",IF($L23="",IF(config!$B$37&lt;&gt;"",config!$B$37,TODAY())-$B23,$L23-$B23))</f>
        <v/>
      </c>
      <c r="O23" s="25">
        <f>IF($B23="","",IF(AND($G23="complaint_or_reaction",OR($J23="",$J23&gt;$B23)),"REMOVE the product at that office and tell the brand TODAY; ","")&amp;IF(AND($G23="recall_or_pull",$L23=""),"pull from every office within one business day; tell every office today; ","")&amp;IF($G23="brand_asks_employee_data","info: decline: we collect no employee data; ","")&amp;IF(AND($G23="late_arrival",$L23=""),"not in by T-3: slip one week (tools/opscal.py slip), tell every office today; ",""))</f>
        <v/>
      </c>
    </row>
    <row r="24">
      <c r="B24" s="9" t="n"/>
      <c r="C24" s="33" t="n"/>
      <c r="J24" s="9" t="n"/>
      <c r="K24" s="9" t="n"/>
      <c r="L24" s="9" t="n"/>
      <c r="N24" s="25">
        <f>IF($B24="","",IF($L24="",IF(config!$B$37&lt;&gt;"",config!$B$37,TODAY())-$B24,$L24-$B24))</f>
        <v/>
      </c>
      <c r="O24" s="25">
        <f>IF($B24="","",IF(AND($G24="complaint_or_reaction",OR($J24="",$J24&gt;$B24)),"REMOVE the product at that office and tell the brand TODAY; ","")&amp;IF(AND($G24="recall_or_pull",$L24=""),"pull from every office within one business day; tell every office today; ","")&amp;IF($G24="brand_asks_employee_data","info: decline: we collect no employee data; ","")&amp;IF(AND($G24="late_arrival",$L24=""),"not in by T-3: slip one week (tools/opscal.py slip), tell every office today; ",""))</f>
        <v/>
      </c>
    </row>
    <row r="25">
      <c r="B25" s="9" t="n"/>
      <c r="C25" s="33" t="n"/>
      <c r="J25" s="9" t="n"/>
      <c r="K25" s="9" t="n"/>
      <c r="L25" s="9" t="n"/>
      <c r="N25" s="25">
        <f>IF($B25="","",IF($L25="",IF(config!$B$37&lt;&gt;"",config!$B$37,TODAY())-$B25,$L25-$B25))</f>
        <v/>
      </c>
      <c r="O25" s="25">
        <f>IF($B25="","",IF(AND($G25="complaint_or_reaction",OR($J25="",$J25&gt;$B25)),"REMOVE the product at that office and tell the brand TODAY; ","")&amp;IF(AND($G25="recall_or_pull",$L25=""),"pull from every office within one business day; tell every office today; ","")&amp;IF($G25="brand_asks_employee_data","info: decline: we collect no employee data; ","")&amp;IF(AND($G25="late_arrival",$L25=""),"not in by T-3: slip one week (tools/opscal.py slip), tell every office today; ",""))</f>
        <v/>
      </c>
    </row>
    <row r="26">
      <c r="B26" s="9" t="n"/>
      <c r="C26" s="33" t="n"/>
      <c r="J26" s="9" t="n"/>
      <c r="K26" s="9" t="n"/>
      <c r="L26" s="9" t="n"/>
      <c r="N26" s="25">
        <f>IF($B26="","",IF($L26="",IF(config!$B$37&lt;&gt;"",config!$B$37,TODAY())-$B26,$L26-$B26))</f>
        <v/>
      </c>
      <c r="O26" s="25">
        <f>IF($B26="","",IF(AND($G26="complaint_or_reaction",OR($J26="",$J26&gt;$B26)),"REMOVE the product at that office and tell the brand TODAY; ","")&amp;IF(AND($G26="recall_or_pull",$L26=""),"pull from every office within one business day; tell every office today; ","")&amp;IF($G26="brand_asks_employee_data","info: decline: we collect no employee data; ","")&amp;IF(AND($G26="late_arrival",$L26=""),"not in by T-3: slip one week (tools/opscal.py slip), tell every office today; ",""))</f>
        <v/>
      </c>
    </row>
    <row r="27">
      <c r="B27" s="9" t="n"/>
      <c r="C27" s="33" t="n"/>
      <c r="J27" s="9" t="n"/>
      <c r="K27" s="9" t="n"/>
      <c r="L27" s="9" t="n"/>
      <c r="N27" s="25">
        <f>IF($B27="","",IF($L27="",IF(config!$B$37&lt;&gt;"",config!$B$37,TODAY())-$B27,$L27-$B27))</f>
        <v/>
      </c>
      <c r="O27" s="25">
        <f>IF($B27="","",IF(AND($G27="complaint_or_reaction",OR($J27="",$J27&gt;$B27)),"REMOVE the product at that office and tell the brand TODAY; ","")&amp;IF(AND($G27="recall_or_pull",$L27=""),"pull from every office within one business day; tell every office today; ","")&amp;IF($G27="brand_asks_employee_data","info: decline: we collect no employee data; ","")&amp;IF(AND($G27="late_arrival",$L27=""),"not in by T-3: slip one week (tools/opscal.py slip), tell every office today; ",""))</f>
        <v/>
      </c>
    </row>
    <row r="28">
      <c r="B28" s="9" t="n"/>
      <c r="C28" s="33" t="n"/>
      <c r="J28" s="9" t="n"/>
      <c r="K28" s="9" t="n"/>
      <c r="L28" s="9" t="n"/>
      <c r="N28" s="25">
        <f>IF($B28="","",IF($L28="",IF(config!$B$37&lt;&gt;"",config!$B$37,TODAY())-$B28,$L28-$B28))</f>
        <v/>
      </c>
      <c r="O28" s="25">
        <f>IF($B28="","",IF(AND($G28="complaint_or_reaction",OR($J28="",$J28&gt;$B28)),"REMOVE the product at that office and tell the brand TODAY; ","")&amp;IF(AND($G28="recall_or_pull",$L28=""),"pull from every office within one business day; tell every office today; ","")&amp;IF($G28="brand_asks_employee_data","info: decline: we collect no employee data; ","")&amp;IF(AND($G28="late_arrival",$L28=""),"not in by T-3: slip one week (tools/opscal.py slip), tell every office today; ",""))</f>
        <v/>
      </c>
    </row>
    <row r="29">
      <c r="B29" s="9" t="n"/>
      <c r="C29" s="33" t="n"/>
      <c r="J29" s="9" t="n"/>
      <c r="K29" s="9" t="n"/>
      <c r="L29" s="9" t="n"/>
      <c r="N29" s="25">
        <f>IF($B29="","",IF($L29="",IF(config!$B$37&lt;&gt;"",config!$B$37,TODAY())-$B29,$L29-$B29))</f>
        <v/>
      </c>
      <c r="O29" s="25">
        <f>IF($B29="","",IF(AND($G29="complaint_or_reaction",OR($J29="",$J29&gt;$B29)),"REMOVE the product at that office and tell the brand TODAY; ","")&amp;IF(AND($G29="recall_or_pull",$L29=""),"pull from every office within one business day; tell every office today; ","")&amp;IF($G29="brand_asks_employee_data","info: decline: we collect no employee data; ","")&amp;IF(AND($G29="late_arrival",$L29=""),"not in by T-3: slip one week (tools/opscal.py slip), tell every office today; ",""))</f>
        <v/>
      </c>
    </row>
    <row r="30">
      <c r="B30" s="9" t="n"/>
      <c r="C30" s="33" t="n"/>
      <c r="J30" s="9" t="n"/>
      <c r="K30" s="9" t="n"/>
      <c r="L30" s="9" t="n"/>
      <c r="N30" s="25">
        <f>IF($B30="","",IF($L30="",IF(config!$B$37&lt;&gt;"",config!$B$37,TODAY())-$B30,$L30-$B30))</f>
        <v/>
      </c>
      <c r="O30" s="25">
        <f>IF($B30="","",IF(AND($G30="complaint_or_reaction",OR($J30="",$J30&gt;$B30)),"REMOVE the product at that office and tell the brand TODAY; ","")&amp;IF(AND($G30="recall_or_pull",$L30=""),"pull from every office within one business day; tell every office today; ","")&amp;IF($G30="brand_asks_employee_data","info: decline: we collect no employee data; ","")&amp;IF(AND($G30="late_arrival",$L30=""),"not in by T-3: slip one week (tools/opscal.py slip), tell every office today; ",""))</f>
        <v/>
      </c>
    </row>
    <row r="31">
      <c r="B31" s="9" t="n"/>
      <c r="C31" s="33" t="n"/>
      <c r="J31" s="9" t="n"/>
      <c r="K31" s="9" t="n"/>
      <c r="L31" s="9" t="n"/>
      <c r="N31" s="25">
        <f>IF($B31="","",IF($L31="",IF(config!$B$37&lt;&gt;"",config!$B$37,TODAY())-$B31,$L31-$B31))</f>
        <v/>
      </c>
      <c r="O31" s="25">
        <f>IF($B31="","",IF(AND($G31="complaint_or_reaction",OR($J31="",$J31&gt;$B31)),"REMOVE the product at that office and tell the brand TODAY; ","")&amp;IF(AND($G31="recall_or_pull",$L31=""),"pull from every office within one business day; tell every office today; ","")&amp;IF($G31="brand_asks_employee_data","info: decline: we collect no employee data; ","")&amp;IF(AND($G31="late_arrival",$L31=""),"not in by T-3: slip one week (tools/opscal.py slip), tell every office today; ",""))</f>
        <v/>
      </c>
    </row>
    <row r="32">
      <c r="B32" s="9" t="n"/>
      <c r="C32" s="33" t="n"/>
      <c r="J32" s="9" t="n"/>
      <c r="K32" s="9" t="n"/>
      <c r="L32" s="9" t="n"/>
      <c r="N32" s="25">
        <f>IF($B32="","",IF($L32="",IF(config!$B$37&lt;&gt;"",config!$B$37,TODAY())-$B32,$L32-$B32))</f>
        <v/>
      </c>
      <c r="O32" s="25">
        <f>IF($B32="","",IF(AND($G32="complaint_or_reaction",OR($J32="",$J32&gt;$B32)),"REMOVE the product at that office and tell the brand TODAY; ","")&amp;IF(AND($G32="recall_or_pull",$L32=""),"pull from every office within one business day; tell every office today; ","")&amp;IF($G32="brand_asks_employee_data","info: decline: we collect no employee data; ","")&amp;IF(AND($G32="late_arrival",$L32=""),"not in by T-3: slip one week (tools/opscal.py slip), tell every office today; ",""))</f>
        <v/>
      </c>
    </row>
    <row r="33">
      <c r="B33" s="9" t="n"/>
      <c r="C33" s="33" t="n"/>
      <c r="J33" s="9" t="n"/>
      <c r="K33" s="9" t="n"/>
      <c r="L33" s="9" t="n"/>
      <c r="N33" s="25">
        <f>IF($B33="","",IF($L33="",IF(config!$B$37&lt;&gt;"",config!$B$37,TODAY())-$B33,$L33-$B33))</f>
        <v/>
      </c>
      <c r="O33" s="25">
        <f>IF($B33="","",IF(AND($G33="complaint_or_reaction",OR($J33="",$J33&gt;$B33)),"REMOVE the product at that office and tell the brand TODAY; ","")&amp;IF(AND($G33="recall_or_pull",$L33=""),"pull from every office within one business day; tell every office today; ","")&amp;IF($G33="brand_asks_employee_data","info: decline: we collect no employee data; ","")&amp;IF(AND($G33="late_arrival",$L33=""),"not in by T-3: slip one week (tools/opscal.py slip), tell every office today; ",""))</f>
        <v/>
      </c>
    </row>
    <row r="34">
      <c r="B34" s="9" t="n"/>
      <c r="C34" s="33" t="n"/>
      <c r="J34" s="9" t="n"/>
      <c r="K34" s="9" t="n"/>
      <c r="L34" s="9" t="n"/>
      <c r="N34" s="25">
        <f>IF($B34="","",IF($L34="",IF(config!$B$37&lt;&gt;"",config!$B$37,TODAY())-$B34,$L34-$B34))</f>
        <v/>
      </c>
      <c r="O34" s="25">
        <f>IF($B34="","",IF(AND($G34="complaint_or_reaction",OR($J34="",$J34&gt;$B34)),"REMOVE the product at that office and tell the brand TODAY; ","")&amp;IF(AND($G34="recall_or_pull",$L34=""),"pull from every office within one business day; tell every office today; ","")&amp;IF($G34="brand_asks_employee_data","info: decline: we collect no employee data; ","")&amp;IF(AND($G34="late_arrival",$L34=""),"not in by T-3: slip one week (tools/opscal.py slip), tell every office today; ",""))</f>
        <v/>
      </c>
    </row>
    <row r="35">
      <c r="B35" s="9" t="n"/>
      <c r="C35" s="33" t="n"/>
      <c r="J35" s="9" t="n"/>
      <c r="K35" s="9" t="n"/>
      <c r="L35" s="9" t="n"/>
      <c r="N35" s="25">
        <f>IF($B35="","",IF($L35="",IF(config!$B$37&lt;&gt;"",config!$B$37,TODAY())-$B35,$L35-$B35))</f>
        <v/>
      </c>
      <c r="O35" s="25">
        <f>IF($B35="","",IF(AND($G35="complaint_or_reaction",OR($J35="",$J35&gt;$B35)),"REMOVE the product at that office and tell the brand TODAY; ","")&amp;IF(AND($G35="recall_or_pull",$L35=""),"pull from every office within one business day; tell every office today; ","")&amp;IF($G35="brand_asks_employee_data","info: decline: we collect no employee data; ","")&amp;IF(AND($G35="late_arrival",$L35=""),"not in by T-3: slip one week (tools/opscal.py slip), tell every office today; ",""))</f>
        <v/>
      </c>
    </row>
    <row r="36">
      <c r="B36" s="9" t="n"/>
      <c r="C36" s="33" t="n"/>
      <c r="J36" s="9" t="n"/>
      <c r="K36" s="9" t="n"/>
      <c r="L36" s="9" t="n"/>
      <c r="N36" s="25">
        <f>IF($B36="","",IF($L36="",IF(config!$B$37&lt;&gt;"",config!$B$37,TODAY())-$B36,$L36-$B36))</f>
        <v/>
      </c>
      <c r="O36" s="25">
        <f>IF($B36="","",IF(AND($G36="complaint_or_reaction",OR($J36="",$J36&gt;$B36)),"REMOVE the product at that office and tell the brand TODAY; ","")&amp;IF(AND($G36="recall_or_pull",$L36=""),"pull from every office within one business day; tell every office today; ","")&amp;IF($G36="brand_asks_employee_data","info: decline: we collect no employee data; ","")&amp;IF(AND($G36="late_arrival",$L36=""),"not in by T-3: slip one week (tools/opscal.py slip), tell every office today; ",""))</f>
        <v/>
      </c>
    </row>
    <row r="37">
      <c r="B37" s="9" t="n"/>
      <c r="C37" s="33" t="n"/>
      <c r="J37" s="9" t="n"/>
      <c r="K37" s="9" t="n"/>
      <c r="L37" s="9" t="n"/>
      <c r="N37" s="25">
        <f>IF($B37="","",IF($L37="",IF(config!$B$37&lt;&gt;"",config!$B$37,TODAY())-$B37,$L37-$B37))</f>
        <v/>
      </c>
      <c r="O37" s="25">
        <f>IF($B37="","",IF(AND($G37="complaint_or_reaction",OR($J37="",$J37&gt;$B37)),"REMOVE the product at that office and tell the brand TODAY; ","")&amp;IF(AND($G37="recall_or_pull",$L37=""),"pull from every office within one business day; tell every office today; ","")&amp;IF($G37="brand_asks_employee_data","info: decline: we collect no employee data; ","")&amp;IF(AND($G37="late_arrival",$L37=""),"not in by T-3: slip one week (tools/opscal.py slip), tell every office today; ",""))</f>
        <v/>
      </c>
    </row>
    <row r="38">
      <c r="B38" s="9" t="n"/>
      <c r="C38" s="33" t="n"/>
      <c r="J38" s="9" t="n"/>
      <c r="K38" s="9" t="n"/>
      <c r="L38" s="9" t="n"/>
      <c r="N38" s="25">
        <f>IF($B38="","",IF($L38="",IF(config!$B$37&lt;&gt;"",config!$B$37,TODAY())-$B38,$L38-$B38))</f>
        <v/>
      </c>
      <c r="O38" s="25">
        <f>IF($B38="","",IF(AND($G38="complaint_or_reaction",OR($J38="",$J38&gt;$B38)),"REMOVE the product at that office and tell the brand TODAY; ","")&amp;IF(AND($G38="recall_or_pull",$L38=""),"pull from every office within one business day; tell every office today; ","")&amp;IF($G38="brand_asks_employee_data","info: decline: we collect no employee data; ","")&amp;IF(AND($G38="late_arrival",$L38=""),"not in by T-3: slip one week (tools/opscal.py slip), tell every office today; ",""))</f>
        <v/>
      </c>
    </row>
    <row r="39">
      <c r="B39" s="9" t="n"/>
      <c r="C39" s="33" t="n"/>
      <c r="J39" s="9" t="n"/>
      <c r="K39" s="9" t="n"/>
      <c r="L39" s="9" t="n"/>
      <c r="N39" s="25">
        <f>IF($B39="","",IF($L39="",IF(config!$B$37&lt;&gt;"",config!$B$37,TODAY())-$B39,$L39-$B39))</f>
        <v/>
      </c>
      <c r="O39" s="25">
        <f>IF($B39="","",IF(AND($G39="complaint_or_reaction",OR($J39="",$J39&gt;$B39)),"REMOVE the product at that office and tell the brand TODAY; ","")&amp;IF(AND($G39="recall_or_pull",$L39=""),"pull from every office within one business day; tell every office today; ","")&amp;IF($G39="brand_asks_employee_data","info: decline: we collect no employee data; ","")&amp;IF(AND($G39="late_arrival",$L39=""),"not in by T-3: slip one week (tools/opscal.py slip), tell every office today; ",""))</f>
        <v/>
      </c>
    </row>
    <row r="40">
      <c r="B40" s="9" t="n"/>
      <c r="C40" s="33" t="n"/>
      <c r="J40" s="9" t="n"/>
      <c r="K40" s="9" t="n"/>
      <c r="L40" s="9" t="n"/>
      <c r="N40" s="25">
        <f>IF($B40="","",IF($L40="",IF(config!$B$37&lt;&gt;"",config!$B$37,TODAY())-$B40,$L40-$B40))</f>
        <v/>
      </c>
      <c r="O40" s="25">
        <f>IF($B40="","",IF(AND($G40="complaint_or_reaction",OR($J40="",$J40&gt;$B40)),"REMOVE the product at that office and tell the brand TODAY; ","")&amp;IF(AND($G40="recall_or_pull",$L40=""),"pull from every office within one business day; tell every office today; ","")&amp;IF($G40="brand_asks_employee_data","info: decline: we collect no employee data; ","")&amp;IF(AND($G40="late_arrival",$L40=""),"not in by T-3: slip one week (tools/opscal.py slip), tell every office today; ",""))</f>
        <v/>
      </c>
    </row>
    <row r="41">
      <c r="B41" s="9" t="n"/>
      <c r="C41" s="33" t="n"/>
      <c r="J41" s="9" t="n"/>
      <c r="K41" s="9" t="n"/>
      <c r="L41" s="9" t="n"/>
      <c r="N41" s="25">
        <f>IF($B41="","",IF($L41="",IF(config!$B$37&lt;&gt;"",config!$B$37,TODAY())-$B41,$L41-$B41))</f>
        <v/>
      </c>
      <c r="O41" s="25">
        <f>IF($B41="","",IF(AND($G41="complaint_or_reaction",OR($J41="",$J41&gt;$B41)),"REMOVE the product at that office and tell the brand TODAY; ","")&amp;IF(AND($G41="recall_or_pull",$L41=""),"pull from every office within one business day; tell every office today; ","")&amp;IF($G41="brand_asks_employee_data","info: decline: we collect no employee data; ","")&amp;IF(AND($G41="late_arrival",$L41=""),"not in by T-3: slip one week (tools/opscal.py slip), tell every office today; ",""))</f>
        <v/>
      </c>
    </row>
    <row r="42">
      <c r="B42" s="9" t="n"/>
      <c r="C42" s="33" t="n"/>
      <c r="J42" s="9" t="n"/>
      <c r="K42" s="9" t="n"/>
      <c r="L42" s="9" t="n"/>
      <c r="N42" s="25">
        <f>IF($B42="","",IF($L42="",IF(config!$B$37&lt;&gt;"",config!$B$37,TODAY())-$B42,$L42-$B42))</f>
        <v/>
      </c>
      <c r="O42" s="25">
        <f>IF($B42="","",IF(AND($G42="complaint_or_reaction",OR($J42="",$J42&gt;$B42)),"REMOVE the product at that office and tell the brand TODAY; ","")&amp;IF(AND($G42="recall_or_pull",$L42=""),"pull from every office within one business day; tell every office today; ","")&amp;IF($G42="brand_asks_employee_data","info: decline: we collect no employee data; ","")&amp;IF(AND($G42="late_arrival",$L42=""),"not in by T-3: slip one week (tools/opscal.py slip), tell every office today; ",""))</f>
        <v/>
      </c>
    </row>
    <row r="43">
      <c r="B43" s="9" t="n"/>
      <c r="C43" s="33" t="n"/>
      <c r="J43" s="9" t="n"/>
      <c r="K43" s="9" t="n"/>
      <c r="L43" s="9" t="n"/>
      <c r="N43" s="25">
        <f>IF($B43="","",IF($L43="",IF(config!$B$37&lt;&gt;"",config!$B$37,TODAY())-$B43,$L43-$B43))</f>
        <v/>
      </c>
      <c r="O43" s="25">
        <f>IF($B43="","",IF(AND($G43="complaint_or_reaction",OR($J43="",$J43&gt;$B43)),"REMOVE the product at that office and tell the brand TODAY; ","")&amp;IF(AND($G43="recall_or_pull",$L43=""),"pull from every office within one business day; tell every office today; ","")&amp;IF($G43="brand_asks_employee_data","info: decline: we collect no employee data; ","")&amp;IF(AND($G43="late_arrival",$L43=""),"not in by T-3: slip one week (tools/opscal.py slip), tell every office today; ",""))</f>
        <v/>
      </c>
    </row>
    <row r="44">
      <c r="B44" s="9" t="n"/>
      <c r="C44" s="33" t="n"/>
      <c r="J44" s="9" t="n"/>
      <c r="K44" s="9" t="n"/>
      <c r="L44" s="9" t="n"/>
      <c r="N44" s="25">
        <f>IF($B44="","",IF($L44="",IF(config!$B$37&lt;&gt;"",config!$B$37,TODAY())-$B44,$L44-$B44))</f>
        <v/>
      </c>
      <c r="O44" s="25">
        <f>IF($B44="","",IF(AND($G44="complaint_or_reaction",OR($J44="",$J44&gt;$B44)),"REMOVE the product at that office and tell the brand TODAY; ","")&amp;IF(AND($G44="recall_or_pull",$L44=""),"pull from every office within one business day; tell every office today; ","")&amp;IF($G44="brand_asks_employee_data","info: decline: we collect no employee data; ","")&amp;IF(AND($G44="late_arrival",$L44=""),"not in by T-3: slip one week (tools/opscal.py slip), tell every office today; ",""))</f>
        <v/>
      </c>
    </row>
    <row r="45">
      <c r="B45" s="9" t="n"/>
      <c r="C45" s="33" t="n"/>
      <c r="J45" s="9" t="n"/>
      <c r="K45" s="9" t="n"/>
      <c r="L45" s="9" t="n"/>
      <c r="N45" s="25">
        <f>IF($B45="","",IF($L45="",IF(config!$B$37&lt;&gt;"",config!$B$37,TODAY())-$B45,$L45-$B45))</f>
        <v/>
      </c>
      <c r="O45" s="25">
        <f>IF($B45="","",IF(AND($G45="complaint_or_reaction",OR($J45="",$J45&gt;$B45)),"REMOVE the product at that office and tell the brand TODAY; ","")&amp;IF(AND($G45="recall_or_pull",$L45=""),"pull from every office within one business day; tell every office today; ","")&amp;IF($G45="brand_asks_employee_data","info: decline: we collect no employee data; ","")&amp;IF(AND($G45="late_arrival",$L45=""),"not in by T-3: slip one week (tools/opscal.py slip), tell every office today; ",""))</f>
        <v/>
      </c>
    </row>
    <row r="46">
      <c r="B46" s="9" t="n"/>
      <c r="C46" s="33" t="n"/>
      <c r="J46" s="9" t="n"/>
      <c r="K46" s="9" t="n"/>
      <c r="L46" s="9" t="n"/>
      <c r="N46" s="25">
        <f>IF($B46="","",IF($L46="",IF(config!$B$37&lt;&gt;"",config!$B$37,TODAY())-$B46,$L46-$B46))</f>
        <v/>
      </c>
      <c r="O46" s="25">
        <f>IF($B46="","",IF(AND($G46="complaint_or_reaction",OR($J46="",$J46&gt;$B46)),"REMOVE the product at that office and tell the brand TODAY; ","")&amp;IF(AND($G46="recall_or_pull",$L46=""),"pull from every office within one business day; tell every office today; ","")&amp;IF($G46="brand_asks_employee_data","info: decline: we collect no employee data; ","")&amp;IF(AND($G46="late_arrival",$L46=""),"not in by T-3: slip one week (tools/opscal.py slip), tell every office today; ",""))</f>
        <v/>
      </c>
    </row>
    <row r="47">
      <c r="B47" s="9" t="n"/>
      <c r="C47" s="33" t="n"/>
      <c r="J47" s="9" t="n"/>
      <c r="K47" s="9" t="n"/>
      <c r="L47" s="9" t="n"/>
      <c r="N47" s="25">
        <f>IF($B47="","",IF($L47="",IF(config!$B$37&lt;&gt;"",config!$B$37,TODAY())-$B47,$L47-$B47))</f>
        <v/>
      </c>
      <c r="O47" s="25">
        <f>IF($B47="","",IF(AND($G47="complaint_or_reaction",OR($J47="",$J47&gt;$B47)),"REMOVE the product at that office and tell the brand TODAY; ","")&amp;IF(AND($G47="recall_or_pull",$L47=""),"pull from every office within one business day; tell every office today; ","")&amp;IF($G47="brand_asks_employee_data","info: decline: we collect no employee data; ","")&amp;IF(AND($G47="late_arrival",$L47=""),"not in by T-3: slip one week (tools/opscal.py slip), tell every office today; ",""))</f>
        <v/>
      </c>
    </row>
    <row r="48">
      <c r="B48" s="9" t="n"/>
      <c r="C48" s="33" t="n"/>
      <c r="J48" s="9" t="n"/>
      <c r="K48" s="9" t="n"/>
      <c r="L48" s="9" t="n"/>
      <c r="N48" s="25">
        <f>IF($B48="","",IF($L48="",IF(config!$B$37&lt;&gt;"",config!$B$37,TODAY())-$B48,$L48-$B48))</f>
        <v/>
      </c>
      <c r="O48" s="25">
        <f>IF($B48="","",IF(AND($G48="complaint_or_reaction",OR($J48="",$J48&gt;$B48)),"REMOVE the product at that office and tell the brand TODAY; ","")&amp;IF(AND($G48="recall_or_pull",$L48=""),"pull from every office within one business day; tell every office today; ","")&amp;IF($G48="brand_asks_employee_data","info: decline: we collect no employee data; ","")&amp;IF(AND($G48="late_arrival",$L48=""),"not in by T-3: slip one week (tools/opscal.py slip), tell every office today; ",""))</f>
        <v/>
      </c>
    </row>
    <row r="49">
      <c r="B49" s="9" t="n"/>
      <c r="C49" s="33" t="n"/>
      <c r="J49" s="9" t="n"/>
      <c r="K49" s="9" t="n"/>
      <c r="L49" s="9" t="n"/>
      <c r="N49" s="25">
        <f>IF($B49="","",IF($L49="",IF(config!$B$37&lt;&gt;"",config!$B$37,TODAY())-$B49,$L49-$B49))</f>
        <v/>
      </c>
      <c r="O49" s="25">
        <f>IF($B49="","",IF(AND($G49="complaint_or_reaction",OR($J49="",$J49&gt;$B49)),"REMOVE the product at that office and tell the brand TODAY; ","")&amp;IF(AND($G49="recall_or_pull",$L49=""),"pull from every office within one business day; tell every office today; ","")&amp;IF($G49="brand_asks_employee_data","info: decline: we collect no employee data; ","")&amp;IF(AND($G49="late_arrival",$L49=""),"not in by T-3: slip one week (tools/opscal.py slip), tell every office today; ",""))</f>
        <v/>
      </c>
    </row>
    <row r="50">
      <c r="B50" s="9" t="n"/>
      <c r="C50" s="33" t="n"/>
      <c r="J50" s="9" t="n"/>
      <c r="K50" s="9" t="n"/>
      <c r="L50" s="9" t="n"/>
      <c r="N50" s="25">
        <f>IF($B50="","",IF($L50="",IF(config!$B$37&lt;&gt;"",config!$B$37,TODAY())-$B50,$L50-$B50))</f>
        <v/>
      </c>
      <c r="O50" s="25">
        <f>IF($B50="","",IF(AND($G50="complaint_or_reaction",OR($J50="",$J50&gt;$B50)),"REMOVE the product at that office and tell the brand TODAY; ","")&amp;IF(AND($G50="recall_or_pull",$L50=""),"pull from every office within one business day; tell every office today; ","")&amp;IF($G50="brand_asks_employee_data","info: decline: we collect no employee data; ","")&amp;IF(AND($G50="late_arrival",$L50=""),"not in by T-3: slip one week (tools/opscal.py slip), tell every office today; ",""))</f>
        <v/>
      </c>
    </row>
    <row r="51">
      <c r="B51" s="9" t="n"/>
      <c r="C51" s="33" t="n"/>
      <c r="J51" s="9" t="n"/>
      <c r="K51" s="9" t="n"/>
      <c r="L51" s="9" t="n"/>
      <c r="N51" s="25">
        <f>IF($B51="","",IF($L51="",IF(config!$B$37&lt;&gt;"",config!$B$37,TODAY())-$B51,$L51-$B51))</f>
        <v/>
      </c>
      <c r="O51" s="25">
        <f>IF($B51="","",IF(AND($G51="complaint_or_reaction",OR($J51="",$J51&gt;$B51)),"REMOVE the product at that office and tell the brand TODAY; ","")&amp;IF(AND($G51="recall_or_pull",$L51=""),"pull from every office within one business day; tell every office today; ","")&amp;IF($G51="brand_asks_employee_data","info: decline: we collect no employee data; ","")&amp;IF(AND($G51="late_arrival",$L51=""),"not in by T-3: slip one week (tools/opscal.py slip), tell every office today; ",""))</f>
        <v/>
      </c>
    </row>
    <row r="52">
      <c r="B52" s="9" t="n"/>
      <c r="C52" s="33" t="n"/>
      <c r="J52" s="9" t="n"/>
      <c r="K52" s="9" t="n"/>
      <c r="L52" s="9" t="n"/>
      <c r="N52" s="25">
        <f>IF($B52="","",IF($L52="",IF(config!$B$37&lt;&gt;"",config!$B$37,TODAY())-$B52,$L52-$B52))</f>
        <v/>
      </c>
      <c r="O52" s="25">
        <f>IF($B52="","",IF(AND($G52="complaint_or_reaction",OR($J52="",$J52&gt;$B52)),"REMOVE the product at that office and tell the brand TODAY; ","")&amp;IF(AND($G52="recall_or_pull",$L52=""),"pull from every office within one business day; tell every office today; ","")&amp;IF($G52="brand_asks_employee_data","info: decline: we collect no employee data; ","")&amp;IF(AND($G52="late_arrival",$L52=""),"not in by T-3: slip one week (tools/opscal.py slip), tell every office today; ",""))</f>
        <v/>
      </c>
    </row>
    <row r="53">
      <c r="B53" s="9" t="n"/>
      <c r="C53" s="33" t="n"/>
      <c r="J53" s="9" t="n"/>
      <c r="K53" s="9" t="n"/>
      <c r="L53" s="9" t="n"/>
      <c r="N53" s="25">
        <f>IF($B53="","",IF($L53="",IF(config!$B$37&lt;&gt;"",config!$B$37,TODAY())-$B53,$L53-$B53))</f>
        <v/>
      </c>
      <c r="O53" s="25">
        <f>IF($B53="","",IF(AND($G53="complaint_or_reaction",OR($J53="",$J53&gt;$B53)),"REMOVE the product at that office and tell the brand TODAY; ","")&amp;IF(AND($G53="recall_or_pull",$L53=""),"pull from every office within one business day; tell every office today; ","")&amp;IF($G53="brand_asks_employee_data","info: decline: we collect no employee data; ","")&amp;IF(AND($G53="late_arrival",$L53=""),"not in by T-3: slip one week (tools/opscal.py slip), tell every office today; ",""))</f>
        <v/>
      </c>
    </row>
    <row r="54">
      <c r="B54" s="9" t="n"/>
      <c r="C54" s="33" t="n"/>
      <c r="J54" s="9" t="n"/>
      <c r="K54" s="9" t="n"/>
      <c r="L54" s="9" t="n"/>
      <c r="N54" s="25">
        <f>IF($B54="","",IF($L54="",IF(config!$B$37&lt;&gt;"",config!$B$37,TODAY())-$B54,$L54-$B54))</f>
        <v/>
      </c>
      <c r="O54" s="25">
        <f>IF($B54="","",IF(AND($G54="complaint_or_reaction",OR($J54="",$J54&gt;$B54)),"REMOVE the product at that office and tell the brand TODAY; ","")&amp;IF(AND($G54="recall_or_pull",$L54=""),"pull from every office within one business day; tell every office today; ","")&amp;IF($G54="brand_asks_employee_data","info: decline: we collect no employee data; ","")&amp;IF(AND($G54="late_arrival",$L54=""),"not in by T-3: slip one week (tools/opscal.py slip), tell every office today; ",""))</f>
        <v/>
      </c>
    </row>
    <row r="55">
      <c r="B55" s="9" t="n"/>
      <c r="C55" s="33" t="n"/>
      <c r="J55" s="9" t="n"/>
      <c r="K55" s="9" t="n"/>
      <c r="L55" s="9" t="n"/>
      <c r="N55" s="25">
        <f>IF($B55="","",IF($L55="",IF(config!$B$37&lt;&gt;"",config!$B$37,TODAY())-$B55,$L55-$B55))</f>
        <v/>
      </c>
      <c r="O55" s="25">
        <f>IF($B55="","",IF(AND($G55="complaint_or_reaction",OR($J55="",$J55&gt;$B55)),"REMOVE the product at that office and tell the brand TODAY; ","")&amp;IF(AND($G55="recall_or_pull",$L55=""),"pull from every office within one business day; tell every office today; ","")&amp;IF($G55="brand_asks_employee_data","info: decline: we collect no employee data; ","")&amp;IF(AND($G55="late_arrival",$L55=""),"not in by T-3: slip one week (tools/opscal.py slip), tell every office today; ",""))</f>
        <v/>
      </c>
    </row>
    <row r="56">
      <c r="B56" s="9" t="n"/>
      <c r="C56" s="33" t="n"/>
      <c r="J56" s="9" t="n"/>
      <c r="K56" s="9" t="n"/>
      <c r="L56" s="9" t="n"/>
      <c r="N56" s="25">
        <f>IF($B56="","",IF($L56="",IF(config!$B$37&lt;&gt;"",config!$B$37,TODAY())-$B56,$L56-$B56))</f>
        <v/>
      </c>
      <c r="O56" s="25">
        <f>IF($B56="","",IF(AND($G56="complaint_or_reaction",OR($J56="",$J56&gt;$B56)),"REMOVE the product at that office and tell the brand TODAY; ","")&amp;IF(AND($G56="recall_or_pull",$L56=""),"pull from every office within one business day; tell every office today; ","")&amp;IF($G56="brand_asks_employee_data","info: decline: we collect no employee data; ","")&amp;IF(AND($G56="late_arrival",$L56=""),"not in by T-3: slip one week (tools/opscal.py slip), tell every office today; ",""))</f>
        <v/>
      </c>
    </row>
    <row r="57">
      <c r="B57" s="9" t="n"/>
      <c r="C57" s="33" t="n"/>
      <c r="J57" s="9" t="n"/>
      <c r="K57" s="9" t="n"/>
      <c r="L57" s="9" t="n"/>
      <c r="N57" s="25">
        <f>IF($B57="","",IF($L57="",IF(config!$B$37&lt;&gt;"",config!$B$37,TODAY())-$B57,$L57-$B57))</f>
        <v/>
      </c>
      <c r="O57" s="25">
        <f>IF($B57="","",IF(AND($G57="complaint_or_reaction",OR($J57="",$J57&gt;$B57)),"REMOVE the product at that office and tell the brand TODAY; ","")&amp;IF(AND($G57="recall_or_pull",$L57=""),"pull from every office within one business day; tell every office today; ","")&amp;IF($G57="brand_asks_employee_data","info: decline: we collect no employee data; ","")&amp;IF(AND($G57="late_arrival",$L57=""),"not in by T-3: slip one week (tools/opscal.py slip), tell every office today; ",""))</f>
        <v/>
      </c>
    </row>
    <row r="58">
      <c r="B58" s="9" t="n"/>
      <c r="C58" s="33" t="n"/>
      <c r="J58" s="9" t="n"/>
      <c r="K58" s="9" t="n"/>
      <c r="L58" s="9" t="n"/>
      <c r="N58" s="25">
        <f>IF($B58="","",IF($L58="",IF(config!$B$37&lt;&gt;"",config!$B$37,TODAY())-$B58,$L58-$B58))</f>
        <v/>
      </c>
      <c r="O58" s="25">
        <f>IF($B58="","",IF(AND($G58="complaint_or_reaction",OR($J58="",$J58&gt;$B58)),"REMOVE the product at that office and tell the brand TODAY; ","")&amp;IF(AND($G58="recall_or_pull",$L58=""),"pull from every office within one business day; tell every office today; ","")&amp;IF($G58="brand_asks_employee_data","info: decline: we collect no employee data; ","")&amp;IF(AND($G58="late_arrival",$L58=""),"not in by T-3: slip one week (tools/opscal.py slip), tell every office today; ",""))</f>
        <v/>
      </c>
    </row>
    <row r="59">
      <c r="B59" s="9" t="n"/>
      <c r="C59" s="33" t="n"/>
      <c r="J59" s="9" t="n"/>
      <c r="K59" s="9" t="n"/>
      <c r="L59" s="9" t="n"/>
      <c r="N59" s="25">
        <f>IF($B59="","",IF($L59="",IF(config!$B$37&lt;&gt;"",config!$B$37,TODAY())-$B59,$L59-$B59))</f>
        <v/>
      </c>
      <c r="O59" s="25">
        <f>IF($B59="","",IF(AND($G59="complaint_or_reaction",OR($J59="",$J59&gt;$B59)),"REMOVE the product at that office and tell the brand TODAY; ","")&amp;IF(AND($G59="recall_or_pull",$L59=""),"pull from every office within one business day; tell every office today; ","")&amp;IF($G59="brand_asks_employee_data","info: decline: we collect no employee data; ","")&amp;IF(AND($G59="late_arrival",$L59=""),"not in by T-3: slip one week (tools/opscal.py slip), tell every office today; ",""))</f>
        <v/>
      </c>
    </row>
    <row r="60">
      <c r="B60" s="9" t="n"/>
      <c r="C60" s="33" t="n"/>
      <c r="J60" s="9" t="n"/>
      <c r="K60" s="9" t="n"/>
      <c r="L60" s="9" t="n"/>
      <c r="N60" s="25">
        <f>IF($B60="","",IF($L60="",IF(config!$B$37&lt;&gt;"",config!$B$37,TODAY())-$B60,$L60-$B60))</f>
        <v/>
      </c>
      <c r="O60" s="25">
        <f>IF($B60="","",IF(AND($G60="complaint_or_reaction",OR($J60="",$J60&gt;$B60)),"REMOVE the product at that office and tell the brand TODAY; ","")&amp;IF(AND($G60="recall_or_pull",$L60=""),"pull from every office within one business day; tell every office today; ","")&amp;IF($G60="brand_asks_employee_data","info: decline: we collect no employee data; ","")&amp;IF(AND($G60="late_arrival",$L60=""),"not in by T-3: slip one week (tools/opscal.py slip), tell every office today; ",""))</f>
        <v/>
      </c>
    </row>
    <row r="61">
      <c r="B61" s="9" t="n"/>
      <c r="C61" s="33" t="n"/>
      <c r="J61" s="9" t="n"/>
      <c r="K61" s="9" t="n"/>
      <c r="L61" s="9" t="n"/>
      <c r="N61" s="25">
        <f>IF($B61="","",IF($L61="",IF(config!$B$37&lt;&gt;"",config!$B$37,TODAY())-$B61,$L61-$B61))</f>
        <v/>
      </c>
      <c r="O61" s="25">
        <f>IF($B61="","",IF(AND($G61="complaint_or_reaction",OR($J61="",$J61&gt;$B61)),"REMOVE the product at that office and tell the brand TODAY; ","")&amp;IF(AND($G61="recall_or_pull",$L61=""),"pull from every office within one business day; tell every office today; ","")&amp;IF($G61="brand_asks_employee_data","info: decline: we collect no employee data; ","")&amp;IF(AND($G61="late_arrival",$L61=""),"not in by T-3: slip one week (tools/opscal.py slip), tell every office today; ",""))</f>
        <v/>
      </c>
    </row>
    <row r="62">
      <c r="B62" s="9" t="n"/>
      <c r="C62" s="33" t="n"/>
      <c r="J62" s="9" t="n"/>
      <c r="K62" s="9" t="n"/>
      <c r="L62" s="9" t="n"/>
      <c r="N62" s="25">
        <f>IF($B62="","",IF($L62="",IF(config!$B$37&lt;&gt;"",config!$B$37,TODAY())-$B62,$L62-$B62))</f>
        <v/>
      </c>
      <c r="O62" s="25">
        <f>IF($B62="","",IF(AND($G62="complaint_or_reaction",OR($J62="",$J62&gt;$B62)),"REMOVE the product at that office and tell the brand TODAY; ","")&amp;IF(AND($G62="recall_or_pull",$L62=""),"pull from every office within one business day; tell every office today; ","")&amp;IF($G62="brand_asks_employee_data","info: decline: we collect no employee data; ","")&amp;IF(AND($G62="late_arrival",$L62=""),"not in by T-3: slip one week (tools/opscal.py slip), tell every office today; ",""))</f>
        <v/>
      </c>
    </row>
    <row r="63">
      <c r="B63" s="9" t="n"/>
      <c r="C63" s="33" t="n"/>
      <c r="J63" s="9" t="n"/>
      <c r="K63" s="9" t="n"/>
      <c r="L63" s="9" t="n"/>
      <c r="N63" s="25">
        <f>IF($B63="","",IF($L63="",IF(config!$B$37&lt;&gt;"",config!$B$37,TODAY())-$B63,$L63-$B63))</f>
        <v/>
      </c>
      <c r="O63" s="25">
        <f>IF($B63="","",IF(AND($G63="complaint_or_reaction",OR($J63="",$J63&gt;$B63)),"REMOVE the product at that office and tell the brand TODAY; ","")&amp;IF(AND($G63="recall_or_pull",$L63=""),"pull from every office within one business day; tell every office today; ","")&amp;IF($G63="brand_asks_employee_data","info: decline: we collect no employee data; ","")&amp;IF(AND($G63="late_arrival",$L63=""),"not in by T-3: slip one week (tools/opscal.py slip), tell every office today; ",""))</f>
        <v/>
      </c>
    </row>
    <row r="64">
      <c r="B64" s="9" t="n"/>
      <c r="C64" s="33" t="n"/>
      <c r="J64" s="9" t="n"/>
      <c r="K64" s="9" t="n"/>
      <c r="L64" s="9" t="n"/>
      <c r="N64" s="25">
        <f>IF($B64="","",IF($L64="",IF(config!$B$37&lt;&gt;"",config!$B$37,TODAY())-$B64,$L64-$B64))</f>
        <v/>
      </c>
      <c r="O64" s="25">
        <f>IF($B64="","",IF(AND($G64="complaint_or_reaction",OR($J64="",$J64&gt;$B64)),"REMOVE the product at that office and tell the brand TODAY; ","")&amp;IF(AND($G64="recall_or_pull",$L64=""),"pull from every office within one business day; tell every office today; ","")&amp;IF($G64="brand_asks_employee_data","info: decline: we collect no employee data; ","")&amp;IF(AND($G64="late_arrival",$L64=""),"not in by T-3: slip one week (tools/opscal.py slip), tell every office today; ",""))</f>
        <v/>
      </c>
    </row>
    <row r="65">
      <c r="B65" s="9" t="n"/>
      <c r="C65" s="33" t="n"/>
      <c r="J65" s="9" t="n"/>
      <c r="K65" s="9" t="n"/>
      <c r="L65" s="9" t="n"/>
      <c r="N65" s="25">
        <f>IF($B65="","",IF($L65="",IF(config!$B$37&lt;&gt;"",config!$B$37,TODAY())-$B65,$L65-$B65))</f>
        <v/>
      </c>
      <c r="O65" s="25">
        <f>IF($B65="","",IF(AND($G65="complaint_or_reaction",OR($J65="",$J65&gt;$B65)),"REMOVE the product at that office and tell the brand TODAY; ","")&amp;IF(AND($G65="recall_or_pull",$L65=""),"pull from every office within one business day; tell every office today; ","")&amp;IF($G65="brand_asks_employee_data","info: decline: we collect no employee data; ","")&amp;IF(AND($G65="late_arrival",$L65=""),"not in by T-3: slip one week (tools/opscal.py slip), tell every office today; ",""))</f>
        <v/>
      </c>
    </row>
    <row r="66">
      <c r="B66" s="9" t="n"/>
      <c r="C66" s="33" t="n"/>
      <c r="J66" s="9" t="n"/>
      <c r="K66" s="9" t="n"/>
      <c r="L66" s="9" t="n"/>
      <c r="N66" s="25">
        <f>IF($B66="","",IF($L66="",IF(config!$B$37&lt;&gt;"",config!$B$37,TODAY())-$B66,$L66-$B66))</f>
        <v/>
      </c>
      <c r="O66" s="25">
        <f>IF($B66="","",IF(AND($G66="complaint_or_reaction",OR($J66="",$J66&gt;$B66)),"REMOVE the product at that office and tell the brand TODAY; ","")&amp;IF(AND($G66="recall_or_pull",$L66=""),"pull from every office within one business day; tell every office today; ","")&amp;IF($G66="brand_asks_employee_data","info: decline: we collect no employee data; ","")&amp;IF(AND($G66="late_arrival",$L66=""),"not in by T-3: slip one week (tools/opscal.py slip), tell every office today; ",""))</f>
        <v/>
      </c>
    </row>
    <row r="67">
      <c r="B67" s="9" t="n"/>
      <c r="C67" s="33" t="n"/>
      <c r="J67" s="9" t="n"/>
      <c r="K67" s="9" t="n"/>
      <c r="L67" s="9" t="n"/>
      <c r="N67" s="25">
        <f>IF($B67="","",IF($L67="",IF(config!$B$37&lt;&gt;"",config!$B$37,TODAY())-$B67,$L67-$B67))</f>
        <v/>
      </c>
      <c r="O67" s="25">
        <f>IF($B67="","",IF(AND($G67="complaint_or_reaction",OR($J67="",$J67&gt;$B67)),"REMOVE the product at that office and tell the brand TODAY; ","")&amp;IF(AND($G67="recall_or_pull",$L67=""),"pull from every office within one business day; tell every office today; ","")&amp;IF($G67="brand_asks_employee_data","info: decline: we collect no employee data; ","")&amp;IF(AND($G67="late_arrival",$L67=""),"not in by T-3: slip one week (tools/opscal.py slip), tell every office today; ",""))</f>
        <v/>
      </c>
    </row>
    <row r="68">
      <c r="B68" s="9" t="n"/>
      <c r="C68" s="33" t="n"/>
      <c r="J68" s="9" t="n"/>
      <c r="K68" s="9" t="n"/>
      <c r="L68" s="9" t="n"/>
      <c r="N68" s="25">
        <f>IF($B68="","",IF($L68="",IF(config!$B$37&lt;&gt;"",config!$B$37,TODAY())-$B68,$L68-$B68))</f>
        <v/>
      </c>
      <c r="O68" s="25">
        <f>IF($B68="","",IF(AND($G68="complaint_or_reaction",OR($J68="",$J68&gt;$B68)),"REMOVE the product at that office and tell the brand TODAY; ","")&amp;IF(AND($G68="recall_or_pull",$L68=""),"pull from every office within one business day; tell every office today; ","")&amp;IF($G68="brand_asks_employee_data","info: decline: we collect no employee data; ","")&amp;IF(AND($G68="late_arrival",$L68=""),"not in by T-3: slip one week (tools/opscal.py slip), tell every office today; ",""))</f>
        <v/>
      </c>
    </row>
    <row r="69">
      <c r="B69" s="9" t="n"/>
      <c r="C69" s="33" t="n"/>
      <c r="J69" s="9" t="n"/>
      <c r="K69" s="9" t="n"/>
      <c r="L69" s="9" t="n"/>
      <c r="N69" s="25">
        <f>IF($B69="","",IF($L69="",IF(config!$B$37&lt;&gt;"",config!$B$37,TODAY())-$B69,$L69-$B69))</f>
        <v/>
      </c>
      <c r="O69" s="25">
        <f>IF($B69="","",IF(AND($G69="complaint_or_reaction",OR($J69="",$J69&gt;$B69)),"REMOVE the product at that office and tell the brand TODAY; ","")&amp;IF(AND($G69="recall_or_pull",$L69=""),"pull from every office within one business day; tell every office today; ","")&amp;IF($G69="brand_asks_employee_data","info: decline: we collect no employee data; ","")&amp;IF(AND($G69="late_arrival",$L69=""),"not in by T-3: slip one week (tools/opscal.py slip), tell every office today; ",""))</f>
        <v/>
      </c>
    </row>
    <row r="70">
      <c r="B70" s="9" t="n"/>
      <c r="C70" s="33" t="n"/>
      <c r="J70" s="9" t="n"/>
      <c r="K70" s="9" t="n"/>
      <c r="L70" s="9" t="n"/>
      <c r="N70" s="25">
        <f>IF($B70="","",IF($L70="",IF(config!$B$37&lt;&gt;"",config!$B$37,TODAY())-$B70,$L70-$B70))</f>
        <v/>
      </c>
      <c r="O70" s="25">
        <f>IF($B70="","",IF(AND($G70="complaint_or_reaction",OR($J70="",$J70&gt;$B70)),"REMOVE the product at that office and tell the brand TODAY; ","")&amp;IF(AND($G70="recall_or_pull",$L70=""),"pull from every office within one business day; tell every office today; ","")&amp;IF($G70="brand_asks_employee_data","info: decline: we collect no employee data; ","")&amp;IF(AND($G70="late_arrival",$L70=""),"not in by T-3: slip one week (tools/opscal.py slip), tell every office today; ",""))</f>
        <v/>
      </c>
    </row>
    <row r="71">
      <c r="B71" s="9" t="n"/>
      <c r="C71" s="33" t="n"/>
      <c r="J71" s="9" t="n"/>
      <c r="K71" s="9" t="n"/>
      <c r="L71" s="9" t="n"/>
      <c r="N71" s="25">
        <f>IF($B71="","",IF($L71="",IF(config!$B$37&lt;&gt;"",config!$B$37,TODAY())-$B71,$L71-$B71))</f>
        <v/>
      </c>
      <c r="O71" s="25">
        <f>IF($B71="","",IF(AND($G71="complaint_or_reaction",OR($J71="",$J71&gt;$B71)),"REMOVE the product at that office and tell the brand TODAY; ","")&amp;IF(AND($G71="recall_or_pull",$L71=""),"pull from every office within one business day; tell every office today; ","")&amp;IF($G71="brand_asks_employee_data","info: decline: we collect no employee data; ","")&amp;IF(AND($G71="late_arrival",$L71=""),"not in by T-3: slip one week (tools/opscal.py slip), tell every office today; ",""))</f>
        <v/>
      </c>
    </row>
    <row r="72">
      <c r="B72" s="9" t="n"/>
      <c r="C72" s="33" t="n"/>
      <c r="J72" s="9" t="n"/>
      <c r="K72" s="9" t="n"/>
      <c r="L72" s="9" t="n"/>
      <c r="N72" s="25">
        <f>IF($B72="","",IF($L72="",IF(config!$B$37&lt;&gt;"",config!$B$37,TODAY())-$B72,$L72-$B72))</f>
        <v/>
      </c>
      <c r="O72" s="25">
        <f>IF($B72="","",IF(AND($G72="complaint_or_reaction",OR($J72="",$J72&gt;$B72)),"REMOVE the product at that office and tell the brand TODAY; ","")&amp;IF(AND($G72="recall_or_pull",$L72=""),"pull from every office within one business day; tell every office today; ","")&amp;IF($G72="brand_asks_employee_data","info: decline: we collect no employee data; ","")&amp;IF(AND($G72="late_arrival",$L72=""),"not in by T-3: slip one week (tools/opscal.py slip), tell every office today; ",""))</f>
        <v/>
      </c>
    </row>
    <row r="73">
      <c r="B73" s="9" t="n"/>
      <c r="C73" s="33" t="n"/>
      <c r="J73" s="9" t="n"/>
      <c r="K73" s="9" t="n"/>
      <c r="L73" s="9" t="n"/>
      <c r="N73" s="25">
        <f>IF($B73="","",IF($L73="",IF(config!$B$37&lt;&gt;"",config!$B$37,TODAY())-$B73,$L73-$B73))</f>
        <v/>
      </c>
      <c r="O73" s="25">
        <f>IF($B73="","",IF(AND($G73="complaint_or_reaction",OR($J73="",$J73&gt;$B73)),"REMOVE the product at that office and tell the brand TODAY; ","")&amp;IF(AND($G73="recall_or_pull",$L73=""),"pull from every office within one business day; tell every office today; ","")&amp;IF($G73="brand_asks_employee_data","info: decline: we collect no employee data; ","")&amp;IF(AND($G73="late_arrival",$L73=""),"not in by T-3: slip one week (tools/opscal.py slip), tell every office today; ",""))</f>
        <v/>
      </c>
    </row>
    <row r="74">
      <c r="B74" s="9" t="n"/>
      <c r="C74" s="33" t="n"/>
      <c r="J74" s="9" t="n"/>
      <c r="K74" s="9" t="n"/>
      <c r="L74" s="9" t="n"/>
      <c r="N74" s="25">
        <f>IF($B74="","",IF($L74="",IF(config!$B$37&lt;&gt;"",config!$B$37,TODAY())-$B74,$L74-$B74))</f>
        <v/>
      </c>
      <c r="O74" s="25">
        <f>IF($B74="","",IF(AND($G74="complaint_or_reaction",OR($J74="",$J74&gt;$B74)),"REMOVE the product at that office and tell the brand TODAY; ","")&amp;IF(AND($G74="recall_or_pull",$L74=""),"pull from every office within one business day; tell every office today; ","")&amp;IF($G74="brand_asks_employee_data","info: decline: we collect no employee data; ","")&amp;IF(AND($G74="late_arrival",$L74=""),"not in by T-3: slip one week (tools/opscal.py slip), tell every office today; ",""))</f>
        <v/>
      </c>
    </row>
    <row r="75">
      <c r="B75" s="9" t="n"/>
      <c r="C75" s="33" t="n"/>
      <c r="J75" s="9" t="n"/>
      <c r="K75" s="9" t="n"/>
      <c r="L75" s="9" t="n"/>
      <c r="N75" s="25">
        <f>IF($B75="","",IF($L75="",IF(config!$B$37&lt;&gt;"",config!$B$37,TODAY())-$B75,$L75-$B75))</f>
        <v/>
      </c>
      <c r="O75" s="25">
        <f>IF($B75="","",IF(AND($G75="complaint_or_reaction",OR($J75="",$J75&gt;$B75)),"REMOVE the product at that office and tell the brand TODAY; ","")&amp;IF(AND($G75="recall_or_pull",$L75=""),"pull from every office within one business day; tell every office today; ","")&amp;IF($G75="brand_asks_employee_data","info: decline: we collect no employee data; ","")&amp;IF(AND($G75="late_arrival",$L75=""),"not in by T-3: slip one week (tools/opscal.py slip), tell every office today; ",""))</f>
        <v/>
      </c>
    </row>
    <row r="76">
      <c r="B76" s="9" t="n"/>
      <c r="C76" s="33" t="n"/>
      <c r="J76" s="9" t="n"/>
      <c r="K76" s="9" t="n"/>
      <c r="L76" s="9" t="n"/>
      <c r="N76" s="25">
        <f>IF($B76="","",IF($L76="",IF(config!$B$37&lt;&gt;"",config!$B$37,TODAY())-$B76,$L76-$B76))</f>
        <v/>
      </c>
      <c r="O76" s="25">
        <f>IF($B76="","",IF(AND($G76="complaint_or_reaction",OR($J76="",$J76&gt;$B76)),"REMOVE the product at that office and tell the brand TODAY; ","")&amp;IF(AND($G76="recall_or_pull",$L76=""),"pull from every office within one business day; tell every office today; ","")&amp;IF($G76="brand_asks_employee_data","info: decline: we collect no employee data; ","")&amp;IF(AND($G76="late_arrival",$L76=""),"not in by T-3: slip one week (tools/opscal.py slip), tell every office today; ",""))</f>
        <v/>
      </c>
    </row>
    <row r="77">
      <c r="B77" s="9" t="n"/>
      <c r="C77" s="33" t="n"/>
      <c r="J77" s="9" t="n"/>
      <c r="K77" s="9" t="n"/>
      <c r="L77" s="9" t="n"/>
      <c r="N77" s="25">
        <f>IF($B77="","",IF($L77="",IF(config!$B$37&lt;&gt;"",config!$B$37,TODAY())-$B77,$L77-$B77))</f>
        <v/>
      </c>
      <c r="O77" s="25">
        <f>IF($B77="","",IF(AND($G77="complaint_or_reaction",OR($J77="",$J77&gt;$B77)),"REMOVE the product at that office and tell the brand TODAY; ","")&amp;IF(AND($G77="recall_or_pull",$L77=""),"pull from every office within one business day; tell every office today; ","")&amp;IF($G77="brand_asks_employee_data","info: decline: we collect no employee data; ","")&amp;IF(AND($G77="late_arrival",$L77=""),"not in by T-3: slip one week (tools/opscal.py slip), tell every office today; ",""))</f>
        <v/>
      </c>
    </row>
    <row r="78">
      <c r="B78" s="9" t="n"/>
      <c r="C78" s="33" t="n"/>
      <c r="J78" s="9" t="n"/>
      <c r="K78" s="9" t="n"/>
      <c r="L78" s="9" t="n"/>
      <c r="N78" s="25">
        <f>IF($B78="","",IF($L78="",IF(config!$B$37&lt;&gt;"",config!$B$37,TODAY())-$B78,$L78-$B78))</f>
        <v/>
      </c>
      <c r="O78" s="25">
        <f>IF($B78="","",IF(AND($G78="complaint_or_reaction",OR($J78="",$J78&gt;$B78)),"REMOVE the product at that office and tell the brand TODAY; ","")&amp;IF(AND($G78="recall_or_pull",$L78=""),"pull from every office within one business day; tell every office today; ","")&amp;IF($G78="brand_asks_employee_data","info: decline: we collect no employee data; ","")&amp;IF(AND($G78="late_arrival",$L78=""),"not in by T-3: slip one week (tools/opscal.py slip), tell every office today; ",""))</f>
        <v/>
      </c>
    </row>
    <row r="79">
      <c r="B79" s="9" t="n"/>
      <c r="C79" s="33" t="n"/>
      <c r="J79" s="9" t="n"/>
      <c r="K79" s="9" t="n"/>
      <c r="L79" s="9" t="n"/>
      <c r="N79" s="25">
        <f>IF($B79="","",IF($L79="",IF(config!$B$37&lt;&gt;"",config!$B$37,TODAY())-$B79,$L79-$B79))</f>
        <v/>
      </c>
      <c r="O79" s="25">
        <f>IF($B79="","",IF(AND($G79="complaint_or_reaction",OR($J79="",$J79&gt;$B79)),"REMOVE the product at that office and tell the brand TODAY; ","")&amp;IF(AND($G79="recall_or_pull",$L79=""),"pull from every office within one business day; tell every office today; ","")&amp;IF($G79="brand_asks_employee_data","info: decline: we collect no employee data; ","")&amp;IF(AND($G79="late_arrival",$L79=""),"not in by T-3: slip one week (tools/opscal.py slip), tell every office today; ",""))</f>
        <v/>
      </c>
    </row>
    <row r="80">
      <c r="B80" s="9" t="n"/>
      <c r="C80" s="33" t="n"/>
      <c r="J80" s="9" t="n"/>
      <c r="K80" s="9" t="n"/>
      <c r="L80" s="9" t="n"/>
      <c r="N80" s="25">
        <f>IF($B80="","",IF($L80="",IF(config!$B$37&lt;&gt;"",config!$B$37,TODAY())-$B80,$L80-$B80))</f>
        <v/>
      </c>
      <c r="O80" s="25">
        <f>IF($B80="","",IF(AND($G80="complaint_or_reaction",OR($J80="",$J80&gt;$B80)),"REMOVE the product at that office and tell the brand TODAY; ","")&amp;IF(AND($G80="recall_or_pull",$L80=""),"pull from every office within one business day; tell every office today; ","")&amp;IF($G80="brand_asks_employee_data","info: decline: we collect no employee data; ","")&amp;IF(AND($G80="late_arrival",$L80=""),"not in by T-3: slip one week (tools/opscal.py slip), tell every office today; ",""))</f>
        <v/>
      </c>
    </row>
    <row r="81">
      <c r="B81" s="9" t="n"/>
      <c r="C81" s="33" t="n"/>
      <c r="J81" s="9" t="n"/>
      <c r="K81" s="9" t="n"/>
      <c r="L81" s="9" t="n"/>
      <c r="N81" s="25">
        <f>IF($B81="","",IF($L81="",IF(config!$B$37&lt;&gt;"",config!$B$37,TODAY())-$B81,$L81-$B81))</f>
        <v/>
      </c>
      <c r="O81" s="25">
        <f>IF($B81="","",IF(AND($G81="complaint_or_reaction",OR($J81="",$J81&gt;$B81)),"REMOVE the product at that office and tell the brand TODAY; ","")&amp;IF(AND($G81="recall_or_pull",$L81=""),"pull from every office within one business day; tell every office today; ","")&amp;IF($G81="brand_asks_employee_data","info: decline: we collect no employee data; ","")&amp;IF(AND($G81="late_arrival",$L81=""),"not in by T-3: slip one week (tools/opscal.py slip), tell every office today; ",""))</f>
        <v/>
      </c>
    </row>
    <row r="82">
      <c r="B82" s="9" t="n"/>
      <c r="C82" s="33" t="n"/>
      <c r="J82" s="9" t="n"/>
      <c r="K82" s="9" t="n"/>
      <c r="L82" s="9" t="n"/>
      <c r="N82" s="25">
        <f>IF($B82="","",IF($L82="",IF(config!$B$37&lt;&gt;"",config!$B$37,TODAY())-$B82,$L82-$B82))</f>
        <v/>
      </c>
      <c r="O82" s="25">
        <f>IF($B82="","",IF(AND($G82="complaint_or_reaction",OR($J82="",$J82&gt;$B82)),"REMOVE the product at that office and tell the brand TODAY; ","")&amp;IF(AND($G82="recall_or_pull",$L82=""),"pull from every office within one business day; tell every office today; ","")&amp;IF($G82="brand_asks_employee_data","info: decline: we collect no employee data; ","")&amp;IF(AND($G82="late_arrival",$L82=""),"not in by T-3: slip one week (tools/opscal.py slip), tell every office today; ",""))</f>
        <v/>
      </c>
    </row>
    <row r="83">
      <c r="B83" s="9" t="n"/>
      <c r="C83" s="33" t="n"/>
      <c r="J83" s="9" t="n"/>
      <c r="K83" s="9" t="n"/>
      <c r="L83" s="9" t="n"/>
      <c r="N83" s="25">
        <f>IF($B83="","",IF($L83="",IF(config!$B$37&lt;&gt;"",config!$B$37,TODAY())-$B83,$L83-$B83))</f>
        <v/>
      </c>
      <c r="O83" s="25">
        <f>IF($B83="","",IF(AND($G83="complaint_or_reaction",OR($J83="",$J83&gt;$B83)),"REMOVE the product at that office and tell the brand TODAY; ","")&amp;IF(AND($G83="recall_or_pull",$L83=""),"pull from every office within one business day; tell every office today; ","")&amp;IF($G83="brand_asks_employee_data","info: decline: we collect no employee data; ","")&amp;IF(AND($G83="late_arrival",$L83=""),"not in by T-3: slip one week (tools/opscal.py slip), tell every office today; ",""))</f>
        <v/>
      </c>
    </row>
    <row r="84">
      <c r="B84" s="9" t="n"/>
      <c r="C84" s="33" t="n"/>
      <c r="J84" s="9" t="n"/>
      <c r="K84" s="9" t="n"/>
      <c r="L84" s="9" t="n"/>
      <c r="N84" s="25">
        <f>IF($B84="","",IF($L84="",IF(config!$B$37&lt;&gt;"",config!$B$37,TODAY())-$B84,$L84-$B84))</f>
        <v/>
      </c>
      <c r="O84" s="25">
        <f>IF($B84="","",IF(AND($G84="complaint_or_reaction",OR($J84="",$J84&gt;$B84)),"REMOVE the product at that office and tell the brand TODAY; ","")&amp;IF(AND($G84="recall_or_pull",$L84=""),"pull from every office within one business day; tell every office today; ","")&amp;IF($G84="brand_asks_employee_data","info: decline: we collect no employee data; ","")&amp;IF(AND($G84="late_arrival",$L84=""),"not in by T-3: slip one week (tools/opscal.py slip), tell every office today; ",""))</f>
        <v/>
      </c>
    </row>
    <row r="85">
      <c r="B85" s="9" t="n"/>
      <c r="C85" s="33" t="n"/>
      <c r="J85" s="9" t="n"/>
      <c r="K85" s="9" t="n"/>
      <c r="L85" s="9" t="n"/>
      <c r="N85" s="25">
        <f>IF($B85="","",IF($L85="",IF(config!$B$37&lt;&gt;"",config!$B$37,TODAY())-$B85,$L85-$B85))</f>
        <v/>
      </c>
      <c r="O85" s="25">
        <f>IF($B85="","",IF(AND($G85="complaint_or_reaction",OR($J85="",$J85&gt;$B85)),"REMOVE the product at that office and tell the brand TODAY; ","")&amp;IF(AND($G85="recall_or_pull",$L85=""),"pull from every office within one business day; tell every office today; ","")&amp;IF($G85="brand_asks_employee_data","info: decline: we collect no employee data; ","")&amp;IF(AND($G85="late_arrival",$L85=""),"not in by T-3: slip one week (tools/opscal.py slip), tell every office today; ",""))</f>
        <v/>
      </c>
    </row>
    <row r="86">
      <c r="B86" s="9" t="n"/>
      <c r="C86" s="33" t="n"/>
      <c r="J86" s="9" t="n"/>
      <c r="K86" s="9" t="n"/>
      <c r="L86" s="9" t="n"/>
      <c r="N86" s="25">
        <f>IF($B86="","",IF($L86="",IF(config!$B$37&lt;&gt;"",config!$B$37,TODAY())-$B86,$L86-$B86))</f>
        <v/>
      </c>
      <c r="O86" s="25">
        <f>IF($B86="","",IF(AND($G86="complaint_or_reaction",OR($J86="",$J86&gt;$B86)),"REMOVE the product at that office and tell the brand TODAY; ","")&amp;IF(AND($G86="recall_or_pull",$L86=""),"pull from every office within one business day; tell every office today; ","")&amp;IF($G86="brand_asks_employee_data","info: decline: we collect no employee data; ","")&amp;IF(AND($G86="late_arrival",$L86=""),"not in by T-3: slip one week (tools/opscal.py slip), tell every office today; ",""))</f>
        <v/>
      </c>
    </row>
    <row r="87">
      <c r="B87" s="9" t="n"/>
      <c r="C87" s="33" t="n"/>
      <c r="J87" s="9" t="n"/>
      <c r="K87" s="9" t="n"/>
      <c r="L87" s="9" t="n"/>
      <c r="N87" s="25">
        <f>IF($B87="","",IF($L87="",IF(config!$B$37&lt;&gt;"",config!$B$37,TODAY())-$B87,$L87-$B87))</f>
        <v/>
      </c>
      <c r="O87" s="25">
        <f>IF($B87="","",IF(AND($G87="complaint_or_reaction",OR($J87="",$J87&gt;$B87)),"REMOVE the product at that office and tell the brand TODAY; ","")&amp;IF(AND($G87="recall_or_pull",$L87=""),"pull from every office within one business day; tell every office today; ","")&amp;IF($G87="brand_asks_employee_data","info: decline: we collect no employee data; ","")&amp;IF(AND($G87="late_arrival",$L87=""),"not in by T-3: slip one week (tools/opscal.py slip), tell every office today; ",""))</f>
        <v/>
      </c>
    </row>
    <row r="88">
      <c r="B88" s="9" t="n"/>
      <c r="C88" s="33" t="n"/>
      <c r="J88" s="9" t="n"/>
      <c r="K88" s="9" t="n"/>
      <c r="L88" s="9" t="n"/>
      <c r="N88" s="25">
        <f>IF($B88="","",IF($L88="",IF(config!$B$37&lt;&gt;"",config!$B$37,TODAY())-$B88,$L88-$B88))</f>
        <v/>
      </c>
      <c r="O88" s="25">
        <f>IF($B88="","",IF(AND($G88="complaint_or_reaction",OR($J88="",$J88&gt;$B88)),"REMOVE the product at that office and tell the brand TODAY; ","")&amp;IF(AND($G88="recall_or_pull",$L88=""),"pull from every office within one business day; tell every office today; ","")&amp;IF($G88="brand_asks_employee_data","info: decline: we collect no employee data; ","")&amp;IF(AND($G88="late_arrival",$L88=""),"not in by T-3: slip one week (tools/opscal.py slip), tell every office today; ",""))</f>
        <v/>
      </c>
    </row>
    <row r="89">
      <c r="B89" s="9" t="n"/>
      <c r="C89" s="33" t="n"/>
      <c r="J89" s="9" t="n"/>
      <c r="K89" s="9" t="n"/>
      <c r="L89" s="9" t="n"/>
      <c r="N89" s="25">
        <f>IF($B89="","",IF($L89="",IF(config!$B$37&lt;&gt;"",config!$B$37,TODAY())-$B89,$L89-$B89))</f>
        <v/>
      </c>
      <c r="O89" s="25">
        <f>IF($B89="","",IF(AND($G89="complaint_or_reaction",OR($J89="",$J89&gt;$B89)),"REMOVE the product at that office and tell the brand TODAY; ","")&amp;IF(AND($G89="recall_or_pull",$L89=""),"pull from every office within one business day; tell every office today; ","")&amp;IF($G89="brand_asks_employee_data","info: decline: we collect no employee data; ","")&amp;IF(AND($G89="late_arrival",$L89=""),"not in by T-3: slip one week (tools/opscal.py slip), tell every office today; ",""))</f>
        <v/>
      </c>
    </row>
    <row r="90">
      <c r="B90" s="9" t="n"/>
      <c r="C90" s="33" t="n"/>
      <c r="J90" s="9" t="n"/>
      <c r="K90" s="9" t="n"/>
      <c r="L90" s="9" t="n"/>
      <c r="N90" s="25">
        <f>IF($B90="","",IF($L90="",IF(config!$B$37&lt;&gt;"",config!$B$37,TODAY())-$B90,$L90-$B90))</f>
        <v/>
      </c>
      <c r="O90" s="25">
        <f>IF($B90="","",IF(AND($G90="complaint_or_reaction",OR($J90="",$J90&gt;$B90)),"REMOVE the product at that office and tell the brand TODAY; ","")&amp;IF(AND($G90="recall_or_pull",$L90=""),"pull from every office within one business day; tell every office today; ","")&amp;IF($G90="brand_asks_employee_data","info: decline: we collect no employee data; ","")&amp;IF(AND($G90="late_arrival",$L90=""),"not in by T-3: slip one week (tools/opscal.py slip), tell every office today; ",""))</f>
        <v/>
      </c>
    </row>
    <row r="91">
      <c r="B91" s="9" t="n"/>
      <c r="C91" s="33" t="n"/>
      <c r="J91" s="9" t="n"/>
      <c r="K91" s="9" t="n"/>
      <c r="L91" s="9" t="n"/>
      <c r="N91" s="25">
        <f>IF($B91="","",IF($L91="",IF(config!$B$37&lt;&gt;"",config!$B$37,TODAY())-$B91,$L91-$B91))</f>
        <v/>
      </c>
      <c r="O91" s="25">
        <f>IF($B91="","",IF(AND($G91="complaint_or_reaction",OR($J91="",$J91&gt;$B91)),"REMOVE the product at that office and tell the brand TODAY; ","")&amp;IF(AND($G91="recall_or_pull",$L91=""),"pull from every office within one business day; tell every office today; ","")&amp;IF($G91="brand_asks_employee_data","info: decline: we collect no employee data; ","")&amp;IF(AND($G91="late_arrival",$L91=""),"not in by T-3: slip one week (tools/opscal.py slip), tell every office today; ",""))</f>
        <v/>
      </c>
    </row>
    <row r="92">
      <c r="B92" s="9" t="n"/>
      <c r="C92" s="33" t="n"/>
      <c r="J92" s="9" t="n"/>
      <c r="K92" s="9" t="n"/>
      <c r="L92" s="9" t="n"/>
      <c r="N92" s="25">
        <f>IF($B92="","",IF($L92="",IF(config!$B$37&lt;&gt;"",config!$B$37,TODAY())-$B92,$L92-$B92))</f>
        <v/>
      </c>
      <c r="O92" s="25">
        <f>IF($B92="","",IF(AND($G92="complaint_or_reaction",OR($J92="",$J92&gt;$B92)),"REMOVE the product at that office and tell the brand TODAY; ","")&amp;IF(AND($G92="recall_or_pull",$L92=""),"pull from every office within one business day; tell every office today; ","")&amp;IF($G92="brand_asks_employee_data","info: decline: we collect no employee data; ","")&amp;IF(AND($G92="late_arrival",$L92=""),"not in by T-3: slip one week (tools/opscal.py slip), tell every office today; ",""))</f>
        <v/>
      </c>
    </row>
    <row r="93">
      <c r="B93" s="9" t="n"/>
      <c r="C93" s="33" t="n"/>
      <c r="J93" s="9" t="n"/>
      <c r="K93" s="9" t="n"/>
      <c r="L93" s="9" t="n"/>
      <c r="N93" s="25">
        <f>IF($B93="","",IF($L93="",IF(config!$B$37&lt;&gt;"",config!$B$37,TODAY())-$B93,$L93-$B93))</f>
        <v/>
      </c>
      <c r="O93" s="25">
        <f>IF($B93="","",IF(AND($G93="complaint_or_reaction",OR($J93="",$J93&gt;$B93)),"REMOVE the product at that office and tell the brand TODAY; ","")&amp;IF(AND($G93="recall_or_pull",$L93=""),"pull from every office within one business day; tell every office today; ","")&amp;IF($G93="brand_asks_employee_data","info: decline: we collect no employee data; ","")&amp;IF(AND($G93="late_arrival",$L93=""),"not in by T-3: slip one week (tools/opscal.py slip), tell every office today; ",""))</f>
        <v/>
      </c>
    </row>
    <row r="94">
      <c r="B94" s="9" t="n"/>
      <c r="C94" s="33" t="n"/>
      <c r="J94" s="9" t="n"/>
      <c r="K94" s="9" t="n"/>
      <c r="L94" s="9" t="n"/>
      <c r="N94" s="25">
        <f>IF($B94="","",IF($L94="",IF(config!$B$37&lt;&gt;"",config!$B$37,TODAY())-$B94,$L94-$B94))</f>
        <v/>
      </c>
      <c r="O94" s="25">
        <f>IF($B94="","",IF(AND($G94="complaint_or_reaction",OR($J94="",$J94&gt;$B94)),"REMOVE the product at that office and tell the brand TODAY; ","")&amp;IF(AND($G94="recall_or_pull",$L94=""),"pull from every office within one business day; tell every office today; ","")&amp;IF($G94="brand_asks_employee_data","info: decline: we collect no employee data; ","")&amp;IF(AND($G94="late_arrival",$L94=""),"not in by T-3: slip one week (tools/opscal.py slip), tell every office today; ",""))</f>
        <v/>
      </c>
    </row>
    <row r="95">
      <c r="B95" s="9" t="n"/>
      <c r="C95" s="33" t="n"/>
      <c r="J95" s="9" t="n"/>
      <c r="K95" s="9" t="n"/>
      <c r="L95" s="9" t="n"/>
      <c r="N95" s="25">
        <f>IF($B95="","",IF($L95="",IF(config!$B$37&lt;&gt;"",config!$B$37,TODAY())-$B95,$L95-$B95))</f>
        <v/>
      </c>
      <c r="O95" s="25">
        <f>IF($B95="","",IF(AND($G95="complaint_or_reaction",OR($J95="",$J95&gt;$B95)),"REMOVE the product at that office and tell the brand TODAY; ","")&amp;IF(AND($G95="recall_or_pull",$L95=""),"pull from every office within one business day; tell every office today; ","")&amp;IF($G95="brand_asks_employee_data","info: decline: we collect no employee data; ","")&amp;IF(AND($G95="late_arrival",$L95=""),"not in by T-3: slip one week (tools/opscal.py slip), tell every office today; ",""))</f>
        <v/>
      </c>
    </row>
    <row r="96">
      <c r="B96" s="9" t="n"/>
      <c r="C96" s="33" t="n"/>
      <c r="J96" s="9" t="n"/>
      <c r="K96" s="9" t="n"/>
      <c r="L96" s="9" t="n"/>
      <c r="N96" s="25">
        <f>IF($B96="","",IF($L96="",IF(config!$B$37&lt;&gt;"",config!$B$37,TODAY())-$B96,$L96-$B96))</f>
        <v/>
      </c>
      <c r="O96" s="25">
        <f>IF($B96="","",IF(AND($G96="complaint_or_reaction",OR($J96="",$J96&gt;$B96)),"REMOVE the product at that office and tell the brand TODAY; ","")&amp;IF(AND($G96="recall_or_pull",$L96=""),"pull from every office within one business day; tell every office today; ","")&amp;IF($G96="brand_asks_employee_data","info: decline: we collect no employee data; ","")&amp;IF(AND($G96="late_arrival",$L96=""),"not in by T-3: slip one week (tools/opscal.py slip), tell every office today; ",""))</f>
        <v/>
      </c>
    </row>
    <row r="97">
      <c r="B97" s="9" t="n"/>
      <c r="C97" s="33" t="n"/>
      <c r="J97" s="9" t="n"/>
      <c r="K97" s="9" t="n"/>
      <c r="L97" s="9" t="n"/>
      <c r="N97" s="25">
        <f>IF($B97="","",IF($L97="",IF(config!$B$37&lt;&gt;"",config!$B$37,TODAY())-$B97,$L97-$B97))</f>
        <v/>
      </c>
      <c r="O97" s="25">
        <f>IF($B97="","",IF(AND($G97="complaint_or_reaction",OR($J97="",$J97&gt;$B97)),"REMOVE the product at that office and tell the brand TODAY; ","")&amp;IF(AND($G97="recall_or_pull",$L97=""),"pull from every office within one business day; tell every office today; ","")&amp;IF($G97="brand_asks_employee_data","info: decline: we collect no employee data; ","")&amp;IF(AND($G97="late_arrival",$L97=""),"not in by T-3: slip one week (tools/opscal.py slip), tell every office today; ",""))</f>
        <v/>
      </c>
    </row>
    <row r="98">
      <c r="B98" s="9" t="n"/>
      <c r="C98" s="33" t="n"/>
      <c r="J98" s="9" t="n"/>
      <c r="K98" s="9" t="n"/>
      <c r="L98" s="9" t="n"/>
      <c r="N98" s="25">
        <f>IF($B98="","",IF($L98="",IF(config!$B$37&lt;&gt;"",config!$B$37,TODAY())-$B98,$L98-$B98))</f>
        <v/>
      </c>
      <c r="O98" s="25">
        <f>IF($B98="","",IF(AND($G98="complaint_or_reaction",OR($J98="",$J98&gt;$B98)),"REMOVE the product at that office and tell the brand TODAY; ","")&amp;IF(AND($G98="recall_or_pull",$L98=""),"pull from every office within one business day; tell every office today; ","")&amp;IF($G98="brand_asks_employee_data","info: decline: we collect no employee data; ","")&amp;IF(AND($G98="late_arrival",$L98=""),"not in by T-3: slip one week (tools/opscal.py slip), tell every office today; ",""))</f>
        <v/>
      </c>
    </row>
    <row r="99">
      <c r="B99" s="9" t="n"/>
      <c r="C99" s="33" t="n"/>
      <c r="J99" s="9" t="n"/>
      <c r="K99" s="9" t="n"/>
      <c r="L99" s="9" t="n"/>
      <c r="N99" s="25">
        <f>IF($B99="","",IF($L99="",IF(config!$B$37&lt;&gt;"",config!$B$37,TODAY())-$B99,$L99-$B99))</f>
        <v/>
      </c>
      <c r="O99" s="25">
        <f>IF($B99="","",IF(AND($G99="complaint_or_reaction",OR($J99="",$J99&gt;$B99)),"REMOVE the product at that office and tell the brand TODAY; ","")&amp;IF(AND($G99="recall_or_pull",$L99=""),"pull from every office within one business day; tell every office today; ","")&amp;IF($G99="brand_asks_employee_data","info: decline: we collect no employee data; ","")&amp;IF(AND($G99="late_arrival",$L99=""),"not in by T-3: slip one week (tools/opscal.py slip), tell every office today; ",""))</f>
        <v/>
      </c>
    </row>
    <row r="100">
      <c r="B100" s="9" t="n"/>
      <c r="C100" s="33" t="n"/>
      <c r="J100" s="9" t="n"/>
      <c r="K100" s="9" t="n"/>
      <c r="L100" s="9" t="n"/>
      <c r="N100" s="25">
        <f>IF($B100="","",IF($L100="",IF(config!$B$37&lt;&gt;"",config!$B$37,TODAY())-$B100,$L100-$B100))</f>
        <v/>
      </c>
      <c r="O100" s="25">
        <f>IF($B100="","",IF(AND($G100="complaint_or_reaction",OR($J100="",$J100&gt;$B100)),"REMOVE the product at that office and tell the brand TODAY; ","")&amp;IF(AND($G100="recall_or_pull",$L100=""),"pull from every office within one business day; tell every office today; ","")&amp;IF($G100="brand_asks_employee_data","info: decline: we collect no employee data; ","")&amp;IF(AND($G100="late_arrival",$L100=""),"not in by T-3: slip one week (tools/opscal.py slip), tell every office today; ",""))</f>
        <v/>
      </c>
    </row>
    <row r="101">
      <c r="B101" s="9" t="n"/>
      <c r="C101" s="33" t="n"/>
      <c r="J101" s="9" t="n"/>
      <c r="K101" s="9" t="n"/>
      <c r="L101" s="9" t="n"/>
      <c r="N101" s="25">
        <f>IF($B101="","",IF($L101="",IF(config!$B$37&lt;&gt;"",config!$B$37,TODAY())-$B101,$L101-$B101))</f>
        <v/>
      </c>
      <c r="O101" s="25">
        <f>IF($B101="","",IF(AND($G101="complaint_or_reaction",OR($J101="",$J101&gt;$B101)),"REMOVE the product at that office and tell the brand TODAY; ","")&amp;IF(AND($G101="recall_or_pull",$L101=""),"pull from every office within one business day; tell every office today; ","")&amp;IF($G101="brand_asks_employee_data","info: decline: we collect no employee data; ","")&amp;IF(AND($G101="late_arrival",$L101=""),"not in by T-3: slip one week (tools/opscal.py slip), tell every office today; ",""))</f>
        <v/>
      </c>
    </row>
    <row r="102">
      <c r="B102" s="9" t="n"/>
      <c r="C102" s="33" t="n"/>
      <c r="J102" s="9" t="n"/>
      <c r="K102" s="9" t="n"/>
      <c r="L102" s="9" t="n"/>
      <c r="N102" s="25">
        <f>IF($B102="","",IF($L102="",IF(config!$B$37&lt;&gt;"",config!$B$37,TODAY())-$B102,$L102-$B102))</f>
        <v/>
      </c>
      <c r="O102" s="25">
        <f>IF($B102="","",IF(AND($G102="complaint_or_reaction",OR($J102="",$J102&gt;$B102)),"REMOVE the product at that office and tell the brand TODAY; ","")&amp;IF(AND($G102="recall_or_pull",$L102=""),"pull from every office within one business day; tell every office today; ","")&amp;IF($G102="brand_asks_employee_data","info: decline: we collect no employee data; ","")&amp;IF(AND($G102="late_arrival",$L102=""),"not in by T-3: slip one week (tools/opscal.py slip), tell every office today; ",""))</f>
        <v/>
      </c>
    </row>
    <row r="103">
      <c r="B103" s="9" t="n"/>
      <c r="C103" s="33" t="n"/>
      <c r="J103" s="9" t="n"/>
      <c r="K103" s="9" t="n"/>
      <c r="L103" s="9" t="n"/>
      <c r="N103" s="25">
        <f>IF($B103="","",IF($L103="",IF(config!$B$37&lt;&gt;"",config!$B$37,TODAY())-$B103,$L103-$B103))</f>
        <v/>
      </c>
      <c r="O103" s="25">
        <f>IF($B103="","",IF(AND($G103="complaint_or_reaction",OR($J103="",$J103&gt;$B103)),"REMOVE the product at that office and tell the brand TODAY; ","")&amp;IF(AND($G103="recall_or_pull",$L103=""),"pull from every office within one business day; tell every office today; ","")&amp;IF($G103="brand_asks_employee_data","info: decline: we collect no employee data; ","")&amp;IF(AND($G103="late_arrival",$L103=""),"not in by T-3: slip one week (tools/opscal.py slip), tell every office today; ",""))</f>
        <v/>
      </c>
    </row>
    <row r="104">
      <c r="B104" s="9" t="n"/>
      <c r="C104" s="33" t="n"/>
      <c r="J104" s="9" t="n"/>
      <c r="K104" s="9" t="n"/>
      <c r="L104" s="9" t="n"/>
      <c r="N104" s="25">
        <f>IF($B104="","",IF($L104="",IF(config!$B$37&lt;&gt;"",config!$B$37,TODAY())-$B104,$L104-$B104))</f>
        <v/>
      </c>
      <c r="O104" s="25">
        <f>IF($B104="","",IF(AND($G104="complaint_or_reaction",OR($J104="",$J104&gt;$B104)),"REMOVE the product at that office and tell the brand TODAY; ","")&amp;IF(AND($G104="recall_or_pull",$L104=""),"pull from every office within one business day; tell every office today; ","")&amp;IF($G104="brand_asks_employee_data","info: decline: we collect no employee data; ","")&amp;IF(AND($G104="late_arrival",$L104=""),"not in by T-3: slip one week (tools/opscal.py slip), tell every office today; ",""))</f>
        <v/>
      </c>
    </row>
    <row r="105">
      <c r="B105" s="9" t="n"/>
      <c r="C105" s="33" t="n"/>
      <c r="J105" s="9" t="n"/>
      <c r="K105" s="9" t="n"/>
      <c r="L105" s="9" t="n"/>
      <c r="N105" s="25">
        <f>IF($B105="","",IF($L105="",IF(config!$B$37&lt;&gt;"",config!$B$37,TODAY())-$B105,$L105-$B105))</f>
        <v/>
      </c>
      <c r="O105" s="25">
        <f>IF($B105="","",IF(AND($G105="complaint_or_reaction",OR($J105="",$J105&gt;$B105)),"REMOVE the product at that office and tell the brand TODAY; ","")&amp;IF(AND($G105="recall_or_pull",$L105=""),"pull from every office within one business day; tell every office today; ","")&amp;IF($G105="brand_asks_employee_data","info: decline: we collect no employee data; ","")&amp;IF(AND($G105="late_arrival",$L105=""),"not in by T-3: slip one week (tools/opscal.py slip), tell every office today; ",""))</f>
        <v/>
      </c>
    </row>
    <row r="106">
      <c r="B106" s="9" t="n"/>
      <c r="C106" s="33" t="n"/>
      <c r="J106" s="9" t="n"/>
      <c r="K106" s="9" t="n"/>
      <c r="L106" s="9" t="n"/>
      <c r="N106" s="25">
        <f>IF($B106="","",IF($L106="",IF(config!$B$37&lt;&gt;"",config!$B$37,TODAY())-$B106,$L106-$B106))</f>
        <v/>
      </c>
      <c r="O106" s="25">
        <f>IF($B106="","",IF(AND($G106="complaint_or_reaction",OR($J106="",$J106&gt;$B106)),"REMOVE the product at that office and tell the brand TODAY; ","")&amp;IF(AND($G106="recall_or_pull",$L106=""),"pull from every office within one business day; tell every office today; ","")&amp;IF($G106="brand_asks_employee_data","info: decline: we collect no employee data; ","")&amp;IF(AND($G106="late_arrival",$L106=""),"not in by T-3: slip one week (tools/opscal.py slip), tell every office today; ",""))</f>
        <v/>
      </c>
    </row>
    <row r="107">
      <c r="B107" s="9" t="n"/>
      <c r="C107" s="33" t="n"/>
      <c r="J107" s="9" t="n"/>
      <c r="K107" s="9" t="n"/>
      <c r="L107" s="9" t="n"/>
      <c r="N107" s="25">
        <f>IF($B107="","",IF($L107="",IF(config!$B$37&lt;&gt;"",config!$B$37,TODAY())-$B107,$L107-$B107))</f>
        <v/>
      </c>
      <c r="O107" s="25">
        <f>IF($B107="","",IF(AND($G107="complaint_or_reaction",OR($J107="",$J107&gt;$B107)),"REMOVE the product at that office and tell the brand TODAY; ","")&amp;IF(AND($G107="recall_or_pull",$L107=""),"pull from every office within one business day; tell every office today; ","")&amp;IF($G107="brand_asks_employee_data","info: decline: we collect no employee data; ","")&amp;IF(AND($G107="late_arrival",$L107=""),"not in by T-3: slip one week (tools/opscal.py slip), tell every office today; ",""))</f>
        <v/>
      </c>
    </row>
    <row r="108">
      <c r="B108" s="9" t="n"/>
      <c r="C108" s="33" t="n"/>
      <c r="J108" s="9" t="n"/>
      <c r="K108" s="9" t="n"/>
      <c r="L108" s="9" t="n"/>
      <c r="N108" s="25">
        <f>IF($B108="","",IF($L108="",IF(config!$B$37&lt;&gt;"",config!$B$37,TODAY())-$B108,$L108-$B108))</f>
        <v/>
      </c>
      <c r="O108" s="25">
        <f>IF($B108="","",IF(AND($G108="complaint_or_reaction",OR($J108="",$J108&gt;$B108)),"REMOVE the product at that office and tell the brand TODAY; ","")&amp;IF(AND($G108="recall_or_pull",$L108=""),"pull from every office within one business day; tell every office today; ","")&amp;IF($G108="brand_asks_employee_data","info: decline: we collect no employee data; ","")&amp;IF(AND($G108="late_arrival",$L108=""),"not in by T-3: slip one week (tools/opscal.py slip), tell every office today; ",""))</f>
        <v/>
      </c>
    </row>
    <row r="109">
      <c r="B109" s="9" t="n"/>
      <c r="C109" s="33" t="n"/>
      <c r="J109" s="9" t="n"/>
      <c r="K109" s="9" t="n"/>
      <c r="L109" s="9" t="n"/>
      <c r="N109" s="25">
        <f>IF($B109="","",IF($L109="",IF(config!$B$37&lt;&gt;"",config!$B$37,TODAY())-$B109,$L109-$B109))</f>
        <v/>
      </c>
      <c r="O109" s="25">
        <f>IF($B109="","",IF(AND($G109="complaint_or_reaction",OR($J109="",$J109&gt;$B109)),"REMOVE the product at that office and tell the brand TODAY; ","")&amp;IF(AND($G109="recall_or_pull",$L109=""),"pull from every office within one business day; tell every office today; ","")&amp;IF($G109="brand_asks_employee_data","info: decline: we collect no employee data; ","")&amp;IF(AND($G109="late_arrival",$L109=""),"not in by T-3: slip one week (tools/opscal.py slip), tell every office today; ",""))</f>
        <v/>
      </c>
    </row>
    <row r="110">
      <c r="B110" s="9" t="n"/>
      <c r="C110" s="33" t="n"/>
      <c r="J110" s="9" t="n"/>
      <c r="K110" s="9" t="n"/>
      <c r="L110" s="9" t="n"/>
      <c r="N110" s="25">
        <f>IF($B110="","",IF($L110="",IF(config!$B$37&lt;&gt;"",config!$B$37,TODAY())-$B110,$L110-$B110))</f>
        <v/>
      </c>
      <c r="O110" s="25">
        <f>IF($B110="","",IF(AND($G110="complaint_or_reaction",OR($J110="",$J110&gt;$B110)),"REMOVE the product at that office and tell the brand TODAY; ","")&amp;IF(AND($G110="recall_or_pull",$L110=""),"pull from every office within one business day; tell every office today; ","")&amp;IF($G110="brand_asks_employee_data","info: decline: we collect no employee data; ","")&amp;IF(AND($G110="late_arrival",$L110=""),"not in by T-3: slip one week (tools/opscal.py slip), tell every office today; ",""))</f>
        <v/>
      </c>
    </row>
    <row r="111">
      <c r="B111" s="9" t="n"/>
      <c r="C111" s="33" t="n"/>
      <c r="J111" s="9" t="n"/>
      <c r="K111" s="9" t="n"/>
      <c r="L111" s="9" t="n"/>
      <c r="N111" s="25">
        <f>IF($B111="","",IF($L111="",IF(config!$B$37&lt;&gt;"",config!$B$37,TODAY())-$B111,$L111-$B111))</f>
        <v/>
      </c>
      <c r="O111" s="25">
        <f>IF($B111="","",IF(AND($G111="complaint_or_reaction",OR($J111="",$J111&gt;$B111)),"REMOVE the product at that office and tell the brand TODAY; ","")&amp;IF(AND($G111="recall_or_pull",$L111=""),"pull from every office within one business day; tell every office today; ","")&amp;IF($G111="brand_asks_employee_data","info: decline: we collect no employee data; ","")&amp;IF(AND($G111="late_arrival",$L111=""),"not in by T-3: slip one week (tools/opscal.py slip), tell every office today; ",""))</f>
        <v/>
      </c>
    </row>
    <row r="112">
      <c r="B112" s="9" t="n"/>
      <c r="C112" s="33" t="n"/>
      <c r="J112" s="9" t="n"/>
      <c r="K112" s="9" t="n"/>
      <c r="L112" s="9" t="n"/>
      <c r="N112" s="25">
        <f>IF($B112="","",IF($L112="",IF(config!$B$37&lt;&gt;"",config!$B$37,TODAY())-$B112,$L112-$B112))</f>
        <v/>
      </c>
      <c r="O112" s="25">
        <f>IF($B112="","",IF(AND($G112="complaint_or_reaction",OR($J112="",$J112&gt;$B112)),"REMOVE the product at that office and tell the brand TODAY; ","")&amp;IF(AND($G112="recall_or_pull",$L112=""),"pull from every office within one business day; tell every office today; ","")&amp;IF($G112="brand_asks_employee_data","info: decline: we collect no employee data; ","")&amp;IF(AND($G112="late_arrival",$L112=""),"not in by T-3: slip one week (tools/opscal.py slip), tell every office today; ",""))</f>
        <v/>
      </c>
    </row>
    <row r="113">
      <c r="B113" s="9" t="n"/>
      <c r="C113" s="33" t="n"/>
      <c r="J113" s="9" t="n"/>
      <c r="K113" s="9" t="n"/>
      <c r="L113" s="9" t="n"/>
      <c r="N113" s="25">
        <f>IF($B113="","",IF($L113="",IF(config!$B$37&lt;&gt;"",config!$B$37,TODAY())-$B113,$L113-$B113))</f>
        <v/>
      </c>
      <c r="O113" s="25">
        <f>IF($B113="","",IF(AND($G113="complaint_or_reaction",OR($J113="",$J113&gt;$B113)),"REMOVE the product at that office and tell the brand TODAY; ","")&amp;IF(AND($G113="recall_or_pull",$L113=""),"pull from every office within one business day; tell every office today; ","")&amp;IF($G113="brand_asks_employee_data","info: decline: we collect no employee data; ","")&amp;IF(AND($G113="late_arrival",$L113=""),"not in by T-3: slip one week (tools/opscal.py slip), tell every office today; ",""))</f>
        <v/>
      </c>
    </row>
    <row r="114">
      <c r="B114" s="9" t="n"/>
      <c r="C114" s="33" t="n"/>
      <c r="J114" s="9" t="n"/>
      <c r="K114" s="9" t="n"/>
      <c r="L114" s="9" t="n"/>
      <c r="N114" s="25">
        <f>IF($B114="","",IF($L114="",IF(config!$B$37&lt;&gt;"",config!$B$37,TODAY())-$B114,$L114-$B114))</f>
        <v/>
      </c>
      <c r="O114" s="25">
        <f>IF($B114="","",IF(AND($G114="complaint_or_reaction",OR($J114="",$J114&gt;$B114)),"REMOVE the product at that office and tell the brand TODAY; ","")&amp;IF(AND($G114="recall_or_pull",$L114=""),"pull from every office within one business day; tell every office today; ","")&amp;IF($G114="brand_asks_employee_data","info: decline: we collect no employee data; ","")&amp;IF(AND($G114="late_arrival",$L114=""),"not in by T-3: slip one week (tools/opscal.py slip), tell every office today; ",""))</f>
        <v/>
      </c>
    </row>
    <row r="115">
      <c r="B115" s="9" t="n"/>
      <c r="C115" s="33" t="n"/>
      <c r="J115" s="9" t="n"/>
      <c r="K115" s="9" t="n"/>
      <c r="L115" s="9" t="n"/>
      <c r="N115" s="25">
        <f>IF($B115="","",IF($L115="",IF(config!$B$37&lt;&gt;"",config!$B$37,TODAY())-$B115,$L115-$B115))</f>
        <v/>
      </c>
      <c r="O115" s="25">
        <f>IF($B115="","",IF(AND($G115="complaint_or_reaction",OR($J115="",$J115&gt;$B115)),"REMOVE the product at that office and tell the brand TODAY; ","")&amp;IF(AND($G115="recall_or_pull",$L115=""),"pull from every office within one business day; tell every office today; ","")&amp;IF($G115="brand_asks_employee_data","info: decline: we collect no employee data; ","")&amp;IF(AND($G115="late_arrival",$L115=""),"not in by T-3: slip one week (tools/opscal.py slip), tell every office today; ",""))</f>
        <v/>
      </c>
    </row>
    <row r="116">
      <c r="B116" s="9" t="n"/>
      <c r="C116" s="33" t="n"/>
      <c r="J116" s="9" t="n"/>
      <c r="K116" s="9" t="n"/>
      <c r="L116" s="9" t="n"/>
      <c r="N116" s="25">
        <f>IF($B116="","",IF($L116="",IF(config!$B$37&lt;&gt;"",config!$B$37,TODAY())-$B116,$L116-$B116))</f>
        <v/>
      </c>
      <c r="O116" s="25">
        <f>IF($B116="","",IF(AND($G116="complaint_or_reaction",OR($J116="",$J116&gt;$B116)),"REMOVE the product at that office and tell the brand TODAY; ","")&amp;IF(AND($G116="recall_or_pull",$L116=""),"pull from every office within one business day; tell every office today; ","")&amp;IF($G116="brand_asks_employee_data","info: decline: we collect no employee data; ","")&amp;IF(AND($G116="late_arrival",$L116=""),"not in by T-3: slip one week (tools/opscal.py slip), tell every office today; ",""))</f>
        <v/>
      </c>
    </row>
    <row r="117">
      <c r="B117" s="9" t="n"/>
      <c r="C117" s="33" t="n"/>
      <c r="J117" s="9" t="n"/>
      <c r="K117" s="9" t="n"/>
      <c r="L117" s="9" t="n"/>
      <c r="N117" s="25">
        <f>IF($B117="","",IF($L117="",IF(config!$B$37&lt;&gt;"",config!$B$37,TODAY())-$B117,$L117-$B117))</f>
        <v/>
      </c>
      <c r="O117" s="25">
        <f>IF($B117="","",IF(AND($G117="complaint_or_reaction",OR($J117="",$J117&gt;$B117)),"REMOVE the product at that office and tell the brand TODAY; ","")&amp;IF(AND($G117="recall_or_pull",$L117=""),"pull from every office within one business day; tell every office today; ","")&amp;IF($G117="brand_asks_employee_data","info: decline: we collect no employee data; ","")&amp;IF(AND($G117="late_arrival",$L117=""),"not in by T-3: slip one week (tools/opscal.py slip), tell every office today; ",""))</f>
        <v/>
      </c>
    </row>
    <row r="118">
      <c r="B118" s="9" t="n"/>
      <c r="C118" s="33" t="n"/>
      <c r="J118" s="9" t="n"/>
      <c r="K118" s="9" t="n"/>
      <c r="L118" s="9" t="n"/>
      <c r="N118" s="25">
        <f>IF($B118="","",IF($L118="",IF(config!$B$37&lt;&gt;"",config!$B$37,TODAY())-$B118,$L118-$B118))</f>
        <v/>
      </c>
      <c r="O118" s="25">
        <f>IF($B118="","",IF(AND($G118="complaint_or_reaction",OR($J118="",$J118&gt;$B118)),"REMOVE the product at that office and tell the brand TODAY; ","")&amp;IF(AND($G118="recall_or_pull",$L118=""),"pull from every office within one business day; tell every office today; ","")&amp;IF($G118="brand_asks_employee_data","info: decline: we collect no employee data; ","")&amp;IF(AND($G118="late_arrival",$L118=""),"not in by T-3: slip one week (tools/opscal.py slip), tell every office today; ",""))</f>
        <v/>
      </c>
    </row>
    <row r="119">
      <c r="B119" s="9" t="n"/>
      <c r="C119" s="33" t="n"/>
      <c r="J119" s="9" t="n"/>
      <c r="K119" s="9" t="n"/>
      <c r="L119" s="9" t="n"/>
      <c r="N119" s="25">
        <f>IF($B119="","",IF($L119="",IF(config!$B$37&lt;&gt;"",config!$B$37,TODAY())-$B119,$L119-$B119))</f>
        <v/>
      </c>
      <c r="O119" s="25">
        <f>IF($B119="","",IF(AND($G119="complaint_or_reaction",OR($J119="",$J119&gt;$B119)),"REMOVE the product at that office and tell the brand TODAY; ","")&amp;IF(AND($G119="recall_or_pull",$L119=""),"pull from every office within one business day; tell every office today; ","")&amp;IF($G119="brand_asks_employee_data","info: decline: we collect no employee data; ","")&amp;IF(AND($G119="late_arrival",$L119=""),"not in by T-3: slip one week (tools/opscal.py slip), tell every office today; ",""))</f>
        <v/>
      </c>
    </row>
    <row r="120">
      <c r="B120" s="9" t="n"/>
      <c r="C120" s="33" t="n"/>
      <c r="J120" s="9" t="n"/>
      <c r="K120" s="9" t="n"/>
      <c r="L120" s="9" t="n"/>
      <c r="N120" s="25">
        <f>IF($B120="","",IF($L120="",IF(config!$B$37&lt;&gt;"",config!$B$37,TODAY())-$B120,$L120-$B120))</f>
        <v/>
      </c>
      <c r="O120" s="25">
        <f>IF($B120="","",IF(AND($G120="complaint_or_reaction",OR($J120="",$J120&gt;$B120)),"REMOVE the product at that office and tell the brand TODAY; ","")&amp;IF(AND($G120="recall_or_pull",$L120=""),"pull from every office within one business day; tell every office today; ","")&amp;IF($G120="brand_asks_employee_data","info: decline: we collect no employee data; ","")&amp;IF(AND($G120="late_arrival",$L120=""),"not in by T-3: slip one week (tools/opscal.py slip), tell every office today; ",""))</f>
        <v/>
      </c>
    </row>
    <row r="121">
      <c r="B121" s="9" t="n"/>
      <c r="C121" s="33" t="n"/>
      <c r="J121" s="9" t="n"/>
      <c r="K121" s="9" t="n"/>
      <c r="L121" s="9" t="n"/>
      <c r="N121" s="25">
        <f>IF($B121="","",IF($L121="",IF(config!$B$37&lt;&gt;"",config!$B$37,TODAY())-$B121,$L121-$B121))</f>
        <v/>
      </c>
      <c r="O121" s="25">
        <f>IF($B121="","",IF(AND($G121="complaint_or_reaction",OR($J121="",$J121&gt;$B121)),"REMOVE the product at that office and tell the brand TODAY; ","")&amp;IF(AND($G121="recall_or_pull",$L121=""),"pull from every office within one business day; tell every office today; ","")&amp;IF($G121="brand_asks_employee_data","info: decline: we collect no employee data; ","")&amp;IF(AND($G121="late_arrival",$L121=""),"not in by T-3: slip one week (tools/opscal.py slip), tell every office today; ",""))</f>
        <v/>
      </c>
    </row>
  </sheetData>
  <conditionalFormatting sqref="O2:O121">
    <cfRule type="expression" priority="1" dxfId="1">
      <formula>LEN(O2)&gt;0</formula>
    </cfRule>
  </conditionalFormatting>
  <dataValidations count="1">
    <dataValidation sqref="G2:G121" showDropDown="0" showInputMessage="0" showErrorMessage="1" allowBlank="1" errorTitle="Not on the list" error="Pick a value from the list." type="list">
      <formula1>"late_arrival,short_shipment,damaged_or_short_dated,owner_absent,declined_at_door,complaint_or_reaction,brand_asks_employee_data,building_access,photo_missing,placement_late,recall_or_pull,other"</formula1>
    </dataValidation>
  </dataValidations>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tabColor rgb="00FFF2CC"/>
    <outlinePr summaryBelow="1" summaryRight="1"/>
    <pageSetUpPr/>
  </sheetPr>
  <dimension ref="A1:G15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7" customWidth="1" min="5" max="5"/>
    <col width="30" customWidth="1" min="6" max="6"/>
    <col width="24" customWidth="1" min="7" max="7"/>
  </cols>
  <sheetData>
    <row r="1">
      <c r="A1" s="23" t="inlineStr">
        <is>
          <t>date</t>
        </is>
      </c>
      <c r="B1" s="23" t="inlineStr">
        <is>
          <t>drop_id</t>
        </is>
      </c>
      <c r="C1" s="23" t="inlineStr">
        <is>
          <t>campaign_id</t>
        </is>
      </c>
      <c r="D1" s="23" t="inlineStr">
        <is>
          <t>activity</t>
        </is>
      </c>
      <c r="E1" s="23" t="inlineStr">
        <is>
          <t>hours</t>
        </is>
      </c>
      <c r="F1" s="23" t="inlineStr">
        <is>
          <t>note</t>
        </is>
      </c>
      <c r="G1" s="24" t="inlineStr">
        <is>
          <t>checks</t>
        </is>
      </c>
    </row>
    <row r="2">
      <c r="A2" s="9" t="n">
        <v>46322</v>
      </c>
      <c r="D2" t="inlineStr">
        <is>
          <t>office_coordination</t>
        </is>
      </c>
      <c r="E2" s="10" t="n">
        <v>1.5</v>
      </c>
      <c r="F2" t="inlineStr">
        <is>
          <t>SAMPLE discovery calls (no drop)</t>
        </is>
      </c>
      <c r="G2" s="25">
        <f>IF($A2="","",IF(ISNA(MATCH($D2,{"brand_sales","office_coordination","receiving_kitting","drop_day","checks_pickup","reporting_debriefs","admin_invoicing"},0)),"activity must be one of the seven keys; ","")&amp;IF(OR(N($E2)&lt;=0,N($E2)&gt;16),"hours?; ","")&amp;IF(AND($C2&lt;&gt;"",$B2=""),"campaign without drop_id; ","")&amp;IF(AND($B2&lt;&gt;"",COUNTIF(drops!$A$2:$A$21,$B2)=0),"drop_id not on drops; ",""))</f>
        <v/>
      </c>
    </row>
    <row r="3">
      <c r="A3" s="9" t="n">
        <v>46322</v>
      </c>
      <c r="D3" t="inlineStr">
        <is>
          <t>brand_sales</t>
        </is>
      </c>
      <c r="E3" s="10" t="n">
        <v>1.5</v>
      </c>
      <c r="F3" t="inlineStr">
        <is>
          <t>SAMPLE discovery calls (no drop)</t>
        </is>
      </c>
      <c r="G3" s="25">
        <f>IF($A3="","",IF(ISNA(MATCH($D3,{"brand_sales","office_coordination","receiving_kitting","drop_day","checks_pickup","reporting_debriefs","admin_invoicing"},0)),"activity must be one of the seven keys; ","")&amp;IF(OR(N($E3)&lt;=0,N($E3)&gt;16),"hours?; ","")&amp;IF(AND($C3&lt;&gt;"",$B3=""),"campaign without drop_id; ","")&amp;IF(AND($B3&lt;&gt;"",COUNTIF(drops!$A$2:$A$21,$B3)=0),"drop_id not on drops; ",""))</f>
        <v/>
      </c>
    </row>
    <row r="4">
      <c r="A4" s="9" t="n">
        <v>46324</v>
      </c>
      <c r="D4" t="inlineStr">
        <is>
          <t>office_coordination</t>
        </is>
      </c>
      <c r="E4" s="10" t="n">
        <v>1.5</v>
      </c>
      <c r="F4" t="inlineStr">
        <is>
          <t>SAMPLE discovery calls (no drop)</t>
        </is>
      </c>
      <c r="G4" s="25">
        <f>IF($A4="","",IF(ISNA(MATCH($D4,{"brand_sales","office_coordination","receiving_kitting","drop_day","checks_pickup","reporting_debriefs","admin_invoicing"},0)),"activity must be one of the seven keys; ","")&amp;IF(OR(N($E4)&lt;=0,N($E4)&gt;16),"hours?; ","")&amp;IF(AND($C4&lt;&gt;"",$B4=""),"campaign without drop_id; ","")&amp;IF(AND($B4&lt;&gt;"",COUNTIF(drops!$A$2:$A$21,$B4)=0),"drop_id not on drops; ",""))</f>
        <v/>
      </c>
    </row>
    <row r="5">
      <c r="A5" s="9" t="n">
        <v>46324</v>
      </c>
      <c r="D5" t="inlineStr">
        <is>
          <t>brand_sales</t>
        </is>
      </c>
      <c r="E5" s="10" t="n">
        <v>1.5</v>
      </c>
      <c r="F5" t="inlineStr">
        <is>
          <t>SAMPLE discovery calls (no drop)</t>
        </is>
      </c>
      <c r="G5" s="25">
        <f>IF($A5="","",IF(ISNA(MATCH($D5,{"brand_sales","office_coordination","receiving_kitting","drop_day","checks_pickup","reporting_debriefs","admin_invoicing"},0)),"activity must be one of the seven keys; ","")&amp;IF(OR(N($E5)&lt;=0,N($E5)&gt;16),"hours?; ","")&amp;IF(AND($C5&lt;&gt;"",$B5=""),"campaign without drop_id; ","")&amp;IF(AND($B5&lt;&gt;"",COUNTIF(drops!$A$2:$A$21,$B5)=0),"drop_id not on drops; ",""))</f>
        <v/>
      </c>
    </row>
    <row r="6">
      <c r="A6" s="9" t="n">
        <v>46329</v>
      </c>
      <c r="D6" t="inlineStr">
        <is>
          <t>office_coordination</t>
        </is>
      </c>
      <c r="E6" s="10" t="n">
        <v>1.5</v>
      </c>
      <c r="F6" t="inlineStr">
        <is>
          <t>SAMPLE discovery calls (no drop)</t>
        </is>
      </c>
      <c r="G6" s="25">
        <f>IF($A6="","",IF(ISNA(MATCH($D6,{"brand_sales","office_coordination","receiving_kitting","drop_day","checks_pickup","reporting_debriefs","admin_invoicing"},0)),"activity must be one of the seven keys; ","")&amp;IF(OR(N($E6)&lt;=0,N($E6)&gt;16),"hours?; ","")&amp;IF(AND($C6&lt;&gt;"",$B6=""),"campaign without drop_id; ","")&amp;IF(AND($B6&lt;&gt;"",COUNTIF(drops!$A$2:$A$21,$B6)=0),"drop_id not on drops; ",""))</f>
        <v/>
      </c>
    </row>
    <row r="7">
      <c r="A7" s="9" t="n">
        <v>46329</v>
      </c>
      <c r="D7" t="inlineStr">
        <is>
          <t>brand_sales</t>
        </is>
      </c>
      <c r="E7" s="10" t="n">
        <v>1.5</v>
      </c>
      <c r="F7" t="inlineStr">
        <is>
          <t>SAMPLE discovery calls (no drop)</t>
        </is>
      </c>
      <c r="G7" s="25">
        <f>IF($A7="","",IF(ISNA(MATCH($D7,{"brand_sales","office_coordination","receiving_kitting","drop_day","checks_pickup","reporting_debriefs","admin_invoicing"},0)),"activity must be one of the seven keys; ","")&amp;IF(OR(N($E7)&lt;=0,N($E7)&gt;16),"hours?; ","")&amp;IF(AND($C7&lt;&gt;"",$B7=""),"campaign without drop_id; ","")&amp;IF(AND($B7&lt;&gt;"",COUNTIF(drops!$A$2:$A$21,$B7)=0),"drop_id not on drops; ",""))</f>
        <v/>
      </c>
    </row>
    <row r="8">
      <c r="A8" s="9" t="n">
        <v>46331</v>
      </c>
      <c r="D8" t="inlineStr">
        <is>
          <t>office_coordination</t>
        </is>
      </c>
      <c r="E8" s="10" t="n">
        <v>1.5</v>
      </c>
      <c r="F8" t="inlineStr">
        <is>
          <t>SAMPLE discovery calls (no drop)</t>
        </is>
      </c>
      <c r="G8" s="25">
        <f>IF($A8="","",IF(ISNA(MATCH($D8,{"brand_sales","office_coordination","receiving_kitting","drop_day","checks_pickup","reporting_debriefs","admin_invoicing"},0)),"activity must be one of the seven keys; ","")&amp;IF(OR(N($E8)&lt;=0,N($E8)&gt;16),"hours?; ","")&amp;IF(AND($C8&lt;&gt;"",$B8=""),"campaign without drop_id; ","")&amp;IF(AND($B8&lt;&gt;"",COUNTIF(drops!$A$2:$A$21,$B8)=0),"drop_id not on drops; ",""))</f>
        <v/>
      </c>
    </row>
    <row r="9">
      <c r="A9" s="9" t="n">
        <v>46331</v>
      </c>
      <c r="D9" t="inlineStr">
        <is>
          <t>brand_sales</t>
        </is>
      </c>
      <c r="E9" s="10" t="n">
        <v>1.5</v>
      </c>
      <c r="F9" t="inlineStr">
        <is>
          <t>SAMPLE discovery calls (no drop)</t>
        </is>
      </c>
      <c r="G9" s="25">
        <f>IF($A9="","",IF(ISNA(MATCH($D9,{"brand_sales","office_coordination","receiving_kitting","drop_day","checks_pickup","reporting_debriefs","admin_invoicing"},0)),"activity must be one of the seven keys; ","")&amp;IF(OR(N($E9)&lt;=0,N($E9)&gt;16),"hours?; ","")&amp;IF(AND($C9&lt;&gt;"",$B9=""),"campaign without drop_id; ","")&amp;IF(AND($B9&lt;&gt;"",COUNTIF(drops!$A$2:$A$21,$B9)=0),"drop_id not on drops; ",""))</f>
        <v/>
      </c>
    </row>
    <row r="10">
      <c r="A10" s="9" t="n">
        <v>46336</v>
      </c>
      <c r="D10" t="inlineStr">
        <is>
          <t>office_coordination</t>
        </is>
      </c>
      <c r="E10" s="10" t="n">
        <v>1.5</v>
      </c>
      <c r="F10" t="inlineStr">
        <is>
          <t>SAMPLE discovery calls (no drop)</t>
        </is>
      </c>
      <c r="G10" s="25">
        <f>IF($A10="","",IF(ISNA(MATCH($D10,{"brand_sales","office_coordination","receiving_kitting","drop_day","checks_pickup","reporting_debriefs","admin_invoicing"},0)),"activity must be one of the seven keys; ","")&amp;IF(OR(N($E10)&lt;=0,N($E10)&gt;16),"hours?; ","")&amp;IF(AND($C10&lt;&gt;"",$B10=""),"campaign without drop_id; ","")&amp;IF(AND($B10&lt;&gt;"",COUNTIF(drops!$A$2:$A$21,$B10)=0),"drop_id not on drops; ",""))</f>
        <v/>
      </c>
    </row>
    <row r="11">
      <c r="A11" s="9" t="n">
        <v>46336</v>
      </c>
      <c r="D11" t="inlineStr">
        <is>
          <t>brand_sales</t>
        </is>
      </c>
      <c r="E11" s="10" t="n">
        <v>1.5</v>
      </c>
      <c r="F11" t="inlineStr">
        <is>
          <t>SAMPLE discovery calls (no drop)</t>
        </is>
      </c>
      <c r="G11" s="25">
        <f>IF($A11="","",IF(ISNA(MATCH($D11,{"brand_sales","office_coordination","receiving_kitting","drop_day","checks_pickup","reporting_debriefs","admin_invoicing"},0)),"activity must be one of the seven keys; ","")&amp;IF(OR(N($E11)&lt;=0,N($E11)&gt;16),"hours?; ","")&amp;IF(AND($C11&lt;&gt;"",$B11=""),"campaign without drop_id; ","")&amp;IF(AND($B11&lt;&gt;"",COUNTIF(drops!$A$2:$A$21,$B11)=0),"drop_id not on drops; ",""))</f>
        <v/>
      </c>
    </row>
    <row r="12">
      <c r="A12" s="9" t="n">
        <v>46343</v>
      </c>
      <c r="B12" t="inlineStr">
        <is>
          <t>SAMPLE-DRP-001</t>
        </is>
      </c>
      <c r="C12" t="inlineStr">
        <is>
          <t>SAMPLE-CMP-001</t>
        </is>
      </c>
      <c r="D12" t="inlineStr">
        <is>
          <t>brand_sales</t>
        </is>
      </c>
      <c r="E12" s="10" t="n">
        <v>2</v>
      </c>
      <c r="F12" t="inlineStr">
        <is>
          <t>SAMPLE qualifying, proposal, agreement</t>
        </is>
      </c>
      <c r="G12" s="25">
        <f>IF($A12="","",IF(ISNA(MATCH($D12,{"brand_sales","office_coordination","receiving_kitting","drop_day","checks_pickup","reporting_debriefs","admin_invoicing"},0)),"activity must be one of the seven keys; ","")&amp;IF(OR(N($E12)&lt;=0,N($E12)&gt;16),"hours?; ","")&amp;IF(AND($C12&lt;&gt;"",$B12=""),"campaign without drop_id; ","")&amp;IF(AND($B12&lt;&gt;"",COUNTIF(drops!$A$2:$A$21,$B12)=0),"drop_id not on drops; ",""))</f>
        <v/>
      </c>
    </row>
    <row r="13">
      <c r="A13" s="9" t="n">
        <v>46344</v>
      </c>
      <c r="B13" t="inlineStr">
        <is>
          <t>SAMPLE-DRP-001</t>
        </is>
      </c>
      <c r="C13" t="inlineStr">
        <is>
          <t>SAMPLE-CMP-002</t>
        </is>
      </c>
      <c r="D13" t="inlineStr">
        <is>
          <t>brand_sales</t>
        </is>
      </c>
      <c r="E13" s="10" t="n">
        <v>2</v>
      </c>
      <c r="F13" t="inlineStr">
        <is>
          <t>SAMPLE qualifying, proposal, agreement</t>
        </is>
      </c>
      <c r="G13" s="25">
        <f>IF($A13="","",IF(ISNA(MATCH($D13,{"brand_sales","office_coordination","receiving_kitting","drop_day","checks_pickup","reporting_debriefs","admin_invoicing"},0)),"activity must be one of the seven keys; ","")&amp;IF(OR(N($E13)&lt;=0,N($E13)&gt;16),"hours?; ","")&amp;IF(AND($C13&lt;&gt;"",$B13=""),"campaign without drop_id; ","")&amp;IF(AND($B13&lt;&gt;"",COUNTIF(drops!$A$2:$A$21,$B13)=0),"drop_id not on drops; ",""))</f>
        <v/>
      </c>
    </row>
    <row r="14">
      <c r="A14" s="9" t="n">
        <v>46350</v>
      </c>
      <c r="B14" t="inlineStr">
        <is>
          <t>SAMPLE-DRP-001</t>
        </is>
      </c>
      <c r="C14" t="inlineStr">
        <is>
          <t>SAMPLE-CMP-001</t>
        </is>
      </c>
      <c r="D14" t="inlineStr">
        <is>
          <t>brand_sales</t>
        </is>
      </c>
      <c r="E14" s="10" t="n">
        <v>2</v>
      </c>
      <c r="F14" t="inlineStr">
        <is>
          <t>SAMPLE qualifying, proposal, agreement</t>
        </is>
      </c>
      <c r="G14" s="25">
        <f>IF($A14="","",IF(ISNA(MATCH($D14,{"brand_sales","office_coordination","receiving_kitting","drop_day","checks_pickup","reporting_debriefs","admin_invoicing"},0)),"activity must be one of the seven keys; ","")&amp;IF(OR(N($E14)&lt;=0,N($E14)&gt;16),"hours?; ","")&amp;IF(AND($C14&lt;&gt;"",$B14=""),"campaign without drop_id; ","")&amp;IF(AND($B14&lt;&gt;"",COUNTIF(drops!$A$2:$A$21,$B14)=0),"drop_id not on drops; ",""))</f>
        <v/>
      </c>
    </row>
    <row r="15">
      <c r="A15" s="9" t="n">
        <v>46351</v>
      </c>
      <c r="B15" t="inlineStr">
        <is>
          <t>SAMPLE-DRP-001</t>
        </is>
      </c>
      <c r="C15" t="inlineStr">
        <is>
          <t>SAMPLE-CMP-002</t>
        </is>
      </c>
      <c r="D15" t="inlineStr">
        <is>
          <t>brand_sales</t>
        </is>
      </c>
      <c r="E15" s="10" t="n">
        <v>2</v>
      </c>
      <c r="F15" t="inlineStr">
        <is>
          <t>SAMPLE qualifying, proposal, agreement</t>
        </is>
      </c>
      <c r="G15" s="25">
        <f>IF($A15="","",IF(ISNA(MATCH($D15,{"brand_sales","office_coordination","receiving_kitting","drop_day","checks_pickup","reporting_debriefs","admin_invoicing"},0)),"activity must be one of the seven keys; ","")&amp;IF(OR(N($E15)&lt;=0,N($E15)&gt;16),"hours?; ","")&amp;IF(AND($C15&lt;&gt;"",$B15=""),"campaign without drop_id; ","")&amp;IF(AND($B15&lt;&gt;"",COUNTIF(drops!$A$2:$A$21,$B15)=0),"drop_id not on drops; ",""))</f>
        <v/>
      </c>
    </row>
    <row r="16">
      <c r="A16" s="9" t="n">
        <v>46357</v>
      </c>
      <c r="B16" t="inlineStr">
        <is>
          <t>SAMPLE-DRP-001</t>
        </is>
      </c>
      <c r="C16" t="inlineStr">
        <is>
          <t>SAMPLE-CMP-001</t>
        </is>
      </c>
      <c r="D16" t="inlineStr">
        <is>
          <t>brand_sales</t>
        </is>
      </c>
      <c r="E16" s="10" t="n">
        <v>2</v>
      </c>
      <c r="F16" t="inlineStr">
        <is>
          <t>SAMPLE qualifying, proposal, agreement</t>
        </is>
      </c>
      <c r="G16" s="25">
        <f>IF($A16="","",IF(ISNA(MATCH($D16,{"brand_sales","office_coordination","receiving_kitting","drop_day","checks_pickup","reporting_debriefs","admin_invoicing"},0)),"activity must be one of the seven keys; ","")&amp;IF(OR(N($E16)&lt;=0,N($E16)&gt;16),"hours?; ","")&amp;IF(AND($C16&lt;&gt;"",$B16=""),"campaign without drop_id; ","")&amp;IF(AND($B16&lt;&gt;"",COUNTIF(drops!$A$2:$A$21,$B16)=0),"drop_id not on drops; ",""))</f>
        <v/>
      </c>
    </row>
    <row r="17">
      <c r="A17" s="9" t="n">
        <v>46358</v>
      </c>
      <c r="B17" t="inlineStr">
        <is>
          <t>SAMPLE-DRP-001</t>
        </is>
      </c>
      <c r="C17" t="inlineStr">
        <is>
          <t>SAMPLE-CMP-002</t>
        </is>
      </c>
      <c r="D17" t="inlineStr">
        <is>
          <t>brand_sales</t>
        </is>
      </c>
      <c r="E17" s="10" t="n">
        <v>2</v>
      </c>
      <c r="F17" t="inlineStr">
        <is>
          <t>SAMPLE qualifying, proposal, agreement</t>
        </is>
      </c>
      <c r="G17" s="25">
        <f>IF($A17="","",IF(ISNA(MATCH($D17,{"brand_sales","office_coordination","receiving_kitting","drop_day","checks_pickup","reporting_debriefs","admin_invoicing"},0)),"activity must be one of the seven keys; ","")&amp;IF(OR(N($E17)&lt;=0,N($E17)&gt;16),"hours?; ","")&amp;IF(AND($C17&lt;&gt;"",$B17=""),"campaign without drop_id; ","")&amp;IF(AND($B17&lt;&gt;"",COUNTIF(drops!$A$2:$A$21,$B17)=0),"drop_id not on drops; ",""))</f>
        <v/>
      </c>
    </row>
    <row r="18">
      <c r="A18" s="9" t="n">
        <v>46360</v>
      </c>
      <c r="B18" t="inlineStr">
        <is>
          <t>SAMPLE-DRP-001</t>
        </is>
      </c>
      <c r="C18" t="inlineStr">
        <is>
          <t>SAMPLE-CMP-001</t>
        </is>
      </c>
      <c r="D18" t="inlineStr">
        <is>
          <t>brand_sales</t>
        </is>
      </c>
      <c r="E18" s="10" t="n">
        <v>2</v>
      </c>
      <c r="F18" t="inlineStr">
        <is>
          <t>SAMPLE qualifying, proposal, agreement</t>
        </is>
      </c>
      <c r="G18" s="25">
        <f>IF($A18="","",IF(ISNA(MATCH($D18,{"brand_sales","office_coordination","receiving_kitting","drop_day","checks_pickup","reporting_debriefs","admin_invoicing"},0)),"activity must be one of the seven keys; ","")&amp;IF(OR(N($E18)&lt;=0,N($E18)&gt;16),"hours?; ","")&amp;IF(AND($C18&lt;&gt;"",$B18=""),"campaign without drop_id; ","")&amp;IF(AND($B18&lt;&gt;"",COUNTIF(drops!$A$2:$A$21,$B18)=0),"drop_id not on drops; ",""))</f>
        <v/>
      </c>
    </row>
    <row r="19">
      <c r="A19" s="9" t="n">
        <v>46363</v>
      </c>
      <c r="B19" t="inlineStr">
        <is>
          <t>SAMPLE-DRP-001</t>
        </is>
      </c>
      <c r="C19" t="inlineStr">
        <is>
          <t>SAMPLE-CMP-002</t>
        </is>
      </c>
      <c r="D19" t="inlineStr">
        <is>
          <t>brand_sales</t>
        </is>
      </c>
      <c r="E19" s="10" t="n">
        <v>2</v>
      </c>
      <c r="F19" t="inlineStr">
        <is>
          <t>SAMPLE qualifying, proposal, agreement</t>
        </is>
      </c>
      <c r="G19" s="25">
        <f>IF($A19="","",IF(ISNA(MATCH($D19,{"brand_sales","office_coordination","receiving_kitting","drop_day","checks_pickup","reporting_debriefs","admin_invoicing"},0)),"activity must be one of the seven keys; ","")&amp;IF(OR(N($E19)&lt;=0,N($E19)&gt;16),"hours?; ","")&amp;IF(AND($C19&lt;&gt;"",$B19=""),"campaign without drop_id; ","")&amp;IF(AND($B19&lt;&gt;"",COUNTIF(drops!$A$2:$A$21,$B19)=0),"drop_id not on drops; ",""))</f>
        <v/>
      </c>
    </row>
    <row r="20">
      <c r="A20" s="9" t="n">
        <v>46363</v>
      </c>
      <c r="B20" t="inlineStr">
        <is>
          <t>SAMPLE-DRP-001</t>
        </is>
      </c>
      <c r="C20" t="inlineStr">
        <is>
          <t>SAMPLE-CMP-001</t>
        </is>
      </c>
      <c r="D20" t="inlineStr">
        <is>
          <t>brand_sales</t>
        </is>
      </c>
      <c r="E20" s="10" t="n">
        <v>2</v>
      </c>
      <c r="F20" t="inlineStr">
        <is>
          <t>SAMPLE qualifying, proposal, agreement</t>
        </is>
      </c>
      <c r="G20" s="25">
        <f>IF($A20="","",IF(ISNA(MATCH($D20,{"brand_sales","office_coordination","receiving_kitting","drop_day","checks_pickup","reporting_debriefs","admin_invoicing"},0)),"activity must be one of the seven keys; ","")&amp;IF(OR(N($E20)&lt;=0,N($E20)&gt;16),"hours?; ","")&amp;IF(AND($C20&lt;&gt;"",$B20=""),"campaign without drop_id; ","")&amp;IF(AND($B20&lt;&gt;"",COUNTIF(drops!$A$2:$A$21,$B20)=0),"drop_id not on drops; ",""))</f>
        <v/>
      </c>
    </row>
    <row r="21">
      <c r="A21" s="9" t="n">
        <v>46364</v>
      </c>
      <c r="B21" t="inlineStr">
        <is>
          <t>SAMPLE-DRP-001</t>
        </is>
      </c>
      <c r="C21" t="inlineStr">
        <is>
          <t>SAMPLE-CMP-002</t>
        </is>
      </c>
      <c r="D21" t="inlineStr">
        <is>
          <t>brand_sales</t>
        </is>
      </c>
      <c r="E21" s="10" t="n">
        <v>2</v>
      </c>
      <c r="F21" t="inlineStr">
        <is>
          <t>SAMPLE qualifying, proposal, agreement</t>
        </is>
      </c>
      <c r="G21" s="25">
        <f>IF($A21="","",IF(ISNA(MATCH($D21,{"brand_sales","office_coordination","receiving_kitting","drop_day","checks_pickup","reporting_debriefs","admin_invoicing"},0)),"activity must be one of the seven keys; ","")&amp;IF(OR(N($E21)&lt;=0,N($E21)&gt;16),"hours?; ","")&amp;IF(AND($C21&lt;&gt;"",$B21=""),"campaign without drop_id; ","")&amp;IF(AND($B21&lt;&gt;"",COUNTIF(drops!$A$2:$A$21,$B21)=0),"drop_id not on drops; ",""))</f>
        <v/>
      </c>
    </row>
    <row r="22">
      <c r="A22" s="9" t="n">
        <v>46342</v>
      </c>
      <c r="B22" t="inlineStr">
        <is>
          <t>SAMPLE-DRP-001</t>
        </is>
      </c>
      <c r="D22" t="inlineStr">
        <is>
          <t>office_coordination</t>
        </is>
      </c>
      <c r="E22" s="10" t="n">
        <v>4</v>
      </c>
      <c r="F22" t="inlineStr">
        <is>
          <t>SAMPLE signing a founding office</t>
        </is>
      </c>
      <c r="G22" s="25">
        <f>IF($A22="","",IF(ISNA(MATCH($D22,{"brand_sales","office_coordination","receiving_kitting","drop_day","checks_pickup","reporting_debriefs","admin_invoicing"},0)),"activity must be one of the seven keys; ","")&amp;IF(OR(N($E22)&lt;=0,N($E22)&gt;16),"hours?; ","")&amp;IF(AND($C22&lt;&gt;"",$B22=""),"campaign without drop_id; ","")&amp;IF(AND($B22&lt;&gt;"",COUNTIF(drops!$A$2:$A$21,$B22)=0),"drop_id not on drops; ",""))</f>
        <v/>
      </c>
    </row>
    <row r="23">
      <c r="A23" s="9" t="n">
        <v>46344</v>
      </c>
      <c r="B23" t="inlineStr">
        <is>
          <t>SAMPLE-DRP-001</t>
        </is>
      </c>
      <c r="D23" t="inlineStr">
        <is>
          <t>office_coordination</t>
        </is>
      </c>
      <c r="E23" s="10" t="n">
        <v>4</v>
      </c>
      <c r="F23" t="inlineStr">
        <is>
          <t>SAMPLE signing a founding office</t>
        </is>
      </c>
      <c r="G23" s="25">
        <f>IF($A23="","",IF(ISNA(MATCH($D23,{"brand_sales","office_coordination","receiving_kitting","drop_day","checks_pickup","reporting_debriefs","admin_invoicing"},0)),"activity must be one of the seven keys; ","")&amp;IF(OR(N($E23)&lt;=0,N($E23)&gt;16),"hours?; ","")&amp;IF(AND($C23&lt;&gt;"",$B23=""),"campaign without drop_id; ","")&amp;IF(AND($B23&lt;&gt;"",COUNTIF(drops!$A$2:$A$21,$B23)=0),"drop_id not on drops; ",""))</f>
        <v/>
      </c>
    </row>
    <row r="24">
      <c r="A24" s="9" t="n">
        <v>46350</v>
      </c>
      <c r="B24" t="inlineStr">
        <is>
          <t>SAMPLE-DRP-001</t>
        </is>
      </c>
      <c r="D24" t="inlineStr">
        <is>
          <t>office_coordination</t>
        </is>
      </c>
      <c r="E24" s="10" t="n">
        <v>4</v>
      </c>
      <c r="F24" t="inlineStr">
        <is>
          <t>SAMPLE signing a founding office</t>
        </is>
      </c>
      <c r="G24" s="25">
        <f>IF($A24="","",IF(ISNA(MATCH($D24,{"brand_sales","office_coordination","receiving_kitting","drop_day","checks_pickup","reporting_debriefs","admin_invoicing"},0)),"activity must be one of the seven keys; ","")&amp;IF(OR(N($E24)&lt;=0,N($E24)&gt;16),"hours?; ","")&amp;IF(AND($C24&lt;&gt;"",$B24=""),"campaign without drop_id; ","")&amp;IF(AND($B24&lt;&gt;"",COUNTIF(drops!$A$2:$A$21,$B24)=0),"drop_id not on drops; ",""))</f>
        <v/>
      </c>
    </row>
    <row r="25">
      <c r="A25" s="9" t="n">
        <v>46357</v>
      </c>
      <c r="B25" t="inlineStr">
        <is>
          <t>SAMPLE-DRP-001</t>
        </is>
      </c>
      <c r="D25" t="inlineStr">
        <is>
          <t>office_coordination</t>
        </is>
      </c>
      <c r="E25" s="10" t="n">
        <v>4</v>
      </c>
      <c r="F25" t="inlineStr">
        <is>
          <t>SAMPLE signing a founding office</t>
        </is>
      </c>
      <c r="G25" s="25">
        <f>IF($A25="","",IF(ISNA(MATCH($D25,{"brand_sales","office_coordination","receiving_kitting","drop_day","checks_pickup","reporting_debriefs","admin_invoicing"},0)),"activity must be one of the seven keys; ","")&amp;IF(OR(N($E25)&lt;=0,N($E25)&gt;16),"hours?; ","")&amp;IF(AND($C25&lt;&gt;"",$B25=""),"campaign without drop_id; ","")&amp;IF(AND($B25&lt;&gt;"",COUNTIF(drops!$A$2:$A$21,$B25)=0),"drop_id not on drops; ",""))</f>
        <v/>
      </c>
    </row>
    <row r="26">
      <c r="A26" s="9" t="n">
        <v>46359</v>
      </c>
      <c r="B26" t="inlineStr">
        <is>
          <t>SAMPLE-DRP-001</t>
        </is>
      </c>
      <c r="D26" t="inlineStr">
        <is>
          <t>office_coordination</t>
        </is>
      </c>
      <c r="E26" s="10" t="n">
        <v>4</v>
      </c>
      <c r="F26" t="inlineStr">
        <is>
          <t>SAMPLE signing a founding office</t>
        </is>
      </c>
      <c r="G26" s="25">
        <f>IF($A26="","",IF(ISNA(MATCH($D26,{"brand_sales","office_coordination","receiving_kitting","drop_day","checks_pickup","reporting_debriefs","admin_invoicing"},0)),"activity must be one of the seven keys; ","")&amp;IF(OR(N($E26)&lt;=0,N($E26)&gt;16),"hours?; ","")&amp;IF(AND($C26&lt;&gt;"",$B26=""),"campaign without drop_id; ","")&amp;IF(AND($B26&lt;&gt;"",COUNTIF(drops!$A$2:$A$21,$B26)=0),"drop_id not on drops; ",""))</f>
        <v/>
      </c>
    </row>
    <row r="27">
      <c r="A27" s="9" t="n">
        <v>46384</v>
      </c>
      <c r="B27" t="inlineStr">
        <is>
          <t>SAMPLE-DRP-001</t>
        </is>
      </c>
      <c r="D27" t="inlineStr">
        <is>
          <t>receiving_kitting</t>
        </is>
      </c>
      <c r="E27" s="10" t="n">
        <v>1</v>
      </c>
      <c r="F27" t="inlineStr">
        <is>
          <t>SAMPLE receive Brightside</t>
        </is>
      </c>
      <c r="G27" s="25">
        <f>IF($A27="","",IF(ISNA(MATCH($D27,{"brand_sales","office_coordination","receiving_kitting","drop_day","checks_pickup","reporting_debriefs","admin_invoicing"},0)),"activity must be one of the seven keys; ","")&amp;IF(OR(N($E27)&lt;=0,N($E27)&gt;16),"hours?; ","")&amp;IF(AND($C27&lt;&gt;"",$B27=""),"campaign without drop_id; ","")&amp;IF(AND($B27&lt;&gt;"",COUNTIF(drops!$A$2:$A$21,$B27)=0),"drop_id not on drops; ",""))</f>
        <v/>
      </c>
    </row>
    <row r="28">
      <c r="A28" s="9" t="n">
        <v>46386</v>
      </c>
      <c r="B28" t="inlineStr">
        <is>
          <t>SAMPLE-DRP-001</t>
        </is>
      </c>
      <c r="D28" t="inlineStr">
        <is>
          <t>receiving_kitting</t>
        </is>
      </c>
      <c r="E28" s="10" t="n">
        <v>1</v>
      </c>
      <c r="F28" t="inlineStr">
        <is>
          <t>SAMPLE receive Northbound, reject 16</t>
        </is>
      </c>
      <c r="G28" s="25">
        <f>IF($A28="","",IF(ISNA(MATCH($D28,{"brand_sales","office_coordination","receiving_kitting","drop_day","checks_pickup","reporting_debriefs","admin_invoicing"},0)),"activity must be one of the seven keys; ","")&amp;IF(OR(N($E28)&lt;=0,N($E28)&gt;16),"hours?; ","")&amp;IF(AND($C28&lt;&gt;"",$B28=""),"campaign without drop_id; ","")&amp;IF(AND($B28&lt;&gt;"",COUNTIF(drops!$A$2:$A$21,$B28)=0),"drop_id not on drops; ",""))</f>
        <v/>
      </c>
    </row>
    <row r="29">
      <c r="A29" s="9" t="n">
        <v>46398</v>
      </c>
      <c r="B29" t="inlineStr">
        <is>
          <t>SAMPLE-DRP-001</t>
        </is>
      </c>
      <c r="D29" t="inlineStr">
        <is>
          <t>receiving_kitting</t>
        </is>
      </c>
      <c r="E29" s="10" t="n">
        <v>1</v>
      </c>
      <c r="F29" t="inlineStr">
        <is>
          <t>SAMPLE pack ten cases</t>
        </is>
      </c>
      <c r="G29" s="25">
        <f>IF($A29="","",IF(ISNA(MATCH($D29,{"brand_sales","office_coordination","receiving_kitting","drop_day","checks_pickup","reporting_debriefs","admin_invoicing"},0)),"activity must be one of the seven keys; ","")&amp;IF(OR(N($E29)&lt;=0,N($E29)&gt;16),"hours?; ","")&amp;IF(AND($C29&lt;&gt;"",$B29=""),"campaign without drop_id; ","")&amp;IF(AND($B29&lt;&gt;"",COUNTIF(drops!$A$2:$A$21,$B29)=0),"drop_id not on drops; ",""))</f>
        <v/>
      </c>
    </row>
    <row r="30">
      <c r="A30" s="9" t="n">
        <v>46399</v>
      </c>
      <c r="B30" t="inlineStr">
        <is>
          <t>SAMPLE-DRP-001</t>
        </is>
      </c>
      <c r="D30" t="inlineStr">
        <is>
          <t>drop_day</t>
        </is>
      </c>
      <c r="E30" s="10" t="n">
        <v>5</v>
      </c>
      <c r="F30" t="inlineStr">
        <is>
          <t>SAMPLE route, five stops</t>
        </is>
      </c>
      <c r="G30" s="25">
        <f>IF($A30="","",IF(ISNA(MATCH($D30,{"brand_sales","office_coordination","receiving_kitting","drop_day","checks_pickup","reporting_debriefs","admin_invoicing"},0)),"activity must be one of the seven keys; ","")&amp;IF(OR(N($E30)&lt;=0,N($E30)&gt;16),"hours?; ","")&amp;IF(AND($C30&lt;&gt;"",$B30=""),"campaign without drop_id; ","")&amp;IF(AND($B30&lt;&gt;"",COUNTIF(drops!$A$2:$A$21,$B30)=0),"drop_id not on drops; ",""))</f>
        <v/>
      </c>
    </row>
    <row r="31">
      <c r="A31" s="9" t="n">
        <v>46401</v>
      </c>
      <c r="B31" t="inlineStr">
        <is>
          <t>SAMPLE-DRP-001</t>
        </is>
      </c>
      <c r="D31" t="inlineStr">
        <is>
          <t>checks_pickup</t>
        </is>
      </c>
      <c r="E31" s="10" t="n">
        <v>1.5</v>
      </c>
      <c r="F31" t="inlineStr">
        <is>
          <t>SAMPLE day-3 photos, two top-ups</t>
        </is>
      </c>
      <c r="G31" s="25">
        <f>IF($A31="","",IF(ISNA(MATCH($D31,{"brand_sales","office_coordination","receiving_kitting","drop_day","checks_pickup","reporting_debriefs","admin_invoicing"},0)),"activity must be one of the seven keys; ","")&amp;IF(OR(N($E31)&lt;=0,N($E31)&gt;16),"hours?; ","")&amp;IF(AND($C31&lt;&gt;"",$B31=""),"campaign without drop_id; ","")&amp;IF(AND($B31&lt;&gt;"",COUNTIF(drops!$A$2:$A$21,$B31)=0),"drop_id not on drops; ",""))</f>
        <v/>
      </c>
    </row>
    <row r="32">
      <c r="A32" s="9" t="n">
        <v>46363</v>
      </c>
      <c r="B32" t="inlineStr">
        <is>
          <t>SAMPLE-DRP-001</t>
        </is>
      </c>
      <c r="D32" t="inlineStr">
        <is>
          <t>admin_invoicing</t>
        </is>
      </c>
      <c r="E32" s="10" t="n">
        <v>1</v>
      </c>
      <c r="F32" t="inlineStr">
        <is>
          <t>SAMPLE invoices, certificate requests</t>
        </is>
      </c>
      <c r="G32" s="25">
        <f>IF($A32="","",IF(ISNA(MATCH($D32,{"brand_sales","office_coordination","receiving_kitting","drop_day","checks_pickup","reporting_debriefs","admin_invoicing"},0)),"activity must be one of the seven keys; ","")&amp;IF(OR(N($E32)&lt;=0,N($E32)&gt;16),"hours?; ","")&amp;IF(AND($C32&lt;&gt;"",$B32=""),"campaign without drop_id; ","")&amp;IF(AND($B32&lt;&gt;"",COUNTIF(drops!$A$2:$A$21,$B32)=0),"drop_id not on drops; ",""))</f>
        <v/>
      </c>
    </row>
    <row r="33">
      <c r="A33" s="9" t="n">
        <v>46402</v>
      </c>
      <c r="B33" t="inlineStr">
        <is>
          <t>SAMPLE-DRP-001</t>
        </is>
      </c>
      <c r="D33" t="inlineStr">
        <is>
          <t>admin_invoicing</t>
        </is>
      </c>
      <c r="E33" s="10" t="n">
        <v>1</v>
      </c>
      <c r="F33" t="inlineStr">
        <is>
          <t>SAMPLE refund, placement confirmations</t>
        </is>
      </c>
      <c r="G33" s="25">
        <f>IF($A33="","",IF(ISNA(MATCH($D33,{"brand_sales","office_coordination","receiving_kitting","drop_day","checks_pickup","reporting_debriefs","admin_invoicing"},0)),"activity must be one of the seven keys; ","")&amp;IF(OR(N($E33)&lt;=0,N($E33)&gt;16),"hours?; ","")&amp;IF(AND($C33&lt;&gt;"",$B33=""),"campaign without drop_id; ","")&amp;IF(AND($B33&lt;&gt;"",COUNTIF(drops!$A$2:$A$21,$B33)=0),"drop_id not on drops; ",""))</f>
        <v/>
      </c>
    </row>
    <row r="34">
      <c r="A34" s="9" t="n">
        <v>46391</v>
      </c>
      <c r="B34" t="inlineStr">
        <is>
          <t>SAMPLE-DRP-002</t>
        </is>
      </c>
      <c r="C34" t="inlineStr">
        <is>
          <t>SAMPLE-CMP-003</t>
        </is>
      </c>
      <c r="D34" t="inlineStr">
        <is>
          <t>brand_sales</t>
        </is>
      </c>
      <c r="E34" s="10" t="n">
        <v>2</v>
      </c>
      <c r="F34" t="inlineStr">
        <is>
          <t>SAMPLE calls, proposal, agreement</t>
        </is>
      </c>
      <c r="G34" s="25">
        <f>IF($A34="","",IF(ISNA(MATCH($D34,{"brand_sales","office_coordination","receiving_kitting","drop_day","checks_pickup","reporting_debriefs","admin_invoicing"},0)),"activity must be one of the seven keys; ","")&amp;IF(OR(N($E34)&lt;=0,N($E34)&gt;16),"hours?; ","")&amp;IF(AND($C34&lt;&gt;"",$B34=""),"campaign without drop_id; ","")&amp;IF(AND($B34&lt;&gt;"",COUNTIF(drops!$A$2:$A$21,$B34)=0),"drop_id not on drops; ",""))</f>
        <v/>
      </c>
    </row>
    <row r="35">
      <c r="A35" s="9" t="n">
        <v>46380</v>
      </c>
      <c r="B35" t="inlineStr">
        <is>
          <t>SAMPLE-DRP-002</t>
        </is>
      </c>
      <c r="C35" t="inlineStr">
        <is>
          <t>SAMPLE-CMP-003</t>
        </is>
      </c>
      <c r="D35" t="inlineStr">
        <is>
          <t>brand_sales</t>
        </is>
      </c>
      <c r="E35" s="10" t="n">
        <v>2</v>
      </c>
      <c r="F35" t="inlineStr">
        <is>
          <t>SAMPLE calls, proposal, agreement</t>
        </is>
      </c>
      <c r="G35" s="25">
        <f>IF($A35="","",IF(ISNA(MATCH($D35,{"brand_sales","office_coordination","receiving_kitting","drop_day","checks_pickup","reporting_debriefs","admin_invoicing"},0)),"activity must be one of the seven keys; ","")&amp;IF(OR(N($E35)&lt;=0,N($E35)&gt;16),"hours?; ","")&amp;IF(AND($C35&lt;&gt;"",$B35=""),"campaign without drop_id; ","")&amp;IF(AND($B35&lt;&gt;"",COUNTIF(drops!$A$2:$A$21,$B35)=0),"drop_id not on drops; ",""))</f>
        <v/>
      </c>
    </row>
    <row r="36">
      <c r="A36" s="9" t="n">
        <v>46373</v>
      </c>
      <c r="B36" t="inlineStr">
        <is>
          <t>SAMPLE-DRP-002</t>
        </is>
      </c>
      <c r="C36" t="inlineStr">
        <is>
          <t>SAMPLE-CMP-003</t>
        </is>
      </c>
      <c r="D36" t="inlineStr">
        <is>
          <t>brand_sales</t>
        </is>
      </c>
      <c r="E36" s="10" t="n">
        <v>2</v>
      </c>
      <c r="F36" t="inlineStr">
        <is>
          <t>SAMPLE calls, proposal, agreement</t>
        </is>
      </c>
      <c r="G36" s="25">
        <f>IF($A36="","",IF(ISNA(MATCH($D36,{"brand_sales","office_coordination","receiving_kitting","drop_day","checks_pickup","reporting_debriefs","admin_invoicing"},0)),"activity must be one of the seven keys; ","")&amp;IF(OR(N($E36)&lt;=0,N($E36)&gt;16),"hours?; ","")&amp;IF(AND($C36&lt;&gt;"",$B36=""),"campaign without drop_id; ","")&amp;IF(AND($B36&lt;&gt;"",COUNTIF(drops!$A$2:$A$21,$B36)=0),"drop_id not on drops; ",""))</f>
        <v/>
      </c>
    </row>
    <row r="37">
      <c r="A37" s="9" t="n">
        <v>46393</v>
      </c>
      <c r="B37" t="inlineStr">
        <is>
          <t>SAMPLE-DRP-002</t>
        </is>
      </c>
      <c r="C37" t="inlineStr">
        <is>
          <t>SAMPLE-CMP-004</t>
        </is>
      </c>
      <c r="D37" t="inlineStr">
        <is>
          <t>brand_sales</t>
        </is>
      </c>
      <c r="E37" s="10" t="n">
        <v>2</v>
      </c>
      <c r="F37" t="inlineStr">
        <is>
          <t>SAMPLE calls, proposal, agreement</t>
        </is>
      </c>
      <c r="G37" s="25">
        <f>IF($A37="","",IF(ISNA(MATCH($D37,{"brand_sales","office_coordination","receiving_kitting","drop_day","checks_pickup","reporting_debriefs","admin_invoicing"},0)),"activity must be one of the seven keys; ","")&amp;IF(OR(N($E37)&lt;=0,N($E37)&gt;16),"hours?; ","")&amp;IF(AND($C37&lt;&gt;"",$B37=""),"campaign without drop_id; ","")&amp;IF(AND($B37&lt;&gt;"",COUNTIF(drops!$A$2:$A$21,$B37)=0),"drop_id not on drops; ",""))</f>
        <v/>
      </c>
    </row>
    <row r="38">
      <c r="A38" s="9" t="n">
        <v>46385</v>
      </c>
      <c r="B38" t="inlineStr">
        <is>
          <t>SAMPLE-DRP-002</t>
        </is>
      </c>
      <c r="C38" t="inlineStr">
        <is>
          <t>SAMPLE-CMP-004</t>
        </is>
      </c>
      <c r="D38" t="inlineStr">
        <is>
          <t>brand_sales</t>
        </is>
      </c>
      <c r="E38" s="10" t="n">
        <v>2</v>
      </c>
      <c r="F38" t="inlineStr">
        <is>
          <t>SAMPLE calls, proposal, agreement</t>
        </is>
      </c>
      <c r="G38" s="25">
        <f>IF($A38="","",IF(ISNA(MATCH($D38,{"brand_sales","office_coordination","receiving_kitting","drop_day","checks_pickup","reporting_debriefs","admin_invoicing"},0)),"activity must be one of the seven keys; ","")&amp;IF(OR(N($E38)&lt;=0,N($E38)&gt;16),"hours?; ","")&amp;IF(AND($C38&lt;&gt;"",$B38=""),"campaign without drop_id; ","")&amp;IF(AND($B38&lt;&gt;"",COUNTIF(drops!$A$2:$A$21,$B38)=0),"drop_id not on drops; ",""))</f>
        <v/>
      </c>
    </row>
    <row r="39">
      <c r="A39" s="9" t="n">
        <v>46377</v>
      </c>
      <c r="B39" t="inlineStr">
        <is>
          <t>SAMPLE-DRP-002</t>
        </is>
      </c>
      <c r="C39" t="inlineStr">
        <is>
          <t>SAMPLE-CMP-004</t>
        </is>
      </c>
      <c r="D39" t="inlineStr">
        <is>
          <t>brand_sales</t>
        </is>
      </c>
      <c r="E39" s="10" t="n">
        <v>2</v>
      </c>
      <c r="F39" t="inlineStr">
        <is>
          <t>SAMPLE calls, proposal, agreement</t>
        </is>
      </c>
      <c r="G39" s="25">
        <f>IF($A39="","",IF(ISNA(MATCH($D39,{"brand_sales","office_coordination","receiving_kitting","drop_day","checks_pickup","reporting_debriefs","admin_invoicing"},0)),"activity must be one of the seven keys; ","")&amp;IF(OR(N($E39)&lt;=0,N($E39)&gt;16),"hours?; ","")&amp;IF(AND($C39&lt;&gt;"",$B39=""),"campaign without drop_id; ","")&amp;IF(AND($B39&lt;&gt;"",COUNTIF(drops!$A$2:$A$21,$B39)=0),"drop_id not on drops; ",""))</f>
        <v/>
      </c>
    </row>
    <row r="40">
      <c r="A40" s="9" t="n">
        <v>46395</v>
      </c>
      <c r="B40" t="inlineStr">
        <is>
          <t>SAMPLE-DRP-002</t>
        </is>
      </c>
      <c r="C40" t="inlineStr">
        <is>
          <t>SAMPLE-CMP-005</t>
        </is>
      </c>
      <c r="D40" t="inlineStr">
        <is>
          <t>brand_sales</t>
        </is>
      </c>
      <c r="E40" s="10" t="n">
        <v>2</v>
      </c>
      <c r="F40" t="inlineStr">
        <is>
          <t>SAMPLE calls, proposal, agreement</t>
        </is>
      </c>
      <c r="G40" s="25">
        <f>IF($A40="","",IF(ISNA(MATCH($D40,{"brand_sales","office_coordination","receiving_kitting","drop_day","checks_pickup","reporting_debriefs","admin_invoicing"},0)),"activity must be one of the seven keys; ","")&amp;IF(OR(N($E40)&lt;=0,N($E40)&gt;16),"hours?; ","")&amp;IF(AND($C40&lt;&gt;"",$B40=""),"campaign without drop_id; ","")&amp;IF(AND($B40&lt;&gt;"",COUNTIF(drops!$A$2:$A$21,$B40)=0),"drop_id not on drops; ",""))</f>
        <v/>
      </c>
    </row>
    <row r="41">
      <c r="A41" s="9" t="n">
        <v>46387</v>
      </c>
      <c r="B41" t="inlineStr">
        <is>
          <t>SAMPLE-DRP-002</t>
        </is>
      </c>
      <c r="C41" t="inlineStr">
        <is>
          <t>SAMPLE-CMP-005</t>
        </is>
      </c>
      <c r="D41" t="inlineStr">
        <is>
          <t>brand_sales</t>
        </is>
      </c>
      <c r="E41" s="10" t="n">
        <v>2</v>
      </c>
      <c r="F41" t="inlineStr">
        <is>
          <t>SAMPLE calls, proposal, agreement</t>
        </is>
      </c>
      <c r="G41" s="25">
        <f>IF($A41="","",IF(ISNA(MATCH($D41,{"brand_sales","office_coordination","receiving_kitting","drop_day","checks_pickup","reporting_debriefs","admin_invoicing"},0)),"activity must be one of the seven keys; ","")&amp;IF(OR(N($E41)&lt;=0,N($E41)&gt;16),"hours?; ","")&amp;IF(AND($C41&lt;&gt;"",$B41=""),"campaign without drop_id; ","")&amp;IF(AND($B41&lt;&gt;"",COUNTIF(drops!$A$2:$A$21,$B41)=0),"drop_id not on drops; ",""))</f>
        <v/>
      </c>
    </row>
    <row r="42">
      <c r="A42" s="9" t="n">
        <v>46379</v>
      </c>
      <c r="B42" t="inlineStr">
        <is>
          <t>SAMPLE-DRP-002</t>
        </is>
      </c>
      <c r="C42" t="inlineStr">
        <is>
          <t>SAMPLE-CMP-005</t>
        </is>
      </c>
      <c r="D42" t="inlineStr">
        <is>
          <t>brand_sales</t>
        </is>
      </c>
      <c r="E42" s="10" t="n">
        <v>2</v>
      </c>
      <c r="F42" t="inlineStr">
        <is>
          <t>SAMPLE calls, proposal, agreement</t>
        </is>
      </c>
      <c r="G42" s="25">
        <f>IF($A42="","",IF(ISNA(MATCH($D42,{"brand_sales","office_coordination","receiving_kitting","drop_day","checks_pickup","reporting_debriefs","admin_invoicing"},0)),"activity must be one of the seven keys; ","")&amp;IF(OR(N($E42)&lt;=0,N($E42)&gt;16),"hours?; ","")&amp;IF(AND($C42&lt;&gt;"",$B42=""),"campaign without drop_id; ","")&amp;IF(AND($B42&lt;&gt;"",COUNTIF(drops!$A$2:$A$21,$B42)=0),"drop_id not on drops; ",""))</f>
        <v/>
      </c>
    </row>
    <row r="43">
      <c r="A43" s="9" t="n">
        <v>46392</v>
      </c>
      <c r="B43" t="inlineStr">
        <is>
          <t>SAMPLE-DRP-002</t>
        </is>
      </c>
      <c r="D43" t="inlineStr">
        <is>
          <t>office_coordination</t>
        </is>
      </c>
      <c r="E43" s="10" t="n">
        <v>1.5</v>
      </c>
      <c r="F43" t="inlineStr">
        <is>
          <t>SAMPLE signing a new office</t>
        </is>
      </c>
      <c r="G43" s="25">
        <f>IF($A43="","",IF(ISNA(MATCH($D43,{"brand_sales","office_coordination","receiving_kitting","drop_day","checks_pickup","reporting_debriefs","admin_invoicing"},0)),"activity must be one of the seven keys; ","")&amp;IF(OR(N($E43)&lt;=0,N($E43)&gt;16),"hours?; ","")&amp;IF(AND($C43&lt;&gt;"",$B43=""),"campaign without drop_id; ","")&amp;IF(AND($B43&lt;&gt;"",COUNTIF(drops!$A$2:$A$21,$B43)=0),"drop_id not on drops; ",""))</f>
        <v/>
      </c>
    </row>
    <row r="44">
      <c r="A44" s="9" t="n">
        <v>46393</v>
      </c>
      <c r="B44" t="inlineStr">
        <is>
          <t>SAMPLE-DRP-002</t>
        </is>
      </c>
      <c r="D44" t="inlineStr">
        <is>
          <t>office_coordination</t>
        </is>
      </c>
      <c r="E44" s="10" t="n">
        <v>1.5</v>
      </c>
      <c r="F44" t="inlineStr">
        <is>
          <t>SAMPLE signing a new office</t>
        </is>
      </c>
      <c r="G44" s="25">
        <f>IF($A44="","",IF(ISNA(MATCH($D44,{"brand_sales","office_coordination","receiving_kitting","drop_day","checks_pickup","reporting_debriefs","admin_invoicing"},0)),"activity must be one of the seven keys; ","")&amp;IF(OR(N($E44)&lt;=0,N($E44)&gt;16),"hours?; ","")&amp;IF(AND($C44&lt;&gt;"",$B44=""),"campaign without drop_id; ","")&amp;IF(AND($B44&lt;&gt;"",COUNTIF(drops!$A$2:$A$21,$B44)=0),"drop_id not on drops; ",""))</f>
        <v/>
      </c>
    </row>
    <row r="45">
      <c r="A45" s="9" t="n">
        <v>46394</v>
      </c>
      <c r="B45" t="inlineStr">
        <is>
          <t>SAMPLE-DRP-002</t>
        </is>
      </c>
      <c r="D45" t="inlineStr">
        <is>
          <t>office_coordination</t>
        </is>
      </c>
      <c r="E45" s="10" t="n">
        <v>1.5</v>
      </c>
      <c r="F45" t="inlineStr">
        <is>
          <t>SAMPLE signing a new office</t>
        </is>
      </c>
      <c r="G45" s="25">
        <f>IF($A45="","",IF(ISNA(MATCH($D45,{"brand_sales","office_coordination","receiving_kitting","drop_day","checks_pickup","reporting_debriefs","admin_invoicing"},0)),"activity must be one of the seven keys; ","")&amp;IF(OR(N($E45)&lt;=0,N($E45)&gt;16),"hours?; ","")&amp;IF(AND($C45&lt;&gt;"",$B45=""),"campaign without drop_id; ","")&amp;IF(AND($B45&lt;&gt;"",COUNTIF(drops!$A$2:$A$21,$B45)=0),"drop_id not on drops; ",""))</f>
        <v/>
      </c>
    </row>
    <row r="46">
      <c r="A46" s="9" t="n">
        <v>46395</v>
      </c>
      <c r="B46" t="inlineStr">
        <is>
          <t>SAMPLE-DRP-002</t>
        </is>
      </c>
      <c r="D46" t="inlineStr">
        <is>
          <t>office_coordination</t>
        </is>
      </c>
      <c r="E46" s="10" t="n">
        <v>1.5</v>
      </c>
      <c r="F46" t="inlineStr">
        <is>
          <t>SAMPLE signing a new office</t>
        </is>
      </c>
      <c r="G46" s="25">
        <f>IF($A46="","",IF(ISNA(MATCH($D46,{"brand_sales","office_coordination","receiving_kitting","drop_day","checks_pickup","reporting_debriefs","admin_invoicing"},0)),"activity must be one of the seven keys; ","")&amp;IF(OR(N($E46)&lt;=0,N($E46)&gt;16),"hours?; ","")&amp;IF(AND($C46&lt;&gt;"",$B46=""),"campaign without drop_id; ","")&amp;IF(AND($B46&lt;&gt;"",COUNTIF(drops!$A$2:$A$21,$B46)=0),"drop_id not on drops; ",""))</f>
        <v/>
      </c>
    </row>
    <row r="47">
      <c r="A47" s="9" t="n">
        <v>46400</v>
      </c>
      <c r="B47" t="inlineStr">
        <is>
          <t>SAMPLE-DRP-002</t>
        </is>
      </c>
      <c r="D47" t="inlineStr">
        <is>
          <t>office_coordination</t>
        </is>
      </c>
      <c r="E47" s="10" t="n">
        <v>1.5</v>
      </c>
      <c r="F47" t="inlineStr">
        <is>
          <t>SAMPLE signing a new office</t>
        </is>
      </c>
      <c r="G47" s="25">
        <f>IF($A47="","",IF(ISNA(MATCH($D47,{"brand_sales","office_coordination","receiving_kitting","drop_day","checks_pickup","reporting_debriefs","admin_invoicing"},0)),"activity must be one of the seven keys; ","")&amp;IF(OR(N($E47)&lt;=0,N($E47)&gt;16),"hours?; ","")&amp;IF(AND($C47&lt;&gt;"",$B47=""),"campaign without drop_id; ","")&amp;IF(AND($B47&lt;&gt;"",COUNTIF(drops!$A$2:$A$21,$B47)=0),"drop_id not on drops; ",""))</f>
        <v/>
      </c>
    </row>
    <row r="48">
      <c r="A48" s="9" t="n">
        <v>46391</v>
      </c>
      <c r="B48" t="inlineStr">
        <is>
          <t>SAMPLE-DRP-002</t>
        </is>
      </c>
      <c r="D48" t="inlineStr">
        <is>
          <t>admin_invoicing</t>
        </is>
      </c>
      <c r="E48" s="10" t="n">
        <v>1</v>
      </c>
      <c r="G48" s="25">
        <f>IF($A48="","",IF(ISNA(MATCH($D48,{"brand_sales","office_coordination","receiving_kitting","drop_day","checks_pickup","reporting_debriefs","admin_invoicing"},0)),"activity must be one of the seven keys; ","")&amp;IF(OR(N($E48)&lt;=0,N($E48)&gt;16),"hours?; ","")&amp;IF(AND($C48&lt;&gt;"",$B48=""),"campaign without drop_id; ","")&amp;IF(AND($B48&lt;&gt;"",COUNTIF(drops!$A$2:$A$21,$B48)=0),"drop_id not on drops; ",""))</f>
        <v/>
      </c>
    </row>
    <row r="49">
      <c r="A49" s="9" t="n"/>
      <c r="E49" s="10" t="n"/>
      <c r="G49" s="25">
        <f>IF($A49="","",IF(ISNA(MATCH($D49,{"brand_sales","office_coordination","receiving_kitting","drop_day","checks_pickup","reporting_debriefs","admin_invoicing"},0)),"activity must be one of the seven keys; ","")&amp;IF(OR(N($E49)&lt;=0,N($E49)&gt;16),"hours?; ","")&amp;IF(AND($C49&lt;&gt;"",$B49=""),"campaign without drop_id; ","")&amp;IF(AND($B49&lt;&gt;"",COUNTIF(drops!$A$2:$A$21,$B49)=0),"drop_id not on drops; ",""))</f>
        <v/>
      </c>
    </row>
    <row r="50">
      <c r="A50" s="9" t="n"/>
      <c r="E50" s="10" t="n"/>
      <c r="G50" s="25">
        <f>IF($A50="","",IF(ISNA(MATCH($D50,{"brand_sales","office_coordination","receiving_kitting","drop_day","checks_pickup","reporting_debriefs","admin_invoicing"},0)),"activity must be one of the seven keys; ","")&amp;IF(OR(N($E50)&lt;=0,N($E50)&gt;16),"hours?; ","")&amp;IF(AND($C50&lt;&gt;"",$B50=""),"campaign without drop_id; ","")&amp;IF(AND($B50&lt;&gt;"",COUNTIF(drops!$A$2:$A$21,$B50)=0),"drop_id not on drops; ",""))</f>
        <v/>
      </c>
    </row>
    <row r="51">
      <c r="A51" s="9" t="n"/>
      <c r="E51" s="10" t="n"/>
      <c r="G51" s="25">
        <f>IF($A51="","",IF(ISNA(MATCH($D51,{"brand_sales","office_coordination","receiving_kitting","drop_day","checks_pickup","reporting_debriefs","admin_invoicing"},0)),"activity must be one of the seven keys; ","")&amp;IF(OR(N($E51)&lt;=0,N($E51)&gt;16),"hours?; ","")&amp;IF(AND($C51&lt;&gt;"",$B51=""),"campaign without drop_id; ","")&amp;IF(AND($B51&lt;&gt;"",COUNTIF(drops!$A$2:$A$21,$B51)=0),"drop_id not on drops; ",""))</f>
        <v/>
      </c>
    </row>
    <row r="52">
      <c r="A52" s="9" t="n"/>
      <c r="E52" s="10" t="n"/>
      <c r="G52" s="25">
        <f>IF($A52="","",IF(ISNA(MATCH($D52,{"brand_sales","office_coordination","receiving_kitting","drop_day","checks_pickup","reporting_debriefs","admin_invoicing"},0)),"activity must be one of the seven keys; ","")&amp;IF(OR(N($E52)&lt;=0,N($E52)&gt;16),"hours?; ","")&amp;IF(AND($C52&lt;&gt;"",$B52=""),"campaign without drop_id; ","")&amp;IF(AND($B52&lt;&gt;"",COUNTIF(drops!$A$2:$A$21,$B52)=0),"drop_id not on drops; ",""))</f>
        <v/>
      </c>
    </row>
    <row r="53">
      <c r="A53" s="9" t="n"/>
      <c r="E53" s="10" t="n"/>
      <c r="G53" s="25">
        <f>IF($A53="","",IF(ISNA(MATCH($D53,{"brand_sales","office_coordination","receiving_kitting","drop_day","checks_pickup","reporting_debriefs","admin_invoicing"},0)),"activity must be one of the seven keys; ","")&amp;IF(OR(N($E53)&lt;=0,N($E53)&gt;16),"hours?; ","")&amp;IF(AND($C53&lt;&gt;"",$B53=""),"campaign without drop_id; ","")&amp;IF(AND($B53&lt;&gt;"",COUNTIF(drops!$A$2:$A$21,$B53)=0),"drop_id not on drops; ",""))</f>
        <v/>
      </c>
    </row>
    <row r="54">
      <c r="A54" s="9" t="n"/>
      <c r="E54" s="10" t="n"/>
      <c r="G54" s="25">
        <f>IF($A54="","",IF(ISNA(MATCH($D54,{"brand_sales","office_coordination","receiving_kitting","drop_day","checks_pickup","reporting_debriefs","admin_invoicing"},0)),"activity must be one of the seven keys; ","")&amp;IF(OR(N($E54)&lt;=0,N($E54)&gt;16),"hours?; ","")&amp;IF(AND($C54&lt;&gt;"",$B54=""),"campaign without drop_id; ","")&amp;IF(AND($B54&lt;&gt;"",COUNTIF(drops!$A$2:$A$21,$B54)=0),"drop_id not on drops; ",""))</f>
        <v/>
      </c>
    </row>
    <row r="55">
      <c r="A55" s="9" t="n"/>
      <c r="E55" s="10" t="n"/>
      <c r="G55" s="25">
        <f>IF($A55="","",IF(ISNA(MATCH($D55,{"brand_sales","office_coordination","receiving_kitting","drop_day","checks_pickup","reporting_debriefs","admin_invoicing"},0)),"activity must be one of the seven keys; ","")&amp;IF(OR(N($E55)&lt;=0,N($E55)&gt;16),"hours?; ","")&amp;IF(AND($C55&lt;&gt;"",$B55=""),"campaign without drop_id; ","")&amp;IF(AND($B55&lt;&gt;"",COUNTIF(drops!$A$2:$A$21,$B55)=0),"drop_id not on drops; ",""))</f>
        <v/>
      </c>
    </row>
    <row r="56">
      <c r="A56" s="9" t="n"/>
      <c r="E56" s="10" t="n"/>
      <c r="G56" s="25">
        <f>IF($A56="","",IF(ISNA(MATCH($D56,{"brand_sales","office_coordination","receiving_kitting","drop_day","checks_pickup","reporting_debriefs","admin_invoicing"},0)),"activity must be one of the seven keys; ","")&amp;IF(OR(N($E56)&lt;=0,N($E56)&gt;16),"hours?; ","")&amp;IF(AND($C56&lt;&gt;"",$B56=""),"campaign without drop_id; ","")&amp;IF(AND($B56&lt;&gt;"",COUNTIF(drops!$A$2:$A$21,$B56)=0),"drop_id not on drops; ",""))</f>
        <v/>
      </c>
    </row>
    <row r="57">
      <c r="A57" s="9" t="n"/>
      <c r="E57" s="10" t="n"/>
      <c r="G57" s="25">
        <f>IF($A57="","",IF(ISNA(MATCH($D57,{"brand_sales","office_coordination","receiving_kitting","drop_day","checks_pickup","reporting_debriefs","admin_invoicing"},0)),"activity must be one of the seven keys; ","")&amp;IF(OR(N($E57)&lt;=0,N($E57)&gt;16),"hours?; ","")&amp;IF(AND($C57&lt;&gt;"",$B57=""),"campaign without drop_id; ","")&amp;IF(AND($B57&lt;&gt;"",COUNTIF(drops!$A$2:$A$21,$B57)=0),"drop_id not on drops; ",""))</f>
        <v/>
      </c>
    </row>
    <row r="58">
      <c r="A58" s="9" t="n"/>
      <c r="E58" s="10" t="n"/>
      <c r="G58" s="25">
        <f>IF($A58="","",IF(ISNA(MATCH($D58,{"brand_sales","office_coordination","receiving_kitting","drop_day","checks_pickup","reporting_debriefs","admin_invoicing"},0)),"activity must be one of the seven keys; ","")&amp;IF(OR(N($E58)&lt;=0,N($E58)&gt;16),"hours?; ","")&amp;IF(AND($C58&lt;&gt;"",$B58=""),"campaign without drop_id; ","")&amp;IF(AND($B58&lt;&gt;"",COUNTIF(drops!$A$2:$A$21,$B58)=0),"drop_id not on drops; ",""))</f>
        <v/>
      </c>
    </row>
    <row r="59">
      <c r="A59" s="9" t="n"/>
      <c r="E59" s="10" t="n"/>
      <c r="G59" s="25">
        <f>IF($A59="","",IF(ISNA(MATCH($D59,{"brand_sales","office_coordination","receiving_kitting","drop_day","checks_pickup","reporting_debriefs","admin_invoicing"},0)),"activity must be one of the seven keys; ","")&amp;IF(OR(N($E59)&lt;=0,N($E59)&gt;16),"hours?; ","")&amp;IF(AND($C59&lt;&gt;"",$B59=""),"campaign without drop_id; ","")&amp;IF(AND($B59&lt;&gt;"",COUNTIF(drops!$A$2:$A$21,$B59)=0),"drop_id not on drops; ",""))</f>
        <v/>
      </c>
    </row>
    <row r="60">
      <c r="A60" s="9" t="n"/>
      <c r="E60" s="10" t="n"/>
      <c r="G60" s="25">
        <f>IF($A60="","",IF(ISNA(MATCH($D60,{"brand_sales","office_coordination","receiving_kitting","drop_day","checks_pickup","reporting_debriefs","admin_invoicing"},0)),"activity must be one of the seven keys; ","")&amp;IF(OR(N($E60)&lt;=0,N($E60)&gt;16),"hours?; ","")&amp;IF(AND($C60&lt;&gt;"",$B60=""),"campaign without drop_id; ","")&amp;IF(AND($B60&lt;&gt;"",COUNTIF(drops!$A$2:$A$21,$B60)=0),"drop_id not on drops; ",""))</f>
        <v/>
      </c>
    </row>
    <row r="61">
      <c r="A61" s="9" t="n"/>
      <c r="E61" s="10" t="n"/>
      <c r="G61" s="25">
        <f>IF($A61="","",IF(ISNA(MATCH($D61,{"brand_sales","office_coordination","receiving_kitting","drop_day","checks_pickup","reporting_debriefs","admin_invoicing"},0)),"activity must be one of the seven keys; ","")&amp;IF(OR(N($E61)&lt;=0,N($E61)&gt;16),"hours?; ","")&amp;IF(AND($C61&lt;&gt;"",$B61=""),"campaign without drop_id; ","")&amp;IF(AND($B61&lt;&gt;"",COUNTIF(drops!$A$2:$A$21,$B61)=0),"drop_id not on drops; ",""))</f>
        <v/>
      </c>
    </row>
    <row r="62">
      <c r="A62" s="9" t="n"/>
      <c r="E62" s="10" t="n"/>
      <c r="G62" s="25">
        <f>IF($A62="","",IF(ISNA(MATCH($D62,{"brand_sales","office_coordination","receiving_kitting","drop_day","checks_pickup","reporting_debriefs","admin_invoicing"},0)),"activity must be one of the seven keys; ","")&amp;IF(OR(N($E62)&lt;=0,N($E62)&gt;16),"hours?; ","")&amp;IF(AND($C62&lt;&gt;"",$B62=""),"campaign without drop_id; ","")&amp;IF(AND($B62&lt;&gt;"",COUNTIF(drops!$A$2:$A$21,$B62)=0),"drop_id not on drops; ",""))</f>
        <v/>
      </c>
    </row>
    <row r="63">
      <c r="A63" s="9" t="n"/>
      <c r="E63" s="10" t="n"/>
      <c r="G63" s="25">
        <f>IF($A63="","",IF(ISNA(MATCH($D63,{"brand_sales","office_coordination","receiving_kitting","drop_day","checks_pickup","reporting_debriefs","admin_invoicing"},0)),"activity must be one of the seven keys; ","")&amp;IF(OR(N($E63)&lt;=0,N($E63)&gt;16),"hours?; ","")&amp;IF(AND($C63&lt;&gt;"",$B63=""),"campaign without drop_id; ","")&amp;IF(AND($B63&lt;&gt;"",COUNTIF(drops!$A$2:$A$21,$B63)=0),"drop_id not on drops; ",""))</f>
        <v/>
      </c>
    </row>
    <row r="64">
      <c r="A64" s="9" t="n"/>
      <c r="E64" s="10" t="n"/>
      <c r="G64" s="25">
        <f>IF($A64="","",IF(ISNA(MATCH($D64,{"brand_sales","office_coordination","receiving_kitting","drop_day","checks_pickup","reporting_debriefs","admin_invoicing"},0)),"activity must be one of the seven keys; ","")&amp;IF(OR(N($E64)&lt;=0,N($E64)&gt;16),"hours?; ","")&amp;IF(AND($C64&lt;&gt;"",$B64=""),"campaign without drop_id; ","")&amp;IF(AND($B64&lt;&gt;"",COUNTIF(drops!$A$2:$A$21,$B64)=0),"drop_id not on drops; ",""))</f>
        <v/>
      </c>
    </row>
    <row r="65">
      <c r="A65" s="9" t="n"/>
      <c r="E65" s="10" t="n"/>
      <c r="G65" s="25">
        <f>IF($A65="","",IF(ISNA(MATCH($D65,{"brand_sales","office_coordination","receiving_kitting","drop_day","checks_pickup","reporting_debriefs","admin_invoicing"},0)),"activity must be one of the seven keys; ","")&amp;IF(OR(N($E65)&lt;=0,N($E65)&gt;16),"hours?; ","")&amp;IF(AND($C65&lt;&gt;"",$B65=""),"campaign without drop_id; ","")&amp;IF(AND($B65&lt;&gt;"",COUNTIF(drops!$A$2:$A$21,$B65)=0),"drop_id not on drops; ",""))</f>
        <v/>
      </c>
    </row>
    <row r="66">
      <c r="A66" s="9" t="n"/>
      <c r="E66" s="10" t="n"/>
      <c r="G66" s="25">
        <f>IF($A66="","",IF(ISNA(MATCH($D66,{"brand_sales","office_coordination","receiving_kitting","drop_day","checks_pickup","reporting_debriefs","admin_invoicing"},0)),"activity must be one of the seven keys; ","")&amp;IF(OR(N($E66)&lt;=0,N($E66)&gt;16),"hours?; ","")&amp;IF(AND($C66&lt;&gt;"",$B66=""),"campaign without drop_id; ","")&amp;IF(AND($B66&lt;&gt;"",COUNTIF(drops!$A$2:$A$21,$B66)=0),"drop_id not on drops; ",""))</f>
        <v/>
      </c>
    </row>
    <row r="67">
      <c r="A67" s="9" t="n"/>
      <c r="E67" s="10" t="n"/>
      <c r="G67" s="25">
        <f>IF($A67="","",IF(ISNA(MATCH($D67,{"brand_sales","office_coordination","receiving_kitting","drop_day","checks_pickup","reporting_debriefs","admin_invoicing"},0)),"activity must be one of the seven keys; ","")&amp;IF(OR(N($E67)&lt;=0,N($E67)&gt;16),"hours?; ","")&amp;IF(AND($C67&lt;&gt;"",$B67=""),"campaign without drop_id; ","")&amp;IF(AND($B67&lt;&gt;"",COUNTIF(drops!$A$2:$A$21,$B67)=0),"drop_id not on drops; ",""))</f>
        <v/>
      </c>
    </row>
    <row r="68">
      <c r="A68" s="9" t="n"/>
      <c r="E68" s="10" t="n"/>
      <c r="G68" s="25">
        <f>IF($A68="","",IF(ISNA(MATCH($D68,{"brand_sales","office_coordination","receiving_kitting","drop_day","checks_pickup","reporting_debriefs","admin_invoicing"},0)),"activity must be one of the seven keys; ","")&amp;IF(OR(N($E68)&lt;=0,N($E68)&gt;16),"hours?; ","")&amp;IF(AND($C68&lt;&gt;"",$B68=""),"campaign without drop_id; ","")&amp;IF(AND($B68&lt;&gt;"",COUNTIF(drops!$A$2:$A$21,$B68)=0),"drop_id not on drops; ",""))</f>
        <v/>
      </c>
    </row>
    <row r="69">
      <c r="A69" s="9" t="n"/>
      <c r="E69" s="10" t="n"/>
      <c r="G69" s="25">
        <f>IF($A69="","",IF(ISNA(MATCH($D69,{"brand_sales","office_coordination","receiving_kitting","drop_day","checks_pickup","reporting_debriefs","admin_invoicing"},0)),"activity must be one of the seven keys; ","")&amp;IF(OR(N($E69)&lt;=0,N($E69)&gt;16),"hours?; ","")&amp;IF(AND($C69&lt;&gt;"",$B69=""),"campaign without drop_id; ","")&amp;IF(AND($B69&lt;&gt;"",COUNTIF(drops!$A$2:$A$21,$B69)=0),"drop_id not on drops; ",""))</f>
        <v/>
      </c>
    </row>
    <row r="70">
      <c r="A70" s="9" t="n"/>
      <c r="E70" s="10" t="n"/>
      <c r="G70" s="25">
        <f>IF($A70="","",IF(ISNA(MATCH($D70,{"brand_sales","office_coordination","receiving_kitting","drop_day","checks_pickup","reporting_debriefs","admin_invoicing"},0)),"activity must be one of the seven keys; ","")&amp;IF(OR(N($E70)&lt;=0,N($E70)&gt;16),"hours?; ","")&amp;IF(AND($C70&lt;&gt;"",$B70=""),"campaign without drop_id; ","")&amp;IF(AND($B70&lt;&gt;"",COUNTIF(drops!$A$2:$A$21,$B70)=0),"drop_id not on drops; ",""))</f>
        <v/>
      </c>
    </row>
    <row r="71">
      <c r="A71" s="9" t="n"/>
      <c r="E71" s="10" t="n"/>
      <c r="G71" s="25">
        <f>IF($A71="","",IF(ISNA(MATCH($D71,{"brand_sales","office_coordination","receiving_kitting","drop_day","checks_pickup","reporting_debriefs","admin_invoicing"},0)),"activity must be one of the seven keys; ","")&amp;IF(OR(N($E71)&lt;=0,N($E71)&gt;16),"hours?; ","")&amp;IF(AND($C71&lt;&gt;"",$B71=""),"campaign without drop_id; ","")&amp;IF(AND($B71&lt;&gt;"",COUNTIF(drops!$A$2:$A$21,$B71)=0),"drop_id not on drops; ",""))</f>
        <v/>
      </c>
    </row>
    <row r="72">
      <c r="A72" s="9" t="n"/>
      <c r="E72" s="10" t="n"/>
      <c r="G72" s="25">
        <f>IF($A72="","",IF(ISNA(MATCH($D72,{"brand_sales","office_coordination","receiving_kitting","drop_day","checks_pickup","reporting_debriefs","admin_invoicing"},0)),"activity must be one of the seven keys; ","")&amp;IF(OR(N($E72)&lt;=0,N($E72)&gt;16),"hours?; ","")&amp;IF(AND($C72&lt;&gt;"",$B72=""),"campaign without drop_id; ","")&amp;IF(AND($B72&lt;&gt;"",COUNTIF(drops!$A$2:$A$21,$B72)=0),"drop_id not on drops; ",""))</f>
        <v/>
      </c>
    </row>
    <row r="73">
      <c r="A73" s="9" t="n"/>
      <c r="E73" s="10" t="n"/>
      <c r="G73" s="25">
        <f>IF($A73="","",IF(ISNA(MATCH($D73,{"brand_sales","office_coordination","receiving_kitting","drop_day","checks_pickup","reporting_debriefs","admin_invoicing"},0)),"activity must be one of the seven keys; ","")&amp;IF(OR(N($E73)&lt;=0,N($E73)&gt;16),"hours?; ","")&amp;IF(AND($C73&lt;&gt;"",$B73=""),"campaign without drop_id; ","")&amp;IF(AND($B73&lt;&gt;"",COUNTIF(drops!$A$2:$A$21,$B73)=0),"drop_id not on drops; ",""))</f>
        <v/>
      </c>
    </row>
    <row r="74">
      <c r="A74" s="9" t="n"/>
      <c r="E74" s="10" t="n"/>
      <c r="G74" s="25">
        <f>IF($A74="","",IF(ISNA(MATCH($D74,{"brand_sales","office_coordination","receiving_kitting","drop_day","checks_pickup","reporting_debriefs","admin_invoicing"},0)),"activity must be one of the seven keys; ","")&amp;IF(OR(N($E74)&lt;=0,N($E74)&gt;16),"hours?; ","")&amp;IF(AND($C74&lt;&gt;"",$B74=""),"campaign without drop_id; ","")&amp;IF(AND($B74&lt;&gt;"",COUNTIF(drops!$A$2:$A$21,$B74)=0),"drop_id not on drops; ",""))</f>
        <v/>
      </c>
    </row>
    <row r="75">
      <c r="A75" s="9" t="n"/>
      <c r="E75" s="10" t="n"/>
      <c r="G75" s="25">
        <f>IF($A75="","",IF(ISNA(MATCH($D75,{"brand_sales","office_coordination","receiving_kitting","drop_day","checks_pickup","reporting_debriefs","admin_invoicing"},0)),"activity must be one of the seven keys; ","")&amp;IF(OR(N($E75)&lt;=0,N($E75)&gt;16),"hours?; ","")&amp;IF(AND($C75&lt;&gt;"",$B75=""),"campaign without drop_id; ","")&amp;IF(AND($B75&lt;&gt;"",COUNTIF(drops!$A$2:$A$21,$B75)=0),"drop_id not on drops; ",""))</f>
        <v/>
      </c>
    </row>
    <row r="76">
      <c r="A76" s="9" t="n"/>
      <c r="E76" s="10" t="n"/>
      <c r="G76" s="25">
        <f>IF($A76="","",IF(ISNA(MATCH($D76,{"brand_sales","office_coordination","receiving_kitting","drop_day","checks_pickup","reporting_debriefs","admin_invoicing"},0)),"activity must be one of the seven keys; ","")&amp;IF(OR(N($E76)&lt;=0,N($E76)&gt;16),"hours?; ","")&amp;IF(AND($C76&lt;&gt;"",$B76=""),"campaign without drop_id; ","")&amp;IF(AND($B76&lt;&gt;"",COUNTIF(drops!$A$2:$A$21,$B76)=0),"drop_id not on drops; ",""))</f>
        <v/>
      </c>
    </row>
    <row r="77">
      <c r="A77" s="9" t="n"/>
      <c r="E77" s="10" t="n"/>
      <c r="G77" s="25">
        <f>IF($A77="","",IF(ISNA(MATCH($D77,{"brand_sales","office_coordination","receiving_kitting","drop_day","checks_pickup","reporting_debriefs","admin_invoicing"},0)),"activity must be one of the seven keys; ","")&amp;IF(OR(N($E77)&lt;=0,N($E77)&gt;16),"hours?; ","")&amp;IF(AND($C77&lt;&gt;"",$B77=""),"campaign without drop_id; ","")&amp;IF(AND($B77&lt;&gt;"",COUNTIF(drops!$A$2:$A$21,$B77)=0),"drop_id not on drops; ",""))</f>
        <v/>
      </c>
    </row>
    <row r="78">
      <c r="A78" s="9" t="n"/>
      <c r="E78" s="10" t="n"/>
      <c r="G78" s="25">
        <f>IF($A78="","",IF(ISNA(MATCH($D78,{"brand_sales","office_coordination","receiving_kitting","drop_day","checks_pickup","reporting_debriefs","admin_invoicing"},0)),"activity must be one of the seven keys; ","")&amp;IF(OR(N($E78)&lt;=0,N($E78)&gt;16),"hours?; ","")&amp;IF(AND($C78&lt;&gt;"",$B78=""),"campaign without drop_id; ","")&amp;IF(AND($B78&lt;&gt;"",COUNTIF(drops!$A$2:$A$21,$B78)=0),"drop_id not on drops; ",""))</f>
        <v/>
      </c>
    </row>
    <row r="79">
      <c r="A79" s="9" t="n"/>
      <c r="E79" s="10" t="n"/>
      <c r="G79" s="25">
        <f>IF($A79="","",IF(ISNA(MATCH($D79,{"brand_sales","office_coordination","receiving_kitting","drop_day","checks_pickup","reporting_debriefs","admin_invoicing"},0)),"activity must be one of the seven keys; ","")&amp;IF(OR(N($E79)&lt;=0,N($E79)&gt;16),"hours?; ","")&amp;IF(AND($C79&lt;&gt;"",$B79=""),"campaign without drop_id; ","")&amp;IF(AND($B79&lt;&gt;"",COUNTIF(drops!$A$2:$A$21,$B79)=0),"drop_id not on drops; ",""))</f>
        <v/>
      </c>
    </row>
    <row r="80">
      <c r="A80" s="9" t="n"/>
      <c r="E80" s="10" t="n"/>
      <c r="G80" s="25">
        <f>IF($A80="","",IF(ISNA(MATCH($D80,{"brand_sales","office_coordination","receiving_kitting","drop_day","checks_pickup","reporting_debriefs","admin_invoicing"},0)),"activity must be one of the seven keys; ","")&amp;IF(OR(N($E80)&lt;=0,N($E80)&gt;16),"hours?; ","")&amp;IF(AND($C80&lt;&gt;"",$B80=""),"campaign without drop_id; ","")&amp;IF(AND($B80&lt;&gt;"",COUNTIF(drops!$A$2:$A$21,$B80)=0),"drop_id not on drops; ",""))</f>
        <v/>
      </c>
    </row>
    <row r="81">
      <c r="A81" s="9" t="n"/>
      <c r="E81" s="10" t="n"/>
      <c r="G81" s="25">
        <f>IF($A81="","",IF(ISNA(MATCH($D81,{"brand_sales","office_coordination","receiving_kitting","drop_day","checks_pickup","reporting_debriefs","admin_invoicing"},0)),"activity must be one of the seven keys; ","")&amp;IF(OR(N($E81)&lt;=0,N($E81)&gt;16),"hours?; ","")&amp;IF(AND($C81&lt;&gt;"",$B81=""),"campaign without drop_id; ","")&amp;IF(AND($B81&lt;&gt;"",COUNTIF(drops!$A$2:$A$21,$B81)=0),"drop_id not on drops; ",""))</f>
        <v/>
      </c>
    </row>
    <row r="82">
      <c r="A82" s="9" t="n"/>
      <c r="E82" s="10" t="n"/>
      <c r="G82" s="25">
        <f>IF($A82="","",IF(ISNA(MATCH($D82,{"brand_sales","office_coordination","receiving_kitting","drop_day","checks_pickup","reporting_debriefs","admin_invoicing"},0)),"activity must be one of the seven keys; ","")&amp;IF(OR(N($E82)&lt;=0,N($E82)&gt;16),"hours?; ","")&amp;IF(AND($C82&lt;&gt;"",$B82=""),"campaign without drop_id; ","")&amp;IF(AND($B82&lt;&gt;"",COUNTIF(drops!$A$2:$A$21,$B82)=0),"drop_id not on drops; ",""))</f>
        <v/>
      </c>
    </row>
    <row r="83">
      <c r="A83" s="9" t="n"/>
      <c r="E83" s="10" t="n"/>
      <c r="G83" s="25">
        <f>IF($A83="","",IF(ISNA(MATCH($D83,{"brand_sales","office_coordination","receiving_kitting","drop_day","checks_pickup","reporting_debriefs","admin_invoicing"},0)),"activity must be one of the seven keys; ","")&amp;IF(OR(N($E83)&lt;=0,N($E83)&gt;16),"hours?; ","")&amp;IF(AND($C83&lt;&gt;"",$B83=""),"campaign without drop_id; ","")&amp;IF(AND($B83&lt;&gt;"",COUNTIF(drops!$A$2:$A$21,$B83)=0),"drop_id not on drops; ",""))</f>
        <v/>
      </c>
    </row>
    <row r="84">
      <c r="A84" s="9" t="n"/>
      <c r="E84" s="10" t="n"/>
      <c r="G84" s="25">
        <f>IF($A84="","",IF(ISNA(MATCH($D84,{"brand_sales","office_coordination","receiving_kitting","drop_day","checks_pickup","reporting_debriefs","admin_invoicing"},0)),"activity must be one of the seven keys; ","")&amp;IF(OR(N($E84)&lt;=0,N($E84)&gt;16),"hours?; ","")&amp;IF(AND($C84&lt;&gt;"",$B84=""),"campaign without drop_id; ","")&amp;IF(AND($B84&lt;&gt;"",COUNTIF(drops!$A$2:$A$21,$B84)=0),"drop_id not on drops; ",""))</f>
        <v/>
      </c>
    </row>
    <row r="85">
      <c r="A85" s="9" t="n"/>
      <c r="E85" s="10" t="n"/>
      <c r="G85" s="25">
        <f>IF($A85="","",IF(ISNA(MATCH($D85,{"brand_sales","office_coordination","receiving_kitting","drop_day","checks_pickup","reporting_debriefs","admin_invoicing"},0)),"activity must be one of the seven keys; ","")&amp;IF(OR(N($E85)&lt;=0,N($E85)&gt;16),"hours?; ","")&amp;IF(AND($C85&lt;&gt;"",$B85=""),"campaign without drop_id; ","")&amp;IF(AND($B85&lt;&gt;"",COUNTIF(drops!$A$2:$A$21,$B85)=0),"drop_id not on drops; ",""))</f>
        <v/>
      </c>
    </row>
    <row r="86">
      <c r="A86" s="9" t="n"/>
      <c r="E86" s="10" t="n"/>
      <c r="G86" s="25">
        <f>IF($A86="","",IF(ISNA(MATCH($D86,{"brand_sales","office_coordination","receiving_kitting","drop_day","checks_pickup","reporting_debriefs","admin_invoicing"},0)),"activity must be one of the seven keys; ","")&amp;IF(OR(N($E86)&lt;=0,N($E86)&gt;16),"hours?; ","")&amp;IF(AND($C86&lt;&gt;"",$B86=""),"campaign without drop_id; ","")&amp;IF(AND($B86&lt;&gt;"",COUNTIF(drops!$A$2:$A$21,$B86)=0),"drop_id not on drops; ",""))</f>
        <v/>
      </c>
    </row>
    <row r="87">
      <c r="A87" s="9" t="n"/>
      <c r="E87" s="10" t="n"/>
      <c r="G87" s="25">
        <f>IF($A87="","",IF(ISNA(MATCH($D87,{"brand_sales","office_coordination","receiving_kitting","drop_day","checks_pickup","reporting_debriefs","admin_invoicing"},0)),"activity must be one of the seven keys; ","")&amp;IF(OR(N($E87)&lt;=0,N($E87)&gt;16),"hours?; ","")&amp;IF(AND($C87&lt;&gt;"",$B87=""),"campaign without drop_id; ","")&amp;IF(AND($B87&lt;&gt;"",COUNTIF(drops!$A$2:$A$21,$B87)=0),"drop_id not on drops; ",""))</f>
        <v/>
      </c>
    </row>
    <row r="88">
      <c r="A88" s="9" t="n"/>
      <c r="E88" s="10" t="n"/>
      <c r="G88" s="25">
        <f>IF($A88="","",IF(ISNA(MATCH($D88,{"brand_sales","office_coordination","receiving_kitting","drop_day","checks_pickup","reporting_debriefs","admin_invoicing"},0)),"activity must be one of the seven keys; ","")&amp;IF(OR(N($E88)&lt;=0,N($E88)&gt;16),"hours?; ","")&amp;IF(AND($C88&lt;&gt;"",$B88=""),"campaign without drop_id; ","")&amp;IF(AND($B88&lt;&gt;"",COUNTIF(drops!$A$2:$A$21,$B88)=0),"drop_id not on drops; ",""))</f>
        <v/>
      </c>
    </row>
    <row r="89">
      <c r="A89" s="9" t="n"/>
      <c r="E89" s="10" t="n"/>
      <c r="G89" s="25">
        <f>IF($A89="","",IF(ISNA(MATCH($D89,{"brand_sales","office_coordination","receiving_kitting","drop_day","checks_pickup","reporting_debriefs","admin_invoicing"},0)),"activity must be one of the seven keys; ","")&amp;IF(OR(N($E89)&lt;=0,N($E89)&gt;16),"hours?; ","")&amp;IF(AND($C89&lt;&gt;"",$B89=""),"campaign without drop_id; ","")&amp;IF(AND($B89&lt;&gt;"",COUNTIF(drops!$A$2:$A$21,$B89)=0),"drop_id not on drops; ",""))</f>
        <v/>
      </c>
    </row>
    <row r="90">
      <c r="A90" s="9" t="n"/>
      <c r="E90" s="10" t="n"/>
      <c r="G90" s="25">
        <f>IF($A90="","",IF(ISNA(MATCH($D90,{"brand_sales","office_coordination","receiving_kitting","drop_day","checks_pickup","reporting_debriefs","admin_invoicing"},0)),"activity must be one of the seven keys; ","")&amp;IF(OR(N($E90)&lt;=0,N($E90)&gt;16),"hours?; ","")&amp;IF(AND($C90&lt;&gt;"",$B90=""),"campaign without drop_id; ","")&amp;IF(AND($B90&lt;&gt;"",COUNTIF(drops!$A$2:$A$21,$B90)=0),"drop_id not on drops; ",""))</f>
        <v/>
      </c>
    </row>
    <row r="91">
      <c r="A91" s="9" t="n"/>
      <c r="E91" s="10" t="n"/>
      <c r="G91" s="25">
        <f>IF($A91="","",IF(ISNA(MATCH($D91,{"brand_sales","office_coordination","receiving_kitting","drop_day","checks_pickup","reporting_debriefs","admin_invoicing"},0)),"activity must be one of the seven keys; ","")&amp;IF(OR(N($E91)&lt;=0,N($E91)&gt;16),"hours?; ","")&amp;IF(AND($C91&lt;&gt;"",$B91=""),"campaign without drop_id; ","")&amp;IF(AND($B91&lt;&gt;"",COUNTIF(drops!$A$2:$A$21,$B91)=0),"drop_id not on drops; ",""))</f>
        <v/>
      </c>
    </row>
    <row r="92">
      <c r="A92" s="9" t="n"/>
      <c r="E92" s="10" t="n"/>
      <c r="G92" s="25">
        <f>IF($A92="","",IF(ISNA(MATCH($D92,{"brand_sales","office_coordination","receiving_kitting","drop_day","checks_pickup","reporting_debriefs","admin_invoicing"},0)),"activity must be one of the seven keys; ","")&amp;IF(OR(N($E92)&lt;=0,N($E92)&gt;16),"hours?; ","")&amp;IF(AND($C92&lt;&gt;"",$B92=""),"campaign without drop_id; ","")&amp;IF(AND($B92&lt;&gt;"",COUNTIF(drops!$A$2:$A$21,$B92)=0),"drop_id not on drops; ",""))</f>
        <v/>
      </c>
    </row>
    <row r="93">
      <c r="A93" s="9" t="n"/>
      <c r="E93" s="10" t="n"/>
      <c r="G93" s="25">
        <f>IF($A93="","",IF(ISNA(MATCH($D93,{"brand_sales","office_coordination","receiving_kitting","drop_day","checks_pickup","reporting_debriefs","admin_invoicing"},0)),"activity must be one of the seven keys; ","")&amp;IF(OR(N($E93)&lt;=0,N($E93)&gt;16),"hours?; ","")&amp;IF(AND($C93&lt;&gt;"",$B93=""),"campaign without drop_id; ","")&amp;IF(AND($B93&lt;&gt;"",COUNTIF(drops!$A$2:$A$21,$B93)=0),"drop_id not on drops; ",""))</f>
        <v/>
      </c>
    </row>
    <row r="94">
      <c r="A94" s="9" t="n"/>
      <c r="E94" s="10" t="n"/>
      <c r="G94" s="25">
        <f>IF($A94="","",IF(ISNA(MATCH($D94,{"brand_sales","office_coordination","receiving_kitting","drop_day","checks_pickup","reporting_debriefs","admin_invoicing"},0)),"activity must be one of the seven keys; ","")&amp;IF(OR(N($E94)&lt;=0,N($E94)&gt;16),"hours?; ","")&amp;IF(AND($C94&lt;&gt;"",$B94=""),"campaign without drop_id; ","")&amp;IF(AND($B94&lt;&gt;"",COUNTIF(drops!$A$2:$A$21,$B94)=0),"drop_id not on drops; ",""))</f>
        <v/>
      </c>
    </row>
    <row r="95">
      <c r="A95" s="9" t="n"/>
      <c r="E95" s="10" t="n"/>
      <c r="G95" s="25">
        <f>IF($A95="","",IF(ISNA(MATCH($D95,{"brand_sales","office_coordination","receiving_kitting","drop_day","checks_pickup","reporting_debriefs","admin_invoicing"},0)),"activity must be one of the seven keys; ","")&amp;IF(OR(N($E95)&lt;=0,N($E95)&gt;16),"hours?; ","")&amp;IF(AND($C95&lt;&gt;"",$B95=""),"campaign without drop_id; ","")&amp;IF(AND($B95&lt;&gt;"",COUNTIF(drops!$A$2:$A$21,$B95)=0),"drop_id not on drops; ",""))</f>
        <v/>
      </c>
    </row>
    <row r="96">
      <c r="A96" s="9" t="n"/>
      <c r="E96" s="10" t="n"/>
      <c r="G96" s="25">
        <f>IF($A96="","",IF(ISNA(MATCH($D96,{"brand_sales","office_coordination","receiving_kitting","drop_day","checks_pickup","reporting_debriefs","admin_invoicing"},0)),"activity must be one of the seven keys; ","")&amp;IF(OR(N($E96)&lt;=0,N($E96)&gt;16),"hours?; ","")&amp;IF(AND($C96&lt;&gt;"",$B96=""),"campaign without drop_id; ","")&amp;IF(AND($B96&lt;&gt;"",COUNTIF(drops!$A$2:$A$21,$B96)=0),"drop_id not on drops; ",""))</f>
        <v/>
      </c>
    </row>
    <row r="97">
      <c r="A97" s="9" t="n"/>
      <c r="E97" s="10" t="n"/>
      <c r="G97" s="25">
        <f>IF($A97="","",IF(ISNA(MATCH($D97,{"brand_sales","office_coordination","receiving_kitting","drop_day","checks_pickup","reporting_debriefs","admin_invoicing"},0)),"activity must be one of the seven keys; ","")&amp;IF(OR(N($E97)&lt;=0,N($E97)&gt;16),"hours?; ","")&amp;IF(AND($C97&lt;&gt;"",$B97=""),"campaign without drop_id; ","")&amp;IF(AND($B97&lt;&gt;"",COUNTIF(drops!$A$2:$A$21,$B97)=0),"drop_id not on drops; ",""))</f>
        <v/>
      </c>
    </row>
    <row r="98">
      <c r="A98" s="9" t="n"/>
      <c r="E98" s="10" t="n"/>
      <c r="G98" s="25">
        <f>IF($A98="","",IF(ISNA(MATCH($D98,{"brand_sales","office_coordination","receiving_kitting","drop_day","checks_pickup","reporting_debriefs","admin_invoicing"},0)),"activity must be one of the seven keys; ","")&amp;IF(OR(N($E98)&lt;=0,N($E98)&gt;16),"hours?; ","")&amp;IF(AND($C98&lt;&gt;"",$B98=""),"campaign without drop_id; ","")&amp;IF(AND($B98&lt;&gt;"",COUNTIF(drops!$A$2:$A$21,$B98)=0),"drop_id not on drops; ",""))</f>
        <v/>
      </c>
    </row>
    <row r="99">
      <c r="A99" s="9" t="n"/>
      <c r="E99" s="10" t="n"/>
      <c r="G99" s="25">
        <f>IF($A99="","",IF(ISNA(MATCH($D99,{"brand_sales","office_coordination","receiving_kitting","drop_day","checks_pickup","reporting_debriefs","admin_invoicing"},0)),"activity must be one of the seven keys; ","")&amp;IF(OR(N($E99)&lt;=0,N($E99)&gt;16),"hours?; ","")&amp;IF(AND($C99&lt;&gt;"",$B99=""),"campaign without drop_id; ","")&amp;IF(AND($B99&lt;&gt;"",COUNTIF(drops!$A$2:$A$21,$B99)=0),"drop_id not on drops; ",""))</f>
        <v/>
      </c>
    </row>
    <row r="100">
      <c r="A100" s="9" t="n"/>
      <c r="E100" s="10" t="n"/>
      <c r="G100" s="25">
        <f>IF($A100="","",IF(ISNA(MATCH($D100,{"brand_sales","office_coordination","receiving_kitting","drop_day","checks_pickup","reporting_debriefs","admin_invoicing"},0)),"activity must be one of the seven keys; ","")&amp;IF(OR(N($E100)&lt;=0,N($E100)&gt;16),"hours?; ","")&amp;IF(AND($C100&lt;&gt;"",$B100=""),"campaign without drop_id; ","")&amp;IF(AND($B100&lt;&gt;"",COUNTIF(drops!$A$2:$A$21,$B100)=0),"drop_id not on drops; ",""))</f>
        <v/>
      </c>
    </row>
    <row r="101">
      <c r="A101" s="9" t="n"/>
      <c r="E101" s="10" t="n"/>
      <c r="G101" s="25">
        <f>IF($A101="","",IF(ISNA(MATCH($D101,{"brand_sales","office_coordination","receiving_kitting","drop_day","checks_pickup","reporting_debriefs","admin_invoicing"},0)),"activity must be one of the seven keys; ","")&amp;IF(OR(N($E101)&lt;=0,N($E101)&gt;16),"hours?; ","")&amp;IF(AND($C101&lt;&gt;"",$B101=""),"campaign without drop_id; ","")&amp;IF(AND($B101&lt;&gt;"",COUNTIF(drops!$A$2:$A$21,$B101)=0),"drop_id not on drops; ",""))</f>
        <v/>
      </c>
    </row>
    <row r="102">
      <c r="A102" s="9" t="n"/>
      <c r="E102" s="10" t="n"/>
      <c r="G102" s="25">
        <f>IF($A102="","",IF(ISNA(MATCH($D102,{"brand_sales","office_coordination","receiving_kitting","drop_day","checks_pickup","reporting_debriefs","admin_invoicing"},0)),"activity must be one of the seven keys; ","")&amp;IF(OR(N($E102)&lt;=0,N($E102)&gt;16),"hours?; ","")&amp;IF(AND($C102&lt;&gt;"",$B102=""),"campaign without drop_id; ","")&amp;IF(AND($B102&lt;&gt;"",COUNTIF(drops!$A$2:$A$21,$B102)=0),"drop_id not on drops; ",""))</f>
        <v/>
      </c>
    </row>
    <row r="103">
      <c r="A103" s="9" t="n"/>
      <c r="E103" s="10" t="n"/>
      <c r="G103" s="25">
        <f>IF($A103="","",IF(ISNA(MATCH($D103,{"brand_sales","office_coordination","receiving_kitting","drop_day","checks_pickup","reporting_debriefs","admin_invoicing"},0)),"activity must be one of the seven keys; ","")&amp;IF(OR(N($E103)&lt;=0,N($E103)&gt;16),"hours?; ","")&amp;IF(AND($C103&lt;&gt;"",$B103=""),"campaign without drop_id; ","")&amp;IF(AND($B103&lt;&gt;"",COUNTIF(drops!$A$2:$A$21,$B103)=0),"drop_id not on drops; ",""))</f>
        <v/>
      </c>
    </row>
    <row r="104">
      <c r="A104" s="9" t="n"/>
      <c r="E104" s="10" t="n"/>
      <c r="G104" s="25">
        <f>IF($A104="","",IF(ISNA(MATCH($D104,{"brand_sales","office_coordination","receiving_kitting","drop_day","checks_pickup","reporting_debriefs","admin_invoicing"},0)),"activity must be one of the seven keys; ","")&amp;IF(OR(N($E104)&lt;=0,N($E104)&gt;16),"hours?; ","")&amp;IF(AND($C104&lt;&gt;"",$B104=""),"campaign without drop_id; ","")&amp;IF(AND($B104&lt;&gt;"",COUNTIF(drops!$A$2:$A$21,$B104)=0),"drop_id not on drops; ",""))</f>
        <v/>
      </c>
    </row>
    <row r="105">
      <c r="A105" s="9" t="n"/>
      <c r="E105" s="10" t="n"/>
      <c r="G105" s="25">
        <f>IF($A105="","",IF(ISNA(MATCH($D105,{"brand_sales","office_coordination","receiving_kitting","drop_day","checks_pickup","reporting_debriefs","admin_invoicing"},0)),"activity must be one of the seven keys; ","")&amp;IF(OR(N($E105)&lt;=0,N($E105)&gt;16),"hours?; ","")&amp;IF(AND($C105&lt;&gt;"",$B105=""),"campaign without drop_id; ","")&amp;IF(AND($B105&lt;&gt;"",COUNTIF(drops!$A$2:$A$21,$B105)=0),"drop_id not on drops; ",""))</f>
        <v/>
      </c>
    </row>
    <row r="106">
      <c r="A106" s="9" t="n"/>
      <c r="E106" s="10" t="n"/>
      <c r="G106" s="25">
        <f>IF($A106="","",IF(ISNA(MATCH($D106,{"brand_sales","office_coordination","receiving_kitting","drop_day","checks_pickup","reporting_debriefs","admin_invoicing"},0)),"activity must be one of the seven keys; ","")&amp;IF(OR(N($E106)&lt;=0,N($E106)&gt;16),"hours?; ","")&amp;IF(AND($C106&lt;&gt;"",$B106=""),"campaign without drop_id; ","")&amp;IF(AND($B106&lt;&gt;"",COUNTIF(drops!$A$2:$A$21,$B106)=0),"drop_id not on drops; ",""))</f>
        <v/>
      </c>
    </row>
    <row r="107">
      <c r="A107" s="9" t="n"/>
      <c r="E107" s="10" t="n"/>
      <c r="G107" s="25">
        <f>IF($A107="","",IF(ISNA(MATCH($D107,{"brand_sales","office_coordination","receiving_kitting","drop_day","checks_pickup","reporting_debriefs","admin_invoicing"},0)),"activity must be one of the seven keys; ","")&amp;IF(OR(N($E107)&lt;=0,N($E107)&gt;16),"hours?; ","")&amp;IF(AND($C107&lt;&gt;"",$B107=""),"campaign without drop_id; ","")&amp;IF(AND($B107&lt;&gt;"",COUNTIF(drops!$A$2:$A$21,$B107)=0),"drop_id not on drops; ",""))</f>
        <v/>
      </c>
    </row>
    <row r="108">
      <c r="A108" s="9" t="n"/>
      <c r="E108" s="10" t="n"/>
      <c r="G108" s="25">
        <f>IF($A108="","",IF(ISNA(MATCH($D108,{"brand_sales","office_coordination","receiving_kitting","drop_day","checks_pickup","reporting_debriefs","admin_invoicing"},0)),"activity must be one of the seven keys; ","")&amp;IF(OR(N($E108)&lt;=0,N($E108)&gt;16),"hours?; ","")&amp;IF(AND($C108&lt;&gt;"",$B108=""),"campaign without drop_id; ","")&amp;IF(AND($B108&lt;&gt;"",COUNTIF(drops!$A$2:$A$21,$B108)=0),"drop_id not on drops; ",""))</f>
        <v/>
      </c>
    </row>
    <row r="109">
      <c r="A109" s="9" t="n"/>
      <c r="E109" s="10" t="n"/>
      <c r="G109" s="25">
        <f>IF($A109="","",IF(ISNA(MATCH($D109,{"brand_sales","office_coordination","receiving_kitting","drop_day","checks_pickup","reporting_debriefs","admin_invoicing"},0)),"activity must be one of the seven keys; ","")&amp;IF(OR(N($E109)&lt;=0,N($E109)&gt;16),"hours?; ","")&amp;IF(AND($C109&lt;&gt;"",$B109=""),"campaign without drop_id; ","")&amp;IF(AND($B109&lt;&gt;"",COUNTIF(drops!$A$2:$A$21,$B109)=0),"drop_id not on drops; ",""))</f>
        <v/>
      </c>
    </row>
    <row r="110">
      <c r="A110" s="9" t="n"/>
      <c r="E110" s="10" t="n"/>
      <c r="G110" s="25">
        <f>IF($A110="","",IF(ISNA(MATCH($D110,{"brand_sales","office_coordination","receiving_kitting","drop_day","checks_pickup","reporting_debriefs","admin_invoicing"},0)),"activity must be one of the seven keys; ","")&amp;IF(OR(N($E110)&lt;=0,N($E110)&gt;16),"hours?; ","")&amp;IF(AND($C110&lt;&gt;"",$B110=""),"campaign without drop_id; ","")&amp;IF(AND($B110&lt;&gt;"",COUNTIF(drops!$A$2:$A$21,$B110)=0),"drop_id not on drops; ",""))</f>
        <v/>
      </c>
    </row>
    <row r="111">
      <c r="A111" s="9" t="n"/>
      <c r="E111" s="10" t="n"/>
      <c r="G111" s="25">
        <f>IF($A111="","",IF(ISNA(MATCH($D111,{"brand_sales","office_coordination","receiving_kitting","drop_day","checks_pickup","reporting_debriefs","admin_invoicing"},0)),"activity must be one of the seven keys; ","")&amp;IF(OR(N($E111)&lt;=0,N($E111)&gt;16),"hours?; ","")&amp;IF(AND($C111&lt;&gt;"",$B111=""),"campaign without drop_id; ","")&amp;IF(AND($B111&lt;&gt;"",COUNTIF(drops!$A$2:$A$21,$B111)=0),"drop_id not on drops; ",""))</f>
        <v/>
      </c>
    </row>
    <row r="112">
      <c r="A112" s="9" t="n"/>
      <c r="E112" s="10" t="n"/>
      <c r="G112" s="25">
        <f>IF($A112="","",IF(ISNA(MATCH($D112,{"brand_sales","office_coordination","receiving_kitting","drop_day","checks_pickup","reporting_debriefs","admin_invoicing"},0)),"activity must be one of the seven keys; ","")&amp;IF(OR(N($E112)&lt;=0,N($E112)&gt;16),"hours?; ","")&amp;IF(AND($C112&lt;&gt;"",$B112=""),"campaign without drop_id; ","")&amp;IF(AND($B112&lt;&gt;"",COUNTIF(drops!$A$2:$A$21,$B112)=0),"drop_id not on drops; ",""))</f>
        <v/>
      </c>
    </row>
    <row r="113">
      <c r="A113" s="9" t="n"/>
      <c r="E113" s="10" t="n"/>
      <c r="G113" s="25">
        <f>IF($A113="","",IF(ISNA(MATCH($D113,{"brand_sales","office_coordination","receiving_kitting","drop_day","checks_pickup","reporting_debriefs","admin_invoicing"},0)),"activity must be one of the seven keys; ","")&amp;IF(OR(N($E113)&lt;=0,N($E113)&gt;16),"hours?; ","")&amp;IF(AND($C113&lt;&gt;"",$B113=""),"campaign without drop_id; ","")&amp;IF(AND($B113&lt;&gt;"",COUNTIF(drops!$A$2:$A$21,$B113)=0),"drop_id not on drops; ",""))</f>
        <v/>
      </c>
    </row>
    <row r="114">
      <c r="A114" s="9" t="n"/>
      <c r="E114" s="10" t="n"/>
      <c r="G114" s="25">
        <f>IF($A114="","",IF(ISNA(MATCH($D114,{"brand_sales","office_coordination","receiving_kitting","drop_day","checks_pickup","reporting_debriefs","admin_invoicing"},0)),"activity must be one of the seven keys; ","")&amp;IF(OR(N($E114)&lt;=0,N($E114)&gt;16),"hours?; ","")&amp;IF(AND($C114&lt;&gt;"",$B114=""),"campaign without drop_id; ","")&amp;IF(AND($B114&lt;&gt;"",COUNTIF(drops!$A$2:$A$21,$B114)=0),"drop_id not on drops; ",""))</f>
        <v/>
      </c>
    </row>
    <row r="115">
      <c r="A115" s="9" t="n"/>
      <c r="E115" s="10" t="n"/>
      <c r="G115" s="25">
        <f>IF($A115="","",IF(ISNA(MATCH($D115,{"brand_sales","office_coordination","receiving_kitting","drop_day","checks_pickup","reporting_debriefs","admin_invoicing"},0)),"activity must be one of the seven keys; ","")&amp;IF(OR(N($E115)&lt;=0,N($E115)&gt;16),"hours?; ","")&amp;IF(AND($C115&lt;&gt;"",$B115=""),"campaign without drop_id; ","")&amp;IF(AND($B115&lt;&gt;"",COUNTIF(drops!$A$2:$A$21,$B115)=0),"drop_id not on drops; ",""))</f>
        <v/>
      </c>
    </row>
    <row r="116">
      <c r="A116" s="9" t="n"/>
      <c r="E116" s="10" t="n"/>
      <c r="G116" s="25">
        <f>IF($A116="","",IF(ISNA(MATCH($D116,{"brand_sales","office_coordination","receiving_kitting","drop_day","checks_pickup","reporting_debriefs","admin_invoicing"},0)),"activity must be one of the seven keys; ","")&amp;IF(OR(N($E116)&lt;=0,N($E116)&gt;16),"hours?; ","")&amp;IF(AND($C116&lt;&gt;"",$B116=""),"campaign without drop_id; ","")&amp;IF(AND($B116&lt;&gt;"",COUNTIF(drops!$A$2:$A$21,$B116)=0),"drop_id not on drops; ",""))</f>
        <v/>
      </c>
    </row>
    <row r="117">
      <c r="A117" s="9" t="n"/>
      <c r="E117" s="10" t="n"/>
      <c r="G117" s="25">
        <f>IF($A117="","",IF(ISNA(MATCH($D117,{"brand_sales","office_coordination","receiving_kitting","drop_day","checks_pickup","reporting_debriefs","admin_invoicing"},0)),"activity must be one of the seven keys; ","")&amp;IF(OR(N($E117)&lt;=0,N($E117)&gt;16),"hours?; ","")&amp;IF(AND($C117&lt;&gt;"",$B117=""),"campaign without drop_id; ","")&amp;IF(AND($B117&lt;&gt;"",COUNTIF(drops!$A$2:$A$21,$B117)=0),"drop_id not on drops; ",""))</f>
        <v/>
      </c>
    </row>
    <row r="118">
      <c r="A118" s="9" t="n"/>
      <c r="E118" s="10" t="n"/>
      <c r="G118" s="25">
        <f>IF($A118="","",IF(ISNA(MATCH($D118,{"brand_sales","office_coordination","receiving_kitting","drop_day","checks_pickup","reporting_debriefs","admin_invoicing"},0)),"activity must be one of the seven keys; ","")&amp;IF(OR(N($E118)&lt;=0,N($E118)&gt;16),"hours?; ","")&amp;IF(AND($C118&lt;&gt;"",$B118=""),"campaign without drop_id; ","")&amp;IF(AND($B118&lt;&gt;"",COUNTIF(drops!$A$2:$A$21,$B118)=0),"drop_id not on drops; ",""))</f>
        <v/>
      </c>
    </row>
    <row r="119">
      <c r="A119" s="9" t="n"/>
      <c r="E119" s="10" t="n"/>
      <c r="G119" s="25">
        <f>IF($A119="","",IF(ISNA(MATCH($D119,{"brand_sales","office_coordination","receiving_kitting","drop_day","checks_pickup","reporting_debriefs","admin_invoicing"},0)),"activity must be one of the seven keys; ","")&amp;IF(OR(N($E119)&lt;=0,N($E119)&gt;16),"hours?; ","")&amp;IF(AND($C119&lt;&gt;"",$B119=""),"campaign without drop_id; ","")&amp;IF(AND($B119&lt;&gt;"",COUNTIF(drops!$A$2:$A$21,$B119)=0),"drop_id not on drops; ",""))</f>
        <v/>
      </c>
    </row>
    <row r="120">
      <c r="A120" s="9" t="n"/>
      <c r="E120" s="10" t="n"/>
      <c r="G120" s="25">
        <f>IF($A120="","",IF(ISNA(MATCH($D120,{"brand_sales","office_coordination","receiving_kitting","drop_day","checks_pickup","reporting_debriefs","admin_invoicing"},0)),"activity must be one of the seven keys; ","")&amp;IF(OR(N($E120)&lt;=0,N($E120)&gt;16),"hours?; ","")&amp;IF(AND($C120&lt;&gt;"",$B120=""),"campaign without drop_id; ","")&amp;IF(AND($B120&lt;&gt;"",COUNTIF(drops!$A$2:$A$21,$B120)=0),"drop_id not on drops; ",""))</f>
        <v/>
      </c>
    </row>
    <row r="121">
      <c r="A121" s="9" t="n"/>
      <c r="E121" s="10" t="n"/>
      <c r="G121" s="25">
        <f>IF($A121="","",IF(ISNA(MATCH($D121,{"brand_sales","office_coordination","receiving_kitting","drop_day","checks_pickup","reporting_debriefs","admin_invoicing"},0)),"activity must be one of the seven keys; ","")&amp;IF(OR(N($E121)&lt;=0,N($E121)&gt;16),"hours?; ","")&amp;IF(AND($C121&lt;&gt;"",$B121=""),"campaign without drop_id; ","")&amp;IF(AND($B121&lt;&gt;"",COUNTIF(drops!$A$2:$A$21,$B121)=0),"drop_id not on drops; ",""))</f>
        <v/>
      </c>
    </row>
    <row r="122">
      <c r="A122" s="9" t="n"/>
      <c r="E122" s="10" t="n"/>
      <c r="G122" s="25">
        <f>IF($A122="","",IF(ISNA(MATCH($D122,{"brand_sales","office_coordination","receiving_kitting","drop_day","checks_pickup","reporting_debriefs","admin_invoicing"},0)),"activity must be one of the seven keys; ","")&amp;IF(OR(N($E122)&lt;=0,N($E122)&gt;16),"hours?; ","")&amp;IF(AND($C122&lt;&gt;"",$B122=""),"campaign without drop_id; ","")&amp;IF(AND($B122&lt;&gt;"",COUNTIF(drops!$A$2:$A$21,$B122)=0),"drop_id not on drops; ",""))</f>
        <v/>
      </c>
    </row>
    <row r="123">
      <c r="A123" s="9" t="n"/>
      <c r="E123" s="10" t="n"/>
      <c r="G123" s="25">
        <f>IF($A123="","",IF(ISNA(MATCH($D123,{"brand_sales","office_coordination","receiving_kitting","drop_day","checks_pickup","reporting_debriefs","admin_invoicing"},0)),"activity must be one of the seven keys; ","")&amp;IF(OR(N($E123)&lt;=0,N($E123)&gt;16),"hours?; ","")&amp;IF(AND($C123&lt;&gt;"",$B123=""),"campaign without drop_id; ","")&amp;IF(AND($B123&lt;&gt;"",COUNTIF(drops!$A$2:$A$21,$B123)=0),"drop_id not on drops; ",""))</f>
        <v/>
      </c>
    </row>
    <row r="124">
      <c r="A124" s="9" t="n"/>
      <c r="E124" s="10" t="n"/>
      <c r="G124" s="25">
        <f>IF($A124="","",IF(ISNA(MATCH($D124,{"brand_sales","office_coordination","receiving_kitting","drop_day","checks_pickup","reporting_debriefs","admin_invoicing"},0)),"activity must be one of the seven keys; ","")&amp;IF(OR(N($E124)&lt;=0,N($E124)&gt;16),"hours?; ","")&amp;IF(AND($C124&lt;&gt;"",$B124=""),"campaign without drop_id; ","")&amp;IF(AND($B124&lt;&gt;"",COUNTIF(drops!$A$2:$A$21,$B124)=0),"drop_id not on drops; ",""))</f>
        <v/>
      </c>
    </row>
    <row r="125">
      <c r="A125" s="9" t="n"/>
      <c r="E125" s="10" t="n"/>
      <c r="G125" s="25">
        <f>IF($A125="","",IF(ISNA(MATCH($D125,{"brand_sales","office_coordination","receiving_kitting","drop_day","checks_pickup","reporting_debriefs","admin_invoicing"},0)),"activity must be one of the seven keys; ","")&amp;IF(OR(N($E125)&lt;=0,N($E125)&gt;16),"hours?; ","")&amp;IF(AND($C125&lt;&gt;"",$B125=""),"campaign without drop_id; ","")&amp;IF(AND($B125&lt;&gt;"",COUNTIF(drops!$A$2:$A$21,$B125)=0),"drop_id not on drops; ",""))</f>
        <v/>
      </c>
    </row>
    <row r="126">
      <c r="A126" s="9" t="n"/>
      <c r="E126" s="10" t="n"/>
      <c r="G126" s="25">
        <f>IF($A126="","",IF(ISNA(MATCH($D126,{"brand_sales","office_coordination","receiving_kitting","drop_day","checks_pickup","reporting_debriefs","admin_invoicing"},0)),"activity must be one of the seven keys; ","")&amp;IF(OR(N($E126)&lt;=0,N($E126)&gt;16),"hours?; ","")&amp;IF(AND($C126&lt;&gt;"",$B126=""),"campaign without drop_id; ","")&amp;IF(AND($B126&lt;&gt;"",COUNTIF(drops!$A$2:$A$21,$B126)=0),"drop_id not on drops; ",""))</f>
        <v/>
      </c>
    </row>
    <row r="127">
      <c r="A127" s="9" t="n"/>
      <c r="E127" s="10" t="n"/>
      <c r="G127" s="25">
        <f>IF($A127="","",IF(ISNA(MATCH($D127,{"brand_sales","office_coordination","receiving_kitting","drop_day","checks_pickup","reporting_debriefs","admin_invoicing"},0)),"activity must be one of the seven keys; ","")&amp;IF(OR(N($E127)&lt;=0,N($E127)&gt;16),"hours?; ","")&amp;IF(AND($C127&lt;&gt;"",$B127=""),"campaign without drop_id; ","")&amp;IF(AND($B127&lt;&gt;"",COUNTIF(drops!$A$2:$A$21,$B127)=0),"drop_id not on drops; ",""))</f>
        <v/>
      </c>
    </row>
    <row r="128">
      <c r="A128" s="9" t="n"/>
      <c r="E128" s="10" t="n"/>
      <c r="G128" s="25">
        <f>IF($A128="","",IF(ISNA(MATCH($D128,{"brand_sales","office_coordination","receiving_kitting","drop_day","checks_pickup","reporting_debriefs","admin_invoicing"},0)),"activity must be one of the seven keys; ","")&amp;IF(OR(N($E128)&lt;=0,N($E128)&gt;16),"hours?; ","")&amp;IF(AND($C128&lt;&gt;"",$B128=""),"campaign without drop_id; ","")&amp;IF(AND($B128&lt;&gt;"",COUNTIF(drops!$A$2:$A$21,$B128)=0),"drop_id not on drops; ",""))</f>
        <v/>
      </c>
    </row>
    <row r="129">
      <c r="A129" s="9" t="n"/>
      <c r="E129" s="10" t="n"/>
      <c r="G129" s="25">
        <f>IF($A129="","",IF(ISNA(MATCH($D129,{"brand_sales","office_coordination","receiving_kitting","drop_day","checks_pickup","reporting_debriefs","admin_invoicing"},0)),"activity must be one of the seven keys; ","")&amp;IF(OR(N($E129)&lt;=0,N($E129)&gt;16),"hours?; ","")&amp;IF(AND($C129&lt;&gt;"",$B129=""),"campaign without drop_id; ","")&amp;IF(AND($B129&lt;&gt;"",COUNTIF(drops!$A$2:$A$21,$B129)=0),"drop_id not on drops; ",""))</f>
        <v/>
      </c>
    </row>
    <row r="130">
      <c r="A130" s="9" t="n"/>
      <c r="E130" s="10" t="n"/>
      <c r="G130" s="25">
        <f>IF($A130="","",IF(ISNA(MATCH($D130,{"brand_sales","office_coordination","receiving_kitting","drop_day","checks_pickup","reporting_debriefs","admin_invoicing"},0)),"activity must be one of the seven keys; ","")&amp;IF(OR(N($E130)&lt;=0,N($E130)&gt;16),"hours?; ","")&amp;IF(AND($C130&lt;&gt;"",$B130=""),"campaign without drop_id; ","")&amp;IF(AND($B130&lt;&gt;"",COUNTIF(drops!$A$2:$A$21,$B130)=0),"drop_id not on drops; ",""))</f>
        <v/>
      </c>
    </row>
    <row r="131">
      <c r="A131" s="9" t="n"/>
      <c r="E131" s="10" t="n"/>
      <c r="G131" s="25">
        <f>IF($A131="","",IF(ISNA(MATCH($D131,{"brand_sales","office_coordination","receiving_kitting","drop_day","checks_pickup","reporting_debriefs","admin_invoicing"},0)),"activity must be one of the seven keys; ","")&amp;IF(OR(N($E131)&lt;=0,N($E131)&gt;16),"hours?; ","")&amp;IF(AND($C131&lt;&gt;"",$B131=""),"campaign without drop_id; ","")&amp;IF(AND($B131&lt;&gt;"",COUNTIF(drops!$A$2:$A$21,$B131)=0),"drop_id not on drops; ",""))</f>
        <v/>
      </c>
    </row>
    <row r="132">
      <c r="A132" s="9" t="n"/>
      <c r="E132" s="10" t="n"/>
      <c r="G132" s="25">
        <f>IF($A132="","",IF(ISNA(MATCH($D132,{"brand_sales","office_coordination","receiving_kitting","drop_day","checks_pickup","reporting_debriefs","admin_invoicing"},0)),"activity must be one of the seven keys; ","")&amp;IF(OR(N($E132)&lt;=0,N($E132)&gt;16),"hours?; ","")&amp;IF(AND($C132&lt;&gt;"",$B132=""),"campaign without drop_id; ","")&amp;IF(AND($B132&lt;&gt;"",COUNTIF(drops!$A$2:$A$21,$B132)=0),"drop_id not on drops; ",""))</f>
        <v/>
      </c>
    </row>
    <row r="133">
      <c r="A133" s="9" t="n"/>
      <c r="E133" s="10" t="n"/>
      <c r="G133" s="25">
        <f>IF($A133="","",IF(ISNA(MATCH($D133,{"brand_sales","office_coordination","receiving_kitting","drop_day","checks_pickup","reporting_debriefs","admin_invoicing"},0)),"activity must be one of the seven keys; ","")&amp;IF(OR(N($E133)&lt;=0,N($E133)&gt;16),"hours?; ","")&amp;IF(AND($C133&lt;&gt;"",$B133=""),"campaign without drop_id; ","")&amp;IF(AND($B133&lt;&gt;"",COUNTIF(drops!$A$2:$A$21,$B133)=0),"drop_id not on drops; ",""))</f>
        <v/>
      </c>
    </row>
    <row r="134">
      <c r="A134" s="9" t="n"/>
      <c r="E134" s="10" t="n"/>
      <c r="G134" s="25">
        <f>IF($A134="","",IF(ISNA(MATCH($D134,{"brand_sales","office_coordination","receiving_kitting","drop_day","checks_pickup","reporting_debriefs","admin_invoicing"},0)),"activity must be one of the seven keys; ","")&amp;IF(OR(N($E134)&lt;=0,N($E134)&gt;16),"hours?; ","")&amp;IF(AND($C134&lt;&gt;"",$B134=""),"campaign without drop_id; ","")&amp;IF(AND($B134&lt;&gt;"",COUNTIF(drops!$A$2:$A$21,$B134)=0),"drop_id not on drops; ",""))</f>
        <v/>
      </c>
    </row>
    <row r="135">
      <c r="A135" s="9" t="n"/>
      <c r="E135" s="10" t="n"/>
      <c r="G135" s="25">
        <f>IF($A135="","",IF(ISNA(MATCH($D135,{"brand_sales","office_coordination","receiving_kitting","drop_day","checks_pickup","reporting_debriefs","admin_invoicing"},0)),"activity must be one of the seven keys; ","")&amp;IF(OR(N($E135)&lt;=0,N($E135)&gt;16),"hours?; ","")&amp;IF(AND($C135&lt;&gt;"",$B135=""),"campaign without drop_id; ","")&amp;IF(AND($B135&lt;&gt;"",COUNTIF(drops!$A$2:$A$21,$B135)=0),"drop_id not on drops; ",""))</f>
        <v/>
      </c>
    </row>
    <row r="136">
      <c r="A136" s="9" t="n"/>
      <c r="E136" s="10" t="n"/>
      <c r="G136" s="25">
        <f>IF($A136="","",IF(ISNA(MATCH($D136,{"brand_sales","office_coordination","receiving_kitting","drop_day","checks_pickup","reporting_debriefs","admin_invoicing"},0)),"activity must be one of the seven keys; ","")&amp;IF(OR(N($E136)&lt;=0,N($E136)&gt;16),"hours?; ","")&amp;IF(AND($C136&lt;&gt;"",$B136=""),"campaign without drop_id; ","")&amp;IF(AND($B136&lt;&gt;"",COUNTIF(drops!$A$2:$A$21,$B136)=0),"drop_id not on drops; ",""))</f>
        <v/>
      </c>
    </row>
    <row r="137">
      <c r="A137" s="9" t="n"/>
      <c r="E137" s="10" t="n"/>
      <c r="G137" s="25">
        <f>IF($A137="","",IF(ISNA(MATCH($D137,{"brand_sales","office_coordination","receiving_kitting","drop_day","checks_pickup","reporting_debriefs","admin_invoicing"},0)),"activity must be one of the seven keys; ","")&amp;IF(OR(N($E137)&lt;=0,N($E137)&gt;16),"hours?; ","")&amp;IF(AND($C137&lt;&gt;"",$B137=""),"campaign without drop_id; ","")&amp;IF(AND($B137&lt;&gt;"",COUNTIF(drops!$A$2:$A$21,$B137)=0),"drop_id not on drops; ",""))</f>
        <v/>
      </c>
    </row>
    <row r="138">
      <c r="A138" s="9" t="n"/>
      <c r="E138" s="10" t="n"/>
      <c r="G138" s="25">
        <f>IF($A138="","",IF(ISNA(MATCH($D138,{"brand_sales","office_coordination","receiving_kitting","drop_day","checks_pickup","reporting_debriefs","admin_invoicing"},0)),"activity must be one of the seven keys; ","")&amp;IF(OR(N($E138)&lt;=0,N($E138)&gt;16),"hours?; ","")&amp;IF(AND($C138&lt;&gt;"",$B138=""),"campaign without drop_id; ","")&amp;IF(AND($B138&lt;&gt;"",COUNTIF(drops!$A$2:$A$21,$B138)=0),"drop_id not on drops; ",""))</f>
        <v/>
      </c>
    </row>
    <row r="139">
      <c r="A139" s="9" t="n"/>
      <c r="E139" s="10" t="n"/>
      <c r="G139" s="25">
        <f>IF($A139="","",IF(ISNA(MATCH($D139,{"brand_sales","office_coordination","receiving_kitting","drop_day","checks_pickup","reporting_debriefs","admin_invoicing"},0)),"activity must be one of the seven keys; ","")&amp;IF(OR(N($E139)&lt;=0,N($E139)&gt;16),"hours?; ","")&amp;IF(AND($C139&lt;&gt;"",$B139=""),"campaign without drop_id; ","")&amp;IF(AND($B139&lt;&gt;"",COUNTIF(drops!$A$2:$A$21,$B139)=0),"drop_id not on drops; ",""))</f>
        <v/>
      </c>
    </row>
    <row r="140">
      <c r="A140" s="9" t="n"/>
      <c r="E140" s="10" t="n"/>
      <c r="G140" s="25">
        <f>IF($A140="","",IF(ISNA(MATCH($D140,{"brand_sales","office_coordination","receiving_kitting","drop_day","checks_pickup","reporting_debriefs","admin_invoicing"},0)),"activity must be one of the seven keys; ","")&amp;IF(OR(N($E140)&lt;=0,N($E140)&gt;16),"hours?; ","")&amp;IF(AND($C140&lt;&gt;"",$B140=""),"campaign without drop_id; ","")&amp;IF(AND($B140&lt;&gt;"",COUNTIF(drops!$A$2:$A$21,$B140)=0),"drop_id not on drops; ",""))</f>
        <v/>
      </c>
    </row>
    <row r="141">
      <c r="A141" s="9" t="n"/>
      <c r="E141" s="10" t="n"/>
      <c r="G141" s="25">
        <f>IF($A141="","",IF(ISNA(MATCH($D141,{"brand_sales","office_coordination","receiving_kitting","drop_day","checks_pickup","reporting_debriefs","admin_invoicing"},0)),"activity must be one of the seven keys; ","")&amp;IF(OR(N($E141)&lt;=0,N($E141)&gt;16),"hours?; ","")&amp;IF(AND($C141&lt;&gt;"",$B141=""),"campaign without drop_id; ","")&amp;IF(AND($B141&lt;&gt;"",COUNTIF(drops!$A$2:$A$21,$B141)=0),"drop_id not on drops; ",""))</f>
        <v/>
      </c>
    </row>
    <row r="142">
      <c r="A142" s="9" t="n"/>
      <c r="E142" s="10" t="n"/>
      <c r="G142" s="25">
        <f>IF($A142="","",IF(ISNA(MATCH($D142,{"brand_sales","office_coordination","receiving_kitting","drop_day","checks_pickup","reporting_debriefs","admin_invoicing"},0)),"activity must be one of the seven keys; ","")&amp;IF(OR(N($E142)&lt;=0,N($E142)&gt;16),"hours?; ","")&amp;IF(AND($C142&lt;&gt;"",$B142=""),"campaign without drop_id; ","")&amp;IF(AND($B142&lt;&gt;"",COUNTIF(drops!$A$2:$A$21,$B142)=0),"drop_id not on drops; ",""))</f>
        <v/>
      </c>
    </row>
    <row r="143">
      <c r="A143" s="9" t="n"/>
      <c r="E143" s="10" t="n"/>
      <c r="G143" s="25">
        <f>IF($A143="","",IF(ISNA(MATCH($D143,{"brand_sales","office_coordination","receiving_kitting","drop_day","checks_pickup","reporting_debriefs","admin_invoicing"},0)),"activity must be one of the seven keys; ","")&amp;IF(OR(N($E143)&lt;=0,N($E143)&gt;16),"hours?; ","")&amp;IF(AND($C143&lt;&gt;"",$B143=""),"campaign without drop_id; ","")&amp;IF(AND($B143&lt;&gt;"",COUNTIF(drops!$A$2:$A$21,$B143)=0),"drop_id not on drops; ",""))</f>
        <v/>
      </c>
    </row>
    <row r="144">
      <c r="A144" s="9" t="n"/>
      <c r="E144" s="10" t="n"/>
      <c r="G144" s="25">
        <f>IF($A144="","",IF(ISNA(MATCH($D144,{"brand_sales","office_coordination","receiving_kitting","drop_day","checks_pickup","reporting_debriefs","admin_invoicing"},0)),"activity must be one of the seven keys; ","")&amp;IF(OR(N($E144)&lt;=0,N($E144)&gt;16),"hours?; ","")&amp;IF(AND($C144&lt;&gt;"",$B144=""),"campaign without drop_id; ","")&amp;IF(AND($B144&lt;&gt;"",COUNTIF(drops!$A$2:$A$21,$B144)=0),"drop_id not on drops; ",""))</f>
        <v/>
      </c>
    </row>
    <row r="145">
      <c r="A145" s="9" t="n"/>
      <c r="E145" s="10" t="n"/>
      <c r="G145" s="25">
        <f>IF($A145="","",IF(ISNA(MATCH($D145,{"brand_sales","office_coordination","receiving_kitting","drop_day","checks_pickup","reporting_debriefs","admin_invoicing"},0)),"activity must be one of the seven keys; ","")&amp;IF(OR(N($E145)&lt;=0,N($E145)&gt;16),"hours?; ","")&amp;IF(AND($C145&lt;&gt;"",$B145=""),"campaign without drop_id; ","")&amp;IF(AND($B145&lt;&gt;"",COUNTIF(drops!$A$2:$A$21,$B145)=0),"drop_id not on drops; ",""))</f>
        <v/>
      </c>
    </row>
    <row r="146">
      <c r="A146" s="9" t="n"/>
      <c r="E146" s="10" t="n"/>
      <c r="G146" s="25">
        <f>IF($A146="","",IF(ISNA(MATCH($D146,{"brand_sales","office_coordination","receiving_kitting","drop_day","checks_pickup","reporting_debriefs","admin_invoicing"},0)),"activity must be one of the seven keys; ","")&amp;IF(OR(N($E146)&lt;=0,N($E146)&gt;16),"hours?; ","")&amp;IF(AND($C146&lt;&gt;"",$B146=""),"campaign without drop_id; ","")&amp;IF(AND($B146&lt;&gt;"",COUNTIF(drops!$A$2:$A$21,$B146)=0),"drop_id not on drops; ",""))</f>
        <v/>
      </c>
    </row>
    <row r="147">
      <c r="A147" s="9" t="n"/>
      <c r="E147" s="10" t="n"/>
      <c r="G147" s="25">
        <f>IF($A147="","",IF(ISNA(MATCH($D147,{"brand_sales","office_coordination","receiving_kitting","drop_day","checks_pickup","reporting_debriefs","admin_invoicing"},0)),"activity must be one of the seven keys; ","")&amp;IF(OR(N($E147)&lt;=0,N($E147)&gt;16),"hours?; ","")&amp;IF(AND($C147&lt;&gt;"",$B147=""),"campaign without drop_id; ","")&amp;IF(AND($B147&lt;&gt;"",COUNTIF(drops!$A$2:$A$21,$B147)=0),"drop_id not on drops; ",""))</f>
        <v/>
      </c>
    </row>
    <row r="148">
      <c r="A148" s="9" t="n"/>
      <c r="E148" s="10" t="n"/>
      <c r="G148" s="25">
        <f>IF($A148="","",IF(ISNA(MATCH($D148,{"brand_sales","office_coordination","receiving_kitting","drop_day","checks_pickup","reporting_debriefs","admin_invoicing"},0)),"activity must be one of the seven keys; ","")&amp;IF(OR(N($E148)&lt;=0,N($E148)&gt;16),"hours?; ","")&amp;IF(AND($C148&lt;&gt;"",$B148=""),"campaign without drop_id; ","")&amp;IF(AND($B148&lt;&gt;"",COUNTIF(drops!$A$2:$A$21,$B148)=0),"drop_id not on drops; ",""))</f>
        <v/>
      </c>
    </row>
    <row r="149">
      <c r="A149" s="9" t="n"/>
      <c r="E149" s="10" t="n"/>
      <c r="G149" s="25">
        <f>IF($A149="","",IF(ISNA(MATCH($D149,{"brand_sales","office_coordination","receiving_kitting","drop_day","checks_pickup","reporting_debriefs","admin_invoicing"},0)),"activity must be one of the seven keys; ","")&amp;IF(OR(N($E149)&lt;=0,N($E149)&gt;16),"hours?; ","")&amp;IF(AND($C149&lt;&gt;"",$B149=""),"campaign without drop_id; ","")&amp;IF(AND($B149&lt;&gt;"",COUNTIF(drops!$A$2:$A$21,$B149)=0),"drop_id not on drops; ",""))</f>
        <v/>
      </c>
    </row>
    <row r="150">
      <c r="A150" s="9" t="n"/>
      <c r="E150" s="10" t="n"/>
      <c r="G150" s="25">
        <f>IF($A150="","",IF(ISNA(MATCH($D150,{"brand_sales","office_coordination","receiving_kitting","drop_day","checks_pickup","reporting_debriefs","admin_invoicing"},0)),"activity must be one of the seven keys; ","")&amp;IF(OR(N($E150)&lt;=0,N($E150)&gt;16),"hours?; ","")&amp;IF(AND($C150&lt;&gt;"",$B150=""),"campaign without drop_id; ","")&amp;IF(AND($B150&lt;&gt;"",COUNTIF(drops!$A$2:$A$21,$B150)=0),"drop_id not on drops; ",""))</f>
        <v/>
      </c>
    </row>
    <row r="151">
      <c r="A151" s="9" t="n"/>
      <c r="E151" s="10" t="n"/>
      <c r="G151" s="25">
        <f>IF($A151="","",IF(ISNA(MATCH($D151,{"brand_sales","office_coordination","receiving_kitting","drop_day","checks_pickup","reporting_debriefs","admin_invoicing"},0)),"activity must be one of the seven keys; ","")&amp;IF(OR(N($E151)&lt;=0,N($E151)&gt;16),"hours?; ","")&amp;IF(AND($C151&lt;&gt;"",$B151=""),"campaign without drop_id; ","")&amp;IF(AND($B151&lt;&gt;"",COUNTIF(drops!$A$2:$A$21,$B151)=0),"drop_id not on drops; ",""))</f>
        <v/>
      </c>
    </row>
    <row r="152">
      <c r="A152" s="9" t="n"/>
      <c r="E152" s="10" t="n"/>
      <c r="G152" s="25">
        <f>IF($A152="","",IF(ISNA(MATCH($D152,{"brand_sales","office_coordination","receiving_kitting","drop_day","checks_pickup","reporting_debriefs","admin_invoicing"},0)),"activity must be one of the seven keys; ","")&amp;IF(OR(N($E152)&lt;=0,N($E152)&gt;16),"hours?; ","")&amp;IF(AND($C152&lt;&gt;"",$B152=""),"campaign without drop_id; ","")&amp;IF(AND($B152&lt;&gt;"",COUNTIF(drops!$A$2:$A$21,$B152)=0),"drop_id not on drops; ",""))</f>
        <v/>
      </c>
    </row>
    <row r="153">
      <c r="A153" s="9" t="n"/>
      <c r="E153" s="10" t="n"/>
      <c r="G153" s="25">
        <f>IF($A153="","",IF(ISNA(MATCH($D153,{"brand_sales","office_coordination","receiving_kitting","drop_day","checks_pickup","reporting_debriefs","admin_invoicing"},0)),"activity must be one of the seven keys; ","")&amp;IF(OR(N($E153)&lt;=0,N($E153)&gt;16),"hours?; ","")&amp;IF(AND($C153&lt;&gt;"",$B153=""),"campaign without drop_id; ","")&amp;IF(AND($B153&lt;&gt;"",COUNTIF(drops!$A$2:$A$21,$B153)=0),"drop_id not on drops; ",""))</f>
        <v/>
      </c>
    </row>
    <row r="154">
      <c r="A154" s="9" t="n"/>
      <c r="E154" s="10" t="n"/>
      <c r="G154" s="25">
        <f>IF($A154="","",IF(ISNA(MATCH($D154,{"brand_sales","office_coordination","receiving_kitting","drop_day","checks_pickup","reporting_debriefs","admin_invoicing"},0)),"activity must be one of the seven keys; ","")&amp;IF(OR(N($E154)&lt;=0,N($E154)&gt;16),"hours?; ","")&amp;IF(AND($C154&lt;&gt;"",$B154=""),"campaign without drop_id; ","")&amp;IF(AND($B154&lt;&gt;"",COUNTIF(drops!$A$2:$A$21,$B154)=0),"drop_id not on drops; ",""))</f>
        <v/>
      </c>
    </row>
    <row r="155">
      <c r="A155" s="9" t="n"/>
      <c r="E155" s="10" t="n"/>
      <c r="G155" s="25">
        <f>IF($A155="","",IF(ISNA(MATCH($D155,{"brand_sales","office_coordination","receiving_kitting","drop_day","checks_pickup","reporting_debriefs","admin_invoicing"},0)),"activity must be one of the seven keys; ","")&amp;IF(OR(N($E155)&lt;=0,N($E155)&gt;16),"hours?; ","")&amp;IF(AND($C155&lt;&gt;"",$B155=""),"campaign without drop_id; ","")&amp;IF(AND($B155&lt;&gt;"",COUNTIF(drops!$A$2:$A$21,$B155)=0),"drop_id not on drops; ",""))</f>
        <v/>
      </c>
    </row>
    <row r="156">
      <c r="A156" s="9" t="n"/>
      <c r="E156" s="10" t="n"/>
      <c r="G156" s="25">
        <f>IF($A156="","",IF(ISNA(MATCH($D156,{"brand_sales","office_coordination","receiving_kitting","drop_day","checks_pickup","reporting_debriefs","admin_invoicing"},0)),"activity must be one of the seven keys; ","")&amp;IF(OR(N($E156)&lt;=0,N($E156)&gt;16),"hours?; ","")&amp;IF(AND($C156&lt;&gt;"",$B156=""),"campaign without drop_id; ","")&amp;IF(AND($B156&lt;&gt;"",COUNTIF(drops!$A$2:$A$21,$B156)=0),"drop_id not on drops; ",""))</f>
        <v/>
      </c>
    </row>
    <row r="157">
      <c r="A157" s="9" t="n"/>
      <c r="E157" s="10" t="n"/>
      <c r="G157" s="25">
        <f>IF($A157="","",IF(ISNA(MATCH($D157,{"brand_sales","office_coordination","receiving_kitting","drop_day","checks_pickup","reporting_debriefs","admin_invoicing"},0)),"activity must be one of the seven keys; ","")&amp;IF(OR(N($E157)&lt;=0,N($E157)&gt;16),"hours?; ","")&amp;IF(AND($C157&lt;&gt;"",$B157=""),"campaign without drop_id; ","")&amp;IF(AND($B157&lt;&gt;"",COUNTIF(drops!$A$2:$A$21,$B157)=0),"drop_id not on drops; ",""))</f>
        <v/>
      </c>
    </row>
    <row r="158">
      <c r="A158" s="9" t="n"/>
      <c r="E158" s="10" t="n"/>
      <c r="G158" s="25">
        <f>IF($A158="","",IF(ISNA(MATCH($D158,{"brand_sales","office_coordination","receiving_kitting","drop_day","checks_pickup","reporting_debriefs","admin_invoicing"},0)),"activity must be one of the seven keys; ","")&amp;IF(OR(N($E158)&lt;=0,N($E158)&gt;16),"hours?; ","")&amp;IF(AND($C158&lt;&gt;"",$B158=""),"campaign without drop_id; ","")&amp;IF(AND($B158&lt;&gt;"",COUNTIF(drops!$A$2:$A$21,$B158)=0),"drop_id not on drops; ",""))</f>
        <v/>
      </c>
    </row>
    <row r="159">
      <c r="A159" s="9" t="n"/>
      <c r="E159" s="10" t="n"/>
      <c r="G159" s="25">
        <f>IF($A159="","",IF(ISNA(MATCH($D159,{"brand_sales","office_coordination","receiving_kitting","drop_day","checks_pickup","reporting_debriefs","admin_invoicing"},0)),"activity must be one of the seven keys; ","")&amp;IF(OR(N($E159)&lt;=0,N($E159)&gt;16),"hours?; ","")&amp;IF(AND($C159&lt;&gt;"",$B159=""),"campaign without drop_id; ","")&amp;IF(AND($B159&lt;&gt;"",COUNTIF(drops!$A$2:$A$21,$B159)=0),"drop_id not on drops; ",""))</f>
        <v/>
      </c>
    </row>
    <row r="160">
      <c r="A160" s="9" t="n"/>
      <c r="E160" s="10" t="n"/>
      <c r="G160" s="25">
        <f>IF($A160="","",IF(ISNA(MATCH($D160,{"brand_sales","office_coordination","receiving_kitting","drop_day","checks_pickup","reporting_debriefs","admin_invoicing"},0)),"activity must be one of the seven keys; ","")&amp;IF(OR(N($E160)&lt;=0,N($E160)&gt;16),"hours?; ","")&amp;IF(AND($C160&lt;&gt;"",$B160=""),"campaign without drop_id; ","")&amp;IF(AND($B160&lt;&gt;"",COUNTIF(drops!$A$2:$A$21,$B160)=0),"drop_id not on drops; ",""))</f>
        <v/>
      </c>
    </row>
    <row r="161">
      <c r="A161" s="9" t="n"/>
      <c r="E161" s="10" t="n"/>
      <c r="G161" s="25">
        <f>IF($A161="","",IF(ISNA(MATCH($D161,{"brand_sales","office_coordination","receiving_kitting","drop_day","checks_pickup","reporting_debriefs","admin_invoicing"},0)),"activity must be one of the seven keys; ","")&amp;IF(OR(N($E161)&lt;=0,N($E161)&gt;16),"hours?; ","")&amp;IF(AND($C161&lt;&gt;"",$B161=""),"campaign without drop_id; ","")&amp;IF(AND($B161&lt;&gt;"",COUNTIF(drops!$A$2:$A$21,$B161)=0),"drop_id not on drops; ",""))</f>
        <v/>
      </c>
    </row>
    <row r="162">
      <c r="A162" s="9" t="n"/>
      <c r="E162" s="10" t="n"/>
      <c r="G162" s="25">
        <f>IF($A162="","",IF(ISNA(MATCH($D162,{"brand_sales","office_coordination","receiving_kitting","drop_day","checks_pickup","reporting_debriefs","admin_invoicing"},0)),"activity must be one of the seven keys; ","")&amp;IF(OR(N($E162)&lt;=0,N($E162)&gt;16),"hours?; ","")&amp;IF(AND($C162&lt;&gt;"",$B162=""),"campaign without drop_id; ","")&amp;IF(AND($B162&lt;&gt;"",COUNTIF(drops!$A$2:$A$21,$B162)=0),"drop_id not on drops; ",""))</f>
        <v/>
      </c>
    </row>
    <row r="163">
      <c r="A163" s="9" t="n"/>
      <c r="E163" s="10" t="n"/>
      <c r="G163" s="25">
        <f>IF($A163="","",IF(ISNA(MATCH($D163,{"brand_sales","office_coordination","receiving_kitting","drop_day","checks_pickup","reporting_debriefs","admin_invoicing"},0)),"activity must be one of the seven keys; ","")&amp;IF(OR(N($E163)&lt;=0,N($E163)&gt;16),"hours?; ","")&amp;IF(AND($C163&lt;&gt;"",$B163=""),"campaign without drop_id; ","")&amp;IF(AND($B163&lt;&gt;"",COUNTIF(drops!$A$2:$A$21,$B163)=0),"drop_id not on drops; ",""))</f>
        <v/>
      </c>
    </row>
    <row r="164">
      <c r="A164" s="9" t="n"/>
      <c r="E164" s="10" t="n"/>
      <c r="G164" s="25">
        <f>IF($A164="","",IF(ISNA(MATCH($D164,{"brand_sales","office_coordination","receiving_kitting","drop_day","checks_pickup","reporting_debriefs","admin_invoicing"},0)),"activity must be one of the seven keys; ","")&amp;IF(OR(N($E164)&lt;=0,N($E164)&gt;16),"hours?; ","")&amp;IF(AND($C164&lt;&gt;"",$B164=""),"campaign without drop_id; ","")&amp;IF(AND($B164&lt;&gt;"",COUNTIF(drops!$A$2:$A$21,$B164)=0),"drop_id not on drops; ",""))</f>
        <v/>
      </c>
    </row>
    <row r="165">
      <c r="A165" s="9" t="n"/>
      <c r="E165" s="10" t="n"/>
      <c r="G165" s="25">
        <f>IF($A165="","",IF(ISNA(MATCH($D165,{"brand_sales","office_coordination","receiving_kitting","drop_day","checks_pickup","reporting_debriefs","admin_invoicing"},0)),"activity must be one of the seven keys; ","")&amp;IF(OR(N($E165)&lt;=0,N($E165)&gt;16),"hours?; ","")&amp;IF(AND($C165&lt;&gt;"",$B165=""),"campaign without drop_id; ","")&amp;IF(AND($B165&lt;&gt;"",COUNTIF(drops!$A$2:$A$21,$B165)=0),"drop_id not on drops; ",""))</f>
        <v/>
      </c>
    </row>
    <row r="166">
      <c r="A166" s="9" t="n"/>
      <c r="E166" s="10" t="n"/>
      <c r="G166" s="25">
        <f>IF($A166="","",IF(ISNA(MATCH($D166,{"brand_sales","office_coordination","receiving_kitting","drop_day","checks_pickup","reporting_debriefs","admin_invoicing"},0)),"activity must be one of the seven keys; ","")&amp;IF(OR(N($E166)&lt;=0,N($E166)&gt;16),"hours?; ","")&amp;IF(AND($C166&lt;&gt;"",$B166=""),"campaign without drop_id; ","")&amp;IF(AND($B166&lt;&gt;"",COUNTIF(drops!$A$2:$A$21,$B166)=0),"drop_id not on drops; ",""))</f>
        <v/>
      </c>
    </row>
    <row r="167">
      <c r="A167" s="9" t="n"/>
      <c r="E167" s="10" t="n"/>
      <c r="G167" s="25">
        <f>IF($A167="","",IF(ISNA(MATCH($D167,{"brand_sales","office_coordination","receiving_kitting","drop_day","checks_pickup","reporting_debriefs","admin_invoicing"},0)),"activity must be one of the seven keys; ","")&amp;IF(OR(N($E167)&lt;=0,N($E167)&gt;16),"hours?; ","")&amp;IF(AND($C167&lt;&gt;"",$B167=""),"campaign without drop_id; ","")&amp;IF(AND($B167&lt;&gt;"",COUNTIF(drops!$A$2:$A$21,$B167)=0),"drop_id not on drops; ",""))</f>
        <v/>
      </c>
    </row>
    <row r="168">
      <c r="A168" s="9" t="n"/>
      <c r="E168" s="10" t="n"/>
      <c r="G168" s="25">
        <f>IF($A168="","",IF(ISNA(MATCH($D168,{"brand_sales","office_coordination","receiving_kitting","drop_day","checks_pickup","reporting_debriefs","admin_invoicing"},0)),"activity must be one of the seven keys; ","")&amp;IF(OR(N($E168)&lt;=0,N($E168)&gt;16),"hours?; ","")&amp;IF(AND($C168&lt;&gt;"",$B168=""),"campaign without drop_id; ","")&amp;IF(AND($B168&lt;&gt;"",COUNTIF(drops!$A$2:$A$21,$B168)=0),"drop_id not on drops; ",""))</f>
        <v/>
      </c>
    </row>
    <row r="169">
      <c r="A169" s="9" t="n"/>
      <c r="E169" s="10" t="n"/>
      <c r="G169" s="25">
        <f>IF($A169="","",IF(ISNA(MATCH($D169,{"brand_sales","office_coordination","receiving_kitting","drop_day","checks_pickup","reporting_debriefs","admin_invoicing"},0)),"activity must be one of the seven keys; ","")&amp;IF(OR(N($E169)&lt;=0,N($E169)&gt;16),"hours?; ","")&amp;IF(AND($C169&lt;&gt;"",$B169=""),"campaign without drop_id; ","")&amp;IF(AND($B169&lt;&gt;"",COUNTIF(drops!$A$2:$A$21,$B169)=0),"drop_id not on drops; ",""))</f>
        <v/>
      </c>
    </row>
    <row r="170">
      <c r="A170" s="9" t="n"/>
      <c r="E170" s="10" t="n"/>
      <c r="G170" s="25">
        <f>IF($A170="","",IF(ISNA(MATCH($D170,{"brand_sales","office_coordination","receiving_kitting","drop_day","checks_pickup","reporting_debriefs","admin_invoicing"},0)),"activity must be one of the seven keys; ","")&amp;IF(OR(N($E170)&lt;=0,N($E170)&gt;16),"hours?; ","")&amp;IF(AND($C170&lt;&gt;"",$B170=""),"campaign without drop_id; ","")&amp;IF(AND($B170&lt;&gt;"",COUNTIF(drops!$A$2:$A$21,$B170)=0),"drop_id not on drops; ",""))</f>
        <v/>
      </c>
    </row>
    <row r="171">
      <c r="A171" s="9" t="n"/>
      <c r="E171" s="10" t="n"/>
      <c r="G171" s="25">
        <f>IF($A171="","",IF(ISNA(MATCH($D171,{"brand_sales","office_coordination","receiving_kitting","drop_day","checks_pickup","reporting_debriefs","admin_invoicing"},0)),"activity must be one of the seven keys; ","")&amp;IF(OR(N($E171)&lt;=0,N($E171)&gt;16),"hours?; ","")&amp;IF(AND($C171&lt;&gt;"",$B171=""),"campaign without drop_id; ","")&amp;IF(AND($B171&lt;&gt;"",COUNTIF(drops!$A$2:$A$21,$B171)=0),"drop_id not on drops; ",""))</f>
        <v/>
      </c>
    </row>
    <row r="172">
      <c r="A172" s="9" t="n"/>
      <c r="E172" s="10" t="n"/>
      <c r="G172" s="25">
        <f>IF($A172="","",IF(ISNA(MATCH($D172,{"brand_sales","office_coordination","receiving_kitting","drop_day","checks_pickup","reporting_debriefs","admin_invoicing"},0)),"activity must be one of the seven keys; ","")&amp;IF(OR(N($E172)&lt;=0,N($E172)&gt;16),"hours?; ","")&amp;IF(AND($C172&lt;&gt;"",$B172=""),"campaign without drop_id; ","")&amp;IF(AND($B172&lt;&gt;"",COUNTIF(drops!$A$2:$A$21,$B172)=0),"drop_id not on drops; ",""))</f>
        <v/>
      </c>
    </row>
    <row r="173">
      <c r="A173" s="9" t="n"/>
      <c r="E173" s="10" t="n"/>
      <c r="G173" s="25">
        <f>IF($A173="","",IF(ISNA(MATCH($D173,{"brand_sales","office_coordination","receiving_kitting","drop_day","checks_pickup","reporting_debriefs","admin_invoicing"},0)),"activity must be one of the seven keys; ","")&amp;IF(OR(N($E173)&lt;=0,N($E173)&gt;16),"hours?; ","")&amp;IF(AND($C173&lt;&gt;"",$B173=""),"campaign without drop_id; ","")&amp;IF(AND($B173&lt;&gt;"",COUNTIF(drops!$A$2:$A$21,$B173)=0),"drop_id not on drops; ",""))</f>
        <v/>
      </c>
    </row>
    <row r="174">
      <c r="A174" s="9" t="n"/>
      <c r="E174" s="10" t="n"/>
      <c r="G174" s="25">
        <f>IF($A174="","",IF(ISNA(MATCH($D174,{"brand_sales","office_coordination","receiving_kitting","drop_day","checks_pickup","reporting_debriefs","admin_invoicing"},0)),"activity must be one of the seven keys; ","")&amp;IF(OR(N($E174)&lt;=0,N($E174)&gt;16),"hours?; ","")&amp;IF(AND($C174&lt;&gt;"",$B174=""),"campaign without drop_id; ","")&amp;IF(AND($B174&lt;&gt;"",COUNTIF(drops!$A$2:$A$21,$B174)=0),"drop_id not on drops; ",""))</f>
        <v/>
      </c>
    </row>
    <row r="175">
      <c r="A175" s="9" t="n"/>
      <c r="E175" s="10" t="n"/>
      <c r="G175" s="25">
        <f>IF($A175="","",IF(ISNA(MATCH($D175,{"brand_sales","office_coordination","receiving_kitting","drop_day","checks_pickup","reporting_debriefs","admin_invoicing"},0)),"activity must be one of the seven keys; ","")&amp;IF(OR(N($E175)&lt;=0,N($E175)&gt;16),"hours?; ","")&amp;IF(AND($C175&lt;&gt;"",$B175=""),"campaign without drop_id; ","")&amp;IF(AND($B175&lt;&gt;"",COUNTIF(drops!$A$2:$A$21,$B175)=0),"drop_id not on drops; ",""))</f>
        <v/>
      </c>
    </row>
    <row r="176">
      <c r="A176" s="9" t="n"/>
      <c r="E176" s="10" t="n"/>
      <c r="G176" s="25">
        <f>IF($A176="","",IF(ISNA(MATCH($D176,{"brand_sales","office_coordination","receiving_kitting","drop_day","checks_pickup","reporting_debriefs","admin_invoicing"},0)),"activity must be one of the seven keys; ","")&amp;IF(OR(N($E176)&lt;=0,N($E176)&gt;16),"hours?; ","")&amp;IF(AND($C176&lt;&gt;"",$B176=""),"campaign without drop_id; ","")&amp;IF(AND($B176&lt;&gt;"",COUNTIF(drops!$A$2:$A$21,$B176)=0),"drop_id not on drops; ",""))</f>
        <v/>
      </c>
    </row>
    <row r="177">
      <c r="A177" s="9" t="n"/>
      <c r="E177" s="10" t="n"/>
      <c r="G177" s="25">
        <f>IF($A177="","",IF(ISNA(MATCH($D177,{"brand_sales","office_coordination","receiving_kitting","drop_day","checks_pickup","reporting_debriefs","admin_invoicing"},0)),"activity must be one of the seven keys; ","")&amp;IF(OR(N($E177)&lt;=0,N($E177)&gt;16),"hours?; ","")&amp;IF(AND($C177&lt;&gt;"",$B177=""),"campaign without drop_id; ","")&amp;IF(AND($B177&lt;&gt;"",COUNTIF(drops!$A$2:$A$21,$B177)=0),"drop_id not on drops; ",""))</f>
        <v/>
      </c>
    </row>
    <row r="178">
      <c r="A178" s="9" t="n"/>
      <c r="E178" s="10" t="n"/>
      <c r="G178" s="25">
        <f>IF($A178="","",IF(ISNA(MATCH($D178,{"brand_sales","office_coordination","receiving_kitting","drop_day","checks_pickup","reporting_debriefs","admin_invoicing"},0)),"activity must be one of the seven keys; ","")&amp;IF(OR(N($E178)&lt;=0,N($E178)&gt;16),"hours?; ","")&amp;IF(AND($C178&lt;&gt;"",$B178=""),"campaign without drop_id; ","")&amp;IF(AND($B178&lt;&gt;"",COUNTIF(drops!$A$2:$A$21,$B178)=0),"drop_id not on drops; ",""))</f>
        <v/>
      </c>
    </row>
    <row r="179">
      <c r="A179" s="9" t="n"/>
      <c r="E179" s="10" t="n"/>
      <c r="G179" s="25">
        <f>IF($A179="","",IF(ISNA(MATCH($D179,{"brand_sales","office_coordination","receiving_kitting","drop_day","checks_pickup","reporting_debriefs","admin_invoicing"},0)),"activity must be one of the seven keys; ","")&amp;IF(OR(N($E179)&lt;=0,N($E179)&gt;16),"hours?; ","")&amp;IF(AND($C179&lt;&gt;"",$B179=""),"campaign without drop_id; ","")&amp;IF(AND($B179&lt;&gt;"",COUNTIF(drops!$A$2:$A$21,$B179)=0),"drop_id not on drops; ",""))</f>
        <v/>
      </c>
    </row>
    <row r="180">
      <c r="A180" s="9" t="n"/>
      <c r="E180" s="10" t="n"/>
      <c r="G180" s="25">
        <f>IF($A180="","",IF(ISNA(MATCH($D180,{"brand_sales","office_coordination","receiving_kitting","drop_day","checks_pickup","reporting_debriefs","admin_invoicing"},0)),"activity must be one of the seven keys; ","")&amp;IF(OR(N($E180)&lt;=0,N($E180)&gt;16),"hours?; ","")&amp;IF(AND($C180&lt;&gt;"",$B180=""),"campaign without drop_id; ","")&amp;IF(AND($B180&lt;&gt;"",COUNTIF(drops!$A$2:$A$21,$B180)=0),"drop_id not on drops; ",""))</f>
        <v/>
      </c>
    </row>
    <row r="181">
      <c r="A181" s="9" t="n"/>
      <c r="E181" s="10" t="n"/>
      <c r="G181" s="25">
        <f>IF($A181="","",IF(ISNA(MATCH($D181,{"brand_sales","office_coordination","receiving_kitting","drop_day","checks_pickup","reporting_debriefs","admin_invoicing"},0)),"activity must be one of the seven keys; ","")&amp;IF(OR(N($E181)&lt;=0,N($E181)&gt;16),"hours?; ","")&amp;IF(AND($C181&lt;&gt;"",$B181=""),"campaign without drop_id; ","")&amp;IF(AND($B181&lt;&gt;"",COUNTIF(drops!$A$2:$A$21,$B181)=0),"drop_id not on drops; ",""))</f>
        <v/>
      </c>
    </row>
    <row r="182">
      <c r="A182" s="9" t="n"/>
      <c r="E182" s="10" t="n"/>
      <c r="G182" s="25">
        <f>IF($A182="","",IF(ISNA(MATCH($D182,{"brand_sales","office_coordination","receiving_kitting","drop_day","checks_pickup","reporting_debriefs","admin_invoicing"},0)),"activity must be one of the seven keys; ","")&amp;IF(OR(N($E182)&lt;=0,N($E182)&gt;16),"hours?; ","")&amp;IF(AND($C182&lt;&gt;"",$B182=""),"campaign without drop_id; ","")&amp;IF(AND($B182&lt;&gt;"",COUNTIF(drops!$A$2:$A$21,$B182)=0),"drop_id not on drops; ",""))</f>
        <v/>
      </c>
    </row>
    <row r="183">
      <c r="A183" s="9" t="n"/>
      <c r="E183" s="10" t="n"/>
      <c r="G183" s="25">
        <f>IF($A183="","",IF(ISNA(MATCH($D183,{"brand_sales","office_coordination","receiving_kitting","drop_day","checks_pickup","reporting_debriefs","admin_invoicing"},0)),"activity must be one of the seven keys; ","")&amp;IF(OR(N($E183)&lt;=0,N($E183)&gt;16),"hours?; ","")&amp;IF(AND($C183&lt;&gt;"",$B183=""),"campaign without drop_id; ","")&amp;IF(AND($B183&lt;&gt;"",COUNTIF(drops!$A$2:$A$21,$B183)=0),"drop_id not on drops; ",""))</f>
        <v/>
      </c>
    </row>
    <row r="184">
      <c r="A184" s="9" t="n"/>
      <c r="E184" s="10" t="n"/>
      <c r="G184" s="25">
        <f>IF($A184="","",IF(ISNA(MATCH($D184,{"brand_sales","office_coordination","receiving_kitting","drop_day","checks_pickup","reporting_debriefs","admin_invoicing"},0)),"activity must be one of the seven keys; ","")&amp;IF(OR(N($E184)&lt;=0,N($E184)&gt;16),"hours?; ","")&amp;IF(AND($C184&lt;&gt;"",$B184=""),"campaign without drop_id; ","")&amp;IF(AND($B184&lt;&gt;"",COUNTIF(drops!$A$2:$A$21,$B184)=0),"drop_id not on drops; ",""))</f>
        <v/>
      </c>
    </row>
    <row r="185">
      <c r="A185" s="9" t="n"/>
      <c r="E185" s="10" t="n"/>
      <c r="G185" s="25">
        <f>IF($A185="","",IF(ISNA(MATCH($D185,{"brand_sales","office_coordination","receiving_kitting","drop_day","checks_pickup","reporting_debriefs","admin_invoicing"},0)),"activity must be one of the seven keys; ","")&amp;IF(OR(N($E185)&lt;=0,N($E185)&gt;16),"hours?; ","")&amp;IF(AND($C185&lt;&gt;"",$B185=""),"campaign without drop_id; ","")&amp;IF(AND($B185&lt;&gt;"",COUNTIF(drops!$A$2:$A$21,$B185)=0),"drop_id not on drops; ",""))</f>
        <v/>
      </c>
    </row>
    <row r="186">
      <c r="A186" s="9" t="n"/>
      <c r="E186" s="10" t="n"/>
      <c r="G186" s="25">
        <f>IF($A186="","",IF(ISNA(MATCH($D186,{"brand_sales","office_coordination","receiving_kitting","drop_day","checks_pickup","reporting_debriefs","admin_invoicing"},0)),"activity must be one of the seven keys; ","")&amp;IF(OR(N($E186)&lt;=0,N($E186)&gt;16),"hours?; ","")&amp;IF(AND($C186&lt;&gt;"",$B186=""),"campaign without drop_id; ","")&amp;IF(AND($B186&lt;&gt;"",COUNTIF(drops!$A$2:$A$21,$B186)=0),"drop_id not on drops; ",""))</f>
        <v/>
      </c>
    </row>
    <row r="187">
      <c r="A187" s="9" t="n"/>
      <c r="E187" s="10" t="n"/>
      <c r="G187" s="25">
        <f>IF($A187="","",IF(ISNA(MATCH($D187,{"brand_sales","office_coordination","receiving_kitting","drop_day","checks_pickup","reporting_debriefs","admin_invoicing"},0)),"activity must be one of the seven keys; ","")&amp;IF(OR(N($E187)&lt;=0,N($E187)&gt;16),"hours?; ","")&amp;IF(AND($C187&lt;&gt;"",$B187=""),"campaign without drop_id; ","")&amp;IF(AND($B187&lt;&gt;"",COUNTIF(drops!$A$2:$A$21,$B187)=0),"drop_id not on drops; ",""))</f>
        <v/>
      </c>
    </row>
    <row r="188">
      <c r="A188" s="9" t="n"/>
      <c r="E188" s="10" t="n"/>
      <c r="G188" s="25">
        <f>IF($A188="","",IF(ISNA(MATCH($D188,{"brand_sales","office_coordination","receiving_kitting","drop_day","checks_pickup","reporting_debriefs","admin_invoicing"},0)),"activity must be one of the seven keys; ","")&amp;IF(OR(N($E188)&lt;=0,N($E188)&gt;16),"hours?; ","")&amp;IF(AND($C188&lt;&gt;"",$B188=""),"campaign without drop_id; ","")&amp;IF(AND($B188&lt;&gt;"",COUNTIF(drops!$A$2:$A$21,$B188)=0),"drop_id not on drops; ",""))</f>
        <v/>
      </c>
    </row>
    <row r="189">
      <c r="A189" s="9" t="n"/>
      <c r="E189" s="10" t="n"/>
      <c r="G189" s="25">
        <f>IF($A189="","",IF(ISNA(MATCH($D189,{"brand_sales","office_coordination","receiving_kitting","drop_day","checks_pickup","reporting_debriefs","admin_invoicing"},0)),"activity must be one of the seven keys; ","")&amp;IF(OR(N($E189)&lt;=0,N($E189)&gt;16),"hours?; ","")&amp;IF(AND($C189&lt;&gt;"",$B189=""),"campaign without drop_id; ","")&amp;IF(AND($B189&lt;&gt;"",COUNTIF(drops!$A$2:$A$21,$B189)=0),"drop_id not on drops; ",""))</f>
        <v/>
      </c>
    </row>
    <row r="190">
      <c r="A190" s="9" t="n"/>
      <c r="E190" s="10" t="n"/>
      <c r="G190" s="25">
        <f>IF($A190="","",IF(ISNA(MATCH($D190,{"brand_sales","office_coordination","receiving_kitting","drop_day","checks_pickup","reporting_debriefs","admin_invoicing"},0)),"activity must be one of the seven keys; ","")&amp;IF(OR(N($E190)&lt;=0,N($E190)&gt;16),"hours?; ","")&amp;IF(AND($C190&lt;&gt;"",$B190=""),"campaign without drop_id; ","")&amp;IF(AND($B190&lt;&gt;"",COUNTIF(drops!$A$2:$A$21,$B190)=0),"drop_id not on drops; ",""))</f>
        <v/>
      </c>
    </row>
    <row r="191">
      <c r="A191" s="9" t="n"/>
      <c r="E191" s="10" t="n"/>
      <c r="G191" s="25">
        <f>IF($A191="","",IF(ISNA(MATCH($D191,{"brand_sales","office_coordination","receiving_kitting","drop_day","checks_pickup","reporting_debriefs","admin_invoicing"},0)),"activity must be one of the seven keys; ","")&amp;IF(OR(N($E191)&lt;=0,N($E191)&gt;16),"hours?; ","")&amp;IF(AND($C191&lt;&gt;"",$B191=""),"campaign without drop_id; ","")&amp;IF(AND($B191&lt;&gt;"",COUNTIF(drops!$A$2:$A$21,$B191)=0),"drop_id not on drops; ",""))</f>
        <v/>
      </c>
    </row>
    <row r="192">
      <c r="A192" s="9" t="n"/>
      <c r="E192" s="10" t="n"/>
      <c r="G192" s="25">
        <f>IF($A192="","",IF(ISNA(MATCH($D192,{"brand_sales","office_coordination","receiving_kitting","drop_day","checks_pickup","reporting_debriefs","admin_invoicing"},0)),"activity must be one of the seven keys; ","")&amp;IF(OR(N($E192)&lt;=0,N($E192)&gt;16),"hours?; ","")&amp;IF(AND($C192&lt;&gt;"",$B192=""),"campaign without drop_id; ","")&amp;IF(AND($B192&lt;&gt;"",COUNTIF(drops!$A$2:$A$21,$B192)=0),"drop_id not on drops; ",""))</f>
        <v/>
      </c>
    </row>
    <row r="193">
      <c r="A193" s="9" t="n"/>
      <c r="E193" s="10" t="n"/>
      <c r="G193" s="25">
        <f>IF($A193="","",IF(ISNA(MATCH($D193,{"brand_sales","office_coordination","receiving_kitting","drop_day","checks_pickup","reporting_debriefs","admin_invoicing"},0)),"activity must be one of the seven keys; ","")&amp;IF(OR(N($E193)&lt;=0,N($E193)&gt;16),"hours?; ","")&amp;IF(AND($C193&lt;&gt;"",$B193=""),"campaign without drop_id; ","")&amp;IF(AND($B193&lt;&gt;"",COUNTIF(drops!$A$2:$A$21,$B193)=0),"drop_id not on drops; ",""))</f>
        <v/>
      </c>
    </row>
    <row r="194">
      <c r="A194" s="9" t="n"/>
      <c r="E194" s="10" t="n"/>
      <c r="G194" s="25">
        <f>IF($A194="","",IF(ISNA(MATCH($D194,{"brand_sales","office_coordination","receiving_kitting","drop_day","checks_pickup","reporting_debriefs","admin_invoicing"},0)),"activity must be one of the seven keys; ","")&amp;IF(OR(N($E194)&lt;=0,N($E194)&gt;16),"hours?; ","")&amp;IF(AND($C194&lt;&gt;"",$B194=""),"campaign without drop_id; ","")&amp;IF(AND($B194&lt;&gt;"",COUNTIF(drops!$A$2:$A$21,$B194)=0),"drop_id not on drops; ",""))</f>
        <v/>
      </c>
    </row>
    <row r="195">
      <c r="A195" s="9" t="n"/>
      <c r="E195" s="10" t="n"/>
      <c r="G195" s="25">
        <f>IF($A195="","",IF(ISNA(MATCH($D195,{"brand_sales","office_coordination","receiving_kitting","drop_day","checks_pickup","reporting_debriefs","admin_invoicing"},0)),"activity must be one of the seven keys; ","")&amp;IF(OR(N($E195)&lt;=0,N($E195)&gt;16),"hours?; ","")&amp;IF(AND($C195&lt;&gt;"",$B195=""),"campaign without drop_id; ","")&amp;IF(AND($B195&lt;&gt;"",COUNTIF(drops!$A$2:$A$21,$B195)=0),"drop_id not on drops; ",""))</f>
        <v/>
      </c>
    </row>
    <row r="196">
      <c r="A196" s="9" t="n"/>
      <c r="E196" s="10" t="n"/>
      <c r="G196" s="25">
        <f>IF($A196="","",IF(ISNA(MATCH($D196,{"brand_sales","office_coordination","receiving_kitting","drop_day","checks_pickup","reporting_debriefs","admin_invoicing"},0)),"activity must be one of the seven keys; ","")&amp;IF(OR(N($E196)&lt;=0,N($E196)&gt;16),"hours?; ","")&amp;IF(AND($C196&lt;&gt;"",$B196=""),"campaign without drop_id; ","")&amp;IF(AND($B196&lt;&gt;"",COUNTIF(drops!$A$2:$A$21,$B196)=0),"drop_id not on drops; ",""))</f>
        <v/>
      </c>
    </row>
    <row r="197">
      <c r="A197" s="9" t="n"/>
      <c r="E197" s="10" t="n"/>
      <c r="G197" s="25">
        <f>IF($A197="","",IF(ISNA(MATCH($D197,{"brand_sales","office_coordination","receiving_kitting","drop_day","checks_pickup","reporting_debriefs","admin_invoicing"},0)),"activity must be one of the seven keys; ","")&amp;IF(OR(N($E197)&lt;=0,N($E197)&gt;16),"hours?; ","")&amp;IF(AND($C197&lt;&gt;"",$B197=""),"campaign without drop_id; ","")&amp;IF(AND($B197&lt;&gt;"",COUNTIF(drops!$A$2:$A$21,$B197)=0),"drop_id not on drops; ",""))</f>
        <v/>
      </c>
    </row>
    <row r="198">
      <c r="A198" s="9" t="n"/>
      <c r="E198" s="10" t="n"/>
      <c r="G198" s="25">
        <f>IF($A198="","",IF(ISNA(MATCH($D198,{"brand_sales","office_coordination","receiving_kitting","drop_day","checks_pickup","reporting_debriefs","admin_invoicing"},0)),"activity must be one of the seven keys; ","")&amp;IF(OR(N($E198)&lt;=0,N($E198)&gt;16),"hours?; ","")&amp;IF(AND($C198&lt;&gt;"",$B198=""),"campaign without drop_id; ","")&amp;IF(AND($B198&lt;&gt;"",COUNTIF(drops!$A$2:$A$21,$B198)=0),"drop_id not on drops; ",""))</f>
        <v/>
      </c>
    </row>
    <row r="199">
      <c r="A199" s="9" t="n"/>
      <c r="E199" s="10" t="n"/>
      <c r="G199" s="25">
        <f>IF($A199="","",IF(ISNA(MATCH($D199,{"brand_sales","office_coordination","receiving_kitting","drop_day","checks_pickup","reporting_debriefs","admin_invoicing"},0)),"activity must be one of the seven keys; ","")&amp;IF(OR(N($E199)&lt;=0,N($E199)&gt;16),"hours?; ","")&amp;IF(AND($C199&lt;&gt;"",$B199=""),"campaign without drop_id; ","")&amp;IF(AND($B199&lt;&gt;"",COUNTIF(drops!$A$2:$A$21,$B199)=0),"drop_id not on drops; ",""))</f>
        <v/>
      </c>
    </row>
    <row r="200">
      <c r="A200" s="9" t="n"/>
      <c r="E200" s="10" t="n"/>
      <c r="G200" s="25">
        <f>IF($A200="","",IF(ISNA(MATCH($D200,{"brand_sales","office_coordination","receiving_kitting","drop_day","checks_pickup","reporting_debriefs","admin_invoicing"},0)),"activity must be one of the seven keys; ","")&amp;IF(OR(N($E200)&lt;=0,N($E200)&gt;16),"hours?; ","")&amp;IF(AND($C200&lt;&gt;"",$B200=""),"campaign without drop_id; ","")&amp;IF(AND($B200&lt;&gt;"",COUNTIF(drops!$A$2:$A$21,$B200)=0),"drop_id not on drops; ",""))</f>
        <v/>
      </c>
    </row>
    <row r="201">
      <c r="A201" s="9" t="n"/>
      <c r="E201" s="10" t="n"/>
      <c r="G201" s="25">
        <f>IF($A201="","",IF(ISNA(MATCH($D201,{"brand_sales","office_coordination","receiving_kitting","drop_day","checks_pickup","reporting_debriefs","admin_invoicing"},0)),"activity must be one of the seven keys; ","")&amp;IF(OR(N($E201)&lt;=0,N($E201)&gt;16),"hours?; ","")&amp;IF(AND($C201&lt;&gt;"",$B201=""),"campaign without drop_id; ","")&amp;IF(AND($B201&lt;&gt;"",COUNTIF(drops!$A$2:$A$21,$B201)=0),"drop_id not on drops; ",""))</f>
        <v/>
      </c>
    </row>
    <row r="202">
      <c r="A202" s="9" t="n"/>
      <c r="E202" s="10" t="n"/>
      <c r="G202" s="25">
        <f>IF($A202="","",IF(ISNA(MATCH($D202,{"brand_sales","office_coordination","receiving_kitting","drop_day","checks_pickup","reporting_debriefs","admin_invoicing"},0)),"activity must be one of the seven keys; ","")&amp;IF(OR(N($E202)&lt;=0,N($E202)&gt;16),"hours?; ","")&amp;IF(AND($C202&lt;&gt;"",$B202=""),"campaign without drop_id; ","")&amp;IF(AND($B202&lt;&gt;"",COUNTIF(drops!$A$2:$A$21,$B202)=0),"drop_id not on drops; ",""))</f>
        <v/>
      </c>
    </row>
    <row r="203">
      <c r="A203" s="9" t="n"/>
      <c r="E203" s="10" t="n"/>
      <c r="G203" s="25">
        <f>IF($A203="","",IF(ISNA(MATCH($D203,{"brand_sales","office_coordination","receiving_kitting","drop_day","checks_pickup","reporting_debriefs","admin_invoicing"},0)),"activity must be one of the seven keys; ","")&amp;IF(OR(N($E203)&lt;=0,N($E203)&gt;16),"hours?; ","")&amp;IF(AND($C203&lt;&gt;"",$B203=""),"campaign without drop_id; ","")&amp;IF(AND($B203&lt;&gt;"",COUNTIF(drops!$A$2:$A$21,$B203)=0),"drop_id not on drops; ",""))</f>
        <v/>
      </c>
    </row>
    <row r="204">
      <c r="A204" s="9" t="n"/>
      <c r="E204" s="10" t="n"/>
      <c r="G204" s="25">
        <f>IF($A204="","",IF(ISNA(MATCH($D204,{"brand_sales","office_coordination","receiving_kitting","drop_day","checks_pickup","reporting_debriefs","admin_invoicing"},0)),"activity must be one of the seven keys; ","")&amp;IF(OR(N($E204)&lt;=0,N($E204)&gt;16),"hours?; ","")&amp;IF(AND($C204&lt;&gt;"",$B204=""),"campaign without drop_id; ","")&amp;IF(AND($B204&lt;&gt;"",COUNTIF(drops!$A$2:$A$21,$B204)=0),"drop_id not on drops; ",""))</f>
        <v/>
      </c>
    </row>
    <row r="205">
      <c r="A205" s="9" t="n"/>
      <c r="E205" s="10" t="n"/>
      <c r="G205" s="25">
        <f>IF($A205="","",IF(ISNA(MATCH($D205,{"brand_sales","office_coordination","receiving_kitting","drop_day","checks_pickup","reporting_debriefs","admin_invoicing"},0)),"activity must be one of the seven keys; ","")&amp;IF(OR(N($E205)&lt;=0,N($E205)&gt;16),"hours?; ","")&amp;IF(AND($C205&lt;&gt;"",$B205=""),"campaign without drop_id; ","")&amp;IF(AND($B205&lt;&gt;"",COUNTIF(drops!$A$2:$A$21,$B205)=0),"drop_id not on drops; ",""))</f>
        <v/>
      </c>
    </row>
    <row r="206">
      <c r="A206" s="9" t="n"/>
      <c r="E206" s="10" t="n"/>
      <c r="G206" s="25">
        <f>IF($A206="","",IF(ISNA(MATCH($D206,{"brand_sales","office_coordination","receiving_kitting","drop_day","checks_pickup","reporting_debriefs","admin_invoicing"},0)),"activity must be one of the seven keys; ","")&amp;IF(OR(N($E206)&lt;=0,N($E206)&gt;16),"hours?; ","")&amp;IF(AND($C206&lt;&gt;"",$B206=""),"campaign without drop_id; ","")&amp;IF(AND($B206&lt;&gt;"",COUNTIF(drops!$A$2:$A$21,$B206)=0),"drop_id not on drops; ",""))</f>
        <v/>
      </c>
    </row>
    <row r="207">
      <c r="A207" s="9" t="n"/>
      <c r="E207" s="10" t="n"/>
      <c r="G207" s="25">
        <f>IF($A207="","",IF(ISNA(MATCH($D207,{"brand_sales","office_coordination","receiving_kitting","drop_day","checks_pickup","reporting_debriefs","admin_invoicing"},0)),"activity must be one of the seven keys; ","")&amp;IF(OR(N($E207)&lt;=0,N($E207)&gt;16),"hours?; ","")&amp;IF(AND($C207&lt;&gt;"",$B207=""),"campaign without drop_id; ","")&amp;IF(AND($B207&lt;&gt;"",COUNTIF(drops!$A$2:$A$21,$B207)=0),"drop_id not on drops; ",""))</f>
        <v/>
      </c>
    </row>
    <row r="208">
      <c r="A208" s="9" t="n"/>
      <c r="E208" s="10" t="n"/>
      <c r="G208" s="25">
        <f>IF($A208="","",IF(ISNA(MATCH($D208,{"brand_sales","office_coordination","receiving_kitting","drop_day","checks_pickup","reporting_debriefs","admin_invoicing"},0)),"activity must be one of the seven keys; ","")&amp;IF(OR(N($E208)&lt;=0,N($E208)&gt;16),"hours?; ","")&amp;IF(AND($C208&lt;&gt;"",$B208=""),"campaign without drop_id; ","")&amp;IF(AND($B208&lt;&gt;"",COUNTIF(drops!$A$2:$A$21,$B208)=0),"drop_id not on drops; ",""))</f>
        <v/>
      </c>
    </row>
    <row r="209">
      <c r="A209" s="9" t="n"/>
      <c r="E209" s="10" t="n"/>
      <c r="G209" s="25">
        <f>IF($A209="","",IF(ISNA(MATCH($D209,{"brand_sales","office_coordination","receiving_kitting","drop_day","checks_pickup","reporting_debriefs","admin_invoicing"},0)),"activity must be one of the seven keys; ","")&amp;IF(OR(N($E209)&lt;=0,N($E209)&gt;16),"hours?; ","")&amp;IF(AND($C209&lt;&gt;"",$B209=""),"campaign without drop_id; ","")&amp;IF(AND($B209&lt;&gt;"",COUNTIF(drops!$A$2:$A$21,$B209)=0),"drop_id not on drops; ",""))</f>
        <v/>
      </c>
    </row>
    <row r="210">
      <c r="A210" s="9" t="n"/>
      <c r="E210" s="10" t="n"/>
      <c r="G210" s="25">
        <f>IF($A210="","",IF(ISNA(MATCH($D210,{"brand_sales","office_coordination","receiving_kitting","drop_day","checks_pickup","reporting_debriefs","admin_invoicing"},0)),"activity must be one of the seven keys; ","")&amp;IF(OR(N($E210)&lt;=0,N($E210)&gt;16),"hours?; ","")&amp;IF(AND($C210&lt;&gt;"",$B210=""),"campaign without drop_id; ","")&amp;IF(AND($B210&lt;&gt;"",COUNTIF(drops!$A$2:$A$21,$B210)=0),"drop_id not on drops; ",""))</f>
        <v/>
      </c>
    </row>
    <row r="211">
      <c r="A211" s="9" t="n"/>
      <c r="E211" s="10" t="n"/>
      <c r="G211" s="25">
        <f>IF($A211="","",IF(ISNA(MATCH($D211,{"brand_sales","office_coordination","receiving_kitting","drop_day","checks_pickup","reporting_debriefs","admin_invoicing"},0)),"activity must be one of the seven keys; ","")&amp;IF(OR(N($E211)&lt;=0,N($E211)&gt;16),"hours?; ","")&amp;IF(AND($C211&lt;&gt;"",$B211=""),"campaign without drop_id; ","")&amp;IF(AND($B211&lt;&gt;"",COUNTIF(drops!$A$2:$A$21,$B211)=0),"drop_id not on drops; ",""))</f>
        <v/>
      </c>
    </row>
    <row r="212">
      <c r="A212" s="9" t="n"/>
      <c r="E212" s="10" t="n"/>
      <c r="G212" s="25">
        <f>IF($A212="","",IF(ISNA(MATCH($D212,{"brand_sales","office_coordination","receiving_kitting","drop_day","checks_pickup","reporting_debriefs","admin_invoicing"},0)),"activity must be one of the seven keys; ","")&amp;IF(OR(N($E212)&lt;=0,N($E212)&gt;16),"hours?; ","")&amp;IF(AND($C212&lt;&gt;"",$B212=""),"campaign without drop_id; ","")&amp;IF(AND($B212&lt;&gt;"",COUNTIF(drops!$A$2:$A$21,$B212)=0),"drop_id not on drops; ",""))</f>
        <v/>
      </c>
    </row>
    <row r="213">
      <c r="A213" s="9" t="n"/>
      <c r="E213" s="10" t="n"/>
      <c r="G213" s="25">
        <f>IF($A213="","",IF(ISNA(MATCH($D213,{"brand_sales","office_coordination","receiving_kitting","drop_day","checks_pickup","reporting_debriefs","admin_invoicing"},0)),"activity must be one of the seven keys; ","")&amp;IF(OR(N($E213)&lt;=0,N($E213)&gt;16),"hours?; ","")&amp;IF(AND($C213&lt;&gt;"",$B213=""),"campaign without drop_id; ","")&amp;IF(AND($B213&lt;&gt;"",COUNTIF(drops!$A$2:$A$21,$B213)=0),"drop_id not on drops; ",""))</f>
        <v/>
      </c>
    </row>
    <row r="214">
      <c r="A214" s="9" t="n"/>
      <c r="E214" s="10" t="n"/>
      <c r="G214" s="25">
        <f>IF($A214="","",IF(ISNA(MATCH($D214,{"brand_sales","office_coordination","receiving_kitting","drop_day","checks_pickup","reporting_debriefs","admin_invoicing"},0)),"activity must be one of the seven keys; ","")&amp;IF(OR(N($E214)&lt;=0,N($E214)&gt;16),"hours?; ","")&amp;IF(AND($C214&lt;&gt;"",$B214=""),"campaign without drop_id; ","")&amp;IF(AND($B214&lt;&gt;"",COUNTIF(drops!$A$2:$A$21,$B214)=0),"drop_id not on drops; ",""))</f>
        <v/>
      </c>
    </row>
    <row r="215">
      <c r="A215" s="9" t="n"/>
      <c r="E215" s="10" t="n"/>
      <c r="G215" s="25">
        <f>IF($A215="","",IF(ISNA(MATCH($D215,{"brand_sales","office_coordination","receiving_kitting","drop_day","checks_pickup","reporting_debriefs","admin_invoicing"},0)),"activity must be one of the seven keys; ","")&amp;IF(OR(N($E215)&lt;=0,N($E215)&gt;16),"hours?; ","")&amp;IF(AND($C215&lt;&gt;"",$B215=""),"campaign without drop_id; ","")&amp;IF(AND($B215&lt;&gt;"",COUNTIF(drops!$A$2:$A$21,$B215)=0),"drop_id not on drops; ",""))</f>
        <v/>
      </c>
    </row>
    <row r="216">
      <c r="A216" s="9" t="n"/>
      <c r="E216" s="10" t="n"/>
      <c r="G216" s="25">
        <f>IF($A216="","",IF(ISNA(MATCH($D216,{"brand_sales","office_coordination","receiving_kitting","drop_day","checks_pickup","reporting_debriefs","admin_invoicing"},0)),"activity must be one of the seven keys; ","")&amp;IF(OR(N($E216)&lt;=0,N($E216)&gt;16),"hours?; ","")&amp;IF(AND($C216&lt;&gt;"",$B216=""),"campaign without drop_id; ","")&amp;IF(AND($B216&lt;&gt;"",COUNTIF(drops!$A$2:$A$21,$B216)=0),"drop_id not on drops; ",""))</f>
        <v/>
      </c>
    </row>
    <row r="217">
      <c r="A217" s="9" t="n"/>
      <c r="E217" s="10" t="n"/>
      <c r="G217" s="25">
        <f>IF($A217="","",IF(ISNA(MATCH($D217,{"brand_sales","office_coordination","receiving_kitting","drop_day","checks_pickup","reporting_debriefs","admin_invoicing"},0)),"activity must be one of the seven keys; ","")&amp;IF(OR(N($E217)&lt;=0,N($E217)&gt;16),"hours?; ","")&amp;IF(AND($C217&lt;&gt;"",$B217=""),"campaign without drop_id; ","")&amp;IF(AND($B217&lt;&gt;"",COUNTIF(drops!$A$2:$A$21,$B217)=0),"drop_id not on drops; ",""))</f>
        <v/>
      </c>
    </row>
    <row r="218">
      <c r="A218" s="9" t="n"/>
      <c r="E218" s="10" t="n"/>
      <c r="G218" s="25">
        <f>IF($A218="","",IF(ISNA(MATCH($D218,{"brand_sales","office_coordination","receiving_kitting","drop_day","checks_pickup","reporting_debriefs","admin_invoicing"},0)),"activity must be one of the seven keys; ","")&amp;IF(OR(N($E218)&lt;=0,N($E218)&gt;16),"hours?; ","")&amp;IF(AND($C218&lt;&gt;"",$B218=""),"campaign without drop_id; ","")&amp;IF(AND($B218&lt;&gt;"",COUNTIF(drops!$A$2:$A$21,$B218)=0),"drop_id not on drops; ",""))</f>
        <v/>
      </c>
    </row>
    <row r="219">
      <c r="A219" s="9" t="n"/>
      <c r="E219" s="10" t="n"/>
      <c r="G219" s="25">
        <f>IF($A219="","",IF(ISNA(MATCH($D219,{"brand_sales","office_coordination","receiving_kitting","drop_day","checks_pickup","reporting_debriefs","admin_invoicing"},0)),"activity must be one of the seven keys; ","")&amp;IF(OR(N($E219)&lt;=0,N($E219)&gt;16),"hours?; ","")&amp;IF(AND($C219&lt;&gt;"",$B219=""),"campaign without drop_id; ","")&amp;IF(AND($B219&lt;&gt;"",COUNTIF(drops!$A$2:$A$21,$B219)=0),"drop_id not on drops; ",""))</f>
        <v/>
      </c>
    </row>
    <row r="220">
      <c r="A220" s="9" t="n"/>
      <c r="E220" s="10" t="n"/>
      <c r="G220" s="25">
        <f>IF($A220="","",IF(ISNA(MATCH($D220,{"brand_sales","office_coordination","receiving_kitting","drop_day","checks_pickup","reporting_debriefs","admin_invoicing"},0)),"activity must be one of the seven keys; ","")&amp;IF(OR(N($E220)&lt;=0,N($E220)&gt;16),"hours?; ","")&amp;IF(AND($C220&lt;&gt;"",$B220=""),"campaign without drop_id; ","")&amp;IF(AND($B220&lt;&gt;"",COUNTIF(drops!$A$2:$A$21,$B220)=0),"drop_id not on drops; ",""))</f>
        <v/>
      </c>
    </row>
    <row r="221">
      <c r="A221" s="9" t="n"/>
      <c r="E221" s="10" t="n"/>
      <c r="G221" s="25">
        <f>IF($A221="","",IF(ISNA(MATCH($D221,{"brand_sales","office_coordination","receiving_kitting","drop_day","checks_pickup","reporting_debriefs","admin_invoicing"},0)),"activity must be one of the seven keys; ","")&amp;IF(OR(N($E221)&lt;=0,N($E221)&gt;16),"hours?; ","")&amp;IF(AND($C221&lt;&gt;"",$B221=""),"campaign without drop_id; ","")&amp;IF(AND($B221&lt;&gt;"",COUNTIF(drops!$A$2:$A$21,$B221)=0),"drop_id not on drops; ",""))</f>
        <v/>
      </c>
    </row>
    <row r="222">
      <c r="A222" s="9" t="n"/>
      <c r="E222" s="10" t="n"/>
      <c r="G222" s="25">
        <f>IF($A222="","",IF(ISNA(MATCH($D222,{"brand_sales","office_coordination","receiving_kitting","drop_day","checks_pickup","reporting_debriefs","admin_invoicing"},0)),"activity must be one of the seven keys; ","")&amp;IF(OR(N($E222)&lt;=0,N($E222)&gt;16),"hours?; ","")&amp;IF(AND($C222&lt;&gt;"",$B222=""),"campaign without drop_id; ","")&amp;IF(AND($B222&lt;&gt;"",COUNTIF(drops!$A$2:$A$21,$B222)=0),"drop_id not on drops; ",""))</f>
        <v/>
      </c>
    </row>
    <row r="223">
      <c r="A223" s="9" t="n"/>
      <c r="E223" s="10" t="n"/>
      <c r="G223" s="25">
        <f>IF($A223="","",IF(ISNA(MATCH($D223,{"brand_sales","office_coordination","receiving_kitting","drop_day","checks_pickup","reporting_debriefs","admin_invoicing"},0)),"activity must be one of the seven keys; ","")&amp;IF(OR(N($E223)&lt;=0,N($E223)&gt;16),"hours?; ","")&amp;IF(AND($C223&lt;&gt;"",$B223=""),"campaign without drop_id; ","")&amp;IF(AND($B223&lt;&gt;"",COUNTIF(drops!$A$2:$A$21,$B223)=0),"drop_id not on drops; ",""))</f>
        <v/>
      </c>
    </row>
    <row r="224">
      <c r="A224" s="9" t="n"/>
      <c r="E224" s="10" t="n"/>
      <c r="G224" s="25">
        <f>IF($A224="","",IF(ISNA(MATCH($D224,{"brand_sales","office_coordination","receiving_kitting","drop_day","checks_pickup","reporting_debriefs","admin_invoicing"},0)),"activity must be one of the seven keys; ","")&amp;IF(OR(N($E224)&lt;=0,N($E224)&gt;16),"hours?; ","")&amp;IF(AND($C224&lt;&gt;"",$B224=""),"campaign without drop_id; ","")&amp;IF(AND($B224&lt;&gt;"",COUNTIF(drops!$A$2:$A$21,$B224)=0),"drop_id not on drops; ",""))</f>
        <v/>
      </c>
    </row>
    <row r="225">
      <c r="A225" s="9" t="n"/>
      <c r="E225" s="10" t="n"/>
      <c r="G225" s="25">
        <f>IF($A225="","",IF(ISNA(MATCH($D225,{"brand_sales","office_coordination","receiving_kitting","drop_day","checks_pickup","reporting_debriefs","admin_invoicing"},0)),"activity must be one of the seven keys; ","")&amp;IF(OR(N($E225)&lt;=0,N($E225)&gt;16),"hours?; ","")&amp;IF(AND($C225&lt;&gt;"",$B225=""),"campaign without drop_id; ","")&amp;IF(AND($B225&lt;&gt;"",COUNTIF(drops!$A$2:$A$21,$B225)=0),"drop_id not on drops; ",""))</f>
        <v/>
      </c>
    </row>
    <row r="226">
      <c r="A226" s="9" t="n"/>
      <c r="E226" s="10" t="n"/>
      <c r="G226" s="25">
        <f>IF($A226="","",IF(ISNA(MATCH($D226,{"brand_sales","office_coordination","receiving_kitting","drop_day","checks_pickup","reporting_debriefs","admin_invoicing"},0)),"activity must be one of the seven keys; ","")&amp;IF(OR(N($E226)&lt;=0,N($E226)&gt;16),"hours?; ","")&amp;IF(AND($C226&lt;&gt;"",$B226=""),"campaign without drop_id; ","")&amp;IF(AND($B226&lt;&gt;"",COUNTIF(drops!$A$2:$A$21,$B226)=0),"drop_id not on drops; ",""))</f>
        <v/>
      </c>
    </row>
    <row r="227">
      <c r="A227" s="9" t="n"/>
      <c r="E227" s="10" t="n"/>
      <c r="G227" s="25">
        <f>IF($A227="","",IF(ISNA(MATCH($D227,{"brand_sales","office_coordination","receiving_kitting","drop_day","checks_pickup","reporting_debriefs","admin_invoicing"},0)),"activity must be one of the seven keys; ","")&amp;IF(OR(N($E227)&lt;=0,N($E227)&gt;16),"hours?; ","")&amp;IF(AND($C227&lt;&gt;"",$B227=""),"campaign without drop_id; ","")&amp;IF(AND($B227&lt;&gt;"",COUNTIF(drops!$A$2:$A$21,$B227)=0),"drop_id not on drops; ",""))</f>
        <v/>
      </c>
    </row>
    <row r="228">
      <c r="A228" s="9" t="n"/>
      <c r="E228" s="10" t="n"/>
      <c r="G228" s="25">
        <f>IF($A228="","",IF(ISNA(MATCH($D228,{"brand_sales","office_coordination","receiving_kitting","drop_day","checks_pickup","reporting_debriefs","admin_invoicing"},0)),"activity must be one of the seven keys; ","")&amp;IF(OR(N($E228)&lt;=0,N($E228)&gt;16),"hours?; ","")&amp;IF(AND($C228&lt;&gt;"",$B228=""),"campaign without drop_id; ","")&amp;IF(AND($B228&lt;&gt;"",COUNTIF(drops!$A$2:$A$21,$B228)=0),"drop_id not on drops; ",""))</f>
        <v/>
      </c>
    </row>
    <row r="229">
      <c r="A229" s="9" t="n"/>
      <c r="E229" s="10" t="n"/>
      <c r="G229" s="25">
        <f>IF($A229="","",IF(ISNA(MATCH($D229,{"brand_sales","office_coordination","receiving_kitting","drop_day","checks_pickup","reporting_debriefs","admin_invoicing"},0)),"activity must be one of the seven keys; ","")&amp;IF(OR(N($E229)&lt;=0,N($E229)&gt;16),"hours?; ","")&amp;IF(AND($C229&lt;&gt;"",$B229=""),"campaign without drop_id; ","")&amp;IF(AND($B229&lt;&gt;"",COUNTIF(drops!$A$2:$A$21,$B229)=0),"drop_id not on drops; ",""))</f>
        <v/>
      </c>
    </row>
    <row r="230">
      <c r="A230" s="9" t="n"/>
      <c r="E230" s="10" t="n"/>
      <c r="G230" s="25">
        <f>IF($A230="","",IF(ISNA(MATCH($D230,{"brand_sales","office_coordination","receiving_kitting","drop_day","checks_pickup","reporting_debriefs","admin_invoicing"},0)),"activity must be one of the seven keys; ","")&amp;IF(OR(N($E230)&lt;=0,N($E230)&gt;16),"hours?; ","")&amp;IF(AND($C230&lt;&gt;"",$B230=""),"campaign without drop_id; ","")&amp;IF(AND($B230&lt;&gt;"",COUNTIF(drops!$A$2:$A$21,$B230)=0),"drop_id not on drops; ",""))</f>
        <v/>
      </c>
    </row>
    <row r="231">
      <c r="A231" s="9" t="n"/>
      <c r="E231" s="10" t="n"/>
      <c r="G231" s="25">
        <f>IF($A231="","",IF(ISNA(MATCH($D231,{"brand_sales","office_coordination","receiving_kitting","drop_day","checks_pickup","reporting_debriefs","admin_invoicing"},0)),"activity must be one of the seven keys; ","")&amp;IF(OR(N($E231)&lt;=0,N($E231)&gt;16),"hours?; ","")&amp;IF(AND($C231&lt;&gt;"",$B231=""),"campaign without drop_id; ","")&amp;IF(AND($B231&lt;&gt;"",COUNTIF(drops!$A$2:$A$21,$B231)=0),"drop_id not on drops; ",""))</f>
        <v/>
      </c>
    </row>
    <row r="232">
      <c r="A232" s="9" t="n"/>
      <c r="E232" s="10" t="n"/>
      <c r="G232" s="25">
        <f>IF($A232="","",IF(ISNA(MATCH($D232,{"brand_sales","office_coordination","receiving_kitting","drop_day","checks_pickup","reporting_debriefs","admin_invoicing"},0)),"activity must be one of the seven keys; ","")&amp;IF(OR(N($E232)&lt;=0,N($E232)&gt;16),"hours?; ","")&amp;IF(AND($C232&lt;&gt;"",$B232=""),"campaign without drop_id; ","")&amp;IF(AND($B232&lt;&gt;"",COUNTIF(drops!$A$2:$A$21,$B232)=0),"drop_id not on drops; ",""))</f>
        <v/>
      </c>
    </row>
    <row r="233">
      <c r="A233" s="9" t="n"/>
      <c r="E233" s="10" t="n"/>
      <c r="G233" s="25">
        <f>IF($A233="","",IF(ISNA(MATCH($D233,{"brand_sales","office_coordination","receiving_kitting","drop_day","checks_pickup","reporting_debriefs","admin_invoicing"},0)),"activity must be one of the seven keys; ","")&amp;IF(OR(N($E233)&lt;=0,N($E233)&gt;16),"hours?; ","")&amp;IF(AND($C233&lt;&gt;"",$B233=""),"campaign without drop_id; ","")&amp;IF(AND($B233&lt;&gt;"",COUNTIF(drops!$A$2:$A$21,$B233)=0),"drop_id not on drops; ",""))</f>
        <v/>
      </c>
    </row>
    <row r="234">
      <c r="A234" s="9" t="n"/>
      <c r="E234" s="10" t="n"/>
      <c r="G234" s="25">
        <f>IF($A234="","",IF(ISNA(MATCH($D234,{"brand_sales","office_coordination","receiving_kitting","drop_day","checks_pickup","reporting_debriefs","admin_invoicing"},0)),"activity must be one of the seven keys; ","")&amp;IF(OR(N($E234)&lt;=0,N($E234)&gt;16),"hours?; ","")&amp;IF(AND($C234&lt;&gt;"",$B234=""),"campaign without drop_id; ","")&amp;IF(AND($B234&lt;&gt;"",COUNTIF(drops!$A$2:$A$21,$B234)=0),"drop_id not on drops; ",""))</f>
        <v/>
      </c>
    </row>
    <row r="235">
      <c r="A235" s="9" t="n"/>
      <c r="E235" s="10" t="n"/>
      <c r="G235" s="25">
        <f>IF($A235="","",IF(ISNA(MATCH($D235,{"brand_sales","office_coordination","receiving_kitting","drop_day","checks_pickup","reporting_debriefs","admin_invoicing"},0)),"activity must be one of the seven keys; ","")&amp;IF(OR(N($E235)&lt;=0,N($E235)&gt;16),"hours?; ","")&amp;IF(AND($C235&lt;&gt;"",$B235=""),"campaign without drop_id; ","")&amp;IF(AND($B235&lt;&gt;"",COUNTIF(drops!$A$2:$A$21,$B235)=0),"drop_id not on drops; ",""))</f>
        <v/>
      </c>
    </row>
    <row r="236">
      <c r="A236" s="9" t="n"/>
      <c r="E236" s="10" t="n"/>
      <c r="G236" s="25">
        <f>IF($A236="","",IF(ISNA(MATCH($D236,{"brand_sales","office_coordination","receiving_kitting","drop_day","checks_pickup","reporting_debriefs","admin_invoicing"},0)),"activity must be one of the seven keys; ","")&amp;IF(OR(N($E236)&lt;=0,N($E236)&gt;16),"hours?; ","")&amp;IF(AND($C236&lt;&gt;"",$B236=""),"campaign without drop_id; ","")&amp;IF(AND($B236&lt;&gt;"",COUNTIF(drops!$A$2:$A$21,$B236)=0),"drop_id not on drops; ",""))</f>
        <v/>
      </c>
    </row>
    <row r="237">
      <c r="A237" s="9" t="n"/>
      <c r="E237" s="10" t="n"/>
      <c r="G237" s="25">
        <f>IF($A237="","",IF(ISNA(MATCH($D237,{"brand_sales","office_coordination","receiving_kitting","drop_day","checks_pickup","reporting_debriefs","admin_invoicing"},0)),"activity must be one of the seven keys; ","")&amp;IF(OR(N($E237)&lt;=0,N($E237)&gt;16),"hours?; ","")&amp;IF(AND($C237&lt;&gt;"",$B237=""),"campaign without drop_id; ","")&amp;IF(AND($B237&lt;&gt;"",COUNTIF(drops!$A$2:$A$21,$B237)=0),"drop_id not on drops; ",""))</f>
        <v/>
      </c>
    </row>
    <row r="238">
      <c r="A238" s="9" t="n"/>
      <c r="E238" s="10" t="n"/>
      <c r="G238" s="25">
        <f>IF($A238="","",IF(ISNA(MATCH($D238,{"brand_sales","office_coordination","receiving_kitting","drop_day","checks_pickup","reporting_debriefs","admin_invoicing"},0)),"activity must be one of the seven keys; ","")&amp;IF(OR(N($E238)&lt;=0,N($E238)&gt;16),"hours?; ","")&amp;IF(AND($C238&lt;&gt;"",$B238=""),"campaign without drop_id; ","")&amp;IF(AND($B238&lt;&gt;"",COUNTIF(drops!$A$2:$A$21,$B238)=0),"drop_id not on drops; ",""))</f>
        <v/>
      </c>
    </row>
    <row r="239">
      <c r="A239" s="9" t="n"/>
      <c r="E239" s="10" t="n"/>
      <c r="G239" s="25">
        <f>IF($A239="","",IF(ISNA(MATCH($D239,{"brand_sales","office_coordination","receiving_kitting","drop_day","checks_pickup","reporting_debriefs","admin_invoicing"},0)),"activity must be one of the seven keys; ","")&amp;IF(OR(N($E239)&lt;=0,N($E239)&gt;16),"hours?; ","")&amp;IF(AND($C239&lt;&gt;"",$B239=""),"campaign without drop_id; ","")&amp;IF(AND($B239&lt;&gt;"",COUNTIF(drops!$A$2:$A$21,$B239)=0),"drop_id not on drops; ",""))</f>
        <v/>
      </c>
    </row>
    <row r="240">
      <c r="A240" s="9" t="n"/>
      <c r="E240" s="10" t="n"/>
      <c r="G240" s="25">
        <f>IF($A240="","",IF(ISNA(MATCH($D240,{"brand_sales","office_coordination","receiving_kitting","drop_day","checks_pickup","reporting_debriefs","admin_invoicing"},0)),"activity must be one of the seven keys; ","")&amp;IF(OR(N($E240)&lt;=0,N($E240)&gt;16),"hours?; ","")&amp;IF(AND($C240&lt;&gt;"",$B240=""),"campaign without drop_id; ","")&amp;IF(AND($B240&lt;&gt;"",COUNTIF(drops!$A$2:$A$21,$B240)=0),"drop_id not on drops; ",""))</f>
        <v/>
      </c>
    </row>
    <row r="241">
      <c r="A241" s="9" t="n"/>
      <c r="E241" s="10" t="n"/>
      <c r="G241" s="25">
        <f>IF($A241="","",IF(ISNA(MATCH($D241,{"brand_sales","office_coordination","receiving_kitting","drop_day","checks_pickup","reporting_debriefs","admin_invoicing"},0)),"activity must be one of the seven keys; ","")&amp;IF(OR(N($E241)&lt;=0,N($E241)&gt;16),"hours?; ","")&amp;IF(AND($C241&lt;&gt;"",$B241=""),"campaign without drop_id; ","")&amp;IF(AND($B241&lt;&gt;"",COUNTIF(drops!$A$2:$A$21,$B241)=0),"drop_id not on drops; ",""))</f>
        <v/>
      </c>
    </row>
    <row r="242">
      <c r="A242" s="9" t="n"/>
      <c r="E242" s="10" t="n"/>
      <c r="G242" s="25">
        <f>IF($A242="","",IF(ISNA(MATCH($D242,{"brand_sales","office_coordination","receiving_kitting","drop_day","checks_pickup","reporting_debriefs","admin_invoicing"},0)),"activity must be one of the seven keys; ","")&amp;IF(OR(N($E242)&lt;=0,N($E242)&gt;16),"hours?; ","")&amp;IF(AND($C242&lt;&gt;"",$B242=""),"campaign without drop_id; ","")&amp;IF(AND($B242&lt;&gt;"",COUNTIF(drops!$A$2:$A$21,$B242)=0),"drop_id not on drops; ",""))</f>
        <v/>
      </c>
    </row>
    <row r="243">
      <c r="A243" s="9" t="n"/>
      <c r="E243" s="10" t="n"/>
      <c r="G243" s="25">
        <f>IF($A243="","",IF(ISNA(MATCH($D243,{"brand_sales","office_coordination","receiving_kitting","drop_day","checks_pickup","reporting_debriefs","admin_invoicing"},0)),"activity must be one of the seven keys; ","")&amp;IF(OR(N($E243)&lt;=0,N($E243)&gt;16),"hours?; ","")&amp;IF(AND($C243&lt;&gt;"",$B243=""),"campaign without drop_id; ","")&amp;IF(AND($B243&lt;&gt;"",COUNTIF(drops!$A$2:$A$21,$B243)=0),"drop_id not on drops; ",""))</f>
        <v/>
      </c>
    </row>
    <row r="244">
      <c r="A244" s="9" t="n"/>
      <c r="E244" s="10" t="n"/>
      <c r="G244" s="25">
        <f>IF($A244="","",IF(ISNA(MATCH($D244,{"brand_sales","office_coordination","receiving_kitting","drop_day","checks_pickup","reporting_debriefs","admin_invoicing"},0)),"activity must be one of the seven keys; ","")&amp;IF(OR(N($E244)&lt;=0,N($E244)&gt;16),"hours?; ","")&amp;IF(AND($C244&lt;&gt;"",$B244=""),"campaign without drop_id; ","")&amp;IF(AND($B244&lt;&gt;"",COUNTIF(drops!$A$2:$A$21,$B244)=0),"drop_id not on drops; ",""))</f>
        <v/>
      </c>
    </row>
    <row r="245">
      <c r="A245" s="9" t="n"/>
      <c r="E245" s="10" t="n"/>
      <c r="G245" s="25">
        <f>IF($A245="","",IF(ISNA(MATCH($D245,{"brand_sales","office_coordination","receiving_kitting","drop_day","checks_pickup","reporting_debriefs","admin_invoicing"},0)),"activity must be one of the seven keys; ","")&amp;IF(OR(N($E245)&lt;=0,N($E245)&gt;16),"hours?; ","")&amp;IF(AND($C245&lt;&gt;"",$B245=""),"campaign without drop_id; ","")&amp;IF(AND($B245&lt;&gt;"",COUNTIF(drops!$A$2:$A$21,$B245)=0),"drop_id not on drops; ",""))</f>
        <v/>
      </c>
    </row>
    <row r="246">
      <c r="A246" s="9" t="n"/>
      <c r="E246" s="10" t="n"/>
      <c r="G246" s="25">
        <f>IF($A246="","",IF(ISNA(MATCH($D246,{"brand_sales","office_coordination","receiving_kitting","drop_day","checks_pickup","reporting_debriefs","admin_invoicing"},0)),"activity must be one of the seven keys; ","")&amp;IF(OR(N($E246)&lt;=0,N($E246)&gt;16),"hours?; ","")&amp;IF(AND($C246&lt;&gt;"",$B246=""),"campaign without drop_id; ","")&amp;IF(AND($B246&lt;&gt;"",COUNTIF(drops!$A$2:$A$21,$B246)=0),"drop_id not on drops; ",""))</f>
        <v/>
      </c>
    </row>
    <row r="247">
      <c r="A247" s="9" t="n"/>
      <c r="E247" s="10" t="n"/>
      <c r="G247" s="25">
        <f>IF($A247="","",IF(ISNA(MATCH($D247,{"brand_sales","office_coordination","receiving_kitting","drop_day","checks_pickup","reporting_debriefs","admin_invoicing"},0)),"activity must be one of the seven keys; ","")&amp;IF(OR(N($E247)&lt;=0,N($E247)&gt;16),"hours?; ","")&amp;IF(AND($C247&lt;&gt;"",$B247=""),"campaign without drop_id; ","")&amp;IF(AND($B247&lt;&gt;"",COUNTIF(drops!$A$2:$A$21,$B247)=0),"drop_id not on drops; ",""))</f>
        <v/>
      </c>
    </row>
    <row r="248">
      <c r="A248" s="9" t="n"/>
      <c r="E248" s="10" t="n"/>
      <c r="G248" s="25">
        <f>IF($A248="","",IF(ISNA(MATCH($D248,{"brand_sales","office_coordination","receiving_kitting","drop_day","checks_pickup","reporting_debriefs","admin_invoicing"},0)),"activity must be one of the seven keys; ","")&amp;IF(OR(N($E248)&lt;=0,N($E248)&gt;16),"hours?; ","")&amp;IF(AND($C248&lt;&gt;"",$B248=""),"campaign without drop_id; ","")&amp;IF(AND($B248&lt;&gt;"",COUNTIF(drops!$A$2:$A$21,$B248)=0),"drop_id not on drops; ",""))</f>
        <v/>
      </c>
    </row>
    <row r="249">
      <c r="A249" s="9" t="n"/>
      <c r="E249" s="10" t="n"/>
      <c r="G249" s="25">
        <f>IF($A249="","",IF(ISNA(MATCH($D249,{"brand_sales","office_coordination","receiving_kitting","drop_day","checks_pickup","reporting_debriefs","admin_invoicing"},0)),"activity must be one of the seven keys; ","")&amp;IF(OR(N($E249)&lt;=0,N($E249)&gt;16),"hours?; ","")&amp;IF(AND($C249&lt;&gt;"",$B249=""),"campaign without drop_id; ","")&amp;IF(AND($B249&lt;&gt;"",COUNTIF(drops!$A$2:$A$21,$B249)=0),"drop_id not on drops; ",""))</f>
        <v/>
      </c>
    </row>
    <row r="250">
      <c r="A250" s="9" t="n"/>
      <c r="E250" s="10" t="n"/>
      <c r="G250" s="25">
        <f>IF($A250="","",IF(ISNA(MATCH($D250,{"brand_sales","office_coordination","receiving_kitting","drop_day","checks_pickup","reporting_debriefs","admin_invoicing"},0)),"activity must be one of the seven keys; ","")&amp;IF(OR(N($E250)&lt;=0,N($E250)&gt;16),"hours?; ","")&amp;IF(AND($C250&lt;&gt;"",$B250=""),"campaign without drop_id; ","")&amp;IF(AND($B250&lt;&gt;"",COUNTIF(drops!$A$2:$A$21,$B250)=0),"drop_id not on drops; ",""))</f>
        <v/>
      </c>
    </row>
    <row r="251">
      <c r="A251" s="9" t="n"/>
      <c r="E251" s="10" t="n"/>
      <c r="G251" s="25">
        <f>IF($A251="","",IF(ISNA(MATCH($D251,{"brand_sales","office_coordination","receiving_kitting","drop_day","checks_pickup","reporting_debriefs","admin_invoicing"},0)),"activity must be one of the seven keys; ","")&amp;IF(OR(N($E251)&lt;=0,N($E251)&gt;16),"hours?; ","")&amp;IF(AND($C251&lt;&gt;"",$B251=""),"campaign without drop_id; ","")&amp;IF(AND($B251&lt;&gt;"",COUNTIF(drops!$A$2:$A$21,$B251)=0),"drop_id not on drops; ",""))</f>
        <v/>
      </c>
    </row>
    <row r="252">
      <c r="A252" s="9" t="n"/>
      <c r="E252" s="10" t="n"/>
      <c r="G252" s="25">
        <f>IF($A252="","",IF(ISNA(MATCH($D252,{"brand_sales","office_coordination","receiving_kitting","drop_day","checks_pickup","reporting_debriefs","admin_invoicing"},0)),"activity must be one of the seven keys; ","")&amp;IF(OR(N($E252)&lt;=0,N($E252)&gt;16),"hours?; ","")&amp;IF(AND($C252&lt;&gt;"",$B252=""),"campaign without drop_id; ","")&amp;IF(AND($B252&lt;&gt;"",COUNTIF(drops!$A$2:$A$21,$B252)=0),"drop_id not on drops; ",""))</f>
        <v/>
      </c>
    </row>
    <row r="253">
      <c r="A253" s="9" t="n"/>
      <c r="E253" s="10" t="n"/>
      <c r="G253" s="25">
        <f>IF($A253="","",IF(ISNA(MATCH($D253,{"brand_sales","office_coordination","receiving_kitting","drop_day","checks_pickup","reporting_debriefs","admin_invoicing"},0)),"activity must be one of the seven keys; ","")&amp;IF(OR(N($E253)&lt;=0,N($E253)&gt;16),"hours?; ","")&amp;IF(AND($C253&lt;&gt;"",$B253=""),"campaign without drop_id; ","")&amp;IF(AND($B253&lt;&gt;"",COUNTIF(drops!$A$2:$A$21,$B253)=0),"drop_id not on drops; ",""))</f>
        <v/>
      </c>
    </row>
    <row r="254">
      <c r="A254" s="9" t="n"/>
      <c r="E254" s="10" t="n"/>
      <c r="G254" s="25">
        <f>IF($A254="","",IF(ISNA(MATCH($D254,{"brand_sales","office_coordination","receiving_kitting","drop_day","checks_pickup","reporting_debriefs","admin_invoicing"},0)),"activity must be one of the seven keys; ","")&amp;IF(OR(N($E254)&lt;=0,N($E254)&gt;16),"hours?; ","")&amp;IF(AND($C254&lt;&gt;"",$B254=""),"campaign without drop_id; ","")&amp;IF(AND($B254&lt;&gt;"",COUNTIF(drops!$A$2:$A$21,$B254)=0),"drop_id not on drops; ",""))</f>
        <v/>
      </c>
    </row>
    <row r="255">
      <c r="A255" s="9" t="n"/>
      <c r="E255" s="10" t="n"/>
      <c r="G255" s="25">
        <f>IF($A255="","",IF(ISNA(MATCH($D255,{"brand_sales","office_coordination","receiving_kitting","drop_day","checks_pickup","reporting_debriefs","admin_invoicing"},0)),"activity must be one of the seven keys; ","")&amp;IF(OR(N($E255)&lt;=0,N($E255)&gt;16),"hours?; ","")&amp;IF(AND($C255&lt;&gt;"",$B255=""),"campaign without drop_id; ","")&amp;IF(AND($B255&lt;&gt;"",COUNTIF(drops!$A$2:$A$21,$B255)=0),"drop_id not on drops; ",""))</f>
        <v/>
      </c>
    </row>
    <row r="256">
      <c r="A256" s="9" t="n"/>
      <c r="E256" s="10" t="n"/>
      <c r="G256" s="25">
        <f>IF($A256="","",IF(ISNA(MATCH($D256,{"brand_sales","office_coordination","receiving_kitting","drop_day","checks_pickup","reporting_debriefs","admin_invoicing"},0)),"activity must be one of the seven keys; ","")&amp;IF(OR(N($E256)&lt;=0,N($E256)&gt;16),"hours?; ","")&amp;IF(AND($C256&lt;&gt;"",$B256=""),"campaign without drop_id; ","")&amp;IF(AND($B256&lt;&gt;"",COUNTIF(drops!$A$2:$A$21,$B256)=0),"drop_id not on drops; ",""))</f>
        <v/>
      </c>
    </row>
    <row r="257">
      <c r="A257" s="9" t="n"/>
      <c r="E257" s="10" t="n"/>
      <c r="G257" s="25">
        <f>IF($A257="","",IF(ISNA(MATCH($D257,{"brand_sales","office_coordination","receiving_kitting","drop_day","checks_pickup","reporting_debriefs","admin_invoicing"},0)),"activity must be one of the seven keys; ","")&amp;IF(OR(N($E257)&lt;=0,N($E257)&gt;16),"hours?; ","")&amp;IF(AND($C257&lt;&gt;"",$B257=""),"campaign without drop_id; ","")&amp;IF(AND($B257&lt;&gt;"",COUNTIF(drops!$A$2:$A$21,$B257)=0),"drop_id not on drops; ",""))</f>
        <v/>
      </c>
    </row>
    <row r="258">
      <c r="A258" s="9" t="n"/>
      <c r="E258" s="10" t="n"/>
      <c r="G258" s="25">
        <f>IF($A258="","",IF(ISNA(MATCH($D258,{"brand_sales","office_coordination","receiving_kitting","drop_day","checks_pickup","reporting_debriefs","admin_invoicing"},0)),"activity must be one of the seven keys; ","")&amp;IF(OR(N($E258)&lt;=0,N($E258)&gt;16),"hours?; ","")&amp;IF(AND($C258&lt;&gt;"",$B258=""),"campaign without drop_id; ","")&amp;IF(AND($B258&lt;&gt;"",COUNTIF(drops!$A$2:$A$21,$B258)=0),"drop_id not on drops; ",""))</f>
        <v/>
      </c>
    </row>
    <row r="259">
      <c r="A259" s="9" t="n"/>
      <c r="E259" s="10" t="n"/>
      <c r="G259" s="25">
        <f>IF($A259="","",IF(ISNA(MATCH($D259,{"brand_sales","office_coordination","receiving_kitting","drop_day","checks_pickup","reporting_debriefs","admin_invoicing"},0)),"activity must be one of the seven keys; ","")&amp;IF(OR(N($E259)&lt;=0,N($E259)&gt;16),"hours?; ","")&amp;IF(AND($C259&lt;&gt;"",$B259=""),"campaign without drop_id; ","")&amp;IF(AND($B259&lt;&gt;"",COUNTIF(drops!$A$2:$A$21,$B259)=0),"drop_id not on drops; ",""))</f>
        <v/>
      </c>
    </row>
    <row r="260">
      <c r="A260" s="9" t="n"/>
      <c r="E260" s="10" t="n"/>
      <c r="G260" s="25">
        <f>IF($A260="","",IF(ISNA(MATCH($D260,{"brand_sales","office_coordination","receiving_kitting","drop_day","checks_pickup","reporting_debriefs","admin_invoicing"},0)),"activity must be one of the seven keys; ","")&amp;IF(OR(N($E260)&lt;=0,N($E260)&gt;16),"hours?; ","")&amp;IF(AND($C260&lt;&gt;"",$B260=""),"campaign without drop_id; ","")&amp;IF(AND($B260&lt;&gt;"",COUNTIF(drops!$A$2:$A$21,$B260)=0),"drop_id not on drops; ",""))</f>
        <v/>
      </c>
    </row>
    <row r="261">
      <c r="A261" s="9" t="n"/>
      <c r="E261" s="10" t="n"/>
      <c r="G261" s="25">
        <f>IF($A261="","",IF(ISNA(MATCH($D261,{"brand_sales","office_coordination","receiving_kitting","drop_day","checks_pickup","reporting_debriefs","admin_invoicing"},0)),"activity must be one of the seven keys; ","")&amp;IF(OR(N($E261)&lt;=0,N($E261)&gt;16),"hours?; ","")&amp;IF(AND($C261&lt;&gt;"",$B261=""),"campaign without drop_id; ","")&amp;IF(AND($B261&lt;&gt;"",COUNTIF(drops!$A$2:$A$21,$B261)=0),"drop_id not on drops; ",""))</f>
        <v/>
      </c>
    </row>
    <row r="262">
      <c r="A262" s="9" t="n"/>
      <c r="E262" s="10" t="n"/>
      <c r="G262" s="25">
        <f>IF($A262="","",IF(ISNA(MATCH($D262,{"brand_sales","office_coordination","receiving_kitting","drop_day","checks_pickup","reporting_debriefs","admin_invoicing"},0)),"activity must be one of the seven keys; ","")&amp;IF(OR(N($E262)&lt;=0,N($E262)&gt;16),"hours?; ","")&amp;IF(AND($C262&lt;&gt;"",$B262=""),"campaign without drop_id; ","")&amp;IF(AND($B262&lt;&gt;"",COUNTIF(drops!$A$2:$A$21,$B262)=0),"drop_id not on drops; ",""))</f>
        <v/>
      </c>
    </row>
    <row r="263">
      <c r="A263" s="9" t="n"/>
      <c r="E263" s="10" t="n"/>
      <c r="G263" s="25">
        <f>IF($A263="","",IF(ISNA(MATCH($D263,{"brand_sales","office_coordination","receiving_kitting","drop_day","checks_pickup","reporting_debriefs","admin_invoicing"},0)),"activity must be one of the seven keys; ","")&amp;IF(OR(N($E263)&lt;=0,N($E263)&gt;16),"hours?; ","")&amp;IF(AND($C263&lt;&gt;"",$B263=""),"campaign without drop_id; ","")&amp;IF(AND($B263&lt;&gt;"",COUNTIF(drops!$A$2:$A$21,$B263)=0),"drop_id not on drops; ",""))</f>
        <v/>
      </c>
    </row>
    <row r="264">
      <c r="A264" s="9" t="n"/>
      <c r="E264" s="10" t="n"/>
      <c r="G264" s="25">
        <f>IF($A264="","",IF(ISNA(MATCH($D264,{"brand_sales","office_coordination","receiving_kitting","drop_day","checks_pickup","reporting_debriefs","admin_invoicing"},0)),"activity must be one of the seven keys; ","")&amp;IF(OR(N($E264)&lt;=0,N($E264)&gt;16),"hours?; ","")&amp;IF(AND($C264&lt;&gt;"",$B264=""),"campaign without drop_id; ","")&amp;IF(AND($B264&lt;&gt;"",COUNTIF(drops!$A$2:$A$21,$B264)=0),"drop_id not on drops; ",""))</f>
        <v/>
      </c>
    </row>
    <row r="265">
      <c r="A265" s="9" t="n"/>
      <c r="E265" s="10" t="n"/>
      <c r="G265" s="25">
        <f>IF($A265="","",IF(ISNA(MATCH($D265,{"brand_sales","office_coordination","receiving_kitting","drop_day","checks_pickup","reporting_debriefs","admin_invoicing"},0)),"activity must be one of the seven keys; ","")&amp;IF(OR(N($E265)&lt;=0,N($E265)&gt;16),"hours?; ","")&amp;IF(AND($C265&lt;&gt;"",$B265=""),"campaign without drop_id; ","")&amp;IF(AND($B265&lt;&gt;"",COUNTIF(drops!$A$2:$A$21,$B265)=0),"drop_id not on drops; ",""))</f>
        <v/>
      </c>
    </row>
    <row r="266">
      <c r="A266" s="9" t="n"/>
      <c r="E266" s="10" t="n"/>
      <c r="G266" s="25">
        <f>IF($A266="","",IF(ISNA(MATCH($D266,{"brand_sales","office_coordination","receiving_kitting","drop_day","checks_pickup","reporting_debriefs","admin_invoicing"},0)),"activity must be one of the seven keys; ","")&amp;IF(OR(N($E266)&lt;=0,N($E266)&gt;16),"hours?; ","")&amp;IF(AND($C266&lt;&gt;"",$B266=""),"campaign without drop_id; ","")&amp;IF(AND($B266&lt;&gt;"",COUNTIF(drops!$A$2:$A$21,$B266)=0),"drop_id not on drops; ",""))</f>
        <v/>
      </c>
    </row>
    <row r="267">
      <c r="A267" s="9" t="n"/>
      <c r="E267" s="10" t="n"/>
      <c r="G267" s="25">
        <f>IF($A267="","",IF(ISNA(MATCH($D267,{"brand_sales","office_coordination","receiving_kitting","drop_day","checks_pickup","reporting_debriefs","admin_invoicing"},0)),"activity must be one of the seven keys; ","")&amp;IF(OR(N($E267)&lt;=0,N($E267)&gt;16),"hours?; ","")&amp;IF(AND($C267&lt;&gt;"",$B267=""),"campaign without drop_id; ","")&amp;IF(AND($B267&lt;&gt;"",COUNTIF(drops!$A$2:$A$21,$B267)=0),"drop_id not on drops; ",""))</f>
        <v/>
      </c>
    </row>
    <row r="268">
      <c r="A268" s="9" t="n"/>
      <c r="E268" s="10" t="n"/>
      <c r="G268" s="25">
        <f>IF($A268="","",IF(ISNA(MATCH($D268,{"brand_sales","office_coordination","receiving_kitting","drop_day","checks_pickup","reporting_debriefs","admin_invoicing"},0)),"activity must be one of the seven keys; ","")&amp;IF(OR(N($E268)&lt;=0,N($E268)&gt;16),"hours?; ","")&amp;IF(AND($C268&lt;&gt;"",$B268=""),"campaign without drop_id; ","")&amp;IF(AND($B268&lt;&gt;"",COUNTIF(drops!$A$2:$A$21,$B268)=0),"drop_id not on drops; ",""))</f>
        <v/>
      </c>
    </row>
    <row r="269">
      <c r="A269" s="9" t="n"/>
      <c r="E269" s="10" t="n"/>
      <c r="G269" s="25">
        <f>IF($A269="","",IF(ISNA(MATCH($D269,{"brand_sales","office_coordination","receiving_kitting","drop_day","checks_pickup","reporting_debriefs","admin_invoicing"},0)),"activity must be one of the seven keys; ","")&amp;IF(OR(N($E269)&lt;=0,N($E269)&gt;16),"hours?; ","")&amp;IF(AND($C269&lt;&gt;"",$B269=""),"campaign without drop_id; ","")&amp;IF(AND($B269&lt;&gt;"",COUNTIF(drops!$A$2:$A$21,$B269)=0),"drop_id not on drops; ",""))</f>
        <v/>
      </c>
    </row>
    <row r="270">
      <c r="A270" s="9" t="n"/>
      <c r="E270" s="10" t="n"/>
      <c r="G270" s="25">
        <f>IF($A270="","",IF(ISNA(MATCH($D270,{"brand_sales","office_coordination","receiving_kitting","drop_day","checks_pickup","reporting_debriefs","admin_invoicing"},0)),"activity must be one of the seven keys; ","")&amp;IF(OR(N($E270)&lt;=0,N($E270)&gt;16),"hours?; ","")&amp;IF(AND($C270&lt;&gt;"",$B270=""),"campaign without drop_id; ","")&amp;IF(AND($B270&lt;&gt;"",COUNTIF(drops!$A$2:$A$21,$B270)=0),"drop_id not on drops; ",""))</f>
        <v/>
      </c>
    </row>
    <row r="271">
      <c r="A271" s="9" t="n"/>
      <c r="E271" s="10" t="n"/>
      <c r="G271" s="25">
        <f>IF($A271="","",IF(ISNA(MATCH($D271,{"brand_sales","office_coordination","receiving_kitting","drop_day","checks_pickup","reporting_debriefs","admin_invoicing"},0)),"activity must be one of the seven keys; ","")&amp;IF(OR(N($E271)&lt;=0,N($E271)&gt;16),"hours?; ","")&amp;IF(AND($C271&lt;&gt;"",$B271=""),"campaign without drop_id; ","")&amp;IF(AND($B271&lt;&gt;"",COUNTIF(drops!$A$2:$A$21,$B271)=0),"drop_id not on drops; ",""))</f>
        <v/>
      </c>
    </row>
    <row r="272">
      <c r="A272" s="9" t="n"/>
      <c r="E272" s="10" t="n"/>
      <c r="G272" s="25">
        <f>IF($A272="","",IF(ISNA(MATCH($D272,{"brand_sales","office_coordination","receiving_kitting","drop_day","checks_pickup","reporting_debriefs","admin_invoicing"},0)),"activity must be one of the seven keys; ","")&amp;IF(OR(N($E272)&lt;=0,N($E272)&gt;16),"hours?; ","")&amp;IF(AND($C272&lt;&gt;"",$B272=""),"campaign without drop_id; ","")&amp;IF(AND($B272&lt;&gt;"",COUNTIF(drops!$A$2:$A$21,$B272)=0),"drop_id not on drops; ",""))</f>
        <v/>
      </c>
    </row>
    <row r="273">
      <c r="A273" s="9" t="n"/>
      <c r="E273" s="10" t="n"/>
      <c r="G273" s="25">
        <f>IF($A273="","",IF(ISNA(MATCH($D273,{"brand_sales","office_coordination","receiving_kitting","drop_day","checks_pickup","reporting_debriefs","admin_invoicing"},0)),"activity must be one of the seven keys; ","")&amp;IF(OR(N($E273)&lt;=0,N($E273)&gt;16),"hours?; ","")&amp;IF(AND($C273&lt;&gt;"",$B273=""),"campaign without drop_id; ","")&amp;IF(AND($B273&lt;&gt;"",COUNTIF(drops!$A$2:$A$21,$B273)=0),"drop_id not on drops; ",""))</f>
        <v/>
      </c>
    </row>
    <row r="274">
      <c r="A274" s="9" t="n"/>
      <c r="E274" s="10" t="n"/>
      <c r="G274" s="25">
        <f>IF($A274="","",IF(ISNA(MATCH($D274,{"brand_sales","office_coordination","receiving_kitting","drop_day","checks_pickup","reporting_debriefs","admin_invoicing"},0)),"activity must be one of the seven keys; ","")&amp;IF(OR(N($E274)&lt;=0,N($E274)&gt;16),"hours?; ","")&amp;IF(AND($C274&lt;&gt;"",$B274=""),"campaign without drop_id; ","")&amp;IF(AND($B274&lt;&gt;"",COUNTIF(drops!$A$2:$A$21,$B274)=0),"drop_id not on drops; ",""))</f>
        <v/>
      </c>
    </row>
    <row r="275">
      <c r="A275" s="9" t="n"/>
      <c r="E275" s="10" t="n"/>
      <c r="G275" s="25">
        <f>IF($A275="","",IF(ISNA(MATCH($D275,{"brand_sales","office_coordination","receiving_kitting","drop_day","checks_pickup","reporting_debriefs","admin_invoicing"},0)),"activity must be one of the seven keys; ","")&amp;IF(OR(N($E275)&lt;=0,N($E275)&gt;16),"hours?; ","")&amp;IF(AND($C275&lt;&gt;"",$B275=""),"campaign without drop_id; ","")&amp;IF(AND($B275&lt;&gt;"",COUNTIF(drops!$A$2:$A$21,$B275)=0),"drop_id not on drops; ",""))</f>
        <v/>
      </c>
    </row>
    <row r="276">
      <c r="A276" s="9" t="n"/>
      <c r="E276" s="10" t="n"/>
      <c r="G276" s="25">
        <f>IF($A276="","",IF(ISNA(MATCH($D276,{"brand_sales","office_coordination","receiving_kitting","drop_day","checks_pickup","reporting_debriefs","admin_invoicing"},0)),"activity must be one of the seven keys; ","")&amp;IF(OR(N($E276)&lt;=0,N($E276)&gt;16),"hours?; ","")&amp;IF(AND($C276&lt;&gt;"",$B276=""),"campaign without drop_id; ","")&amp;IF(AND($B276&lt;&gt;"",COUNTIF(drops!$A$2:$A$21,$B276)=0),"drop_id not on drops; ",""))</f>
        <v/>
      </c>
    </row>
    <row r="277">
      <c r="A277" s="9" t="n"/>
      <c r="E277" s="10" t="n"/>
      <c r="G277" s="25">
        <f>IF($A277="","",IF(ISNA(MATCH($D277,{"brand_sales","office_coordination","receiving_kitting","drop_day","checks_pickup","reporting_debriefs","admin_invoicing"},0)),"activity must be one of the seven keys; ","")&amp;IF(OR(N($E277)&lt;=0,N($E277)&gt;16),"hours?; ","")&amp;IF(AND($C277&lt;&gt;"",$B277=""),"campaign without drop_id; ","")&amp;IF(AND($B277&lt;&gt;"",COUNTIF(drops!$A$2:$A$21,$B277)=0),"drop_id not on drops; ",""))</f>
        <v/>
      </c>
    </row>
    <row r="278">
      <c r="A278" s="9" t="n"/>
      <c r="E278" s="10" t="n"/>
      <c r="G278" s="25">
        <f>IF($A278="","",IF(ISNA(MATCH($D278,{"brand_sales","office_coordination","receiving_kitting","drop_day","checks_pickup","reporting_debriefs","admin_invoicing"},0)),"activity must be one of the seven keys; ","")&amp;IF(OR(N($E278)&lt;=0,N($E278)&gt;16),"hours?; ","")&amp;IF(AND($C278&lt;&gt;"",$B278=""),"campaign without drop_id; ","")&amp;IF(AND($B278&lt;&gt;"",COUNTIF(drops!$A$2:$A$21,$B278)=0),"drop_id not on drops; ",""))</f>
        <v/>
      </c>
    </row>
    <row r="279">
      <c r="A279" s="9" t="n"/>
      <c r="E279" s="10" t="n"/>
      <c r="G279" s="25">
        <f>IF($A279="","",IF(ISNA(MATCH($D279,{"brand_sales","office_coordination","receiving_kitting","drop_day","checks_pickup","reporting_debriefs","admin_invoicing"},0)),"activity must be one of the seven keys; ","")&amp;IF(OR(N($E279)&lt;=0,N($E279)&gt;16),"hours?; ","")&amp;IF(AND($C279&lt;&gt;"",$B279=""),"campaign without drop_id; ","")&amp;IF(AND($B279&lt;&gt;"",COUNTIF(drops!$A$2:$A$21,$B279)=0),"drop_id not on drops; ",""))</f>
        <v/>
      </c>
    </row>
    <row r="280">
      <c r="A280" s="9" t="n"/>
      <c r="E280" s="10" t="n"/>
      <c r="G280" s="25">
        <f>IF($A280="","",IF(ISNA(MATCH($D280,{"brand_sales","office_coordination","receiving_kitting","drop_day","checks_pickup","reporting_debriefs","admin_invoicing"},0)),"activity must be one of the seven keys; ","")&amp;IF(OR(N($E280)&lt;=0,N($E280)&gt;16),"hours?; ","")&amp;IF(AND($C280&lt;&gt;"",$B280=""),"campaign without drop_id; ","")&amp;IF(AND($B280&lt;&gt;"",COUNTIF(drops!$A$2:$A$21,$B280)=0),"drop_id not on drops; ",""))</f>
        <v/>
      </c>
    </row>
    <row r="281">
      <c r="A281" s="9" t="n"/>
      <c r="E281" s="10" t="n"/>
      <c r="G281" s="25">
        <f>IF($A281="","",IF(ISNA(MATCH($D281,{"brand_sales","office_coordination","receiving_kitting","drop_day","checks_pickup","reporting_debriefs","admin_invoicing"},0)),"activity must be one of the seven keys; ","")&amp;IF(OR(N($E281)&lt;=0,N($E281)&gt;16),"hours?; ","")&amp;IF(AND($C281&lt;&gt;"",$B281=""),"campaign without drop_id; ","")&amp;IF(AND($B281&lt;&gt;"",COUNTIF(drops!$A$2:$A$21,$B281)=0),"drop_id not on drops; ",""))</f>
        <v/>
      </c>
    </row>
    <row r="282">
      <c r="A282" s="9" t="n"/>
      <c r="E282" s="10" t="n"/>
      <c r="G282" s="25">
        <f>IF($A282="","",IF(ISNA(MATCH($D282,{"brand_sales","office_coordination","receiving_kitting","drop_day","checks_pickup","reporting_debriefs","admin_invoicing"},0)),"activity must be one of the seven keys; ","")&amp;IF(OR(N($E282)&lt;=0,N($E282)&gt;16),"hours?; ","")&amp;IF(AND($C282&lt;&gt;"",$B282=""),"campaign without drop_id; ","")&amp;IF(AND($B282&lt;&gt;"",COUNTIF(drops!$A$2:$A$21,$B282)=0),"drop_id not on drops; ",""))</f>
        <v/>
      </c>
    </row>
    <row r="283">
      <c r="A283" s="9" t="n"/>
      <c r="E283" s="10" t="n"/>
      <c r="G283" s="25">
        <f>IF($A283="","",IF(ISNA(MATCH($D283,{"brand_sales","office_coordination","receiving_kitting","drop_day","checks_pickup","reporting_debriefs","admin_invoicing"},0)),"activity must be one of the seven keys; ","")&amp;IF(OR(N($E283)&lt;=0,N($E283)&gt;16),"hours?; ","")&amp;IF(AND($C283&lt;&gt;"",$B283=""),"campaign without drop_id; ","")&amp;IF(AND($B283&lt;&gt;"",COUNTIF(drops!$A$2:$A$21,$B283)=0),"drop_id not on drops; ",""))</f>
        <v/>
      </c>
    </row>
    <row r="284">
      <c r="A284" s="9" t="n"/>
      <c r="E284" s="10" t="n"/>
      <c r="G284" s="25">
        <f>IF($A284="","",IF(ISNA(MATCH($D284,{"brand_sales","office_coordination","receiving_kitting","drop_day","checks_pickup","reporting_debriefs","admin_invoicing"},0)),"activity must be one of the seven keys; ","")&amp;IF(OR(N($E284)&lt;=0,N($E284)&gt;16),"hours?; ","")&amp;IF(AND($C284&lt;&gt;"",$B284=""),"campaign without drop_id; ","")&amp;IF(AND($B284&lt;&gt;"",COUNTIF(drops!$A$2:$A$21,$B284)=0),"drop_id not on drops; ",""))</f>
        <v/>
      </c>
    </row>
    <row r="285">
      <c r="A285" s="9" t="n"/>
      <c r="E285" s="10" t="n"/>
      <c r="G285" s="25">
        <f>IF($A285="","",IF(ISNA(MATCH($D285,{"brand_sales","office_coordination","receiving_kitting","drop_day","checks_pickup","reporting_debriefs","admin_invoicing"},0)),"activity must be one of the seven keys; ","")&amp;IF(OR(N($E285)&lt;=0,N($E285)&gt;16),"hours?; ","")&amp;IF(AND($C285&lt;&gt;"",$B285=""),"campaign without drop_id; ","")&amp;IF(AND($B285&lt;&gt;"",COUNTIF(drops!$A$2:$A$21,$B285)=0),"drop_id not on drops; ",""))</f>
        <v/>
      </c>
    </row>
    <row r="286">
      <c r="A286" s="9" t="n"/>
      <c r="E286" s="10" t="n"/>
      <c r="G286" s="25">
        <f>IF($A286="","",IF(ISNA(MATCH($D286,{"brand_sales","office_coordination","receiving_kitting","drop_day","checks_pickup","reporting_debriefs","admin_invoicing"},0)),"activity must be one of the seven keys; ","")&amp;IF(OR(N($E286)&lt;=0,N($E286)&gt;16),"hours?; ","")&amp;IF(AND($C286&lt;&gt;"",$B286=""),"campaign without drop_id; ","")&amp;IF(AND($B286&lt;&gt;"",COUNTIF(drops!$A$2:$A$21,$B286)=0),"drop_id not on drops; ",""))</f>
        <v/>
      </c>
    </row>
    <row r="287">
      <c r="A287" s="9" t="n"/>
      <c r="E287" s="10" t="n"/>
      <c r="G287" s="25">
        <f>IF($A287="","",IF(ISNA(MATCH($D287,{"brand_sales","office_coordination","receiving_kitting","drop_day","checks_pickup","reporting_debriefs","admin_invoicing"},0)),"activity must be one of the seven keys; ","")&amp;IF(OR(N($E287)&lt;=0,N($E287)&gt;16),"hours?; ","")&amp;IF(AND($C287&lt;&gt;"",$B287=""),"campaign without drop_id; ","")&amp;IF(AND($B287&lt;&gt;"",COUNTIF(drops!$A$2:$A$21,$B287)=0),"drop_id not on drops; ",""))</f>
        <v/>
      </c>
    </row>
    <row r="288">
      <c r="A288" s="9" t="n"/>
      <c r="E288" s="10" t="n"/>
      <c r="G288" s="25">
        <f>IF($A288="","",IF(ISNA(MATCH($D288,{"brand_sales","office_coordination","receiving_kitting","drop_day","checks_pickup","reporting_debriefs","admin_invoicing"},0)),"activity must be one of the seven keys; ","")&amp;IF(OR(N($E288)&lt;=0,N($E288)&gt;16),"hours?; ","")&amp;IF(AND($C288&lt;&gt;"",$B288=""),"campaign without drop_id; ","")&amp;IF(AND($B288&lt;&gt;"",COUNTIF(drops!$A$2:$A$21,$B288)=0),"drop_id not on drops; ",""))</f>
        <v/>
      </c>
    </row>
    <row r="289">
      <c r="A289" s="9" t="n"/>
      <c r="E289" s="10" t="n"/>
      <c r="G289" s="25">
        <f>IF($A289="","",IF(ISNA(MATCH($D289,{"brand_sales","office_coordination","receiving_kitting","drop_day","checks_pickup","reporting_debriefs","admin_invoicing"},0)),"activity must be one of the seven keys; ","")&amp;IF(OR(N($E289)&lt;=0,N($E289)&gt;16),"hours?; ","")&amp;IF(AND($C289&lt;&gt;"",$B289=""),"campaign without drop_id; ","")&amp;IF(AND($B289&lt;&gt;"",COUNTIF(drops!$A$2:$A$21,$B289)=0),"drop_id not on drops; ",""))</f>
        <v/>
      </c>
    </row>
    <row r="290">
      <c r="A290" s="9" t="n"/>
      <c r="E290" s="10" t="n"/>
      <c r="G290" s="25">
        <f>IF($A290="","",IF(ISNA(MATCH($D290,{"brand_sales","office_coordination","receiving_kitting","drop_day","checks_pickup","reporting_debriefs","admin_invoicing"},0)),"activity must be one of the seven keys; ","")&amp;IF(OR(N($E290)&lt;=0,N($E290)&gt;16),"hours?; ","")&amp;IF(AND($C290&lt;&gt;"",$B290=""),"campaign without drop_id; ","")&amp;IF(AND($B290&lt;&gt;"",COUNTIF(drops!$A$2:$A$21,$B290)=0),"drop_id not on drops; ",""))</f>
        <v/>
      </c>
    </row>
    <row r="291">
      <c r="A291" s="9" t="n"/>
      <c r="E291" s="10" t="n"/>
      <c r="G291" s="25">
        <f>IF($A291="","",IF(ISNA(MATCH($D291,{"brand_sales","office_coordination","receiving_kitting","drop_day","checks_pickup","reporting_debriefs","admin_invoicing"},0)),"activity must be one of the seven keys; ","")&amp;IF(OR(N($E291)&lt;=0,N($E291)&gt;16),"hours?; ","")&amp;IF(AND($C291&lt;&gt;"",$B291=""),"campaign without drop_id; ","")&amp;IF(AND($B291&lt;&gt;"",COUNTIF(drops!$A$2:$A$21,$B291)=0),"drop_id not on drops; ",""))</f>
        <v/>
      </c>
    </row>
    <row r="292">
      <c r="A292" s="9" t="n"/>
      <c r="E292" s="10" t="n"/>
      <c r="G292" s="25">
        <f>IF($A292="","",IF(ISNA(MATCH($D292,{"brand_sales","office_coordination","receiving_kitting","drop_day","checks_pickup","reporting_debriefs","admin_invoicing"},0)),"activity must be one of the seven keys; ","")&amp;IF(OR(N($E292)&lt;=0,N($E292)&gt;16),"hours?; ","")&amp;IF(AND($C292&lt;&gt;"",$B292=""),"campaign without drop_id; ","")&amp;IF(AND($B292&lt;&gt;"",COUNTIF(drops!$A$2:$A$21,$B292)=0),"drop_id not on drops; ",""))</f>
        <v/>
      </c>
    </row>
    <row r="293">
      <c r="A293" s="9" t="n"/>
      <c r="E293" s="10" t="n"/>
      <c r="G293" s="25">
        <f>IF($A293="","",IF(ISNA(MATCH($D293,{"brand_sales","office_coordination","receiving_kitting","drop_day","checks_pickup","reporting_debriefs","admin_invoicing"},0)),"activity must be one of the seven keys; ","")&amp;IF(OR(N($E293)&lt;=0,N($E293)&gt;16),"hours?; ","")&amp;IF(AND($C293&lt;&gt;"",$B293=""),"campaign without drop_id; ","")&amp;IF(AND($B293&lt;&gt;"",COUNTIF(drops!$A$2:$A$21,$B293)=0),"drop_id not on drops; ",""))</f>
        <v/>
      </c>
    </row>
    <row r="294">
      <c r="A294" s="9" t="n"/>
      <c r="E294" s="10" t="n"/>
      <c r="G294" s="25">
        <f>IF($A294="","",IF(ISNA(MATCH($D294,{"brand_sales","office_coordination","receiving_kitting","drop_day","checks_pickup","reporting_debriefs","admin_invoicing"},0)),"activity must be one of the seven keys; ","")&amp;IF(OR(N($E294)&lt;=0,N($E294)&gt;16),"hours?; ","")&amp;IF(AND($C294&lt;&gt;"",$B294=""),"campaign without drop_id; ","")&amp;IF(AND($B294&lt;&gt;"",COUNTIF(drops!$A$2:$A$21,$B294)=0),"drop_id not on drops; ",""))</f>
        <v/>
      </c>
    </row>
    <row r="295">
      <c r="A295" s="9" t="n"/>
      <c r="E295" s="10" t="n"/>
      <c r="G295" s="25">
        <f>IF($A295="","",IF(ISNA(MATCH($D295,{"brand_sales","office_coordination","receiving_kitting","drop_day","checks_pickup","reporting_debriefs","admin_invoicing"},0)),"activity must be one of the seven keys; ","")&amp;IF(OR(N($E295)&lt;=0,N($E295)&gt;16),"hours?; ","")&amp;IF(AND($C295&lt;&gt;"",$B295=""),"campaign without drop_id; ","")&amp;IF(AND($B295&lt;&gt;"",COUNTIF(drops!$A$2:$A$21,$B295)=0),"drop_id not on drops; ",""))</f>
        <v/>
      </c>
    </row>
    <row r="296">
      <c r="A296" s="9" t="n"/>
      <c r="E296" s="10" t="n"/>
      <c r="G296" s="25">
        <f>IF($A296="","",IF(ISNA(MATCH($D296,{"brand_sales","office_coordination","receiving_kitting","drop_day","checks_pickup","reporting_debriefs","admin_invoicing"},0)),"activity must be one of the seven keys; ","")&amp;IF(OR(N($E296)&lt;=0,N($E296)&gt;16),"hours?; ","")&amp;IF(AND($C296&lt;&gt;"",$B296=""),"campaign without drop_id; ","")&amp;IF(AND($B296&lt;&gt;"",COUNTIF(drops!$A$2:$A$21,$B296)=0),"drop_id not on drops; ",""))</f>
        <v/>
      </c>
    </row>
    <row r="297">
      <c r="A297" s="9" t="n"/>
      <c r="E297" s="10" t="n"/>
      <c r="G297" s="25">
        <f>IF($A297="","",IF(ISNA(MATCH($D297,{"brand_sales","office_coordination","receiving_kitting","drop_day","checks_pickup","reporting_debriefs","admin_invoicing"},0)),"activity must be one of the seven keys; ","")&amp;IF(OR(N($E297)&lt;=0,N($E297)&gt;16),"hours?; ","")&amp;IF(AND($C297&lt;&gt;"",$B297=""),"campaign without drop_id; ","")&amp;IF(AND($B297&lt;&gt;"",COUNTIF(drops!$A$2:$A$21,$B297)=0),"drop_id not on drops; ",""))</f>
        <v/>
      </c>
    </row>
    <row r="298">
      <c r="A298" s="9" t="n"/>
      <c r="E298" s="10" t="n"/>
      <c r="G298" s="25">
        <f>IF($A298="","",IF(ISNA(MATCH($D298,{"brand_sales","office_coordination","receiving_kitting","drop_day","checks_pickup","reporting_debriefs","admin_invoicing"},0)),"activity must be one of the seven keys; ","")&amp;IF(OR(N($E298)&lt;=0,N($E298)&gt;16),"hours?; ","")&amp;IF(AND($C298&lt;&gt;"",$B298=""),"campaign without drop_id; ","")&amp;IF(AND($B298&lt;&gt;"",COUNTIF(drops!$A$2:$A$21,$B298)=0),"drop_id not on drops; ",""))</f>
        <v/>
      </c>
    </row>
    <row r="299">
      <c r="A299" s="9" t="n"/>
      <c r="E299" s="10" t="n"/>
      <c r="G299" s="25">
        <f>IF($A299="","",IF(ISNA(MATCH($D299,{"brand_sales","office_coordination","receiving_kitting","drop_day","checks_pickup","reporting_debriefs","admin_invoicing"},0)),"activity must be one of the seven keys; ","")&amp;IF(OR(N($E299)&lt;=0,N($E299)&gt;16),"hours?; ","")&amp;IF(AND($C299&lt;&gt;"",$B299=""),"campaign without drop_id; ","")&amp;IF(AND($B299&lt;&gt;"",COUNTIF(drops!$A$2:$A$21,$B299)=0),"drop_id not on drops; ",""))</f>
        <v/>
      </c>
    </row>
    <row r="300">
      <c r="A300" s="9" t="n"/>
      <c r="E300" s="10" t="n"/>
      <c r="G300" s="25">
        <f>IF($A300="","",IF(ISNA(MATCH($D300,{"brand_sales","office_coordination","receiving_kitting","drop_day","checks_pickup","reporting_debriefs","admin_invoicing"},0)),"activity must be one of the seven keys; ","")&amp;IF(OR(N($E300)&lt;=0,N($E300)&gt;16),"hours?; ","")&amp;IF(AND($C300&lt;&gt;"",$B300=""),"campaign without drop_id; ","")&amp;IF(AND($B300&lt;&gt;"",COUNTIF(drops!$A$2:$A$21,$B300)=0),"drop_id not on drops; ",""))</f>
        <v/>
      </c>
    </row>
    <row r="301">
      <c r="A301" s="9" t="n"/>
      <c r="E301" s="10" t="n"/>
      <c r="G301" s="25">
        <f>IF($A301="","",IF(ISNA(MATCH($D301,{"brand_sales","office_coordination","receiving_kitting","drop_day","checks_pickup","reporting_debriefs","admin_invoicing"},0)),"activity must be one of the seven keys; ","")&amp;IF(OR(N($E301)&lt;=0,N($E301)&gt;16),"hours?; ","")&amp;IF(AND($C301&lt;&gt;"",$B301=""),"campaign without drop_id; ","")&amp;IF(AND($B301&lt;&gt;"",COUNTIF(drops!$A$2:$A$21,$B301)=0),"drop_id not on drops; ",""))</f>
        <v/>
      </c>
    </row>
    <row r="302">
      <c r="A302" s="9" t="n"/>
      <c r="E302" s="10" t="n"/>
      <c r="G302" s="25">
        <f>IF($A302="","",IF(ISNA(MATCH($D302,{"brand_sales","office_coordination","receiving_kitting","drop_day","checks_pickup","reporting_debriefs","admin_invoicing"},0)),"activity must be one of the seven keys; ","")&amp;IF(OR(N($E302)&lt;=0,N($E302)&gt;16),"hours?; ","")&amp;IF(AND($C302&lt;&gt;"",$B302=""),"campaign without drop_id; ","")&amp;IF(AND($B302&lt;&gt;"",COUNTIF(drops!$A$2:$A$21,$B302)=0),"drop_id not on drops; ",""))</f>
        <v/>
      </c>
    </row>
    <row r="303">
      <c r="A303" s="9" t="n"/>
      <c r="E303" s="10" t="n"/>
      <c r="G303" s="25">
        <f>IF($A303="","",IF(ISNA(MATCH($D303,{"brand_sales","office_coordination","receiving_kitting","drop_day","checks_pickup","reporting_debriefs","admin_invoicing"},0)),"activity must be one of the seven keys; ","")&amp;IF(OR(N($E303)&lt;=0,N($E303)&gt;16),"hours?; ","")&amp;IF(AND($C303&lt;&gt;"",$B303=""),"campaign without drop_id; ","")&amp;IF(AND($B303&lt;&gt;"",COUNTIF(drops!$A$2:$A$21,$B303)=0),"drop_id not on drops; ",""))</f>
        <v/>
      </c>
    </row>
    <row r="304">
      <c r="A304" s="9" t="n"/>
      <c r="E304" s="10" t="n"/>
      <c r="G304" s="25">
        <f>IF($A304="","",IF(ISNA(MATCH($D304,{"brand_sales","office_coordination","receiving_kitting","drop_day","checks_pickup","reporting_debriefs","admin_invoicing"},0)),"activity must be one of the seven keys; ","")&amp;IF(OR(N($E304)&lt;=0,N($E304)&gt;16),"hours?; ","")&amp;IF(AND($C304&lt;&gt;"",$B304=""),"campaign without drop_id; ","")&amp;IF(AND($B304&lt;&gt;"",COUNTIF(drops!$A$2:$A$21,$B304)=0),"drop_id not on drops; ",""))</f>
        <v/>
      </c>
    </row>
    <row r="305">
      <c r="A305" s="9" t="n"/>
      <c r="E305" s="10" t="n"/>
      <c r="G305" s="25">
        <f>IF($A305="","",IF(ISNA(MATCH($D305,{"brand_sales","office_coordination","receiving_kitting","drop_day","checks_pickup","reporting_debriefs","admin_invoicing"},0)),"activity must be one of the seven keys; ","")&amp;IF(OR(N($E305)&lt;=0,N($E305)&gt;16),"hours?; ","")&amp;IF(AND($C305&lt;&gt;"",$B305=""),"campaign without drop_id; ","")&amp;IF(AND($B305&lt;&gt;"",COUNTIF(drops!$A$2:$A$21,$B305)=0),"drop_id not on drops; ",""))</f>
        <v/>
      </c>
    </row>
    <row r="306">
      <c r="A306" s="9" t="n"/>
      <c r="E306" s="10" t="n"/>
      <c r="G306" s="25">
        <f>IF($A306="","",IF(ISNA(MATCH($D306,{"brand_sales","office_coordination","receiving_kitting","drop_day","checks_pickup","reporting_debriefs","admin_invoicing"},0)),"activity must be one of the seven keys; ","")&amp;IF(OR(N($E306)&lt;=0,N($E306)&gt;16),"hours?; ","")&amp;IF(AND($C306&lt;&gt;"",$B306=""),"campaign without drop_id; ","")&amp;IF(AND($B306&lt;&gt;"",COUNTIF(drops!$A$2:$A$21,$B306)=0),"drop_id not on drops; ",""))</f>
        <v/>
      </c>
    </row>
    <row r="307">
      <c r="A307" s="9" t="n"/>
      <c r="E307" s="10" t="n"/>
      <c r="G307" s="25">
        <f>IF($A307="","",IF(ISNA(MATCH($D307,{"brand_sales","office_coordination","receiving_kitting","drop_day","checks_pickup","reporting_debriefs","admin_invoicing"},0)),"activity must be one of the seven keys; ","")&amp;IF(OR(N($E307)&lt;=0,N($E307)&gt;16),"hours?; ","")&amp;IF(AND($C307&lt;&gt;"",$B307=""),"campaign without drop_id; ","")&amp;IF(AND($B307&lt;&gt;"",COUNTIF(drops!$A$2:$A$21,$B307)=0),"drop_id not on drops; ",""))</f>
        <v/>
      </c>
    </row>
    <row r="308">
      <c r="A308" s="9" t="n"/>
      <c r="E308" s="10" t="n"/>
      <c r="G308" s="25">
        <f>IF($A308="","",IF(ISNA(MATCH($D308,{"brand_sales","office_coordination","receiving_kitting","drop_day","checks_pickup","reporting_debriefs","admin_invoicing"},0)),"activity must be one of the seven keys; ","")&amp;IF(OR(N($E308)&lt;=0,N($E308)&gt;16),"hours?; ","")&amp;IF(AND($C308&lt;&gt;"",$B308=""),"campaign without drop_id; ","")&amp;IF(AND($B308&lt;&gt;"",COUNTIF(drops!$A$2:$A$21,$B308)=0),"drop_id not on drops; ",""))</f>
        <v/>
      </c>
    </row>
    <row r="309">
      <c r="A309" s="9" t="n"/>
      <c r="E309" s="10" t="n"/>
      <c r="G309" s="25">
        <f>IF($A309="","",IF(ISNA(MATCH($D309,{"brand_sales","office_coordination","receiving_kitting","drop_day","checks_pickup","reporting_debriefs","admin_invoicing"},0)),"activity must be one of the seven keys; ","")&amp;IF(OR(N($E309)&lt;=0,N($E309)&gt;16),"hours?; ","")&amp;IF(AND($C309&lt;&gt;"",$B309=""),"campaign without drop_id; ","")&amp;IF(AND($B309&lt;&gt;"",COUNTIF(drops!$A$2:$A$21,$B309)=0),"drop_id not on drops; ",""))</f>
        <v/>
      </c>
    </row>
    <row r="310">
      <c r="A310" s="9" t="n"/>
      <c r="E310" s="10" t="n"/>
      <c r="G310" s="25">
        <f>IF($A310="","",IF(ISNA(MATCH($D310,{"brand_sales","office_coordination","receiving_kitting","drop_day","checks_pickup","reporting_debriefs","admin_invoicing"},0)),"activity must be one of the seven keys; ","")&amp;IF(OR(N($E310)&lt;=0,N($E310)&gt;16),"hours?; ","")&amp;IF(AND($C310&lt;&gt;"",$B310=""),"campaign without drop_id; ","")&amp;IF(AND($B310&lt;&gt;"",COUNTIF(drops!$A$2:$A$21,$B310)=0),"drop_id not on drops; ",""))</f>
        <v/>
      </c>
    </row>
    <row r="311">
      <c r="A311" s="9" t="n"/>
      <c r="E311" s="10" t="n"/>
      <c r="G311" s="25">
        <f>IF($A311="","",IF(ISNA(MATCH($D311,{"brand_sales","office_coordination","receiving_kitting","drop_day","checks_pickup","reporting_debriefs","admin_invoicing"},0)),"activity must be one of the seven keys; ","")&amp;IF(OR(N($E311)&lt;=0,N($E311)&gt;16),"hours?; ","")&amp;IF(AND($C311&lt;&gt;"",$B311=""),"campaign without drop_id; ","")&amp;IF(AND($B311&lt;&gt;"",COUNTIF(drops!$A$2:$A$21,$B311)=0),"drop_id not on drops; ",""))</f>
        <v/>
      </c>
    </row>
    <row r="312">
      <c r="A312" s="9" t="n"/>
      <c r="E312" s="10" t="n"/>
      <c r="G312" s="25">
        <f>IF($A312="","",IF(ISNA(MATCH($D312,{"brand_sales","office_coordination","receiving_kitting","drop_day","checks_pickup","reporting_debriefs","admin_invoicing"},0)),"activity must be one of the seven keys; ","")&amp;IF(OR(N($E312)&lt;=0,N($E312)&gt;16),"hours?; ","")&amp;IF(AND($C312&lt;&gt;"",$B312=""),"campaign without drop_id; ","")&amp;IF(AND($B312&lt;&gt;"",COUNTIF(drops!$A$2:$A$21,$B312)=0),"drop_id not on drops; ",""))</f>
        <v/>
      </c>
    </row>
    <row r="313">
      <c r="A313" s="9" t="n"/>
      <c r="E313" s="10" t="n"/>
      <c r="G313" s="25">
        <f>IF($A313="","",IF(ISNA(MATCH($D313,{"brand_sales","office_coordination","receiving_kitting","drop_day","checks_pickup","reporting_debriefs","admin_invoicing"},0)),"activity must be one of the seven keys; ","")&amp;IF(OR(N($E313)&lt;=0,N($E313)&gt;16),"hours?; ","")&amp;IF(AND($C313&lt;&gt;"",$B313=""),"campaign without drop_id; ","")&amp;IF(AND($B313&lt;&gt;"",COUNTIF(drops!$A$2:$A$21,$B313)=0),"drop_id not on drops; ",""))</f>
        <v/>
      </c>
    </row>
    <row r="314">
      <c r="A314" s="9" t="n"/>
      <c r="E314" s="10" t="n"/>
      <c r="G314" s="25">
        <f>IF($A314="","",IF(ISNA(MATCH($D314,{"brand_sales","office_coordination","receiving_kitting","drop_day","checks_pickup","reporting_debriefs","admin_invoicing"},0)),"activity must be one of the seven keys; ","")&amp;IF(OR(N($E314)&lt;=0,N($E314)&gt;16),"hours?; ","")&amp;IF(AND($C314&lt;&gt;"",$B314=""),"campaign without drop_id; ","")&amp;IF(AND($B314&lt;&gt;"",COUNTIF(drops!$A$2:$A$21,$B314)=0),"drop_id not on drops; ",""))</f>
        <v/>
      </c>
    </row>
    <row r="315">
      <c r="A315" s="9" t="n"/>
      <c r="E315" s="10" t="n"/>
      <c r="G315" s="25">
        <f>IF($A315="","",IF(ISNA(MATCH($D315,{"brand_sales","office_coordination","receiving_kitting","drop_day","checks_pickup","reporting_debriefs","admin_invoicing"},0)),"activity must be one of the seven keys; ","")&amp;IF(OR(N($E315)&lt;=0,N($E315)&gt;16),"hours?; ","")&amp;IF(AND($C315&lt;&gt;"",$B315=""),"campaign without drop_id; ","")&amp;IF(AND($B315&lt;&gt;"",COUNTIF(drops!$A$2:$A$21,$B315)=0),"drop_id not on drops; ",""))</f>
        <v/>
      </c>
    </row>
    <row r="316">
      <c r="A316" s="9" t="n"/>
      <c r="E316" s="10" t="n"/>
      <c r="G316" s="25">
        <f>IF($A316="","",IF(ISNA(MATCH($D316,{"brand_sales","office_coordination","receiving_kitting","drop_day","checks_pickup","reporting_debriefs","admin_invoicing"},0)),"activity must be one of the seven keys; ","")&amp;IF(OR(N($E316)&lt;=0,N($E316)&gt;16),"hours?; ","")&amp;IF(AND($C316&lt;&gt;"",$B316=""),"campaign without drop_id; ","")&amp;IF(AND($B316&lt;&gt;"",COUNTIF(drops!$A$2:$A$21,$B316)=0),"drop_id not on drops; ",""))</f>
        <v/>
      </c>
    </row>
    <row r="317">
      <c r="A317" s="9" t="n"/>
      <c r="E317" s="10" t="n"/>
      <c r="G317" s="25">
        <f>IF($A317="","",IF(ISNA(MATCH($D317,{"brand_sales","office_coordination","receiving_kitting","drop_day","checks_pickup","reporting_debriefs","admin_invoicing"},0)),"activity must be one of the seven keys; ","")&amp;IF(OR(N($E317)&lt;=0,N($E317)&gt;16),"hours?; ","")&amp;IF(AND($C317&lt;&gt;"",$B317=""),"campaign without drop_id; ","")&amp;IF(AND($B317&lt;&gt;"",COUNTIF(drops!$A$2:$A$21,$B317)=0),"drop_id not on drops; ",""))</f>
        <v/>
      </c>
    </row>
    <row r="318">
      <c r="A318" s="9" t="n"/>
      <c r="E318" s="10" t="n"/>
      <c r="G318" s="25">
        <f>IF($A318="","",IF(ISNA(MATCH($D318,{"brand_sales","office_coordination","receiving_kitting","drop_day","checks_pickup","reporting_debriefs","admin_invoicing"},0)),"activity must be one of the seven keys; ","")&amp;IF(OR(N($E318)&lt;=0,N($E318)&gt;16),"hours?; ","")&amp;IF(AND($C318&lt;&gt;"",$B318=""),"campaign without drop_id; ","")&amp;IF(AND($B318&lt;&gt;"",COUNTIF(drops!$A$2:$A$21,$B318)=0),"drop_id not on drops; ",""))</f>
        <v/>
      </c>
    </row>
    <row r="319">
      <c r="A319" s="9" t="n"/>
      <c r="E319" s="10" t="n"/>
      <c r="G319" s="25">
        <f>IF($A319="","",IF(ISNA(MATCH($D319,{"brand_sales","office_coordination","receiving_kitting","drop_day","checks_pickup","reporting_debriefs","admin_invoicing"},0)),"activity must be one of the seven keys; ","")&amp;IF(OR(N($E319)&lt;=0,N($E319)&gt;16),"hours?; ","")&amp;IF(AND($C319&lt;&gt;"",$B319=""),"campaign without drop_id; ","")&amp;IF(AND($B319&lt;&gt;"",COUNTIF(drops!$A$2:$A$21,$B319)=0),"drop_id not on drops; ",""))</f>
        <v/>
      </c>
    </row>
    <row r="320">
      <c r="A320" s="9" t="n"/>
      <c r="E320" s="10" t="n"/>
      <c r="G320" s="25">
        <f>IF($A320="","",IF(ISNA(MATCH($D320,{"brand_sales","office_coordination","receiving_kitting","drop_day","checks_pickup","reporting_debriefs","admin_invoicing"},0)),"activity must be one of the seven keys; ","")&amp;IF(OR(N($E320)&lt;=0,N($E320)&gt;16),"hours?; ","")&amp;IF(AND($C320&lt;&gt;"",$B320=""),"campaign without drop_id; ","")&amp;IF(AND($B320&lt;&gt;"",COUNTIF(drops!$A$2:$A$21,$B320)=0),"drop_id not on drops; ",""))</f>
        <v/>
      </c>
    </row>
    <row r="321">
      <c r="A321" s="9" t="n"/>
      <c r="E321" s="10" t="n"/>
      <c r="G321" s="25">
        <f>IF($A321="","",IF(ISNA(MATCH($D321,{"brand_sales","office_coordination","receiving_kitting","drop_day","checks_pickup","reporting_debriefs","admin_invoicing"},0)),"activity must be one of the seven keys; ","")&amp;IF(OR(N($E321)&lt;=0,N($E321)&gt;16),"hours?; ","")&amp;IF(AND($C321&lt;&gt;"",$B321=""),"campaign without drop_id; ","")&amp;IF(AND($B321&lt;&gt;"",COUNTIF(drops!$A$2:$A$21,$B321)=0),"drop_id not on drops; ",""))</f>
        <v/>
      </c>
    </row>
    <row r="322">
      <c r="A322" s="9" t="n"/>
      <c r="E322" s="10" t="n"/>
      <c r="G322" s="25">
        <f>IF($A322="","",IF(ISNA(MATCH($D322,{"brand_sales","office_coordination","receiving_kitting","drop_day","checks_pickup","reporting_debriefs","admin_invoicing"},0)),"activity must be one of the seven keys; ","")&amp;IF(OR(N($E322)&lt;=0,N($E322)&gt;16),"hours?; ","")&amp;IF(AND($C322&lt;&gt;"",$B322=""),"campaign without drop_id; ","")&amp;IF(AND($B322&lt;&gt;"",COUNTIF(drops!$A$2:$A$21,$B322)=0),"drop_id not on drops; ",""))</f>
        <v/>
      </c>
    </row>
    <row r="323">
      <c r="A323" s="9" t="n"/>
      <c r="E323" s="10" t="n"/>
      <c r="G323" s="25">
        <f>IF($A323="","",IF(ISNA(MATCH($D323,{"brand_sales","office_coordination","receiving_kitting","drop_day","checks_pickup","reporting_debriefs","admin_invoicing"},0)),"activity must be one of the seven keys; ","")&amp;IF(OR(N($E323)&lt;=0,N($E323)&gt;16),"hours?; ","")&amp;IF(AND($C323&lt;&gt;"",$B323=""),"campaign without drop_id; ","")&amp;IF(AND($B323&lt;&gt;"",COUNTIF(drops!$A$2:$A$21,$B323)=0),"drop_id not on drops; ",""))</f>
        <v/>
      </c>
    </row>
    <row r="324">
      <c r="A324" s="9" t="n"/>
      <c r="E324" s="10" t="n"/>
      <c r="G324" s="25">
        <f>IF($A324="","",IF(ISNA(MATCH($D324,{"brand_sales","office_coordination","receiving_kitting","drop_day","checks_pickup","reporting_debriefs","admin_invoicing"},0)),"activity must be one of the seven keys; ","")&amp;IF(OR(N($E324)&lt;=0,N($E324)&gt;16),"hours?; ","")&amp;IF(AND($C324&lt;&gt;"",$B324=""),"campaign without drop_id; ","")&amp;IF(AND($B324&lt;&gt;"",COUNTIF(drops!$A$2:$A$21,$B324)=0),"drop_id not on drops; ",""))</f>
        <v/>
      </c>
    </row>
    <row r="325">
      <c r="A325" s="9" t="n"/>
      <c r="E325" s="10" t="n"/>
      <c r="G325" s="25">
        <f>IF($A325="","",IF(ISNA(MATCH($D325,{"brand_sales","office_coordination","receiving_kitting","drop_day","checks_pickup","reporting_debriefs","admin_invoicing"},0)),"activity must be one of the seven keys; ","")&amp;IF(OR(N($E325)&lt;=0,N($E325)&gt;16),"hours?; ","")&amp;IF(AND($C325&lt;&gt;"",$B325=""),"campaign without drop_id; ","")&amp;IF(AND($B325&lt;&gt;"",COUNTIF(drops!$A$2:$A$21,$B325)=0),"drop_id not on drops; ",""))</f>
        <v/>
      </c>
    </row>
    <row r="326">
      <c r="A326" s="9" t="n"/>
      <c r="E326" s="10" t="n"/>
      <c r="G326" s="25">
        <f>IF($A326="","",IF(ISNA(MATCH($D326,{"brand_sales","office_coordination","receiving_kitting","drop_day","checks_pickup","reporting_debriefs","admin_invoicing"},0)),"activity must be one of the seven keys; ","")&amp;IF(OR(N($E326)&lt;=0,N($E326)&gt;16),"hours?; ","")&amp;IF(AND($C326&lt;&gt;"",$B326=""),"campaign without drop_id; ","")&amp;IF(AND($B326&lt;&gt;"",COUNTIF(drops!$A$2:$A$21,$B326)=0),"drop_id not on drops; ",""))</f>
        <v/>
      </c>
    </row>
    <row r="327">
      <c r="A327" s="9" t="n"/>
      <c r="E327" s="10" t="n"/>
      <c r="G327" s="25">
        <f>IF($A327="","",IF(ISNA(MATCH($D327,{"brand_sales","office_coordination","receiving_kitting","drop_day","checks_pickup","reporting_debriefs","admin_invoicing"},0)),"activity must be one of the seven keys; ","")&amp;IF(OR(N($E327)&lt;=0,N($E327)&gt;16),"hours?; ","")&amp;IF(AND($C327&lt;&gt;"",$B327=""),"campaign without drop_id; ","")&amp;IF(AND($B327&lt;&gt;"",COUNTIF(drops!$A$2:$A$21,$B327)=0),"drop_id not on drops; ",""))</f>
        <v/>
      </c>
    </row>
    <row r="328">
      <c r="A328" s="9" t="n"/>
      <c r="E328" s="10" t="n"/>
      <c r="G328" s="25">
        <f>IF($A328="","",IF(ISNA(MATCH($D328,{"brand_sales","office_coordination","receiving_kitting","drop_day","checks_pickup","reporting_debriefs","admin_invoicing"},0)),"activity must be one of the seven keys; ","")&amp;IF(OR(N($E328)&lt;=0,N($E328)&gt;16),"hours?; ","")&amp;IF(AND($C328&lt;&gt;"",$B328=""),"campaign without drop_id; ","")&amp;IF(AND($B328&lt;&gt;"",COUNTIF(drops!$A$2:$A$21,$B328)=0),"drop_id not on drops; ",""))</f>
        <v/>
      </c>
    </row>
    <row r="329">
      <c r="A329" s="9" t="n"/>
      <c r="E329" s="10" t="n"/>
      <c r="G329" s="25">
        <f>IF($A329="","",IF(ISNA(MATCH($D329,{"brand_sales","office_coordination","receiving_kitting","drop_day","checks_pickup","reporting_debriefs","admin_invoicing"},0)),"activity must be one of the seven keys; ","")&amp;IF(OR(N($E329)&lt;=0,N($E329)&gt;16),"hours?; ","")&amp;IF(AND($C329&lt;&gt;"",$B329=""),"campaign without drop_id; ","")&amp;IF(AND($B329&lt;&gt;"",COUNTIF(drops!$A$2:$A$21,$B329)=0),"drop_id not on drops; ",""))</f>
        <v/>
      </c>
    </row>
    <row r="330">
      <c r="A330" s="9" t="n"/>
      <c r="E330" s="10" t="n"/>
      <c r="G330" s="25">
        <f>IF($A330="","",IF(ISNA(MATCH($D330,{"brand_sales","office_coordination","receiving_kitting","drop_day","checks_pickup","reporting_debriefs","admin_invoicing"},0)),"activity must be one of the seven keys; ","")&amp;IF(OR(N($E330)&lt;=0,N($E330)&gt;16),"hours?; ","")&amp;IF(AND($C330&lt;&gt;"",$B330=""),"campaign without drop_id; ","")&amp;IF(AND($B330&lt;&gt;"",COUNTIF(drops!$A$2:$A$21,$B330)=0),"drop_id not on drops; ",""))</f>
        <v/>
      </c>
    </row>
    <row r="331">
      <c r="A331" s="9" t="n"/>
      <c r="E331" s="10" t="n"/>
      <c r="G331" s="25">
        <f>IF($A331="","",IF(ISNA(MATCH($D331,{"brand_sales","office_coordination","receiving_kitting","drop_day","checks_pickup","reporting_debriefs","admin_invoicing"},0)),"activity must be one of the seven keys; ","")&amp;IF(OR(N($E331)&lt;=0,N($E331)&gt;16),"hours?; ","")&amp;IF(AND($C331&lt;&gt;"",$B331=""),"campaign without drop_id; ","")&amp;IF(AND($B331&lt;&gt;"",COUNTIF(drops!$A$2:$A$21,$B331)=0),"drop_id not on drops; ",""))</f>
        <v/>
      </c>
    </row>
    <row r="332">
      <c r="A332" s="9" t="n"/>
      <c r="E332" s="10" t="n"/>
      <c r="G332" s="25">
        <f>IF($A332="","",IF(ISNA(MATCH($D332,{"brand_sales","office_coordination","receiving_kitting","drop_day","checks_pickup","reporting_debriefs","admin_invoicing"},0)),"activity must be one of the seven keys; ","")&amp;IF(OR(N($E332)&lt;=0,N($E332)&gt;16),"hours?; ","")&amp;IF(AND($C332&lt;&gt;"",$B332=""),"campaign without drop_id; ","")&amp;IF(AND($B332&lt;&gt;"",COUNTIF(drops!$A$2:$A$21,$B332)=0),"drop_id not on drops; ",""))</f>
        <v/>
      </c>
    </row>
    <row r="333">
      <c r="A333" s="9" t="n"/>
      <c r="E333" s="10" t="n"/>
      <c r="G333" s="25">
        <f>IF($A333="","",IF(ISNA(MATCH($D333,{"brand_sales","office_coordination","receiving_kitting","drop_day","checks_pickup","reporting_debriefs","admin_invoicing"},0)),"activity must be one of the seven keys; ","")&amp;IF(OR(N($E333)&lt;=0,N($E333)&gt;16),"hours?; ","")&amp;IF(AND($C333&lt;&gt;"",$B333=""),"campaign without drop_id; ","")&amp;IF(AND($B333&lt;&gt;"",COUNTIF(drops!$A$2:$A$21,$B333)=0),"drop_id not on drops; ",""))</f>
        <v/>
      </c>
    </row>
    <row r="334">
      <c r="A334" s="9" t="n"/>
      <c r="E334" s="10" t="n"/>
      <c r="G334" s="25">
        <f>IF($A334="","",IF(ISNA(MATCH($D334,{"brand_sales","office_coordination","receiving_kitting","drop_day","checks_pickup","reporting_debriefs","admin_invoicing"},0)),"activity must be one of the seven keys; ","")&amp;IF(OR(N($E334)&lt;=0,N($E334)&gt;16),"hours?; ","")&amp;IF(AND($C334&lt;&gt;"",$B334=""),"campaign without drop_id; ","")&amp;IF(AND($B334&lt;&gt;"",COUNTIF(drops!$A$2:$A$21,$B334)=0),"drop_id not on drops; ",""))</f>
        <v/>
      </c>
    </row>
    <row r="335">
      <c r="A335" s="9" t="n"/>
      <c r="E335" s="10" t="n"/>
      <c r="G335" s="25">
        <f>IF($A335="","",IF(ISNA(MATCH($D335,{"brand_sales","office_coordination","receiving_kitting","drop_day","checks_pickup","reporting_debriefs","admin_invoicing"},0)),"activity must be one of the seven keys; ","")&amp;IF(OR(N($E335)&lt;=0,N($E335)&gt;16),"hours?; ","")&amp;IF(AND($C335&lt;&gt;"",$B335=""),"campaign without drop_id; ","")&amp;IF(AND($B335&lt;&gt;"",COUNTIF(drops!$A$2:$A$21,$B335)=0),"drop_id not on drops; ",""))</f>
        <v/>
      </c>
    </row>
    <row r="336">
      <c r="A336" s="9" t="n"/>
      <c r="E336" s="10" t="n"/>
      <c r="G336" s="25">
        <f>IF($A336="","",IF(ISNA(MATCH($D336,{"brand_sales","office_coordination","receiving_kitting","drop_day","checks_pickup","reporting_debriefs","admin_invoicing"},0)),"activity must be one of the seven keys; ","")&amp;IF(OR(N($E336)&lt;=0,N($E336)&gt;16),"hours?; ","")&amp;IF(AND($C336&lt;&gt;"",$B336=""),"campaign without drop_id; ","")&amp;IF(AND($B336&lt;&gt;"",COUNTIF(drops!$A$2:$A$21,$B336)=0),"drop_id not on drops; ",""))</f>
        <v/>
      </c>
    </row>
    <row r="337">
      <c r="A337" s="9" t="n"/>
      <c r="E337" s="10" t="n"/>
      <c r="G337" s="25">
        <f>IF($A337="","",IF(ISNA(MATCH($D337,{"brand_sales","office_coordination","receiving_kitting","drop_day","checks_pickup","reporting_debriefs","admin_invoicing"},0)),"activity must be one of the seven keys; ","")&amp;IF(OR(N($E337)&lt;=0,N($E337)&gt;16),"hours?; ","")&amp;IF(AND($C337&lt;&gt;"",$B337=""),"campaign without drop_id; ","")&amp;IF(AND($B337&lt;&gt;"",COUNTIF(drops!$A$2:$A$21,$B337)=0),"drop_id not on drops; ",""))</f>
        <v/>
      </c>
    </row>
    <row r="338">
      <c r="A338" s="9" t="n"/>
      <c r="E338" s="10" t="n"/>
      <c r="G338" s="25">
        <f>IF($A338="","",IF(ISNA(MATCH($D338,{"brand_sales","office_coordination","receiving_kitting","drop_day","checks_pickup","reporting_debriefs","admin_invoicing"},0)),"activity must be one of the seven keys; ","")&amp;IF(OR(N($E338)&lt;=0,N($E338)&gt;16),"hours?; ","")&amp;IF(AND($C338&lt;&gt;"",$B338=""),"campaign without drop_id; ","")&amp;IF(AND($B338&lt;&gt;"",COUNTIF(drops!$A$2:$A$21,$B338)=0),"drop_id not on drops; ",""))</f>
        <v/>
      </c>
    </row>
    <row r="339">
      <c r="A339" s="9" t="n"/>
      <c r="E339" s="10" t="n"/>
      <c r="G339" s="25">
        <f>IF($A339="","",IF(ISNA(MATCH($D339,{"brand_sales","office_coordination","receiving_kitting","drop_day","checks_pickup","reporting_debriefs","admin_invoicing"},0)),"activity must be one of the seven keys; ","")&amp;IF(OR(N($E339)&lt;=0,N($E339)&gt;16),"hours?; ","")&amp;IF(AND($C339&lt;&gt;"",$B339=""),"campaign without drop_id; ","")&amp;IF(AND($B339&lt;&gt;"",COUNTIF(drops!$A$2:$A$21,$B339)=0),"drop_id not on drops; ",""))</f>
        <v/>
      </c>
    </row>
    <row r="340">
      <c r="A340" s="9" t="n"/>
      <c r="E340" s="10" t="n"/>
      <c r="G340" s="25">
        <f>IF($A340="","",IF(ISNA(MATCH($D340,{"brand_sales","office_coordination","receiving_kitting","drop_day","checks_pickup","reporting_debriefs","admin_invoicing"},0)),"activity must be one of the seven keys; ","")&amp;IF(OR(N($E340)&lt;=0,N($E340)&gt;16),"hours?; ","")&amp;IF(AND($C340&lt;&gt;"",$B340=""),"campaign without drop_id; ","")&amp;IF(AND($B340&lt;&gt;"",COUNTIF(drops!$A$2:$A$21,$B340)=0),"drop_id not on drops; ",""))</f>
        <v/>
      </c>
    </row>
    <row r="341">
      <c r="A341" s="9" t="n"/>
      <c r="E341" s="10" t="n"/>
      <c r="G341" s="25">
        <f>IF($A341="","",IF(ISNA(MATCH($D341,{"brand_sales","office_coordination","receiving_kitting","drop_day","checks_pickup","reporting_debriefs","admin_invoicing"},0)),"activity must be one of the seven keys; ","")&amp;IF(OR(N($E341)&lt;=0,N($E341)&gt;16),"hours?; ","")&amp;IF(AND($C341&lt;&gt;"",$B341=""),"campaign without drop_id; ","")&amp;IF(AND($B341&lt;&gt;"",COUNTIF(drops!$A$2:$A$21,$B341)=0),"drop_id not on drops; ",""))</f>
        <v/>
      </c>
    </row>
    <row r="342">
      <c r="A342" s="9" t="n"/>
      <c r="E342" s="10" t="n"/>
      <c r="G342" s="25">
        <f>IF($A342="","",IF(ISNA(MATCH($D342,{"brand_sales","office_coordination","receiving_kitting","drop_day","checks_pickup","reporting_debriefs","admin_invoicing"},0)),"activity must be one of the seven keys; ","")&amp;IF(OR(N($E342)&lt;=0,N($E342)&gt;16),"hours?; ","")&amp;IF(AND($C342&lt;&gt;"",$B342=""),"campaign without drop_id; ","")&amp;IF(AND($B342&lt;&gt;"",COUNTIF(drops!$A$2:$A$21,$B342)=0),"drop_id not on drops; ",""))</f>
        <v/>
      </c>
    </row>
    <row r="343">
      <c r="A343" s="9" t="n"/>
      <c r="E343" s="10" t="n"/>
      <c r="G343" s="25">
        <f>IF($A343="","",IF(ISNA(MATCH($D343,{"brand_sales","office_coordination","receiving_kitting","drop_day","checks_pickup","reporting_debriefs","admin_invoicing"},0)),"activity must be one of the seven keys; ","")&amp;IF(OR(N($E343)&lt;=0,N($E343)&gt;16),"hours?; ","")&amp;IF(AND($C343&lt;&gt;"",$B343=""),"campaign without drop_id; ","")&amp;IF(AND($B343&lt;&gt;"",COUNTIF(drops!$A$2:$A$21,$B343)=0),"drop_id not on drops; ",""))</f>
        <v/>
      </c>
    </row>
    <row r="344">
      <c r="A344" s="9" t="n"/>
      <c r="E344" s="10" t="n"/>
      <c r="G344" s="25">
        <f>IF($A344="","",IF(ISNA(MATCH($D344,{"brand_sales","office_coordination","receiving_kitting","drop_day","checks_pickup","reporting_debriefs","admin_invoicing"},0)),"activity must be one of the seven keys; ","")&amp;IF(OR(N($E344)&lt;=0,N($E344)&gt;16),"hours?; ","")&amp;IF(AND($C344&lt;&gt;"",$B344=""),"campaign without drop_id; ","")&amp;IF(AND($B344&lt;&gt;"",COUNTIF(drops!$A$2:$A$21,$B344)=0),"drop_id not on drops; ",""))</f>
        <v/>
      </c>
    </row>
    <row r="345">
      <c r="A345" s="9" t="n"/>
      <c r="E345" s="10" t="n"/>
      <c r="G345" s="25">
        <f>IF($A345="","",IF(ISNA(MATCH($D345,{"brand_sales","office_coordination","receiving_kitting","drop_day","checks_pickup","reporting_debriefs","admin_invoicing"},0)),"activity must be one of the seven keys; ","")&amp;IF(OR(N($E345)&lt;=0,N($E345)&gt;16),"hours?; ","")&amp;IF(AND($C345&lt;&gt;"",$B345=""),"campaign without drop_id; ","")&amp;IF(AND($B345&lt;&gt;"",COUNTIF(drops!$A$2:$A$21,$B345)=0),"drop_id not on drops; ",""))</f>
        <v/>
      </c>
    </row>
    <row r="346">
      <c r="A346" s="9" t="n"/>
      <c r="E346" s="10" t="n"/>
      <c r="G346" s="25">
        <f>IF($A346="","",IF(ISNA(MATCH($D346,{"brand_sales","office_coordination","receiving_kitting","drop_day","checks_pickup","reporting_debriefs","admin_invoicing"},0)),"activity must be one of the seven keys; ","")&amp;IF(OR(N($E346)&lt;=0,N($E346)&gt;16),"hours?; ","")&amp;IF(AND($C346&lt;&gt;"",$B346=""),"campaign without drop_id; ","")&amp;IF(AND($B346&lt;&gt;"",COUNTIF(drops!$A$2:$A$21,$B346)=0),"drop_id not on drops; ",""))</f>
        <v/>
      </c>
    </row>
    <row r="347">
      <c r="A347" s="9" t="n"/>
      <c r="E347" s="10" t="n"/>
      <c r="G347" s="25">
        <f>IF($A347="","",IF(ISNA(MATCH($D347,{"brand_sales","office_coordination","receiving_kitting","drop_day","checks_pickup","reporting_debriefs","admin_invoicing"},0)),"activity must be one of the seven keys; ","")&amp;IF(OR(N($E347)&lt;=0,N($E347)&gt;16),"hours?; ","")&amp;IF(AND($C347&lt;&gt;"",$B347=""),"campaign without drop_id; ","")&amp;IF(AND($B347&lt;&gt;"",COUNTIF(drops!$A$2:$A$21,$B347)=0),"drop_id not on drops; ",""))</f>
        <v/>
      </c>
    </row>
    <row r="348">
      <c r="A348" s="9" t="n"/>
      <c r="E348" s="10" t="n"/>
      <c r="G348" s="25">
        <f>IF($A348="","",IF(ISNA(MATCH($D348,{"brand_sales","office_coordination","receiving_kitting","drop_day","checks_pickup","reporting_debriefs","admin_invoicing"},0)),"activity must be one of the seven keys; ","")&amp;IF(OR(N($E348)&lt;=0,N($E348)&gt;16),"hours?; ","")&amp;IF(AND($C348&lt;&gt;"",$B348=""),"campaign without drop_id; ","")&amp;IF(AND($B348&lt;&gt;"",COUNTIF(drops!$A$2:$A$21,$B348)=0),"drop_id not on drops; ",""))</f>
        <v/>
      </c>
    </row>
    <row r="349">
      <c r="A349" s="9" t="n"/>
      <c r="E349" s="10" t="n"/>
      <c r="G349" s="25">
        <f>IF($A349="","",IF(ISNA(MATCH($D349,{"brand_sales","office_coordination","receiving_kitting","drop_day","checks_pickup","reporting_debriefs","admin_invoicing"},0)),"activity must be one of the seven keys; ","")&amp;IF(OR(N($E349)&lt;=0,N($E349)&gt;16),"hours?; ","")&amp;IF(AND($C349&lt;&gt;"",$B349=""),"campaign without drop_id; ","")&amp;IF(AND($B349&lt;&gt;"",COUNTIF(drops!$A$2:$A$21,$B349)=0),"drop_id not on drops; ",""))</f>
        <v/>
      </c>
    </row>
    <row r="350">
      <c r="A350" s="9" t="n"/>
      <c r="E350" s="10" t="n"/>
      <c r="G350" s="25">
        <f>IF($A350="","",IF(ISNA(MATCH($D350,{"brand_sales","office_coordination","receiving_kitting","drop_day","checks_pickup","reporting_debriefs","admin_invoicing"},0)),"activity must be one of the seven keys; ","")&amp;IF(OR(N($E350)&lt;=0,N($E350)&gt;16),"hours?; ","")&amp;IF(AND($C350&lt;&gt;"",$B350=""),"campaign without drop_id; ","")&amp;IF(AND($B350&lt;&gt;"",COUNTIF(drops!$A$2:$A$21,$B350)=0),"drop_id not on drops; ",""))</f>
        <v/>
      </c>
    </row>
    <row r="351">
      <c r="A351" s="9" t="n"/>
      <c r="E351" s="10" t="n"/>
      <c r="G351" s="25">
        <f>IF($A351="","",IF(ISNA(MATCH($D351,{"brand_sales","office_coordination","receiving_kitting","drop_day","checks_pickup","reporting_debriefs","admin_invoicing"},0)),"activity must be one of the seven keys; ","")&amp;IF(OR(N($E351)&lt;=0,N($E351)&gt;16),"hours?; ","")&amp;IF(AND($C351&lt;&gt;"",$B351=""),"campaign without drop_id; ","")&amp;IF(AND($B351&lt;&gt;"",COUNTIF(drops!$A$2:$A$21,$B351)=0),"drop_id not on drops; ",""))</f>
        <v/>
      </c>
    </row>
    <row r="352">
      <c r="A352" s="9" t="n"/>
      <c r="E352" s="10" t="n"/>
      <c r="G352" s="25">
        <f>IF($A352="","",IF(ISNA(MATCH($D352,{"brand_sales","office_coordination","receiving_kitting","drop_day","checks_pickup","reporting_debriefs","admin_invoicing"},0)),"activity must be one of the seven keys; ","")&amp;IF(OR(N($E352)&lt;=0,N($E352)&gt;16),"hours?; ","")&amp;IF(AND($C352&lt;&gt;"",$B352=""),"campaign without drop_id; ","")&amp;IF(AND($B352&lt;&gt;"",COUNTIF(drops!$A$2:$A$21,$B352)=0),"drop_id not on drops; ",""))</f>
        <v/>
      </c>
    </row>
    <row r="353">
      <c r="A353" s="9" t="n"/>
      <c r="E353" s="10" t="n"/>
      <c r="G353" s="25">
        <f>IF($A353="","",IF(ISNA(MATCH($D353,{"brand_sales","office_coordination","receiving_kitting","drop_day","checks_pickup","reporting_debriefs","admin_invoicing"},0)),"activity must be one of the seven keys; ","")&amp;IF(OR(N($E353)&lt;=0,N($E353)&gt;16),"hours?; ","")&amp;IF(AND($C353&lt;&gt;"",$B353=""),"campaign without drop_id; ","")&amp;IF(AND($B353&lt;&gt;"",COUNTIF(drops!$A$2:$A$21,$B353)=0),"drop_id not on drops; ",""))</f>
        <v/>
      </c>
    </row>
    <row r="354">
      <c r="A354" s="9" t="n"/>
      <c r="E354" s="10" t="n"/>
      <c r="G354" s="25">
        <f>IF($A354="","",IF(ISNA(MATCH($D354,{"brand_sales","office_coordination","receiving_kitting","drop_day","checks_pickup","reporting_debriefs","admin_invoicing"},0)),"activity must be one of the seven keys; ","")&amp;IF(OR(N($E354)&lt;=0,N($E354)&gt;16),"hours?; ","")&amp;IF(AND($C354&lt;&gt;"",$B354=""),"campaign without drop_id; ","")&amp;IF(AND($B354&lt;&gt;"",COUNTIF(drops!$A$2:$A$21,$B354)=0),"drop_id not on drops; ",""))</f>
        <v/>
      </c>
    </row>
    <row r="355">
      <c r="A355" s="9" t="n"/>
      <c r="E355" s="10" t="n"/>
      <c r="G355" s="25">
        <f>IF($A355="","",IF(ISNA(MATCH($D355,{"brand_sales","office_coordination","receiving_kitting","drop_day","checks_pickup","reporting_debriefs","admin_invoicing"},0)),"activity must be one of the seven keys; ","")&amp;IF(OR(N($E355)&lt;=0,N($E355)&gt;16),"hours?; ","")&amp;IF(AND($C355&lt;&gt;"",$B355=""),"campaign without drop_id; ","")&amp;IF(AND($B355&lt;&gt;"",COUNTIF(drops!$A$2:$A$21,$B355)=0),"drop_id not on drops; ",""))</f>
        <v/>
      </c>
    </row>
    <row r="356">
      <c r="A356" s="9" t="n"/>
      <c r="E356" s="10" t="n"/>
      <c r="G356" s="25">
        <f>IF($A356="","",IF(ISNA(MATCH($D356,{"brand_sales","office_coordination","receiving_kitting","drop_day","checks_pickup","reporting_debriefs","admin_invoicing"},0)),"activity must be one of the seven keys; ","")&amp;IF(OR(N($E356)&lt;=0,N($E356)&gt;16),"hours?; ","")&amp;IF(AND($C356&lt;&gt;"",$B356=""),"campaign without drop_id; ","")&amp;IF(AND($B356&lt;&gt;"",COUNTIF(drops!$A$2:$A$21,$B356)=0),"drop_id not on drops; ",""))</f>
        <v/>
      </c>
    </row>
    <row r="357">
      <c r="A357" s="9" t="n"/>
      <c r="E357" s="10" t="n"/>
      <c r="G357" s="25">
        <f>IF($A357="","",IF(ISNA(MATCH($D357,{"brand_sales","office_coordination","receiving_kitting","drop_day","checks_pickup","reporting_debriefs","admin_invoicing"},0)),"activity must be one of the seven keys; ","")&amp;IF(OR(N($E357)&lt;=0,N($E357)&gt;16),"hours?; ","")&amp;IF(AND($C357&lt;&gt;"",$B357=""),"campaign without drop_id; ","")&amp;IF(AND($B357&lt;&gt;"",COUNTIF(drops!$A$2:$A$21,$B357)=0),"drop_id not on drops; ",""))</f>
        <v/>
      </c>
    </row>
    <row r="358">
      <c r="A358" s="9" t="n"/>
      <c r="E358" s="10" t="n"/>
      <c r="G358" s="25">
        <f>IF($A358="","",IF(ISNA(MATCH($D358,{"brand_sales","office_coordination","receiving_kitting","drop_day","checks_pickup","reporting_debriefs","admin_invoicing"},0)),"activity must be one of the seven keys; ","")&amp;IF(OR(N($E358)&lt;=0,N($E358)&gt;16),"hours?; ","")&amp;IF(AND($C358&lt;&gt;"",$B358=""),"campaign without drop_id; ","")&amp;IF(AND($B358&lt;&gt;"",COUNTIF(drops!$A$2:$A$21,$B358)=0),"drop_id not on drops; ",""))</f>
        <v/>
      </c>
    </row>
    <row r="359">
      <c r="A359" s="9" t="n"/>
      <c r="E359" s="10" t="n"/>
      <c r="G359" s="25">
        <f>IF($A359="","",IF(ISNA(MATCH($D359,{"brand_sales","office_coordination","receiving_kitting","drop_day","checks_pickup","reporting_debriefs","admin_invoicing"},0)),"activity must be one of the seven keys; ","")&amp;IF(OR(N($E359)&lt;=0,N($E359)&gt;16),"hours?; ","")&amp;IF(AND($C359&lt;&gt;"",$B359=""),"campaign without drop_id; ","")&amp;IF(AND($B359&lt;&gt;"",COUNTIF(drops!$A$2:$A$21,$B359)=0),"drop_id not on drops; ",""))</f>
        <v/>
      </c>
    </row>
    <row r="360">
      <c r="A360" s="9" t="n"/>
      <c r="E360" s="10" t="n"/>
      <c r="G360" s="25">
        <f>IF($A360="","",IF(ISNA(MATCH($D360,{"brand_sales","office_coordination","receiving_kitting","drop_day","checks_pickup","reporting_debriefs","admin_invoicing"},0)),"activity must be one of the seven keys; ","")&amp;IF(OR(N($E360)&lt;=0,N($E360)&gt;16),"hours?; ","")&amp;IF(AND($C360&lt;&gt;"",$B360=""),"campaign without drop_id; ","")&amp;IF(AND($B360&lt;&gt;"",COUNTIF(drops!$A$2:$A$21,$B360)=0),"drop_id not on drops; ",""))</f>
        <v/>
      </c>
    </row>
    <row r="361">
      <c r="A361" s="9" t="n"/>
      <c r="E361" s="10" t="n"/>
      <c r="G361" s="25">
        <f>IF($A361="","",IF(ISNA(MATCH($D361,{"brand_sales","office_coordination","receiving_kitting","drop_day","checks_pickup","reporting_debriefs","admin_invoicing"},0)),"activity must be one of the seven keys; ","")&amp;IF(OR(N($E361)&lt;=0,N($E361)&gt;16),"hours?; ","")&amp;IF(AND($C361&lt;&gt;"",$B361=""),"campaign without drop_id; ","")&amp;IF(AND($B361&lt;&gt;"",COUNTIF(drops!$A$2:$A$21,$B361)=0),"drop_id not on drops; ",""))</f>
        <v/>
      </c>
    </row>
    <row r="362">
      <c r="A362" s="9" t="n"/>
      <c r="E362" s="10" t="n"/>
      <c r="G362" s="25">
        <f>IF($A362="","",IF(ISNA(MATCH($D362,{"brand_sales","office_coordination","receiving_kitting","drop_day","checks_pickup","reporting_debriefs","admin_invoicing"},0)),"activity must be one of the seven keys; ","")&amp;IF(OR(N($E362)&lt;=0,N($E362)&gt;16),"hours?; ","")&amp;IF(AND($C362&lt;&gt;"",$B362=""),"campaign without drop_id; ","")&amp;IF(AND($B362&lt;&gt;"",COUNTIF(drops!$A$2:$A$21,$B362)=0),"drop_id not on drops; ",""))</f>
        <v/>
      </c>
    </row>
    <row r="363">
      <c r="A363" s="9" t="n"/>
      <c r="E363" s="10" t="n"/>
      <c r="G363" s="25">
        <f>IF($A363="","",IF(ISNA(MATCH($D363,{"brand_sales","office_coordination","receiving_kitting","drop_day","checks_pickup","reporting_debriefs","admin_invoicing"},0)),"activity must be one of the seven keys; ","")&amp;IF(OR(N($E363)&lt;=0,N($E363)&gt;16),"hours?; ","")&amp;IF(AND($C363&lt;&gt;"",$B363=""),"campaign without drop_id; ","")&amp;IF(AND($B363&lt;&gt;"",COUNTIF(drops!$A$2:$A$21,$B363)=0),"drop_id not on drops; ",""))</f>
        <v/>
      </c>
    </row>
    <row r="364">
      <c r="A364" s="9" t="n"/>
      <c r="E364" s="10" t="n"/>
      <c r="G364" s="25">
        <f>IF($A364="","",IF(ISNA(MATCH($D364,{"brand_sales","office_coordination","receiving_kitting","drop_day","checks_pickup","reporting_debriefs","admin_invoicing"},0)),"activity must be one of the seven keys; ","")&amp;IF(OR(N($E364)&lt;=0,N($E364)&gt;16),"hours?; ","")&amp;IF(AND($C364&lt;&gt;"",$B364=""),"campaign without drop_id; ","")&amp;IF(AND($B364&lt;&gt;"",COUNTIF(drops!$A$2:$A$21,$B364)=0),"drop_id not on drops; ",""))</f>
        <v/>
      </c>
    </row>
    <row r="365">
      <c r="A365" s="9" t="n"/>
      <c r="E365" s="10" t="n"/>
      <c r="G365" s="25">
        <f>IF($A365="","",IF(ISNA(MATCH($D365,{"brand_sales","office_coordination","receiving_kitting","drop_day","checks_pickup","reporting_debriefs","admin_invoicing"},0)),"activity must be one of the seven keys; ","")&amp;IF(OR(N($E365)&lt;=0,N($E365)&gt;16),"hours?; ","")&amp;IF(AND($C365&lt;&gt;"",$B365=""),"campaign without drop_id; ","")&amp;IF(AND($B365&lt;&gt;"",COUNTIF(drops!$A$2:$A$21,$B365)=0),"drop_id not on drops; ",""))</f>
        <v/>
      </c>
    </row>
    <row r="366">
      <c r="A366" s="9" t="n"/>
      <c r="E366" s="10" t="n"/>
      <c r="G366" s="25">
        <f>IF($A366="","",IF(ISNA(MATCH($D366,{"brand_sales","office_coordination","receiving_kitting","drop_day","checks_pickup","reporting_debriefs","admin_invoicing"},0)),"activity must be one of the seven keys; ","")&amp;IF(OR(N($E366)&lt;=0,N($E366)&gt;16),"hours?; ","")&amp;IF(AND($C366&lt;&gt;"",$B366=""),"campaign without drop_id; ","")&amp;IF(AND($B366&lt;&gt;"",COUNTIF(drops!$A$2:$A$21,$B366)=0),"drop_id not on drops; ",""))</f>
        <v/>
      </c>
    </row>
    <row r="367">
      <c r="A367" s="9" t="n"/>
      <c r="E367" s="10" t="n"/>
      <c r="G367" s="25">
        <f>IF($A367="","",IF(ISNA(MATCH($D367,{"brand_sales","office_coordination","receiving_kitting","drop_day","checks_pickup","reporting_debriefs","admin_invoicing"},0)),"activity must be one of the seven keys; ","")&amp;IF(OR(N($E367)&lt;=0,N($E367)&gt;16),"hours?; ","")&amp;IF(AND($C367&lt;&gt;"",$B367=""),"campaign without drop_id; ","")&amp;IF(AND($B367&lt;&gt;"",COUNTIF(drops!$A$2:$A$21,$B367)=0),"drop_id not on drops; ",""))</f>
        <v/>
      </c>
    </row>
    <row r="368">
      <c r="A368" s="9" t="n"/>
      <c r="E368" s="10" t="n"/>
      <c r="G368" s="25">
        <f>IF($A368="","",IF(ISNA(MATCH($D368,{"brand_sales","office_coordination","receiving_kitting","drop_day","checks_pickup","reporting_debriefs","admin_invoicing"},0)),"activity must be one of the seven keys; ","")&amp;IF(OR(N($E368)&lt;=0,N($E368)&gt;16),"hours?; ","")&amp;IF(AND($C368&lt;&gt;"",$B368=""),"campaign without drop_id; ","")&amp;IF(AND($B368&lt;&gt;"",COUNTIF(drops!$A$2:$A$21,$B368)=0),"drop_id not on drops; ",""))</f>
        <v/>
      </c>
    </row>
    <row r="369">
      <c r="A369" s="9" t="n"/>
      <c r="E369" s="10" t="n"/>
      <c r="G369" s="25">
        <f>IF($A369="","",IF(ISNA(MATCH($D369,{"brand_sales","office_coordination","receiving_kitting","drop_day","checks_pickup","reporting_debriefs","admin_invoicing"},0)),"activity must be one of the seven keys; ","")&amp;IF(OR(N($E369)&lt;=0,N($E369)&gt;16),"hours?; ","")&amp;IF(AND($C369&lt;&gt;"",$B369=""),"campaign without drop_id; ","")&amp;IF(AND($B369&lt;&gt;"",COUNTIF(drops!$A$2:$A$21,$B369)=0),"drop_id not on drops; ",""))</f>
        <v/>
      </c>
    </row>
    <row r="370">
      <c r="A370" s="9" t="n"/>
      <c r="E370" s="10" t="n"/>
      <c r="G370" s="25">
        <f>IF($A370="","",IF(ISNA(MATCH($D370,{"brand_sales","office_coordination","receiving_kitting","drop_day","checks_pickup","reporting_debriefs","admin_invoicing"},0)),"activity must be one of the seven keys; ","")&amp;IF(OR(N($E370)&lt;=0,N($E370)&gt;16),"hours?; ","")&amp;IF(AND($C370&lt;&gt;"",$B370=""),"campaign without drop_id; ","")&amp;IF(AND($B370&lt;&gt;"",COUNTIF(drops!$A$2:$A$21,$B370)=0),"drop_id not on drops; ",""))</f>
        <v/>
      </c>
    </row>
    <row r="371">
      <c r="A371" s="9" t="n"/>
      <c r="E371" s="10" t="n"/>
      <c r="G371" s="25">
        <f>IF($A371="","",IF(ISNA(MATCH($D371,{"brand_sales","office_coordination","receiving_kitting","drop_day","checks_pickup","reporting_debriefs","admin_invoicing"},0)),"activity must be one of the seven keys; ","")&amp;IF(OR(N($E371)&lt;=0,N($E371)&gt;16),"hours?; ","")&amp;IF(AND($C371&lt;&gt;"",$B371=""),"campaign without drop_id; ","")&amp;IF(AND($B371&lt;&gt;"",COUNTIF(drops!$A$2:$A$21,$B371)=0),"drop_id not on drops; ",""))</f>
        <v/>
      </c>
    </row>
    <row r="372">
      <c r="A372" s="9" t="n"/>
      <c r="E372" s="10" t="n"/>
      <c r="G372" s="25">
        <f>IF($A372="","",IF(ISNA(MATCH($D372,{"brand_sales","office_coordination","receiving_kitting","drop_day","checks_pickup","reporting_debriefs","admin_invoicing"},0)),"activity must be one of the seven keys; ","")&amp;IF(OR(N($E372)&lt;=0,N($E372)&gt;16),"hours?; ","")&amp;IF(AND($C372&lt;&gt;"",$B372=""),"campaign without drop_id; ","")&amp;IF(AND($B372&lt;&gt;"",COUNTIF(drops!$A$2:$A$21,$B372)=0),"drop_id not on drops; ",""))</f>
        <v/>
      </c>
    </row>
    <row r="373">
      <c r="A373" s="9" t="n"/>
      <c r="E373" s="10" t="n"/>
      <c r="G373" s="25">
        <f>IF($A373="","",IF(ISNA(MATCH($D373,{"brand_sales","office_coordination","receiving_kitting","drop_day","checks_pickup","reporting_debriefs","admin_invoicing"},0)),"activity must be one of the seven keys; ","")&amp;IF(OR(N($E373)&lt;=0,N($E373)&gt;16),"hours?; ","")&amp;IF(AND($C373&lt;&gt;"",$B373=""),"campaign without drop_id; ","")&amp;IF(AND($B373&lt;&gt;"",COUNTIF(drops!$A$2:$A$21,$B373)=0),"drop_id not on drops; ",""))</f>
        <v/>
      </c>
    </row>
    <row r="374">
      <c r="A374" s="9" t="n"/>
      <c r="E374" s="10" t="n"/>
      <c r="G374" s="25">
        <f>IF($A374="","",IF(ISNA(MATCH($D374,{"brand_sales","office_coordination","receiving_kitting","drop_day","checks_pickup","reporting_debriefs","admin_invoicing"},0)),"activity must be one of the seven keys; ","")&amp;IF(OR(N($E374)&lt;=0,N($E374)&gt;16),"hours?; ","")&amp;IF(AND($C374&lt;&gt;"",$B374=""),"campaign without drop_id; ","")&amp;IF(AND($B374&lt;&gt;"",COUNTIF(drops!$A$2:$A$21,$B374)=0),"drop_id not on drops; ",""))</f>
        <v/>
      </c>
    </row>
    <row r="375">
      <c r="A375" s="9" t="n"/>
      <c r="E375" s="10" t="n"/>
      <c r="G375" s="25">
        <f>IF($A375="","",IF(ISNA(MATCH($D375,{"brand_sales","office_coordination","receiving_kitting","drop_day","checks_pickup","reporting_debriefs","admin_invoicing"},0)),"activity must be one of the seven keys; ","")&amp;IF(OR(N($E375)&lt;=0,N($E375)&gt;16),"hours?; ","")&amp;IF(AND($C375&lt;&gt;"",$B375=""),"campaign without drop_id; ","")&amp;IF(AND($B375&lt;&gt;"",COUNTIF(drops!$A$2:$A$21,$B375)=0),"drop_id not on drops; ",""))</f>
        <v/>
      </c>
    </row>
    <row r="376">
      <c r="A376" s="9" t="n"/>
      <c r="E376" s="10" t="n"/>
      <c r="G376" s="25">
        <f>IF($A376="","",IF(ISNA(MATCH($D376,{"brand_sales","office_coordination","receiving_kitting","drop_day","checks_pickup","reporting_debriefs","admin_invoicing"},0)),"activity must be one of the seven keys; ","")&amp;IF(OR(N($E376)&lt;=0,N($E376)&gt;16),"hours?; ","")&amp;IF(AND($C376&lt;&gt;"",$B376=""),"campaign without drop_id; ","")&amp;IF(AND($B376&lt;&gt;"",COUNTIF(drops!$A$2:$A$21,$B376)=0),"drop_id not on drops; ",""))</f>
        <v/>
      </c>
    </row>
    <row r="377">
      <c r="A377" s="9" t="n"/>
      <c r="E377" s="10" t="n"/>
      <c r="G377" s="25">
        <f>IF($A377="","",IF(ISNA(MATCH($D377,{"brand_sales","office_coordination","receiving_kitting","drop_day","checks_pickup","reporting_debriefs","admin_invoicing"},0)),"activity must be one of the seven keys; ","")&amp;IF(OR(N($E377)&lt;=0,N($E377)&gt;16),"hours?; ","")&amp;IF(AND($C377&lt;&gt;"",$B377=""),"campaign without drop_id; ","")&amp;IF(AND($B377&lt;&gt;"",COUNTIF(drops!$A$2:$A$21,$B377)=0),"drop_id not on drops; ",""))</f>
        <v/>
      </c>
    </row>
    <row r="378">
      <c r="A378" s="9" t="n"/>
      <c r="E378" s="10" t="n"/>
      <c r="G378" s="25">
        <f>IF($A378="","",IF(ISNA(MATCH($D378,{"brand_sales","office_coordination","receiving_kitting","drop_day","checks_pickup","reporting_debriefs","admin_invoicing"},0)),"activity must be one of the seven keys; ","")&amp;IF(OR(N($E378)&lt;=0,N($E378)&gt;16),"hours?; ","")&amp;IF(AND($C378&lt;&gt;"",$B378=""),"campaign without drop_id; ","")&amp;IF(AND($B378&lt;&gt;"",COUNTIF(drops!$A$2:$A$21,$B378)=0),"drop_id not on drops; ",""))</f>
        <v/>
      </c>
    </row>
    <row r="379">
      <c r="A379" s="9" t="n"/>
      <c r="E379" s="10" t="n"/>
      <c r="G379" s="25">
        <f>IF($A379="","",IF(ISNA(MATCH($D379,{"brand_sales","office_coordination","receiving_kitting","drop_day","checks_pickup","reporting_debriefs","admin_invoicing"},0)),"activity must be one of the seven keys; ","")&amp;IF(OR(N($E379)&lt;=0,N($E379)&gt;16),"hours?; ","")&amp;IF(AND($C379&lt;&gt;"",$B379=""),"campaign without drop_id; ","")&amp;IF(AND($B379&lt;&gt;"",COUNTIF(drops!$A$2:$A$21,$B379)=0),"drop_id not on drops; ",""))</f>
        <v/>
      </c>
    </row>
    <row r="380">
      <c r="A380" s="9" t="n"/>
      <c r="E380" s="10" t="n"/>
      <c r="G380" s="25">
        <f>IF($A380="","",IF(ISNA(MATCH($D380,{"brand_sales","office_coordination","receiving_kitting","drop_day","checks_pickup","reporting_debriefs","admin_invoicing"},0)),"activity must be one of the seven keys; ","")&amp;IF(OR(N($E380)&lt;=0,N($E380)&gt;16),"hours?; ","")&amp;IF(AND($C380&lt;&gt;"",$B380=""),"campaign without drop_id; ","")&amp;IF(AND($B380&lt;&gt;"",COUNTIF(drops!$A$2:$A$21,$B380)=0),"drop_id not on drops; ",""))</f>
        <v/>
      </c>
    </row>
    <row r="381">
      <c r="A381" s="9" t="n"/>
      <c r="E381" s="10" t="n"/>
      <c r="G381" s="25">
        <f>IF($A381="","",IF(ISNA(MATCH($D381,{"brand_sales","office_coordination","receiving_kitting","drop_day","checks_pickup","reporting_debriefs","admin_invoicing"},0)),"activity must be one of the seven keys; ","")&amp;IF(OR(N($E381)&lt;=0,N($E381)&gt;16),"hours?; ","")&amp;IF(AND($C381&lt;&gt;"",$B381=""),"campaign without drop_id; ","")&amp;IF(AND($B381&lt;&gt;"",COUNTIF(drops!$A$2:$A$21,$B381)=0),"drop_id not on drops; ",""))</f>
        <v/>
      </c>
    </row>
    <row r="382">
      <c r="A382" s="9" t="n"/>
      <c r="E382" s="10" t="n"/>
      <c r="G382" s="25">
        <f>IF($A382="","",IF(ISNA(MATCH($D382,{"brand_sales","office_coordination","receiving_kitting","drop_day","checks_pickup","reporting_debriefs","admin_invoicing"},0)),"activity must be one of the seven keys; ","")&amp;IF(OR(N($E382)&lt;=0,N($E382)&gt;16),"hours?; ","")&amp;IF(AND($C382&lt;&gt;"",$B382=""),"campaign without drop_id; ","")&amp;IF(AND($B382&lt;&gt;"",COUNTIF(drops!$A$2:$A$21,$B382)=0),"drop_id not on drops; ",""))</f>
        <v/>
      </c>
    </row>
    <row r="383">
      <c r="A383" s="9" t="n"/>
      <c r="E383" s="10" t="n"/>
      <c r="G383" s="25">
        <f>IF($A383="","",IF(ISNA(MATCH($D383,{"brand_sales","office_coordination","receiving_kitting","drop_day","checks_pickup","reporting_debriefs","admin_invoicing"},0)),"activity must be one of the seven keys; ","")&amp;IF(OR(N($E383)&lt;=0,N($E383)&gt;16),"hours?; ","")&amp;IF(AND($C383&lt;&gt;"",$B383=""),"campaign without drop_id; ","")&amp;IF(AND($B383&lt;&gt;"",COUNTIF(drops!$A$2:$A$21,$B383)=0),"drop_id not on drops; ",""))</f>
        <v/>
      </c>
    </row>
    <row r="384">
      <c r="A384" s="9" t="n"/>
      <c r="E384" s="10" t="n"/>
      <c r="G384" s="25">
        <f>IF($A384="","",IF(ISNA(MATCH($D384,{"brand_sales","office_coordination","receiving_kitting","drop_day","checks_pickup","reporting_debriefs","admin_invoicing"},0)),"activity must be one of the seven keys; ","")&amp;IF(OR(N($E384)&lt;=0,N($E384)&gt;16),"hours?; ","")&amp;IF(AND($C384&lt;&gt;"",$B384=""),"campaign without drop_id; ","")&amp;IF(AND($B384&lt;&gt;"",COUNTIF(drops!$A$2:$A$21,$B384)=0),"drop_id not on drops; ",""))</f>
        <v/>
      </c>
    </row>
    <row r="385">
      <c r="A385" s="9" t="n"/>
      <c r="E385" s="10" t="n"/>
      <c r="G385" s="25">
        <f>IF($A385="","",IF(ISNA(MATCH($D385,{"brand_sales","office_coordination","receiving_kitting","drop_day","checks_pickup","reporting_debriefs","admin_invoicing"},0)),"activity must be one of the seven keys; ","")&amp;IF(OR(N($E385)&lt;=0,N($E385)&gt;16),"hours?; ","")&amp;IF(AND($C385&lt;&gt;"",$B385=""),"campaign without drop_id; ","")&amp;IF(AND($B385&lt;&gt;"",COUNTIF(drops!$A$2:$A$21,$B385)=0),"drop_id not on drops; ",""))</f>
        <v/>
      </c>
    </row>
    <row r="386">
      <c r="A386" s="9" t="n"/>
      <c r="E386" s="10" t="n"/>
      <c r="G386" s="25">
        <f>IF($A386="","",IF(ISNA(MATCH($D386,{"brand_sales","office_coordination","receiving_kitting","drop_day","checks_pickup","reporting_debriefs","admin_invoicing"},0)),"activity must be one of the seven keys; ","")&amp;IF(OR(N($E386)&lt;=0,N($E386)&gt;16),"hours?; ","")&amp;IF(AND($C386&lt;&gt;"",$B386=""),"campaign without drop_id; ","")&amp;IF(AND($B386&lt;&gt;"",COUNTIF(drops!$A$2:$A$21,$B386)=0),"drop_id not on drops; ",""))</f>
        <v/>
      </c>
    </row>
    <row r="387">
      <c r="A387" s="9" t="n"/>
      <c r="E387" s="10" t="n"/>
      <c r="G387" s="25">
        <f>IF($A387="","",IF(ISNA(MATCH($D387,{"brand_sales","office_coordination","receiving_kitting","drop_day","checks_pickup","reporting_debriefs","admin_invoicing"},0)),"activity must be one of the seven keys; ","")&amp;IF(OR(N($E387)&lt;=0,N($E387)&gt;16),"hours?; ","")&amp;IF(AND($C387&lt;&gt;"",$B387=""),"campaign without drop_id; ","")&amp;IF(AND($B387&lt;&gt;"",COUNTIF(drops!$A$2:$A$21,$B387)=0),"drop_id not on drops; ",""))</f>
        <v/>
      </c>
    </row>
    <row r="388">
      <c r="A388" s="9" t="n"/>
      <c r="E388" s="10" t="n"/>
      <c r="G388" s="25">
        <f>IF($A388="","",IF(ISNA(MATCH($D388,{"brand_sales","office_coordination","receiving_kitting","drop_day","checks_pickup","reporting_debriefs","admin_invoicing"},0)),"activity must be one of the seven keys; ","")&amp;IF(OR(N($E388)&lt;=0,N($E388)&gt;16),"hours?; ","")&amp;IF(AND($C388&lt;&gt;"",$B388=""),"campaign without drop_id; ","")&amp;IF(AND($B388&lt;&gt;"",COUNTIF(drops!$A$2:$A$21,$B388)=0),"drop_id not on drops; ",""))</f>
        <v/>
      </c>
    </row>
    <row r="389">
      <c r="A389" s="9" t="n"/>
      <c r="E389" s="10" t="n"/>
      <c r="G389" s="25">
        <f>IF($A389="","",IF(ISNA(MATCH($D389,{"brand_sales","office_coordination","receiving_kitting","drop_day","checks_pickup","reporting_debriefs","admin_invoicing"},0)),"activity must be one of the seven keys; ","")&amp;IF(OR(N($E389)&lt;=0,N($E389)&gt;16),"hours?; ","")&amp;IF(AND($C389&lt;&gt;"",$B389=""),"campaign without drop_id; ","")&amp;IF(AND($B389&lt;&gt;"",COUNTIF(drops!$A$2:$A$21,$B389)=0),"drop_id not on drops; ",""))</f>
        <v/>
      </c>
    </row>
    <row r="390">
      <c r="A390" s="9" t="n"/>
      <c r="E390" s="10" t="n"/>
      <c r="G390" s="25">
        <f>IF($A390="","",IF(ISNA(MATCH($D390,{"brand_sales","office_coordination","receiving_kitting","drop_day","checks_pickup","reporting_debriefs","admin_invoicing"},0)),"activity must be one of the seven keys; ","")&amp;IF(OR(N($E390)&lt;=0,N($E390)&gt;16),"hours?; ","")&amp;IF(AND($C390&lt;&gt;"",$B390=""),"campaign without drop_id; ","")&amp;IF(AND($B390&lt;&gt;"",COUNTIF(drops!$A$2:$A$21,$B390)=0),"drop_id not on drops; ",""))</f>
        <v/>
      </c>
    </row>
    <row r="391">
      <c r="A391" s="9" t="n"/>
      <c r="E391" s="10" t="n"/>
      <c r="G391" s="25">
        <f>IF($A391="","",IF(ISNA(MATCH($D391,{"brand_sales","office_coordination","receiving_kitting","drop_day","checks_pickup","reporting_debriefs","admin_invoicing"},0)),"activity must be one of the seven keys; ","")&amp;IF(OR(N($E391)&lt;=0,N($E391)&gt;16),"hours?; ","")&amp;IF(AND($C391&lt;&gt;"",$B391=""),"campaign without drop_id; ","")&amp;IF(AND($B391&lt;&gt;"",COUNTIF(drops!$A$2:$A$21,$B391)=0),"drop_id not on drops; ",""))</f>
        <v/>
      </c>
    </row>
    <row r="392">
      <c r="A392" s="9" t="n"/>
      <c r="E392" s="10" t="n"/>
      <c r="G392" s="25">
        <f>IF($A392="","",IF(ISNA(MATCH($D392,{"brand_sales","office_coordination","receiving_kitting","drop_day","checks_pickup","reporting_debriefs","admin_invoicing"},0)),"activity must be one of the seven keys; ","")&amp;IF(OR(N($E392)&lt;=0,N($E392)&gt;16),"hours?; ","")&amp;IF(AND($C392&lt;&gt;"",$B392=""),"campaign without drop_id; ","")&amp;IF(AND($B392&lt;&gt;"",COUNTIF(drops!$A$2:$A$21,$B392)=0),"drop_id not on drops; ",""))</f>
        <v/>
      </c>
    </row>
    <row r="393">
      <c r="A393" s="9" t="n"/>
      <c r="E393" s="10" t="n"/>
      <c r="G393" s="25">
        <f>IF($A393="","",IF(ISNA(MATCH($D393,{"brand_sales","office_coordination","receiving_kitting","drop_day","checks_pickup","reporting_debriefs","admin_invoicing"},0)),"activity must be one of the seven keys; ","")&amp;IF(OR(N($E393)&lt;=0,N($E393)&gt;16),"hours?; ","")&amp;IF(AND($C393&lt;&gt;"",$B393=""),"campaign without drop_id; ","")&amp;IF(AND($B393&lt;&gt;"",COUNTIF(drops!$A$2:$A$21,$B393)=0),"drop_id not on drops; ",""))</f>
        <v/>
      </c>
    </row>
    <row r="394">
      <c r="A394" s="9" t="n"/>
      <c r="E394" s="10" t="n"/>
      <c r="G394" s="25">
        <f>IF($A394="","",IF(ISNA(MATCH($D394,{"brand_sales","office_coordination","receiving_kitting","drop_day","checks_pickup","reporting_debriefs","admin_invoicing"},0)),"activity must be one of the seven keys; ","")&amp;IF(OR(N($E394)&lt;=0,N($E394)&gt;16),"hours?; ","")&amp;IF(AND($C394&lt;&gt;"",$B394=""),"campaign without drop_id; ","")&amp;IF(AND($B394&lt;&gt;"",COUNTIF(drops!$A$2:$A$21,$B394)=0),"drop_id not on drops; ",""))</f>
        <v/>
      </c>
    </row>
    <row r="395">
      <c r="A395" s="9" t="n"/>
      <c r="E395" s="10" t="n"/>
      <c r="G395" s="25">
        <f>IF($A395="","",IF(ISNA(MATCH($D395,{"brand_sales","office_coordination","receiving_kitting","drop_day","checks_pickup","reporting_debriefs","admin_invoicing"},0)),"activity must be one of the seven keys; ","")&amp;IF(OR(N($E395)&lt;=0,N($E395)&gt;16),"hours?; ","")&amp;IF(AND($C395&lt;&gt;"",$B395=""),"campaign without drop_id; ","")&amp;IF(AND($B395&lt;&gt;"",COUNTIF(drops!$A$2:$A$21,$B395)=0),"drop_id not on drops; ",""))</f>
        <v/>
      </c>
    </row>
    <row r="396">
      <c r="A396" s="9" t="n"/>
      <c r="E396" s="10" t="n"/>
      <c r="G396" s="25">
        <f>IF($A396="","",IF(ISNA(MATCH($D396,{"brand_sales","office_coordination","receiving_kitting","drop_day","checks_pickup","reporting_debriefs","admin_invoicing"},0)),"activity must be one of the seven keys; ","")&amp;IF(OR(N($E396)&lt;=0,N($E396)&gt;16),"hours?; ","")&amp;IF(AND($C396&lt;&gt;"",$B396=""),"campaign without drop_id; ","")&amp;IF(AND($B396&lt;&gt;"",COUNTIF(drops!$A$2:$A$21,$B396)=0),"drop_id not on drops; ",""))</f>
        <v/>
      </c>
    </row>
    <row r="397">
      <c r="A397" s="9" t="n"/>
      <c r="E397" s="10" t="n"/>
      <c r="G397" s="25">
        <f>IF($A397="","",IF(ISNA(MATCH($D397,{"brand_sales","office_coordination","receiving_kitting","drop_day","checks_pickup","reporting_debriefs","admin_invoicing"},0)),"activity must be one of the seven keys; ","")&amp;IF(OR(N($E397)&lt;=0,N($E397)&gt;16),"hours?; ","")&amp;IF(AND($C397&lt;&gt;"",$B397=""),"campaign without drop_id; ","")&amp;IF(AND($B397&lt;&gt;"",COUNTIF(drops!$A$2:$A$21,$B397)=0),"drop_id not on drops; ",""))</f>
        <v/>
      </c>
    </row>
    <row r="398">
      <c r="A398" s="9" t="n"/>
      <c r="E398" s="10" t="n"/>
      <c r="G398" s="25">
        <f>IF($A398="","",IF(ISNA(MATCH($D398,{"brand_sales","office_coordination","receiving_kitting","drop_day","checks_pickup","reporting_debriefs","admin_invoicing"},0)),"activity must be one of the seven keys; ","")&amp;IF(OR(N($E398)&lt;=0,N($E398)&gt;16),"hours?; ","")&amp;IF(AND($C398&lt;&gt;"",$B398=""),"campaign without drop_id; ","")&amp;IF(AND($B398&lt;&gt;"",COUNTIF(drops!$A$2:$A$21,$B398)=0),"drop_id not on drops; ",""))</f>
        <v/>
      </c>
    </row>
    <row r="399">
      <c r="A399" s="9" t="n"/>
      <c r="E399" s="10" t="n"/>
      <c r="G399" s="25">
        <f>IF($A399="","",IF(ISNA(MATCH($D399,{"brand_sales","office_coordination","receiving_kitting","drop_day","checks_pickup","reporting_debriefs","admin_invoicing"},0)),"activity must be one of the seven keys; ","")&amp;IF(OR(N($E399)&lt;=0,N($E399)&gt;16),"hours?; ","")&amp;IF(AND($C399&lt;&gt;"",$B399=""),"campaign without drop_id; ","")&amp;IF(AND($B399&lt;&gt;"",COUNTIF(drops!$A$2:$A$21,$B399)=0),"drop_id not on drops; ",""))</f>
        <v/>
      </c>
    </row>
    <row r="400">
      <c r="A400" s="9" t="n"/>
      <c r="E400" s="10" t="n"/>
      <c r="G400" s="25">
        <f>IF($A400="","",IF(ISNA(MATCH($D400,{"brand_sales","office_coordination","receiving_kitting","drop_day","checks_pickup","reporting_debriefs","admin_invoicing"},0)),"activity must be one of the seven keys; ","")&amp;IF(OR(N($E400)&lt;=0,N($E400)&gt;16),"hours?; ","")&amp;IF(AND($C400&lt;&gt;"",$B400=""),"campaign without drop_id; ","")&amp;IF(AND($B400&lt;&gt;"",COUNTIF(drops!$A$2:$A$21,$B400)=0),"drop_id not on drops; ",""))</f>
        <v/>
      </c>
    </row>
    <row r="401">
      <c r="A401" s="9" t="n"/>
      <c r="E401" s="10" t="n"/>
      <c r="G401" s="25">
        <f>IF($A401="","",IF(ISNA(MATCH($D401,{"brand_sales","office_coordination","receiving_kitting","drop_day","checks_pickup","reporting_debriefs","admin_invoicing"},0)),"activity must be one of the seven keys; ","")&amp;IF(OR(N($E401)&lt;=0,N($E401)&gt;16),"hours?; ","")&amp;IF(AND($C401&lt;&gt;"",$B401=""),"campaign without drop_id; ","")&amp;IF(AND($B401&lt;&gt;"",COUNTIF(drops!$A$2:$A$21,$B401)=0),"drop_id not on drops; ",""))</f>
        <v/>
      </c>
    </row>
    <row r="402">
      <c r="A402" s="9" t="n"/>
      <c r="E402" s="10" t="n"/>
      <c r="G402" s="25">
        <f>IF($A402="","",IF(ISNA(MATCH($D402,{"brand_sales","office_coordination","receiving_kitting","drop_day","checks_pickup","reporting_debriefs","admin_invoicing"},0)),"activity must be one of the seven keys; ","")&amp;IF(OR(N($E402)&lt;=0,N($E402)&gt;16),"hours?; ","")&amp;IF(AND($C402&lt;&gt;"",$B402=""),"campaign without drop_id; ","")&amp;IF(AND($B402&lt;&gt;"",COUNTIF(drops!$A$2:$A$21,$B402)=0),"drop_id not on drops; ",""))</f>
        <v/>
      </c>
    </row>
    <row r="403">
      <c r="A403" s="9" t="n"/>
      <c r="E403" s="10" t="n"/>
      <c r="G403" s="25">
        <f>IF($A403="","",IF(ISNA(MATCH($D403,{"brand_sales","office_coordination","receiving_kitting","drop_day","checks_pickup","reporting_debriefs","admin_invoicing"},0)),"activity must be one of the seven keys; ","")&amp;IF(OR(N($E403)&lt;=0,N($E403)&gt;16),"hours?; ","")&amp;IF(AND($C403&lt;&gt;"",$B403=""),"campaign without drop_id; ","")&amp;IF(AND($B403&lt;&gt;"",COUNTIF(drops!$A$2:$A$21,$B403)=0),"drop_id not on drops; ",""))</f>
        <v/>
      </c>
    </row>
    <row r="404">
      <c r="A404" s="9" t="n"/>
      <c r="E404" s="10" t="n"/>
      <c r="G404" s="25">
        <f>IF($A404="","",IF(ISNA(MATCH($D404,{"brand_sales","office_coordination","receiving_kitting","drop_day","checks_pickup","reporting_debriefs","admin_invoicing"},0)),"activity must be one of the seven keys; ","")&amp;IF(OR(N($E404)&lt;=0,N($E404)&gt;16),"hours?; ","")&amp;IF(AND($C404&lt;&gt;"",$B404=""),"campaign without drop_id; ","")&amp;IF(AND($B404&lt;&gt;"",COUNTIF(drops!$A$2:$A$21,$B404)=0),"drop_id not on drops; ",""))</f>
        <v/>
      </c>
    </row>
    <row r="405">
      <c r="A405" s="9" t="n"/>
      <c r="E405" s="10" t="n"/>
      <c r="G405" s="25">
        <f>IF($A405="","",IF(ISNA(MATCH($D405,{"brand_sales","office_coordination","receiving_kitting","drop_day","checks_pickup","reporting_debriefs","admin_invoicing"},0)),"activity must be one of the seven keys; ","")&amp;IF(OR(N($E405)&lt;=0,N($E405)&gt;16),"hours?; ","")&amp;IF(AND($C405&lt;&gt;"",$B405=""),"campaign without drop_id; ","")&amp;IF(AND($B405&lt;&gt;"",COUNTIF(drops!$A$2:$A$21,$B405)=0),"drop_id not on drops; ",""))</f>
        <v/>
      </c>
    </row>
    <row r="406">
      <c r="A406" s="9" t="n"/>
      <c r="E406" s="10" t="n"/>
      <c r="G406" s="25">
        <f>IF($A406="","",IF(ISNA(MATCH($D406,{"brand_sales","office_coordination","receiving_kitting","drop_day","checks_pickup","reporting_debriefs","admin_invoicing"},0)),"activity must be one of the seven keys; ","")&amp;IF(OR(N($E406)&lt;=0,N($E406)&gt;16),"hours?; ","")&amp;IF(AND($C406&lt;&gt;"",$B406=""),"campaign without drop_id; ","")&amp;IF(AND($B406&lt;&gt;"",COUNTIF(drops!$A$2:$A$21,$B406)=0),"drop_id not on drops; ",""))</f>
        <v/>
      </c>
    </row>
    <row r="407">
      <c r="A407" s="9" t="n"/>
      <c r="E407" s="10" t="n"/>
      <c r="G407" s="25">
        <f>IF($A407="","",IF(ISNA(MATCH($D407,{"brand_sales","office_coordination","receiving_kitting","drop_day","checks_pickup","reporting_debriefs","admin_invoicing"},0)),"activity must be one of the seven keys; ","")&amp;IF(OR(N($E407)&lt;=0,N($E407)&gt;16),"hours?; ","")&amp;IF(AND($C407&lt;&gt;"",$B407=""),"campaign without drop_id; ","")&amp;IF(AND($B407&lt;&gt;"",COUNTIF(drops!$A$2:$A$21,$B407)=0),"drop_id not on drops; ",""))</f>
        <v/>
      </c>
    </row>
    <row r="408">
      <c r="A408" s="9" t="n"/>
      <c r="E408" s="10" t="n"/>
      <c r="G408" s="25">
        <f>IF($A408="","",IF(ISNA(MATCH($D408,{"brand_sales","office_coordination","receiving_kitting","drop_day","checks_pickup","reporting_debriefs","admin_invoicing"},0)),"activity must be one of the seven keys; ","")&amp;IF(OR(N($E408)&lt;=0,N($E408)&gt;16),"hours?; ","")&amp;IF(AND($C408&lt;&gt;"",$B408=""),"campaign without drop_id; ","")&amp;IF(AND($B408&lt;&gt;"",COUNTIF(drops!$A$2:$A$21,$B408)=0),"drop_id not on drops; ",""))</f>
        <v/>
      </c>
    </row>
    <row r="409">
      <c r="A409" s="9" t="n"/>
      <c r="E409" s="10" t="n"/>
      <c r="G409" s="25">
        <f>IF($A409="","",IF(ISNA(MATCH($D409,{"brand_sales","office_coordination","receiving_kitting","drop_day","checks_pickup","reporting_debriefs","admin_invoicing"},0)),"activity must be one of the seven keys; ","")&amp;IF(OR(N($E409)&lt;=0,N($E409)&gt;16),"hours?; ","")&amp;IF(AND($C409&lt;&gt;"",$B409=""),"campaign without drop_id; ","")&amp;IF(AND($B409&lt;&gt;"",COUNTIF(drops!$A$2:$A$21,$B409)=0),"drop_id not on drops; ",""))</f>
        <v/>
      </c>
    </row>
    <row r="410">
      <c r="A410" s="9" t="n"/>
      <c r="E410" s="10" t="n"/>
      <c r="G410" s="25">
        <f>IF($A410="","",IF(ISNA(MATCH($D410,{"brand_sales","office_coordination","receiving_kitting","drop_day","checks_pickup","reporting_debriefs","admin_invoicing"},0)),"activity must be one of the seven keys; ","")&amp;IF(OR(N($E410)&lt;=0,N($E410)&gt;16),"hours?; ","")&amp;IF(AND($C410&lt;&gt;"",$B410=""),"campaign without drop_id; ","")&amp;IF(AND($B410&lt;&gt;"",COUNTIF(drops!$A$2:$A$21,$B410)=0),"drop_id not on drops; ",""))</f>
        <v/>
      </c>
    </row>
    <row r="411">
      <c r="A411" s="9" t="n"/>
      <c r="E411" s="10" t="n"/>
      <c r="G411" s="25">
        <f>IF($A411="","",IF(ISNA(MATCH($D411,{"brand_sales","office_coordination","receiving_kitting","drop_day","checks_pickup","reporting_debriefs","admin_invoicing"},0)),"activity must be one of the seven keys; ","")&amp;IF(OR(N($E411)&lt;=0,N($E411)&gt;16),"hours?; ","")&amp;IF(AND($C411&lt;&gt;"",$B411=""),"campaign without drop_id; ","")&amp;IF(AND($B411&lt;&gt;"",COUNTIF(drops!$A$2:$A$21,$B411)=0),"drop_id not on drops; ",""))</f>
        <v/>
      </c>
    </row>
    <row r="412">
      <c r="A412" s="9" t="n"/>
      <c r="E412" s="10" t="n"/>
      <c r="G412" s="25">
        <f>IF($A412="","",IF(ISNA(MATCH($D412,{"brand_sales","office_coordination","receiving_kitting","drop_day","checks_pickup","reporting_debriefs","admin_invoicing"},0)),"activity must be one of the seven keys; ","")&amp;IF(OR(N($E412)&lt;=0,N($E412)&gt;16),"hours?; ","")&amp;IF(AND($C412&lt;&gt;"",$B412=""),"campaign without drop_id; ","")&amp;IF(AND($B412&lt;&gt;"",COUNTIF(drops!$A$2:$A$21,$B412)=0),"drop_id not on drops; ",""))</f>
        <v/>
      </c>
    </row>
    <row r="413">
      <c r="A413" s="9" t="n"/>
      <c r="E413" s="10" t="n"/>
      <c r="G413" s="25">
        <f>IF($A413="","",IF(ISNA(MATCH($D413,{"brand_sales","office_coordination","receiving_kitting","drop_day","checks_pickup","reporting_debriefs","admin_invoicing"},0)),"activity must be one of the seven keys; ","")&amp;IF(OR(N($E413)&lt;=0,N($E413)&gt;16),"hours?; ","")&amp;IF(AND($C413&lt;&gt;"",$B413=""),"campaign without drop_id; ","")&amp;IF(AND($B413&lt;&gt;"",COUNTIF(drops!$A$2:$A$21,$B413)=0),"drop_id not on drops; ",""))</f>
        <v/>
      </c>
    </row>
    <row r="414">
      <c r="A414" s="9" t="n"/>
      <c r="E414" s="10" t="n"/>
      <c r="G414" s="25">
        <f>IF($A414="","",IF(ISNA(MATCH($D414,{"brand_sales","office_coordination","receiving_kitting","drop_day","checks_pickup","reporting_debriefs","admin_invoicing"},0)),"activity must be one of the seven keys; ","")&amp;IF(OR(N($E414)&lt;=0,N($E414)&gt;16),"hours?; ","")&amp;IF(AND($C414&lt;&gt;"",$B414=""),"campaign without drop_id; ","")&amp;IF(AND($B414&lt;&gt;"",COUNTIF(drops!$A$2:$A$21,$B414)=0),"drop_id not on drops; ",""))</f>
        <v/>
      </c>
    </row>
    <row r="415">
      <c r="A415" s="9" t="n"/>
      <c r="E415" s="10" t="n"/>
      <c r="G415" s="25">
        <f>IF($A415="","",IF(ISNA(MATCH($D415,{"brand_sales","office_coordination","receiving_kitting","drop_day","checks_pickup","reporting_debriefs","admin_invoicing"},0)),"activity must be one of the seven keys; ","")&amp;IF(OR(N($E415)&lt;=0,N($E415)&gt;16),"hours?; ","")&amp;IF(AND($C415&lt;&gt;"",$B415=""),"campaign without drop_id; ","")&amp;IF(AND($B415&lt;&gt;"",COUNTIF(drops!$A$2:$A$21,$B415)=0),"drop_id not on drops; ",""))</f>
        <v/>
      </c>
    </row>
    <row r="416">
      <c r="A416" s="9" t="n"/>
      <c r="E416" s="10" t="n"/>
      <c r="G416" s="25">
        <f>IF($A416="","",IF(ISNA(MATCH($D416,{"brand_sales","office_coordination","receiving_kitting","drop_day","checks_pickup","reporting_debriefs","admin_invoicing"},0)),"activity must be one of the seven keys; ","")&amp;IF(OR(N($E416)&lt;=0,N($E416)&gt;16),"hours?; ","")&amp;IF(AND($C416&lt;&gt;"",$B416=""),"campaign without drop_id; ","")&amp;IF(AND($B416&lt;&gt;"",COUNTIF(drops!$A$2:$A$21,$B416)=0),"drop_id not on drops; ",""))</f>
        <v/>
      </c>
    </row>
    <row r="417">
      <c r="A417" s="9" t="n"/>
      <c r="E417" s="10" t="n"/>
      <c r="G417" s="25">
        <f>IF($A417="","",IF(ISNA(MATCH($D417,{"brand_sales","office_coordination","receiving_kitting","drop_day","checks_pickup","reporting_debriefs","admin_invoicing"},0)),"activity must be one of the seven keys; ","")&amp;IF(OR(N($E417)&lt;=0,N($E417)&gt;16),"hours?; ","")&amp;IF(AND($C417&lt;&gt;"",$B417=""),"campaign without drop_id; ","")&amp;IF(AND($B417&lt;&gt;"",COUNTIF(drops!$A$2:$A$21,$B417)=0),"drop_id not on drops; ",""))</f>
        <v/>
      </c>
    </row>
    <row r="418">
      <c r="A418" s="9" t="n"/>
      <c r="E418" s="10" t="n"/>
      <c r="G418" s="25">
        <f>IF($A418="","",IF(ISNA(MATCH($D418,{"brand_sales","office_coordination","receiving_kitting","drop_day","checks_pickup","reporting_debriefs","admin_invoicing"},0)),"activity must be one of the seven keys; ","")&amp;IF(OR(N($E418)&lt;=0,N($E418)&gt;16),"hours?; ","")&amp;IF(AND($C418&lt;&gt;"",$B418=""),"campaign without drop_id; ","")&amp;IF(AND($B418&lt;&gt;"",COUNTIF(drops!$A$2:$A$21,$B418)=0),"drop_id not on drops; ",""))</f>
        <v/>
      </c>
    </row>
    <row r="419">
      <c r="A419" s="9" t="n"/>
      <c r="E419" s="10" t="n"/>
      <c r="G419" s="25">
        <f>IF($A419="","",IF(ISNA(MATCH($D419,{"brand_sales","office_coordination","receiving_kitting","drop_day","checks_pickup","reporting_debriefs","admin_invoicing"},0)),"activity must be one of the seven keys; ","")&amp;IF(OR(N($E419)&lt;=0,N($E419)&gt;16),"hours?; ","")&amp;IF(AND($C419&lt;&gt;"",$B419=""),"campaign without drop_id; ","")&amp;IF(AND($B419&lt;&gt;"",COUNTIF(drops!$A$2:$A$21,$B419)=0),"drop_id not on drops; ",""))</f>
        <v/>
      </c>
    </row>
    <row r="420">
      <c r="A420" s="9" t="n"/>
      <c r="E420" s="10" t="n"/>
      <c r="G420" s="25">
        <f>IF($A420="","",IF(ISNA(MATCH($D420,{"brand_sales","office_coordination","receiving_kitting","drop_day","checks_pickup","reporting_debriefs","admin_invoicing"},0)),"activity must be one of the seven keys; ","")&amp;IF(OR(N($E420)&lt;=0,N($E420)&gt;16),"hours?; ","")&amp;IF(AND($C420&lt;&gt;"",$B420=""),"campaign without drop_id; ","")&amp;IF(AND($B420&lt;&gt;"",COUNTIF(drops!$A$2:$A$21,$B420)=0),"drop_id not on drops; ",""))</f>
        <v/>
      </c>
    </row>
    <row r="421">
      <c r="A421" s="9" t="n"/>
      <c r="E421" s="10" t="n"/>
      <c r="G421" s="25">
        <f>IF($A421="","",IF(ISNA(MATCH($D421,{"brand_sales","office_coordination","receiving_kitting","drop_day","checks_pickup","reporting_debriefs","admin_invoicing"},0)),"activity must be one of the seven keys; ","")&amp;IF(OR(N($E421)&lt;=0,N($E421)&gt;16),"hours?; ","")&amp;IF(AND($C421&lt;&gt;"",$B421=""),"campaign without drop_id; ","")&amp;IF(AND($B421&lt;&gt;"",COUNTIF(drops!$A$2:$A$21,$B421)=0),"drop_id not on drops; ",""))</f>
        <v/>
      </c>
    </row>
    <row r="422">
      <c r="A422" s="9" t="n"/>
      <c r="E422" s="10" t="n"/>
      <c r="G422" s="25">
        <f>IF($A422="","",IF(ISNA(MATCH($D422,{"brand_sales","office_coordination","receiving_kitting","drop_day","checks_pickup","reporting_debriefs","admin_invoicing"},0)),"activity must be one of the seven keys; ","")&amp;IF(OR(N($E422)&lt;=0,N($E422)&gt;16),"hours?; ","")&amp;IF(AND($C422&lt;&gt;"",$B422=""),"campaign without drop_id; ","")&amp;IF(AND($B422&lt;&gt;"",COUNTIF(drops!$A$2:$A$21,$B422)=0),"drop_id not on drops; ",""))</f>
        <v/>
      </c>
    </row>
    <row r="423">
      <c r="A423" s="9" t="n"/>
      <c r="E423" s="10" t="n"/>
      <c r="G423" s="25">
        <f>IF($A423="","",IF(ISNA(MATCH($D423,{"brand_sales","office_coordination","receiving_kitting","drop_day","checks_pickup","reporting_debriefs","admin_invoicing"},0)),"activity must be one of the seven keys; ","")&amp;IF(OR(N($E423)&lt;=0,N($E423)&gt;16),"hours?; ","")&amp;IF(AND($C423&lt;&gt;"",$B423=""),"campaign without drop_id; ","")&amp;IF(AND($B423&lt;&gt;"",COUNTIF(drops!$A$2:$A$21,$B423)=0),"drop_id not on drops; ",""))</f>
        <v/>
      </c>
    </row>
    <row r="424">
      <c r="A424" s="9" t="n"/>
      <c r="E424" s="10" t="n"/>
      <c r="G424" s="25">
        <f>IF($A424="","",IF(ISNA(MATCH($D424,{"brand_sales","office_coordination","receiving_kitting","drop_day","checks_pickup","reporting_debriefs","admin_invoicing"},0)),"activity must be one of the seven keys; ","")&amp;IF(OR(N($E424)&lt;=0,N($E424)&gt;16),"hours?; ","")&amp;IF(AND($C424&lt;&gt;"",$B424=""),"campaign without drop_id; ","")&amp;IF(AND($B424&lt;&gt;"",COUNTIF(drops!$A$2:$A$21,$B424)=0),"drop_id not on drops; ",""))</f>
        <v/>
      </c>
    </row>
    <row r="425">
      <c r="A425" s="9" t="n"/>
      <c r="E425" s="10" t="n"/>
      <c r="G425" s="25">
        <f>IF($A425="","",IF(ISNA(MATCH($D425,{"brand_sales","office_coordination","receiving_kitting","drop_day","checks_pickup","reporting_debriefs","admin_invoicing"},0)),"activity must be one of the seven keys; ","")&amp;IF(OR(N($E425)&lt;=0,N($E425)&gt;16),"hours?; ","")&amp;IF(AND($C425&lt;&gt;"",$B425=""),"campaign without drop_id; ","")&amp;IF(AND($B425&lt;&gt;"",COUNTIF(drops!$A$2:$A$21,$B425)=0),"drop_id not on drops; ",""))</f>
        <v/>
      </c>
    </row>
    <row r="426">
      <c r="A426" s="9" t="n"/>
      <c r="E426" s="10" t="n"/>
      <c r="G426" s="25">
        <f>IF($A426="","",IF(ISNA(MATCH($D426,{"brand_sales","office_coordination","receiving_kitting","drop_day","checks_pickup","reporting_debriefs","admin_invoicing"},0)),"activity must be one of the seven keys; ","")&amp;IF(OR(N($E426)&lt;=0,N($E426)&gt;16),"hours?; ","")&amp;IF(AND($C426&lt;&gt;"",$B426=""),"campaign without drop_id; ","")&amp;IF(AND($B426&lt;&gt;"",COUNTIF(drops!$A$2:$A$21,$B426)=0),"drop_id not on drops; ",""))</f>
        <v/>
      </c>
    </row>
    <row r="427">
      <c r="A427" s="9" t="n"/>
      <c r="E427" s="10" t="n"/>
      <c r="G427" s="25">
        <f>IF($A427="","",IF(ISNA(MATCH($D427,{"brand_sales","office_coordination","receiving_kitting","drop_day","checks_pickup","reporting_debriefs","admin_invoicing"},0)),"activity must be one of the seven keys; ","")&amp;IF(OR(N($E427)&lt;=0,N($E427)&gt;16),"hours?; ","")&amp;IF(AND($C427&lt;&gt;"",$B427=""),"campaign without drop_id; ","")&amp;IF(AND($B427&lt;&gt;"",COUNTIF(drops!$A$2:$A$21,$B427)=0),"drop_id not on drops; ",""))</f>
        <v/>
      </c>
    </row>
    <row r="428">
      <c r="A428" s="9" t="n"/>
      <c r="E428" s="10" t="n"/>
      <c r="G428" s="25">
        <f>IF($A428="","",IF(ISNA(MATCH($D428,{"brand_sales","office_coordination","receiving_kitting","drop_day","checks_pickup","reporting_debriefs","admin_invoicing"},0)),"activity must be one of the seven keys; ","")&amp;IF(OR(N($E428)&lt;=0,N($E428)&gt;16),"hours?; ","")&amp;IF(AND($C428&lt;&gt;"",$B428=""),"campaign without drop_id; ","")&amp;IF(AND($B428&lt;&gt;"",COUNTIF(drops!$A$2:$A$21,$B428)=0),"drop_id not on drops; ",""))</f>
        <v/>
      </c>
    </row>
    <row r="429">
      <c r="A429" s="9" t="n"/>
      <c r="E429" s="10" t="n"/>
      <c r="G429" s="25">
        <f>IF($A429="","",IF(ISNA(MATCH($D429,{"brand_sales","office_coordination","receiving_kitting","drop_day","checks_pickup","reporting_debriefs","admin_invoicing"},0)),"activity must be one of the seven keys; ","")&amp;IF(OR(N($E429)&lt;=0,N($E429)&gt;16),"hours?; ","")&amp;IF(AND($C429&lt;&gt;"",$B429=""),"campaign without drop_id; ","")&amp;IF(AND($B429&lt;&gt;"",COUNTIF(drops!$A$2:$A$21,$B429)=0),"drop_id not on drops; ",""))</f>
        <v/>
      </c>
    </row>
    <row r="430">
      <c r="A430" s="9" t="n"/>
      <c r="E430" s="10" t="n"/>
      <c r="G430" s="25">
        <f>IF($A430="","",IF(ISNA(MATCH($D430,{"brand_sales","office_coordination","receiving_kitting","drop_day","checks_pickup","reporting_debriefs","admin_invoicing"},0)),"activity must be one of the seven keys; ","")&amp;IF(OR(N($E430)&lt;=0,N($E430)&gt;16),"hours?; ","")&amp;IF(AND($C430&lt;&gt;"",$B430=""),"campaign without drop_id; ","")&amp;IF(AND($B430&lt;&gt;"",COUNTIF(drops!$A$2:$A$21,$B430)=0),"drop_id not on drops; ",""))</f>
        <v/>
      </c>
    </row>
    <row r="431">
      <c r="A431" s="9" t="n"/>
      <c r="E431" s="10" t="n"/>
      <c r="G431" s="25">
        <f>IF($A431="","",IF(ISNA(MATCH($D431,{"brand_sales","office_coordination","receiving_kitting","drop_day","checks_pickup","reporting_debriefs","admin_invoicing"},0)),"activity must be one of the seven keys; ","")&amp;IF(OR(N($E431)&lt;=0,N($E431)&gt;16),"hours?; ","")&amp;IF(AND($C431&lt;&gt;"",$B431=""),"campaign without drop_id; ","")&amp;IF(AND($B431&lt;&gt;"",COUNTIF(drops!$A$2:$A$21,$B431)=0),"drop_id not on drops; ",""))</f>
        <v/>
      </c>
    </row>
    <row r="432">
      <c r="A432" s="9" t="n"/>
      <c r="E432" s="10" t="n"/>
      <c r="G432" s="25">
        <f>IF($A432="","",IF(ISNA(MATCH($D432,{"brand_sales","office_coordination","receiving_kitting","drop_day","checks_pickup","reporting_debriefs","admin_invoicing"},0)),"activity must be one of the seven keys; ","")&amp;IF(OR(N($E432)&lt;=0,N($E432)&gt;16),"hours?; ","")&amp;IF(AND($C432&lt;&gt;"",$B432=""),"campaign without drop_id; ","")&amp;IF(AND($B432&lt;&gt;"",COUNTIF(drops!$A$2:$A$21,$B432)=0),"drop_id not on drops; ",""))</f>
        <v/>
      </c>
    </row>
    <row r="433">
      <c r="A433" s="9" t="n"/>
      <c r="E433" s="10" t="n"/>
      <c r="G433" s="25">
        <f>IF($A433="","",IF(ISNA(MATCH($D433,{"brand_sales","office_coordination","receiving_kitting","drop_day","checks_pickup","reporting_debriefs","admin_invoicing"},0)),"activity must be one of the seven keys; ","")&amp;IF(OR(N($E433)&lt;=0,N($E433)&gt;16),"hours?; ","")&amp;IF(AND($C433&lt;&gt;"",$B433=""),"campaign without drop_id; ","")&amp;IF(AND($B433&lt;&gt;"",COUNTIF(drops!$A$2:$A$21,$B433)=0),"drop_id not on drops; ",""))</f>
        <v/>
      </c>
    </row>
    <row r="434">
      <c r="A434" s="9" t="n"/>
      <c r="E434" s="10" t="n"/>
      <c r="G434" s="25">
        <f>IF($A434="","",IF(ISNA(MATCH($D434,{"brand_sales","office_coordination","receiving_kitting","drop_day","checks_pickup","reporting_debriefs","admin_invoicing"},0)),"activity must be one of the seven keys; ","")&amp;IF(OR(N($E434)&lt;=0,N($E434)&gt;16),"hours?; ","")&amp;IF(AND($C434&lt;&gt;"",$B434=""),"campaign without drop_id; ","")&amp;IF(AND($B434&lt;&gt;"",COUNTIF(drops!$A$2:$A$21,$B434)=0),"drop_id not on drops; ",""))</f>
        <v/>
      </c>
    </row>
    <row r="435">
      <c r="A435" s="9" t="n"/>
      <c r="E435" s="10" t="n"/>
      <c r="G435" s="25">
        <f>IF($A435="","",IF(ISNA(MATCH($D435,{"brand_sales","office_coordination","receiving_kitting","drop_day","checks_pickup","reporting_debriefs","admin_invoicing"},0)),"activity must be one of the seven keys; ","")&amp;IF(OR(N($E435)&lt;=0,N($E435)&gt;16),"hours?; ","")&amp;IF(AND($C435&lt;&gt;"",$B435=""),"campaign without drop_id; ","")&amp;IF(AND($B435&lt;&gt;"",COUNTIF(drops!$A$2:$A$21,$B435)=0),"drop_id not on drops; ",""))</f>
        <v/>
      </c>
    </row>
    <row r="436">
      <c r="A436" s="9" t="n"/>
      <c r="E436" s="10" t="n"/>
      <c r="G436" s="25">
        <f>IF($A436="","",IF(ISNA(MATCH($D436,{"brand_sales","office_coordination","receiving_kitting","drop_day","checks_pickup","reporting_debriefs","admin_invoicing"},0)),"activity must be one of the seven keys; ","")&amp;IF(OR(N($E436)&lt;=0,N($E436)&gt;16),"hours?; ","")&amp;IF(AND($C436&lt;&gt;"",$B436=""),"campaign without drop_id; ","")&amp;IF(AND($B436&lt;&gt;"",COUNTIF(drops!$A$2:$A$21,$B436)=0),"drop_id not on drops; ",""))</f>
        <v/>
      </c>
    </row>
    <row r="437">
      <c r="A437" s="9" t="n"/>
      <c r="E437" s="10" t="n"/>
      <c r="G437" s="25">
        <f>IF($A437="","",IF(ISNA(MATCH($D437,{"brand_sales","office_coordination","receiving_kitting","drop_day","checks_pickup","reporting_debriefs","admin_invoicing"},0)),"activity must be one of the seven keys; ","")&amp;IF(OR(N($E437)&lt;=0,N($E437)&gt;16),"hours?; ","")&amp;IF(AND($C437&lt;&gt;"",$B437=""),"campaign without drop_id; ","")&amp;IF(AND($B437&lt;&gt;"",COUNTIF(drops!$A$2:$A$21,$B437)=0),"drop_id not on drops; ",""))</f>
        <v/>
      </c>
    </row>
    <row r="438">
      <c r="A438" s="9" t="n"/>
      <c r="E438" s="10" t="n"/>
      <c r="G438" s="25">
        <f>IF($A438="","",IF(ISNA(MATCH($D438,{"brand_sales","office_coordination","receiving_kitting","drop_day","checks_pickup","reporting_debriefs","admin_invoicing"},0)),"activity must be one of the seven keys; ","")&amp;IF(OR(N($E438)&lt;=0,N($E438)&gt;16),"hours?; ","")&amp;IF(AND($C438&lt;&gt;"",$B438=""),"campaign without drop_id; ","")&amp;IF(AND($B438&lt;&gt;"",COUNTIF(drops!$A$2:$A$21,$B438)=0),"drop_id not on drops; ",""))</f>
        <v/>
      </c>
    </row>
    <row r="439">
      <c r="A439" s="9" t="n"/>
      <c r="E439" s="10" t="n"/>
      <c r="G439" s="25">
        <f>IF($A439="","",IF(ISNA(MATCH($D439,{"brand_sales","office_coordination","receiving_kitting","drop_day","checks_pickup","reporting_debriefs","admin_invoicing"},0)),"activity must be one of the seven keys; ","")&amp;IF(OR(N($E439)&lt;=0,N($E439)&gt;16),"hours?; ","")&amp;IF(AND($C439&lt;&gt;"",$B439=""),"campaign without drop_id; ","")&amp;IF(AND($B439&lt;&gt;"",COUNTIF(drops!$A$2:$A$21,$B439)=0),"drop_id not on drops; ",""))</f>
        <v/>
      </c>
    </row>
    <row r="440">
      <c r="A440" s="9" t="n"/>
      <c r="E440" s="10" t="n"/>
      <c r="G440" s="25">
        <f>IF($A440="","",IF(ISNA(MATCH($D440,{"brand_sales","office_coordination","receiving_kitting","drop_day","checks_pickup","reporting_debriefs","admin_invoicing"},0)),"activity must be one of the seven keys; ","")&amp;IF(OR(N($E440)&lt;=0,N($E440)&gt;16),"hours?; ","")&amp;IF(AND($C440&lt;&gt;"",$B440=""),"campaign without drop_id; ","")&amp;IF(AND($B440&lt;&gt;"",COUNTIF(drops!$A$2:$A$21,$B440)=0),"drop_id not on drops; ",""))</f>
        <v/>
      </c>
    </row>
    <row r="441">
      <c r="A441" s="9" t="n"/>
      <c r="E441" s="10" t="n"/>
      <c r="G441" s="25">
        <f>IF($A441="","",IF(ISNA(MATCH($D441,{"brand_sales","office_coordination","receiving_kitting","drop_day","checks_pickup","reporting_debriefs","admin_invoicing"},0)),"activity must be one of the seven keys; ","")&amp;IF(OR(N($E441)&lt;=0,N($E441)&gt;16),"hours?; ","")&amp;IF(AND($C441&lt;&gt;"",$B441=""),"campaign without drop_id; ","")&amp;IF(AND($B441&lt;&gt;"",COUNTIF(drops!$A$2:$A$21,$B441)=0),"drop_id not on drops; ",""))</f>
        <v/>
      </c>
    </row>
    <row r="442">
      <c r="A442" s="9" t="n"/>
      <c r="E442" s="10" t="n"/>
      <c r="G442" s="25">
        <f>IF($A442="","",IF(ISNA(MATCH($D442,{"brand_sales","office_coordination","receiving_kitting","drop_day","checks_pickup","reporting_debriefs","admin_invoicing"},0)),"activity must be one of the seven keys; ","")&amp;IF(OR(N($E442)&lt;=0,N($E442)&gt;16),"hours?; ","")&amp;IF(AND($C442&lt;&gt;"",$B442=""),"campaign without drop_id; ","")&amp;IF(AND($B442&lt;&gt;"",COUNTIF(drops!$A$2:$A$21,$B442)=0),"drop_id not on drops; ",""))</f>
        <v/>
      </c>
    </row>
    <row r="443">
      <c r="A443" s="9" t="n"/>
      <c r="E443" s="10" t="n"/>
      <c r="G443" s="25">
        <f>IF($A443="","",IF(ISNA(MATCH($D443,{"brand_sales","office_coordination","receiving_kitting","drop_day","checks_pickup","reporting_debriefs","admin_invoicing"},0)),"activity must be one of the seven keys; ","")&amp;IF(OR(N($E443)&lt;=0,N($E443)&gt;16),"hours?; ","")&amp;IF(AND($C443&lt;&gt;"",$B443=""),"campaign without drop_id; ","")&amp;IF(AND($B443&lt;&gt;"",COUNTIF(drops!$A$2:$A$21,$B443)=0),"drop_id not on drops; ",""))</f>
        <v/>
      </c>
    </row>
    <row r="444">
      <c r="A444" s="9" t="n"/>
      <c r="E444" s="10" t="n"/>
      <c r="G444" s="25">
        <f>IF($A444="","",IF(ISNA(MATCH($D444,{"brand_sales","office_coordination","receiving_kitting","drop_day","checks_pickup","reporting_debriefs","admin_invoicing"},0)),"activity must be one of the seven keys; ","")&amp;IF(OR(N($E444)&lt;=0,N($E444)&gt;16),"hours?; ","")&amp;IF(AND($C444&lt;&gt;"",$B444=""),"campaign without drop_id; ","")&amp;IF(AND($B444&lt;&gt;"",COUNTIF(drops!$A$2:$A$21,$B444)=0),"drop_id not on drops; ",""))</f>
        <v/>
      </c>
    </row>
    <row r="445">
      <c r="A445" s="9" t="n"/>
      <c r="E445" s="10" t="n"/>
      <c r="G445" s="25">
        <f>IF($A445="","",IF(ISNA(MATCH($D445,{"brand_sales","office_coordination","receiving_kitting","drop_day","checks_pickup","reporting_debriefs","admin_invoicing"},0)),"activity must be one of the seven keys; ","")&amp;IF(OR(N($E445)&lt;=0,N($E445)&gt;16),"hours?; ","")&amp;IF(AND($C445&lt;&gt;"",$B445=""),"campaign without drop_id; ","")&amp;IF(AND($B445&lt;&gt;"",COUNTIF(drops!$A$2:$A$21,$B445)=0),"drop_id not on drops; ",""))</f>
        <v/>
      </c>
    </row>
    <row r="446">
      <c r="A446" s="9" t="n"/>
      <c r="E446" s="10" t="n"/>
      <c r="G446" s="25">
        <f>IF($A446="","",IF(ISNA(MATCH($D446,{"brand_sales","office_coordination","receiving_kitting","drop_day","checks_pickup","reporting_debriefs","admin_invoicing"},0)),"activity must be one of the seven keys; ","")&amp;IF(OR(N($E446)&lt;=0,N($E446)&gt;16),"hours?; ","")&amp;IF(AND($C446&lt;&gt;"",$B446=""),"campaign without drop_id; ","")&amp;IF(AND($B446&lt;&gt;"",COUNTIF(drops!$A$2:$A$21,$B446)=0),"drop_id not on drops; ",""))</f>
        <v/>
      </c>
    </row>
    <row r="447">
      <c r="A447" s="9" t="n"/>
      <c r="E447" s="10" t="n"/>
      <c r="G447" s="25">
        <f>IF($A447="","",IF(ISNA(MATCH($D447,{"brand_sales","office_coordination","receiving_kitting","drop_day","checks_pickup","reporting_debriefs","admin_invoicing"},0)),"activity must be one of the seven keys; ","")&amp;IF(OR(N($E447)&lt;=0,N($E447)&gt;16),"hours?; ","")&amp;IF(AND($C447&lt;&gt;"",$B447=""),"campaign without drop_id; ","")&amp;IF(AND($B447&lt;&gt;"",COUNTIF(drops!$A$2:$A$21,$B447)=0),"drop_id not on drops; ",""))</f>
        <v/>
      </c>
    </row>
    <row r="448">
      <c r="A448" s="9" t="n"/>
      <c r="E448" s="10" t="n"/>
      <c r="G448" s="25">
        <f>IF($A448="","",IF(ISNA(MATCH($D448,{"brand_sales","office_coordination","receiving_kitting","drop_day","checks_pickup","reporting_debriefs","admin_invoicing"},0)),"activity must be one of the seven keys; ","")&amp;IF(OR(N($E448)&lt;=0,N($E448)&gt;16),"hours?; ","")&amp;IF(AND($C448&lt;&gt;"",$B448=""),"campaign without drop_id; ","")&amp;IF(AND($B448&lt;&gt;"",COUNTIF(drops!$A$2:$A$21,$B448)=0),"drop_id not on drops; ",""))</f>
        <v/>
      </c>
    </row>
    <row r="449">
      <c r="A449" s="9" t="n"/>
      <c r="E449" s="10" t="n"/>
      <c r="G449" s="25">
        <f>IF($A449="","",IF(ISNA(MATCH($D449,{"brand_sales","office_coordination","receiving_kitting","drop_day","checks_pickup","reporting_debriefs","admin_invoicing"},0)),"activity must be one of the seven keys; ","")&amp;IF(OR(N($E449)&lt;=0,N($E449)&gt;16),"hours?; ","")&amp;IF(AND($C449&lt;&gt;"",$B449=""),"campaign without drop_id; ","")&amp;IF(AND($B449&lt;&gt;"",COUNTIF(drops!$A$2:$A$21,$B449)=0),"drop_id not on drops; ",""))</f>
        <v/>
      </c>
    </row>
    <row r="450">
      <c r="A450" s="9" t="n"/>
      <c r="E450" s="10" t="n"/>
      <c r="G450" s="25">
        <f>IF($A450="","",IF(ISNA(MATCH($D450,{"brand_sales","office_coordination","receiving_kitting","drop_day","checks_pickup","reporting_debriefs","admin_invoicing"},0)),"activity must be one of the seven keys; ","")&amp;IF(OR(N($E450)&lt;=0,N($E450)&gt;16),"hours?; ","")&amp;IF(AND($C450&lt;&gt;"",$B450=""),"campaign without drop_id; ","")&amp;IF(AND($B450&lt;&gt;"",COUNTIF(drops!$A$2:$A$21,$B450)=0),"drop_id not on drops; ",""))</f>
        <v/>
      </c>
    </row>
    <row r="451">
      <c r="A451" s="9" t="n"/>
      <c r="E451" s="10" t="n"/>
      <c r="G451" s="25">
        <f>IF($A451="","",IF(ISNA(MATCH($D451,{"brand_sales","office_coordination","receiving_kitting","drop_day","checks_pickup","reporting_debriefs","admin_invoicing"},0)),"activity must be one of the seven keys; ","")&amp;IF(OR(N($E451)&lt;=0,N($E451)&gt;16),"hours?; ","")&amp;IF(AND($C451&lt;&gt;"",$B451=""),"campaign without drop_id; ","")&amp;IF(AND($B451&lt;&gt;"",COUNTIF(drops!$A$2:$A$21,$B451)=0),"drop_id not on drops; ",""))</f>
        <v/>
      </c>
    </row>
    <row r="452">
      <c r="A452" s="9" t="n"/>
      <c r="E452" s="10" t="n"/>
      <c r="G452" s="25">
        <f>IF($A452="","",IF(ISNA(MATCH($D452,{"brand_sales","office_coordination","receiving_kitting","drop_day","checks_pickup","reporting_debriefs","admin_invoicing"},0)),"activity must be one of the seven keys; ","")&amp;IF(OR(N($E452)&lt;=0,N($E452)&gt;16),"hours?; ","")&amp;IF(AND($C452&lt;&gt;"",$B452=""),"campaign without drop_id; ","")&amp;IF(AND($B452&lt;&gt;"",COUNTIF(drops!$A$2:$A$21,$B452)=0),"drop_id not on drops; ",""))</f>
        <v/>
      </c>
    </row>
    <row r="453">
      <c r="A453" s="9" t="n"/>
      <c r="E453" s="10" t="n"/>
      <c r="G453" s="25">
        <f>IF($A453="","",IF(ISNA(MATCH($D453,{"brand_sales","office_coordination","receiving_kitting","drop_day","checks_pickup","reporting_debriefs","admin_invoicing"},0)),"activity must be one of the seven keys; ","")&amp;IF(OR(N($E453)&lt;=0,N($E453)&gt;16),"hours?; ","")&amp;IF(AND($C453&lt;&gt;"",$B453=""),"campaign without drop_id; ","")&amp;IF(AND($B453&lt;&gt;"",COUNTIF(drops!$A$2:$A$21,$B453)=0),"drop_id not on drops; ",""))</f>
        <v/>
      </c>
    </row>
    <row r="454">
      <c r="A454" s="9" t="n"/>
      <c r="E454" s="10" t="n"/>
      <c r="G454" s="25">
        <f>IF($A454="","",IF(ISNA(MATCH($D454,{"brand_sales","office_coordination","receiving_kitting","drop_day","checks_pickup","reporting_debriefs","admin_invoicing"},0)),"activity must be one of the seven keys; ","")&amp;IF(OR(N($E454)&lt;=0,N($E454)&gt;16),"hours?; ","")&amp;IF(AND($C454&lt;&gt;"",$B454=""),"campaign without drop_id; ","")&amp;IF(AND($B454&lt;&gt;"",COUNTIF(drops!$A$2:$A$21,$B454)=0),"drop_id not on drops; ",""))</f>
        <v/>
      </c>
    </row>
    <row r="455">
      <c r="A455" s="9" t="n"/>
      <c r="E455" s="10" t="n"/>
      <c r="G455" s="25">
        <f>IF($A455="","",IF(ISNA(MATCH($D455,{"brand_sales","office_coordination","receiving_kitting","drop_day","checks_pickup","reporting_debriefs","admin_invoicing"},0)),"activity must be one of the seven keys; ","")&amp;IF(OR(N($E455)&lt;=0,N($E455)&gt;16),"hours?; ","")&amp;IF(AND($C455&lt;&gt;"",$B455=""),"campaign without drop_id; ","")&amp;IF(AND($B455&lt;&gt;"",COUNTIF(drops!$A$2:$A$21,$B455)=0),"drop_id not on drops; ",""))</f>
        <v/>
      </c>
    </row>
    <row r="456">
      <c r="A456" s="9" t="n"/>
      <c r="E456" s="10" t="n"/>
      <c r="G456" s="25">
        <f>IF($A456="","",IF(ISNA(MATCH($D456,{"brand_sales","office_coordination","receiving_kitting","drop_day","checks_pickup","reporting_debriefs","admin_invoicing"},0)),"activity must be one of the seven keys; ","")&amp;IF(OR(N($E456)&lt;=0,N($E456)&gt;16),"hours?; ","")&amp;IF(AND($C456&lt;&gt;"",$B456=""),"campaign without drop_id; ","")&amp;IF(AND($B456&lt;&gt;"",COUNTIF(drops!$A$2:$A$21,$B456)=0),"drop_id not on drops; ",""))</f>
        <v/>
      </c>
    </row>
    <row r="457">
      <c r="A457" s="9" t="n"/>
      <c r="E457" s="10" t="n"/>
      <c r="G457" s="25">
        <f>IF($A457="","",IF(ISNA(MATCH($D457,{"brand_sales","office_coordination","receiving_kitting","drop_day","checks_pickup","reporting_debriefs","admin_invoicing"},0)),"activity must be one of the seven keys; ","")&amp;IF(OR(N($E457)&lt;=0,N($E457)&gt;16),"hours?; ","")&amp;IF(AND($C457&lt;&gt;"",$B457=""),"campaign without drop_id; ","")&amp;IF(AND($B457&lt;&gt;"",COUNTIF(drops!$A$2:$A$21,$B457)=0),"drop_id not on drops; ",""))</f>
        <v/>
      </c>
    </row>
    <row r="458">
      <c r="A458" s="9" t="n"/>
      <c r="E458" s="10" t="n"/>
      <c r="G458" s="25">
        <f>IF($A458="","",IF(ISNA(MATCH($D458,{"brand_sales","office_coordination","receiving_kitting","drop_day","checks_pickup","reporting_debriefs","admin_invoicing"},0)),"activity must be one of the seven keys; ","")&amp;IF(OR(N($E458)&lt;=0,N($E458)&gt;16),"hours?; ","")&amp;IF(AND($C458&lt;&gt;"",$B458=""),"campaign without drop_id; ","")&amp;IF(AND($B458&lt;&gt;"",COUNTIF(drops!$A$2:$A$21,$B458)=0),"drop_id not on drops; ",""))</f>
        <v/>
      </c>
    </row>
    <row r="459">
      <c r="A459" s="9" t="n"/>
      <c r="E459" s="10" t="n"/>
      <c r="G459" s="25">
        <f>IF($A459="","",IF(ISNA(MATCH($D459,{"brand_sales","office_coordination","receiving_kitting","drop_day","checks_pickup","reporting_debriefs","admin_invoicing"},0)),"activity must be one of the seven keys; ","")&amp;IF(OR(N($E459)&lt;=0,N($E459)&gt;16),"hours?; ","")&amp;IF(AND($C459&lt;&gt;"",$B459=""),"campaign without drop_id; ","")&amp;IF(AND($B459&lt;&gt;"",COUNTIF(drops!$A$2:$A$21,$B459)=0),"drop_id not on drops; ",""))</f>
        <v/>
      </c>
    </row>
    <row r="460">
      <c r="A460" s="9" t="n"/>
      <c r="E460" s="10" t="n"/>
      <c r="G460" s="25">
        <f>IF($A460="","",IF(ISNA(MATCH($D460,{"brand_sales","office_coordination","receiving_kitting","drop_day","checks_pickup","reporting_debriefs","admin_invoicing"},0)),"activity must be one of the seven keys; ","")&amp;IF(OR(N($E460)&lt;=0,N($E460)&gt;16),"hours?; ","")&amp;IF(AND($C460&lt;&gt;"",$B460=""),"campaign without drop_id; ","")&amp;IF(AND($B460&lt;&gt;"",COUNTIF(drops!$A$2:$A$21,$B460)=0),"drop_id not on drops; ",""))</f>
        <v/>
      </c>
    </row>
    <row r="461">
      <c r="A461" s="9" t="n"/>
      <c r="E461" s="10" t="n"/>
      <c r="G461" s="25">
        <f>IF($A461="","",IF(ISNA(MATCH($D461,{"brand_sales","office_coordination","receiving_kitting","drop_day","checks_pickup","reporting_debriefs","admin_invoicing"},0)),"activity must be one of the seven keys; ","")&amp;IF(OR(N($E461)&lt;=0,N($E461)&gt;16),"hours?; ","")&amp;IF(AND($C461&lt;&gt;"",$B461=""),"campaign without drop_id; ","")&amp;IF(AND($B461&lt;&gt;"",COUNTIF(drops!$A$2:$A$21,$B461)=0),"drop_id not on drops; ",""))</f>
        <v/>
      </c>
    </row>
    <row r="462">
      <c r="A462" s="9" t="n"/>
      <c r="E462" s="10" t="n"/>
      <c r="G462" s="25">
        <f>IF($A462="","",IF(ISNA(MATCH($D462,{"brand_sales","office_coordination","receiving_kitting","drop_day","checks_pickup","reporting_debriefs","admin_invoicing"},0)),"activity must be one of the seven keys; ","")&amp;IF(OR(N($E462)&lt;=0,N($E462)&gt;16),"hours?; ","")&amp;IF(AND($C462&lt;&gt;"",$B462=""),"campaign without drop_id; ","")&amp;IF(AND($B462&lt;&gt;"",COUNTIF(drops!$A$2:$A$21,$B462)=0),"drop_id not on drops; ",""))</f>
        <v/>
      </c>
    </row>
    <row r="463">
      <c r="A463" s="9" t="n"/>
      <c r="E463" s="10" t="n"/>
      <c r="G463" s="25">
        <f>IF($A463="","",IF(ISNA(MATCH($D463,{"brand_sales","office_coordination","receiving_kitting","drop_day","checks_pickup","reporting_debriefs","admin_invoicing"},0)),"activity must be one of the seven keys; ","")&amp;IF(OR(N($E463)&lt;=0,N($E463)&gt;16),"hours?; ","")&amp;IF(AND($C463&lt;&gt;"",$B463=""),"campaign without drop_id; ","")&amp;IF(AND($B463&lt;&gt;"",COUNTIF(drops!$A$2:$A$21,$B463)=0),"drop_id not on drops; ",""))</f>
        <v/>
      </c>
    </row>
    <row r="464">
      <c r="A464" s="9" t="n"/>
      <c r="E464" s="10" t="n"/>
      <c r="G464" s="25">
        <f>IF($A464="","",IF(ISNA(MATCH($D464,{"brand_sales","office_coordination","receiving_kitting","drop_day","checks_pickup","reporting_debriefs","admin_invoicing"},0)),"activity must be one of the seven keys; ","")&amp;IF(OR(N($E464)&lt;=0,N($E464)&gt;16),"hours?; ","")&amp;IF(AND($C464&lt;&gt;"",$B464=""),"campaign without drop_id; ","")&amp;IF(AND($B464&lt;&gt;"",COUNTIF(drops!$A$2:$A$21,$B464)=0),"drop_id not on drops; ",""))</f>
        <v/>
      </c>
    </row>
    <row r="465">
      <c r="A465" s="9" t="n"/>
      <c r="E465" s="10" t="n"/>
      <c r="G465" s="25">
        <f>IF($A465="","",IF(ISNA(MATCH($D465,{"brand_sales","office_coordination","receiving_kitting","drop_day","checks_pickup","reporting_debriefs","admin_invoicing"},0)),"activity must be one of the seven keys; ","")&amp;IF(OR(N($E465)&lt;=0,N($E465)&gt;16),"hours?; ","")&amp;IF(AND($C465&lt;&gt;"",$B465=""),"campaign without drop_id; ","")&amp;IF(AND($B465&lt;&gt;"",COUNTIF(drops!$A$2:$A$21,$B465)=0),"drop_id not on drops; ",""))</f>
        <v/>
      </c>
    </row>
    <row r="466">
      <c r="A466" s="9" t="n"/>
      <c r="E466" s="10" t="n"/>
      <c r="G466" s="25">
        <f>IF($A466="","",IF(ISNA(MATCH($D466,{"brand_sales","office_coordination","receiving_kitting","drop_day","checks_pickup","reporting_debriefs","admin_invoicing"},0)),"activity must be one of the seven keys; ","")&amp;IF(OR(N($E466)&lt;=0,N($E466)&gt;16),"hours?; ","")&amp;IF(AND($C466&lt;&gt;"",$B466=""),"campaign without drop_id; ","")&amp;IF(AND($B466&lt;&gt;"",COUNTIF(drops!$A$2:$A$21,$B466)=0),"drop_id not on drops; ",""))</f>
        <v/>
      </c>
    </row>
    <row r="467">
      <c r="A467" s="9" t="n"/>
      <c r="E467" s="10" t="n"/>
      <c r="G467" s="25">
        <f>IF($A467="","",IF(ISNA(MATCH($D467,{"brand_sales","office_coordination","receiving_kitting","drop_day","checks_pickup","reporting_debriefs","admin_invoicing"},0)),"activity must be one of the seven keys; ","")&amp;IF(OR(N($E467)&lt;=0,N($E467)&gt;16),"hours?; ","")&amp;IF(AND($C467&lt;&gt;"",$B467=""),"campaign without drop_id; ","")&amp;IF(AND($B467&lt;&gt;"",COUNTIF(drops!$A$2:$A$21,$B467)=0),"drop_id not on drops; ",""))</f>
        <v/>
      </c>
    </row>
    <row r="468">
      <c r="A468" s="9" t="n"/>
      <c r="E468" s="10" t="n"/>
      <c r="G468" s="25">
        <f>IF($A468="","",IF(ISNA(MATCH($D468,{"brand_sales","office_coordination","receiving_kitting","drop_day","checks_pickup","reporting_debriefs","admin_invoicing"},0)),"activity must be one of the seven keys; ","")&amp;IF(OR(N($E468)&lt;=0,N($E468)&gt;16),"hours?; ","")&amp;IF(AND($C468&lt;&gt;"",$B468=""),"campaign without drop_id; ","")&amp;IF(AND($B468&lt;&gt;"",COUNTIF(drops!$A$2:$A$21,$B468)=0),"drop_id not on drops; ",""))</f>
        <v/>
      </c>
    </row>
    <row r="469">
      <c r="A469" s="9" t="n"/>
      <c r="E469" s="10" t="n"/>
      <c r="G469" s="25">
        <f>IF($A469="","",IF(ISNA(MATCH($D469,{"brand_sales","office_coordination","receiving_kitting","drop_day","checks_pickup","reporting_debriefs","admin_invoicing"},0)),"activity must be one of the seven keys; ","")&amp;IF(OR(N($E469)&lt;=0,N($E469)&gt;16),"hours?; ","")&amp;IF(AND($C469&lt;&gt;"",$B469=""),"campaign without drop_id; ","")&amp;IF(AND($B469&lt;&gt;"",COUNTIF(drops!$A$2:$A$21,$B469)=0),"drop_id not on drops; ",""))</f>
        <v/>
      </c>
    </row>
    <row r="470">
      <c r="A470" s="9" t="n"/>
      <c r="E470" s="10" t="n"/>
      <c r="G470" s="25">
        <f>IF($A470="","",IF(ISNA(MATCH($D470,{"brand_sales","office_coordination","receiving_kitting","drop_day","checks_pickup","reporting_debriefs","admin_invoicing"},0)),"activity must be one of the seven keys; ","")&amp;IF(OR(N($E470)&lt;=0,N($E470)&gt;16),"hours?; ","")&amp;IF(AND($C470&lt;&gt;"",$B470=""),"campaign without drop_id; ","")&amp;IF(AND($B470&lt;&gt;"",COUNTIF(drops!$A$2:$A$21,$B470)=0),"drop_id not on drops; ",""))</f>
        <v/>
      </c>
    </row>
    <row r="471">
      <c r="A471" s="9" t="n"/>
      <c r="E471" s="10" t="n"/>
      <c r="G471" s="25">
        <f>IF($A471="","",IF(ISNA(MATCH($D471,{"brand_sales","office_coordination","receiving_kitting","drop_day","checks_pickup","reporting_debriefs","admin_invoicing"},0)),"activity must be one of the seven keys; ","")&amp;IF(OR(N($E471)&lt;=0,N($E471)&gt;16),"hours?; ","")&amp;IF(AND($C471&lt;&gt;"",$B471=""),"campaign without drop_id; ","")&amp;IF(AND($B471&lt;&gt;"",COUNTIF(drops!$A$2:$A$21,$B471)=0),"drop_id not on drops; ",""))</f>
        <v/>
      </c>
    </row>
    <row r="472">
      <c r="A472" s="9" t="n"/>
      <c r="E472" s="10" t="n"/>
      <c r="G472" s="25">
        <f>IF($A472="","",IF(ISNA(MATCH($D472,{"brand_sales","office_coordination","receiving_kitting","drop_day","checks_pickup","reporting_debriefs","admin_invoicing"},0)),"activity must be one of the seven keys; ","")&amp;IF(OR(N($E472)&lt;=0,N($E472)&gt;16),"hours?; ","")&amp;IF(AND($C472&lt;&gt;"",$B472=""),"campaign without drop_id; ","")&amp;IF(AND($B472&lt;&gt;"",COUNTIF(drops!$A$2:$A$21,$B472)=0),"drop_id not on drops; ",""))</f>
        <v/>
      </c>
    </row>
    <row r="473">
      <c r="A473" s="9" t="n"/>
      <c r="E473" s="10" t="n"/>
      <c r="G473" s="25">
        <f>IF($A473="","",IF(ISNA(MATCH($D473,{"brand_sales","office_coordination","receiving_kitting","drop_day","checks_pickup","reporting_debriefs","admin_invoicing"},0)),"activity must be one of the seven keys; ","")&amp;IF(OR(N($E473)&lt;=0,N($E473)&gt;16),"hours?; ","")&amp;IF(AND($C473&lt;&gt;"",$B473=""),"campaign without drop_id; ","")&amp;IF(AND($B473&lt;&gt;"",COUNTIF(drops!$A$2:$A$21,$B473)=0),"drop_id not on drops; ",""))</f>
        <v/>
      </c>
    </row>
    <row r="474">
      <c r="A474" s="9" t="n"/>
      <c r="E474" s="10" t="n"/>
      <c r="G474" s="25">
        <f>IF($A474="","",IF(ISNA(MATCH($D474,{"brand_sales","office_coordination","receiving_kitting","drop_day","checks_pickup","reporting_debriefs","admin_invoicing"},0)),"activity must be one of the seven keys; ","")&amp;IF(OR(N($E474)&lt;=0,N($E474)&gt;16),"hours?; ","")&amp;IF(AND($C474&lt;&gt;"",$B474=""),"campaign without drop_id; ","")&amp;IF(AND($B474&lt;&gt;"",COUNTIF(drops!$A$2:$A$21,$B474)=0),"drop_id not on drops; ",""))</f>
        <v/>
      </c>
    </row>
    <row r="475">
      <c r="A475" s="9" t="n"/>
      <c r="E475" s="10" t="n"/>
      <c r="G475" s="25">
        <f>IF($A475="","",IF(ISNA(MATCH($D475,{"brand_sales","office_coordination","receiving_kitting","drop_day","checks_pickup","reporting_debriefs","admin_invoicing"},0)),"activity must be one of the seven keys; ","")&amp;IF(OR(N($E475)&lt;=0,N($E475)&gt;16),"hours?; ","")&amp;IF(AND($C475&lt;&gt;"",$B475=""),"campaign without drop_id; ","")&amp;IF(AND($B475&lt;&gt;"",COUNTIF(drops!$A$2:$A$21,$B475)=0),"drop_id not on drops; ",""))</f>
        <v/>
      </c>
    </row>
    <row r="476">
      <c r="A476" s="9" t="n"/>
      <c r="E476" s="10" t="n"/>
      <c r="G476" s="25">
        <f>IF($A476="","",IF(ISNA(MATCH($D476,{"brand_sales","office_coordination","receiving_kitting","drop_day","checks_pickup","reporting_debriefs","admin_invoicing"},0)),"activity must be one of the seven keys; ","")&amp;IF(OR(N($E476)&lt;=0,N($E476)&gt;16),"hours?; ","")&amp;IF(AND($C476&lt;&gt;"",$B476=""),"campaign without drop_id; ","")&amp;IF(AND($B476&lt;&gt;"",COUNTIF(drops!$A$2:$A$21,$B476)=0),"drop_id not on drops; ",""))</f>
        <v/>
      </c>
    </row>
    <row r="477">
      <c r="A477" s="9" t="n"/>
      <c r="E477" s="10" t="n"/>
      <c r="G477" s="25">
        <f>IF($A477="","",IF(ISNA(MATCH($D477,{"brand_sales","office_coordination","receiving_kitting","drop_day","checks_pickup","reporting_debriefs","admin_invoicing"},0)),"activity must be one of the seven keys; ","")&amp;IF(OR(N($E477)&lt;=0,N($E477)&gt;16),"hours?; ","")&amp;IF(AND($C477&lt;&gt;"",$B477=""),"campaign without drop_id; ","")&amp;IF(AND($B477&lt;&gt;"",COUNTIF(drops!$A$2:$A$21,$B477)=0),"drop_id not on drops; ",""))</f>
        <v/>
      </c>
    </row>
    <row r="478">
      <c r="A478" s="9" t="n"/>
      <c r="E478" s="10" t="n"/>
      <c r="G478" s="25">
        <f>IF($A478="","",IF(ISNA(MATCH($D478,{"brand_sales","office_coordination","receiving_kitting","drop_day","checks_pickup","reporting_debriefs","admin_invoicing"},0)),"activity must be one of the seven keys; ","")&amp;IF(OR(N($E478)&lt;=0,N($E478)&gt;16),"hours?; ","")&amp;IF(AND($C478&lt;&gt;"",$B478=""),"campaign without drop_id; ","")&amp;IF(AND($B478&lt;&gt;"",COUNTIF(drops!$A$2:$A$21,$B478)=0),"drop_id not on drops; ",""))</f>
        <v/>
      </c>
    </row>
    <row r="479">
      <c r="A479" s="9" t="n"/>
      <c r="E479" s="10" t="n"/>
      <c r="G479" s="25">
        <f>IF($A479="","",IF(ISNA(MATCH($D479,{"brand_sales","office_coordination","receiving_kitting","drop_day","checks_pickup","reporting_debriefs","admin_invoicing"},0)),"activity must be one of the seven keys; ","")&amp;IF(OR(N($E479)&lt;=0,N($E479)&gt;16),"hours?; ","")&amp;IF(AND($C479&lt;&gt;"",$B479=""),"campaign without drop_id; ","")&amp;IF(AND($B479&lt;&gt;"",COUNTIF(drops!$A$2:$A$21,$B479)=0),"drop_id not on drops; ",""))</f>
        <v/>
      </c>
    </row>
    <row r="480">
      <c r="A480" s="9" t="n"/>
      <c r="E480" s="10" t="n"/>
      <c r="G480" s="25">
        <f>IF($A480="","",IF(ISNA(MATCH($D480,{"brand_sales","office_coordination","receiving_kitting","drop_day","checks_pickup","reporting_debriefs","admin_invoicing"},0)),"activity must be one of the seven keys; ","")&amp;IF(OR(N($E480)&lt;=0,N($E480)&gt;16),"hours?; ","")&amp;IF(AND($C480&lt;&gt;"",$B480=""),"campaign without drop_id; ","")&amp;IF(AND($B480&lt;&gt;"",COUNTIF(drops!$A$2:$A$21,$B480)=0),"drop_id not on drops; ",""))</f>
        <v/>
      </c>
    </row>
    <row r="481">
      <c r="A481" s="9" t="n"/>
      <c r="E481" s="10" t="n"/>
      <c r="G481" s="25">
        <f>IF($A481="","",IF(ISNA(MATCH($D481,{"brand_sales","office_coordination","receiving_kitting","drop_day","checks_pickup","reporting_debriefs","admin_invoicing"},0)),"activity must be one of the seven keys; ","")&amp;IF(OR(N($E481)&lt;=0,N($E481)&gt;16),"hours?; ","")&amp;IF(AND($C481&lt;&gt;"",$B481=""),"campaign without drop_id; ","")&amp;IF(AND($B481&lt;&gt;"",COUNTIF(drops!$A$2:$A$21,$B481)=0),"drop_id not on drops; ",""))</f>
        <v/>
      </c>
    </row>
    <row r="482">
      <c r="A482" s="9" t="n"/>
      <c r="E482" s="10" t="n"/>
      <c r="G482" s="25">
        <f>IF($A482="","",IF(ISNA(MATCH($D482,{"brand_sales","office_coordination","receiving_kitting","drop_day","checks_pickup","reporting_debriefs","admin_invoicing"},0)),"activity must be one of the seven keys; ","")&amp;IF(OR(N($E482)&lt;=0,N($E482)&gt;16),"hours?; ","")&amp;IF(AND($C482&lt;&gt;"",$B482=""),"campaign without drop_id; ","")&amp;IF(AND($B482&lt;&gt;"",COUNTIF(drops!$A$2:$A$21,$B482)=0),"drop_id not on drops; ",""))</f>
        <v/>
      </c>
    </row>
    <row r="483">
      <c r="A483" s="9" t="n"/>
      <c r="E483" s="10" t="n"/>
      <c r="G483" s="25">
        <f>IF($A483="","",IF(ISNA(MATCH($D483,{"brand_sales","office_coordination","receiving_kitting","drop_day","checks_pickup","reporting_debriefs","admin_invoicing"},0)),"activity must be one of the seven keys; ","")&amp;IF(OR(N($E483)&lt;=0,N($E483)&gt;16),"hours?; ","")&amp;IF(AND($C483&lt;&gt;"",$B483=""),"campaign without drop_id; ","")&amp;IF(AND($B483&lt;&gt;"",COUNTIF(drops!$A$2:$A$21,$B483)=0),"drop_id not on drops; ",""))</f>
        <v/>
      </c>
    </row>
    <row r="484">
      <c r="A484" s="9" t="n"/>
      <c r="E484" s="10" t="n"/>
      <c r="G484" s="25">
        <f>IF($A484="","",IF(ISNA(MATCH($D484,{"brand_sales","office_coordination","receiving_kitting","drop_day","checks_pickup","reporting_debriefs","admin_invoicing"},0)),"activity must be one of the seven keys; ","")&amp;IF(OR(N($E484)&lt;=0,N($E484)&gt;16),"hours?; ","")&amp;IF(AND($C484&lt;&gt;"",$B484=""),"campaign without drop_id; ","")&amp;IF(AND($B484&lt;&gt;"",COUNTIF(drops!$A$2:$A$21,$B484)=0),"drop_id not on drops; ",""))</f>
        <v/>
      </c>
    </row>
    <row r="485">
      <c r="A485" s="9" t="n"/>
      <c r="E485" s="10" t="n"/>
      <c r="G485" s="25">
        <f>IF($A485="","",IF(ISNA(MATCH($D485,{"brand_sales","office_coordination","receiving_kitting","drop_day","checks_pickup","reporting_debriefs","admin_invoicing"},0)),"activity must be one of the seven keys; ","")&amp;IF(OR(N($E485)&lt;=0,N($E485)&gt;16),"hours?; ","")&amp;IF(AND($C485&lt;&gt;"",$B485=""),"campaign without drop_id; ","")&amp;IF(AND($B485&lt;&gt;"",COUNTIF(drops!$A$2:$A$21,$B485)=0),"drop_id not on drops; ",""))</f>
        <v/>
      </c>
    </row>
    <row r="486">
      <c r="A486" s="9" t="n"/>
      <c r="E486" s="10" t="n"/>
      <c r="G486" s="25">
        <f>IF($A486="","",IF(ISNA(MATCH($D486,{"brand_sales","office_coordination","receiving_kitting","drop_day","checks_pickup","reporting_debriefs","admin_invoicing"},0)),"activity must be one of the seven keys; ","")&amp;IF(OR(N($E486)&lt;=0,N($E486)&gt;16),"hours?; ","")&amp;IF(AND($C486&lt;&gt;"",$B486=""),"campaign without drop_id; ","")&amp;IF(AND($B486&lt;&gt;"",COUNTIF(drops!$A$2:$A$21,$B486)=0),"drop_id not on drops; ",""))</f>
        <v/>
      </c>
    </row>
    <row r="487">
      <c r="A487" s="9" t="n"/>
      <c r="E487" s="10" t="n"/>
      <c r="G487" s="25">
        <f>IF($A487="","",IF(ISNA(MATCH($D487,{"brand_sales","office_coordination","receiving_kitting","drop_day","checks_pickup","reporting_debriefs","admin_invoicing"},0)),"activity must be one of the seven keys; ","")&amp;IF(OR(N($E487)&lt;=0,N($E487)&gt;16),"hours?; ","")&amp;IF(AND($C487&lt;&gt;"",$B487=""),"campaign without drop_id; ","")&amp;IF(AND($B487&lt;&gt;"",COUNTIF(drops!$A$2:$A$21,$B487)=0),"drop_id not on drops; ",""))</f>
        <v/>
      </c>
    </row>
    <row r="488">
      <c r="A488" s="9" t="n"/>
      <c r="E488" s="10" t="n"/>
      <c r="G488" s="25">
        <f>IF($A488="","",IF(ISNA(MATCH($D488,{"brand_sales","office_coordination","receiving_kitting","drop_day","checks_pickup","reporting_debriefs","admin_invoicing"},0)),"activity must be one of the seven keys; ","")&amp;IF(OR(N($E488)&lt;=0,N($E488)&gt;16),"hours?; ","")&amp;IF(AND($C488&lt;&gt;"",$B488=""),"campaign without drop_id; ","")&amp;IF(AND($B488&lt;&gt;"",COUNTIF(drops!$A$2:$A$21,$B488)=0),"drop_id not on drops; ",""))</f>
        <v/>
      </c>
    </row>
    <row r="489">
      <c r="A489" s="9" t="n"/>
      <c r="E489" s="10" t="n"/>
      <c r="G489" s="25">
        <f>IF($A489="","",IF(ISNA(MATCH($D489,{"brand_sales","office_coordination","receiving_kitting","drop_day","checks_pickup","reporting_debriefs","admin_invoicing"},0)),"activity must be one of the seven keys; ","")&amp;IF(OR(N($E489)&lt;=0,N($E489)&gt;16),"hours?; ","")&amp;IF(AND($C489&lt;&gt;"",$B489=""),"campaign without drop_id; ","")&amp;IF(AND($B489&lt;&gt;"",COUNTIF(drops!$A$2:$A$21,$B489)=0),"drop_id not on drops; ",""))</f>
        <v/>
      </c>
    </row>
    <row r="490">
      <c r="A490" s="9" t="n"/>
      <c r="E490" s="10" t="n"/>
      <c r="G490" s="25">
        <f>IF($A490="","",IF(ISNA(MATCH($D490,{"brand_sales","office_coordination","receiving_kitting","drop_day","checks_pickup","reporting_debriefs","admin_invoicing"},0)),"activity must be one of the seven keys; ","")&amp;IF(OR(N($E490)&lt;=0,N($E490)&gt;16),"hours?; ","")&amp;IF(AND($C490&lt;&gt;"",$B490=""),"campaign without drop_id; ","")&amp;IF(AND($B490&lt;&gt;"",COUNTIF(drops!$A$2:$A$21,$B490)=0),"drop_id not on drops; ",""))</f>
        <v/>
      </c>
    </row>
    <row r="491">
      <c r="A491" s="9" t="n"/>
      <c r="E491" s="10" t="n"/>
      <c r="G491" s="25">
        <f>IF($A491="","",IF(ISNA(MATCH($D491,{"brand_sales","office_coordination","receiving_kitting","drop_day","checks_pickup","reporting_debriefs","admin_invoicing"},0)),"activity must be one of the seven keys; ","")&amp;IF(OR(N($E491)&lt;=0,N($E491)&gt;16),"hours?; ","")&amp;IF(AND($C491&lt;&gt;"",$B491=""),"campaign without drop_id; ","")&amp;IF(AND($B491&lt;&gt;"",COUNTIF(drops!$A$2:$A$21,$B491)=0),"drop_id not on drops; ",""))</f>
        <v/>
      </c>
    </row>
    <row r="492">
      <c r="A492" s="9" t="n"/>
      <c r="E492" s="10" t="n"/>
      <c r="G492" s="25">
        <f>IF($A492="","",IF(ISNA(MATCH($D492,{"brand_sales","office_coordination","receiving_kitting","drop_day","checks_pickup","reporting_debriefs","admin_invoicing"},0)),"activity must be one of the seven keys; ","")&amp;IF(OR(N($E492)&lt;=0,N($E492)&gt;16),"hours?; ","")&amp;IF(AND($C492&lt;&gt;"",$B492=""),"campaign without drop_id; ","")&amp;IF(AND($B492&lt;&gt;"",COUNTIF(drops!$A$2:$A$21,$B492)=0),"drop_id not on drops; ",""))</f>
        <v/>
      </c>
    </row>
    <row r="493">
      <c r="A493" s="9" t="n"/>
      <c r="E493" s="10" t="n"/>
      <c r="G493" s="25">
        <f>IF($A493="","",IF(ISNA(MATCH($D493,{"brand_sales","office_coordination","receiving_kitting","drop_day","checks_pickup","reporting_debriefs","admin_invoicing"},0)),"activity must be one of the seven keys; ","")&amp;IF(OR(N($E493)&lt;=0,N($E493)&gt;16),"hours?; ","")&amp;IF(AND($C493&lt;&gt;"",$B493=""),"campaign without drop_id; ","")&amp;IF(AND($B493&lt;&gt;"",COUNTIF(drops!$A$2:$A$21,$B493)=0),"drop_id not on drops; ",""))</f>
        <v/>
      </c>
    </row>
    <row r="494">
      <c r="A494" s="9" t="n"/>
      <c r="E494" s="10" t="n"/>
      <c r="G494" s="25">
        <f>IF($A494="","",IF(ISNA(MATCH($D494,{"brand_sales","office_coordination","receiving_kitting","drop_day","checks_pickup","reporting_debriefs","admin_invoicing"},0)),"activity must be one of the seven keys; ","")&amp;IF(OR(N($E494)&lt;=0,N($E494)&gt;16),"hours?; ","")&amp;IF(AND($C494&lt;&gt;"",$B494=""),"campaign without drop_id; ","")&amp;IF(AND($B494&lt;&gt;"",COUNTIF(drops!$A$2:$A$21,$B494)=0),"drop_id not on drops; ",""))</f>
        <v/>
      </c>
    </row>
    <row r="495">
      <c r="A495" s="9" t="n"/>
      <c r="E495" s="10" t="n"/>
      <c r="G495" s="25">
        <f>IF($A495="","",IF(ISNA(MATCH($D495,{"brand_sales","office_coordination","receiving_kitting","drop_day","checks_pickup","reporting_debriefs","admin_invoicing"},0)),"activity must be one of the seven keys; ","")&amp;IF(OR(N($E495)&lt;=0,N($E495)&gt;16),"hours?; ","")&amp;IF(AND($C495&lt;&gt;"",$B495=""),"campaign without drop_id; ","")&amp;IF(AND($B495&lt;&gt;"",COUNTIF(drops!$A$2:$A$21,$B495)=0),"drop_id not on drops; ",""))</f>
        <v/>
      </c>
    </row>
    <row r="496">
      <c r="A496" s="9" t="n"/>
      <c r="E496" s="10" t="n"/>
      <c r="G496" s="25">
        <f>IF($A496="","",IF(ISNA(MATCH($D496,{"brand_sales","office_coordination","receiving_kitting","drop_day","checks_pickup","reporting_debriefs","admin_invoicing"},0)),"activity must be one of the seven keys; ","")&amp;IF(OR(N($E496)&lt;=0,N($E496)&gt;16),"hours?; ","")&amp;IF(AND($C496&lt;&gt;"",$B496=""),"campaign without drop_id; ","")&amp;IF(AND($B496&lt;&gt;"",COUNTIF(drops!$A$2:$A$21,$B496)=0),"drop_id not on drops; ",""))</f>
        <v/>
      </c>
    </row>
    <row r="497">
      <c r="A497" s="9" t="n"/>
      <c r="E497" s="10" t="n"/>
      <c r="G497" s="25">
        <f>IF($A497="","",IF(ISNA(MATCH($D497,{"brand_sales","office_coordination","receiving_kitting","drop_day","checks_pickup","reporting_debriefs","admin_invoicing"},0)),"activity must be one of the seven keys; ","")&amp;IF(OR(N($E497)&lt;=0,N($E497)&gt;16),"hours?; ","")&amp;IF(AND($C497&lt;&gt;"",$B497=""),"campaign without drop_id; ","")&amp;IF(AND($B497&lt;&gt;"",COUNTIF(drops!$A$2:$A$21,$B497)=0),"drop_id not on drops; ",""))</f>
        <v/>
      </c>
    </row>
    <row r="498">
      <c r="A498" s="9" t="n"/>
      <c r="E498" s="10" t="n"/>
      <c r="G498" s="25">
        <f>IF($A498="","",IF(ISNA(MATCH($D498,{"brand_sales","office_coordination","receiving_kitting","drop_day","checks_pickup","reporting_debriefs","admin_invoicing"},0)),"activity must be one of the seven keys; ","")&amp;IF(OR(N($E498)&lt;=0,N($E498)&gt;16),"hours?; ","")&amp;IF(AND($C498&lt;&gt;"",$B498=""),"campaign without drop_id; ","")&amp;IF(AND($B498&lt;&gt;"",COUNTIF(drops!$A$2:$A$21,$B498)=0),"drop_id not on drops; ",""))</f>
        <v/>
      </c>
    </row>
    <row r="499">
      <c r="A499" s="9" t="n"/>
      <c r="E499" s="10" t="n"/>
      <c r="G499" s="25">
        <f>IF($A499="","",IF(ISNA(MATCH($D499,{"brand_sales","office_coordination","receiving_kitting","drop_day","checks_pickup","reporting_debriefs","admin_invoicing"},0)),"activity must be one of the seven keys; ","")&amp;IF(OR(N($E499)&lt;=0,N($E499)&gt;16),"hours?; ","")&amp;IF(AND($C499&lt;&gt;"",$B499=""),"campaign without drop_id; ","")&amp;IF(AND($B499&lt;&gt;"",COUNTIF(drops!$A$2:$A$21,$B499)=0),"drop_id not on drops; ",""))</f>
        <v/>
      </c>
    </row>
    <row r="500">
      <c r="A500" s="9" t="n"/>
      <c r="E500" s="10" t="n"/>
      <c r="G500" s="25">
        <f>IF($A500="","",IF(ISNA(MATCH($D500,{"brand_sales","office_coordination","receiving_kitting","drop_day","checks_pickup","reporting_debriefs","admin_invoicing"},0)),"activity must be one of the seven keys; ","")&amp;IF(OR(N($E500)&lt;=0,N($E500)&gt;16),"hours?; ","")&amp;IF(AND($C500&lt;&gt;"",$B500=""),"campaign without drop_id; ","")&amp;IF(AND($B500&lt;&gt;"",COUNTIF(drops!$A$2:$A$21,$B500)=0),"drop_id not on drops; ",""))</f>
        <v/>
      </c>
    </row>
    <row r="501">
      <c r="A501" s="9" t="n"/>
      <c r="E501" s="10" t="n"/>
      <c r="G501" s="25">
        <f>IF($A501="","",IF(ISNA(MATCH($D501,{"brand_sales","office_coordination","receiving_kitting","drop_day","checks_pickup","reporting_debriefs","admin_invoicing"},0)),"activity must be one of the seven keys; ","")&amp;IF(OR(N($E501)&lt;=0,N($E501)&gt;16),"hours?; ","")&amp;IF(AND($C501&lt;&gt;"",$B501=""),"campaign without drop_id; ","")&amp;IF(AND($B501&lt;&gt;"",COUNTIF(drops!$A$2:$A$21,$B501)=0),"drop_id not on drops; ",""))</f>
        <v/>
      </c>
    </row>
    <row r="502">
      <c r="A502" s="9" t="n"/>
      <c r="E502" s="10" t="n"/>
      <c r="G502" s="25">
        <f>IF($A502="","",IF(ISNA(MATCH($D502,{"brand_sales","office_coordination","receiving_kitting","drop_day","checks_pickup","reporting_debriefs","admin_invoicing"},0)),"activity must be one of the seven keys; ","")&amp;IF(OR(N($E502)&lt;=0,N($E502)&gt;16),"hours?; ","")&amp;IF(AND($C502&lt;&gt;"",$B502=""),"campaign without drop_id; ","")&amp;IF(AND($B502&lt;&gt;"",COUNTIF(drops!$A$2:$A$21,$B502)=0),"drop_id not on drops; ",""))</f>
        <v/>
      </c>
    </row>
    <row r="503">
      <c r="A503" s="9" t="n"/>
      <c r="E503" s="10" t="n"/>
      <c r="G503" s="25">
        <f>IF($A503="","",IF(ISNA(MATCH($D503,{"brand_sales","office_coordination","receiving_kitting","drop_day","checks_pickup","reporting_debriefs","admin_invoicing"},0)),"activity must be one of the seven keys; ","")&amp;IF(OR(N($E503)&lt;=0,N($E503)&gt;16),"hours?; ","")&amp;IF(AND($C503&lt;&gt;"",$B503=""),"campaign without drop_id; ","")&amp;IF(AND($B503&lt;&gt;"",COUNTIF(drops!$A$2:$A$21,$B503)=0),"drop_id not on drops; ",""))</f>
        <v/>
      </c>
    </row>
    <row r="504">
      <c r="A504" s="9" t="n"/>
      <c r="E504" s="10" t="n"/>
      <c r="G504" s="25">
        <f>IF($A504="","",IF(ISNA(MATCH($D504,{"brand_sales","office_coordination","receiving_kitting","drop_day","checks_pickup","reporting_debriefs","admin_invoicing"},0)),"activity must be one of the seven keys; ","")&amp;IF(OR(N($E504)&lt;=0,N($E504)&gt;16),"hours?; ","")&amp;IF(AND($C504&lt;&gt;"",$B504=""),"campaign without drop_id; ","")&amp;IF(AND($B504&lt;&gt;"",COUNTIF(drops!$A$2:$A$21,$B504)=0),"drop_id not on drops; ",""))</f>
        <v/>
      </c>
    </row>
    <row r="505">
      <c r="A505" s="9" t="n"/>
      <c r="E505" s="10" t="n"/>
      <c r="G505" s="25">
        <f>IF($A505="","",IF(ISNA(MATCH($D505,{"brand_sales","office_coordination","receiving_kitting","drop_day","checks_pickup","reporting_debriefs","admin_invoicing"},0)),"activity must be one of the seven keys; ","")&amp;IF(OR(N($E505)&lt;=0,N($E505)&gt;16),"hours?; ","")&amp;IF(AND($C505&lt;&gt;"",$B505=""),"campaign without drop_id; ","")&amp;IF(AND($B505&lt;&gt;"",COUNTIF(drops!$A$2:$A$21,$B505)=0),"drop_id not on drops; ",""))</f>
        <v/>
      </c>
    </row>
    <row r="506">
      <c r="A506" s="9" t="n"/>
      <c r="E506" s="10" t="n"/>
      <c r="G506" s="25">
        <f>IF($A506="","",IF(ISNA(MATCH($D506,{"brand_sales","office_coordination","receiving_kitting","drop_day","checks_pickup","reporting_debriefs","admin_invoicing"},0)),"activity must be one of the seven keys; ","")&amp;IF(OR(N($E506)&lt;=0,N($E506)&gt;16),"hours?; ","")&amp;IF(AND($C506&lt;&gt;"",$B506=""),"campaign without drop_id; ","")&amp;IF(AND($B506&lt;&gt;"",COUNTIF(drops!$A$2:$A$21,$B506)=0),"drop_id not on drops; ",""))</f>
        <v/>
      </c>
    </row>
    <row r="507">
      <c r="A507" s="9" t="n"/>
      <c r="E507" s="10" t="n"/>
      <c r="G507" s="25">
        <f>IF($A507="","",IF(ISNA(MATCH($D507,{"brand_sales","office_coordination","receiving_kitting","drop_day","checks_pickup","reporting_debriefs","admin_invoicing"},0)),"activity must be one of the seven keys; ","")&amp;IF(OR(N($E507)&lt;=0,N($E507)&gt;16),"hours?; ","")&amp;IF(AND($C507&lt;&gt;"",$B507=""),"campaign without drop_id; ","")&amp;IF(AND($B507&lt;&gt;"",COUNTIF(drops!$A$2:$A$21,$B507)=0),"drop_id not on drops; ",""))</f>
        <v/>
      </c>
    </row>
    <row r="508">
      <c r="A508" s="9" t="n"/>
      <c r="E508" s="10" t="n"/>
      <c r="G508" s="25">
        <f>IF($A508="","",IF(ISNA(MATCH($D508,{"brand_sales","office_coordination","receiving_kitting","drop_day","checks_pickup","reporting_debriefs","admin_invoicing"},0)),"activity must be one of the seven keys; ","")&amp;IF(OR(N($E508)&lt;=0,N($E508)&gt;16),"hours?; ","")&amp;IF(AND($C508&lt;&gt;"",$B508=""),"campaign without drop_id; ","")&amp;IF(AND($B508&lt;&gt;"",COUNTIF(drops!$A$2:$A$21,$B508)=0),"drop_id not on drops; ",""))</f>
        <v/>
      </c>
    </row>
    <row r="509">
      <c r="A509" s="9" t="n"/>
      <c r="E509" s="10" t="n"/>
      <c r="G509" s="25">
        <f>IF($A509="","",IF(ISNA(MATCH($D509,{"brand_sales","office_coordination","receiving_kitting","drop_day","checks_pickup","reporting_debriefs","admin_invoicing"},0)),"activity must be one of the seven keys; ","")&amp;IF(OR(N($E509)&lt;=0,N($E509)&gt;16),"hours?; ","")&amp;IF(AND($C509&lt;&gt;"",$B509=""),"campaign without drop_id; ","")&amp;IF(AND($B509&lt;&gt;"",COUNTIF(drops!$A$2:$A$21,$B509)=0),"drop_id not on drops; ",""))</f>
        <v/>
      </c>
    </row>
    <row r="510">
      <c r="A510" s="9" t="n"/>
      <c r="E510" s="10" t="n"/>
      <c r="G510" s="25">
        <f>IF($A510="","",IF(ISNA(MATCH($D510,{"brand_sales","office_coordination","receiving_kitting","drop_day","checks_pickup","reporting_debriefs","admin_invoicing"},0)),"activity must be one of the seven keys; ","")&amp;IF(OR(N($E510)&lt;=0,N($E510)&gt;16),"hours?; ","")&amp;IF(AND($C510&lt;&gt;"",$B510=""),"campaign without drop_id; ","")&amp;IF(AND($B510&lt;&gt;"",COUNTIF(drops!$A$2:$A$21,$B510)=0),"drop_id not on drops; ",""))</f>
        <v/>
      </c>
    </row>
    <row r="511">
      <c r="A511" s="9" t="n"/>
      <c r="E511" s="10" t="n"/>
      <c r="G511" s="25">
        <f>IF($A511="","",IF(ISNA(MATCH($D511,{"brand_sales","office_coordination","receiving_kitting","drop_day","checks_pickup","reporting_debriefs","admin_invoicing"},0)),"activity must be one of the seven keys; ","")&amp;IF(OR(N($E511)&lt;=0,N($E511)&gt;16),"hours?; ","")&amp;IF(AND($C511&lt;&gt;"",$B511=""),"campaign without drop_id; ","")&amp;IF(AND($B511&lt;&gt;"",COUNTIF(drops!$A$2:$A$21,$B511)=0),"drop_id not on drops; ",""))</f>
        <v/>
      </c>
    </row>
    <row r="512">
      <c r="A512" s="9" t="n"/>
      <c r="E512" s="10" t="n"/>
      <c r="G512" s="25">
        <f>IF($A512="","",IF(ISNA(MATCH($D512,{"brand_sales","office_coordination","receiving_kitting","drop_day","checks_pickup","reporting_debriefs","admin_invoicing"},0)),"activity must be one of the seven keys; ","")&amp;IF(OR(N($E512)&lt;=0,N($E512)&gt;16),"hours?; ","")&amp;IF(AND($C512&lt;&gt;"",$B512=""),"campaign without drop_id; ","")&amp;IF(AND($B512&lt;&gt;"",COUNTIF(drops!$A$2:$A$21,$B512)=0),"drop_id not on drops; ",""))</f>
        <v/>
      </c>
    </row>
    <row r="513">
      <c r="A513" s="9" t="n"/>
      <c r="E513" s="10" t="n"/>
      <c r="G513" s="25">
        <f>IF($A513="","",IF(ISNA(MATCH($D513,{"brand_sales","office_coordination","receiving_kitting","drop_day","checks_pickup","reporting_debriefs","admin_invoicing"},0)),"activity must be one of the seven keys; ","")&amp;IF(OR(N($E513)&lt;=0,N($E513)&gt;16),"hours?; ","")&amp;IF(AND($C513&lt;&gt;"",$B513=""),"campaign without drop_id; ","")&amp;IF(AND($B513&lt;&gt;"",COUNTIF(drops!$A$2:$A$21,$B513)=0),"drop_id not on drops; ",""))</f>
        <v/>
      </c>
    </row>
    <row r="514">
      <c r="A514" s="9" t="n"/>
      <c r="E514" s="10" t="n"/>
      <c r="G514" s="25">
        <f>IF($A514="","",IF(ISNA(MATCH($D514,{"brand_sales","office_coordination","receiving_kitting","drop_day","checks_pickup","reporting_debriefs","admin_invoicing"},0)),"activity must be one of the seven keys; ","")&amp;IF(OR(N($E514)&lt;=0,N($E514)&gt;16),"hours?; ","")&amp;IF(AND($C514&lt;&gt;"",$B514=""),"campaign without drop_id; ","")&amp;IF(AND($B514&lt;&gt;"",COUNTIF(drops!$A$2:$A$21,$B514)=0),"drop_id not on drops; ",""))</f>
        <v/>
      </c>
    </row>
    <row r="515">
      <c r="A515" s="9" t="n"/>
      <c r="E515" s="10" t="n"/>
      <c r="G515" s="25">
        <f>IF($A515="","",IF(ISNA(MATCH($D515,{"brand_sales","office_coordination","receiving_kitting","drop_day","checks_pickup","reporting_debriefs","admin_invoicing"},0)),"activity must be one of the seven keys; ","")&amp;IF(OR(N($E515)&lt;=0,N($E515)&gt;16),"hours?; ","")&amp;IF(AND($C515&lt;&gt;"",$B515=""),"campaign without drop_id; ","")&amp;IF(AND($B515&lt;&gt;"",COUNTIF(drops!$A$2:$A$21,$B515)=0),"drop_id not on drops; ",""))</f>
        <v/>
      </c>
    </row>
    <row r="516">
      <c r="A516" s="9" t="n"/>
      <c r="E516" s="10" t="n"/>
      <c r="G516" s="25">
        <f>IF($A516="","",IF(ISNA(MATCH($D516,{"brand_sales","office_coordination","receiving_kitting","drop_day","checks_pickup","reporting_debriefs","admin_invoicing"},0)),"activity must be one of the seven keys; ","")&amp;IF(OR(N($E516)&lt;=0,N($E516)&gt;16),"hours?; ","")&amp;IF(AND($C516&lt;&gt;"",$B516=""),"campaign without drop_id; ","")&amp;IF(AND($B516&lt;&gt;"",COUNTIF(drops!$A$2:$A$21,$B516)=0),"drop_id not on drops; ",""))</f>
        <v/>
      </c>
    </row>
    <row r="517">
      <c r="A517" s="9" t="n"/>
      <c r="E517" s="10" t="n"/>
      <c r="G517" s="25">
        <f>IF($A517="","",IF(ISNA(MATCH($D517,{"brand_sales","office_coordination","receiving_kitting","drop_day","checks_pickup","reporting_debriefs","admin_invoicing"},0)),"activity must be one of the seven keys; ","")&amp;IF(OR(N($E517)&lt;=0,N($E517)&gt;16),"hours?; ","")&amp;IF(AND($C517&lt;&gt;"",$B517=""),"campaign without drop_id; ","")&amp;IF(AND($B517&lt;&gt;"",COUNTIF(drops!$A$2:$A$21,$B517)=0),"drop_id not on drops; ",""))</f>
        <v/>
      </c>
    </row>
    <row r="518">
      <c r="A518" s="9" t="n"/>
      <c r="E518" s="10" t="n"/>
      <c r="G518" s="25">
        <f>IF($A518="","",IF(ISNA(MATCH($D518,{"brand_sales","office_coordination","receiving_kitting","drop_day","checks_pickup","reporting_debriefs","admin_invoicing"},0)),"activity must be one of the seven keys; ","")&amp;IF(OR(N($E518)&lt;=0,N($E518)&gt;16),"hours?; ","")&amp;IF(AND($C518&lt;&gt;"",$B518=""),"campaign without drop_id; ","")&amp;IF(AND($B518&lt;&gt;"",COUNTIF(drops!$A$2:$A$21,$B518)=0),"drop_id not on drops; ",""))</f>
        <v/>
      </c>
    </row>
    <row r="519">
      <c r="A519" s="9" t="n"/>
      <c r="E519" s="10" t="n"/>
      <c r="G519" s="25">
        <f>IF($A519="","",IF(ISNA(MATCH($D519,{"brand_sales","office_coordination","receiving_kitting","drop_day","checks_pickup","reporting_debriefs","admin_invoicing"},0)),"activity must be one of the seven keys; ","")&amp;IF(OR(N($E519)&lt;=0,N($E519)&gt;16),"hours?; ","")&amp;IF(AND($C519&lt;&gt;"",$B519=""),"campaign without drop_id; ","")&amp;IF(AND($B519&lt;&gt;"",COUNTIF(drops!$A$2:$A$21,$B519)=0),"drop_id not on drops; ",""))</f>
        <v/>
      </c>
    </row>
    <row r="520">
      <c r="A520" s="9" t="n"/>
      <c r="E520" s="10" t="n"/>
      <c r="G520" s="25">
        <f>IF($A520="","",IF(ISNA(MATCH($D520,{"brand_sales","office_coordination","receiving_kitting","drop_day","checks_pickup","reporting_debriefs","admin_invoicing"},0)),"activity must be one of the seven keys; ","")&amp;IF(OR(N($E520)&lt;=0,N($E520)&gt;16),"hours?; ","")&amp;IF(AND($C520&lt;&gt;"",$B520=""),"campaign without drop_id; ","")&amp;IF(AND($B520&lt;&gt;"",COUNTIF(drops!$A$2:$A$21,$B520)=0),"drop_id not on drops; ",""))</f>
        <v/>
      </c>
    </row>
    <row r="521">
      <c r="A521" s="9" t="n"/>
      <c r="E521" s="10" t="n"/>
      <c r="G521" s="25">
        <f>IF($A521="","",IF(ISNA(MATCH($D521,{"brand_sales","office_coordination","receiving_kitting","drop_day","checks_pickup","reporting_debriefs","admin_invoicing"},0)),"activity must be one of the seven keys; ","")&amp;IF(OR(N($E521)&lt;=0,N($E521)&gt;16),"hours?; ","")&amp;IF(AND($C521&lt;&gt;"",$B521=""),"campaign without drop_id; ","")&amp;IF(AND($B521&lt;&gt;"",COUNTIF(drops!$A$2:$A$21,$B521)=0),"drop_id not on drops; ",""))</f>
        <v/>
      </c>
    </row>
    <row r="522">
      <c r="A522" s="9" t="n"/>
      <c r="E522" s="10" t="n"/>
      <c r="G522" s="25">
        <f>IF($A522="","",IF(ISNA(MATCH($D522,{"brand_sales","office_coordination","receiving_kitting","drop_day","checks_pickup","reporting_debriefs","admin_invoicing"},0)),"activity must be one of the seven keys; ","")&amp;IF(OR(N($E522)&lt;=0,N($E522)&gt;16),"hours?; ","")&amp;IF(AND($C522&lt;&gt;"",$B522=""),"campaign without drop_id; ","")&amp;IF(AND($B522&lt;&gt;"",COUNTIF(drops!$A$2:$A$21,$B522)=0),"drop_id not on drops; ",""))</f>
        <v/>
      </c>
    </row>
    <row r="523">
      <c r="A523" s="9" t="n"/>
      <c r="E523" s="10" t="n"/>
      <c r="G523" s="25">
        <f>IF($A523="","",IF(ISNA(MATCH($D523,{"brand_sales","office_coordination","receiving_kitting","drop_day","checks_pickup","reporting_debriefs","admin_invoicing"},0)),"activity must be one of the seven keys; ","")&amp;IF(OR(N($E523)&lt;=0,N($E523)&gt;16),"hours?; ","")&amp;IF(AND($C523&lt;&gt;"",$B523=""),"campaign without drop_id; ","")&amp;IF(AND($B523&lt;&gt;"",COUNTIF(drops!$A$2:$A$21,$B523)=0),"drop_id not on drops; ",""))</f>
        <v/>
      </c>
    </row>
    <row r="524">
      <c r="A524" s="9" t="n"/>
      <c r="E524" s="10" t="n"/>
      <c r="G524" s="25">
        <f>IF($A524="","",IF(ISNA(MATCH($D524,{"brand_sales","office_coordination","receiving_kitting","drop_day","checks_pickup","reporting_debriefs","admin_invoicing"},0)),"activity must be one of the seven keys; ","")&amp;IF(OR(N($E524)&lt;=0,N($E524)&gt;16),"hours?; ","")&amp;IF(AND($C524&lt;&gt;"",$B524=""),"campaign without drop_id; ","")&amp;IF(AND($B524&lt;&gt;"",COUNTIF(drops!$A$2:$A$21,$B524)=0),"drop_id not on drops; ",""))</f>
        <v/>
      </c>
    </row>
    <row r="525">
      <c r="A525" s="9" t="n"/>
      <c r="E525" s="10" t="n"/>
      <c r="G525" s="25">
        <f>IF($A525="","",IF(ISNA(MATCH($D525,{"brand_sales","office_coordination","receiving_kitting","drop_day","checks_pickup","reporting_debriefs","admin_invoicing"},0)),"activity must be one of the seven keys; ","")&amp;IF(OR(N($E525)&lt;=0,N($E525)&gt;16),"hours?; ","")&amp;IF(AND($C525&lt;&gt;"",$B525=""),"campaign without drop_id; ","")&amp;IF(AND($B525&lt;&gt;"",COUNTIF(drops!$A$2:$A$21,$B525)=0),"drop_id not on drops; ",""))</f>
        <v/>
      </c>
    </row>
    <row r="526">
      <c r="A526" s="9" t="n"/>
      <c r="E526" s="10" t="n"/>
      <c r="G526" s="25">
        <f>IF($A526="","",IF(ISNA(MATCH($D526,{"brand_sales","office_coordination","receiving_kitting","drop_day","checks_pickup","reporting_debriefs","admin_invoicing"},0)),"activity must be one of the seven keys; ","")&amp;IF(OR(N($E526)&lt;=0,N($E526)&gt;16),"hours?; ","")&amp;IF(AND($C526&lt;&gt;"",$B526=""),"campaign without drop_id; ","")&amp;IF(AND($B526&lt;&gt;"",COUNTIF(drops!$A$2:$A$21,$B526)=0),"drop_id not on drops; ",""))</f>
        <v/>
      </c>
    </row>
    <row r="527">
      <c r="A527" s="9" t="n"/>
      <c r="E527" s="10" t="n"/>
      <c r="G527" s="25">
        <f>IF($A527="","",IF(ISNA(MATCH($D527,{"brand_sales","office_coordination","receiving_kitting","drop_day","checks_pickup","reporting_debriefs","admin_invoicing"},0)),"activity must be one of the seven keys; ","")&amp;IF(OR(N($E527)&lt;=0,N($E527)&gt;16),"hours?; ","")&amp;IF(AND($C527&lt;&gt;"",$B527=""),"campaign without drop_id; ","")&amp;IF(AND($B527&lt;&gt;"",COUNTIF(drops!$A$2:$A$21,$B527)=0),"drop_id not on drops; ",""))</f>
        <v/>
      </c>
    </row>
    <row r="528">
      <c r="A528" s="9" t="n"/>
      <c r="E528" s="10" t="n"/>
      <c r="G528" s="25">
        <f>IF($A528="","",IF(ISNA(MATCH($D528,{"brand_sales","office_coordination","receiving_kitting","drop_day","checks_pickup","reporting_debriefs","admin_invoicing"},0)),"activity must be one of the seven keys; ","")&amp;IF(OR(N($E528)&lt;=0,N($E528)&gt;16),"hours?; ","")&amp;IF(AND($C528&lt;&gt;"",$B528=""),"campaign without drop_id; ","")&amp;IF(AND($B528&lt;&gt;"",COUNTIF(drops!$A$2:$A$21,$B528)=0),"drop_id not on drops; ",""))</f>
        <v/>
      </c>
    </row>
    <row r="529">
      <c r="A529" s="9" t="n"/>
      <c r="E529" s="10" t="n"/>
      <c r="G529" s="25">
        <f>IF($A529="","",IF(ISNA(MATCH($D529,{"brand_sales","office_coordination","receiving_kitting","drop_day","checks_pickup","reporting_debriefs","admin_invoicing"},0)),"activity must be one of the seven keys; ","")&amp;IF(OR(N($E529)&lt;=0,N($E529)&gt;16),"hours?; ","")&amp;IF(AND($C529&lt;&gt;"",$B529=""),"campaign without drop_id; ","")&amp;IF(AND($B529&lt;&gt;"",COUNTIF(drops!$A$2:$A$21,$B529)=0),"drop_id not on drops; ",""))</f>
        <v/>
      </c>
    </row>
    <row r="530">
      <c r="A530" s="9" t="n"/>
      <c r="E530" s="10" t="n"/>
      <c r="G530" s="25">
        <f>IF($A530="","",IF(ISNA(MATCH($D530,{"brand_sales","office_coordination","receiving_kitting","drop_day","checks_pickup","reporting_debriefs","admin_invoicing"},0)),"activity must be one of the seven keys; ","")&amp;IF(OR(N($E530)&lt;=0,N($E530)&gt;16),"hours?; ","")&amp;IF(AND($C530&lt;&gt;"",$B530=""),"campaign without drop_id; ","")&amp;IF(AND($B530&lt;&gt;"",COUNTIF(drops!$A$2:$A$21,$B530)=0),"drop_id not on drops; ",""))</f>
        <v/>
      </c>
    </row>
    <row r="531">
      <c r="A531" s="9" t="n"/>
      <c r="E531" s="10" t="n"/>
      <c r="G531" s="25">
        <f>IF($A531="","",IF(ISNA(MATCH($D531,{"brand_sales","office_coordination","receiving_kitting","drop_day","checks_pickup","reporting_debriefs","admin_invoicing"},0)),"activity must be one of the seven keys; ","")&amp;IF(OR(N($E531)&lt;=0,N($E531)&gt;16),"hours?; ","")&amp;IF(AND($C531&lt;&gt;"",$B531=""),"campaign without drop_id; ","")&amp;IF(AND($B531&lt;&gt;"",COUNTIF(drops!$A$2:$A$21,$B531)=0),"drop_id not on drops; ",""))</f>
        <v/>
      </c>
    </row>
    <row r="532">
      <c r="A532" s="9" t="n"/>
      <c r="E532" s="10" t="n"/>
      <c r="G532" s="25">
        <f>IF($A532="","",IF(ISNA(MATCH($D532,{"brand_sales","office_coordination","receiving_kitting","drop_day","checks_pickup","reporting_debriefs","admin_invoicing"},0)),"activity must be one of the seven keys; ","")&amp;IF(OR(N($E532)&lt;=0,N($E532)&gt;16),"hours?; ","")&amp;IF(AND($C532&lt;&gt;"",$B532=""),"campaign without drop_id; ","")&amp;IF(AND($B532&lt;&gt;"",COUNTIF(drops!$A$2:$A$21,$B532)=0),"drop_id not on drops; ",""))</f>
        <v/>
      </c>
    </row>
    <row r="533">
      <c r="A533" s="9" t="n"/>
      <c r="E533" s="10" t="n"/>
      <c r="G533" s="25">
        <f>IF($A533="","",IF(ISNA(MATCH($D533,{"brand_sales","office_coordination","receiving_kitting","drop_day","checks_pickup","reporting_debriefs","admin_invoicing"},0)),"activity must be one of the seven keys; ","")&amp;IF(OR(N($E533)&lt;=0,N($E533)&gt;16),"hours?; ","")&amp;IF(AND($C533&lt;&gt;"",$B533=""),"campaign without drop_id; ","")&amp;IF(AND($B533&lt;&gt;"",COUNTIF(drops!$A$2:$A$21,$B533)=0),"drop_id not on drops; ",""))</f>
        <v/>
      </c>
    </row>
    <row r="534">
      <c r="A534" s="9" t="n"/>
      <c r="E534" s="10" t="n"/>
      <c r="G534" s="25">
        <f>IF($A534="","",IF(ISNA(MATCH($D534,{"brand_sales","office_coordination","receiving_kitting","drop_day","checks_pickup","reporting_debriefs","admin_invoicing"},0)),"activity must be one of the seven keys; ","")&amp;IF(OR(N($E534)&lt;=0,N($E534)&gt;16),"hours?; ","")&amp;IF(AND($C534&lt;&gt;"",$B534=""),"campaign without drop_id; ","")&amp;IF(AND($B534&lt;&gt;"",COUNTIF(drops!$A$2:$A$21,$B534)=0),"drop_id not on drops; ",""))</f>
        <v/>
      </c>
    </row>
    <row r="535">
      <c r="A535" s="9" t="n"/>
      <c r="E535" s="10" t="n"/>
      <c r="G535" s="25">
        <f>IF($A535="","",IF(ISNA(MATCH($D535,{"brand_sales","office_coordination","receiving_kitting","drop_day","checks_pickup","reporting_debriefs","admin_invoicing"},0)),"activity must be one of the seven keys; ","")&amp;IF(OR(N($E535)&lt;=0,N($E535)&gt;16),"hours?; ","")&amp;IF(AND($C535&lt;&gt;"",$B535=""),"campaign without drop_id; ","")&amp;IF(AND($B535&lt;&gt;"",COUNTIF(drops!$A$2:$A$21,$B535)=0),"drop_id not on drops; ",""))</f>
        <v/>
      </c>
    </row>
    <row r="536">
      <c r="A536" s="9" t="n"/>
      <c r="E536" s="10" t="n"/>
      <c r="G536" s="25">
        <f>IF($A536="","",IF(ISNA(MATCH($D536,{"brand_sales","office_coordination","receiving_kitting","drop_day","checks_pickup","reporting_debriefs","admin_invoicing"},0)),"activity must be one of the seven keys; ","")&amp;IF(OR(N($E536)&lt;=0,N($E536)&gt;16),"hours?; ","")&amp;IF(AND($C536&lt;&gt;"",$B536=""),"campaign without drop_id; ","")&amp;IF(AND($B536&lt;&gt;"",COUNTIF(drops!$A$2:$A$21,$B536)=0),"drop_id not on drops; ",""))</f>
        <v/>
      </c>
    </row>
    <row r="537">
      <c r="A537" s="9" t="n"/>
      <c r="E537" s="10" t="n"/>
      <c r="G537" s="25">
        <f>IF($A537="","",IF(ISNA(MATCH($D537,{"brand_sales","office_coordination","receiving_kitting","drop_day","checks_pickup","reporting_debriefs","admin_invoicing"},0)),"activity must be one of the seven keys; ","")&amp;IF(OR(N($E537)&lt;=0,N($E537)&gt;16),"hours?; ","")&amp;IF(AND($C537&lt;&gt;"",$B537=""),"campaign without drop_id; ","")&amp;IF(AND($B537&lt;&gt;"",COUNTIF(drops!$A$2:$A$21,$B537)=0),"drop_id not on drops; ",""))</f>
        <v/>
      </c>
    </row>
    <row r="538">
      <c r="A538" s="9" t="n"/>
      <c r="E538" s="10" t="n"/>
      <c r="G538" s="25">
        <f>IF($A538="","",IF(ISNA(MATCH($D538,{"brand_sales","office_coordination","receiving_kitting","drop_day","checks_pickup","reporting_debriefs","admin_invoicing"},0)),"activity must be one of the seven keys; ","")&amp;IF(OR(N($E538)&lt;=0,N($E538)&gt;16),"hours?; ","")&amp;IF(AND($C538&lt;&gt;"",$B538=""),"campaign without drop_id; ","")&amp;IF(AND($B538&lt;&gt;"",COUNTIF(drops!$A$2:$A$21,$B538)=0),"drop_id not on drops; ",""))</f>
        <v/>
      </c>
    </row>
    <row r="539">
      <c r="A539" s="9" t="n"/>
      <c r="E539" s="10" t="n"/>
      <c r="G539" s="25">
        <f>IF($A539="","",IF(ISNA(MATCH($D539,{"brand_sales","office_coordination","receiving_kitting","drop_day","checks_pickup","reporting_debriefs","admin_invoicing"},0)),"activity must be one of the seven keys; ","")&amp;IF(OR(N($E539)&lt;=0,N($E539)&gt;16),"hours?; ","")&amp;IF(AND($C539&lt;&gt;"",$B539=""),"campaign without drop_id; ","")&amp;IF(AND($B539&lt;&gt;"",COUNTIF(drops!$A$2:$A$21,$B539)=0),"drop_id not on drops; ",""))</f>
        <v/>
      </c>
    </row>
    <row r="540">
      <c r="A540" s="9" t="n"/>
      <c r="E540" s="10" t="n"/>
      <c r="G540" s="25">
        <f>IF($A540="","",IF(ISNA(MATCH($D540,{"brand_sales","office_coordination","receiving_kitting","drop_day","checks_pickup","reporting_debriefs","admin_invoicing"},0)),"activity must be one of the seven keys; ","")&amp;IF(OR(N($E540)&lt;=0,N($E540)&gt;16),"hours?; ","")&amp;IF(AND($C540&lt;&gt;"",$B540=""),"campaign without drop_id; ","")&amp;IF(AND($B540&lt;&gt;"",COUNTIF(drops!$A$2:$A$21,$B540)=0),"drop_id not on drops; ",""))</f>
        <v/>
      </c>
    </row>
    <row r="541">
      <c r="A541" s="9" t="n"/>
      <c r="E541" s="10" t="n"/>
      <c r="G541" s="25">
        <f>IF($A541="","",IF(ISNA(MATCH($D541,{"brand_sales","office_coordination","receiving_kitting","drop_day","checks_pickup","reporting_debriefs","admin_invoicing"},0)),"activity must be one of the seven keys; ","")&amp;IF(OR(N($E541)&lt;=0,N($E541)&gt;16),"hours?; ","")&amp;IF(AND($C541&lt;&gt;"",$B541=""),"campaign without drop_id; ","")&amp;IF(AND($B541&lt;&gt;"",COUNTIF(drops!$A$2:$A$21,$B541)=0),"drop_id not on drops; ",""))</f>
        <v/>
      </c>
    </row>
    <row r="542">
      <c r="A542" s="9" t="n"/>
      <c r="E542" s="10" t="n"/>
      <c r="G542" s="25">
        <f>IF($A542="","",IF(ISNA(MATCH($D542,{"brand_sales","office_coordination","receiving_kitting","drop_day","checks_pickup","reporting_debriefs","admin_invoicing"},0)),"activity must be one of the seven keys; ","")&amp;IF(OR(N($E542)&lt;=0,N($E542)&gt;16),"hours?; ","")&amp;IF(AND($C542&lt;&gt;"",$B542=""),"campaign without drop_id; ","")&amp;IF(AND($B542&lt;&gt;"",COUNTIF(drops!$A$2:$A$21,$B542)=0),"drop_id not on drops; ",""))</f>
        <v/>
      </c>
    </row>
    <row r="543">
      <c r="A543" s="9" t="n"/>
      <c r="E543" s="10" t="n"/>
      <c r="G543" s="25">
        <f>IF($A543="","",IF(ISNA(MATCH($D543,{"brand_sales","office_coordination","receiving_kitting","drop_day","checks_pickup","reporting_debriefs","admin_invoicing"},0)),"activity must be one of the seven keys; ","")&amp;IF(OR(N($E543)&lt;=0,N($E543)&gt;16),"hours?; ","")&amp;IF(AND($C543&lt;&gt;"",$B543=""),"campaign without drop_id; ","")&amp;IF(AND($B543&lt;&gt;"",COUNTIF(drops!$A$2:$A$21,$B543)=0),"drop_id not on drops; ",""))</f>
        <v/>
      </c>
    </row>
    <row r="544">
      <c r="A544" s="9" t="n"/>
      <c r="E544" s="10" t="n"/>
      <c r="G544" s="25">
        <f>IF($A544="","",IF(ISNA(MATCH($D544,{"brand_sales","office_coordination","receiving_kitting","drop_day","checks_pickup","reporting_debriefs","admin_invoicing"},0)),"activity must be one of the seven keys; ","")&amp;IF(OR(N($E544)&lt;=0,N($E544)&gt;16),"hours?; ","")&amp;IF(AND($C544&lt;&gt;"",$B544=""),"campaign without drop_id; ","")&amp;IF(AND($B544&lt;&gt;"",COUNTIF(drops!$A$2:$A$21,$B544)=0),"drop_id not on drops; ",""))</f>
        <v/>
      </c>
    </row>
    <row r="545">
      <c r="A545" s="9" t="n"/>
      <c r="E545" s="10" t="n"/>
      <c r="G545" s="25">
        <f>IF($A545="","",IF(ISNA(MATCH($D545,{"brand_sales","office_coordination","receiving_kitting","drop_day","checks_pickup","reporting_debriefs","admin_invoicing"},0)),"activity must be one of the seven keys; ","")&amp;IF(OR(N($E545)&lt;=0,N($E545)&gt;16),"hours?; ","")&amp;IF(AND($C545&lt;&gt;"",$B545=""),"campaign without drop_id; ","")&amp;IF(AND($B545&lt;&gt;"",COUNTIF(drops!$A$2:$A$21,$B545)=0),"drop_id not on drops; ",""))</f>
        <v/>
      </c>
    </row>
    <row r="546">
      <c r="A546" s="9" t="n"/>
      <c r="E546" s="10" t="n"/>
      <c r="G546" s="25">
        <f>IF($A546="","",IF(ISNA(MATCH($D546,{"brand_sales","office_coordination","receiving_kitting","drop_day","checks_pickup","reporting_debriefs","admin_invoicing"},0)),"activity must be one of the seven keys; ","")&amp;IF(OR(N($E546)&lt;=0,N($E546)&gt;16),"hours?; ","")&amp;IF(AND($C546&lt;&gt;"",$B546=""),"campaign without drop_id; ","")&amp;IF(AND($B546&lt;&gt;"",COUNTIF(drops!$A$2:$A$21,$B546)=0),"drop_id not on drops; ",""))</f>
        <v/>
      </c>
    </row>
    <row r="547">
      <c r="A547" s="9" t="n"/>
      <c r="E547" s="10" t="n"/>
      <c r="G547" s="25">
        <f>IF($A547="","",IF(ISNA(MATCH($D547,{"brand_sales","office_coordination","receiving_kitting","drop_day","checks_pickup","reporting_debriefs","admin_invoicing"},0)),"activity must be one of the seven keys; ","")&amp;IF(OR(N($E547)&lt;=0,N($E547)&gt;16),"hours?; ","")&amp;IF(AND($C547&lt;&gt;"",$B547=""),"campaign without drop_id; ","")&amp;IF(AND($B547&lt;&gt;"",COUNTIF(drops!$A$2:$A$21,$B547)=0),"drop_id not on drops; ",""))</f>
        <v/>
      </c>
    </row>
    <row r="548">
      <c r="A548" s="9" t="n"/>
      <c r="E548" s="10" t="n"/>
      <c r="G548" s="25">
        <f>IF($A548="","",IF(ISNA(MATCH($D548,{"brand_sales","office_coordination","receiving_kitting","drop_day","checks_pickup","reporting_debriefs","admin_invoicing"},0)),"activity must be one of the seven keys; ","")&amp;IF(OR(N($E548)&lt;=0,N($E548)&gt;16),"hours?; ","")&amp;IF(AND($C548&lt;&gt;"",$B548=""),"campaign without drop_id; ","")&amp;IF(AND($B548&lt;&gt;"",COUNTIF(drops!$A$2:$A$21,$B548)=0),"drop_id not on drops; ",""))</f>
        <v/>
      </c>
    </row>
    <row r="549">
      <c r="A549" s="9" t="n"/>
      <c r="E549" s="10" t="n"/>
      <c r="G549" s="25">
        <f>IF($A549="","",IF(ISNA(MATCH($D549,{"brand_sales","office_coordination","receiving_kitting","drop_day","checks_pickup","reporting_debriefs","admin_invoicing"},0)),"activity must be one of the seven keys; ","")&amp;IF(OR(N($E549)&lt;=0,N($E549)&gt;16),"hours?; ","")&amp;IF(AND($C549&lt;&gt;"",$B549=""),"campaign without drop_id; ","")&amp;IF(AND($B549&lt;&gt;"",COUNTIF(drops!$A$2:$A$21,$B549)=0),"drop_id not on drops; ",""))</f>
        <v/>
      </c>
    </row>
    <row r="550">
      <c r="A550" s="9" t="n"/>
      <c r="E550" s="10" t="n"/>
      <c r="G550" s="25">
        <f>IF($A550="","",IF(ISNA(MATCH($D550,{"brand_sales","office_coordination","receiving_kitting","drop_day","checks_pickup","reporting_debriefs","admin_invoicing"},0)),"activity must be one of the seven keys; ","")&amp;IF(OR(N($E550)&lt;=0,N($E550)&gt;16),"hours?; ","")&amp;IF(AND($C550&lt;&gt;"",$B550=""),"campaign without drop_id; ","")&amp;IF(AND($B550&lt;&gt;"",COUNTIF(drops!$A$2:$A$21,$B550)=0),"drop_id not on drops; ",""))</f>
        <v/>
      </c>
    </row>
    <row r="551">
      <c r="A551" s="9" t="n"/>
      <c r="E551" s="10" t="n"/>
      <c r="G551" s="25">
        <f>IF($A551="","",IF(ISNA(MATCH($D551,{"brand_sales","office_coordination","receiving_kitting","drop_day","checks_pickup","reporting_debriefs","admin_invoicing"},0)),"activity must be one of the seven keys; ","")&amp;IF(OR(N($E551)&lt;=0,N($E551)&gt;16),"hours?; ","")&amp;IF(AND($C551&lt;&gt;"",$B551=""),"campaign without drop_id; ","")&amp;IF(AND($B551&lt;&gt;"",COUNTIF(drops!$A$2:$A$21,$B551)=0),"drop_id not on drops; ",""))</f>
        <v/>
      </c>
    </row>
    <row r="552">
      <c r="A552" s="9" t="n"/>
      <c r="E552" s="10" t="n"/>
      <c r="G552" s="25">
        <f>IF($A552="","",IF(ISNA(MATCH($D552,{"brand_sales","office_coordination","receiving_kitting","drop_day","checks_pickup","reporting_debriefs","admin_invoicing"},0)),"activity must be one of the seven keys; ","")&amp;IF(OR(N($E552)&lt;=0,N($E552)&gt;16),"hours?; ","")&amp;IF(AND($C552&lt;&gt;"",$B552=""),"campaign without drop_id; ","")&amp;IF(AND($B552&lt;&gt;"",COUNTIF(drops!$A$2:$A$21,$B552)=0),"drop_id not on drops; ",""))</f>
        <v/>
      </c>
    </row>
    <row r="553">
      <c r="A553" s="9" t="n"/>
      <c r="E553" s="10" t="n"/>
      <c r="G553" s="25">
        <f>IF($A553="","",IF(ISNA(MATCH($D553,{"brand_sales","office_coordination","receiving_kitting","drop_day","checks_pickup","reporting_debriefs","admin_invoicing"},0)),"activity must be one of the seven keys; ","")&amp;IF(OR(N($E553)&lt;=0,N($E553)&gt;16),"hours?; ","")&amp;IF(AND($C553&lt;&gt;"",$B553=""),"campaign without drop_id; ","")&amp;IF(AND($B553&lt;&gt;"",COUNTIF(drops!$A$2:$A$21,$B553)=0),"drop_id not on drops; ",""))</f>
        <v/>
      </c>
    </row>
    <row r="554">
      <c r="A554" s="9" t="n"/>
      <c r="E554" s="10" t="n"/>
      <c r="G554" s="25">
        <f>IF($A554="","",IF(ISNA(MATCH($D554,{"brand_sales","office_coordination","receiving_kitting","drop_day","checks_pickup","reporting_debriefs","admin_invoicing"},0)),"activity must be one of the seven keys; ","")&amp;IF(OR(N($E554)&lt;=0,N($E554)&gt;16),"hours?; ","")&amp;IF(AND($C554&lt;&gt;"",$B554=""),"campaign without drop_id; ","")&amp;IF(AND($B554&lt;&gt;"",COUNTIF(drops!$A$2:$A$21,$B554)=0),"drop_id not on drops; ",""))</f>
        <v/>
      </c>
    </row>
    <row r="555">
      <c r="A555" s="9" t="n"/>
      <c r="E555" s="10" t="n"/>
      <c r="G555" s="25">
        <f>IF($A555="","",IF(ISNA(MATCH($D555,{"brand_sales","office_coordination","receiving_kitting","drop_day","checks_pickup","reporting_debriefs","admin_invoicing"},0)),"activity must be one of the seven keys; ","")&amp;IF(OR(N($E555)&lt;=0,N($E555)&gt;16),"hours?; ","")&amp;IF(AND($C555&lt;&gt;"",$B555=""),"campaign without drop_id; ","")&amp;IF(AND($B555&lt;&gt;"",COUNTIF(drops!$A$2:$A$21,$B555)=0),"drop_id not on drops; ",""))</f>
        <v/>
      </c>
    </row>
    <row r="556">
      <c r="A556" s="9" t="n"/>
      <c r="E556" s="10" t="n"/>
      <c r="G556" s="25">
        <f>IF($A556="","",IF(ISNA(MATCH($D556,{"brand_sales","office_coordination","receiving_kitting","drop_day","checks_pickup","reporting_debriefs","admin_invoicing"},0)),"activity must be one of the seven keys; ","")&amp;IF(OR(N($E556)&lt;=0,N($E556)&gt;16),"hours?; ","")&amp;IF(AND($C556&lt;&gt;"",$B556=""),"campaign without drop_id; ","")&amp;IF(AND($B556&lt;&gt;"",COUNTIF(drops!$A$2:$A$21,$B556)=0),"drop_id not on drops; ",""))</f>
        <v/>
      </c>
    </row>
    <row r="557">
      <c r="A557" s="9" t="n"/>
      <c r="E557" s="10" t="n"/>
      <c r="G557" s="25">
        <f>IF($A557="","",IF(ISNA(MATCH($D557,{"brand_sales","office_coordination","receiving_kitting","drop_day","checks_pickup","reporting_debriefs","admin_invoicing"},0)),"activity must be one of the seven keys; ","")&amp;IF(OR(N($E557)&lt;=0,N($E557)&gt;16),"hours?; ","")&amp;IF(AND($C557&lt;&gt;"",$B557=""),"campaign without drop_id; ","")&amp;IF(AND($B557&lt;&gt;"",COUNTIF(drops!$A$2:$A$21,$B557)=0),"drop_id not on drops; ",""))</f>
        <v/>
      </c>
    </row>
    <row r="558">
      <c r="A558" s="9" t="n"/>
      <c r="E558" s="10" t="n"/>
      <c r="G558" s="25">
        <f>IF($A558="","",IF(ISNA(MATCH($D558,{"brand_sales","office_coordination","receiving_kitting","drop_day","checks_pickup","reporting_debriefs","admin_invoicing"},0)),"activity must be one of the seven keys; ","")&amp;IF(OR(N($E558)&lt;=0,N($E558)&gt;16),"hours?; ","")&amp;IF(AND($C558&lt;&gt;"",$B558=""),"campaign without drop_id; ","")&amp;IF(AND($B558&lt;&gt;"",COUNTIF(drops!$A$2:$A$21,$B558)=0),"drop_id not on drops; ",""))</f>
        <v/>
      </c>
    </row>
    <row r="559">
      <c r="A559" s="9" t="n"/>
      <c r="E559" s="10" t="n"/>
      <c r="G559" s="25">
        <f>IF($A559="","",IF(ISNA(MATCH($D559,{"brand_sales","office_coordination","receiving_kitting","drop_day","checks_pickup","reporting_debriefs","admin_invoicing"},0)),"activity must be one of the seven keys; ","")&amp;IF(OR(N($E559)&lt;=0,N($E559)&gt;16),"hours?; ","")&amp;IF(AND($C559&lt;&gt;"",$B559=""),"campaign without drop_id; ","")&amp;IF(AND($B559&lt;&gt;"",COUNTIF(drops!$A$2:$A$21,$B559)=0),"drop_id not on drops; ",""))</f>
        <v/>
      </c>
    </row>
    <row r="560">
      <c r="A560" s="9" t="n"/>
      <c r="E560" s="10" t="n"/>
      <c r="G560" s="25">
        <f>IF($A560="","",IF(ISNA(MATCH($D560,{"brand_sales","office_coordination","receiving_kitting","drop_day","checks_pickup","reporting_debriefs","admin_invoicing"},0)),"activity must be one of the seven keys; ","")&amp;IF(OR(N($E560)&lt;=0,N($E560)&gt;16),"hours?; ","")&amp;IF(AND($C560&lt;&gt;"",$B560=""),"campaign without drop_id; ","")&amp;IF(AND($B560&lt;&gt;"",COUNTIF(drops!$A$2:$A$21,$B560)=0),"drop_id not on drops; ",""))</f>
        <v/>
      </c>
    </row>
    <row r="561">
      <c r="A561" s="9" t="n"/>
      <c r="E561" s="10" t="n"/>
      <c r="G561" s="25">
        <f>IF($A561="","",IF(ISNA(MATCH($D561,{"brand_sales","office_coordination","receiving_kitting","drop_day","checks_pickup","reporting_debriefs","admin_invoicing"},0)),"activity must be one of the seven keys; ","")&amp;IF(OR(N($E561)&lt;=0,N($E561)&gt;16),"hours?; ","")&amp;IF(AND($C561&lt;&gt;"",$B561=""),"campaign without drop_id; ","")&amp;IF(AND($B561&lt;&gt;"",COUNTIF(drops!$A$2:$A$21,$B561)=0),"drop_id not on drops; ",""))</f>
        <v/>
      </c>
    </row>
    <row r="562">
      <c r="A562" s="9" t="n"/>
      <c r="E562" s="10" t="n"/>
      <c r="G562" s="25">
        <f>IF($A562="","",IF(ISNA(MATCH($D562,{"brand_sales","office_coordination","receiving_kitting","drop_day","checks_pickup","reporting_debriefs","admin_invoicing"},0)),"activity must be one of the seven keys; ","")&amp;IF(OR(N($E562)&lt;=0,N($E562)&gt;16),"hours?; ","")&amp;IF(AND($C562&lt;&gt;"",$B562=""),"campaign without drop_id; ","")&amp;IF(AND($B562&lt;&gt;"",COUNTIF(drops!$A$2:$A$21,$B562)=0),"drop_id not on drops; ",""))</f>
        <v/>
      </c>
    </row>
    <row r="563">
      <c r="A563" s="9" t="n"/>
      <c r="E563" s="10" t="n"/>
      <c r="G563" s="25">
        <f>IF($A563="","",IF(ISNA(MATCH($D563,{"brand_sales","office_coordination","receiving_kitting","drop_day","checks_pickup","reporting_debriefs","admin_invoicing"},0)),"activity must be one of the seven keys; ","")&amp;IF(OR(N($E563)&lt;=0,N($E563)&gt;16),"hours?; ","")&amp;IF(AND($C563&lt;&gt;"",$B563=""),"campaign without drop_id; ","")&amp;IF(AND($B563&lt;&gt;"",COUNTIF(drops!$A$2:$A$21,$B563)=0),"drop_id not on drops; ",""))</f>
        <v/>
      </c>
    </row>
    <row r="564">
      <c r="A564" s="9" t="n"/>
      <c r="E564" s="10" t="n"/>
      <c r="G564" s="25">
        <f>IF($A564="","",IF(ISNA(MATCH($D564,{"brand_sales","office_coordination","receiving_kitting","drop_day","checks_pickup","reporting_debriefs","admin_invoicing"},0)),"activity must be one of the seven keys; ","")&amp;IF(OR(N($E564)&lt;=0,N($E564)&gt;16),"hours?; ","")&amp;IF(AND($C564&lt;&gt;"",$B564=""),"campaign without drop_id; ","")&amp;IF(AND($B564&lt;&gt;"",COUNTIF(drops!$A$2:$A$21,$B564)=0),"drop_id not on drops; ",""))</f>
        <v/>
      </c>
    </row>
    <row r="565">
      <c r="A565" s="9" t="n"/>
      <c r="E565" s="10" t="n"/>
      <c r="G565" s="25">
        <f>IF($A565="","",IF(ISNA(MATCH($D565,{"brand_sales","office_coordination","receiving_kitting","drop_day","checks_pickup","reporting_debriefs","admin_invoicing"},0)),"activity must be one of the seven keys; ","")&amp;IF(OR(N($E565)&lt;=0,N($E565)&gt;16),"hours?; ","")&amp;IF(AND($C565&lt;&gt;"",$B565=""),"campaign without drop_id; ","")&amp;IF(AND($B565&lt;&gt;"",COUNTIF(drops!$A$2:$A$21,$B565)=0),"drop_id not on drops; ",""))</f>
        <v/>
      </c>
    </row>
    <row r="566">
      <c r="A566" s="9" t="n"/>
      <c r="E566" s="10" t="n"/>
      <c r="G566" s="25">
        <f>IF($A566="","",IF(ISNA(MATCH($D566,{"brand_sales","office_coordination","receiving_kitting","drop_day","checks_pickup","reporting_debriefs","admin_invoicing"},0)),"activity must be one of the seven keys; ","")&amp;IF(OR(N($E566)&lt;=0,N($E566)&gt;16),"hours?; ","")&amp;IF(AND($C566&lt;&gt;"",$B566=""),"campaign without drop_id; ","")&amp;IF(AND($B566&lt;&gt;"",COUNTIF(drops!$A$2:$A$21,$B566)=0),"drop_id not on drops; ",""))</f>
        <v/>
      </c>
    </row>
    <row r="567">
      <c r="A567" s="9" t="n"/>
      <c r="E567" s="10" t="n"/>
      <c r="G567" s="25">
        <f>IF($A567="","",IF(ISNA(MATCH($D567,{"brand_sales","office_coordination","receiving_kitting","drop_day","checks_pickup","reporting_debriefs","admin_invoicing"},0)),"activity must be one of the seven keys; ","")&amp;IF(OR(N($E567)&lt;=0,N($E567)&gt;16),"hours?; ","")&amp;IF(AND($C567&lt;&gt;"",$B567=""),"campaign without drop_id; ","")&amp;IF(AND($B567&lt;&gt;"",COUNTIF(drops!$A$2:$A$21,$B567)=0),"drop_id not on drops; ",""))</f>
        <v/>
      </c>
    </row>
    <row r="568">
      <c r="A568" s="9" t="n"/>
      <c r="E568" s="10" t="n"/>
      <c r="G568" s="25">
        <f>IF($A568="","",IF(ISNA(MATCH($D568,{"brand_sales","office_coordination","receiving_kitting","drop_day","checks_pickup","reporting_debriefs","admin_invoicing"},0)),"activity must be one of the seven keys; ","")&amp;IF(OR(N($E568)&lt;=0,N($E568)&gt;16),"hours?; ","")&amp;IF(AND($C568&lt;&gt;"",$B568=""),"campaign without drop_id; ","")&amp;IF(AND($B568&lt;&gt;"",COUNTIF(drops!$A$2:$A$21,$B568)=0),"drop_id not on drops; ",""))</f>
        <v/>
      </c>
    </row>
    <row r="569">
      <c r="A569" s="9" t="n"/>
      <c r="E569" s="10" t="n"/>
      <c r="G569" s="25">
        <f>IF($A569="","",IF(ISNA(MATCH($D569,{"brand_sales","office_coordination","receiving_kitting","drop_day","checks_pickup","reporting_debriefs","admin_invoicing"},0)),"activity must be one of the seven keys; ","")&amp;IF(OR(N($E569)&lt;=0,N($E569)&gt;16),"hours?; ","")&amp;IF(AND($C569&lt;&gt;"",$B569=""),"campaign without drop_id; ","")&amp;IF(AND($B569&lt;&gt;"",COUNTIF(drops!$A$2:$A$21,$B569)=0),"drop_id not on drops; ",""))</f>
        <v/>
      </c>
    </row>
    <row r="570">
      <c r="A570" s="9" t="n"/>
      <c r="E570" s="10" t="n"/>
      <c r="G570" s="25">
        <f>IF($A570="","",IF(ISNA(MATCH($D570,{"brand_sales","office_coordination","receiving_kitting","drop_day","checks_pickup","reporting_debriefs","admin_invoicing"},0)),"activity must be one of the seven keys; ","")&amp;IF(OR(N($E570)&lt;=0,N($E570)&gt;16),"hours?; ","")&amp;IF(AND($C570&lt;&gt;"",$B570=""),"campaign without drop_id; ","")&amp;IF(AND($B570&lt;&gt;"",COUNTIF(drops!$A$2:$A$21,$B570)=0),"drop_id not on drops; ",""))</f>
        <v/>
      </c>
    </row>
    <row r="571">
      <c r="A571" s="9" t="n"/>
      <c r="E571" s="10" t="n"/>
      <c r="G571" s="25">
        <f>IF($A571="","",IF(ISNA(MATCH($D571,{"brand_sales","office_coordination","receiving_kitting","drop_day","checks_pickup","reporting_debriefs","admin_invoicing"},0)),"activity must be one of the seven keys; ","")&amp;IF(OR(N($E571)&lt;=0,N($E571)&gt;16),"hours?; ","")&amp;IF(AND($C571&lt;&gt;"",$B571=""),"campaign without drop_id; ","")&amp;IF(AND($B571&lt;&gt;"",COUNTIF(drops!$A$2:$A$21,$B571)=0),"drop_id not on drops; ",""))</f>
        <v/>
      </c>
    </row>
    <row r="572">
      <c r="A572" s="9" t="n"/>
      <c r="E572" s="10" t="n"/>
      <c r="G572" s="25">
        <f>IF($A572="","",IF(ISNA(MATCH($D572,{"brand_sales","office_coordination","receiving_kitting","drop_day","checks_pickup","reporting_debriefs","admin_invoicing"},0)),"activity must be one of the seven keys; ","")&amp;IF(OR(N($E572)&lt;=0,N($E572)&gt;16),"hours?; ","")&amp;IF(AND($C572&lt;&gt;"",$B572=""),"campaign without drop_id; ","")&amp;IF(AND($B572&lt;&gt;"",COUNTIF(drops!$A$2:$A$21,$B572)=0),"drop_id not on drops; ",""))</f>
        <v/>
      </c>
    </row>
    <row r="573">
      <c r="A573" s="9" t="n"/>
      <c r="E573" s="10" t="n"/>
      <c r="G573" s="25">
        <f>IF($A573="","",IF(ISNA(MATCH($D573,{"brand_sales","office_coordination","receiving_kitting","drop_day","checks_pickup","reporting_debriefs","admin_invoicing"},0)),"activity must be one of the seven keys; ","")&amp;IF(OR(N($E573)&lt;=0,N($E573)&gt;16),"hours?; ","")&amp;IF(AND($C573&lt;&gt;"",$B573=""),"campaign without drop_id; ","")&amp;IF(AND($B573&lt;&gt;"",COUNTIF(drops!$A$2:$A$21,$B573)=0),"drop_id not on drops; ",""))</f>
        <v/>
      </c>
    </row>
    <row r="574">
      <c r="A574" s="9" t="n"/>
      <c r="E574" s="10" t="n"/>
      <c r="G574" s="25">
        <f>IF($A574="","",IF(ISNA(MATCH($D574,{"brand_sales","office_coordination","receiving_kitting","drop_day","checks_pickup","reporting_debriefs","admin_invoicing"},0)),"activity must be one of the seven keys; ","")&amp;IF(OR(N($E574)&lt;=0,N($E574)&gt;16),"hours?; ","")&amp;IF(AND($C574&lt;&gt;"",$B574=""),"campaign without drop_id; ","")&amp;IF(AND($B574&lt;&gt;"",COUNTIF(drops!$A$2:$A$21,$B574)=0),"drop_id not on drops; ",""))</f>
        <v/>
      </c>
    </row>
    <row r="575">
      <c r="A575" s="9" t="n"/>
      <c r="E575" s="10" t="n"/>
      <c r="G575" s="25">
        <f>IF($A575="","",IF(ISNA(MATCH($D575,{"brand_sales","office_coordination","receiving_kitting","drop_day","checks_pickup","reporting_debriefs","admin_invoicing"},0)),"activity must be one of the seven keys; ","")&amp;IF(OR(N($E575)&lt;=0,N($E575)&gt;16),"hours?; ","")&amp;IF(AND($C575&lt;&gt;"",$B575=""),"campaign without drop_id; ","")&amp;IF(AND($B575&lt;&gt;"",COUNTIF(drops!$A$2:$A$21,$B575)=0),"drop_id not on drops; ",""))</f>
        <v/>
      </c>
    </row>
    <row r="576">
      <c r="A576" s="9" t="n"/>
      <c r="E576" s="10" t="n"/>
      <c r="G576" s="25">
        <f>IF($A576="","",IF(ISNA(MATCH($D576,{"brand_sales","office_coordination","receiving_kitting","drop_day","checks_pickup","reporting_debriefs","admin_invoicing"},0)),"activity must be one of the seven keys; ","")&amp;IF(OR(N($E576)&lt;=0,N($E576)&gt;16),"hours?; ","")&amp;IF(AND($C576&lt;&gt;"",$B576=""),"campaign without drop_id; ","")&amp;IF(AND($B576&lt;&gt;"",COUNTIF(drops!$A$2:$A$21,$B576)=0),"drop_id not on drops; ",""))</f>
        <v/>
      </c>
    </row>
    <row r="577">
      <c r="A577" s="9" t="n"/>
      <c r="E577" s="10" t="n"/>
      <c r="G577" s="25">
        <f>IF($A577="","",IF(ISNA(MATCH($D577,{"brand_sales","office_coordination","receiving_kitting","drop_day","checks_pickup","reporting_debriefs","admin_invoicing"},0)),"activity must be one of the seven keys; ","")&amp;IF(OR(N($E577)&lt;=0,N($E577)&gt;16),"hours?; ","")&amp;IF(AND($C577&lt;&gt;"",$B577=""),"campaign without drop_id; ","")&amp;IF(AND($B577&lt;&gt;"",COUNTIF(drops!$A$2:$A$21,$B577)=0),"drop_id not on drops; ",""))</f>
        <v/>
      </c>
    </row>
    <row r="578">
      <c r="A578" s="9" t="n"/>
      <c r="E578" s="10" t="n"/>
      <c r="G578" s="25">
        <f>IF($A578="","",IF(ISNA(MATCH($D578,{"brand_sales","office_coordination","receiving_kitting","drop_day","checks_pickup","reporting_debriefs","admin_invoicing"},0)),"activity must be one of the seven keys; ","")&amp;IF(OR(N($E578)&lt;=0,N($E578)&gt;16),"hours?; ","")&amp;IF(AND($C578&lt;&gt;"",$B578=""),"campaign without drop_id; ","")&amp;IF(AND($B578&lt;&gt;"",COUNTIF(drops!$A$2:$A$21,$B578)=0),"drop_id not on drops; ",""))</f>
        <v/>
      </c>
    </row>
    <row r="579">
      <c r="A579" s="9" t="n"/>
      <c r="E579" s="10" t="n"/>
      <c r="G579" s="25">
        <f>IF($A579="","",IF(ISNA(MATCH($D579,{"brand_sales","office_coordination","receiving_kitting","drop_day","checks_pickup","reporting_debriefs","admin_invoicing"},0)),"activity must be one of the seven keys; ","")&amp;IF(OR(N($E579)&lt;=0,N($E579)&gt;16),"hours?; ","")&amp;IF(AND($C579&lt;&gt;"",$B579=""),"campaign without drop_id; ","")&amp;IF(AND($B579&lt;&gt;"",COUNTIF(drops!$A$2:$A$21,$B579)=0),"drop_id not on drops; ",""))</f>
        <v/>
      </c>
    </row>
    <row r="580">
      <c r="A580" s="9" t="n"/>
      <c r="E580" s="10" t="n"/>
      <c r="G580" s="25">
        <f>IF($A580="","",IF(ISNA(MATCH($D580,{"brand_sales","office_coordination","receiving_kitting","drop_day","checks_pickup","reporting_debriefs","admin_invoicing"},0)),"activity must be one of the seven keys; ","")&amp;IF(OR(N($E580)&lt;=0,N($E580)&gt;16),"hours?; ","")&amp;IF(AND($C580&lt;&gt;"",$B580=""),"campaign without drop_id; ","")&amp;IF(AND($B580&lt;&gt;"",COUNTIF(drops!$A$2:$A$21,$B580)=0),"drop_id not on drops; ",""))</f>
        <v/>
      </c>
    </row>
    <row r="581">
      <c r="A581" s="9" t="n"/>
      <c r="E581" s="10" t="n"/>
      <c r="G581" s="25">
        <f>IF($A581="","",IF(ISNA(MATCH($D581,{"brand_sales","office_coordination","receiving_kitting","drop_day","checks_pickup","reporting_debriefs","admin_invoicing"},0)),"activity must be one of the seven keys; ","")&amp;IF(OR(N($E581)&lt;=0,N($E581)&gt;16),"hours?; ","")&amp;IF(AND($C581&lt;&gt;"",$B581=""),"campaign without drop_id; ","")&amp;IF(AND($B581&lt;&gt;"",COUNTIF(drops!$A$2:$A$21,$B581)=0),"drop_id not on drops; ",""))</f>
        <v/>
      </c>
    </row>
    <row r="582">
      <c r="A582" s="9" t="n"/>
      <c r="E582" s="10" t="n"/>
      <c r="G582" s="25">
        <f>IF($A582="","",IF(ISNA(MATCH($D582,{"brand_sales","office_coordination","receiving_kitting","drop_day","checks_pickup","reporting_debriefs","admin_invoicing"},0)),"activity must be one of the seven keys; ","")&amp;IF(OR(N($E582)&lt;=0,N($E582)&gt;16),"hours?; ","")&amp;IF(AND($C582&lt;&gt;"",$B582=""),"campaign without drop_id; ","")&amp;IF(AND($B582&lt;&gt;"",COUNTIF(drops!$A$2:$A$21,$B582)=0),"drop_id not on drops; ",""))</f>
        <v/>
      </c>
    </row>
    <row r="583">
      <c r="A583" s="9" t="n"/>
      <c r="E583" s="10" t="n"/>
      <c r="G583" s="25">
        <f>IF($A583="","",IF(ISNA(MATCH($D583,{"brand_sales","office_coordination","receiving_kitting","drop_day","checks_pickup","reporting_debriefs","admin_invoicing"},0)),"activity must be one of the seven keys; ","")&amp;IF(OR(N($E583)&lt;=0,N($E583)&gt;16),"hours?; ","")&amp;IF(AND($C583&lt;&gt;"",$B583=""),"campaign without drop_id; ","")&amp;IF(AND($B583&lt;&gt;"",COUNTIF(drops!$A$2:$A$21,$B583)=0),"drop_id not on drops; ",""))</f>
        <v/>
      </c>
    </row>
    <row r="584">
      <c r="A584" s="9" t="n"/>
      <c r="E584" s="10" t="n"/>
      <c r="G584" s="25">
        <f>IF($A584="","",IF(ISNA(MATCH($D584,{"brand_sales","office_coordination","receiving_kitting","drop_day","checks_pickup","reporting_debriefs","admin_invoicing"},0)),"activity must be one of the seven keys; ","")&amp;IF(OR(N($E584)&lt;=0,N($E584)&gt;16),"hours?; ","")&amp;IF(AND($C584&lt;&gt;"",$B584=""),"campaign without drop_id; ","")&amp;IF(AND($B584&lt;&gt;"",COUNTIF(drops!$A$2:$A$21,$B584)=0),"drop_id not on drops; ",""))</f>
        <v/>
      </c>
    </row>
    <row r="585">
      <c r="A585" s="9" t="n"/>
      <c r="E585" s="10" t="n"/>
      <c r="G585" s="25">
        <f>IF($A585="","",IF(ISNA(MATCH($D585,{"brand_sales","office_coordination","receiving_kitting","drop_day","checks_pickup","reporting_debriefs","admin_invoicing"},0)),"activity must be one of the seven keys; ","")&amp;IF(OR(N($E585)&lt;=0,N($E585)&gt;16),"hours?; ","")&amp;IF(AND($C585&lt;&gt;"",$B585=""),"campaign without drop_id; ","")&amp;IF(AND($B585&lt;&gt;"",COUNTIF(drops!$A$2:$A$21,$B585)=0),"drop_id not on drops; ",""))</f>
        <v/>
      </c>
    </row>
    <row r="586">
      <c r="A586" s="9" t="n"/>
      <c r="E586" s="10" t="n"/>
      <c r="G586" s="25">
        <f>IF($A586="","",IF(ISNA(MATCH($D586,{"brand_sales","office_coordination","receiving_kitting","drop_day","checks_pickup","reporting_debriefs","admin_invoicing"},0)),"activity must be one of the seven keys; ","")&amp;IF(OR(N($E586)&lt;=0,N($E586)&gt;16),"hours?; ","")&amp;IF(AND($C586&lt;&gt;"",$B586=""),"campaign without drop_id; ","")&amp;IF(AND($B586&lt;&gt;"",COUNTIF(drops!$A$2:$A$21,$B586)=0),"drop_id not on drops; ",""))</f>
        <v/>
      </c>
    </row>
    <row r="587">
      <c r="A587" s="9" t="n"/>
      <c r="E587" s="10" t="n"/>
      <c r="G587" s="25">
        <f>IF($A587="","",IF(ISNA(MATCH($D587,{"brand_sales","office_coordination","receiving_kitting","drop_day","checks_pickup","reporting_debriefs","admin_invoicing"},0)),"activity must be one of the seven keys; ","")&amp;IF(OR(N($E587)&lt;=0,N($E587)&gt;16),"hours?; ","")&amp;IF(AND($C587&lt;&gt;"",$B587=""),"campaign without drop_id; ","")&amp;IF(AND($B587&lt;&gt;"",COUNTIF(drops!$A$2:$A$21,$B587)=0),"drop_id not on drops; ",""))</f>
        <v/>
      </c>
    </row>
    <row r="588">
      <c r="A588" s="9" t="n"/>
      <c r="E588" s="10" t="n"/>
      <c r="G588" s="25">
        <f>IF($A588="","",IF(ISNA(MATCH($D588,{"brand_sales","office_coordination","receiving_kitting","drop_day","checks_pickup","reporting_debriefs","admin_invoicing"},0)),"activity must be one of the seven keys; ","")&amp;IF(OR(N($E588)&lt;=0,N($E588)&gt;16),"hours?; ","")&amp;IF(AND($C588&lt;&gt;"",$B588=""),"campaign without drop_id; ","")&amp;IF(AND($B588&lt;&gt;"",COUNTIF(drops!$A$2:$A$21,$B588)=0),"drop_id not on drops; ",""))</f>
        <v/>
      </c>
    </row>
    <row r="589">
      <c r="A589" s="9" t="n"/>
      <c r="E589" s="10" t="n"/>
      <c r="G589" s="25">
        <f>IF($A589="","",IF(ISNA(MATCH($D589,{"brand_sales","office_coordination","receiving_kitting","drop_day","checks_pickup","reporting_debriefs","admin_invoicing"},0)),"activity must be one of the seven keys; ","")&amp;IF(OR(N($E589)&lt;=0,N($E589)&gt;16),"hours?; ","")&amp;IF(AND($C589&lt;&gt;"",$B589=""),"campaign without drop_id; ","")&amp;IF(AND($B589&lt;&gt;"",COUNTIF(drops!$A$2:$A$21,$B589)=0),"drop_id not on drops; ",""))</f>
        <v/>
      </c>
    </row>
    <row r="590">
      <c r="A590" s="9" t="n"/>
      <c r="E590" s="10" t="n"/>
      <c r="G590" s="25">
        <f>IF($A590="","",IF(ISNA(MATCH($D590,{"brand_sales","office_coordination","receiving_kitting","drop_day","checks_pickup","reporting_debriefs","admin_invoicing"},0)),"activity must be one of the seven keys; ","")&amp;IF(OR(N($E590)&lt;=0,N($E590)&gt;16),"hours?; ","")&amp;IF(AND($C590&lt;&gt;"",$B590=""),"campaign without drop_id; ","")&amp;IF(AND($B590&lt;&gt;"",COUNTIF(drops!$A$2:$A$21,$B590)=0),"drop_id not on drops; ",""))</f>
        <v/>
      </c>
    </row>
    <row r="591">
      <c r="A591" s="9" t="n"/>
      <c r="E591" s="10" t="n"/>
      <c r="G591" s="25">
        <f>IF($A591="","",IF(ISNA(MATCH($D591,{"brand_sales","office_coordination","receiving_kitting","drop_day","checks_pickup","reporting_debriefs","admin_invoicing"},0)),"activity must be one of the seven keys; ","")&amp;IF(OR(N($E591)&lt;=0,N($E591)&gt;16),"hours?; ","")&amp;IF(AND($C591&lt;&gt;"",$B591=""),"campaign without drop_id; ","")&amp;IF(AND($B591&lt;&gt;"",COUNTIF(drops!$A$2:$A$21,$B591)=0),"drop_id not on drops; ",""))</f>
        <v/>
      </c>
    </row>
    <row r="592">
      <c r="A592" s="9" t="n"/>
      <c r="E592" s="10" t="n"/>
      <c r="G592" s="25">
        <f>IF($A592="","",IF(ISNA(MATCH($D592,{"brand_sales","office_coordination","receiving_kitting","drop_day","checks_pickup","reporting_debriefs","admin_invoicing"},0)),"activity must be one of the seven keys; ","")&amp;IF(OR(N($E592)&lt;=0,N($E592)&gt;16),"hours?; ","")&amp;IF(AND($C592&lt;&gt;"",$B592=""),"campaign without drop_id; ","")&amp;IF(AND($B592&lt;&gt;"",COUNTIF(drops!$A$2:$A$21,$B592)=0),"drop_id not on drops; ",""))</f>
        <v/>
      </c>
    </row>
    <row r="593">
      <c r="A593" s="9" t="n"/>
      <c r="E593" s="10" t="n"/>
      <c r="G593" s="25">
        <f>IF($A593="","",IF(ISNA(MATCH($D593,{"brand_sales","office_coordination","receiving_kitting","drop_day","checks_pickup","reporting_debriefs","admin_invoicing"},0)),"activity must be one of the seven keys; ","")&amp;IF(OR(N($E593)&lt;=0,N($E593)&gt;16),"hours?; ","")&amp;IF(AND($C593&lt;&gt;"",$B593=""),"campaign without drop_id; ","")&amp;IF(AND($B593&lt;&gt;"",COUNTIF(drops!$A$2:$A$21,$B593)=0),"drop_id not on drops; ",""))</f>
        <v/>
      </c>
    </row>
    <row r="594">
      <c r="A594" s="9" t="n"/>
      <c r="E594" s="10" t="n"/>
      <c r="G594" s="25">
        <f>IF($A594="","",IF(ISNA(MATCH($D594,{"brand_sales","office_coordination","receiving_kitting","drop_day","checks_pickup","reporting_debriefs","admin_invoicing"},0)),"activity must be one of the seven keys; ","")&amp;IF(OR(N($E594)&lt;=0,N($E594)&gt;16),"hours?; ","")&amp;IF(AND($C594&lt;&gt;"",$B594=""),"campaign without drop_id; ","")&amp;IF(AND($B594&lt;&gt;"",COUNTIF(drops!$A$2:$A$21,$B594)=0),"drop_id not on drops; ",""))</f>
        <v/>
      </c>
    </row>
    <row r="595">
      <c r="A595" s="9" t="n"/>
      <c r="E595" s="10" t="n"/>
      <c r="G595" s="25">
        <f>IF($A595="","",IF(ISNA(MATCH($D595,{"brand_sales","office_coordination","receiving_kitting","drop_day","checks_pickup","reporting_debriefs","admin_invoicing"},0)),"activity must be one of the seven keys; ","")&amp;IF(OR(N($E595)&lt;=0,N($E595)&gt;16),"hours?; ","")&amp;IF(AND($C595&lt;&gt;"",$B595=""),"campaign without drop_id; ","")&amp;IF(AND($B595&lt;&gt;"",COUNTIF(drops!$A$2:$A$21,$B595)=0),"drop_id not on drops; ",""))</f>
        <v/>
      </c>
    </row>
    <row r="596">
      <c r="A596" s="9" t="n"/>
      <c r="E596" s="10" t="n"/>
      <c r="G596" s="25">
        <f>IF($A596="","",IF(ISNA(MATCH($D596,{"brand_sales","office_coordination","receiving_kitting","drop_day","checks_pickup","reporting_debriefs","admin_invoicing"},0)),"activity must be one of the seven keys; ","")&amp;IF(OR(N($E596)&lt;=0,N($E596)&gt;16),"hours?; ","")&amp;IF(AND($C596&lt;&gt;"",$B596=""),"campaign without drop_id; ","")&amp;IF(AND($B596&lt;&gt;"",COUNTIF(drops!$A$2:$A$21,$B596)=0),"drop_id not on drops; ",""))</f>
        <v/>
      </c>
    </row>
    <row r="597">
      <c r="A597" s="9" t="n"/>
      <c r="E597" s="10" t="n"/>
      <c r="G597" s="25">
        <f>IF($A597="","",IF(ISNA(MATCH($D597,{"brand_sales","office_coordination","receiving_kitting","drop_day","checks_pickup","reporting_debriefs","admin_invoicing"},0)),"activity must be one of the seven keys; ","")&amp;IF(OR(N($E597)&lt;=0,N($E597)&gt;16),"hours?; ","")&amp;IF(AND($C597&lt;&gt;"",$B597=""),"campaign without drop_id; ","")&amp;IF(AND($B597&lt;&gt;"",COUNTIF(drops!$A$2:$A$21,$B597)=0),"drop_id not on drops; ",""))</f>
        <v/>
      </c>
    </row>
    <row r="598">
      <c r="A598" s="9" t="n"/>
      <c r="E598" s="10" t="n"/>
      <c r="G598" s="25">
        <f>IF($A598="","",IF(ISNA(MATCH($D598,{"brand_sales","office_coordination","receiving_kitting","drop_day","checks_pickup","reporting_debriefs","admin_invoicing"},0)),"activity must be one of the seven keys; ","")&amp;IF(OR(N($E598)&lt;=0,N($E598)&gt;16),"hours?; ","")&amp;IF(AND($C598&lt;&gt;"",$B598=""),"campaign without drop_id; ","")&amp;IF(AND($B598&lt;&gt;"",COUNTIF(drops!$A$2:$A$21,$B598)=0),"drop_id not on drops; ",""))</f>
        <v/>
      </c>
    </row>
    <row r="599">
      <c r="A599" s="9" t="n"/>
      <c r="E599" s="10" t="n"/>
      <c r="G599" s="25">
        <f>IF($A599="","",IF(ISNA(MATCH($D599,{"brand_sales","office_coordination","receiving_kitting","drop_day","checks_pickup","reporting_debriefs","admin_invoicing"},0)),"activity must be one of the seven keys; ","")&amp;IF(OR(N($E599)&lt;=0,N($E599)&gt;16),"hours?; ","")&amp;IF(AND($C599&lt;&gt;"",$B599=""),"campaign without drop_id; ","")&amp;IF(AND($B599&lt;&gt;"",COUNTIF(drops!$A$2:$A$21,$B599)=0),"drop_id not on drops; ",""))</f>
        <v/>
      </c>
    </row>
    <row r="600">
      <c r="A600" s="9" t="n"/>
      <c r="E600" s="10" t="n"/>
      <c r="G600" s="25">
        <f>IF($A600="","",IF(ISNA(MATCH($D600,{"brand_sales","office_coordination","receiving_kitting","drop_day","checks_pickup","reporting_debriefs","admin_invoicing"},0)),"activity must be one of the seven keys; ","")&amp;IF(OR(N($E600)&lt;=0,N($E600)&gt;16),"hours?; ","")&amp;IF(AND($C600&lt;&gt;"",$B600=""),"campaign without drop_id; ","")&amp;IF(AND($B600&lt;&gt;"",COUNTIF(drops!$A$2:$A$21,$B600)=0),"drop_id not on drops; ",""))</f>
        <v/>
      </c>
    </row>
    <row r="601">
      <c r="A601" s="9" t="n"/>
      <c r="E601" s="10" t="n"/>
      <c r="G601" s="25">
        <f>IF($A601="","",IF(ISNA(MATCH($D601,{"brand_sales","office_coordination","receiving_kitting","drop_day","checks_pickup","reporting_debriefs","admin_invoicing"},0)),"activity must be one of the seven keys; ","")&amp;IF(OR(N($E601)&lt;=0,N($E601)&gt;16),"hours?; ","")&amp;IF(AND($C601&lt;&gt;"",$B601=""),"campaign without drop_id; ","")&amp;IF(AND($B601&lt;&gt;"",COUNTIF(drops!$A$2:$A$21,$B601)=0),"drop_id not on drops; ",""))</f>
        <v/>
      </c>
    </row>
    <row r="602">
      <c r="A602" s="9" t="n"/>
      <c r="E602" s="10" t="n"/>
      <c r="G602" s="25">
        <f>IF($A602="","",IF(ISNA(MATCH($D602,{"brand_sales","office_coordination","receiving_kitting","drop_day","checks_pickup","reporting_debriefs","admin_invoicing"},0)),"activity must be one of the seven keys; ","")&amp;IF(OR(N($E602)&lt;=0,N($E602)&gt;16),"hours?; ","")&amp;IF(AND($C602&lt;&gt;"",$B602=""),"campaign without drop_id; ","")&amp;IF(AND($B602&lt;&gt;"",COUNTIF(drops!$A$2:$A$21,$B602)=0),"drop_id not on drops; ",""))</f>
        <v/>
      </c>
    </row>
    <row r="603">
      <c r="A603" s="9" t="n"/>
      <c r="E603" s="10" t="n"/>
      <c r="G603" s="25">
        <f>IF($A603="","",IF(ISNA(MATCH($D603,{"brand_sales","office_coordination","receiving_kitting","drop_day","checks_pickup","reporting_debriefs","admin_invoicing"},0)),"activity must be one of the seven keys; ","")&amp;IF(OR(N($E603)&lt;=0,N($E603)&gt;16),"hours?; ","")&amp;IF(AND($C603&lt;&gt;"",$B603=""),"campaign without drop_id; ","")&amp;IF(AND($B603&lt;&gt;"",COUNTIF(drops!$A$2:$A$21,$B603)=0),"drop_id not on drops; ",""))</f>
        <v/>
      </c>
    </row>
    <row r="604">
      <c r="A604" s="9" t="n"/>
      <c r="E604" s="10" t="n"/>
      <c r="G604" s="25">
        <f>IF($A604="","",IF(ISNA(MATCH($D604,{"brand_sales","office_coordination","receiving_kitting","drop_day","checks_pickup","reporting_debriefs","admin_invoicing"},0)),"activity must be one of the seven keys; ","")&amp;IF(OR(N($E604)&lt;=0,N($E604)&gt;16),"hours?; ","")&amp;IF(AND($C604&lt;&gt;"",$B604=""),"campaign without drop_id; ","")&amp;IF(AND($B604&lt;&gt;"",COUNTIF(drops!$A$2:$A$21,$B604)=0),"drop_id not on drops; ",""))</f>
        <v/>
      </c>
    </row>
    <row r="605">
      <c r="A605" s="9" t="n"/>
      <c r="E605" s="10" t="n"/>
      <c r="G605" s="25">
        <f>IF($A605="","",IF(ISNA(MATCH($D605,{"brand_sales","office_coordination","receiving_kitting","drop_day","checks_pickup","reporting_debriefs","admin_invoicing"},0)),"activity must be one of the seven keys; ","")&amp;IF(OR(N($E605)&lt;=0,N($E605)&gt;16),"hours?; ","")&amp;IF(AND($C605&lt;&gt;"",$B605=""),"campaign without drop_id; ","")&amp;IF(AND($B605&lt;&gt;"",COUNTIF(drops!$A$2:$A$21,$B605)=0),"drop_id not on drops; ",""))</f>
        <v/>
      </c>
    </row>
    <row r="606">
      <c r="A606" s="9" t="n"/>
      <c r="E606" s="10" t="n"/>
      <c r="G606" s="25">
        <f>IF($A606="","",IF(ISNA(MATCH($D606,{"brand_sales","office_coordination","receiving_kitting","drop_day","checks_pickup","reporting_debriefs","admin_invoicing"},0)),"activity must be one of the seven keys; ","")&amp;IF(OR(N($E606)&lt;=0,N($E606)&gt;16),"hours?; ","")&amp;IF(AND($C606&lt;&gt;"",$B606=""),"campaign without drop_id; ","")&amp;IF(AND($B606&lt;&gt;"",COUNTIF(drops!$A$2:$A$21,$B606)=0),"drop_id not on drops; ",""))</f>
        <v/>
      </c>
    </row>
    <row r="607">
      <c r="A607" s="9" t="n"/>
      <c r="E607" s="10" t="n"/>
      <c r="G607" s="25">
        <f>IF($A607="","",IF(ISNA(MATCH($D607,{"brand_sales","office_coordination","receiving_kitting","drop_day","checks_pickup","reporting_debriefs","admin_invoicing"},0)),"activity must be one of the seven keys; ","")&amp;IF(OR(N($E607)&lt;=0,N($E607)&gt;16),"hours?; ","")&amp;IF(AND($C607&lt;&gt;"",$B607=""),"campaign without drop_id; ","")&amp;IF(AND($B607&lt;&gt;"",COUNTIF(drops!$A$2:$A$21,$B607)=0),"drop_id not on drops; ",""))</f>
        <v/>
      </c>
    </row>
    <row r="608">
      <c r="A608" s="9" t="n"/>
      <c r="E608" s="10" t="n"/>
      <c r="G608" s="25">
        <f>IF($A608="","",IF(ISNA(MATCH($D608,{"brand_sales","office_coordination","receiving_kitting","drop_day","checks_pickup","reporting_debriefs","admin_invoicing"},0)),"activity must be one of the seven keys; ","")&amp;IF(OR(N($E608)&lt;=0,N($E608)&gt;16),"hours?; ","")&amp;IF(AND($C608&lt;&gt;"",$B608=""),"campaign without drop_id; ","")&amp;IF(AND($B608&lt;&gt;"",COUNTIF(drops!$A$2:$A$21,$B608)=0),"drop_id not on drops; ",""))</f>
        <v/>
      </c>
    </row>
    <row r="609">
      <c r="A609" s="9" t="n"/>
      <c r="E609" s="10" t="n"/>
      <c r="G609" s="25">
        <f>IF($A609="","",IF(ISNA(MATCH($D609,{"brand_sales","office_coordination","receiving_kitting","drop_day","checks_pickup","reporting_debriefs","admin_invoicing"},0)),"activity must be one of the seven keys; ","")&amp;IF(OR(N($E609)&lt;=0,N($E609)&gt;16),"hours?; ","")&amp;IF(AND($C609&lt;&gt;"",$B609=""),"campaign without drop_id; ","")&amp;IF(AND($B609&lt;&gt;"",COUNTIF(drops!$A$2:$A$21,$B609)=0),"drop_id not on drops; ",""))</f>
        <v/>
      </c>
    </row>
    <row r="610">
      <c r="A610" s="9" t="n"/>
      <c r="E610" s="10" t="n"/>
      <c r="G610" s="25">
        <f>IF($A610="","",IF(ISNA(MATCH($D610,{"brand_sales","office_coordination","receiving_kitting","drop_day","checks_pickup","reporting_debriefs","admin_invoicing"},0)),"activity must be one of the seven keys; ","")&amp;IF(OR(N($E610)&lt;=0,N($E610)&gt;16),"hours?; ","")&amp;IF(AND($C610&lt;&gt;"",$B610=""),"campaign without drop_id; ","")&amp;IF(AND($B610&lt;&gt;"",COUNTIF(drops!$A$2:$A$21,$B610)=0),"drop_id not on drops; ",""))</f>
        <v/>
      </c>
    </row>
    <row r="611">
      <c r="A611" s="9" t="n"/>
      <c r="E611" s="10" t="n"/>
      <c r="G611" s="25">
        <f>IF($A611="","",IF(ISNA(MATCH($D611,{"brand_sales","office_coordination","receiving_kitting","drop_day","checks_pickup","reporting_debriefs","admin_invoicing"},0)),"activity must be one of the seven keys; ","")&amp;IF(OR(N($E611)&lt;=0,N($E611)&gt;16),"hours?; ","")&amp;IF(AND($C611&lt;&gt;"",$B611=""),"campaign without drop_id; ","")&amp;IF(AND($B611&lt;&gt;"",COUNTIF(drops!$A$2:$A$21,$B611)=0),"drop_id not on drops; ",""))</f>
        <v/>
      </c>
    </row>
    <row r="612">
      <c r="A612" s="9" t="n"/>
      <c r="E612" s="10" t="n"/>
      <c r="G612" s="25">
        <f>IF($A612="","",IF(ISNA(MATCH($D612,{"brand_sales","office_coordination","receiving_kitting","drop_day","checks_pickup","reporting_debriefs","admin_invoicing"},0)),"activity must be one of the seven keys; ","")&amp;IF(OR(N($E612)&lt;=0,N($E612)&gt;16),"hours?; ","")&amp;IF(AND($C612&lt;&gt;"",$B612=""),"campaign without drop_id; ","")&amp;IF(AND($B612&lt;&gt;"",COUNTIF(drops!$A$2:$A$21,$B612)=0),"drop_id not on drops; ",""))</f>
        <v/>
      </c>
    </row>
    <row r="613">
      <c r="A613" s="9" t="n"/>
      <c r="E613" s="10" t="n"/>
      <c r="G613" s="25">
        <f>IF($A613="","",IF(ISNA(MATCH($D613,{"brand_sales","office_coordination","receiving_kitting","drop_day","checks_pickup","reporting_debriefs","admin_invoicing"},0)),"activity must be one of the seven keys; ","")&amp;IF(OR(N($E613)&lt;=0,N($E613)&gt;16),"hours?; ","")&amp;IF(AND($C613&lt;&gt;"",$B613=""),"campaign without drop_id; ","")&amp;IF(AND($B613&lt;&gt;"",COUNTIF(drops!$A$2:$A$21,$B613)=0),"drop_id not on drops; ",""))</f>
        <v/>
      </c>
    </row>
    <row r="614">
      <c r="A614" s="9" t="n"/>
      <c r="E614" s="10" t="n"/>
      <c r="G614" s="25">
        <f>IF($A614="","",IF(ISNA(MATCH($D614,{"brand_sales","office_coordination","receiving_kitting","drop_day","checks_pickup","reporting_debriefs","admin_invoicing"},0)),"activity must be one of the seven keys; ","")&amp;IF(OR(N($E614)&lt;=0,N($E614)&gt;16),"hours?; ","")&amp;IF(AND($C614&lt;&gt;"",$B614=""),"campaign without drop_id; ","")&amp;IF(AND($B614&lt;&gt;"",COUNTIF(drops!$A$2:$A$21,$B614)=0),"drop_id not on drops; ",""))</f>
        <v/>
      </c>
    </row>
    <row r="615">
      <c r="A615" s="9" t="n"/>
      <c r="E615" s="10" t="n"/>
      <c r="G615" s="25">
        <f>IF($A615="","",IF(ISNA(MATCH($D615,{"brand_sales","office_coordination","receiving_kitting","drop_day","checks_pickup","reporting_debriefs","admin_invoicing"},0)),"activity must be one of the seven keys; ","")&amp;IF(OR(N($E615)&lt;=0,N($E615)&gt;16),"hours?; ","")&amp;IF(AND($C615&lt;&gt;"",$B615=""),"campaign without drop_id; ","")&amp;IF(AND($B615&lt;&gt;"",COUNTIF(drops!$A$2:$A$21,$B615)=0),"drop_id not on drops; ",""))</f>
        <v/>
      </c>
    </row>
    <row r="616">
      <c r="A616" s="9" t="n"/>
      <c r="E616" s="10" t="n"/>
      <c r="G616" s="25">
        <f>IF($A616="","",IF(ISNA(MATCH($D616,{"brand_sales","office_coordination","receiving_kitting","drop_day","checks_pickup","reporting_debriefs","admin_invoicing"},0)),"activity must be one of the seven keys; ","")&amp;IF(OR(N($E616)&lt;=0,N($E616)&gt;16),"hours?; ","")&amp;IF(AND($C616&lt;&gt;"",$B616=""),"campaign without drop_id; ","")&amp;IF(AND($B616&lt;&gt;"",COUNTIF(drops!$A$2:$A$21,$B616)=0),"drop_id not on drops; ",""))</f>
        <v/>
      </c>
    </row>
    <row r="617">
      <c r="A617" s="9" t="n"/>
      <c r="E617" s="10" t="n"/>
      <c r="G617" s="25">
        <f>IF($A617="","",IF(ISNA(MATCH($D617,{"brand_sales","office_coordination","receiving_kitting","drop_day","checks_pickup","reporting_debriefs","admin_invoicing"},0)),"activity must be one of the seven keys; ","")&amp;IF(OR(N($E617)&lt;=0,N($E617)&gt;16),"hours?; ","")&amp;IF(AND($C617&lt;&gt;"",$B617=""),"campaign without drop_id; ","")&amp;IF(AND($B617&lt;&gt;"",COUNTIF(drops!$A$2:$A$21,$B617)=0),"drop_id not on drops; ",""))</f>
        <v/>
      </c>
    </row>
    <row r="618">
      <c r="A618" s="9" t="n"/>
      <c r="E618" s="10" t="n"/>
      <c r="G618" s="25">
        <f>IF($A618="","",IF(ISNA(MATCH($D618,{"brand_sales","office_coordination","receiving_kitting","drop_day","checks_pickup","reporting_debriefs","admin_invoicing"},0)),"activity must be one of the seven keys; ","")&amp;IF(OR(N($E618)&lt;=0,N($E618)&gt;16),"hours?; ","")&amp;IF(AND($C618&lt;&gt;"",$B618=""),"campaign without drop_id; ","")&amp;IF(AND($B618&lt;&gt;"",COUNTIF(drops!$A$2:$A$21,$B618)=0),"drop_id not on drops; ",""))</f>
        <v/>
      </c>
    </row>
    <row r="619">
      <c r="A619" s="9" t="n"/>
      <c r="E619" s="10" t="n"/>
      <c r="G619" s="25">
        <f>IF($A619="","",IF(ISNA(MATCH($D619,{"brand_sales","office_coordination","receiving_kitting","drop_day","checks_pickup","reporting_debriefs","admin_invoicing"},0)),"activity must be one of the seven keys; ","")&amp;IF(OR(N($E619)&lt;=0,N($E619)&gt;16),"hours?; ","")&amp;IF(AND($C619&lt;&gt;"",$B619=""),"campaign without drop_id; ","")&amp;IF(AND($B619&lt;&gt;"",COUNTIF(drops!$A$2:$A$21,$B619)=0),"drop_id not on drops; ",""))</f>
        <v/>
      </c>
    </row>
    <row r="620">
      <c r="A620" s="9" t="n"/>
      <c r="E620" s="10" t="n"/>
      <c r="G620" s="25">
        <f>IF($A620="","",IF(ISNA(MATCH($D620,{"brand_sales","office_coordination","receiving_kitting","drop_day","checks_pickup","reporting_debriefs","admin_invoicing"},0)),"activity must be one of the seven keys; ","")&amp;IF(OR(N($E620)&lt;=0,N($E620)&gt;16),"hours?; ","")&amp;IF(AND($C620&lt;&gt;"",$B620=""),"campaign without drop_id; ","")&amp;IF(AND($B620&lt;&gt;"",COUNTIF(drops!$A$2:$A$21,$B620)=0),"drop_id not on drops; ",""))</f>
        <v/>
      </c>
    </row>
    <row r="621">
      <c r="A621" s="9" t="n"/>
      <c r="E621" s="10" t="n"/>
      <c r="G621" s="25">
        <f>IF($A621="","",IF(ISNA(MATCH($D621,{"brand_sales","office_coordination","receiving_kitting","drop_day","checks_pickup","reporting_debriefs","admin_invoicing"},0)),"activity must be one of the seven keys; ","")&amp;IF(OR(N($E621)&lt;=0,N($E621)&gt;16),"hours?; ","")&amp;IF(AND($C621&lt;&gt;"",$B621=""),"campaign without drop_id; ","")&amp;IF(AND($B621&lt;&gt;"",COUNTIF(drops!$A$2:$A$21,$B621)=0),"drop_id not on drops; ",""))</f>
        <v/>
      </c>
    </row>
    <row r="622">
      <c r="A622" s="9" t="n"/>
      <c r="E622" s="10" t="n"/>
      <c r="G622" s="25">
        <f>IF($A622="","",IF(ISNA(MATCH($D622,{"brand_sales","office_coordination","receiving_kitting","drop_day","checks_pickup","reporting_debriefs","admin_invoicing"},0)),"activity must be one of the seven keys; ","")&amp;IF(OR(N($E622)&lt;=0,N($E622)&gt;16),"hours?; ","")&amp;IF(AND($C622&lt;&gt;"",$B622=""),"campaign without drop_id; ","")&amp;IF(AND($B622&lt;&gt;"",COUNTIF(drops!$A$2:$A$21,$B622)=0),"drop_id not on drops; ",""))</f>
        <v/>
      </c>
    </row>
    <row r="623">
      <c r="A623" s="9" t="n"/>
      <c r="E623" s="10" t="n"/>
      <c r="G623" s="25">
        <f>IF($A623="","",IF(ISNA(MATCH($D623,{"brand_sales","office_coordination","receiving_kitting","drop_day","checks_pickup","reporting_debriefs","admin_invoicing"},0)),"activity must be one of the seven keys; ","")&amp;IF(OR(N($E623)&lt;=0,N($E623)&gt;16),"hours?; ","")&amp;IF(AND($C623&lt;&gt;"",$B623=""),"campaign without drop_id; ","")&amp;IF(AND($B623&lt;&gt;"",COUNTIF(drops!$A$2:$A$21,$B623)=0),"drop_id not on drops; ",""))</f>
        <v/>
      </c>
    </row>
    <row r="624">
      <c r="A624" s="9" t="n"/>
      <c r="E624" s="10" t="n"/>
      <c r="G624" s="25">
        <f>IF($A624="","",IF(ISNA(MATCH($D624,{"brand_sales","office_coordination","receiving_kitting","drop_day","checks_pickup","reporting_debriefs","admin_invoicing"},0)),"activity must be one of the seven keys; ","")&amp;IF(OR(N($E624)&lt;=0,N($E624)&gt;16),"hours?; ","")&amp;IF(AND($C624&lt;&gt;"",$B624=""),"campaign without drop_id; ","")&amp;IF(AND($B624&lt;&gt;"",COUNTIF(drops!$A$2:$A$21,$B624)=0),"drop_id not on drops; ",""))</f>
        <v/>
      </c>
    </row>
    <row r="625">
      <c r="A625" s="9" t="n"/>
      <c r="E625" s="10" t="n"/>
      <c r="G625" s="25">
        <f>IF($A625="","",IF(ISNA(MATCH($D625,{"brand_sales","office_coordination","receiving_kitting","drop_day","checks_pickup","reporting_debriefs","admin_invoicing"},0)),"activity must be one of the seven keys; ","")&amp;IF(OR(N($E625)&lt;=0,N($E625)&gt;16),"hours?; ","")&amp;IF(AND($C625&lt;&gt;"",$B625=""),"campaign without drop_id; ","")&amp;IF(AND($B625&lt;&gt;"",COUNTIF(drops!$A$2:$A$21,$B625)=0),"drop_id not on drops; ",""))</f>
        <v/>
      </c>
    </row>
    <row r="626">
      <c r="A626" s="9" t="n"/>
      <c r="E626" s="10" t="n"/>
      <c r="G626" s="25">
        <f>IF($A626="","",IF(ISNA(MATCH($D626,{"brand_sales","office_coordination","receiving_kitting","drop_day","checks_pickup","reporting_debriefs","admin_invoicing"},0)),"activity must be one of the seven keys; ","")&amp;IF(OR(N($E626)&lt;=0,N($E626)&gt;16),"hours?; ","")&amp;IF(AND($C626&lt;&gt;"",$B626=""),"campaign without drop_id; ","")&amp;IF(AND($B626&lt;&gt;"",COUNTIF(drops!$A$2:$A$21,$B626)=0),"drop_id not on drops; ",""))</f>
        <v/>
      </c>
    </row>
    <row r="627">
      <c r="A627" s="9" t="n"/>
      <c r="E627" s="10" t="n"/>
      <c r="G627" s="25">
        <f>IF($A627="","",IF(ISNA(MATCH($D627,{"brand_sales","office_coordination","receiving_kitting","drop_day","checks_pickup","reporting_debriefs","admin_invoicing"},0)),"activity must be one of the seven keys; ","")&amp;IF(OR(N($E627)&lt;=0,N($E627)&gt;16),"hours?; ","")&amp;IF(AND($C627&lt;&gt;"",$B627=""),"campaign without drop_id; ","")&amp;IF(AND($B627&lt;&gt;"",COUNTIF(drops!$A$2:$A$21,$B627)=0),"drop_id not on drops; ",""))</f>
        <v/>
      </c>
    </row>
    <row r="628">
      <c r="A628" s="9" t="n"/>
      <c r="E628" s="10" t="n"/>
      <c r="G628" s="25">
        <f>IF($A628="","",IF(ISNA(MATCH($D628,{"brand_sales","office_coordination","receiving_kitting","drop_day","checks_pickup","reporting_debriefs","admin_invoicing"},0)),"activity must be one of the seven keys; ","")&amp;IF(OR(N($E628)&lt;=0,N($E628)&gt;16),"hours?; ","")&amp;IF(AND($C628&lt;&gt;"",$B628=""),"campaign without drop_id; ","")&amp;IF(AND($B628&lt;&gt;"",COUNTIF(drops!$A$2:$A$21,$B628)=0),"drop_id not on drops; ",""))</f>
        <v/>
      </c>
    </row>
    <row r="629">
      <c r="A629" s="9" t="n"/>
      <c r="E629" s="10" t="n"/>
      <c r="G629" s="25">
        <f>IF($A629="","",IF(ISNA(MATCH($D629,{"brand_sales","office_coordination","receiving_kitting","drop_day","checks_pickup","reporting_debriefs","admin_invoicing"},0)),"activity must be one of the seven keys; ","")&amp;IF(OR(N($E629)&lt;=0,N($E629)&gt;16),"hours?; ","")&amp;IF(AND($C629&lt;&gt;"",$B629=""),"campaign without drop_id; ","")&amp;IF(AND($B629&lt;&gt;"",COUNTIF(drops!$A$2:$A$21,$B629)=0),"drop_id not on drops; ",""))</f>
        <v/>
      </c>
    </row>
    <row r="630">
      <c r="A630" s="9" t="n"/>
      <c r="E630" s="10" t="n"/>
      <c r="G630" s="25">
        <f>IF($A630="","",IF(ISNA(MATCH($D630,{"brand_sales","office_coordination","receiving_kitting","drop_day","checks_pickup","reporting_debriefs","admin_invoicing"},0)),"activity must be one of the seven keys; ","")&amp;IF(OR(N($E630)&lt;=0,N($E630)&gt;16),"hours?; ","")&amp;IF(AND($C630&lt;&gt;"",$B630=""),"campaign without drop_id; ","")&amp;IF(AND($B630&lt;&gt;"",COUNTIF(drops!$A$2:$A$21,$B630)=0),"drop_id not on drops; ",""))</f>
        <v/>
      </c>
    </row>
    <row r="631">
      <c r="A631" s="9" t="n"/>
      <c r="E631" s="10" t="n"/>
      <c r="G631" s="25">
        <f>IF($A631="","",IF(ISNA(MATCH($D631,{"brand_sales","office_coordination","receiving_kitting","drop_day","checks_pickup","reporting_debriefs","admin_invoicing"},0)),"activity must be one of the seven keys; ","")&amp;IF(OR(N($E631)&lt;=0,N($E631)&gt;16),"hours?; ","")&amp;IF(AND($C631&lt;&gt;"",$B631=""),"campaign without drop_id; ","")&amp;IF(AND($B631&lt;&gt;"",COUNTIF(drops!$A$2:$A$21,$B631)=0),"drop_id not on drops; ",""))</f>
        <v/>
      </c>
    </row>
    <row r="632">
      <c r="A632" s="9" t="n"/>
      <c r="E632" s="10" t="n"/>
      <c r="G632" s="25">
        <f>IF($A632="","",IF(ISNA(MATCH($D632,{"brand_sales","office_coordination","receiving_kitting","drop_day","checks_pickup","reporting_debriefs","admin_invoicing"},0)),"activity must be one of the seven keys; ","")&amp;IF(OR(N($E632)&lt;=0,N($E632)&gt;16),"hours?; ","")&amp;IF(AND($C632&lt;&gt;"",$B632=""),"campaign without drop_id; ","")&amp;IF(AND($B632&lt;&gt;"",COUNTIF(drops!$A$2:$A$21,$B632)=0),"drop_id not on drops; ",""))</f>
        <v/>
      </c>
    </row>
    <row r="633">
      <c r="A633" s="9" t="n"/>
      <c r="E633" s="10" t="n"/>
      <c r="G633" s="25">
        <f>IF($A633="","",IF(ISNA(MATCH($D633,{"brand_sales","office_coordination","receiving_kitting","drop_day","checks_pickup","reporting_debriefs","admin_invoicing"},0)),"activity must be one of the seven keys; ","")&amp;IF(OR(N($E633)&lt;=0,N($E633)&gt;16),"hours?; ","")&amp;IF(AND($C633&lt;&gt;"",$B633=""),"campaign without drop_id; ","")&amp;IF(AND($B633&lt;&gt;"",COUNTIF(drops!$A$2:$A$21,$B633)=0),"drop_id not on drops; ",""))</f>
        <v/>
      </c>
    </row>
    <row r="634">
      <c r="A634" s="9" t="n"/>
      <c r="E634" s="10" t="n"/>
      <c r="G634" s="25">
        <f>IF($A634="","",IF(ISNA(MATCH($D634,{"brand_sales","office_coordination","receiving_kitting","drop_day","checks_pickup","reporting_debriefs","admin_invoicing"},0)),"activity must be one of the seven keys; ","")&amp;IF(OR(N($E634)&lt;=0,N($E634)&gt;16),"hours?; ","")&amp;IF(AND($C634&lt;&gt;"",$B634=""),"campaign without drop_id; ","")&amp;IF(AND($B634&lt;&gt;"",COUNTIF(drops!$A$2:$A$21,$B634)=0),"drop_id not on drops; ",""))</f>
        <v/>
      </c>
    </row>
    <row r="635">
      <c r="A635" s="9" t="n"/>
      <c r="E635" s="10" t="n"/>
      <c r="G635" s="25">
        <f>IF($A635="","",IF(ISNA(MATCH($D635,{"brand_sales","office_coordination","receiving_kitting","drop_day","checks_pickup","reporting_debriefs","admin_invoicing"},0)),"activity must be one of the seven keys; ","")&amp;IF(OR(N($E635)&lt;=0,N($E635)&gt;16),"hours?; ","")&amp;IF(AND($C635&lt;&gt;"",$B635=""),"campaign without drop_id; ","")&amp;IF(AND($B635&lt;&gt;"",COUNTIF(drops!$A$2:$A$21,$B635)=0),"drop_id not on drops; ",""))</f>
        <v/>
      </c>
    </row>
    <row r="636">
      <c r="A636" s="9" t="n"/>
      <c r="E636" s="10" t="n"/>
      <c r="G636" s="25">
        <f>IF($A636="","",IF(ISNA(MATCH($D636,{"brand_sales","office_coordination","receiving_kitting","drop_day","checks_pickup","reporting_debriefs","admin_invoicing"},0)),"activity must be one of the seven keys; ","")&amp;IF(OR(N($E636)&lt;=0,N($E636)&gt;16),"hours?; ","")&amp;IF(AND($C636&lt;&gt;"",$B636=""),"campaign without drop_id; ","")&amp;IF(AND($B636&lt;&gt;"",COUNTIF(drops!$A$2:$A$21,$B636)=0),"drop_id not on drops; ",""))</f>
        <v/>
      </c>
    </row>
    <row r="637">
      <c r="A637" s="9" t="n"/>
      <c r="E637" s="10" t="n"/>
      <c r="G637" s="25">
        <f>IF($A637="","",IF(ISNA(MATCH($D637,{"brand_sales","office_coordination","receiving_kitting","drop_day","checks_pickup","reporting_debriefs","admin_invoicing"},0)),"activity must be one of the seven keys; ","")&amp;IF(OR(N($E637)&lt;=0,N($E637)&gt;16),"hours?; ","")&amp;IF(AND($C637&lt;&gt;"",$B637=""),"campaign without drop_id; ","")&amp;IF(AND($B637&lt;&gt;"",COUNTIF(drops!$A$2:$A$21,$B637)=0),"drop_id not on drops; ",""))</f>
        <v/>
      </c>
    </row>
    <row r="638">
      <c r="A638" s="9" t="n"/>
      <c r="E638" s="10" t="n"/>
      <c r="G638" s="25">
        <f>IF($A638="","",IF(ISNA(MATCH($D638,{"brand_sales","office_coordination","receiving_kitting","drop_day","checks_pickup","reporting_debriefs","admin_invoicing"},0)),"activity must be one of the seven keys; ","")&amp;IF(OR(N($E638)&lt;=0,N($E638)&gt;16),"hours?; ","")&amp;IF(AND($C638&lt;&gt;"",$B638=""),"campaign without drop_id; ","")&amp;IF(AND($B638&lt;&gt;"",COUNTIF(drops!$A$2:$A$21,$B638)=0),"drop_id not on drops; ",""))</f>
        <v/>
      </c>
    </row>
    <row r="639">
      <c r="A639" s="9" t="n"/>
      <c r="E639" s="10" t="n"/>
      <c r="G639" s="25">
        <f>IF($A639="","",IF(ISNA(MATCH($D639,{"brand_sales","office_coordination","receiving_kitting","drop_day","checks_pickup","reporting_debriefs","admin_invoicing"},0)),"activity must be one of the seven keys; ","")&amp;IF(OR(N($E639)&lt;=0,N($E639)&gt;16),"hours?; ","")&amp;IF(AND($C639&lt;&gt;"",$B639=""),"campaign without drop_id; ","")&amp;IF(AND($B639&lt;&gt;"",COUNTIF(drops!$A$2:$A$21,$B639)=0),"drop_id not on drops; ",""))</f>
        <v/>
      </c>
    </row>
    <row r="640">
      <c r="A640" s="9" t="n"/>
      <c r="E640" s="10" t="n"/>
      <c r="G640" s="25">
        <f>IF($A640="","",IF(ISNA(MATCH($D640,{"brand_sales","office_coordination","receiving_kitting","drop_day","checks_pickup","reporting_debriefs","admin_invoicing"},0)),"activity must be one of the seven keys; ","")&amp;IF(OR(N($E640)&lt;=0,N($E640)&gt;16),"hours?; ","")&amp;IF(AND($C640&lt;&gt;"",$B640=""),"campaign without drop_id; ","")&amp;IF(AND($B640&lt;&gt;"",COUNTIF(drops!$A$2:$A$21,$B640)=0),"drop_id not on drops; ",""))</f>
        <v/>
      </c>
    </row>
    <row r="641">
      <c r="A641" s="9" t="n"/>
      <c r="E641" s="10" t="n"/>
      <c r="G641" s="25">
        <f>IF($A641="","",IF(ISNA(MATCH($D641,{"brand_sales","office_coordination","receiving_kitting","drop_day","checks_pickup","reporting_debriefs","admin_invoicing"},0)),"activity must be one of the seven keys; ","")&amp;IF(OR(N($E641)&lt;=0,N($E641)&gt;16),"hours?; ","")&amp;IF(AND($C641&lt;&gt;"",$B641=""),"campaign without drop_id; ","")&amp;IF(AND($B641&lt;&gt;"",COUNTIF(drops!$A$2:$A$21,$B641)=0),"drop_id not on drops; ",""))</f>
        <v/>
      </c>
    </row>
    <row r="642">
      <c r="A642" s="9" t="n"/>
      <c r="E642" s="10" t="n"/>
      <c r="G642" s="25">
        <f>IF($A642="","",IF(ISNA(MATCH($D642,{"brand_sales","office_coordination","receiving_kitting","drop_day","checks_pickup","reporting_debriefs","admin_invoicing"},0)),"activity must be one of the seven keys; ","")&amp;IF(OR(N($E642)&lt;=0,N($E642)&gt;16),"hours?; ","")&amp;IF(AND($C642&lt;&gt;"",$B642=""),"campaign without drop_id; ","")&amp;IF(AND($B642&lt;&gt;"",COUNTIF(drops!$A$2:$A$21,$B642)=0),"drop_id not on drops; ",""))</f>
        <v/>
      </c>
    </row>
    <row r="643">
      <c r="A643" s="9" t="n"/>
      <c r="E643" s="10" t="n"/>
      <c r="G643" s="25">
        <f>IF($A643="","",IF(ISNA(MATCH($D643,{"brand_sales","office_coordination","receiving_kitting","drop_day","checks_pickup","reporting_debriefs","admin_invoicing"},0)),"activity must be one of the seven keys; ","")&amp;IF(OR(N($E643)&lt;=0,N($E643)&gt;16),"hours?; ","")&amp;IF(AND($C643&lt;&gt;"",$B643=""),"campaign without drop_id; ","")&amp;IF(AND($B643&lt;&gt;"",COUNTIF(drops!$A$2:$A$21,$B643)=0),"drop_id not on drops; ",""))</f>
        <v/>
      </c>
    </row>
    <row r="644">
      <c r="A644" s="9" t="n"/>
      <c r="E644" s="10" t="n"/>
      <c r="G644" s="25">
        <f>IF($A644="","",IF(ISNA(MATCH($D644,{"brand_sales","office_coordination","receiving_kitting","drop_day","checks_pickup","reporting_debriefs","admin_invoicing"},0)),"activity must be one of the seven keys; ","")&amp;IF(OR(N($E644)&lt;=0,N($E644)&gt;16),"hours?; ","")&amp;IF(AND($C644&lt;&gt;"",$B644=""),"campaign without drop_id; ","")&amp;IF(AND($B644&lt;&gt;"",COUNTIF(drops!$A$2:$A$21,$B644)=0),"drop_id not on drops; ",""))</f>
        <v/>
      </c>
    </row>
    <row r="645">
      <c r="A645" s="9" t="n"/>
      <c r="E645" s="10" t="n"/>
      <c r="G645" s="25">
        <f>IF($A645="","",IF(ISNA(MATCH($D645,{"brand_sales","office_coordination","receiving_kitting","drop_day","checks_pickup","reporting_debriefs","admin_invoicing"},0)),"activity must be one of the seven keys; ","")&amp;IF(OR(N($E645)&lt;=0,N($E645)&gt;16),"hours?; ","")&amp;IF(AND($C645&lt;&gt;"",$B645=""),"campaign without drop_id; ","")&amp;IF(AND($B645&lt;&gt;"",COUNTIF(drops!$A$2:$A$21,$B645)=0),"drop_id not on drops; ",""))</f>
        <v/>
      </c>
    </row>
    <row r="646">
      <c r="A646" s="9" t="n"/>
      <c r="E646" s="10" t="n"/>
      <c r="G646" s="25">
        <f>IF($A646="","",IF(ISNA(MATCH($D646,{"brand_sales","office_coordination","receiving_kitting","drop_day","checks_pickup","reporting_debriefs","admin_invoicing"},0)),"activity must be one of the seven keys; ","")&amp;IF(OR(N($E646)&lt;=0,N($E646)&gt;16),"hours?; ","")&amp;IF(AND($C646&lt;&gt;"",$B646=""),"campaign without drop_id; ","")&amp;IF(AND($B646&lt;&gt;"",COUNTIF(drops!$A$2:$A$21,$B646)=0),"drop_id not on drops; ",""))</f>
        <v/>
      </c>
    </row>
    <row r="647">
      <c r="A647" s="9" t="n"/>
      <c r="E647" s="10" t="n"/>
      <c r="G647" s="25">
        <f>IF($A647="","",IF(ISNA(MATCH($D647,{"brand_sales","office_coordination","receiving_kitting","drop_day","checks_pickup","reporting_debriefs","admin_invoicing"},0)),"activity must be one of the seven keys; ","")&amp;IF(OR(N($E647)&lt;=0,N($E647)&gt;16),"hours?; ","")&amp;IF(AND($C647&lt;&gt;"",$B647=""),"campaign without drop_id; ","")&amp;IF(AND($B647&lt;&gt;"",COUNTIF(drops!$A$2:$A$21,$B647)=0),"drop_id not on drops; ",""))</f>
        <v/>
      </c>
    </row>
    <row r="648">
      <c r="A648" s="9" t="n"/>
      <c r="E648" s="10" t="n"/>
      <c r="G648" s="25">
        <f>IF($A648="","",IF(ISNA(MATCH($D648,{"brand_sales","office_coordination","receiving_kitting","drop_day","checks_pickup","reporting_debriefs","admin_invoicing"},0)),"activity must be one of the seven keys; ","")&amp;IF(OR(N($E648)&lt;=0,N($E648)&gt;16),"hours?; ","")&amp;IF(AND($C648&lt;&gt;"",$B648=""),"campaign without drop_id; ","")&amp;IF(AND($B648&lt;&gt;"",COUNTIF(drops!$A$2:$A$21,$B648)=0),"drop_id not on drops; ",""))</f>
        <v/>
      </c>
    </row>
    <row r="649">
      <c r="A649" s="9" t="n"/>
      <c r="E649" s="10" t="n"/>
      <c r="G649" s="25">
        <f>IF($A649="","",IF(ISNA(MATCH($D649,{"brand_sales","office_coordination","receiving_kitting","drop_day","checks_pickup","reporting_debriefs","admin_invoicing"},0)),"activity must be one of the seven keys; ","")&amp;IF(OR(N($E649)&lt;=0,N($E649)&gt;16),"hours?; ","")&amp;IF(AND($C649&lt;&gt;"",$B649=""),"campaign without drop_id; ","")&amp;IF(AND($B649&lt;&gt;"",COUNTIF(drops!$A$2:$A$21,$B649)=0),"drop_id not on drops; ",""))</f>
        <v/>
      </c>
    </row>
    <row r="650">
      <c r="A650" s="9" t="n"/>
      <c r="E650" s="10" t="n"/>
      <c r="G650" s="25">
        <f>IF($A650="","",IF(ISNA(MATCH($D650,{"brand_sales","office_coordination","receiving_kitting","drop_day","checks_pickup","reporting_debriefs","admin_invoicing"},0)),"activity must be one of the seven keys; ","")&amp;IF(OR(N($E650)&lt;=0,N($E650)&gt;16),"hours?; ","")&amp;IF(AND($C650&lt;&gt;"",$B650=""),"campaign without drop_id; ","")&amp;IF(AND($B650&lt;&gt;"",COUNTIF(drops!$A$2:$A$21,$B650)=0),"drop_id not on drops; ",""))</f>
        <v/>
      </c>
    </row>
    <row r="651">
      <c r="A651" s="9" t="n"/>
      <c r="E651" s="10" t="n"/>
      <c r="G651" s="25">
        <f>IF($A651="","",IF(ISNA(MATCH($D651,{"brand_sales","office_coordination","receiving_kitting","drop_day","checks_pickup","reporting_debriefs","admin_invoicing"},0)),"activity must be one of the seven keys; ","")&amp;IF(OR(N($E651)&lt;=0,N($E651)&gt;16),"hours?; ","")&amp;IF(AND($C651&lt;&gt;"",$B651=""),"campaign without drop_id; ","")&amp;IF(AND($B651&lt;&gt;"",COUNTIF(drops!$A$2:$A$21,$B651)=0),"drop_id not on drops; ",""))</f>
        <v/>
      </c>
    </row>
    <row r="652">
      <c r="A652" s="9" t="n"/>
      <c r="E652" s="10" t="n"/>
      <c r="G652" s="25">
        <f>IF($A652="","",IF(ISNA(MATCH($D652,{"brand_sales","office_coordination","receiving_kitting","drop_day","checks_pickup","reporting_debriefs","admin_invoicing"},0)),"activity must be one of the seven keys; ","")&amp;IF(OR(N($E652)&lt;=0,N($E652)&gt;16),"hours?; ","")&amp;IF(AND($C652&lt;&gt;"",$B652=""),"campaign without drop_id; ","")&amp;IF(AND($B652&lt;&gt;"",COUNTIF(drops!$A$2:$A$21,$B652)=0),"drop_id not on drops; ",""))</f>
        <v/>
      </c>
    </row>
    <row r="653">
      <c r="A653" s="9" t="n"/>
      <c r="E653" s="10" t="n"/>
      <c r="G653" s="25">
        <f>IF($A653="","",IF(ISNA(MATCH($D653,{"brand_sales","office_coordination","receiving_kitting","drop_day","checks_pickup","reporting_debriefs","admin_invoicing"},0)),"activity must be one of the seven keys; ","")&amp;IF(OR(N($E653)&lt;=0,N($E653)&gt;16),"hours?; ","")&amp;IF(AND($C653&lt;&gt;"",$B653=""),"campaign without drop_id; ","")&amp;IF(AND($B653&lt;&gt;"",COUNTIF(drops!$A$2:$A$21,$B653)=0),"drop_id not on drops; ",""))</f>
        <v/>
      </c>
    </row>
    <row r="654">
      <c r="A654" s="9" t="n"/>
      <c r="E654" s="10" t="n"/>
      <c r="G654" s="25">
        <f>IF($A654="","",IF(ISNA(MATCH($D654,{"brand_sales","office_coordination","receiving_kitting","drop_day","checks_pickup","reporting_debriefs","admin_invoicing"},0)),"activity must be one of the seven keys; ","")&amp;IF(OR(N($E654)&lt;=0,N($E654)&gt;16),"hours?; ","")&amp;IF(AND($C654&lt;&gt;"",$B654=""),"campaign without drop_id; ","")&amp;IF(AND($B654&lt;&gt;"",COUNTIF(drops!$A$2:$A$21,$B654)=0),"drop_id not on drops; ",""))</f>
        <v/>
      </c>
    </row>
    <row r="655">
      <c r="A655" s="9" t="n"/>
      <c r="E655" s="10" t="n"/>
      <c r="G655" s="25">
        <f>IF($A655="","",IF(ISNA(MATCH($D655,{"brand_sales","office_coordination","receiving_kitting","drop_day","checks_pickup","reporting_debriefs","admin_invoicing"},0)),"activity must be one of the seven keys; ","")&amp;IF(OR(N($E655)&lt;=0,N($E655)&gt;16),"hours?; ","")&amp;IF(AND($C655&lt;&gt;"",$B655=""),"campaign without drop_id; ","")&amp;IF(AND($B655&lt;&gt;"",COUNTIF(drops!$A$2:$A$21,$B655)=0),"drop_id not on drops; ",""))</f>
        <v/>
      </c>
    </row>
    <row r="656">
      <c r="A656" s="9" t="n"/>
      <c r="E656" s="10" t="n"/>
      <c r="G656" s="25">
        <f>IF($A656="","",IF(ISNA(MATCH($D656,{"brand_sales","office_coordination","receiving_kitting","drop_day","checks_pickup","reporting_debriefs","admin_invoicing"},0)),"activity must be one of the seven keys; ","")&amp;IF(OR(N($E656)&lt;=0,N($E656)&gt;16),"hours?; ","")&amp;IF(AND($C656&lt;&gt;"",$B656=""),"campaign without drop_id; ","")&amp;IF(AND($B656&lt;&gt;"",COUNTIF(drops!$A$2:$A$21,$B656)=0),"drop_id not on drops; ",""))</f>
        <v/>
      </c>
    </row>
    <row r="657">
      <c r="A657" s="9" t="n"/>
      <c r="E657" s="10" t="n"/>
      <c r="G657" s="25">
        <f>IF($A657="","",IF(ISNA(MATCH($D657,{"brand_sales","office_coordination","receiving_kitting","drop_day","checks_pickup","reporting_debriefs","admin_invoicing"},0)),"activity must be one of the seven keys; ","")&amp;IF(OR(N($E657)&lt;=0,N($E657)&gt;16),"hours?; ","")&amp;IF(AND($C657&lt;&gt;"",$B657=""),"campaign without drop_id; ","")&amp;IF(AND($B657&lt;&gt;"",COUNTIF(drops!$A$2:$A$21,$B657)=0),"drop_id not on drops; ",""))</f>
        <v/>
      </c>
    </row>
    <row r="658">
      <c r="A658" s="9" t="n"/>
      <c r="E658" s="10" t="n"/>
      <c r="G658" s="25">
        <f>IF($A658="","",IF(ISNA(MATCH($D658,{"brand_sales","office_coordination","receiving_kitting","drop_day","checks_pickup","reporting_debriefs","admin_invoicing"},0)),"activity must be one of the seven keys; ","")&amp;IF(OR(N($E658)&lt;=0,N($E658)&gt;16),"hours?; ","")&amp;IF(AND($C658&lt;&gt;"",$B658=""),"campaign without drop_id; ","")&amp;IF(AND($B658&lt;&gt;"",COUNTIF(drops!$A$2:$A$21,$B658)=0),"drop_id not on drops; ",""))</f>
        <v/>
      </c>
    </row>
    <row r="659">
      <c r="A659" s="9" t="n"/>
      <c r="E659" s="10" t="n"/>
      <c r="G659" s="25">
        <f>IF($A659="","",IF(ISNA(MATCH($D659,{"brand_sales","office_coordination","receiving_kitting","drop_day","checks_pickup","reporting_debriefs","admin_invoicing"},0)),"activity must be one of the seven keys; ","")&amp;IF(OR(N($E659)&lt;=0,N($E659)&gt;16),"hours?; ","")&amp;IF(AND($C659&lt;&gt;"",$B659=""),"campaign without drop_id; ","")&amp;IF(AND($B659&lt;&gt;"",COUNTIF(drops!$A$2:$A$21,$B659)=0),"drop_id not on drops; ",""))</f>
        <v/>
      </c>
    </row>
    <row r="660">
      <c r="A660" s="9" t="n"/>
      <c r="E660" s="10" t="n"/>
      <c r="G660" s="25">
        <f>IF($A660="","",IF(ISNA(MATCH($D660,{"brand_sales","office_coordination","receiving_kitting","drop_day","checks_pickup","reporting_debriefs","admin_invoicing"},0)),"activity must be one of the seven keys; ","")&amp;IF(OR(N($E660)&lt;=0,N($E660)&gt;16),"hours?; ","")&amp;IF(AND($C660&lt;&gt;"",$B660=""),"campaign without drop_id; ","")&amp;IF(AND($B660&lt;&gt;"",COUNTIF(drops!$A$2:$A$21,$B660)=0),"drop_id not on drops; ",""))</f>
        <v/>
      </c>
    </row>
    <row r="661">
      <c r="A661" s="9" t="n"/>
      <c r="E661" s="10" t="n"/>
      <c r="G661" s="25">
        <f>IF($A661="","",IF(ISNA(MATCH($D661,{"brand_sales","office_coordination","receiving_kitting","drop_day","checks_pickup","reporting_debriefs","admin_invoicing"},0)),"activity must be one of the seven keys; ","")&amp;IF(OR(N($E661)&lt;=0,N($E661)&gt;16),"hours?; ","")&amp;IF(AND($C661&lt;&gt;"",$B661=""),"campaign without drop_id; ","")&amp;IF(AND($B661&lt;&gt;"",COUNTIF(drops!$A$2:$A$21,$B661)=0),"drop_id not on drops; ",""))</f>
        <v/>
      </c>
    </row>
    <row r="662">
      <c r="A662" s="9" t="n"/>
      <c r="E662" s="10" t="n"/>
      <c r="G662" s="25">
        <f>IF($A662="","",IF(ISNA(MATCH($D662,{"brand_sales","office_coordination","receiving_kitting","drop_day","checks_pickup","reporting_debriefs","admin_invoicing"},0)),"activity must be one of the seven keys; ","")&amp;IF(OR(N($E662)&lt;=0,N($E662)&gt;16),"hours?; ","")&amp;IF(AND($C662&lt;&gt;"",$B662=""),"campaign without drop_id; ","")&amp;IF(AND($B662&lt;&gt;"",COUNTIF(drops!$A$2:$A$21,$B662)=0),"drop_id not on drops; ",""))</f>
        <v/>
      </c>
    </row>
    <row r="663">
      <c r="A663" s="9" t="n"/>
      <c r="E663" s="10" t="n"/>
      <c r="G663" s="25">
        <f>IF($A663="","",IF(ISNA(MATCH($D663,{"brand_sales","office_coordination","receiving_kitting","drop_day","checks_pickup","reporting_debriefs","admin_invoicing"},0)),"activity must be one of the seven keys; ","")&amp;IF(OR(N($E663)&lt;=0,N($E663)&gt;16),"hours?; ","")&amp;IF(AND($C663&lt;&gt;"",$B663=""),"campaign without drop_id; ","")&amp;IF(AND($B663&lt;&gt;"",COUNTIF(drops!$A$2:$A$21,$B663)=0),"drop_id not on drops; ",""))</f>
        <v/>
      </c>
    </row>
    <row r="664">
      <c r="A664" s="9" t="n"/>
      <c r="E664" s="10" t="n"/>
      <c r="G664" s="25">
        <f>IF($A664="","",IF(ISNA(MATCH($D664,{"brand_sales","office_coordination","receiving_kitting","drop_day","checks_pickup","reporting_debriefs","admin_invoicing"},0)),"activity must be one of the seven keys; ","")&amp;IF(OR(N($E664)&lt;=0,N($E664)&gt;16),"hours?; ","")&amp;IF(AND($C664&lt;&gt;"",$B664=""),"campaign without drop_id; ","")&amp;IF(AND($B664&lt;&gt;"",COUNTIF(drops!$A$2:$A$21,$B664)=0),"drop_id not on drops; ",""))</f>
        <v/>
      </c>
    </row>
    <row r="665">
      <c r="A665" s="9" t="n"/>
      <c r="E665" s="10" t="n"/>
      <c r="G665" s="25">
        <f>IF($A665="","",IF(ISNA(MATCH($D665,{"brand_sales","office_coordination","receiving_kitting","drop_day","checks_pickup","reporting_debriefs","admin_invoicing"},0)),"activity must be one of the seven keys; ","")&amp;IF(OR(N($E665)&lt;=0,N($E665)&gt;16),"hours?; ","")&amp;IF(AND($C665&lt;&gt;"",$B665=""),"campaign without drop_id; ","")&amp;IF(AND($B665&lt;&gt;"",COUNTIF(drops!$A$2:$A$21,$B665)=0),"drop_id not on drops; ",""))</f>
        <v/>
      </c>
    </row>
    <row r="666">
      <c r="A666" s="9" t="n"/>
      <c r="E666" s="10" t="n"/>
      <c r="G666" s="25">
        <f>IF($A666="","",IF(ISNA(MATCH($D666,{"brand_sales","office_coordination","receiving_kitting","drop_day","checks_pickup","reporting_debriefs","admin_invoicing"},0)),"activity must be one of the seven keys; ","")&amp;IF(OR(N($E666)&lt;=0,N($E666)&gt;16),"hours?; ","")&amp;IF(AND($C666&lt;&gt;"",$B666=""),"campaign without drop_id; ","")&amp;IF(AND($B666&lt;&gt;"",COUNTIF(drops!$A$2:$A$21,$B666)=0),"drop_id not on drops; ",""))</f>
        <v/>
      </c>
    </row>
    <row r="667">
      <c r="A667" s="9" t="n"/>
      <c r="E667" s="10" t="n"/>
      <c r="G667" s="25">
        <f>IF($A667="","",IF(ISNA(MATCH($D667,{"brand_sales","office_coordination","receiving_kitting","drop_day","checks_pickup","reporting_debriefs","admin_invoicing"},0)),"activity must be one of the seven keys; ","")&amp;IF(OR(N($E667)&lt;=0,N($E667)&gt;16),"hours?; ","")&amp;IF(AND($C667&lt;&gt;"",$B667=""),"campaign without drop_id; ","")&amp;IF(AND($B667&lt;&gt;"",COUNTIF(drops!$A$2:$A$21,$B667)=0),"drop_id not on drops; ",""))</f>
        <v/>
      </c>
    </row>
    <row r="668">
      <c r="A668" s="9" t="n"/>
      <c r="E668" s="10" t="n"/>
      <c r="G668" s="25">
        <f>IF($A668="","",IF(ISNA(MATCH($D668,{"brand_sales","office_coordination","receiving_kitting","drop_day","checks_pickup","reporting_debriefs","admin_invoicing"},0)),"activity must be one of the seven keys; ","")&amp;IF(OR(N($E668)&lt;=0,N($E668)&gt;16),"hours?; ","")&amp;IF(AND($C668&lt;&gt;"",$B668=""),"campaign without drop_id; ","")&amp;IF(AND($B668&lt;&gt;"",COUNTIF(drops!$A$2:$A$21,$B668)=0),"drop_id not on drops; ",""))</f>
        <v/>
      </c>
    </row>
    <row r="669">
      <c r="A669" s="9" t="n"/>
      <c r="E669" s="10" t="n"/>
      <c r="G669" s="25">
        <f>IF($A669="","",IF(ISNA(MATCH($D669,{"brand_sales","office_coordination","receiving_kitting","drop_day","checks_pickup","reporting_debriefs","admin_invoicing"},0)),"activity must be one of the seven keys; ","")&amp;IF(OR(N($E669)&lt;=0,N($E669)&gt;16),"hours?; ","")&amp;IF(AND($C669&lt;&gt;"",$B669=""),"campaign without drop_id; ","")&amp;IF(AND($B669&lt;&gt;"",COUNTIF(drops!$A$2:$A$21,$B669)=0),"drop_id not on drops; ",""))</f>
        <v/>
      </c>
    </row>
    <row r="670">
      <c r="A670" s="9" t="n"/>
      <c r="E670" s="10" t="n"/>
      <c r="G670" s="25">
        <f>IF($A670="","",IF(ISNA(MATCH($D670,{"brand_sales","office_coordination","receiving_kitting","drop_day","checks_pickup","reporting_debriefs","admin_invoicing"},0)),"activity must be one of the seven keys; ","")&amp;IF(OR(N($E670)&lt;=0,N($E670)&gt;16),"hours?; ","")&amp;IF(AND($C670&lt;&gt;"",$B670=""),"campaign without drop_id; ","")&amp;IF(AND($B670&lt;&gt;"",COUNTIF(drops!$A$2:$A$21,$B670)=0),"drop_id not on drops; ",""))</f>
        <v/>
      </c>
    </row>
    <row r="671">
      <c r="A671" s="9" t="n"/>
      <c r="E671" s="10" t="n"/>
      <c r="G671" s="25">
        <f>IF($A671="","",IF(ISNA(MATCH($D671,{"brand_sales","office_coordination","receiving_kitting","drop_day","checks_pickup","reporting_debriefs","admin_invoicing"},0)),"activity must be one of the seven keys; ","")&amp;IF(OR(N($E671)&lt;=0,N($E671)&gt;16),"hours?; ","")&amp;IF(AND($C671&lt;&gt;"",$B671=""),"campaign without drop_id; ","")&amp;IF(AND($B671&lt;&gt;"",COUNTIF(drops!$A$2:$A$21,$B671)=0),"drop_id not on drops; ",""))</f>
        <v/>
      </c>
    </row>
    <row r="672">
      <c r="A672" s="9" t="n"/>
      <c r="E672" s="10" t="n"/>
      <c r="G672" s="25">
        <f>IF($A672="","",IF(ISNA(MATCH($D672,{"brand_sales","office_coordination","receiving_kitting","drop_day","checks_pickup","reporting_debriefs","admin_invoicing"},0)),"activity must be one of the seven keys; ","")&amp;IF(OR(N($E672)&lt;=0,N($E672)&gt;16),"hours?; ","")&amp;IF(AND($C672&lt;&gt;"",$B672=""),"campaign without drop_id; ","")&amp;IF(AND($B672&lt;&gt;"",COUNTIF(drops!$A$2:$A$21,$B672)=0),"drop_id not on drops; ",""))</f>
        <v/>
      </c>
    </row>
    <row r="673">
      <c r="A673" s="9" t="n"/>
      <c r="E673" s="10" t="n"/>
      <c r="G673" s="25">
        <f>IF($A673="","",IF(ISNA(MATCH($D673,{"brand_sales","office_coordination","receiving_kitting","drop_day","checks_pickup","reporting_debriefs","admin_invoicing"},0)),"activity must be one of the seven keys; ","")&amp;IF(OR(N($E673)&lt;=0,N($E673)&gt;16),"hours?; ","")&amp;IF(AND($C673&lt;&gt;"",$B673=""),"campaign without drop_id; ","")&amp;IF(AND($B673&lt;&gt;"",COUNTIF(drops!$A$2:$A$21,$B673)=0),"drop_id not on drops; ",""))</f>
        <v/>
      </c>
    </row>
    <row r="674">
      <c r="A674" s="9" t="n"/>
      <c r="E674" s="10" t="n"/>
      <c r="G674" s="25">
        <f>IF($A674="","",IF(ISNA(MATCH($D674,{"brand_sales","office_coordination","receiving_kitting","drop_day","checks_pickup","reporting_debriefs","admin_invoicing"},0)),"activity must be one of the seven keys; ","")&amp;IF(OR(N($E674)&lt;=0,N($E674)&gt;16),"hours?; ","")&amp;IF(AND($C674&lt;&gt;"",$B674=""),"campaign without drop_id; ","")&amp;IF(AND($B674&lt;&gt;"",COUNTIF(drops!$A$2:$A$21,$B674)=0),"drop_id not on drops; ",""))</f>
        <v/>
      </c>
    </row>
    <row r="675">
      <c r="A675" s="9" t="n"/>
      <c r="E675" s="10" t="n"/>
      <c r="G675" s="25">
        <f>IF($A675="","",IF(ISNA(MATCH($D675,{"brand_sales","office_coordination","receiving_kitting","drop_day","checks_pickup","reporting_debriefs","admin_invoicing"},0)),"activity must be one of the seven keys; ","")&amp;IF(OR(N($E675)&lt;=0,N($E675)&gt;16),"hours?; ","")&amp;IF(AND($C675&lt;&gt;"",$B675=""),"campaign without drop_id; ","")&amp;IF(AND($B675&lt;&gt;"",COUNTIF(drops!$A$2:$A$21,$B675)=0),"drop_id not on drops; ",""))</f>
        <v/>
      </c>
    </row>
    <row r="676">
      <c r="A676" s="9" t="n"/>
      <c r="E676" s="10" t="n"/>
      <c r="G676" s="25">
        <f>IF($A676="","",IF(ISNA(MATCH($D676,{"brand_sales","office_coordination","receiving_kitting","drop_day","checks_pickup","reporting_debriefs","admin_invoicing"},0)),"activity must be one of the seven keys; ","")&amp;IF(OR(N($E676)&lt;=0,N($E676)&gt;16),"hours?; ","")&amp;IF(AND($C676&lt;&gt;"",$B676=""),"campaign without drop_id; ","")&amp;IF(AND($B676&lt;&gt;"",COUNTIF(drops!$A$2:$A$21,$B676)=0),"drop_id not on drops; ",""))</f>
        <v/>
      </c>
    </row>
    <row r="677">
      <c r="A677" s="9" t="n"/>
      <c r="E677" s="10" t="n"/>
      <c r="G677" s="25">
        <f>IF($A677="","",IF(ISNA(MATCH($D677,{"brand_sales","office_coordination","receiving_kitting","drop_day","checks_pickup","reporting_debriefs","admin_invoicing"},0)),"activity must be one of the seven keys; ","")&amp;IF(OR(N($E677)&lt;=0,N($E677)&gt;16),"hours?; ","")&amp;IF(AND($C677&lt;&gt;"",$B677=""),"campaign without drop_id; ","")&amp;IF(AND($B677&lt;&gt;"",COUNTIF(drops!$A$2:$A$21,$B677)=0),"drop_id not on drops; ",""))</f>
        <v/>
      </c>
    </row>
    <row r="678">
      <c r="A678" s="9" t="n"/>
      <c r="E678" s="10" t="n"/>
      <c r="G678" s="25">
        <f>IF($A678="","",IF(ISNA(MATCH($D678,{"brand_sales","office_coordination","receiving_kitting","drop_day","checks_pickup","reporting_debriefs","admin_invoicing"},0)),"activity must be one of the seven keys; ","")&amp;IF(OR(N($E678)&lt;=0,N($E678)&gt;16),"hours?; ","")&amp;IF(AND($C678&lt;&gt;"",$B678=""),"campaign without drop_id; ","")&amp;IF(AND($B678&lt;&gt;"",COUNTIF(drops!$A$2:$A$21,$B678)=0),"drop_id not on drops; ",""))</f>
        <v/>
      </c>
    </row>
    <row r="679">
      <c r="A679" s="9" t="n"/>
      <c r="E679" s="10" t="n"/>
      <c r="G679" s="25">
        <f>IF($A679="","",IF(ISNA(MATCH($D679,{"brand_sales","office_coordination","receiving_kitting","drop_day","checks_pickup","reporting_debriefs","admin_invoicing"},0)),"activity must be one of the seven keys; ","")&amp;IF(OR(N($E679)&lt;=0,N($E679)&gt;16),"hours?; ","")&amp;IF(AND($C679&lt;&gt;"",$B679=""),"campaign without drop_id; ","")&amp;IF(AND($B679&lt;&gt;"",COUNTIF(drops!$A$2:$A$21,$B679)=0),"drop_id not on drops; ",""))</f>
        <v/>
      </c>
    </row>
    <row r="680">
      <c r="A680" s="9" t="n"/>
      <c r="E680" s="10" t="n"/>
      <c r="G680" s="25">
        <f>IF($A680="","",IF(ISNA(MATCH($D680,{"brand_sales","office_coordination","receiving_kitting","drop_day","checks_pickup","reporting_debriefs","admin_invoicing"},0)),"activity must be one of the seven keys; ","")&amp;IF(OR(N($E680)&lt;=0,N($E680)&gt;16),"hours?; ","")&amp;IF(AND($C680&lt;&gt;"",$B680=""),"campaign without drop_id; ","")&amp;IF(AND($B680&lt;&gt;"",COUNTIF(drops!$A$2:$A$21,$B680)=0),"drop_id not on drops; ",""))</f>
        <v/>
      </c>
    </row>
    <row r="681">
      <c r="A681" s="9" t="n"/>
      <c r="E681" s="10" t="n"/>
      <c r="G681" s="25">
        <f>IF($A681="","",IF(ISNA(MATCH($D681,{"brand_sales","office_coordination","receiving_kitting","drop_day","checks_pickup","reporting_debriefs","admin_invoicing"},0)),"activity must be one of the seven keys; ","")&amp;IF(OR(N($E681)&lt;=0,N($E681)&gt;16),"hours?; ","")&amp;IF(AND($C681&lt;&gt;"",$B681=""),"campaign without drop_id; ","")&amp;IF(AND($B681&lt;&gt;"",COUNTIF(drops!$A$2:$A$21,$B681)=0),"drop_id not on drops; ",""))</f>
        <v/>
      </c>
    </row>
    <row r="682">
      <c r="A682" s="9" t="n"/>
      <c r="E682" s="10" t="n"/>
      <c r="G682" s="25">
        <f>IF($A682="","",IF(ISNA(MATCH($D682,{"brand_sales","office_coordination","receiving_kitting","drop_day","checks_pickup","reporting_debriefs","admin_invoicing"},0)),"activity must be one of the seven keys; ","")&amp;IF(OR(N($E682)&lt;=0,N($E682)&gt;16),"hours?; ","")&amp;IF(AND($C682&lt;&gt;"",$B682=""),"campaign without drop_id; ","")&amp;IF(AND($B682&lt;&gt;"",COUNTIF(drops!$A$2:$A$21,$B682)=0),"drop_id not on drops; ",""))</f>
        <v/>
      </c>
    </row>
    <row r="683">
      <c r="A683" s="9" t="n"/>
      <c r="E683" s="10" t="n"/>
      <c r="G683" s="25">
        <f>IF($A683="","",IF(ISNA(MATCH($D683,{"brand_sales","office_coordination","receiving_kitting","drop_day","checks_pickup","reporting_debriefs","admin_invoicing"},0)),"activity must be one of the seven keys; ","")&amp;IF(OR(N($E683)&lt;=0,N($E683)&gt;16),"hours?; ","")&amp;IF(AND($C683&lt;&gt;"",$B683=""),"campaign without drop_id; ","")&amp;IF(AND($B683&lt;&gt;"",COUNTIF(drops!$A$2:$A$21,$B683)=0),"drop_id not on drops; ",""))</f>
        <v/>
      </c>
    </row>
    <row r="684">
      <c r="A684" s="9" t="n"/>
      <c r="E684" s="10" t="n"/>
      <c r="G684" s="25">
        <f>IF($A684="","",IF(ISNA(MATCH($D684,{"brand_sales","office_coordination","receiving_kitting","drop_day","checks_pickup","reporting_debriefs","admin_invoicing"},0)),"activity must be one of the seven keys; ","")&amp;IF(OR(N($E684)&lt;=0,N($E684)&gt;16),"hours?; ","")&amp;IF(AND($C684&lt;&gt;"",$B684=""),"campaign without drop_id; ","")&amp;IF(AND($B684&lt;&gt;"",COUNTIF(drops!$A$2:$A$21,$B684)=0),"drop_id not on drops; ",""))</f>
        <v/>
      </c>
    </row>
    <row r="685">
      <c r="A685" s="9" t="n"/>
      <c r="E685" s="10" t="n"/>
      <c r="G685" s="25">
        <f>IF($A685="","",IF(ISNA(MATCH($D685,{"brand_sales","office_coordination","receiving_kitting","drop_day","checks_pickup","reporting_debriefs","admin_invoicing"},0)),"activity must be one of the seven keys; ","")&amp;IF(OR(N($E685)&lt;=0,N($E685)&gt;16),"hours?; ","")&amp;IF(AND($C685&lt;&gt;"",$B685=""),"campaign without drop_id; ","")&amp;IF(AND($B685&lt;&gt;"",COUNTIF(drops!$A$2:$A$21,$B685)=0),"drop_id not on drops; ",""))</f>
        <v/>
      </c>
    </row>
    <row r="686">
      <c r="A686" s="9" t="n"/>
      <c r="E686" s="10" t="n"/>
      <c r="G686" s="25">
        <f>IF($A686="","",IF(ISNA(MATCH($D686,{"brand_sales","office_coordination","receiving_kitting","drop_day","checks_pickup","reporting_debriefs","admin_invoicing"},0)),"activity must be one of the seven keys; ","")&amp;IF(OR(N($E686)&lt;=0,N($E686)&gt;16),"hours?; ","")&amp;IF(AND($C686&lt;&gt;"",$B686=""),"campaign without drop_id; ","")&amp;IF(AND($B686&lt;&gt;"",COUNTIF(drops!$A$2:$A$21,$B686)=0),"drop_id not on drops; ",""))</f>
        <v/>
      </c>
    </row>
    <row r="687">
      <c r="A687" s="9" t="n"/>
      <c r="E687" s="10" t="n"/>
      <c r="G687" s="25">
        <f>IF($A687="","",IF(ISNA(MATCH($D687,{"brand_sales","office_coordination","receiving_kitting","drop_day","checks_pickup","reporting_debriefs","admin_invoicing"},0)),"activity must be one of the seven keys; ","")&amp;IF(OR(N($E687)&lt;=0,N($E687)&gt;16),"hours?; ","")&amp;IF(AND($C687&lt;&gt;"",$B687=""),"campaign without drop_id; ","")&amp;IF(AND($B687&lt;&gt;"",COUNTIF(drops!$A$2:$A$21,$B687)=0),"drop_id not on drops; ",""))</f>
        <v/>
      </c>
    </row>
    <row r="688">
      <c r="A688" s="9" t="n"/>
      <c r="E688" s="10" t="n"/>
      <c r="G688" s="25">
        <f>IF($A688="","",IF(ISNA(MATCH($D688,{"brand_sales","office_coordination","receiving_kitting","drop_day","checks_pickup","reporting_debriefs","admin_invoicing"},0)),"activity must be one of the seven keys; ","")&amp;IF(OR(N($E688)&lt;=0,N($E688)&gt;16),"hours?; ","")&amp;IF(AND($C688&lt;&gt;"",$B688=""),"campaign without drop_id; ","")&amp;IF(AND($B688&lt;&gt;"",COUNTIF(drops!$A$2:$A$21,$B688)=0),"drop_id not on drops; ",""))</f>
        <v/>
      </c>
    </row>
    <row r="689">
      <c r="A689" s="9" t="n"/>
      <c r="E689" s="10" t="n"/>
      <c r="G689" s="25">
        <f>IF($A689="","",IF(ISNA(MATCH($D689,{"brand_sales","office_coordination","receiving_kitting","drop_day","checks_pickup","reporting_debriefs","admin_invoicing"},0)),"activity must be one of the seven keys; ","")&amp;IF(OR(N($E689)&lt;=0,N($E689)&gt;16),"hours?; ","")&amp;IF(AND($C689&lt;&gt;"",$B689=""),"campaign without drop_id; ","")&amp;IF(AND($B689&lt;&gt;"",COUNTIF(drops!$A$2:$A$21,$B689)=0),"drop_id not on drops; ",""))</f>
        <v/>
      </c>
    </row>
    <row r="690">
      <c r="A690" s="9" t="n"/>
      <c r="E690" s="10" t="n"/>
      <c r="G690" s="25">
        <f>IF($A690="","",IF(ISNA(MATCH($D690,{"brand_sales","office_coordination","receiving_kitting","drop_day","checks_pickup","reporting_debriefs","admin_invoicing"},0)),"activity must be one of the seven keys; ","")&amp;IF(OR(N($E690)&lt;=0,N($E690)&gt;16),"hours?; ","")&amp;IF(AND($C690&lt;&gt;"",$B690=""),"campaign without drop_id; ","")&amp;IF(AND($B690&lt;&gt;"",COUNTIF(drops!$A$2:$A$21,$B690)=0),"drop_id not on drops; ",""))</f>
        <v/>
      </c>
    </row>
    <row r="691">
      <c r="A691" s="9" t="n"/>
      <c r="E691" s="10" t="n"/>
      <c r="G691" s="25">
        <f>IF($A691="","",IF(ISNA(MATCH($D691,{"brand_sales","office_coordination","receiving_kitting","drop_day","checks_pickup","reporting_debriefs","admin_invoicing"},0)),"activity must be one of the seven keys; ","")&amp;IF(OR(N($E691)&lt;=0,N($E691)&gt;16),"hours?; ","")&amp;IF(AND($C691&lt;&gt;"",$B691=""),"campaign without drop_id; ","")&amp;IF(AND($B691&lt;&gt;"",COUNTIF(drops!$A$2:$A$21,$B691)=0),"drop_id not on drops; ",""))</f>
        <v/>
      </c>
    </row>
    <row r="692">
      <c r="A692" s="9" t="n"/>
      <c r="E692" s="10" t="n"/>
      <c r="G692" s="25">
        <f>IF($A692="","",IF(ISNA(MATCH($D692,{"brand_sales","office_coordination","receiving_kitting","drop_day","checks_pickup","reporting_debriefs","admin_invoicing"},0)),"activity must be one of the seven keys; ","")&amp;IF(OR(N($E692)&lt;=0,N($E692)&gt;16),"hours?; ","")&amp;IF(AND($C692&lt;&gt;"",$B692=""),"campaign without drop_id; ","")&amp;IF(AND($B692&lt;&gt;"",COUNTIF(drops!$A$2:$A$21,$B692)=0),"drop_id not on drops; ",""))</f>
        <v/>
      </c>
    </row>
    <row r="693">
      <c r="A693" s="9" t="n"/>
      <c r="E693" s="10" t="n"/>
      <c r="G693" s="25">
        <f>IF($A693="","",IF(ISNA(MATCH($D693,{"brand_sales","office_coordination","receiving_kitting","drop_day","checks_pickup","reporting_debriefs","admin_invoicing"},0)),"activity must be one of the seven keys; ","")&amp;IF(OR(N($E693)&lt;=0,N($E693)&gt;16),"hours?; ","")&amp;IF(AND($C693&lt;&gt;"",$B693=""),"campaign without drop_id; ","")&amp;IF(AND($B693&lt;&gt;"",COUNTIF(drops!$A$2:$A$21,$B693)=0),"drop_id not on drops; ",""))</f>
        <v/>
      </c>
    </row>
    <row r="694">
      <c r="A694" s="9" t="n"/>
      <c r="E694" s="10" t="n"/>
      <c r="G694" s="25">
        <f>IF($A694="","",IF(ISNA(MATCH($D694,{"brand_sales","office_coordination","receiving_kitting","drop_day","checks_pickup","reporting_debriefs","admin_invoicing"},0)),"activity must be one of the seven keys; ","")&amp;IF(OR(N($E694)&lt;=0,N($E694)&gt;16),"hours?; ","")&amp;IF(AND($C694&lt;&gt;"",$B694=""),"campaign without drop_id; ","")&amp;IF(AND($B694&lt;&gt;"",COUNTIF(drops!$A$2:$A$21,$B694)=0),"drop_id not on drops; ",""))</f>
        <v/>
      </c>
    </row>
    <row r="695">
      <c r="A695" s="9" t="n"/>
      <c r="E695" s="10" t="n"/>
      <c r="G695" s="25">
        <f>IF($A695="","",IF(ISNA(MATCH($D695,{"brand_sales","office_coordination","receiving_kitting","drop_day","checks_pickup","reporting_debriefs","admin_invoicing"},0)),"activity must be one of the seven keys; ","")&amp;IF(OR(N($E695)&lt;=0,N($E695)&gt;16),"hours?; ","")&amp;IF(AND($C695&lt;&gt;"",$B695=""),"campaign without drop_id; ","")&amp;IF(AND($B695&lt;&gt;"",COUNTIF(drops!$A$2:$A$21,$B695)=0),"drop_id not on drops; ",""))</f>
        <v/>
      </c>
    </row>
    <row r="696">
      <c r="A696" s="9" t="n"/>
      <c r="E696" s="10" t="n"/>
      <c r="G696" s="25">
        <f>IF($A696="","",IF(ISNA(MATCH($D696,{"brand_sales","office_coordination","receiving_kitting","drop_day","checks_pickup","reporting_debriefs","admin_invoicing"},0)),"activity must be one of the seven keys; ","")&amp;IF(OR(N($E696)&lt;=0,N($E696)&gt;16),"hours?; ","")&amp;IF(AND($C696&lt;&gt;"",$B696=""),"campaign without drop_id; ","")&amp;IF(AND($B696&lt;&gt;"",COUNTIF(drops!$A$2:$A$21,$B696)=0),"drop_id not on drops; ",""))</f>
        <v/>
      </c>
    </row>
    <row r="697">
      <c r="A697" s="9" t="n"/>
      <c r="E697" s="10" t="n"/>
      <c r="G697" s="25">
        <f>IF($A697="","",IF(ISNA(MATCH($D697,{"brand_sales","office_coordination","receiving_kitting","drop_day","checks_pickup","reporting_debriefs","admin_invoicing"},0)),"activity must be one of the seven keys; ","")&amp;IF(OR(N($E697)&lt;=0,N($E697)&gt;16),"hours?; ","")&amp;IF(AND($C697&lt;&gt;"",$B697=""),"campaign without drop_id; ","")&amp;IF(AND($B697&lt;&gt;"",COUNTIF(drops!$A$2:$A$21,$B697)=0),"drop_id not on drops; ",""))</f>
        <v/>
      </c>
    </row>
    <row r="698">
      <c r="A698" s="9" t="n"/>
      <c r="E698" s="10" t="n"/>
      <c r="G698" s="25">
        <f>IF($A698="","",IF(ISNA(MATCH($D698,{"brand_sales","office_coordination","receiving_kitting","drop_day","checks_pickup","reporting_debriefs","admin_invoicing"},0)),"activity must be one of the seven keys; ","")&amp;IF(OR(N($E698)&lt;=0,N($E698)&gt;16),"hours?; ","")&amp;IF(AND($C698&lt;&gt;"",$B698=""),"campaign without drop_id; ","")&amp;IF(AND($B698&lt;&gt;"",COUNTIF(drops!$A$2:$A$21,$B698)=0),"drop_id not on drops; ",""))</f>
        <v/>
      </c>
    </row>
    <row r="699">
      <c r="A699" s="9" t="n"/>
      <c r="E699" s="10" t="n"/>
      <c r="G699" s="25">
        <f>IF($A699="","",IF(ISNA(MATCH($D699,{"brand_sales","office_coordination","receiving_kitting","drop_day","checks_pickup","reporting_debriefs","admin_invoicing"},0)),"activity must be one of the seven keys; ","")&amp;IF(OR(N($E699)&lt;=0,N($E699)&gt;16),"hours?; ","")&amp;IF(AND($C699&lt;&gt;"",$B699=""),"campaign without drop_id; ","")&amp;IF(AND($B699&lt;&gt;"",COUNTIF(drops!$A$2:$A$21,$B699)=0),"drop_id not on drops; ",""))</f>
        <v/>
      </c>
    </row>
    <row r="700">
      <c r="A700" s="9" t="n"/>
      <c r="E700" s="10" t="n"/>
      <c r="G700" s="25">
        <f>IF($A700="","",IF(ISNA(MATCH($D700,{"brand_sales","office_coordination","receiving_kitting","drop_day","checks_pickup","reporting_debriefs","admin_invoicing"},0)),"activity must be one of the seven keys; ","")&amp;IF(OR(N($E700)&lt;=0,N($E700)&gt;16),"hours?; ","")&amp;IF(AND($C700&lt;&gt;"",$B700=""),"campaign without drop_id; ","")&amp;IF(AND($B700&lt;&gt;"",COUNTIF(drops!$A$2:$A$21,$B700)=0),"drop_id not on drops; ",""))</f>
        <v/>
      </c>
    </row>
    <row r="701">
      <c r="A701" s="9" t="n"/>
      <c r="E701" s="10" t="n"/>
      <c r="G701" s="25">
        <f>IF($A701="","",IF(ISNA(MATCH($D701,{"brand_sales","office_coordination","receiving_kitting","drop_day","checks_pickup","reporting_debriefs","admin_invoicing"},0)),"activity must be one of the seven keys; ","")&amp;IF(OR(N($E701)&lt;=0,N($E701)&gt;16),"hours?; ","")&amp;IF(AND($C701&lt;&gt;"",$B701=""),"campaign without drop_id; ","")&amp;IF(AND($B701&lt;&gt;"",COUNTIF(drops!$A$2:$A$21,$B701)=0),"drop_id not on drops; ",""))</f>
        <v/>
      </c>
    </row>
    <row r="702">
      <c r="A702" s="9" t="n"/>
      <c r="E702" s="10" t="n"/>
      <c r="G702" s="25">
        <f>IF($A702="","",IF(ISNA(MATCH($D702,{"brand_sales","office_coordination","receiving_kitting","drop_day","checks_pickup","reporting_debriefs","admin_invoicing"},0)),"activity must be one of the seven keys; ","")&amp;IF(OR(N($E702)&lt;=0,N($E702)&gt;16),"hours?; ","")&amp;IF(AND($C702&lt;&gt;"",$B702=""),"campaign without drop_id; ","")&amp;IF(AND($B702&lt;&gt;"",COUNTIF(drops!$A$2:$A$21,$B702)=0),"drop_id not on drops; ",""))</f>
        <v/>
      </c>
    </row>
    <row r="703">
      <c r="A703" s="9" t="n"/>
      <c r="E703" s="10" t="n"/>
      <c r="G703" s="25">
        <f>IF($A703="","",IF(ISNA(MATCH($D703,{"brand_sales","office_coordination","receiving_kitting","drop_day","checks_pickup","reporting_debriefs","admin_invoicing"},0)),"activity must be one of the seven keys; ","")&amp;IF(OR(N($E703)&lt;=0,N($E703)&gt;16),"hours?; ","")&amp;IF(AND($C703&lt;&gt;"",$B703=""),"campaign without drop_id; ","")&amp;IF(AND($B703&lt;&gt;"",COUNTIF(drops!$A$2:$A$21,$B703)=0),"drop_id not on drops; ",""))</f>
        <v/>
      </c>
    </row>
    <row r="704">
      <c r="A704" s="9" t="n"/>
      <c r="E704" s="10" t="n"/>
      <c r="G704" s="25">
        <f>IF($A704="","",IF(ISNA(MATCH($D704,{"brand_sales","office_coordination","receiving_kitting","drop_day","checks_pickup","reporting_debriefs","admin_invoicing"},0)),"activity must be one of the seven keys; ","")&amp;IF(OR(N($E704)&lt;=0,N($E704)&gt;16),"hours?; ","")&amp;IF(AND($C704&lt;&gt;"",$B704=""),"campaign without drop_id; ","")&amp;IF(AND($B704&lt;&gt;"",COUNTIF(drops!$A$2:$A$21,$B704)=0),"drop_id not on drops; ",""))</f>
        <v/>
      </c>
    </row>
    <row r="705">
      <c r="A705" s="9" t="n"/>
      <c r="E705" s="10" t="n"/>
      <c r="G705" s="25">
        <f>IF($A705="","",IF(ISNA(MATCH($D705,{"brand_sales","office_coordination","receiving_kitting","drop_day","checks_pickup","reporting_debriefs","admin_invoicing"},0)),"activity must be one of the seven keys; ","")&amp;IF(OR(N($E705)&lt;=0,N($E705)&gt;16),"hours?; ","")&amp;IF(AND($C705&lt;&gt;"",$B705=""),"campaign without drop_id; ","")&amp;IF(AND($B705&lt;&gt;"",COUNTIF(drops!$A$2:$A$21,$B705)=0),"drop_id not on drops; ",""))</f>
        <v/>
      </c>
    </row>
    <row r="706">
      <c r="A706" s="9" t="n"/>
      <c r="E706" s="10" t="n"/>
      <c r="G706" s="25">
        <f>IF($A706="","",IF(ISNA(MATCH($D706,{"brand_sales","office_coordination","receiving_kitting","drop_day","checks_pickup","reporting_debriefs","admin_invoicing"},0)),"activity must be one of the seven keys; ","")&amp;IF(OR(N($E706)&lt;=0,N($E706)&gt;16),"hours?; ","")&amp;IF(AND($C706&lt;&gt;"",$B706=""),"campaign without drop_id; ","")&amp;IF(AND($B706&lt;&gt;"",COUNTIF(drops!$A$2:$A$21,$B706)=0),"drop_id not on drops; ",""))</f>
        <v/>
      </c>
    </row>
    <row r="707">
      <c r="A707" s="9" t="n"/>
      <c r="E707" s="10" t="n"/>
      <c r="G707" s="25">
        <f>IF($A707="","",IF(ISNA(MATCH($D707,{"brand_sales","office_coordination","receiving_kitting","drop_day","checks_pickup","reporting_debriefs","admin_invoicing"},0)),"activity must be one of the seven keys; ","")&amp;IF(OR(N($E707)&lt;=0,N($E707)&gt;16),"hours?; ","")&amp;IF(AND($C707&lt;&gt;"",$B707=""),"campaign without drop_id; ","")&amp;IF(AND($B707&lt;&gt;"",COUNTIF(drops!$A$2:$A$21,$B707)=0),"drop_id not on drops; ",""))</f>
        <v/>
      </c>
    </row>
    <row r="708">
      <c r="A708" s="9" t="n"/>
      <c r="E708" s="10" t="n"/>
      <c r="G708" s="25">
        <f>IF($A708="","",IF(ISNA(MATCH($D708,{"brand_sales","office_coordination","receiving_kitting","drop_day","checks_pickup","reporting_debriefs","admin_invoicing"},0)),"activity must be one of the seven keys; ","")&amp;IF(OR(N($E708)&lt;=0,N($E708)&gt;16),"hours?; ","")&amp;IF(AND($C708&lt;&gt;"",$B708=""),"campaign without drop_id; ","")&amp;IF(AND($B708&lt;&gt;"",COUNTIF(drops!$A$2:$A$21,$B708)=0),"drop_id not on drops; ",""))</f>
        <v/>
      </c>
    </row>
    <row r="709">
      <c r="A709" s="9" t="n"/>
      <c r="E709" s="10" t="n"/>
      <c r="G709" s="25">
        <f>IF($A709="","",IF(ISNA(MATCH($D709,{"brand_sales","office_coordination","receiving_kitting","drop_day","checks_pickup","reporting_debriefs","admin_invoicing"},0)),"activity must be one of the seven keys; ","")&amp;IF(OR(N($E709)&lt;=0,N($E709)&gt;16),"hours?; ","")&amp;IF(AND($C709&lt;&gt;"",$B709=""),"campaign without drop_id; ","")&amp;IF(AND($B709&lt;&gt;"",COUNTIF(drops!$A$2:$A$21,$B709)=0),"drop_id not on drops; ",""))</f>
        <v/>
      </c>
    </row>
    <row r="710">
      <c r="A710" s="9" t="n"/>
      <c r="E710" s="10" t="n"/>
      <c r="G710" s="25">
        <f>IF($A710="","",IF(ISNA(MATCH($D710,{"brand_sales","office_coordination","receiving_kitting","drop_day","checks_pickup","reporting_debriefs","admin_invoicing"},0)),"activity must be one of the seven keys; ","")&amp;IF(OR(N($E710)&lt;=0,N($E710)&gt;16),"hours?; ","")&amp;IF(AND($C710&lt;&gt;"",$B710=""),"campaign without drop_id; ","")&amp;IF(AND($B710&lt;&gt;"",COUNTIF(drops!$A$2:$A$21,$B710)=0),"drop_id not on drops; ",""))</f>
        <v/>
      </c>
    </row>
    <row r="711">
      <c r="A711" s="9" t="n"/>
      <c r="E711" s="10" t="n"/>
      <c r="G711" s="25">
        <f>IF($A711="","",IF(ISNA(MATCH($D711,{"brand_sales","office_coordination","receiving_kitting","drop_day","checks_pickup","reporting_debriefs","admin_invoicing"},0)),"activity must be one of the seven keys; ","")&amp;IF(OR(N($E711)&lt;=0,N($E711)&gt;16),"hours?; ","")&amp;IF(AND($C711&lt;&gt;"",$B711=""),"campaign without drop_id; ","")&amp;IF(AND($B711&lt;&gt;"",COUNTIF(drops!$A$2:$A$21,$B711)=0),"drop_id not on drops; ",""))</f>
        <v/>
      </c>
    </row>
    <row r="712">
      <c r="A712" s="9" t="n"/>
      <c r="E712" s="10" t="n"/>
      <c r="G712" s="25">
        <f>IF($A712="","",IF(ISNA(MATCH($D712,{"brand_sales","office_coordination","receiving_kitting","drop_day","checks_pickup","reporting_debriefs","admin_invoicing"},0)),"activity must be one of the seven keys; ","")&amp;IF(OR(N($E712)&lt;=0,N($E712)&gt;16),"hours?; ","")&amp;IF(AND($C712&lt;&gt;"",$B712=""),"campaign without drop_id; ","")&amp;IF(AND($B712&lt;&gt;"",COUNTIF(drops!$A$2:$A$21,$B712)=0),"drop_id not on drops; ",""))</f>
        <v/>
      </c>
    </row>
    <row r="713">
      <c r="A713" s="9" t="n"/>
      <c r="E713" s="10" t="n"/>
      <c r="G713" s="25">
        <f>IF($A713="","",IF(ISNA(MATCH($D713,{"brand_sales","office_coordination","receiving_kitting","drop_day","checks_pickup","reporting_debriefs","admin_invoicing"},0)),"activity must be one of the seven keys; ","")&amp;IF(OR(N($E713)&lt;=0,N($E713)&gt;16),"hours?; ","")&amp;IF(AND($C713&lt;&gt;"",$B713=""),"campaign without drop_id; ","")&amp;IF(AND($B713&lt;&gt;"",COUNTIF(drops!$A$2:$A$21,$B713)=0),"drop_id not on drops; ",""))</f>
        <v/>
      </c>
    </row>
    <row r="714">
      <c r="A714" s="9" t="n"/>
      <c r="E714" s="10" t="n"/>
      <c r="G714" s="25">
        <f>IF($A714="","",IF(ISNA(MATCH($D714,{"brand_sales","office_coordination","receiving_kitting","drop_day","checks_pickup","reporting_debriefs","admin_invoicing"},0)),"activity must be one of the seven keys; ","")&amp;IF(OR(N($E714)&lt;=0,N($E714)&gt;16),"hours?; ","")&amp;IF(AND($C714&lt;&gt;"",$B714=""),"campaign without drop_id; ","")&amp;IF(AND($B714&lt;&gt;"",COUNTIF(drops!$A$2:$A$21,$B714)=0),"drop_id not on drops; ",""))</f>
        <v/>
      </c>
    </row>
    <row r="715">
      <c r="A715" s="9" t="n"/>
      <c r="E715" s="10" t="n"/>
      <c r="G715" s="25">
        <f>IF($A715="","",IF(ISNA(MATCH($D715,{"brand_sales","office_coordination","receiving_kitting","drop_day","checks_pickup","reporting_debriefs","admin_invoicing"},0)),"activity must be one of the seven keys; ","")&amp;IF(OR(N($E715)&lt;=0,N($E715)&gt;16),"hours?; ","")&amp;IF(AND($C715&lt;&gt;"",$B715=""),"campaign without drop_id; ","")&amp;IF(AND($B715&lt;&gt;"",COUNTIF(drops!$A$2:$A$21,$B715)=0),"drop_id not on drops; ",""))</f>
        <v/>
      </c>
    </row>
    <row r="716">
      <c r="A716" s="9" t="n"/>
      <c r="E716" s="10" t="n"/>
      <c r="G716" s="25">
        <f>IF($A716="","",IF(ISNA(MATCH($D716,{"brand_sales","office_coordination","receiving_kitting","drop_day","checks_pickup","reporting_debriefs","admin_invoicing"},0)),"activity must be one of the seven keys; ","")&amp;IF(OR(N($E716)&lt;=0,N($E716)&gt;16),"hours?; ","")&amp;IF(AND($C716&lt;&gt;"",$B716=""),"campaign without drop_id; ","")&amp;IF(AND($B716&lt;&gt;"",COUNTIF(drops!$A$2:$A$21,$B716)=0),"drop_id not on drops; ",""))</f>
        <v/>
      </c>
    </row>
    <row r="717">
      <c r="A717" s="9" t="n"/>
      <c r="E717" s="10" t="n"/>
      <c r="G717" s="25">
        <f>IF($A717="","",IF(ISNA(MATCH($D717,{"brand_sales","office_coordination","receiving_kitting","drop_day","checks_pickup","reporting_debriefs","admin_invoicing"},0)),"activity must be one of the seven keys; ","")&amp;IF(OR(N($E717)&lt;=0,N($E717)&gt;16),"hours?; ","")&amp;IF(AND($C717&lt;&gt;"",$B717=""),"campaign without drop_id; ","")&amp;IF(AND($B717&lt;&gt;"",COUNTIF(drops!$A$2:$A$21,$B717)=0),"drop_id not on drops; ",""))</f>
        <v/>
      </c>
    </row>
    <row r="718">
      <c r="A718" s="9" t="n"/>
      <c r="E718" s="10" t="n"/>
      <c r="G718" s="25">
        <f>IF($A718="","",IF(ISNA(MATCH($D718,{"brand_sales","office_coordination","receiving_kitting","drop_day","checks_pickup","reporting_debriefs","admin_invoicing"},0)),"activity must be one of the seven keys; ","")&amp;IF(OR(N($E718)&lt;=0,N($E718)&gt;16),"hours?; ","")&amp;IF(AND($C718&lt;&gt;"",$B718=""),"campaign without drop_id; ","")&amp;IF(AND($B718&lt;&gt;"",COUNTIF(drops!$A$2:$A$21,$B718)=0),"drop_id not on drops; ",""))</f>
        <v/>
      </c>
    </row>
    <row r="719">
      <c r="A719" s="9" t="n"/>
      <c r="E719" s="10" t="n"/>
      <c r="G719" s="25">
        <f>IF($A719="","",IF(ISNA(MATCH($D719,{"brand_sales","office_coordination","receiving_kitting","drop_day","checks_pickup","reporting_debriefs","admin_invoicing"},0)),"activity must be one of the seven keys; ","")&amp;IF(OR(N($E719)&lt;=0,N($E719)&gt;16),"hours?; ","")&amp;IF(AND($C719&lt;&gt;"",$B719=""),"campaign without drop_id; ","")&amp;IF(AND($B719&lt;&gt;"",COUNTIF(drops!$A$2:$A$21,$B719)=0),"drop_id not on drops; ",""))</f>
        <v/>
      </c>
    </row>
    <row r="720">
      <c r="A720" s="9" t="n"/>
      <c r="E720" s="10" t="n"/>
      <c r="G720" s="25">
        <f>IF($A720="","",IF(ISNA(MATCH($D720,{"brand_sales","office_coordination","receiving_kitting","drop_day","checks_pickup","reporting_debriefs","admin_invoicing"},0)),"activity must be one of the seven keys; ","")&amp;IF(OR(N($E720)&lt;=0,N($E720)&gt;16),"hours?; ","")&amp;IF(AND($C720&lt;&gt;"",$B720=""),"campaign without drop_id; ","")&amp;IF(AND($B720&lt;&gt;"",COUNTIF(drops!$A$2:$A$21,$B720)=0),"drop_id not on drops; ",""))</f>
        <v/>
      </c>
    </row>
    <row r="721">
      <c r="A721" s="9" t="n"/>
      <c r="E721" s="10" t="n"/>
      <c r="G721" s="25">
        <f>IF($A721="","",IF(ISNA(MATCH($D721,{"brand_sales","office_coordination","receiving_kitting","drop_day","checks_pickup","reporting_debriefs","admin_invoicing"},0)),"activity must be one of the seven keys; ","")&amp;IF(OR(N($E721)&lt;=0,N($E721)&gt;16),"hours?; ","")&amp;IF(AND($C721&lt;&gt;"",$B721=""),"campaign without drop_id; ","")&amp;IF(AND($B721&lt;&gt;"",COUNTIF(drops!$A$2:$A$21,$B721)=0),"drop_id not on drops; ",""))</f>
        <v/>
      </c>
    </row>
    <row r="722">
      <c r="A722" s="9" t="n"/>
      <c r="E722" s="10" t="n"/>
      <c r="G722" s="25">
        <f>IF($A722="","",IF(ISNA(MATCH($D722,{"brand_sales","office_coordination","receiving_kitting","drop_day","checks_pickup","reporting_debriefs","admin_invoicing"},0)),"activity must be one of the seven keys; ","")&amp;IF(OR(N($E722)&lt;=0,N($E722)&gt;16),"hours?; ","")&amp;IF(AND($C722&lt;&gt;"",$B722=""),"campaign without drop_id; ","")&amp;IF(AND($B722&lt;&gt;"",COUNTIF(drops!$A$2:$A$21,$B722)=0),"drop_id not on drops; ",""))</f>
        <v/>
      </c>
    </row>
    <row r="723">
      <c r="A723" s="9" t="n"/>
      <c r="E723" s="10" t="n"/>
      <c r="G723" s="25">
        <f>IF($A723="","",IF(ISNA(MATCH($D723,{"brand_sales","office_coordination","receiving_kitting","drop_day","checks_pickup","reporting_debriefs","admin_invoicing"},0)),"activity must be one of the seven keys; ","")&amp;IF(OR(N($E723)&lt;=0,N($E723)&gt;16),"hours?; ","")&amp;IF(AND($C723&lt;&gt;"",$B723=""),"campaign without drop_id; ","")&amp;IF(AND($B723&lt;&gt;"",COUNTIF(drops!$A$2:$A$21,$B723)=0),"drop_id not on drops; ",""))</f>
        <v/>
      </c>
    </row>
    <row r="724">
      <c r="A724" s="9" t="n"/>
      <c r="E724" s="10" t="n"/>
      <c r="G724" s="25">
        <f>IF($A724="","",IF(ISNA(MATCH($D724,{"brand_sales","office_coordination","receiving_kitting","drop_day","checks_pickup","reporting_debriefs","admin_invoicing"},0)),"activity must be one of the seven keys; ","")&amp;IF(OR(N($E724)&lt;=0,N($E724)&gt;16),"hours?; ","")&amp;IF(AND($C724&lt;&gt;"",$B724=""),"campaign without drop_id; ","")&amp;IF(AND($B724&lt;&gt;"",COUNTIF(drops!$A$2:$A$21,$B724)=0),"drop_id not on drops; ",""))</f>
        <v/>
      </c>
    </row>
    <row r="725">
      <c r="A725" s="9" t="n"/>
      <c r="E725" s="10" t="n"/>
      <c r="G725" s="25">
        <f>IF($A725="","",IF(ISNA(MATCH($D725,{"brand_sales","office_coordination","receiving_kitting","drop_day","checks_pickup","reporting_debriefs","admin_invoicing"},0)),"activity must be one of the seven keys; ","")&amp;IF(OR(N($E725)&lt;=0,N($E725)&gt;16),"hours?; ","")&amp;IF(AND($C725&lt;&gt;"",$B725=""),"campaign without drop_id; ","")&amp;IF(AND($B725&lt;&gt;"",COUNTIF(drops!$A$2:$A$21,$B725)=0),"drop_id not on drops; ",""))</f>
        <v/>
      </c>
    </row>
    <row r="726">
      <c r="A726" s="9" t="n"/>
      <c r="E726" s="10" t="n"/>
      <c r="G726" s="25">
        <f>IF($A726="","",IF(ISNA(MATCH($D726,{"brand_sales","office_coordination","receiving_kitting","drop_day","checks_pickup","reporting_debriefs","admin_invoicing"},0)),"activity must be one of the seven keys; ","")&amp;IF(OR(N($E726)&lt;=0,N($E726)&gt;16),"hours?; ","")&amp;IF(AND($C726&lt;&gt;"",$B726=""),"campaign without drop_id; ","")&amp;IF(AND($B726&lt;&gt;"",COUNTIF(drops!$A$2:$A$21,$B726)=0),"drop_id not on drops; ",""))</f>
        <v/>
      </c>
    </row>
    <row r="727">
      <c r="A727" s="9" t="n"/>
      <c r="E727" s="10" t="n"/>
      <c r="G727" s="25">
        <f>IF($A727="","",IF(ISNA(MATCH($D727,{"brand_sales","office_coordination","receiving_kitting","drop_day","checks_pickup","reporting_debriefs","admin_invoicing"},0)),"activity must be one of the seven keys; ","")&amp;IF(OR(N($E727)&lt;=0,N($E727)&gt;16),"hours?; ","")&amp;IF(AND($C727&lt;&gt;"",$B727=""),"campaign without drop_id; ","")&amp;IF(AND($B727&lt;&gt;"",COUNTIF(drops!$A$2:$A$21,$B727)=0),"drop_id not on drops; ",""))</f>
        <v/>
      </c>
    </row>
    <row r="728">
      <c r="A728" s="9" t="n"/>
      <c r="E728" s="10" t="n"/>
      <c r="G728" s="25">
        <f>IF($A728="","",IF(ISNA(MATCH($D728,{"brand_sales","office_coordination","receiving_kitting","drop_day","checks_pickup","reporting_debriefs","admin_invoicing"},0)),"activity must be one of the seven keys; ","")&amp;IF(OR(N($E728)&lt;=0,N($E728)&gt;16),"hours?; ","")&amp;IF(AND($C728&lt;&gt;"",$B728=""),"campaign without drop_id; ","")&amp;IF(AND($B728&lt;&gt;"",COUNTIF(drops!$A$2:$A$21,$B728)=0),"drop_id not on drops; ",""))</f>
        <v/>
      </c>
    </row>
    <row r="729">
      <c r="A729" s="9" t="n"/>
      <c r="E729" s="10" t="n"/>
      <c r="G729" s="25">
        <f>IF($A729="","",IF(ISNA(MATCH($D729,{"brand_sales","office_coordination","receiving_kitting","drop_day","checks_pickup","reporting_debriefs","admin_invoicing"},0)),"activity must be one of the seven keys; ","")&amp;IF(OR(N($E729)&lt;=0,N($E729)&gt;16),"hours?; ","")&amp;IF(AND($C729&lt;&gt;"",$B729=""),"campaign without drop_id; ","")&amp;IF(AND($B729&lt;&gt;"",COUNTIF(drops!$A$2:$A$21,$B729)=0),"drop_id not on drops; ",""))</f>
        <v/>
      </c>
    </row>
    <row r="730">
      <c r="A730" s="9" t="n"/>
      <c r="E730" s="10" t="n"/>
      <c r="G730" s="25">
        <f>IF($A730="","",IF(ISNA(MATCH($D730,{"brand_sales","office_coordination","receiving_kitting","drop_day","checks_pickup","reporting_debriefs","admin_invoicing"},0)),"activity must be one of the seven keys; ","")&amp;IF(OR(N($E730)&lt;=0,N($E730)&gt;16),"hours?; ","")&amp;IF(AND($C730&lt;&gt;"",$B730=""),"campaign without drop_id; ","")&amp;IF(AND($B730&lt;&gt;"",COUNTIF(drops!$A$2:$A$21,$B730)=0),"drop_id not on drops; ",""))</f>
        <v/>
      </c>
    </row>
    <row r="731">
      <c r="A731" s="9" t="n"/>
      <c r="E731" s="10" t="n"/>
      <c r="G731" s="25">
        <f>IF($A731="","",IF(ISNA(MATCH($D731,{"brand_sales","office_coordination","receiving_kitting","drop_day","checks_pickup","reporting_debriefs","admin_invoicing"},0)),"activity must be one of the seven keys; ","")&amp;IF(OR(N($E731)&lt;=0,N($E731)&gt;16),"hours?; ","")&amp;IF(AND($C731&lt;&gt;"",$B731=""),"campaign without drop_id; ","")&amp;IF(AND($B731&lt;&gt;"",COUNTIF(drops!$A$2:$A$21,$B731)=0),"drop_id not on drops; ",""))</f>
        <v/>
      </c>
    </row>
    <row r="732">
      <c r="A732" s="9" t="n"/>
      <c r="E732" s="10" t="n"/>
      <c r="G732" s="25">
        <f>IF($A732="","",IF(ISNA(MATCH($D732,{"brand_sales","office_coordination","receiving_kitting","drop_day","checks_pickup","reporting_debriefs","admin_invoicing"},0)),"activity must be one of the seven keys; ","")&amp;IF(OR(N($E732)&lt;=0,N($E732)&gt;16),"hours?; ","")&amp;IF(AND($C732&lt;&gt;"",$B732=""),"campaign without drop_id; ","")&amp;IF(AND($B732&lt;&gt;"",COUNTIF(drops!$A$2:$A$21,$B732)=0),"drop_id not on drops; ",""))</f>
        <v/>
      </c>
    </row>
    <row r="733">
      <c r="A733" s="9" t="n"/>
      <c r="E733" s="10" t="n"/>
      <c r="G733" s="25">
        <f>IF($A733="","",IF(ISNA(MATCH($D733,{"brand_sales","office_coordination","receiving_kitting","drop_day","checks_pickup","reporting_debriefs","admin_invoicing"},0)),"activity must be one of the seven keys; ","")&amp;IF(OR(N($E733)&lt;=0,N($E733)&gt;16),"hours?; ","")&amp;IF(AND($C733&lt;&gt;"",$B733=""),"campaign without drop_id; ","")&amp;IF(AND($B733&lt;&gt;"",COUNTIF(drops!$A$2:$A$21,$B733)=0),"drop_id not on drops; ",""))</f>
        <v/>
      </c>
    </row>
    <row r="734">
      <c r="A734" s="9" t="n"/>
      <c r="E734" s="10" t="n"/>
      <c r="G734" s="25">
        <f>IF($A734="","",IF(ISNA(MATCH($D734,{"brand_sales","office_coordination","receiving_kitting","drop_day","checks_pickup","reporting_debriefs","admin_invoicing"},0)),"activity must be one of the seven keys; ","")&amp;IF(OR(N($E734)&lt;=0,N($E734)&gt;16),"hours?; ","")&amp;IF(AND($C734&lt;&gt;"",$B734=""),"campaign without drop_id; ","")&amp;IF(AND($B734&lt;&gt;"",COUNTIF(drops!$A$2:$A$21,$B734)=0),"drop_id not on drops; ",""))</f>
        <v/>
      </c>
    </row>
    <row r="735">
      <c r="A735" s="9" t="n"/>
      <c r="E735" s="10" t="n"/>
      <c r="G735" s="25">
        <f>IF($A735="","",IF(ISNA(MATCH($D735,{"brand_sales","office_coordination","receiving_kitting","drop_day","checks_pickup","reporting_debriefs","admin_invoicing"},0)),"activity must be one of the seven keys; ","")&amp;IF(OR(N($E735)&lt;=0,N($E735)&gt;16),"hours?; ","")&amp;IF(AND($C735&lt;&gt;"",$B735=""),"campaign without drop_id; ","")&amp;IF(AND($B735&lt;&gt;"",COUNTIF(drops!$A$2:$A$21,$B735)=0),"drop_id not on drops; ",""))</f>
        <v/>
      </c>
    </row>
    <row r="736">
      <c r="A736" s="9" t="n"/>
      <c r="E736" s="10" t="n"/>
      <c r="G736" s="25">
        <f>IF($A736="","",IF(ISNA(MATCH($D736,{"brand_sales","office_coordination","receiving_kitting","drop_day","checks_pickup","reporting_debriefs","admin_invoicing"},0)),"activity must be one of the seven keys; ","")&amp;IF(OR(N($E736)&lt;=0,N($E736)&gt;16),"hours?; ","")&amp;IF(AND($C736&lt;&gt;"",$B736=""),"campaign without drop_id; ","")&amp;IF(AND($B736&lt;&gt;"",COUNTIF(drops!$A$2:$A$21,$B736)=0),"drop_id not on drops; ",""))</f>
        <v/>
      </c>
    </row>
    <row r="737">
      <c r="A737" s="9" t="n"/>
      <c r="E737" s="10" t="n"/>
      <c r="G737" s="25">
        <f>IF($A737="","",IF(ISNA(MATCH($D737,{"brand_sales","office_coordination","receiving_kitting","drop_day","checks_pickup","reporting_debriefs","admin_invoicing"},0)),"activity must be one of the seven keys; ","")&amp;IF(OR(N($E737)&lt;=0,N($E737)&gt;16),"hours?; ","")&amp;IF(AND($C737&lt;&gt;"",$B737=""),"campaign without drop_id; ","")&amp;IF(AND($B737&lt;&gt;"",COUNTIF(drops!$A$2:$A$21,$B737)=0),"drop_id not on drops; ",""))</f>
        <v/>
      </c>
    </row>
    <row r="738">
      <c r="A738" s="9" t="n"/>
      <c r="E738" s="10" t="n"/>
      <c r="G738" s="25">
        <f>IF($A738="","",IF(ISNA(MATCH($D738,{"brand_sales","office_coordination","receiving_kitting","drop_day","checks_pickup","reporting_debriefs","admin_invoicing"},0)),"activity must be one of the seven keys; ","")&amp;IF(OR(N($E738)&lt;=0,N($E738)&gt;16),"hours?; ","")&amp;IF(AND($C738&lt;&gt;"",$B738=""),"campaign without drop_id; ","")&amp;IF(AND($B738&lt;&gt;"",COUNTIF(drops!$A$2:$A$21,$B738)=0),"drop_id not on drops; ",""))</f>
        <v/>
      </c>
    </row>
    <row r="739">
      <c r="A739" s="9" t="n"/>
      <c r="E739" s="10" t="n"/>
      <c r="G739" s="25">
        <f>IF($A739="","",IF(ISNA(MATCH($D739,{"brand_sales","office_coordination","receiving_kitting","drop_day","checks_pickup","reporting_debriefs","admin_invoicing"},0)),"activity must be one of the seven keys; ","")&amp;IF(OR(N($E739)&lt;=0,N($E739)&gt;16),"hours?; ","")&amp;IF(AND($C739&lt;&gt;"",$B739=""),"campaign without drop_id; ","")&amp;IF(AND($B739&lt;&gt;"",COUNTIF(drops!$A$2:$A$21,$B739)=0),"drop_id not on drops; ",""))</f>
        <v/>
      </c>
    </row>
    <row r="740">
      <c r="A740" s="9" t="n"/>
      <c r="E740" s="10" t="n"/>
      <c r="G740" s="25">
        <f>IF($A740="","",IF(ISNA(MATCH($D740,{"brand_sales","office_coordination","receiving_kitting","drop_day","checks_pickup","reporting_debriefs","admin_invoicing"},0)),"activity must be one of the seven keys; ","")&amp;IF(OR(N($E740)&lt;=0,N($E740)&gt;16),"hours?; ","")&amp;IF(AND($C740&lt;&gt;"",$B740=""),"campaign without drop_id; ","")&amp;IF(AND($B740&lt;&gt;"",COUNTIF(drops!$A$2:$A$21,$B740)=0),"drop_id not on drops; ",""))</f>
        <v/>
      </c>
    </row>
    <row r="741">
      <c r="A741" s="9" t="n"/>
      <c r="E741" s="10" t="n"/>
      <c r="G741" s="25">
        <f>IF($A741="","",IF(ISNA(MATCH($D741,{"brand_sales","office_coordination","receiving_kitting","drop_day","checks_pickup","reporting_debriefs","admin_invoicing"},0)),"activity must be one of the seven keys; ","")&amp;IF(OR(N($E741)&lt;=0,N($E741)&gt;16),"hours?; ","")&amp;IF(AND($C741&lt;&gt;"",$B741=""),"campaign without drop_id; ","")&amp;IF(AND($B741&lt;&gt;"",COUNTIF(drops!$A$2:$A$21,$B741)=0),"drop_id not on drops; ",""))</f>
        <v/>
      </c>
    </row>
    <row r="742">
      <c r="A742" s="9" t="n"/>
      <c r="E742" s="10" t="n"/>
      <c r="G742" s="25">
        <f>IF($A742="","",IF(ISNA(MATCH($D742,{"brand_sales","office_coordination","receiving_kitting","drop_day","checks_pickup","reporting_debriefs","admin_invoicing"},0)),"activity must be one of the seven keys; ","")&amp;IF(OR(N($E742)&lt;=0,N($E742)&gt;16),"hours?; ","")&amp;IF(AND($C742&lt;&gt;"",$B742=""),"campaign without drop_id; ","")&amp;IF(AND($B742&lt;&gt;"",COUNTIF(drops!$A$2:$A$21,$B742)=0),"drop_id not on drops; ",""))</f>
        <v/>
      </c>
    </row>
    <row r="743">
      <c r="A743" s="9" t="n"/>
      <c r="E743" s="10" t="n"/>
      <c r="G743" s="25">
        <f>IF($A743="","",IF(ISNA(MATCH($D743,{"brand_sales","office_coordination","receiving_kitting","drop_day","checks_pickup","reporting_debriefs","admin_invoicing"},0)),"activity must be one of the seven keys; ","")&amp;IF(OR(N($E743)&lt;=0,N($E743)&gt;16),"hours?; ","")&amp;IF(AND($C743&lt;&gt;"",$B743=""),"campaign without drop_id; ","")&amp;IF(AND($B743&lt;&gt;"",COUNTIF(drops!$A$2:$A$21,$B743)=0),"drop_id not on drops; ",""))</f>
        <v/>
      </c>
    </row>
    <row r="744">
      <c r="A744" s="9" t="n"/>
      <c r="E744" s="10" t="n"/>
      <c r="G744" s="25">
        <f>IF($A744="","",IF(ISNA(MATCH($D744,{"brand_sales","office_coordination","receiving_kitting","drop_day","checks_pickup","reporting_debriefs","admin_invoicing"},0)),"activity must be one of the seven keys; ","")&amp;IF(OR(N($E744)&lt;=0,N($E744)&gt;16),"hours?; ","")&amp;IF(AND($C744&lt;&gt;"",$B744=""),"campaign without drop_id; ","")&amp;IF(AND($B744&lt;&gt;"",COUNTIF(drops!$A$2:$A$21,$B744)=0),"drop_id not on drops; ",""))</f>
        <v/>
      </c>
    </row>
    <row r="745">
      <c r="A745" s="9" t="n"/>
      <c r="E745" s="10" t="n"/>
      <c r="G745" s="25">
        <f>IF($A745="","",IF(ISNA(MATCH($D745,{"brand_sales","office_coordination","receiving_kitting","drop_day","checks_pickup","reporting_debriefs","admin_invoicing"},0)),"activity must be one of the seven keys; ","")&amp;IF(OR(N($E745)&lt;=0,N($E745)&gt;16),"hours?; ","")&amp;IF(AND($C745&lt;&gt;"",$B745=""),"campaign without drop_id; ","")&amp;IF(AND($B745&lt;&gt;"",COUNTIF(drops!$A$2:$A$21,$B745)=0),"drop_id not on drops; ",""))</f>
        <v/>
      </c>
    </row>
    <row r="746">
      <c r="A746" s="9" t="n"/>
      <c r="E746" s="10" t="n"/>
      <c r="G746" s="25">
        <f>IF($A746="","",IF(ISNA(MATCH($D746,{"brand_sales","office_coordination","receiving_kitting","drop_day","checks_pickup","reporting_debriefs","admin_invoicing"},0)),"activity must be one of the seven keys; ","")&amp;IF(OR(N($E746)&lt;=0,N($E746)&gt;16),"hours?; ","")&amp;IF(AND($C746&lt;&gt;"",$B746=""),"campaign without drop_id; ","")&amp;IF(AND($B746&lt;&gt;"",COUNTIF(drops!$A$2:$A$21,$B746)=0),"drop_id not on drops; ",""))</f>
        <v/>
      </c>
    </row>
    <row r="747">
      <c r="A747" s="9" t="n"/>
      <c r="E747" s="10" t="n"/>
      <c r="G747" s="25">
        <f>IF($A747="","",IF(ISNA(MATCH($D747,{"brand_sales","office_coordination","receiving_kitting","drop_day","checks_pickup","reporting_debriefs","admin_invoicing"},0)),"activity must be one of the seven keys; ","")&amp;IF(OR(N($E747)&lt;=0,N($E747)&gt;16),"hours?; ","")&amp;IF(AND($C747&lt;&gt;"",$B747=""),"campaign without drop_id; ","")&amp;IF(AND($B747&lt;&gt;"",COUNTIF(drops!$A$2:$A$21,$B747)=0),"drop_id not on drops; ",""))</f>
        <v/>
      </c>
    </row>
    <row r="748">
      <c r="A748" s="9" t="n"/>
      <c r="E748" s="10" t="n"/>
      <c r="G748" s="25">
        <f>IF($A748="","",IF(ISNA(MATCH($D748,{"brand_sales","office_coordination","receiving_kitting","drop_day","checks_pickup","reporting_debriefs","admin_invoicing"},0)),"activity must be one of the seven keys; ","")&amp;IF(OR(N($E748)&lt;=0,N($E748)&gt;16),"hours?; ","")&amp;IF(AND($C748&lt;&gt;"",$B748=""),"campaign without drop_id; ","")&amp;IF(AND($B748&lt;&gt;"",COUNTIF(drops!$A$2:$A$21,$B748)=0),"drop_id not on drops; ",""))</f>
        <v/>
      </c>
    </row>
    <row r="749">
      <c r="A749" s="9" t="n"/>
      <c r="E749" s="10" t="n"/>
      <c r="G749" s="25">
        <f>IF($A749="","",IF(ISNA(MATCH($D749,{"brand_sales","office_coordination","receiving_kitting","drop_day","checks_pickup","reporting_debriefs","admin_invoicing"},0)),"activity must be one of the seven keys; ","")&amp;IF(OR(N($E749)&lt;=0,N($E749)&gt;16),"hours?; ","")&amp;IF(AND($C749&lt;&gt;"",$B749=""),"campaign without drop_id; ","")&amp;IF(AND($B749&lt;&gt;"",COUNTIF(drops!$A$2:$A$21,$B749)=0),"drop_id not on drops; ",""))</f>
        <v/>
      </c>
    </row>
    <row r="750">
      <c r="A750" s="9" t="n"/>
      <c r="E750" s="10" t="n"/>
      <c r="G750" s="25">
        <f>IF($A750="","",IF(ISNA(MATCH($D750,{"brand_sales","office_coordination","receiving_kitting","drop_day","checks_pickup","reporting_debriefs","admin_invoicing"},0)),"activity must be one of the seven keys; ","")&amp;IF(OR(N($E750)&lt;=0,N($E750)&gt;16),"hours?; ","")&amp;IF(AND($C750&lt;&gt;"",$B750=""),"campaign without drop_id; ","")&amp;IF(AND($B750&lt;&gt;"",COUNTIF(drops!$A$2:$A$21,$B750)=0),"drop_id not on drops; ",""))</f>
        <v/>
      </c>
    </row>
    <row r="751">
      <c r="A751" s="9" t="n"/>
      <c r="E751" s="10" t="n"/>
      <c r="G751" s="25">
        <f>IF($A751="","",IF(ISNA(MATCH($D751,{"brand_sales","office_coordination","receiving_kitting","drop_day","checks_pickup","reporting_debriefs","admin_invoicing"},0)),"activity must be one of the seven keys; ","")&amp;IF(OR(N($E751)&lt;=0,N($E751)&gt;16),"hours?; ","")&amp;IF(AND($C751&lt;&gt;"",$B751=""),"campaign without drop_id; ","")&amp;IF(AND($B751&lt;&gt;"",COUNTIF(drops!$A$2:$A$21,$B751)=0),"drop_id not on drops; ",""))</f>
        <v/>
      </c>
    </row>
    <row r="752">
      <c r="A752" s="9" t="n"/>
      <c r="E752" s="10" t="n"/>
      <c r="G752" s="25">
        <f>IF($A752="","",IF(ISNA(MATCH($D752,{"brand_sales","office_coordination","receiving_kitting","drop_day","checks_pickup","reporting_debriefs","admin_invoicing"},0)),"activity must be one of the seven keys; ","")&amp;IF(OR(N($E752)&lt;=0,N($E752)&gt;16),"hours?; ","")&amp;IF(AND($C752&lt;&gt;"",$B752=""),"campaign without drop_id; ","")&amp;IF(AND($B752&lt;&gt;"",COUNTIF(drops!$A$2:$A$21,$B752)=0),"drop_id not on drops; ",""))</f>
        <v/>
      </c>
    </row>
    <row r="753">
      <c r="A753" s="9" t="n"/>
      <c r="E753" s="10" t="n"/>
      <c r="G753" s="25">
        <f>IF($A753="","",IF(ISNA(MATCH($D753,{"brand_sales","office_coordination","receiving_kitting","drop_day","checks_pickup","reporting_debriefs","admin_invoicing"},0)),"activity must be one of the seven keys; ","")&amp;IF(OR(N($E753)&lt;=0,N($E753)&gt;16),"hours?; ","")&amp;IF(AND($C753&lt;&gt;"",$B753=""),"campaign without drop_id; ","")&amp;IF(AND($B753&lt;&gt;"",COUNTIF(drops!$A$2:$A$21,$B753)=0),"drop_id not on drops; ",""))</f>
        <v/>
      </c>
    </row>
    <row r="754">
      <c r="A754" s="9" t="n"/>
      <c r="E754" s="10" t="n"/>
      <c r="G754" s="25">
        <f>IF($A754="","",IF(ISNA(MATCH($D754,{"brand_sales","office_coordination","receiving_kitting","drop_day","checks_pickup","reporting_debriefs","admin_invoicing"},0)),"activity must be one of the seven keys; ","")&amp;IF(OR(N($E754)&lt;=0,N($E754)&gt;16),"hours?; ","")&amp;IF(AND($C754&lt;&gt;"",$B754=""),"campaign without drop_id; ","")&amp;IF(AND($B754&lt;&gt;"",COUNTIF(drops!$A$2:$A$21,$B754)=0),"drop_id not on drops; ",""))</f>
        <v/>
      </c>
    </row>
    <row r="755">
      <c r="A755" s="9" t="n"/>
      <c r="E755" s="10" t="n"/>
      <c r="G755" s="25">
        <f>IF($A755="","",IF(ISNA(MATCH($D755,{"brand_sales","office_coordination","receiving_kitting","drop_day","checks_pickup","reporting_debriefs","admin_invoicing"},0)),"activity must be one of the seven keys; ","")&amp;IF(OR(N($E755)&lt;=0,N($E755)&gt;16),"hours?; ","")&amp;IF(AND($C755&lt;&gt;"",$B755=""),"campaign without drop_id; ","")&amp;IF(AND($B755&lt;&gt;"",COUNTIF(drops!$A$2:$A$21,$B755)=0),"drop_id not on drops; ",""))</f>
        <v/>
      </c>
    </row>
    <row r="756">
      <c r="A756" s="9" t="n"/>
      <c r="E756" s="10" t="n"/>
      <c r="G756" s="25">
        <f>IF($A756="","",IF(ISNA(MATCH($D756,{"brand_sales","office_coordination","receiving_kitting","drop_day","checks_pickup","reporting_debriefs","admin_invoicing"},0)),"activity must be one of the seven keys; ","")&amp;IF(OR(N($E756)&lt;=0,N($E756)&gt;16),"hours?; ","")&amp;IF(AND($C756&lt;&gt;"",$B756=""),"campaign without drop_id; ","")&amp;IF(AND($B756&lt;&gt;"",COUNTIF(drops!$A$2:$A$21,$B756)=0),"drop_id not on drops; ",""))</f>
        <v/>
      </c>
    </row>
    <row r="757">
      <c r="A757" s="9" t="n"/>
      <c r="E757" s="10" t="n"/>
      <c r="G757" s="25">
        <f>IF($A757="","",IF(ISNA(MATCH($D757,{"brand_sales","office_coordination","receiving_kitting","drop_day","checks_pickup","reporting_debriefs","admin_invoicing"},0)),"activity must be one of the seven keys; ","")&amp;IF(OR(N($E757)&lt;=0,N($E757)&gt;16),"hours?; ","")&amp;IF(AND($C757&lt;&gt;"",$B757=""),"campaign without drop_id; ","")&amp;IF(AND($B757&lt;&gt;"",COUNTIF(drops!$A$2:$A$21,$B757)=0),"drop_id not on drops; ",""))</f>
        <v/>
      </c>
    </row>
    <row r="758">
      <c r="A758" s="9" t="n"/>
      <c r="E758" s="10" t="n"/>
      <c r="G758" s="25">
        <f>IF($A758="","",IF(ISNA(MATCH($D758,{"brand_sales","office_coordination","receiving_kitting","drop_day","checks_pickup","reporting_debriefs","admin_invoicing"},0)),"activity must be one of the seven keys; ","")&amp;IF(OR(N($E758)&lt;=0,N($E758)&gt;16),"hours?; ","")&amp;IF(AND($C758&lt;&gt;"",$B758=""),"campaign without drop_id; ","")&amp;IF(AND($B758&lt;&gt;"",COUNTIF(drops!$A$2:$A$21,$B758)=0),"drop_id not on drops; ",""))</f>
        <v/>
      </c>
    </row>
    <row r="759">
      <c r="A759" s="9" t="n"/>
      <c r="E759" s="10" t="n"/>
      <c r="G759" s="25">
        <f>IF($A759="","",IF(ISNA(MATCH($D759,{"brand_sales","office_coordination","receiving_kitting","drop_day","checks_pickup","reporting_debriefs","admin_invoicing"},0)),"activity must be one of the seven keys; ","")&amp;IF(OR(N($E759)&lt;=0,N($E759)&gt;16),"hours?; ","")&amp;IF(AND($C759&lt;&gt;"",$B759=""),"campaign without drop_id; ","")&amp;IF(AND($B759&lt;&gt;"",COUNTIF(drops!$A$2:$A$21,$B759)=0),"drop_id not on drops; ",""))</f>
        <v/>
      </c>
    </row>
    <row r="760">
      <c r="A760" s="9" t="n"/>
      <c r="E760" s="10" t="n"/>
      <c r="G760" s="25">
        <f>IF($A760="","",IF(ISNA(MATCH($D760,{"brand_sales","office_coordination","receiving_kitting","drop_day","checks_pickup","reporting_debriefs","admin_invoicing"},0)),"activity must be one of the seven keys; ","")&amp;IF(OR(N($E760)&lt;=0,N($E760)&gt;16),"hours?; ","")&amp;IF(AND($C760&lt;&gt;"",$B760=""),"campaign without drop_id; ","")&amp;IF(AND($B760&lt;&gt;"",COUNTIF(drops!$A$2:$A$21,$B760)=0),"drop_id not on drops; ",""))</f>
        <v/>
      </c>
    </row>
    <row r="761">
      <c r="A761" s="9" t="n"/>
      <c r="E761" s="10" t="n"/>
      <c r="G761" s="25">
        <f>IF($A761="","",IF(ISNA(MATCH($D761,{"brand_sales","office_coordination","receiving_kitting","drop_day","checks_pickup","reporting_debriefs","admin_invoicing"},0)),"activity must be one of the seven keys; ","")&amp;IF(OR(N($E761)&lt;=0,N($E761)&gt;16),"hours?; ","")&amp;IF(AND($C761&lt;&gt;"",$B761=""),"campaign without drop_id; ","")&amp;IF(AND($B761&lt;&gt;"",COUNTIF(drops!$A$2:$A$21,$B761)=0),"drop_id not on drops; ",""))</f>
        <v/>
      </c>
    </row>
    <row r="762">
      <c r="A762" s="9" t="n"/>
      <c r="E762" s="10" t="n"/>
      <c r="G762" s="25">
        <f>IF($A762="","",IF(ISNA(MATCH($D762,{"brand_sales","office_coordination","receiving_kitting","drop_day","checks_pickup","reporting_debriefs","admin_invoicing"},0)),"activity must be one of the seven keys; ","")&amp;IF(OR(N($E762)&lt;=0,N($E762)&gt;16),"hours?; ","")&amp;IF(AND($C762&lt;&gt;"",$B762=""),"campaign without drop_id; ","")&amp;IF(AND($B762&lt;&gt;"",COUNTIF(drops!$A$2:$A$21,$B762)=0),"drop_id not on drops; ",""))</f>
        <v/>
      </c>
    </row>
    <row r="763">
      <c r="A763" s="9" t="n"/>
      <c r="E763" s="10" t="n"/>
      <c r="G763" s="25">
        <f>IF($A763="","",IF(ISNA(MATCH($D763,{"brand_sales","office_coordination","receiving_kitting","drop_day","checks_pickup","reporting_debriefs","admin_invoicing"},0)),"activity must be one of the seven keys; ","")&amp;IF(OR(N($E763)&lt;=0,N($E763)&gt;16),"hours?; ","")&amp;IF(AND($C763&lt;&gt;"",$B763=""),"campaign without drop_id; ","")&amp;IF(AND($B763&lt;&gt;"",COUNTIF(drops!$A$2:$A$21,$B763)=0),"drop_id not on drops; ",""))</f>
        <v/>
      </c>
    </row>
    <row r="764">
      <c r="A764" s="9" t="n"/>
      <c r="E764" s="10" t="n"/>
      <c r="G764" s="25">
        <f>IF($A764="","",IF(ISNA(MATCH($D764,{"brand_sales","office_coordination","receiving_kitting","drop_day","checks_pickup","reporting_debriefs","admin_invoicing"},0)),"activity must be one of the seven keys; ","")&amp;IF(OR(N($E764)&lt;=0,N($E764)&gt;16),"hours?; ","")&amp;IF(AND($C764&lt;&gt;"",$B764=""),"campaign without drop_id; ","")&amp;IF(AND($B764&lt;&gt;"",COUNTIF(drops!$A$2:$A$21,$B764)=0),"drop_id not on drops; ",""))</f>
        <v/>
      </c>
    </row>
    <row r="765">
      <c r="A765" s="9" t="n"/>
      <c r="E765" s="10" t="n"/>
      <c r="G765" s="25">
        <f>IF($A765="","",IF(ISNA(MATCH($D765,{"brand_sales","office_coordination","receiving_kitting","drop_day","checks_pickup","reporting_debriefs","admin_invoicing"},0)),"activity must be one of the seven keys; ","")&amp;IF(OR(N($E765)&lt;=0,N($E765)&gt;16),"hours?; ","")&amp;IF(AND($C765&lt;&gt;"",$B765=""),"campaign without drop_id; ","")&amp;IF(AND($B765&lt;&gt;"",COUNTIF(drops!$A$2:$A$21,$B765)=0),"drop_id not on drops; ",""))</f>
        <v/>
      </c>
    </row>
    <row r="766">
      <c r="A766" s="9" t="n"/>
      <c r="E766" s="10" t="n"/>
      <c r="G766" s="25">
        <f>IF($A766="","",IF(ISNA(MATCH($D766,{"brand_sales","office_coordination","receiving_kitting","drop_day","checks_pickup","reporting_debriefs","admin_invoicing"},0)),"activity must be one of the seven keys; ","")&amp;IF(OR(N($E766)&lt;=0,N($E766)&gt;16),"hours?; ","")&amp;IF(AND($C766&lt;&gt;"",$B766=""),"campaign without drop_id; ","")&amp;IF(AND($B766&lt;&gt;"",COUNTIF(drops!$A$2:$A$21,$B766)=0),"drop_id not on drops; ",""))</f>
        <v/>
      </c>
    </row>
    <row r="767">
      <c r="A767" s="9" t="n"/>
      <c r="E767" s="10" t="n"/>
      <c r="G767" s="25">
        <f>IF($A767="","",IF(ISNA(MATCH($D767,{"brand_sales","office_coordination","receiving_kitting","drop_day","checks_pickup","reporting_debriefs","admin_invoicing"},0)),"activity must be one of the seven keys; ","")&amp;IF(OR(N($E767)&lt;=0,N($E767)&gt;16),"hours?; ","")&amp;IF(AND($C767&lt;&gt;"",$B767=""),"campaign without drop_id; ","")&amp;IF(AND($B767&lt;&gt;"",COUNTIF(drops!$A$2:$A$21,$B767)=0),"drop_id not on drops; ",""))</f>
        <v/>
      </c>
    </row>
    <row r="768">
      <c r="A768" s="9" t="n"/>
      <c r="E768" s="10" t="n"/>
      <c r="G768" s="25">
        <f>IF($A768="","",IF(ISNA(MATCH($D768,{"brand_sales","office_coordination","receiving_kitting","drop_day","checks_pickup","reporting_debriefs","admin_invoicing"},0)),"activity must be one of the seven keys; ","")&amp;IF(OR(N($E768)&lt;=0,N($E768)&gt;16),"hours?; ","")&amp;IF(AND($C768&lt;&gt;"",$B768=""),"campaign without drop_id; ","")&amp;IF(AND($B768&lt;&gt;"",COUNTIF(drops!$A$2:$A$21,$B768)=0),"drop_id not on drops; ",""))</f>
        <v/>
      </c>
    </row>
    <row r="769">
      <c r="A769" s="9" t="n"/>
      <c r="E769" s="10" t="n"/>
      <c r="G769" s="25">
        <f>IF($A769="","",IF(ISNA(MATCH($D769,{"brand_sales","office_coordination","receiving_kitting","drop_day","checks_pickup","reporting_debriefs","admin_invoicing"},0)),"activity must be one of the seven keys; ","")&amp;IF(OR(N($E769)&lt;=0,N($E769)&gt;16),"hours?; ","")&amp;IF(AND($C769&lt;&gt;"",$B769=""),"campaign without drop_id; ","")&amp;IF(AND($B769&lt;&gt;"",COUNTIF(drops!$A$2:$A$21,$B769)=0),"drop_id not on drops; ",""))</f>
        <v/>
      </c>
    </row>
    <row r="770">
      <c r="A770" s="9" t="n"/>
      <c r="E770" s="10" t="n"/>
      <c r="G770" s="25">
        <f>IF($A770="","",IF(ISNA(MATCH($D770,{"brand_sales","office_coordination","receiving_kitting","drop_day","checks_pickup","reporting_debriefs","admin_invoicing"},0)),"activity must be one of the seven keys; ","")&amp;IF(OR(N($E770)&lt;=0,N($E770)&gt;16),"hours?; ","")&amp;IF(AND($C770&lt;&gt;"",$B770=""),"campaign without drop_id; ","")&amp;IF(AND($B770&lt;&gt;"",COUNTIF(drops!$A$2:$A$21,$B770)=0),"drop_id not on drops; ",""))</f>
        <v/>
      </c>
    </row>
    <row r="771">
      <c r="A771" s="9" t="n"/>
      <c r="E771" s="10" t="n"/>
      <c r="G771" s="25">
        <f>IF($A771="","",IF(ISNA(MATCH($D771,{"brand_sales","office_coordination","receiving_kitting","drop_day","checks_pickup","reporting_debriefs","admin_invoicing"},0)),"activity must be one of the seven keys; ","")&amp;IF(OR(N($E771)&lt;=0,N($E771)&gt;16),"hours?; ","")&amp;IF(AND($C771&lt;&gt;"",$B771=""),"campaign without drop_id; ","")&amp;IF(AND($B771&lt;&gt;"",COUNTIF(drops!$A$2:$A$21,$B771)=0),"drop_id not on drops; ",""))</f>
        <v/>
      </c>
    </row>
    <row r="772">
      <c r="A772" s="9" t="n"/>
      <c r="E772" s="10" t="n"/>
      <c r="G772" s="25">
        <f>IF($A772="","",IF(ISNA(MATCH($D772,{"brand_sales","office_coordination","receiving_kitting","drop_day","checks_pickup","reporting_debriefs","admin_invoicing"},0)),"activity must be one of the seven keys; ","")&amp;IF(OR(N($E772)&lt;=0,N($E772)&gt;16),"hours?; ","")&amp;IF(AND($C772&lt;&gt;"",$B772=""),"campaign without drop_id; ","")&amp;IF(AND($B772&lt;&gt;"",COUNTIF(drops!$A$2:$A$21,$B772)=0),"drop_id not on drops; ",""))</f>
        <v/>
      </c>
    </row>
    <row r="773">
      <c r="A773" s="9" t="n"/>
      <c r="E773" s="10" t="n"/>
      <c r="G773" s="25">
        <f>IF($A773="","",IF(ISNA(MATCH($D773,{"brand_sales","office_coordination","receiving_kitting","drop_day","checks_pickup","reporting_debriefs","admin_invoicing"},0)),"activity must be one of the seven keys; ","")&amp;IF(OR(N($E773)&lt;=0,N($E773)&gt;16),"hours?; ","")&amp;IF(AND($C773&lt;&gt;"",$B773=""),"campaign without drop_id; ","")&amp;IF(AND($B773&lt;&gt;"",COUNTIF(drops!$A$2:$A$21,$B773)=0),"drop_id not on drops; ",""))</f>
        <v/>
      </c>
    </row>
    <row r="774">
      <c r="A774" s="9" t="n"/>
      <c r="E774" s="10" t="n"/>
      <c r="G774" s="25">
        <f>IF($A774="","",IF(ISNA(MATCH($D774,{"brand_sales","office_coordination","receiving_kitting","drop_day","checks_pickup","reporting_debriefs","admin_invoicing"},0)),"activity must be one of the seven keys; ","")&amp;IF(OR(N($E774)&lt;=0,N($E774)&gt;16),"hours?; ","")&amp;IF(AND($C774&lt;&gt;"",$B774=""),"campaign without drop_id; ","")&amp;IF(AND($B774&lt;&gt;"",COUNTIF(drops!$A$2:$A$21,$B774)=0),"drop_id not on drops; ",""))</f>
        <v/>
      </c>
    </row>
    <row r="775">
      <c r="A775" s="9" t="n"/>
      <c r="E775" s="10" t="n"/>
      <c r="G775" s="25">
        <f>IF($A775="","",IF(ISNA(MATCH($D775,{"brand_sales","office_coordination","receiving_kitting","drop_day","checks_pickup","reporting_debriefs","admin_invoicing"},0)),"activity must be one of the seven keys; ","")&amp;IF(OR(N($E775)&lt;=0,N($E775)&gt;16),"hours?; ","")&amp;IF(AND($C775&lt;&gt;"",$B775=""),"campaign without drop_id; ","")&amp;IF(AND($B775&lt;&gt;"",COUNTIF(drops!$A$2:$A$21,$B775)=0),"drop_id not on drops; ",""))</f>
        <v/>
      </c>
    </row>
    <row r="776">
      <c r="A776" s="9" t="n"/>
      <c r="E776" s="10" t="n"/>
      <c r="G776" s="25">
        <f>IF($A776="","",IF(ISNA(MATCH($D776,{"brand_sales","office_coordination","receiving_kitting","drop_day","checks_pickup","reporting_debriefs","admin_invoicing"},0)),"activity must be one of the seven keys; ","")&amp;IF(OR(N($E776)&lt;=0,N($E776)&gt;16),"hours?; ","")&amp;IF(AND($C776&lt;&gt;"",$B776=""),"campaign without drop_id; ","")&amp;IF(AND($B776&lt;&gt;"",COUNTIF(drops!$A$2:$A$21,$B776)=0),"drop_id not on drops; ",""))</f>
        <v/>
      </c>
    </row>
    <row r="777">
      <c r="A777" s="9" t="n"/>
      <c r="E777" s="10" t="n"/>
      <c r="G777" s="25">
        <f>IF($A777="","",IF(ISNA(MATCH($D777,{"brand_sales","office_coordination","receiving_kitting","drop_day","checks_pickup","reporting_debriefs","admin_invoicing"},0)),"activity must be one of the seven keys; ","")&amp;IF(OR(N($E777)&lt;=0,N($E777)&gt;16),"hours?; ","")&amp;IF(AND($C777&lt;&gt;"",$B777=""),"campaign without drop_id; ","")&amp;IF(AND($B777&lt;&gt;"",COUNTIF(drops!$A$2:$A$21,$B777)=0),"drop_id not on drops; ",""))</f>
        <v/>
      </c>
    </row>
    <row r="778">
      <c r="A778" s="9" t="n"/>
      <c r="E778" s="10" t="n"/>
      <c r="G778" s="25">
        <f>IF($A778="","",IF(ISNA(MATCH($D778,{"brand_sales","office_coordination","receiving_kitting","drop_day","checks_pickup","reporting_debriefs","admin_invoicing"},0)),"activity must be one of the seven keys; ","")&amp;IF(OR(N($E778)&lt;=0,N($E778)&gt;16),"hours?; ","")&amp;IF(AND($C778&lt;&gt;"",$B778=""),"campaign without drop_id; ","")&amp;IF(AND($B778&lt;&gt;"",COUNTIF(drops!$A$2:$A$21,$B778)=0),"drop_id not on drops; ",""))</f>
        <v/>
      </c>
    </row>
    <row r="779">
      <c r="A779" s="9" t="n"/>
      <c r="E779" s="10" t="n"/>
      <c r="G779" s="25">
        <f>IF($A779="","",IF(ISNA(MATCH($D779,{"brand_sales","office_coordination","receiving_kitting","drop_day","checks_pickup","reporting_debriefs","admin_invoicing"},0)),"activity must be one of the seven keys; ","")&amp;IF(OR(N($E779)&lt;=0,N($E779)&gt;16),"hours?; ","")&amp;IF(AND($C779&lt;&gt;"",$B779=""),"campaign without drop_id; ","")&amp;IF(AND($B779&lt;&gt;"",COUNTIF(drops!$A$2:$A$21,$B779)=0),"drop_id not on drops; ",""))</f>
        <v/>
      </c>
    </row>
    <row r="780">
      <c r="A780" s="9" t="n"/>
      <c r="E780" s="10" t="n"/>
      <c r="G780" s="25">
        <f>IF($A780="","",IF(ISNA(MATCH($D780,{"brand_sales","office_coordination","receiving_kitting","drop_day","checks_pickup","reporting_debriefs","admin_invoicing"},0)),"activity must be one of the seven keys; ","")&amp;IF(OR(N($E780)&lt;=0,N($E780)&gt;16),"hours?; ","")&amp;IF(AND($C780&lt;&gt;"",$B780=""),"campaign without drop_id; ","")&amp;IF(AND($B780&lt;&gt;"",COUNTIF(drops!$A$2:$A$21,$B780)=0),"drop_id not on drops; ",""))</f>
        <v/>
      </c>
    </row>
    <row r="781">
      <c r="A781" s="9" t="n"/>
      <c r="E781" s="10" t="n"/>
      <c r="G781" s="25">
        <f>IF($A781="","",IF(ISNA(MATCH($D781,{"brand_sales","office_coordination","receiving_kitting","drop_day","checks_pickup","reporting_debriefs","admin_invoicing"},0)),"activity must be one of the seven keys; ","")&amp;IF(OR(N($E781)&lt;=0,N($E781)&gt;16),"hours?; ","")&amp;IF(AND($C781&lt;&gt;"",$B781=""),"campaign without drop_id; ","")&amp;IF(AND($B781&lt;&gt;"",COUNTIF(drops!$A$2:$A$21,$B781)=0),"drop_id not on drops; ",""))</f>
        <v/>
      </c>
    </row>
    <row r="782">
      <c r="A782" s="9" t="n"/>
      <c r="E782" s="10" t="n"/>
      <c r="G782" s="25">
        <f>IF($A782="","",IF(ISNA(MATCH($D782,{"brand_sales","office_coordination","receiving_kitting","drop_day","checks_pickup","reporting_debriefs","admin_invoicing"},0)),"activity must be one of the seven keys; ","")&amp;IF(OR(N($E782)&lt;=0,N($E782)&gt;16),"hours?; ","")&amp;IF(AND($C782&lt;&gt;"",$B782=""),"campaign without drop_id; ","")&amp;IF(AND($B782&lt;&gt;"",COUNTIF(drops!$A$2:$A$21,$B782)=0),"drop_id not on drops; ",""))</f>
        <v/>
      </c>
    </row>
    <row r="783">
      <c r="A783" s="9" t="n"/>
      <c r="E783" s="10" t="n"/>
      <c r="G783" s="25">
        <f>IF($A783="","",IF(ISNA(MATCH($D783,{"brand_sales","office_coordination","receiving_kitting","drop_day","checks_pickup","reporting_debriefs","admin_invoicing"},0)),"activity must be one of the seven keys; ","")&amp;IF(OR(N($E783)&lt;=0,N($E783)&gt;16),"hours?; ","")&amp;IF(AND($C783&lt;&gt;"",$B783=""),"campaign without drop_id; ","")&amp;IF(AND($B783&lt;&gt;"",COUNTIF(drops!$A$2:$A$21,$B783)=0),"drop_id not on drops; ",""))</f>
        <v/>
      </c>
    </row>
    <row r="784">
      <c r="A784" s="9" t="n"/>
      <c r="E784" s="10" t="n"/>
      <c r="G784" s="25">
        <f>IF($A784="","",IF(ISNA(MATCH($D784,{"brand_sales","office_coordination","receiving_kitting","drop_day","checks_pickup","reporting_debriefs","admin_invoicing"},0)),"activity must be one of the seven keys; ","")&amp;IF(OR(N($E784)&lt;=0,N($E784)&gt;16),"hours?; ","")&amp;IF(AND($C784&lt;&gt;"",$B784=""),"campaign without drop_id; ","")&amp;IF(AND($B784&lt;&gt;"",COUNTIF(drops!$A$2:$A$21,$B784)=0),"drop_id not on drops; ",""))</f>
        <v/>
      </c>
    </row>
    <row r="785">
      <c r="A785" s="9" t="n"/>
      <c r="E785" s="10" t="n"/>
      <c r="G785" s="25">
        <f>IF($A785="","",IF(ISNA(MATCH($D785,{"brand_sales","office_coordination","receiving_kitting","drop_day","checks_pickup","reporting_debriefs","admin_invoicing"},0)),"activity must be one of the seven keys; ","")&amp;IF(OR(N($E785)&lt;=0,N($E785)&gt;16),"hours?; ","")&amp;IF(AND($C785&lt;&gt;"",$B785=""),"campaign without drop_id; ","")&amp;IF(AND($B785&lt;&gt;"",COUNTIF(drops!$A$2:$A$21,$B785)=0),"drop_id not on drops; ",""))</f>
        <v/>
      </c>
    </row>
    <row r="786">
      <c r="A786" s="9" t="n"/>
      <c r="E786" s="10" t="n"/>
      <c r="G786" s="25">
        <f>IF($A786="","",IF(ISNA(MATCH($D786,{"brand_sales","office_coordination","receiving_kitting","drop_day","checks_pickup","reporting_debriefs","admin_invoicing"},0)),"activity must be one of the seven keys; ","")&amp;IF(OR(N($E786)&lt;=0,N($E786)&gt;16),"hours?; ","")&amp;IF(AND($C786&lt;&gt;"",$B786=""),"campaign without drop_id; ","")&amp;IF(AND($B786&lt;&gt;"",COUNTIF(drops!$A$2:$A$21,$B786)=0),"drop_id not on drops; ",""))</f>
        <v/>
      </c>
    </row>
    <row r="787">
      <c r="A787" s="9" t="n"/>
      <c r="E787" s="10" t="n"/>
      <c r="G787" s="25">
        <f>IF($A787="","",IF(ISNA(MATCH($D787,{"brand_sales","office_coordination","receiving_kitting","drop_day","checks_pickup","reporting_debriefs","admin_invoicing"},0)),"activity must be one of the seven keys; ","")&amp;IF(OR(N($E787)&lt;=0,N($E787)&gt;16),"hours?; ","")&amp;IF(AND($C787&lt;&gt;"",$B787=""),"campaign without drop_id; ","")&amp;IF(AND($B787&lt;&gt;"",COUNTIF(drops!$A$2:$A$21,$B787)=0),"drop_id not on drops; ",""))</f>
        <v/>
      </c>
    </row>
    <row r="788">
      <c r="A788" s="9" t="n"/>
      <c r="E788" s="10" t="n"/>
      <c r="G788" s="25">
        <f>IF($A788="","",IF(ISNA(MATCH($D788,{"brand_sales","office_coordination","receiving_kitting","drop_day","checks_pickup","reporting_debriefs","admin_invoicing"},0)),"activity must be one of the seven keys; ","")&amp;IF(OR(N($E788)&lt;=0,N($E788)&gt;16),"hours?; ","")&amp;IF(AND($C788&lt;&gt;"",$B788=""),"campaign without drop_id; ","")&amp;IF(AND($B788&lt;&gt;"",COUNTIF(drops!$A$2:$A$21,$B788)=0),"drop_id not on drops; ",""))</f>
        <v/>
      </c>
    </row>
    <row r="789">
      <c r="A789" s="9" t="n"/>
      <c r="E789" s="10" t="n"/>
      <c r="G789" s="25">
        <f>IF($A789="","",IF(ISNA(MATCH($D789,{"brand_sales","office_coordination","receiving_kitting","drop_day","checks_pickup","reporting_debriefs","admin_invoicing"},0)),"activity must be one of the seven keys; ","")&amp;IF(OR(N($E789)&lt;=0,N($E789)&gt;16),"hours?; ","")&amp;IF(AND($C789&lt;&gt;"",$B789=""),"campaign without drop_id; ","")&amp;IF(AND($B789&lt;&gt;"",COUNTIF(drops!$A$2:$A$21,$B789)=0),"drop_id not on drops; ",""))</f>
        <v/>
      </c>
    </row>
    <row r="790">
      <c r="A790" s="9" t="n"/>
      <c r="E790" s="10" t="n"/>
      <c r="G790" s="25">
        <f>IF($A790="","",IF(ISNA(MATCH($D790,{"brand_sales","office_coordination","receiving_kitting","drop_day","checks_pickup","reporting_debriefs","admin_invoicing"},0)),"activity must be one of the seven keys; ","")&amp;IF(OR(N($E790)&lt;=0,N($E790)&gt;16),"hours?; ","")&amp;IF(AND($C790&lt;&gt;"",$B790=""),"campaign without drop_id; ","")&amp;IF(AND($B790&lt;&gt;"",COUNTIF(drops!$A$2:$A$21,$B790)=0),"drop_id not on drops; ",""))</f>
        <v/>
      </c>
    </row>
    <row r="791">
      <c r="A791" s="9" t="n"/>
      <c r="E791" s="10" t="n"/>
      <c r="G791" s="25">
        <f>IF($A791="","",IF(ISNA(MATCH($D791,{"brand_sales","office_coordination","receiving_kitting","drop_day","checks_pickup","reporting_debriefs","admin_invoicing"},0)),"activity must be one of the seven keys; ","")&amp;IF(OR(N($E791)&lt;=0,N($E791)&gt;16),"hours?; ","")&amp;IF(AND($C791&lt;&gt;"",$B791=""),"campaign without drop_id; ","")&amp;IF(AND($B791&lt;&gt;"",COUNTIF(drops!$A$2:$A$21,$B791)=0),"drop_id not on drops; ",""))</f>
        <v/>
      </c>
    </row>
    <row r="792">
      <c r="A792" s="9" t="n"/>
      <c r="E792" s="10" t="n"/>
      <c r="G792" s="25">
        <f>IF($A792="","",IF(ISNA(MATCH($D792,{"brand_sales","office_coordination","receiving_kitting","drop_day","checks_pickup","reporting_debriefs","admin_invoicing"},0)),"activity must be one of the seven keys; ","")&amp;IF(OR(N($E792)&lt;=0,N($E792)&gt;16),"hours?; ","")&amp;IF(AND($C792&lt;&gt;"",$B792=""),"campaign without drop_id; ","")&amp;IF(AND($B792&lt;&gt;"",COUNTIF(drops!$A$2:$A$21,$B792)=0),"drop_id not on drops; ",""))</f>
        <v/>
      </c>
    </row>
    <row r="793">
      <c r="A793" s="9" t="n"/>
      <c r="E793" s="10" t="n"/>
      <c r="G793" s="25">
        <f>IF($A793="","",IF(ISNA(MATCH($D793,{"brand_sales","office_coordination","receiving_kitting","drop_day","checks_pickup","reporting_debriefs","admin_invoicing"},0)),"activity must be one of the seven keys; ","")&amp;IF(OR(N($E793)&lt;=0,N($E793)&gt;16),"hours?; ","")&amp;IF(AND($C793&lt;&gt;"",$B793=""),"campaign without drop_id; ","")&amp;IF(AND($B793&lt;&gt;"",COUNTIF(drops!$A$2:$A$21,$B793)=0),"drop_id not on drops; ",""))</f>
        <v/>
      </c>
    </row>
    <row r="794">
      <c r="A794" s="9" t="n"/>
      <c r="E794" s="10" t="n"/>
      <c r="G794" s="25">
        <f>IF($A794="","",IF(ISNA(MATCH($D794,{"brand_sales","office_coordination","receiving_kitting","drop_day","checks_pickup","reporting_debriefs","admin_invoicing"},0)),"activity must be one of the seven keys; ","")&amp;IF(OR(N($E794)&lt;=0,N($E794)&gt;16),"hours?; ","")&amp;IF(AND($C794&lt;&gt;"",$B794=""),"campaign without drop_id; ","")&amp;IF(AND($B794&lt;&gt;"",COUNTIF(drops!$A$2:$A$21,$B794)=0),"drop_id not on drops; ",""))</f>
        <v/>
      </c>
    </row>
    <row r="795">
      <c r="A795" s="9" t="n"/>
      <c r="E795" s="10" t="n"/>
      <c r="G795" s="25">
        <f>IF($A795="","",IF(ISNA(MATCH($D795,{"brand_sales","office_coordination","receiving_kitting","drop_day","checks_pickup","reporting_debriefs","admin_invoicing"},0)),"activity must be one of the seven keys; ","")&amp;IF(OR(N($E795)&lt;=0,N($E795)&gt;16),"hours?; ","")&amp;IF(AND($C795&lt;&gt;"",$B795=""),"campaign without drop_id; ","")&amp;IF(AND($B795&lt;&gt;"",COUNTIF(drops!$A$2:$A$21,$B795)=0),"drop_id not on drops; ",""))</f>
        <v/>
      </c>
    </row>
    <row r="796">
      <c r="A796" s="9" t="n"/>
      <c r="E796" s="10" t="n"/>
      <c r="G796" s="25">
        <f>IF($A796="","",IF(ISNA(MATCH($D796,{"brand_sales","office_coordination","receiving_kitting","drop_day","checks_pickup","reporting_debriefs","admin_invoicing"},0)),"activity must be one of the seven keys; ","")&amp;IF(OR(N($E796)&lt;=0,N($E796)&gt;16),"hours?; ","")&amp;IF(AND($C796&lt;&gt;"",$B796=""),"campaign without drop_id; ","")&amp;IF(AND($B796&lt;&gt;"",COUNTIF(drops!$A$2:$A$21,$B796)=0),"drop_id not on drops; ",""))</f>
        <v/>
      </c>
    </row>
    <row r="797">
      <c r="A797" s="9" t="n"/>
      <c r="E797" s="10" t="n"/>
      <c r="G797" s="25">
        <f>IF($A797="","",IF(ISNA(MATCH($D797,{"brand_sales","office_coordination","receiving_kitting","drop_day","checks_pickup","reporting_debriefs","admin_invoicing"},0)),"activity must be one of the seven keys; ","")&amp;IF(OR(N($E797)&lt;=0,N($E797)&gt;16),"hours?; ","")&amp;IF(AND($C797&lt;&gt;"",$B797=""),"campaign without drop_id; ","")&amp;IF(AND($B797&lt;&gt;"",COUNTIF(drops!$A$2:$A$21,$B797)=0),"drop_id not on drops; ",""))</f>
        <v/>
      </c>
    </row>
    <row r="798">
      <c r="A798" s="9" t="n"/>
      <c r="E798" s="10" t="n"/>
      <c r="G798" s="25">
        <f>IF($A798="","",IF(ISNA(MATCH($D798,{"brand_sales","office_coordination","receiving_kitting","drop_day","checks_pickup","reporting_debriefs","admin_invoicing"},0)),"activity must be one of the seven keys; ","")&amp;IF(OR(N($E798)&lt;=0,N($E798)&gt;16),"hours?; ","")&amp;IF(AND($C798&lt;&gt;"",$B798=""),"campaign without drop_id; ","")&amp;IF(AND($B798&lt;&gt;"",COUNTIF(drops!$A$2:$A$21,$B798)=0),"drop_id not on drops; ",""))</f>
        <v/>
      </c>
    </row>
    <row r="799">
      <c r="A799" s="9" t="n"/>
      <c r="E799" s="10" t="n"/>
      <c r="G799" s="25">
        <f>IF($A799="","",IF(ISNA(MATCH($D799,{"brand_sales","office_coordination","receiving_kitting","drop_day","checks_pickup","reporting_debriefs","admin_invoicing"},0)),"activity must be one of the seven keys; ","")&amp;IF(OR(N($E799)&lt;=0,N($E799)&gt;16),"hours?; ","")&amp;IF(AND($C799&lt;&gt;"",$B799=""),"campaign without drop_id; ","")&amp;IF(AND($B799&lt;&gt;"",COUNTIF(drops!$A$2:$A$21,$B799)=0),"drop_id not on drops; ",""))</f>
        <v/>
      </c>
    </row>
    <row r="800">
      <c r="A800" s="9" t="n"/>
      <c r="E800" s="10" t="n"/>
      <c r="G800" s="25">
        <f>IF($A800="","",IF(ISNA(MATCH($D800,{"brand_sales","office_coordination","receiving_kitting","drop_day","checks_pickup","reporting_debriefs","admin_invoicing"},0)),"activity must be one of the seven keys; ","")&amp;IF(OR(N($E800)&lt;=0,N($E800)&gt;16),"hours?; ","")&amp;IF(AND($C800&lt;&gt;"",$B800=""),"campaign without drop_id; ","")&amp;IF(AND($B800&lt;&gt;"",COUNTIF(drops!$A$2:$A$21,$B800)=0),"drop_id not on drops; ",""))</f>
        <v/>
      </c>
    </row>
    <row r="801">
      <c r="A801" s="9" t="n"/>
      <c r="E801" s="10" t="n"/>
      <c r="G801" s="25">
        <f>IF($A801="","",IF(ISNA(MATCH($D801,{"brand_sales","office_coordination","receiving_kitting","drop_day","checks_pickup","reporting_debriefs","admin_invoicing"},0)),"activity must be one of the seven keys; ","")&amp;IF(OR(N($E801)&lt;=0,N($E801)&gt;16),"hours?; ","")&amp;IF(AND($C801&lt;&gt;"",$B801=""),"campaign without drop_id; ","")&amp;IF(AND($B801&lt;&gt;"",COUNTIF(drops!$A$2:$A$21,$B801)=0),"drop_id not on drops; ",""))</f>
        <v/>
      </c>
    </row>
    <row r="802">
      <c r="A802" s="9" t="n"/>
      <c r="E802" s="10" t="n"/>
      <c r="G802" s="25">
        <f>IF($A802="","",IF(ISNA(MATCH($D802,{"brand_sales","office_coordination","receiving_kitting","drop_day","checks_pickup","reporting_debriefs","admin_invoicing"},0)),"activity must be one of the seven keys; ","")&amp;IF(OR(N($E802)&lt;=0,N($E802)&gt;16),"hours?; ","")&amp;IF(AND($C802&lt;&gt;"",$B802=""),"campaign without drop_id; ","")&amp;IF(AND($B802&lt;&gt;"",COUNTIF(drops!$A$2:$A$21,$B802)=0),"drop_id not on drops; ",""))</f>
        <v/>
      </c>
    </row>
    <row r="803">
      <c r="A803" s="9" t="n"/>
      <c r="E803" s="10" t="n"/>
      <c r="G803" s="25">
        <f>IF($A803="","",IF(ISNA(MATCH($D803,{"brand_sales","office_coordination","receiving_kitting","drop_day","checks_pickup","reporting_debriefs","admin_invoicing"},0)),"activity must be one of the seven keys; ","")&amp;IF(OR(N($E803)&lt;=0,N($E803)&gt;16),"hours?; ","")&amp;IF(AND($C803&lt;&gt;"",$B803=""),"campaign without drop_id; ","")&amp;IF(AND($B803&lt;&gt;"",COUNTIF(drops!$A$2:$A$21,$B803)=0),"drop_id not on drops; ",""))</f>
        <v/>
      </c>
    </row>
    <row r="804">
      <c r="A804" s="9" t="n"/>
      <c r="E804" s="10" t="n"/>
      <c r="G804" s="25">
        <f>IF($A804="","",IF(ISNA(MATCH($D804,{"brand_sales","office_coordination","receiving_kitting","drop_day","checks_pickup","reporting_debriefs","admin_invoicing"},0)),"activity must be one of the seven keys; ","")&amp;IF(OR(N($E804)&lt;=0,N($E804)&gt;16),"hours?; ","")&amp;IF(AND($C804&lt;&gt;"",$B804=""),"campaign without drop_id; ","")&amp;IF(AND($B804&lt;&gt;"",COUNTIF(drops!$A$2:$A$21,$B804)=0),"drop_id not on drops; ",""))</f>
        <v/>
      </c>
    </row>
    <row r="805">
      <c r="A805" s="9" t="n"/>
      <c r="E805" s="10" t="n"/>
      <c r="G805" s="25">
        <f>IF($A805="","",IF(ISNA(MATCH($D805,{"brand_sales","office_coordination","receiving_kitting","drop_day","checks_pickup","reporting_debriefs","admin_invoicing"},0)),"activity must be one of the seven keys; ","")&amp;IF(OR(N($E805)&lt;=0,N($E805)&gt;16),"hours?; ","")&amp;IF(AND($C805&lt;&gt;"",$B805=""),"campaign without drop_id; ","")&amp;IF(AND($B805&lt;&gt;"",COUNTIF(drops!$A$2:$A$21,$B805)=0),"drop_id not on drops; ",""))</f>
        <v/>
      </c>
    </row>
    <row r="806">
      <c r="A806" s="9" t="n"/>
      <c r="E806" s="10" t="n"/>
      <c r="G806" s="25">
        <f>IF($A806="","",IF(ISNA(MATCH($D806,{"brand_sales","office_coordination","receiving_kitting","drop_day","checks_pickup","reporting_debriefs","admin_invoicing"},0)),"activity must be one of the seven keys; ","")&amp;IF(OR(N($E806)&lt;=0,N($E806)&gt;16),"hours?; ","")&amp;IF(AND($C806&lt;&gt;"",$B806=""),"campaign without drop_id; ","")&amp;IF(AND($B806&lt;&gt;"",COUNTIF(drops!$A$2:$A$21,$B806)=0),"drop_id not on drops; ",""))</f>
        <v/>
      </c>
    </row>
    <row r="807">
      <c r="A807" s="9" t="n"/>
      <c r="E807" s="10" t="n"/>
      <c r="G807" s="25">
        <f>IF($A807="","",IF(ISNA(MATCH($D807,{"brand_sales","office_coordination","receiving_kitting","drop_day","checks_pickup","reporting_debriefs","admin_invoicing"},0)),"activity must be one of the seven keys; ","")&amp;IF(OR(N($E807)&lt;=0,N($E807)&gt;16),"hours?; ","")&amp;IF(AND($C807&lt;&gt;"",$B807=""),"campaign without drop_id; ","")&amp;IF(AND($B807&lt;&gt;"",COUNTIF(drops!$A$2:$A$21,$B807)=0),"drop_id not on drops; ",""))</f>
        <v/>
      </c>
    </row>
    <row r="808">
      <c r="A808" s="9" t="n"/>
      <c r="E808" s="10" t="n"/>
      <c r="G808" s="25">
        <f>IF($A808="","",IF(ISNA(MATCH($D808,{"brand_sales","office_coordination","receiving_kitting","drop_day","checks_pickup","reporting_debriefs","admin_invoicing"},0)),"activity must be one of the seven keys; ","")&amp;IF(OR(N($E808)&lt;=0,N($E808)&gt;16),"hours?; ","")&amp;IF(AND($C808&lt;&gt;"",$B808=""),"campaign without drop_id; ","")&amp;IF(AND($B808&lt;&gt;"",COUNTIF(drops!$A$2:$A$21,$B808)=0),"drop_id not on drops; ",""))</f>
        <v/>
      </c>
    </row>
    <row r="809">
      <c r="A809" s="9" t="n"/>
      <c r="E809" s="10" t="n"/>
      <c r="G809" s="25">
        <f>IF($A809="","",IF(ISNA(MATCH($D809,{"brand_sales","office_coordination","receiving_kitting","drop_day","checks_pickup","reporting_debriefs","admin_invoicing"},0)),"activity must be one of the seven keys; ","")&amp;IF(OR(N($E809)&lt;=0,N($E809)&gt;16),"hours?; ","")&amp;IF(AND($C809&lt;&gt;"",$B809=""),"campaign without drop_id; ","")&amp;IF(AND($B809&lt;&gt;"",COUNTIF(drops!$A$2:$A$21,$B809)=0),"drop_id not on drops; ",""))</f>
        <v/>
      </c>
    </row>
    <row r="810">
      <c r="A810" s="9" t="n"/>
      <c r="E810" s="10" t="n"/>
      <c r="G810" s="25">
        <f>IF($A810="","",IF(ISNA(MATCH($D810,{"brand_sales","office_coordination","receiving_kitting","drop_day","checks_pickup","reporting_debriefs","admin_invoicing"},0)),"activity must be one of the seven keys; ","")&amp;IF(OR(N($E810)&lt;=0,N($E810)&gt;16),"hours?; ","")&amp;IF(AND($C810&lt;&gt;"",$B810=""),"campaign without drop_id; ","")&amp;IF(AND($B810&lt;&gt;"",COUNTIF(drops!$A$2:$A$21,$B810)=0),"drop_id not on drops; ",""))</f>
        <v/>
      </c>
    </row>
    <row r="811">
      <c r="A811" s="9" t="n"/>
      <c r="E811" s="10" t="n"/>
      <c r="G811" s="25">
        <f>IF($A811="","",IF(ISNA(MATCH($D811,{"brand_sales","office_coordination","receiving_kitting","drop_day","checks_pickup","reporting_debriefs","admin_invoicing"},0)),"activity must be one of the seven keys; ","")&amp;IF(OR(N($E811)&lt;=0,N($E811)&gt;16),"hours?; ","")&amp;IF(AND($C811&lt;&gt;"",$B811=""),"campaign without drop_id; ","")&amp;IF(AND($B811&lt;&gt;"",COUNTIF(drops!$A$2:$A$21,$B811)=0),"drop_id not on drops; ",""))</f>
        <v/>
      </c>
    </row>
    <row r="812">
      <c r="A812" s="9" t="n"/>
      <c r="E812" s="10" t="n"/>
      <c r="G812" s="25">
        <f>IF($A812="","",IF(ISNA(MATCH($D812,{"brand_sales","office_coordination","receiving_kitting","drop_day","checks_pickup","reporting_debriefs","admin_invoicing"},0)),"activity must be one of the seven keys; ","")&amp;IF(OR(N($E812)&lt;=0,N($E812)&gt;16),"hours?; ","")&amp;IF(AND($C812&lt;&gt;"",$B812=""),"campaign without drop_id; ","")&amp;IF(AND($B812&lt;&gt;"",COUNTIF(drops!$A$2:$A$21,$B812)=0),"drop_id not on drops; ",""))</f>
        <v/>
      </c>
    </row>
    <row r="813">
      <c r="A813" s="9" t="n"/>
      <c r="E813" s="10" t="n"/>
      <c r="G813" s="25">
        <f>IF($A813="","",IF(ISNA(MATCH($D813,{"brand_sales","office_coordination","receiving_kitting","drop_day","checks_pickup","reporting_debriefs","admin_invoicing"},0)),"activity must be one of the seven keys; ","")&amp;IF(OR(N($E813)&lt;=0,N($E813)&gt;16),"hours?; ","")&amp;IF(AND($C813&lt;&gt;"",$B813=""),"campaign without drop_id; ","")&amp;IF(AND($B813&lt;&gt;"",COUNTIF(drops!$A$2:$A$21,$B813)=0),"drop_id not on drops; ",""))</f>
        <v/>
      </c>
    </row>
    <row r="814">
      <c r="A814" s="9" t="n"/>
      <c r="E814" s="10" t="n"/>
      <c r="G814" s="25">
        <f>IF($A814="","",IF(ISNA(MATCH($D814,{"brand_sales","office_coordination","receiving_kitting","drop_day","checks_pickup","reporting_debriefs","admin_invoicing"},0)),"activity must be one of the seven keys; ","")&amp;IF(OR(N($E814)&lt;=0,N($E814)&gt;16),"hours?; ","")&amp;IF(AND($C814&lt;&gt;"",$B814=""),"campaign without drop_id; ","")&amp;IF(AND($B814&lt;&gt;"",COUNTIF(drops!$A$2:$A$21,$B814)=0),"drop_id not on drops; ",""))</f>
        <v/>
      </c>
    </row>
    <row r="815">
      <c r="A815" s="9" t="n"/>
      <c r="E815" s="10" t="n"/>
      <c r="G815" s="25">
        <f>IF($A815="","",IF(ISNA(MATCH($D815,{"brand_sales","office_coordination","receiving_kitting","drop_day","checks_pickup","reporting_debriefs","admin_invoicing"},0)),"activity must be one of the seven keys; ","")&amp;IF(OR(N($E815)&lt;=0,N($E815)&gt;16),"hours?; ","")&amp;IF(AND($C815&lt;&gt;"",$B815=""),"campaign without drop_id; ","")&amp;IF(AND($B815&lt;&gt;"",COUNTIF(drops!$A$2:$A$21,$B815)=0),"drop_id not on drops; ",""))</f>
        <v/>
      </c>
    </row>
    <row r="816">
      <c r="A816" s="9" t="n"/>
      <c r="E816" s="10" t="n"/>
      <c r="G816" s="25">
        <f>IF($A816="","",IF(ISNA(MATCH($D816,{"brand_sales","office_coordination","receiving_kitting","drop_day","checks_pickup","reporting_debriefs","admin_invoicing"},0)),"activity must be one of the seven keys; ","")&amp;IF(OR(N($E816)&lt;=0,N($E816)&gt;16),"hours?; ","")&amp;IF(AND($C816&lt;&gt;"",$B816=""),"campaign without drop_id; ","")&amp;IF(AND($B816&lt;&gt;"",COUNTIF(drops!$A$2:$A$21,$B816)=0),"drop_id not on drops; ",""))</f>
        <v/>
      </c>
    </row>
    <row r="817">
      <c r="A817" s="9" t="n"/>
      <c r="E817" s="10" t="n"/>
      <c r="G817" s="25">
        <f>IF($A817="","",IF(ISNA(MATCH($D817,{"brand_sales","office_coordination","receiving_kitting","drop_day","checks_pickup","reporting_debriefs","admin_invoicing"},0)),"activity must be one of the seven keys; ","")&amp;IF(OR(N($E817)&lt;=0,N($E817)&gt;16),"hours?; ","")&amp;IF(AND($C817&lt;&gt;"",$B817=""),"campaign without drop_id; ","")&amp;IF(AND($B817&lt;&gt;"",COUNTIF(drops!$A$2:$A$21,$B817)=0),"drop_id not on drops; ",""))</f>
        <v/>
      </c>
    </row>
    <row r="818">
      <c r="A818" s="9" t="n"/>
      <c r="E818" s="10" t="n"/>
      <c r="G818" s="25">
        <f>IF($A818="","",IF(ISNA(MATCH($D818,{"brand_sales","office_coordination","receiving_kitting","drop_day","checks_pickup","reporting_debriefs","admin_invoicing"},0)),"activity must be one of the seven keys; ","")&amp;IF(OR(N($E818)&lt;=0,N($E818)&gt;16),"hours?; ","")&amp;IF(AND($C818&lt;&gt;"",$B818=""),"campaign without drop_id; ","")&amp;IF(AND($B818&lt;&gt;"",COUNTIF(drops!$A$2:$A$21,$B818)=0),"drop_id not on drops; ",""))</f>
        <v/>
      </c>
    </row>
    <row r="819">
      <c r="A819" s="9" t="n"/>
      <c r="E819" s="10" t="n"/>
      <c r="G819" s="25">
        <f>IF($A819="","",IF(ISNA(MATCH($D819,{"brand_sales","office_coordination","receiving_kitting","drop_day","checks_pickup","reporting_debriefs","admin_invoicing"},0)),"activity must be one of the seven keys; ","")&amp;IF(OR(N($E819)&lt;=0,N($E819)&gt;16),"hours?; ","")&amp;IF(AND($C819&lt;&gt;"",$B819=""),"campaign without drop_id; ","")&amp;IF(AND($B819&lt;&gt;"",COUNTIF(drops!$A$2:$A$21,$B819)=0),"drop_id not on drops; ",""))</f>
        <v/>
      </c>
    </row>
    <row r="820">
      <c r="A820" s="9" t="n"/>
      <c r="E820" s="10" t="n"/>
      <c r="G820" s="25">
        <f>IF($A820="","",IF(ISNA(MATCH($D820,{"brand_sales","office_coordination","receiving_kitting","drop_day","checks_pickup","reporting_debriefs","admin_invoicing"},0)),"activity must be one of the seven keys; ","")&amp;IF(OR(N($E820)&lt;=0,N($E820)&gt;16),"hours?; ","")&amp;IF(AND($C820&lt;&gt;"",$B820=""),"campaign without drop_id; ","")&amp;IF(AND($B820&lt;&gt;"",COUNTIF(drops!$A$2:$A$21,$B820)=0),"drop_id not on drops; ",""))</f>
        <v/>
      </c>
    </row>
    <row r="821">
      <c r="A821" s="9" t="n"/>
      <c r="E821" s="10" t="n"/>
      <c r="G821" s="25">
        <f>IF($A821="","",IF(ISNA(MATCH($D821,{"brand_sales","office_coordination","receiving_kitting","drop_day","checks_pickup","reporting_debriefs","admin_invoicing"},0)),"activity must be one of the seven keys; ","")&amp;IF(OR(N($E821)&lt;=0,N($E821)&gt;16),"hours?; ","")&amp;IF(AND($C821&lt;&gt;"",$B821=""),"campaign without drop_id; ","")&amp;IF(AND($B821&lt;&gt;"",COUNTIF(drops!$A$2:$A$21,$B821)=0),"drop_id not on drops; ",""))</f>
        <v/>
      </c>
    </row>
    <row r="822">
      <c r="A822" s="9" t="n"/>
      <c r="E822" s="10" t="n"/>
      <c r="G822" s="25">
        <f>IF($A822="","",IF(ISNA(MATCH($D822,{"brand_sales","office_coordination","receiving_kitting","drop_day","checks_pickup","reporting_debriefs","admin_invoicing"},0)),"activity must be one of the seven keys; ","")&amp;IF(OR(N($E822)&lt;=0,N($E822)&gt;16),"hours?; ","")&amp;IF(AND($C822&lt;&gt;"",$B822=""),"campaign without drop_id; ","")&amp;IF(AND($B822&lt;&gt;"",COUNTIF(drops!$A$2:$A$21,$B822)=0),"drop_id not on drops; ",""))</f>
        <v/>
      </c>
    </row>
    <row r="823">
      <c r="A823" s="9" t="n"/>
      <c r="E823" s="10" t="n"/>
      <c r="G823" s="25">
        <f>IF($A823="","",IF(ISNA(MATCH($D823,{"brand_sales","office_coordination","receiving_kitting","drop_day","checks_pickup","reporting_debriefs","admin_invoicing"},0)),"activity must be one of the seven keys; ","")&amp;IF(OR(N($E823)&lt;=0,N($E823)&gt;16),"hours?; ","")&amp;IF(AND($C823&lt;&gt;"",$B823=""),"campaign without drop_id; ","")&amp;IF(AND($B823&lt;&gt;"",COUNTIF(drops!$A$2:$A$21,$B823)=0),"drop_id not on drops; ",""))</f>
        <v/>
      </c>
    </row>
    <row r="824">
      <c r="A824" s="9" t="n"/>
      <c r="E824" s="10" t="n"/>
      <c r="G824" s="25">
        <f>IF($A824="","",IF(ISNA(MATCH($D824,{"brand_sales","office_coordination","receiving_kitting","drop_day","checks_pickup","reporting_debriefs","admin_invoicing"},0)),"activity must be one of the seven keys; ","")&amp;IF(OR(N($E824)&lt;=0,N($E824)&gt;16),"hours?; ","")&amp;IF(AND($C824&lt;&gt;"",$B824=""),"campaign without drop_id; ","")&amp;IF(AND($B824&lt;&gt;"",COUNTIF(drops!$A$2:$A$21,$B824)=0),"drop_id not on drops; ",""))</f>
        <v/>
      </c>
    </row>
    <row r="825">
      <c r="A825" s="9" t="n"/>
      <c r="E825" s="10" t="n"/>
      <c r="G825" s="25">
        <f>IF($A825="","",IF(ISNA(MATCH($D825,{"brand_sales","office_coordination","receiving_kitting","drop_day","checks_pickup","reporting_debriefs","admin_invoicing"},0)),"activity must be one of the seven keys; ","")&amp;IF(OR(N($E825)&lt;=0,N($E825)&gt;16),"hours?; ","")&amp;IF(AND($C825&lt;&gt;"",$B825=""),"campaign without drop_id; ","")&amp;IF(AND($B825&lt;&gt;"",COUNTIF(drops!$A$2:$A$21,$B825)=0),"drop_id not on drops; ",""))</f>
        <v/>
      </c>
    </row>
    <row r="826">
      <c r="A826" s="9" t="n"/>
      <c r="E826" s="10" t="n"/>
      <c r="G826" s="25">
        <f>IF($A826="","",IF(ISNA(MATCH($D826,{"brand_sales","office_coordination","receiving_kitting","drop_day","checks_pickup","reporting_debriefs","admin_invoicing"},0)),"activity must be one of the seven keys; ","")&amp;IF(OR(N($E826)&lt;=0,N($E826)&gt;16),"hours?; ","")&amp;IF(AND($C826&lt;&gt;"",$B826=""),"campaign without drop_id; ","")&amp;IF(AND($B826&lt;&gt;"",COUNTIF(drops!$A$2:$A$21,$B826)=0),"drop_id not on drops; ",""))</f>
        <v/>
      </c>
    </row>
    <row r="827">
      <c r="A827" s="9" t="n"/>
      <c r="E827" s="10" t="n"/>
      <c r="G827" s="25">
        <f>IF($A827="","",IF(ISNA(MATCH($D827,{"brand_sales","office_coordination","receiving_kitting","drop_day","checks_pickup","reporting_debriefs","admin_invoicing"},0)),"activity must be one of the seven keys; ","")&amp;IF(OR(N($E827)&lt;=0,N($E827)&gt;16),"hours?; ","")&amp;IF(AND($C827&lt;&gt;"",$B827=""),"campaign without drop_id; ","")&amp;IF(AND($B827&lt;&gt;"",COUNTIF(drops!$A$2:$A$21,$B827)=0),"drop_id not on drops; ",""))</f>
        <v/>
      </c>
    </row>
    <row r="828">
      <c r="A828" s="9" t="n"/>
      <c r="E828" s="10" t="n"/>
      <c r="G828" s="25">
        <f>IF($A828="","",IF(ISNA(MATCH($D828,{"brand_sales","office_coordination","receiving_kitting","drop_day","checks_pickup","reporting_debriefs","admin_invoicing"},0)),"activity must be one of the seven keys; ","")&amp;IF(OR(N($E828)&lt;=0,N($E828)&gt;16),"hours?; ","")&amp;IF(AND($C828&lt;&gt;"",$B828=""),"campaign without drop_id; ","")&amp;IF(AND($B828&lt;&gt;"",COUNTIF(drops!$A$2:$A$21,$B828)=0),"drop_id not on drops; ",""))</f>
        <v/>
      </c>
    </row>
    <row r="829">
      <c r="A829" s="9" t="n"/>
      <c r="E829" s="10" t="n"/>
      <c r="G829" s="25">
        <f>IF($A829="","",IF(ISNA(MATCH($D829,{"brand_sales","office_coordination","receiving_kitting","drop_day","checks_pickup","reporting_debriefs","admin_invoicing"},0)),"activity must be one of the seven keys; ","")&amp;IF(OR(N($E829)&lt;=0,N($E829)&gt;16),"hours?; ","")&amp;IF(AND($C829&lt;&gt;"",$B829=""),"campaign without drop_id; ","")&amp;IF(AND($B829&lt;&gt;"",COUNTIF(drops!$A$2:$A$21,$B829)=0),"drop_id not on drops; ",""))</f>
        <v/>
      </c>
    </row>
    <row r="830">
      <c r="A830" s="9" t="n"/>
      <c r="E830" s="10" t="n"/>
      <c r="G830" s="25">
        <f>IF($A830="","",IF(ISNA(MATCH($D830,{"brand_sales","office_coordination","receiving_kitting","drop_day","checks_pickup","reporting_debriefs","admin_invoicing"},0)),"activity must be one of the seven keys; ","")&amp;IF(OR(N($E830)&lt;=0,N($E830)&gt;16),"hours?; ","")&amp;IF(AND($C830&lt;&gt;"",$B830=""),"campaign without drop_id; ","")&amp;IF(AND($B830&lt;&gt;"",COUNTIF(drops!$A$2:$A$21,$B830)=0),"drop_id not on drops; ",""))</f>
        <v/>
      </c>
    </row>
    <row r="831">
      <c r="A831" s="9" t="n"/>
      <c r="E831" s="10" t="n"/>
      <c r="G831" s="25">
        <f>IF($A831="","",IF(ISNA(MATCH($D831,{"brand_sales","office_coordination","receiving_kitting","drop_day","checks_pickup","reporting_debriefs","admin_invoicing"},0)),"activity must be one of the seven keys; ","")&amp;IF(OR(N($E831)&lt;=0,N($E831)&gt;16),"hours?; ","")&amp;IF(AND($C831&lt;&gt;"",$B831=""),"campaign without drop_id; ","")&amp;IF(AND($B831&lt;&gt;"",COUNTIF(drops!$A$2:$A$21,$B831)=0),"drop_id not on drops; ",""))</f>
        <v/>
      </c>
    </row>
    <row r="832">
      <c r="A832" s="9" t="n"/>
      <c r="E832" s="10" t="n"/>
      <c r="G832" s="25">
        <f>IF($A832="","",IF(ISNA(MATCH($D832,{"brand_sales","office_coordination","receiving_kitting","drop_day","checks_pickup","reporting_debriefs","admin_invoicing"},0)),"activity must be one of the seven keys; ","")&amp;IF(OR(N($E832)&lt;=0,N($E832)&gt;16),"hours?; ","")&amp;IF(AND($C832&lt;&gt;"",$B832=""),"campaign without drop_id; ","")&amp;IF(AND($B832&lt;&gt;"",COUNTIF(drops!$A$2:$A$21,$B832)=0),"drop_id not on drops; ",""))</f>
        <v/>
      </c>
    </row>
    <row r="833">
      <c r="A833" s="9" t="n"/>
      <c r="E833" s="10" t="n"/>
      <c r="G833" s="25">
        <f>IF($A833="","",IF(ISNA(MATCH($D833,{"brand_sales","office_coordination","receiving_kitting","drop_day","checks_pickup","reporting_debriefs","admin_invoicing"},0)),"activity must be one of the seven keys; ","")&amp;IF(OR(N($E833)&lt;=0,N($E833)&gt;16),"hours?; ","")&amp;IF(AND($C833&lt;&gt;"",$B833=""),"campaign without drop_id; ","")&amp;IF(AND($B833&lt;&gt;"",COUNTIF(drops!$A$2:$A$21,$B833)=0),"drop_id not on drops; ",""))</f>
        <v/>
      </c>
    </row>
    <row r="834">
      <c r="A834" s="9" t="n"/>
      <c r="E834" s="10" t="n"/>
      <c r="G834" s="25">
        <f>IF($A834="","",IF(ISNA(MATCH($D834,{"brand_sales","office_coordination","receiving_kitting","drop_day","checks_pickup","reporting_debriefs","admin_invoicing"},0)),"activity must be one of the seven keys; ","")&amp;IF(OR(N($E834)&lt;=0,N($E834)&gt;16),"hours?; ","")&amp;IF(AND($C834&lt;&gt;"",$B834=""),"campaign without drop_id; ","")&amp;IF(AND($B834&lt;&gt;"",COUNTIF(drops!$A$2:$A$21,$B834)=0),"drop_id not on drops; ",""))</f>
        <v/>
      </c>
    </row>
    <row r="835">
      <c r="A835" s="9" t="n"/>
      <c r="E835" s="10" t="n"/>
      <c r="G835" s="25">
        <f>IF($A835="","",IF(ISNA(MATCH($D835,{"brand_sales","office_coordination","receiving_kitting","drop_day","checks_pickup","reporting_debriefs","admin_invoicing"},0)),"activity must be one of the seven keys; ","")&amp;IF(OR(N($E835)&lt;=0,N($E835)&gt;16),"hours?; ","")&amp;IF(AND($C835&lt;&gt;"",$B835=""),"campaign without drop_id; ","")&amp;IF(AND($B835&lt;&gt;"",COUNTIF(drops!$A$2:$A$21,$B835)=0),"drop_id not on drops; ",""))</f>
        <v/>
      </c>
    </row>
    <row r="836">
      <c r="A836" s="9" t="n"/>
      <c r="E836" s="10" t="n"/>
      <c r="G836" s="25">
        <f>IF($A836="","",IF(ISNA(MATCH($D836,{"brand_sales","office_coordination","receiving_kitting","drop_day","checks_pickup","reporting_debriefs","admin_invoicing"},0)),"activity must be one of the seven keys; ","")&amp;IF(OR(N($E836)&lt;=0,N($E836)&gt;16),"hours?; ","")&amp;IF(AND($C836&lt;&gt;"",$B836=""),"campaign without drop_id; ","")&amp;IF(AND($B836&lt;&gt;"",COUNTIF(drops!$A$2:$A$21,$B836)=0),"drop_id not on drops; ",""))</f>
        <v/>
      </c>
    </row>
    <row r="837">
      <c r="A837" s="9" t="n"/>
      <c r="E837" s="10" t="n"/>
      <c r="G837" s="25">
        <f>IF($A837="","",IF(ISNA(MATCH($D837,{"brand_sales","office_coordination","receiving_kitting","drop_day","checks_pickup","reporting_debriefs","admin_invoicing"},0)),"activity must be one of the seven keys; ","")&amp;IF(OR(N($E837)&lt;=0,N($E837)&gt;16),"hours?; ","")&amp;IF(AND($C837&lt;&gt;"",$B837=""),"campaign without drop_id; ","")&amp;IF(AND($B837&lt;&gt;"",COUNTIF(drops!$A$2:$A$21,$B837)=0),"drop_id not on drops; ",""))</f>
        <v/>
      </c>
    </row>
    <row r="838">
      <c r="A838" s="9" t="n"/>
      <c r="E838" s="10" t="n"/>
      <c r="G838" s="25">
        <f>IF($A838="","",IF(ISNA(MATCH($D838,{"brand_sales","office_coordination","receiving_kitting","drop_day","checks_pickup","reporting_debriefs","admin_invoicing"},0)),"activity must be one of the seven keys; ","")&amp;IF(OR(N($E838)&lt;=0,N($E838)&gt;16),"hours?; ","")&amp;IF(AND($C838&lt;&gt;"",$B838=""),"campaign without drop_id; ","")&amp;IF(AND($B838&lt;&gt;"",COUNTIF(drops!$A$2:$A$21,$B838)=0),"drop_id not on drops; ",""))</f>
        <v/>
      </c>
    </row>
    <row r="839">
      <c r="A839" s="9" t="n"/>
      <c r="E839" s="10" t="n"/>
      <c r="G839" s="25">
        <f>IF($A839="","",IF(ISNA(MATCH($D839,{"brand_sales","office_coordination","receiving_kitting","drop_day","checks_pickup","reporting_debriefs","admin_invoicing"},0)),"activity must be one of the seven keys; ","")&amp;IF(OR(N($E839)&lt;=0,N($E839)&gt;16),"hours?; ","")&amp;IF(AND($C839&lt;&gt;"",$B839=""),"campaign without drop_id; ","")&amp;IF(AND($B839&lt;&gt;"",COUNTIF(drops!$A$2:$A$21,$B839)=0),"drop_id not on drops; ",""))</f>
        <v/>
      </c>
    </row>
    <row r="840">
      <c r="A840" s="9" t="n"/>
      <c r="E840" s="10" t="n"/>
      <c r="G840" s="25">
        <f>IF($A840="","",IF(ISNA(MATCH($D840,{"brand_sales","office_coordination","receiving_kitting","drop_day","checks_pickup","reporting_debriefs","admin_invoicing"},0)),"activity must be one of the seven keys; ","")&amp;IF(OR(N($E840)&lt;=0,N($E840)&gt;16),"hours?; ","")&amp;IF(AND($C840&lt;&gt;"",$B840=""),"campaign without drop_id; ","")&amp;IF(AND($B840&lt;&gt;"",COUNTIF(drops!$A$2:$A$21,$B840)=0),"drop_id not on drops; ",""))</f>
        <v/>
      </c>
    </row>
    <row r="841">
      <c r="A841" s="9" t="n"/>
      <c r="E841" s="10" t="n"/>
      <c r="G841" s="25">
        <f>IF($A841="","",IF(ISNA(MATCH($D841,{"brand_sales","office_coordination","receiving_kitting","drop_day","checks_pickup","reporting_debriefs","admin_invoicing"},0)),"activity must be one of the seven keys; ","")&amp;IF(OR(N($E841)&lt;=0,N($E841)&gt;16),"hours?; ","")&amp;IF(AND($C841&lt;&gt;"",$B841=""),"campaign without drop_id; ","")&amp;IF(AND($B841&lt;&gt;"",COUNTIF(drops!$A$2:$A$21,$B841)=0),"drop_id not on drops; ",""))</f>
        <v/>
      </c>
    </row>
    <row r="842">
      <c r="A842" s="9" t="n"/>
      <c r="E842" s="10" t="n"/>
      <c r="G842" s="25">
        <f>IF($A842="","",IF(ISNA(MATCH($D842,{"brand_sales","office_coordination","receiving_kitting","drop_day","checks_pickup","reporting_debriefs","admin_invoicing"},0)),"activity must be one of the seven keys; ","")&amp;IF(OR(N($E842)&lt;=0,N($E842)&gt;16),"hours?; ","")&amp;IF(AND($C842&lt;&gt;"",$B842=""),"campaign without drop_id; ","")&amp;IF(AND($B842&lt;&gt;"",COUNTIF(drops!$A$2:$A$21,$B842)=0),"drop_id not on drops; ",""))</f>
        <v/>
      </c>
    </row>
    <row r="843">
      <c r="A843" s="9" t="n"/>
      <c r="E843" s="10" t="n"/>
      <c r="G843" s="25">
        <f>IF($A843="","",IF(ISNA(MATCH($D843,{"brand_sales","office_coordination","receiving_kitting","drop_day","checks_pickup","reporting_debriefs","admin_invoicing"},0)),"activity must be one of the seven keys; ","")&amp;IF(OR(N($E843)&lt;=0,N($E843)&gt;16),"hours?; ","")&amp;IF(AND($C843&lt;&gt;"",$B843=""),"campaign without drop_id; ","")&amp;IF(AND($B843&lt;&gt;"",COUNTIF(drops!$A$2:$A$21,$B843)=0),"drop_id not on drops; ",""))</f>
        <v/>
      </c>
    </row>
    <row r="844">
      <c r="A844" s="9" t="n"/>
      <c r="E844" s="10" t="n"/>
      <c r="G844" s="25">
        <f>IF($A844="","",IF(ISNA(MATCH($D844,{"brand_sales","office_coordination","receiving_kitting","drop_day","checks_pickup","reporting_debriefs","admin_invoicing"},0)),"activity must be one of the seven keys; ","")&amp;IF(OR(N($E844)&lt;=0,N($E844)&gt;16),"hours?; ","")&amp;IF(AND($C844&lt;&gt;"",$B844=""),"campaign without drop_id; ","")&amp;IF(AND($B844&lt;&gt;"",COUNTIF(drops!$A$2:$A$21,$B844)=0),"drop_id not on drops; ",""))</f>
        <v/>
      </c>
    </row>
    <row r="845">
      <c r="A845" s="9" t="n"/>
      <c r="E845" s="10" t="n"/>
      <c r="G845" s="25">
        <f>IF($A845="","",IF(ISNA(MATCH($D845,{"brand_sales","office_coordination","receiving_kitting","drop_day","checks_pickup","reporting_debriefs","admin_invoicing"},0)),"activity must be one of the seven keys; ","")&amp;IF(OR(N($E845)&lt;=0,N($E845)&gt;16),"hours?; ","")&amp;IF(AND($C845&lt;&gt;"",$B845=""),"campaign without drop_id; ","")&amp;IF(AND($B845&lt;&gt;"",COUNTIF(drops!$A$2:$A$21,$B845)=0),"drop_id not on drops; ",""))</f>
        <v/>
      </c>
    </row>
    <row r="846">
      <c r="A846" s="9" t="n"/>
      <c r="E846" s="10" t="n"/>
      <c r="G846" s="25">
        <f>IF($A846="","",IF(ISNA(MATCH($D846,{"brand_sales","office_coordination","receiving_kitting","drop_day","checks_pickup","reporting_debriefs","admin_invoicing"},0)),"activity must be one of the seven keys; ","")&amp;IF(OR(N($E846)&lt;=0,N($E846)&gt;16),"hours?; ","")&amp;IF(AND($C846&lt;&gt;"",$B846=""),"campaign without drop_id; ","")&amp;IF(AND($B846&lt;&gt;"",COUNTIF(drops!$A$2:$A$21,$B846)=0),"drop_id not on drops; ",""))</f>
        <v/>
      </c>
    </row>
    <row r="847">
      <c r="A847" s="9" t="n"/>
      <c r="E847" s="10" t="n"/>
      <c r="G847" s="25">
        <f>IF($A847="","",IF(ISNA(MATCH($D847,{"brand_sales","office_coordination","receiving_kitting","drop_day","checks_pickup","reporting_debriefs","admin_invoicing"},0)),"activity must be one of the seven keys; ","")&amp;IF(OR(N($E847)&lt;=0,N($E847)&gt;16),"hours?; ","")&amp;IF(AND($C847&lt;&gt;"",$B847=""),"campaign without drop_id; ","")&amp;IF(AND($B847&lt;&gt;"",COUNTIF(drops!$A$2:$A$21,$B847)=0),"drop_id not on drops; ",""))</f>
        <v/>
      </c>
    </row>
    <row r="848">
      <c r="A848" s="9" t="n"/>
      <c r="E848" s="10" t="n"/>
      <c r="G848" s="25">
        <f>IF($A848="","",IF(ISNA(MATCH($D848,{"brand_sales","office_coordination","receiving_kitting","drop_day","checks_pickup","reporting_debriefs","admin_invoicing"},0)),"activity must be one of the seven keys; ","")&amp;IF(OR(N($E848)&lt;=0,N($E848)&gt;16),"hours?; ","")&amp;IF(AND($C848&lt;&gt;"",$B848=""),"campaign without drop_id; ","")&amp;IF(AND($B848&lt;&gt;"",COUNTIF(drops!$A$2:$A$21,$B848)=0),"drop_id not on drops; ",""))</f>
        <v/>
      </c>
    </row>
    <row r="849">
      <c r="A849" s="9" t="n"/>
      <c r="E849" s="10" t="n"/>
      <c r="G849" s="25">
        <f>IF($A849="","",IF(ISNA(MATCH($D849,{"brand_sales","office_coordination","receiving_kitting","drop_day","checks_pickup","reporting_debriefs","admin_invoicing"},0)),"activity must be one of the seven keys; ","")&amp;IF(OR(N($E849)&lt;=0,N($E849)&gt;16),"hours?; ","")&amp;IF(AND($C849&lt;&gt;"",$B849=""),"campaign without drop_id; ","")&amp;IF(AND($B849&lt;&gt;"",COUNTIF(drops!$A$2:$A$21,$B849)=0),"drop_id not on drops; ",""))</f>
        <v/>
      </c>
    </row>
    <row r="850">
      <c r="A850" s="9" t="n"/>
      <c r="E850" s="10" t="n"/>
      <c r="G850" s="25">
        <f>IF($A850="","",IF(ISNA(MATCH($D850,{"brand_sales","office_coordination","receiving_kitting","drop_day","checks_pickup","reporting_debriefs","admin_invoicing"},0)),"activity must be one of the seven keys; ","")&amp;IF(OR(N($E850)&lt;=0,N($E850)&gt;16),"hours?; ","")&amp;IF(AND($C850&lt;&gt;"",$B850=""),"campaign without drop_id; ","")&amp;IF(AND($B850&lt;&gt;"",COUNTIF(drops!$A$2:$A$21,$B850)=0),"drop_id not on drops; ",""))</f>
        <v/>
      </c>
    </row>
    <row r="851">
      <c r="A851" s="9" t="n"/>
      <c r="E851" s="10" t="n"/>
      <c r="G851" s="25">
        <f>IF($A851="","",IF(ISNA(MATCH($D851,{"brand_sales","office_coordination","receiving_kitting","drop_day","checks_pickup","reporting_debriefs","admin_invoicing"},0)),"activity must be one of the seven keys; ","")&amp;IF(OR(N($E851)&lt;=0,N($E851)&gt;16),"hours?; ","")&amp;IF(AND($C851&lt;&gt;"",$B851=""),"campaign without drop_id; ","")&amp;IF(AND($B851&lt;&gt;"",COUNTIF(drops!$A$2:$A$21,$B851)=0),"drop_id not on drops; ",""))</f>
        <v/>
      </c>
    </row>
    <row r="852">
      <c r="A852" s="9" t="n"/>
      <c r="E852" s="10" t="n"/>
      <c r="G852" s="25">
        <f>IF($A852="","",IF(ISNA(MATCH($D852,{"brand_sales","office_coordination","receiving_kitting","drop_day","checks_pickup","reporting_debriefs","admin_invoicing"},0)),"activity must be one of the seven keys; ","")&amp;IF(OR(N($E852)&lt;=0,N($E852)&gt;16),"hours?; ","")&amp;IF(AND($C852&lt;&gt;"",$B852=""),"campaign without drop_id; ","")&amp;IF(AND($B852&lt;&gt;"",COUNTIF(drops!$A$2:$A$21,$B852)=0),"drop_id not on drops; ",""))</f>
        <v/>
      </c>
    </row>
    <row r="853">
      <c r="A853" s="9" t="n"/>
      <c r="E853" s="10" t="n"/>
      <c r="G853" s="25">
        <f>IF($A853="","",IF(ISNA(MATCH($D853,{"brand_sales","office_coordination","receiving_kitting","drop_day","checks_pickup","reporting_debriefs","admin_invoicing"},0)),"activity must be one of the seven keys; ","")&amp;IF(OR(N($E853)&lt;=0,N($E853)&gt;16),"hours?; ","")&amp;IF(AND($C853&lt;&gt;"",$B853=""),"campaign without drop_id; ","")&amp;IF(AND($B853&lt;&gt;"",COUNTIF(drops!$A$2:$A$21,$B853)=0),"drop_id not on drops; ",""))</f>
        <v/>
      </c>
    </row>
    <row r="854">
      <c r="A854" s="9" t="n"/>
      <c r="E854" s="10" t="n"/>
      <c r="G854" s="25">
        <f>IF($A854="","",IF(ISNA(MATCH($D854,{"brand_sales","office_coordination","receiving_kitting","drop_day","checks_pickup","reporting_debriefs","admin_invoicing"},0)),"activity must be one of the seven keys; ","")&amp;IF(OR(N($E854)&lt;=0,N($E854)&gt;16),"hours?; ","")&amp;IF(AND($C854&lt;&gt;"",$B854=""),"campaign without drop_id; ","")&amp;IF(AND($B854&lt;&gt;"",COUNTIF(drops!$A$2:$A$21,$B854)=0),"drop_id not on drops; ",""))</f>
        <v/>
      </c>
    </row>
    <row r="855">
      <c r="A855" s="9" t="n"/>
      <c r="E855" s="10" t="n"/>
      <c r="G855" s="25">
        <f>IF($A855="","",IF(ISNA(MATCH($D855,{"brand_sales","office_coordination","receiving_kitting","drop_day","checks_pickup","reporting_debriefs","admin_invoicing"},0)),"activity must be one of the seven keys; ","")&amp;IF(OR(N($E855)&lt;=0,N($E855)&gt;16),"hours?; ","")&amp;IF(AND($C855&lt;&gt;"",$B855=""),"campaign without drop_id; ","")&amp;IF(AND($B855&lt;&gt;"",COUNTIF(drops!$A$2:$A$21,$B855)=0),"drop_id not on drops; ",""))</f>
        <v/>
      </c>
    </row>
    <row r="856">
      <c r="A856" s="9" t="n"/>
      <c r="E856" s="10" t="n"/>
      <c r="G856" s="25">
        <f>IF($A856="","",IF(ISNA(MATCH($D856,{"brand_sales","office_coordination","receiving_kitting","drop_day","checks_pickup","reporting_debriefs","admin_invoicing"},0)),"activity must be one of the seven keys; ","")&amp;IF(OR(N($E856)&lt;=0,N($E856)&gt;16),"hours?; ","")&amp;IF(AND($C856&lt;&gt;"",$B856=""),"campaign without drop_id; ","")&amp;IF(AND($B856&lt;&gt;"",COUNTIF(drops!$A$2:$A$21,$B856)=0),"drop_id not on drops; ",""))</f>
        <v/>
      </c>
    </row>
    <row r="857">
      <c r="A857" s="9" t="n"/>
      <c r="E857" s="10" t="n"/>
      <c r="G857" s="25">
        <f>IF($A857="","",IF(ISNA(MATCH($D857,{"brand_sales","office_coordination","receiving_kitting","drop_day","checks_pickup","reporting_debriefs","admin_invoicing"},0)),"activity must be one of the seven keys; ","")&amp;IF(OR(N($E857)&lt;=0,N($E857)&gt;16),"hours?; ","")&amp;IF(AND($C857&lt;&gt;"",$B857=""),"campaign without drop_id; ","")&amp;IF(AND($B857&lt;&gt;"",COUNTIF(drops!$A$2:$A$21,$B857)=0),"drop_id not on drops; ",""))</f>
        <v/>
      </c>
    </row>
    <row r="858">
      <c r="A858" s="9" t="n"/>
      <c r="E858" s="10" t="n"/>
      <c r="G858" s="25">
        <f>IF($A858="","",IF(ISNA(MATCH($D858,{"brand_sales","office_coordination","receiving_kitting","drop_day","checks_pickup","reporting_debriefs","admin_invoicing"},0)),"activity must be one of the seven keys; ","")&amp;IF(OR(N($E858)&lt;=0,N($E858)&gt;16),"hours?; ","")&amp;IF(AND($C858&lt;&gt;"",$B858=""),"campaign without drop_id; ","")&amp;IF(AND($B858&lt;&gt;"",COUNTIF(drops!$A$2:$A$21,$B858)=0),"drop_id not on drops; ",""))</f>
        <v/>
      </c>
    </row>
    <row r="859">
      <c r="A859" s="9" t="n"/>
      <c r="E859" s="10" t="n"/>
      <c r="G859" s="25">
        <f>IF($A859="","",IF(ISNA(MATCH($D859,{"brand_sales","office_coordination","receiving_kitting","drop_day","checks_pickup","reporting_debriefs","admin_invoicing"},0)),"activity must be one of the seven keys; ","")&amp;IF(OR(N($E859)&lt;=0,N($E859)&gt;16),"hours?; ","")&amp;IF(AND($C859&lt;&gt;"",$B859=""),"campaign without drop_id; ","")&amp;IF(AND($B859&lt;&gt;"",COUNTIF(drops!$A$2:$A$21,$B859)=0),"drop_id not on drops; ",""))</f>
        <v/>
      </c>
    </row>
    <row r="860">
      <c r="A860" s="9" t="n"/>
      <c r="E860" s="10" t="n"/>
      <c r="G860" s="25">
        <f>IF($A860="","",IF(ISNA(MATCH($D860,{"brand_sales","office_coordination","receiving_kitting","drop_day","checks_pickup","reporting_debriefs","admin_invoicing"},0)),"activity must be one of the seven keys; ","")&amp;IF(OR(N($E860)&lt;=0,N($E860)&gt;16),"hours?; ","")&amp;IF(AND($C860&lt;&gt;"",$B860=""),"campaign without drop_id; ","")&amp;IF(AND($B860&lt;&gt;"",COUNTIF(drops!$A$2:$A$21,$B860)=0),"drop_id not on drops; ",""))</f>
        <v/>
      </c>
    </row>
    <row r="861">
      <c r="A861" s="9" t="n"/>
      <c r="E861" s="10" t="n"/>
      <c r="G861" s="25">
        <f>IF($A861="","",IF(ISNA(MATCH($D861,{"brand_sales","office_coordination","receiving_kitting","drop_day","checks_pickup","reporting_debriefs","admin_invoicing"},0)),"activity must be one of the seven keys; ","")&amp;IF(OR(N($E861)&lt;=0,N($E861)&gt;16),"hours?; ","")&amp;IF(AND($C861&lt;&gt;"",$B861=""),"campaign without drop_id; ","")&amp;IF(AND($B861&lt;&gt;"",COUNTIF(drops!$A$2:$A$21,$B861)=0),"drop_id not on drops; ",""))</f>
        <v/>
      </c>
    </row>
    <row r="862">
      <c r="A862" s="9" t="n"/>
      <c r="E862" s="10" t="n"/>
      <c r="G862" s="25">
        <f>IF($A862="","",IF(ISNA(MATCH($D862,{"brand_sales","office_coordination","receiving_kitting","drop_day","checks_pickup","reporting_debriefs","admin_invoicing"},0)),"activity must be one of the seven keys; ","")&amp;IF(OR(N($E862)&lt;=0,N($E862)&gt;16),"hours?; ","")&amp;IF(AND($C862&lt;&gt;"",$B862=""),"campaign without drop_id; ","")&amp;IF(AND($B862&lt;&gt;"",COUNTIF(drops!$A$2:$A$21,$B862)=0),"drop_id not on drops; ",""))</f>
        <v/>
      </c>
    </row>
    <row r="863">
      <c r="A863" s="9" t="n"/>
      <c r="E863" s="10" t="n"/>
      <c r="G863" s="25">
        <f>IF($A863="","",IF(ISNA(MATCH($D863,{"brand_sales","office_coordination","receiving_kitting","drop_day","checks_pickup","reporting_debriefs","admin_invoicing"},0)),"activity must be one of the seven keys; ","")&amp;IF(OR(N($E863)&lt;=0,N($E863)&gt;16),"hours?; ","")&amp;IF(AND($C863&lt;&gt;"",$B863=""),"campaign without drop_id; ","")&amp;IF(AND($B863&lt;&gt;"",COUNTIF(drops!$A$2:$A$21,$B863)=0),"drop_id not on drops; ",""))</f>
        <v/>
      </c>
    </row>
    <row r="864">
      <c r="A864" s="9" t="n"/>
      <c r="E864" s="10" t="n"/>
      <c r="G864" s="25">
        <f>IF($A864="","",IF(ISNA(MATCH($D864,{"brand_sales","office_coordination","receiving_kitting","drop_day","checks_pickup","reporting_debriefs","admin_invoicing"},0)),"activity must be one of the seven keys; ","")&amp;IF(OR(N($E864)&lt;=0,N($E864)&gt;16),"hours?; ","")&amp;IF(AND($C864&lt;&gt;"",$B864=""),"campaign without drop_id; ","")&amp;IF(AND($B864&lt;&gt;"",COUNTIF(drops!$A$2:$A$21,$B864)=0),"drop_id not on drops; ",""))</f>
        <v/>
      </c>
    </row>
    <row r="865">
      <c r="A865" s="9" t="n"/>
      <c r="E865" s="10" t="n"/>
      <c r="G865" s="25">
        <f>IF($A865="","",IF(ISNA(MATCH($D865,{"brand_sales","office_coordination","receiving_kitting","drop_day","checks_pickup","reporting_debriefs","admin_invoicing"},0)),"activity must be one of the seven keys; ","")&amp;IF(OR(N($E865)&lt;=0,N($E865)&gt;16),"hours?; ","")&amp;IF(AND($C865&lt;&gt;"",$B865=""),"campaign without drop_id; ","")&amp;IF(AND($B865&lt;&gt;"",COUNTIF(drops!$A$2:$A$21,$B865)=0),"drop_id not on drops; ",""))</f>
        <v/>
      </c>
    </row>
    <row r="866">
      <c r="A866" s="9" t="n"/>
      <c r="E866" s="10" t="n"/>
      <c r="G866" s="25">
        <f>IF($A866="","",IF(ISNA(MATCH($D866,{"brand_sales","office_coordination","receiving_kitting","drop_day","checks_pickup","reporting_debriefs","admin_invoicing"},0)),"activity must be one of the seven keys; ","")&amp;IF(OR(N($E866)&lt;=0,N($E866)&gt;16),"hours?; ","")&amp;IF(AND($C866&lt;&gt;"",$B866=""),"campaign without drop_id; ","")&amp;IF(AND($B866&lt;&gt;"",COUNTIF(drops!$A$2:$A$21,$B866)=0),"drop_id not on drops; ",""))</f>
        <v/>
      </c>
    </row>
    <row r="867">
      <c r="A867" s="9" t="n"/>
      <c r="E867" s="10" t="n"/>
      <c r="G867" s="25">
        <f>IF($A867="","",IF(ISNA(MATCH($D867,{"brand_sales","office_coordination","receiving_kitting","drop_day","checks_pickup","reporting_debriefs","admin_invoicing"},0)),"activity must be one of the seven keys; ","")&amp;IF(OR(N($E867)&lt;=0,N($E867)&gt;16),"hours?; ","")&amp;IF(AND($C867&lt;&gt;"",$B867=""),"campaign without drop_id; ","")&amp;IF(AND($B867&lt;&gt;"",COUNTIF(drops!$A$2:$A$21,$B867)=0),"drop_id not on drops; ",""))</f>
        <v/>
      </c>
    </row>
    <row r="868">
      <c r="A868" s="9" t="n"/>
      <c r="E868" s="10" t="n"/>
      <c r="G868" s="25">
        <f>IF($A868="","",IF(ISNA(MATCH($D868,{"brand_sales","office_coordination","receiving_kitting","drop_day","checks_pickup","reporting_debriefs","admin_invoicing"},0)),"activity must be one of the seven keys; ","")&amp;IF(OR(N($E868)&lt;=0,N($E868)&gt;16),"hours?; ","")&amp;IF(AND($C868&lt;&gt;"",$B868=""),"campaign without drop_id; ","")&amp;IF(AND($B868&lt;&gt;"",COUNTIF(drops!$A$2:$A$21,$B868)=0),"drop_id not on drops; ",""))</f>
        <v/>
      </c>
    </row>
    <row r="869">
      <c r="A869" s="9" t="n"/>
      <c r="E869" s="10" t="n"/>
      <c r="G869" s="25">
        <f>IF($A869="","",IF(ISNA(MATCH($D869,{"brand_sales","office_coordination","receiving_kitting","drop_day","checks_pickup","reporting_debriefs","admin_invoicing"},0)),"activity must be one of the seven keys; ","")&amp;IF(OR(N($E869)&lt;=0,N($E869)&gt;16),"hours?; ","")&amp;IF(AND($C869&lt;&gt;"",$B869=""),"campaign without drop_id; ","")&amp;IF(AND($B869&lt;&gt;"",COUNTIF(drops!$A$2:$A$21,$B869)=0),"drop_id not on drops; ",""))</f>
        <v/>
      </c>
    </row>
    <row r="870">
      <c r="A870" s="9" t="n"/>
      <c r="E870" s="10" t="n"/>
      <c r="G870" s="25">
        <f>IF($A870="","",IF(ISNA(MATCH($D870,{"brand_sales","office_coordination","receiving_kitting","drop_day","checks_pickup","reporting_debriefs","admin_invoicing"},0)),"activity must be one of the seven keys; ","")&amp;IF(OR(N($E870)&lt;=0,N($E870)&gt;16),"hours?; ","")&amp;IF(AND($C870&lt;&gt;"",$B870=""),"campaign without drop_id; ","")&amp;IF(AND($B870&lt;&gt;"",COUNTIF(drops!$A$2:$A$21,$B870)=0),"drop_id not on drops; ",""))</f>
        <v/>
      </c>
    </row>
    <row r="871">
      <c r="A871" s="9" t="n"/>
      <c r="E871" s="10" t="n"/>
      <c r="G871" s="25">
        <f>IF($A871="","",IF(ISNA(MATCH($D871,{"brand_sales","office_coordination","receiving_kitting","drop_day","checks_pickup","reporting_debriefs","admin_invoicing"},0)),"activity must be one of the seven keys; ","")&amp;IF(OR(N($E871)&lt;=0,N($E871)&gt;16),"hours?; ","")&amp;IF(AND($C871&lt;&gt;"",$B871=""),"campaign without drop_id; ","")&amp;IF(AND($B871&lt;&gt;"",COUNTIF(drops!$A$2:$A$21,$B871)=0),"drop_id not on drops; ",""))</f>
        <v/>
      </c>
    </row>
    <row r="872">
      <c r="A872" s="9" t="n"/>
      <c r="E872" s="10" t="n"/>
      <c r="G872" s="25">
        <f>IF($A872="","",IF(ISNA(MATCH($D872,{"brand_sales","office_coordination","receiving_kitting","drop_day","checks_pickup","reporting_debriefs","admin_invoicing"},0)),"activity must be one of the seven keys; ","")&amp;IF(OR(N($E872)&lt;=0,N($E872)&gt;16),"hours?; ","")&amp;IF(AND($C872&lt;&gt;"",$B872=""),"campaign without drop_id; ","")&amp;IF(AND($B872&lt;&gt;"",COUNTIF(drops!$A$2:$A$21,$B872)=0),"drop_id not on drops; ",""))</f>
        <v/>
      </c>
    </row>
    <row r="873">
      <c r="A873" s="9" t="n"/>
      <c r="E873" s="10" t="n"/>
      <c r="G873" s="25">
        <f>IF($A873="","",IF(ISNA(MATCH($D873,{"brand_sales","office_coordination","receiving_kitting","drop_day","checks_pickup","reporting_debriefs","admin_invoicing"},0)),"activity must be one of the seven keys; ","")&amp;IF(OR(N($E873)&lt;=0,N($E873)&gt;16),"hours?; ","")&amp;IF(AND($C873&lt;&gt;"",$B873=""),"campaign without drop_id; ","")&amp;IF(AND($B873&lt;&gt;"",COUNTIF(drops!$A$2:$A$21,$B873)=0),"drop_id not on drops; ",""))</f>
        <v/>
      </c>
    </row>
    <row r="874">
      <c r="A874" s="9" t="n"/>
      <c r="E874" s="10" t="n"/>
      <c r="G874" s="25">
        <f>IF($A874="","",IF(ISNA(MATCH($D874,{"brand_sales","office_coordination","receiving_kitting","drop_day","checks_pickup","reporting_debriefs","admin_invoicing"},0)),"activity must be one of the seven keys; ","")&amp;IF(OR(N($E874)&lt;=0,N($E874)&gt;16),"hours?; ","")&amp;IF(AND($C874&lt;&gt;"",$B874=""),"campaign without drop_id; ","")&amp;IF(AND($B874&lt;&gt;"",COUNTIF(drops!$A$2:$A$21,$B874)=0),"drop_id not on drops; ",""))</f>
        <v/>
      </c>
    </row>
    <row r="875">
      <c r="A875" s="9" t="n"/>
      <c r="E875" s="10" t="n"/>
      <c r="G875" s="25">
        <f>IF($A875="","",IF(ISNA(MATCH($D875,{"brand_sales","office_coordination","receiving_kitting","drop_day","checks_pickup","reporting_debriefs","admin_invoicing"},0)),"activity must be one of the seven keys; ","")&amp;IF(OR(N($E875)&lt;=0,N($E875)&gt;16),"hours?; ","")&amp;IF(AND($C875&lt;&gt;"",$B875=""),"campaign without drop_id; ","")&amp;IF(AND($B875&lt;&gt;"",COUNTIF(drops!$A$2:$A$21,$B875)=0),"drop_id not on drops; ",""))</f>
        <v/>
      </c>
    </row>
    <row r="876">
      <c r="A876" s="9" t="n"/>
      <c r="E876" s="10" t="n"/>
      <c r="G876" s="25">
        <f>IF($A876="","",IF(ISNA(MATCH($D876,{"brand_sales","office_coordination","receiving_kitting","drop_day","checks_pickup","reporting_debriefs","admin_invoicing"},0)),"activity must be one of the seven keys; ","")&amp;IF(OR(N($E876)&lt;=0,N($E876)&gt;16),"hours?; ","")&amp;IF(AND($C876&lt;&gt;"",$B876=""),"campaign without drop_id; ","")&amp;IF(AND($B876&lt;&gt;"",COUNTIF(drops!$A$2:$A$21,$B876)=0),"drop_id not on drops; ",""))</f>
        <v/>
      </c>
    </row>
    <row r="877">
      <c r="A877" s="9" t="n"/>
      <c r="E877" s="10" t="n"/>
      <c r="G877" s="25">
        <f>IF($A877="","",IF(ISNA(MATCH($D877,{"brand_sales","office_coordination","receiving_kitting","drop_day","checks_pickup","reporting_debriefs","admin_invoicing"},0)),"activity must be one of the seven keys; ","")&amp;IF(OR(N($E877)&lt;=0,N($E877)&gt;16),"hours?; ","")&amp;IF(AND($C877&lt;&gt;"",$B877=""),"campaign without drop_id; ","")&amp;IF(AND($B877&lt;&gt;"",COUNTIF(drops!$A$2:$A$21,$B877)=0),"drop_id not on drops; ",""))</f>
        <v/>
      </c>
    </row>
    <row r="878">
      <c r="A878" s="9" t="n"/>
      <c r="E878" s="10" t="n"/>
      <c r="G878" s="25">
        <f>IF($A878="","",IF(ISNA(MATCH($D878,{"brand_sales","office_coordination","receiving_kitting","drop_day","checks_pickup","reporting_debriefs","admin_invoicing"},0)),"activity must be one of the seven keys; ","")&amp;IF(OR(N($E878)&lt;=0,N($E878)&gt;16),"hours?; ","")&amp;IF(AND($C878&lt;&gt;"",$B878=""),"campaign without drop_id; ","")&amp;IF(AND($B878&lt;&gt;"",COUNTIF(drops!$A$2:$A$21,$B878)=0),"drop_id not on drops; ",""))</f>
        <v/>
      </c>
    </row>
    <row r="879">
      <c r="A879" s="9" t="n"/>
      <c r="E879" s="10" t="n"/>
      <c r="G879" s="25">
        <f>IF($A879="","",IF(ISNA(MATCH($D879,{"brand_sales","office_coordination","receiving_kitting","drop_day","checks_pickup","reporting_debriefs","admin_invoicing"},0)),"activity must be one of the seven keys; ","")&amp;IF(OR(N($E879)&lt;=0,N($E879)&gt;16),"hours?; ","")&amp;IF(AND($C879&lt;&gt;"",$B879=""),"campaign without drop_id; ","")&amp;IF(AND($B879&lt;&gt;"",COUNTIF(drops!$A$2:$A$21,$B879)=0),"drop_id not on drops; ",""))</f>
        <v/>
      </c>
    </row>
    <row r="880">
      <c r="A880" s="9" t="n"/>
      <c r="E880" s="10" t="n"/>
      <c r="G880" s="25">
        <f>IF($A880="","",IF(ISNA(MATCH($D880,{"brand_sales","office_coordination","receiving_kitting","drop_day","checks_pickup","reporting_debriefs","admin_invoicing"},0)),"activity must be one of the seven keys; ","")&amp;IF(OR(N($E880)&lt;=0,N($E880)&gt;16),"hours?; ","")&amp;IF(AND($C880&lt;&gt;"",$B880=""),"campaign without drop_id; ","")&amp;IF(AND($B880&lt;&gt;"",COUNTIF(drops!$A$2:$A$21,$B880)=0),"drop_id not on drops; ",""))</f>
        <v/>
      </c>
    </row>
    <row r="881">
      <c r="A881" s="9" t="n"/>
      <c r="E881" s="10" t="n"/>
      <c r="G881" s="25">
        <f>IF($A881="","",IF(ISNA(MATCH($D881,{"brand_sales","office_coordination","receiving_kitting","drop_day","checks_pickup","reporting_debriefs","admin_invoicing"},0)),"activity must be one of the seven keys; ","")&amp;IF(OR(N($E881)&lt;=0,N($E881)&gt;16),"hours?; ","")&amp;IF(AND($C881&lt;&gt;"",$B881=""),"campaign without drop_id; ","")&amp;IF(AND($B881&lt;&gt;"",COUNTIF(drops!$A$2:$A$21,$B881)=0),"drop_id not on drops; ",""))</f>
        <v/>
      </c>
    </row>
    <row r="882">
      <c r="A882" s="9" t="n"/>
      <c r="E882" s="10" t="n"/>
      <c r="G882" s="25">
        <f>IF($A882="","",IF(ISNA(MATCH($D882,{"brand_sales","office_coordination","receiving_kitting","drop_day","checks_pickup","reporting_debriefs","admin_invoicing"},0)),"activity must be one of the seven keys; ","")&amp;IF(OR(N($E882)&lt;=0,N($E882)&gt;16),"hours?; ","")&amp;IF(AND($C882&lt;&gt;"",$B882=""),"campaign without drop_id; ","")&amp;IF(AND($B882&lt;&gt;"",COUNTIF(drops!$A$2:$A$21,$B882)=0),"drop_id not on drops; ",""))</f>
        <v/>
      </c>
    </row>
    <row r="883">
      <c r="A883" s="9" t="n"/>
      <c r="E883" s="10" t="n"/>
      <c r="G883" s="25">
        <f>IF($A883="","",IF(ISNA(MATCH($D883,{"brand_sales","office_coordination","receiving_kitting","drop_day","checks_pickup","reporting_debriefs","admin_invoicing"},0)),"activity must be one of the seven keys; ","")&amp;IF(OR(N($E883)&lt;=0,N($E883)&gt;16),"hours?; ","")&amp;IF(AND($C883&lt;&gt;"",$B883=""),"campaign without drop_id; ","")&amp;IF(AND($B883&lt;&gt;"",COUNTIF(drops!$A$2:$A$21,$B883)=0),"drop_id not on drops; ",""))</f>
        <v/>
      </c>
    </row>
    <row r="884">
      <c r="A884" s="9" t="n"/>
      <c r="E884" s="10" t="n"/>
      <c r="G884" s="25">
        <f>IF($A884="","",IF(ISNA(MATCH($D884,{"brand_sales","office_coordination","receiving_kitting","drop_day","checks_pickup","reporting_debriefs","admin_invoicing"},0)),"activity must be one of the seven keys; ","")&amp;IF(OR(N($E884)&lt;=0,N($E884)&gt;16),"hours?; ","")&amp;IF(AND($C884&lt;&gt;"",$B884=""),"campaign without drop_id; ","")&amp;IF(AND($B884&lt;&gt;"",COUNTIF(drops!$A$2:$A$21,$B884)=0),"drop_id not on drops; ",""))</f>
        <v/>
      </c>
    </row>
    <row r="885">
      <c r="A885" s="9" t="n"/>
      <c r="E885" s="10" t="n"/>
      <c r="G885" s="25">
        <f>IF($A885="","",IF(ISNA(MATCH($D885,{"brand_sales","office_coordination","receiving_kitting","drop_day","checks_pickup","reporting_debriefs","admin_invoicing"},0)),"activity must be one of the seven keys; ","")&amp;IF(OR(N($E885)&lt;=0,N($E885)&gt;16),"hours?; ","")&amp;IF(AND($C885&lt;&gt;"",$B885=""),"campaign without drop_id; ","")&amp;IF(AND($B885&lt;&gt;"",COUNTIF(drops!$A$2:$A$21,$B885)=0),"drop_id not on drops; ",""))</f>
        <v/>
      </c>
    </row>
    <row r="886">
      <c r="A886" s="9" t="n"/>
      <c r="E886" s="10" t="n"/>
      <c r="G886" s="25">
        <f>IF($A886="","",IF(ISNA(MATCH($D886,{"brand_sales","office_coordination","receiving_kitting","drop_day","checks_pickup","reporting_debriefs","admin_invoicing"},0)),"activity must be one of the seven keys; ","")&amp;IF(OR(N($E886)&lt;=0,N($E886)&gt;16),"hours?; ","")&amp;IF(AND($C886&lt;&gt;"",$B886=""),"campaign without drop_id; ","")&amp;IF(AND($B886&lt;&gt;"",COUNTIF(drops!$A$2:$A$21,$B886)=0),"drop_id not on drops; ",""))</f>
        <v/>
      </c>
    </row>
    <row r="887">
      <c r="A887" s="9" t="n"/>
      <c r="E887" s="10" t="n"/>
      <c r="G887" s="25">
        <f>IF($A887="","",IF(ISNA(MATCH($D887,{"brand_sales","office_coordination","receiving_kitting","drop_day","checks_pickup","reporting_debriefs","admin_invoicing"},0)),"activity must be one of the seven keys; ","")&amp;IF(OR(N($E887)&lt;=0,N($E887)&gt;16),"hours?; ","")&amp;IF(AND($C887&lt;&gt;"",$B887=""),"campaign without drop_id; ","")&amp;IF(AND($B887&lt;&gt;"",COUNTIF(drops!$A$2:$A$21,$B887)=0),"drop_id not on drops; ",""))</f>
        <v/>
      </c>
    </row>
    <row r="888">
      <c r="A888" s="9" t="n"/>
      <c r="E888" s="10" t="n"/>
      <c r="G888" s="25">
        <f>IF($A888="","",IF(ISNA(MATCH($D888,{"brand_sales","office_coordination","receiving_kitting","drop_day","checks_pickup","reporting_debriefs","admin_invoicing"},0)),"activity must be one of the seven keys; ","")&amp;IF(OR(N($E888)&lt;=0,N($E888)&gt;16),"hours?; ","")&amp;IF(AND($C888&lt;&gt;"",$B888=""),"campaign without drop_id; ","")&amp;IF(AND($B888&lt;&gt;"",COUNTIF(drops!$A$2:$A$21,$B888)=0),"drop_id not on drops; ",""))</f>
        <v/>
      </c>
    </row>
    <row r="889">
      <c r="A889" s="9" t="n"/>
      <c r="E889" s="10" t="n"/>
      <c r="G889" s="25">
        <f>IF($A889="","",IF(ISNA(MATCH($D889,{"brand_sales","office_coordination","receiving_kitting","drop_day","checks_pickup","reporting_debriefs","admin_invoicing"},0)),"activity must be one of the seven keys; ","")&amp;IF(OR(N($E889)&lt;=0,N($E889)&gt;16),"hours?; ","")&amp;IF(AND($C889&lt;&gt;"",$B889=""),"campaign without drop_id; ","")&amp;IF(AND($B889&lt;&gt;"",COUNTIF(drops!$A$2:$A$21,$B889)=0),"drop_id not on drops; ",""))</f>
        <v/>
      </c>
    </row>
    <row r="890">
      <c r="A890" s="9" t="n"/>
      <c r="E890" s="10" t="n"/>
      <c r="G890" s="25">
        <f>IF($A890="","",IF(ISNA(MATCH($D890,{"brand_sales","office_coordination","receiving_kitting","drop_day","checks_pickup","reporting_debriefs","admin_invoicing"},0)),"activity must be one of the seven keys; ","")&amp;IF(OR(N($E890)&lt;=0,N($E890)&gt;16),"hours?; ","")&amp;IF(AND($C890&lt;&gt;"",$B890=""),"campaign without drop_id; ","")&amp;IF(AND($B890&lt;&gt;"",COUNTIF(drops!$A$2:$A$21,$B890)=0),"drop_id not on drops; ",""))</f>
        <v/>
      </c>
    </row>
    <row r="891">
      <c r="A891" s="9" t="n"/>
      <c r="E891" s="10" t="n"/>
      <c r="G891" s="25">
        <f>IF($A891="","",IF(ISNA(MATCH($D891,{"brand_sales","office_coordination","receiving_kitting","drop_day","checks_pickup","reporting_debriefs","admin_invoicing"},0)),"activity must be one of the seven keys; ","")&amp;IF(OR(N($E891)&lt;=0,N($E891)&gt;16),"hours?; ","")&amp;IF(AND($C891&lt;&gt;"",$B891=""),"campaign without drop_id; ","")&amp;IF(AND($B891&lt;&gt;"",COUNTIF(drops!$A$2:$A$21,$B891)=0),"drop_id not on drops; ",""))</f>
        <v/>
      </c>
    </row>
    <row r="892">
      <c r="A892" s="9" t="n"/>
      <c r="E892" s="10" t="n"/>
      <c r="G892" s="25">
        <f>IF($A892="","",IF(ISNA(MATCH($D892,{"brand_sales","office_coordination","receiving_kitting","drop_day","checks_pickup","reporting_debriefs","admin_invoicing"},0)),"activity must be one of the seven keys; ","")&amp;IF(OR(N($E892)&lt;=0,N($E892)&gt;16),"hours?; ","")&amp;IF(AND($C892&lt;&gt;"",$B892=""),"campaign without drop_id; ","")&amp;IF(AND($B892&lt;&gt;"",COUNTIF(drops!$A$2:$A$21,$B892)=0),"drop_id not on drops; ",""))</f>
        <v/>
      </c>
    </row>
    <row r="893">
      <c r="A893" s="9" t="n"/>
      <c r="E893" s="10" t="n"/>
      <c r="G893" s="25">
        <f>IF($A893="","",IF(ISNA(MATCH($D893,{"brand_sales","office_coordination","receiving_kitting","drop_day","checks_pickup","reporting_debriefs","admin_invoicing"},0)),"activity must be one of the seven keys; ","")&amp;IF(OR(N($E893)&lt;=0,N($E893)&gt;16),"hours?; ","")&amp;IF(AND($C893&lt;&gt;"",$B893=""),"campaign without drop_id; ","")&amp;IF(AND($B893&lt;&gt;"",COUNTIF(drops!$A$2:$A$21,$B893)=0),"drop_id not on drops; ",""))</f>
        <v/>
      </c>
    </row>
    <row r="894">
      <c r="A894" s="9" t="n"/>
      <c r="E894" s="10" t="n"/>
      <c r="G894" s="25">
        <f>IF($A894="","",IF(ISNA(MATCH($D894,{"brand_sales","office_coordination","receiving_kitting","drop_day","checks_pickup","reporting_debriefs","admin_invoicing"},0)),"activity must be one of the seven keys; ","")&amp;IF(OR(N($E894)&lt;=0,N($E894)&gt;16),"hours?; ","")&amp;IF(AND($C894&lt;&gt;"",$B894=""),"campaign without drop_id; ","")&amp;IF(AND($B894&lt;&gt;"",COUNTIF(drops!$A$2:$A$21,$B894)=0),"drop_id not on drops; ",""))</f>
        <v/>
      </c>
    </row>
    <row r="895">
      <c r="A895" s="9" t="n"/>
      <c r="E895" s="10" t="n"/>
      <c r="G895" s="25">
        <f>IF($A895="","",IF(ISNA(MATCH($D895,{"brand_sales","office_coordination","receiving_kitting","drop_day","checks_pickup","reporting_debriefs","admin_invoicing"},0)),"activity must be one of the seven keys; ","")&amp;IF(OR(N($E895)&lt;=0,N($E895)&gt;16),"hours?; ","")&amp;IF(AND($C895&lt;&gt;"",$B895=""),"campaign without drop_id; ","")&amp;IF(AND($B895&lt;&gt;"",COUNTIF(drops!$A$2:$A$21,$B895)=0),"drop_id not on drops; ",""))</f>
        <v/>
      </c>
    </row>
    <row r="896">
      <c r="A896" s="9" t="n"/>
      <c r="E896" s="10" t="n"/>
      <c r="G896" s="25">
        <f>IF($A896="","",IF(ISNA(MATCH($D896,{"brand_sales","office_coordination","receiving_kitting","drop_day","checks_pickup","reporting_debriefs","admin_invoicing"},0)),"activity must be one of the seven keys; ","")&amp;IF(OR(N($E896)&lt;=0,N($E896)&gt;16),"hours?; ","")&amp;IF(AND($C896&lt;&gt;"",$B896=""),"campaign without drop_id; ","")&amp;IF(AND($B896&lt;&gt;"",COUNTIF(drops!$A$2:$A$21,$B896)=0),"drop_id not on drops; ",""))</f>
        <v/>
      </c>
    </row>
    <row r="897">
      <c r="A897" s="9" t="n"/>
      <c r="E897" s="10" t="n"/>
      <c r="G897" s="25">
        <f>IF($A897="","",IF(ISNA(MATCH($D897,{"brand_sales","office_coordination","receiving_kitting","drop_day","checks_pickup","reporting_debriefs","admin_invoicing"},0)),"activity must be one of the seven keys; ","")&amp;IF(OR(N($E897)&lt;=0,N($E897)&gt;16),"hours?; ","")&amp;IF(AND($C897&lt;&gt;"",$B897=""),"campaign without drop_id; ","")&amp;IF(AND($B897&lt;&gt;"",COUNTIF(drops!$A$2:$A$21,$B897)=0),"drop_id not on drops; ",""))</f>
        <v/>
      </c>
    </row>
    <row r="898">
      <c r="A898" s="9" t="n"/>
      <c r="E898" s="10" t="n"/>
      <c r="G898" s="25">
        <f>IF($A898="","",IF(ISNA(MATCH($D898,{"brand_sales","office_coordination","receiving_kitting","drop_day","checks_pickup","reporting_debriefs","admin_invoicing"},0)),"activity must be one of the seven keys; ","")&amp;IF(OR(N($E898)&lt;=0,N($E898)&gt;16),"hours?; ","")&amp;IF(AND($C898&lt;&gt;"",$B898=""),"campaign without drop_id; ","")&amp;IF(AND($B898&lt;&gt;"",COUNTIF(drops!$A$2:$A$21,$B898)=0),"drop_id not on drops; ",""))</f>
        <v/>
      </c>
    </row>
    <row r="899">
      <c r="A899" s="9" t="n"/>
      <c r="E899" s="10" t="n"/>
      <c r="G899" s="25">
        <f>IF($A899="","",IF(ISNA(MATCH($D899,{"brand_sales","office_coordination","receiving_kitting","drop_day","checks_pickup","reporting_debriefs","admin_invoicing"},0)),"activity must be one of the seven keys; ","")&amp;IF(OR(N($E899)&lt;=0,N($E899)&gt;16),"hours?; ","")&amp;IF(AND($C899&lt;&gt;"",$B899=""),"campaign without drop_id; ","")&amp;IF(AND($B899&lt;&gt;"",COUNTIF(drops!$A$2:$A$21,$B899)=0),"drop_id not on drops; ",""))</f>
        <v/>
      </c>
    </row>
    <row r="900">
      <c r="A900" s="9" t="n"/>
      <c r="E900" s="10" t="n"/>
      <c r="G900" s="25">
        <f>IF($A900="","",IF(ISNA(MATCH($D900,{"brand_sales","office_coordination","receiving_kitting","drop_day","checks_pickup","reporting_debriefs","admin_invoicing"},0)),"activity must be one of the seven keys; ","")&amp;IF(OR(N($E900)&lt;=0,N($E900)&gt;16),"hours?; ","")&amp;IF(AND($C900&lt;&gt;"",$B900=""),"campaign without drop_id; ","")&amp;IF(AND($B900&lt;&gt;"",COUNTIF(drops!$A$2:$A$21,$B900)=0),"drop_id not on drops; ",""))</f>
        <v/>
      </c>
    </row>
    <row r="901">
      <c r="A901" s="9" t="n"/>
      <c r="E901" s="10" t="n"/>
      <c r="G901" s="25">
        <f>IF($A901="","",IF(ISNA(MATCH($D901,{"brand_sales","office_coordination","receiving_kitting","drop_day","checks_pickup","reporting_debriefs","admin_invoicing"},0)),"activity must be one of the seven keys; ","")&amp;IF(OR(N($E901)&lt;=0,N($E901)&gt;16),"hours?; ","")&amp;IF(AND($C901&lt;&gt;"",$B901=""),"campaign without drop_id; ","")&amp;IF(AND($B901&lt;&gt;"",COUNTIF(drops!$A$2:$A$21,$B901)=0),"drop_id not on drops; ",""))</f>
        <v/>
      </c>
    </row>
    <row r="902">
      <c r="A902" s="9" t="n"/>
      <c r="E902" s="10" t="n"/>
      <c r="G902" s="25">
        <f>IF($A902="","",IF(ISNA(MATCH($D902,{"brand_sales","office_coordination","receiving_kitting","drop_day","checks_pickup","reporting_debriefs","admin_invoicing"},0)),"activity must be one of the seven keys; ","")&amp;IF(OR(N($E902)&lt;=0,N($E902)&gt;16),"hours?; ","")&amp;IF(AND($C902&lt;&gt;"",$B902=""),"campaign without drop_id; ","")&amp;IF(AND($B902&lt;&gt;"",COUNTIF(drops!$A$2:$A$21,$B902)=0),"drop_id not on drops; ",""))</f>
        <v/>
      </c>
    </row>
    <row r="903">
      <c r="A903" s="9" t="n"/>
      <c r="E903" s="10" t="n"/>
      <c r="G903" s="25">
        <f>IF($A903="","",IF(ISNA(MATCH($D903,{"brand_sales","office_coordination","receiving_kitting","drop_day","checks_pickup","reporting_debriefs","admin_invoicing"},0)),"activity must be one of the seven keys; ","")&amp;IF(OR(N($E903)&lt;=0,N($E903)&gt;16),"hours?; ","")&amp;IF(AND($C903&lt;&gt;"",$B903=""),"campaign without drop_id; ","")&amp;IF(AND($B903&lt;&gt;"",COUNTIF(drops!$A$2:$A$21,$B903)=0),"drop_id not on drops; ",""))</f>
        <v/>
      </c>
    </row>
    <row r="904">
      <c r="A904" s="9" t="n"/>
      <c r="E904" s="10" t="n"/>
      <c r="G904" s="25">
        <f>IF($A904="","",IF(ISNA(MATCH($D904,{"brand_sales","office_coordination","receiving_kitting","drop_day","checks_pickup","reporting_debriefs","admin_invoicing"},0)),"activity must be one of the seven keys; ","")&amp;IF(OR(N($E904)&lt;=0,N($E904)&gt;16),"hours?; ","")&amp;IF(AND($C904&lt;&gt;"",$B904=""),"campaign without drop_id; ","")&amp;IF(AND($B904&lt;&gt;"",COUNTIF(drops!$A$2:$A$21,$B904)=0),"drop_id not on drops; ",""))</f>
        <v/>
      </c>
    </row>
    <row r="905">
      <c r="A905" s="9" t="n"/>
      <c r="E905" s="10" t="n"/>
      <c r="G905" s="25">
        <f>IF($A905="","",IF(ISNA(MATCH($D905,{"brand_sales","office_coordination","receiving_kitting","drop_day","checks_pickup","reporting_debriefs","admin_invoicing"},0)),"activity must be one of the seven keys; ","")&amp;IF(OR(N($E905)&lt;=0,N($E905)&gt;16),"hours?; ","")&amp;IF(AND($C905&lt;&gt;"",$B905=""),"campaign without drop_id; ","")&amp;IF(AND($B905&lt;&gt;"",COUNTIF(drops!$A$2:$A$21,$B905)=0),"drop_id not on drops; ",""))</f>
        <v/>
      </c>
    </row>
    <row r="906">
      <c r="A906" s="9" t="n"/>
      <c r="E906" s="10" t="n"/>
      <c r="G906" s="25">
        <f>IF($A906="","",IF(ISNA(MATCH($D906,{"brand_sales","office_coordination","receiving_kitting","drop_day","checks_pickup","reporting_debriefs","admin_invoicing"},0)),"activity must be one of the seven keys; ","")&amp;IF(OR(N($E906)&lt;=0,N($E906)&gt;16),"hours?; ","")&amp;IF(AND($C906&lt;&gt;"",$B906=""),"campaign without drop_id; ","")&amp;IF(AND($B906&lt;&gt;"",COUNTIF(drops!$A$2:$A$21,$B906)=0),"drop_id not on drops; ",""))</f>
        <v/>
      </c>
    </row>
    <row r="907">
      <c r="A907" s="9" t="n"/>
      <c r="E907" s="10" t="n"/>
      <c r="G907" s="25">
        <f>IF($A907="","",IF(ISNA(MATCH($D907,{"brand_sales","office_coordination","receiving_kitting","drop_day","checks_pickup","reporting_debriefs","admin_invoicing"},0)),"activity must be one of the seven keys; ","")&amp;IF(OR(N($E907)&lt;=0,N($E907)&gt;16),"hours?; ","")&amp;IF(AND($C907&lt;&gt;"",$B907=""),"campaign without drop_id; ","")&amp;IF(AND($B907&lt;&gt;"",COUNTIF(drops!$A$2:$A$21,$B907)=0),"drop_id not on drops; ",""))</f>
        <v/>
      </c>
    </row>
    <row r="908">
      <c r="A908" s="9" t="n"/>
      <c r="E908" s="10" t="n"/>
      <c r="G908" s="25">
        <f>IF($A908="","",IF(ISNA(MATCH($D908,{"brand_sales","office_coordination","receiving_kitting","drop_day","checks_pickup","reporting_debriefs","admin_invoicing"},0)),"activity must be one of the seven keys; ","")&amp;IF(OR(N($E908)&lt;=0,N($E908)&gt;16),"hours?; ","")&amp;IF(AND($C908&lt;&gt;"",$B908=""),"campaign without drop_id; ","")&amp;IF(AND($B908&lt;&gt;"",COUNTIF(drops!$A$2:$A$21,$B908)=0),"drop_id not on drops; ",""))</f>
        <v/>
      </c>
    </row>
    <row r="909">
      <c r="A909" s="9" t="n"/>
      <c r="E909" s="10" t="n"/>
      <c r="G909" s="25">
        <f>IF($A909="","",IF(ISNA(MATCH($D909,{"brand_sales","office_coordination","receiving_kitting","drop_day","checks_pickup","reporting_debriefs","admin_invoicing"},0)),"activity must be one of the seven keys; ","")&amp;IF(OR(N($E909)&lt;=0,N($E909)&gt;16),"hours?; ","")&amp;IF(AND($C909&lt;&gt;"",$B909=""),"campaign without drop_id; ","")&amp;IF(AND($B909&lt;&gt;"",COUNTIF(drops!$A$2:$A$21,$B909)=0),"drop_id not on drops; ",""))</f>
        <v/>
      </c>
    </row>
    <row r="910">
      <c r="A910" s="9" t="n"/>
      <c r="E910" s="10" t="n"/>
      <c r="G910" s="25">
        <f>IF($A910="","",IF(ISNA(MATCH($D910,{"brand_sales","office_coordination","receiving_kitting","drop_day","checks_pickup","reporting_debriefs","admin_invoicing"},0)),"activity must be one of the seven keys; ","")&amp;IF(OR(N($E910)&lt;=0,N($E910)&gt;16),"hours?; ","")&amp;IF(AND($C910&lt;&gt;"",$B910=""),"campaign without drop_id; ","")&amp;IF(AND($B910&lt;&gt;"",COUNTIF(drops!$A$2:$A$21,$B910)=0),"drop_id not on drops; ",""))</f>
        <v/>
      </c>
    </row>
    <row r="911">
      <c r="A911" s="9" t="n"/>
      <c r="E911" s="10" t="n"/>
      <c r="G911" s="25">
        <f>IF($A911="","",IF(ISNA(MATCH($D911,{"brand_sales","office_coordination","receiving_kitting","drop_day","checks_pickup","reporting_debriefs","admin_invoicing"},0)),"activity must be one of the seven keys; ","")&amp;IF(OR(N($E911)&lt;=0,N($E911)&gt;16),"hours?; ","")&amp;IF(AND($C911&lt;&gt;"",$B911=""),"campaign without drop_id; ","")&amp;IF(AND($B911&lt;&gt;"",COUNTIF(drops!$A$2:$A$21,$B911)=0),"drop_id not on drops; ",""))</f>
        <v/>
      </c>
    </row>
    <row r="912">
      <c r="A912" s="9" t="n"/>
      <c r="E912" s="10" t="n"/>
      <c r="G912" s="25">
        <f>IF($A912="","",IF(ISNA(MATCH($D912,{"brand_sales","office_coordination","receiving_kitting","drop_day","checks_pickup","reporting_debriefs","admin_invoicing"},0)),"activity must be one of the seven keys; ","")&amp;IF(OR(N($E912)&lt;=0,N($E912)&gt;16),"hours?; ","")&amp;IF(AND($C912&lt;&gt;"",$B912=""),"campaign without drop_id; ","")&amp;IF(AND($B912&lt;&gt;"",COUNTIF(drops!$A$2:$A$21,$B912)=0),"drop_id not on drops; ",""))</f>
        <v/>
      </c>
    </row>
    <row r="913">
      <c r="A913" s="9" t="n"/>
      <c r="E913" s="10" t="n"/>
      <c r="G913" s="25">
        <f>IF($A913="","",IF(ISNA(MATCH($D913,{"brand_sales","office_coordination","receiving_kitting","drop_day","checks_pickup","reporting_debriefs","admin_invoicing"},0)),"activity must be one of the seven keys; ","")&amp;IF(OR(N($E913)&lt;=0,N($E913)&gt;16),"hours?; ","")&amp;IF(AND($C913&lt;&gt;"",$B913=""),"campaign without drop_id; ","")&amp;IF(AND($B913&lt;&gt;"",COUNTIF(drops!$A$2:$A$21,$B913)=0),"drop_id not on drops; ",""))</f>
        <v/>
      </c>
    </row>
    <row r="914">
      <c r="A914" s="9" t="n"/>
      <c r="E914" s="10" t="n"/>
      <c r="G914" s="25">
        <f>IF($A914="","",IF(ISNA(MATCH($D914,{"brand_sales","office_coordination","receiving_kitting","drop_day","checks_pickup","reporting_debriefs","admin_invoicing"},0)),"activity must be one of the seven keys; ","")&amp;IF(OR(N($E914)&lt;=0,N($E914)&gt;16),"hours?; ","")&amp;IF(AND($C914&lt;&gt;"",$B914=""),"campaign without drop_id; ","")&amp;IF(AND($B914&lt;&gt;"",COUNTIF(drops!$A$2:$A$21,$B914)=0),"drop_id not on drops; ",""))</f>
        <v/>
      </c>
    </row>
    <row r="915">
      <c r="A915" s="9" t="n"/>
      <c r="E915" s="10" t="n"/>
      <c r="G915" s="25">
        <f>IF($A915="","",IF(ISNA(MATCH($D915,{"brand_sales","office_coordination","receiving_kitting","drop_day","checks_pickup","reporting_debriefs","admin_invoicing"},0)),"activity must be one of the seven keys; ","")&amp;IF(OR(N($E915)&lt;=0,N($E915)&gt;16),"hours?; ","")&amp;IF(AND($C915&lt;&gt;"",$B915=""),"campaign without drop_id; ","")&amp;IF(AND($B915&lt;&gt;"",COUNTIF(drops!$A$2:$A$21,$B915)=0),"drop_id not on drops; ",""))</f>
        <v/>
      </c>
    </row>
    <row r="916">
      <c r="A916" s="9" t="n"/>
      <c r="E916" s="10" t="n"/>
      <c r="G916" s="25">
        <f>IF($A916="","",IF(ISNA(MATCH($D916,{"brand_sales","office_coordination","receiving_kitting","drop_day","checks_pickup","reporting_debriefs","admin_invoicing"},0)),"activity must be one of the seven keys; ","")&amp;IF(OR(N($E916)&lt;=0,N($E916)&gt;16),"hours?; ","")&amp;IF(AND($C916&lt;&gt;"",$B916=""),"campaign without drop_id; ","")&amp;IF(AND($B916&lt;&gt;"",COUNTIF(drops!$A$2:$A$21,$B916)=0),"drop_id not on drops; ",""))</f>
        <v/>
      </c>
    </row>
    <row r="917">
      <c r="A917" s="9" t="n"/>
      <c r="E917" s="10" t="n"/>
      <c r="G917" s="25">
        <f>IF($A917="","",IF(ISNA(MATCH($D917,{"brand_sales","office_coordination","receiving_kitting","drop_day","checks_pickup","reporting_debriefs","admin_invoicing"},0)),"activity must be one of the seven keys; ","")&amp;IF(OR(N($E917)&lt;=0,N($E917)&gt;16),"hours?; ","")&amp;IF(AND($C917&lt;&gt;"",$B917=""),"campaign without drop_id; ","")&amp;IF(AND($B917&lt;&gt;"",COUNTIF(drops!$A$2:$A$21,$B917)=0),"drop_id not on drops; ",""))</f>
        <v/>
      </c>
    </row>
    <row r="918">
      <c r="A918" s="9" t="n"/>
      <c r="E918" s="10" t="n"/>
      <c r="G918" s="25">
        <f>IF($A918="","",IF(ISNA(MATCH($D918,{"brand_sales","office_coordination","receiving_kitting","drop_day","checks_pickup","reporting_debriefs","admin_invoicing"},0)),"activity must be one of the seven keys; ","")&amp;IF(OR(N($E918)&lt;=0,N($E918)&gt;16),"hours?; ","")&amp;IF(AND($C918&lt;&gt;"",$B918=""),"campaign without drop_id; ","")&amp;IF(AND($B918&lt;&gt;"",COUNTIF(drops!$A$2:$A$21,$B918)=0),"drop_id not on drops; ",""))</f>
        <v/>
      </c>
    </row>
    <row r="919">
      <c r="A919" s="9" t="n"/>
      <c r="E919" s="10" t="n"/>
      <c r="G919" s="25">
        <f>IF($A919="","",IF(ISNA(MATCH($D919,{"brand_sales","office_coordination","receiving_kitting","drop_day","checks_pickup","reporting_debriefs","admin_invoicing"},0)),"activity must be one of the seven keys; ","")&amp;IF(OR(N($E919)&lt;=0,N($E919)&gt;16),"hours?; ","")&amp;IF(AND($C919&lt;&gt;"",$B919=""),"campaign without drop_id; ","")&amp;IF(AND($B919&lt;&gt;"",COUNTIF(drops!$A$2:$A$21,$B919)=0),"drop_id not on drops; ",""))</f>
        <v/>
      </c>
    </row>
    <row r="920">
      <c r="A920" s="9" t="n"/>
      <c r="E920" s="10" t="n"/>
      <c r="G920" s="25">
        <f>IF($A920="","",IF(ISNA(MATCH($D920,{"brand_sales","office_coordination","receiving_kitting","drop_day","checks_pickup","reporting_debriefs","admin_invoicing"},0)),"activity must be one of the seven keys; ","")&amp;IF(OR(N($E920)&lt;=0,N($E920)&gt;16),"hours?; ","")&amp;IF(AND($C920&lt;&gt;"",$B920=""),"campaign without drop_id; ","")&amp;IF(AND($B920&lt;&gt;"",COUNTIF(drops!$A$2:$A$21,$B920)=0),"drop_id not on drops; ",""))</f>
        <v/>
      </c>
    </row>
    <row r="921">
      <c r="A921" s="9" t="n"/>
      <c r="E921" s="10" t="n"/>
      <c r="G921" s="25">
        <f>IF($A921="","",IF(ISNA(MATCH($D921,{"brand_sales","office_coordination","receiving_kitting","drop_day","checks_pickup","reporting_debriefs","admin_invoicing"},0)),"activity must be one of the seven keys; ","")&amp;IF(OR(N($E921)&lt;=0,N($E921)&gt;16),"hours?; ","")&amp;IF(AND($C921&lt;&gt;"",$B921=""),"campaign without drop_id; ","")&amp;IF(AND($B921&lt;&gt;"",COUNTIF(drops!$A$2:$A$21,$B921)=0),"drop_id not on drops; ",""))</f>
        <v/>
      </c>
    </row>
    <row r="922">
      <c r="A922" s="9" t="n"/>
      <c r="E922" s="10" t="n"/>
      <c r="G922" s="25">
        <f>IF($A922="","",IF(ISNA(MATCH($D922,{"brand_sales","office_coordination","receiving_kitting","drop_day","checks_pickup","reporting_debriefs","admin_invoicing"},0)),"activity must be one of the seven keys; ","")&amp;IF(OR(N($E922)&lt;=0,N($E922)&gt;16),"hours?; ","")&amp;IF(AND($C922&lt;&gt;"",$B922=""),"campaign without drop_id; ","")&amp;IF(AND($B922&lt;&gt;"",COUNTIF(drops!$A$2:$A$21,$B922)=0),"drop_id not on drops; ",""))</f>
        <v/>
      </c>
    </row>
    <row r="923">
      <c r="A923" s="9" t="n"/>
      <c r="E923" s="10" t="n"/>
      <c r="G923" s="25">
        <f>IF($A923="","",IF(ISNA(MATCH($D923,{"brand_sales","office_coordination","receiving_kitting","drop_day","checks_pickup","reporting_debriefs","admin_invoicing"},0)),"activity must be one of the seven keys; ","")&amp;IF(OR(N($E923)&lt;=0,N($E923)&gt;16),"hours?; ","")&amp;IF(AND($C923&lt;&gt;"",$B923=""),"campaign without drop_id; ","")&amp;IF(AND($B923&lt;&gt;"",COUNTIF(drops!$A$2:$A$21,$B923)=0),"drop_id not on drops; ",""))</f>
        <v/>
      </c>
    </row>
    <row r="924">
      <c r="A924" s="9" t="n"/>
      <c r="E924" s="10" t="n"/>
      <c r="G924" s="25">
        <f>IF($A924="","",IF(ISNA(MATCH($D924,{"brand_sales","office_coordination","receiving_kitting","drop_day","checks_pickup","reporting_debriefs","admin_invoicing"},0)),"activity must be one of the seven keys; ","")&amp;IF(OR(N($E924)&lt;=0,N($E924)&gt;16),"hours?; ","")&amp;IF(AND($C924&lt;&gt;"",$B924=""),"campaign without drop_id; ","")&amp;IF(AND($B924&lt;&gt;"",COUNTIF(drops!$A$2:$A$21,$B924)=0),"drop_id not on drops; ",""))</f>
        <v/>
      </c>
    </row>
    <row r="925">
      <c r="A925" s="9" t="n"/>
      <c r="E925" s="10" t="n"/>
      <c r="G925" s="25">
        <f>IF($A925="","",IF(ISNA(MATCH($D925,{"brand_sales","office_coordination","receiving_kitting","drop_day","checks_pickup","reporting_debriefs","admin_invoicing"},0)),"activity must be one of the seven keys; ","")&amp;IF(OR(N($E925)&lt;=0,N($E925)&gt;16),"hours?; ","")&amp;IF(AND($C925&lt;&gt;"",$B925=""),"campaign without drop_id; ","")&amp;IF(AND($B925&lt;&gt;"",COUNTIF(drops!$A$2:$A$21,$B925)=0),"drop_id not on drops; ",""))</f>
        <v/>
      </c>
    </row>
    <row r="926">
      <c r="A926" s="9" t="n"/>
      <c r="E926" s="10" t="n"/>
      <c r="G926" s="25">
        <f>IF($A926="","",IF(ISNA(MATCH($D926,{"brand_sales","office_coordination","receiving_kitting","drop_day","checks_pickup","reporting_debriefs","admin_invoicing"},0)),"activity must be one of the seven keys; ","")&amp;IF(OR(N($E926)&lt;=0,N($E926)&gt;16),"hours?; ","")&amp;IF(AND($C926&lt;&gt;"",$B926=""),"campaign without drop_id; ","")&amp;IF(AND($B926&lt;&gt;"",COUNTIF(drops!$A$2:$A$21,$B926)=0),"drop_id not on drops; ",""))</f>
        <v/>
      </c>
    </row>
    <row r="927">
      <c r="A927" s="9" t="n"/>
      <c r="E927" s="10" t="n"/>
      <c r="G927" s="25">
        <f>IF($A927="","",IF(ISNA(MATCH($D927,{"brand_sales","office_coordination","receiving_kitting","drop_day","checks_pickup","reporting_debriefs","admin_invoicing"},0)),"activity must be one of the seven keys; ","")&amp;IF(OR(N($E927)&lt;=0,N($E927)&gt;16),"hours?; ","")&amp;IF(AND($C927&lt;&gt;"",$B927=""),"campaign without drop_id; ","")&amp;IF(AND($B927&lt;&gt;"",COUNTIF(drops!$A$2:$A$21,$B927)=0),"drop_id not on drops; ",""))</f>
        <v/>
      </c>
    </row>
    <row r="928">
      <c r="A928" s="9" t="n"/>
      <c r="E928" s="10" t="n"/>
      <c r="G928" s="25">
        <f>IF($A928="","",IF(ISNA(MATCH($D928,{"brand_sales","office_coordination","receiving_kitting","drop_day","checks_pickup","reporting_debriefs","admin_invoicing"},0)),"activity must be one of the seven keys; ","")&amp;IF(OR(N($E928)&lt;=0,N($E928)&gt;16),"hours?; ","")&amp;IF(AND($C928&lt;&gt;"",$B928=""),"campaign without drop_id; ","")&amp;IF(AND($B928&lt;&gt;"",COUNTIF(drops!$A$2:$A$21,$B928)=0),"drop_id not on drops; ",""))</f>
        <v/>
      </c>
    </row>
    <row r="929">
      <c r="A929" s="9" t="n"/>
      <c r="E929" s="10" t="n"/>
      <c r="G929" s="25">
        <f>IF($A929="","",IF(ISNA(MATCH($D929,{"brand_sales","office_coordination","receiving_kitting","drop_day","checks_pickup","reporting_debriefs","admin_invoicing"},0)),"activity must be one of the seven keys; ","")&amp;IF(OR(N($E929)&lt;=0,N($E929)&gt;16),"hours?; ","")&amp;IF(AND($C929&lt;&gt;"",$B929=""),"campaign without drop_id; ","")&amp;IF(AND($B929&lt;&gt;"",COUNTIF(drops!$A$2:$A$21,$B929)=0),"drop_id not on drops; ",""))</f>
        <v/>
      </c>
    </row>
    <row r="930">
      <c r="A930" s="9" t="n"/>
      <c r="E930" s="10" t="n"/>
      <c r="G930" s="25">
        <f>IF($A930="","",IF(ISNA(MATCH($D930,{"brand_sales","office_coordination","receiving_kitting","drop_day","checks_pickup","reporting_debriefs","admin_invoicing"},0)),"activity must be one of the seven keys; ","")&amp;IF(OR(N($E930)&lt;=0,N($E930)&gt;16),"hours?; ","")&amp;IF(AND($C930&lt;&gt;"",$B930=""),"campaign without drop_id; ","")&amp;IF(AND($B930&lt;&gt;"",COUNTIF(drops!$A$2:$A$21,$B930)=0),"drop_id not on drops; ",""))</f>
        <v/>
      </c>
    </row>
    <row r="931">
      <c r="A931" s="9" t="n"/>
      <c r="E931" s="10" t="n"/>
      <c r="G931" s="25">
        <f>IF($A931="","",IF(ISNA(MATCH($D931,{"brand_sales","office_coordination","receiving_kitting","drop_day","checks_pickup","reporting_debriefs","admin_invoicing"},0)),"activity must be one of the seven keys; ","")&amp;IF(OR(N($E931)&lt;=0,N($E931)&gt;16),"hours?; ","")&amp;IF(AND($C931&lt;&gt;"",$B931=""),"campaign without drop_id; ","")&amp;IF(AND($B931&lt;&gt;"",COUNTIF(drops!$A$2:$A$21,$B931)=0),"drop_id not on drops; ",""))</f>
        <v/>
      </c>
    </row>
    <row r="932">
      <c r="A932" s="9" t="n"/>
      <c r="E932" s="10" t="n"/>
      <c r="G932" s="25">
        <f>IF($A932="","",IF(ISNA(MATCH($D932,{"brand_sales","office_coordination","receiving_kitting","drop_day","checks_pickup","reporting_debriefs","admin_invoicing"},0)),"activity must be one of the seven keys; ","")&amp;IF(OR(N($E932)&lt;=0,N($E932)&gt;16),"hours?; ","")&amp;IF(AND($C932&lt;&gt;"",$B932=""),"campaign without drop_id; ","")&amp;IF(AND($B932&lt;&gt;"",COUNTIF(drops!$A$2:$A$21,$B932)=0),"drop_id not on drops; ",""))</f>
        <v/>
      </c>
    </row>
    <row r="933">
      <c r="A933" s="9" t="n"/>
      <c r="E933" s="10" t="n"/>
      <c r="G933" s="25">
        <f>IF($A933="","",IF(ISNA(MATCH($D933,{"brand_sales","office_coordination","receiving_kitting","drop_day","checks_pickup","reporting_debriefs","admin_invoicing"},0)),"activity must be one of the seven keys; ","")&amp;IF(OR(N($E933)&lt;=0,N($E933)&gt;16),"hours?; ","")&amp;IF(AND($C933&lt;&gt;"",$B933=""),"campaign without drop_id; ","")&amp;IF(AND($B933&lt;&gt;"",COUNTIF(drops!$A$2:$A$21,$B933)=0),"drop_id not on drops; ",""))</f>
        <v/>
      </c>
    </row>
    <row r="934">
      <c r="A934" s="9" t="n"/>
      <c r="E934" s="10" t="n"/>
      <c r="G934" s="25">
        <f>IF($A934="","",IF(ISNA(MATCH($D934,{"brand_sales","office_coordination","receiving_kitting","drop_day","checks_pickup","reporting_debriefs","admin_invoicing"},0)),"activity must be one of the seven keys; ","")&amp;IF(OR(N($E934)&lt;=0,N($E934)&gt;16),"hours?; ","")&amp;IF(AND($C934&lt;&gt;"",$B934=""),"campaign without drop_id; ","")&amp;IF(AND($B934&lt;&gt;"",COUNTIF(drops!$A$2:$A$21,$B934)=0),"drop_id not on drops; ",""))</f>
        <v/>
      </c>
    </row>
    <row r="935">
      <c r="A935" s="9" t="n"/>
      <c r="E935" s="10" t="n"/>
      <c r="G935" s="25">
        <f>IF($A935="","",IF(ISNA(MATCH($D935,{"brand_sales","office_coordination","receiving_kitting","drop_day","checks_pickup","reporting_debriefs","admin_invoicing"},0)),"activity must be one of the seven keys; ","")&amp;IF(OR(N($E935)&lt;=0,N($E935)&gt;16),"hours?; ","")&amp;IF(AND($C935&lt;&gt;"",$B935=""),"campaign without drop_id; ","")&amp;IF(AND($B935&lt;&gt;"",COUNTIF(drops!$A$2:$A$21,$B935)=0),"drop_id not on drops; ",""))</f>
        <v/>
      </c>
    </row>
    <row r="936">
      <c r="A936" s="9" t="n"/>
      <c r="E936" s="10" t="n"/>
      <c r="G936" s="25">
        <f>IF($A936="","",IF(ISNA(MATCH($D936,{"brand_sales","office_coordination","receiving_kitting","drop_day","checks_pickup","reporting_debriefs","admin_invoicing"},0)),"activity must be one of the seven keys; ","")&amp;IF(OR(N($E936)&lt;=0,N($E936)&gt;16),"hours?; ","")&amp;IF(AND($C936&lt;&gt;"",$B936=""),"campaign without drop_id; ","")&amp;IF(AND($B936&lt;&gt;"",COUNTIF(drops!$A$2:$A$21,$B936)=0),"drop_id not on drops; ",""))</f>
        <v/>
      </c>
    </row>
    <row r="937">
      <c r="A937" s="9" t="n"/>
      <c r="E937" s="10" t="n"/>
      <c r="G937" s="25">
        <f>IF($A937="","",IF(ISNA(MATCH($D937,{"brand_sales","office_coordination","receiving_kitting","drop_day","checks_pickup","reporting_debriefs","admin_invoicing"},0)),"activity must be one of the seven keys; ","")&amp;IF(OR(N($E937)&lt;=0,N($E937)&gt;16),"hours?; ","")&amp;IF(AND($C937&lt;&gt;"",$B937=""),"campaign without drop_id; ","")&amp;IF(AND($B937&lt;&gt;"",COUNTIF(drops!$A$2:$A$21,$B937)=0),"drop_id not on drops; ",""))</f>
        <v/>
      </c>
    </row>
    <row r="938">
      <c r="A938" s="9" t="n"/>
      <c r="E938" s="10" t="n"/>
      <c r="G938" s="25">
        <f>IF($A938="","",IF(ISNA(MATCH($D938,{"brand_sales","office_coordination","receiving_kitting","drop_day","checks_pickup","reporting_debriefs","admin_invoicing"},0)),"activity must be one of the seven keys; ","")&amp;IF(OR(N($E938)&lt;=0,N($E938)&gt;16),"hours?; ","")&amp;IF(AND($C938&lt;&gt;"",$B938=""),"campaign without drop_id; ","")&amp;IF(AND($B938&lt;&gt;"",COUNTIF(drops!$A$2:$A$21,$B938)=0),"drop_id not on drops; ",""))</f>
        <v/>
      </c>
    </row>
    <row r="939">
      <c r="A939" s="9" t="n"/>
      <c r="E939" s="10" t="n"/>
      <c r="G939" s="25">
        <f>IF($A939="","",IF(ISNA(MATCH($D939,{"brand_sales","office_coordination","receiving_kitting","drop_day","checks_pickup","reporting_debriefs","admin_invoicing"},0)),"activity must be one of the seven keys; ","")&amp;IF(OR(N($E939)&lt;=0,N($E939)&gt;16),"hours?; ","")&amp;IF(AND($C939&lt;&gt;"",$B939=""),"campaign without drop_id; ","")&amp;IF(AND($B939&lt;&gt;"",COUNTIF(drops!$A$2:$A$21,$B939)=0),"drop_id not on drops; ",""))</f>
        <v/>
      </c>
    </row>
    <row r="940">
      <c r="A940" s="9" t="n"/>
      <c r="E940" s="10" t="n"/>
      <c r="G940" s="25">
        <f>IF($A940="","",IF(ISNA(MATCH($D940,{"brand_sales","office_coordination","receiving_kitting","drop_day","checks_pickup","reporting_debriefs","admin_invoicing"},0)),"activity must be one of the seven keys; ","")&amp;IF(OR(N($E940)&lt;=0,N($E940)&gt;16),"hours?; ","")&amp;IF(AND($C940&lt;&gt;"",$B940=""),"campaign without drop_id; ","")&amp;IF(AND($B940&lt;&gt;"",COUNTIF(drops!$A$2:$A$21,$B940)=0),"drop_id not on drops; ",""))</f>
        <v/>
      </c>
    </row>
    <row r="941">
      <c r="A941" s="9" t="n"/>
      <c r="E941" s="10" t="n"/>
      <c r="G941" s="25">
        <f>IF($A941="","",IF(ISNA(MATCH($D941,{"brand_sales","office_coordination","receiving_kitting","drop_day","checks_pickup","reporting_debriefs","admin_invoicing"},0)),"activity must be one of the seven keys; ","")&amp;IF(OR(N($E941)&lt;=0,N($E941)&gt;16),"hours?; ","")&amp;IF(AND($C941&lt;&gt;"",$B941=""),"campaign without drop_id; ","")&amp;IF(AND($B941&lt;&gt;"",COUNTIF(drops!$A$2:$A$21,$B941)=0),"drop_id not on drops; ",""))</f>
        <v/>
      </c>
    </row>
    <row r="942">
      <c r="A942" s="9" t="n"/>
      <c r="E942" s="10" t="n"/>
      <c r="G942" s="25">
        <f>IF($A942="","",IF(ISNA(MATCH($D942,{"brand_sales","office_coordination","receiving_kitting","drop_day","checks_pickup","reporting_debriefs","admin_invoicing"},0)),"activity must be one of the seven keys; ","")&amp;IF(OR(N($E942)&lt;=0,N($E942)&gt;16),"hours?; ","")&amp;IF(AND($C942&lt;&gt;"",$B942=""),"campaign without drop_id; ","")&amp;IF(AND($B942&lt;&gt;"",COUNTIF(drops!$A$2:$A$21,$B942)=0),"drop_id not on drops; ",""))</f>
        <v/>
      </c>
    </row>
    <row r="943">
      <c r="A943" s="9" t="n"/>
      <c r="E943" s="10" t="n"/>
      <c r="G943" s="25">
        <f>IF($A943="","",IF(ISNA(MATCH($D943,{"brand_sales","office_coordination","receiving_kitting","drop_day","checks_pickup","reporting_debriefs","admin_invoicing"},0)),"activity must be one of the seven keys; ","")&amp;IF(OR(N($E943)&lt;=0,N($E943)&gt;16),"hours?; ","")&amp;IF(AND($C943&lt;&gt;"",$B943=""),"campaign without drop_id; ","")&amp;IF(AND($B943&lt;&gt;"",COUNTIF(drops!$A$2:$A$21,$B943)=0),"drop_id not on drops; ",""))</f>
        <v/>
      </c>
    </row>
    <row r="944">
      <c r="A944" s="9" t="n"/>
      <c r="E944" s="10" t="n"/>
      <c r="G944" s="25">
        <f>IF($A944="","",IF(ISNA(MATCH($D944,{"brand_sales","office_coordination","receiving_kitting","drop_day","checks_pickup","reporting_debriefs","admin_invoicing"},0)),"activity must be one of the seven keys; ","")&amp;IF(OR(N($E944)&lt;=0,N($E944)&gt;16),"hours?; ","")&amp;IF(AND($C944&lt;&gt;"",$B944=""),"campaign without drop_id; ","")&amp;IF(AND($B944&lt;&gt;"",COUNTIF(drops!$A$2:$A$21,$B944)=0),"drop_id not on drops; ",""))</f>
        <v/>
      </c>
    </row>
    <row r="945">
      <c r="A945" s="9" t="n"/>
      <c r="E945" s="10" t="n"/>
      <c r="G945" s="25">
        <f>IF($A945="","",IF(ISNA(MATCH($D945,{"brand_sales","office_coordination","receiving_kitting","drop_day","checks_pickup","reporting_debriefs","admin_invoicing"},0)),"activity must be one of the seven keys; ","")&amp;IF(OR(N($E945)&lt;=0,N($E945)&gt;16),"hours?; ","")&amp;IF(AND($C945&lt;&gt;"",$B945=""),"campaign without drop_id; ","")&amp;IF(AND($B945&lt;&gt;"",COUNTIF(drops!$A$2:$A$21,$B945)=0),"drop_id not on drops; ",""))</f>
        <v/>
      </c>
    </row>
    <row r="946">
      <c r="A946" s="9" t="n"/>
      <c r="E946" s="10" t="n"/>
      <c r="G946" s="25">
        <f>IF($A946="","",IF(ISNA(MATCH($D946,{"brand_sales","office_coordination","receiving_kitting","drop_day","checks_pickup","reporting_debriefs","admin_invoicing"},0)),"activity must be one of the seven keys; ","")&amp;IF(OR(N($E946)&lt;=0,N($E946)&gt;16),"hours?; ","")&amp;IF(AND($C946&lt;&gt;"",$B946=""),"campaign without drop_id; ","")&amp;IF(AND($B946&lt;&gt;"",COUNTIF(drops!$A$2:$A$21,$B946)=0),"drop_id not on drops; ",""))</f>
        <v/>
      </c>
    </row>
    <row r="947">
      <c r="A947" s="9" t="n"/>
      <c r="E947" s="10" t="n"/>
      <c r="G947" s="25">
        <f>IF($A947="","",IF(ISNA(MATCH($D947,{"brand_sales","office_coordination","receiving_kitting","drop_day","checks_pickup","reporting_debriefs","admin_invoicing"},0)),"activity must be one of the seven keys; ","")&amp;IF(OR(N($E947)&lt;=0,N($E947)&gt;16),"hours?; ","")&amp;IF(AND($C947&lt;&gt;"",$B947=""),"campaign without drop_id; ","")&amp;IF(AND($B947&lt;&gt;"",COUNTIF(drops!$A$2:$A$21,$B947)=0),"drop_id not on drops; ",""))</f>
        <v/>
      </c>
    </row>
    <row r="948">
      <c r="A948" s="9" t="n"/>
      <c r="E948" s="10" t="n"/>
      <c r="G948" s="25">
        <f>IF($A948="","",IF(ISNA(MATCH($D948,{"brand_sales","office_coordination","receiving_kitting","drop_day","checks_pickup","reporting_debriefs","admin_invoicing"},0)),"activity must be one of the seven keys; ","")&amp;IF(OR(N($E948)&lt;=0,N($E948)&gt;16),"hours?; ","")&amp;IF(AND($C948&lt;&gt;"",$B948=""),"campaign without drop_id; ","")&amp;IF(AND($B948&lt;&gt;"",COUNTIF(drops!$A$2:$A$21,$B948)=0),"drop_id not on drops; ",""))</f>
        <v/>
      </c>
    </row>
    <row r="949">
      <c r="A949" s="9" t="n"/>
      <c r="E949" s="10" t="n"/>
      <c r="G949" s="25">
        <f>IF($A949="","",IF(ISNA(MATCH($D949,{"brand_sales","office_coordination","receiving_kitting","drop_day","checks_pickup","reporting_debriefs","admin_invoicing"},0)),"activity must be one of the seven keys; ","")&amp;IF(OR(N($E949)&lt;=0,N($E949)&gt;16),"hours?; ","")&amp;IF(AND($C949&lt;&gt;"",$B949=""),"campaign without drop_id; ","")&amp;IF(AND($B949&lt;&gt;"",COUNTIF(drops!$A$2:$A$21,$B949)=0),"drop_id not on drops; ",""))</f>
        <v/>
      </c>
    </row>
    <row r="950">
      <c r="A950" s="9" t="n"/>
      <c r="E950" s="10" t="n"/>
      <c r="G950" s="25">
        <f>IF($A950="","",IF(ISNA(MATCH($D950,{"brand_sales","office_coordination","receiving_kitting","drop_day","checks_pickup","reporting_debriefs","admin_invoicing"},0)),"activity must be one of the seven keys; ","")&amp;IF(OR(N($E950)&lt;=0,N($E950)&gt;16),"hours?; ","")&amp;IF(AND($C950&lt;&gt;"",$B950=""),"campaign without drop_id; ","")&amp;IF(AND($B950&lt;&gt;"",COUNTIF(drops!$A$2:$A$21,$B950)=0),"drop_id not on drops; ",""))</f>
        <v/>
      </c>
    </row>
    <row r="951">
      <c r="A951" s="9" t="n"/>
      <c r="E951" s="10" t="n"/>
      <c r="G951" s="25">
        <f>IF($A951="","",IF(ISNA(MATCH($D951,{"brand_sales","office_coordination","receiving_kitting","drop_day","checks_pickup","reporting_debriefs","admin_invoicing"},0)),"activity must be one of the seven keys; ","")&amp;IF(OR(N($E951)&lt;=0,N($E951)&gt;16),"hours?; ","")&amp;IF(AND($C951&lt;&gt;"",$B951=""),"campaign without drop_id; ","")&amp;IF(AND($B951&lt;&gt;"",COUNTIF(drops!$A$2:$A$21,$B951)=0),"drop_id not on drops; ",""))</f>
        <v/>
      </c>
    </row>
    <row r="952">
      <c r="A952" s="9" t="n"/>
      <c r="E952" s="10" t="n"/>
      <c r="G952" s="25">
        <f>IF($A952="","",IF(ISNA(MATCH($D952,{"brand_sales","office_coordination","receiving_kitting","drop_day","checks_pickup","reporting_debriefs","admin_invoicing"},0)),"activity must be one of the seven keys; ","")&amp;IF(OR(N($E952)&lt;=0,N($E952)&gt;16),"hours?; ","")&amp;IF(AND($C952&lt;&gt;"",$B952=""),"campaign without drop_id; ","")&amp;IF(AND($B952&lt;&gt;"",COUNTIF(drops!$A$2:$A$21,$B952)=0),"drop_id not on drops; ",""))</f>
        <v/>
      </c>
    </row>
    <row r="953">
      <c r="A953" s="9" t="n"/>
      <c r="E953" s="10" t="n"/>
      <c r="G953" s="25">
        <f>IF($A953="","",IF(ISNA(MATCH($D953,{"brand_sales","office_coordination","receiving_kitting","drop_day","checks_pickup","reporting_debriefs","admin_invoicing"},0)),"activity must be one of the seven keys; ","")&amp;IF(OR(N($E953)&lt;=0,N($E953)&gt;16),"hours?; ","")&amp;IF(AND($C953&lt;&gt;"",$B953=""),"campaign without drop_id; ","")&amp;IF(AND($B953&lt;&gt;"",COUNTIF(drops!$A$2:$A$21,$B953)=0),"drop_id not on drops; ",""))</f>
        <v/>
      </c>
    </row>
    <row r="954">
      <c r="A954" s="9" t="n"/>
      <c r="E954" s="10" t="n"/>
      <c r="G954" s="25">
        <f>IF($A954="","",IF(ISNA(MATCH($D954,{"brand_sales","office_coordination","receiving_kitting","drop_day","checks_pickup","reporting_debriefs","admin_invoicing"},0)),"activity must be one of the seven keys; ","")&amp;IF(OR(N($E954)&lt;=0,N($E954)&gt;16),"hours?; ","")&amp;IF(AND($C954&lt;&gt;"",$B954=""),"campaign without drop_id; ","")&amp;IF(AND($B954&lt;&gt;"",COUNTIF(drops!$A$2:$A$21,$B954)=0),"drop_id not on drops; ",""))</f>
        <v/>
      </c>
    </row>
    <row r="955">
      <c r="A955" s="9" t="n"/>
      <c r="E955" s="10" t="n"/>
      <c r="G955" s="25">
        <f>IF($A955="","",IF(ISNA(MATCH($D955,{"brand_sales","office_coordination","receiving_kitting","drop_day","checks_pickup","reporting_debriefs","admin_invoicing"},0)),"activity must be one of the seven keys; ","")&amp;IF(OR(N($E955)&lt;=0,N($E955)&gt;16),"hours?; ","")&amp;IF(AND($C955&lt;&gt;"",$B955=""),"campaign without drop_id; ","")&amp;IF(AND($B955&lt;&gt;"",COUNTIF(drops!$A$2:$A$21,$B955)=0),"drop_id not on drops; ",""))</f>
        <v/>
      </c>
    </row>
    <row r="956">
      <c r="A956" s="9" t="n"/>
      <c r="E956" s="10" t="n"/>
      <c r="G956" s="25">
        <f>IF($A956="","",IF(ISNA(MATCH($D956,{"brand_sales","office_coordination","receiving_kitting","drop_day","checks_pickup","reporting_debriefs","admin_invoicing"},0)),"activity must be one of the seven keys; ","")&amp;IF(OR(N($E956)&lt;=0,N($E956)&gt;16),"hours?; ","")&amp;IF(AND($C956&lt;&gt;"",$B956=""),"campaign without drop_id; ","")&amp;IF(AND($B956&lt;&gt;"",COUNTIF(drops!$A$2:$A$21,$B956)=0),"drop_id not on drops; ",""))</f>
        <v/>
      </c>
    </row>
    <row r="957">
      <c r="A957" s="9" t="n"/>
      <c r="E957" s="10" t="n"/>
      <c r="G957" s="25">
        <f>IF($A957="","",IF(ISNA(MATCH($D957,{"brand_sales","office_coordination","receiving_kitting","drop_day","checks_pickup","reporting_debriefs","admin_invoicing"},0)),"activity must be one of the seven keys; ","")&amp;IF(OR(N($E957)&lt;=0,N($E957)&gt;16),"hours?; ","")&amp;IF(AND($C957&lt;&gt;"",$B957=""),"campaign without drop_id; ","")&amp;IF(AND($B957&lt;&gt;"",COUNTIF(drops!$A$2:$A$21,$B957)=0),"drop_id not on drops; ",""))</f>
        <v/>
      </c>
    </row>
    <row r="958">
      <c r="A958" s="9" t="n"/>
      <c r="E958" s="10" t="n"/>
      <c r="G958" s="25">
        <f>IF($A958="","",IF(ISNA(MATCH($D958,{"brand_sales","office_coordination","receiving_kitting","drop_day","checks_pickup","reporting_debriefs","admin_invoicing"},0)),"activity must be one of the seven keys; ","")&amp;IF(OR(N($E958)&lt;=0,N($E958)&gt;16),"hours?; ","")&amp;IF(AND($C958&lt;&gt;"",$B958=""),"campaign without drop_id; ","")&amp;IF(AND($B958&lt;&gt;"",COUNTIF(drops!$A$2:$A$21,$B958)=0),"drop_id not on drops; ",""))</f>
        <v/>
      </c>
    </row>
    <row r="959">
      <c r="A959" s="9" t="n"/>
      <c r="E959" s="10" t="n"/>
      <c r="G959" s="25">
        <f>IF($A959="","",IF(ISNA(MATCH($D959,{"brand_sales","office_coordination","receiving_kitting","drop_day","checks_pickup","reporting_debriefs","admin_invoicing"},0)),"activity must be one of the seven keys; ","")&amp;IF(OR(N($E959)&lt;=0,N($E959)&gt;16),"hours?; ","")&amp;IF(AND($C959&lt;&gt;"",$B959=""),"campaign without drop_id; ","")&amp;IF(AND($B959&lt;&gt;"",COUNTIF(drops!$A$2:$A$21,$B959)=0),"drop_id not on drops; ",""))</f>
        <v/>
      </c>
    </row>
    <row r="960">
      <c r="A960" s="9" t="n"/>
      <c r="E960" s="10" t="n"/>
      <c r="G960" s="25">
        <f>IF($A960="","",IF(ISNA(MATCH($D960,{"brand_sales","office_coordination","receiving_kitting","drop_day","checks_pickup","reporting_debriefs","admin_invoicing"},0)),"activity must be one of the seven keys; ","")&amp;IF(OR(N($E960)&lt;=0,N($E960)&gt;16),"hours?; ","")&amp;IF(AND($C960&lt;&gt;"",$B960=""),"campaign without drop_id; ","")&amp;IF(AND($B960&lt;&gt;"",COUNTIF(drops!$A$2:$A$21,$B960)=0),"drop_id not on drops; ",""))</f>
        <v/>
      </c>
    </row>
    <row r="961">
      <c r="A961" s="9" t="n"/>
      <c r="E961" s="10" t="n"/>
      <c r="G961" s="25">
        <f>IF($A961="","",IF(ISNA(MATCH($D961,{"brand_sales","office_coordination","receiving_kitting","drop_day","checks_pickup","reporting_debriefs","admin_invoicing"},0)),"activity must be one of the seven keys; ","")&amp;IF(OR(N($E961)&lt;=0,N($E961)&gt;16),"hours?; ","")&amp;IF(AND($C961&lt;&gt;"",$B961=""),"campaign without drop_id; ","")&amp;IF(AND($B961&lt;&gt;"",COUNTIF(drops!$A$2:$A$21,$B961)=0),"drop_id not on drops; ",""))</f>
        <v/>
      </c>
    </row>
    <row r="962">
      <c r="A962" s="9" t="n"/>
      <c r="E962" s="10" t="n"/>
      <c r="G962" s="25">
        <f>IF($A962="","",IF(ISNA(MATCH($D962,{"brand_sales","office_coordination","receiving_kitting","drop_day","checks_pickup","reporting_debriefs","admin_invoicing"},0)),"activity must be one of the seven keys; ","")&amp;IF(OR(N($E962)&lt;=0,N($E962)&gt;16),"hours?; ","")&amp;IF(AND($C962&lt;&gt;"",$B962=""),"campaign without drop_id; ","")&amp;IF(AND($B962&lt;&gt;"",COUNTIF(drops!$A$2:$A$21,$B962)=0),"drop_id not on drops; ",""))</f>
        <v/>
      </c>
    </row>
    <row r="963">
      <c r="A963" s="9" t="n"/>
      <c r="E963" s="10" t="n"/>
      <c r="G963" s="25">
        <f>IF($A963="","",IF(ISNA(MATCH($D963,{"brand_sales","office_coordination","receiving_kitting","drop_day","checks_pickup","reporting_debriefs","admin_invoicing"},0)),"activity must be one of the seven keys; ","")&amp;IF(OR(N($E963)&lt;=0,N($E963)&gt;16),"hours?; ","")&amp;IF(AND($C963&lt;&gt;"",$B963=""),"campaign without drop_id; ","")&amp;IF(AND($B963&lt;&gt;"",COUNTIF(drops!$A$2:$A$21,$B963)=0),"drop_id not on drops; ",""))</f>
        <v/>
      </c>
    </row>
    <row r="964">
      <c r="A964" s="9" t="n"/>
      <c r="E964" s="10" t="n"/>
      <c r="G964" s="25">
        <f>IF($A964="","",IF(ISNA(MATCH($D964,{"brand_sales","office_coordination","receiving_kitting","drop_day","checks_pickup","reporting_debriefs","admin_invoicing"},0)),"activity must be one of the seven keys; ","")&amp;IF(OR(N($E964)&lt;=0,N($E964)&gt;16),"hours?; ","")&amp;IF(AND($C964&lt;&gt;"",$B964=""),"campaign without drop_id; ","")&amp;IF(AND($B964&lt;&gt;"",COUNTIF(drops!$A$2:$A$21,$B964)=0),"drop_id not on drops; ",""))</f>
        <v/>
      </c>
    </row>
    <row r="965">
      <c r="A965" s="9" t="n"/>
      <c r="E965" s="10" t="n"/>
      <c r="G965" s="25">
        <f>IF($A965="","",IF(ISNA(MATCH($D965,{"brand_sales","office_coordination","receiving_kitting","drop_day","checks_pickup","reporting_debriefs","admin_invoicing"},0)),"activity must be one of the seven keys; ","")&amp;IF(OR(N($E965)&lt;=0,N($E965)&gt;16),"hours?; ","")&amp;IF(AND($C965&lt;&gt;"",$B965=""),"campaign without drop_id; ","")&amp;IF(AND($B965&lt;&gt;"",COUNTIF(drops!$A$2:$A$21,$B965)=0),"drop_id not on drops; ",""))</f>
        <v/>
      </c>
    </row>
    <row r="966">
      <c r="A966" s="9" t="n"/>
      <c r="E966" s="10" t="n"/>
      <c r="G966" s="25">
        <f>IF($A966="","",IF(ISNA(MATCH($D966,{"brand_sales","office_coordination","receiving_kitting","drop_day","checks_pickup","reporting_debriefs","admin_invoicing"},0)),"activity must be one of the seven keys; ","")&amp;IF(OR(N($E966)&lt;=0,N($E966)&gt;16),"hours?; ","")&amp;IF(AND($C966&lt;&gt;"",$B966=""),"campaign without drop_id; ","")&amp;IF(AND($B966&lt;&gt;"",COUNTIF(drops!$A$2:$A$21,$B966)=0),"drop_id not on drops; ",""))</f>
        <v/>
      </c>
    </row>
    <row r="967">
      <c r="A967" s="9" t="n"/>
      <c r="E967" s="10" t="n"/>
      <c r="G967" s="25">
        <f>IF($A967="","",IF(ISNA(MATCH($D967,{"brand_sales","office_coordination","receiving_kitting","drop_day","checks_pickup","reporting_debriefs","admin_invoicing"},0)),"activity must be one of the seven keys; ","")&amp;IF(OR(N($E967)&lt;=0,N($E967)&gt;16),"hours?; ","")&amp;IF(AND($C967&lt;&gt;"",$B967=""),"campaign without drop_id; ","")&amp;IF(AND($B967&lt;&gt;"",COUNTIF(drops!$A$2:$A$21,$B967)=0),"drop_id not on drops; ",""))</f>
        <v/>
      </c>
    </row>
    <row r="968">
      <c r="A968" s="9" t="n"/>
      <c r="E968" s="10" t="n"/>
      <c r="G968" s="25">
        <f>IF($A968="","",IF(ISNA(MATCH($D968,{"brand_sales","office_coordination","receiving_kitting","drop_day","checks_pickup","reporting_debriefs","admin_invoicing"},0)),"activity must be one of the seven keys; ","")&amp;IF(OR(N($E968)&lt;=0,N($E968)&gt;16),"hours?; ","")&amp;IF(AND($C968&lt;&gt;"",$B968=""),"campaign without drop_id; ","")&amp;IF(AND($B968&lt;&gt;"",COUNTIF(drops!$A$2:$A$21,$B968)=0),"drop_id not on drops; ",""))</f>
        <v/>
      </c>
    </row>
    <row r="969">
      <c r="A969" s="9" t="n"/>
      <c r="E969" s="10" t="n"/>
      <c r="G969" s="25">
        <f>IF($A969="","",IF(ISNA(MATCH($D969,{"brand_sales","office_coordination","receiving_kitting","drop_day","checks_pickup","reporting_debriefs","admin_invoicing"},0)),"activity must be one of the seven keys; ","")&amp;IF(OR(N($E969)&lt;=0,N($E969)&gt;16),"hours?; ","")&amp;IF(AND($C969&lt;&gt;"",$B969=""),"campaign without drop_id; ","")&amp;IF(AND($B969&lt;&gt;"",COUNTIF(drops!$A$2:$A$21,$B969)=0),"drop_id not on drops; ",""))</f>
        <v/>
      </c>
    </row>
    <row r="970">
      <c r="A970" s="9" t="n"/>
      <c r="E970" s="10" t="n"/>
      <c r="G970" s="25">
        <f>IF($A970="","",IF(ISNA(MATCH($D970,{"brand_sales","office_coordination","receiving_kitting","drop_day","checks_pickup","reporting_debriefs","admin_invoicing"},0)),"activity must be one of the seven keys; ","")&amp;IF(OR(N($E970)&lt;=0,N($E970)&gt;16),"hours?; ","")&amp;IF(AND($C970&lt;&gt;"",$B970=""),"campaign without drop_id; ","")&amp;IF(AND($B970&lt;&gt;"",COUNTIF(drops!$A$2:$A$21,$B970)=0),"drop_id not on drops; ",""))</f>
        <v/>
      </c>
    </row>
    <row r="971">
      <c r="A971" s="9" t="n"/>
      <c r="E971" s="10" t="n"/>
      <c r="G971" s="25">
        <f>IF($A971="","",IF(ISNA(MATCH($D971,{"brand_sales","office_coordination","receiving_kitting","drop_day","checks_pickup","reporting_debriefs","admin_invoicing"},0)),"activity must be one of the seven keys; ","")&amp;IF(OR(N($E971)&lt;=0,N($E971)&gt;16),"hours?; ","")&amp;IF(AND($C971&lt;&gt;"",$B971=""),"campaign without drop_id; ","")&amp;IF(AND($B971&lt;&gt;"",COUNTIF(drops!$A$2:$A$21,$B971)=0),"drop_id not on drops; ",""))</f>
        <v/>
      </c>
    </row>
    <row r="972">
      <c r="A972" s="9" t="n"/>
      <c r="E972" s="10" t="n"/>
      <c r="G972" s="25">
        <f>IF($A972="","",IF(ISNA(MATCH($D972,{"brand_sales","office_coordination","receiving_kitting","drop_day","checks_pickup","reporting_debriefs","admin_invoicing"},0)),"activity must be one of the seven keys; ","")&amp;IF(OR(N($E972)&lt;=0,N($E972)&gt;16),"hours?; ","")&amp;IF(AND($C972&lt;&gt;"",$B972=""),"campaign without drop_id; ","")&amp;IF(AND($B972&lt;&gt;"",COUNTIF(drops!$A$2:$A$21,$B972)=0),"drop_id not on drops; ",""))</f>
        <v/>
      </c>
    </row>
    <row r="973">
      <c r="A973" s="9" t="n"/>
      <c r="E973" s="10" t="n"/>
      <c r="G973" s="25">
        <f>IF($A973="","",IF(ISNA(MATCH($D973,{"brand_sales","office_coordination","receiving_kitting","drop_day","checks_pickup","reporting_debriefs","admin_invoicing"},0)),"activity must be one of the seven keys; ","")&amp;IF(OR(N($E973)&lt;=0,N($E973)&gt;16),"hours?; ","")&amp;IF(AND($C973&lt;&gt;"",$B973=""),"campaign without drop_id; ","")&amp;IF(AND($B973&lt;&gt;"",COUNTIF(drops!$A$2:$A$21,$B973)=0),"drop_id not on drops; ",""))</f>
        <v/>
      </c>
    </row>
    <row r="974">
      <c r="A974" s="9" t="n"/>
      <c r="E974" s="10" t="n"/>
      <c r="G974" s="25">
        <f>IF($A974="","",IF(ISNA(MATCH($D974,{"brand_sales","office_coordination","receiving_kitting","drop_day","checks_pickup","reporting_debriefs","admin_invoicing"},0)),"activity must be one of the seven keys; ","")&amp;IF(OR(N($E974)&lt;=0,N($E974)&gt;16),"hours?; ","")&amp;IF(AND($C974&lt;&gt;"",$B974=""),"campaign without drop_id; ","")&amp;IF(AND($B974&lt;&gt;"",COUNTIF(drops!$A$2:$A$21,$B974)=0),"drop_id not on drops; ",""))</f>
        <v/>
      </c>
    </row>
    <row r="975">
      <c r="A975" s="9" t="n"/>
      <c r="E975" s="10" t="n"/>
      <c r="G975" s="25">
        <f>IF($A975="","",IF(ISNA(MATCH($D975,{"brand_sales","office_coordination","receiving_kitting","drop_day","checks_pickup","reporting_debriefs","admin_invoicing"},0)),"activity must be one of the seven keys; ","")&amp;IF(OR(N($E975)&lt;=0,N($E975)&gt;16),"hours?; ","")&amp;IF(AND($C975&lt;&gt;"",$B975=""),"campaign without drop_id; ","")&amp;IF(AND($B975&lt;&gt;"",COUNTIF(drops!$A$2:$A$21,$B975)=0),"drop_id not on drops; ",""))</f>
        <v/>
      </c>
    </row>
    <row r="976">
      <c r="A976" s="9" t="n"/>
      <c r="E976" s="10" t="n"/>
      <c r="G976" s="25">
        <f>IF($A976="","",IF(ISNA(MATCH($D976,{"brand_sales","office_coordination","receiving_kitting","drop_day","checks_pickup","reporting_debriefs","admin_invoicing"},0)),"activity must be one of the seven keys; ","")&amp;IF(OR(N($E976)&lt;=0,N($E976)&gt;16),"hours?; ","")&amp;IF(AND($C976&lt;&gt;"",$B976=""),"campaign without drop_id; ","")&amp;IF(AND($B976&lt;&gt;"",COUNTIF(drops!$A$2:$A$21,$B976)=0),"drop_id not on drops; ",""))</f>
        <v/>
      </c>
    </row>
    <row r="977">
      <c r="A977" s="9" t="n"/>
      <c r="E977" s="10" t="n"/>
      <c r="G977" s="25">
        <f>IF($A977="","",IF(ISNA(MATCH($D977,{"brand_sales","office_coordination","receiving_kitting","drop_day","checks_pickup","reporting_debriefs","admin_invoicing"},0)),"activity must be one of the seven keys; ","")&amp;IF(OR(N($E977)&lt;=0,N($E977)&gt;16),"hours?; ","")&amp;IF(AND($C977&lt;&gt;"",$B977=""),"campaign without drop_id; ","")&amp;IF(AND($B977&lt;&gt;"",COUNTIF(drops!$A$2:$A$21,$B977)=0),"drop_id not on drops; ",""))</f>
        <v/>
      </c>
    </row>
    <row r="978">
      <c r="A978" s="9" t="n"/>
      <c r="E978" s="10" t="n"/>
      <c r="G978" s="25">
        <f>IF($A978="","",IF(ISNA(MATCH($D978,{"brand_sales","office_coordination","receiving_kitting","drop_day","checks_pickup","reporting_debriefs","admin_invoicing"},0)),"activity must be one of the seven keys; ","")&amp;IF(OR(N($E978)&lt;=0,N($E978)&gt;16),"hours?; ","")&amp;IF(AND($C978&lt;&gt;"",$B978=""),"campaign without drop_id; ","")&amp;IF(AND($B978&lt;&gt;"",COUNTIF(drops!$A$2:$A$21,$B978)=0),"drop_id not on drops; ",""))</f>
        <v/>
      </c>
    </row>
    <row r="979">
      <c r="A979" s="9" t="n"/>
      <c r="E979" s="10" t="n"/>
      <c r="G979" s="25">
        <f>IF($A979="","",IF(ISNA(MATCH($D979,{"brand_sales","office_coordination","receiving_kitting","drop_day","checks_pickup","reporting_debriefs","admin_invoicing"},0)),"activity must be one of the seven keys; ","")&amp;IF(OR(N($E979)&lt;=0,N($E979)&gt;16),"hours?; ","")&amp;IF(AND($C979&lt;&gt;"",$B979=""),"campaign without drop_id; ","")&amp;IF(AND($B979&lt;&gt;"",COUNTIF(drops!$A$2:$A$21,$B979)=0),"drop_id not on drops; ",""))</f>
        <v/>
      </c>
    </row>
    <row r="980">
      <c r="A980" s="9" t="n"/>
      <c r="E980" s="10" t="n"/>
      <c r="G980" s="25">
        <f>IF($A980="","",IF(ISNA(MATCH($D980,{"brand_sales","office_coordination","receiving_kitting","drop_day","checks_pickup","reporting_debriefs","admin_invoicing"},0)),"activity must be one of the seven keys; ","")&amp;IF(OR(N($E980)&lt;=0,N($E980)&gt;16),"hours?; ","")&amp;IF(AND($C980&lt;&gt;"",$B980=""),"campaign without drop_id; ","")&amp;IF(AND($B980&lt;&gt;"",COUNTIF(drops!$A$2:$A$21,$B980)=0),"drop_id not on drops; ",""))</f>
        <v/>
      </c>
    </row>
    <row r="981">
      <c r="A981" s="9" t="n"/>
      <c r="E981" s="10" t="n"/>
      <c r="G981" s="25">
        <f>IF($A981="","",IF(ISNA(MATCH($D981,{"brand_sales","office_coordination","receiving_kitting","drop_day","checks_pickup","reporting_debriefs","admin_invoicing"},0)),"activity must be one of the seven keys; ","")&amp;IF(OR(N($E981)&lt;=0,N($E981)&gt;16),"hours?; ","")&amp;IF(AND($C981&lt;&gt;"",$B981=""),"campaign without drop_id; ","")&amp;IF(AND($B981&lt;&gt;"",COUNTIF(drops!$A$2:$A$21,$B981)=0),"drop_id not on drops; ",""))</f>
        <v/>
      </c>
    </row>
    <row r="982">
      <c r="A982" s="9" t="n"/>
      <c r="E982" s="10" t="n"/>
      <c r="G982" s="25">
        <f>IF($A982="","",IF(ISNA(MATCH($D982,{"brand_sales","office_coordination","receiving_kitting","drop_day","checks_pickup","reporting_debriefs","admin_invoicing"},0)),"activity must be one of the seven keys; ","")&amp;IF(OR(N($E982)&lt;=0,N($E982)&gt;16),"hours?; ","")&amp;IF(AND($C982&lt;&gt;"",$B982=""),"campaign without drop_id; ","")&amp;IF(AND($B982&lt;&gt;"",COUNTIF(drops!$A$2:$A$21,$B982)=0),"drop_id not on drops; ",""))</f>
        <v/>
      </c>
    </row>
    <row r="983">
      <c r="A983" s="9" t="n"/>
      <c r="E983" s="10" t="n"/>
      <c r="G983" s="25">
        <f>IF($A983="","",IF(ISNA(MATCH($D983,{"brand_sales","office_coordination","receiving_kitting","drop_day","checks_pickup","reporting_debriefs","admin_invoicing"},0)),"activity must be one of the seven keys; ","")&amp;IF(OR(N($E983)&lt;=0,N($E983)&gt;16),"hours?; ","")&amp;IF(AND($C983&lt;&gt;"",$B983=""),"campaign without drop_id; ","")&amp;IF(AND($B983&lt;&gt;"",COUNTIF(drops!$A$2:$A$21,$B983)=0),"drop_id not on drops; ",""))</f>
        <v/>
      </c>
    </row>
    <row r="984">
      <c r="A984" s="9" t="n"/>
      <c r="E984" s="10" t="n"/>
      <c r="G984" s="25">
        <f>IF($A984="","",IF(ISNA(MATCH($D984,{"brand_sales","office_coordination","receiving_kitting","drop_day","checks_pickup","reporting_debriefs","admin_invoicing"},0)),"activity must be one of the seven keys; ","")&amp;IF(OR(N($E984)&lt;=0,N($E984)&gt;16),"hours?; ","")&amp;IF(AND($C984&lt;&gt;"",$B984=""),"campaign without drop_id; ","")&amp;IF(AND($B984&lt;&gt;"",COUNTIF(drops!$A$2:$A$21,$B984)=0),"drop_id not on drops; ",""))</f>
        <v/>
      </c>
    </row>
    <row r="985">
      <c r="A985" s="9" t="n"/>
      <c r="E985" s="10" t="n"/>
      <c r="G985" s="25">
        <f>IF($A985="","",IF(ISNA(MATCH($D985,{"brand_sales","office_coordination","receiving_kitting","drop_day","checks_pickup","reporting_debriefs","admin_invoicing"},0)),"activity must be one of the seven keys; ","")&amp;IF(OR(N($E985)&lt;=0,N($E985)&gt;16),"hours?; ","")&amp;IF(AND($C985&lt;&gt;"",$B985=""),"campaign without drop_id; ","")&amp;IF(AND($B985&lt;&gt;"",COUNTIF(drops!$A$2:$A$21,$B985)=0),"drop_id not on drops; ",""))</f>
        <v/>
      </c>
    </row>
    <row r="986">
      <c r="A986" s="9" t="n"/>
      <c r="E986" s="10" t="n"/>
      <c r="G986" s="25">
        <f>IF($A986="","",IF(ISNA(MATCH($D986,{"brand_sales","office_coordination","receiving_kitting","drop_day","checks_pickup","reporting_debriefs","admin_invoicing"},0)),"activity must be one of the seven keys; ","")&amp;IF(OR(N($E986)&lt;=0,N($E986)&gt;16),"hours?; ","")&amp;IF(AND($C986&lt;&gt;"",$B986=""),"campaign without drop_id; ","")&amp;IF(AND($B986&lt;&gt;"",COUNTIF(drops!$A$2:$A$21,$B986)=0),"drop_id not on drops; ",""))</f>
        <v/>
      </c>
    </row>
    <row r="987">
      <c r="A987" s="9" t="n"/>
      <c r="E987" s="10" t="n"/>
      <c r="G987" s="25">
        <f>IF($A987="","",IF(ISNA(MATCH($D987,{"brand_sales","office_coordination","receiving_kitting","drop_day","checks_pickup","reporting_debriefs","admin_invoicing"},0)),"activity must be one of the seven keys; ","")&amp;IF(OR(N($E987)&lt;=0,N($E987)&gt;16),"hours?; ","")&amp;IF(AND($C987&lt;&gt;"",$B987=""),"campaign without drop_id; ","")&amp;IF(AND($B987&lt;&gt;"",COUNTIF(drops!$A$2:$A$21,$B987)=0),"drop_id not on drops; ",""))</f>
        <v/>
      </c>
    </row>
    <row r="988">
      <c r="A988" s="9" t="n"/>
      <c r="E988" s="10" t="n"/>
      <c r="G988" s="25">
        <f>IF($A988="","",IF(ISNA(MATCH($D988,{"brand_sales","office_coordination","receiving_kitting","drop_day","checks_pickup","reporting_debriefs","admin_invoicing"},0)),"activity must be one of the seven keys; ","")&amp;IF(OR(N($E988)&lt;=0,N($E988)&gt;16),"hours?; ","")&amp;IF(AND($C988&lt;&gt;"",$B988=""),"campaign without drop_id; ","")&amp;IF(AND($B988&lt;&gt;"",COUNTIF(drops!$A$2:$A$21,$B988)=0),"drop_id not on drops; ",""))</f>
        <v/>
      </c>
    </row>
    <row r="989">
      <c r="A989" s="9" t="n"/>
      <c r="E989" s="10" t="n"/>
      <c r="G989" s="25">
        <f>IF($A989="","",IF(ISNA(MATCH($D989,{"brand_sales","office_coordination","receiving_kitting","drop_day","checks_pickup","reporting_debriefs","admin_invoicing"},0)),"activity must be one of the seven keys; ","")&amp;IF(OR(N($E989)&lt;=0,N($E989)&gt;16),"hours?; ","")&amp;IF(AND($C989&lt;&gt;"",$B989=""),"campaign without drop_id; ","")&amp;IF(AND($B989&lt;&gt;"",COUNTIF(drops!$A$2:$A$21,$B989)=0),"drop_id not on drops; ",""))</f>
        <v/>
      </c>
    </row>
    <row r="990">
      <c r="A990" s="9" t="n"/>
      <c r="E990" s="10" t="n"/>
      <c r="G990" s="25">
        <f>IF($A990="","",IF(ISNA(MATCH($D990,{"brand_sales","office_coordination","receiving_kitting","drop_day","checks_pickup","reporting_debriefs","admin_invoicing"},0)),"activity must be one of the seven keys; ","")&amp;IF(OR(N($E990)&lt;=0,N($E990)&gt;16),"hours?; ","")&amp;IF(AND($C990&lt;&gt;"",$B990=""),"campaign without drop_id; ","")&amp;IF(AND($B990&lt;&gt;"",COUNTIF(drops!$A$2:$A$21,$B990)=0),"drop_id not on drops; ",""))</f>
        <v/>
      </c>
    </row>
    <row r="991">
      <c r="A991" s="9" t="n"/>
      <c r="E991" s="10" t="n"/>
      <c r="G991" s="25">
        <f>IF($A991="","",IF(ISNA(MATCH($D991,{"brand_sales","office_coordination","receiving_kitting","drop_day","checks_pickup","reporting_debriefs","admin_invoicing"},0)),"activity must be one of the seven keys; ","")&amp;IF(OR(N($E991)&lt;=0,N($E991)&gt;16),"hours?; ","")&amp;IF(AND($C991&lt;&gt;"",$B991=""),"campaign without drop_id; ","")&amp;IF(AND($B991&lt;&gt;"",COUNTIF(drops!$A$2:$A$21,$B991)=0),"drop_id not on drops; ",""))</f>
        <v/>
      </c>
    </row>
    <row r="992">
      <c r="A992" s="9" t="n"/>
      <c r="E992" s="10" t="n"/>
      <c r="G992" s="25">
        <f>IF($A992="","",IF(ISNA(MATCH($D992,{"brand_sales","office_coordination","receiving_kitting","drop_day","checks_pickup","reporting_debriefs","admin_invoicing"},0)),"activity must be one of the seven keys; ","")&amp;IF(OR(N($E992)&lt;=0,N($E992)&gt;16),"hours?; ","")&amp;IF(AND($C992&lt;&gt;"",$B992=""),"campaign without drop_id; ","")&amp;IF(AND($B992&lt;&gt;"",COUNTIF(drops!$A$2:$A$21,$B992)=0),"drop_id not on drops; ",""))</f>
        <v/>
      </c>
    </row>
    <row r="993">
      <c r="A993" s="9" t="n"/>
      <c r="E993" s="10" t="n"/>
      <c r="G993" s="25">
        <f>IF($A993="","",IF(ISNA(MATCH($D993,{"brand_sales","office_coordination","receiving_kitting","drop_day","checks_pickup","reporting_debriefs","admin_invoicing"},0)),"activity must be one of the seven keys; ","")&amp;IF(OR(N($E993)&lt;=0,N($E993)&gt;16),"hours?; ","")&amp;IF(AND($C993&lt;&gt;"",$B993=""),"campaign without drop_id; ","")&amp;IF(AND($B993&lt;&gt;"",COUNTIF(drops!$A$2:$A$21,$B993)=0),"drop_id not on drops; ",""))</f>
        <v/>
      </c>
    </row>
    <row r="994">
      <c r="A994" s="9" t="n"/>
      <c r="E994" s="10" t="n"/>
      <c r="G994" s="25">
        <f>IF($A994="","",IF(ISNA(MATCH($D994,{"brand_sales","office_coordination","receiving_kitting","drop_day","checks_pickup","reporting_debriefs","admin_invoicing"},0)),"activity must be one of the seven keys; ","")&amp;IF(OR(N($E994)&lt;=0,N($E994)&gt;16),"hours?; ","")&amp;IF(AND($C994&lt;&gt;"",$B994=""),"campaign without drop_id; ","")&amp;IF(AND($B994&lt;&gt;"",COUNTIF(drops!$A$2:$A$21,$B994)=0),"drop_id not on drops; ",""))</f>
        <v/>
      </c>
    </row>
    <row r="995">
      <c r="A995" s="9" t="n"/>
      <c r="E995" s="10" t="n"/>
      <c r="G995" s="25">
        <f>IF($A995="","",IF(ISNA(MATCH($D995,{"brand_sales","office_coordination","receiving_kitting","drop_day","checks_pickup","reporting_debriefs","admin_invoicing"},0)),"activity must be one of the seven keys; ","")&amp;IF(OR(N($E995)&lt;=0,N($E995)&gt;16),"hours?; ","")&amp;IF(AND($C995&lt;&gt;"",$B995=""),"campaign without drop_id; ","")&amp;IF(AND($B995&lt;&gt;"",COUNTIF(drops!$A$2:$A$21,$B995)=0),"drop_id not on drops; ",""))</f>
        <v/>
      </c>
    </row>
    <row r="996">
      <c r="A996" s="9" t="n"/>
      <c r="E996" s="10" t="n"/>
      <c r="G996" s="25">
        <f>IF($A996="","",IF(ISNA(MATCH($D996,{"brand_sales","office_coordination","receiving_kitting","drop_day","checks_pickup","reporting_debriefs","admin_invoicing"},0)),"activity must be one of the seven keys; ","")&amp;IF(OR(N($E996)&lt;=0,N($E996)&gt;16),"hours?; ","")&amp;IF(AND($C996&lt;&gt;"",$B996=""),"campaign without drop_id; ","")&amp;IF(AND($B996&lt;&gt;"",COUNTIF(drops!$A$2:$A$21,$B996)=0),"drop_id not on drops; ",""))</f>
        <v/>
      </c>
    </row>
    <row r="997">
      <c r="A997" s="9" t="n"/>
      <c r="E997" s="10" t="n"/>
      <c r="G997" s="25">
        <f>IF($A997="","",IF(ISNA(MATCH($D997,{"brand_sales","office_coordination","receiving_kitting","drop_day","checks_pickup","reporting_debriefs","admin_invoicing"},0)),"activity must be one of the seven keys; ","")&amp;IF(OR(N($E997)&lt;=0,N($E997)&gt;16),"hours?; ","")&amp;IF(AND($C997&lt;&gt;"",$B997=""),"campaign without drop_id; ","")&amp;IF(AND($B997&lt;&gt;"",COUNTIF(drops!$A$2:$A$21,$B997)=0),"drop_id not on drops; ",""))</f>
        <v/>
      </c>
    </row>
    <row r="998">
      <c r="A998" s="9" t="n"/>
      <c r="E998" s="10" t="n"/>
      <c r="G998" s="25">
        <f>IF($A998="","",IF(ISNA(MATCH($D998,{"brand_sales","office_coordination","receiving_kitting","drop_day","checks_pickup","reporting_debriefs","admin_invoicing"},0)),"activity must be one of the seven keys; ","")&amp;IF(OR(N($E998)&lt;=0,N($E998)&gt;16),"hours?; ","")&amp;IF(AND($C998&lt;&gt;"",$B998=""),"campaign without drop_id; ","")&amp;IF(AND($B998&lt;&gt;"",COUNTIF(drops!$A$2:$A$21,$B998)=0),"drop_id not on drops; ",""))</f>
        <v/>
      </c>
    </row>
    <row r="999">
      <c r="A999" s="9" t="n"/>
      <c r="E999" s="10" t="n"/>
      <c r="G999" s="25">
        <f>IF($A999="","",IF(ISNA(MATCH($D999,{"brand_sales","office_coordination","receiving_kitting","drop_day","checks_pickup","reporting_debriefs","admin_invoicing"},0)),"activity must be one of the seven keys; ","")&amp;IF(OR(N($E999)&lt;=0,N($E999)&gt;16),"hours?; ","")&amp;IF(AND($C999&lt;&gt;"",$B999=""),"campaign without drop_id; ","")&amp;IF(AND($B999&lt;&gt;"",COUNTIF(drops!$A$2:$A$21,$B999)=0),"drop_id not on drops; ",""))</f>
        <v/>
      </c>
    </row>
    <row r="1000">
      <c r="A1000" s="9" t="n"/>
      <c r="E1000" s="10" t="n"/>
      <c r="G1000" s="25">
        <f>IF($A1000="","",IF(ISNA(MATCH($D1000,{"brand_sales","office_coordination","receiving_kitting","drop_day","checks_pickup","reporting_debriefs","admin_invoicing"},0)),"activity must be one of the seven keys; ","")&amp;IF(OR(N($E1000)&lt;=0,N($E1000)&gt;16),"hours?; ","")&amp;IF(AND($C1000&lt;&gt;"",$B1000=""),"campaign without drop_id; ","")&amp;IF(AND($B1000&lt;&gt;"",COUNTIF(drops!$A$2:$A$21,$B1000)=0),"drop_id not on drops; ",""))</f>
        <v/>
      </c>
    </row>
    <row r="1001">
      <c r="A1001" s="9" t="n"/>
      <c r="E1001" s="10" t="n"/>
      <c r="G1001" s="25">
        <f>IF($A1001="","",IF(ISNA(MATCH($D1001,{"brand_sales","office_coordination","receiving_kitting","drop_day","checks_pickup","reporting_debriefs","admin_invoicing"},0)),"activity must be one of the seven keys; ","")&amp;IF(OR(N($E1001)&lt;=0,N($E1001)&gt;16),"hours?; ","")&amp;IF(AND($C1001&lt;&gt;"",$B1001=""),"campaign without drop_id; ","")&amp;IF(AND($B1001&lt;&gt;"",COUNTIF(drops!$A$2:$A$21,$B1001)=0),"drop_id not on drops; ",""))</f>
        <v/>
      </c>
    </row>
    <row r="1002">
      <c r="A1002" s="9" t="n"/>
      <c r="E1002" s="10" t="n"/>
      <c r="G1002" s="25">
        <f>IF($A1002="","",IF(ISNA(MATCH($D1002,{"brand_sales","office_coordination","receiving_kitting","drop_day","checks_pickup","reporting_debriefs","admin_invoicing"},0)),"activity must be one of the seven keys; ","")&amp;IF(OR(N($E1002)&lt;=0,N($E1002)&gt;16),"hours?; ","")&amp;IF(AND($C1002&lt;&gt;"",$B1002=""),"campaign without drop_id; ","")&amp;IF(AND($B1002&lt;&gt;"",COUNTIF(drops!$A$2:$A$21,$B1002)=0),"drop_id not on drops; ",""))</f>
        <v/>
      </c>
    </row>
    <row r="1003">
      <c r="A1003" s="9" t="n"/>
      <c r="E1003" s="10" t="n"/>
      <c r="G1003" s="25">
        <f>IF($A1003="","",IF(ISNA(MATCH($D1003,{"brand_sales","office_coordination","receiving_kitting","drop_day","checks_pickup","reporting_debriefs","admin_invoicing"},0)),"activity must be one of the seven keys; ","")&amp;IF(OR(N($E1003)&lt;=0,N($E1003)&gt;16),"hours?; ","")&amp;IF(AND($C1003&lt;&gt;"",$B1003=""),"campaign without drop_id; ","")&amp;IF(AND($B1003&lt;&gt;"",COUNTIF(drops!$A$2:$A$21,$B1003)=0),"drop_id not on drops; ",""))</f>
        <v/>
      </c>
    </row>
    <row r="1004">
      <c r="A1004" s="9" t="n"/>
      <c r="E1004" s="10" t="n"/>
      <c r="G1004" s="25">
        <f>IF($A1004="","",IF(ISNA(MATCH($D1004,{"brand_sales","office_coordination","receiving_kitting","drop_day","checks_pickup","reporting_debriefs","admin_invoicing"},0)),"activity must be one of the seven keys; ","")&amp;IF(OR(N($E1004)&lt;=0,N($E1004)&gt;16),"hours?; ","")&amp;IF(AND($C1004&lt;&gt;"",$B1004=""),"campaign without drop_id; ","")&amp;IF(AND($B1004&lt;&gt;"",COUNTIF(drops!$A$2:$A$21,$B1004)=0),"drop_id not on drops; ",""))</f>
        <v/>
      </c>
    </row>
    <row r="1005">
      <c r="A1005" s="9" t="n"/>
      <c r="E1005" s="10" t="n"/>
      <c r="G1005" s="25">
        <f>IF($A1005="","",IF(ISNA(MATCH($D1005,{"brand_sales","office_coordination","receiving_kitting","drop_day","checks_pickup","reporting_debriefs","admin_invoicing"},0)),"activity must be one of the seven keys; ","")&amp;IF(OR(N($E1005)&lt;=0,N($E1005)&gt;16),"hours?; ","")&amp;IF(AND($C1005&lt;&gt;"",$B1005=""),"campaign without drop_id; ","")&amp;IF(AND($B1005&lt;&gt;"",COUNTIF(drops!$A$2:$A$21,$B1005)=0),"drop_id not on drops; ",""))</f>
        <v/>
      </c>
    </row>
    <row r="1006">
      <c r="A1006" s="9" t="n"/>
      <c r="E1006" s="10" t="n"/>
      <c r="G1006" s="25">
        <f>IF($A1006="","",IF(ISNA(MATCH($D1006,{"brand_sales","office_coordination","receiving_kitting","drop_day","checks_pickup","reporting_debriefs","admin_invoicing"},0)),"activity must be one of the seven keys; ","")&amp;IF(OR(N($E1006)&lt;=0,N($E1006)&gt;16),"hours?; ","")&amp;IF(AND($C1006&lt;&gt;"",$B1006=""),"campaign without drop_id; ","")&amp;IF(AND($B1006&lt;&gt;"",COUNTIF(drops!$A$2:$A$21,$B1006)=0),"drop_id not on drops; ",""))</f>
        <v/>
      </c>
    </row>
    <row r="1007">
      <c r="A1007" s="9" t="n"/>
      <c r="E1007" s="10" t="n"/>
      <c r="G1007" s="25">
        <f>IF($A1007="","",IF(ISNA(MATCH($D1007,{"brand_sales","office_coordination","receiving_kitting","drop_day","checks_pickup","reporting_debriefs","admin_invoicing"},0)),"activity must be one of the seven keys; ","")&amp;IF(OR(N($E1007)&lt;=0,N($E1007)&gt;16),"hours?; ","")&amp;IF(AND($C1007&lt;&gt;"",$B1007=""),"campaign without drop_id; ","")&amp;IF(AND($B1007&lt;&gt;"",COUNTIF(drops!$A$2:$A$21,$B1007)=0),"drop_id not on drops; ",""))</f>
        <v/>
      </c>
    </row>
    <row r="1008">
      <c r="A1008" s="9" t="n"/>
      <c r="E1008" s="10" t="n"/>
      <c r="G1008" s="25">
        <f>IF($A1008="","",IF(ISNA(MATCH($D1008,{"brand_sales","office_coordination","receiving_kitting","drop_day","checks_pickup","reporting_debriefs","admin_invoicing"},0)),"activity must be one of the seven keys; ","")&amp;IF(OR(N($E1008)&lt;=0,N($E1008)&gt;16),"hours?; ","")&amp;IF(AND($C1008&lt;&gt;"",$B1008=""),"campaign without drop_id; ","")&amp;IF(AND($B1008&lt;&gt;"",COUNTIF(drops!$A$2:$A$21,$B1008)=0),"drop_id not on drops; ",""))</f>
        <v/>
      </c>
    </row>
    <row r="1009">
      <c r="A1009" s="9" t="n"/>
      <c r="E1009" s="10" t="n"/>
      <c r="G1009" s="25">
        <f>IF($A1009="","",IF(ISNA(MATCH($D1009,{"brand_sales","office_coordination","receiving_kitting","drop_day","checks_pickup","reporting_debriefs","admin_invoicing"},0)),"activity must be one of the seven keys; ","")&amp;IF(OR(N($E1009)&lt;=0,N($E1009)&gt;16),"hours?; ","")&amp;IF(AND($C1009&lt;&gt;"",$B1009=""),"campaign without drop_id; ","")&amp;IF(AND($B1009&lt;&gt;"",COUNTIF(drops!$A$2:$A$21,$B1009)=0),"drop_id not on drops; ",""))</f>
        <v/>
      </c>
    </row>
    <row r="1010">
      <c r="A1010" s="9" t="n"/>
      <c r="E1010" s="10" t="n"/>
      <c r="G1010" s="25">
        <f>IF($A1010="","",IF(ISNA(MATCH($D1010,{"brand_sales","office_coordination","receiving_kitting","drop_day","checks_pickup","reporting_debriefs","admin_invoicing"},0)),"activity must be one of the seven keys; ","")&amp;IF(OR(N($E1010)&lt;=0,N($E1010)&gt;16),"hours?; ","")&amp;IF(AND($C1010&lt;&gt;"",$B1010=""),"campaign without drop_id; ","")&amp;IF(AND($B1010&lt;&gt;"",COUNTIF(drops!$A$2:$A$21,$B1010)=0),"drop_id not on drops; ",""))</f>
        <v/>
      </c>
    </row>
    <row r="1011">
      <c r="A1011" s="9" t="n"/>
      <c r="E1011" s="10" t="n"/>
      <c r="G1011" s="25">
        <f>IF($A1011="","",IF(ISNA(MATCH($D1011,{"brand_sales","office_coordination","receiving_kitting","drop_day","checks_pickup","reporting_debriefs","admin_invoicing"},0)),"activity must be one of the seven keys; ","")&amp;IF(OR(N($E1011)&lt;=0,N($E1011)&gt;16),"hours?; ","")&amp;IF(AND($C1011&lt;&gt;"",$B1011=""),"campaign without drop_id; ","")&amp;IF(AND($B1011&lt;&gt;"",COUNTIF(drops!$A$2:$A$21,$B1011)=0),"drop_id not on drops; ",""))</f>
        <v/>
      </c>
    </row>
    <row r="1012">
      <c r="A1012" s="9" t="n"/>
      <c r="E1012" s="10" t="n"/>
      <c r="G1012" s="25">
        <f>IF($A1012="","",IF(ISNA(MATCH($D1012,{"brand_sales","office_coordination","receiving_kitting","drop_day","checks_pickup","reporting_debriefs","admin_invoicing"},0)),"activity must be one of the seven keys; ","")&amp;IF(OR(N($E1012)&lt;=0,N($E1012)&gt;16),"hours?; ","")&amp;IF(AND($C1012&lt;&gt;"",$B1012=""),"campaign without drop_id; ","")&amp;IF(AND($B1012&lt;&gt;"",COUNTIF(drops!$A$2:$A$21,$B1012)=0),"drop_id not on drops; ",""))</f>
        <v/>
      </c>
    </row>
    <row r="1013">
      <c r="A1013" s="9" t="n"/>
      <c r="E1013" s="10" t="n"/>
      <c r="G1013" s="25">
        <f>IF($A1013="","",IF(ISNA(MATCH($D1013,{"brand_sales","office_coordination","receiving_kitting","drop_day","checks_pickup","reporting_debriefs","admin_invoicing"},0)),"activity must be one of the seven keys; ","")&amp;IF(OR(N($E1013)&lt;=0,N($E1013)&gt;16),"hours?; ","")&amp;IF(AND($C1013&lt;&gt;"",$B1013=""),"campaign without drop_id; ","")&amp;IF(AND($B1013&lt;&gt;"",COUNTIF(drops!$A$2:$A$21,$B1013)=0),"drop_id not on drops; ",""))</f>
        <v/>
      </c>
    </row>
    <row r="1014">
      <c r="A1014" s="9" t="n"/>
      <c r="E1014" s="10" t="n"/>
      <c r="G1014" s="25">
        <f>IF($A1014="","",IF(ISNA(MATCH($D1014,{"brand_sales","office_coordination","receiving_kitting","drop_day","checks_pickup","reporting_debriefs","admin_invoicing"},0)),"activity must be one of the seven keys; ","")&amp;IF(OR(N($E1014)&lt;=0,N($E1014)&gt;16),"hours?; ","")&amp;IF(AND($C1014&lt;&gt;"",$B1014=""),"campaign without drop_id; ","")&amp;IF(AND($B1014&lt;&gt;"",COUNTIF(drops!$A$2:$A$21,$B1014)=0),"drop_id not on drops; ",""))</f>
        <v/>
      </c>
    </row>
    <row r="1015">
      <c r="A1015" s="9" t="n"/>
      <c r="E1015" s="10" t="n"/>
      <c r="G1015" s="25">
        <f>IF($A1015="","",IF(ISNA(MATCH($D1015,{"brand_sales","office_coordination","receiving_kitting","drop_day","checks_pickup","reporting_debriefs","admin_invoicing"},0)),"activity must be one of the seven keys; ","")&amp;IF(OR(N($E1015)&lt;=0,N($E1015)&gt;16),"hours?; ","")&amp;IF(AND($C1015&lt;&gt;"",$B1015=""),"campaign without drop_id; ","")&amp;IF(AND($B1015&lt;&gt;"",COUNTIF(drops!$A$2:$A$21,$B1015)=0),"drop_id not on drops; ",""))</f>
        <v/>
      </c>
    </row>
    <row r="1016">
      <c r="A1016" s="9" t="n"/>
      <c r="E1016" s="10" t="n"/>
      <c r="G1016" s="25">
        <f>IF($A1016="","",IF(ISNA(MATCH($D1016,{"brand_sales","office_coordination","receiving_kitting","drop_day","checks_pickup","reporting_debriefs","admin_invoicing"},0)),"activity must be one of the seven keys; ","")&amp;IF(OR(N($E1016)&lt;=0,N($E1016)&gt;16),"hours?; ","")&amp;IF(AND($C1016&lt;&gt;"",$B1016=""),"campaign without drop_id; ","")&amp;IF(AND($B1016&lt;&gt;"",COUNTIF(drops!$A$2:$A$21,$B1016)=0),"drop_id not on drops; ",""))</f>
        <v/>
      </c>
    </row>
    <row r="1017">
      <c r="A1017" s="9" t="n"/>
      <c r="E1017" s="10" t="n"/>
      <c r="G1017" s="25">
        <f>IF($A1017="","",IF(ISNA(MATCH($D1017,{"brand_sales","office_coordination","receiving_kitting","drop_day","checks_pickup","reporting_debriefs","admin_invoicing"},0)),"activity must be one of the seven keys; ","")&amp;IF(OR(N($E1017)&lt;=0,N($E1017)&gt;16),"hours?; ","")&amp;IF(AND($C1017&lt;&gt;"",$B1017=""),"campaign without drop_id; ","")&amp;IF(AND($B1017&lt;&gt;"",COUNTIF(drops!$A$2:$A$21,$B1017)=0),"drop_id not on drops; ",""))</f>
        <v/>
      </c>
    </row>
    <row r="1018">
      <c r="A1018" s="9" t="n"/>
      <c r="E1018" s="10" t="n"/>
      <c r="G1018" s="25">
        <f>IF($A1018="","",IF(ISNA(MATCH($D1018,{"brand_sales","office_coordination","receiving_kitting","drop_day","checks_pickup","reporting_debriefs","admin_invoicing"},0)),"activity must be one of the seven keys; ","")&amp;IF(OR(N($E1018)&lt;=0,N($E1018)&gt;16),"hours?; ","")&amp;IF(AND($C1018&lt;&gt;"",$B1018=""),"campaign without drop_id; ","")&amp;IF(AND($B1018&lt;&gt;"",COUNTIF(drops!$A$2:$A$21,$B1018)=0),"drop_id not on drops; ",""))</f>
        <v/>
      </c>
    </row>
    <row r="1019">
      <c r="A1019" s="9" t="n"/>
      <c r="E1019" s="10" t="n"/>
      <c r="G1019" s="25">
        <f>IF($A1019="","",IF(ISNA(MATCH($D1019,{"brand_sales","office_coordination","receiving_kitting","drop_day","checks_pickup","reporting_debriefs","admin_invoicing"},0)),"activity must be one of the seven keys; ","")&amp;IF(OR(N($E1019)&lt;=0,N($E1019)&gt;16),"hours?; ","")&amp;IF(AND($C1019&lt;&gt;"",$B1019=""),"campaign without drop_id; ","")&amp;IF(AND($B1019&lt;&gt;"",COUNTIF(drops!$A$2:$A$21,$B1019)=0),"drop_id not on drops; ",""))</f>
        <v/>
      </c>
    </row>
    <row r="1020">
      <c r="A1020" s="9" t="n"/>
      <c r="E1020" s="10" t="n"/>
      <c r="G1020" s="25">
        <f>IF($A1020="","",IF(ISNA(MATCH($D1020,{"brand_sales","office_coordination","receiving_kitting","drop_day","checks_pickup","reporting_debriefs","admin_invoicing"},0)),"activity must be one of the seven keys; ","")&amp;IF(OR(N($E1020)&lt;=0,N($E1020)&gt;16),"hours?; ","")&amp;IF(AND($C1020&lt;&gt;"",$B1020=""),"campaign without drop_id; ","")&amp;IF(AND($B1020&lt;&gt;"",COUNTIF(drops!$A$2:$A$21,$B1020)=0),"drop_id not on drops; ",""))</f>
        <v/>
      </c>
    </row>
    <row r="1021">
      <c r="A1021" s="9" t="n"/>
      <c r="E1021" s="10" t="n"/>
      <c r="G1021" s="25">
        <f>IF($A1021="","",IF(ISNA(MATCH($D1021,{"brand_sales","office_coordination","receiving_kitting","drop_day","checks_pickup","reporting_debriefs","admin_invoicing"},0)),"activity must be one of the seven keys; ","")&amp;IF(OR(N($E1021)&lt;=0,N($E1021)&gt;16),"hours?; ","")&amp;IF(AND($C1021&lt;&gt;"",$B1021=""),"campaign without drop_id; ","")&amp;IF(AND($B1021&lt;&gt;"",COUNTIF(drops!$A$2:$A$21,$B1021)=0),"drop_id not on drops; ",""))</f>
        <v/>
      </c>
    </row>
    <row r="1022">
      <c r="A1022" s="9" t="n"/>
      <c r="E1022" s="10" t="n"/>
      <c r="G1022" s="25">
        <f>IF($A1022="","",IF(ISNA(MATCH($D1022,{"brand_sales","office_coordination","receiving_kitting","drop_day","checks_pickup","reporting_debriefs","admin_invoicing"},0)),"activity must be one of the seven keys; ","")&amp;IF(OR(N($E1022)&lt;=0,N($E1022)&gt;16),"hours?; ","")&amp;IF(AND($C1022&lt;&gt;"",$B1022=""),"campaign without drop_id; ","")&amp;IF(AND($B1022&lt;&gt;"",COUNTIF(drops!$A$2:$A$21,$B1022)=0),"drop_id not on drops; ",""))</f>
        <v/>
      </c>
    </row>
    <row r="1023">
      <c r="A1023" s="9" t="n"/>
      <c r="E1023" s="10" t="n"/>
      <c r="G1023" s="25">
        <f>IF($A1023="","",IF(ISNA(MATCH($D1023,{"brand_sales","office_coordination","receiving_kitting","drop_day","checks_pickup","reporting_debriefs","admin_invoicing"},0)),"activity must be one of the seven keys; ","")&amp;IF(OR(N($E1023)&lt;=0,N($E1023)&gt;16),"hours?; ","")&amp;IF(AND($C1023&lt;&gt;"",$B1023=""),"campaign without drop_id; ","")&amp;IF(AND($B1023&lt;&gt;"",COUNTIF(drops!$A$2:$A$21,$B1023)=0),"drop_id not on drops; ",""))</f>
        <v/>
      </c>
    </row>
    <row r="1024">
      <c r="A1024" s="9" t="n"/>
      <c r="E1024" s="10" t="n"/>
      <c r="G1024" s="25">
        <f>IF($A1024="","",IF(ISNA(MATCH($D1024,{"brand_sales","office_coordination","receiving_kitting","drop_day","checks_pickup","reporting_debriefs","admin_invoicing"},0)),"activity must be one of the seven keys; ","")&amp;IF(OR(N($E1024)&lt;=0,N($E1024)&gt;16),"hours?; ","")&amp;IF(AND($C1024&lt;&gt;"",$B1024=""),"campaign without drop_id; ","")&amp;IF(AND($B1024&lt;&gt;"",COUNTIF(drops!$A$2:$A$21,$B1024)=0),"drop_id not on drops; ",""))</f>
        <v/>
      </c>
    </row>
    <row r="1025">
      <c r="A1025" s="9" t="n"/>
      <c r="E1025" s="10" t="n"/>
      <c r="G1025" s="25">
        <f>IF($A1025="","",IF(ISNA(MATCH($D1025,{"brand_sales","office_coordination","receiving_kitting","drop_day","checks_pickup","reporting_debriefs","admin_invoicing"},0)),"activity must be one of the seven keys; ","")&amp;IF(OR(N($E1025)&lt;=0,N($E1025)&gt;16),"hours?; ","")&amp;IF(AND($C1025&lt;&gt;"",$B1025=""),"campaign without drop_id; ","")&amp;IF(AND($B1025&lt;&gt;"",COUNTIF(drops!$A$2:$A$21,$B1025)=0),"drop_id not on drops; ",""))</f>
        <v/>
      </c>
    </row>
    <row r="1026">
      <c r="A1026" s="9" t="n"/>
      <c r="E1026" s="10" t="n"/>
      <c r="G1026" s="25">
        <f>IF($A1026="","",IF(ISNA(MATCH($D1026,{"brand_sales","office_coordination","receiving_kitting","drop_day","checks_pickup","reporting_debriefs","admin_invoicing"},0)),"activity must be one of the seven keys; ","")&amp;IF(OR(N($E1026)&lt;=0,N($E1026)&gt;16),"hours?; ","")&amp;IF(AND($C1026&lt;&gt;"",$B1026=""),"campaign without drop_id; ","")&amp;IF(AND($B1026&lt;&gt;"",COUNTIF(drops!$A$2:$A$21,$B1026)=0),"drop_id not on drops; ",""))</f>
        <v/>
      </c>
    </row>
    <row r="1027">
      <c r="A1027" s="9" t="n"/>
      <c r="E1027" s="10" t="n"/>
      <c r="G1027" s="25">
        <f>IF($A1027="","",IF(ISNA(MATCH($D1027,{"brand_sales","office_coordination","receiving_kitting","drop_day","checks_pickup","reporting_debriefs","admin_invoicing"},0)),"activity must be one of the seven keys; ","")&amp;IF(OR(N($E1027)&lt;=0,N($E1027)&gt;16),"hours?; ","")&amp;IF(AND($C1027&lt;&gt;"",$B1027=""),"campaign without drop_id; ","")&amp;IF(AND($B1027&lt;&gt;"",COUNTIF(drops!$A$2:$A$21,$B1027)=0),"drop_id not on drops; ",""))</f>
        <v/>
      </c>
    </row>
    <row r="1028">
      <c r="A1028" s="9" t="n"/>
      <c r="E1028" s="10" t="n"/>
      <c r="G1028" s="25">
        <f>IF($A1028="","",IF(ISNA(MATCH($D1028,{"brand_sales","office_coordination","receiving_kitting","drop_day","checks_pickup","reporting_debriefs","admin_invoicing"},0)),"activity must be one of the seven keys; ","")&amp;IF(OR(N($E1028)&lt;=0,N($E1028)&gt;16),"hours?; ","")&amp;IF(AND($C1028&lt;&gt;"",$B1028=""),"campaign without drop_id; ","")&amp;IF(AND($B1028&lt;&gt;"",COUNTIF(drops!$A$2:$A$21,$B1028)=0),"drop_id not on drops; ",""))</f>
        <v/>
      </c>
    </row>
    <row r="1029">
      <c r="A1029" s="9" t="n"/>
      <c r="E1029" s="10" t="n"/>
      <c r="G1029" s="25">
        <f>IF($A1029="","",IF(ISNA(MATCH($D1029,{"brand_sales","office_coordination","receiving_kitting","drop_day","checks_pickup","reporting_debriefs","admin_invoicing"},0)),"activity must be one of the seven keys; ","")&amp;IF(OR(N($E1029)&lt;=0,N($E1029)&gt;16),"hours?; ","")&amp;IF(AND($C1029&lt;&gt;"",$B1029=""),"campaign without drop_id; ","")&amp;IF(AND($B1029&lt;&gt;"",COUNTIF(drops!$A$2:$A$21,$B1029)=0),"drop_id not on drops; ",""))</f>
        <v/>
      </c>
    </row>
    <row r="1030">
      <c r="A1030" s="9" t="n"/>
      <c r="E1030" s="10" t="n"/>
      <c r="G1030" s="25">
        <f>IF($A1030="","",IF(ISNA(MATCH($D1030,{"brand_sales","office_coordination","receiving_kitting","drop_day","checks_pickup","reporting_debriefs","admin_invoicing"},0)),"activity must be one of the seven keys; ","")&amp;IF(OR(N($E1030)&lt;=0,N($E1030)&gt;16),"hours?; ","")&amp;IF(AND($C1030&lt;&gt;"",$B1030=""),"campaign without drop_id; ","")&amp;IF(AND($B1030&lt;&gt;"",COUNTIF(drops!$A$2:$A$21,$B1030)=0),"drop_id not on drops; ",""))</f>
        <v/>
      </c>
    </row>
    <row r="1031">
      <c r="A1031" s="9" t="n"/>
      <c r="E1031" s="10" t="n"/>
      <c r="G1031" s="25">
        <f>IF($A1031="","",IF(ISNA(MATCH($D1031,{"brand_sales","office_coordination","receiving_kitting","drop_day","checks_pickup","reporting_debriefs","admin_invoicing"},0)),"activity must be one of the seven keys; ","")&amp;IF(OR(N($E1031)&lt;=0,N($E1031)&gt;16),"hours?; ","")&amp;IF(AND($C1031&lt;&gt;"",$B1031=""),"campaign without drop_id; ","")&amp;IF(AND($B1031&lt;&gt;"",COUNTIF(drops!$A$2:$A$21,$B1031)=0),"drop_id not on drops; ",""))</f>
        <v/>
      </c>
    </row>
    <row r="1032">
      <c r="A1032" s="9" t="n"/>
      <c r="E1032" s="10" t="n"/>
      <c r="G1032" s="25">
        <f>IF($A1032="","",IF(ISNA(MATCH($D1032,{"brand_sales","office_coordination","receiving_kitting","drop_day","checks_pickup","reporting_debriefs","admin_invoicing"},0)),"activity must be one of the seven keys; ","")&amp;IF(OR(N($E1032)&lt;=0,N($E1032)&gt;16),"hours?; ","")&amp;IF(AND($C1032&lt;&gt;"",$B1032=""),"campaign without drop_id; ","")&amp;IF(AND($B1032&lt;&gt;"",COUNTIF(drops!$A$2:$A$21,$B1032)=0),"drop_id not on drops; ",""))</f>
        <v/>
      </c>
    </row>
    <row r="1033">
      <c r="A1033" s="9" t="n"/>
      <c r="E1033" s="10" t="n"/>
      <c r="G1033" s="25">
        <f>IF($A1033="","",IF(ISNA(MATCH($D1033,{"brand_sales","office_coordination","receiving_kitting","drop_day","checks_pickup","reporting_debriefs","admin_invoicing"},0)),"activity must be one of the seven keys; ","")&amp;IF(OR(N($E1033)&lt;=0,N($E1033)&gt;16),"hours?; ","")&amp;IF(AND($C1033&lt;&gt;"",$B1033=""),"campaign without drop_id; ","")&amp;IF(AND($B1033&lt;&gt;"",COUNTIF(drops!$A$2:$A$21,$B1033)=0),"drop_id not on drops; ",""))</f>
        <v/>
      </c>
    </row>
    <row r="1034">
      <c r="A1034" s="9" t="n"/>
      <c r="E1034" s="10" t="n"/>
      <c r="G1034" s="25">
        <f>IF($A1034="","",IF(ISNA(MATCH($D1034,{"brand_sales","office_coordination","receiving_kitting","drop_day","checks_pickup","reporting_debriefs","admin_invoicing"},0)),"activity must be one of the seven keys; ","")&amp;IF(OR(N($E1034)&lt;=0,N($E1034)&gt;16),"hours?; ","")&amp;IF(AND($C1034&lt;&gt;"",$B1034=""),"campaign without drop_id; ","")&amp;IF(AND($B1034&lt;&gt;"",COUNTIF(drops!$A$2:$A$21,$B1034)=0),"drop_id not on drops; ",""))</f>
        <v/>
      </c>
    </row>
    <row r="1035">
      <c r="A1035" s="9" t="n"/>
      <c r="E1035" s="10" t="n"/>
      <c r="G1035" s="25">
        <f>IF($A1035="","",IF(ISNA(MATCH($D1035,{"brand_sales","office_coordination","receiving_kitting","drop_day","checks_pickup","reporting_debriefs","admin_invoicing"},0)),"activity must be one of the seven keys; ","")&amp;IF(OR(N($E1035)&lt;=0,N($E1035)&gt;16),"hours?; ","")&amp;IF(AND($C1035&lt;&gt;"",$B1035=""),"campaign without drop_id; ","")&amp;IF(AND($B1035&lt;&gt;"",COUNTIF(drops!$A$2:$A$21,$B1035)=0),"drop_id not on drops; ",""))</f>
        <v/>
      </c>
    </row>
    <row r="1036">
      <c r="A1036" s="9" t="n"/>
      <c r="E1036" s="10" t="n"/>
      <c r="G1036" s="25">
        <f>IF($A1036="","",IF(ISNA(MATCH($D1036,{"brand_sales","office_coordination","receiving_kitting","drop_day","checks_pickup","reporting_debriefs","admin_invoicing"},0)),"activity must be one of the seven keys; ","")&amp;IF(OR(N($E1036)&lt;=0,N($E1036)&gt;16),"hours?; ","")&amp;IF(AND($C1036&lt;&gt;"",$B1036=""),"campaign without drop_id; ","")&amp;IF(AND($B1036&lt;&gt;"",COUNTIF(drops!$A$2:$A$21,$B1036)=0),"drop_id not on drops; ",""))</f>
        <v/>
      </c>
    </row>
    <row r="1037">
      <c r="A1037" s="9" t="n"/>
      <c r="E1037" s="10" t="n"/>
      <c r="G1037" s="25">
        <f>IF($A1037="","",IF(ISNA(MATCH($D1037,{"brand_sales","office_coordination","receiving_kitting","drop_day","checks_pickup","reporting_debriefs","admin_invoicing"},0)),"activity must be one of the seven keys; ","")&amp;IF(OR(N($E1037)&lt;=0,N($E1037)&gt;16),"hours?; ","")&amp;IF(AND($C1037&lt;&gt;"",$B1037=""),"campaign without drop_id; ","")&amp;IF(AND($B1037&lt;&gt;"",COUNTIF(drops!$A$2:$A$21,$B1037)=0),"drop_id not on drops; ",""))</f>
        <v/>
      </c>
    </row>
    <row r="1038">
      <c r="A1038" s="9" t="n"/>
      <c r="E1038" s="10" t="n"/>
      <c r="G1038" s="25">
        <f>IF($A1038="","",IF(ISNA(MATCH($D1038,{"brand_sales","office_coordination","receiving_kitting","drop_day","checks_pickup","reporting_debriefs","admin_invoicing"},0)),"activity must be one of the seven keys; ","")&amp;IF(OR(N($E1038)&lt;=0,N($E1038)&gt;16),"hours?; ","")&amp;IF(AND($C1038&lt;&gt;"",$B1038=""),"campaign without drop_id; ","")&amp;IF(AND($B1038&lt;&gt;"",COUNTIF(drops!$A$2:$A$21,$B1038)=0),"drop_id not on drops; ",""))</f>
        <v/>
      </c>
    </row>
    <row r="1039">
      <c r="A1039" s="9" t="n"/>
      <c r="E1039" s="10" t="n"/>
      <c r="G1039" s="25">
        <f>IF($A1039="","",IF(ISNA(MATCH($D1039,{"brand_sales","office_coordination","receiving_kitting","drop_day","checks_pickup","reporting_debriefs","admin_invoicing"},0)),"activity must be one of the seven keys; ","")&amp;IF(OR(N($E1039)&lt;=0,N($E1039)&gt;16),"hours?; ","")&amp;IF(AND($C1039&lt;&gt;"",$B1039=""),"campaign without drop_id; ","")&amp;IF(AND($B1039&lt;&gt;"",COUNTIF(drops!$A$2:$A$21,$B1039)=0),"drop_id not on drops; ",""))</f>
        <v/>
      </c>
    </row>
    <row r="1040">
      <c r="A1040" s="9" t="n"/>
      <c r="E1040" s="10" t="n"/>
      <c r="G1040" s="25">
        <f>IF($A1040="","",IF(ISNA(MATCH($D1040,{"brand_sales","office_coordination","receiving_kitting","drop_day","checks_pickup","reporting_debriefs","admin_invoicing"},0)),"activity must be one of the seven keys; ","")&amp;IF(OR(N($E1040)&lt;=0,N($E1040)&gt;16),"hours?; ","")&amp;IF(AND($C1040&lt;&gt;"",$B1040=""),"campaign without drop_id; ","")&amp;IF(AND($B1040&lt;&gt;"",COUNTIF(drops!$A$2:$A$21,$B1040)=0),"drop_id not on drops; ",""))</f>
        <v/>
      </c>
    </row>
    <row r="1041">
      <c r="A1041" s="9" t="n"/>
      <c r="E1041" s="10" t="n"/>
      <c r="G1041" s="25">
        <f>IF($A1041="","",IF(ISNA(MATCH($D1041,{"brand_sales","office_coordination","receiving_kitting","drop_day","checks_pickup","reporting_debriefs","admin_invoicing"},0)),"activity must be one of the seven keys; ","")&amp;IF(OR(N($E1041)&lt;=0,N($E1041)&gt;16),"hours?; ","")&amp;IF(AND($C1041&lt;&gt;"",$B1041=""),"campaign without drop_id; ","")&amp;IF(AND($B1041&lt;&gt;"",COUNTIF(drops!$A$2:$A$21,$B1041)=0),"drop_id not on drops; ",""))</f>
        <v/>
      </c>
    </row>
    <row r="1042">
      <c r="A1042" s="9" t="n"/>
      <c r="E1042" s="10" t="n"/>
      <c r="G1042" s="25">
        <f>IF($A1042="","",IF(ISNA(MATCH($D1042,{"brand_sales","office_coordination","receiving_kitting","drop_day","checks_pickup","reporting_debriefs","admin_invoicing"},0)),"activity must be one of the seven keys; ","")&amp;IF(OR(N($E1042)&lt;=0,N($E1042)&gt;16),"hours?; ","")&amp;IF(AND($C1042&lt;&gt;"",$B1042=""),"campaign without drop_id; ","")&amp;IF(AND($B1042&lt;&gt;"",COUNTIF(drops!$A$2:$A$21,$B1042)=0),"drop_id not on drops; ",""))</f>
        <v/>
      </c>
    </row>
    <row r="1043">
      <c r="A1043" s="9" t="n"/>
      <c r="E1043" s="10" t="n"/>
      <c r="G1043" s="25">
        <f>IF($A1043="","",IF(ISNA(MATCH($D1043,{"brand_sales","office_coordination","receiving_kitting","drop_day","checks_pickup","reporting_debriefs","admin_invoicing"},0)),"activity must be one of the seven keys; ","")&amp;IF(OR(N($E1043)&lt;=0,N($E1043)&gt;16),"hours?; ","")&amp;IF(AND($C1043&lt;&gt;"",$B1043=""),"campaign without drop_id; ","")&amp;IF(AND($B1043&lt;&gt;"",COUNTIF(drops!$A$2:$A$21,$B1043)=0),"drop_id not on drops; ",""))</f>
        <v/>
      </c>
    </row>
    <row r="1044">
      <c r="A1044" s="9" t="n"/>
      <c r="E1044" s="10" t="n"/>
      <c r="G1044" s="25">
        <f>IF($A1044="","",IF(ISNA(MATCH($D1044,{"brand_sales","office_coordination","receiving_kitting","drop_day","checks_pickup","reporting_debriefs","admin_invoicing"},0)),"activity must be one of the seven keys; ","")&amp;IF(OR(N($E1044)&lt;=0,N($E1044)&gt;16),"hours?; ","")&amp;IF(AND($C1044&lt;&gt;"",$B1044=""),"campaign without drop_id; ","")&amp;IF(AND($B1044&lt;&gt;"",COUNTIF(drops!$A$2:$A$21,$B1044)=0),"drop_id not on drops; ",""))</f>
        <v/>
      </c>
    </row>
    <row r="1045">
      <c r="A1045" s="9" t="n"/>
      <c r="E1045" s="10" t="n"/>
      <c r="G1045" s="25">
        <f>IF($A1045="","",IF(ISNA(MATCH($D1045,{"brand_sales","office_coordination","receiving_kitting","drop_day","checks_pickup","reporting_debriefs","admin_invoicing"},0)),"activity must be one of the seven keys; ","")&amp;IF(OR(N($E1045)&lt;=0,N($E1045)&gt;16),"hours?; ","")&amp;IF(AND($C1045&lt;&gt;"",$B1045=""),"campaign without drop_id; ","")&amp;IF(AND($B1045&lt;&gt;"",COUNTIF(drops!$A$2:$A$21,$B1045)=0),"drop_id not on drops; ",""))</f>
        <v/>
      </c>
    </row>
    <row r="1046">
      <c r="A1046" s="9" t="n"/>
      <c r="E1046" s="10" t="n"/>
      <c r="G1046" s="25">
        <f>IF($A1046="","",IF(ISNA(MATCH($D1046,{"brand_sales","office_coordination","receiving_kitting","drop_day","checks_pickup","reporting_debriefs","admin_invoicing"},0)),"activity must be one of the seven keys; ","")&amp;IF(OR(N($E1046)&lt;=0,N($E1046)&gt;16),"hours?; ","")&amp;IF(AND($C1046&lt;&gt;"",$B1046=""),"campaign without drop_id; ","")&amp;IF(AND($B1046&lt;&gt;"",COUNTIF(drops!$A$2:$A$21,$B1046)=0),"drop_id not on drops; ",""))</f>
        <v/>
      </c>
    </row>
    <row r="1047">
      <c r="A1047" s="9" t="n"/>
      <c r="E1047" s="10" t="n"/>
      <c r="G1047" s="25">
        <f>IF($A1047="","",IF(ISNA(MATCH($D1047,{"brand_sales","office_coordination","receiving_kitting","drop_day","checks_pickup","reporting_debriefs","admin_invoicing"},0)),"activity must be one of the seven keys; ","")&amp;IF(OR(N($E1047)&lt;=0,N($E1047)&gt;16),"hours?; ","")&amp;IF(AND($C1047&lt;&gt;"",$B1047=""),"campaign without drop_id; ","")&amp;IF(AND($B1047&lt;&gt;"",COUNTIF(drops!$A$2:$A$21,$B1047)=0),"drop_id not on drops; ",""))</f>
        <v/>
      </c>
    </row>
    <row r="1048">
      <c r="A1048" s="9" t="n"/>
      <c r="E1048" s="10" t="n"/>
      <c r="G1048" s="25">
        <f>IF($A1048="","",IF(ISNA(MATCH($D1048,{"brand_sales","office_coordination","receiving_kitting","drop_day","checks_pickup","reporting_debriefs","admin_invoicing"},0)),"activity must be one of the seven keys; ","")&amp;IF(OR(N($E1048)&lt;=0,N($E1048)&gt;16),"hours?; ","")&amp;IF(AND($C1048&lt;&gt;"",$B1048=""),"campaign without drop_id; ","")&amp;IF(AND($B1048&lt;&gt;"",COUNTIF(drops!$A$2:$A$21,$B1048)=0),"drop_id not on drops; ",""))</f>
        <v/>
      </c>
    </row>
    <row r="1049">
      <c r="A1049" s="9" t="n"/>
      <c r="E1049" s="10" t="n"/>
      <c r="G1049" s="25">
        <f>IF($A1049="","",IF(ISNA(MATCH($D1049,{"brand_sales","office_coordination","receiving_kitting","drop_day","checks_pickup","reporting_debriefs","admin_invoicing"},0)),"activity must be one of the seven keys; ","")&amp;IF(OR(N($E1049)&lt;=0,N($E1049)&gt;16),"hours?; ","")&amp;IF(AND($C1049&lt;&gt;"",$B1049=""),"campaign without drop_id; ","")&amp;IF(AND($B1049&lt;&gt;"",COUNTIF(drops!$A$2:$A$21,$B1049)=0),"drop_id not on drops; ",""))</f>
        <v/>
      </c>
    </row>
    <row r="1050">
      <c r="A1050" s="9" t="n"/>
      <c r="E1050" s="10" t="n"/>
      <c r="G1050" s="25">
        <f>IF($A1050="","",IF(ISNA(MATCH($D1050,{"brand_sales","office_coordination","receiving_kitting","drop_day","checks_pickup","reporting_debriefs","admin_invoicing"},0)),"activity must be one of the seven keys; ","")&amp;IF(OR(N($E1050)&lt;=0,N($E1050)&gt;16),"hours?; ","")&amp;IF(AND($C1050&lt;&gt;"",$B1050=""),"campaign without drop_id; ","")&amp;IF(AND($B1050&lt;&gt;"",COUNTIF(drops!$A$2:$A$21,$B1050)=0),"drop_id not on drops; ",""))</f>
        <v/>
      </c>
    </row>
    <row r="1051">
      <c r="A1051" s="9" t="n"/>
      <c r="E1051" s="10" t="n"/>
      <c r="G1051" s="25">
        <f>IF($A1051="","",IF(ISNA(MATCH($D1051,{"brand_sales","office_coordination","receiving_kitting","drop_day","checks_pickup","reporting_debriefs","admin_invoicing"},0)),"activity must be one of the seven keys; ","")&amp;IF(OR(N($E1051)&lt;=0,N($E1051)&gt;16),"hours?; ","")&amp;IF(AND($C1051&lt;&gt;"",$B1051=""),"campaign without drop_id; ","")&amp;IF(AND($B1051&lt;&gt;"",COUNTIF(drops!$A$2:$A$21,$B1051)=0),"drop_id not on drops; ",""))</f>
        <v/>
      </c>
    </row>
    <row r="1052">
      <c r="A1052" s="9" t="n"/>
      <c r="E1052" s="10" t="n"/>
      <c r="G1052" s="25">
        <f>IF($A1052="","",IF(ISNA(MATCH($D1052,{"brand_sales","office_coordination","receiving_kitting","drop_day","checks_pickup","reporting_debriefs","admin_invoicing"},0)),"activity must be one of the seven keys; ","")&amp;IF(OR(N($E1052)&lt;=0,N($E1052)&gt;16),"hours?; ","")&amp;IF(AND($C1052&lt;&gt;"",$B1052=""),"campaign without drop_id; ","")&amp;IF(AND($B1052&lt;&gt;"",COUNTIF(drops!$A$2:$A$21,$B1052)=0),"drop_id not on drops; ",""))</f>
        <v/>
      </c>
    </row>
    <row r="1053">
      <c r="A1053" s="9" t="n"/>
      <c r="E1053" s="10" t="n"/>
      <c r="G1053" s="25">
        <f>IF($A1053="","",IF(ISNA(MATCH($D1053,{"brand_sales","office_coordination","receiving_kitting","drop_day","checks_pickup","reporting_debriefs","admin_invoicing"},0)),"activity must be one of the seven keys; ","")&amp;IF(OR(N($E1053)&lt;=0,N($E1053)&gt;16),"hours?; ","")&amp;IF(AND($C1053&lt;&gt;"",$B1053=""),"campaign without drop_id; ","")&amp;IF(AND($B1053&lt;&gt;"",COUNTIF(drops!$A$2:$A$21,$B1053)=0),"drop_id not on drops; ",""))</f>
        <v/>
      </c>
    </row>
    <row r="1054">
      <c r="A1054" s="9" t="n"/>
      <c r="E1054" s="10" t="n"/>
      <c r="G1054" s="25">
        <f>IF($A1054="","",IF(ISNA(MATCH($D1054,{"brand_sales","office_coordination","receiving_kitting","drop_day","checks_pickup","reporting_debriefs","admin_invoicing"},0)),"activity must be one of the seven keys; ","")&amp;IF(OR(N($E1054)&lt;=0,N($E1054)&gt;16),"hours?; ","")&amp;IF(AND($C1054&lt;&gt;"",$B1054=""),"campaign without drop_id; ","")&amp;IF(AND($B1054&lt;&gt;"",COUNTIF(drops!$A$2:$A$21,$B1054)=0),"drop_id not on drops; ",""))</f>
        <v/>
      </c>
    </row>
    <row r="1055">
      <c r="A1055" s="9" t="n"/>
      <c r="E1055" s="10" t="n"/>
      <c r="G1055" s="25">
        <f>IF($A1055="","",IF(ISNA(MATCH($D1055,{"brand_sales","office_coordination","receiving_kitting","drop_day","checks_pickup","reporting_debriefs","admin_invoicing"},0)),"activity must be one of the seven keys; ","")&amp;IF(OR(N($E1055)&lt;=0,N($E1055)&gt;16),"hours?; ","")&amp;IF(AND($C1055&lt;&gt;"",$B1055=""),"campaign without drop_id; ","")&amp;IF(AND($B1055&lt;&gt;"",COUNTIF(drops!$A$2:$A$21,$B1055)=0),"drop_id not on drops; ",""))</f>
        <v/>
      </c>
    </row>
    <row r="1056">
      <c r="A1056" s="9" t="n"/>
      <c r="E1056" s="10" t="n"/>
      <c r="G1056" s="25">
        <f>IF($A1056="","",IF(ISNA(MATCH($D1056,{"brand_sales","office_coordination","receiving_kitting","drop_day","checks_pickup","reporting_debriefs","admin_invoicing"},0)),"activity must be one of the seven keys; ","")&amp;IF(OR(N($E1056)&lt;=0,N($E1056)&gt;16),"hours?; ","")&amp;IF(AND($C1056&lt;&gt;"",$B1056=""),"campaign without drop_id; ","")&amp;IF(AND($B1056&lt;&gt;"",COUNTIF(drops!$A$2:$A$21,$B1056)=0),"drop_id not on drops; ",""))</f>
        <v/>
      </c>
    </row>
    <row r="1057">
      <c r="A1057" s="9" t="n"/>
      <c r="E1057" s="10" t="n"/>
      <c r="G1057" s="25">
        <f>IF($A1057="","",IF(ISNA(MATCH($D1057,{"brand_sales","office_coordination","receiving_kitting","drop_day","checks_pickup","reporting_debriefs","admin_invoicing"},0)),"activity must be one of the seven keys; ","")&amp;IF(OR(N($E1057)&lt;=0,N($E1057)&gt;16),"hours?; ","")&amp;IF(AND($C1057&lt;&gt;"",$B1057=""),"campaign without drop_id; ","")&amp;IF(AND($B1057&lt;&gt;"",COUNTIF(drops!$A$2:$A$21,$B1057)=0),"drop_id not on drops; ",""))</f>
        <v/>
      </c>
    </row>
    <row r="1058">
      <c r="A1058" s="9" t="n"/>
      <c r="E1058" s="10" t="n"/>
      <c r="G1058" s="25">
        <f>IF($A1058="","",IF(ISNA(MATCH($D1058,{"brand_sales","office_coordination","receiving_kitting","drop_day","checks_pickup","reporting_debriefs","admin_invoicing"},0)),"activity must be one of the seven keys; ","")&amp;IF(OR(N($E1058)&lt;=0,N($E1058)&gt;16),"hours?; ","")&amp;IF(AND($C1058&lt;&gt;"",$B1058=""),"campaign without drop_id; ","")&amp;IF(AND($B1058&lt;&gt;"",COUNTIF(drops!$A$2:$A$21,$B1058)=0),"drop_id not on drops; ",""))</f>
        <v/>
      </c>
    </row>
    <row r="1059">
      <c r="A1059" s="9" t="n"/>
      <c r="E1059" s="10" t="n"/>
      <c r="G1059" s="25">
        <f>IF($A1059="","",IF(ISNA(MATCH($D1059,{"brand_sales","office_coordination","receiving_kitting","drop_day","checks_pickup","reporting_debriefs","admin_invoicing"},0)),"activity must be one of the seven keys; ","")&amp;IF(OR(N($E1059)&lt;=0,N($E1059)&gt;16),"hours?; ","")&amp;IF(AND($C1059&lt;&gt;"",$B1059=""),"campaign without drop_id; ","")&amp;IF(AND($B1059&lt;&gt;"",COUNTIF(drops!$A$2:$A$21,$B1059)=0),"drop_id not on drops; ",""))</f>
        <v/>
      </c>
    </row>
    <row r="1060">
      <c r="A1060" s="9" t="n"/>
      <c r="E1060" s="10" t="n"/>
      <c r="G1060" s="25">
        <f>IF($A1060="","",IF(ISNA(MATCH($D1060,{"brand_sales","office_coordination","receiving_kitting","drop_day","checks_pickup","reporting_debriefs","admin_invoicing"},0)),"activity must be one of the seven keys; ","")&amp;IF(OR(N($E1060)&lt;=0,N($E1060)&gt;16),"hours?; ","")&amp;IF(AND($C1060&lt;&gt;"",$B1060=""),"campaign without drop_id; ","")&amp;IF(AND($B1060&lt;&gt;"",COUNTIF(drops!$A$2:$A$21,$B1060)=0),"drop_id not on drops; ",""))</f>
        <v/>
      </c>
    </row>
    <row r="1061">
      <c r="A1061" s="9" t="n"/>
      <c r="E1061" s="10" t="n"/>
      <c r="G1061" s="25">
        <f>IF($A1061="","",IF(ISNA(MATCH($D1061,{"brand_sales","office_coordination","receiving_kitting","drop_day","checks_pickup","reporting_debriefs","admin_invoicing"},0)),"activity must be one of the seven keys; ","")&amp;IF(OR(N($E1061)&lt;=0,N($E1061)&gt;16),"hours?; ","")&amp;IF(AND($C1061&lt;&gt;"",$B1061=""),"campaign without drop_id; ","")&amp;IF(AND($B1061&lt;&gt;"",COUNTIF(drops!$A$2:$A$21,$B1061)=0),"drop_id not on drops; ",""))</f>
        <v/>
      </c>
    </row>
    <row r="1062">
      <c r="A1062" s="9" t="n"/>
      <c r="E1062" s="10" t="n"/>
      <c r="G1062" s="25">
        <f>IF($A1062="","",IF(ISNA(MATCH($D1062,{"brand_sales","office_coordination","receiving_kitting","drop_day","checks_pickup","reporting_debriefs","admin_invoicing"},0)),"activity must be one of the seven keys; ","")&amp;IF(OR(N($E1062)&lt;=0,N($E1062)&gt;16),"hours?; ","")&amp;IF(AND($C1062&lt;&gt;"",$B1062=""),"campaign without drop_id; ","")&amp;IF(AND($B1062&lt;&gt;"",COUNTIF(drops!$A$2:$A$21,$B1062)=0),"drop_id not on drops; ",""))</f>
        <v/>
      </c>
    </row>
    <row r="1063">
      <c r="A1063" s="9" t="n"/>
      <c r="E1063" s="10" t="n"/>
      <c r="G1063" s="25">
        <f>IF($A1063="","",IF(ISNA(MATCH($D1063,{"brand_sales","office_coordination","receiving_kitting","drop_day","checks_pickup","reporting_debriefs","admin_invoicing"},0)),"activity must be one of the seven keys; ","")&amp;IF(OR(N($E1063)&lt;=0,N($E1063)&gt;16),"hours?; ","")&amp;IF(AND($C1063&lt;&gt;"",$B1063=""),"campaign without drop_id; ","")&amp;IF(AND($B1063&lt;&gt;"",COUNTIF(drops!$A$2:$A$21,$B1063)=0),"drop_id not on drops; ",""))</f>
        <v/>
      </c>
    </row>
    <row r="1064">
      <c r="A1064" s="9" t="n"/>
      <c r="E1064" s="10" t="n"/>
      <c r="G1064" s="25">
        <f>IF($A1064="","",IF(ISNA(MATCH($D1064,{"brand_sales","office_coordination","receiving_kitting","drop_day","checks_pickup","reporting_debriefs","admin_invoicing"},0)),"activity must be one of the seven keys; ","")&amp;IF(OR(N($E1064)&lt;=0,N($E1064)&gt;16),"hours?; ","")&amp;IF(AND($C1064&lt;&gt;"",$B1064=""),"campaign without drop_id; ","")&amp;IF(AND($B1064&lt;&gt;"",COUNTIF(drops!$A$2:$A$21,$B1064)=0),"drop_id not on drops; ",""))</f>
        <v/>
      </c>
    </row>
    <row r="1065">
      <c r="A1065" s="9" t="n"/>
      <c r="E1065" s="10" t="n"/>
      <c r="G1065" s="25">
        <f>IF($A1065="","",IF(ISNA(MATCH($D1065,{"brand_sales","office_coordination","receiving_kitting","drop_day","checks_pickup","reporting_debriefs","admin_invoicing"},0)),"activity must be one of the seven keys; ","")&amp;IF(OR(N($E1065)&lt;=0,N($E1065)&gt;16),"hours?; ","")&amp;IF(AND($C1065&lt;&gt;"",$B1065=""),"campaign without drop_id; ","")&amp;IF(AND($B1065&lt;&gt;"",COUNTIF(drops!$A$2:$A$21,$B1065)=0),"drop_id not on drops; ",""))</f>
        <v/>
      </c>
    </row>
    <row r="1066">
      <c r="A1066" s="9" t="n"/>
      <c r="E1066" s="10" t="n"/>
      <c r="G1066" s="25">
        <f>IF($A1066="","",IF(ISNA(MATCH($D1066,{"brand_sales","office_coordination","receiving_kitting","drop_day","checks_pickup","reporting_debriefs","admin_invoicing"},0)),"activity must be one of the seven keys; ","")&amp;IF(OR(N($E1066)&lt;=0,N($E1066)&gt;16),"hours?; ","")&amp;IF(AND($C1066&lt;&gt;"",$B1066=""),"campaign without drop_id; ","")&amp;IF(AND($B1066&lt;&gt;"",COUNTIF(drops!$A$2:$A$21,$B1066)=0),"drop_id not on drops; ",""))</f>
        <v/>
      </c>
    </row>
    <row r="1067">
      <c r="A1067" s="9" t="n"/>
      <c r="E1067" s="10" t="n"/>
      <c r="G1067" s="25">
        <f>IF($A1067="","",IF(ISNA(MATCH($D1067,{"brand_sales","office_coordination","receiving_kitting","drop_day","checks_pickup","reporting_debriefs","admin_invoicing"},0)),"activity must be one of the seven keys; ","")&amp;IF(OR(N($E1067)&lt;=0,N($E1067)&gt;16),"hours?; ","")&amp;IF(AND($C1067&lt;&gt;"",$B1067=""),"campaign without drop_id; ","")&amp;IF(AND($B1067&lt;&gt;"",COUNTIF(drops!$A$2:$A$21,$B1067)=0),"drop_id not on drops; ",""))</f>
        <v/>
      </c>
    </row>
    <row r="1068">
      <c r="A1068" s="9" t="n"/>
      <c r="E1068" s="10" t="n"/>
      <c r="G1068" s="25">
        <f>IF($A1068="","",IF(ISNA(MATCH($D1068,{"brand_sales","office_coordination","receiving_kitting","drop_day","checks_pickup","reporting_debriefs","admin_invoicing"},0)),"activity must be one of the seven keys; ","")&amp;IF(OR(N($E1068)&lt;=0,N($E1068)&gt;16),"hours?; ","")&amp;IF(AND($C1068&lt;&gt;"",$B1068=""),"campaign without drop_id; ","")&amp;IF(AND($B1068&lt;&gt;"",COUNTIF(drops!$A$2:$A$21,$B1068)=0),"drop_id not on drops; ",""))</f>
        <v/>
      </c>
    </row>
    <row r="1069">
      <c r="A1069" s="9" t="n"/>
      <c r="E1069" s="10" t="n"/>
      <c r="G1069" s="25">
        <f>IF($A1069="","",IF(ISNA(MATCH($D1069,{"brand_sales","office_coordination","receiving_kitting","drop_day","checks_pickup","reporting_debriefs","admin_invoicing"},0)),"activity must be one of the seven keys; ","")&amp;IF(OR(N($E1069)&lt;=0,N($E1069)&gt;16),"hours?; ","")&amp;IF(AND($C1069&lt;&gt;"",$B1069=""),"campaign without drop_id; ","")&amp;IF(AND($B1069&lt;&gt;"",COUNTIF(drops!$A$2:$A$21,$B1069)=0),"drop_id not on drops; ",""))</f>
        <v/>
      </c>
    </row>
    <row r="1070">
      <c r="A1070" s="9" t="n"/>
      <c r="E1070" s="10" t="n"/>
      <c r="G1070" s="25">
        <f>IF($A1070="","",IF(ISNA(MATCH($D1070,{"brand_sales","office_coordination","receiving_kitting","drop_day","checks_pickup","reporting_debriefs","admin_invoicing"},0)),"activity must be one of the seven keys; ","")&amp;IF(OR(N($E1070)&lt;=0,N($E1070)&gt;16),"hours?; ","")&amp;IF(AND($C1070&lt;&gt;"",$B1070=""),"campaign without drop_id; ","")&amp;IF(AND($B1070&lt;&gt;"",COUNTIF(drops!$A$2:$A$21,$B1070)=0),"drop_id not on drops; ",""))</f>
        <v/>
      </c>
    </row>
    <row r="1071">
      <c r="A1071" s="9" t="n"/>
      <c r="E1071" s="10" t="n"/>
      <c r="G1071" s="25">
        <f>IF($A1071="","",IF(ISNA(MATCH($D1071,{"brand_sales","office_coordination","receiving_kitting","drop_day","checks_pickup","reporting_debriefs","admin_invoicing"},0)),"activity must be one of the seven keys; ","")&amp;IF(OR(N($E1071)&lt;=0,N($E1071)&gt;16),"hours?; ","")&amp;IF(AND($C1071&lt;&gt;"",$B1071=""),"campaign without drop_id; ","")&amp;IF(AND($B1071&lt;&gt;"",COUNTIF(drops!$A$2:$A$21,$B1071)=0),"drop_id not on drops; ",""))</f>
        <v/>
      </c>
    </row>
    <row r="1072">
      <c r="A1072" s="9" t="n"/>
      <c r="E1072" s="10" t="n"/>
      <c r="G1072" s="25">
        <f>IF($A1072="","",IF(ISNA(MATCH($D1072,{"brand_sales","office_coordination","receiving_kitting","drop_day","checks_pickup","reporting_debriefs","admin_invoicing"},0)),"activity must be one of the seven keys; ","")&amp;IF(OR(N($E1072)&lt;=0,N($E1072)&gt;16),"hours?; ","")&amp;IF(AND($C1072&lt;&gt;"",$B1072=""),"campaign without drop_id; ","")&amp;IF(AND($B1072&lt;&gt;"",COUNTIF(drops!$A$2:$A$21,$B1072)=0),"drop_id not on drops; ",""))</f>
        <v/>
      </c>
    </row>
    <row r="1073">
      <c r="A1073" s="9" t="n"/>
      <c r="E1073" s="10" t="n"/>
      <c r="G1073" s="25">
        <f>IF($A1073="","",IF(ISNA(MATCH($D1073,{"brand_sales","office_coordination","receiving_kitting","drop_day","checks_pickup","reporting_debriefs","admin_invoicing"},0)),"activity must be one of the seven keys; ","")&amp;IF(OR(N($E1073)&lt;=0,N($E1073)&gt;16),"hours?; ","")&amp;IF(AND($C1073&lt;&gt;"",$B1073=""),"campaign without drop_id; ","")&amp;IF(AND($B1073&lt;&gt;"",COUNTIF(drops!$A$2:$A$21,$B1073)=0),"drop_id not on drops; ",""))</f>
        <v/>
      </c>
    </row>
    <row r="1074">
      <c r="A1074" s="9" t="n"/>
      <c r="E1074" s="10" t="n"/>
      <c r="G1074" s="25">
        <f>IF($A1074="","",IF(ISNA(MATCH($D1074,{"brand_sales","office_coordination","receiving_kitting","drop_day","checks_pickup","reporting_debriefs","admin_invoicing"},0)),"activity must be one of the seven keys; ","")&amp;IF(OR(N($E1074)&lt;=0,N($E1074)&gt;16),"hours?; ","")&amp;IF(AND($C1074&lt;&gt;"",$B1074=""),"campaign without drop_id; ","")&amp;IF(AND($B1074&lt;&gt;"",COUNTIF(drops!$A$2:$A$21,$B1074)=0),"drop_id not on drops; ",""))</f>
        <v/>
      </c>
    </row>
    <row r="1075">
      <c r="A1075" s="9" t="n"/>
      <c r="E1075" s="10" t="n"/>
      <c r="G1075" s="25">
        <f>IF($A1075="","",IF(ISNA(MATCH($D1075,{"brand_sales","office_coordination","receiving_kitting","drop_day","checks_pickup","reporting_debriefs","admin_invoicing"},0)),"activity must be one of the seven keys; ","")&amp;IF(OR(N($E1075)&lt;=0,N($E1075)&gt;16),"hours?; ","")&amp;IF(AND($C1075&lt;&gt;"",$B1075=""),"campaign without drop_id; ","")&amp;IF(AND($B1075&lt;&gt;"",COUNTIF(drops!$A$2:$A$21,$B1075)=0),"drop_id not on drops; ",""))</f>
        <v/>
      </c>
    </row>
    <row r="1076">
      <c r="A1076" s="9" t="n"/>
      <c r="E1076" s="10" t="n"/>
      <c r="G1076" s="25">
        <f>IF($A1076="","",IF(ISNA(MATCH($D1076,{"brand_sales","office_coordination","receiving_kitting","drop_day","checks_pickup","reporting_debriefs","admin_invoicing"},0)),"activity must be one of the seven keys; ","")&amp;IF(OR(N($E1076)&lt;=0,N($E1076)&gt;16),"hours?; ","")&amp;IF(AND($C1076&lt;&gt;"",$B1076=""),"campaign without drop_id; ","")&amp;IF(AND($B1076&lt;&gt;"",COUNTIF(drops!$A$2:$A$21,$B1076)=0),"drop_id not on drops; ",""))</f>
        <v/>
      </c>
    </row>
    <row r="1077">
      <c r="A1077" s="9" t="n"/>
      <c r="E1077" s="10" t="n"/>
      <c r="G1077" s="25">
        <f>IF($A1077="","",IF(ISNA(MATCH($D1077,{"brand_sales","office_coordination","receiving_kitting","drop_day","checks_pickup","reporting_debriefs","admin_invoicing"},0)),"activity must be one of the seven keys; ","")&amp;IF(OR(N($E1077)&lt;=0,N($E1077)&gt;16),"hours?; ","")&amp;IF(AND($C1077&lt;&gt;"",$B1077=""),"campaign without drop_id; ","")&amp;IF(AND($B1077&lt;&gt;"",COUNTIF(drops!$A$2:$A$21,$B1077)=0),"drop_id not on drops; ",""))</f>
        <v/>
      </c>
    </row>
    <row r="1078">
      <c r="A1078" s="9" t="n"/>
      <c r="E1078" s="10" t="n"/>
      <c r="G1078" s="25">
        <f>IF($A1078="","",IF(ISNA(MATCH($D1078,{"brand_sales","office_coordination","receiving_kitting","drop_day","checks_pickup","reporting_debriefs","admin_invoicing"},0)),"activity must be one of the seven keys; ","")&amp;IF(OR(N($E1078)&lt;=0,N($E1078)&gt;16),"hours?; ","")&amp;IF(AND($C1078&lt;&gt;"",$B1078=""),"campaign without drop_id; ","")&amp;IF(AND($B1078&lt;&gt;"",COUNTIF(drops!$A$2:$A$21,$B1078)=0),"drop_id not on drops; ",""))</f>
        <v/>
      </c>
    </row>
    <row r="1079">
      <c r="A1079" s="9" t="n"/>
      <c r="E1079" s="10" t="n"/>
      <c r="G1079" s="25">
        <f>IF($A1079="","",IF(ISNA(MATCH($D1079,{"brand_sales","office_coordination","receiving_kitting","drop_day","checks_pickup","reporting_debriefs","admin_invoicing"},0)),"activity must be one of the seven keys; ","")&amp;IF(OR(N($E1079)&lt;=0,N($E1079)&gt;16),"hours?; ","")&amp;IF(AND($C1079&lt;&gt;"",$B1079=""),"campaign without drop_id; ","")&amp;IF(AND($B1079&lt;&gt;"",COUNTIF(drops!$A$2:$A$21,$B1079)=0),"drop_id not on drops; ",""))</f>
        <v/>
      </c>
    </row>
    <row r="1080">
      <c r="A1080" s="9" t="n"/>
      <c r="E1080" s="10" t="n"/>
      <c r="G1080" s="25">
        <f>IF($A1080="","",IF(ISNA(MATCH($D1080,{"brand_sales","office_coordination","receiving_kitting","drop_day","checks_pickup","reporting_debriefs","admin_invoicing"},0)),"activity must be one of the seven keys; ","")&amp;IF(OR(N($E1080)&lt;=0,N($E1080)&gt;16),"hours?; ","")&amp;IF(AND($C1080&lt;&gt;"",$B1080=""),"campaign without drop_id; ","")&amp;IF(AND($B1080&lt;&gt;"",COUNTIF(drops!$A$2:$A$21,$B1080)=0),"drop_id not on drops; ",""))</f>
        <v/>
      </c>
    </row>
    <row r="1081">
      <c r="A1081" s="9" t="n"/>
      <c r="E1081" s="10" t="n"/>
      <c r="G1081" s="25">
        <f>IF($A1081="","",IF(ISNA(MATCH($D1081,{"brand_sales","office_coordination","receiving_kitting","drop_day","checks_pickup","reporting_debriefs","admin_invoicing"},0)),"activity must be one of the seven keys; ","")&amp;IF(OR(N($E1081)&lt;=0,N($E1081)&gt;16),"hours?; ","")&amp;IF(AND($C1081&lt;&gt;"",$B1081=""),"campaign without drop_id; ","")&amp;IF(AND($B1081&lt;&gt;"",COUNTIF(drops!$A$2:$A$21,$B1081)=0),"drop_id not on drops; ",""))</f>
        <v/>
      </c>
    </row>
    <row r="1082">
      <c r="A1082" s="9" t="n"/>
      <c r="E1082" s="10" t="n"/>
      <c r="G1082" s="25">
        <f>IF($A1082="","",IF(ISNA(MATCH($D1082,{"brand_sales","office_coordination","receiving_kitting","drop_day","checks_pickup","reporting_debriefs","admin_invoicing"},0)),"activity must be one of the seven keys; ","")&amp;IF(OR(N($E1082)&lt;=0,N($E1082)&gt;16),"hours?; ","")&amp;IF(AND($C1082&lt;&gt;"",$B1082=""),"campaign without drop_id; ","")&amp;IF(AND($B1082&lt;&gt;"",COUNTIF(drops!$A$2:$A$21,$B1082)=0),"drop_id not on drops; ",""))</f>
        <v/>
      </c>
    </row>
    <row r="1083">
      <c r="A1083" s="9" t="n"/>
      <c r="E1083" s="10" t="n"/>
      <c r="G1083" s="25">
        <f>IF($A1083="","",IF(ISNA(MATCH($D1083,{"brand_sales","office_coordination","receiving_kitting","drop_day","checks_pickup","reporting_debriefs","admin_invoicing"},0)),"activity must be one of the seven keys; ","")&amp;IF(OR(N($E1083)&lt;=0,N($E1083)&gt;16),"hours?; ","")&amp;IF(AND($C1083&lt;&gt;"",$B1083=""),"campaign without drop_id; ","")&amp;IF(AND($B1083&lt;&gt;"",COUNTIF(drops!$A$2:$A$21,$B1083)=0),"drop_id not on drops; ",""))</f>
        <v/>
      </c>
    </row>
    <row r="1084">
      <c r="A1084" s="9" t="n"/>
      <c r="E1084" s="10" t="n"/>
      <c r="G1084" s="25">
        <f>IF($A1084="","",IF(ISNA(MATCH($D1084,{"brand_sales","office_coordination","receiving_kitting","drop_day","checks_pickup","reporting_debriefs","admin_invoicing"},0)),"activity must be one of the seven keys; ","")&amp;IF(OR(N($E1084)&lt;=0,N($E1084)&gt;16),"hours?; ","")&amp;IF(AND($C1084&lt;&gt;"",$B1084=""),"campaign without drop_id; ","")&amp;IF(AND($B1084&lt;&gt;"",COUNTIF(drops!$A$2:$A$21,$B1084)=0),"drop_id not on drops; ",""))</f>
        <v/>
      </c>
    </row>
    <row r="1085">
      <c r="A1085" s="9" t="n"/>
      <c r="E1085" s="10" t="n"/>
      <c r="G1085" s="25">
        <f>IF($A1085="","",IF(ISNA(MATCH($D1085,{"brand_sales","office_coordination","receiving_kitting","drop_day","checks_pickup","reporting_debriefs","admin_invoicing"},0)),"activity must be one of the seven keys; ","")&amp;IF(OR(N($E1085)&lt;=0,N($E1085)&gt;16),"hours?; ","")&amp;IF(AND($C1085&lt;&gt;"",$B1085=""),"campaign without drop_id; ","")&amp;IF(AND($B1085&lt;&gt;"",COUNTIF(drops!$A$2:$A$21,$B1085)=0),"drop_id not on drops; ",""))</f>
        <v/>
      </c>
    </row>
    <row r="1086">
      <c r="A1086" s="9" t="n"/>
      <c r="E1086" s="10" t="n"/>
      <c r="G1086" s="25">
        <f>IF($A1086="","",IF(ISNA(MATCH($D1086,{"brand_sales","office_coordination","receiving_kitting","drop_day","checks_pickup","reporting_debriefs","admin_invoicing"},0)),"activity must be one of the seven keys; ","")&amp;IF(OR(N($E1086)&lt;=0,N($E1086)&gt;16),"hours?; ","")&amp;IF(AND($C1086&lt;&gt;"",$B1086=""),"campaign without drop_id; ","")&amp;IF(AND($B1086&lt;&gt;"",COUNTIF(drops!$A$2:$A$21,$B1086)=0),"drop_id not on drops; ",""))</f>
        <v/>
      </c>
    </row>
    <row r="1087">
      <c r="A1087" s="9" t="n"/>
      <c r="E1087" s="10" t="n"/>
      <c r="G1087" s="25">
        <f>IF($A1087="","",IF(ISNA(MATCH($D1087,{"brand_sales","office_coordination","receiving_kitting","drop_day","checks_pickup","reporting_debriefs","admin_invoicing"},0)),"activity must be one of the seven keys; ","")&amp;IF(OR(N($E1087)&lt;=0,N($E1087)&gt;16),"hours?; ","")&amp;IF(AND($C1087&lt;&gt;"",$B1087=""),"campaign without drop_id; ","")&amp;IF(AND($B1087&lt;&gt;"",COUNTIF(drops!$A$2:$A$21,$B1087)=0),"drop_id not on drops; ",""))</f>
        <v/>
      </c>
    </row>
    <row r="1088">
      <c r="A1088" s="9" t="n"/>
      <c r="E1088" s="10" t="n"/>
      <c r="G1088" s="25">
        <f>IF($A1088="","",IF(ISNA(MATCH($D1088,{"brand_sales","office_coordination","receiving_kitting","drop_day","checks_pickup","reporting_debriefs","admin_invoicing"},0)),"activity must be one of the seven keys; ","")&amp;IF(OR(N($E1088)&lt;=0,N($E1088)&gt;16),"hours?; ","")&amp;IF(AND($C1088&lt;&gt;"",$B1088=""),"campaign without drop_id; ","")&amp;IF(AND($B1088&lt;&gt;"",COUNTIF(drops!$A$2:$A$21,$B1088)=0),"drop_id not on drops; ",""))</f>
        <v/>
      </c>
    </row>
    <row r="1089">
      <c r="A1089" s="9" t="n"/>
      <c r="E1089" s="10" t="n"/>
      <c r="G1089" s="25">
        <f>IF($A1089="","",IF(ISNA(MATCH($D1089,{"brand_sales","office_coordination","receiving_kitting","drop_day","checks_pickup","reporting_debriefs","admin_invoicing"},0)),"activity must be one of the seven keys; ","")&amp;IF(OR(N($E1089)&lt;=0,N($E1089)&gt;16),"hours?; ","")&amp;IF(AND($C1089&lt;&gt;"",$B1089=""),"campaign without drop_id; ","")&amp;IF(AND($B1089&lt;&gt;"",COUNTIF(drops!$A$2:$A$21,$B1089)=0),"drop_id not on drops; ",""))</f>
        <v/>
      </c>
    </row>
    <row r="1090">
      <c r="A1090" s="9" t="n"/>
      <c r="E1090" s="10" t="n"/>
      <c r="G1090" s="25">
        <f>IF($A1090="","",IF(ISNA(MATCH($D1090,{"brand_sales","office_coordination","receiving_kitting","drop_day","checks_pickup","reporting_debriefs","admin_invoicing"},0)),"activity must be one of the seven keys; ","")&amp;IF(OR(N($E1090)&lt;=0,N($E1090)&gt;16),"hours?; ","")&amp;IF(AND($C1090&lt;&gt;"",$B1090=""),"campaign without drop_id; ","")&amp;IF(AND($B1090&lt;&gt;"",COUNTIF(drops!$A$2:$A$21,$B1090)=0),"drop_id not on drops; ",""))</f>
        <v/>
      </c>
    </row>
    <row r="1091">
      <c r="A1091" s="9" t="n"/>
      <c r="E1091" s="10" t="n"/>
      <c r="G1091" s="25">
        <f>IF($A1091="","",IF(ISNA(MATCH($D1091,{"brand_sales","office_coordination","receiving_kitting","drop_day","checks_pickup","reporting_debriefs","admin_invoicing"},0)),"activity must be one of the seven keys; ","")&amp;IF(OR(N($E1091)&lt;=0,N($E1091)&gt;16),"hours?; ","")&amp;IF(AND($C1091&lt;&gt;"",$B1091=""),"campaign without drop_id; ","")&amp;IF(AND($B1091&lt;&gt;"",COUNTIF(drops!$A$2:$A$21,$B1091)=0),"drop_id not on drops; ",""))</f>
        <v/>
      </c>
    </row>
    <row r="1092">
      <c r="A1092" s="9" t="n"/>
      <c r="E1092" s="10" t="n"/>
      <c r="G1092" s="25">
        <f>IF($A1092="","",IF(ISNA(MATCH($D1092,{"brand_sales","office_coordination","receiving_kitting","drop_day","checks_pickup","reporting_debriefs","admin_invoicing"},0)),"activity must be one of the seven keys; ","")&amp;IF(OR(N($E1092)&lt;=0,N($E1092)&gt;16),"hours?; ","")&amp;IF(AND($C1092&lt;&gt;"",$B1092=""),"campaign without drop_id; ","")&amp;IF(AND($B1092&lt;&gt;"",COUNTIF(drops!$A$2:$A$21,$B1092)=0),"drop_id not on drops; ",""))</f>
        <v/>
      </c>
    </row>
    <row r="1093">
      <c r="A1093" s="9" t="n"/>
      <c r="E1093" s="10" t="n"/>
      <c r="G1093" s="25">
        <f>IF($A1093="","",IF(ISNA(MATCH($D1093,{"brand_sales","office_coordination","receiving_kitting","drop_day","checks_pickup","reporting_debriefs","admin_invoicing"},0)),"activity must be one of the seven keys; ","")&amp;IF(OR(N($E1093)&lt;=0,N($E1093)&gt;16),"hours?; ","")&amp;IF(AND($C1093&lt;&gt;"",$B1093=""),"campaign without drop_id; ","")&amp;IF(AND($B1093&lt;&gt;"",COUNTIF(drops!$A$2:$A$21,$B1093)=0),"drop_id not on drops; ",""))</f>
        <v/>
      </c>
    </row>
    <row r="1094">
      <c r="A1094" s="9" t="n"/>
      <c r="E1094" s="10" t="n"/>
      <c r="G1094" s="25">
        <f>IF($A1094="","",IF(ISNA(MATCH($D1094,{"brand_sales","office_coordination","receiving_kitting","drop_day","checks_pickup","reporting_debriefs","admin_invoicing"},0)),"activity must be one of the seven keys; ","")&amp;IF(OR(N($E1094)&lt;=0,N($E1094)&gt;16),"hours?; ","")&amp;IF(AND($C1094&lt;&gt;"",$B1094=""),"campaign without drop_id; ","")&amp;IF(AND($B1094&lt;&gt;"",COUNTIF(drops!$A$2:$A$21,$B1094)=0),"drop_id not on drops; ",""))</f>
        <v/>
      </c>
    </row>
    <row r="1095">
      <c r="A1095" s="9" t="n"/>
      <c r="E1095" s="10" t="n"/>
      <c r="G1095" s="25">
        <f>IF($A1095="","",IF(ISNA(MATCH($D1095,{"brand_sales","office_coordination","receiving_kitting","drop_day","checks_pickup","reporting_debriefs","admin_invoicing"},0)),"activity must be one of the seven keys; ","")&amp;IF(OR(N($E1095)&lt;=0,N($E1095)&gt;16),"hours?; ","")&amp;IF(AND($C1095&lt;&gt;"",$B1095=""),"campaign without drop_id; ","")&amp;IF(AND($B1095&lt;&gt;"",COUNTIF(drops!$A$2:$A$21,$B1095)=0),"drop_id not on drops; ",""))</f>
        <v/>
      </c>
    </row>
    <row r="1096">
      <c r="A1096" s="9" t="n"/>
      <c r="E1096" s="10" t="n"/>
      <c r="G1096" s="25">
        <f>IF($A1096="","",IF(ISNA(MATCH($D1096,{"brand_sales","office_coordination","receiving_kitting","drop_day","checks_pickup","reporting_debriefs","admin_invoicing"},0)),"activity must be one of the seven keys; ","")&amp;IF(OR(N($E1096)&lt;=0,N($E1096)&gt;16),"hours?; ","")&amp;IF(AND($C1096&lt;&gt;"",$B1096=""),"campaign without drop_id; ","")&amp;IF(AND($B1096&lt;&gt;"",COUNTIF(drops!$A$2:$A$21,$B1096)=0),"drop_id not on drops; ",""))</f>
        <v/>
      </c>
    </row>
    <row r="1097">
      <c r="A1097" s="9" t="n"/>
      <c r="E1097" s="10" t="n"/>
      <c r="G1097" s="25">
        <f>IF($A1097="","",IF(ISNA(MATCH($D1097,{"brand_sales","office_coordination","receiving_kitting","drop_day","checks_pickup","reporting_debriefs","admin_invoicing"},0)),"activity must be one of the seven keys; ","")&amp;IF(OR(N($E1097)&lt;=0,N($E1097)&gt;16),"hours?; ","")&amp;IF(AND($C1097&lt;&gt;"",$B1097=""),"campaign without drop_id; ","")&amp;IF(AND($B1097&lt;&gt;"",COUNTIF(drops!$A$2:$A$21,$B1097)=0),"drop_id not on drops; ",""))</f>
        <v/>
      </c>
    </row>
    <row r="1098">
      <c r="A1098" s="9" t="n"/>
      <c r="E1098" s="10" t="n"/>
      <c r="G1098" s="25">
        <f>IF($A1098="","",IF(ISNA(MATCH($D1098,{"brand_sales","office_coordination","receiving_kitting","drop_day","checks_pickup","reporting_debriefs","admin_invoicing"},0)),"activity must be one of the seven keys; ","")&amp;IF(OR(N($E1098)&lt;=0,N($E1098)&gt;16),"hours?; ","")&amp;IF(AND($C1098&lt;&gt;"",$B1098=""),"campaign without drop_id; ","")&amp;IF(AND($B1098&lt;&gt;"",COUNTIF(drops!$A$2:$A$21,$B1098)=0),"drop_id not on drops; ",""))</f>
        <v/>
      </c>
    </row>
    <row r="1099">
      <c r="A1099" s="9" t="n"/>
      <c r="E1099" s="10" t="n"/>
      <c r="G1099" s="25">
        <f>IF($A1099="","",IF(ISNA(MATCH($D1099,{"brand_sales","office_coordination","receiving_kitting","drop_day","checks_pickup","reporting_debriefs","admin_invoicing"},0)),"activity must be one of the seven keys; ","")&amp;IF(OR(N($E1099)&lt;=0,N($E1099)&gt;16),"hours?; ","")&amp;IF(AND($C1099&lt;&gt;"",$B1099=""),"campaign without drop_id; ","")&amp;IF(AND($B1099&lt;&gt;"",COUNTIF(drops!$A$2:$A$21,$B1099)=0),"drop_id not on drops; ",""))</f>
        <v/>
      </c>
    </row>
    <row r="1100">
      <c r="A1100" s="9" t="n"/>
      <c r="E1100" s="10" t="n"/>
      <c r="G1100" s="25">
        <f>IF($A1100="","",IF(ISNA(MATCH($D1100,{"brand_sales","office_coordination","receiving_kitting","drop_day","checks_pickup","reporting_debriefs","admin_invoicing"},0)),"activity must be one of the seven keys; ","")&amp;IF(OR(N($E1100)&lt;=0,N($E1100)&gt;16),"hours?; ","")&amp;IF(AND($C1100&lt;&gt;"",$B1100=""),"campaign without drop_id; ","")&amp;IF(AND($B1100&lt;&gt;"",COUNTIF(drops!$A$2:$A$21,$B1100)=0),"drop_id not on drops; ",""))</f>
        <v/>
      </c>
    </row>
    <row r="1101">
      <c r="A1101" s="9" t="n"/>
      <c r="E1101" s="10" t="n"/>
      <c r="G1101" s="25">
        <f>IF($A1101="","",IF(ISNA(MATCH($D1101,{"brand_sales","office_coordination","receiving_kitting","drop_day","checks_pickup","reporting_debriefs","admin_invoicing"},0)),"activity must be one of the seven keys; ","")&amp;IF(OR(N($E1101)&lt;=0,N($E1101)&gt;16),"hours?; ","")&amp;IF(AND($C1101&lt;&gt;"",$B1101=""),"campaign without drop_id; ","")&amp;IF(AND($B1101&lt;&gt;"",COUNTIF(drops!$A$2:$A$21,$B1101)=0),"drop_id not on drops; ",""))</f>
        <v/>
      </c>
    </row>
    <row r="1102">
      <c r="A1102" s="9" t="n"/>
      <c r="E1102" s="10" t="n"/>
      <c r="G1102" s="25">
        <f>IF($A1102="","",IF(ISNA(MATCH($D1102,{"brand_sales","office_coordination","receiving_kitting","drop_day","checks_pickup","reporting_debriefs","admin_invoicing"},0)),"activity must be one of the seven keys; ","")&amp;IF(OR(N($E1102)&lt;=0,N($E1102)&gt;16),"hours?; ","")&amp;IF(AND($C1102&lt;&gt;"",$B1102=""),"campaign without drop_id; ","")&amp;IF(AND($B1102&lt;&gt;"",COUNTIF(drops!$A$2:$A$21,$B1102)=0),"drop_id not on drops; ",""))</f>
        <v/>
      </c>
    </row>
    <row r="1103">
      <c r="A1103" s="9" t="n"/>
      <c r="E1103" s="10" t="n"/>
      <c r="G1103" s="25">
        <f>IF($A1103="","",IF(ISNA(MATCH($D1103,{"brand_sales","office_coordination","receiving_kitting","drop_day","checks_pickup","reporting_debriefs","admin_invoicing"},0)),"activity must be one of the seven keys; ","")&amp;IF(OR(N($E1103)&lt;=0,N($E1103)&gt;16),"hours?; ","")&amp;IF(AND($C1103&lt;&gt;"",$B1103=""),"campaign without drop_id; ","")&amp;IF(AND($B1103&lt;&gt;"",COUNTIF(drops!$A$2:$A$21,$B1103)=0),"drop_id not on drops; ",""))</f>
        <v/>
      </c>
    </row>
    <row r="1104">
      <c r="A1104" s="9" t="n"/>
      <c r="E1104" s="10" t="n"/>
      <c r="G1104" s="25">
        <f>IF($A1104="","",IF(ISNA(MATCH($D1104,{"brand_sales","office_coordination","receiving_kitting","drop_day","checks_pickup","reporting_debriefs","admin_invoicing"},0)),"activity must be one of the seven keys; ","")&amp;IF(OR(N($E1104)&lt;=0,N($E1104)&gt;16),"hours?; ","")&amp;IF(AND($C1104&lt;&gt;"",$B1104=""),"campaign without drop_id; ","")&amp;IF(AND($B1104&lt;&gt;"",COUNTIF(drops!$A$2:$A$21,$B1104)=0),"drop_id not on drops; ",""))</f>
        <v/>
      </c>
    </row>
    <row r="1105">
      <c r="A1105" s="9" t="n"/>
      <c r="E1105" s="10" t="n"/>
      <c r="G1105" s="25">
        <f>IF($A1105="","",IF(ISNA(MATCH($D1105,{"brand_sales","office_coordination","receiving_kitting","drop_day","checks_pickup","reporting_debriefs","admin_invoicing"},0)),"activity must be one of the seven keys; ","")&amp;IF(OR(N($E1105)&lt;=0,N($E1105)&gt;16),"hours?; ","")&amp;IF(AND($C1105&lt;&gt;"",$B1105=""),"campaign without drop_id; ","")&amp;IF(AND($B1105&lt;&gt;"",COUNTIF(drops!$A$2:$A$21,$B1105)=0),"drop_id not on drops; ",""))</f>
        <v/>
      </c>
    </row>
    <row r="1106">
      <c r="A1106" s="9" t="n"/>
      <c r="E1106" s="10" t="n"/>
      <c r="G1106" s="25">
        <f>IF($A1106="","",IF(ISNA(MATCH($D1106,{"brand_sales","office_coordination","receiving_kitting","drop_day","checks_pickup","reporting_debriefs","admin_invoicing"},0)),"activity must be one of the seven keys; ","")&amp;IF(OR(N($E1106)&lt;=0,N($E1106)&gt;16),"hours?; ","")&amp;IF(AND($C1106&lt;&gt;"",$B1106=""),"campaign without drop_id; ","")&amp;IF(AND($B1106&lt;&gt;"",COUNTIF(drops!$A$2:$A$21,$B1106)=0),"drop_id not on drops; ",""))</f>
        <v/>
      </c>
    </row>
    <row r="1107">
      <c r="A1107" s="9" t="n"/>
      <c r="E1107" s="10" t="n"/>
      <c r="G1107" s="25">
        <f>IF($A1107="","",IF(ISNA(MATCH($D1107,{"brand_sales","office_coordination","receiving_kitting","drop_day","checks_pickup","reporting_debriefs","admin_invoicing"},0)),"activity must be one of the seven keys; ","")&amp;IF(OR(N($E1107)&lt;=0,N($E1107)&gt;16),"hours?; ","")&amp;IF(AND($C1107&lt;&gt;"",$B1107=""),"campaign without drop_id; ","")&amp;IF(AND($B1107&lt;&gt;"",COUNTIF(drops!$A$2:$A$21,$B1107)=0),"drop_id not on drops; ",""))</f>
        <v/>
      </c>
    </row>
    <row r="1108">
      <c r="A1108" s="9" t="n"/>
      <c r="E1108" s="10" t="n"/>
      <c r="G1108" s="25">
        <f>IF($A1108="","",IF(ISNA(MATCH($D1108,{"brand_sales","office_coordination","receiving_kitting","drop_day","checks_pickup","reporting_debriefs","admin_invoicing"},0)),"activity must be one of the seven keys; ","")&amp;IF(OR(N($E1108)&lt;=0,N($E1108)&gt;16),"hours?; ","")&amp;IF(AND($C1108&lt;&gt;"",$B1108=""),"campaign without drop_id; ","")&amp;IF(AND($B1108&lt;&gt;"",COUNTIF(drops!$A$2:$A$21,$B1108)=0),"drop_id not on drops; ",""))</f>
        <v/>
      </c>
    </row>
    <row r="1109">
      <c r="A1109" s="9" t="n"/>
      <c r="E1109" s="10" t="n"/>
      <c r="G1109" s="25">
        <f>IF($A1109="","",IF(ISNA(MATCH($D1109,{"brand_sales","office_coordination","receiving_kitting","drop_day","checks_pickup","reporting_debriefs","admin_invoicing"},0)),"activity must be one of the seven keys; ","")&amp;IF(OR(N($E1109)&lt;=0,N($E1109)&gt;16),"hours?; ","")&amp;IF(AND($C1109&lt;&gt;"",$B1109=""),"campaign without drop_id; ","")&amp;IF(AND($B1109&lt;&gt;"",COUNTIF(drops!$A$2:$A$21,$B1109)=0),"drop_id not on drops; ",""))</f>
        <v/>
      </c>
    </row>
    <row r="1110">
      <c r="A1110" s="9" t="n"/>
      <c r="E1110" s="10" t="n"/>
      <c r="G1110" s="25">
        <f>IF($A1110="","",IF(ISNA(MATCH($D1110,{"brand_sales","office_coordination","receiving_kitting","drop_day","checks_pickup","reporting_debriefs","admin_invoicing"},0)),"activity must be one of the seven keys; ","")&amp;IF(OR(N($E1110)&lt;=0,N($E1110)&gt;16),"hours?; ","")&amp;IF(AND($C1110&lt;&gt;"",$B1110=""),"campaign without drop_id; ","")&amp;IF(AND($B1110&lt;&gt;"",COUNTIF(drops!$A$2:$A$21,$B1110)=0),"drop_id not on drops; ",""))</f>
        <v/>
      </c>
    </row>
    <row r="1111">
      <c r="A1111" s="9" t="n"/>
      <c r="E1111" s="10" t="n"/>
      <c r="G1111" s="25">
        <f>IF($A1111="","",IF(ISNA(MATCH($D1111,{"brand_sales","office_coordination","receiving_kitting","drop_day","checks_pickup","reporting_debriefs","admin_invoicing"},0)),"activity must be one of the seven keys; ","")&amp;IF(OR(N($E1111)&lt;=0,N($E1111)&gt;16),"hours?; ","")&amp;IF(AND($C1111&lt;&gt;"",$B1111=""),"campaign without drop_id; ","")&amp;IF(AND($B1111&lt;&gt;"",COUNTIF(drops!$A$2:$A$21,$B1111)=0),"drop_id not on drops; ",""))</f>
        <v/>
      </c>
    </row>
    <row r="1112">
      <c r="A1112" s="9" t="n"/>
      <c r="E1112" s="10" t="n"/>
      <c r="G1112" s="25">
        <f>IF($A1112="","",IF(ISNA(MATCH($D1112,{"brand_sales","office_coordination","receiving_kitting","drop_day","checks_pickup","reporting_debriefs","admin_invoicing"},0)),"activity must be one of the seven keys; ","")&amp;IF(OR(N($E1112)&lt;=0,N($E1112)&gt;16),"hours?; ","")&amp;IF(AND($C1112&lt;&gt;"",$B1112=""),"campaign without drop_id; ","")&amp;IF(AND($B1112&lt;&gt;"",COUNTIF(drops!$A$2:$A$21,$B1112)=0),"drop_id not on drops; ",""))</f>
        <v/>
      </c>
    </row>
    <row r="1113">
      <c r="A1113" s="9" t="n"/>
      <c r="E1113" s="10" t="n"/>
      <c r="G1113" s="25">
        <f>IF($A1113="","",IF(ISNA(MATCH($D1113,{"brand_sales","office_coordination","receiving_kitting","drop_day","checks_pickup","reporting_debriefs","admin_invoicing"},0)),"activity must be one of the seven keys; ","")&amp;IF(OR(N($E1113)&lt;=0,N($E1113)&gt;16),"hours?; ","")&amp;IF(AND($C1113&lt;&gt;"",$B1113=""),"campaign without drop_id; ","")&amp;IF(AND($B1113&lt;&gt;"",COUNTIF(drops!$A$2:$A$21,$B1113)=0),"drop_id not on drops; ",""))</f>
        <v/>
      </c>
    </row>
    <row r="1114">
      <c r="A1114" s="9" t="n"/>
      <c r="E1114" s="10" t="n"/>
      <c r="G1114" s="25">
        <f>IF($A1114="","",IF(ISNA(MATCH($D1114,{"brand_sales","office_coordination","receiving_kitting","drop_day","checks_pickup","reporting_debriefs","admin_invoicing"},0)),"activity must be one of the seven keys; ","")&amp;IF(OR(N($E1114)&lt;=0,N($E1114)&gt;16),"hours?; ","")&amp;IF(AND($C1114&lt;&gt;"",$B1114=""),"campaign without drop_id; ","")&amp;IF(AND($B1114&lt;&gt;"",COUNTIF(drops!$A$2:$A$21,$B1114)=0),"drop_id not on drops; ",""))</f>
        <v/>
      </c>
    </row>
    <row r="1115">
      <c r="A1115" s="9" t="n"/>
      <c r="E1115" s="10" t="n"/>
      <c r="G1115" s="25">
        <f>IF($A1115="","",IF(ISNA(MATCH($D1115,{"brand_sales","office_coordination","receiving_kitting","drop_day","checks_pickup","reporting_debriefs","admin_invoicing"},0)),"activity must be one of the seven keys; ","")&amp;IF(OR(N($E1115)&lt;=0,N($E1115)&gt;16),"hours?; ","")&amp;IF(AND($C1115&lt;&gt;"",$B1115=""),"campaign without drop_id; ","")&amp;IF(AND($B1115&lt;&gt;"",COUNTIF(drops!$A$2:$A$21,$B1115)=0),"drop_id not on drops; ",""))</f>
        <v/>
      </c>
    </row>
    <row r="1116">
      <c r="A1116" s="9" t="n"/>
      <c r="E1116" s="10" t="n"/>
      <c r="G1116" s="25">
        <f>IF($A1116="","",IF(ISNA(MATCH($D1116,{"brand_sales","office_coordination","receiving_kitting","drop_day","checks_pickup","reporting_debriefs","admin_invoicing"},0)),"activity must be one of the seven keys; ","")&amp;IF(OR(N($E1116)&lt;=0,N($E1116)&gt;16),"hours?; ","")&amp;IF(AND($C1116&lt;&gt;"",$B1116=""),"campaign without drop_id; ","")&amp;IF(AND($B1116&lt;&gt;"",COUNTIF(drops!$A$2:$A$21,$B1116)=0),"drop_id not on drops; ",""))</f>
        <v/>
      </c>
    </row>
    <row r="1117">
      <c r="A1117" s="9" t="n"/>
      <c r="E1117" s="10" t="n"/>
      <c r="G1117" s="25">
        <f>IF($A1117="","",IF(ISNA(MATCH($D1117,{"brand_sales","office_coordination","receiving_kitting","drop_day","checks_pickup","reporting_debriefs","admin_invoicing"},0)),"activity must be one of the seven keys; ","")&amp;IF(OR(N($E1117)&lt;=0,N($E1117)&gt;16),"hours?; ","")&amp;IF(AND($C1117&lt;&gt;"",$B1117=""),"campaign without drop_id; ","")&amp;IF(AND($B1117&lt;&gt;"",COUNTIF(drops!$A$2:$A$21,$B1117)=0),"drop_id not on drops; ",""))</f>
        <v/>
      </c>
    </row>
    <row r="1118">
      <c r="A1118" s="9" t="n"/>
      <c r="E1118" s="10" t="n"/>
      <c r="G1118" s="25">
        <f>IF($A1118="","",IF(ISNA(MATCH($D1118,{"brand_sales","office_coordination","receiving_kitting","drop_day","checks_pickup","reporting_debriefs","admin_invoicing"},0)),"activity must be one of the seven keys; ","")&amp;IF(OR(N($E1118)&lt;=0,N($E1118)&gt;16),"hours?; ","")&amp;IF(AND($C1118&lt;&gt;"",$B1118=""),"campaign without drop_id; ","")&amp;IF(AND($B1118&lt;&gt;"",COUNTIF(drops!$A$2:$A$21,$B1118)=0),"drop_id not on drops; ",""))</f>
        <v/>
      </c>
    </row>
    <row r="1119">
      <c r="A1119" s="9" t="n"/>
      <c r="E1119" s="10" t="n"/>
      <c r="G1119" s="25">
        <f>IF($A1119="","",IF(ISNA(MATCH($D1119,{"brand_sales","office_coordination","receiving_kitting","drop_day","checks_pickup","reporting_debriefs","admin_invoicing"},0)),"activity must be one of the seven keys; ","")&amp;IF(OR(N($E1119)&lt;=0,N($E1119)&gt;16),"hours?; ","")&amp;IF(AND($C1119&lt;&gt;"",$B1119=""),"campaign without drop_id; ","")&amp;IF(AND($B1119&lt;&gt;"",COUNTIF(drops!$A$2:$A$21,$B1119)=0),"drop_id not on drops; ",""))</f>
        <v/>
      </c>
    </row>
    <row r="1120">
      <c r="A1120" s="9" t="n"/>
      <c r="E1120" s="10" t="n"/>
      <c r="G1120" s="25">
        <f>IF($A1120="","",IF(ISNA(MATCH($D1120,{"brand_sales","office_coordination","receiving_kitting","drop_day","checks_pickup","reporting_debriefs","admin_invoicing"},0)),"activity must be one of the seven keys; ","")&amp;IF(OR(N($E1120)&lt;=0,N($E1120)&gt;16),"hours?; ","")&amp;IF(AND($C1120&lt;&gt;"",$B1120=""),"campaign without drop_id; ","")&amp;IF(AND($B1120&lt;&gt;"",COUNTIF(drops!$A$2:$A$21,$B1120)=0),"drop_id not on drops; ",""))</f>
        <v/>
      </c>
    </row>
    <row r="1121">
      <c r="A1121" s="9" t="n"/>
      <c r="E1121" s="10" t="n"/>
      <c r="G1121" s="25">
        <f>IF($A1121="","",IF(ISNA(MATCH($D1121,{"brand_sales","office_coordination","receiving_kitting","drop_day","checks_pickup","reporting_debriefs","admin_invoicing"},0)),"activity must be one of the seven keys; ","")&amp;IF(OR(N($E1121)&lt;=0,N($E1121)&gt;16),"hours?; ","")&amp;IF(AND($C1121&lt;&gt;"",$B1121=""),"campaign without drop_id; ","")&amp;IF(AND($B1121&lt;&gt;"",COUNTIF(drops!$A$2:$A$21,$B1121)=0),"drop_id not on drops; ",""))</f>
        <v/>
      </c>
    </row>
    <row r="1122">
      <c r="A1122" s="9" t="n"/>
      <c r="E1122" s="10" t="n"/>
      <c r="G1122" s="25">
        <f>IF($A1122="","",IF(ISNA(MATCH($D1122,{"brand_sales","office_coordination","receiving_kitting","drop_day","checks_pickup","reporting_debriefs","admin_invoicing"},0)),"activity must be one of the seven keys; ","")&amp;IF(OR(N($E1122)&lt;=0,N($E1122)&gt;16),"hours?; ","")&amp;IF(AND($C1122&lt;&gt;"",$B1122=""),"campaign without drop_id; ","")&amp;IF(AND($B1122&lt;&gt;"",COUNTIF(drops!$A$2:$A$21,$B1122)=0),"drop_id not on drops; ",""))</f>
        <v/>
      </c>
    </row>
    <row r="1123">
      <c r="A1123" s="9" t="n"/>
      <c r="E1123" s="10" t="n"/>
      <c r="G1123" s="25">
        <f>IF($A1123="","",IF(ISNA(MATCH($D1123,{"brand_sales","office_coordination","receiving_kitting","drop_day","checks_pickup","reporting_debriefs","admin_invoicing"},0)),"activity must be one of the seven keys; ","")&amp;IF(OR(N($E1123)&lt;=0,N($E1123)&gt;16),"hours?; ","")&amp;IF(AND($C1123&lt;&gt;"",$B1123=""),"campaign without drop_id; ","")&amp;IF(AND($B1123&lt;&gt;"",COUNTIF(drops!$A$2:$A$21,$B1123)=0),"drop_id not on drops; ",""))</f>
        <v/>
      </c>
    </row>
    <row r="1124">
      <c r="A1124" s="9" t="n"/>
      <c r="E1124" s="10" t="n"/>
      <c r="G1124" s="25">
        <f>IF($A1124="","",IF(ISNA(MATCH($D1124,{"brand_sales","office_coordination","receiving_kitting","drop_day","checks_pickup","reporting_debriefs","admin_invoicing"},0)),"activity must be one of the seven keys; ","")&amp;IF(OR(N($E1124)&lt;=0,N($E1124)&gt;16),"hours?; ","")&amp;IF(AND($C1124&lt;&gt;"",$B1124=""),"campaign without drop_id; ","")&amp;IF(AND($B1124&lt;&gt;"",COUNTIF(drops!$A$2:$A$21,$B1124)=0),"drop_id not on drops; ",""))</f>
        <v/>
      </c>
    </row>
    <row r="1125">
      <c r="A1125" s="9" t="n"/>
      <c r="E1125" s="10" t="n"/>
      <c r="G1125" s="25">
        <f>IF($A1125="","",IF(ISNA(MATCH($D1125,{"brand_sales","office_coordination","receiving_kitting","drop_day","checks_pickup","reporting_debriefs","admin_invoicing"},0)),"activity must be one of the seven keys; ","")&amp;IF(OR(N($E1125)&lt;=0,N($E1125)&gt;16),"hours?; ","")&amp;IF(AND($C1125&lt;&gt;"",$B1125=""),"campaign without drop_id; ","")&amp;IF(AND($B1125&lt;&gt;"",COUNTIF(drops!$A$2:$A$21,$B1125)=0),"drop_id not on drops; ",""))</f>
        <v/>
      </c>
    </row>
    <row r="1126">
      <c r="A1126" s="9" t="n"/>
      <c r="E1126" s="10" t="n"/>
      <c r="G1126" s="25">
        <f>IF($A1126="","",IF(ISNA(MATCH($D1126,{"brand_sales","office_coordination","receiving_kitting","drop_day","checks_pickup","reporting_debriefs","admin_invoicing"},0)),"activity must be one of the seven keys; ","")&amp;IF(OR(N($E1126)&lt;=0,N($E1126)&gt;16),"hours?; ","")&amp;IF(AND($C1126&lt;&gt;"",$B1126=""),"campaign without drop_id; ","")&amp;IF(AND($B1126&lt;&gt;"",COUNTIF(drops!$A$2:$A$21,$B1126)=0),"drop_id not on drops; ",""))</f>
        <v/>
      </c>
    </row>
    <row r="1127">
      <c r="A1127" s="9" t="n"/>
      <c r="E1127" s="10" t="n"/>
      <c r="G1127" s="25">
        <f>IF($A1127="","",IF(ISNA(MATCH($D1127,{"brand_sales","office_coordination","receiving_kitting","drop_day","checks_pickup","reporting_debriefs","admin_invoicing"},0)),"activity must be one of the seven keys; ","")&amp;IF(OR(N($E1127)&lt;=0,N($E1127)&gt;16),"hours?; ","")&amp;IF(AND($C1127&lt;&gt;"",$B1127=""),"campaign without drop_id; ","")&amp;IF(AND($B1127&lt;&gt;"",COUNTIF(drops!$A$2:$A$21,$B1127)=0),"drop_id not on drops; ",""))</f>
        <v/>
      </c>
    </row>
    <row r="1128">
      <c r="A1128" s="9" t="n"/>
      <c r="E1128" s="10" t="n"/>
      <c r="G1128" s="25">
        <f>IF($A1128="","",IF(ISNA(MATCH($D1128,{"brand_sales","office_coordination","receiving_kitting","drop_day","checks_pickup","reporting_debriefs","admin_invoicing"},0)),"activity must be one of the seven keys; ","")&amp;IF(OR(N($E1128)&lt;=0,N($E1128)&gt;16),"hours?; ","")&amp;IF(AND($C1128&lt;&gt;"",$B1128=""),"campaign without drop_id; ","")&amp;IF(AND($B1128&lt;&gt;"",COUNTIF(drops!$A$2:$A$21,$B1128)=0),"drop_id not on drops; ",""))</f>
        <v/>
      </c>
    </row>
    <row r="1129">
      <c r="A1129" s="9" t="n"/>
      <c r="E1129" s="10" t="n"/>
      <c r="G1129" s="25">
        <f>IF($A1129="","",IF(ISNA(MATCH($D1129,{"brand_sales","office_coordination","receiving_kitting","drop_day","checks_pickup","reporting_debriefs","admin_invoicing"},0)),"activity must be one of the seven keys; ","")&amp;IF(OR(N($E1129)&lt;=0,N($E1129)&gt;16),"hours?; ","")&amp;IF(AND($C1129&lt;&gt;"",$B1129=""),"campaign without drop_id; ","")&amp;IF(AND($B1129&lt;&gt;"",COUNTIF(drops!$A$2:$A$21,$B1129)=0),"drop_id not on drops; ",""))</f>
        <v/>
      </c>
    </row>
    <row r="1130">
      <c r="A1130" s="9" t="n"/>
      <c r="E1130" s="10" t="n"/>
      <c r="G1130" s="25">
        <f>IF($A1130="","",IF(ISNA(MATCH($D1130,{"brand_sales","office_coordination","receiving_kitting","drop_day","checks_pickup","reporting_debriefs","admin_invoicing"},0)),"activity must be one of the seven keys; ","")&amp;IF(OR(N($E1130)&lt;=0,N($E1130)&gt;16),"hours?; ","")&amp;IF(AND($C1130&lt;&gt;"",$B1130=""),"campaign without drop_id; ","")&amp;IF(AND($B1130&lt;&gt;"",COUNTIF(drops!$A$2:$A$21,$B1130)=0),"drop_id not on drops; ",""))</f>
        <v/>
      </c>
    </row>
    <row r="1131">
      <c r="A1131" s="9" t="n"/>
      <c r="E1131" s="10" t="n"/>
      <c r="G1131" s="25">
        <f>IF($A1131="","",IF(ISNA(MATCH($D1131,{"brand_sales","office_coordination","receiving_kitting","drop_day","checks_pickup","reporting_debriefs","admin_invoicing"},0)),"activity must be one of the seven keys; ","")&amp;IF(OR(N($E1131)&lt;=0,N($E1131)&gt;16),"hours?; ","")&amp;IF(AND($C1131&lt;&gt;"",$B1131=""),"campaign without drop_id; ","")&amp;IF(AND($B1131&lt;&gt;"",COUNTIF(drops!$A$2:$A$21,$B1131)=0),"drop_id not on drops; ",""))</f>
        <v/>
      </c>
    </row>
    <row r="1132">
      <c r="A1132" s="9" t="n"/>
      <c r="E1132" s="10" t="n"/>
      <c r="G1132" s="25">
        <f>IF($A1132="","",IF(ISNA(MATCH($D1132,{"brand_sales","office_coordination","receiving_kitting","drop_day","checks_pickup","reporting_debriefs","admin_invoicing"},0)),"activity must be one of the seven keys; ","")&amp;IF(OR(N($E1132)&lt;=0,N($E1132)&gt;16),"hours?; ","")&amp;IF(AND($C1132&lt;&gt;"",$B1132=""),"campaign without drop_id; ","")&amp;IF(AND($B1132&lt;&gt;"",COUNTIF(drops!$A$2:$A$21,$B1132)=0),"drop_id not on drops; ",""))</f>
        <v/>
      </c>
    </row>
    <row r="1133">
      <c r="A1133" s="9" t="n"/>
      <c r="E1133" s="10" t="n"/>
      <c r="G1133" s="25">
        <f>IF($A1133="","",IF(ISNA(MATCH($D1133,{"brand_sales","office_coordination","receiving_kitting","drop_day","checks_pickup","reporting_debriefs","admin_invoicing"},0)),"activity must be one of the seven keys; ","")&amp;IF(OR(N($E1133)&lt;=0,N($E1133)&gt;16),"hours?; ","")&amp;IF(AND($C1133&lt;&gt;"",$B1133=""),"campaign without drop_id; ","")&amp;IF(AND($B1133&lt;&gt;"",COUNTIF(drops!$A$2:$A$21,$B1133)=0),"drop_id not on drops; ",""))</f>
        <v/>
      </c>
    </row>
    <row r="1134">
      <c r="A1134" s="9" t="n"/>
      <c r="E1134" s="10" t="n"/>
      <c r="G1134" s="25">
        <f>IF($A1134="","",IF(ISNA(MATCH($D1134,{"brand_sales","office_coordination","receiving_kitting","drop_day","checks_pickup","reporting_debriefs","admin_invoicing"},0)),"activity must be one of the seven keys; ","")&amp;IF(OR(N($E1134)&lt;=0,N($E1134)&gt;16),"hours?; ","")&amp;IF(AND($C1134&lt;&gt;"",$B1134=""),"campaign without drop_id; ","")&amp;IF(AND($B1134&lt;&gt;"",COUNTIF(drops!$A$2:$A$21,$B1134)=0),"drop_id not on drops; ",""))</f>
        <v/>
      </c>
    </row>
    <row r="1135">
      <c r="A1135" s="9" t="n"/>
      <c r="E1135" s="10" t="n"/>
      <c r="G1135" s="25">
        <f>IF($A1135="","",IF(ISNA(MATCH($D1135,{"brand_sales","office_coordination","receiving_kitting","drop_day","checks_pickup","reporting_debriefs","admin_invoicing"},0)),"activity must be one of the seven keys; ","")&amp;IF(OR(N($E1135)&lt;=0,N($E1135)&gt;16),"hours?; ","")&amp;IF(AND($C1135&lt;&gt;"",$B1135=""),"campaign without drop_id; ","")&amp;IF(AND($B1135&lt;&gt;"",COUNTIF(drops!$A$2:$A$21,$B1135)=0),"drop_id not on drops; ",""))</f>
        <v/>
      </c>
    </row>
    <row r="1136">
      <c r="A1136" s="9" t="n"/>
      <c r="E1136" s="10" t="n"/>
      <c r="G1136" s="25">
        <f>IF($A1136="","",IF(ISNA(MATCH($D1136,{"brand_sales","office_coordination","receiving_kitting","drop_day","checks_pickup","reporting_debriefs","admin_invoicing"},0)),"activity must be one of the seven keys; ","")&amp;IF(OR(N($E1136)&lt;=0,N($E1136)&gt;16),"hours?; ","")&amp;IF(AND($C1136&lt;&gt;"",$B1136=""),"campaign without drop_id; ","")&amp;IF(AND($B1136&lt;&gt;"",COUNTIF(drops!$A$2:$A$21,$B1136)=0),"drop_id not on drops; ",""))</f>
        <v/>
      </c>
    </row>
    <row r="1137">
      <c r="A1137" s="9" t="n"/>
      <c r="E1137" s="10" t="n"/>
      <c r="G1137" s="25">
        <f>IF($A1137="","",IF(ISNA(MATCH($D1137,{"brand_sales","office_coordination","receiving_kitting","drop_day","checks_pickup","reporting_debriefs","admin_invoicing"},0)),"activity must be one of the seven keys; ","")&amp;IF(OR(N($E1137)&lt;=0,N($E1137)&gt;16),"hours?; ","")&amp;IF(AND($C1137&lt;&gt;"",$B1137=""),"campaign without drop_id; ","")&amp;IF(AND($B1137&lt;&gt;"",COUNTIF(drops!$A$2:$A$21,$B1137)=0),"drop_id not on drops; ",""))</f>
        <v/>
      </c>
    </row>
    <row r="1138">
      <c r="A1138" s="9" t="n"/>
      <c r="E1138" s="10" t="n"/>
      <c r="G1138" s="25">
        <f>IF($A1138="","",IF(ISNA(MATCH($D1138,{"brand_sales","office_coordination","receiving_kitting","drop_day","checks_pickup","reporting_debriefs","admin_invoicing"},0)),"activity must be one of the seven keys; ","")&amp;IF(OR(N($E1138)&lt;=0,N($E1138)&gt;16),"hours?; ","")&amp;IF(AND($C1138&lt;&gt;"",$B1138=""),"campaign without drop_id; ","")&amp;IF(AND($B1138&lt;&gt;"",COUNTIF(drops!$A$2:$A$21,$B1138)=0),"drop_id not on drops; ",""))</f>
        <v/>
      </c>
    </row>
    <row r="1139">
      <c r="A1139" s="9" t="n"/>
      <c r="E1139" s="10" t="n"/>
      <c r="G1139" s="25">
        <f>IF($A1139="","",IF(ISNA(MATCH($D1139,{"brand_sales","office_coordination","receiving_kitting","drop_day","checks_pickup","reporting_debriefs","admin_invoicing"},0)),"activity must be one of the seven keys; ","")&amp;IF(OR(N($E1139)&lt;=0,N($E1139)&gt;16),"hours?; ","")&amp;IF(AND($C1139&lt;&gt;"",$B1139=""),"campaign without drop_id; ","")&amp;IF(AND($B1139&lt;&gt;"",COUNTIF(drops!$A$2:$A$21,$B1139)=0),"drop_id not on drops; ",""))</f>
        <v/>
      </c>
    </row>
    <row r="1140">
      <c r="A1140" s="9" t="n"/>
      <c r="E1140" s="10" t="n"/>
      <c r="G1140" s="25">
        <f>IF($A1140="","",IF(ISNA(MATCH($D1140,{"brand_sales","office_coordination","receiving_kitting","drop_day","checks_pickup","reporting_debriefs","admin_invoicing"},0)),"activity must be one of the seven keys; ","")&amp;IF(OR(N($E1140)&lt;=0,N($E1140)&gt;16),"hours?; ","")&amp;IF(AND($C1140&lt;&gt;"",$B1140=""),"campaign without drop_id; ","")&amp;IF(AND($B1140&lt;&gt;"",COUNTIF(drops!$A$2:$A$21,$B1140)=0),"drop_id not on drops; ",""))</f>
        <v/>
      </c>
    </row>
    <row r="1141">
      <c r="A1141" s="9" t="n"/>
      <c r="E1141" s="10" t="n"/>
      <c r="G1141" s="25">
        <f>IF($A1141="","",IF(ISNA(MATCH($D1141,{"brand_sales","office_coordination","receiving_kitting","drop_day","checks_pickup","reporting_debriefs","admin_invoicing"},0)),"activity must be one of the seven keys; ","")&amp;IF(OR(N($E1141)&lt;=0,N($E1141)&gt;16),"hours?; ","")&amp;IF(AND($C1141&lt;&gt;"",$B1141=""),"campaign without drop_id; ","")&amp;IF(AND($B1141&lt;&gt;"",COUNTIF(drops!$A$2:$A$21,$B1141)=0),"drop_id not on drops; ",""))</f>
        <v/>
      </c>
    </row>
    <row r="1142">
      <c r="A1142" s="9" t="n"/>
      <c r="E1142" s="10" t="n"/>
      <c r="G1142" s="25">
        <f>IF($A1142="","",IF(ISNA(MATCH($D1142,{"brand_sales","office_coordination","receiving_kitting","drop_day","checks_pickup","reporting_debriefs","admin_invoicing"},0)),"activity must be one of the seven keys; ","")&amp;IF(OR(N($E1142)&lt;=0,N($E1142)&gt;16),"hours?; ","")&amp;IF(AND($C1142&lt;&gt;"",$B1142=""),"campaign without drop_id; ","")&amp;IF(AND($B1142&lt;&gt;"",COUNTIF(drops!$A$2:$A$21,$B1142)=0),"drop_id not on drops; ",""))</f>
        <v/>
      </c>
    </row>
    <row r="1143">
      <c r="A1143" s="9" t="n"/>
      <c r="E1143" s="10" t="n"/>
      <c r="G1143" s="25">
        <f>IF($A1143="","",IF(ISNA(MATCH($D1143,{"brand_sales","office_coordination","receiving_kitting","drop_day","checks_pickup","reporting_debriefs","admin_invoicing"},0)),"activity must be one of the seven keys; ","")&amp;IF(OR(N($E1143)&lt;=0,N($E1143)&gt;16),"hours?; ","")&amp;IF(AND($C1143&lt;&gt;"",$B1143=""),"campaign without drop_id; ","")&amp;IF(AND($B1143&lt;&gt;"",COUNTIF(drops!$A$2:$A$21,$B1143)=0),"drop_id not on drops; ",""))</f>
        <v/>
      </c>
    </row>
    <row r="1144">
      <c r="A1144" s="9" t="n"/>
      <c r="E1144" s="10" t="n"/>
      <c r="G1144" s="25">
        <f>IF($A1144="","",IF(ISNA(MATCH($D1144,{"brand_sales","office_coordination","receiving_kitting","drop_day","checks_pickup","reporting_debriefs","admin_invoicing"},0)),"activity must be one of the seven keys; ","")&amp;IF(OR(N($E1144)&lt;=0,N($E1144)&gt;16),"hours?; ","")&amp;IF(AND($C1144&lt;&gt;"",$B1144=""),"campaign without drop_id; ","")&amp;IF(AND($B1144&lt;&gt;"",COUNTIF(drops!$A$2:$A$21,$B1144)=0),"drop_id not on drops; ",""))</f>
        <v/>
      </c>
    </row>
    <row r="1145">
      <c r="A1145" s="9" t="n"/>
      <c r="E1145" s="10" t="n"/>
      <c r="G1145" s="25">
        <f>IF($A1145="","",IF(ISNA(MATCH($D1145,{"brand_sales","office_coordination","receiving_kitting","drop_day","checks_pickup","reporting_debriefs","admin_invoicing"},0)),"activity must be one of the seven keys; ","")&amp;IF(OR(N($E1145)&lt;=0,N($E1145)&gt;16),"hours?; ","")&amp;IF(AND($C1145&lt;&gt;"",$B1145=""),"campaign without drop_id; ","")&amp;IF(AND($B1145&lt;&gt;"",COUNTIF(drops!$A$2:$A$21,$B1145)=0),"drop_id not on drops; ",""))</f>
        <v/>
      </c>
    </row>
    <row r="1146">
      <c r="A1146" s="9" t="n"/>
      <c r="E1146" s="10" t="n"/>
      <c r="G1146" s="25">
        <f>IF($A1146="","",IF(ISNA(MATCH($D1146,{"brand_sales","office_coordination","receiving_kitting","drop_day","checks_pickup","reporting_debriefs","admin_invoicing"},0)),"activity must be one of the seven keys; ","")&amp;IF(OR(N($E1146)&lt;=0,N($E1146)&gt;16),"hours?; ","")&amp;IF(AND($C1146&lt;&gt;"",$B1146=""),"campaign without drop_id; ","")&amp;IF(AND($B1146&lt;&gt;"",COUNTIF(drops!$A$2:$A$21,$B1146)=0),"drop_id not on drops; ",""))</f>
        <v/>
      </c>
    </row>
    <row r="1147">
      <c r="A1147" s="9" t="n"/>
      <c r="E1147" s="10" t="n"/>
      <c r="G1147" s="25">
        <f>IF($A1147="","",IF(ISNA(MATCH($D1147,{"brand_sales","office_coordination","receiving_kitting","drop_day","checks_pickup","reporting_debriefs","admin_invoicing"},0)),"activity must be one of the seven keys; ","")&amp;IF(OR(N($E1147)&lt;=0,N($E1147)&gt;16),"hours?; ","")&amp;IF(AND($C1147&lt;&gt;"",$B1147=""),"campaign without drop_id; ","")&amp;IF(AND($B1147&lt;&gt;"",COUNTIF(drops!$A$2:$A$21,$B1147)=0),"drop_id not on drops; ",""))</f>
        <v/>
      </c>
    </row>
    <row r="1148">
      <c r="A1148" s="9" t="n"/>
      <c r="E1148" s="10" t="n"/>
      <c r="G1148" s="25">
        <f>IF($A1148="","",IF(ISNA(MATCH($D1148,{"brand_sales","office_coordination","receiving_kitting","drop_day","checks_pickup","reporting_debriefs","admin_invoicing"},0)),"activity must be one of the seven keys; ","")&amp;IF(OR(N($E1148)&lt;=0,N($E1148)&gt;16),"hours?; ","")&amp;IF(AND($C1148&lt;&gt;"",$B1148=""),"campaign without drop_id; ","")&amp;IF(AND($B1148&lt;&gt;"",COUNTIF(drops!$A$2:$A$21,$B1148)=0),"drop_id not on drops; ",""))</f>
        <v/>
      </c>
    </row>
    <row r="1149">
      <c r="A1149" s="9" t="n"/>
      <c r="E1149" s="10" t="n"/>
      <c r="G1149" s="25">
        <f>IF($A1149="","",IF(ISNA(MATCH($D1149,{"brand_sales","office_coordination","receiving_kitting","drop_day","checks_pickup","reporting_debriefs","admin_invoicing"},0)),"activity must be one of the seven keys; ","")&amp;IF(OR(N($E1149)&lt;=0,N($E1149)&gt;16),"hours?; ","")&amp;IF(AND($C1149&lt;&gt;"",$B1149=""),"campaign without drop_id; ","")&amp;IF(AND($B1149&lt;&gt;"",COUNTIF(drops!$A$2:$A$21,$B1149)=0),"drop_id not on drops; ",""))</f>
        <v/>
      </c>
    </row>
    <row r="1150">
      <c r="A1150" s="9" t="n"/>
      <c r="E1150" s="10" t="n"/>
      <c r="G1150" s="25">
        <f>IF($A1150="","",IF(ISNA(MATCH($D1150,{"brand_sales","office_coordination","receiving_kitting","drop_day","checks_pickup","reporting_debriefs","admin_invoicing"},0)),"activity must be one of the seven keys; ","")&amp;IF(OR(N($E1150)&lt;=0,N($E1150)&gt;16),"hours?; ","")&amp;IF(AND($C1150&lt;&gt;"",$B1150=""),"campaign without drop_id; ","")&amp;IF(AND($B1150&lt;&gt;"",COUNTIF(drops!$A$2:$A$21,$B1150)=0),"drop_id not on drops; ",""))</f>
        <v/>
      </c>
    </row>
    <row r="1151">
      <c r="A1151" s="9" t="n"/>
      <c r="E1151" s="10" t="n"/>
      <c r="G1151" s="25">
        <f>IF($A1151="","",IF(ISNA(MATCH($D1151,{"brand_sales","office_coordination","receiving_kitting","drop_day","checks_pickup","reporting_debriefs","admin_invoicing"},0)),"activity must be one of the seven keys; ","")&amp;IF(OR(N($E1151)&lt;=0,N($E1151)&gt;16),"hours?; ","")&amp;IF(AND($C1151&lt;&gt;"",$B1151=""),"campaign without drop_id; ","")&amp;IF(AND($B1151&lt;&gt;"",COUNTIF(drops!$A$2:$A$21,$B1151)=0),"drop_id not on drops; ",""))</f>
        <v/>
      </c>
    </row>
    <row r="1152">
      <c r="A1152" s="9" t="n"/>
      <c r="E1152" s="10" t="n"/>
      <c r="G1152" s="25">
        <f>IF($A1152="","",IF(ISNA(MATCH($D1152,{"brand_sales","office_coordination","receiving_kitting","drop_day","checks_pickup","reporting_debriefs","admin_invoicing"},0)),"activity must be one of the seven keys; ","")&amp;IF(OR(N($E1152)&lt;=0,N($E1152)&gt;16),"hours?; ","")&amp;IF(AND($C1152&lt;&gt;"",$B1152=""),"campaign without drop_id; ","")&amp;IF(AND($B1152&lt;&gt;"",COUNTIF(drops!$A$2:$A$21,$B1152)=0),"drop_id not on drops; ",""))</f>
        <v/>
      </c>
    </row>
    <row r="1153">
      <c r="A1153" s="9" t="n"/>
      <c r="E1153" s="10" t="n"/>
      <c r="G1153" s="25">
        <f>IF($A1153="","",IF(ISNA(MATCH($D1153,{"brand_sales","office_coordination","receiving_kitting","drop_day","checks_pickup","reporting_debriefs","admin_invoicing"},0)),"activity must be one of the seven keys; ","")&amp;IF(OR(N($E1153)&lt;=0,N($E1153)&gt;16),"hours?; ","")&amp;IF(AND($C1153&lt;&gt;"",$B1153=""),"campaign without drop_id; ","")&amp;IF(AND($B1153&lt;&gt;"",COUNTIF(drops!$A$2:$A$21,$B1153)=0),"drop_id not on drops; ",""))</f>
        <v/>
      </c>
    </row>
    <row r="1154">
      <c r="A1154" s="9" t="n"/>
      <c r="E1154" s="10" t="n"/>
      <c r="G1154" s="25">
        <f>IF($A1154="","",IF(ISNA(MATCH($D1154,{"brand_sales","office_coordination","receiving_kitting","drop_day","checks_pickup","reporting_debriefs","admin_invoicing"},0)),"activity must be one of the seven keys; ","")&amp;IF(OR(N($E1154)&lt;=0,N($E1154)&gt;16),"hours?; ","")&amp;IF(AND($C1154&lt;&gt;"",$B1154=""),"campaign without drop_id; ","")&amp;IF(AND($B1154&lt;&gt;"",COUNTIF(drops!$A$2:$A$21,$B1154)=0),"drop_id not on drops; ",""))</f>
        <v/>
      </c>
    </row>
    <row r="1155">
      <c r="A1155" s="9" t="n"/>
      <c r="E1155" s="10" t="n"/>
      <c r="G1155" s="25">
        <f>IF($A1155="","",IF(ISNA(MATCH($D1155,{"brand_sales","office_coordination","receiving_kitting","drop_day","checks_pickup","reporting_debriefs","admin_invoicing"},0)),"activity must be one of the seven keys; ","")&amp;IF(OR(N($E1155)&lt;=0,N($E1155)&gt;16),"hours?; ","")&amp;IF(AND($C1155&lt;&gt;"",$B1155=""),"campaign without drop_id; ","")&amp;IF(AND($B1155&lt;&gt;"",COUNTIF(drops!$A$2:$A$21,$B1155)=0),"drop_id not on drops; ",""))</f>
        <v/>
      </c>
    </row>
    <row r="1156">
      <c r="A1156" s="9" t="n"/>
      <c r="E1156" s="10" t="n"/>
      <c r="G1156" s="25">
        <f>IF($A1156="","",IF(ISNA(MATCH($D1156,{"brand_sales","office_coordination","receiving_kitting","drop_day","checks_pickup","reporting_debriefs","admin_invoicing"},0)),"activity must be one of the seven keys; ","")&amp;IF(OR(N($E1156)&lt;=0,N($E1156)&gt;16),"hours?; ","")&amp;IF(AND($C1156&lt;&gt;"",$B1156=""),"campaign without drop_id; ","")&amp;IF(AND($B1156&lt;&gt;"",COUNTIF(drops!$A$2:$A$21,$B1156)=0),"drop_id not on drops; ",""))</f>
        <v/>
      </c>
    </row>
    <row r="1157">
      <c r="A1157" s="9" t="n"/>
      <c r="E1157" s="10" t="n"/>
      <c r="G1157" s="25">
        <f>IF($A1157="","",IF(ISNA(MATCH($D1157,{"brand_sales","office_coordination","receiving_kitting","drop_day","checks_pickup","reporting_debriefs","admin_invoicing"},0)),"activity must be one of the seven keys; ","")&amp;IF(OR(N($E1157)&lt;=0,N($E1157)&gt;16),"hours?; ","")&amp;IF(AND($C1157&lt;&gt;"",$B1157=""),"campaign without drop_id; ","")&amp;IF(AND($B1157&lt;&gt;"",COUNTIF(drops!$A$2:$A$21,$B1157)=0),"drop_id not on drops; ",""))</f>
        <v/>
      </c>
    </row>
    <row r="1158">
      <c r="A1158" s="9" t="n"/>
      <c r="E1158" s="10" t="n"/>
      <c r="G1158" s="25">
        <f>IF($A1158="","",IF(ISNA(MATCH($D1158,{"brand_sales","office_coordination","receiving_kitting","drop_day","checks_pickup","reporting_debriefs","admin_invoicing"},0)),"activity must be one of the seven keys; ","")&amp;IF(OR(N($E1158)&lt;=0,N($E1158)&gt;16),"hours?; ","")&amp;IF(AND($C1158&lt;&gt;"",$B1158=""),"campaign without drop_id; ","")&amp;IF(AND($B1158&lt;&gt;"",COUNTIF(drops!$A$2:$A$21,$B1158)=0),"drop_id not on drops; ",""))</f>
        <v/>
      </c>
    </row>
    <row r="1159">
      <c r="A1159" s="9" t="n"/>
      <c r="E1159" s="10" t="n"/>
      <c r="G1159" s="25">
        <f>IF($A1159="","",IF(ISNA(MATCH($D1159,{"brand_sales","office_coordination","receiving_kitting","drop_day","checks_pickup","reporting_debriefs","admin_invoicing"},0)),"activity must be one of the seven keys; ","")&amp;IF(OR(N($E1159)&lt;=0,N($E1159)&gt;16),"hours?; ","")&amp;IF(AND($C1159&lt;&gt;"",$B1159=""),"campaign without drop_id; ","")&amp;IF(AND($B1159&lt;&gt;"",COUNTIF(drops!$A$2:$A$21,$B1159)=0),"drop_id not on drops; ",""))</f>
        <v/>
      </c>
    </row>
    <row r="1160">
      <c r="A1160" s="9" t="n"/>
      <c r="E1160" s="10" t="n"/>
      <c r="G1160" s="25">
        <f>IF($A1160="","",IF(ISNA(MATCH($D1160,{"brand_sales","office_coordination","receiving_kitting","drop_day","checks_pickup","reporting_debriefs","admin_invoicing"},0)),"activity must be one of the seven keys; ","")&amp;IF(OR(N($E1160)&lt;=0,N($E1160)&gt;16),"hours?; ","")&amp;IF(AND($C1160&lt;&gt;"",$B1160=""),"campaign without drop_id; ","")&amp;IF(AND($B1160&lt;&gt;"",COUNTIF(drops!$A$2:$A$21,$B1160)=0),"drop_id not on drops; ",""))</f>
        <v/>
      </c>
    </row>
    <row r="1161">
      <c r="A1161" s="9" t="n"/>
      <c r="E1161" s="10" t="n"/>
      <c r="G1161" s="25">
        <f>IF($A1161="","",IF(ISNA(MATCH($D1161,{"brand_sales","office_coordination","receiving_kitting","drop_day","checks_pickup","reporting_debriefs","admin_invoicing"},0)),"activity must be one of the seven keys; ","")&amp;IF(OR(N($E1161)&lt;=0,N($E1161)&gt;16),"hours?; ","")&amp;IF(AND($C1161&lt;&gt;"",$B1161=""),"campaign without drop_id; ","")&amp;IF(AND($B1161&lt;&gt;"",COUNTIF(drops!$A$2:$A$21,$B1161)=0),"drop_id not on drops; ",""))</f>
        <v/>
      </c>
    </row>
    <row r="1162">
      <c r="A1162" s="9" t="n"/>
      <c r="E1162" s="10" t="n"/>
      <c r="G1162" s="25">
        <f>IF($A1162="","",IF(ISNA(MATCH($D1162,{"brand_sales","office_coordination","receiving_kitting","drop_day","checks_pickup","reporting_debriefs","admin_invoicing"},0)),"activity must be one of the seven keys; ","")&amp;IF(OR(N($E1162)&lt;=0,N($E1162)&gt;16),"hours?; ","")&amp;IF(AND($C1162&lt;&gt;"",$B1162=""),"campaign without drop_id; ","")&amp;IF(AND($B1162&lt;&gt;"",COUNTIF(drops!$A$2:$A$21,$B1162)=0),"drop_id not on drops; ",""))</f>
        <v/>
      </c>
    </row>
    <row r="1163">
      <c r="A1163" s="9" t="n"/>
      <c r="E1163" s="10" t="n"/>
      <c r="G1163" s="25">
        <f>IF($A1163="","",IF(ISNA(MATCH($D1163,{"brand_sales","office_coordination","receiving_kitting","drop_day","checks_pickup","reporting_debriefs","admin_invoicing"},0)),"activity must be one of the seven keys; ","")&amp;IF(OR(N($E1163)&lt;=0,N($E1163)&gt;16),"hours?; ","")&amp;IF(AND($C1163&lt;&gt;"",$B1163=""),"campaign without drop_id; ","")&amp;IF(AND($B1163&lt;&gt;"",COUNTIF(drops!$A$2:$A$21,$B1163)=0),"drop_id not on drops; ",""))</f>
        <v/>
      </c>
    </row>
    <row r="1164">
      <c r="A1164" s="9" t="n"/>
      <c r="E1164" s="10" t="n"/>
      <c r="G1164" s="25">
        <f>IF($A1164="","",IF(ISNA(MATCH($D1164,{"brand_sales","office_coordination","receiving_kitting","drop_day","checks_pickup","reporting_debriefs","admin_invoicing"},0)),"activity must be one of the seven keys; ","")&amp;IF(OR(N($E1164)&lt;=0,N($E1164)&gt;16),"hours?; ","")&amp;IF(AND($C1164&lt;&gt;"",$B1164=""),"campaign without drop_id; ","")&amp;IF(AND($B1164&lt;&gt;"",COUNTIF(drops!$A$2:$A$21,$B1164)=0),"drop_id not on drops; ",""))</f>
        <v/>
      </c>
    </row>
    <row r="1165">
      <c r="A1165" s="9" t="n"/>
      <c r="E1165" s="10" t="n"/>
      <c r="G1165" s="25">
        <f>IF($A1165="","",IF(ISNA(MATCH($D1165,{"brand_sales","office_coordination","receiving_kitting","drop_day","checks_pickup","reporting_debriefs","admin_invoicing"},0)),"activity must be one of the seven keys; ","")&amp;IF(OR(N($E1165)&lt;=0,N($E1165)&gt;16),"hours?; ","")&amp;IF(AND($C1165&lt;&gt;"",$B1165=""),"campaign without drop_id; ","")&amp;IF(AND($B1165&lt;&gt;"",COUNTIF(drops!$A$2:$A$21,$B1165)=0),"drop_id not on drops; ",""))</f>
        <v/>
      </c>
    </row>
    <row r="1166">
      <c r="A1166" s="9" t="n"/>
      <c r="E1166" s="10" t="n"/>
      <c r="G1166" s="25">
        <f>IF($A1166="","",IF(ISNA(MATCH($D1166,{"brand_sales","office_coordination","receiving_kitting","drop_day","checks_pickup","reporting_debriefs","admin_invoicing"},0)),"activity must be one of the seven keys; ","")&amp;IF(OR(N($E1166)&lt;=0,N($E1166)&gt;16),"hours?; ","")&amp;IF(AND($C1166&lt;&gt;"",$B1166=""),"campaign without drop_id; ","")&amp;IF(AND($B1166&lt;&gt;"",COUNTIF(drops!$A$2:$A$21,$B1166)=0),"drop_id not on drops; ",""))</f>
        <v/>
      </c>
    </row>
    <row r="1167">
      <c r="A1167" s="9" t="n"/>
      <c r="E1167" s="10" t="n"/>
      <c r="G1167" s="25">
        <f>IF($A1167="","",IF(ISNA(MATCH($D1167,{"brand_sales","office_coordination","receiving_kitting","drop_day","checks_pickup","reporting_debriefs","admin_invoicing"},0)),"activity must be one of the seven keys; ","")&amp;IF(OR(N($E1167)&lt;=0,N($E1167)&gt;16),"hours?; ","")&amp;IF(AND($C1167&lt;&gt;"",$B1167=""),"campaign without drop_id; ","")&amp;IF(AND($B1167&lt;&gt;"",COUNTIF(drops!$A$2:$A$21,$B1167)=0),"drop_id not on drops; ",""))</f>
        <v/>
      </c>
    </row>
    <row r="1168">
      <c r="A1168" s="9" t="n"/>
      <c r="E1168" s="10" t="n"/>
      <c r="G1168" s="25">
        <f>IF($A1168="","",IF(ISNA(MATCH($D1168,{"brand_sales","office_coordination","receiving_kitting","drop_day","checks_pickup","reporting_debriefs","admin_invoicing"},0)),"activity must be one of the seven keys; ","")&amp;IF(OR(N($E1168)&lt;=0,N($E1168)&gt;16),"hours?; ","")&amp;IF(AND($C1168&lt;&gt;"",$B1168=""),"campaign without drop_id; ","")&amp;IF(AND($B1168&lt;&gt;"",COUNTIF(drops!$A$2:$A$21,$B1168)=0),"drop_id not on drops; ",""))</f>
        <v/>
      </c>
    </row>
    <row r="1169">
      <c r="A1169" s="9" t="n"/>
      <c r="E1169" s="10" t="n"/>
      <c r="G1169" s="25">
        <f>IF($A1169="","",IF(ISNA(MATCH($D1169,{"brand_sales","office_coordination","receiving_kitting","drop_day","checks_pickup","reporting_debriefs","admin_invoicing"},0)),"activity must be one of the seven keys; ","")&amp;IF(OR(N($E1169)&lt;=0,N($E1169)&gt;16),"hours?; ","")&amp;IF(AND($C1169&lt;&gt;"",$B1169=""),"campaign without drop_id; ","")&amp;IF(AND($B1169&lt;&gt;"",COUNTIF(drops!$A$2:$A$21,$B1169)=0),"drop_id not on drops; ",""))</f>
        <v/>
      </c>
    </row>
    <row r="1170">
      <c r="A1170" s="9" t="n"/>
      <c r="E1170" s="10" t="n"/>
      <c r="G1170" s="25">
        <f>IF($A1170="","",IF(ISNA(MATCH($D1170,{"brand_sales","office_coordination","receiving_kitting","drop_day","checks_pickup","reporting_debriefs","admin_invoicing"},0)),"activity must be one of the seven keys; ","")&amp;IF(OR(N($E1170)&lt;=0,N($E1170)&gt;16),"hours?; ","")&amp;IF(AND($C1170&lt;&gt;"",$B1170=""),"campaign without drop_id; ","")&amp;IF(AND($B1170&lt;&gt;"",COUNTIF(drops!$A$2:$A$21,$B1170)=0),"drop_id not on drops; ",""))</f>
        <v/>
      </c>
    </row>
    <row r="1171">
      <c r="A1171" s="9" t="n"/>
      <c r="E1171" s="10" t="n"/>
      <c r="G1171" s="25">
        <f>IF($A1171="","",IF(ISNA(MATCH($D1171,{"brand_sales","office_coordination","receiving_kitting","drop_day","checks_pickup","reporting_debriefs","admin_invoicing"},0)),"activity must be one of the seven keys; ","")&amp;IF(OR(N($E1171)&lt;=0,N($E1171)&gt;16),"hours?; ","")&amp;IF(AND($C1171&lt;&gt;"",$B1171=""),"campaign without drop_id; ","")&amp;IF(AND($B1171&lt;&gt;"",COUNTIF(drops!$A$2:$A$21,$B1171)=0),"drop_id not on drops; ",""))</f>
        <v/>
      </c>
    </row>
    <row r="1172">
      <c r="A1172" s="9" t="n"/>
      <c r="E1172" s="10" t="n"/>
      <c r="G1172" s="25">
        <f>IF($A1172="","",IF(ISNA(MATCH($D1172,{"brand_sales","office_coordination","receiving_kitting","drop_day","checks_pickup","reporting_debriefs","admin_invoicing"},0)),"activity must be one of the seven keys; ","")&amp;IF(OR(N($E1172)&lt;=0,N($E1172)&gt;16),"hours?; ","")&amp;IF(AND($C1172&lt;&gt;"",$B1172=""),"campaign without drop_id; ","")&amp;IF(AND($B1172&lt;&gt;"",COUNTIF(drops!$A$2:$A$21,$B1172)=0),"drop_id not on drops; ",""))</f>
        <v/>
      </c>
    </row>
    <row r="1173">
      <c r="A1173" s="9" t="n"/>
      <c r="E1173" s="10" t="n"/>
      <c r="G1173" s="25">
        <f>IF($A1173="","",IF(ISNA(MATCH($D1173,{"brand_sales","office_coordination","receiving_kitting","drop_day","checks_pickup","reporting_debriefs","admin_invoicing"},0)),"activity must be one of the seven keys; ","")&amp;IF(OR(N($E1173)&lt;=0,N($E1173)&gt;16),"hours?; ","")&amp;IF(AND($C1173&lt;&gt;"",$B1173=""),"campaign without drop_id; ","")&amp;IF(AND($B1173&lt;&gt;"",COUNTIF(drops!$A$2:$A$21,$B1173)=0),"drop_id not on drops; ",""))</f>
        <v/>
      </c>
    </row>
    <row r="1174">
      <c r="A1174" s="9" t="n"/>
      <c r="E1174" s="10" t="n"/>
      <c r="G1174" s="25">
        <f>IF($A1174="","",IF(ISNA(MATCH($D1174,{"brand_sales","office_coordination","receiving_kitting","drop_day","checks_pickup","reporting_debriefs","admin_invoicing"},0)),"activity must be one of the seven keys; ","")&amp;IF(OR(N($E1174)&lt;=0,N($E1174)&gt;16),"hours?; ","")&amp;IF(AND($C1174&lt;&gt;"",$B1174=""),"campaign without drop_id; ","")&amp;IF(AND($B1174&lt;&gt;"",COUNTIF(drops!$A$2:$A$21,$B1174)=0),"drop_id not on drops; ",""))</f>
        <v/>
      </c>
    </row>
    <row r="1175">
      <c r="A1175" s="9" t="n"/>
      <c r="E1175" s="10" t="n"/>
      <c r="G1175" s="25">
        <f>IF($A1175="","",IF(ISNA(MATCH($D1175,{"brand_sales","office_coordination","receiving_kitting","drop_day","checks_pickup","reporting_debriefs","admin_invoicing"},0)),"activity must be one of the seven keys; ","")&amp;IF(OR(N($E1175)&lt;=0,N($E1175)&gt;16),"hours?; ","")&amp;IF(AND($C1175&lt;&gt;"",$B1175=""),"campaign without drop_id; ","")&amp;IF(AND($B1175&lt;&gt;"",COUNTIF(drops!$A$2:$A$21,$B1175)=0),"drop_id not on drops; ",""))</f>
        <v/>
      </c>
    </row>
    <row r="1176">
      <c r="A1176" s="9" t="n"/>
      <c r="E1176" s="10" t="n"/>
      <c r="G1176" s="25">
        <f>IF($A1176="","",IF(ISNA(MATCH($D1176,{"brand_sales","office_coordination","receiving_kitting","drop_day","checks_pickup","reporting_debriefs","admin_invoicing"},0)),"activity must be one of the seven keys; ","")&amp;IF(OR(N($E1176)&lt;=0,N($E1176)&gt;16),"hours?; ","")&amp;IF(AND($C1176&lt;&gt;"",$B1176=""),"campaign without drop_id; ","")&amp;IF(AND($B1176&lt;&gt;"",COUNTIF(drops!$A$2:$A$21,$B1176)=0),"drop_id not on drops; ",""))</f>
        <v/>
      </c>
    </row>
    <row r="1177">
      <c r="A1177" s="9" t="n"/>
      <c r="E1177" s="10" t="n"/>
      <c r="G1177" s="25">
        <f>IF($A1177="","",IF(ISNA(MATCH($D1177,{"brand_sales","office_coordination","receiving_kitting","drop_day","checks_pickup","reporting_debriefs","admin_invoicing"},0)),"activity must be one of the seven keys; ","")&amp;IF(OR(N($E1177)&lt;=0,N($E1177)&gt;16),"hours?; ","")&amp;IF(AND($C1177&lt;&gt;"",$B1177=""),"campaign without drop_id; ","")&amp;IF(AND($B1177&lt;&gt;"",COUNTIF(drops!$A$2:$A$21,$B1177)=0),"drop_id not on drops; ",""))</f>
        <v/>
      </c>
    </row>
    <row r="1178">
      <c r="A1178" s="9" t="n"/>
      <c r="E1178" s="10" t="n"/>
      <c r="G1178" s="25">
        <f>IF($A1178="","",IF(ISNA(MATCH($D1178,{"brand_sales","office_coordination","receiving_kitting","drop_day","checks_pickup","reporting_debriefs","admin_invoicing"},0)),"activity must be one of the seven keys; ","")&amp;IF(OR(N($E1178)&lt;=0,N($E1178)&gt;16),"hours?; ","")&amp;IF(AND($C1178&lt;&gt;"",$B1178=""),"campaign without drop_id; ","")&amp;IF(AND($B1178&lt;&gt;"",COUNTIF(drops!$A$2:$A$21,$B1178)=0),"drop_id not on drops; ",""))</f>
        <v/>
      </c>
    </row>
    <row r="1179">
      <c r="A1179" s="9" t="n"/>
      <c r="E1179" s="10" t="n"/>
      <c r="G1179" s="25">
        <f>IF($A1179="","",IF(ISNA(MATCH($D1179,{"brand_sales","office_coordination","receiving_kitting","drop_day","checks_pickup","reporting_debriefs","admin_invoicing"},0)),"activity must be one of the seven keys; ","")&amp;IF(OR(N($E1179)&lt;=0,N($E1179)&gt;16),"hours?; ","")&amp;IF(AND($C1179&lt;&gt;"",$B1179=""),"campaign without drop_id; ","")&amp;IF(AND($B1179&lt;&gt;"",COUNTIF(drops!$A$2:$A$21,$B1179)=0),"drop_id not on drops; ",""))</f>
        <v/>
      </c>
    </row>
    <row r="1180">
      <c r="A1180" s="9" t="n"/>
      <c r="E1180" s="10" t="n"/>
      <c r="G1180" s="25">
        <f>IF($A1180="","",IF(ISNA(MATCH($D1180,{"brand_sales","office_coordination","receiving_kitting","drop_day","checks_pickup","reporting_debriefs","admin_invoicing"},0)),"activity must be one of the seven keys; ","")&amp;IF(OR(N($E1180)&lt;=0,N($E1180)&gt;16),"hours?; ","")&amp;IF(AND($C1180&lt;&gt;"",$B1180=""),"campaign without drop_id; ","")&amp;IF(AND($B1180&lt;&gt;"",COUNTIF(drops!$A$2:$A$21,$B1180)=0),"drop_id not on drops; ",""))</f>
        <v/>
      </c>
    </row>
    <row r="1181">
      <c r="A1181" s="9" t="n"/>
      <c r="E1181" s="10" t="n"/>
      <c r="G1181" s="25">
        <f>IF($A1181="","",IF(ISNA(MATCH($D1181,{"brand_sales","office_coordination","receiving_kitting","drop_day","checks_pickup","reporting_debriefs","admin_invoicing"},0)),"activity must be one of the seven keys; ","")&amp;IF(OR(N($E1181)&lt;=0,N($E1181)&gt;16),"hours?; ","")&amp;IF(AND($C1181&lt;&gt;"",$B1181=""),"campaign without drop_id; ","")&amp;IF(AND($B1181&lt;&gt;"",COUNTIF(drops!$A$2:$A$21,$B1181)=0),"drop_id not on drops; ",""))</f>
        <v/>
      </c>
    </row>
    <row r="1182">
      <c r="A1182" s="9" t="n"/>
      <c r="E1182" s="10" t="n"/>
      <c r="G1182" s="25">
        <f>IF($A1182="","",IF(ISNA(MATCH($D1182,{"brand_sales","office_coordination","receiving_kitting","drop_day","checks_pickup","reporting_debriefs","admin_invoicing"},0)),"activity must be one of the seven keys; ","")&amp;IF(OR(N($E1182)&lt;=0,N($E1182)&gt;16),"hours?; ","")&amp;IF(AND($C1182&lt;&gt;"",$B1182=""),"campaign without drop_id; ","")&amp;IF(AND($B1182&lt;&gt;"",COUNTIF(drops!$A$2:$A$21,$B1182)=0),"drop_id not on drops; ",""))</f>
        <v/>
      </c>
    </row>
    <row r="1183">
      <c r="A1183" s="9" t="n"/>
      <c r="E1183" s="10" t="n"/>
      <c r="G1183" s="25">
        <f>IF($A1183="","",IF(ISNA(MATCH($D1183,{"brand_sales","office_coordination","receiving_kitting","drop_day","checks_pickup","reporting_debriefs","admin_invoicing"},0)),"activity must be one of the seven keys; ","")&amp;IF(OR(N($E1183)&lt;=0,N($E1183)&gt;16),"hours?; ","")&amp;IF(AND($C1183&lt;&gt;"",$B1183=""),"campaign without drop_id; ","")&amp;IF(AND($B1183&lt;&gt;"",COUNTIF(drops!$A$2:$A$21,$B1183)=0),"drop_id not on drops; ",""))</f>
        <v/>
      </c>
    </row>
    <row r="1184">
      <c r="A1184" s="9" t="n"/>
      <c r="E1184" s="10" t="n"/>
      <c r="G1184" s="25">
        <f>IF($A1184="","",IF(ISNA(MATCH($D1184,{"brand_sales","office_coordination","receiving_kitting","drop_day","checks_pickup","reporting_debriefs","admin_invoicing"},0)),"activity must be one of the seven keys; ","")&amp;IF(OR(N($E1184)&lt;=0,N($E1184)&gt;16),"hours?; ","")&amp;IF(AND($C1184&lt;&gt;"",$B1184=""),"campaign without drop_id; ","")&amp;IF(AND($B1184&lt;&gt;"",COUNTIF(drops!$A$2:$A$21,$B1184)=0),"drop_id not on drops; ",""))</f>
        <v/>
      </c>
    </row>
    <row r="1185">
      <c r="A1185" s="9" t="n"/>
      <c r="E1185" s="10" t="n"/>
      <c r="G1185" s="25">
        <f>IF($A1185="","",IF(ISNA(MATCH($D1185,{"brand_sales","office_coordination","receiving_kitting","drop_day","checks_pickup","reporting_debriefs","admin_invoicing"},0)),"activity must be one of the seven keys; ","")&amp;IF(OR(N($E1185)&lt;=0,N($E1185)&gt;16),"hours?; ","")&amp;IF(AND($C1185&lt;&gt;"",$B1185=""),"campaign without drop_id; ","")&amp;IF(AND($B1185&lt;&gt;"",COUNTIF(drops!$A$2:$A$21,$B1185)=0),"drop_id not on drops; ",""))</f>
        <v/>
      </c>
    </row>
    <row r="1186">
      <c r="A1186" s="9" t="n"/>
      <c r="E1186" s="10" t="n"/>
      <c r="G1186" s="25">
        <f>IF($A1186="","",IF(ISNA(MATCH($D1186,{"brand_sales","office_coordination","receiving_kitting","drop_day","checks_pickup","reporting_debriefs","admin_invoicing"},0)),"activity must be one of the seven keys; ","")&amp;IF(OR(N($E1186)&lt;=0,N($E1186)&gt;16),"hours?; ","")&amp;IF(AND($C1186&lt;&gt;"",$B1186=""),"campaign without drop_id; ","")&amp;IF(AND($B1186&lt;&gt;"",COUNTIF(drops!$A$2:$A$21,$B1186)=0),"drop_id not on drops; ",""))</f>
        <v/>
      </c>
    </row>
    <row r="1187">
      <c r="A1187" s="9" t="n"/>
      <c r="E1187" s="10" t="n"/>
      <c r="G1187" s="25">
        <f>IF($A1187="","",IF(ISNA(MATCH($D1187,{"brand_sales","office_coordination","receiving_kitting","drop_day","checks_pickup","reporting_debriefs","admin_invoicing"},0)),"activity must be one of the seven keys; ","")&amp;IF(OR(N($E1187)&lt;=0,N($E1187)&gt;16),"hours?; ","")&amp;IF(AND($C1187&lt;&gt;"",$B1187=""),"campaign without drop_id; ","")&amp;IF(AND($B1187&lt;&gt;"",COUNTIF(drops!$A$2:$A$21,$B1187)=0),"drop_id not on drops; ",""))</f>
        <v/>
      </c>
    </row>
    <row r="1188">
      <c r="A1188" s="9" t="n"/>
      <c r="E1188" s="10" t="n"/>
      <c r="G1188" s="25">
        <f>IF($A1188="","",IF(ISNA(MATCH($D1188,{"brand_sales","office_coordination","receiving_kitting","drop_day","checks_pickup","reporting_debriefs","admin_invoicing"},0)),"activity must be one of the seven keys; ","")&amp;IF(OR(N($E1188)&lt;=0,N($E1188)&gt;16),"hours?; ","")&amp;IF(AND($C1188&lt;&gt;"",$B1188=""),"campaign without drop_id; ","")&amp;IF(AND($B1188&lt;&gt;"",COUNTIF(drops!$A$2:$A$21,$B1188)=0),"drop_id not on drops; ",""))</f>
        <v/>
      </c>
    </row>
    <row r="1189">
      <c r="A1189" s="9" t="n"/>
      <c r="E1189" s="10" t="n"/>
      <c r="G1189" s="25">
        <f>IF($A1189="","",IF(ISNA(MATCH($D1189,{"brand_sales","office_coordination","receiving_kitting","drop_day","checks_pickup","reporting_debriefs","admin_invoicing"},0)),"activity must be one of the seven keys; ","")&amp;IF(OR(N($E1189)&lt;=0,N($E1189)&gt;16),"hours?; ","")&amp;IF(AND($C1189&lt;&gt;"",$B1189=""),"campaign without drop_id; ","")&amp;IF(AND($B1189&lt;&gt;"",COUNTIF(drops!$A$2:$A$21,$B1189)=0),"drop_id not on drops; ",""))</f>
        <v/>
      </c>
    </row>
    <row r="1190">
      <c r="A1190" s="9" t="n"/>
      <c r="E1190" s="10" t="n"/>
      <c r="G1190" s="25">
        <f>IF($A1190="","",IF(ISNA(MATCH($D1190,{"brand_sales","office_coordination","receiving_kitting","drop_day","checks_pickup","reporting_debriefs","admin_invoicing"},0)),"activity must be one of the seven keys; ","")&amp;IF(OR(N($E1190)&lt;=0,N($E1190)&gt;16),"hours?; ","")&amp;IF(AND($C1190&lt;&gt;"",$B1190=""),"campaign without drop_id; ","")&amp;IF(AND($B1190&lt;&gt;"",COUNTIF(drops!$A$2:$A$21,$B1190)=0),"drop_id not on drops; ",""))</f>
        <v/>
      </c>
    </row>
    <row r="1191">
      <c r="A1191" s="9" t="n"/>
      <c r="E1191" s="10" t="n"/>
      <c r="G1191" s="25">
        <f>IF($A1191="","",IF(ISNA(MATCH($D1191,{"brand_sales","office_coordination","receiving_kitting","drop_day","checks_pickup","reporting_debriefs","admin_invoicing"},0)),"activity must be one of the seven keys; ","")&amp;IF(OR(N($E1191)&lt;=0,N($E1191)&gt;16),"hours?; ","")&amp;IF(AND($C1191&lt;&gt;"",$B1191=""),"campaign without drop_id; ","")&amp;IF(AND($B1191&lt;&gt;"",COUNTIF(drops!$A$2:$A$21,$B1191)=0),"drop_id not on drops; ",""))</f>
        <v/>
      </c>
    </row>
    <row r="1192">
      <c r="A1192" s="9" t="n"/>
      <c r="E1192" s="10" t="n"/>
      <c r="G1192" s="25">
        <f>IF($A1192="","",IF(ISNA(MATCH($D1192,{"brand_sales","office_coordination","receiving_kitting","drop_day","checks_pickup","reporting_debriefs","admin_invoicing"},0)),"activity must be one of the seven keys; ","")&amp;IF(OR(N($E1192)&lt;=0,N($E1192)&gt;16),"hours?; ","")&amp;IF(AND($C1192&lt;&gt;"",$B1192=""),"campaign without drop_id; ","")&amp;IF(AND($B1192&lt;&gt;"",COUNTIF(drops!$A$2:$A$21,$B1192)=0),"drop_id not on drops; ",""))</f>
        <v/>
      </c>
    </row>
    <row r="1193">
      <c r="A1193" s="9" t="n"/>
      <c r="E1193" s="10" t="n"/>
      <c r="G1193" s="25">
        <f>IF($A1193="","",IF(ISNA(MATCH($D1193,{"brand_sales","office_coordination","receiving_kitting","drop_day","checks_pickup","reporting_debriefs","admin_invoicing"},0)),"activity must be one of the seven keys; ","")&amp;IF(OR(N($E1193)&lt;=0,N($E1193)&gt;16),"hours?; ","")&amp;IF(AND($C1193&lt;&gt;"",$B1193=""),"campaign without drop_id; ","")&amp;IF(AND($B1193&lt;&gt;"",COUNTIF(drops!$A$2:$A$21,$B1193)=0),"drop_id not on drops; ",""))</f>
        <v/>
      </c>
    </row>
    <row r="1194">
      <c r="A1194" s="9" t="n"/>
      <c r="E1194" s="10" t="n"/>
      <c r="G1194" s="25">
        <f>IF($A1194="","",IF(ISNA(MATCH($D1194,{"brand_sales","office_coordination","receiving_kitting","drop_day","checks_pickup","reporting_debriefs","admin_invoicing"},0)),"activity must be one of the seven keys; ","")&amp;IF(OR(N($E1194)&lt;=0,N($E1194)&gt;16),"hours?; ","")&amp;IF(AND($C1194&lt;&gt;"",$B1194=""),"campaign without drop_id; ","")&amp;IF(AND($B1194&lt;&gt;"",COUNTIF(drops!$A$2:$A$21,$B1194)=0),"drop_id not on drops; ",""))</f>
        <v/>
      </c>
    </row>
    <row r="1195">
      <c r="A1195" s="9" t="n"/>
      <c r="E1195" s="10" t="n"/>
      <c r="G1195" s="25">
        <f>IF($A1195="","",IF(ISNA(MATCH($D1195,{"brand_sales","office_coordination","receiving_kitting","drop_day","checks_pickup","reporting_debriefs","admin_invoicing"},0)),"activity must be one of the seven keys; ","")&amp;IF(OR(N($E1195)&lt;=0,N($E1195)&gt;16),"hours?; ","")&amp;IF(AND($C1195&lt;&gt;"",$B1195=""),"campaign without drop_id; ","")&amp;IF(AND($B1195&lt;&gt;"",COUNTIF(drops!$A$2:$A$21,$B1195)=0),"drop_id not on drops; ",""))</f>
        <v/>
      </c>
    </row>
    <row r="1196">
      <c r="A1196" s="9" t="n"/>
      <c r="E1196" s="10" t="n"/>
      <c r="G1196" s="25">
        <f>IF($A1196="","",IF(ISNA(MATCH($D1196,{"brand_sales","office_coordination","receiving_kitting","drop_day","checks_pickup","reporting_debriefs","admin_invoicing"},0)),"activity must be one of the seven keys; ","")&amp;IF(OR(N($E1196)&lt;=0,N($E1196)&gt;16),"hours?; ","")&amp;IF(AND($C1196&lt;&gt;"",$B1196=""),"campaign without drop_id; ","")&amp;IF(AND($B1196&lt;&gt;"",COUNTIF(drops!$A$2:$A$21,$B1196)=0),"drop_id not on drops; ",""))</f>
        <v/>
      </c>
    </row>
    <row r="1197">
      <c r="A1197" s="9" t="n"/>
      <c r="E1197" s="10" t="n"/>
      <c r="G1197" s="25">
        <f>IF($A1197="","",IF(ISNA(MATCH($D1197,{"brand_sales","office_coordination","receiving_kitting","drop_day","checks_pickup","reporting_debriefs","admin_invoicing"},0)),"activity must be one of the seven keys; ","")&amp;IF(OR(N($E1197)&lt;=0,N($E1197)&gt;16),"hours?; ","")&amp;IF(AND($C1197&lt;&gt;"",$B1197=""),"campaign without drop_id; ","")&amp;IF(AND($B1197&lt;&gt;"",COUNTIF(drops!$A$2:$A$21,$B1197)=0),"drop_id not on drops; ",""))</f>
        <v/>
      </c>
    </row>
    <row r="1198">
      <c r="A1198" s="9" t="n"/>
      <c r="E1198" s="10" t="n"/>
      <c r="G1198" s="25">
        <f>IF($A1198="","",IF(ISNA(MATCH($D1198,{"brand_sales","office_coordination","receiving_kitting","drop_day","checks_pickup","reporting_debriefs","admin_invoicing"},0)),"activity must be one of the seven keys; ","")&amp;IF(OR(N($E1198)&lt;=0,N($E1198)&gt;16),"hours?; ","")&amp;IF(AND($C1198&lt;&gt;"",$B1198=""),"campaign without drop_id; ","")&amp;IF(AND($B1198&lt;&gt;"",COUNTIF(drops!$A$2:$A$21,$B1198)=0),"drop_id not on drops; ",""))</f>
        <v/>
      </c>
    </row>
    <row r="1199">
      <c r="A1199" s="9" t="n"/>
      <c r="E1199" s="10" t="n"/>
      <c r="G1199" s="25">
        <f>IF($A1199="","",IF(ISNA(MATCH($D1199,{"brand_sales","office_coordination","receiving_kitting","drop_day","checks_pickup","reporting_debriefs","admin_invoicing"},0)),"activity must be one of the seven keys; ","")&amp;IF(OR(N($E1199)&lt;=0,N($E1199)&gt;16),"hours?; ","")&amp;IF(AND($C1199&lt;&gt;"",$B1199=""),"campaign without drop_id; ","")&amp;IF(AND($B1199&lt;&gt;"",COUNTIF(drops!$A$2:$A$21,$B1199)=0),"drop_id not on drops; ",""))</f>
        <v/>
      </c>
    </row>
    <row r="1200">
      <c r="A1200" s="9" t="n"/>
      <c r="E1200" s="10" t="n"/>
      <c r="G1200" s="25">
        <f>IF($A1200="","",IF(ISNA(MATCH($D1200,{"brand_sales","office_coordination","receiving_kitting","drop_day","checks_pickup","reporting_debriefs","admin_invoicing"},0)),"activity must be one of the seven keys; ","")&amp;IF(OR(N($E1200)&lt;=0,N($E1200)&gt;16),"hours?; ","")&amp;IF(AND($C1200&lt;&gt;"",$B1200=""),"campaign without drop_id; ","")&amp;IF(AND($B1200&lt;&gt;"",COUNTIF(drops!$A$2:$A$21,$B1200)=0),"drop_id not on drops; ",""))</f>
        <v/>
      </c>
    </row>
    <row r="1201">
      <c r="A1201" s="9" t="n"/>
      <c r="E1201" s="10" t="n"/>
      <c r="G1201" s="25">
        <f>IF($A1201="","",IF(ISNA(MATCH($D1201,{"brand_sales","office_coordination","receiving_kitting","drop_day","checks_pickup","reporting_debriefs","admin_invoicing"},0)),"activity must be one of the seven keys; ","")&amp;IF(OR(N($E1201)&lt;=0,N($E1201)&gt;16),"hours?; ","")&amp;IF(AND($C1201&lt;&gt;"",$B1201=""),"campaign without drop_id; ","")&amp;IF(AND($B1201&lt;&gt;"",COUNTIF(drops!$A$2:$A$21,$B1201)=0),"drop_id not on drops; ",""))</f>
        <v/>
      </c>
    </row>
    <row r="1202">
      <c r="A1202" s="9" t="n"/>
      <c r="E1202" s="10" t="n"/>
      <c r="G1202" s="25">
        <f>IF($A1202="","",IF(ISNA(MATCH($D1202,{"brand_sales","office_coordination","receiving_kitting","drop_day","checks_pickup","reporting_debriefs","admin_invoicing"},0)),"activity must be one of the seven keys; ","")&amp;IF(OR(N($E1202)&lt;=0,N($E1202)&gt;16),"hours?; ","")&amp;IF(AND($C1202&lt;&gt;"",$B1202=""),"campaign without drop_id; ","")&amp;IF(AND($B1202&lt;&gt;"",COUNTIF(drops!$A$2:$A$21,$B1202)=0),"drop_id not on drops; ",""))</f>
        <v/>
      </c>
    </row>
    <row r="1203">
      <c r="A1203" s="9" t="n"/>
      <c r="E1203" s="10" t="n"/>
      <c r="G1203" s="25">
        <f>IF($A1203="","",IF(ISNA(MATCH($D1203,{"brand_sales","office_coordination","receiving_kitting","drop_day","checks_pickup","reporting_debriefs","admin_invoicing"},0)),"activity must be one of the seven keys; ","")&amp;IF(OR(N($E1203)&lt;=0,N($E1203)&gt;16),"hours?; ","")&amp;IF(AND($C1203&lt;&gt;"",$B1203=""),"campaign without drop_id; ","")&amp;IF(AND($B1203&lt;&gt;"",COUNTIF(drops!$A$2:$A$21,$B1203)=0),"drop_id not on drops; ",""))</f>
        <v/>
      </c>
    </row>
    <row r="1204">
      <c r="A1204" s="9" t="n"/>
      <c r="E1204" s="10" t="n"/>
      <c r="G1204" s="25">
        <f>IF($A1204="","",IF(ISNA(MATCH($D1204,{"brand_sales","office_coordination","receiving_kitting","drop_day","checks_pickup","reporting_debriefs","admin_invoicing"},0)),"activity must be one of the seven keys; ","")&amp;IF(OR(N($E1204)&lt;=0,N($E1204)&gt;16),"hours?; ","")&amp;IF(AND($C1204&lt;&gt;"",$B1204=""),"campaign without drop_id; ","")&amp;IF(AND($B1204&lt;&gt;"",COUNTIF(drops!$A$2:$A$21,$B1204)=0),"drop_id not on drops; ",""))</f>
        <v/>
      </c>
    </row>
    <row r="1205">
      <c r="A1205" s="9" t="n"/>
      <c r="E1205" s="10" t="n"/>
      <c r="G1205" s="25">
        <f>IF($A1205="","",IF(ISNA(MATCH($D1205,{"brand_sales","office_coordination","receiving_kitting","drop_day","checks_pickup","reporting_debriefs","admin_invoicing"},0)),"activity must be one of the seven keys; ","")&amp;IF(OR(N($E1205)&lt;=0,N($E1205)&gt;16),"hours?; ","")&amp;IF(AND($C1205&lt;&gt;"",$B1205=""),"campaign without drop_id; ","")&amp;IF(AND($B1205&lt;&gt;"",COUNTIF(drops!$A$2:$A$21,$B1205)=0),"drop_id not on drops; ",""))</f>
        <v/>
      </c>
    </row>
    <row r="1206">
      <c r="A1206" s="9" t="n"/>
      <c r="E1206" s="10" t="n"/>
      <c r="G1206" s="25">
        <f>IF($A1206="","",IF(ISNA(MATCH($D1206,{"brand_sales","office_coordination","receiving_kitting","drop_day","checks_pickup","reporting_debriefs","admin_invoicing"},0)),"activity must be one of the seven keys; ","")&amp;IF(OR(N($E1206)&lt;=0,N($E1206)&gt;16),"hours?; ","")&amp;IF(AND($C1206&lt;&gt;"",$B1206=""),"campaign without drop_id; ","")&amp;IF(AND($B1206&lt;&gt;"",COUNTIF(drops!$A$2:$A$21,$B1206)=0),"drop_id not on drops; ",""))</f>
        <v/>
      </c>
    </row>
    <row r="1207">
      <c r="A1207" s="9" t="n"/>
      <c r="E1207" s="10" t="n"/>
      <c r="G1207" s="25">
        <f>IF($A1207="","",IF(ISNA(MATCH($D1207,{"brand_sales","office_coordination","receiving_kitting","drop_day","checks_pickup","reporting_debriefs","admin_invoicing"},0)),"activity must be one of the seven keys; ","")&amp;IF(OR(N($E1207)&lt;=0,N($E1207)&gt;16),"hours?; ","")&amp;IF(AND($C1207&lt;&gt;"",$B1207=""),"campaign without drop_id; ","")&amp;IF(AND($B1207&lt;&gt;"",COUNTIF(drops!$A$2:$A$21,$B1207)=0),"drop_id not on drops; ",""))</f>
        <v/>
      </c>
    </row>
    <row r="1208">
      <c r="A1208" s="9" t="n"/>
      <c r="E1208" s="10" t="n"/>
      <c r="G1208" s="25">
        <f>IF($A1208="","",IF(ISNA(MATCH($D1208,{"brand_sales","office_coordination","receiving_kitting","drop_day","checks_pickup","reporting_debriefs","admin_invoicing"},0)),"activity must be one of the seven keys; ","")&amp;IF(OR(N($E1208)&lt;=0,N($E1208)&gt;16),"hours?; ","")&amp;IF(AND($C1208&lt;&gt;"",$B1208=""),"campaign without drop_id; ","")&amp;IF(AND($B1208&lt;&gt;"",COUNTIF(drops!$A$2:$A$21,$B1208)=0),"drop_id not on drops; ",""))</f>
        <v/>
      </c>
    </row>
    <row r="1209">
      <c r="A1209" s="9" t="n"/>
      <c r="E1209" s="10" t="n"/>
      <c r="G1209" s="25">
        <f>IF($A1209="","",IF(ISNA(MATCH($D1209,{"brand_sales","office_coordination","receiving_kitting","drop_day","checks_pickup","reporting_debriefs","admin_invoicing"},0)),"activity must be one of the seven keys; ","")&amp;IF(OR(N($E1209)&lt;=0,N($E1209)&gt;16),"hours?; ","")&amp;IF(AND($C1209&lt;&gt;"",$B1209=""),"campaign without drop_id; ","")&amp;IF(AND($B1209&lt;&gt;"",COUNTIF(drops!$A$2:$A$21,$B1209)=0),"drop_id not on drops; ",""))</f>
        <v/>
      </c>
    </row>
    <row r="1210">
      <c r="A1210" s="9" t="n"/>
      <c r="E1210" s="10" t="n"/>
      <c r="G1210" s="25">
        <f>IF($A1210="","",IF(ISNA(MATCH($D1210,{"brand_sales","office_coordination","receiving_kitting","drop_day","checks_pickup","reporting_debriefs","admin_invoicing"},0)),"activity must be one of the seven keys; ","")&amp;IF(OR(N($E1210)&lt;=0,N($E1210)&gt;16),"hours?; ","")&amp;IF(AND($C1210&lt;&gt;"",$B1210=""),"campaign without drop_id; ","")&amp;IF(AND($B1210&lt;&gt;"",COUNTIF(drops!$A$2:$A$21,$B1210)=0),"drop_id not on drops; ",""))</f>
        <v/>
      </c>
    </row>
    <row r="1211">
      <c r="A1211" s="9" t="n"/>
      <c r="E1211" s="10" t="n"/>
      <c r="G1211" s="25">
        <f>IF($A1211="","",IF(ISNA(MATCH($D1211,{"brand_sales","office_coordination","receiving_kitting","drop_day","checks_pickup","reporting_debriefs","admin_invoicing"},0)),"activity must be one of the seven keys; ","")&amp;IF(OR(N($E1211)&lt;=0,N($E1211)&gt;16),"hours?; ","")&amp;IF(AND($C1211&lt;&gt;"",$B1211=""),"campaign without drop_id; ","")&amp;IF(AND($B1211&lt;&gt;"",COUNTIF(drops!$A$2:$A$21,$B1211)=0),"drop_id not on drops; ",""))</f>
        <v/>
      </c>
    </row>
    <row r="1212">
      <c r="A1212" s="9" t="n"/>
      <c r="E1212" s="10" t="n"/>
      <c r="G1212" s="25">
        <f>IF($A1212="","",IF(ISNA(MATCH($D1212,{"brand_sales","office_coordination","receiving_kitting","drop_day","checks_pickup","reporting_debriefs","admin_invoicing"},0)),"activity must be one of the seven keys; ","")&amp;IF(OR(N($E1212)&lt;=0,N($E1212)&gt;16),"hours?; ","")&amp;IF(AND($C1212&lt;&gt;"",$B1212=""),"campaign without drop_id; ","")&amp;IF(AND($B1212&lt;&gt;"",COUNTIF(drops!$A$2:$A$21,$B1212)=0),"drop_id not on drops; ",""))</f>
        <v/>
      </c>
    </row>
    <row r="1213">
      <c r="A1213" s="9" t="n"/>
      <c r="E1213" s="10" t="n"/>
      <c r="G1213" s="25">
        <f>IF($A1213="","",IF(ISNA(MATCH($D1213,{"brand_sales","office_coordination","receiving_kitting","drop_day","checks_pickup","reporting_debriefs","admin_invoicing"},0)),"activity must be one of the seven keys; ","")&amp;IF(OR(N($E1213)&lt;=0,N($E1213)&gt;16),"hours?; ","")&amp;IF(AND($C1213&lt;&gt;"",$B1213=""),"campaign without drop_id; ","")&amp;IF(AND($B1213&lt;&gt;"",COUNTIF(drops!$A$2:$A$21,$B1213)=0),"drop_id not on drops; ",""))</f>
        <v/>
      </c>
    </row>
    <row r="1214">
      <c r="A1214" s="9" t="n"/>
      <c r="E1214" s="10" t="n"/>
      <c r="G1214" s="25">
        <f>IF($A1214="","",IF(ISNA(MATCH($D1214,{"brand_sales","office_coordination","receiving_kitting","drop_day","checks_pickup","reporting_debriefs","admin_invoicing"},0)),"activity must be one of the seven keys; ","")&amp;IF(OR(N($E1214)&lt;=0,N($E1214)&gt;16),"hours?; ","")&amp;IF(AND($C1214&lt;&gt;"",$B1214=""),"campaign without drop_id; ","")&amp;IF(AND($B1214&lt;&gt;"",COUNTIF(drops!$A$2:$A$21,$B1214)=0),"drop_id not on drops; ",""))</f>
        <v/>
      </c>
    </row>
    <row r="1215">
      <c r="A1215" s="9" t="n"/>
      <c r="E1215" s="10" t="n"/>
      <c r="G1215" s="25">
        <f>IF($A1215="","",IF(ISNA(MATCH($D1215,{"brand_sales","office_coordination","receiving_kitting","drop_day","checks_pickup","reporting_debriefs","admin_invoicing"},0)),"activity must be one of the seven keys; ","")&amp;IF(OR(N($E1215)&lt;=0,N($E1215)&gt;16),"hours?; ","")&amp;IF(AND($C1215&lt;&gt;"",$B1215=""),"campaign without drop_id; ","")&amp;IF(AND($B1215&lt;&gt;"",COUNTIF(drops!$A$2:$A$21,$B1215)=0),"drop_id not on drops; ",""))</f>
        <v/>
      </c>
    </row>
    <row r="1216">
      <c r="A1216" s="9" t="n"/>
      <c r="E1216" s="10" t="n"/>
      <c r="G1216" s="25">
        <f>IF($A1216="","",IF(ISNA(MATCH($D1216,{"brand_sales","office_coordination","receiving_kitting","drop_day","checks_pickup","reporting_debriefs","admin_invoicing"},0)),"activity must be one of the seven keys; ","")&amp;IF(OR(N($E1216)&lt;=0,N($E1216)&gt;16),"hours?; ","")&amp;IF(AND($C1216&lt;&gt;"",$B1216=""),"campaign without drop_id; ","")&amp;IF(AND($B1216&lt;&gt;"",COUNTIF(drops!$A$2:$A$21,$B1216)=0),"drop_id not on drops; ",""))</f>
        <v/>
      </c>
    </row>
    <row r="1217">
      <c r="A1217" s="9" t="n"/>
      <c r="E1217" s="10" t="n"/>
      <c r="G1217" s="25">
        <f>IF($A1217="","",IF(ISNA(MATCH($D1217,{"brand_sales","office_coordination","receiving_kitting","drop_day","checks_pickup","reporting_debriefs","admin_invoicing"},0)),"activity must be one of the seven keys; ","")&amp;IF(OR(N($E1217)&lt;=0,N($E1217)&gt;16),"hours?; ","")&amp;IF(AND($C1217&lt;&gt;"",$B1217=""),"campaign without drop_id; ","")&amp;IF(AND($B1217&lt;&gt;"",COUNTIF(drops!$A$2:$A$21,$B1217)=0),"drop_id not on drops; ",""))</f>
        <v/>
      </c>
    </row>
    <row r="1218">
      <c r="A1218" s="9" t="n"/>
      <c r="E1218" s="10" t="n"/>
      <c r="G1218" s="25">
        <f>IF($A1218="","",IF(ISNA(MATCH($D1218,{"brand_sales","office_coordination","receiving_kitting","drop_day","checks_pickup","reporting_debriefs","admin_invoicing"},0)),"activity must be one of the seven keys; ","")&amp;IF(OR(N($E1218)&lt;=0,N($E1218)&gt;16),"hours?; ","")&amp;IF(AND($C1218&lt;&gt;"",$B1218=""),"campaign without drop_id; ","")&amp;IF(AND($B1218&lt;&gt;"",COUNTIF(drops!$A$2:$A$21,$B1218)=0),"drop_id not on drops; ",""))</f>
        <v/>
      </c>
    </row>
    <row r="1219">
      <c r="A1219" s="9" t="n"/>
      <c r="E1219" s="10" t="n"/>
      <c r="G1219" s="25">
        <f>IF($A1219="","",IF(ISNA(MATCH($D1219,{"brand_sales","office_coordination","receiving_kitting","drop_day","checks_pickup","reporting_debriefs","admin_invoicing"},0)),"activity must be one of the seven keys; ","")&amp;IF(OR(N($E1219)&lt;=0,N($E1219)&gt;16),"hours?; ","")&amp;IF(AND($C1219&lt;&gt;"",$B1219=""),"campaign without drop_id; ","")&amp;IF(AND($B1219&lt;&gt;"",COUNTIF(drops!$A$2:$A$21,$B1219)=0),"drop_id not on drops; ",""))</f>
        <v/>
      </c>
    </row>
    <row r="1220">
      <c r="A1220" s="9" t="n"/>
      <c r="E1220" s="10" t="n"/>
      <c r="G1220" s="25">
        <f>IF($A1220="","",IF(ISNA(MATCH($D1220,{"brand_sales","office_coordination","receiving_kitting","drop_day","checks_pickup","reporting_debriefs","admin_invoicing"},0)),"activity must be one of the seven keys; ","")&amp;IF(OR(N($E1220)&lt;=0,N($E1220)&gt;16),"hours?; ","")&amp;IF(AND($C1220&lt;&gt;"",$B1220=""),"campaign without drop_id; ","")&amp;IF(AND($B1220&lt;&gt;"",COUNTIF(drops!$A$2:$A$21,$B1220)=0),"drop_id not on drops; ",""))</f>
        <v/>
      </c>
    </row>
    <row r="1221">
      <c r="A1221" s="9" t="n"/>
      <c r="E1221" s="10" t="n"/>
      <c r="G1221" s="25">
        <f>IF($A1221="","",IF(ISNA(MATCH($D1221,{"brand_sales","office_coordination","receiving_kitting","drop_day","checks_pickup","reporting_debriefs","admin_invoicing"},0)),"activity must be one of the seven keys; ","")&amp;IF(OR(N($E1221)&lt;=0,N($E1221)&gt;16),"hours?; ","")&amp;IF(AND($C1221&lt;&gt;"",$B1221=""),"campaign without drop_id; ","")&amp;IF(AND($B1221&lt;&gt;"",COUNTIF(drops!$A$2:$A$21,$B1221)=0),"drop_id not on drops; ",""))</f>
        <v/>
      </c>
    </row>
    <row r="1222">
      <c r="A1222" s="9" t="n"/>
      <c r="E1222" s="10" t="n"/>
      <c r="G1222" s="25">
        <f>IF($A1222="","",IF(ISNA(MATCH($D1222,{"brand_sales","office_coordination","receiving_kitting","drop_day","checks_pickup","reporting_debriefs","admin_invoicing"},0)),"activity must be one of the seven keys; ","")&amp;IF(OR(N($E1222)&lt;=0,N($E1222)&gt;16),"hours?; ","")&amp;IF(AND($C1222&lt;&gt;"",$B1222=""),"campaign without drop_id; ","")&amp;IF(AND($B1222&lt;&gt;"",COUNTIF(drops!$A$2:$A$21,$B1222)=0),"drop_id not on drops; ",""))</f>
        <v/>
      </c>
    </row>
    <row r="1223">
      <c r="A1223" s="9" t="n"/>
      <c r="E1223" s="10" t="n"/>
      <c r="G1223" s="25">
        <f>IF($A1223="","",IF(ISNA(MATCH($D1223,{"brand_sales","office_coordination","receiving_kitting","drop_day","checks_pickup","reporting_debriefs","admin_invoicing"},0)),"activity must be one of the seven keys; ","")&amp;IF(OR(N($E1223)&lt;=0,N($E1223)&gt;16),"hours?; ","")&amp;IF(AND($C1223&lt;&gt;"",$B1223=""),"campaign without drop_id; ","")&amp;IF(AND($B1223&lt;&gt;"",COUNTIF(drops!$A$2:$A$21,$B1223)=0),"drop_id not on drops; ",""))</f>
        <v/>
      </c>
    </row>
    <row r="1224">
      <c r="A1224" s="9" t="n"/>
      <c r="E1224" s="10" t="n"/>
      <c r="G1224" s="25">
        <f>IF($A1224="","",IF(ISNA(MATCH($D1224,{"brand_sales","office_coordination","receiving_kitting","drop_day","checks_pickup","reporting_debriefs","admin_invoicing"},0)),"activity must be one of the seven keys; ","")&amp;IF(OR(N($E1224)&lt;=0,N($E1224)&gt;16),"hours?; ","")&amp;IF(AND($C1224&lt;&gt;"",$B1224=""),"campaign without drop_id; ","")&amp;IF(AND($B1224&lt;&gt;"",COUNTIF(drops!$A$2:$A$21,$B1224)=0),"drop_id not on drops; ",""))</f>
        <v/>
      </c>
    </row>
    <row r="1225">
      <c r="A1225" s="9" t="n"/>
      <c r="E1225" s="10" t="n"/>
      <c r="G1225" s="25">
        <f>IF($A1225="","",IF(ISNA(MATCH($D1225,{"brand_sales","office_coordination","receiving_kitting","drop_day","checks_pickup","reporting_debriefs","admin_invoicing"},0)),"activity must be one of the seven keys; ","")&amp;IF(OR(N($E1225)&lt;=0,N($E1225)&gt;16),"hours?; ","")&amp;IF(AND($C1225&lt;&gt;"",$B1225=""),"campaign without drop_id; ","")&amp;IF(AND($B1225&lt;&gt;"",COUNTIF(drops!$A$2:$A$21,$B1225)=0),"drop_id not on drops; ",""))</f>
        <v/>
      </c>
    </row>
    <row r="1226">
      <c r="A1226" s="9" t="n"/>
      <c r="E1226" s="10" t="n"/>
      <c r="G1226" s="25">
        <f>IF($A1226="","",IF(ISNA(MATCH($D1226,{"brand_sales","office_coordination","receiving_kitting","drop_day","checks_pickup","reporting_debriefs","admin_invoicing"},0)),"activity must be one of the seven keys; ","")&amp;IF(OR(N($E1226)&lt;=0,N($E1226)&gt;16),"hours?; ","")&amp;IF(AND($C1226&lt;&gt;"",$B1226=""),"campaign without drop_id; ","")&amp;IF(AND($B1226&lt;&gt;"",COUNTIF(drops!$A$2:$A$21,$B1226)=0),"drop_id not on drops; ",""))</f>
        <v/>
      </c>
    </row>
    <row r="1227">
      <c r="A1227" s="9" t="n"/>
      <c r="E1227" s="10" t="n"/>
      <c r="G1227" s="25">
        <f>IF($A1227="","",IF(ISNA(MATCH($D1227,{"brand_sales","office_coordination","receiving_kitting","drop_day","checks_pickup","reporting_debriefs","admin_invoicing"},0)),"activity must be one of the seven keys; ","")&amp;IF(OR(N($E1227)&lt;=0,N($E1227)&gt;16),"hours?; ","")&amp;IF(AND($C1227&lt;&gt;"",$B1227=""),"campaign without drop_id; ","")&amp;IF(AND($B1227&lt;&gt;"",COUNTIF(drops!$A$2:$A$21,$B1227)=0),"drop_id not on drops; ",""))</f>
        <v/>
      </c>
    </row>
    <row r="1228">
      <c r="A1228" s="9" t="n"/>
      <c r="E1228" s="10" t="n"/>
      <c r="G1228" s="25">
        <f>IF($A1228="","",IF(ISNA(MATCH($D1228,{"brand_sales","office_coordination","receiving_kitting","drop_day","checks_pickup","reporting_debriefs","admin_invoicing"},0)),"activity must be one of the seven keys; ","")&amp;IF(OR(N($E1228)&lt;=0,N($E1228)&gt;16),"hours?; ","")&amp;IF(AND($C1228&lt;&gt;"",$B1228=""),"campaign without drop_id; ","")&amp;IF(AND($B1228&lt;&gt;"",COUNTIF(drops!$A$2:$A$21,$B1228)=0),"drop_id not on drops; ",""))</f>
        <v/>
      </c>
    </row>
    <row r="1229">
      <c r="A1229" s="9" t="n"/>
      <c r="E1229" s="10" t="n"/>
      <c r="G1229" s="25">
        <f>IF($A1229="","",IF(ISNA(MATCH($D1229,{"brand_sales","office_coordination","receiving_kitting","drop_day","checks_pickup","reporting_debriefs","admin_invoicing"},0)),"activity must be one of the seven keys; ","")&amp;IF(OR(N($E1229)&lt;=0,N($E1229)&gt;16),"hours?; ","")&amp;IF(AND($C1229&lt;&gt;"",$B1229=""),"campaign without drop_id; ","")&amp;IF(AND($B1229&lt;&gt;"",COUNTIF(drops!$A$2:$A$21,$B1229)=0),"drop_id not on drops; ",""))</f>
        <v/>
      </c>
    </row>
    <row r="1230">
      <c r="A1230" s="9" t="n"/>
      <c r="E1230" s="10" t="n"/>
      <c r="G1230" s="25">
        <f>IF($A1230="","",IF(ISNA(MATCH($D1230,{"brand_sales","office_coordination","receiving_kitting","drop_day","checks_pickup","reporting_debriefs","admin_invoicing"},0)),"activity must be one of the seven keys; ","")&amp;IF(OR(N($E1230)&lt;=0,N($E1230)&gt;16),"hours?; ","")&amp;IF(AND($C1230&lt;&gt;"",$B1230=""),"campaign without drop_id; ","")&amp;IF(AND($B1230&lt;&gt;"",COUNTIF(drops!$A$2:$A$21,$B1230)=0),"drop_id not on drops; ",""))</f>
        <v/>
      </c>
    </row>
    <row r="1231">
      <c r="A1231" s="9" t="n"/>
      <c r="E1231" s="10" t="n"/>
      <c r="G1231" s="25">
        <f>IF($A1231="","",IF(ISNA(MATCH($D1231,{"brand_sales","office_coordination","receiving_kitting","drop_day","checks_pickup","reporting_debriefs","admin_invoicing"},0)),"activity must be one of the seven keys; ","")&amp;IF(OR(N($E1231)&lt;=0,N($E1231)&gt;16),"hours?; ","")&amp;IF(AND($C1231&lt;&gt;"",$B1231=""),"campaign without drop_id; ","")&amp;IF(AND($B1231&lt;&gt;"",COUNTIF(drops!$A$2:$A$21,$B1231)=0),"drop_id not on drops; ",""))</f>
        <v/>
      </c>
    </row>
    <row r="1232">
      <c r="A1232" s="9" t="n"/>
      <c r="E1232" s="10" t="n"/>
      <c r="G1232" s="25">
        <f>IF($A1232="","",IF(ISNA(MATCH($D1232,{"brand_sales","office_coordination","receiving_kitting","drop_day","checks_pickup","reporting_debriefs","admin_invoicing"},0)),"activity must be one of the seven keys; ","")&amp;IF(OR(N($E1232)&lt;=0,N($E1232)&gt;16),"hours?; ","")&amp;IF(AND($C1232&lt;&gt;"",$B1232=""),"campaign without drop_id; ","")&amp;IF(AND($B1232&lt;&gt;"",COUNTIF(drops!$A$2:$A$21,$B1232)=0),"drop_id not on drops; ",""))</f>
        <v/>
      </c>
    </row>
    <row r="1233">
      <c r="A1233" s="9" t="n"/>
      <c r="E1233" s="10" t="n"/>
      <c r="G1233" s="25">
        <f>IF($A1233="","",IF(ISNA(MATCH($D1233,{"brand_sales","office_coordination","receiving_kitting","drop_day","checks_pickup","reporting_debriefs","admin_invoicing"},0)),"activity must be one of the seven keys; ","")&amp;IF(OR(N($E1233)&lt;=0,N($E1233)&gt;16),"hours?; ","")&amp;IF(AND($C1233&lt;&gt;"",$B1233=""),"campaign without drop_id; ","")&amp;IF(AND($B1233&lt;&gt;"",COUNTIF(drops!$A$2:$A$21,$B1233)=0),"drop_id not on drops; ",""))</f>
        <v/>
      </c>
    </row>
    <row r="1234">
      <c r="A1234" s="9" t="n"/>
      <c r="E1234" s="10" t="n"/>
      <c r="G1234" s="25">
        <f>IF($A1234="","",IF(ISNA(MATCH($D1234,{"brand_sales","office_coordination","receiving_kitting","drop_day","checks_pickup","reporting_debriefs","admin_invoicing"},0)),"activity must be one of the seven keys; ","")&amp;IF(OR(N($E1234)&lt;=0,N($E1234)&gt;16),"hours?; ","")&amp;IF(AND($C1234&lt;&gt;"",$B1234=""),"campaign without drop_id; ","")&amp;IF(AND($B1234&lt;&gt;"",COUNTIF(drops!$A$2:$A$21,$B1234)=0),"drop_id not on drops; ",""))</f>
        <v/>
      </c>
    </row>
    <row r="1235">
      <c r="A1235" s="9" t="n"/>
      <c r="E1235" s="10" t="n"/>
      <c r="G1235" s="25">
        <f>IF($A1235="","",IF(ISNA(MATCH($D1235,{"brand_sales","office_coordination","receiving_kitting","drop_day","checks_pickup","reporting_debriefs","admin_invoicing"},0)),"activity must be one of the seven keys; ","")&amp;IF(OR(N($E1235)&lt;=0,N($E1235)&gt;16),"hours?; ","")&amp;IF(AND($C1235&lt;&gt;"",$B1235=""),"campaign without drop_id; ","")&amp;IF(AND($B1235&lt;&gt;"",COUNTIF(drops!$A$2:$A$21,$B1235)=0),"drop_id not on drops; ",""))</f>
        <v/>
      </c>
    </row>
    <row r="1236">
      <c r="A1236" s="9" t="n"/>
      <c r="E1236" s="10" t="n"/>
      <c r="G1236" s="25">
        <f>IF($A1236="","",IF(ISNA(MATCH($D1236,{"brand_sales","office_coordination","receiving_kitting","drop_day","checks_pickup","reporting_debriefs","admin_invoicing"},0)),"activity must be one of the seven keys; ","")&amp;IF(OR(N($E1236)&lt;=0,N($E1236)&gt;16),"hours?; ","")&amp;IF(AND($C1236&lt;&gt;"",$B1236=""),"campaign without drop_id; ","")&amp;IF(AND($B1236&lt;&gt;"",COUNTIF(drops!$A$2:$A$21,$B1236)=0),"drop_id not on drops; ",""))</f>
        <v/>
      </c>
    </row>
    <row r="1237">
      <c r="A1237" s="9" t="n"/>
      <c r="E1237" s="10" t="n"/>
      <c r="G1237" s="25">
        <f>IF($A1237="","",IF(ISNA(MATCH($D1237,{"brand_sales","office_coordination","receiving_kitting","drop_day","checks_pickup","reporting_debriefs","admin_invoicing"},0)),"activity must be one of the seven keys; ","")&amp;IF(OR(N($E1237)&lt;=0,N($E1237)&gt;16),"hours?; ","")&amp;IF(AND($C1237&lt;&gt;"",$B1237=""),"campaign without drop_id; ","")&amp;IF(AND($B1237&lt;&gt;"",COUNTIF(drops!$A$2:$A$21,$B1237)=0),"drop_id not on drops; ",""))</f>
        <v/>
      </c>
    </row>
    <row r="1238">
      <c r="A1238" s="9" t="n"/>
      <c r="E1238" s="10" t="n"/>
      <c r="G1238" s="25">
        <f>IF($A1238="","",IF(ISNA(MATCH($D1238,{"brand_sales","office_coordination","receiving_kitting","drop_day","checks_pickup","reporting_debriefs","admin_invoicing"},0)),"activity must be one of the seven keys; ","")&amp;IF(OR(N($E1238)&lt;=0,N($E1238)&gt;16),"hours?; ","")&amp;IF(AND($C1238&lt;&gt;"",$B1238=""),"campaign without drop_id; ","")&amp;IF(AND($B1238&lt;&gt;"",COUNTIF(drops!$A$2:$A$21,$B1238)=0),"drop_id not on drops; ",""))</f>
        <v/>
      </c>
    </row>
    <row r="1239">
      <c r="A1239" s="9" t="n"/>
      <c r="E1239" s="10" t="n"/>
      <c r="G1239" s="25">
        <f>IF($A1239="","",IF(ISNA(MATCH($D1239,{"brand_sales","office_coordination","receiving_kitting","drop_day","checks_pickup","reporting_debriefs","admin_invoicing"},0)),"activity must be one of the seven keys; ","")&amp;IF(OR(N($E1239)&lt;=0,N($E1239)&gt;16),"hours?; ","")&amp;IF(AND($C1239&lt;&gt;"",$B1239=""),"campaign without drop_id; ","")&amp;IF(AND($B1239&lt;&gt;"",COUNTIF(drops!$A$2:$A$21,$B1239)=0),"drop_id not on drops; ",""))</f>
        <v/>
      </c>
    </row>
    <row r="1240">
      <c r="A1240" s="9" t="n"/>
      <c r="E1240" s="10" t="n"/>
      <c r="G1240" s="25">
        <f>IF($A1240="","",IF(ISNA(MATCH($D1240,{"brand_sales","office_coordination","receiving_kitting","drop_day","checks_pickup","reporting_debriefs","admin_invoicing"},0)),"activity must be one of the seven keys; ","")&amp;IF(OR(N($E1240)&lt;=0,N($E1240)&gt;16),"hours?; ","")&amp;IF(AND($C1240&lt;&gt;"",$B1240=""),"campaign without drop_id; ","")&amp;IF(AND($B1240&lt;&gt;"",COUNTIF(drops!$A$2:$A$21,$B1240)=0),"drop_id not on drops; ",""))</f>
        <v/>
      </c>
    </row>
    <row r="1241">
      <c r="A1241" s="9" t="n"/>
      <c r="E1241" s="10" t="n"/>
      <c r="G1241" s="25">
        <f>IF($A1241="","",IF(ISNA(MATCH($D1241,{"brand_sales","office_coordination","receiving_kitting","drop_day","checks_pickup","reporting_debriefs","admin_invoicing"},0)),"activity must be one of the seven keys; ","")&amp;IF(OR(N($E1241)&lt;=0,N($E1241)&gt;16),"hours?; ","")&amp;IF(AND($C1241&lt;&gt;"",$B1241=""),"campaign without drop_id; ","")&amp;IF(AND($B1241&lt;&gt;"",COUNTIF(drops!$A$2:$A$21,$B1241)=0),"drop_id not on drops; ",""))</f>
        <v/>
      </c>
    </row>
    <row r="1242">
      <c r="A1242" s="9" t="n"/>
      <c r="E1242" s="10" t="n"/>
      <c r="G1242" s="25">
        <f>IF($A1242="","",IF(ISNA(MATCH($D1242,{"brand_sales","office_coordination","receiving_kitting","drop_day","checks_pickup","reporting_debriefs","admin_invoicing"},0)),"activity must be one of the seven keys; ","")&amp;IF(OR(N($E1242)&lt;=0,N($E1242)&gt;16),"hours?; ","")&amp;IF(AND($C1242&lt;&gt;"",$B1242=""),"campaign without drop_id; ","")&amp;IF(AND($B1242&lt;&gt;"",COUNTIF(drops!$A$2:$A$21,$B1242)=0),"drop_id not on drops; ",""))</f>
        <v/>
      </c>
    </row>
    <row r="1243">
      <c r="A1243" s="9" t="n"/>
      <c r="E1243" s="10" t="n"/>
      <c r="G1243" s="25">
        <f>IF($A1243="","",IF(ISNA(MATCH($D1243,{"brand_sales","office_coordination","receiving_kitting","drop_day","checks_pickup","reporting_debriefs","admin_invoicing"},0)),"activity must be one of the seven keys; ","")&amp;IF(OR(N($E1243)&lt;=0,N($E1243)&gt;16),"hours?; ","")&amp;IF(AND($C1243&lt;&gt;"",$B1243=""),"campaign without drop_id; ","")&amp;IF(AND($B1243&lt;&gt;"",COUNTIF(drops!$A$2:$A$21,$B1243)=0),"drop_id not on drops; ",""))</f>
        <v/>
      </c>
    </row>
    <row r="1244">
      <c r="A1244" s="9" t="n"/>
      <c r="E1244" s="10" t="n"/>
      <c r="G1244" s="25">
        <f>IF($A1244="","",IF(ISNA(MATCH($D1244,{"brand_sales","office_coordination","receiving_kitting","drop_day","checks_pickup","reporting_debriefs","admin_invoicing"},0)),"activity must be one of the seven keys; ","")&amp;IF(OR(N($E1244)&lt;=0,N($E1244)&gt;16),"hours?; ","")&amp;IF(AND($C1244&lt;&gt;"",$B1244=""),"campaign without drop_id; ","")&amp;IF(AND($B1244&lt;&gt;"",COUNTIF(drops!$A$2:$A$21,$B1244)=0),"drop_id not on drops; ",""))</f>
        <v/>
      </c>
    </row>
    <row r="1245">
      <c r="A1245" s="9" t="n"/>
      <c r="E1245" s="10" t="n"/>
      <c r="G1245" s="25">
        <f>IF($A1245="","",IF(ISNA(MATCH($D1245,{"brand_sales","office_coordination","receiving_kitting","drop_day","checks_pickup","reporting_debriefs","admin_invoicing"},0)),"activity must be one of the seven keys; ","")&amp;IF(OR(N($E1245)&lt;=0,N($E1245)&gt;16),"hours?; ","")&amp;IF(AND($C1245&lt;&gt;"",$B1245=""),"campaign without drop_id; ","")&amp;IF(AND($B1245&lt;&gt;"",COUNTIF(drops!$A$2:$A$21,$B1245)=0),"drop_id not on drops; ",""))</f>
        <v/>
      </c>
    </row>
    <row r="1246">
      <c r="A1246" s="9" t="n"/>
      <c r="E1246" s="10" t="n"/>
      <c r="G1246" s="25">
        <f>IF($A1246="","",IF(ISNA(MATCH($D1246,{"brand_sales","office_coordination","receiving_kitting","drop_day","checks_pickup","reporting_debriefs","admin_invoicing"},0)),"activity must be one of the seven keys; ","")&amp;IF(OR(N($E1246)&lt;=0,N($E1246)&gt;16),"hours?; ","")&amp;IF(AND($C1246&lt;&gt;"",$B1246=""),"campaign without drop_id; ","")&amp;IF(AND($B1246&lt;&gt;"",COUNTIF(drops!$A$2:$A$21,$B1246)=0),"drop_id not on drops; ",""))</f>
        <v/>
      </c>
    </row>
    <row r="1247">
      <c r="A1247" s="9" t="n"/>
      <c r="E1247" s="10" t="n"/>
      <c r="G1247" s="25">
        <f>IF($A1247="","",IF(ISNA(MATCH($D1247,{"brand_sales","office_coordination","receiving_kitting","drop_day","checks_pickup","reporting_debriefs","admin_invoicing"},0)),"activity must be one of the seven keys; ","")&amp;IF(OR(N($E1247)&lt;=0,N($E1247)&gt;16),"hours?; ","")&amp;IF(AND($C1247&lt;&gt;"",$B1247=""),"campaign without drop_id; ","")&amp;IF(AND($B1247&lt;&gt;"",COUNTIF(drops!$A$2:$A$21,$B1247)=0),"drop_id not on drops; ",""))</f>
        <v/>
      </c>
    </row>
    <row r="1248">
      <c r="A1248" s="9" t="n"/>
      <c r="E1248" s="10" t="n"/>
      <c r="G1248" s="25">
        <f>IF($A1248="","",IF(ISNA(MATCH($D1248,{"brand_sales","office_coordination","receiving_kitting","drop_day","checks_pickup","reporting_debriefs","admin_invoicing"},0)),"activity must be one of the seven keys; ","")&amp;IF(OR(N($E1248)&lt;=0,N($E1248)&gt;16),"hours?; ","")&amp;IF(AND($C1248&lt;&gt;"",$B1248=""),"campaign without drop_id; ","")&amp;IF(AND($B1248&lt;&gt;"",COUNTIF(drops!$A$2:$A$21,$B1248)=0),"drop_id not on drops; ",""))</f>
        <v/>
      </c>
    </row>
    <row r="1249">
      <c r="A1249" s="9" t="n"/>
      <c r="E1249" s="10" t="n"/>
      <c r="G1249" s="25">
        <f>IF($A1249="","",IF(ISNA(MATCH($D1249,{"brand_sales","office_coordination","receiving_kitting","drop_day","checks_pickup","reporting_debriefs","admin_invoicing"},0)),"activity must be one of the seven keys; ","")&amp;IF(OR(N($E1249)&lt;=0,N($E1249)&gt;16),"hours?; ","")&amp;IF(AND($C1249&lt;&gt;"",$B1249=""),"campaign without drop_id; ","")&amp;IF(AND($B1249&lt;&gt;"",COUNTIF(drops!$A$2:$A$21,$B1249)=0),"drop_id not on drops; ",""))</f>
        <v/>
      </c>
    </row>
    <row r="1250">
      <c r="A1250" s="9" t="n"/>
      <c r="E1250" s="10" t="n"/>
      <c r="G1250" s="25">
        <f>IF($A1250="","",IF(ISNA(MATCH($D1250,{"brand_sales","office_coordination","receiving_kitting","drop_day","checks_pickup","reporting_debriefs","admin_invoicing"},0)),"activity must be one of the seven keys; ","")&amp;IF(OR(N($E1250)&lt;=0,N($E1250)&gt;16),"hours?; ","")&amp;IF(AND($C1250&lt;&gt;"",$B1250=""),"campaign without drop_id; ","")&amp;IF(AND($B1250&lt;&gt;"",COUNTIF(drops!$A$2:$A$21,$B1250)=0),"drop_id not on drops; ",""))</f>
        <v/>
      </c>
    </row>
    <row r="1251">
      <c r="A1251" s="9" t="n"/>
      <c r="E1251" s="10" t="n"/>
      <c r="G1251" s="25">
        <f>IF($A1251="","",IF(ISNA(MATCH($D1251,{"brand_sales","office_coordination","receiving_kitting","drop_day","checks_pickup","reporting_debriefs","admin_invoicing"},0)),"activity must be one of the seven keys; ","")&amp;IF(OR(N($E1251)&lt;=0,N($E1251)&gt;16),"hours?; ","")&amp;IF(AND($C1251&lt;&gt;"",$B1251=""),"campaign without drop_id; ","")&amp;IF(AND($B1251&lt;&gt;"",COUNTIF(drops!$A$2:$A$21,$B1251)=0),"drop_id not on drops; ",""))</f>
        <v/>
      </c>
    </row>
    <row r="1252">
      <c r="A1252" s="9" t="n"/>
      <c r="E1252" s="10" t="n"/>
      <c r="G1252" s="25">
        <f>IF($A1252="","",IF(ISNA(MATCH($D1252,{"brand_sales","office_coordination","receiving_kitting","drop_day","checks_pickup","reporting_debriefs","admin_invoicing"},0)),"activity must be one of the seven keys; ","")&amp;IF(OR(N($E1252)&lt;=0,N($E1252)&gt;16),"hours?; ","")&amp;IF(AND($C1252&lt;&gt;"",$B1252=""),"campaign without drop_id; ","")&amp;IF(AND($B1252&lt;&gt;"",COUNTIF(drops!$A$2:$A$21,$B1252)=0),"drop_id not on drops; ",""))</f>
        <v/>
      </c>
    </row>
    <row r="1253">
      <c r="A1253" s="9" t="n"/>
      <c r="E1253" s="10" t="n"/>
      <c r="G1253" s="25">
        <f>IF($A1253="","",IF(ISNA(MATCH($D1253,{"brand_sales","office_coordination","receiving_kitting","drop_day","checks_pickup","reporting_debriefs","admin_invoicing"},0)),"activity must be one of the seven keys; ","")&amp;IF(OR(N($E1253)&lt;=0,N($E1253)&gt;16),"hours?; ","")&amp;IF(AND($C1253&lt;&gt;"",$B1253=""),"campaign without drop_id; ","")&amp;IF(AND($B1253&lt;&gt;"",COUNTIF(drops!$A$2:$A$21,$B1253)=0),"drop_id not on drops; ",""))</f>
        <v/>
      </c>
    </row>
    <row r="1254">
      <c r="A1254" s="9" t="n"/>
      <c r="E1254" s="10" t="n"/>
      <c r="G1254" s="25">
        <f>IF($A1254="","",IF(ISNA(MATCH($D1254,{"brand_sales","office_coordination","receiving_kitting","drop_day","checks_pickup","reporting_debriefs","admin_invoicing"},0)),"activity must be one of the seven keys; ","")&amp;IF(OR(N($E1254)&lt;=0,N($E1254)&gt;16),"hours?; ","")&amp;IF(AND($C1254&lt;&gt;"",$B1254=""),"campaign without drop_id; ","")&amp;IF(AND($B1254&lt;&gt;"",COUNTIF(drops!$A$2:$A$21,$B1254)=0),"drop_id not on drops; ",""))</f>
        <v/>
      </c>
    </row>
    <row r="1255">
      <c r="A1255" s="9" t="n"/>
      <c r="E1255" s="10" t="n"/>
      <c r="G1255" s="25">
        <f>IF($A1255="","",IF(ISNA(MATCH($D1255,{"brand_sales","office_coordination","receiving_kitting","drop_day","checks_pickup","reporting_debriefs","admin_invoicing"},0)),"activity must be one of the seven keys; ","")&amp;IF(OR(N($E1255)&lt;=0,N($E1255)&gt;16),"hours?; ","")&amp;IF(AND($C1255&lt;&gt;"",$B1255=""),"campaign without drop_id; ","")&amp;IF(AND($B1255&lt;&gt;"",COUNTIF(drops!$A$2:$A$21,$B1255)=0),"drop_id not on drops; ",""))</f>
        <v/>
      </c>
    </row>
    <row r="1256">
      <c r="A1256" s="9" t="n"/>
      <c r="E1256" s="10" t="n"/>
      <c r="G1256" s="25">
        <f>IF($A1256="","",IF(ISNA(MATCH($D1256,{"brand_sales","office_coordination","receiving_kitting","drop_day","checks_pickup","reporting_debriefs","admin_invoicing"},0)),"activity must be one of the seven keys; ","")&amp;IF(OR(N($E1256)&lt;=0,N($E1256)&gt;16),"hours?; ","")&amp;IF(AND($C1256&lt;&gt;"",$B1256=""),"campaign without drop_id; ","")&amp;IF(AND($B1256&lt;&gt;"",COUNTIF(drops!$A$2:$A$21,$B1256)=0),"drop_id not on drops; ",""))</f>
        <v/>
      </c>
    </row>
    <row r="1257">
      <c r="A1257" s="9" t="n"/>
      <c r="E1257" s="10" t="n"/>
      <c r="G1257" s="25">
        <f>IF($A1257="","",IF(ISNA(MATCH($D1257,{"brand_sales","office_coordination","receiving_kitting","drop_day","checks_pickup","reporting_debriefs","admin_invoicing"},0)),"activity must be one of the seven keys; ","")&amp;IF(OR(N($E1257)&lt;=0,N($E1257)&gt;16),"hours?; ","")&amp;IF(AND($C1257&lt;&gt;"",$B1257=""),"campaign without drop_id; ","")&amp;IF(AND($B1257&lt;&gt;"",COUNTIF(drops!$A$2:$A$21,$B1257)=0),"drop_id not on drops; ",""))</f>
        <v/>
      </c>
    </row>
    <row r="1258">
      <c r="A1258" s="9" t="n"/>
      <c r="E1258" s="10" t="n"/>
      <c r="G1258" s="25">
        <f>IF($A1258="","",IF(ISNA(MATCH($D1258,{"brand_sales","office_coordination","receiving_kitting","drop_day","checks_pickup","reporting_debriefs","admin_invoicing"},0)),"activity must be one of the seven keys; ","")&amp;IF(OR(N($E1258)&lt;=0,N($E1258)&gt;16),"hours?; ","")&amp;IF(AND($C1258&lt;&gt;"",$B1258=""),"campaign without drop_id; ","")&amp;IF(AND($B1258&lt;&gt;"",COUNTIF(drops!$A$2:$A$21,$B1258)=0),"drop_id not on drops; ",""))</f>
        <v/>
      </c>
    </row>
    <row r="1259">
      <c r="A1259" s="9" t="n"/>
      <c r="E1259" s="10" t="n"/>
      <c r="G1259" s="25">
        <f>IF($A1259="","",IF(ISNA(MATCH($D1259,{"brand_sales","office_coordination","receiving_kitting","drop_day","checks_pickup","reporting_debriefs","admin_invoicing"},0)),"activity must be one of the seven keys; ","")&amp;IF(OR(N($E1259)&lt;=0,N($E1259)&gt;16),"hours?; ","")&amp;IF(AND($C1259&lt;&gt;"",$B1259=""),"campaign without drop_id; ","")&amp;IF(AND($B1259&lt;&gt;"",COUNTIF(drops!$A$2:$A$21,$B1259)=0),"drop_id not on drops; ",""))</f>
        <v/>
      </c>
    </row>
    <row r="1260">
      <c r="A1260" s="9" t="n"/>
      <c r="E1260" s="10" t="n"/>
      <c r="G1260" s="25">
        <f>IF($A1260="","",IF(ISNA(MATCH($D1260,{"brand_sales","office_coordination","receiving_kitting","drop_day","checks_pickup","reporting_debriefs","admin_invoicing"},0)),"activity must be one of the seven keys; ","")&amp;IF(OR(N($E1260)&lt;=0,N($E1260)&gt;16),"hours?; ","")&amp;IF(AND($C1260&lt;&gt;"",$B1260=""),"campaign without drop_id; ","")&amp;IF(AND($B1260&lt;&gt;"",COUNTIF(drops!$A$2:$A$21,$B1260)=0),"drop_id not on drops; ",""))</f>
        <v/>
      </c>
    </row>
    <row r="1261">
      <c r="A1261" s="9" t="n"/>
      <c r="E1261" s="10" t="n"/>
      <c r="G1261" s="25">
        <f>IF($A1261="","",IF(ISNA(MATCH($D1261,{"brand_sales","office_coordination","receiving_kitting","drop_day","checks_pickup","reporting_debriefs","admin_invoicing"},0)),"activity must be one of the seven keys; ","")&amp;IF(OR(N($E1261)&lt;=0,N($E1261)&gt;16),"hours?; ","")&amp;IF(AND($C1261&lt;&gt;"",$B1261=""),"campaign without drop_id; ","")&amp;IF(AND($B1261&lt;&gt;"",COUNTIF(drops!$A$2:$A$21,$B1261)=0),"drop_id not on drops; ",""))</f>
        <v/>
      </c>
    </row>
    <row r="1262">
      <c r="A1262" s="9" t="n"/>
      <c r="E1262" s="10" t="n"/>
      <c r="G1262" s="25">
        <f>IF($A1262="","",IF(ISNA(MATCH($D1262,{"brand_sales","office_coordination","receiving_kitting","drop_day","checks_pickup","reporting_debriefs","admin_invoicing"},0)),"activity must be one of the seven keys; ","")&amp;IF(OR(N($E1262)&lt;=0,N($E1262)&gt;16),"hours?; ","")&amp;IF(AND($C1262&lt;&gt;"",$B1262=""),"campaign without drop_id; ","")&amp;IF(AND($B1262&lt;&gt;"",COUNTIF(drops!$A$2:$A$21,$B1262)=0),"drop_id not on drops; ",""))</f>
        <v/>
      </c>
    </row>
    <row r="1263">
      <c r="A1263" s="9" t="n"/>
      <c r="E1263" s="10" t="n"/>
      <c r="G1263" s="25">
        <f>IF($A1263="","",IF(ISNA(MATCH($D1263,{"brand_sales","office_coordination","receiving_kitting","drop_day","checks_pickup","reporting_debriefs","admin_invoicing"},0)),"activity must be one of the seven keys; ","")&amp;IF(OR(N($E1263)&lt;=0,N($E1263)&gt;16),"hours?; ","")&amp;IF(AND($C1263&lt;&gt;"",$B1263=""),"campaign without drop_id; ","")&amp;IF(AND($B1263&lt;&gt;"",COUNTIF(drops!$A$2:$A$21,$B1263)=0),"drop_id not on drops; ",""))</f>
        <v/>
      </c>
    </row>
    <row r="1264">
      <c r="A1264" s="9" t="n"/>
      <c r="E1264" s="10" t="n"/>
      <c r="G1264" s="25">
        <f>IF($A1264="","",IF(ISNA(MATCH($D1264,{"brand_sales","office_coordination","receiving_kitting","drop_day","checks_pickup","reporting_debriefs","admin_invoicing"},0)),"activity must be one of the seven keys; ","")&amp;IF(OR(N($E1264)&lt;=0,N($E1264)&gt;16),"hours?; ","")&amp;IF(AND($C1264&lt;&gt;"",$B1264=""),"campaign without drop_id; ","")&amp;IF(AND($B1264&lt;&gt;"",COUNTIF(drops!$A$2:$A$21,$B1264)=0),"drop_id not on drops; ",""))</f>
        <v/>
      </c>
    </row>
    <row r="1265">
      <c r="A1265" s="9" t="n"/>
      <c r="E1265" s="10" t="n"/>
      <c r="G1265" s="25">
        <f>IF($A1265="","",IF(ISNA(MATCH($D1265,{"brand_sales","office_coordination","receiving_kitting","drop_day","checks_pickup","reporting_debriefs","admin_invoicing"},0)),"activity must be one of the seven keys; ","")&amp;IF(OR(N($E1265)&lt;=0,N($E1265)&gt;16),"hours?; ","")&amp;IF(AND($C1265&lt;&gt;"",$B1265=""),"campaign without drop_id; ","")&amp;IF(AND($B1265&lt;&gt;"",COUNTIF(drops!$A$2:$A$21,$B1265)=0),"drop_id not on drops; ",""))</f>
        <v/>
      </c>
    </row>
    <row r="1266">
      <c r="A1266" s="9" t="n"/>
      <c r="E1266" s="10" t="n"/>
      <c r="G1266" s="25">
        <f>IF($A1266="","",IF(ISNA(MATCH($D1266,{"brand_sales","office_coordination","receiving_kitting","drop_day","checks_pickup","reporting_debriefs","admin_invoicing"},0)),"activity must be one of the seven keys; ","")&amp;IF(OR(N($E1266)&lt;=0,N($E1266)&gt;16),"hours?; ","")&amp;IF(AND($C1266&lt;&gt;"",$B1266=""),"campaign without drop_id; ","")&amp;IF(AND($B1266&lt;&gt;"",COUNTIF(drops!$A$2:$A$21,$B1266)=0),"drop_id not on drops; ",""))</f>
        <v/>
      </c>
    </row>
    <row r="1267">
      <c r="A1267" s="9" t="n"/>
      <c r="E1267" s="10" t="n"/>
      <c r="G1267" s="25">
        <f>IF($A1267="","",IF(ISNA(MATCH($D1267,{"brand_sales","office_coordination","receiving_kitting","drop_day","checks_pickup","reporting_debriefs","admin_invoicing"},0)),"activity must be one of the seven keys; ","")&amp;IF(OR(N($E1267)&lt;=0,N($E1267)&gt;16),"hours?; ","")&amp;IF(AND($C1267&lt;&gt;"",$B1267=""),"campaign without drop_id; ","")&amp;IF(AND($B1267&lt;&gt;"",COUNTIF(drops!$A$2:$A$21,$B1267)=0),"drop_id not on drops; ",""))</f>
        <v/>
      </c>
    </row>
    <row r="1268">
      <c r="A1268" s="9" t="n"/>
      <c r="E1268" s="10" t="n"/>
      <c r="G1268" s="25">
        <f>IF($A1268="","",IF(ISNA(MATCH($D1268,{"brand_sales","office_coordination","receiving_kitting","drop_day","checks_pickup","reporting_debriefs","admin_invoicing"},0)),"activity must be one of the seven keys; ","")&amp;IF(OR(N($E1268)&lt;=0,N($E1268)&gt;16),"hours?; ","")&amp;IF(AND($C1268&lt;&gt;"",$B1268=""),"campaign without drop_id; ","")&amp;IF(AND($B1268&lt;&gt;"",COUNTIF(drops!$A$2:$A$21,$B1268)=0),"drop_id not on drops; ",""))</f>
        <v/>
      </c>
    </row>
    <row r="1269">
      <c r="A1269" s="9" t="n"/>
      <c r="E1269" s="10" t="n"/>
      <c r="G1269" s="25">
        <f>IF($A1269="","",IF(ISNA(MATCH($D1269,{"brand_sales","office_coordination","receiving_kitting","drop_day","checks_pickup","reporting_debriefs","admin_invoicing"},0)),"activity must be one of the seven keys; ","")&amp;IF(OR(N($E1269)&lt;=0,N($E1269)&gt;16),"hours?; ","")&amp;IF(AND($C1269&lt;&gt;"",$B1269=""),"campaign without drop_id; ","")&amp;IF(AND($B1269&lt;&gt;"",COUNTIF(drops!$A$2:$A$21,$B1269)=0),"drop_id not on drops; ",""))</f>
        <v/>
      </c>
    </row>
    <row r="1270">
      <c r="A1270" s="9" t="n"/>
      <c r="E1270" s="10" t="n"/>
      <c r="G1270" s="25">
        <f>IF($A1270="","",IF(ISNA(MATCH($D1270,{"brand_sales","office_coordination","receiving_kitting","drop_day","checks_pickup","reporting_debriefs","admin_invoicing"},0)),"activity must be one of the seven keys; ","")&amp;IF(OR(N($E1270)&lt;=0,N($E1270)&gt;16),"hours?; ","")&amp;IF(AND($C1270&lt;&gt;"",$B1270=""),"campaign without drop_id; ","")&amp;IF(AND($B1270&lt;&gt;"",COUNTIF(drops!$A$2:$A$21,$B1270)=0),"drop_id not on drops; ",""))</f>
        <v/>
      </c>
    </row>
    <row r="1271">
      <c r="A1271" s="9" t="n"/>
      <c r="E1271" s="10" t="n"/>
      <c r="G1271" s="25">
        <f>IF($A1271="","",IF(ISNA(MATCH($D1271,{"brand_sales","office_coordination","receiving_kitting","drop_day","checks_pickup","reporting_debriefs","admin_invoicing"},0)),"activity must be one of the seven keys; ","")&amp;IF(OR(N($E1271)&lt;=0,N($E1271)&gt;16),"hours?; ","")&amp;IF(AND($C1271&lt;&gt;"",$B1271=""),"campaign without drop_id; ","")&amp;IF(AND($B1271&lt;&gt;"",COUNTIF(drops!$A$2:$A$21,$B1271)=0),"drop_id not on drops; ",""))</f>
        <v/>
      </c>
    </row>
    <row r="1272">
      <c r="A1272" s="9" t="n"/>
      <c r="E1272" s="10" t="n"/>
      <c r="G1272" s="25">
        <f>IF($A1272="","",IF(ISNA(MATCH($D1272,{"brand_sales","office_coordination","receiving_kitting","drop_day","checks_pickup","reporting_debriefs","admin_invoicing"},0)),"activity must be one of the seven keys; ","")&amp;IF(OR(N($E1272)&lt;=0,N($E1272)&gt;16),"hours?; ","")&amp;IF(AND($C1272&lt;&gt;"",$B1272=""),"campaign without drop_id; ","")&amp;IF(AND($B1272&lt;&gt;"",COUNTIF(drops!$A$2:$A$21,$B1272)=0),"drop_id not on drops; ",""))</f>
        <v/>
      </c>
    </row>
    <row r="1273">
      <c r="A1273" s="9" t="n"/>
      <c r="E1273" s="10" t="n"/>
      <c r="G1273" s="25">
        <f>IF($A1273="","",IF(ISNA(MATCH($D1273,{"brand_sales","office_coordination","receiving_kitting","drop_day","checks_pickup","reporting_debriefs","admin_invoicing"},0)),"activity must be one of the seven keys; ","")&amp;IF(OR(N($E1273)&lt;=0,N($E1273)&gt;16),"hours?; ","")&amp;IF(AND($C1273&lt;&gt;"",$B1273=""),"campaign without drop_id; ","")&amp;IF(AND($B1273&lt;&gt;"",COUNTIF(drops!$A$2:$A$21,$B1273)=0),"drop_id not on drops; ",""))</f>
        <v/>
      </c>
    </row>
    <row r="1274">
      <c r="A1274" s="9" t="n"/>
      <c r="E1274" s="10" t="n"/>
      <c r="G1274" s="25">
        <f>IF($A1274="","",IF(ISNA(MATCH($D1274,{"brand_sales","office_coordination","receiving_kitting","drop_day","checks_pickup","reporting_debriefs","admin_invoicing"},0)),"activity must be one of the seven keys; ","")&amp;IF(OR(N($E1274)&lt;=0,N($E1274)&gt;16),"hours?; ","")&amp;IF(AND($C1274&lt;&gt;"",$B1274=""),"campaign without drop_id; ","")&amp;IF(AND($B1274&lt;&gt;"",COUNTIF(drops!$A$2:$A$21,$B1274)=0),"drop_id not on drops; ",""))</f>
        <v/>
      </c>
    </row>
    <row r="1275">
      <c r="A1275" s="9" t="n"/>
      <c r="E1275" s="10" t="n"/>
      <c r="G1275" s="25">
        <f>IF($A1275="","",IF(ISNA(MATCH($D1275,{"brand_sales","office_coordination","receiving_kitting","drop_day","checks_pickup","reporting_debriefs","admin_invoicing"},0)),"activity must be one of the seven keys; ","")&amp;IF(OR(N($E1275)&lt;=0,N($E1275)&gt;16),"hours?; ","")&amp;IF(AND($C1275&lt;&gt;"",$B1275=""),"campaign without drop_id; ","")&amp;IF(AND($B1275&lt;&gt;"",COUNTIF(drops!$A$2:$A$21,$B1275)=0),"drop_id not on drops; ",""))</f>
        <v/>
      </c>
    </row>
    <row r="1276">
      <c r="A1276" s="9" t="n"/>
      <c r="E1276" s="10" t="n"/>
      <c r="G1276" s="25">
        <f>IF($A1276="","",IF(ISNA(MATCH($D1276,{"brand_sales","office_coordination","receiving_kitting","drop_day","checks_pickup","reporting_debriefs","admin_invoicing"},0)),"activity must be one of the seven keys; ","")&amp;IF(OR(N($E1276)&lt;=0,N($E1276)&gt;16),"hours?; ","")&amp;IF(AND($C1276&lt;&gt;"",$B1276=""),"campaign without drop_id; ","")&amp;IF(AND($B1276&lt;&gt;"",COUNTIF(drops!$A$2:$A$21,$B1276)=0),"drop_id not on drops; ",""))</f>
        <v/>
      </c>
    </row>
    <row r="1277">
      <c r="A1277" s="9" t="n"/>
      <c r="E1277" s="10" t="n"/>
      <c r="G1277" s="25">
        <f>IF($A1277="","",IF(ISNA(MATCH($D1277,{"brand_sales","office_coordination","receiving_kitting","drop_day","checks_pickup","reporting_debriefs","admin_invoicing"},0)),"activity must be one of the seven keys; ","")&amp;IF(OR(N($E1277)&lt;=0,N($E1277)&gt;16),"hours?; ","")&amp;IF(AND($C1277&lt;&gt;"",$B1277=""),"campaign without drop_id; ","")&amp;IF(AND($B1277&lt;&gt;"",COUNTIF(drops!$A$2:$A$21,$B1277)=0),"drop_id not on drops; ",""))</f>
        <v/>
      </c>
    </row>
    <row r="1278">
      <c r="A1278" s="9" t="n"/>
      <c r="E1278" s="10" t="n"/>
      <c r="G1278" s="25">
        <f>IF($A1278="","",IF(ISNA(MATCH($D1278,{"brand_sales","office_coordination","receiving_kitting","drop_day","checks_pickup","reporting_debriefs","admin_invoicing"},0)),"activity must be one of the seven keys; ","")&amp;IF(OR(N($E1278)&lt;=0,N($E1278)&gt;16),"hours?; ","")&amp;IF(AND($C1278&lt;&gt;"",$B1278=""),"campaign without drop_id; ","")&amp;IF(AND($B1278&lt;&gt;"",COUNTIF(drops!$A$2:$A$21,$B1278)=0),"drop_id not on drops; ",""))</f>
        <v/>
      </c>
    </row>
    <row r="1279">
      <c r="A1279" s="9" t="n"/>
      <c r="E1279" s="10" t="n"/>
      <c r="G1279" s="25">
        <f>IF($A1279="","",IF(ISNA(MATCH($D1279,{"brand_sales","office_coordination","receiving_kitting","drop_day","checks_pickup","reporting_debriefs","admin_invoicing"},0)),"activity must be one of the seven keys; ","")&amp;IF(OR(N($E1279)&lt;=0,N($E1279)&gt;16),"hours?; ","")&amp;IF(AND($C1279&lt;&gt;"",$B1279=""),"campaign without drop_id; ","")&amp;IF(AND($B1279&lt;&gt;"",COUNTIF(drops!$A$2:$A$21,$B1279)=0),"drop_id not on drops; ",""))</f>
        <v/>
      </c>
    </row>
    <row r="1280">
      <c r="A1280" s="9" t="n"/>
      <c r="E1280" s="10" t="n"/>
      <c r="G1280" s="25">
        <f>IF($A1280="","",IF(ISNA(MATCH($D1280,{"brand_sales","office_coordination","receiving_kitting","drop_day","checks_pickup","reporting_debriefs","admin_invoicing"},0)),"activity must be one of the seven keys; ","")&amp;IF(OR(N($E1280)&lt;=0,N($E1280)&gt;16),"hours?; ","")&amp;IF(AND($C1280&lt;&gt;"",$B1280=""),"campaign without drop_id; ","")&amp;IF(AND($B1280&lt;&gt;"",COUNTIF(drops!$A$2:$A$21,$B1280)=0),"drop_id not on drops; ",""))</f>
        <v/>
      </c>
    </row>
    <row r="1281">
      <c r="A1281" s="9" t="n"/>
      <c r="E1281" s="10" t="n"/>
      <c r="G1281" s="25">
        <f>IF($A1281="","",IF(ISNA(MATCH($D1281,{"brand_sales","office_coordination","receiving_kitting","drop_day","checks_pickup","reporting_debriefs","admin_invoicing"},0)),"activity must be one of the seven keys; ","")&amp;IF(OR(N($E1281)&lt;=0,N($E1281)&gt;16),"hours?; ","")&amp;IF(AND($C1281&lt;&gt;"",$B1281=""),"campaign without drop_id; ","")&amp;IF(AND($B1281&lt;&gt;"",COUNTIF(drops!$A$2:$A$21,$B1281)=0),"drop_id not on drops; ",""))</f>
        <v/>
      </c>
    </row>
    <row r="1282">
      <c r="A1282" s="9" t="n"/>
      <c r="E1282" s="10" t="n"/>
      <c r="G1282" s="25">
        <f>IF($A1282="","",IF(ISNA(MATCH($D1282,{"brand_sales","office_coordination","receiving_kitting","drop_day","checks_pickup","reporting_debriefs","admin_invoicing"},0)),"activity must be one of the seven keys; ","")&amp;IF(OR(N($E1282)&lt;=0,N($E1282)&gt;16),"hours?; ","")&amp;IF(AND($C1282&lt;&gt;"",$B1282=""),"campaign without drop_id; ","")&amp;IF(AND($B1282&lt;&gt;"",COUNTIF(drops!$A$2:$A$21,$B1282)=0),"drop_id not on drops; ",""))</f>
        <v/>
      </c>
    </row>
    <row r="1283">
      <c r="A1283" s="9" t="n"/>
      <c r="E1283" s="10" t="n"/>
      <c r="G1283" s="25">
        <f>IF($A1283="","",IF(ISNA(MATCH($D1283,{"brand_sales","office_coordination","receiving_kitting","drop_day","checks_pickup","reporting_debriefs","admin_invoicing"},0)),"activity must be one of the seven keys; ","")&amp;IF(OR(N($E1283)&lt;=0,N($E1283)&gt;16),"hours?; ","")&amp;IF(AND($C1283&lt;&gt;"",$B1283=""),"campaign without drop_id; ","")&amp;IF(AND($B1283&lt;&gt;"",COUNTIF(drops!$A$2:$A$21,$B1283)=0),"drop_id not on drops; ",""))</f>
        <v/>
      </c>
    </row>
    <row r="1284">
      <c r="A1284" s="9" t="n"/>
      <c r="E1284" s="10" t="n"/>
      <c r="G1284" s="25">
        <f>IF($A1284="","",IF(ISNA(MATCH($D1284,{"brand_sales","office_coordination","receiving_kitting","drop_day","checks_pickup","reporting_debriefs","admin_invoicing"},0)),"activity must be one of the seven keys; ","")&amp;IF(OR(N($E1284)&lt;=0,N($E1284)&gt;16),"hours?; ","")&amp;IF(AND($C1284&lt;&gt;"",$B1284=""),"campaign without drop_id; ","")&amp;IF(AND($B1284&lt;&gt;"",COUNTIF(drops!$A$2:$A$21,$B1284)=0),"drop_id not on drops; ",""))</f>
        <v/>
      </c>
    </row>
    <row r="1285">
      <c r="A1285" s="9" t="n"/>
      <c r="E1285" s="10" t="n"/>
      <c r="G1285" s="25">
        <f>IF($A1285="","",IF(ISNA(MATCH($D1285,{"brand_sales","office_coordination","receiving_kitting","drop_day","checks_pickup","reporting_debriefs","admin_invoicing"},0)),"activity must be one of the seven keys; ","")&amp;IF(OR(N($E1285)&lt;=0,N($E1285)&gt;16),"hours?; ","")&amp;IF(AND($C1285&lt;&gt;"",$B1285=""),"campaign without drop_id; ","")&amp;IF(AND($B1285&lt;&gt;"",COUNTIF(drops!$A$2:$A$21,$B1285)=0),"drop_id not on drops; ",""))</f>
        <v/>
      </c>
    </row>
    <row r="1286">
      <c r="A1286" s="9" t="n"/>
      <c r="E1286" s="10" t="n"/>
      <c r="G1286" s="25">
        <f>IF($A1286="","",IF(ISNA(MATCH($D1286,{"brand_sales","office_coordination","receiving_kitting","drop_day","checks_pickup","reporting_debriefs","admin_invoicing"},0)),"activity must be one of the seven keys; ","")&amp;IF(OR(N($E1286)&lt;=0,N($E1286)&gt;16),"hours?; ","")&amp;IF(AND($C1286&lt;&gt;"",$B1286=""),"campaign without drop_id; ","")&amp;IF(AND($B1286&lt;&gt;"",COUNTIF(drops!$A$2:$A$21,$B1286)=0),"drop_id not on drops; ",""))</f>
        <v/>
      </c>
    </row>
    <row r="1287">
      <c r="A1287" s="9" t="n"/>
      <c r="E1287" s="10" t="n"/>
      <c r="G1287" s="25">
        <f>IF($A1287="","",IF(ISNA(MATCH($D1287,{"brand_sales","office_coordination","receiving_kitting","drop_day","checks_pickup","reporting_debriefs","admin_invoicing"},0)),"activity must be one of the seven keys; ","")&amp;IF(OR(N($E1287)&lt;=0,N($E1287)&gt;16),"hours?; ","")&amp;IF(AND($C1287&lt;&gt;"",$B1287=""),"campaign without drop_id; ","")&amp;IF(AND($B1287&lt;&gt;"",COUNTIF(drops!$A$2:$A$21,$B1287)=0),"drop_id not on drops; ",""))</f>
        <v/>
      </c>
    </row>
    <row r="1288">
      <c r="A1288" s="9" t="n"/>
      <c r="E1288" s="10" t="n"/>
      <c r="G1288" s="25">
        <f>IF($A1288="","",IF(ISNA(MATCH($D1288,{"brand_sales","office_coordination","receiving_kitting","drop_day","checks_pickup","reporting_debriefs","admin_invoicing"},0)),"activity must be one of the seven keys; ","")&amp;IF(OR(N($E1288)&lt;=0,N($E1288)&gt;16),"hours?; ","")&amp;IF(AND($C1288&lt;&gt;"",$B1288=""),"campaign without drop_id; ","")&amp;IF(AND($B1288&lt;&gt;"",COUNTIF(drops!$A$2:$A$21,$B1288)=0),"drop_id not on drops; ",""))</f>
        <v/>
      </c>
    </row>
    <row r="1289">
      <c r="A1289" s="9" t="n"/>
      <c r="E1289" s="10" t="n"/>
      <c r="G1289" s="25">
        <f>IF($A1289="","",IF(ISNA(MATCH($D1289,{"brand_sales","office_coordination","receiving_kitting","drop_day","checks_pickup","reporting_debriefs","admin_invoicing"},0)),"activity must be one of the seven keys; ","")&amp;IF(OR(N($E1289)&lt;=0,N($E1289)&gt;16),"hours?; ","")&amp;IF(AND($C1289&lt;&gt;"",$B1289=""),"campaign without drop_id; ","")&amp;IF(AND($B1289&lt;&gt;"",COUNTIF(drops!$A$2:$A$21,$B1289)=0),"drop_id not on drops; ",""))</f>
        <v/>
      </c>
    </row>
    <row r="1290">
      <c r="A1290" s="9" t="n"/>
      <c r="E1290" s="10" t="n"/>
      <c r="G1290" s="25">
        <f>IF($A1290="","",IF(ISNA(MATCH($D1290,{"brand_sales","office_coordination","receiving_kitting","drop_day","checks_pickup","reporting_debriefs","admin_invoicing"},0)),"activity must be one of the seven keys; ","")&amp;IF(OR(N($E1290)&lt;=0,N($E1290)&gt;16),"hours?; ","")&amp;IF(AND($C1290&lt;&gt;"",$B1290=""),"campaign without drop_id; ","")&amp;IF(AND($B1290&lt;&gt;"",COUNTIF(drops!$A$2:$A$21,$B1290)=0),"drop_id not on drops; ",""))</f>
        <v/>
      </c>
    </row>
    <row r="1291">
      <c r="A1291" s="9" t="n"/>
      <c r="E1291" s="10" t="n"/>
      <c r="G1291" s="25">
        <f>IF($A1291="","",IF(ISNA(MATCH($D1291,{"brand_sales","office_coordination","receiving_kitting","drop_day","checks_pickup","reporting_debriefs","admin_invoicing"},0)),"activity must be one of the seven keys; ","")&amp;IF(OR(N($E1291)&lt;=0,N($E1291)&gt;16),"hours?; ","")&amp;IF(AND($C1291&lt;&gt;"",$B1291=""),"campaign without drop_id; ","")&amp;IF(AND($B1291&lt;&gt;"",COUNTIF(drops!$A$2:$A$21,$B1291)=0),"drop_id not on drops; ",""))</f>
        <v/>
      </c>
    </row>
    <row r="1292">
      <c r="A1292" s="9" t="n"/>
      <c r="E1292" s="10" t="n"/>
      <c r="G1292" s="25">
        <f>IF($A1292="","",IF(ISNA(MATCH($D1292,{"brand_sales","office_coordination","receiving_kitting","drop_day","checks_pickup","reporting_debriefs","admin_invoicing"},0)),"activity must be one of the seven keys; ","")&amp;IF(OR(N($E1292)&lt;=0,N($E1292)&gt;16),"hours?; ","")&amp;IF(AND($C1292&lt;&gt;"",$B1292=""),"campaign without drop_id; ","")&amp;IF(AND($B1292&lt;&gt;"",COUNTIF(drops!$A$2:$A$21,$B1292)=0),"drop_id not on drops; ",""))</f>
        <v/>
      </c>
    </row>
    <row r="1293">
      <c r="A1293" s="9" t="n"/>
      <c r="E1293" s="10" t="n"/>
      <c r="G1293" s="25">
        <f>IF($A1293="","",IF(ISNA(MATCH($D1293,{"brand_sales","office_coordination","receiving_kitting","drop_day","checks_pickup","reporting_debriefs","admin_invoicing"},0)),"activity must be one of the seven keys; ","")&amp;IF(OR(N($E1293)&lt;=0,N($E1293)&gt;16),"hours?; ","")&amp;IF(AND($C1293&lt;&gt;"",$B1293=""),"campaign without drop_id; ","")&amp;IF(AND($B1293&lt;&gt;"",COUNTIF(drops!$A$2:$A$21,$B1293)=0),"drop_id not on drops; ",""))</f>
        <v/>
      </c>
    </row>
    <row r="1294">
      <c r="A1294" s="9" t="n"/>
      <c r="E1294" s="10" t="n"/>
      <c r="G1294" s="25">
        <f>IF($A1294="","",IF(ISNA(MATCH($D1294,{"brand_sales","office_coordination","receiving_kitting","drop_day","checks_pickup","reporting_debriefs","admin_invoicing"},0)),"activity must be one of the seven keys; ","")&amp;IF(OR(N($E1294)&lt;=0,N($E1294)&gt;16),"hours?; ","")&amp;IF(AND($C1294&lt;&gt;"",$B1294=""),"campaign without drop_id; ","")&amp;IF(AND($B1294&lt;&gt;"",COUNTIF(drops!$A$2:$A$21,$B1294)=0),"drop_id not on drops; ",""))</f>
        <v/>
      </c>
    </row>
    <row r="1295">
      <c r="A1295" s="9" t="n"/>
      <c r="E1295" s="10" t="n"/>
      <c r="G1295" s="25">
        <f>IF($A1295="","",IF(ISNA(MATCH($D1295,{"brand_sales","office_coordination","receiving_kitting","drop_day","checks_pickup","reporting_debriefs","admin_invoicing"},0)),"activity must be one of the seven keys; ","")&amp;IF(OR(N($E1295)&lt;=0,N($E1295)&gt;16),"hours?; ","")&amp;IF(AND($C1295&lt;&gt;"",$B1295=""),"campaign without drop_id; ","")&amp;IF(AND($B1295&lt;&gt;"",COUNTIF(drops!$A$2:$A$21,$B1295)=0),"drop_id not on drops; ",""))</f>
        <v/>
      </c>
    </row>
    <row r="1296">
      <c r="A1296" s="9" t="n"/>
      <c r="E1296" s="10" t="n"/>
      <c r="G1296" s="25">
        <f>IF($A1296="","",IF(ISNA(MATCH($D1296,{"brand_sales","office_coordination","receiving_kitting","drop_day","checks_pickup","reporting_debriefs","admin_invoicing"},0)),"activity must be one of the seven keys; ","")&amp;IF(OR(N($E1296)&lt;=0,N($E1296)&gt;16),"hours?; ","")&amp;IF(AND($C1296&lt;&gt;"",$B1296=""),"campaign without drop_id; ","")&amp;IF(AND($B1296&lt;&gt;"",COUNTIF(drops!$A$2:$A$21,$B1296)=0),"drop_id not on drops; ",""))</f>
        <v/>
      </c>
    </row>
    <row r="1297">
      <c r="A1297" s="9" t="n"/>
      <c r="E1297" s="10" t="n"/>
      <c r="G1297" s="25">
        <f>IF($A1297="","",IF(ISNA(MATCH($D1297,{"brand_sales","office_coordination","receiving_kitting","drop_day","checks_pickup","reporting_debriefs","admin_invoicing"},0)),"activity must be one of the seven keys; ","")&amp;IF(OR(N($E1297)&lt;=0,N($E1297)&gt;16),"hours?; ","")&amp;IF(AND($C1297&lt;&gt;"",$B1297=""),"campaign without drop_id; ","")&amp;IF(AND($B1297&lt;&gt;"",COUNTIF(drops!$A$2:$A$21,$B1297)=0),"drop_id not on drops; ",""))</f>
        <v/>
      </c>
    </row>
    <row r="1298">
      <c r="A1298" s="9" t="n"/>
      <c r="E1298" s="10" t="n"/>
      <c r="G1298" s="25">
        <f>IF($A1298="","",IF(ISNA(MATCH($D1298,{"brand_sales","office_coordination","receiving_kitting","drop_day","checks_pickup","reporting_debriefs","admin_invoicing"},0)),"activity must be one of the seven keys; ","")&amp;IF(OR(N($E1298)&lt;=0,N($E1298)&gt;16),"hours?; ","")&amp;IF(AND($C1298&lt;&gt;"",$B1298=""),"campaign without drop_id; ","")&amp;IF(AND($B1298&lt;&gt;"",COUNTIF(drops!$A$2:$A$21,$B1298)=0),"drop_id not on drops; ",""))</f>
        <v/>
      </c>
    </row>
    <row r="1299">
      <c r="A1299" s="9" t="n"/>
      <c r="E1299" s="10" t="n"/>
      <c r="G1299" s="25">
        <f>IF($A1299="","",IF(ISNA(MATCH($D1299,{"brand_sales","office_coordination","receiving_kitting","drop_day","checks_pickup","reporting_debriefs","admin_invoicing"},0)),"activity must be one of the seven keys; ","")&amp;IF(OR(N($E1299)&lt;=0,N($E1299)&gt;16),"hours?; ","")&amp;IF(AND($C1299&lt;&gt;"",$B1299=""),"campaign without drop_id; ","")&amp;IF(AND($B1299&lt;&gt;"",COUNTIF(drops!$A$2:$A$21,$B1299)=0),"drop_id not on drops; ",""))</f>
        <v/>
      </c>
    </row>
    <row r="1300">
      <c r="A1300" s="9" t="n"/>
      <c r="E1300" s="10" t="n"/>
      <c r="G1300" s="25">
        <f>IF($A1300="","",IF(ISNA(MATCH($D1300,{"brand_sales","office_coordination","receiving_kitting","drop_day","checks_pickup","reporting_debriefs","admin_invoicing"},0)),"activity must be one of the seven keys; ","")&amp;IF(OR(N($E1300)&lt;=0,N($E1300)&gt;16),"hours?; ","")&amp;IF(AND($C1300&lt;&gt;"",$B1300=""),"campaign without drop_id; ","")&amp;IF(AND($B1300&lt;&gt;"",COUNTIF(drops!$A$2:$A$21,$B1300)=0),"drop_id not on drops; ",""))</f>
        <v/>
      </c>
    </row>
    <row r="1301">
      <c r="A1301" s="9" t="n"/>
      <c r="E1301" s="10" t="n"/>
      <c r="G1301" s="25">
        <f>IF($A1301="","",IF(ISNA(MATCH($D1301,{"brand_sales","office_coordination","receiving_kitting","drop_day","checks_pickup","reporting_debriefs","admin_invoicing"},0)),"activity must be one of the seven keys; ","")&amp;IF(OR(N($E1301)&lt;=0,N($E1301)&gt;16),"hours?; ","")&amp;IF(AND($C1301&lt;&gt;"",$B1301=""),"campaign without drop_id; ","")&amp;IF(AND($B1301&lt;&gt;"",COUNTIF(drops!$A$2:$A$21,$B1301)=0),"drop_id not on drops; ",""))</f>
        <v/>
      </c>
    </row>
    <row r="1302">
      <c r="A1302" s="9" t="n"/>
      <c r="E1302" s="10" t="n"/>
      <c r="G1302" s="25">
        <f>IF($A1302="","",IF(ISNA(MATCH($D1302,{"brand_sales","office_coordination","receiving_kitting","drop_day","checks_pickup","reporting_debriefs","admin_invoicing"},0)),"activity must be one of the seven keys; ","")&amp;IF(OR(N($E1302)&lt;=0,N($E1302)&gt;16),"hours?; ","")&amp;IF(AND($C1302&lt;&gt;"",$B1302=""),"campaign without drop_id; ","")&amp;IF(AND($B1302&lt;&gt;"",COUNTIF(drops!$A$2:$A$21,$B1302)=0),"drop_id not on drops; ",""))</f>
        <v/>
      </c>
    </row>
    <row r="1303">
      <c r="A1303" s="9" t="n"/>
      <c r="E1303" s="10" t="n"/>
      <c r="G1303" s="25">
        <f>IF($A1303="","",IF(ISNA(MATCH($D1303,{"brand_sales","office_coordination","receiving_kitting","drop_day","checks_pickup","reporting_debriefs","admin_invoicing"},0)),"activity must be one of the seven keys; ","")&amp;IF(OR(N($E1303)&lt;=0,N($E1303)&gt;16),"hours?; ","")&amp;IF(AND($C1303&lt;&gt;"",$B1303=""),"campaign without drop_id; ","")&amp;IF(AND($B1303&lt;&gt;"",COUNTIF(drops!$A$2:$A$21,$B1303)=0),"drop_id not on drops; ",""))</f>
        <v/>
      </c>
    </row>
    <row r="1304">
      <c r="A1304" s="9" t="n"/>
      <c r="E1304" s="10" t="n"/>
      <c r="G1304" s="25">
        <f>IF($A1304="","",IF(ISNA(MATCH($D1304,{"brand_sales","office_coordination","receiving_kitting","drop_day","checks_pickup","reporting_debriefs","admin_invoicing"},0)),"activity must be one of the seven keys; ","")&amp;IF(OR(N($E1304)&lt;=0,N($E1304)&gt;16),"hours?; ","")&amp;IF(AND($C1304&lt;&gt;"",$B1304=""),"campaign without drop_id; ","")&amp;IF(AND($B1304&lt;&gt;"",COUNTIF(drops!$A$2:$A$21,$B1304)=0),"drop_id not on drops; ",""))</f>
        <v/>
      </c>
    </row>
    <row r="1305">
      <c r="A1305" s="9" t="n"/>
      <c r="E1305" s="10" t="n"/>
      <c r="G1305" s="25">
        <f>IF($A1305="","",IF(ISNA(MATCH($D1305,{"brand_sales","office_coordination","receiving_kitting","drop_day","checks_pickup","reporting_debriefs","admin_invoicing"},0)),"activity must be one of the seven keys; ","")&amp;IF(OR(N($E1305)&lt;=0,N($E1305)&gt;16),"hours?; ","")&amp;IF(AND($C1305&lt;&gt;"",$B1305=""),"campaign without drop_id; ","")&amp;IF(AND($B1305&lt;&gt;"",COUNTIF(drops!$A$2:$A$21,$B1305)=0),"drop_id not on drops; ",""))</f>
        <v/>
      </c>
    </row>
    <row r="1306">
      <c r="A1306" s="9" t="n"/>
      <c r="E1306" s="10" t="n"/>
      <c r="G1306" s="25">
        <f>IF($A1306="","",IF(ISNA(MATCH($D1306,{"brand_sales","office_coordination","receiving_kitting","drop_day","checks_pickup","reporting_debriefs","admin_invoicing"},0)),"activity must be one of the seven keys; ","")&amp;IF(OR(N($E1306)&lt;=0,N($E1306)&gt;16),"hours?; ","")&amp;IF(AND($C1306&lt;&gt;"",$B1306=""),"campaign without drop_id; ","")&amp;IF(AND($B1306&lt;&gt;"",COUNTIF(drops!$A$2:$A$21,$B1306)=0),"drop_id not on drops; ",""))</f>
        <v/>
      </c>
    </row>
    <row r="1307">
      <c r="A1307" s="9" t="n"/>
      <c r="E1307" s="10" t="n"/>
      <c r="G1307" s="25">
        <f>IF($A1307="","",IF(ISNA(MATCH($D1307,{"brand_sales","office_coordination","receiving_kitting","drop_day","checks_pickup","reporting_debriefs","admin_invoicing"},0)),"activity must be one of the seven keys; ","")&amp;IF(OR(N($E1307)&lt;=0,N($E1307)&gt;16),"hours?; ","")&amp;IF(AND($C1307&lt;&gt;"",$B1307=""),"campaign without drop_id; ","")&amp;IF(AND($B1307&lt;&gt;"",COUNTIF(drops!$A$2:$A$21,$B1307)=0),"drop_id not on drops; ",""))</f>
        <v/>
      </c>
    </row>
    <row r="1308">
      <c r="A1308" s="9" t="n"/>
      <c r="E1308" s="10" t="n"/>
      <c r="G1308" s="25">
        <f>IF($A1308="","",IF(ISNA(MATCH($D1308,{"brand_sales","office_coordination","receiving_kitting","drop_day","checks_pickup","reporting_debriefs","admin_invoicing"},0)),"activity must be one of the seven keys; ","")&amp;IF(OR(N($E1308)&lt;=0,N($E1308)&gt;16),"hours?; ","")&amp;IF(AND($C1308&lt;&gt;"",$B1308=""),"campaign without drop_id; ","")&amp;IF(AND($B1308&lt;&gt;"",COUNTIF(drops!$A$2:$A$21,$B1308)=0),"drop_id not on drops; ",""))</f>
        <v/>
      </c>
    </row>
    <row r="1309">
      <c r="A1309" s="9" t="n"/>
      <c r="E1309" s="10" t="n"/>
      <c r="G1309" s="25">
        <f>IF($A1309="","",IF(ISNA(MATCH($D1309,{"brand_sales","office_coordination","receiving_kitting","drop_day","checks_pickup","reporting_debriefs","admin_invoicing"},0)),"activity must be one of the seven keys; ","")&amp;IF(OR(N($E1309)&lt;=0,N($E1309)&gt;16),"hours?; ","")&amp;IF(AND($C1309&lt;&gt;"",$B1309=""),"campaign without drop_id; ","")&amp;IF(AND($B1309&lt;&gt;"",COUNTIF(drops!$A$2:$A$21,$B1309)=0),"drop_id not on drops; ",""))</f>
        <v/>
      </c>
    </row>
    <row r="1310">
      <c r="A1310" s="9" t="n"/>
      <c r="E1310" s="10" t="n"/>
      <c r="G1310" s="25">
        <f>IF($A1310="","",IF(ISNA(MATCH($D1310,{"brand_sales","office_coordination","receiving_kitting","drop_day","checks_pickup","reporting_debriefs","admin_invoicing"},0)),"activity must be one of the seven keys; ","")&amp;IF(OR(N($E1310)&lt;=0,N($E1310)&gt;16),"hours?; ","")&amp;IF(AND($C1310&lt;&gt;"",$B1310=""),"campaign without drop_id; ","")&amp;IF(AND($B1310&lt;&gt;"",COUNTIF(drops!$A$2:$A$21,$B1310)=0),"drop_id not on drops; ",""))</f>
        <v/>
      </c>
    </row>
    <row r="1311">
      <c r="A1311" s="9" t="n"/>
      <c r="E1311" s="10" t="n"/>
      <c r="G1311" s="25">
        <f>IF($A1311="","",IF(ISNA(MATCH($D1311,{"brand_sales","office_coordination","receiving_kitting","drop_day","checks_pickup","reporting_debriefs","admin_invoicing"},0)),"activity must be one of the seven keys; ","")&amp;IF(OR(N($E1311)&lt;=0,N($E1311)&gt;16),"hours?; ","")&amp;IF(AND($C1311&lt;&gt;"",$B1311=""),"campaign without drop_id; ","")&amp;IF(AND($B1311&lt;&gt;"",COUNTIF(drops!$A$2:$A$21,$B1311)=0),"drop_id not on drops; ",""))</f>
        <v/>
      </c>
    </row>
    <row r="1312">
      <c r="A1312" s="9" t="n"/>
      <c r="E1312" s="10" t="n"/>
      <c r="G1312" s="25">
        <f>IF($A1312="","",IF(ISNA(MATCH($D1312,{"brand_sales","office_coordination","receiving_kitting","drop_day","checks_pickup","reporting_debriefs","admin_invoicing"},0)),"activity must be one of the seven keys; ","")&amp;IF(OR(N($E1312)&lt;=0,N($E1312)&gt;16),"hours?; ","")&amp;IF(AND($C1312&lt;&gt;"",$B1312=""),"campaign without drop_id; ","")&amp;IF(AND($B1312&lt;&gt;"",COUNTIF(drops!$A$2:$A$21,$B1312)=0),"drop_id not on drops; ",""))</f>
        <v/>
      </c>
    </row>
    <row r="1313">
      <c r="A1313" s="9" t="n"/>
      <c r="E1313" s="10" t="n"/>
      <c r="G1313" s="25">
        <f>IF($A1313="","",IF(ISNA(MATCH($D1313,{"brand_sales","office_coordination","receiving_kitting","drop_day","checks_pickup","reporting_debriefs","admin_invoicing"},0)),"activity must be one of the seven keys; ","")&amp;IF(OR(N($E1313)&lt;=0,N($E1313)&gt;16),"hours?; ","")&amp;IF(AND($C1313&lt;&gt;"",$B1313=""),"campaign without drop_id; ","")&amp;IF(AND($B1313&lt;&gt;"",COUNTIF(drops!$A$2:$A$21,$B1313)=0),"drop_id not on drops; ",""))</f>
        <v/>
      </c>
    </row>
    <row r="1314">
      <c r="A1314" s="9" t="n"/>
      <c r="E1314" s="10" t="n"/>
      <c r="G1314" s="25">
        <f>IF($A1314="","",IF(ISNA(MATCH($D1314,{"brand_sales","office_coordination","receiving_kitting","drop_day","checks_pickup","reporting_debriefs","admin_invoicing"},0)),"activity must be one of the seven keys; ","")&amp;IF(OR(N($E1314)&lt;=0,N($E1314)&gt;16),"hours?; ","")&amp;IF(AND($C1314&lt;&gt;"",$B1314=""),"campaign without drop_id; ","")&amp;IF(AND($B1314&lt;&gt;"",COUNTIF(drops!$A$2:$A$21,$B1314)=0),"drop_id not on drops; ",""))</f>
        <v/>
      </c>
    </row>
    <row r="1315">
      <c r="A1315" s="9" t="n"/>
      <c r="E1315" s="10" t="n"/>
      <c r="G1315" s="25">
        <f>IF($A1315="","",IF(ISNA(MATCH($D1315,{"brand_sales","office_coordination","receiving_kitting","drop_day","checks_pickup","reporting_debriefs","admin_invoicing"},0)),"activity must be one of the seven keys; ","")&amp;IF(OR(N($E1315)&lt;=0,N($E1315)&gt;16),"hours?; ","")&amp;IF(AND($C1315&lt;&gt;"",$B1315=""),"campaign without drop_id; ","")&amp;IF(AND($B1315&lt;&gt;"",COUNTIF(drops!$A$2:$A$21,$B1315)=0),"drop_id not on drops; ",""))</f>
        <v/>
      </c>
    </row>
    <row r="1316">
      <c r="A1316" s="9" t="n"/>
      <c r="E1316" s="10" t="n"/>
      <c r="G1316" s="25">
        <f>IF($A1316="","",IF(ISNA(MATCH($D1316,{"brand_sales","office_coordination","receiving_kitting","drop_day","checks_pickup","reporting_debriefs","admin_invoicing"},0)),"activity must be one of the seven keys; ","")&amp;IF(OR(N($E1316)&lt;=0,N($E1316)&gt;16),"hours?; ","")&amp;IF(AND($C1316&lt;&gt;"",$B1316=""),"campaign without drop_id; ","")&amp;IF(AND($B1316&lt;&gt;"",COUNTIF(drops!$A$2:$A$21,$B1316)=0),"drop_id not on drops; ",""))</f>
        <v/>
      </c>
    </row>
    <row r="1317">
      <c r="A1317" s="9" t="n"/>
      <c r="E1317" s="10" t="n"/>
      <c r="G1317" s="25">
        <f>IF($A1317="","",IF(ISNA(MATCH($D1317,{"brand_sales","office_coordination","receiving_kitting","drop_day","checks_pickup","reporting_debriefs","admin_invoicing"},0)),"activity must be one of the seven keys; ","")&amp;IF(OR(N($E1317)&lt;=0,N($E1317)&gt;16),"hours?; ","")&amp;IF(AND($C1317&lt;&gt;"",$B1317=""),"campaign without drop_id; ","")&amp;IF(AND($B1317&lt;&gt;"",COUNTIF(drops!$A$2:$A$21,$B1317)=0),"drop_id not on drops; ",""))</f>
        <v/>
      </c>
    </row>
    <row r="1318">
      <c r="A1318" s="9" t="n"/>
      <c r="E1318" s="10" t="n"/>
      <c r="G1318" s="25">
        <f>IF($A1318="","",IF(ISNA(MATCH($D1318,{"brand_sales","office_coordination","receiving_kitting","drop_day","checks_pickup","reporting_debriefs","admin_invoicing"},0)),"activity must be one of the seven keys; ","")&amp;IF(OR(N($E1318)&lt;=0,N($E1318)&gt;16),"hours?; ","")&amp;IF(AND($C1318&lt;&gt;"",$B1318=""),"campaign without drop_id; ","")&amp;IF(AND($B1318&lt;&gt;"",COUNTIF(drops!$A$2:$A$21,$B1318)=0),"drop_id not on drops; ",""))</f>
        <v/>
      </c>
    </row>
    <row r="1319">
      <c r="A1319" s="9" t="n"/>
      <c r="E1319" s="10" t="n"/>
      <c r="G1319" s="25">
        <f>IF($A1319="","",IF(ISNA(MATCH($D1319,{"brand_sales","office_coordination","receiving_kitting","drop_day","checks_pickup","reporting_debriefs","admin_invoicing"},0)),"activity must be one of the seven keys; ","")&amp;IF(OR(N($E1319)&lt;=0,N($E1319)&gt;16),"hours?; ","")&amp;IF(AND($C1319&lt;&gt;"",$B1319=""),"campaign without drop_id; ","")&amp;IF(AND($B1319&lt;&gt;"",COUNTIF(drops!$A$2:$A$21,$B1319)=0),"drop_id not on drops; ",""))</f>
        <v/>
      </c>
    </row>
    <row r="1320">
      <c r="A1320" s="9" t="n"/>
      <c r="E1320" s="10" t="n"/>
      <c r="G1320" s="25">
        <f>IF($A1320="","",IF(ISNA(MATCH($D1320,{"brand_sales","office_coordination","receiving_kitting","drop_day","checks_pickup","reporting_debriefs","admin_invoicing"},0)),"activity must be one of the seven keys; ","")&amp;IF(OR(N($E1320)&lt;=0,N($E1320)&gt;16),"hours?; ","")&amp;IF(AND($C1320&lt;&gt;"",$B1320=""),"campaign without drop_id; ","")&amp;IF(AND($B1320&lt;&gt;"",COUNTIF(drops!$A$2:$A$21,$B1320)=0),"drop_id not on drops; ",""))</f>
        <v/>
      </c>
    </row>
    <row r="1321">
      <c r="A1321" s="9" t="n"/>
      <c r="E1321" s="10" t="n"/>
      <c r="G1321" s="25">
        <f>IF($A1321="","",IF(ISNA(MATCH($D1321,{"brand_sales","office_coordination","receiving_kitting","drop_day","checks_pickup","reporting_debriefs","admin_invoicing"},0)),"activity must be one of the seven keys; ","")&amp;IF(OR(N($E1321)&lt;=0,N($E1321)&gt;16),"hours?; ","")&amp;IF(AND($C1321&lt;&gt;"",$B1321=""),"campaign without drop_id; ","")&amp;IF(AND($B1321&lt;&gt;"",COUNTIF(drops!$A$2:$A$21,$B1321)=0),"drop_id not on drops; ",""))</f>
        <v/>
      </c>
    </row>
    <row r="1322">
      <c r="A1322" s="9" t="n"/>
      <c r="E1322" s="10" t="n"/>
      <c r="G1322" s="25">
        <f>IF($A1322="","",IF(ISNA(MATCH($D1322,{"brand_sales","office_coordination","receiving_kitting","drop_day","checks_pickup","reporting_debriefs","admin_invoicing"},0)),"activity must be one of the seven keys; ","")&amp;IF(OR(N($E1322)&lt;=0,N($E1322)&gt;16),"hours?; ","")&amp;IF(AND($C1322&lt;&gt;"",$B1322=""),"campaign without drop_id; ","")&amp;IF(AND($B1322&lt;&gt;"",COUNTIF(drops!$A$2:$A$21,$B1322)=0),"drop_id not on drops; ",""))</f>
        <v/>
      </c>
    </row>
    <row r="1323">
      <c r="A1323" s="9" t="n"/>
      <c r="E1323" s="10" t="n"/>
      <c r="G1323" s="25">
        <f>IF($A1323="","",IF(ISNA(MATCH($D1323,{"brand_sales","office_coordination","receiving_kitting","drop_day","checks_pickup","reporting_debriefs","admin_invoicing"},0)),"activity must be one of the seven keys; ","")&amp;IF(OR(N($E1323)&lt;=0,N($E1323)&gt;16),"hours?; ","")&amp;IF(AND($C1323&lt;&gt;"",$B1323=""),"campaign without drop_id; ","")&amp;IF(AND($B1323&lt;&gt;"",COUNTIF(drops!$A$2:$A$21,$B1323)=0),"drop_id not on drops; ",""))</f>
        <v/>
      </c>
    </row>
    <row r="1324">
      <c r="A1324" s="9" t="n"/>
      <c r="E1324" s="10" t="n"/>
      <c r="G1324" s="25">
        <f>IF($A1324="","",IF(ISNA(MATCH($D1324,{"brand_sales","office_coordination","receiving_kitting","drop_day","checks_pickup","reporting_debriefs","admin_invoicing"},0)),"activity must be one of the seven keys; ","")&amp;IF(OR(N($E1324)&lt;=0,N($E1324)&gt;16),"hours?; ","")&amp;IF(AND($C1324&lt;&gt;"",$B1324=""),"campaign without drop_id; ","")&amp;IF(AND($B1324&lt;&gt;"",COUNTIF(drops!$A$2:$A$21,$B1324)=0),"drop_id not on drops; ",""))</f>
        <v/>
      </c>
    </row>
    <row r="1325">
      <c r="A1325" s="9" t="n"/>
      <c r="E1325" s="10" t="n"/>
      <c r="G1325" s="25">
        <f>IF($A1325="","",IF(ISNA(MATCH($D1325,{"brand_sales","office_coordination","receiving_kitting","drop_day","checks_pickup","reporting_debriefs","admin_invoicing"},0)),"activity must be one of the seven keys; ","")&amp;IF(OR(N($E1325)&lt;=0,N($E1325)&gt;16),"hours?; ","")&amp;IF(AND($C1325&lt;&gt;"",$B1325=""),"campaign without drop_id; ","")&amp;IF(AND($B1325&lt;&gt;"",COUNTIF(drops!$A$2:$A$21,$B1325)=0),"drop_id not on drops; ",""))</f>
        <v/>
      </c>
    </row>
    <row r="1326">
      <c r="A1326" s="9" t="n"/>
      <c r="E1326" s="10" t="n"/>
      <c r="G1326" s="25">
        <f>IF($A1326="","",IF(ISNA(MATCH($D1326,{"brand_sales","office_coordination","receiving_kitting","drop_day","checks_pickup","reporting_debriefs","admin_invoicing"},0)),"activity must be one of the seven keys; ","")&amp;IF(OR(N($E1326)&lt;=0,N($E1326)&gt;16),"hours?; ","")&amp;IF(AND($C1326&lt;&gt;"",$B1326=""),"campaign without drop_id; ","")&amp;IF(AND($B1326&lt;&gt;"",COUNTIF(drops!$A$2:$A$21,$B1326)=0),"drop_id not on drops; ",""))</f>
        <v/>
      </c>
    </row>
    <row r="1327">
      <c r="A1327" s="9" t="n"/>
      <c r="E1327" s="10" t="n"/>
      <c r="G1327" s="25">
        <f>IF($A1327="","",IF(ISNA(MATCH($D1327,{"brand_sales","office_coordination","receiving_kitting","drop_day","checks_pickup","reporting_debriefs","admin_invoicing"},0)),"activity must be one of the seven keys; ","")&amp;IF(OR(N($E1327)&lt;=0,N($E1327)&gt;16),"hours?; ","")&amp;IF(AND($C1327&lt;&gt;"",$B1327=""),"campaign without drop_id; ","")&amp;IF(AND($B1327&lt;&gt;"",COUNTIF(drops!$A$2:$A$21,$B1327)=0),"drop_id not on drops; ",""))</f>
        <v/>
      </c>
    </row>
    <row r="1328">
      <c r="A1328" s="9" t="n"/>
      <c r="E1328" s="10" t="n"/>
      <c r="G1328" s="25">
        <f>IF($A1328="","",IF(ISNA(MATCH($D1328,{"brand_sales","office_coordination","receiving_kitting","drop_day","checks_pickup","reporting_debriefs","admin_invoicing"},0)),"activity must be one of the seven keys; ","")&amp;IF(OR(N($E1328)&lt;=0,N($E1328)&gt;16),"hours?; ","")&amp;IF(AND($C1328&lt;&gt;"",$B1328=""),"campaign without drop_id; ","")&amp;IF(AND($B1328&lt;&gt;"",COUNTIF(drops!$A$2:$A$21,$B1328)=0),"drop_id not on drops; ",""))</f>
        <v/>
      </c>
    </row>
    <row r="1329">
      <c r="A1329" s="9" t="n"/>
      <c r="E1329" s="10" t="n"/>
      <c r="G1329" s="25">
        <f>IF($A1329="","",IF(ISNA(MATCH($D1329,{"brand_sales","office_coordination","receiving_kitting","drop_day","checks_pickup","reporting_debriefs","admin_invoicing"},0)),"activity must be one of the seven keys; ","")&amp;IF(OR(N($E1329)&lt;=0,N($E1329)&gt;16),"hours?; ","")&amp;IF(AND($C1329&lt;&gt;"",$B1329=""),"campaign without drop_id; ","")&amp;IF(AND($B1329&lt;&gt;"",COUNTIF(drops!$A$2:$A$21,$B1329)=0),"drop_id not on drops; ",""))</f>
        <v/>
      </c>
    </row>
    <row r="1330">
      <c r="A1330" s="9" t="n"/>
      <c r="E1330" s="10" t="n"/>
      <c r="G1330" s="25">
        <f>IF($A1330="","",IF(ISNA(MATCH($D1330,{"brand_sales","office_coordination","receiving_kitting","drop_day","checks_pickup","reporting_debriefs","admin_invoicing"},0)),"activity must be one of the seven keys; ","")&amp;IF(OR(N($E1330)&lt;=0,N($E1330)&gt;16),"hours?; ","")&amp;IF(AND($C1330&lt;&gt;"",$B1330=""),"campaign without drop_id; ","")&amp;IF(AND($B1330&lt;&gt;"",COUNTIF(drops!$A$2:$A$21,$B1330)=0),"drop_id not on drops; ",""))</f>
        <v/>
      </c>
    </row>
    <row r="1331">
      <c r="A1331" s="9" t="n"/>
      <c r="E1331" s="10" t="n"/>
      <c r="G1331" s="25">
        <f>IF($A1331="","",IF(ISNA(MATCH($D1331,{"brand_sales","office_coordination","receiving_kitting","drop_day","checks_pickup","reporting_debriefs","admin_invoicing"},0)),"activity must be one of the seven keys; ","")&amp;IF(OR(N($E1331)&lt;=0,N($E1331)&gt;16),"hours?; ","")&amp;IF(AND($C1331&lt;&gt;"",$B1331=""),"campaign without drop_id; ","")&amp;IF(AND($B1331&lt;&gt;"",COUNTIF(drops!$A$2:$A$21,$B1331)=0),"drop_id not on drops; ",""))</f>
        <v/>
      </c>
    </row>
    <row r="1332">
      <c r="A1332" s="9" t="n"/>
      <c r="E1332" s="10" t="n"/>
      <c r="G1332" s="25">
        <f>IF($A1332="","",IF(ISNA(MATCH($D1332,{"brand_sales","office_coordination","receiving_kitting","drop_day","checks_pickup","reporting_debriefs","admin_invoicing"},0)),"activity must be one of the seven keys; ","")&amp;IF(OR(N($E1332)&lt;=0,N($E1332)&gt;16),"hours?; ","")&amp;IF(AND($C1332&lt;&gt;"",$B1332=""),"campaign without drop_id; ","")&amp;IF(AND($B1332&lt;&gt;"",COUNTIF(drops!$A$2:$A$21,$B1332)=0),"drop_id not on drops; ",""))</f>
        <v/>
      </c>
    </row>
    <row r="1333">
      <c r="A1333" s="9" t="n"/>
      <c r="E1333" s="10" t="n"/>
      <c r="G1333" s="25">
        <f>IF($A1333="","",IF(ISNA(MATCH($D1333,{"brand_sales","office_coordination","receiving_kitting","drop_day","checks_pickup","reporting_debriefs","admin_invoicing"},0)),"activity must be one of the seven keys; ","")&amp;IF(OR(N($E1333)&lt;=0,N($E1333)&gt;16),"hours?; ","")&amp;IF(AND($C1333&lt;&gt;"",$B1333=""),"campaign without drop_id; ","")&amp;IF(AND($B1333&lt;&gt;"",COUNTIF(drops!$A$2:$A$21,$B1333)=0),"drop_id not on drops; ",""))</f>
        <v/>
      </c>
    </row>
    <row r="1334">
      <c r="A1334" s="9" t="n"/>
      <c r="E1334" s="10" t="n"/>
      <c r="G1334" s="25">
        <f>IF($A1334="","",IF(ISNA(MATCH($D1334,{"brand_sales","office_coordination","receiving_kitting","drop_day","checks_pickup","reporting_debriefs","admin_invoicing"},0)),"activity must be one of the seven keys; ","")&amp;IF(OR(N($E1334)&lt;=0,N($E1334)&gt;16),"hours?; ","")&amp;IF(AND($C1334&lt;&gt;"",$B1334=""),"campaign without drop_id; ","")&amp;IF(AND($B1334&lt;&gt;"",COUNTIF(drops!$A$2:$A$21,$B1334)=0),"drop_id not on drops; ",""))</f>
        <v/>
      </c>
    </row>
    <row r="1335">
      <c r="A1335" s="9" t="n"/>
      <c r="E1335" s="10" t="n"/>
      <c r="G1335" s="25">
        <f>IF($A1335="","",IF(ISNA(MATCH($D1335,{"brand_sales","office_coordination","receiving_kitting","drop_day","checks_pickup","reporting_debriefs","admin_invoicing"},0)),"activity must be one of the seven keys; ","")&amp;IF(OR(N($E1335)&lt;=0,N($E1335)&gt;16),"hours?; ","")&amp;IF(AND($C1335&lt;&gt;"",$B1335=""),"campaign without drop_id; ","")&amp;IF(AND($B1335&lt;&gt;"",COUNTIF(drops!$A$2:$A$21,$B1335)=0),"drop_id not on drops; ",""))</f>
        <v/>
      </c>
    </row>
    <row r="1336">
      <c r="A1336" s="9" t="n"/>
      <c r="E1336" s="10" t="n"/>
      <c r="G1336" s="25">
        <f>IF($A1336="","",IF(ISNA(MATCH($D1336,{"brand_sales","office_coordination","receiving_kitting","drop_day","checks_pickup","reporting_debriefs","admin_invoicing"},0)),"activity must be one of the seven keys; ","")&amp;IF(OR(N($E1336)&lt;=0,N($E1336)&gt;16),"hours?; ","")&amp;IF(AND($C1336&lt;&gt;"",$B1336=""),"campaign without drop_id; ","")&amp;IF(AND($B1336&lt;&gt;"",COUNTIF(drops!$A$2:$A$21,$B1336)=0),"drop_id not on drops; ",""))</f>
        <v/>
      </c>
    </row>
    <row r="1337">
      <c r="A1337" s="9" t="n"/>
      <c r="E1337" s="10" t="n"/>
      <c r="G1337" s="25">
        <f>IF($A1337="","",IF(ISNA(MATCH($D1337,{"brand_sales","office_coordination","receiving_kitting","drop_day","checks_pickup","reporting_debriefs","admin_invoicing"},0)),"activity must be one of the seven keys; ","")&amp;IF(OR(N($E1337)&lt;=0,N($E1337)&gt;16),"hours?; ","")&amp;IF(AND($C1337&lt;&gt;"",$B1337=""),"campaign without drop_id; ","")&amp;IF(AND($B1337&lt;&gt;"",COUNTIF(drops!$A$2:$A$21,$B1337)=0),"drop_id not on drops; ",""))</f>
        <v/>
      </c>
    </row>
    <row r="1338">
      <c r="A1338" s="9" t="n"/>
      <c r="E1338" s="10" t="n"/>
      <c r="G1338" s="25">
        <f>IF($A1338="","",IF(ISNA(MATCH($D1338,{"brand_sales","office_coordination","receiving_kitting","drop_day","checks_pickup","reporting_debriefs","admin_invoicing"},0)),"activity must be one of the seven keys; ","")&amp;IF(OR(N($E1338)&lt;=0,N($E1338)&gt;16),"hours?; ","")&amp;IF(AND($C1338&lt;&gt;"",$B1338=""),"campaign without drop_id; ","")&amp;IF(AND($B1338&lt;&gt;"",COUNTIF(drops!$A$2:$A$21,$B1338)=0),"drop_id not on drops; ",""))</f>
        <v/>
      </c>
    </row>
    <row r="1339">
      <c r="A1339" s="9" t="n"/>
      <c r="E1339" s="10" t="n"/>
      <c r="G1339" s="25">
        <f>IF($A1339="","",IF(ISNA(MATCH($D1339,{"brand_sales","office_coordination","receiving_kitting","drop_day","checks_pickup","reporting_debriefs","admin_invoicing"},0)),"activity must be one of the seven keys; ","")&amp;IF(OR(N($E1339)&lt;=0,N($E1339)&gt;16),"hours?; ","")&amp;IF(AND($C1339&lt;&gt;"",$B1339=""),"campaign without drop_id; ","")&amp;IF(AND($B1339&lt;&gt;"",COUNTIF(drops!$A$2:$A$21,$B1339)=0),"drop_id not on drops; ",""))</f>
        <v/>
      </c>
    </row>
    <row r="1340">
      <c r="A1340" s="9" t="n"/>
      <c r="E1340" s="10" t="n"/>
      <c r="G1340" s="25">
        <f>IF($A1340="","",IF(ISNA(MATCH($D1340,{"brand_sales","office_coordination","receiving_kitting","drop_day","checks_pickup","reporting_debriefs","admin_invoicing"},0)),"activity must be one of the seven keys; ","")&amp;IF(OR(N($E1340)&lt;=0,N($E1340)&gt;16),"hours?; ","")&amp;IF(AND($C1340&lt;&gt;"",$B1340=""),"campaign without drop_id; ","")&amp;IF(AND($B1340&lt;&gt;"",COUNTIF(drops!$A$2:$A$21,$B1340)=0),"drop_id not on drops; ",""))</f>
        <v/>
      </c>
    </row>
    <row r="1341">
      <c r="A1341" s="9" t="n"/>
      <c r="E1341" s="10" t="n"/>
      <c r="G1341" s="25">
        <f>IF($A1341="","",IF(ISNA(MATCH($D1341,{"brand_sales","office_coordination","receiving_kitting","drop_day","checks_pickup","reporting_debriefs","admin_invoicing"},0)),"activity must be one of the seven keys; ","")&amp;IF(OR(N($E1341)&lt;=0,N($E1341)&gt;16),"hours?; ","")&amp;IF(AND($C1341&lt;&gt;"",$B1341=""),"campaign without drop_id; ","")&amp;IF(AND($B1341&lt;&gt;"",COUNTIF(drops!$A$2:$A$21,$B1341)=0),"drop_id not on drops; ",""))</f>
        <v/>
      </c>
    </row>
    <row r="1342">
      <c r="A1342" s="9" t="n"/>
      <c r="E1342" s="10" t="n"/>
      <c r="G1342" s="25">
        <f>IF($A1342="","",IF(ISNA(MATCH($D1342,{"brand_sales","office_coordination","receiving_kitting","drop_day","checks_pickup","reporting_debriefs","admin_invoicing"},0)),"activity must be one of the seven keys; ","")&amp;IF(OR(N($E1342)&lt;=0,N($E1342)&gt;16),"hours?; ","")&amp;IF(AND($C1342&lt;&gt;"",$B1342=""),"campaign without drop_id; ","")&amp;IF(AND($B1342&lt;&gt;"",COUNTIF(drops!$A$2:$A$21,$B1342)=0),"drop_id not on drops; ",""))</f>
        <v/>
      </c>
    </row>
    <row r="1343">
      <c r="A1343" s="9" t="n"/>
      <c r="E1343" s="10" t="n"/>
      <c r="G1343" s="25">
        <f>IF($A1343="","",IF(ISNA(MATCH($D1343,{"brand_sales","office_coordination","receiving_kitting","drop_day","checks_pickup","reporting_debriefs","admin_invoicing"},0)),"activity must be one of the seven keys; ","")&amp;IF(OR(N($E1343)&lt;=0,N($E1343)&gt;16),"hours?; ","")&amp;IF(AND($C1343&lt;&gt;"",$B1343=""),"campaign without drop_id; ","")&amp;IF(AND($B1343&lt;&gt;"",COUNTIF(drops!$A$2:$A$21,$B1343)=0),"drop_id not on drops; ",""))</f>
        <v/>
      </c>
    </row>
    <row r="1344">
      <c r="A1344" s="9" t="n"/>
      <c r="E1344" s="10" t="n"/>
      <c r="G1344" s="25">
        <f>IF($A1344="","",IF(ISNA(MATCH($D1344,{"brand_sales","office_coordination","receiving_kitting","drop_day","checks_pickup","reporting_debriefs","admin_invoicing"},0)),"activity must be one of the seven keys; ","")&amp;IF(OR(N($E1344)&lt;=0,N($E1344)&gt;16),"hours?; ","")&amp;IF(AND($C1344&lt;&gt;"",$B1344=""),"campaign without drop_id; ","")&amp;IF(AND($B1344&lt;&gt;"",COUNTIF(drops!$A$2:$A$21,$B1344)=0),"drop_id not on drops; ",""))</f>
        <v/>
      </c>
    </row>
    <row r="1345">
      <c r="A1345" s="9" t="n"/>
      <c r="E1345" s="10" t="n"/>
      <c r="G1345" s="25">
        <f>IF($A1345="","",IF(ISNA(MATCH($D1345,{"brand_sales","office_coordination","receiving_kitting","drop_day","checks_pickup","reporting_debriefs","admin_invoicing"},0)),"activity must be one of the seven keys; ","")&amp;IF(OR(N($E1345)&lt;=0,N($E1345)&gt;16),"hours?; ","")&amp;IF(AND($C1345&lt;&gt;"",$B1345=""),"campaign without drop_id; ","")&amp;IF(AND($B1345&lt;&gt;"",COUNTIF(drops!$A$2:$A$21,$B1345)=0),"drop_id not on drops; ",""))</f>
        <v/>
      </c>
    </row>
    <row r="1346">
      <c r="A1346" s="9" t="n"/>
      <c r="E1346" s="10" t="n"/>
      <c r="G1346" s="25">
        <f>IF($A1346="","",IF(ISNA(MATCH($D1346,{"brand_sales","office_coordination","receiving_kitting","drop_day","checks_pickup","reporting_debriefs","admin_invoicing"},0)),"activity must be one of the seven keys; ","")&amp;IF(OR(N($E1346)&lt;=0,N($E1346)&gt;16),"hours?; ","")&amp;IF(AND($C1346&lt;&gt;"",$B1346=""),"campaign without drop_id; ","")&amp;IF(AND($B1346&lt;&gt;"",COUNTIF(drops!$A$2:$A$21,$B1346)=0),"drop_id not on drops; ",""))</f>
        <v/>
      </c>
    </row>
    <row r="1347">
      <c r="A1347" s="9" t="n"/>
      <c r="E1347" s="10" t="n"/>
      <c r="G1347" s="25">
        <f>IF($A1347="","",IF(ISNA(MATCH($D1347,{"brand_sales","office_coordination","receiving_kitting","drop_day","checks_pickup","reporting_debriefs","admin_invoicing"},0)),"activity must be one of the seven keys; ","")&amp;IF(OR(N($E1347)&lt;=0,N($E1347)&gt;16),"hours?; ","")&amp;IF(AND($C1347&lt;&gt;"",$B1347=""),"campaign without drop_id; ","")&amp;IF(AND($B1347&lt;&gt;"",COUNTIF(drops!$A$2:$A$21,$B1347)=0),"drop_id not on drops; ",""))</f>
        <v/>
      </c>
    </row>
    <row r="1348">
      <c r="A1348" s="9" t="n"/>
      <c r="E1348" s="10" t="n"/>
      <c r="G1348" s="25">
        <f>IF($A1348="","",IF(ISNA(MATCH($D1348,{"brand_sales","office_coordination","receiving_kitting","drop_day","checks_pickup","reporting_debriefs","admin_invoicing"},0)),"activity must be one of the seven keys; ","")&amp;IF(OR(N($E1348)&lt;=0,N($E1348)&gt;16),"hours?; ","")&amp;IF(AND($C1348&lt;&gt;"",$B1348=""),"campaign without drop_id; ","")&amp;IF(AND($B1348&lt;&gt;"",COUNTIF(drops!$A$2:$A$21,$B1348)=0),"drop_id not on drops; ",""))</f>
        <v/>
      </c>
    </row>
    <row r="1349">
      <c r="A1349" s="9" t="n"/>
      <c r="E1349" s="10" t="n"/>
      <c r="G1349" s="25">
        <f>IF($A1349="","",IF(ISNA(MATCH($D1349,{"brand_sales","office_coordination","receiving_kitting","drop_day","checks_pickup","reporting_debriefs","admin_invoicing"},0)),"activity must be one of the seven keys; ","")&amp;IF(OR(N($E1349)&lt;=0,N($E1349)&gt;16),"hours?; ","")&amp;IF(AND($C1349&lt;&gt;"",$B1349=""),"campaign without drop_id; ","")&amp;IF(AND($B1349&lt;&gt;"",COUNTIF(drops!$A$2:$A$21,$B1349)=0),"drop_id not on drops; ",""))</f>
        <v/>
      </c>
    </row>
    <row r="1350">
      <c r="A1350" s="9" t="n"/>
      <c r="E1350" s="10" t="n"/>
      <c r="G1350" s="25">
        <f>IF($A1350="","",IF(ISNA(MATCH($D1350,{"brand_sales","office_coordination","receiving_kitting","drop_day","checks_pickup","reporting_debriefs","admin_invoicing"},0)),"activity must be one of the seven keys; ","")&amp;IF(OR(N($E1350)&lt;=0,N($E1350)&gt;16),"hours?; ","")&amp;IF(AND($C1350&lt;&gt;"",$B1350=""),"campaign without drop_id; ","")&amp;IF(AND($B1350&lt;&gt;"",COUNTIF(drops!$A$2:$A$21,$B1350)=0),"drop_id not on drops; ",""))</f>
        <v/>
      </c>
    </row>
    <row r="1351">
      <c r="A1351" s="9" t="n"/>
      <c r="E1351" s="10" t="n"/>
      <c r="G1351" s="25">
        <f>IF($A1351="","",IF(ISNA(MATCH($D1351,{"brand_sales","office_coordination","receiving_kitting","drop_day","checks_pickup","reporting_debriefs","admin_invoicing"},0)),"activity must be one of the seven keys; ","")&amp;IF(OR(N($E1351)&lt;=0,N($E1351)&gt;16),"hours?; ","")&amp;IF(AND($C1351&lt;&gt;"",$B1351=""),"campaign without drop_id; ","")&amp;IF(AND($B1351&lt;&gt;"",COUNTIF(drops!$A$2:$A$21,$B1351)=0),"drop_id not on drops; ",""))</f>
        <v/>
      </c>
    </row>
    <row r="1352">
      <c r="A1352" s="9" t="n"/>
      <c r="E1352" s="10" t="n"/>
      <c r="G1352" s="25">
        <f>IF($A1352="","",IF(ISNA(MATCH($D1352,{"brand_sales","office_coordination","receiving_kitting","drop_day","checks_pickup","reporting_debriefs","admin_invoicing"},0)),"activity must be one of the seven keys; ","")&amp;IF(OR(N($E1352)&lt;=0,N($E1352)&gt;16),"hours?; ","")&amp;IF(AND($C1352&lt;&gt;"",$B1352=""),"campaign without drop_id; ","")&amp;IF(AND($B1352&lt;&gt;"",COUNTIF(drops!$A$2:$A$21,$B1352)=0),"drop_id not on drops; ",""))</f>
        <v/>
      </c>
    </row>
    <row r="1353">
      <c r="A1353" s="9" t="n"/>
      <c r="E1353" s="10" t="n"/>
      <c r="G1353" s="25">
        <f>IF($A1353="","",IF(ISNA(MATCH($D1353,{"brand_sales","office_coordination","receiving_kitting","drop_day","checks_pickup","reporting_debriefs","admin_invoicing"},0)),"activity must be one of the seven keys; ","")&amp;IF(OR(N($E1353)&lt;=0,N($E1353)&gt;16),"hours?; ","")&amp;IF(AND($C1353&lt;&gt;"",$B1353=""),"campaign without drop_id; ","")&amp;IF(AND($B1353&lt;&gt;"",COUNTIF(drops!$A$2:$A$21,$B1353)=0),"drop_id not on drops; ",""))</f>
        <v/>
      </c>
    </row>
    <row r="1354">
      <c r="A1354" s="9" t="n"/>
      <c r="E1354" s="10" t="n"/>
      <c r="G1354" s="25">
        <f>IF($A1354="","",IF(ISNA(MATCH($D1354,{"brand_sales","office_coordination","receiving_kitting","drop_day","checks_pickup","reporting_debriefs","admin_invoicing"},0)),"activity must be one of the seven keys; ","")&amp;IF(OR(N($E1354)&lt;=0,N($E1354)&gt;16),"hours?; ","")&amp;IF(AND($C1354&lt;&gt;"",$B1354=""),"campaign without drop_id; ","")&amp;IF(AND($B1354&lt;&gt;"",COUNTIF(drops!$A$2:$A$21,$B1354)=0),"drop_id not on drops; ",""))</f>
        <v/>
      </c>
    </row>
    <row r="1355">
      <c r="A1355" s="9" t="n"/>
      <c r="E1355" s="10" t="n"/>
      <c r="G1355" s="25">
        <f>IF($A1355="","",IF(ISNA(MATCH($D1355,{"brand_sales","office_coordination","receiving_kitting","drop_day","checks_pickup","reporting_debriefs","admin_invoicing"},0)),"activity must be one of the seven keys; ","")&amp;IF(OR(N($E1355)&lt;=0,N($E1355)&gt;16),"hours?; ","")&amp;IF(AND($C1355&lt;&gt;"",$B1355=""),"campaign without drop_id; ","")&amp;IF(AND($B1355&lt;&gt;"",COUNTIF(drops!$A$2:$A$21,$B1355)=0),"drop_id not on drops; ",""))</f>
        <v/>
      </c>
    </row>
    <row r="1356">
      <c r="A1356" s="9" t="n"/>
      <c r="E1356" s="10" t="n"/>
      <c r="G1356" s="25">
        <f>IF($A1356="","",IF(ISNA(MATCH($D1356,{"brand_sales","office_coordination","receiving_kitting","drop_day","checks_pickup","reporting_debriefs","admin_invoicing"},0)),"activity must be one of the seven keys; ","")&amp;IF(OR(N($E1356)&lt;=0,N($E1356)&gt;16),"hours?; ","")&amp;IF(AND($C1356&lt;&gt;"",$B1356=""),"campaign without drop_id; ","")&amp;IF(AND($B1356&lt;&gt;"",COUNTIF(drops!$A$2:$A$21,$B1356)=0),"drop_id not on drops; ",""))</f>
        <v/>
      </c>
    </row>
    <row r="1357">
      <c r="A1357" s="9" t="n"/>
      <c r="E1357" s="10" t="n"/>
      <c r="G1357" s="25">
        <f>IF($A1357="","",IF(ISNA(MATCH($D1357,{"brand_sales","office_coordination","receiving_kitting","drop_day","checks_pickup","reporting_debriefs","admin_invoicing"},0)),"activity must be one of the seven keys; ","")&amp;IF(OR(N($E1357)&lt;=0,N($E1357)&gt;16),"hours?; ","")&amp;IF(AND($C1357&lt;&gt;"",$B1357=""),"campaign without drop_id; ","")&amp;IF(AND($B1357&lt;&gt;"",COUNTIF(drops!$A$2:$A$21,$B1357)=0),"drop_id not on drops; ",""))</f>
        <v/>
      </c>
    </row>
    <row r="1358">
      <c r="A1358" s="9" t="n"/>
      <c r="E1358" s="10" t="n"/>
      <c r="G1358" s="25">
        <f>IF($A1358="","",IF(ISNA(MATCH($D1358,{"brand_sales","office_coordination","receiving_kitting","drop_day","checks_pickup","reporting_debriefs","admin_invoicing"},0)),"activity must be one of the seven keys; ","")&amp;IF(OR(N($E1358)&lt;=0,N($E1358)&gt;16),"hours?; ","")&amp;IF(AND($C1358&lt;&gt;"",$B1358=""),"campaign without drop_id; ","")&amp;IF(AND($B1358&lt;&gt;"",COUNTIF(drops!$A$2:$A$21,$B1358)=0),"drop_id not on drops; ",""))</f>
        <v/>
      </c>
    </row>
    <row r="1359">
      <c r="A1359" s="9" t="n"/>
      <c r="E1359" s="10" t="n"/>
      <c r="G1359" s="25">
        <f>IF($A1359="","",IF(ISNA(MATCH($D1359,{"brand_sales","office_coordination","receiving_kitting","drop_day","checks_pickup","reporting_debriefs","admin_invoicing"},0)),"activity must be one of the seven keys; ","")&amp;IF(OR(N($E1359)&lt;=0,N($E1359)&gt;16),"hours?; ","")&amp;IF(AND($C1359&lt;&gt;"",$B1359=""),"campaign without drop_id; ","")&amp;IF(AND($B1359&lt;&gt;"",COUNTIF(drops!$A$2:$A$21,$B1359)=0),"drop_id not on drops; ",""))</f>
        <v/>
      </c>
    </row>
    <row r="1360">
      <c r="A1360" s="9" t="n"/>
      <c r="E1360" s="10" t="n"/>
      <c r="G1360" s="25">
        <f>IF($A1360="","",IF(ISNA(MATCH($D1360,{"brand_sales","office_coordination","receiving_kitting","drop_day","checks_pickup","reporting_debriefs","admin_invoicing"},0)),"activity must be one of the seven keys; ","")&amp;IF(OR(N($E1360)&lt;=0,N($E1360)&gt;16),"hours?; ","")&amp;IF(AND($C1360&lt;&gt;"",$B1360=""),"campaign without drop_id; ","")&amp;IF(AND($B1360&lt;&gt;"",COUNTIF(drops!$A$2:$A$21,$B1360)=0),"drop_id not on drops; ",""))</f>
        <v/>
      </c>
    </row>
    <row r="1361">
      <c r="A1361" s="9" t="n"/>
      <c r="E1361" s="10" t="n"/>
      <c r="G1361" s="25">
        <f>IF($A1361="","",IF(ISNA(MATCH($D1361,{"brand_sales","office_coordination","receiving_kitting","drop_day","checks_pickup","reporting_debriefs","admin_invoicing"},0)),"activity must be one of the seven keys; ","")&amp;IF(OR(N($E1361)&lt;=0,N($E1361)&gt;16),"hours?; ","")&amp;IF(AND($C1361&lt;&gt;"",$B1361=""),"campaign without drop_id; ","")&amp;IF(AND($B1361&lt;&gt;"",COUNTIF(drops!$A$2:$A$21,$B1361)=0),"drop_id not on drops; ",""))</f>
        <v/>
      </c>
    </row>
    <row r="1362">
      <c r="A1362" s="9" t="n"/>
      <c r="E1362" s="10" t="n"/>
      <c r="G1362" s="25">
        <f>IF($A1362="","",IF(ISNA(MATCH($D1362,{"brand_sales","office_coordination","receiving_kitting","drop_day","checks_pickup","reporting_debriefs","admin_invoicing"},0)),"activity must be one of the seven keys; ","")&amp;IF(OR(N($E1362)&lt;=0,N($E1362)&gt;16),"hours?; ","")&amp;IF(AND($C1362&lt;&gt;"",$B1362=""),"campaign without drop_id; ","")&amp;IF(AND($B1362&lt;&gt;"",COUNTIF(drops!$A$2:$A$21,$B1362)=0),"drop_id not on drops; ",""))</f>
        <v/>
      </c>
    </row>
    <row r="1363">
      <c r="A1363" s="9" t="n"/>
      <c r="E1363" s="10" t="n"/>
      <c r="G1363" s="25">
        <f>IF($A1363="","",IF(ISNA(MATCH($D1363,{"brand_sales","office_coordination","receiving_kitting","drop_day","checks_pickup","reporting_debriefs","admin_invoicing"},0)),"activity must be one of the seven keys; ","")&amp;IF(OR(N($E1363)&lt;=0,N($E1363)&gt;16),"hours?; ","")&amp;IF(AND($C1363&lt;&gt;"",$B1363=""),"campaign without drop_id; ","")&amp;IF(AND($B1363&lt;&gt;"",COUNTIF(drops!$A$2:$A$21,$B1363)=0),"drop_id not on drops; ",""))</f>
        <v/>
      </c>
    </row>
    <row r="1364">
      <c r="A1364" s="9" t="n"/>
      <c r="E1364" s="10" t="n"/>
      <c r="G1364" s="25">
        <f>IF($A1364="","",IF(ISNA(MATCH($D1364,{"brand_sales","office_coordination","receiving_kitting","drop_day","checks_pickup","reporting_debriefs","admin_invoicing"},0)),"activity must be one of the seven keys; ","")&amp;IF(OR(N($E1364)&lt;=0,N($E1364)&gt;16),"hours?; ","")&amp;IF(AND($C1364&lt;&gt;"",$B1364=""),"campaign without drop_id; ","")&amp;IF(AND($B1364&lt;&gt;"",COUNTIF(drops!$A$2:$A$21,$B1364)=0),"drop_id not on drops; ",""))</f>
        <v/>
      </c>
    </row>
    <row r="1365">
      <c r="A1365" s="9" t="n"/>
      <c r="E1365" s="10" t="n"/>
      <c r="G1365" s="25">
        <f>IF($A1365="","",IF(ISNA(MATCH($D1365,{"brand_sales","office_coordination","receiving_kitting","drop_day","checks_pickup","reporting_debriefs","admin_invoicing"},0)),"activity must be one of the seven keys; ","")&amp;IF(OR(N($E1365)&lt;=0,N($E1365)&gt;16),"hours?; ","")&amp;IF(AND($C1365&lt;&gt;"",$B1365=""),"campaign without drop_id; ","")&amp;IF(AND($B1365&lt;&gt;"",COUNTIF(drops!$A$2:$A$21,$B1365)=0),"drop_id not on drops; ",""))</f>
        <v/>
      </c>
    </row>
    <row r="1366">
      <c r="A1366" s="9" t="n"/>
      <c r="E1366" s="10" t="n"/>
      <c r="G1366" s="25">
        <f>IF($A1366="","",IF(ISNA(MATCH($D1366,{"brand_sales","office_coordination","receiving_kitting","drop_day","checks_pickup","reporting_debriefs","admin_invoicing"},0)),"activity must be one of the seven keys; ","")&amp;IF(OR(N($E1366)&lt;=0,N($E1366)&gt;16),"hours?; ","")&amp;IF(AND($C1366&lt;&gt;"",$B1366=""),"campaign without drop_id; ","")&amp;IF(AND($B1366&lt;&gt;"",COUNTIF(drops!$A$2:$A$21,$B1366)=0),"drop_id not on drops; ",""))</f>
        <v/>
      </c>
    </row>
    <row r="1367">
      <c r="A1367" s="9" t="n"/>
      <c r="E1367" s="10" t="n"/>
      <c r="G1367" s="25">
        <f>IF($A1367="","",IF(ISNA(MATCH($D1367,{"brand_sales","office_coordination","receiving_kitting","drop_day","checks_pickup","reporting_debriefs","admin_invoicing"},0)),"activity must be one of the seven keys; ","")&amp;IF(OR(N($E1367)&lt;=0,N($E1367)&gt;16),"hours?; ","")&amp;IF(AND($C1367&lt;&gt;"",$B1367=""),"campaign without drop_id; ","")&amp;IF(AND($B1367&lt;&gt;"",COUNTIF(drops!$A$2:$A$21,$B1367)=0),"drop_id not on drops; ",""))</f>
        <v/>
      </c>
    </row>
    <row r="1368">
      <c r="A1368" s="9" t="n"/>
      <c r="E1368" s="10" t="n"/>
      <c r="G1368" s="25">
        <f>IF($A1368="","",IF(ISNA(MATCH($D1368,{"brand_sales","office_coordination","receiving_kitting","drop_day","checks_pickup","reporting_debriefs","admin_invoicing"},0)),"activity must be one of the seven keys; ","")&amp;IF(OR(N($E1368)&lt;=0,N($E1368)&gt;16),"hours?; ","")&amp;IF(AND($C1368&lt;&gt;"",$B1368=""),"campaign without drop_id; ","")&amp;IF(AND($B1368&lt;&gt;"",COUNTIF(drops!$A$2:$A$21,$B1368)=0),"drop_id not on drops; ",""))</f>
        <v/>
      </c>
    </row>
    <row r="1369">
      <c r="A1369" s="9" t="n"/>
      <c r="E1369" s="10" t="n"/>
      <c r="G1369" s="25">
        <f>IF($A1369="","",IF(ISNA(MATCH($D1369,{"brand_sales","office_coordination","receiving_kitting","drop_day","checks_pickup","reporting_debriefs","admin_invoicing"},0)),"activity must be one of the seven keys; ","")&amp;IF(OR(N($E1369)&lt;=0,N($E1369)&gt;16),"hours?; ","")&amp;IF(AND($C1369&lt;&gt;"",$B1369=""),"campaign without drop_id; ","")&amp;IF(AND($B1369&lt;&gt;"",COUNTIF(drops!$A$2:$A$21,$B1369)=0),"drop_id not on drops; ",""))</f>
        <v/>
      </c>
    </row>
    <row r="1370">
      <c r="A1370" s="9" t="n"/>
      <c r="E1370" s="10" t="n"/>
      <c r="G1370" s="25">
        <f>IF($A1370="","",IF(ISNA(MATCH($D1370,{"brand_sales","office_coordination","receiving_kitting","drop_day","checks_pickup","reporting_debriefs","admin_invoicing"},0)),"activity must be one of the seven keys; ","")&amp;IF(OR(N($E1370)&lt;=0,N($E1370)&gt;16),"hours?; ","")&amp;IF(AND($C1370&lt;&gt;"",$B1370=""),"campaign without drop_id; ","")&amp;IF(AND($B1370&lt;&gt;"",COUNTIF(drops!$A$2:$A$21,$B1370)=0),"drop_id not on drops; ",""))</f>
        <v/>
      </c>
    </row>
    <row r="1371">
      <c r="A1371" s="9" t="n"/>
      <c r="E1371" s="10" t="n"/>
      <c r="G1371" s="25">
        <f>IF($A1371="","",IF(ISNA(MATCH($D1371,{"brand_sales","office_coordination","receiving_kitting","drop_day","checks_pickup","reporting_debriefs","admin_invoicing"},0)),"activity must be one of the seven keys; ","")&amp;IF(OR(N($E1371)&lt;=0,N($E1371)&gt;16),"hours?; ","")&amp;IF(AND($C1371&lt;&gt;"",$B1371=""),"campaign without drop_id; ","")&amp;IF(AND($B1371&lt;&gt;"",COUNTIF(drops!$A$2:$A$21,$B1371)=0),"drop_id not on drops; ",""))</f>
        <v/>
      </c>
    </row>
    <row r="1372">
      <c r="A1372" s="9" t="n"/>
      <c r="E1372" s="10" t="n"/>
      <c r="G1372" s="25">
        <f>IF($A1372="","",IF(ISNA(MATCH($D1372,{"brand_sales","office_coordination","receiving_kitting","drop_day","checks_pickup","reporting_debriefs","admin_invoicing"},0)),"activity must be one of the seven keys; ","")&amp;IF(OR(N($E1372)&lt;=0,N($E1372)&gt;16),"hours?; ","")&amp;IF(AND($C1372&lt;&gt;"",$B1372=""),"campaign without drop_id; ","")&amp;IF(AND($B1372&lt;&gt;"",COUNTIF(drops!$A$2:$A$21,$B1372)=0),"drop_id not on drops; ",""))</f>
        <v/>
      </c>
    </row>
    <row r="1373">
      <c r="A1373" s="9" t="n"/>
      <c r="E1373" s="10" t="n"/>
      <c r="G1373" s="25">
        <f>IF($A1373="","",IF(ISNA(MATCH($D1373,{"brand_sales","office_coordination","receiving_kitting","drop_day","checks_pickup","reporting_debriefs","admin_invoicing"},0)),"activity must be one of the seven keys; ","")&amp;IF(OR(N($E1373)&lt;=0,N($E1373)&gt;16),"hours?; ","")&amp;IF(AND($C1373&lt;&gt;"",$B1373=""),"campaign without drop_id; ","")&amp;IF(AND($B1373&lt;&gt;"",COUNTIF(drops!$A$2:$A$21,$B1373)=0),"drop_id not on drops; ",""))</f>
        <v/>
      </c>
    </row>
    <row r="1374">
      <c r="A1374" s="9" t="n"/>
      <c r="E1374" s="10" t="n"/>
      <c r="G1374" s="25">
        <f>IF($A1374="","",IF(ISNA(MATCH($D1374,{"brand_sales","office_coordination","receiving_kitting","drop_day","checks_pickup","reporting_debriefs","admin_invoicing"},0)),"activity must be one of the seven keys; ","")&amp;IF(OR(N($E1374)&lt;=0,N($E1374)&gt;16),"hours?; ","")&amp;IF(AND($C1374&lt;&gt;"",$B1374=""),"campaign without drop_id; ","")&amp;IF(AND($B1374&lt;&gt;"",COUNTIF(drops!$A$2:$A$21,$B1374)=0),"drop_id not on drops; ",""))</f>
        <v/>
      </c>
    </row>
    <row r="1375">
      <c r="A1375" s="9" t="n"/>
      <c r="E1375" s="10" t="n"/>
      <c r="G1375" s="25">
        <f>IF($A1375="","",IF(ISNA(MATCH($D1375,{"brand_sales","office_coordination","receiving_kitting","drop_day","checks_pickup","reporting_debriefs","admin_invoicing"},0)),"activity must be one of the seven keys; ","")&amp;IF(OR(N($E1375)&lt;=0,N($E1375)&gt;16),"hours?; ","")&amp;IF(AND($C1375&lt;&gt;"",$B1375=""),"campaign without drop_id; ","")&amp;IF(AND($B1375&lt;&gt;"",COUNTIF(drops!$A$2:$A$21,$B1375)=0),"drop_id not on drops; ",""))</f>
        <v/>
      </c>
    </row>
    <row r="1376">
      <c r="A1376" s="9" t="n"/>
      <c r="E1376" s="10" t="n"/>
      <c r="G1376" s="25">
        <f>IF($A1376="","",IF(ISNA(MATCH($D1376,{"brand_sales","office_coordination","receiving_kitting","drop_day","checks_pickup","reporting_debriefs","admin_invoicing"},0)),"activity must be one of the seven keys; ","")&amp;IF(OR(N($E1376)&lt;=0,N($E1376)&gt;16),"hours?; ","")&amp;IF(AND($C1376&lt;&gt;"",$B1376=""),"campaign without drop_id; ","")&amp;IF(AND($B1376&lt;&gt;"",COUNTIF(drops!$A$2:$A$21,$B1376)=0),"drop_id not on drops; ",""))</f>
        <v/>
      </c>
    </row>
    <row r="1377">
      <c r="A1377" s="9" t="n"/>
      <c r="E1377" s="10" t="n"/>
      <c r="G1377" s="25">
        <f>IF($A1377="","",IF(ISNA(MATCH($D1377,{"brand_sales","office_coordination","receiving_kitting","drop_day","checks_pickup","reporting_debriefs","admin_invoicing"},0)),"activity must be one of the seven keys; ","")&amp;IF(OR(N($E1377)&lt;=0,N($E1377)&gt;16),"hours?; ","")&amp;IF(AND($C1377&lt;&gt;"",$B1377=""),"campaign without drop_id; ","")&amp;IF(AND($B1377&lt;&gt;"",COUNTIF(drops!$A$2:$A$21,$B1377)=0),"drop_id not on drops; ",""))</f>
        <v/>
      </c>
    </row>
    <row r="1378">
      <c r="A1378" s="9" t="n"/>
      <c r="E1378" s="10" t="n"/>
      <c r="G1378" s="25">
        <f>IF($A1378="","",IF(ISNA(MATCH($D1378,{"brand_sales","office_coordination","receiving_kitting","drop_day","checks_pickup","reporting_debriefs","admin_invoicing"},0)),"activity must be one of the seven keys; ","")&amp;IF(OR(N($E1378)&lt;=0,N($E1378)&gt;16),"hours?; ","")&amp;IF(AND($C1378&lt;&gt;"",$B1378=""),"campaign without drop_id; ","")&amp;IF(AND($B1378&lt;&gt;"",COUNTIF(drops!$A$2:$A$21,$B1378)=0),"drop_id not on drops; ",""))</f>
        <v/>
      </c>
    </row>
    <row r="1379">
      <c r="A1379" s="9" t="n"/>
      <c r="E1379" s="10" t="n"/>
      <c r="G1379" s="25">
        <f>IF($A1379="","",IF(ISNA(MATCH($D1379,{"brand_sales","office_coordination","receiving_kitting","drop_day","checks_pickup","reporting_debriefs","admin_invoicing"},0)),"activity must be one of the seven keys; ","")&amp;IF(OR(N($E1379)&lt;=0,N($E1379)&gt;16),"hours?; ","")&amp;IF(AND($C1379&lt;&gt;"",$B1379=""),"campaign without drop_id; ","")&amp;IF(AND($B1379&lt;&gt;"",COUNTIF(drops!$A$2:$A$21,$B1379)=0),"drop_id not on drops; ",""))</f>
        <v/>
      </c>
    </row>
    <row r="1380">
      <c r="A1380" s="9" t="n"/>
      <c r="E1380" s="10" t="n"/>
      <c r="G1380" s="25">
        <f>IF($A1380="","",IF(ISNA(MATCH($D1380,{"brand_sales","office_coordination","receiving_kitting","drop_day","checks_pickup","reporting_debriefs","admin_invoicing"},0)),"activity must be one of the seven keys; ","")&amp;IF(OR(N($E1380)&lt;=0,N($E1380)&gt;16),"hours?; ","")&amp;IF(AND($C1380&lt;&gt;"",$B1380=""),"campaign without drop_id; ","")&amp;IF(AND($B1380&lt;&gt;"",COUNTIF(drops!$A$2:$A$21,$B1380)=0),"drop_id not on drops; ",""))</f>
        <v/>
      </c>
    </row>
    <row r="1381">
      <c r="A1381" s="9" t="n"/>
      <c r="E1381" s="10" t="n"/>
      <c r="G1381" s="25">
        <f>IF($A1381="","",IF(ISNA(MATCH($D1381,{"brand_sales","office_coordination","receiving_kitting","drop_day","checks_pickup","reporting_debriefs","admin_invoicing"},0)),"activity must be one of the seven keys; ","")&amp;IF(OR(N($E1381)&lt;=0,N($E1381)&gt;16),"hours?; ","")&amp;IF(AND($C1381&lt;&gt;"",$B1381=""),"campaign without drop_id; ","")&amp;IF(AND($B1381&lt;&gt;"",COUNTIF(drops!$A$2:$A$21,$B1381)=0),"drop_id not on drops; ",""))</f>
        <v/>
      </c>
    </row>
    <row r="1382">
      <c r="A1382" s="9" t="n"/>
      <c r="E1382" s="10" t="n"/>
      <c r="G1382" s="25">
        <f>IF($A1382="","",IF(ISNA(MATCH($D1382,{"brand_sales","office_coordination","receiving_kitting","drop_day","checks_pickup","reporting_debriefs","admin_invoicing"},0)),"activity must be one of the seven keys; ","")&amp;IF(OR(N($E1382)&lt;=0,N($E1382)&gt;16),"hours?; ","")&amp;IF(AND($C1382&lt;&gt;"",$B1382=""),"campaign without drop_id; ","")&amp;IF(AND($B1382&lt;&gt;"",COUNTIF(drops!$A$2:$A$21,$B1382)=0),"drop_id not on drops; ",""))</f>
        <v/>
      </c>
    </row>
    <row r="1383">
      <c r="A1383" s="9" t="n"/>
      <c r="E1383" s="10" t="n"/>
      <c r="G1383" s="25">
        <f>IF($A1383="","",IF(ISNA(MATCH($D1383,{"brand_sales","office_coordination","receiving_kitting","drop_day","checks_pickup","reporting_debriefs","admin_invoicing"},0)),"activity must be one of the seven keys; ","")&amp;IF(OR(N($E1383)&lt;=0,N($E1383)&gt;16),"hours?; ","")&amp;IF(AND($C1383&lt;&gt;"",$B1383=""),"campaign without drop_id; ","")&amp;IF(AND($B1383&lt;&gt;"",COUNTIF(drops!$A$2:$A$21,$B1383)=0),"drop_id not on drops; ",""))</f>
        <v/>
      </c>
    </row>
    <row r="1384">
      <c r="A1384" s="9" t="n"/>
      <c r="E1384" s="10" t="n"/>
      <c r="G1384" s="25">
        <f>IF($A1384="","",IF(ISNA(MATCH($D1384,{"brand_sales","office_coordination","receiving_kitting","drop_day","checks_pickup","reporting_debriefs","admin_invoicing"},0)),"activity must be one of the seven keys; ","")&amp;IF(OR(N($E1384)&lt;=0,N($E1384)&gt;16),"hours?; ","")&amp;IF(AND($C1384&lt;&gt;"",$B1384=""),"campaign without drop_id; ","")&amp;IF(AND($B1384&lt;&gt;"",COUNTIF(drops!$A$2:$A$21,$B1384)=0),"drop_id not on drops; ",""))</f>
        <v/>
      </c>
    </row>
    <row r="1385">
      <c r="A1385" s="9" t="n"/>
      <c r="E1385" s="10" t="n"/>
      <c r="G1385" s="25">
        <f>IF($A1385="","",IF(ISNA(MATCH($D1385,{"brand_sales","office_coordination","receiving_kitting","drop_day","checks_pickup","reporting_debriefs","admin_invoicing"},0)),"activity must be one of the seven keys; ","")&amp;IF(OR(N($E1385)&lt;=0,N($E1385)&gt;16),"hours?; ","")&amp;IF(AND($C1385&lt;&gt;"",$B1385=""),"campaign without drop_id; ","")&amp;IF(AND($B1385&lt;&gt;"",COUNTIF(drops!$A$2:$A$21,$B1385)=0),"drop_id not on drops; ",""))</f>
        <v/>
      </c>
    </row>
    <row r="1386">
      <c r="A1386" s="9" t="n"/>
      <c r="E1386" s="10" t="n"/>
      <c r="G1386" s="25">
        <f>IF($A1386="","",IF(ISNA(MATCH($D1386,{"brand_sales","office_coordination","receiving_kitting","drop_day","checks_pickup","reporting_debriefs","admin_invoicing"},0)),"activity must be one of the seven keys; ","")&amp;IF(OR(N($E1386)&lt;=0,N($E1386)&gt;16),"hours?; ","")&amp;IF(AND($C1386&lt;&gt;"",$B1386=""),"campaign without drop_id; ","")&amp;IF(AND($B1386&lt;&gt;"",COUNTIF(drops!$A$2:$A$21,$B1386)=0),"drop_id not on drops; ",""))</f>
        <v/>
      </c>
    </row>
    <row r="1387">
      <c r="A1387" s="9" t="n"/>
      <c r="E1387" s="10" t="n"/>
      <c r="G1387" s="25">
        <f>IF($A1387="","",IF(ISNA(MATCH($D1387,{"brand_sales","office_coordination","receiving_kitting","drop_day","checks_pickup","reporting_debriefs","admin_invoicing"},0)),"activity must be one of the seven keys; ","")&amp;IF(OR(N($E1387)&lt;=0,N($E1387)&gt;16),"hours?; ","")&amp;IF(AND($C1387&lt;&gt;"",$B1387=""),"campaign without drop_id; ","")&amp;IF(AND($B1387&lt;&gt;"",COUNTIF(drops!$A$2:$A$21,$B1387)=0),"drop_id not on drops; ",""))</f>
        <v/>
      </c>
    </row>
    <row r="1388">
      <c r="A1388" s="9" t="n"/>
      <c r="E1388" s="10" t="n"/>
      <c r="G1388" s="25">
        <f>IF($A1388="","",IF(ISNA(MATCH($D1388,{"brand_sales","office_coordination","receiving_kitting","drop_day","checks_pickup","reporting_debriefs","admin_invoicing"},0)),"activity must be one of the seven keys; ","")&amp;IF(OR(N($E1388)&lt;=0,N($E1388)&gt;16),"hours?; ","")&amp;IF(AND($C1388&lt;&gt;"",$B1388=""),"campaign without drop_id; ","")&amp;IF(AND($B1388&lt;&gt;"",COUNTIF(drops!$A$2:$A$21,$B1388)=0),"drop_id not on drops; ",""))</f>
        <v/>
      </c>
    </row>
    <row r="1389">
      <c r="A1389" s="9" t="n"/>
      <c r="E1389" s="10" t="n"/>
      <c r="G1389" s="25">
        <f>IF($A1389="","",IF(ISNA(MATCH($D1389,{"brand_sales","office_coordination","receiving_kitting","drop_day","checks_pickup","reporting_debriefs","admin_invoicing"},0)),"activity must be one of the seven keys; ","")&amp;IF(OR(N($E1389)&lt;=0,N($E1389)&gt;16),"hours?; ","")&amp;IF(AND($C1389&lt;&gt;"",$B1389=""),"campaign without drop_id; ","")&amp;IF(AND($B1389&lt;&gt;"",COUNTIF(drops!$A$2:$A$21,$B1389)=0),"drop_id not on drops; ",""))</f>
        <v/>
      </c>
    </row>
    <row r="1390">
      <c r="A1390" s="9" t="n"/>
      <c r="E1390" s="10" t="n"/>
      <c r="G1390" s="25">
        <f>IF($A1390="","",IF(ISNA(MATCH($D1390,{"brand_sales","office_coordination","receiving_kitting","drop_day","checks_pickup","reporting_debriefs","admin_invoicing"},0)),"activity must be one of the seven keys; ","")&amp;IF(OR(N($E1390)&lt;=0,N($E1390)&gt;16),"hours?; ","")&amp;IF(AND($C1390&lt;&gt;"",$B1390=""),"campaign without drop_id; ","")&amp;IF(AND($B1390&lt;&gt;"",COUNTIF(drops!$A$2:$A$21,$B1390)=0),"drop_id not on drops; ",""))</f>
        <v/>
      </c>
    </row>
    <row r="1391">
      <c r="A1391" s="9" t="n"/>
      <c r="E1391" s="10" t="n"/>
      <c r="G1391" s="25">
        <f>IF($A1391="","",IF(ISNA(MATCH($D1391,{"brand_sales","office_coordination","receiving_kitting","drop_day","checks_pickup","reporting_debriefs","admin_invoicing"},0)),"activity must be one of the seven keys; ","")&amp;IF(OR(N($E1391)&lt;=0,N($E1391)&gt;16),"hours?; ","")&amp;IF(AND($C1391&lt;&gt;"",$B1391=""),"campaign without drop_id; ","")&amp;IF(AND($B1391&lt;&gt;"",COUNTIF(drops!$A$2:$A$21,$B1391)=0),"drop_id not on drops; ",""))</f>
        <v/>
      </c>
    </row>
    <row r="1392">
      <c r="A1392" s="9" t="n"/>
      <c r="E1392" s="10" t="n"/>
      <c r="G1392" s="25">
        <f>IF($A1392="","",IF(ISNA(MATCH($D1392,{"brand_sales","office_coordination","receiving_kitting","drop_day","checks_pickup","reporting_debriefs","admin_invoicing"},0)),"activity must be one of the seven keys; ","")&amp;IF(OR(N($E1392)&lt;=0,N($E1392)&gt;16),"hours?; ","")&amp;IF(AND($C1392&lt;&gt;"",$B1392=""),"campaign without drop_id; ","")&amp;IF(AND($B1392&lt;&gt;"",COUNTIF(drops!$A$2:$A$21,$B1392)=0),"drop_id not on drops; ",""))</f>
        <v/>
      </c>
    </row>
    <row r="1393">
      <c r="A1393" s="9" t="n"/>
      <c r="E1393" s="10" t="n"/>
      <c r="G1393" s="25">
        <f>IF($A1393="","",IF(ISNA(MATCH($D1393,{"brand_sales","office_coordination","receiving_kitting","drop_day","checks_pickup","reporting_debriefs","admin_invoicing"},0)),"activity must be one of the seven keys; ","")&amp;IF(OR(N($E1393)&lt;=0,N($E1393)&gt;16),"hours?; ","")&amp;IF(AND($C1393&lt;&gt;"",$B1393=""),"campaign without drop_id; ","")&amp;IF(AND($B1393&lt;&gt;"",COUNTIF(drops!$A$2:$A$21,$B1393)=0),"drop_id not on drops; ",""))</f>
        <v/>
      </c>
    </row>
    <row r="1394">
      <c r="A1394" s="9" t="n"/>
      <c r="E1394" s="10" t="n"/>
      <c r="G1394" s="25">
        <f>IF($A1394="","",IF(ISNA(MATCH($D1394,{"brand_sales","office_coordination","receiving_kitting","drop_day","checks_pickup","reporting_debriefs","admin_invoicing"},0)),"activity must be one of the seven keys; ","")&amp;IF(OR(N($E1394)&lt;=0,N($E1394)&gt;16),"hours?; ","")&amp;IF(AND($C1394&lt;&gt;"",$B1394=""),"campaign without drop_id; ","")&amp;IF(AND($B1394&lt;&gt;"",COUNTIF(drops!$A$2:$A$21,$B1394)=0),"drop_id not on drops; ",""))</f>
        <v/>
      </c>
    </row>
    <row r="1395">
      <c r="A1395" s="9" t="n"/>
      <c r="E1395" s="10" t="n"/>
      <c r="G1395" s="25">
        <f>IF($A1395="","",IF(ISNA(MATCH($D1395,{"brand_sales","office_coordination","receiving_kitting","drop_day","checks_pickup","reporting_debriefs","admin_invoicing"},0)),"activity must be one of the seven keys; ","")&amp;IF(OR(N($E1395)&lt;=0,N($E1395)&gt;16),"hours?; ","")&amp;IF(AND($C1395&lt;&gt;"",$B1395=""),"campaign without drop_id; ","")&amp;IF(AND($B1395&lt;&gt;"",COUNTIF(drops!$A$2:$A$21,$B1395)=0),"drop_id not on drops; ",""))</f>
        <v/>
      </c>
    </row>
    <row r="1396">
      <c r="A1396" s="9" t="n"/>
      <c r="E1396" s="10" t="n"/>
      <c r="G1396" s="25">
        <f>IF($A1396="","",IF(ISNA(MATCH($D1396,{"brand_sales","office_coordination","receiving_kitting","drop_day","checks_pickup","reporting_debriefs","admin_invoicing"},0)),"activity must be one of the seven keys; ","")&amp;IF(OR(N($E1396)&lt;=0,N($E1396)&gt;16),"hours?; ","")&amp;IF(AND($C1396&lt;&gt;"",$B1396=""),"campaign without drop_id; ","")&amp;IF(AND($B1396&lt;&gt;"",COUNTIF(drops!$A$2:$A$21,$B1396)=0),"drop_id not on drops; ",""))</f>
        <v/>
      </c>
    </row>
    <row r="1397">
      <c r="A1397" s="9" t="n"/>
      <c r="E1397" s="10" t="n"/>
      <c r="G1397" s="25">
        <f>IF($A1397="","",IF(ISNA(MATCH($D1397,{"brand_sales","office_coordination","receiving_kitting","drop_day","checks_pickup","reporting_debriefs","admin_invoicing"},0)),"activity must be one of the seven keys; ","")&amp;IF(OR(N($E1397)&lt;=0,N($E1397)&gt;16),"hours?; ","")&amp;IF(AND($C1397&lt;&gt;"",$B1397=""),"campaign without drop_id; ","")&amp;IF(AND($B1397&lt;&gt;"",COUNTIF(drops!$A$2:$A$21,$B1397)=0),"drop_id not on drops; ",""))</f>
        <v/>
      </c>
    </row>
    <row r="1398">
      <c r="A1398" s="9" t="n"/>
      <c r="E1398" s="10" t="n"/>
      <c r="G1398" s="25">
        <f>IF($A1398="","",IF(ISNA(MATCH($D1398,{"brand_sales","office_coordination","receiving_kitting","drop_day","checks_pickup","reporting_debriefs","admin_invoicing"},0)),"activity must be one of the seven keys; ","")&amp;IF(OR(N($E1398)&lt;=0,N($E1398)&gt;16),"hours?; ","")&amp;IF(AND($C1398&lt;&gt;"",$B1398=""),"campaign without drop_id; ","")&amp;IF(AND($B1398&lt;&gt;"",COUNTIF(drops!$A$2:$A$21,$B1398)=0),"drop_id not on drops; ",""))</f>
        <v/>
      </c>
    </row>
    <row r="1399">
      <c r="A1399" s="9" t="n"/>
      <c r="E1399" s="10" t="n"/>
      <c r="G1399" s="25">
        <f>IF($A1399="","",IF(ISNA(MATCH($D1399,{"brand_sales","office_coordination","receiving_kitting","drop_day","checks_pickup","reporting_debriefs","admin_invoicing"},0)),"activity must be one of the seven keys; ","")&amp;IF(OR(N($E1399)&lt;=0,N($E1399)&gt;16),"hours?; ","")&amp;IF(AND($C1399&lt;&gt;"",$B1399=""),"campaign without drop_id; ","")&amp;IF(AND($B1399&lt;&gt;"",COUNTIF(drops!$A$2:$A$21,$B1399)=0),"drop_id not on drops; ",""))</f>
        <v/>
      </c>
    </row>
    <row r="1400">
      <c r="A1400" s="9" t="n"/>
      <c r="E1400" s="10" t="n"/>
      <c r="G1400" s="25">
        <f>IF($A1400="","",IF(ISNA(MATCH($D1400,{"brand_sales","office_coordination","receiving_kitting","drop_day","checks_pickup","reporting_debriefs","admin_invoicing"},0)),"activity must be one of the seven keys; ","")&amp;IF(OR(N($E1400)&lt;=0,N($E1400)&gt;16),"hours?; ","")&amp;IF(AND($C1400&lt;&gt;"",$B1400=""),"campaign without drop_id; ","")&amp;IF(AND($B1400&lt;&gt;"",COUNTIF(drops!$A$2:$A$21,$B1400)=0),"drop_id not on drops; ",""))</f>
        <v/>
      </c>
    </row>
    <row r="1401">
      <c r="A1401" s="9" t="n"/>
      <c r="E1401" s="10" t="n"/>
      <c r="G1401" s="25">
        <f>IF($A1401="","",IF(ISNA(MATCH($D1401,{"brand_sales","office_coordination","receiving_kitting","drop_day","checks_pickup","reporting_debriefs","admin_invoicing"},0)),"activity must be one of the seven keys; ","")&amp;IF(OR(N($E1401)&lt;=0,N($E1401)&gt;16),"hours?; ","")&amp;IF(AND($C1401&lt;&gt;"",$B1401=""),"campaign without drop_id; ","")&amp;IF(AND($B1401&lt;&gt;"",COUNTIF(drops!$A$2:$A$21,$B1401)=0),"drop_id not on drops; ",""))</f>
        <v/>
      </c>
    </row>
    <row r="1402">
      <c r="A1402" s="9" t="n"/>
      <c r="E1402" s="10" t="n"/>
      <c r="G1402" s="25">
        <f>IF($A1402="","",IF(ISNA(MATCH($D1402,{"brand_sales","office_coordination","receiving_kitting","drop_day","checks_pickup","reporting_debriefs","admin_invoicing"},0)),"activity must be one of the seven keys; ","")&amp;IF(OR(N($E1402)&lt;=0,N($E1402)&gt;16),"hours?; ","")&amp;IF(AND($C1402&lt;&gt;"",$B1402=""),"campaign without drop_id; ","")&amp;IF(AND($B1402&lt;&gt;"",COUNTIF(drops!$A$2:$A$21,$B1402)=0),"drop_id not on drops; ",""))</f>
        <v/>
      </c>
    </row>
    <row r="1403">
      <c r="A1403" s="9" t="n"/>
      <c r="E1403" s="10" t="n"/>
      <c r="G1403" s="25">
        <f>IF($A1403="","",IF(ISNA(MATCH($D1403,{"brand_sales","office_coordination","receiving_kitting","drop_day","checks_pickup","reporting_debriefs","admin_invoicing"},0)),"activity must be one of the seven keys; ","")&amp;IF(OR(N($E1403)&lt;=0,N($E1403)&gt;16),"hours?; ","")&amp;IF(AND($C1403&lt;&gt;"",$B1403=""),"campaign without drop_id; ","")&amp;IF(AND($B1403&lt;&gt;"",COUNTIF(drops!$A$2:$A$21,$B1403)=0),"drop_id not on drops; ",""))</f>
        <v/>
      </c>
    </row>
    <row r="1404">
      <c r="A1404" s="9" t="n"/>
      <c r="E1404" s="10" t="n"/>
      <c r="G1404" s="25">
        <f>IF($A1404="","",IF(ISNA(MATCH($D1404,{"brand_sales","office_coordination","receiving_kitting","drop_day","checks_pickup","reporting_debriefs","admin_invoicing"},0)),"activity must be one of the seven keys; ","")&amp;IF(OR(N($E1404)&lt;=0,N($E1404)&gt;16),"hours?; ","")&amp;IF(AND($C1404&lt;&gt;"",$B1404=""),"campaign without drop_id; ","")&amp;IF(AND($B1404&lt;&gt;"",COUNTIF(drops!$A$2:$A$21,$B1404)=0),"drop_id not on drops; ",""))</f>
        <v/>
      </c>
    </row>
    <row r="1405">
      <c r="A1405" s="9" t="n"/>
      <c r="E1405" s="10" t="n"/>
      <c r="G1405" s="25">
        <f>IF($A1405="","",IF(ISNA(MATCH($D1405,{"brand_sales","office_coordination","receiving_kitting","drop_day","checks_pickup","reporting_debriefs","admin_invoicing"},0)),"activity must be one of the seven keys; ","")&amp;IF(OR(N($E1405)&lt;=0,N($E1405)&gt;16),"hours?; ","")&amp;IF(AND($C1405&lt;&gt;"",$B1405=""),"campaign without drop_id; ","")&amp;IF(AND($B1405&lt;&gt;"",COUNTIF(drops!$A$2:$A$21,$B1405)=0),"drop_id not on drops; ",""))</f>
        <v/>
      </c>
    </row>
    <row r="1406">
      <c r="A1406" s="9" t="n"/>
      <c r="E1406" s="10" t="n"/>
      <c r="G1406" s="25">
        <f>IF($A1406="","",IF(ISNA(MATCH($D1406,{"brand_sales","office_coordination","receiving_kitting","drop_day","checks_pickup","reporting_debriefs","admin_invoicing"},0)),"activity must be one of the seven keys; ","")&amp;IF(OR(N($E1406)&lt;=0,N($E1406)&gt;16),"hours?; ","")&amp;IF(AND($C1406&lt;&gt;"",$B1406=""),"campaign without drop_id; ","")&amp;IF(AND($B1406&lt;&gt;"",COUNTIF(drops!$A$2:$A$21,$B1406)=0),"drop_id not on drops; ",""))</f>
        <v/>
      </c>
    </row>
    <row r="1407">
      <c r="A1407" s="9" t="n"/>
      <c r="E1407" s="10" t="n"/>
      <c r="G1407" s="25">
        <f>IF($A1407="","",IF(ISNA(MATCH($D1407,{"brand_sales","office_coordination","receiving_kitting","drop_day","checks_pickup","reporting_debriefs","admin_invoicing"},0)),"activity must be one of the seven keys; ","")&amp;IF(OR(N($E1407)&lt;=0,N($E1407)&gt;16),"hours?; ","")&amp;IF(AND($C1407&lt;&gt;"",$B1407=""),"campaign without drop_id; ","")&amp;IF(AND($B1407&lt;&gt;"",COUNTIF(drops!$A$2:$A$21,$B1407)=0),"drop_id not on drops; ",""))</f>
        <v/>
      </c>
    </row>
    <row r="1408">
      <c r="A1408" s="9" t="n"/>
      <c r="E1408" s="10" t="n"/>
      <c r="G1408" s="25">
        <f>IF($A1408="","",IF(ISNA(MATCH($D1408,{"brand_sales","office_coordination","receiving_kitting","drop_day","checks_pickup","reporting_debriefs","admin_invoicing"},0)),"activity must be one of the seven keys; ","")&amp;IF(OR(N($E1408)&lt;=0,N($E1408)&gt;16),"hours?; ","")&amp;IF(AND($C1408&lt;&gt;"",$B1408=""),"campaign without drop_id; ","")&amp;IF(AND($B1408&lt;&gt;"",COUNTIF(drops!$A$2:$A$21,$B1408)=0),"drop_id not on drops; ",""))</f>
        <v/>
      </c>
    </row>
    <row r="1409">
      <c r="A1409" s="9" t="n"/>
      <c r="E1409" s="10" t="n"/>
      <c r="G1409" s="25">
        <f>IF($A1409="","",IF(ISNA(MATCH($D1409,{"brand_sales","office_coordination","receiving_kitting","drop_day","checks_pickup","reporting_debriefs","admin_invoicing"},0)),"activity must be one of the seven keys; ","")&amp;IF(OR(N($E1409)&lt;=0,N($E1409)&gt;16),"hours?; ","")&amp;IF(AND($C1409&lt;&gt;"",$B1409=""),"campaign without drop_id; ","")&amp;IF(AND($B1409&lt;&gt;"",COUNTIF(drops!$A$2:$A$21,$B1409)=0),"drop_id not on drops; ",""))</f>
        <v/>
      </c>
    </row>
    <row r="1410">
      <c r="A1410" s="9" t="n"/>
      <c r="E1410" s="10" t="n"/>
      <c r="G1410" s="25">
        <f>IF($A1410="","",IF(ISNA(MATCH($D1410,{"brand_sales","office_coordination","receiving_kitting","drop_day","checks_pickup","reporting_debriefs","admin_invoicing"},0)),"activity must be one of the seven keys; ","")&amp;IF(OR(N($E1410)&lt;=0,N($E1410)&gt;16),"hours?; ","")&amp;IF(AND($C1410&lt;&gt;"",$B1410=""),"campaign without drop_id; ","")&amp;IF(AND($B1410&lt;&gt;"",COUNTIF(drops!$A$2:$A$21,$B1410)=0),"drop_id not on drops; ",""))</f>
        <v/>
      </c>
    </row>
    <row r="1411">
      <c r="A1411" s="9" t="n"/>
      <c r="E1411" s="10" t="n"/>
      <c r="G1411" s="25">
        <f>IF($A1411="","",IF(ISNA(MATCH($D1411,{"brand_sales","office_coordination","receiving_kitting","drop_day","checks_pickup","reporting_debriefs","admin_invoicing"},0)),"activity must be one of the seven keys; ","")&amp;IF(OR(N($E1411)&lt;=0,N($E1411)&gt;16),"hours?; ","")&amp;IF(AND($C1411&lt;&gt;"",$B1411=""),"campaign without drop_id; ","")&amp;IF(AND($B1411&lt;&gt;"",COUNTIF(drops!$A$2:$A$21,$B1411)=0),"drop_id not on drops; ",""))</f>
        <v/>
      </c>
    </row>
    <row r="1412">
      <c r="A1412" s="9" t="n"/>
      <c r="E1412" s="10" t="n"/>
      <c r="G1412" s="25">
        <f>IF($A1412="","",IF(ISNA(MATCH($D1412,{"brand_sales","office_coordination","receiving_kitting","drop_day","checks_pickup","reporting_debriefs","admin_invoicing"},0)),"activity must be one of the seven keys; ","")&amp;IF(OR(N($E1412)&lt;=0,N($E1412)&gt;16),"hours?; ","")&amp;IF(AND($C1412&lt;&gt;"",$B1412=""),"campaign without drop_id; ","")&amp;IF(AND($B1412&lt;&gt;"",COUNTIF(drops!$A$2:$A$21,$B1412)=0),"drop_id not on drops; ",""))</f>
        <v/>
      </c>
    </row>
    <row r="1413">
      <c r="A1413" s="9" t="n"/>
      <c r="E1413" s="10" t="n"/>
      <c r="G1413" s="25">
        <f>IF($A1413="","",IF(ISNA(MATCH($D1413,{"brand_sales","office_coordination","receiving_kitting","drop_day","checks_pickup","reporting_debriefs","admin_invoicing"},0)),"activity must be one of the seven keys; ","")&amp;IF(OR(N($E1413)&lt;=0,N($E1413)&gt;16),"hours?; ","")&amp;IF(AND($C1413&lt;&gt;"",$B1413=""),"campaign without drop_id; ","")&amp;IF(AND($B1413&lt;&gt;"",COUNTIF(drops!$A$2:$A$21,$B1413)=0),"drop_id not on drops; ",""))</f>
        <v/>
      </c>
    </row>
    <row r="1414">
      <c r="A1414" s="9" t="n"/>
      <c r="E1414" s="10" t="n"/>
      <c r="G1414" s="25">
        <f>IF($A1414="","",IF(ISNA(MATCH($D1414,{"brand_sales","office_coordination","receiving_kitting","drop_day","checks_pickup","reporting_debriefs","admin_invoicing"},0)),"activity must be one of the seven keys; ","")&amp;IF(OR(N($E1414)&lt;=0,N($E1414)&gt;16),"hours?; ","")&amp;IF(AND($C1414&lt;&gt;"",$B1414=""),"campaign without drop_id; ","")&amp;IF(AND($B1414&lt;&gt;"",COUNTIF(drops!$A$2:$A$21,$B1414)=0),"drop_id not on drops; ",""))</f>
        <v/>
      </c>
    </row>
    <row r="1415">
      <c r="A1415" s="9" t="n"/>
      <c r="E1415" s="10" t="n"/>
      <c r="G1415" s="25">
        <f>IF($A1415="","",IF(ISNA(MATCH($D1415,{"brand_sales","office_coordination","receiving_kitting","drop_day","checks_pickup","reporting_debriefs","admin_invoicing"},0)),"activity must be one of the seven keys; ","")&amp;IF(OR(N($E1415)&lt;=0,N($E1415)&gt;16),"hours?; ","")&amp;IF(AND($C1415&lt;&gt;"",$B1415=""),"campaign without drop_id; ","")&amp;IF(AND($B1415&lt;&gt;"",COUNTIF(drops!$A$2:$A$21,$B1415)=0),"drop_id not on drops; ",""))</f>
        <v/>
      </c>
    </row>
    <row r="1416">
      <c r="A1416" s="9" t="n"/>
      <c r="E1416" s="10" t="n"/>
      <c r="G1416" s="25">
        <f>IF($A1416="","",IF(ISNA(MATCH($D1416,{"brand_sales","office_coordination","receiving_kitting","drop_day","checks_pickup","reporting_debriefs","admin_invoicing"},0)),"activity must be one of the seven keys; ","")&amp;IF(OR(N($E1416)&lt;=0,N($E1416)&gt;16),"hours?; ","")&amp;IF(AND($C1416&lt;&gt;"",$B1416=""),"campaign without drop_id; ","")&amp;IF(AND($B1416&lt;&gt;"",COUNTIF(drops!$A$2:$A$21,$B1416)=0),"drop_id not on drops; ",""))</f>
        <v/>
      </c>
    </row>
    <row r="1417">
      <c r="A1417" s="9" t="n"/>
      <c r="E1417" s="10" t="n"/>
      <c r="G1417" s="25">
        <f>IF($A1417="","",IF(ISNA(MATCH($D1417,{"brand_sales","office_coordination","receiving_kitting","drop_day","checks_pickup","reporting_debriefs","admin_invoicing"},0)),"activity must be one of the seven keys; ","")&amp;IF(OR(N($E1417)&lt;=0,N($E1417)&gt;16),"hours?; ","")&amp;IF(AND($C1417&lt;&gt;"",$B1417=""),"campaign without drop_id; ","")&amp;IF(AND($B1417&lt;&gt;"",COUNTIF(drops!$A$2:$A$21,$B1417)=0),"drop_id not on drops; ",""))</f>
        <v/>
      </c>
    </row>
    <row r="1418">
      <c r="A1418" s="9" t="n"/>
      <c r="E1418" s="10" t="n"/>
      <c r="G1418" s="25">
        <f>IF($A1418="","",IF(ISNA(MATCH($D1418,{"brand_sales","office_coordination","receiving_kitting","drop_day","checks_pickup","reporting_debriefs","admin_invoicing"},0)),"activity must be one of the seven keys; ","")&amp;IF(OR(N($E1418)&lt;=0,N($E1418)&gt;16),"hours?; ","")&amp;IF(AND($C1418&lt;&gt;"",$B1418=""),"campaign without drop_id; ","")&amp;IF(AND($B1418&lt;&gt;"",COUNTIF(drops!$A$2:$A$21,$B1418)=0),"drop_id not on drops; ",""))</f>
        <v/>
      </c>
    </row>
    <row r="1419">
      <c r="A1419" s="9" t="n"/>
      <c r="E1419" s="10" t="n"/>
      <c r="G1419" s="25">
        <f>IF($A1419="","",IF(ISNA(MATCH($D1419,{"brand_sales","office_coordination","receiving_kitting","drop_day","checks_pickup","reporting_debriefs","admin_invoicing"},0)),"activity must be one of the seven keys; ","")&amp;IF(OR(N($E1419)&lt;=0,N($E1419)&gt;16),"hours?; ","")&amp;IF(AND($C1419&lt;&gt;"",$B1419=""),"campaign without drop_id; ","")&amp;IF(AND($B1419&lt;&gt;"",COUNTIF(drops!$A$2:$A$21,$B1419)=0),"drop_id not on drops; ",""))</f>
        <v/>
      </c>
    </row>
    <row r="1420">
      <c r="A1420" s="9" t="n"/>
      <c r="E1420" s="10" t="n"/>
      <c r="G1420" s="25">
        <f>IF($A1420="","",IF(ISNA(MATCH($D1420,{"brand_sales","office_coordination","receiving_kitting","drop_day","checks_pickup","reporting_debriefs","admin_invoicing"},0)),"activity must be one of the seven keys; ","")&amp;IF(OR(N($E1420)&lt;=0,N($E1420)&gt;16),"hours?; ","")&amp;IF(AND($C1420&lt;&gt;"",$B1420=""),"campaign without drop_id; ","")&amp;IF(AND($B1420&lt;&gt;"",COUNTIF(drops!$A$2:$A$21,$B1420)=0),"drop_id not on drops; ",""))</f>
        <v/>
      </c>
    </row>
    <row r="1421">
      <c r="A1421" s="9" t="n"/>
      <c r="E1421" s="10" t="n"/>
      <c r="G1421" s="25">
        <f>IF($A1421="","",IF(ISNA(MATCH($D1421,{"brand_sales","office_coordination","receiving_kitting","drop_day","checks_pickup","reporting_debriefs","admin_invoicing"},0)),"activity must be one of the seven keys; ","")&amp;IF(OR(N($E1421)&lt;=0,N($E1421)&gt;16),"hours?; ","")&amp;IF(AND($C1421&lt;&gt;"",$B1421=""),"campaign without drop_id; ","")&amp;IF(AND($B1421&lt;&gt;"",COUNTIF(drops!$A$2:$A$21,$B1421)=0),"drop_id not on drops; ",""))</f>
        <v/>
      </c>
    </row>
    <row r="1422">
      <c r="A1422" s="9" t="n"/>
      <c r="E1422" s="10" t="n"/>
      <c r="G1422" s="25">
        <f>IF($A1422="","",IF(ISNA(MATCH($D1422,{"brand_sales","office_coordination","receiving_kitting","drop_day","checks_pickup","reporting_debriefs","admin_invoicing"},0)),"activity must be one of the seven keys; ","")&amp;IF(OR(N($E1422)&lt;=0,N($E1422)&gt;16),"hours?; ","")&amp;IF(AND($C1422&lt;&gt;"",$B1422=""),"campaign without drop_id; ","")&amp;IF(AND($B1422&lt;&gt;"",COUNTIF(drops!$A$2:$A$21,$B1422)=0),"drop_id not on drops; ",""))</f>
        <v/>
      </c>
    </row>
    <row r="1423">
      <c r="A1423" s="9" t="n"/>
      <c r="E1423" s="10" t="n"/>
      <c r="G1423" s="25">
        <f>IF($A1423="","",IF(ISNA(MATCH($D1423,{"brand_sales","office_coordination","receiving_kitting","drop_day","checks_pickup","reporting_debriefs","admin_invoicing"},0)),"activity must be one of the seven keys; ","")&amp;IF(OR(N($E1423)&lt;=0,N($E1423)&gt;16),"hours?; ","")&amp;IF(AND($C1423&lt;&gt;"",$B1423=""),"campaign without drop_id; ","")&amp;IF(AND($B1423&lt;&gt;"",COUNTIF(drops!$A$2:$A$21,$B1423)=0),"drop_id not on drops; ",""))</f>
        <v/>
      </c>
    </row>
    <row r="1424">
      <c r="A1424" s="9" t="n"/>
      <c r="E1424" s="10" t="n"/>
      <c r="G1424" s="25">
        <f>IF($A1424="","",IF(ISNA(MATCH($D1424,{"brand_sales","office_coordination","receiving_kitting","drop_day","checks_pickup","reporting_debriefs","admin_invoicing"},0)),"activity must be one of the seven keys; ","")&amp;IF(OR(N($E1424)&lt;=0,N($E1424)&gt;16),"hours?; ","")&amp;IF(AND($C1424&lt;&gt;"",$B1424=""),"campaign without drop_id; ","")&amp;IF(AND($B1424&lt;&gt;"",COUNTIF(drops!$A$2:$A$21,$B1424)=0),"drop_id not on drops; ",""))</f>
        <v/>
      </c>
    </row>
    <row r="1425">
      <c r="A1425" s="9" t="n"/>
      <c r="E1425" s="10" t="n"/>
      <c r="G1425" s="25">
        <f>IF($A1425="","",IF(ISNA(MATCH($D1425,{"brand_sales","office_coordination","receiving_kitting","drop_day","checks_pickup","reporting_debriefs","admin_invoicing"},0)),"activity must be one of the seven keys; ","")&amp;IF(OR(N($E1425)&lt;=0,N($E1425)&gt;16),"hours?; ","")&amp;IF(AND($C1425&lt;&gt;"",$B1425=""),"campaign without drop_id; ","")&amp;IF(AND($B1425&lt;&gt;"",COUNTIF(drops!$A$2:$A$21,$B1425)=0),"drop_id not on drops; ",""))</f>
        <v/>
      </c>
    </row>
    <row r="1426">
      <c r="A1426" s="9" t="n"/>
      <c r="E1426" s="10" t="n"/>
      <c r="G1426" s="25">
        <f>IF($A1426="","",IF(ISNA(MATCH($D1426,{"brand_sales","office_coordination","receiving_kitting","drop_day","checks_pickup","reporting_debriefs","admin_invoicing"},0)),"activity must be one of the seven keys; ","")&amp;IF(OR(N($E1426)&lt;=0,N($E1426)&gt;16),"hours?; ","")&amp;IF(AND($C1426&lt;&gt;"",$B1426=""),"campaign without drop_id; ","")&amp;IF(AND($B1426&lt;&gt;"",COUNTIF(drops!$A$2:$A$21,$B1426)=0),"drop_id not on drops; ",""))</f>
        <v/>
      </c>
    </row>
    <row r="1427">
      <c r="A1427" s="9" t="n"/>
      <c r="E1427" s="10" t="n"/>
      <c r="G1427" s="25">
        <f>IF($A1427="","",IF(ISNA(MATCH($D1427,{"brand_sales","office_coordination","receiving_kitting","drop_day","checks_pickup","reporting_debriefs","admin_invoicing"},0)),"activity must be one of the seven keys; ","")&amp;IF(OR(N($E1427)&lt;=0,N($E1427)&gt;16),"hours?; ","")&amp;IF(AND($C1427&lt;&gt;"",$B1427=""),"campaign without drop_id; ","")&amp;IF(AND($B1427&lt;&gt;"",COUNTIF(drops!$A$2:$A$21,$B1427)=0),"drop_id not on drops; ",""))</f>
        <v/>
      </c>
    </row>
    <row r="1428">
      <c r="A1428" s="9" t="n"/>
      <c r="E1428" s="10" t="n"/>
      <c r="G1428" s="25">
        <f>IF($A1428="","",IF(ISNA(MATCH($D1428,{"brand_sales","office_coordination","receiving_kitting","drop_day","checks_pickup","reporting_debriefs","admin_invoicing"},0)),"activity must be one of the seven keys; ","")&amp;IF(OR(N($E1428)&lt;=0,N($E1428)&gt;16),"hours?; ","")&amp;IF(AND($C1428&lt;&gt;"",$B1428=""),"campaign without drop_id; ","")&amp;IF(AND($B1428&lt;&gt;"",COUNTIF(drops!$A$2:$A$21,$B1428)=0),"drop_id not on drops; ",""))</f>
        <v/>
      </c>
    </row>
    <row r="1429">
      <c r="A1429" s="9" t="n"/>
      <c r="E1429" s="10" t="n"/>
      <c r="G1429" s="25">
        <f>IF($A1429="","",IF(ISNA(MATCH($D1429,{"brand_sales","office_coordination","receiving_kitting","drop_day","checks_pickup","reporting_debriefs","admin_invoicing"},0)),"activity must be one of the seven keys; ","")&amp;IF(OR(N($E1429)&lt;=0,N($E1429)&gt;16),"hours?; ","")&amp;IF(AND($C1429&lt;&gt;"",$B1429=""),"campaign without drop_id; ","")&amp;IF(AND($B1429&lt;&gt;"",COUNTIF(drops!$A$2:$A$21,$B1429)=0),"drop_id not on drops; ",""))</f>
        <v/>
      </c>
    </row>
    <row r="1430">
      <c r="A1430" s="9" t="n"/>
      <c r="E1430" s="10" t="n"/>
      <c r="G1430" s="25">
        <f>IF($A1430="","",IF(ISNA(MATCH($D1430,{"brand_sales","office_coordination","receiving_kitting","drop_day","checks_pickup","reporting_debriefs","admin_invoicing"},0)),"activity must be one of the seven keys; ","")&amp;IF(OR(N($E1430)&lt;=0,N($E1430)&gt;16),"hours?; ","")&amp;IF(AND($C1430&lt;&gt;"",$B1430=""),"campaign without drop_id; ","")&amp;IF(AND($B1430&lt;&gt;"",COUNTIF(drops!$A$2:$A$21,$B1430)=0),"drop_id not on drops; ",""))</f>
        <v/>
      </c>
    </row>
    <row r="1431">
      <c r="A1431" s="9" t="n"/>
      <c r="E1431" s="10" t="n"/>
      <c r="G1431" s="25">
        <f>IF($A1431="","",IF(ISNA(MATCH($D1431,{"brand_sales","office_coordination","receiving_kitting","drop_day","checks_pickup","reporting_debriefs","admin_invoicing"},0)),"activity must be one of the seven keys; ","")&amp;IF(OR(N($E1431)&lt;=0,N($E1431)&gt;16),"hours?; ","")&amp;IF(AND($C1431&lt;&gt;"",$B1431=""),"campaign without drop_id; ","")&amp;IF(AND($B1431&lt;&gt;"",COUNTIF(drops!$A$2:$A$21,$B1431)=0),"drop_id not on drops; ",""))</f>
        <v/>
      </c>
    </row>
    <row r="1432">
      <c r="A1432" s="9" t="n"/>
      <c r="E1432" s="10" t="n"/>
      <c r="G1432" s="25">
        <f>IF($A1432="","",IF(ISNA(MATCH($D1432,{"brand_sales","office_coordination","receiving_kitting","drop_day","checks_pickup","reporting_debriefs","admin_invoicing"},0)),"activity must be one of the seven keys; ","")&amp;IF(OR(N($E1432)&lt;=0,N($E1432)&gt;16),"hours?; ","")&amp;IF(AND($C1432&lt;&gt;"",$B1432=""),"campaign without drop_id; ","")&amp;IF(AND($B1432&lt;&gt;"",COUNTIF(drops!$A$2:$A$21,$B1432)=0),"drop_id not on drops; ",""))</f>
        <v/>
      </c>
    </row>
    <row r="1433">
      <c r="A1433" s="9" t="n"/>
      <c r="E1433" s="10" t="n"/>
      <c r="G1433" s="25">
        <f>IF($A1433="","",IF(ISNA(MATCH($D1433,{"brand_sales","office_coordination","receiving_kitting","drop_day","checks_pickup","reporting_debriefs","admin_invoicing"},0)),"activity must be one of the seven keys; ","")&amp;IF(OR(N($E1433)&lt;=0,N($E1433)&gt;16),"hours?; ","")&amp;IF(AND($C1433&lt;&gt;"",$B1433=""),"campaign without drop_id; ","")&amp;IF(AND($B1433&lt;&gt;"",COUNTIF(drops!$A$2:$A$21,$B1433)=0),"drop_id not on drops; ",""))</f>
        <v/>
      </c>
    </row>
    <row r="1434">
      <c r="A1434" s="9" t="n"/>
      <c r="E1434" s="10" t="n"/>
      <c r="G1434" s="25">
        <f>IF($A1434="","",IF(ISNA(MATCH($D1434,{"brand_sales","office_coordination","receiving_kitting","drop_day","checks_pickup","reporting_debriefs","admin_invoicing"},0)),"activity must be one of the seven keys; ","")&amp;IF(OR(N($E1434)&lt;=0,N($E1434)&gt;16),"hours?; ","")&amp;IF(AND($C1434&lt;&gt;"",$B1434=""),"campaign without drop_id; ","")&amp;IF(AND($B1434&lt;&gt;"",COUNTIF(drops!$A$2:$A$21,$B1434)=0),"drop_id not on drops; ",""))</f>
        <v/>
      </c>
    </row>
    <row r="1435">
      <c r="A1435" s="9" t="n"/>
      <c r="E1435" s="10" t="n"/>
      <c r="G1435" s="25">
        <f>IF($A1435="","",IF(ISNA(MATCH($D1435,{"brand_sales","office_coordination","receiving_kitting","drop_day","checks_pickup","reporting_debriefs","admin_invoicing"},0)),"activity must be one of the seven keys; ","")&amp;IF(OR(N($E1435)&lt;=0,N($E1435)&gt;16),"hours?; ","")&amp;IF(AND($C1435&lt;&gt;"",$B1435=""),"campaign without drop_id; ","")&amp;IF(AND($B1435&lt;&gt;"",COUNTIF(drops!$A$2:$A$21,$B1435)=0),"drop_id not on drops; ",""))</f>
        <v/>
      </c>
    </row>
    <row r="1436">
      <c r="A1436" s="9" t="n"/>
      <c r="E1436" s="10" t="n"/>
      <c r="G1436" s="25">
        <f>IF($A1436="","",IF(ISNA(MATCH($D1436,{"brand_sales","office_coordination","receiving_kitting","drop_day","checks_pickup","reporting_debriefs","admin_invoicing"},0)),"activity must be one of the seven keys; ","")&amp;IF(OR(N($E1436)&lt;=0,N($E1436)&gt;16),"hours?; ","")&amp;IF(AND($C1436&lt;&gt;"",$B1436=""),"campaign without drop_id; ","")&amp;IF(AND($B1436&lt;&gt;"",COUNTIF(drops!$A$2:$A$21,$B1436)=0),"drop_id not on drops; ",""))</f>
        <v/>
      </c>
    </row>
    <row r="1437">
      <c r="A1437" s="9" t="n"/>
      <c r="E1437" s="10" t="n"/>
      <c r="G1437" s="25">
        <f>IF($A1437="","",IF(ISNA(MATCH($D1437,{"brand_sales","office_coordination","receiving_kitting","drop_day","checks_pickup","reporting_debriefs","admin_invoicing"},0)),"activity must be one of the seven keys; ","")&amp;IF(OR(N($E1437)&lt;=0,N($E1437)&gt;16),"hours?; ","")&amp;IF(AND($C1437&lt;&gt;"",$B1437=""),"campaign without drop_id; ","")&amp;IF(AND($B1437&lt;&gt;"",COUNTIF(drops!$A$2:$A$21,$B1437)=0),"drop_id not on drops; ",""))</f>
        <v/>
      </c>
    </row>
    <row r="1438">
      <c r="A1438" s="9" t="n"/>
      <c r="E1438" s="10" t="n"/>
      <c r="G1438" s="25">
        <f>IF($A1438="","",IF(ISNA(MATCH($D1438,{"brand_sales","office_coordination","receiving_kitting","drop_day","checks_pickup","reporting_debriefs","admin_invoicing"},0)),"activity must be one of the seven keys; ","")&amp;IF(OR(N($E1438)&lt;=0,N($E1438)&gt;16),"hours?; ","")&amp;IF(AND($C1438&lt;&gt;"",$B1438=""),"campaign without drop_id; ","")&amp;IF(AND($B1438&lt;&gt;"",COUNTIF(drops!$A$2:$A$21,$B1438)=0),"drop_id not on drops; ",""))</f>
        <v/>
      </c>
    </row>
    <row r="1439">
      <c r="A1439" s="9" t="n"/>
      <c r="E1439" s="10" t="n"/>
      <c r="G1439" s="25">
        <f>IF($A1439="","",IF(ISNA(MATCH($D1439,{"brand_sales","office_coordination","receiving_kitting","drop_day","checks_pickup","reporting_debriefs","admin_invoicing"},0)),"activity must be one of the seven keys; ","")&amp;IF(OR(N($E1439)&lt;=0,N($E1439)&gt;16),"hours?; ","")&amp;IF(AND($C1439&lt;&gt;"",$B1439=""),"campaign without drop_id; ","")&amp;IF(AND($B1439&lt;&gt;"",COUNTIF(drops!$A$2:$A$21,$B1439)=0),"drop_id not on drops; ",""))</f>
        <v/>
      </c>
    </row>
    <row r="1440">
      <c r="A1440" s="9" t="n"/>
      <c r="E1440" s="10" t="n"/>
      <c r="G1440" s="25">
        <f>IF($A1440="","",IF(ISNA(MATCH($D1440,{"brand_sales","office_coordination","receiving_kitting","drop_day","checks_pickup","reporting_debriefs","admin_invoicing"},0)),"activity must be one of the seven keys; ","")&amp;IF(OR(N($E1440)&lt;=0,N($E1440)&gt;16),"hours?; ","")&amp;IF(AND($C1440&lt;&gt;"",$B1440=""),"campaign without drop_id; ","")&amp;IF(AND($B1440&lt;&gt;"",COUNTIF(drops!$A$2:$A$21,$B1440)=0),"drop_id not on drops; ",""))</f>
        <v/>
      </c>
    </row>
    <row r="1441">
      <c r="A1441" s="9" t="n"/>
      <c r="E1441" s="10" t="n"/>
      <c r="G1441" s="25">
        <f>IF($A1441="","",IF(ISNA(MATCH($D1441,{"brand_sales","office_coordination","receiving_kitting","drop_day","checks_pickup","reporting_debriefs","admin_invoicing"},0)),"activity must be one of the seven keys; ","")&amp;IF(OR(N($E1441)&lt;=0,N($E1441)&gt;16),"hours?; ","")&amp;IF(AND($C1441&lt;&gt;"",$B1441=""),"campaign without drop_id; ","")&amp;IF(AND($B1441&lt;&gt;"",COUNTIF(drops!$A$2:$A$21,$B1441)=0),"drop_id not on drops; ",""))</f>
        <v/>
      </c>
    </row>
    <row r="1442">
      <c r="A1442" s="9" t="n"/>
      <c r="E1442" s="10" t="n"/>
      <c r="G1442" s="25">
        <f>IF($A1442="","",IF(ISNA(MATCH($D1442,{"brand_sales","office_coordination","receiving_kitting","drop_day","checks_pickup","reporting_debriefs","admin_invoicing"},0)),"activity must be one of the seven keys; ","")&amp;IF(OR(N($E1442)&lt;=0,N($E1442)&gt;16),"hours?; ","")&amp;IF(AND($C1442&lt;&gt;"",$B1442=""),"campaign without drop_id; ","")&amp;IF(AND($B1442&lt;&gt;"",COUNTIF(drops!$A$2:$A$21,$B1442)=0),"drop_id not on drops; ",""))</f>
        <v/>
      </c>
    </row>
    <row r="1443">
      <c r="A1443" s="9" t="n"/>
      <c r="E1443" s="10" t="n"/>
      <c r="G1443" s="25">
        <f>IF($A1443="","",IF(ISNA(MATCH($D1443,{"brand_sales","office_coordination","receiving_kitting","drop_day","checks_pickup","reporting_debriefs","admin_invoicing"},0)),"activity must be one of the seven keys; ","")&amp;IF(OR(N($E1443)&lt;=0,N($E1443)&gt;16),"hours?; ","")&amp;IF(AND($C1443&lt;&gt;"",$B1443=""),"campaign without drop_id; ","")&amp;IF(AND($B1443&lt;&gt;"",COUNTIF(drops!$A$2:$A$21,$B1443)=0),"drop_id not on drops; ",""))</f>
        <v/>
      </c>
    </row>
    <row r="1444">
      <c r="A1444" s="9" t="n"/>
      <c r="E1444" s="10" t="n"/>
      <c r="G1444" s="25">
        <f>IF($A1444="","",IF(ISNA(MATCH($D1444,{"brand_sales","office_coordination","receiving_kitting","drop_day","checks_pickup","reporting_debriefs","admin_invoicing"},0)),"activity must be one of the seven keys; ","")&amp;IF(OR(N($E1444)&lt;=0,N($E1444)&gt;16),"hours?; ","")&amp;IF(AND($C1444&lt;&gt;"",$B1444=""),"campaign without drop_id; ","")&amp;IF(AND($B1444&lt;&gt;"",COUNTIF(drops!$A$2:$A$21,$B1444)=0),"drop_id not on drops; ",""))</f>
        <v/>
      </c>
    </row>
    <row r="1445">
      <c r="A1445" s="9" t="n"/>
      <c r="E1445" s="10" t="n"/>
      <c r="G1445" s="25">
        <f>IF($A1445="","",IF(ISNA(MATCH($D1445,{"brand_sales","office_coordination","receiving_kitting","drop_day","checks_pickup","reporting_debriefs","admin_invoicing"},0)),"activity must be one of the seven keys; ","")&amp;IF(OR(N($E1445)&lt;=0,N($E1445)&gt;16),"hours?; ","")&amp;IF(AND($C1445&lt;&gt;"",$B1445=""),"campaign without drop_id; ","")&amp;IF(AND($B1445&lt;&gt;"",COUNTIF(drops!$A$2:$A$21,$B1445)=0),"drop_id not on drops; ",""))</f>
        <v/>
      </c>
    </row>
    <row r="1446">
      <c r="A1446" s="9" t="n"/>
      <c r="E1446" s="10" t="n"/>
      <c r="G1446" s="25">
        <f>IF($A1446="","",IF(ISNA(MATCH($D1446,{"brand_sales","office_coordination","receiving_kitting","drop_day","checks_pickup","reporting_debriefs","admin_invoicing"},0)),"activity must be one of the seven keys; ","")&amp;IF(OR(N($E1446)&lt;=0,N($E1446)&gt;16),"hours?; ","")&amp;IF(AND($C1446&lt;&gt;"",$B1446=""),"campaign without drop_id; ","")&amp;IF(AND($B1446&lt;&gt;"",COUNTIF(drops!$A$2:$A$21,$B1446)=0),"drop_id not on drops; ",""))</f>
        <v/>
      </c>
    </row>
    <row r="1447">
      <c r="A1447" s="9" t="n"/>
      <c r="E1447" s="10" t="n"/>
      <c r="G1447" s="25">
        <f>IF($A1447="","",IF(ISNA(MATCH($D1447,{"brand_sales","office_coordination","receiving_kitting","drop_day","checks_pickup","reporting_debriefs","admin_invoicing"},0)),"activity must be one of the seven keys; ","")&amp;IF(OR(N($E1447)&lt;=0,N($E1447)&gt;16),"hours?; ","")&amp;IF(AND($C1447&lt;&gt;"",$B1447=""),"campaign without drop_id; ","")&amp;IF(AND($B1447&lt;&gt;"",COUNTIF(drops!$A$2:$A$21,$B1447)=0),"drop_id not on drops; ",""))</f>
        <v/>
      </c>
    </row>
    <row r="1448">
      <c r="A1448" s="9" t="n"/>
      <c r="E1448" s="10" t="n"/>
      <c r="G1448" s="25">
        <f>IF($A1448="","",IF(ISNA(MATCH($D1448,{"brand_sales","office_coordination","receiving_kitting","drop_day","checks_pickup","reporting_debriefs","admin_invoicing"},0)),"activity must be one of the seven keys; ","")&amp;IF(OR(N($E1448)&lt;=0,N($E1448)&gt;16),"hours?; ","")&amp;IF(AND($C1448&lt;&gt;"",$B1448=""),"campaign without drop_id; ","")&amp;IF(AND($B1448&lt;&gt;"",COUNTIF(drops!$A$2:$A$21,$B1448)=0),"drop_id not on drops; ",""))</f>
        <v/>
      </c>
    </row>
    <row r="1449">
      <c r="A1449" s="9" t="n"/>
      <c r="E1449" s="10" t="n"/>
      <c r="G1449" s="25">
        <f>IF($A1449="","",IF(ISNA(MATCH($D1449,{"brand_sales","office_coordination","receiving_kitting","drop_day","checks_pickup","reporting_debriefs","admin_invoicing"},0)),"activity must be one of the seven keys; ","")&amp;IF(OR(N($E1449)&lt;=0,N($E1449)&gt;16),"hours?; ","")&amp;IF(AND($C1449&lt;&gt;"",$B1449=""),"campaign without drop_id; ","")&amp;IF(AND($B1449&lt;&gt;"",COUNTIF(drops!$A$2:$A$21,$B1449)=0),"drop_id not on drops; ",""))</f>
        <v/>
      </c>
    </row>
    <row r="1450">
      <c r="A1450" s="9" t="n"/>
      <c r="E1450" s="10" t="n"/>
      <c r="G1450" s="25">
        <f>IF($A1450="","",IF(ISNA(MATCH($D1450,{"brand_sales","office_coordination","receiving_kitting","drop_day","checks_pickup","reporting_debriefs","admin_invoicing"},0)),"activity must be one of the seven keys; ","")&amp;IF(OR(N($E1450)&lt;=0,N($E1450)&gt;16),"hours?; ","")&amp;IF(AND($C1450&lt;&gt;"",$B1450=""),"campaign without drop_id; ","")&amp;IF(AND($B1450&lt;&gt;"",COUNTIF(drops!$A$2:$A$21,$B1450)=0),"drop_id not on drops; ",""))</f>
        <v/>
      </c>
    </row>
    <row r="1451">
      <c r="A1451" s="9" t="n"/>
      <c r="E1451" s="10" t="n"/>
      <c r="G1451" s="25">
        <f>IF($A1451="","",IF(ISNA(MATCH($D1451,{"brand_sales","office_coordination","receiving_kitting","drop_day","checks_pickup","reporting_debriefs","admin_invoicing"},0)),"activity must be one of the seven keys; ","")&amp;IF(OR(N($E1451)&lt;=0,N($E1451)&gt;16),"hours?; ","")&amp;IF(AND($C1451&lt;&gt;"",$B1451=""),"campaign without drop_id; ","")&amp;IF(AND($B1451&lt;&gt;"",COUNTIF(drops!$A$2:$A$21,$B1451)=0),"drop_id not on drops; ",""))</f>
        <v/>
      </c>
    </row>
    <row r="1452">
      <c r="A1452" s="9" t="n"/>
      <c r="E1452" s="10" t="n"/>
      <c r="G1452" s="25">
        <f>IF($A1452="","",IF(ISNA(MATCH($D1452,{"brand_sales","office_coordination","receiving_kitting","drop_day","checks_pickup","reporting_debriefs","admin_invoicing"},0)),"activity must be one of the seven keys; ","")&amp;IF(OR(N($E1452)&lt;=0,N($E1452)&gt;16),"hours?; ","")&amp;IF(AND($C1452&lt;&gt;"",$B1452=""),"campaign without drop_id; ","")&amp;IF(AND($B1452&lt;&gt;"",COUNTIF(drops!$A$2:$A$21,$B1452)=0),"drop_id not on drops; ",""))</f>
        <v/>
      </c>
    </row>
    <row r="1453">
      <c r="A1453" s="9" t="n"/>
      <c r="E1453" s="10" t="n"/>
      <c r="G1453" s="25">
        <f>IF($A1453="","",IF(ISNA(MATCH($D1453,{"brand_sales","office_coordination","receiving_kitting","drop_day","checks_pickup","reporting_debriefs","admin_invoicing"},0)),"activity must be one of the seven keys; ","")&amp;IF(OR(N($E1453)&lt;=0,N($E1453)&gt;16),"hours?; ","")&amp;IF(AND($C1453&lt;&gt;"",$B1453=""),"campaign without drop_id; ","")&amp;IF(AND($B1453&lt;&gt;"",COUNTIF(drops!$A$2:$A$21,$B1453)=0),"drop_id not on drops; ",""))</f>
        <v/>
      </c>
    </row>
    <row r="1454">
      <c r="A1454" s="9" t="n"/>
      <c r="E1454" s="10" t="n"/>
      <c r="G1454" s="25">
        <f>IF($A1454="","",IF(ISNA(MATCH($D1454,{"brand_sales","office_coordination","receiving_kitting","drop_day","checks_pickup","reporting_debriefs","admin_invoicing"},0)),"activity must be one of the seven keys; ","")&amp;IF(OR(N($E1454)&lt;=0,N($E1454)&gt;16),"hours?; ","")&amp;IF(AND($C1454&lt;&gt;"",$B1454=""),"campaign without drop_id; ","")&amp;IF(AND($B1454&lt;&gt;"",COUNTIF(drops!$A$2:$A$21,$B1454)=0),"drop_id not on drops; ",""))</f>
        <v/>
      </c>
    </row>
    <row r="1455">
      <c r="A1455" s="9" t="n"/>
      <c r="E1455" s="10" t="n"/>
      <c r="G1455" s="25">
        <f>IF($A1455="","",IF(ISNA(MATCH($D1455,{"brand_sales","office_coordination","receiving_kitting","drop_day","checks_pickup","reporting_debriefs","admin_invoicing"},0)),"activity must be one of the seven keys; ","")&amp;IF(OR(N($E1455)&lt;=0,N($E1455)&gt;16),"hours?; ","")&amp;IF(AND($C1455&lt;&gt;"",$B1455=""),"campaign without drop_id; ","")&amp;IF(AND($B1455&lt;&gt;"",COUNTIF(drops!$A$2:$A$21,$B1455)=0),"drop_id not on drops; ",""))</f>
        <v/>
      </c>
    </row>
    <row r="1456">
      <c r="A1456" s="9" t="n"/>
      <c r="E1456" s="10" t="n"/>
      <c r="G1456" s="25">
        <f>IF($A1456="","",IF(ISNA(MATCH($D1456,{"brand_sales","office_coordination","receiving_kitting","drop_day","checks_pickup","reporting_debriefs","admin_invoicing"},0)),"activity must be one of the seven keys; ","")&amp;IF(OR(N($E1456)&lt;=0,N($E1456)&gt;16),"hours?; ","")&amp;IF(AND($C1456&lt;&gt;"",$B1456=""),"campaign without drop_id; ","")&amp;IF(AND($B1456&lt;&gt;"",COUNTIF(drops!$A$2:$A$21,$B1456)=0),"drop_id not on drops; ",""))</f>
        <v/>
      </c>
    </row>
    <row r="1457">
      <c r="A1457" s="9" t="n"/>
      <c r="E1457" s="10" t="n"/>
      <c r="G1457" s="25">
        <f>IF($A1457="","",IF(ISNA(MATCH($D1457,{"brand_sales","office_coordination","receiving_kitting","drop_day","checks_pickup","reporting_debriefs","admin_invoicing"},0)),"activity must be one of the seven keys; ","")&amp;IF(OR(N($E1457)&lt;=0,N($E1457)&gt;16),"hours?; ","")&amp;IF(AND($C1457&lt;&gt;"",$B1457=""),"campaign without drop_id; ","")&amp;IF(AND($B1457&lt;&gt;"",COUNTIF(drops!$A$2:$A$21,$B1457)=0),"drop_id not on drops; ",""))</f>
        <v/>
      </c>
    </row>
    <row r="1458">
      <c r="A1458" s="9" t="n"/>
      <c r="E1458" s="10" t="n"/>
      <c r="G1458" s="25">
        <f>IF($A1458="","",IF(ISNA(MATCH($D1458,{"brand_sales","office_coordination","receiving_kitting","drop_day","checks_pickup","reporting_debriefs","admin_invoicing"},0)),"activity must be one of the seven keys; ","")&amp;IF(OR(N($E1458)&lt;=0,N($E1458)&gt;16),"hours?; ","")&amp;IF(AND($C1458&lt;&gt;"",$B1458=""),"campaign without drop_id; ","")&amp;IF(AND($B1458&lt;&gt;"",COUNTIF(drops!$A$2:$A$21,$B1458)=0),"drop_id not on drops; ",""))</f>
        <v/>
      </c>
    </row>
    <row r="1459">
      <c r="A1459" s="9" t="n"/>
      <c r="E1459" s="10" t="n"/>
      <c r="G1459" s="25">
        <f>IF($A1459="","",IF(ISNA(MATCH($D1459,{"brand_sales","office_coordination","receiving_kitting","drop_day","checks_pickup","reporting_debriefs","admin_invoicing"},0)),"activity must be one of the seven keys; ","")&amp;IF(OR(N($E1459)&lt;=0,N($E1459)&gt;16),"hours?; ","")&amp;IF(AND($C1459&lt;&gt;"",$B1459=""),"campaign without drop_id; ","")&amp;IF(AND($B1459&lt;&gt;"",COUNTIF(drops!$A$2:$A$21,$B1459)=0),"drop_id not on drops; ",""))</f>
        <v/>
      </c>
    </row>
    <row r="1460">
      <c r="A1460" s="9" t="n"/>
      <c r="E1460" s="10" t="n"/>
      <c r="G1460" s="25">
        <f>IF($A1460="","",IF(ISNA(MATCH($D1460,{"brand_sales","office_coordination","receiving_kitting","drop_day","checks_pickup","reporting_debriefs","admin_invoicing"},0)),"activity must be one of the seven keys; ","")&amp;IF(OR(N($E1460)&lt;=0,N($E1460)&gt;16),"hours?; ","")&amp;IF(AND($C1460&lt;&gt;"",$B1460=""),"campaign without drop_id; ","")&amp;IF(AND($B1460&lt;&gt;"",COUNTIF(drops!$A$2:$A$21,$B1460)=0),"drop_id not on drops; ",""))</f>
        <v/>
      </c>
    </row>
    <row r="1461">
      <c r="A1461" s="9" t="n"/>
      <c r="E1461" s="10" t="n"/>
      <c r="G1461" s="25">
        <f>IF($A1461="","",IF(ISNA(MATCH($D1461,{"brand_sales","office_coordination","receiving_kitting","drop_day","checks_pickup","reporting_debriefs","admin_invoicing"},0)),"activity must be one of the seven keys; ","")&amp;IF(OR(N($E1461)&lt;=0,N($E1461)&gt;16),"hours?; ","")&amp;IF(AND($C1461&lt;&gt;"",$B1461=""),"campaign without drop_id; ","")&amp;IF(AND($B1461&lt;&gt;"",COUNTIF(drops!$A$2:$A$21,$B1461)=0),"drop_id not on drops; ",""))</f>
        <v/>
      </c>
    </row>
    <row r="1462">
      <c r="A1462" s="9" t="n"/>
      <c r="E1462" s="10" t="n"/>
      <c r="G1462" s="25">
        <f>IF($A1462="","",IF(ISNA(MATCH($D1462,{"brand_sales","office_coordination","receiving_kitting","drop_day","checks_pickup","reporting_debriefs","admin_invoicing"},0)),"activity must be one of the seven keys; ","")&amp;IF(OR(N($E1462)&lt;=0,N($E1462)&gt;16),"hours?; ","")&amp;IF(AND($C1462&lt;&gt;"",$B1462=""),"campaign without drop_id; ","")&amp;IF(AND($B1462&lt;&gt;"",COUNTIF(drops!$A$2:$A$21,$B1462)=0),"drop_id not on drops; ",""))</f>
        <v/>
      </c>
    </row>
    <row r="1463">
      <c r="A1463" s="9" t="n"/>
      <c r="E1463" s="10" t="n"/>
      <c r="G1463" s="25">
        <f>IF($A1463="","",IF(ISNA(MATCH($D1463,{"brand_sales","office_coordination","receiving_kitting","drop_day","checks_pickup","reporting_debriefs","admin_invoicing"},0)),"activity must be one of the seven keys; ","")&amp;IF(OR(N($E1463)&lt;=0,N($E1463)&gt;16),"hours?; ","")&amp;IF(AND($C1463&lt;&gt;"",$B1463=""),"campaign without drop_id; ","")&amp;IF(AND($B1463&lt;&gt;"",COUNTIF(drops!$A$2:$A$21,$B1463)=0),"drop_id not on drops; ",""))</f>
        <v/>
      </c>
    </row>
    <row r="1464">
      <c r="A1464" s="9" t="n"/>
      <c r="E1464" s="10" t="n"/>
      <c r="G1464" s="25">
        <f>IF($A1464="","",IF(ISNA(MATCH($D1464,{"brand_sales","office_coordination","receiving_kitting","drop_day","checks_pickup","reporting_debriefs","admin_invoicing"},0)),"activity must be one of the seven keys; ","")&amp;IF(OR(N($E1464)&lt;=0,N($E1464)&gt;16),"hours?; ","")&amp;IF(AND($C1464&lt;&gt;"",$B1464=""),"campaign without drop_id; ","")&amp;IF(AND($B1464&lt;&gt;"",COUNTIF(drops!$A$2:$A$21,$B1464)=0),"drop_id not on drops; ",""))</f>
        <v/>
      </c>
    </row>
    <row r="1465">
      <c r="A1465" s="9" t="n"/>
      <c r="E1465" s="10" t="n"/>
      <c r="G1465" s="25">
        <f>IF($A1465="","",IF(ISNA(MATCH($D1465,{"brand_sales","office_coordination","receiving_kitting","drop_day","checks_pickup","reporting_debriefs","admin_invoicing"},0)),"activity must be one of the seven keys; ","")&amp;IF(OR(N($E1465)&lt;=0,N($E1465)&gt;16),"hours?; ","")&amp;IF(AND($C1465&lt;&gt;"",$B1465=""),"campaign without drop_id; ","")&amp;IF(AND($B1465&lt;&gt;"",COUNTIF(drops!$A$2:$A$21,$B1465)=0),"drop_id not on drops; ",""))</f>
        <v/>
      </c>
    </row>
    <row r="1466">
      <c r="A1466" s="9" t="n"/>
      <c r="E1466" s="10" t="n"/>
      <c r="G1466" s="25">
        <f>IF($A1466="","",IF(ISNA(MATCH($D1466,{"brand_sales","office_coordination","receiving_kitting","drop_day","checks_pickup","reporting_debriefs","admin_invoicing"},0)),"activity must be one of the seven keys; ","")&amp;IF(OR(N($E1466)&lt;=0,N($E1466)&gt;16),"hours?; ","")&amp;IF(AND($C1466&lt;&gt;"",$B1466=""),"campaign without drop_id; ","")&amp;IF(AND($B1466&lt;&gt;"",COUNTIF(drops!$A$2:$A$21,$B1466)=0),"drop_id not on drops; ",""))</f>
        <v/>
      </c>
    </row>
    <row r="1467">
      <c r="A1467" s="9" t="n"/>
      <c r="E1467" s="10" t="n"/>
      <c r="G1467" s="25">
        <f>IF($A1467="","",IF(ISNA(MATCH($D1467,{"brand_sales","office_coordination","receiving_kitting","drop_day","checks_pickup","reporting_debriefs","admin_invoicing"},0)),"activity must be one of the seven keys; ","")&amp;IF(OR(N($E1467)&lt;=0,N($E1467)&gt;16),"hours?; ","")&amp;IF(AND($C1467&lt;&gt;"",$B1467=""),"campaign without drop_id; ","")&amp;IF(AND($B1467&lt;&gt;"",COUNTIF(drops!$A$2:$A$21,$B1467)=0),"drop_id not on drops; ",""))</f>
        <v/>
      </c>
    </row>
    <row r="1468">
      <c r="A1468" s="9" t="n"/>
      <c r="E1468" s="10" t="n"/>
      <c r="G1468" s="25">
        <f>IF($A1468="","",IF(ISNA(MATCH($D1468,{"brand_sales","office_coordination","receiving_kitting","drop_day","checks_pickup","reporting_debriefs","admin_invoicing"},0)),"activity must be one of the seven keys; ","")&amp;IF(OR(N($E1468)&lt;=0,N($E1468)&gt;16),"hours?; ","")&amp;IF(AND($C1468&lt;&gt;"",$B1468=""),"campaign without drop_id; ","")&amp;IF(AND($B1468&lt;&gt;"",COUNTIF(drops!$A$2:$A$21,$B1468)=0),"drop_id not on drops; ",""))</f>
        <v/>
      </c>
    </row>
    <row r="1469">
      <c r="A1469" s="9" t="n"/>
      <c r="E1469" s="10" t="n"/>
      <c r="G1469" s="25">
        <f>IF($A1469="","",IF(ISNA(MATCH($D1469,{"brand_sales","office_coordination","receiving_kitting","drop_day","checks_pickup","reporting_debriefs","admin_invoicing"},0)),"activity must be one of the seven keys; ","")&amp;IF(OR(N($E1469)&lt;=0,N($E1469)&gt;16),"hours?; ","")&amp;IF(AND($C1469&lt;&gt;"",$B1469=""),"campaign without drop_id; ","")&amp;IF(AND($B1469&lt;&gt;"",COUNTIF(drops!$A$2:$A$21,$B1469)=0),"drop_id not on drops; ",""))</f>
        <v/>
      </c>
    </row>
    <row r="1470">
      <c r="A1470" s="9" t="n"/>
      <c r="E1470" s="10" t="n"/>
      <c r="G1470" s="25">
        <f>IF($A1470="","",IF(ISNA(MATCH($D1470,{"brand_sales","office_coordination","receiving_kitting","drop_day","checks_pickup","reporting_debriefs","admin_invoicing"},0)),"activity must be one of the seven keys; ","")&amp;IF(OR(N($E1470)&lt;=0,N($E1470)&gt;16),"hours?; ","")&amp;IF(AND($C1470&lt;&gt;"",$B1470=""),"campaign without drop_id; ","")&amp;IF(AND($B1470&lt;&gt;"",COUNTIF(drops!$A$2:$A$21,$B1470)=0),"drop_id not on drops; ",""))</f>
        <v/>
      </c>
    </row>
    <row r="1471">
      <c r="A1471" s="9" t="n"/>
      <c r="E1471" s="10" t="n"/>
      <c r="G1471" s="25">
        <f>IF($A1471="","",IF(ISNA(MATCH($D1471,{"brand_sales","office_coordination","receiving_kitting","drop_day","checks_pickup","reporting_debriefs","admin_invoicing"},0)),"activity must be one of the seven keys; ","")&amp;IF(OR(N($E1471)&lt;=0,N($E1471)&gt;16),"hours?; ","")&amp;IF(AND($C1471&lt;&gt;"",$B1471=""),"campaign without drop_id; ","")&amp;IF(AND($B1471&lt;&gt;"",COUNTIF(drops!$A$2:$A$21,$B1471)=0),"drop_id not on drops; ",""))</f>
        <v/>
      </c>
    </row>
    <row r="1472">
      <c r="A1472" s="9" t="n"/>
      <c r="E1472" s="10" t="n"/>
      <c r="G1472" s="25">
        <f>IF($A1472="","",IF(ISNA(MATCH($D1472,{"brand_sales","office_coordination","receiving_kitting","drop_day","checks_pickup","reporting_debriefs","admin_invoicing"},0)),"activity must be one of the seven keys; ","")&amp;IF(OR(N($E1472)&lt;=0,N($E1472)&gt;16),"hours?; ","")&amp;IF(AND($C1472&lt;&gt;"",$B1472=""),"campaign without drop_id; ","")&amp;IF(AND($B1472&lt;&gt;"",COUNTIF(drops!$A$2:$A$21,$B1472)=0),"drop_id not on drops; ",""))</f>
        <v/>
      </c>
    </row>
    <row r="1473">
      <c r="A1473" s="9" t="n"/>
      <c r="E1473" s="10" t="n"/>
      <c r="G1473" s="25">
        <f>IF($A1473="","",IF(ISNA(MATCH($D1473,{"brand_sales","office_coordination","receiving_kitting","drop_day","checks_pickup","reporting_debriefs","admin_invoicing"},0)),"activity must be one of the seven keys; ","")&amp;IF(OR(N($E1473)&lt;=0,N($E1473)&gt;16),"hours?; ","")&amp;IF(AND($C1473&lt;&gt;"",$B1473=""),"campaign without drop_id; ","")&amp;IF(AND($B1473&lt;&gt;"",COUNTIF(drops!$A$2:$A$21,$B1473)=0),"drop_id not on drops; ",""))</f>
        <v/>
      </c>
    </row>
    <row r="1474">
      <c r="A1474" s="9" t="n"/>
      <c r="E1474" s="10" t="n"/>
      <c r="G1474" s="25">
        <f>IF($A1474="","",IF(ISNA(MATCH($D1474,{"brand_sales","office_coordination","receiving_kitting","drop_day","checks_pickup","reporting_debriefs","admin_invoicing"},0)),"activity must be one of the seven keys; ","")&amp;IF(OR(N($E1474)&lt;=0,N($E1474)&gt;16),"hours?; ","")&amp;IF(AND($C1474&lt;&gt;"",$B1474=""),"campaign without drop_id; ","")&amp;IF(AND($B1474&lt;&gt;"",COUNTIF(drops!$A$2:$A$21,$B1474)=0),"drop_id not on drops; ",""))</f>
        <v/>
      </c>
    </row>
    <row r="1475">
      <c r="A1475" s="9" t="n"/>
      <c r="E1475" s="10" t="n"/>
      <c r="G1475" s="25">
        <f>IF($A1475="","",IF(ISNA(MATCH($D1475,{"brand_sales","office_coordination","receiving_kitting","drop_day","checks_pickup","reporting_debriefs","admin_invoicing"},0)),"activity must be one of the seven keys; ","")&amp;IF(OR(N($E1475)&lt;=0,N($E1475)&gt;16),"hours?; ","")&amp;IF(AND($C1475&lt;&gt;"",$B1475=""),"campaign without drop_id; ","")&amp;IF(AND($B1475&lt;&gt;"",COUNTIF(drops!$A$2:$A$21,$B1475)=0),"drop_id not on drops; ",""))</f>
        <v/>
      </c>
    </row>
    <row r="1476">
      <c r="A1476" s="9" t="n"/>
      <c r="E1476" s="10" t="n"/>
      <c r="G1476" s="25">
        <f>IF($A1476="","",IF(ISNA(MATCH($D1476,{"brand_sales","office_coordination","receiving_kitting","drop_day","checks_pickup","reporting_debriefs","admin_invoicing"},0)),"activity must be one of the seven keys; ","")&amp;IF(OR(N($E1476)&lt;=0,N($E1476)&gt;16),"hours?; ","")&amp;IF(AND($C1476&lt;&gt;"",$B1476=""),"campaign without drop_id; ","")&amp;IF(AND($B1476&lt;&gt;"",COUNTIF(drops!$A$2:$A$21,$B1476)=0),"drop_id not on drops; ",""))</f>
        <v/>
      </c>
    </row>
    <row r="1477">
      <c r="A1477" s="9" t="n"/>
      <c r="E1477" s="10" t="n"/>
      <c r="G1477" s="25">
        <f>IF($A1477="","",IF(ISNA(MATCH($D1477,{"brand_sales","office_coordination","receiving_kitting","drop_day","checks_pickup","reporting_debriefs","admin_invoicing"},0)),"activity must be one of the seven keys; ","")&amp;IF(OR(N($E1477)&lt;=0,N($E1477)&gt;16),"hours?; ","")&amp;IF(AND($C1477&lt;&gt;"",$B1477=""),"campaign without drop_id; ","")&amp;IF(AND($B1477&lt;&gt;"",COUNTIF(drops!$A$2:$A$21,$B1477)=0),"drop_id not on drops; ",""))</f>
        <v/>
      </c>
    </row>
    <row r="1478">
      <c r="A1478" s="9" t="n"/>
      <c r="E1478" s="10" t="n"/>
      <c r="G1478" s="25">
        <f>IF($A1478="","",IF(ISNA(MATCH($D1478,{"brand_sales","office_coordination","receiving_kitting","drop_day","checks_pickup","reporting_debriefs","admin_invoicing"},0)),"activity must be one of the seven keys; ","")&amp;IF(OR(N($E1478)&lt;=0,N($E1478)&gt;16),"hours?; ","")&amp;IF(AND($C1478&lt;&gt;"",$B1478=""),"campaign without drop_id; ","")&amp;IF(AND($B1478&lt;&gt;"",COUNTIF(drops!$A$2:$A$21,$B1478)=0),"drop_id not on drops; ",""))</f>
        <v/>
      </c>
    </row>
    <row r="1479">
      <c r="A1479" s="9" t="n"/>
      <c r="E1479" s="10" t="n"/>
      <c r="G1479" s="25">
        <f>IF($A1479="","",IF(ISNA(MATCH($D1479,{"brand_sales","office_coordination","receiving_kitting","drop_day","checks_pickup","reporting_debriefs","admin_invoicing"},0)),"activity must be one of the seven keys; ","")&amp;IF(OR(N($E1479)&lt;=0,N($E1479)&gt;16),"hours?; ","")&amp;IF(AND($C1479&lt;&gt;"",$B1479=""),"campaign without drop_id; ","")&amp;IF(AND($B1479&lt;&gt;"",COUNTIF(drops!$A$2:$A$21,$B1479)=0),"drop_id not on drops; ",""))</f>
        <v/>
      </c>
    </row>
    <row r="1480">
      <c r="A1480" s="9" t="n"/>
      <c r="E1480" s="10" t="n"/>
      <c r="G1480" s="25">
        <f>IF($A1480="","",IF(ISNA(MATCH($D1480,{"brand_sales","office_coordination","receiving_kitting","drop_day","checks_pickup","reporting_debriefs","admin_invoicing"},0)),"activity must be one of the seven keys; ","")&amp;IF(OR(N($E1480)&lt;=0,N($E1480)&gt;16),"hours?; ","")&amp;IF(AND($C1480&lt;&gt;"",$B1480=""),"campaign without drop_id; ","")&amp;IF(AND($B1480&lt;&gt;"",COUNTIF(drops!$A$2:$A$21,$B1480)=0),"drop_id not on drops; ",""))</f>
        <v/>
      </c>
    </row>
    <row r="1481">
      <c r="A1481" s="9" t="n"/>
      <c r="E1481" s="10" t="n"/>
      <c r="G1481" s="25">
        <f>IF($A1481="","",IF(ISNA(MATCH($D1481,{"brand_sales","office_coordination","receiving_kitting","drop_day","checks_pickup","reporting_debriefs","admin_invoicing"},0)),"activity must be one of the seven keys; ","")&amp;IF(OR(N($E1481)&lt;=0,N($E1481)&gt;16),"hours?; ","")&amp;IF(AND($C1481&lt;&gt;"",$B1481=""),"campaign without drop_id; ","")&amp;IF(AND($B1481&lt;&gt;"",COUNTIF(drops!$A$2:$A$21,$B1481)=0),"drop_id not on drops; ",""))</f>
        <v/>
      </c>
    </row>
    <row r="1482">
      <c r="A1482" s="9" t="n"/>
      <c r="E1482" s="10" t="n"/>
      <c r="G1482" s="25">
        <f>IF($A1482="","",IF(ISNA(MATCH($D1482,{"brand_sales","office_coordination","receiving_kitting","drop_day","checks_pickup","reporting_debriefs","admin_invoicing"},0)),"activity must be one of the seven keys; ","")&amp;IF(OR(N($E1482)&lt;=0,N($E1482)&gt;16),"hours?; ","")&amp;IF(AND($C1482&lt;&gt;"",$B1482=""),"campaign without drop_id; ","")&amp;IF(AND($B1482&lt;&gt;"",COUNTIF(drops!$A$2:$A$21,$B1482)=0),"drop_id not on drops; ",""))</f>
        <v/>
      </c>
    </row>
    <row r="1483">
      <c r="A1483" s="9" t="n"/>
      <c r="E1483" s="10" t="n"/>
      <c r="G1483" s="25">
        <f>IF($A1483="","",IF(ISNA(MATCH($D1483,{"brand_sales","office_coordination","receiving_kitting","drop_day","checks_pickup","reporting_debriefs","admin_invoicing"},0)),"activity must be one of the seven keys; ","")&amp;IF(OR(N($E1483)&lt;=0,N($E1483)&gt;16),"hours?; ","")&amp;IF(AND($C1483&lt;&gt;"",$B1483=""),"campaign without drop_id; ","")&amp;IF(AND($B1483&lt;&gt;"",COUNTIF(drops!$A$2:$A$21,$B1483)=0),"drop_id not on drops; ",""))</f>
        <v/>
      </c>
    </row>
    <row r="1484">
      <c r="A1484" s="9" t="n"/>
      <c r="E1484" s="10" t="n"/>
      <c r="G1484" s="25">
        <f>IF($A1484="","",IF(ISNA(MATCH($D1484,{"brand_sales","office_coordination","receiving_kitting","drop_day","checks_pickup","reporting_debriefs","admin_invoicing"},0)),"activity must be one of the seven keys; ","")&amp;IF(OR(N($E1484)&lt;=0,N($E1484)&gt;16),"hours?; ","")&amp;IF(AND($C1484&lt;&gt;"",$B1484=""),"campaign without drop_id; ","")&amp;IF(AND($B1484&lt;&gt;"",COUNTIF(drops!$A$2:$A$21,$B1484)=0),"drop_id not on drops; ",""))</f>
        <v/>
      </c>
    </row>
    <row r="1485">
      <c r="A1485" s="9" t="n"/>
      <c r="E1485" s="10" t="n"/>
      <c r="G1485" s="25">
        <f>IF($A1485="","",IF(ISNA(MATCH($D1485,{"brand_sales","office_coordination","receiving_kitting","drop_day","checks_pickup","reporting_debriefs","admin_invoicing"},0)),"activity must be one of the seven keys; ","")&amp;IF(OR(N($E1485)&lt;=0,N($E1485)&gt;16),"hours?; ","")&amp;IF(AND($C1485&lt;&gt;"",$B1485=""),"campaign without drop_id; ","")&amp;IF(AND($B1485&lt;&gt;"",COUNTIF(drops!$A$2:$A$21,$B1485)=0),"drop_id not on drops; ",""))</f>
        <v/>
      </c>
    </row>
    <row r="1486">
      <c r="A1486" s="9" t="n"/>
      <c r="E1486" s="10" t="n"/>
      <c r="G1486" s="25">
        <f>IF($A1486="","",IF(ISNA(MATCH($D1486,{"brand_sales","office_coordination","receiving_kitting","drop_day","checks_pickup","reporting_debriefs","admin_invoicing"},0)),"activity must be one of the seven keys; ","")&amp;IF(OR(N($E1486)&lt;=0,N($E1486)&gt;16),"hours?; ","")&amp;IF(AND($C1486&lt;&gt;"",$B1486=""),"campaign without drop_id; ","")&amp;IF(AND($B1486&lt;&gt;"",COUNTIF(drops!$A$2:$A$21,$B1486)=0),"drop_id not on drops; ",""))</f>
        <v/>
      </c>
    </row>
    <row r="1487">
      <c r="A1487" s="9" t="n"/>
      <c r="E1487" s="10" t="n"/>
      <c r="G1487" s="25">
        <f>IF($A1487="","",IF(ISNA(MATCH($D1487,{"brand_sales","office_coordination","receiving_kitting","drop_day","checks_pickup","reporting_debriefs","admin_invoicing"},0)),"activity must be one of the seven keys; ","")&amp;IF(OR(N($E1487)&lt;=0,N($E1487)&gt;16),"hours?; ","")&amp;IF(AND($C1487&lt;&gt;"",$B1487=""),"campaign without drop_id; ","")&amp;IF(AND($B1487&lt;&gt;"",COUNTIF(drops!$A$2:$A$21,$B1487)=0),"drop_id not on drops; ",""))</f>
        <v/>
      </c>
    </row>
    <row r="1488">
      <c r="A1488" s="9" t="n"/>
      <c r="E1488" s="10" t="n"/>
      <c r="G1488" s="25">
        <f>IF($A1488="","",IF(ISNA(MATCH($D1488,{"brand_sales","office_coordination","receiving_kitting","drop_day","checks_pickup","reporting_debriefs","admin_invoicing"},0)),"activity must be one of the seven keys; ","")&amp;IF(OR(N($E1488)&lt;=0,N($E1488)&gt;16),"hours?; ","")&amp;IF(AND($C1488&lt;&gt;"",$B1488=""),"campaign without drop_id; ","")&amp;IF(AND($B1488&lt;&gt;"",COUNTIF(drops!$A$2:$A$21,$B1488)=0),"drop_id not on drops; ",""))</f>
        <v/>
      </c>
    </row>
    <row r="1489">
      <c r="A1489" s="9" t="n"/>
      <c r="E1489" s="10" t="n"/>
      <c r="G1489" s="25">
        <f>IF($A1489="","",IF(ISNA(MATCH($D1489,{"brand_sales","office_coordination","receiving_kitting","drop_day","checks_pickup","reporting_debriefs","admin_invoicing"},0)),"activity must be one of the seven keys; ","")&amp;IF(OR(N($E1489)&lt;=0,N($E1489)&gt;16),"hours?; ","")&amp;IF(AND($C1489&lt;&gt;"",$B1489=""),"campaign without drop_id; ","")&amp;IF(AND($B1489&lt;&gt;"",COUNTIF(drops!$A$2:$A$21,$B1489)=0),"drop_id not on drops; ",""))</f>
        <v/>
      </c>
    </row>
    <row r="1490">
      <c r="A1490" s="9" t="n"/>
      <c r="E1490" s="10" t="n"/>
      <c r="G1490" s="25">
        <f>IF($A1490="","",IF(ISNA(MATCH($D1490,{"brand_sales","office_coordination","receiving_kitting","drop_day","checks_pickup","reporting_debriefs","admin_invoicing"},0)),"activity must be one of the seven keys; ","")&amp;IF(OR(N($E1490)&lt;=0,N($E1490)&gt;16),"hours?; ","")&amp;IF(AND($C1490&lt;&gt;"",$B1490=""),"campaign without drop_id; ","")&amp;IF(AND($B1490&lt;&gt;"",COUNTIF(drops!$A$2:$A$21,$B1490)=0),"drop_id not on drops; ",""))</f>
        <v/>
      </c>
    </row>
    <row r="1491">
      <c r="A1491" s="9" t="n"/>
      <c r="E1491" s="10" t="n"/>
      <c r="G1491" s="25">
        <f>IF($A1491="","",IF(ISNA(MATCH($D1491,{"brand_sales","office_coordination","receiving_kitting","drop_day","checks_pickup","reporting_debriefs","admin_invoicing"},0)),"activity must be one of the seven keys; ","")&amp;IF(OR(N($E1491)&lt;=0,N($E1491)&gt;16),"hours?; ","")&amp;IF(AND($C1491&lt;&gt;"",$B1491=""),"campaign without drop_id; ","")&amp;IF(AND($B1491&lt;&gt;"",COUNTIF(drops!$A$2:$A$21,$B1491)=0),"drop_id not on drops; ",""))</f>
        <v/>
      </c>
    </row>
    <row r="1492">
      <c r="A1492" s="9" t="n"/>
      <c r="E1492" s="10" t="n"/>
      <c r="G1492" s="25">
        <f>IF($A1492="","",IF(ISNA(MATCH($D1492,{"brand_sales","office_coordination","receiving_kitting","drop_day","checks_pickup","reporting_debriefs","admin_invoicing"},0)),"activity must be one of the seven keys; ","")&amp;IF(OR(N($E1492)&lt;=0,N($E1492)&gt;16),"hours?; ","")&amp;IF(AND($C1492&lt;&gt;"",$B1492=""),"campaign without drop_id; ","")&amp;IF(AND($B1492&lt;&gt;"",COUNTIF(drops!$A$2:$A$21,$B1492)=0),"drop_id not on drops; ",""))</f>
        <v/>
      </c>
    </row>
    <row r="1493">
      <c r="A1493" s="9" t="n"/>
      <c r="E1493" s="10" t="n"/>
      <c r="G1493" s="25">
        <f>IF($A1493="","",IF(ISNA(MATCH($D1493,{"brand_sales","office_coordination","receiving_kitting","drop_day","checks_pickup","reporting_debriefs","admin_invoicing"},0)),"activity must be one of the seven keys; ","")&amp;IF(OR(N($E1493)&lt;=0,N($E1493)&gt;16),"hours?; ","")&amp;IF(AND($C1493&lt;&gt;"",$B1493=""),"campaign without drop_id; ","")&amp;IF(AND($B1493&lt;&gt;"",COUNTIF(drops!$A$2:$A$21,$B1493)=0),"drop_id not on drops; ",""))</f>
        <v/>
      </c>
    </row>
    <row r="1494">
      <c r="A1494" s="9" t="n"/>
      <c r="E1494" s="10" t="n"/>
      <c r="G1494" s="25">
        <f>IF($A1494="","",IF(ISNA(MATCH($D1494,{"brand_sales","office_coordination","receiving_kitting","drop_day","checks_pickup","reporting_debriefs","admin_invoicing"},0)),"activity must be one of the seven keys; ","")&amp;IF(OR(N($E1494)&lt;=0,N($E1494)&gt;16),"hours?; ","")&amp;IF(AND($C1494&lt;&gt;"",$B1494=""),"campaign without drop_id; ","")&amp;IF(AND($B1494&lt;&gt;"",COUNTIF(drops!$A$2:$A$21,$B1494)=0),"drop_id not on drops; ",""))</f>
        <v/>
      </c>
    </row>
    <row r="1495">
      <c r="A1495" s="9" t="n"/>
      <c r="E1495" s="10" t="n"/>
      <c r="G1495" s="25">
        <f>IF($A1495="","",IF(ISNA(MATCH($D1495,{"brand_sales","office_coordination","receiving_kitting","drop_day","checks_pickup","reporting_debriefs","admin_invoicing"},0)),"activity must be one of the seven keys; ","")&amp;IF(OR(N($E1495)&lt;=0,N($E1495)&gt;16),"hours?; ","")&amp;IF(AND($C1495&lt;&gt;"",$B1495=""),"campaign without drop_id; ","")&amp;IF(AND($B1495&lt;&gt;"",COUNTIF(drops!$A$2:$A$21,$B1495)=0),"drop_id not on drops; ",""))</f>
        <v/>
      </c>
    </row>
    <row r="1496">
      <c r="A1496" s="9" t="n"/>
      <c r="E1496" s="10" t="n"/>
      <c r="G1496" s="25">
        <f>IF($A1496="","",IF(ISNA(MATCH($D1496,{"brand_sales","office_coordination","receiving_kitting","drop_day","checks_pickup","reporting_debriefs","admin_invoicing"},0)),"activity must be one of the seven keys; ","")&amp;IF(OR(N($E1496)&lt;=0,N($E1496)&gt;16),"hours?; ","")&amp;IF(AND($C1496&lt;&gt;"",$B1496=""),"campaign without drop_id; ","")&amp;IF(AND($B1496&lt;&gt;"",COUNTIF(drops!$A$2:$A$21,$B1496)=0),"drop_id not on drops; ",""))</f>
        <v/>
      </c>
    </row>
    <row r="1497">
      <c r="A1497" s="9" t="n"/>
      <c r="E1497" s="10" t="n"/>
      <c r="G1497" s="25">
        <f>IF($A1497="","",IF(ISNA(MATCH($D1497,{"brand_sales","office_coordination","receiving_kitting","drop_day","checks_pickup","reporting_debriefs","admin_invoicing"},0)),"activity must be one of the seven keys; ","")&amp;IF(OR(N($E1497)&lt;=0,N($E1497)&gt;16),"hours?; ","")&amp;IF(AND($C1497&lt;&gt;"",$B1497=""),"campaign without drop_id; ","")&amp;IF(AND($B1497&lt;&gt;"",COUNTIF(drops!$A$2:$A$21,$B1497)=0),"drop_id not on drops; ",""))</f>
        <v/>
      </c>
    </row>
    <row r="1498">
      <c r="A1498" s="9" t="n"/>
      <c r="E1498" s="10" t="n"/>
      <c r="G1498" s="25">
        <f>IF($A1498="","",IF(ISNA(MATCH($D1498,{"brand_sales","office_coordination","receiving_kitting","drop_day","checks_pickup","reporting_debriefs","admin_invoicing"},0)),"activity must be one of the seven keys; ","")&amp;IF(OR(N($E1498)&lt;=0,N($E1498)&gt;16),"hours?; ","")&amp;IF(AND($C1498&lt;&gt;"",$B1498=""),"campaign without drop_id; ","")&amp;IF(AND($B1498&lt;&gt;"",COUNTIF(drops!$A$2:$A$21,$B1498)=0),"drop_id not on drops; ",""))</f>
        <v/>
      </c>
    </row>
    <row r="1499">
      <c r="A1499" s="9" t="n"/>
      <c r="E1499" s="10" t="n"/>
      <c r="G1499" s="25">
        <f>IF($A1499="","",IF(ISNA(MATCH($D1499,{"brand_sales","office_coordination","receiving_kitting","drop_day","checks_pickup","reporting_debriefs","admin_invoicing"},0)),"activity must be one of the seven keys; ","")&amp;IF(OR(N($E1499)&lt;=0,N($E1499)&gt;16),"hours?; ","")&amp;IF(AND($C1499&lt;&gt;"",$B1499=""),"campaign without drop_id; ","")&amp;IF(AND($B1499&lt;&gt;"",COUNTIF(drops!$A$2:$A$21,$B1499)=0),"drop_id not on drops; ",""))</f>
        <v/>
      </c>
    </row>
    <row r="1500">
      <c r="A1500" s="9" t="n"/>
      <c r="E1500" s="10" t="n"/>
      <c r="G1500" s="25">
        <f>IF($A1500="","",IF(ISNA(MATCH($D1500,{"brand_sales","office_coordination","receiving_kitting","drop_day","checks_pickup","reporting_debriefs","admin_invoicing"},0)),"activity must be one of the seven keys; ","")&amp;IF(OR(N($E1500)&lt;=0,N($E1500)&gt;16),"hours?; ","")&amp;IF(AND($C1500&lt;&gt;"",$B1500=""),"campaign without drop_id; ","")&amp;IF(AND($B1500&lt;&gt;"",COUNTIF(drops!$A$2:$A$21,$B1500)=0),"drop_id not on drops; ",""))</f>
        <v/>
      </c>
    </row>
    <row r="1501">
      <c r="A1501" s="9" t="n"/>
      <c r="E1501" s="10" t="n"/>
      <c r="G1501" s="25">
        <f>IF($A1501="","",IF(ISNA(MATCH($D1501,{"brand_sales","office_coordination","receiving_kitting","drop_day","checks_pickup","reporting_debriefs","admin_invoicing"},0)),"activity must be one of the seven keys; ","")&amp;IF(OR(N($E1501)&lt;=0,N($E1501)&gt;16),"hours?; ","")&amp;IF(AND($C1501&lt;&gt;"",$B1501=""),"campaign without drop_id; ","")&amp;IF(AND($B1501&lt;&gt;"",COUNTIF(drops!$A$2:$A$21,$B1501)=0),"drop_id not on drops; ",""))</f>
        <v/>
      </c>
    </row>
  </sheetData>
  <conditionalFormatting sqref="G2:G1501">
    <cfRule type="expression" priority="1" dxfId="1">
      <formula>LEN(G2)&gt;0</formula>
    </cfRule>
  </conditionalFormatting>
  <dataValidations count="1">
    <dataValidation sqref="D2:D1501" showDropDown="0" showInputMessage="0" showErrorMessage="1" allowBlank="1" errorTitle="Not on the list" error="Pick a value from the list." type="list">
      <formula1>"brand_sales,office_coordination,receiving_kitting,drop_day,checks_pickup,reporting_debriefs,admin_invoicing"</formula1>
    </dataValidation>
  </dataValidations>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tabColor rgb="00FFF2CC"/>
    <outlinePr summaryBelow="1" summaryRight="1"/>
    <pageSetUpPr/>
  </sheetPr>
  <dimension ref="A1:I3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6" customWidth="1" min="6" max="6"/>
    <col width="20" customWidth="1" min="7" max="7"/>
    <col width="24" customWidth="1" min="8" max="8"/>
    <col width="24" customWidth="1" min="9" max="9"/>
  </cols>
  <sheetData>
    <row r="1">
      <c r="A1" s="23" t="inlineStr">
        <is>
          <t>date</t>
        </is>
      </c>
      <c r="B1" s="23" t="inlineStr">
        <is>
          <t>drop_id</t>
        </is>
      </c>
      <c r="C1" s="23" t="inlineStr">
        <is>
          <t>campaign_id</t>
        </is>
      </c>
      <c r="D1" s="23" t="inlineStr">
        <is>
          <t>cost_type</t>
        </is>
      </c>
      <c r="E1" s="23" t="inlineStr">
        <is>
          <t>amount_usd</t>
        </is>
      </c>
      <c r="F1" s="23" t="inlineStr">
        <is>
          <t>vendor</t>
        </is>
      </c>
      <c r="G1" s="23" t="inlineStr">
        <is>
          <t>receipt_file</t>
        </is>
      </c>
      <c r="H1" s="23" t="inlineStr">
        <is>
          <t>note</t>
        </is>
      </c>
      <c r="I1" s="24" t="inlineStr">
        <is>
          <t>checks</t>
        </is>
      </c>
    </row>
    <row r="2">
      <c r="A2" s="9" t="n">
        <v>46394</v>
      </c>
      <c r="B2" t="inlineStr">
        <is>
          <t>SAMPLE-DRP-001</t>
        </is>
      </c>
      <c r="C2" t="inlineStr">
        <is>
          <t>SAMPLE-CMP-001</t>
        </is>
      </c>
      <c r="D2" t="inlineStr">
        <is>
          <t>kit</t>
        </is>
      </c>
      <c r="E2" s="10" t="n">
        <v>40</v>
      </c>
      <c r="F2" t="inlineStr">
        <is>
          <t>SAMPLE copy shop</t>
        </is>
      </c>
      <c r="H2" t="inlineStr">
        <is>
          <t>SAMPLE 5 cards and labels</t>
        </is>
      </c>
      <c r="I2" s="25">
        <f>IF($A2="","",IF(COUNTIF(drops!$A$2:$A$21,$B2)=0,"drop_id not on drops; ","")&amp;IF(N($E2)&lt;=0,"amount?; ","")&amp;IF($D2="","cost type?; ",""))</f>
        <v/>
      </c>
    </row>
    <row r="3">
      <c r="A3" s="9" t="n">
        <v>46394</v>
      </c>
      <c r="B3" t="inlineStr">
        <is>
          <t>SAMPLE-DRP-001</t>
        </is>
      </c>
      <c r="C3" t="inlineStr">
        <is>
          <t>SAMPLE-CMP-002</t>
        </is>
      </c>
      <c r="D3" t="inlineStr">
        <is>
          <t>kit</t>
        </is>
      </c>
      <c r="E3" s="10" t="n">
        <v>40</v>
      </c>
      <c r="F3" t="inlineStr">
        <is>
          <t>SAMPLE copy shop</t>
        </is>
      </c>
      <c r="H3" t="inlineStr">
        <is>
          <t>SAMPLE 5 cards and labels</t>
        </is>
      </c>
      <c r="I3" s="25">
        <f>IF($A3="","",IF(COUNTIF(drops!$A$2:$A$21,$B3)=0,"drop_id not on drops; ","")&amp;IF(N($E3)&lt;=0,"amount?; ","")&amp;IF($D3="","cost type?; ",""))</f>
        <v/>
      </c>
    </row>
    <row r="4">
      <c r="A4" s="9" t="n">
        <v>46399</v>
      </c>
      <c r="B4" t="inlineStr">
        <is>
          <t>SAMPLE-DRP-001</t>
        </is>
      </c>
      <c r="D4" t="inlineStr">
        <is>
          <t>transport</t>
        </is>
      </c>
      <c r="E4" s="10" t="n">
        <v>34</v>
      </c>
      <c r="F4" t="inlineStr">
        <is>
          <t>SAMPLE car service</t>
        </is>
      </c>
      <c r="H4" t="inlineStr">
        <is>
          <t>SAMPLE home to first stop</t>
        </is>
      </c>
      <c r="I4" s="25">
        <f>IF($A4="","",IF(COUNTIF(drops!$A$2:$A$21,$B4)=0,"drop_id not on drops; ","")&amp;IF(N($E4)&lt;=0,"amount?; ","")&amp;IF($D4="","cost type?; ",""))</f>
        <v/>
      </c>
    </row>
    <row r="5">
      <c r="A5" s="9" t="n">
        <v>46399</v>
      </c>
      <c r="B5" t="inlineStr">
        <is>
          <t>SAMPLE-DRP-001</t>
        </is>
      </c>
      <c r="D5" t="inlineStr">
        <is>
          <t>transport</t>
        </is>
      </c>
      <c r="E5" s="10" t="n">
        <v>29</v>
      </c>
      <c r="F5" t="inlineStr">
        <is>
          <t>SAMPLE car service</t>
        </is>
      </c>
      <c r="H5" t="inlineStr">
        <is>
          <t>SAMPLE stop 3 to stop 4 with the hand truck</t>
        </is>
      </c>
      <c r="I5" s="25">
        <f>IF($A5="","",IF(COUNTIF(drops!$A$2:$A$21,$B5)=0,"drop_id not on drops; ","")&amp;IF(N($E5)&lt;=0,"amount?; ","")&amp;IF($D5="","cost type?; ",""))</f>
        <v/>
      </c>
    </row>
    <row r="6">
      <c r="A6" s="9" t="n">
        <v>46394</v>
      </c>
      <c r="B6" t="inlineStr">
        <is>
          <t>SAMPLE-DRP-001</t>
        </is>
      </c>
      <c r="D6" t="inlineStr">
        <is>
          <t>other_direct</t>
        </is>
      </c>
      <c r="E6" s="10" t="n">
        <v>9</v>
      </c>
      <c r="F6" t="inlineStr">
        <is>
          <t>SAMPLE stationer</t>
        </is>
      </c>
      <c r="H6" t="inlineStr">
        <is>
          <t>SAMPLE card stock</t>
        </is>
      </c>
      <c r="I6" s="25">
        <f>IF($A6="","",IF(COUNTIF(drops!$A$2:$A$21,$B6)=0,"drop_id not on drops; ","")&amp;IF(N($E6)&lt;=0,"amount?; ","")&amp;IF($D6="","cost type?; ",""))</f>
        <v/>
      </c>
    </row>
    <row r="7">
      <c r="A7" s="9" t="n"/>
      <c r="E7" s="10" t="n"/>
      <c r="I7" s="25">
        <f>IF($A7="","",IF(COUNTIF(drops!$A$2:$A$21,$B7)=0,"drop_id not on drops; ","")&amp;IF(N($E7)&lt;=0,"amount?; ","")&amp;IF($D7="","cost type?; ",""))</f>
        <v/>
      </c>
    </row>
    <row r="8">
      <c r="A8" s="9" t="n"/>
      <c r="E8" s="10" t="n"/>
      <c r="I8" s="25">
        <f>IF($A8="","",IF(COUNTIF(drops!$A$2:$A$21,$B8)=0,"drop_id not on drops; ","")&amp;IF(N($E8)&lt;=0,"amount?; ","")&amp;IF($D8="","cost type?; ",""))</f>
        <v/>
      </c>
    </row>
    <row r="9">
      <c r="A9" s="9" t="n"/>
      <c r="E9" s="10" t="n"/>
      <c r="I9" s="25">
        <f>IF($A9="","",IF(COUNTIF(drops!$A$2:$A$21,$B9)=0,"drop_id not on drops; ","")&amp;IF(N($E9)&lt;=0,"amount?; ","")&amp;IF($D9="","cost type?; ",""))</f>
        <v/>
      </c>
    </row>
    <row r="10">
      <c r="A10" s="9" t="n"/>
      <c r="E10" s="10" t="n"/>
      <c r="I10" s="25">
        <f>IF($A10="","",IF(COUNTIF(drops!$A$2:$A$21,$B10)=0,"drop_id not on drops; ","")&amp;IF(N($E10)&lt;=0,"amount?; ","")&amp;IF($D10="","cost type?; ",""))</f>
        <v/>
      </c>
    </row>
    <row r="11">
      <c r="A11" s="9" t="n"/>
      <c r="E11" s="10" t="n"/>
      <c r="I11" s="25">
        <f>IF($A11="","",IF(COUNTIF(drops!$A$2:$A$21,$B11)=0,"drop_id not on drops; ","")&amp;IF(N($E11)&lt;=0,"amount?; ","")&amp;IF($D11="","cost type?; ",""))</f>
        <v/>
      </c>
    </row>
    <row r="12">
      <c r="A12" s="9" t="n"/>
      <c r="E12" s="10" t="n"/>
      <c r="I12" s="25">
        <f>IF($A12="","",IF(COUNTIF(drops!$A$2:$A$21,$B12)=0,"drop_id not on drops; ","")&amp;IF(N($E12)&lt;=0,"amount?; ","")&amp;IF($D12="","cost type?; ",""))</f>
        <v/>
      </c>
    </row>
    <row r="13">
      <c r="A13" s="9" t="n"/>
      <c r="E13" s="10" t="n"/>
      <c r="I13" s="25">
        <f>IF($A13="","",IF(COUNTIF(drops!$A$2:$A$21,$B13)=0,"drop_id not on drops; ","")&amp;IF(N($E13)&lt;=0,"amount?; ","")&amp;IF($D13="","cost type?; ",""))</f>
        <v/>
      </c>
    </row>
    <row r="14">
      <c r="A14" s="9" t="n"/>
      <c r="E14" s="10" t="n"/>
      <c r="I14" s="25">
        <f>IF($A14="","",IF(COUNTIF(drops!$A$2:$A$21,$B14)=0,"drop_id not on drops; ","")&amp;IF(N($E14)&lt;=0,"amount?; ","")&amp;IF($D14="","cost type?; ",""))</f>
        <v/>
      </c>
    </row>
    <row r="15">
      <c r="A15" s="9" t="n"/>
      <c r="E15" s="10" t="n"/>
      <c r="I15" s="25">
        <f>IF($A15="","",IF(COUNTIF(drops!$A$2:$A$21,$B15)=0,"drop_id not on drops; ","")&amp;IF(N($E15)&lt;=0,"amount?; ","")&amp;IF($D15="","cost type?; ",""))</f>
        <v/>
      </c>
    </row>
    <row r="16">
      <c r="A16" s="9" t="n"/>
      <c r="E16" s="10" t="n"/>
      <c r="I16" s="25">
        <f>IF($A16="","",IF(COUNTIF(drops!$A$2:$A$21,$B16)=0,"drop_id not on drops; ","")&amp;IF(N($E16)&lt;=0,"amount?; ","")&amp;IF($D16="","cost type?; ",""))</f>
        <v/>
      </c>
    </row>
    <row r="17">
      <c r="A17" s="9" t="n"/>
      <c r="E17" s="10" t="n"/>
      <c r="I17" s="25">
        <f>IF($A17="","",IF(COUNTIF(drops!$A$2:$A$21,$B17)=0,"drop_id not on drops; ","")&amp;IF(N($E17)&lt;=0,"amount?; ","")&amp;IF($D17="","cost type?; ",""))</f>
        <v/>
      </c>
    </row>
    <row r="18">
      <c r="A18" s="9" t="n"/>
      <c r="E18" s="10" t="n"/>
      <c r="I18" s="25">
        <f>IF($A18="","",IF(COUNTIF(drops!$A$2:$A$21,$B18)=0,"drop_id not on drops; ","")&amp;IF(N($E18)&lt;=0,"amount?; ","")&amp;IF($D18="","cost type?; ",""))</f>
        <v/>
      </c>
    </row>
    <row r="19">
      <c r="A19" s="9" t="n"/>
      <c r="E19" s="10" t="n"/>
      <c r="I19" s="25">
        <f>IF($A19="","",IF(COUNTIF(drops!$A$2:$A$21,$B19)=0,"drop_id not on drops; ","")&amp;IF(N($E19)&lt;=0,"amount?; ","")&amp;IF($D19="","cost type?; ",""))</f>
        <v/>
      </c>
    </row>
    <row r="20">
      <c r="A20" s="9" t="n"/>
      <c r="E20" s="10" t="n"/>
      <c r="I20" s="25">
        <f>IF($A20="","",IF(COUNTIF(drops!$A$2:$A$21,$B20)=0,"drop_id not on drops; ","")&amp;IF(N($E20)&lt;=0,"amount?; ","")&amp;IF($D20="","cost type?; ",""))</f>
        <v/>
      </c>
    </row>
    <row r="21">
      <c r="A21" s="9" t="n"/>
      <c r="E21" s="10" t="n"/>
      <c r="I21" s="25">
        <f>IF($A21="","",IF(COUNTIF(drops!$A$2:$A$21,$B21)=0,"drop_id not on drops; ","")&amp;IF(N($E21)&lt;=0,"amount?; ","")&amp;IF($D21="","cost type?; ",""))</f>
        <v/>
      </c>
    </row>
    <row r="22">
      <c r="A22" s="9" t="n"/>
      <c r="E22" s="10" t="n"/>
      <c r="I22" s="25">
        <f>IF($A22="","",IF(COUNTIF(drops!$A$2:$A$21,$B22)=0,"drop_id not on drops; ","")&amp;IF(N($E22)&lt;=0,"amount?; ","")&amp;IF($D22="","cost type?; ",""))</f>
        <v/>
      </c>
    </row>
    <row r="23">
      <c r="A23" s="9" t="n"/>
      <c r="E23" s="10" t="n"/>
      <c r="I23" s="25">
        <f>IF($A23="","",IF(COUNTIF(drops!$A$2:$A$21,$B23)=0,"drop_id not on drops; ","")&amp;IF(N($E23)&lt;=0,"amount?; ","")&amp;IF($D23="","cost type?; ",""))</f>
        <v/>
      </c>
    </row>
    <row r="24">
      <c r="A24" s="9" t="n"/>
      <c r="E24" s="10" t="n"/>
      <c r="I24" s="25">
        <f>IF($A24="","",IF(COUNTIF(drops!$A$2:$A$21,$B24)=0,"drop_id not on drops; ","")&amp;IF(N($E24)&lt;=0,"amount?; ","")&amp;IF($D24="","cost type?; ",""))</f>
        <v/>
      </c>
    </row>
    <row r="25">
      <c r="A25" s="9" t="n"/>
      <c r="E25" s="10" t="n"/>
      <c r="I25" s="25">
        <f>IF($A25="","",IF(COUNTIF(drops!$A$2:$A$21,$B25)=0,"drop_id not on drops; ","")&amp;IF(N($E25)&lt;=0,"amount?; ","")&amp;IF($D25="","cost type?; ",""))</f>
        <v/>
      </c>
    </row>
    <row r="26">
      <c r="A26" s="9" t="n"/>
      <c r="E26" s="10" t="n"/>
      <c r="I26" s="25">
        <f>IF($A26="","",IF(COUNTIF(drops!$A$2:$A$21,$B26)=0,"drop_id not on drops; ","")&amp;IF(N($E26)&lt;=0,"amount?; ","")&amp;IF($D26="","cost type?; ",""))</f>
        <v/>
      </c>
    </row>
    <row r="27">
      <c r="A27" s="9" t="n"/>
      <c r="E27" s="10" t="n"/>
      <c r="I27" s="25">
        <f>IF($A27="","",IF(COUNTIF(drops!$A$2:$A$21,$B27)=0,"drop_id not on drops; ","")&amp;IF(N($E27)&lt;=0,"amount?; ","")&amp;IF($D27="","cost type?; ",""))</f>
        <v/>
      </c>
    </row>
    <row r="28">
      <c r="A28" s="9" t="n"/>
      <c r="E28" s="10" t="n"/>
      <c r="I28" s="25">
        <f>IF($A28="","",IF(COUNTIF(drops!$A$2:$A$21,$B28)=0,"drop_id not on drops; ","")&amp;IF(N($E28)&lt;=0,"amount?; ","")&amp;IF($D28="","cost type?; ",""))</f>
        <v/>
      </c>
    </row>
    <row r="29">
      <c r="A29" s="9" t="n"/>
      <c r="E29" s="10" t="n"/>
      <c r="I29" s="25">
        <f>IF($A29="","",IF(COUNTIF(drops!$A$2:$A$21,$B29)=0,"drop_id not on drops; ","")&amp;IF(N($E29)&lt;=0,"amount?; ","")&amp;IF($D29="","cost type?; ",""))</f>
        <v/>
      </c>
    </row>
    <row r="30">
      <c r="A30" s="9" t="n"/>
      <c r="E30" s="10" t="n"/>
      <c r="I30" s="25">
        <f>IF($A30="","",IF(COUNTIF(drops!$A$2:$A$21,$B30)=0,"drop_id not on drops; ","")&amp;IF(N($E30)&lt;=0,"amount?; ","")&amp;IF($D30="","cost type?; ",""))</f>
        <v/>
      </c>
    </row>
    <row r="31">
      <c r="A31" s="9" t="n"/>
      <c r="E31" s="10" t="n"/>
      <c r="I31" s="25">
        <f>IF($A31="","",IF(COUNTIF(drops!$A$2:$A$21,$B31)=0,"drop_id not on drops; ","")&amp;IF(N($E31)&lt;=0,"amount?; ","")&amp;IF($D31="","cost type?; ",""))</f>
        <v/>
      </c>
    </row>
    <row r="32">
      <c r="A32" s="9" t="n"/>
      <c r="E32" s="10" t="n"/>
      <c r="I32" s="25">
        <f>IF($A32="","",IF(COUNTIF(drops!$A$2:$A$21,$B32)=0,"drop_id not on drops; ","")&amp;IF(N($E32)&lt;=0,"amount?; ","")&amp;IF($D32="","cost type?; ",""))</f>
        <v/>
      </c>
    </row>
    <row r="33">
      <c r="A33" s="9" t="n"/>
      <c r="E33" s="10" t="n"/>
      <c r="I33" s="25">
        <f>IF($A33="","",IF(COUNTIF(drops!$A$2:$A$21,$B33)=0,"drop_id not on drops; ","")&amp;IF(N($E33)&lt;=0,"amount?; ","")&amp;IF($D33="","cost type?; ",""))</f>
        <v/>
      </c>
    </row>
    <row r="34">
      <c r="A34" s="9" t="n"/>
      <c r="E34" s="10" t="n"/>
      <c r="I34" s="25">
        <f>IF($A34="","",IF(COUNTIF(drops!$A$2:$A$21,$B34)=0,"drop_id not on drops; ","")&amp;IF(N($E34)&lt;=0,"amount?; ","")&amp;IF($D34="","cost type?; ",""))</f>
        <v/>
      </c>
    </row>
    <row r="35">
      <c r="A35" s="9" t="n"/>
      <c r="E35" s="10" t="n"/>
      <c r="I35" s="25">
        <f>IF($A35="","",IF(COUNTIF(drops!$A$2:$A$21,$B35)=0,"drop_id not on drops; ","")&amp;IF(N($E35)&lt;=0,"amount?; ","")&amp;IF($D35="","cost type?; ",""))</f>
        <v/>
      </c>
    </row>
    <row r="36">
      <c r="A36" s="9" t="n"/>
      <c r="E36" s="10" t="n"/>
      <c r="I36" s="25">
        <f>IF($A36="","",IF(COUNTIF(drops!$A$2:$A$21,$B36)=0,"drop_id not on drops; ","")&amp;IF(N($E36)&lt;=0,"amount?; ","")&amp;IF($D36="","cost type?; ",""))</f>
        <v/>
      </c>
    </row>
    <row r="37">
      <c r="A37" s="9" t="n"/>
      <c r="E37" s="10" t="n"/>
      <c r="I37" s="25">
        <f>IF($A37="","",IF(COUNTIF(drops!$A$2:$A$21,$B37)=0,"drop_id not on drops; ","")&amp;IF(N($E37)&lt;=0,"amount?; ","")&amp;IF($D37="","cost type?; ",""))</f>
        <v/>
      </c>
    </row>
    <row r="38">
      <c r="A38" s="9" t="n"/>
      <c r="E38" s="10" t="n"/>
      <c r="I38" s="25">
        <f>IF($A38="","",IF(COUNTIF(drops!$A$2:$A$21,$B38)=0,"drop_id not on drops; ","")&amp;IF(N($E38)&lt;=0,"amount?; ","")&amp;IF($D38="","cost type?; ",""))</f>
        <v/>
      </c>
    </row>
    <row r="39">
      <c r="A39" s="9" t="n"/>
      <c r="E39" s="10" t="n"/>
      <c r="I39" s="25">
        <f>IF($A39="","",IF(COUNTIF(drops!$A$2:$A$21,$B39)=0,"drop_id not on drops; ","")&amp;IF(N($E39)&lt;=0,"amount?; ","")&amp;IF($D39="","cost type?; ",""))</f>
        <v/>
      </c>
    </row>
    <row r="40">
      <c r="A40" s="9" t="n"/>
      <c r="E40" s="10" t="n"/>
      <c r="I40" s="25">
        <f>IF($A40="","",IF(COUNTIF(drops!$A$2:$A$21,$B40)=0,"drop_id not on drops; ","")&amp;IF(N($E40)&lt;=0,"amount?; ","")&amp;IF($D40="","cost type?; ",""))</f>
        <v/>
      </c>
    </row>
    <row r="41">
      <c r="A41" s="9" t="n"/>
      <c r="E41" s="10" t="n"/>
      <c r="I41" s="25">
        <f>IF($A41="","",IF(COUNTIF(drops!$A$2:$A$21,$B41)=0,"drop_id not on drops; ","")&amp;IF(N($E41)&lt;=0,"amount?; ","")&amp;IF($D41="","cost type?; ",""))</f>
        <v/>
      </c>
    </row>
    <row r="42">
      <c r="A42" s="9" t="n"/>
      <c r="E42" s="10" t="n"/>
      <c r="I42" s="25">
        <f>IF($A42="","",IF(COUNTIF(drops!$A$2:$A$21,$B42)=0,"drop_id not on drops; ","")&amp;IF(N($E42)&lt;=0,"amount?; ","")&amp;IF($D42="","cost type?; ",""))</f>
        <v/>
      </c>
    </row>
    <row r="43">
      <c r="A43" s="9" t="n"/>
      <c r="E43" s="10" t="n"/>
      <c r="I43" s="25">
        <f>IF($A43="","",IF(COUNTIF(drops!$A$2:$A$21,$B43)=0,"drop_id not on drops; ","")&amp;IF(N($E43)&lt;=0,"amount?; ","")&amp;IF($D43="","cost type?; ",""))</f>
        <v/>
      </c>
    </row>
    <row r="44">
      <c r="A44" s="9" t="n"/>
      <c r="E44" s="10" t="n"/>
      <c r="I44" s="25">
        <f>IF($A44="","",IF(COUNTIF(drops!$A$2:$A$21,$B44)=0,"drop_id not on drops; ","")&amp;IF(N($E44)&lt;=0,"amount?; ","")&amp;IF($D44="","cost type?; ",""))</f>
        <v/>
      </c>
    </row>
    <row r="45">
      <c r="A45" s="9" t="n"/>
      <c r="E45" s="10" t="n"/>
      <c r="I45" s="25">
        <f>IF($A45="","",IF(COUNTIF(drops!$A$2:$A$21,$B45)=0,"drop_id not on drops; ","")&amp;IF(N($E45)&lt;=0,"amount?; ","")&amp;IF($D45="","cost type?; ",""))</f>
        <v/>
      </c>
    </row>
    <row r="46">
      <c r="A46" s="9" t="n"/>
      <c r="E46" s="10" t="n"/>
      <c r="I46" s="25">
        <f>IF($A46="","",IF(COUNTIF(drops!$A$2:$A$21,$B46)=0,"drop_id not on drops; ","")&amp;IF(N($E46)&lt;=0,"amount?; ","")&amp;IF($D46="","cost type?; ",""))</f>
        <v/>
      </c>
    </row>
    <row r="47">
      <c r="A47" s="9" t="n"/>
      <c r="E47" s="10" t="n"/>
      <c r="I47" s="25">
        <f>IF($A47="","",IF(COUNTIF(drops!$A$2:$A$21,$B47)=0,"drop_id not on drops; ","")&amp;IF(N($E47)&lt;=0,"amount?; ","")&amp;IF($D47="","cost type?; ",""))</f>
        <v/>
      </c>
    </row>
    <row r="48">
      <c r="A48" s="9" t="n"/>
      <c r="E48" s="10" t="n"/>
      <c r="I48" s="25">
        <f>IF($A48="","",IF(COUNTIF(drops!$A$2:$A$21,$B48)=0,"drop_id not on drops; ","")&amp;IF(N($E48)&lt;=0,"amount?; ","")&amp;IF($D48="","cost type?; ",""))</f>
        <v/>
      </c>
    </row>
    <row r="49">
      <c r="A49" s="9" t="n"/>
      <c r="E49" s="10" t="n"/>
      <c r="I49" s="25">
        <f>IF($A49="","",IF(COUNTIF(drops!$A$2:$A$21,$B49)=0,"drop_id not on drops; ","")&amp;IF(N($E49)&lt;=0,"amount?; ","")&amp;IF($D49="","cost type?; ",""))</f>
        <v/>
      </c>
    </row>
    <row r="50">
      <c r="A50" s="9" t="n"/>
      <c r="E50" s="10" t="n"/>
      <c r="I50" s="25">
        <f>IF($A50="","",IF(COUNTIF(drops!$A$2:$A$21,$B50)=0,"drop_id not on drops; ","")&amp;IF(N($E50)&lt;=0,"amount?; ","")&amp;IF($D50="","cost type?; ",""))</f>
        <v/>
      </c>
    </row>
    <row r="51">
      <c r="A51" s="9" t="n"/>
      <c r="E51" s="10" t="n"/>
      <c r="I51" s="25">
        <f>IF($A51="","",IF(COUNTIF(drops!$A$2:$A$21,$B51)=0,"drop_id not on drops; ","")&amp;IF(N($E51)&lt;=0,"amount?; ","")&amp;IF($D51="","cost type?; ",""))</f>
        <v/>
      </c>
    </row>
    <row r="52">
      <c r="A52" s="9" t="n"/>
      <c r="E52" s="10" t="n"/>
      <c r="I52" s="25">
        <f>IF($A52="","",IF(COUNTIF(drops!$A$2:$A$21,$B52)=0,"drop_id not on drops; ","")&amp;IF(N($E52)&lt;=0,"amount?; ","")&amp;IF($D52="","cost type?; ",""))</f>
        <v/>
      </c>
    </row>
    <row r="53">
      <c r="A53" s="9" t="n"/>
      <c r="E53" s="10" t="n"/>
      <c r="I53" s="25">
        <f>IF($A53="","",IF(COUNTIF(drops!$A$2:$A$21,$B53)=0,"drop_id not on drops; ","")&amp;IF(N($E53)&lt;=0,"amount?; ","")&amp;IF($D53="","cost type?; ",""))</f>
        <v/>
      </c>
    </row>
    <row r="54">
      <c r="A54" s="9" t="n"/>
      <c r="E54" s="10" t="n"/>
      <c r="I54" s="25">
        <f>IF($A54="","",IF(COUNTIF(drops!$A$2:$A$21,$B54)=0,"drop_id not on drops; ","")&amp;IF(N($E54)&lt;=0,"amount?; ","")&amp;IF($D54="","cost type?; ",""))</f>
        <v/>
      </c>
    </row>
    <row r="55">
      <c r="A55" s="9" t="n"/>
      <c r="E55" s="10" t="n"/>
      <c r="I55" s="25">
        <f>IF($A55="","",IF(COUNTIF(drops!$A$2:$A$21,$B55)=0,"drop_id not on drops; ","")&amp;IF(N($E55)&lt;=0,"amount?; ","")&amp;IF($D55="","cost type?; ",""))</f>
        <v/>
      </c>
    </row>
    <row r="56">
      <c r="A56" s="9" t="n"/>
      <c r="E56" s="10" t="n"/>
      <c r="I56" s="25">
        <f>IF($A56="","",IF(COUNTIF(drops!$A$2:$A$21,$B56)=0,"drop_id not on drops; ","")&amp;IF(N($E56)&lt;=0,"amount?; ","")&amp;IF($D56="","cost type?; ",""))</f>
        <v/>
      </c>
    </row>
    <row r="57">
      <c r="A57" s="9" t="n"/>
      <c r="E57" s="10" t="n"/>
      <c r="I57" s="25">
        <f>IF($A57="","",IF(COUNTIF(drops!$A$2:$A$21,$B57)=0,"drop_id not on drops; ","")&amp;IF(N($E57)&lt;=0,"amount?; ","")&amp;IF($D57="","cost type?; ",""))</f>
        <v/>
      </c>
    </row>
    <row r="58">
      <c r="A58" s="9" t="n"/>
      <c r="E58" s="10" t="n"/>
      <c r="I58" s="25">
        <f>IF($A58="","",IF(COUNTIF(drops!$A$2:$A$21,$B58)=0,"drop_id not on drops; ","")&amp;IF(N($E58)&lt;=0,"amount?; ","")&amp;IF($D58="","cost type?; ",""))</f>
        <v/>
      </c>
    </row>
    <row r="59">
      <c r="A59" s="9" t="n"/>
      <c r="E59" s="10" t="n"/>
      <c r="I59" s="25">
        <f>IF($A59="","",IF(COUNTIF(drops!$A$2:$A$21,$B59)=0,"drop_id not on drops; ","")&amp;IF(N($E59)&lt;=0,"amount?; ","")&amp;IF($D59="","cost type?; ",""))</f>
        <v/>
      </c>
    </row>
    <row r="60">
      <c r="A60" s="9" t="n"/>
      <c r="E60" s="10" t="n"/>
      <c r="I60" s="25">
        <f>IF($A60="","",IF(COUNTIF(drops!$A$2:$A$21,$B60)=0,"drop_id not on drops; ","")&amp;IF(N($E60)&lt;=0,"amount?; ","")&amp;IF($D60="","cost type?; ",""))</f>
        <v/>
      </c>
    </row>
    <row r="61">
      <c r="A61" s="9" t="n"/>
      <c r="E61" s="10" t="n"/>
      <c r="I61" s="25">
        <f>IF($A61="","",IF(COUNTIF(drops!$A$2:$A$21,$B61)=0,"drop_id not on drops; ","")&amp;IF(N($E61)&lt;=0,"amount?; ","")&amp;IF($D61="","cost type?; ",""))</f>
        <v/>
      </c>
    </row>
    <row r="62">
      <c r="A62" s="9" t="n"/>
      <c r="E62" s="10" t="n"/>
      <c r="I62" s="25">
        <f>IF($A62="","",IF(COUNTIF(drops!$A$2:$A$21,$B62)=0,"drop_id not on drops; ","")&amp;IF(N($E62)&lt;=0,"amount?; ","")&amp;IF($D62="","cost type?; ",""))</f>
        <v/>
      </c>
    </row>
    <row r="63">
      <c r="A63" s="9" t="n"/>
      <c r="E63" s="10" t="n"/>
      <c r="I63" s="25">
        <f>IF($A63="","",IF(COUNTIF(drops!$A$2:$A$21,$B63)=0,"drop_id not on drops; ","")&amp;IF(N($E63)&lt;=0,"amount?; ","")&amp;IF($D63="","cost type?; ",""))</f>
        <v/>
      </c>
    </row>
    <row r="64">
      <c r="A64" s="9" t="n"/>
      <c r="E64" s="10" t="n"/>
      <c r="I64" s="25">
        <f>IF($A64="","",IF(COUNTIF(drops!$A$2:$A$21,$B64)=0,"drop_id not on drops; ","")&amp;IF(N($E64)&lt;=0,"amount?; ","")&amp;IF($D64="","cost type?; ",""))</f>
        <v/>
      </c>
    </row>
    <row r="65">
      <c r="A65" s="9" t="n"/>
      <c r="E65" s="10" t="n"/>
      <c r="I65" s="25">
        <f>IF($A65="","",IF(COUNTIF(drops!$A$2:$A$21,$B65)=0,"drop_id not on drops; ","")&amp;IF(N($E65)&lt;=0,"amount?; ","")&amp;IF($D65="","cost type?; ",""))</f>
        <v/>
      </c>
    </row>
    <row r="66">
      <c r="A66" s="9" t="n"/>
      <c r="E66" s="10" t="n"/>
      <c r="I66" s="25">
        <f>IF($A66="","",IF(COUNTIF(drops!$A$2:$A$21,$B66)=0,"drop_id not on drops; ","")&amp;IF(N($E66)&lt;=0,"amount?; ","")&amp;IF($D66="","cost type?; ",""))</f>
        <v/>
      </c>
    </row>
    <row r="67">
      <c r="A67" s="9" t="n"/>
      <c r="E67" s="10" t="n"/>
      <c r="I67" s="25">
        <f>IF($A67="","",IF(COUNTIF(drops!$A$2:$A$21,$B67)=0,"drop_id not on drops; ","")&amp;IF(N($E67)&lt;=0,"amount?; ","")&amp;IF($D67="","cost type?; ",""))</f>
        <v/>
      </c>
    </row>
    <row r="68">
      <c r="A68" s="9" t="n"/>
      <c r="E68" s="10" t="n"/>
      <c r="I68" s="25">
        <f>IF($A68="","",IF(COUNTIF(drops!$A$2:$A$21,$B68)=0,"drop_id not on drops; ","")&amp;IF(N($E68)&lt;=0,"amount?; ","")&amp;IF($D68="","cost type?; ",""))</f>
        <v/>
      </c>
    </row>
    <row r="69">
      <c r="A69" s="9" t="n"/>
      <c r="E69" s="10" t="n"/>
      <c r="I69" s="25">
        <f>IF($A69="","",IF(COUNTIF(drops!$A$2:$A$21,$B69)=0,"drop_id not on drops; ","")&amp;IF(N($E69)&lt;=0,"amount?; ","")&amp;IF($D69="","cost type?; ",""))</f>
        <v/>
      </c>
    </row>
    <row r="70">
      <c r="A70" s="9" t="n"/>
      <c r="E70" s="10" t="n"/>
      <c r="I70" s="25">
        <f>IF($A70="","",IF(COUNTIF(drops!$A$2:$A$21,$B70)=0,"drop_id not on drops; ","")&amp;IF(N($E70)&lt;=0,"amount?; ","")&amp;IF($D70="","cost type?; ",""))</f>
        <v/>
      </c>
    </row>
    <row r="71">
      <c r="A71" s="9" t="n"/>
      <c r="E71" s="10" t="n"/>
      <c r="I71" s="25">
        <f>IF($A71="","",IF(COUNTIF(drops!$A$2:$A$21,$B71)=0,"drop_id not on drops; ","")&amp;IF(N($E71)&lt;=0,"amount?; ","")&amp;IF($D71="","cost type?; ",""))</f>
        <v/>
      </c>
    </row>
    <row r="72">
      <c r="A72" s="9" t="n"/>
      <c r="E72" s="10" t="n"/>
      <c r="I72" s="25">
        <f>IF($A72="","",IF(COUNTIF(drops!$A$2:$A$21,$B72)=0,"drop_id not on drops; ","")&amp;IF(N($E72)&lt;=0,"amount?; ","")&amp;IF($D72="","cost type?; ",""))</f>
        <v/>
      </c>
    </row>
    <row r="73">
      <c r="A73" s="9" t="n"/>
      <c r="E73" s="10" t="n"/>
      <c r="I73" s="25">
        <f>IF($A73="","",IF(COUNTIF(drops!$A$2:$A$21,$B73)=0,"drop_id not on drops; ","")&amp;IF(N($E73)&lt;=0,"amount?; ","")&amp;IF($D73="","cost type?; ",""))</f>
        <v/>
      </c>
    </row>
    <row r="74">
      <c r="A74" s="9" t="n"/>
      <c r="E74" s="10" t="n"/>
      <c r="I74" s="25">
        <f>IF($A74="","",IF(COUNTIF(drops!$A$2:$A$21,$B74)=0,"drop_id not on drops; ","")&amp;IF(N($E74)&lt;=0,"amount?; ","")&amp;IF($D74="","cost type?; ",""))</f>
        <v/>
      </c>
    </row>
    <row r="75">
      <c r="A75" s="9" t="n"/>
      <c r="E75" s="10" t="n"/>
      <c r="I75" s="25">
        <f>IF($A75="","",IF(COUNTIF(drops!$A$2:$A$21,$B75)=0,"drop_id not on drops; ","")&amp;IF(N($E75)&lt;=0,"amount?; ","")&amp;IF($D75="","cost type?; ",""))</f>
        <v/>
      </c>
    </row>
    <row r="76">
      <c r="A76" s="9" t="n"/>
      <c r="E76" s="10" t="n"/>
      <c r="I76" s="25">
        <f>IF($A76="","",IF(COUNTIF(drops!$A$2:$A$21,$B76)=0,"drop_id not on drops; ","")&amp;IF(N($E76)&lt;=0,"amount?; ","")&amp;IF($D76="","cost type?; ",""))</f>
        <v/>
      </c>
    </row>
    <row r="77">
      <c r="A77" s="9" t="n"/>
      <c r="E77" s="10" t="n"/>
      <c r="I77" s="25">
        <f>IF($A77="","",IF(COUNTIF(drops!$A$2:$A$21,$B77)=0,"drop_id not on drops; ","")&amp;IF(N($E77)&lt;=0,"amount?; ","")&amp;IF($D77="","cost type?; ",""))</f>
        <v/>
      </c>
    </row>
    <row r="78">
      <c r="A78" s="9" t="n"/>
      <c r="E78" s="10" t="n"/>
      <c r="I78" s="25">
        <f>IF($A78="","",IF(COUNTIF(drops!$A$2:$A$21,$B78)=0,"drop_id not on drops; ","")&amp;IF(N($E78)&lt;=0,"amount?; ","")&amp;IF($D78="","cost type?; ",""))</f>
        <v/>
      </c>
    </row>
    <row r="79">
      <c r="A79" s="9" t="n"/>
      <c r="E79" s="10" t="n"/>
      <c r="I79" s="25">
        <f>IF($A79="","",IF(COUNTIF(drops!$A$2:$A$21,$B79)=0,"drop_id not on drops; ","")&amp;IF(N($E79)&lt;=0,"amount?; ","")&amp;IF($D79="","cost type?; ",""))</f>
        <v/>
      </c>
    </row>
    <row r="80">
      <c r="A80" s="9" t="n"/>
      <c r="E80" s="10" t="n"/>
      <c r="I80" s="25">
        <f>IF($A80="","",IF(COUNTIF(drops!$A$2:$A$21,$B80)=0,"drop_id not on drops; ","")&amp;IF(N($E80)&lt;=0,"amount?; ","")&amp;IF($D80="","cost type?; ",""))</f>
        <v/>
      </c>
    </row>
    <row r="81">
      <c r="A81" s="9" t="n"/>
      <c r="E81" s="10" t="n"/>
      <c r="I81" s="25">
        <f>IF($A81="","",IF(COUNTIF(drops!$A$2:$A$21,$B81)=0,"drop_id not on drops; ","")&amp;IF(N($E81)&lt;=0,"amount?; ","")&amp;IF($D81="","cost type?; ",""))</f>
        <v/>
      </c>
    </row>
    <row r="82">
      <c r="A82" s="9" t="n"/>
      <c r="E82" s="10" t="n"/>
      <c r="I82" s="25">
        <f>IF($A82="","",IF(COUNTIF(drops!$A$2:$A$21,$B82)=0,"drop_id not on drops; ","")&amp;IF(N($E82)&lt;=0,"amount?; ","")&amp;IF($D82="","cost type?; ",""))</f>
        <v/>
      </c>
    </row>
    <row r="83">
      <c r="A83" s="9" t="n"/>
      <c r="E83" s="10" t="n"/>
      <c r="I83" s="25">
        <f>IF($A83="","",IF(COUNTIF(drops!$A$2:$A$21,$B83)=0,"drop_id not on drops; ","")&amp;IF(N($E83)&lt;=0,"amount?; ","")&amp;IF($D83="","cost type?; ",""))</f>
        <v/>
      </c>
    </row>
    <row r="84">
      <c r="A84" s="9" t="n"/>
      <c r="E84" s="10" t="n"/>
      <c r="I84" s="25">
        <f>IF($A84="","",IF(COUNTIF(drops!$A$2:$A$21,$B84)=0,"drop_id not on drops; ","")&amp;IF(N($E84)&lt;=0,"amount?; ","")&amp;IF($D84="","cost type?; ",""))</f>
        <v/>
      </c>
    </row>
    <row r="85">
      <c r="A85" s="9" t="n"/>
      <c r="E85" s="10" t="n"/>
      <c r="I85" s="25">
        <f>IF($A85="","",IF(COUNTIF(drops!$A$2:$A$21,$B85)=0,"drop_id not on drops; ","")&amp;IF(N($E85)&lt;=0,"amount?; ","")&amp;IF($D85="","cost type?; ",""))</f>
        <v/>
      </c>
    </row>
    <row r="86">
      <c r="A86" s="9" t="n"/>
      <c r="E86" s="10" t="n"/>
      <c r="I86" s="25">
        <f>IF($A86="","",IF(COUNTIF(drops!$A$2:$A$21,$B86)=0,"drop_id not on drops; ","")&amp;IF(N($E86)&lt;=0,"amount?; ","")&amp;IF($D86="","cost type?; ",""))</f>
        <v/>
      </c>
    </row>
    <row r="87">
      <c r="A87" s="9" t="n"/>
      <c r="E87" s="10" t="n"/>
      <c r="I87" s="25">
        <f>IF($A87="","",IF(COUNTIF(drops!$A$2:$A$21,$B87)=0,"drop_id not on drops; ","")&amp;IF(N($E87)&lt;=0,"amount?; ","")&amp;IF($D87="","cost type?; ",""))</f>
        <v/>
      </c>
    </row>
    <row r="88">
      <c r="A88" s="9" t="n"/>
      <c r="E88" s="10" t="n"/>
      <c r="I88" s="25">
        <f>IF($A88="","",IF(COUNTIF(drops!$A$2:$A$21,$B88)=0,"drop_id not on drops; ","")&amp;IF(N($E88)&lt;=0,"amount?; ","")&amp;IF($D88="","cost type?; ",""))</f>
        <v/>
      </c>
    </row>
    <row r="89">
      <c r="A89" s="9" t="n"/>
      <c r="E89" s="10" t="n"/>
      <c r="I89" s="25">
        <f>IF($A89="","",IF(COUNTIF(drops!$A$2:$A$21,$B89)=0,"drop_id not on drops; ","")&amp;IF(N($E89)&lt;=0,"amount?; ","")&amp;IF($D89="","cost type?; ",""))</f>
        <v/>
      </c>
    </row>
    <row r="90">
      <c r="A90" s="9" t="n"/>
      <c r="E90" s="10" t="n"/>
      <c r="I90" s="25">
        <f>IF($A90="","",IF(COUNTIF(drops!$A$2:$A$21,$B90)=0,"drop_id not on drops; ","")&amp;IF(N($E90)&lt;=0,"amount?; ","")&amp;IF($D90="","cost type?; ",""))</f>
        <v/>
      </c>
    </row>
    <row r="91">
      <c r="A91" s="9" t="n"/>
      <c r="E91" s="10" t="n"/>
      <c r="I91" s="25">
        <f>IF($A91="","",IF(COUNTIF(drops!$A$2:$A$21,$B91)=0,"drop_id not on drops; ","")&amp;IF(N($E91)&lt;=0,"amount?; ","")&amp;IF($D91="","cost type?; ",""))</f>
        <v/>
      </c>
    </row>
    <row r="92">
      <c r="A92" s="9" t="n"/>
      <c r="E92" s="10" t="n"/>
      <c r="I92" s="25">
        <f>IF($A92="","",IF(COUNTIF(drops!$A$2:$A$21,$B92)=0,"drop_id not on drops; ","")&amp;IF(N($E92)&lt;=0,"amount?; ","")&amp;IF($D92="","cost type?; ",""))</f>
        <v/>
      </c>
    </row>
    <row r="93">
      <c r="A93" s="9" t="n"/>
      <c r="E93" s="10" t="n"/>
      <c r="I93" s="25">
        <f>IF($A93="","",IF(COUNTIF(drops!$A$2:$A$21,$B93)=0,"drop_id not on drops; ","")&amp;IF(N($E93)&lt;=0,"amount?; ","")&amp;IF($D93="","cost type?; ",""))</f>
        <v/>
      </c>
    </row>
    <row r="94">
      <c r="A94" s="9" t="n"/>
      <c r="E94" s="10" t="n"/>
      <c r="I94" s="25">
        <f>IF($A94="","",IF(COUNTIF(drops!$A$2:$A$21,$B94)=0,"drop_id not on drops; ","")&amp;IF(N($E94)&lt;=0,"amount?; ","")&amp;IF($D94="","cost type?; ",""))</f>
        <v/>
      </c>
    </row>
    <row r="95">
      <c r="A95" s="9" t="n"/>
      <c r="E95" s="10" t="n"/>
      <c r="I95" s="25">
        <f>IF($A95="","",IF(COUNTIF(drops!$A$2:$A$21,$B95)=0,"drop_id not on drops; ","")&amp;IF(N($E95)&lt;=0,"amount?; ","")&amp;IF($D95="","cost type?; ",""))</f>
        <v/>
      </c>
    </row>
    <row r="96">
      <c r="A96" s="9" t="n"/>
      <c r="E96" s="10" t="n"/>
      <c r="I96" s="25">
        <f>IF($A96="","",IF(COUNTIF(drops!$A$2:$A$21,$B96)=0,"drop_id not on drops; ","")&amp;IF(N($E96)&lt;=0,"amount?; ","")&amp;IF($D96="","cost type?; ",""))</f>
        <v/>
      </c>
    </row>
    <row r="97">
      <c r="A97" s="9" t="n"/>
      <c r="E97" s="10" t="n"/>
      <c r="I97" s="25">
        <f>IF($A97="","",IF(COUNTIF(drops!$A$2:$A$21,$B97)=0,"drop_id not on drops; ","")&amp;IF(N($E97)&lt;=0,"amount?; ","")&amp;IF($D97="","cost type?; ",""))</f>
        <v/>
      </c>
    </row>
    <row r="98">
      <c r="A98" s="9" t="n"/>
      <c r="E98" s="10" t="n"/>
      <c r="I98" s="25">
        <f>IF($A98="","",IF(COUNTIF(drops!$A$2:$A$21,$B98)=0,"drop_id not on drops; ","")&amp;IF(N($E98)&lt;=0,"amount?; ","")&amp;IF($D98="","cost type?; ",""))</f>
        <v/>
      </c>
    </row>
    <row r="99">
      <c r="A99" s="9" t="n"/>
      <c r="E99" s="10" t="n"/>
      <c r="I99" s="25">
        <f>IF($A99="","",IF(COUNTIF(drops!$A$2:$A$21,$B99)=0,"drop_id not on drops; ","")&amp;IF(N($E99)&lt;=0,"amount?; ","")&amp;IF($D99="","cost type?; ",""))</f>
        <v/>
      </c>
    </row>
    <row r="100">
      <c r="A100" s="9" t="n"/>
      <c r="E100" s="10" t="n"/>
      <c r="I100" s="25">
        <f>IF($A100="","",IF(COUNTIF(drops!$A$2:$A$21,$B100)=0,"drop_id not on drops; ","")&amp;IF(N($E100)&lt;=0,"amount?; ","")&amp;IF($D100="","cost type?; ",""))</f>
        <v/>
      </c>
    </row>
    <row r="101">
      <c r="A101" s="9" t="n"/>
      <c r="E101" s="10" t="n"/>
      <c r="I101" s="25">
        <f>IF($A101="","",IF(COUNTIF(drops!$A$2:$A$21,$B101)=0,"drop_id not on drops; ","")&amp;IF(N($E101)&lt;=0,"amount?; ","")&amp;IF($D101="","cost type?; ",""))</f>
        <v/>
      </c>
    </row>
    <row r="102">
      <c r="A102" s="9" t="n"/>
      <c r="E102" s="10" t="n"/>
      <c r="I102" s="25">
        <f>IF($A102="","",IF(COUNTIF(drops!$A$2:$A$21,$B102)=0,"drop_id not on drops; ","")&amp;IF(N($E102)&lt;=0,"amount?; ","")&amp;IF($D102="","cost type?; ",""))</f>
        <v/>
      </c>
    </row>
    <row r="103">
      <c r="A103" s="9" t="n"/>
      <c r="E103" s="10" t="n"/>
      <c r="I103" s="25">
        <f>IF($A103="","",IF(COUNTIF(drops!$A$2:$A$21,$B103)=0,"drop_id not on drops; ","")&amp;IF(N($E103)&lt;=0,"amount?; ","")&amp;IF($D103="","cost type?; ",""))</f>
        <v/>
      </c>
    </row>
    <row r="104">
      <c r="A104" s="9" t="n"/>
      <c r="E104" s="10" t="n"/>
      <c r="I104" s="25">
        <f>IF($A104="","",IF(COUNTIF(drops!$A$2:$A$21,$B104)=0,"drop_id not on drops; ","")&amp;IF(N($E104)&lt;=0,"amount?; ","")&amp;IF($D104="","cost type?; ",""))</f>
        <v/>
      </c>
    </row>
    <row r="105">
      <c r="A105" s="9" t="n"/>
      <c r="E105" s="10" t="n"/>
      <c r="I105" s="25">
        <f>IF($A105="","",IF(COUNTIF(drops!$A$2:$A$21,$B105)=0,"drop_id not on drops; ","")&amp;IF(N($E105)&lt;=0,"amount?; ","")&amp;IF($D105="","cost type?; ",""))</f>
        <v/>
      </c>
    </row>
    <row r="106">
      <c r="A106" s="9" t="n"/>
      <c r="E106" s="10" t="n"/>
      <c r="I106" s="25">
        <f>IF($A106="","",IF(COUNTIF(drops!$A$2:$A$21,$B106)=0,"drop_id not on drops; ","")&amp;IF(N($E106)&lt;=0,"amount?; ","")&amp;IF($D106="","cost type?; ",""))</f>
        <v/>
      </c>
    </row>
    <row r="107">
      <c r="A107" s="9" t="n"/>
      <c r="E107" s="10" t="n"/>
      <c r="I107" s="25">
        <f>IF($A107="","",IF(COUNTIF(drops!$A$2:$A$21,$B107)=0,"drop_id not on drops; ","")&amp;IF(N($E107)&lt;=0,"amount?; ","")&amp;IF($D107="","cost type?; ",""))</f>
        <v/>
      </c>
    </row>
    <row r="108">
      <c r="A108" s="9" t="n"/>
      <c r="E108" s="10" t="n"/>
      <c r="I108" s="25">
        <f>IF($A108="","",IF(COUNTIF(drops!$A$2:$A$21,$B108)=0,"drop_id not on drops; ","")&amp;IF(N($E108)&lt;=0,"amount?; ","")&amp;IF($D108="","cost type?; ",""))</f>
        <v/>
      </c>
    </row>
    <row r="109">
      <c r="A109" s="9" t="n"/>
      <c r="E109" s="10" t="n"/>
      <c r="I109" s="25">
        <f>IF($A109="","",IF(COUNTIF(drops!$A$2:$A$21,$B109)=0,"drop_id not on drops; ","")&amp;IF(N($E109)&lt;=0,"amount?; ","")&amp;IF($D109="","cost type?; ",""))</f>
        <v/>
      </c>
    </row>
    <row r="110">
      <c r="A110" s="9" t="n"/>
      <c r="E110" s="10" t="n"/>
      <c r="I110" s="25">
        <f>IF($A110="","",IF(COUNTIF(drops!$A$2:$A$21,$B110)=0,"drop_id not on drops; ","")&amp;IF(N($E110)&lt;=0,"amount?; ","")&amp;IF($D110="","cost type?; ",""))</f>
        <v/>
      </c>
    </row>
    <row r="111">
      <c r="A111" s="9" t="n"/>
      <c r="E111" s="10" t="n"/>
      <c r="I111" s="25">
        <f>IF($A111="","",IF(COUNTIF(drops!$A$2:$A$21,$B111)=0,"drop_id not on drops; ","")&amp;IF(N($E111)&lt;=0,"amount?; ","")&amp;IF($D111="","cost type?; ",""))</f>
        <v/>
      </c>
    </row>
    <row r="112">
      <c r="A112" s="9" t="n"/>
      <c r="E112" s="10" t="n"/>
      <c r="I112" s="25">
        <f>IF($A112="","",IF(COUNTIF(drops!$A$2:$A$21,$B112)=0,"drop_id not on drops; ","")&amp;IF(N($E112)&lt;=0,"amount?; ","")&amp;IF($D112="","cost type?; ",""))</f>
        <v/>
      </c>
    </row>
    <row r="113">
      <c r="A113" s="9" t="n"/>
      <c r="E113" s="10" t="n"/>
      <c r="I113" s="25">
        <f>IF($A113="","",IF(COUNTIF(drops!$A$2:$A$21,$B113)=0,"drop_id not on drops; ","")&amp;IF(N($E113)&lt;=0,"amount?; ","")&amp;IF($D113="","cost type?; ",""))</f>
        <v/>
      </c>
    </row>
    <row r="114">
      <c r="A114" s="9" t="n"/>
      <c r="E114" s="10" t="n"/>
      <c r="I114" s="25">
        <f>IF($A114="","",IF(COUNTIF(drops!$A$2:$A$21,$B114)=0,"drop_id not on drops; ","")&amp;IF(N($E114)&lt;=0,"amount?; ","")&amp;IF($D114="","cost type?; ",""))</f>
        <v/>
      </c>
    </row>
    <row r="115">
      <c r="A115" s="9" t="n"/>
      <c r="E115" s="10" t="n"/>
      <c r="I115" s="25">
        <f>IF($A115="","",IF(COUNTIF(drops!$A$2:$A$21,$B115)=0,"drop_id not on drops; ","")&amp;IF(N($E115)&lt;=0,"amount?; ","")&amp;IF($D115="","cost type?; ",""))</f>
        <v/>
      </c>
    </row>
    <row r="116">
      <c r="A116" s="9" t="n"/>
      <c r="E116" s="10" t="n"/>
      <c r="I116" s="25">
        <f>IF($A116="","",IF(COUNTIF(drops!$A$2:$A$21,$B116)=0,"drop_id not on drops; ","")&amp;IF(N($E116)&lt;=0,"amount?; ","")&amp;IF($D116="","cost type?; ",""))</f>
        <v/>
      </c>
    </row>
    <row r="117">
      <c r="A117" s="9" t="n"/>
      <c r="E117" s="10" t="n"/>
      <c r="I117" s="25">
        <f>IF($A117="","",IF(COUNTIF(drops!$A$2:$A$21,$B117)=0,"drop_id not on drops; ","")&amp;IF(N($E117)&lt;=0,"amount?; ","")&amp;IF($D117="","cost type?; ",""))</f>
        <v/>
      </c>
    </row>
    <row r="118">
      <c r="A118" s="9" t="n"/>
      <c r="E118" s="10" t="n"/>
      <c r="I118" s="25">
        <f>IF($A118="","",IF(COUNTIF(drops!$A$2:$A$21,$B118)=0,"drop_id not on drops; ","")&amp;IF(N($E118)&lt;=0,"amount?; ","")&amp;IF($D118="","cost type?; ",""))</f>
        <v/>
      </c>
    </row>
    <row r="119">
      <c r="A119" s="9" t="n"/>
      <c r="E119" s="10" t="n"/>
      <c r="I119" s="25">
        <f>IF($A119="","",IF(COUNTIF(drops!$A$2:$A$21,$B119)=0,"drop_id not on drops; ","")&amp;IF(N($E119)&lt;=0,"amount?; ","")&amp;IF($D119="","cost type?; ",""))</f>
        <v/>
      </c>
    </row>
    <row r="120">
      <c r="A120" s="9" t="n"/>
      <c r="E120" s="10" t="n"/>
      <c r="I120" s="25">
        <f>IF($A120="","",IF(COUNTIF(drops!$A$2:$A$21,$B120)=0,"drop_id not on drops; ","")&amp;IF(N($E120)&lt;=0,"amount?; ","")&amp;IF($D120="","cost type?; ",""))</f>
        <v/>
      </c>
    </row>
    <row r="121">
      <c r="A121" s="9" t="n"/>
      <c r="E121" s="10" t="n"/>
      <c r="I121" s="25">
        <f>IF($A121="","",IF(COUNTIF(drops!$A$2:$A$21,$B121)=0,"drop_id not on drops; ","")&amp;IF(N($E121)&lt;=0,"amount?; ","")&amp;IF($D121="","cost type?; ",""))</f>
        <v/>
      </c>
    </row>
    <row r="122">
      <c r="A122" s="9" t="n"/>
      <c r="E122" s="10" t="n"/>
      <c r="I122" s="25">
        <f>IF($A122="","",IF(COUNTIF(drops!$A$2:$A$21,$B122)=0,"drop_id not on drops; ","")&amp;IF(N($E122)&lt;=0,"amount?; ","")&amp;IF($D122="","cost type?; ",""))</f>
        <v/>
      </c>
    </row>
    <row r="123">
      <c r="A123" s="9" t="n"/>
      <c r="E123" s="10" t="n"/>
      <c r="I123" s="25">
        <f>IF($A123="","",IF(COUNTIF(drops!$A$2:$A$21,$B123)=0,"drop_id not on drops; ","")&amp;IF(N($E123)&lt;=0,"amount?; ","")&amp;IF($D123="","cost type?; ",""))</f>
        <v/>
      </c>
    </row>
    <row r="124">
      <c r="A124" s="9" t="n"/>
      <c r="E124" s="10" t="n"/>
      <c r="I124" s="25">
        <f>IF($A124="","",IF(COUNTIF(drops!$A$2:$A$21,$B124)=0,"drop_id not on drops; ","")&amp;IF(N($E124)&lt;=0,"amount?; ","")&amp;IF($D124="","cost type?; ",""))</f>
        <v/>
      </c>
    </row>
    <row r="125">
      <c r="A125" s="9" t="n"/>
      <c r="E125" s="10" t="n"/>
      <c r="I125" s="25">
        <f>IF($A125="","",IF(COUNTIF(drops!$A$2:$A$21,$B125)=0,"drop_id not on drops; ","")&amp;IF(N($E125)&lt;=0,"amount?; ","")&amp;IF($D125="","cost type?; ",""))</f>
        <v/>
      </c>
    </row>
    <row r="126">
      <c r="A126" s="9" t="n"/>
      <c r="E126" s="10" t="n"/>
      <c r="I126" s="25">
        <f>IF($A126="","",IF(COUNTIF(drops!$A$2:$A$21,$B126)=0,"drop_id not on drops; ","")&amp;IF(N($E126)&lt;=0,"amount?; ","")&amp;IF($D126="","cost type?; ",""))</f>
        <v/>
      </c>
    </row>
    <row r="127">
      <c r="A127" s="9" t="n"/>
      <c r="E127" s="10" t="n"/>
      <c r="I127" s="25">
        <f>IF($A127="","",IF(COUNTIF(drops!$A$2:$A$21,$B127)=0,"drop_id not on drops; ","")&amp;IF(N($E127)&lt;=0,"amount?; ","")&amp;IF($D127="","cost type?; ",""))</f>
        <v/>
      </c>
    </row>
    <row r="128">
      <c r="A128" s="9" t="n"/>
      <c r="E128" s="10" t="n"/>
      <c r="I128" s="25">
        <f>IF($A128="","",IF(COUNTIF(drops!$A$2:$A$21,$B128)=0,"drop_id not on drops; ","")&amp;IF(N($E128)&lt;=0,"amount?; ","")&amp;IF($D128="","cost type?; ",""))</f>
        <v/>
      </c>
    </row>
    <row r="129">
      <c r="A129" s="9" t="n"/>
      <c r="E129" s="10" t="n"/>
      <c r="I129" s="25">
        <f>IF($A129="","",IF(COUNTIF(drops!$A$2:$A$21,$B129)=0,"drop_id not on drops; ","")&amp;IF(N($E129)&lt;=0,"amount?; ","")&amp;IF($D129="","cost type?; ",""))</f>
        <v/>
      </c>
    </row>
    <row r="130">
      <c r="A130" s="9" t="n"/>
      <c r="E130" s="10" t="n"/>
      <c r="I130" s="25">
        <f>IF($A130="","",IF(COUNTIF(drops!$A$2:$A$21,$B130)=0,"drop_id not on drops; ","")&amp;IF(N($E130)&lt;=0,"amount?; ","")&amp;IF($D130="","cost type?; ",""))</f>
        <v/>
      </c>
    </row>
    <row r="131">
      <c r="A131" s="9" t="n"/>
      <c r="E131" s="10" t="n"/>
      <c r="I131" s="25">
        <f>IF($A131="","",IF(COUNTIF(drops!$A$2:$A$21,$B131)=0,"drop_id not on drops; ","")&amp;IF(N($E131)&lt;=0,"amount?; ","")&amp;IF($D131="","cost type?; ",""))</f>
        <v/>
      </c>
    </row>
    <row r="132">
      <c r="A132" s="9" t="n"/>
      <c r="E132" s="10" t="n"/>
      <c r="I132" s="25">
        <f>IF($A132="","",IF(COUNTIF(drops!$A$2:$A$21,$B132)=0,"drop_id not on drops; ","")&amp;IF(N($E132)&lt;=0,"amount?; ","")&amp;IF($D132="","cost type?; ",""))</f>
        <v/>
      </c>
    </row>
    <row r="133">
      <c r="A133" s="9" t="n"/>
      <c r="E133" s="10" t="n"/>
      <c r="I133" s="25">
        <f>IF($A133="","",IF(COUNTIF(drops!$A$2:$A$21,$B133)=0,"drop_id not on drops; ","")&amp;IF(N($E133)&lt;=0,"amount?; ","")&amp;IF($D133="","cost type?; ",""))</f>
        <v/>
      </c>
    </row>
    <row r="134">
      <c r="A134" s="9" t="n"/>
      <c r="E134" s="10" t="n"/>
      <c r="I134" s="25">
        <f>IF($A134="","",IF(COUNTIF(drops!$A$2:$A$21,$B134)=0,"drop_id not on drops; ","")&amp;IF(N($E134)&lt;=0,"amount?; ","")&amp;IF($D134="","cost type?; ",""))</f>
        <v/>
      </c>
    </row>
    <row r="135">
      <c r="A135" s="9" t="n"/>
      <c r="E135" s="10" t="n"/>
      <c r="I135" s="25">
        <f>IF($A135="","",IF(COUNTIF(drops!$A$2:$A$21,$B135)=0,"drop_id not on drops; ","")&amp;IF(N($E135)&lt;=0,"amount?; ","")&amp;IF($D135="","cost type?; ",""))</f>
        <v/>
      </c>
    </row>
    <row r="136">
      <c r="A136" s="9" t="n"/>
      <c r="E136" s="10" t="n"/>
      <c r="I136" s="25">
        <f>IF($A136="","",IF(COUNTIF(drops!$A$2:$A$21,$B136)=0,"drop_id not on drops; ","")&amp;IF(N($E136)&lt;=0,"amount?; ","")&amp;IF($D136="","cost type?; ",""))</f>
        <v/>
      </c>
    </row>
    <row r="137">
      <c r="A137" s="9" t="n"/>
      <c r="E137" s="10" t="n"/>
      <c r="I137" s="25">
        <f>IF($A137="","",IF(COUNTIF(drops!$A$2:$A$21,$B137)=0,"drop_id not on drops; ","")&amp;IF(N($E137)&lt;=0,"amount?; ","")&amp;IF($D137="","cost type?; ",""))</f>
        <v/>
      </c>
    </row>
    <row r="138">
      <c r="A138" s="9" t="n"/>
      <c r="E138" s="10" t="n"/>
      <c r="I138" s="25">
        <f>IF($A138="","",IF(COUNTIF(drops!$A$2:$A$21,$B138)=0,"drop_id not on drops; ","")&amp;IF(N($E138)&lt;=0,"amount?; ","")&amp;IF($D138="","cost type?; ",""))</f>
        <v/>
      </c>
    </row>
    <row r="139">
      <c r="A139" s="9" t="n"/>
      <c r="E139" s="10" t="n"/>
      <c r="I139" s="25">
        <f>IF($A139="","",IF(COUNTIF(drops!$A$2:$A$21,$B139)=0,"drop_id not on drops; ","")&amp;IF(N($E139)&lt;=0,"amount?; ","")&amp;IF($D139="","cost type?; ",""))</f>
        <v/>
      </c>
    </row>
    <row r="140">
      <c r="A140" s="9" t="n"/>
      <c r="E140" s="10" t="n"/>
      <c r="I140" s="25">
        <f>IF($A140="","",IF(COUNTIF(drops!$A$2:$A$21,$B140)=0,"drop_id not on drops; ","")&amp;IF(N($E140)&lt;=0,"amount?; ","")&amp;IF($D140="","cost type?; ",""))</f>
        <v/>
      </c>
    </row>
    <row r="141">
      <c r="A141" s="9" t="n"/>
      <c r="E141" s="10" t="n"/>
      <c r="I141" s="25">
        <f>IF($A141="","",IF(COUNTIF(drops!$A$2:$A$21,$B141)=0,"drop_id not on drops; ","")&amp;IF(N($E141)&lt;=0,"amount?; ","")&amp;IF($D141="","cost type?; ",""))</f>
        <v/>
      </c>
    </row>
    <row r="142">
      <c r="A142" s="9" t="n"/>
      <c r="E142" s="10" t="n"/>
      <c r="I142" s="25">
        <f>IF($A142="","",IF(COUNTIF(drops!$A$2:$A$21,$B142)=0,"drop_id not on drops; ","")&amp;IF(N($E142)&lt;=0,"amount?; ","")&amp;IF($D142="","cost type?; ",""))</f>
        <v/>
      </c>
    </row>
    <row r="143">
      <c r="A143" s="9" t="n"/>
      <c r="E143" s="10" t="n"/>
      <c r="I143" s="25">
        <f>IF($A143="","",IF(COUNTIF(drops!$A$2:$A$21,$B143)=0,"drop_id not on drops; ","")&amp;IF(N($E143)&lt;=0,"amount?; ","")&amp;IF($D143="","cost type?; ",""))</f>
        <v/>
      </c>
    </row>
    <row r="144">
      <c r="A144" s="9" t="n"/>
      <c r="E144" s="10" t="n"/>
      <c r="I144" s="25">
        <f>IF($A144="","",IF(COUNTIF(drops!$A$2:$A$21,$B144)=0,"drop_id not on drops; ","")&amp;IF(N($E144)&lt;=0,"amount?; ","")&amp;IF($D144="","cost type?; ",""))</f>
        <v/>
      </c>
    </row>
    <row r="145">
      <c r="A145" s="9" t="n"/>
      <c r="E145" s="10" t="n"/>
      <c r="I145" s="25">
        <f>IF($A145="","",IF(COUNTIF(drops!$A$2:$A$21,$B145)=0,"drop_id not on drops; ","")&amp;IF(N($E145)&lt;=0,"amount?; ","")&amp;IF($D145="","cost type?; ",""))</f>
        <v/>
      </c>
    </row>
    <row r="146">
      <c r="A146" s="9" t="n"/>
      <c r="E146" s="10" t="n"/>
      <c r="I146" s="25">
        <f>IF($A146="","",IF(COUNTIF(drops!$A$2:$A$21,$B146)=0,"drop_id not on drops; ","")&amp;IF(N($E146)&lt;=0,"amount?; ","")&amp;IF($D146="","cost type?; ",""))</f>
        <v/>
      </c>
    </row>
    <row r="147">
      <c r="A147" s="9" t="n"/>
      <c r="E147" s="10" t="n"/>
      <c r="I147" s="25">
        <f>IF($A147="","",IF(COUNTIF(drops!$A$2:$A$21,$B147)=0,"drop_id not on drops; ","")&amp;IF(N($E147)&lt;=0,"amount?; ","")&amp;IF($D147="","cost type?; ",""))</f>
        <v/>
      </c>
    </row>
    <row r="148">
      <c r="A148" s="9" t="n"/>
      <c r="E148" s="10" t="n"/>
      <c r="I148" s="25">
        <f>IF($A148="","",IF(COUNTIF(drops!$A$2:$A$21,$B148)=0,"drop_id not on drops; ","")&amp;IF(N($E148)&lt;=0,"amount?; ","")&amp;IF($D148="","cost type?; ",""))</f>
        <v/>
      </c>
    </row>
    <row r="149">
      <c r="A149" s="9" t="n"/>
      <c r="E149" s="10" t="n"/>
      <c r="I149" s="25">
        <f>IF($A149="","",IF(COUNTIF(drops!$A$2:$A$21,$B149)=0,"drop_id not on drops; ","")&amp;IF(N($E149)&lt;=0,"amount?; ","")&amp;IF($D149="","cost type?; ",""))</f>
        <v/>
      </c>
    </row>
    <row r="150">
      <c r="A150" s="9" t="n"/>
      <c r="E150" s="10" t="n"/>
      <c r="I150" s="25">
        <f>IF($A150="","",IF(COUNTIF(drops!$A$2:$A$21,$B150)=0,"drop_id not on drops; ","")&amp;IF(N($E150)&lt;=0,"amount?; ","")&amp;IF($D150="","cost type?; ",""))</f>
        <v/>
      </c>
    </row>
    <row r="151">
      <c r="A151" s="9" t="n"/>
      <c r="E151" s="10" t="n"/>
      <c r="I151" s="25">
        <f>IF($A151="","",IF(COUNTIF(drops!$A$2:$A$21,$B151)=0,"drop_id not on drops; ","")&amp;IF(N($E151)&lt;=0,"amount?; ","")&amp;IF($D151="","cost type?; ",""))</f>
        <v/>
      </c>
    </row>
    <row r="152">
      <c r="A152" s="9" t="n"/>
      <c r="E152" s="10" t="n"/>
      <c r="I152" s="25">
        <f>IF($A152="","",IF(COUNTIF(drops!$A$2:$A$21,$B152)=0,"drop_id not on drops; ","")&amp;IF(N($E152)&lt;=0,"amount?; ","")&amp;IF($D152="","cost type?; ",""))</f>
        <v/>
      </c>
    </row>
    <row r="153">
      <c r="A153" s="9" t="n"/>
      <c r="E153" s="10" t="n"/>
      <c r="I153" s="25">
        <f>IF($A153="","",IF(COUNTIF(drops!$A$2:$A$21,$B153)=0,"drop_id not on drops; ","")&amp;IF(N($E153)&lt;=0,"amount?; ","")&amp;IF($D153="","cost type?; ",""))</f>
        <v/>
      </c>
    </row>
    <row r="154">
      <c r="A154" s="9" t="n"/>
      <c r="E154" s="10" t="n"/>
      <c r="I154" s="25">
        <f>IF($A154="","",IF(COUNTIF(drops!$A$2:$A$21,$B154)=0,"drop_id not on drops; ","")&amp;IF(N($E154)&lt;=0,"amount?; ","")&amp;IF($D154="","cost type?; ",""))</f>
        <v/>
      </c>
    </row>
    <row r="155">
      <c r="A155" s="9" t="n"/>
      <c r="E155" s="10" t="n"/>
      <c r="I155" s="25">
        <f>IF($A155="","",IF(COUNTIF(drops!$A$2:$A$21,$B155)=0,"drop_id not on drops; ","")&amp;IF(N($E155)&lt;=0,"amount?; ","")&amp;IF($D155="","cost type?; ",""))</f>
        <v/>
      </c>
    </row>
    <row r="156">
      <c r="A156" s="9" t="n"/>
      <c r="E156" s="10" t="n"/>
      <c r="I156" s="25">
        <f>IF($A156="","",IF(COUNTIF(drops!$A$2:$A$21,$B156)=0,"drop_id not on drops; ","")&amp;IF(N($E156)&lt;=0,"amount?; ","")&amp;IF($D156="","cost type?; ",""))</f>
        <v/>
      </c>
    </row>
    <row r="157">
      <c r="A157" s="9" t="n"/>
      <c r="E157" s="10" t="n"/>
      <c r="I157" s="25">
        <f>IF($A157="","",IF(COUNTIF(drops!$A$2:$A$21,$B157)=0,"drop_id not on drops; ","")&amp;IF(N($E157)&lt;=0,"amount?; ","")&amp;IF($D157="","cost type?; ",""))</f>
        <v/>
      </c>
    </row>
    <row r="158">
      <c r="A158" s="9" t="n"/>
      <c r="E158" s="10" t="n"/>
      <c r="I158" s="25">
        <f>IF($A158="","",IF(COUNTIF(drops!$A$2:$A$21,$B158)=0,"drop_id not on drops; ","")&amp;IF(N($E158)&lt;=0,"amount?; ","")&amp;IF($D158="","cost type?; ",""))</f>
        <v/>
      </c>
    </row>
    <row r="159">
      <c r="A159" s="9" t="n"/>
      <c r="E159" s="10" t="n"/>
      <c r="I159" s="25">
        <f>IF($A159="","",IF(COUNTIF(drops!$A$2:$A$21,$B159)=0,"drop_id not on drops; ","")&amp;IF(N($E159)&lt;=0,"amount?; ","")&amp;IF($D159="","cost type?; ",""))</f>
        <v/>
      </c>
    </row>
    <row r="160">
      <c r="A160" s="9" t="n"/>
      <c r="E160" s="10" t="n"/>
      <c r="I160" s="25">
        <f>IF($A160="","",IF(COUNTIF(drops!$A$2:$A$21,$B160)=0,"drop_id not on drops; ","")&amp;IF(N($E160)&lt;=0,"amount?; ","")&amp;IF($D160="","cost type?; ",""))</f>
        <v/>
      </c>
    </row>
    <row r="161">
      <c r="A161" s="9" t="n"/>
      <c r="E161" s="10" t="n"/>
      <c r="I161" s="25">
        <f>IF($A161="","",IF(COUNTIF(drops!$A$2:$A$21,$B161)=0,"drop_id not on drops; ","")&amp;IF(N($E161)&lt;=0,"amount?; ","")&amp;IF($D161="","cost type?; ",""))</f>
        <v/>
      </c>
    </row>
    <row r="162">
      <c r="A162" s="9" t="n"/>
      <c r="E162" s="10" t="n"/>
      <c r="I162" s="25">
        <f>IF($A162="","",IF(COUNTIF(drops!$A$2:$A$21,$B162)=0,"drop_id not on drops; ","")&amp;IF(N($E162)&lt;=0,"amount?; ","")&amp;IF($D162="","cost type?; ",""))</f>
        <v/>
      </c>
    </row>
    <row r="163">
      <c r="A163" s="9" t="n"/>
      <c r="E163" s="10" t="n"/>
      <c r="I163" s="25">
        <f>IF($A163="","",IF(COUNTIF(drops!$A$2:$A$21,$B163)=0,"drop_id not on drops; ","")&amp;IF(N($E163)&lt;=0,"amount?; ","")&amp;IF($D163="","cost type?; ",""))</f>
        <v/>
      </c>
    </row>
    <row r="164">
      <c r="A164" s="9" t="n"/>
      <c r="E164" s="10" t="n"/>
      <c r="I164" s="25">
        <f>IF($A164="","",IF(COUNTIF(drops!$A$2:$A$21,$B164)=0,"drop_id not on drops; ","")&amp;IF(N($E164)&lt;=0,"amount?; ","")&amp;IF($D164="","cost type?; ",""))</f>
        <v/>
      </c>
    </row>
    <row r="165">
      <c r="A165" s="9" t="n"/>
      <c r="E165" s="10" t="n"/>
      <c r="I165" s="25">
        <f>IF($A165="","",IF(COUNTIF(drops!$A$2:$A$21,$B165)=0,"drop_id not on drops; ","")&amp;IF(N($E165)&lt;=0,"amount?; ","")&amp;IF($D165="","cost type?; ",""))</f>
        <v/>
      </c>
    </row>
    <row r="166">
      <c r="A166" s="9" t="n"/>
      <c r="E166" s="10" t="n"/>
      <c r="I166" s="25">
        <f>IF($A166="","",IF(COUNTIF(drops!$A$2:$A$21,$B166)=0,"drop_id not on drops; ","")&amp;IF(N($E166)&lt;=0,"amount?; ","")&amp;IF($D166="","cost type?; ",""))</f>
        <v/>
      </c>
    </row>
    <row r="167">
      <c r="A167" s="9" t="n"/>
      <c r="E167" s="10" t="n"/>
      <c r="I167" s="25">
        <f>IF($A167="","",IF(COUNTIF(drops!$A$2:$A$21,$B167)=0,"drop_id not on drops; ","")&amp;IF(N($E167)&lt;=0,"amount?; ","")&amp;IF($D167="","cost type?; ",""))</f>
        <v/>
      </c>
    </row>
    <row r="168">
      <c r="A168" s="9" t="n"/>
      <c r="E168" s="10" t="n"/>
      <c r="I168" s="25">
        <f>IF($A168="","",IF(COUNTIF(drops!$A$2:$A$21,$B168)=0,"drop_id not on drops; ","")&amp;IF(N($E168)&lt;=0,"amount?; ","")&amp;IF($D168="","cost type?; ",""))</f>
        <v/>
      </c>
    </row>
    <row r="169">
      <c r="A169" s="9" t="n"/>
      <c r="E169" s="10" t="n"/>
      <c r="I169" s="25">
        <f>IF($A169="","",IF(COUNTIF(drops!$A$2:$A$21,$B169)=0,"drop_id not on drops; ","")&amp;IF(N($E169)&lt;=0,"amount?; ","")&amp;IF($D169="","cost type?; ",""))</f>
        <v/>
      </c>
    </row>
    <row r="170">
      <c r="A170" s="9" t="n"/>
      <c r="E170" s="10" t="n"/>
      <c r="I170" s="25">
        <f>IF($A170="","",IF(COUNTIF(drops!$A$2:$A$21,$B170)=0,"drop_id not on drops; ","")&amp;IF(N($E170)&lt;=0,"amount?; ","")&amp;IF($D170="","cost type?; ",""))</f>
        <v/>
      </c>
    </row>
    <row r="171">
      <c r="A171" s="9" t="n"/>
      <c r="E171" s="10" t="n"/>
      <c r="I171" s="25">
        <f>IF($A171="","",IF(COUNTIF(drops!$A$2:$A$21,$B171)=0,"drop_id not on drops; ","")&amp;IF(N($E171)&lt;=0,"amount?; ","")&amp;IF($D171="","cost type?; ",""))</f>
        <v/>
      </c>
    </row>
    <row r="172">
      <c r="A172" s="9" t="n"/>
      <c r="E172" s="10" t="n"/>
      <c r="I172" s="25">
        <f>IF($A172="","",IF(COUNTIF(drops!$A$2:$A$21,$B172)=0,"drop_id not on drops; ","")&amp;IF(N($E172)&lt;=0,"amount?; ","")&amp;IF($D172="","cost type?; ",""))</f>
        <v/>
      </c>
    </row>
    <row r="173">
      <c r="A173" s="9" t="n"/>
      <c r="E173" s="10" t="n"/>
      <c r="I173" s="25">
        <f>IF($A173="","",IF(COUNTIF(drops!$A$2:$A$21,$B173)=0,"drop_id not on drops; ","")&amp;IF(N($E173)&lt;=0,"amount?; ","")&amp;IF($D173="","cost type?; ",""))</f>
        <v/>
      </c>
    </row>
    <row r="174">
      <c r="A174" s="9" t="n"/>
      <c r="E174" s="10" t="n"/>
      <c r="I174" s="25">
        <f>IF($A174="","",IF(COUNTIF(drops!$A$2:$A$21,$B174)=0,"drop_id not on drops; ","")&amp;IF(N($E174)&lt;=0,"amount?; ","")&amp;IF($D174="","cost type?; ",""))</f>
        <v/>
      </c>
    </row>
    <row r="175">
      <c r="A175" s="9" t="n"/>
      <c r="E175" s="10" t="n"/>
      <c r="I175" s="25">
        <f>IF($A175="","",IF(COUNTIF(drops!$A$2:$A$21,$B175)=0,"drop_id not on drops; ","")&amp;IF(N($E175)&lt;=0,"amount?; ","")&amp;IF($D175="","cost type?; ",""))</f>
        <v/>
      </c>
    </row>
    <row r="176">
      <c r="A176" s="9" t="n"/>
      <c r="E176" s="10" t="n"/>
      <c r="I176" s="25">
        <f>IF($A176="","",IF(COUNTIF(drops!$A$2:$A$21,$B176)=0,"drop_id not on drops; ","")&amp;IF(N($E176)&lt;=0,"amount?; ","")&amp;IF($D176="","cost type?; ",""))</f>
        <v/>
      </c>
    </row>
    <row r="177">
      <c r="A177" s="9" t="n"/>
      <c r="E177" s="10" t="n"/>
      <c r="I177" s="25">
        <f>IF($A177="","",IF(COUNTIF(drops!$A$2:$A$21,$B177)=0,"drop_id not on drops; ","")&amp;IF(N($E177)&lt;=0,"amount?; ","")&amp;IF($D177="","cost type?; ",""))</f>
        <v/>
      </c>
    </row>
    <row r="178">
      <c r="A178" s="9" t="n"/>
      <c r="E178" s="10" t="n"/>
      <c r="I178" s="25">
        <f>IF($A178="","",IF(COUNTIF(drops!$A$2:$A$21,$B178)=0,"drop_id not on drops; ","")&amp;IF(N($E178)&lt;=0,"amount?; ","")&amp;IF($D178="","cost type?; ",""))</f>
        <v/>
      </c>
    </row>
    <row r="179">
      <c r="A179" s="9" t="n"/>
      <c r="E179" s="10" t="n"/>
      <c r="I179" s="25">
        <f>IF($A179="","",IF(COUNTIF(drops!$A$2:$A$21,$B179)=0,"drop_id not on drops; ","")&amp;IF(N($E179)&lt;=0,"amount?; ","")&amp;IF($D179="","cost type?; ",""))</f>
        <v/>
      </c>
    </row>
    <row r="180">
      <c r="A180" s="9" t="n"/>
      <c r="E180" s="10" t="n"/>
      <c r="I180" s="25">
        <f>IF($A180="","",IF(COUNTIF(drops!$A$2:$A$21,$B180)=0,"drop_id not on drops; ","")&amp;IF(N($E180)&lt;=0,"amount?; ","")&amp;IF($D180="","cost type?; ",""))</f>
        <v/>
      </c>
    </row>
    <row r="181">
      <c r="A181" s="9" t="n"/>
      <c r="E181" s="10" t="n"/>
      <c r="I181" s="25">
        <f>IF($A181="","",IF(COUNTIF(drops!$A$2:$A$21,$B181)=0,"drop_id not on drops; ","")&amp;IF(N($E181)&lt;=0,"amount?; ","")&amp;IF($D181="","cost type?; ",""))</f>
        <v/>
      </c>
    </row>
    <row r="182">
      <c r="A182" s="9" t="n"/>
      <c r="E182" s="10" t="n"/>
      <c r="I182" s="25">
        <f>IF($A182="","",IF(COUNTIF(drops!$A$2:$A$21,$B182)=0,"drop_id not on drops; ","")&amp;IF(N($E182)&lt;=0,"amount?; ","")&amp;IF($D182="","cost type?; ",""))</f>
        <v/>
      </c>
    </row>
    <row r="183">
      <c r="A183" s="9" t="n"/>
      <c r="E183" s="10" t="n"/>
      <c r="I183" s="25">
        <f>IF($A183="","",IF(COUNTIF(drops!$A$2:$A$21,$B183)=0,"drop_id not on drops; ","")&amp;IF(N($E183)&lt;=0,"amount?; ","")&amp;IF($D183="","cost type?; ",""))</f>
        <v/>
      </c>
    </row>
    <row r="184">
      <c r="A184" s="9" t="n"/>
      <c r="E184" s="10" t="n"/>
      <c r="I184" s="25">
        <f>IF($A184="","",IF(COUNTIF(drops!$A$2:$A$21,$B184)=0,"drop_id not on drops; ","")&amp;IF(N($E184)&lt;=0,"amount?; ","")&amp;IF($D184="","cost type?; ",""))</f>
        <v/>
      </c>
    </row>
    <row r="185">
      <c r="A185" s="9" t="n"/>
      <c r="E185" s="10" t="n"/>
      <c r="I185" s="25">
        <f>IF($A185="","",IF(COUNTIF(drops!$A$2:$A$21,$B185)=0,"drop_id not on drops; ","")&amp;IF(N($E185)&lt;=0,"amount?; ","")&amp;IF($D185="","cost type?; ",""))</f>
        <v/>
      </c>
    </row>
    <row r="186">
      <c r="A186" s="9" t="n"/>
      <c r="E186" s="10" t="n"/>
      <c r="I186" s="25">
        <f>IF($A186="","",IF(COUNTIF(drops!$A$2:$A$21,$B186)=0,"drop_id not on drops; ","")&amp;IF(N($E186)&lt;=0,"amount?; ","")&amp;IF($D186="","cost type?; ",""))</f>
        <v/>
      </c>
    </row>
    <row r="187">
      <c r="A187" s="9" t="n"/>
      <c r="E187" s="10" t="n"/>
      <c r="I187" s="25">
        <f>IF($A187="","",IF(COUNTIF(drops!$A$2:$A$21,$B187)=0,"drop_id not on drops; ","")&amp;IF(N($E187)&lt;=0,"amount?; ","")&amp;IF($D187="","cost type?; ",""))</f>
        <v/>
      </c>
    </row>
    <row r="188">
      <c r="A188" s="9" t="n"/>
      <c r="E188" s="10" t="n"/>
      <c r="I188" s="25">
        <f>IF($A188="","",IF(COUNTIF(drops!$A$2:$A$21,$B188)=0,"drop_id not on drops; ","")&amp;IF(N($E188)&lt;=0,"amount?; ","")&amp;IF($D188="","cost type?; ",""))</f>
        <v/>
      </c>
    </row>
    <row r="189">
      <c r="A189" s="9" t="n"/>
      <c r="E189" s="10" t="n"/>
      <c r="I189" s="25">
        <f>IF($A189="","",IF(COUNTIF(drops!$A$2:$A$21,$B189)=0,"drop_id not on drops; ","")&amp;IF(N($E189)&lt;=0,"amount?; ","")&amp;IF($D189="","cost type?; ",""))</f>
        <v/>
      </c>
    </row>
    <row r="190">
      <c r="A190" s="9" t="n"/>
      <c r="E190" s="10" t="n"/>
      <c r="I190" s="25">
        <f>IF($A190="","",IF(COUNTIF(drops!$A$2:$A$21,$B190)=0,"drop_id not on drops; ","")&amp;IF(N($E190)&lt;=0,"amount?; ","")&amp;IF($D190="","cost type?; ",""))</f>
        <v/>
      </c>
    </row>
    <row r="191">
      <c r="A191" s="9" t="n"/>
      <c r="E191" s="10" t="n"/>
      <c r="I191" s="25">
        <f>IF($A191="","",IF(COUNTIF(drops!$A$2:$A$21,$B191)=0,"drop_id not on drops; ","")&amp;IF(N($E191)&lt;=0,"amount?; ","")&amp;IF($D191="","cost type?; ",""))</f>
        <v/>
      </c>
    </row>
    <row r="192">
      <c r="A192" s="9" t="n"/>
      <c r="E192" s="10" t="n"/>
      <c r="I192" s="25">
        <f>IF($A192="","",IF(COUNTIF(drops!$A$2:$A$21,$B192)=0,"drop_id not on drops; ","")&amp;IF(N($E192)&lt;=0,"amount?; ","")&amp;IF($D192="","cost type?; ",""))</f>
        <v/>
      </c>
    </row>
    <row r="193">
      <c r="A193" s="9" t="n"/>
      <c r="E193" s="10" t="n"/>
      <c r="I193" s="25">
        <f>IF($A193="","",IF(COUNTIF(drops!$A$2:$A$21,$B193)=0,"drop_id not on drops; ","")&amp;IF(N($E193)&lt;=0,"amount?; ","")&amp;IF($D193="","cost type?; ",""))</f>
        <v/>
      </c>
    </row>
    <row r="194">
      <c r="A194" s="9" t="n"/>
      <c r="E194" s="10" t="n"/>
      <c r="I194" s="25">
        <f>IF($A194="","",IF(COUNTIF(drops!$A$2:$A$21,$B194)=0,"drop_id not on drops; ","")&amp;IF(N($E194)&lt;=0,"amount?; ","")&amp;IF($D194="","cost type?; ",""))</f>
        <v/>
      </c>
    </row>
    <row r="195">
      <c r="A195" s="9" t="n"/>
      <c r="E195" s="10" t="n"/>
      <c r="I195" s="25">
        <f>IF($A195="","",IF(COUNTIF(drops!$A$2:$A$21,$B195)=0,"drop_id not on drops; ","")&amp;IF(N($E195)&lt;=0,"amount?; ","")&amp;IF($D195="","cost type?; ",""))</f>
        <v/>
      </c>
    </row>
    <row r="196">
      <c r="A196" s="9" t="n"/>
      <c r="E196" s="10" t="n"/>
      <c r="I196" s="25">
        <f>IF($A196="","",IF(COUNTIF(drops!$A$2:$A$21,$B196)=0,"drop_id not on drops; ","")&amp;IF(N($E196)&lt;=0,"amount?; ","")&amp;IF($D196="","cost type?; ",""))</f>
        <v/>
      </c>
    </row>
    <row r="197">
      <c r="A197" s="9" t="n"/>
      <c r="E197" s="10" t="n"/>
      <c r="I197" s="25">
        <f>IF($A197="","",IF(COUNTIF(drops!$A$2:$A$21,$B197)=0,"drop_id not on drops; ","")&amp;IF(N($E197)&lt;=0,"amount?; ","")&amp;IF($D197="","cost type?; ",""))</f>
        <v/>
      </c>
    </row>
    <row r="198">
      <c r="A198" s="9" t="n"/>
      <c r="E198" s="10" t="n"/>
      <c r="I198" s="25">
        <f>IF($A198="","",IF(COUNTIF(drops!$A$2:$A$21,$B198)=0,"drop_id not on drops; ","")&amp;IF(N($E198)&lt;=0,"amount?; ","")&amp;IF($D198="","cost type?; ",""))</f>
        <v/>
      </c>
    </row>
    <row r="199">
      <c r="A199" s="9" t="n"/>
      <c r="E199" s="10" t="n"/>
      <c r="I199" s="25">
        <f>IF($A199="","",IF(COUNTIF(drops!$A$2:$A$21,$B199)=0,"drop_id not on drops; ","")&amp;IF(N($E199)&lt;=0,"amount?; ","")&amp;IF($D199="","cost type?; ",""))</f>
        <v/>
      </c>
    </row>
    <row r="200">
      <c r="A200" s="9" t="n"/>
      <c r="E200" s="10" t="n"/>
      <c r="I200" s="25">
        <f>IF($A200="","",IF(COUNTIF(drops!$A$2:$A$21,$B200)=0,"drop_id not on drops; ","")&amp;IF(N($E200)&lt;=0,"amount?; ","")&amp;IF($D200="","cost type?; ",""))</f>
        <v/>
      </c>
    </row>
    <row r="201">
      <c r="A201" s="9" t="n"/>
      <c r="E201" s="10" t="n"/>
      <c r="I201" s="25">
        <f>IF($A201="","",IF(COUNTIF(drops!$A$2:$A$21,$B201)=0,"drop_id not on drops; ","")&amp;IF(N($E201)&lt;=0,"amount?; ","")&amp;IF($D201="","cost type?; ",""))</f>
        <v/>
      </c>
    </row>
    <row r="202">
      <c r="A202" s="9" t="n"/>
      <c r="E202" s="10" t="n"/>
      <c r="I202" s="25">
        <f>IF($A202="","",IF(COUNTIF(drops!$A$2:$A$21,$B202)=0,"drop_id not on drops; ","")&amp;IF(N($E202)&lt;=0,"amount?; ","")&amp;IF($D202="","cost type?; ",""))</f>
        <v/>
      </c>
    </row>
    <row r="203">
      <c r="A203" s="9" t="n"/>
      <c r="E203" s="10" t="n"/>
      <c r="I203" s="25">
        <f>IF($A203="","",IF(COUNTIF(drops!$A$2:$A$21,$B203)=0,"drop_id not on drops; ","")&amp;IF(N($E203)&lt;=0,"amount?; ","")&amp;IF($D203="","cost type?; ",""))</f>
        <v/>
      </c>
    </row>
    <row r="204">
      <c r="A204" s="9" t="n"/>
      <c r="E204" s="10" t="n"/>
      <c r="I204" s="25">
        <f>IF($A204="","",IF(COUNTIF(drops!$A$2:$A$21,$B204)=0,"drop_id not on drops; ","")&amp;IF(N($E204)&lt;=0,"amount?; ","")&amp;IF($D204="","cost type?; ",""))</f>
        <v/>
      </c>
    </row>
    <row r="205">
      <c r="A205" s="9" t="n"/>
      <c r="E205" s="10" t="n"/>
      <c r="I205" s="25">
        <f>IF($A205="","",IF(COUNTIF(drops!$A$2:$A$21,$B205)=0,"drop_id not on drops; ","")&amp;IF(N($E205)&lt;=0,"amount?; ","")&amp;IF($D205="","cost type?; ",""))</f>
        <v/>
      </c>
    </row>
    <row r="206">
      <c r="A206" s="9" t="n"/>
      <c r="E206" s="10" t="n"/>
      <c r="I206" s="25">
        <f>IF($A206="","",IF(COUNTIF(drops!$A$2:$A$21,$B206)=0,"drop_id not on drops; ","")&amp;IF(N($E206)&lt;=0,"amount?; ","")&amp;IF($D206="","cost type?; ",""))</f>
        <v/>
      </c>
    </row>
    <row r="207">
      <c r="A207" s="9" t="n"/>
      <c r="E207" s="10" t="n"/>
      <c r="I207" s="25">
        <f>IF($A207="","",IF(COUNTIF(drops!$A$2:$A$21,$B207)=0,"drop_id not on drops; ","")&amp;IF(N($E207)&lt;=0,"amount?; ","")&amp;IF($D207="","cost type?; ",""))</f>
        <v/>
      </c>
    </row>
    <row r="208">
      <c r="A208" s="9" t="n"/>
      <c r="E208" s="10" t="n"/>
      <c r="I208" s="25">
        <f>IF($A208="","",IF(COUNTIF(drops!$A$2:$A$21,$B208)=0,"drop_id not on drops; ","")&amp;IF(N($E208)&lt;=0,"amount?; ","")&amp;IF($D208="","cost type?; ",""))</f>
        <v/>
      </c>
    </row>
    <row r="209">
      <c r="A209" s="9" t="n"/>
      <c r="E209" s="10" t="n"/>
      <c r="I209" s="25">
        <f>IF($A209="","",IF(COUNTIF(drops!$A$2:$A$21,$B209)=0,"drop_id not on drops; ","")&amp;IF(N($E209)&lt;=0,"amount?; ","")&amp;IF($D209="","cost type?; ",""))</f>
        <v/>
      </c>
    </row>
    <row r="210">
      <c r="A210" s="9" t="n"/>
      <c r="E210" s="10" t="n"/>
      <c r="I210" s="25">
        <f>IF($A210="","",IF(COUNTIF(drops!$A$2:$A$21,$B210)=0,"drop_id not on drops; ","")&amp;IF(N($E210)&lt;=0,"amount?; ","")&amp;IF($D210="","cost type?; ",""))</f>
        <v/>
      </c>
    </row>
    <row r="211">
      <c r="A211" s="9" t="n"/>
      <c r="E211" s="10" t="n"/>
      <c r="I211" s="25">
        <f>IF($A211="","",IF(COUNTIF(drops!$A$2:$A$21,$B211)=0,"drop_id not on drops; ","")&amp;IF(N($E211)&lt;=0,"amount?; ","")&amp;IF($D211="","cost type?; ",""))</f>
        <v/>
      </c>
    </row>
    <row r="212">
      <c r="A212" s="9" t="n"/>
      <c r="E212" s="10" t="n"/>
      <c r="I212" s="25">
        <f>IF($A212="","",IF(COUNTIF(drops!$A$2:$A$21,$B212)=0,"drop_id not on drops; ","")&amp;IF(N($E212)&lt;=0,"amount?; ","")&amp;IF($D212="","cost type?; ",""))</f>
        <v/>
      </c>
    </row>
    <row r="213">
      <c r="A213" s="9" t="n"/>
      <c r="E213" s="10" t="n"/>
      <c r="I213" s="25">
        <f>IF($A213="","",IF(COUNTIF(drops!$A$2:$A$21,$B213)=0,"drop_id not on drops; ","")&amp;IF(N($E213)&lt;=0,"amount?; ","")&amp;IF($D213="","cost type?; ",""))</f>
        <v/>
      </c>
    </row>
    <row r="214">
      <c r="A214" s="9" t="n"/>
      <c r="E214" s="10" t="n"/>
      <c r="I214" s="25">
        <f>IF($A214="","",IF(COUNTIF(drops!$A$2:$A$21,$B214)=0,"drop_id not on drops; ","")&amp;IF(N($E214)&lt;=0,"amount?; ","")&amp;IF($D214="","cost type?; ",""))</f>
        <v/>
      </c>
    </row>
    <row r="215">
      <c r="A215" s="9" t="n"/>
      <c r="E215" s="10" t="n"/>
      <c r="I215" s="25">
        <f>IF($A215="","",IF(COUNTIF(drops!$A$2:$A$21,$B215)=0,"drop_id not on drops; ","")&amp;IF(N($E215)&lt;=0,"amount?; ","")&amp;IF($D215="","cost type?; ",""))</f>
        <v/>
      </c>
    </row>
    <row r="216">
      <c r="A216" s="9" t="n"/>
      <c r="E216" s="10" t="n"/>
      <c r="I216" s="25">
        <f>IF($A216="","",IF(COUNTIF(drops!$A$2:$A$21,$B216)=0,"drop_id not on drops; ","")&amp;IF(N($E216)&lt;=0,"amount?; ","")&amp;IF($D216="","cost type?; ",""))</f>
        <v/>
      </c>
    </row>
    <row r="217">
      <c r="A217" s="9" t="n"/>
      <c r="E217" s="10" t="n"/>
      <c r="I217" s="25">
        <f>IF($A217="","",IF(COUNTIF(drops!$A$2:$A$21,$B217)=0,"drop_id not on drops; ","")&amp;IF(N($E217)&lt;=0,"amount?; ","")&amp;IF($D217="","cost type?; ",""))</f>
        <v/>
      </c>
    </row>
    <row r="218">
      <c r="A218" s="9" t="n"/>
      <c r="E218" s="10" t="n"/>
      <c r="I218" s="25">
        <f>IF($A218="","",IF(COUNTIF(drops!$A$2:$A$21,$B218)=0,"drop_id not on drops; ","")&amp;IF(N($E218)&lt;=0,"amount?; ","")&amp;IF($D218="","cost type?; ",""))</f>
        <v/>
      </c>
    </row>
    <row r="219">
      <c r="A219" s="9" t="n"/>
      <c r="E219" s="10" t="n"/>
      <c r="I219" s="25">
        <f>IF($A219="","",IF(COUNTIF(drops!$A$2:$A$21,$B219)=0,"drop_id not on drops; ","")&amp;IF(N($E219)&lt;=0,"amount?; ","")&amp;IF($D219="","cost type?; ",""))</f>
        <v/>
      </c>
    </row>
    <row r="220">
      <c r="A220" s="9" t="n"/>
      <c r="E220" s="10" t="n"/>
      <c r="I220" s="25">
        <f>IF($A220="","",IF(COUNTIF(drops!$A$2:$A$21,$B220)=0,"drop_id not on drops; ","")&amp;IF(N($E220)&lt;=0,"amount?; ","")&amp;IF($D220="","cost type?; ",""))</f>
        <v/>
      </c>
    </row>
    <row r="221">
      <c r="A221" s="9" t="n"/>
      <c r="E221" s="10" t="n"/>
      <c r="I221" s="25">
        <f>IF($A221="","",IF(COUNTIF(drops!$A$2:$A$21,$B221)=0,"drop_id not on drops; ","")&amp;IF(N($E221)&lt;=0,"amount?; ","")&amp;IF($D221="","cost type?; ",""))</f>
        <v/>
      </c>
    </row>
    <row r="222">
      <c r="A222" s="9" t="n"/>
      <c r="E222" s="10" t="n"/>
      <c r="I222" s="25">
        <f>IF($A222="","",IF(COUNTIF(drops!$A$2:$A$21,$B222)=0,"drop_id not on drops; ","")&amp;IF(N($E222)&lt;=0,"amount?; ","")&amp;IF($D222="","cost type?; ",""))</f>
        <v/>
      </c>
    </row>
    <row r="223">
      <c r="A223" s="9" t="n"/>
      <c r="E223" s="10" t="n"/>
      <c r="I223" s="25">
        <f>IF($A223="","",IF(COUNTIF(drops!$A$2:$A$21,$B223)=0,"drop_id not on drops; ","")&amp;IF(N($E223)&lt;=0,"amount?; ","")&amp;IF($D223="","cost type?; ",""))</f>
        <v/>
      </c>
    </row>
    <row r="224">
      <c r="A224" s="9" t="n"/>
      <c r="E224" s="10" t="n"/>
      <c r="I224" s="25">
        <f>IF($A224="","",IF(COUNTIF(drops!$A$2:$A$21,$B224)=0,"drop_id not on drops; ","")&amp;IF(N($E224)&lt;=0,"amount?; ","")&amp;IF($D224="","cost type?; ",""))</f>
        <v/>
      </c>
    </row>
    <row r="225">
      <c r="A225" s="9" t="n"/>
      <c r="E225" s="10" t="n"/>
      <c r="I225" s="25">
        <f>IF($A225="","",IF(COUNTIF(drops!$A$2:$A$21,$B225)=0,"drop_id not on drops; ","")&amp;IF(N($E225)&lt;=0,"amount?; ","")&amp;IF($D225="","cost type?; ",""))</f>
        <v/>
      </c>
    </row>
    <row r="226">
      <c r="A226" s="9" t="n"/>
      <c r="E226" s="10" t="n"/>
      <c r="I226" s="25">
        <f>IF($A226="","",IF(COUNTIF(drops!$A$2:$A$21,$B226)=0,"drop_id not on drops; ","")&amp;IF(N($E226)&lt;=0,"amount?; ","")&amp;IF($D226="","cost type?; ",""))</f>
        <v/>
      </c>
    </row>
    <row r="227">
      <c r="A227" s="9" t="n"/>
      <c r="E227" s="10" t="n"/>
      <c r="I227" s="25">
        <f>IF($A227="","",IF(COUNTIF(drops!$A$2:$A$21,$B227)=0,"drop_id not on drops; ","")&amp;IF(N($E227)&lt;=0,"amount?; ","")&amp;IF($D227="","cost type?; ",""))</f>
        <v/>
      </c>
    </row>
    <row r="228">
      <c r="A228" s="9" t="n"/>
      <c r="E228" s="10" t="n"/>
      <c r="I228" s="25">
        <f>IF($A228="","",IF(COUNTIF(drops!$A$2:$A$21,$B228)=0,"drop_id not on drops; ","")&amp;IF(N($E228)&lt;=0,"amount?; ","")&amp;IF($D228="","cost type?; ",""))</f>
        <v/>
      </c>
    </row>
    <row r="229">
      <c r="A229" s="9" t="n"/>
      <c r="E229" s="10" t="n"/>
      <c r="I229" s="25">
        <f>IF($A229="","",IF(COUNTIF(drops!$A$2:$A$21,$B229)=0,"drop_id not on drops; ","")&amp;IF(N($E229)&lt;=0,"amount?; ","")&amp;IF($D229="","cost type?; ",""))</f>
        <v/>
      </c>
    </row>
    <row r="230">
      <c r="A230" s="9" t="n"/>
      <c r="E230" s="10" t="n"/>
      <c r="I230" s="25">
        <f>IF($A230="","",IF(COUNTIF(drops!$A$2:$A$21,$B230)=0,"drop_id not on drops; ","")&amp;IF(N($E230)&lt;=0,"amount?; ","")&amp;IF($D230="","cost type?; ",""))</f>
        <v/>
      </c>
    </row>
    <row r="231">
      <c r="A231" s="9" t="n"/>
      <c r="E231" s="10" t="n"/>
      <c r="I231" s="25">
        <f>IF($A231="","",IF(COUNTIF(drops!$A$2:$A$21,$B231)=0,"drop_id not on drops; ","")&amp;IF(N($E231)&lt;=0,"amount?; ","")&amp;IF($D231="","cost type?; ",""))</f>
        <v/>
      </c>
    </row>
    <row r="232">
      <c r="A232" s="9" t="n"/>
      <c r="E232" s="10" t="n"/>
      <c r="I232" s="25">
        <f>IF($A232="","",IF(COUNTIF(drops!$A$2:$A$21,$B232)=0,"drop_id not on drops; ","")&amp;IF(N($E232)&lt;=0,"amount?; ","")&amp;IF($D232="","cost type?; ",""))</f>
        <v/>
      </c>
    </row>
    <row r="233">
      <c r="A233" s="9" t="n"/>
      <c r="E233" s="10" t="n"/>
      <c r="I233" s="25">
        <f>IF($A233="","",IF(COUNTIF(drops!$A$2:$A$21,$B233)=0,"drop_id not on drops; ","")&amp;IF(N($E233)&lt;=0,"amount?; ","")&amp;IF($D233="","cost type?; ",""))</f>
        <v/>
      </c>
    </row>
    <row r="234">
      <c r="A234" s="9" t="n"/>
      <c r="E234" s="10" t="n"/>
      <c r="I234" s="25">
        <f>IF($A234="","",IF(COUNTIF(drops!$A$2:$A$21,$B234)=0,"drop_id not on drops; ","")&amp;IF(N($E234)&lt;=0,"amount?; ","")&amp;IF($D234="","cost type?; ",""))</f>
        <v/>
      </c>
    </row>
    <row r="235">
      <c r="A235" s="9" t="n"/>
      <c r="E235" s="10" t="n"/>
      <c r="I235" s="25">
        <f>IF($A235="","",IF(COUNTIF(drops!$A$2:$A$21,$B235)=0,"drop_id not on drops; ","")&amp;IF(N($E235)&lt;=0,"amount?; ","")&amp;IF($D235="","cost type?; ",""))</f>
        <v/>
      </c>
    </row>
    <row r="236">
      <c r="A236" s="9" t="n"/>
      <c r="E236" s="10" t="n"/>
      <c r="I236" s="25">
        <f>IF($A236="","",IF(COUNTIF(drops!$A$2:$A$21,$B236)=0,"drop_id not on drops; ","")&amp;IF(N($E236)&lt;=0,"amount?; ","")&amp;IF($D236="","cost type?; ",""))</f>
        <v/>
      </c>
    </row>
    <row r="237">
      <c r="A237" s="9" t="n"/>
      <c r="E237" s="10" t="n"/>
      <c r="I237" s="25">
        <f>IF($A237="","",IF(COUNTIF(drops!$A$2:$A$21,$B237)=0,"drop_id not on drops; ","")&amp;IF(N($E237)&lt;=0,"amount?; ","")&amp;IF($D237="","cost type?; ",""))</f>
        <v/>
      </c>
    </row>
    <row r="238">
      <c r="A238" s="9" t="n"/>
      <c r="E238" s="10" t="n"/>
      <c r="I238" s="25">
        <f>IF($A238="","",IF(COUNTIF(drops!$A$2:$A$21,$B238)=0,"drop_id not on drops; ","")&amp;IF(N($E238)&lt;=0,"amount?; ","")&amp;IF($D238="","cost type?; ",""))</f>
        <v/>
      </c>
    </row>
    <row r="239">
      <c r="A239" s="9" t="n"/>
      <c r="E239" s="10" t="n"/>
      <c r="I239" s="25">
        <f>IF($A239="","",IF(COUNTIF(drops!$A$2:$A$21,$B239)=0,"drop_id not on drops; ","")&amp;IF(N($E239)&lt;=0,"amount?; ","")&amp;IF($D239="","cost type?; ",""))</f>
        <v/>
      </c>
    </row>
    <row r="240">
      <c r="A240" s="9" t="n"/>
      <c r="E240" s="10" t="n"/>
      <c r="I240" s="25">
        <f>IF($A240="","",IF(COUNTIF(drops!$A$2:$A$21,$B240)=0,"drop_id not on drops; ","")&amp;IF(N($E240)&lt;=0,"amount?; ","")&amp;IF($D240="","cost type?; ",""))</f>
        <v/>
      </c>
    </row>
    <row r="241">
      <c r="A241" s="9" t="n"/>
      <c r="E241" s="10" t="n"/>
      <c r="I241" s="25">
        <f>IF($A241="","",IF(COUNTIF(drops!$A$2:$A$21,$B241)=0,"drop_id not on drops; ","")&amp;IF(N($E241)&lt;=0,"amount?; ","")&amp;IF($D241="","cost type?; ",""))</f>
        <v/>
      </c>
    </row>
    <row r="242">
      <c r="A242" s="9" t="n"/>
      <c r="E242" s="10" t="n"/>
      <c r="I242" s="25">
        <f>IF($A242="","",IF(COUNTIF(drops!$A$2:$A$21,$B242)=0,"drop_id not on drops; ","")&amp;IF(N($E242)&lt;=0,"amount?; ","")&amp;IF($D242="","cost type?; ",""))</f>
        <v/>
      </c>
    </row>
    <row r="243">
      <c r="A243" s="9" t="n"/>
      <c r="E243" s="10" t="n"/>
      <c r="I243" s="25">
        <f>IF($A243="","",IF(COUNTIF(drops!$A$2:$A$21,$B243)=0,"drop_id not on drops; ","")&amp;IF(N($E243)&lt;=0,"amount?; ","")&amp;IF($D243="","cost type?; ",""))</f>
        <v/>
      </c>
    </row>
    <row r="244">
      <c r="A244" s="9" t="n"/>
      <c r="E244" s="10" t="n"/>
      <c r="I244" s="25">
        <f>IF($A244="","",IF(COUNTIF(drops!$A$2:$A$21,$B244)=0,"drop_id not on drops; ","")&amp;IF(N($E244)&lt;=0,"amount?; ","")&amp;IF($D244="","cost type?; ",""))</f>
        <v/>
      </c>
    </row>
    <row r="245">
      <c r="A245" s="9" t="n"/>
      <c r="E245" s="10" t="n"/>
      <c r="I245" s="25">
        <f>IF($A245="","",IF(COUNTIF(drops!$A$2:$A$21,$B245)=0,"drop_id not on drops; ","")&amp;IF(N($E245)&lt;=0,"amount?; ","")&amp;IF($D245="","cost type?; ",""))</f>
        <v/>
      </c>
    </row>
    <row r="246">
      <c r="A246" s="9" t="n"/>
      <c r="E246" s="10" t="n"/>
      <c r="I246" s="25">
        <f>IF($A246="","",IF(COUNTIF(drops!$A$2:$A$21,$B246)=0,"drop_id not on drops; ","")&amp;IF(N($E246)&lt;=0,"amount?; ","")&amp;IF($D246="","cost type?; ",""))</f>
        <v/>
      </c>
    </row>
    <row r="247">
      <c r="A247" s="9" t="n"/>
      <c r="E247" s="10" t="n"/>
      <c r="I247" s="25">
        <f>IF($A247="","",IF(COUNTIF(drops!$A$2:$A$21,$B247)=0,"drop_id not on drops; ","")&amp;IF(N($E247)&lt;=0,"amount?; ","")&amp;IF($D247="","cost type?; ",""))</f>
        <v/>
      </c>
    </row>
    <row r="248">
      <c r="A248" s="9" t="n"/>
      <c r="E248" s="10" t="n"/>
      <c r="I248" s="25">
        <f>IF($A248="","",IF(COUNTIF(drops!$A$2:$A$21,$B248)=0,"drop_id not on drops; ","")&amp;IF(N($E248)&lt;=0,"amount?; ","")&amp;IF($D248="","cost type?; ",""))</f>
        <v/>
      </c>
    </row>
    <row r="249">
      <c r="A249" s="9" t="n"/>
      <c r="E249" s="10" t="n"/>
      <c r="I249" s="25">
        <f>IF($A249="","",IF(COUNTIF(drops!$A$2:$A$21,$B249)=0,"drop_id not on drops; ","")&amp;IF(N($E249)&lt;=0,"amount?; ","")&amp;IF($D249="","cost type?; ",""))</f>
        <v/>
      </c>
    </row>
    <row r="250">
      <c r="A250" s="9" t="n"/>
      <c r="E250" s="10" t="n"/>
      <c r="I250" s="25">
        <f>IF($A250="","",IF(COUNTIF(drops!$A$2:$A$21,$B250)=0,"drop_id not on drops; ","")&amp;IF(N($E250)&lt;=0,"amount?; ","")&amp;IF($D250="","cost type?; ",""))</f>
        <v/>
      </c>
    </row>
    <row r="251">
      <c r="A251" s="9" t="n"/>
      <c r="E251" s="10" t="n"/>
      <c r="I251" s="25">
        <f>IF($A251="","",IF(COUNTIF(drops!$A$2:$A$21,$B251)=0,"drop_id not on drops; ","")&amp;IF(N($E251)&lt;=0,"amount?; ","")&amp;IF($D251="","cost type?; ",""))</f>
        <v/>
      </c>
    </row>
    <row r="252">
      <c r="A252" s="9" t="n"/>
      <c r="E252" s="10" t="n"/>
      <c r="I252" s="25">
        <f>IF($A252="","",IF(COUNTIF(drops!$A$2:$A$21,$B252)=0,"drop_id not on drops; ","")&amp;IF(N($E252)&lt;=0,"amount?; ","")&amp;IF($D252="","cost type?; ",""))</f>
        <v/>
      </c>
    </row>
    <row r="253">
      <c r="A253" s="9" t="n"/>
      <c r="E253" s="10" t="n"/>
      <c r="I253" s="25">
        <f>IF($A253="","",IF(COUNTIF(drops!$A$2:$A$21,$B253)=0,"drop_id not on drops; ","")&amp;IF(N($E253)&lt;=0,"amount?; ","")&amp;IF($D253="","cost type?; ",""))</f>
        <v/>
      </c>
    </row>
    <row r="254">
      <c r="A254" s="9" t="n"/>
      <c r="E254" s="10" t="n"/>
      <c r="I254" s="25">
        <f>IF($A254="","",IF(COUNTIF(drops!$A$2:$A$21,$B254)=0,"drop_id not on drops; ","")&amp;IF(N($E254)&lt;=0,"amount?; ","")&amp;IF($D254="","cost type?; ",""))</f>
        <v/>
      </c>
    </row>
    <row r="255">
      <c r="A255" s="9" t="n"/>
      <c r="E255" s="10" t="n"/>
      <c r="I255" s="25">
        <f>IF($A255="","",IF(COUNTIF(drops!$A$2:$A$21,$B255)=0,"drop_id not on drops; ","")&amp;IF(N($E255)&lt;=0,"amount?; ","")&amp;IF($D255="","cost type?; ",""))</f>
        <v/>
      </c>
    </row>
    <row r="256">
      <c r="A256" s="9" t="n"/>
      <c r="E256" s="10" t="n"/>
      <c r="I256" s="25">
        <f>IF($A256="","",IF(COUNTIF(drops!$A$2:$A$21,$B256)=0,"drop_id not on drops; ","")&amp;IF(N($E256)&lt;=0,"amount?; ","")&amp;IF($D256="","cost type?; ",""))</f>
        <v/>
      </c>
    </row>
    <row r="257">
      <c r="A257" s="9" t="n"/>
      <c r="E257" s="10" t="n"/>
      <c r="I257" s="25">
        <f>IF($A257="","",IF(COUNTIF(drops!$A$2:$A$21,$B257)=0,"drop_id not on drops; ","")&amp;IF(N($E257)&lt;=0,"amount?; ","")&amp;IF($D257="","cost type?; ",""))</f>
        <v/>
      </c>
    </row>
    <row r="258">
      <c r="A258" s="9" t="n"/>
      <c r="E258" s="10" t="n"/>
      <c r="I258" s="25">
        <f>IF($A258="","",IF(COUNTIF(drops!$A$2:$A$21,$B258)=0,"drop_id not on drops; ","")&amp;IF(N($E258)&lt;=0,"amount?; ","")&amp;IF($D258="","cost type?; ",""))</f>
        <v/>
      </c>
    </row>
    <row r="259">
      <c r="A259" s="9" t="n"/>
      <c r="E259" s="10" t="n"/>
      <c r="I259" s="25">
        <f>IF($A259="","",IF(COUNTIF(drops!$A$2:$A$21,$B259)=0,"drop_id not on drops; ","")&amp;IF(N($E259)&lt;=0,"amount?; ","")&amp;IF($D259="","cost type?; ",""))</f>
        <v/>
      </c>
    </row>
    <row r="260">
      <c r="A260" s="9" t="n"/>
      <c r="E260" s="10" t="n"/>
      <c r="I260" s="25">
        <f>IF($A260="","",IF(COUNTIF(drops!$A$2:$A$21,$B260)=0,"drop_id not on drops; ","")&amp;IF(N($E260)&lt;=0,"amount?; ","")&amp;IF($D260="","cost type?; ",""))</f>
        <v/>
      </c>
    </row>
    <row r="261">
      <c r="A261" s="9" t="n"/>
      <c r="E261" s="10" t="n"/>
      <c r="I261" s="25">
        <f>IF($A261="","",IF(COUNTIF(drops!$A$2:$A$21,$B261)=0,"drop_id not on drops; ","")&amp;IF(N($E261)&lt;=0,"amount?; ","")&amp;IF($D261="","cost type?; ",""))</f>
        <v/>
      </c>
    </row>
    <row r="262">
      <c r="A262" s="9" t="n"/>
      <c r="E262" s="10" t="n"/>
      <c r="I262" s="25">
        <f>IF($A262="","",IF(COUNTIF(drops!$A$2:$A$21,$B262)=0,"drop_id not on drops; ","")&amp;IF(N($E262)&lt;=0,"amount?; ","")&amp;IF($D262="","cost type?; ",""))</f>
        <v/>
      </c>
    </row>
    <row r="263">
      <c r="A263" s="9" t="n"/>
      <c r="E263" s="10" t="n"/>
      <c r="I263" s="25">
        <f>IF($A263="","",IF(COUNTIF(drops!$A$2:$A$21,$B263)=0,"drop_id not on drops; ","")&amp;IF(N($E263)&lt;=0,"amount?; ","")&amp;IF($D263="","cost type?; ",""))</f>
        <v/>
      </c>
    </row>
    <row r="264">
      <c r="A264" s="9" t="n"/>
      <c r="E264" s="10" t="n"/>
      <c r="I264" s="25">
        <f>IF($A264="","",IF(COUNTIF(drops!$A$2:$A$21,$B264)=0,"drop_id not on drops; ","")&amp;IF(N($E264)&lt;=0,"amount?; ","")&amp;IF($D264="","cost type?; ",""))</f>
        <v/>
      </c>
    </row>
    <row r="265">
      <c r="A265" s="9" t="n"/>
      <c r="E265" s="10" t="n"/>
      <c r="I265" s="25">
        <f>IF($A265="","",IF(COUNTIF(drops!$A$2:$A$21,$B265)=0,"drop_id not on drops; ","")&amp;IF(N($E265)&lt;=0,"amount?; ","")&amp;IF($D265="","cost type?; ",""))</f>
        <v/>
      </c>
    </row>
    <row r="266">
      <c r="A266" s="9" t="n"/>
      <c r="E266" s="10" t="n"/>
      <c r="I266" s="25">
        <f>IF($A266="","",IF(COUNTIF(drops!$A$2:$A$21,$B266)=0,"drop_id not on drops; ","")&amp;IF(N($E266)&lt;=0,"amount?; ","")&amp;IF($D266="","cost type?; ",""))</f>
        <v/>
      </c>
    </row>
    <row r="267">
      <c r="A267" s="9" t="n"/>
      <c r="E267" s="10" t="n"/>
      <c r="I267" s="25">
        <f>IF($A267="","",IF(COUNTIF(drops!$A$2:$A$21,$B267)=0,"drop_id not on drops; ","")&amp;IF(N($E267)&lt;=0,"amount?; ","")&amp;IF($D267="","cost type?; ",""))</f>
        <v/>
      </c>
    </row>
    <row r="268">
      <c r="A268" s="9" t="n"/>
      <c r="E268" s="10" t="n"/>
      <c r="I268" s="25">
        <f>IF($A268="","",IF(COUNTIF(drops!$A$2:$A$21,$B268)=0,"drop_id not on drops; ","")&amp;IF(N($E268)&lt;=0,"amount?; ","")&amp;IF($D268="","cost type?; ",""))</f>
        <v/>
      </c>
    </row>
    <row r="269">
      <c r="A269" s="9" t="n"/>
      <c r="E269" s="10" t="n"/>
      <c r="I269" s="25">
        <f>IF($A269="","",IF(COUNTIF(drops!$A$2:$A$21,$B269)=0,"drop_id not on drops; ","")&amp;IF(N($E269)&lt;=0,"amount?; ","")&amp;IF($D269="","cost type?; ",""))</f>
        <v/>
      </c>
    </row>
    <row r="270">
      <c r="A270" s="9" t="n"/>
      <c r="E270" s="10" t="n"/>
      <c r="I270" s="25">
        <f>IF($A270="","",IF(COUNTIF(drops!$A$2:$A$21,$B270)=0,"drop_id not on drops; ","")&amp;IF(N($E270)&lt;=0,"amount?; ","")&amp;IF($D270="","cost type?; ",""))</f>
        <v/>
      </c>
    </row>
    <row r="271">
      <c r="A271" s="9" t="n"/>
      <c r="E271" s="10" t="n"/>
      <c r="I271" s="25">
        <f>IF($A271="","",IF(COUNTIF(drops!$A$2:$A$21,$B271)=0,"drop_id not on drops; ","")&amp;IF(N($E271)&lt;=0,"amount?; ","")&amp;IF($D271="","cost type?; ",""))</f>
        <v/>
      </c>
    </row>
    <row r="272">
      <c r="A272" s="9" t="n"/>
      <c r="E272" s="10" t="n"/>
      <c r="I272" s="25">
        <f>IF($A272="","",IF(COUNTIF(drops!$A$2:$A$21,$B272)=0,"drop_id not on drops; ","")&amp;IF(N($E272)&lt;=0,"amount?; ","")&amp;IF($D272="","cost type?; ",""))</f>
        <v/>
      </c>
    </row>
    <row r="273">
      <c r="A273" s="9" t="n"/>
      <c r="E273" s="10" t="n"/>
      <c r="I273" s="25">
        <f>IF($A273="","",IF(COUNTIF(drops!$A$2:$A$21,$B273)=0,"drop_id not on drops; ","")&amp;IF(N($E273)&lt;=0,"amount?; ","")&amp;IF($D273="","cost type?; ",""))</f>
        <v/>
      </c>
    </row>
    <row r="274">
      <c r="A274" s="9" t="n"/>
      <c r="E274" s="10" t="n"/>
      <c r="I274" s="25">
        <f>IF($A274="","",IF(COUNTIF(drops!$A$2:$A$21,$B274)=0,"drop_id not on drops; ","")&amp;IF(N($E274)&lt;=0,"amount?; ","")&amp;IF($D274="","cost type?; ",""))</f>
        <v/>
      </c>
    </row>
    <row r="275">
      <c r="A275" s="9" t="n"/>
      <c r="E275" s="10" t="n"/>
      <c r="I275" s="25">
        <f>IF($A275="","",IF(COUNTIF(drops!$A$2:$A$21,$B275)=0,"drop_id not on drops; ","")&amp;IF(N($E275)&lt;=0,"amount?; ","")&amp;IF($D275="","cost type?; ",""))</f>
        <v/>
      </c>
    </row>
    <row r="276">
      <c r="A276" s="9" t="n"/>
      <c r="E276" s="10" t="n"/>
      <c r="I276" s="25">
        <f>IF($A276="","",IF(COUNTIF(drops!$A$2:$A$21,$B276)=0,"drop_id not on drops; ","")&amp;IF(N($E276)&lt;=0,"amount?; ","")&amp;IF($D276="","cost type?; ",""))</f>
        <v/>
      </c>
    </row>
    <row r="277">
      <c r="A277" s="9" t="n"/>
      <c r="E277" s="10" t="n"/>
      <c r="I277" s="25">
        <f>IF($A277="","",IF(COUNTIF(drops!$A$2:$A$21,$B277)=0,"drop_id not on drops; ","")&amp;IF(N($E277)&lt;=0,"amount?; ","")&amp;IF($D277="","cost type?; ",""))</f>
        <v/>
      </c>
    </row>
    <row r="278">
      <c r="A278" s="9" t="n"/>
      <c r="E278" s="10" t="n"/>
      <c r="I278" s="25">
        <f>IF($A278="","",IF(COUNTIF(drops!$A$2:$A$21,$B278)=0,"drop_id not on drops; ","")&amp;IF(N($E278)&lt;=0,"amount?; ","")&amp;IF($D278="","cost type?; ",""))</f>
        <v/>
      </c>
    </row>
    <row r="279">
      <c r="A279" s="9" t="n"/>
      <c r="E279" s="10" t="n"/>
      <c r="I279" s="25">
        <f>IF($A279="","",IF(COUNTIF(drops!$A$2:$A$21,$B279)=0,"drop_id not on drops; ","")&amp;IF(N($E279)&lt;=0,"amount?; ","")&amp;IF($D279="","cost type?; ",""))</f>
        <v/>
      </c>
    </row>
    <row r="280">
      <c r="A280" s="9" t="n"/>
      <c r="E280" s="10" t="n"/>
      <c r="I280" s="25">
        <f>IF($A280="","",IF(COUNTIF(drops!$A$2:$A$21,$B280)=0,"drop_id not on drops; ","")&amp;IF(N($E280)&lt;=0,"amount?; ","")&amp;IF($D280="","cost type?; ",""))</f>
        <v/>
      </c>
    </row>
    <row r="281">
      <c r="A281" s="9" t="n"/>
      <c r="E281" s="10" t="n"/>
      <c r="I281" s="25">
        <f>IF($A281="","",IF(COUNTIF(drops!$A$2:$A$21,$B281)=0,"drop_id not on drops; ","")&amp;IF(N($E281)&lt;=0,"amount?; ","")&amp;IF($D281="","cost type?; ",""))</f>
        <v/>
      </c>
    </row>
    <row r="282">
      <c r="A282" s="9" t="n"/>
      <c r="E282" s="10" t="n"/>
      <c r="I282" s="25">
        <f>IF($A282="","",IF(COUNTIF(drops!$A$2:$A$21,$B282)=0,"drop_id not on drops; ","")&amp;IF(N($E282)&lt;=0,"amount?; ","")&amp;IF($D282="","cost type?; ",""))</f>
        <v/>
      </c>
    </row>
    <row r="283">
      <c r="A283" s="9" t="n"/>
      <c r="E283" s="10" t="n"/>
      <c r="I283" s="25">
        <f>IF($A283="","",IF(COUNTIF(drops!$A$2:$A$21,$B283)=0,"drop_id not on drops; ","")&amp;IF(N($E283)&lt;=0,"amount?; ","")&amp;IF($D283="","cost type?; ",""))</f>
        <v/>
      </c>
    </row>
    <row r="284">
      <c r="A284" s="9" t="n"/>
      <c r="E284" s="10" t="n"/>
      <c r="I284" s="25">
        <f>IF($A284="","",IF(COUNTIF(drops!$A$2:$A$21,$B284)=0,"drop_id not on drops; ","")&amp;IF(N($E284)&lt;=0,"amount?; ","")&amp;IF($D284="","cost type?; ",""))</f>
        <v/>
      </c>
    </row>
    <row r="285">
      <c r="A285" s="9" t="n"/>
      <c r="E285" s="10" t="n"/>
      <c r="I285" s="25">
        <f>IF($A285="","",IF(COUNTIF(drops!$A$2:$A$21,$B285)=0,"drop_id not on drops; ","")&amp;IF(N($E285)&lt;=0,"amount?; ","")&amp;IF($D285="","cost type?; ",""))</f>
        <v/>
      </c>
    </row>
    <row r="286">
      <c r="A286" s="9" t="n"/>
      <c r="E286" s="10" t="n"/>
      <c r="I286" s="25">
        <f>IF($A286="","",IF(COUNTIF(drops!$A$2:$A$21,$B286)=0,"drop_id not on drops; ","")&amp;IF(N($E286)&lt;=0,"amount?; ","")&amp;IF($D286="","cost type?; ",""))</f>
        <v/>
      </c>
    </row>
    <row r="287">
      <c r="A287" s="9" t="n"/>
      <c r="E287" s="10" t="n"/>
      <c r="I287" s="25">
        <f>IF($A287="","",IF(COUNTIF(drops!$A$2:$A$21,$B287)=0,"drop_id not on drops; ","")&amp;IF(N($E287)&lt;=0,"amount?; ","")&amp;IF($D287="","cost type?; ",""))</f>
        <v/>
      </c>
    </row>
    <row r="288">
      <c r="A288" s="9" t="n"/>
      <c r="E288" s="10" t="n"/>
      <c r="I288" s="25">
        <f>IF($A288="","",IF(COUNTIF(drops!$A$2:$A$21,$B288)=0,"drop_id not on drops; ","")&amp;IF(N($E288)&lt;=0,"amount?; ","")&amp;IF($D288="","cost type?; ",""))</f>
        <v/>
      </c>
    </row>
    <row r="289">
      <c r="A289" s="9" t="n"/>
      <c r="E289" s="10" t="n"/>
      <c r="I289" s="25">
        <f>IF($A289="","",IF(COUNTIF(drops!$A$2:$A$21,$B289)=0,"drop_id not on drops; ","")&amp;IF(N($E289)&lt;=0,"amount?; ","")&amp;IF($D289="","cost type?; ",""))</f>
        <v/>
      </c>
    </row>
    <row r="290">
      <c r="A290" s="9" t="n"/>
      <c r="E290" s="10" t="n"/>
      <c r="I290" s="25">
        <f>IF($A290="","",IF(COUNTIF(drops!$A$2:$A$21,$B290)=0,"drop_id not on drops; ","")&amp;IF(N($E290)&lt;=0,"amount?; ","")&amp;IF($D290="","cost type?; ",""))</f>
        <v/>
      </c>
    </row>
    <row r="291">
      <c r="A291" s="9" t="n"/>
      <c r="E291" s="10" t="n"/>
      <c r="I291" s="25">
        <f>IF($A291="","",IF(COUNTIF(drops!$A$2:$A$21,$B291)=0,"drop_id not on drops; ","")&amp;IF(N($E291)&lt;=0,"amount?; ","")&amp;IF($D291="","cost type?; ",""))</f>
        <v/>
      </c>
    </row>
    <row r="292">
      <c r="A292" s="9" t="n"/>
      <c r="E292" s="10" t="n"/>
      <c r="I292" s="25">
        <f>IF($A292="","",IF(COUNTIF(drops!$A$2:$A$21,$B292)=0,"drop_id not on drops; ","")&amp;IF(N($E292)&lt;=0,"amount?; ","")&amp;IF($D292="","cost type?; ",""))</f>
        <v/>
      </c>
    </row>
    <row r="293">
      <c r="A293" s="9" t="n"/>
      <c r="E293" s="10" t="n"/>
      <c r="I293" s="25">
        <f>IF($A293="","",IF(COUNTIF(drops!$A$2:$A$21,$B293)=0,"drop_id not on drops; ","")&amp;IF(N($E293)&lt;=0,"amount?; ","")&amp;IF($D293="","cost type?; ",""))</f>
        <v/>
      </c>
    </row>
    <row r="294">
      <c r="A294" s="9" t="n"/>
      <c r="E294" s="10" t="n"/>
      <c r="I294" s="25">
        <f>IF($A294="","",IF(COUNTIF(drops!$A$2:$A$21,$B294)=0,"drop_id not on drops; ","")&amp;IF(N($E294)&lt;=0,"amount?; ","")&amp;IF($D294="","cost type?; ",""))</f>
        <v/>
      </c>
    </row>
    <row r="295">
      <c r="A295" s="9" t="n"/>
      <c r="E295" s="10" t="n"/>
      <c r="I295" s="25">
        <f>IF($A295="","",IF(COUNTIF(drops!$A$2:$A$21,$B295)=0,"drop_id not on drops; ","")&amp;IF(N($E295)&lt;=0,"amount?; ","")&amp;IF($D295="","cost type?; ",""))</f>
        <v/>
      </c>
    </row>
    <row r="296">
      <c r="A296" s="9" t="n"/>
      <c r="E296" s="10" t="n"/>
      <c r="I296" s="25">
        <f>IF($A296="","",IF(COUNTIF(drops!$A$2:$A$21,$B296)=0,"drop_id not on drops; ","")&amp;IF(N($E296)&lt;=0,"amount?; ","")&amp;IF($D296="","cost type?; ",""))</f>
        <v/>
      </c>
    </row>
    <row r="297">
      <c r="A297" s="9" t="n"/>
      <c r="E297" s="10" t="n"/>
      <c r="I297" s="25">
        <f>IF($A297="","",IF(COUNTIF(drops!$A$2:$A$21,$B297)=0,"drop_id not on drops; ","")&amp;IF(N($E297)&lt;=0,"amount?; ","")&amp;IF($D297="","cost type?; ",""))</f>
        <v/>
      </c>
    </row>
    <row r="298">
      <c r="A298" s="9" t="n"/>
      <c r="E298" s="10" t="n"/>
      <c r="I298" s="25">
        <f>IF($A298="","",IF(COUNTIF(drops!$A$2:$A$21,$B298)=0,"drop_id not on drops; ","")&amp;IF(N($E298)&lt;=0,"amount?; ","")&amp;IF($D298="","cost type?; ",""))</f>
        <v/>
      </c>
    </row>
    <row r="299">
      <c r="A299" s="9" t="n"/>
      <c r="E299" s="10" t="n"/>
      <c r="I299" s="25">
        <f>IF($A299="","",IF(COUNTIF(drops!$A$2:$A$21,$B299)=0,"drop_id not on drops; ","")&amp;IF(N($E299)&lt;=0,"amount?; ","")&amp;IF($D299="","cost type?; ",""))</f>
        <v/>
      </c>
    </row>
    <row r="300">
      <c r="A300" s="9" t="n"/>
      <c r="E300" s="10" t="n"/>
      <c r="I300" s="25">
        <f>IF($A300="","",IF(COUNTIF(drops!$A$2:$A$21,$B300)=0,"drop_id not on drops; ","")&amp;IF(N($E300)&lt;=0,"amount?; ","")&amp;IF($D300="","cost type?; ",""))</f>
        <v/>
      </c>
    </row>
    <row r="301">
      <c r="A301" s="9" t="n"/>
      <c r="E301" s="10" t="n"/>
      <c r="I301" s="25">
        <f>IF($A301="","",IF(COUNTIF(drops!$A$2:$A$21,$B301)=0,"drop_id not on drops; ","")&amp;IF(N($E301)&lt;=0,"amount?; ","")&amp;IF($D301="","cost type?; ",""))</f>
        <v/>
      </c>
    </row>
  </sheetData>
  <conditionalFormatting sqref="I2:I301">
    <cfRule type="expression" priority="1" dxfId="1">
      <formula>LEN(I2)&gt;0</formula>
    </cfRule>
  </conditionalFormatting>
  <dataValidations count="1">
    <dataValidation sqref="D2:D301" showDropDown="0" showInputMessage="0" showErrorMessage="1" allowBlank="1" errorTitle="Not on the list" error="Pick a value from the list." type="list">
      <formula1>"kit,transport,other_direct"</formula1>
    </dataValidation>
  </dataValidations>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tabColor rgb="00FFF2CC"/>
    <outlinePr summaryBelow="1" summaryRight="1"/>
    <pageSetUpPr/>
  </sheetPr>
  <dimension ref="A1:S1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0" customWidth="1" min="7" max="7"/>
    <col width="14" customWidth="1" min="8" max="8"/>
    <col width="14" customWidth="1" min="9" max="9"/>
    <col width="14" customWidth="1" min="10" max="10"/>
    <col width="16" customWidth="1" min="11" max="11"/>
    <col width="14" customWidth="1" min="12" max="12"/>
    <col width="20" customWidth="1" min="13" max="13"/>
    <col width="16" customWidth="1" min="14" max="14"/>
    <col width="14" customWidth="1" min="15" max="15"/>
    <col width="14" customWidth="1" min="16" max="16"/>
    <col width="10" customWidth="1" min="17" max="17"/>
    <col width="7" customWidth="1" min="18" max="18"/>
    <col width="30" customWidth="1" min="19" max="19"/>
  </cols>
  <sheetData>
    <row r="1">
      <c r="A1" s="23" t="inlineStr">
        <is>
          <t>invoice_id</t>
        </is>
      </c>
      <c r="B1" s="23" t="inlineStr">
        <is>
          <t>campaign_id</t>
        </is>
      </c>
      <c r="C1" s="23" t="inlineStr">
        <is>
          <t>invoice_type</t>
        </is>
      </c>
      <c r="D1" s="23" t="inlineStr">
        <is>
          <t>issued_date</t>
        </is>
      </c>
      <c r="E1" s="23" t="inlineStr">
        <is>
          <t>amount_usd</t>
        </is>
      </c>
      <c r="F1" s="23" t="inlineStr">
        <is>
          <t>sales_tax_usd</t>
        </is>
      </c>
      <c r="G1" s="23" t="inlineStr">
        <is>
          <t>sent_to</t>
        </is>
      </c>
      <c r="H1" s="23" t="inlineStr">
        <is>
          <t>paid_date</t>
        </is>
      </c>
      <c r="I1" s="23" t="inlineStr">
        <is>
          <t>paid_amount_usd</t>
        </is>
      </c>
      <c r="J1" s="23" t="inlineStr">
        <is>
          <t>method</t>
        </is>
      </c>
      <c r="K1" s="23" t="inlineStr">
        <is>
          <t>bank_reference</t>
        </is>
      </c>
      <c r="L1" s="23" t="inlineStr">
        <is>
          <t>processing_fee_usd</t>
        </is>
      </c>
      <c r="M1" s="23" t="inlineStr">
        <is>
          <t>note</t>
        </is>
      </c>
      <c r="N1" s="24" t="inlineStr">
        <is>
          <t>brand_name</t>
        </is>
      </c>
      <c r="O1" s="24" t="inlineStr">
        <is>
          <t>due_date</t>
        </is>
      </c>
      <c r="P1" s="24" t="inlineStr">
        <is>
          <t>total_usd</t>
        </is>
      </c>
      <c r="Q1" s="24" t="inlineStr">
        <is>
          <t>status</t>
        </is>
      </c>
      <c r="R1" s="24" t="inlineStr">
        <is>
          <t>releases_ship</t>
        </is>
      </c>
      <c r="S1" s="24" t="inlineStr">
        <is>
          <t>checks</t>
        </is>
      </c>
    </row>
    <row r="2">
      <c r="A2" t="inlineStr">
        <is>
          <t>SAMPLE-INV-001</t>
        </is>
      </c>
      <c r="B2" t="inlineStr">
        <is>
          <t>SAMPLE-CMP-001</t>
        </is>
      </c>
      <c r="C2" t="inlineStr">
        <is>
          <t>founding_full</t>
        </is>
      </c>
      <c r="D2" s="9" t="n">
        <v>46363</v>
      </c>
      <c r="E2" s="10" t="n">
        <v>600</v>
      </c>
      <c r="F2" s="10" t="n">
        <v>0</v>
      </c>
      <c r="G2" t="inlineStr">
        <is>
          <t>SAMPLE-ap-001@example.com</t>
        </is>
      </c>
      <c r="H2" s="9" t="n">
        <v>46366</v>
      </c>
      <c r="I2" s="10" t="n">
        <v>600</v>
      </c>
      <c r="J2" t="inlineStr">
        <is>
          <t>bank_transfer</t>
        </is>
      </c>
      <c r="K2" t="inlineStr">
        <is>
          <t>SAMPLE-ACH-7781</t>
        </is>
      </c>
      <c r="L2" s="10" t="n">
        <v>0</v>
      </c>
      <c r="N2" s="25">
        <f>IF($B2="","",IFERROR(IF(INDEX(campaigns!$BE$2:$BE$51,MATCH($B2,campaigns!$A$2:$A$51,0))="","",INDEX(campaigns!$BE$2:$BE$51,MATCH($B2,campaigns!$A$2:$A$51,0))),""))</f>
        <v/>
      </c>
      <c r="O2" s="26">
        <f>IF(OR($A2="",$D2=""),"",IF($C2="founding_full",WORKDAY($D2,config!$B$27,calendar!$A$2:$A$80),$D2))</f>
        <v/>
      </c>
      <c r="P2" s="27">
        <f>IF($A2="","",N($E2)+N($F2))</f>
        <v/>
      </c>
      <c r="Q2" s="25">
        <f>IF($A2="","",IF($C2="credit_note",IF($H2&lt;&gt;"","refunded","credit applied"),IF($H2&lt;&gt;"",IF(N($I2)&gt;=$P2-0.005,"paid",IF(AND($C2="standard_balance",N($I2)+(-SUMPRODUCT((invoices!$B$2:$B$151=$B2)*(invoices!$C$2:$C$151="credit_note")*(LEN(invoices!$H$2:$H$151)=0)*invoices!$E$2:$E$151))&gt;=$P2-0.005),"paid (less credit)","part paid")),IF($D2="","draft",IF(IF(config!$B$37&lt;&gt;"",config!$B$37,TODAY())&gt;$O2,"overdue","sent")))))</f>
        <v/>
      </c>
      <c r="R2" s="25">
        <f>IF($A2="","",IF(OR($C2="founding_full",$C2="standard_deposit"),"Y","N"))</f>
        <v/>
      </c>
      <c r="S2" s="25">
        <f>IF($A2="","",IF(COUNTIF(invoices!$A$2:$A$151,$A2)&gt;1,"DUPLICATE invoice number; ","")&amp;IF(COUNTIF(campaigns!$A$2:$A$51,$B2)=0,"campaign_id missing or not on campaigns; ","")&amp;IF(AND($C2&lt;&gt;"credit_note",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lt;&gt;"",ABS(N($E2)-N(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gt;0.005),"amount differs from the price ("&amp;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amp;") - credit notes go on their own row; ","")&amp;IF(AND($C2="credit_note",N($E2)&gt;=0),"a credit note is negative; ","")&amp;IF(AND($H2&lt;&gt;"",N($I2)&gt;$P2+0.005,$C2&lt;&gt;"credit_note"),"paid more than the total; ","")&amp;IF(AND($H2&lt;&gt;"",$J2=""),"method?; ",""))</f>
        <v/>
      </c>
    </row>
    <row r="3">
      <c r="A3" t="inlineStr">
        <is>
          <t>SAMPLE-INV-002</t>
        </is>
      </c>
      <c r="B3" t="inlineStr">
        <is>
          <t>SAMPLE-CMP-002</t>
        </is>
      </c>
      <c r="C3" t="inlineStr">
        <is>
          <t>founding_full</t>
        </is>
      </c>
      <c r="D3" s="9" t="n">
        <v>46364</v>
      </c>
      <c r="E3" s="10" t="n">
        <v>600</v>
      </c>
      <c r="F3" s="10" t="n">
        <v>0</v>
      </c>
      <c r="G3" t="inlineStr">
        <is>
          <t>SAMPLE-ap-002@example.com</t>
        </is>
      </c>
      <c r="H3" s="9" t="n">
        <v>46367</v>
      </c>
      <c r="I3" s="10" t="n">
        <v>600</v>
      </c>
      <c r="J3" t="inlineStr">
        <is>
          <t>bank_transfer</t>
        </is>
      </c>
      <c r="K3" t="inlineStr">
        <is>
          <t>SAMPLE-WIRE-3302</t>
        </is>
      </c>
      <c r="L3" s="10" t="n">
        <v>0</v>
      </c>
      <c r="N3" s="25">
        <f>IF($B3="","",IFERROR(IF(INDEX(campaigns!$BE$2:$BE$51,MATCH($B3,campaigns!$A$2:$A$51,0))="","",INDEX(campaigns!$BE$2:$BE$51,MATCH($B3,campaigns!$A$2:$A$51,0))),""))</f>
        <v/>
      </c>
      <c r="O3" s="26">
        <f>IF(OR($A3="",$D3=""),"",IF($C3="founding_full",WORKDAY($D3,config!$B$27,calendar!$A$2:$A$80),$D3))</f>
        <v/>
      </c>
      <c r="P3" s="27">
        <f>IF($A3="","",N($E3)+N($F3))</f>
        <v/>
      </c>
      <c r="Q3" s="25">
        <f>IF($A3="","",IF($C3="credit_note",IF($H3&lt;&gt;"","refunded","credit applied"),IF($H3&lt;&gt;"",IF(N($I3)&gt;=$P3-0.005,"paid",IF(AND($C3="standard_balance",N($I3)+(-SUMPRODUCT((invoices!$B$2:$B$151=$B3)*(invoices!$C$2:$C$151="credit_note")*(LEN(invoices!$H$2:$H$151)=0)*invoices!$E$2:$E$151))&gt;=$P3-0.005),"paid (less credit)","part paid")),IF($D3="","draft",IF(IF(config!$B$37&lt;&gt;"",config!$B$37,TODAY())&gt;$O3,"overdue","sent")))))</f>
        <v/>
      </c>
      <c r="R3" s="25">
        <f>IF($A3="","",IF(OR($C3="founding_full",$C3="standard_deposit"),"Y","N"))</f>
        <v/>
      </c>
      <c r="S3" s="25">
        <f>IF($A3="","",IF(COUNTIF(invoices!$A$2:$A$151,$A3)&gt;1,"DUPLICATE invoice number; ","")&amp;IF(COUNTIF(campaigns!$A$2:$A$51,$B3)=0,"campaign_id missing or not on campaigns; ","")&amp;IF(AND($C3&lt;&gt;"credit_note",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lt;&gt;"",ABS(N($E3)-N(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gt;0.005),"amount differs from the price ("&amp;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amp;") - credit notes go on their own row; ","")&amp;IF(AND($C3="credit_note",N($E3)&gt;=0),"a credit note is negative; ","")&amp;IF(AND($H3&lt;&gt;"",N($I3)&gt;$P3+0.005,$C3&lt;&gt;"credit_note"),"paid more than the total; ","")&amp;IF(AND($H3&lt;&gt;"",$J3=""),"method?; ",""))</f>
        <v/>
      </c>
    </row>
    <row r="4">
      <c r="A4" t="inlineStr">
        <is>
          <t>SAMPLE-INV-003</t>
        </is>
      </c>
      <c r="B4" t="inlineStr">
        <is>
          <t>SAMPLE-CMP-001</t>
        </is>
      </c>
      <c r="C4" t="inlineStr">
        <is>
          <t>credit_note</t>
        </is>
      </c>
      <c r="D4" s="9" t="n">
        <v>46400</v>
      </c>
      <c r="E4" s="10" t="n">
        <v>-120</v>
      </c>
      <c r="F4" s="10" t="n">
        <v>0</v>
      </c>
      <c r="G4" t="inlineStr">
        <is>
          <t>SAMPLE-ap-001@example.com</t>
        </is>
      </c>
      <c r="H4" s="9" t="n">
        <v>46402</v>
      </c>
      <c r="I4" s="10" t="n">
        <v>-120</v>
      </c>
      <c r="J4" t="inlineStr">
        <is>
          <t>bank_transfer</t>
        </is>
      </c>
      <c r="K4" t="inlineStr">
        <is>
          <t>SAMPLE-REFUND-0001</t>
        </is>
      </c>
      <c r="L4" s="10" t="n">
        <v>0</v>
      </c>
      <c r="M4" t="inlineStr">
        <is>
          <t>SAMPLE office D (SAMPLE-O-004) not placed by T+1: refund of that office's share, brand agreement section 8</t>
        </is>
      </c>
      <c r="N4" s="25">
        <f>IF($B4="","",IFERROR(IF(INDEX(campaigns!$BE$2:$BE$51,MATCH($B4,campaigns!$A$2:$A$51,0))="","",INDEX(campaigns!$BE$2:$BE$51,MATCH($B4,campaigns!$A$2:$A$51,0))),""))</f>
        <v/>
      </c>
      <c r="O4" s="26">
        <f>IF(OR($A4="",$D4=""),"",IF($C4="founding_full",WORKDAY($D4,config!$B$27,calendar!$A$2:$A$80),$D4))</f>
        <v/>
      </c>
      <c r="P4" s="27">
        <f>IF($A4="","",N($E4)+N($F4))</f>
        <v/>
      </c>
      <c r="Q4" s="25">
        <f>IF($A4="","",IF($C4="credit_note",IF($H4&lt;&gt;"","refunded","credit applied"),IF($H4&lt;&gt;"",IF(N($I4)&gt;=$P4-0.005,"paid",IF(AND($C4="standard_balance",N($I4)+(-SUMPRODUCT((invoices!$B$2:$B$151=$B4)*(invoices!$C$2:$C$151="credit_note")*(LEN(invoices!$H$2:$H$151)=0)*invoices!$E$2:$E$151))&gt;=$P4-0.005),"paid (less credit)","part paid")),IF($D4="","draft",IF(IF(config!$B$37&lt;&gt;"",config!$B$37,TODAY())&gt;$O4,"overdue","sent")))))</f>
        <v/>
      </c>
      <c r="R4" s="25">
        <f>IF($A4="","",IF(OR($C4="founding_full",$C4="standard_deposit"),"Y","N"))</f>
        <v/>
      </c>
      <c r="S4" s="25">
        <f>IF($A4="","",IF(COUNTIF(invoices!$A$2:$A$151,$A4)&gt;1,"DUPLICATE invoice number; ","")&amp;IF(COUNTIF(campaigns!$A$2:$A$51,$B4)=0,"campaign_id missing or not on campaigns; ","")&amp;IF(AND($C4&lt;&gt;"credit_note",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lt;&gt;"",ABS(N($E4)-N(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gt;0.005),"amount differs from the price ("&amp;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amp;") - credit notes go on their own row; ","")&amp;IF(AND($C4="credit_note",N($E4)&gt;=0),"a credit note is negative; ","")&amp;IF(AND($H4&lt;&gt;"",N($I4)&gt;$P4+0.005,$C4&lt;&gt;"credit_note"),"paid more than the total; ","")&amp;IF(AND($H4&lt;&gt;"",$J4=""),"method?; ",""))</f>
        <v/>
      </c>
    </row>
    <row r="5">
      <c r="A5" t="inlineStr">
        <is>
          <t>SAMPLE-INV-004</t>
        </is>
      </c>
      <c r="B5" t="inlineStr">
        <is>
          <t>SAMPLE-CMP-003</t>
        </is>
      </c>
      <c r="C5" t="inlineStr">
        <is>
          <t>standard_deposit</t>
        </is>
      </c>
      <c r="D5" s="9" t="n">
        <v>46391</v>
      </c>
      <c r="E5" s="10" t="n">
        <v>750</v>
      </c>
      <c r="F5" s="10" t="n">
        <v>0</v>
      </c>
      <c r="G5" t="inlineStr">
        <is>
          <t>SAMPLE-ap@example.com</t>
        </is>
      </c>
      <c r="H5" s="9" t="n">
        <v>46394</v>
      </c>
      <c r="I5" s="10" t="n">
        <v>750</v>
      </c>
      <c r="J5" t="inlineStr">
        <is>
          <t>bank_transfer</t>
        </is>
      </c>
      <c r="K5" t="inlineStr">
        <is>
          <t>SAMPLE-ACH-4</t>
        </is>
      </c>
      <c r="L5" s="10" t="n">
        <v>0</v>
      </c>
      <c r="N5" s="25">
        <f>IF($B5="","",IFERROR(IF(INDEX(campaigns!$BE$2:$BE$51,MATCH($B5,campaigns!$A$2:$A$51,0))="","",INDEX(campaigns!$BE$2:$BE$51,MATCH($B5,campaigns!$A$2:$A$51,0))),""))</f>
        <v/>
      </c>
      <c r="O5" s="26">
        <f>IF(OR($A5="",$D5=""),"",IF($C5="founding_full",WORKDAY($D5,config!$B$27,calendar!$A$2:$A$80),$D5))</f>
        <v/>
      </c>
      <c r="P5" s="27">
        <f>IF($A5="","",N($E5)+N($F5))</f>
        <v/>
      </c>
      <c r="Q5" s="25">
        <f>IF($A5="","",IF($C5="credit_note",IF($H5&lt;&gt;"","refunded","credit applied"),IF($H5&lt;&gt;"",IF(N($I5)&gt;=$P5-0.005,"paid",IF(AND($C5="standard_balance",N($I5)+(-SUMPRODUCT((invoices!$B$2:$B$151=$B5)*(invoices!$C$2:$C$151="credit_note")*(LEN(invoices!$H$2:$H$151)=0)*invoices!$E$2:$E$151))&gt;=$P5-0.005),"paid (less credit)","part paid")),IF($D5="","draft",IF(IF(config!$B$37&lt;&gt;"",config!$B$37,TODAY())&gt;$O5,"overdue","sent")))))</f>
        <v/>
      </c>
      <c r="R5" s="25">
        <f>IF($A5="","",IF(OR($C5="founding_full",$C5="standard_deposit"),"Y","N"))</f>
        <v/>
      </c>
      <c r="S5" s="25">
        <f>IF($A5="","",IF(COUNTIF(invoices!$A$2:$A$151,$A5)&gt;1,"DUPLICATE invoice number; ","")&amp;IF(COUNTIF(campaigns!$A$2:$A$51,$B5)=0,"campaign_id missing or not on campaigns; ","")&amp;IF(AND($C5&lt;&gt;"credit_note",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lt;&gt;"",ABS(N($E5)-N(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gt;0.005),"amount differs from the price ("&amp;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amp;") - credit notes go on their own row; ","")&amp;IF(AND($C5="credit_note",N($E5)&gt;=0),"a credit note is negative; ","")&amp;IF(AND($H5&lt;&gt;"",N($I5)&gt;$P5+0.005,$C5&lt;&gt;"credit_note"),"paid more than the total; ","")&amp;IF(AND($H5&lt;&gt;"",$J5=""),"method?; ",""))</f>
        <v/>
      </c>
    </row>
    <row r="6">
      <c r="A6" t="inlineStr">
        <is>
          <t>SAMPLE-INV-006</t>
        </is>
      </c>
      <c r="B6" t="inlineStr">
        <is>
          <t>SAMPLE-CMP-004</t>
        </is>
      </c>
      <c r="C6" t="inlineStr">
        <is>
          <t>standard_deposit</t>
        </is>
      </c>
      <c r="D6" s="9" t="n">
        <v>46393</v>
      </c>
      <c r="E6" s="10" t="n">
        <v>750</v>
      </c>
      <c r="F6" s="10" t="n">
        <v>0</v>
      </c>
      <c r="G6" t="inlineStr">
        <is>
          <t>SAMPLE-ap@example.com</t>
        </is>
      </c>
      <c r="H6" s="9" t="n">
        <v>46398</v>
      </c>
      <c r="I6" s="10" t="n">
        <v>750</v>
      </c>
      <c r="J6" t="inlineStr">
        <is>
          <t>bank_transfer</t>
        </is>
      </c>
      <c r="K6" t="inlineStr">
        <is>
          <t>SAMPLE-ACH-6</t>
        </is>
      </c>
      <c r="L6" s="10" t="n">
        <v>0</v>
      </c>
      <c r="N6" s="25">
        <f>IF($B6="","",IFERROR(IF(INDEX(campaigns!$BE$2:$BE$51,MATCH($B6,campaigns!$A$2:$A$51,0))="","",INDEX(campaigns!$BE$2:$BE$51,MATCH($B6,campaigns!$A$2:$A$51,0))),""))</f>
        <v/>
      </c>
      <c r="O6" s="26">
        <f>IF(OR($A6="",$D6=""),"",IF($C6="founding_full",WORKDAY($D6,config!$B$27,calendar!$A$2:$A$80),$D6))</f>
        <v/>
      </c>
      <c r="P6" s="27">
        <f>IF($A6="","",N($E6)+N($F6))</f>
        <v/>
      </c>
      <c r="Q6" s="25">
        <f>IF($A6="","",IF($C6="credit_note",IF($H6&lt;&gt;"","refunded","credit applied"),IF($H6&lt;&gt;"",IF(N($I6)&gt;=$P6-0.005,"paid",IF(AND($C6="standard_balance",N($I6)+(-SUMPRODUCT((invoices!$B$2:$B$151=$B6)*(invoices!$C$2:$C$151="credit_note")*(LEN(invoices!$H$2:$H$151)=0)*invoices!$E$2:$E$151))&gt;=$P6-0.005),"paid (less credit)","part paid")),IF($D6="","draft",IF(IF(config!$B$37&lt;&gt;"",config!$B$37,TODAY())&gt;$O6,"overdue","sent")))))</f>
        <v/>
      </c>
      <c r="R6" s="25">
        <f>IF($A6="","",IF(OR($C6="founding_full",$C6="standard_deposit"),"Y","N"))</f>
        <v/>
      </c>
      <c r="S6" s="25">
        <f>IF($A6="","",IF(COUNTIF(invoices!$A$2:$A$151,$A6)&gt;1,"DUPLICATE invoice number; ","")&amp;IF(COUNTIF(campaigns!$A$2:$A$51,$B6)=0,"campaign_id missing or not on campaigns; ","")&amp;IF(AND($C6&lt;&gt;"credit_note",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lt;&gt;"",ABS(N($E6)-N(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gt;0.005),"amount differs from the price ("&amp;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amp;") - credit notes go on their own row; ","")&amp;IF(AND($C6="credit_note",N($E6)&gt;=0),"a credit note is negative; ","")&amp;IF(AND($H6&lt;&gt;"",N($I6)&gt;$P6+0.005,$C6&lt;&gt;"credit_note"),"paid more than the total; ","")&amp;IF(AND($H6&lt;&gt;"",$J6=""),"method?; ",""))</f>
        <v/>
      </c>
    </row>
    <row r="7">
      <c r="A7" t="inlineStr">
        <is>
          <t>SAMPLE-INV-009</t>
        </is>
      </c>
      <c r="B7" t="inlineStr">
        <is>
          <t>SAMPLE-CMP-005</t>
        </is>
      </c>
      <c r="C7" t="inlineStr">
        <is>
          <t>standard_deposit</t>
        </is>
      </c>
      <c r="D7" s="9" t="n">
        <v>46395</v>
      </c>
      <c r="E7" s="10" t="n">
        <v>750</v>
      </c>
      <c r="F7" s="10" t="n">
        <v>0</v>
      </c>
      <c r="G7" t="inlineStr">
        <is>
          <t>SAMPLE-ap@example.com</t>
        </is>
      </c>
      <c r="H7" s="9" t="n">
        <v>46399</v>
      </c>
      <c r="I7" s="10" t="n">
        <v>750</v>
      </c>
      <c r="J7" t="inlineStr">
        <is>
          <t>bank_transfer</t>
        </is>
      </c>
      <c r="K7" t="inlineStr">
        <is>
          <t>SAMPLE-ACH-9</t>
        </is>
      </c>
      <c r="L7" s="10" t="n">
        <v>0</v>
      </c>
      <c r="N7" s="25">
        <f>IF($B7="","",IFERROR(IF(INDEX(campaigns!$BE$2:$BE$51,MATCH($B7,campaigns!$A$2:$A$51,0))="","",INDEX(campaigns!$BE$2:$BE$51,MATCH($B7,campaigns!$A$2:$A$51,0))),""))</f>
        <v/>
      </c>
      <c r="O7" s="26">
        <f>IF(OR($A7="",$D7=""),"",IF($C7="founding_full",WORKDAY($D7,config!$B$27,calendar!$A$2:$A$80),$D7))</f>
        <v/>
      </c>
      <c r="P7" s="27">
        <f>IF($A7="","",N($E7)+N($F7))</f>
        <v/>
      </c>
      <c r="Q7" s="25">
        <f>IF($A7="","",IF($C7="credit_note",IF($H7&lt;&gt;"","refunded","credit applied"),IF($H7&lt;&gt;"",IF(N($I7)&gt;=$P7-0.005,"paid",IF(AND($C7="standard_balance",N($I7)+(-SUMPRODUCT((invoices!$B$2:$B$151=$B7)*(invoices!$C$2:$C$151="credit_note")*(LEN(invoices!$H$2:$H$151)=0)*invoices!$E$2:$E$151))&gt;=$P7-0.005),"paid (less credit)","part paid")),IF($D7="","draft",IF(IF(config!$B$37&lt;&gt;"",config!$B$37,TODAY())&gt;$O7,"overdue","sent")))))</f>
        <v/>
      </c>
      <c r="R7" s="25">
        <f>IF($A7="","",IF(OR($C7="founding_full",$C7="standard_deposit"),"Y","N"))</f>
        <v/>
      </c>
      <c r="S7" s="25">
        <f>IF($A7="","",IF(COUNTIF(invoices!$A$2:$A$151,$A7)&gt;1,"DUPLICATE invoice number; ","")&amp;IF(COUNTIF(campaigns!$A$2:$A$51,$B7)=0,"campaign_id missing or not on campaigns; ","")&amp;IF(AND($C7&lt;&gt;"credit_note",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lt;&gt;"",ABS(N($E7)-N(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gt;0.005),"amount differs from the price ("&amp;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amp;") - credit notes go on their own row; ","")&amp;IF(AND($C7="credit_note",N($E7)&gt;=0),"a credit note is negative; ","")&amp;IF(AND($H7&lt;&gt;"",N($I7)&gt;$P7+0.005,$C7&lt;&gt;"credit_note"),"paid more than the total; ","")&amp;IF(AND($H7&lt;&gt;"",$J7=""),"method?; ",""))</f>
        <v/>
      </c>
    </row>
    <row r="8">
      <c r="D8" s="9" t="n"/>
      <c r="E8" s="10" t="n"/>
      <c r="F8" s="10" t="n"/>
      <c r="H8" s="9" t="n"/>
      <c r="I8" s="10" t="n"/>
      <c r="L8" s="10" t="n"/>
      <c r="N8" s="25">
        <f>IF($B8="","",IFERROR(IF(INDEX(campaigns!$BE$2:$BE$51,MATCH($B8,campaigns!$A$2:$A$51,0))="","",INDEX(campaigns!$BE$2:$BE$51,MATCH($B8,campaigns!$A$2:$A$51,0))),""))</f>
        <v/>
      </c>
      <c r="O8" s="26">
        <f>IF(OR($A8="",$D8=""),"",IF($C8="founding_full",WORKDAY($D8,config!$B$27,calendar!$A$2:$A$80),$D8))</f>
        <v/>
      </c>
      <c r="P8" s="27">
        <f>IF($A8="","",N($E8)+N($F8))</f>
        <v/>
      </c>
      <c r="Q8" s="25">
        <f>IF($A8="","",IF($C8="credit_note",IF($H8&lt;&gt;"","refunded","credit applied"),IF($H8&lt;&gt;"",IF(N($I8)&gt;=$P8-0.005,"paid",IF(AND($C8="standard_balance",N($I8)+(-SUMPRODUCT((invoices!$B$2:$B$151=$B8)*(invoices!$C$2:$C$151="credit_note")*(LEN(invoices!$H$2:$H$151)=0)*invoices!$E$2:$E$151))&gt;=$P8-0.005),"paid (less credit)","part paid")),IF($D8="","draft",IF(IF(config!$B$37&lt;&gt;"",config!$B$37,TODAY())&gt;$O8,"overdue","sent")))))</f>
        <v/>
      </c>
      <c r="R8" s="25">
        <f>IF($A8="","",IF(OR($C8="founding_full",$C8="standard_deposit"),"Y","N"))</f>
        <v/>
      </c>
      <c r="S8" s="25">
        <f>IF($A8="","",IF(COUNTIF(invoices!$A$2:$A$151,$A8)&gt;1,"DUPLICATE invoice number; ","")&amp;IF(COUNTIF(campaigns!$A$2:$A$51,$B8)=0,"campaign_id missing or not on campaigns; ","")&amp;IF(AND($C8&lt;&gt;"credit_note",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lt;&gt;"",ABS(N($E8)-N(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gt;0.005),"amount differs from the price ("&amp;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amp;") - credit notes go on their own row; ","")&amp;IF(AND($C8="credit_note",N($E8)&gt;=0),"a credit note is negative; ","")&amp;IF(AND($H8&lt;&gt;"",N($I8)&gt;$P8+0.005,$C8&lt;&gt;"credit_note"),"paid more than the total; ","")&amp;IF(AND($H8&lt;&gt;"",$J8=""),"method?; ",""))</f>
        <v/>
      </c>
    </row>
    <row r="9">
      <c r="D9" s="9" t="n"/>
      <c r="E9" s="10" t="n"/>
      <c r="F9" s="10" t="n"/>
      <c r="H9" s="9" t="n"/>
      <c r="I9" s="10" t="n"/>
      <c r="L9" s="10" t="n"/>
      <c r="N9" s="25">
        <f>IF($B9="","",IFERROR(IF(INDEX(campaigns!$BE$2:$BE$51,MATCH($B9,campaigns!$A$2:$A$51,0))="","",INDEX(campaigns!$BE$2:$BE$51,MATCH($B9,campaigns!$A$2:$A$51,0))),""))</f>
        <v/>
      </c>
      <c r="O9" s="26">
        <f>IF(OR($A9="",$D9=""),"",IF($C9="founding_full",WORKDAY($D9,config!$B$27,calendar!$A$2:$A$80),$D9))</f>
        <v/>
      </c>
      <c r="P9" s="27">
        <f>IF($A9="","",N($E9)+N($F9))</f>
        <v/>
      </c>
      <c r="Q9" s="25">
        <f>IF($A9="","",IF($C9="credit_note",IF($H9&lt;&gt;"","refunded","credit applied"),IF($H9&lt;&gt;"",IF(N($I9)&gt;=$P9-0.005,"paid",IF(AND($C9="standard_balance",N($I9)+(-SUMPRODUCT((invoices!$B$2:$B$151=$B9)*(invoices!$C$2:$C$151="credit_note")*(LEN(invoices!$H$2:$H$151)=0)*invoices!$E$2:$E$151))&gt;=$P9-0.005),"paid (less credit)","part paid")),IF($D9="","draft",IF(IF(config!$B$37&lt;&gt;"",config!$B$37,TODAY())&gt;$O9,"overdue","sent")))))</f>
        <v/>
      </c>
      <c r="R9" s="25">
        <f>IF($A9="","",IF(OR($C9="founding_full",$C9="standard_deposit"),"Y","N"))</f>
        <v/>
      </c>
      <c r="S9" s="25">
        <f>IF($A9="","",IF(COUNTIF(invoices!$A$2:$A$151,$A9)&gt;1,"DUPLICATE invoice number; ","")&amp;IF(COUNTIF(campaigns!$A$2:$A$51,$B9)=0,"campaign_id missing or not on campaigns; ","")&amp;IF(AND($C9&lt;&gt;"credit_note",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lt;&gt;"",ABS(N($E9)-N(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gt;0.005),"amount differs from the price ("&amp;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amp;") - credit notes go on their own row; ","")&amp;IF(AND($C9="credit_note",N($E9)&gt;=0),"a credit note is negative; ","")&amp;IF(AND($H9&lt;&gt;"",N($I9)&gt;$P9+0.005,$C9&lt;&gt;"credit_note"),"paid more than the total; ","")&amp;IF(AND($H9&lt;&gt;"",$J9=""),"method?; ",""))</f>
        <v/>
      </c>
    </row>
    <row r="10">
      <c r="D10" s="9" t="n"/>
      <c r="E10" s="10" t="n"/>
      <c r="F10" s="10" t="n"/>
      <c r="H10" s="9" t="n"/>
      <c r="I10" s="10" t="n"/>
      <c r="L10" s="10" t="n"/>
      <c r="N10" s="25">
        <f>IF($B10="","",IFERROR(IF(INDEX(campaigns!$BE$2:$BE$51,MATCH($B10,campaigns!$A$2:$A$51,0))="","",INDEX(campaigns!$BE$2:$BE$51,MATCH($B10,campaigns!$A$2:$A$51,0))),""))</f>
        <v/>
      </c>
      <c r="O10" s="26">
        <f>IF(OR($A10="",$D10=""),"",IF($C10="founding_full",WORKDAY($D10,config!$B$27,calendar!$A$2:$A$80),$D10))</f>
        <v/>
      </c>
      <c r="P10" s="27">
        <f>IF($A10="","",N($E10)+N($F10))</f>
        <v/>
      </c>
      <c r="Q10" s="25">
        <f>IF($A10="","",IF($C10="credit_note",IF($H10&lt;&gt;"","refunded","credit applied"),IF($H10&lt;&gt;"",IF(N($I10)&gt;=$P10-0.005,"paid",IF(AND($C10="standard_balance",N($I10)+(-SUMPRODUCT((invoices!$B$2:$B$151=$B10)*(invoices!$C$2:$C$151="credit_note")*(LEN(invoices!$H$2:$H$151)=0)*invoices!$E$2:$E$151))&gt;=$P10-0.005),"paid (less credit)","part paid")),IF($D10="","draft",IF(IF(config!$B$37&lt;&gt;"",config!$B$37,TODAY())&gt;$O10,"overdue","sent")))))</f>
        <v/>
      </c>
      <c r="R10" s="25">
        <f>IF($A10="","",IF(OR($C10="founding_full",$C10="standard_deposit"),"Y","N"))</f>
        <v/>
      </c>
      <c r="S10" s="25">
        <f>IF($A10="","",IF(COUNTIF(invoices!$A$2:$A$151,$A10)&gt;1,"DUPLICATE invoice number; ","")&amp;IF(COUNTIF(campaigns!$A$2:$A$51,$B10)=0,"campaign_id missing or not on campaigns; ","")&amp;IF(AND($C10&lt;&gt;"credit_note",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lt;&gt;"",ABS(N($E10)-N(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gt;0.005),"amount differs from the price ("&amp;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amp;") - credit notes go on their own row; ","")&amp;IF(AND($C10="credit_note",N($E10)&gt;=0),"a credit note is negative; ","")&amp;IF(AND($H10&lt;&gt;"",N($I10)&gt;$P10+0.005,$C10&lt;&gt;"credit_note"),"paid more than the total; ","")&amp;IF(AND($H10&lt;&gt;"",$J10=""),"method?; ",""))</f>
        <v/>
      </c>
    </row>
    <row r="11">
      <c r="D11" s="9" t="n"/>
      <c r="E11" s="10" t="n"/>
      <c r="F11" s="10" t="n"/>
      <c r="H11" s="9" t="n"/>
      <c r="I11" s="10" t="n"/>
      <c r="L11" s="10" t="n"/>
      <c r="N11" s="25">
        <f>IF($B11="","",IFERROR(IF(INDEX(campaigns!$BE$2:$BE$51,MATCH($B11,campaigns!$A$2:$A$51,0))="","",INDEX(campaigns!$BE$2:$BE$51,MATCH($B11,campaigns!$A$2:$A$51,0))),""))</f>
        <v/>
      </c>
      <c r="O11" s="26">
        <f>IF(OR($A11="",$D11=""),"",IF($C11="founding_full",WORKDAY($D11,config!$B$27,calendar!$A$2:$A$80),$D11))</f>
        <v/>
      </c>
      <c r="P11" s="27">
        <f>IF($A11="","",N($E11)+N($F11))</f>
        <v/>
      </c>
      <c r="Q11" s="25">
        <f>IF($A11="","",IF($C11="credit_note",IF($H11&lt;&gt;"","refunded","credit applied"),IF($H11&lt;&gt;"",IF(N($I11)&gt;=$P11-0.005,"paid",IF(AND($C11="standard_balance",N($I11)+(-SUMPRODUCT((invoices!$B$2:$B$151=$B11)*(invoices!$C$2:$C$151="credit_note")*(LEN(invoices!$H$2:$H$151)=0)*invoices!$E$2:$E$151))&gt;=$P11-0.005),"paid (less credit)","part paid")),IF($D11="","draft",IF(IF(config!$B$37&lt;&gt;"",config!$B$37,TODAY())&gt;$O11,"overdue","sent")))))</f>
        <v/>
      </c>
      <c r="R11" s="25">
        <f>IF($A11="","",IF(OR($C11="founding_full",$C11="standard_deposit"),"Y","N"))</f>
        <v/>
      </c>
      <c r="S11" s="25">
        <f>IF($A11="","",IF(COUNTIF(invoices!$A$2:$A$151,$A11)&gt;1,"DUPLICATE invoice number; ","")&amp;IF(COUNTIF(campaigns!$A$2:$A$51,$B11)=0,"campaign_id missing or not on campaigns; ","")&amp;IF(AND($C11&lt;&gt;"credit_note",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lt;&gt;"",ABS(N($E11)-N(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gt;0.005),"amount differs from the price ("&amp;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amp;") - credit notes go on their own row; ","")&amp;IF(AND($C11="credit_note",N($E11)&gt;=0),"a credit note is negative; ","")&amp;IF(AND($H11&lt;&gt;"",N($I11)&gt;$P11+0.005,$C11&lt;&gt;"credit_note"),"paid more than the total; ","")&amp;IF(AND($H11&lt;&gt;"",$J11=""),"method?; ",""))</f>
        <v/>
      </c>
    </row>
    <row r="12">
      <c r="D12" s="9" t="n"/>
      <c r="E12" s="10" t="n"/>
      <c r="F12" s="10" t="n"/>
      <c r="H12" s="9" t="n"/>
      <c r="I12" s="10" t="n"/>
      <c r="L12" s="10" t="n"/>
      <c r="N12" s="25">
        <f>IF($B12="","",IFERROR(IF(INDEX(campaigns!$BE$2:$BE$51,MATCH($B12,campaigns!$A$2:$A$51,0))="","",INDEX(campaigns!$BE$2:$BE$51,MATCH($B12,campaigns!$A$2:$A$51,0))),""))</f>
        <v/>
      </c>
      <c r="O12" s="26">
        <f>IF(OR($A12="",$D12=""),"",IF($C12="founding_full",WORKDAY($D12,config!$B$27,calendar!$A$2:$A$80),$D12))</f>
        <v/>
      </c>
      <c r="P12" s="27">
        <f>IF($A12="","",N($E12)+N($F12))</f>
        <v/>
      </c>
      <c r="Q12" s="25">
        <f>IF($A12="","",IF($C12="credit_note",IF($H12&lt;&gt;"","refunded","credit applied"),IF($H12&lt;&gt;"",IF(N($I12)&gt;=$P12-0.005,"paid",IF(AND($C12="standard_balance",N($I12)+(-SUMPRODUCT((invoices!$B$2:$B$151=$B12)*(invoices!$C$2:$C$151="credit_note")*(LEN(invoices!$H$2:$H$151)=0)*invoices!$E$2:$E$151))&gt;=$P12-0.005),"paid (less credit)","part paid")),IF($D12="","draft",IF(IF(config!$B$37&lt;&gt;"",config!$B$37,TODAY())&gt;$O12,"overdue","sent")))))</f>
        <v/>
      </c>
      <c r="R12" s="25">
        <f>IF($A12="","",IF(OR($C12="founding_full",$C12="standard_deposit"),"Y","N"))</f>
        <v/>
      </c>
      <c r="S12" s="25">
        <f>IF($A12="","",IF(COUNTIF(invoices!$A$2:$A$151,$A12)&gt;1,"DUPLICATE invoice number; ","")&amp;IF(COUNTIF(campaigns!$A$2:$A$51,$B12)=0,"campaign_id missing or not on campaigns; ","")&amp;IF(AND($C12&lt;&gt;"credit_note",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lt;&gt;"",ABS(N($E12)-N(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gt;0.005),"amount differs from the price ("&amp;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amp;") - credit notes go on their own row; ","")&amp;IF(AND($C12="credit_note",N($E12)&gt;=0),"a credit note is negative; ","")&amp;IF(AND($H12&lt;&gt;"",N($I12)&gt;$P12+0.005,$C12&lt;&gt;"credit_note"),"paid more than the total; ","")&amp;IF(AND($H12&lt;&gt;"",$J12=""),"method?; ",""))</f>
        <v/>
      </c>
    </row>
    <row r="13">
      <c r="D13" s="9" t="n"/>
      <c r="E13" s="10" t="n"/>
      <c r="F13" s="10" t="n"/>
      <c r="H13" s="9" t="n"/>
      <c r="I13" s="10" t="n"/>
      <c r="L13" s="10" t="n"/>
      <c r="N13" s="25">
        <f>IF($B13="","",IFERROR(IF(INDEX(campaigns!$BE$2:$BE$51,MATCH($B13,campaigns!$A$2:$A$51,0))="","",INDEX(campaigns!$BE$2:$BE$51,MATCH($B13,campaigns!$A$2:$A$51,0))),""))</f>
        <v/>
      </c>
      <c r="O13" s="26">
        <f>IF(OR($A13="",$D13=""),"",IF($C13="founding_full",WORKDAY($D13,config!$B$27,calendar!$A$2:$A$80),$D13))</f>
        <v/>
      </c>
      <c r="P13" s="27">
        <f>IF($A13="","",N($E13)+N($F13))</f>
        <v/>
      </c>
      <c r="Q13" s="25">
        <f>IF($A13="","",IF($C13="credit_note",IF($H13&lt;&gt;"","refunded","credit applied"),IF($H13&lt;&gt;"",IF(N($I13)&gt;=$P13-0.005,"paid",IF(AND($C13="standard_balance",N($I13)+(-SUMPRODUCT((invoices!$B$2:$B$151=$B13)*(invoices!$C$2:$C$151="credit_note")*(LEN(invoices!$H$2:$H$151)=0)*invoices!$E$2:$E$151))&gt;=$P13-0.005),"paid (less credit)","part paid")),IF($D13="","draft",IF(IF(config!$B$37&lt;&gt;"",config!$B$37,TODAY())&gt;$O13,"overdue","sent")))))</f>
        <v/>
      </c>
      <c r="R13" s="25">
        <f>IF($A13="","",IF(OR($C13="founding_full",$C13="standard_deposit"),"Y","N"))</f>
        <v/>
      </c>
      <c r="S13" s="25">
        <f>IF($A13="","",IF(COUNTIF(invoices!$A$2:$A$151,$A13)&gt;1,"DUPLICATE invoice number; ","")&amp;IF(COUNTIF(campaigns!$A$2:$A$51,$B13)=0,"campaign_id missing or not on campaigns; ","")&amp;IF(AND($C13&lt;&gt;"credit_note",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lt;&gt;"",ABS(N($E13)-N(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gt;0.005),"amount differs from the price ("&amp;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amp;") - credit notes go on their own row; ","")&amp;IF(AND($C13="credit_note",N($E13)&gt;=0),"a credit note is negative; ","")&amp;IF(AND($H13&lt;&gt;"",N($I13)&gt;$P13+0.005,$C13&lt;&gt;"credit_note"),"paid more than the total; ","")&amp;IF(AND($H13&lt;&gt;"",$J13=""),"method?; ",""))</f>
        <v/>
      </c>
    </row>
    <row r="14">
      <c r="D14" s="9" t="n"/>
      <c r="E14" s="10" t="n"/>
      <c r="F14" s="10" t="n"/>
      <c r="H14" s="9" t="n"/>
      <c r="I14" s="10" t="n"/>
      <c r="L14" s="10" t="n"/>
      <c r="N14" s="25">
        <f>IF($B14="","",IFERROR(IF(INDEX(campaigns!$BE$2:$BE$51,MATCH($B14,campaigns!$A$2:$A$51,0))="","",INDEX(campaigns!$BE$2:$BE$51,MATCH($B14,campaigns!$A$2:$A$51,0))),""))</f>
        <v/>
      </c>
      <c r="O14" s="26">
        <f>IF(OR($A14="",$D14=""),"",IF($C14="founding_full",WORKDAY($D14,config!$B$27,calendar!$A$2:$A$80),$D14))</f>
        <v/>
      </c>
      <c r="P14" s="27">
        <f>IF($A14="","",N($E14)+N($F14))</f>
        <v/>
      </c>
      <c r="Q14" s="25">
        <f>IF($A14="","",IF($C14="credit_note",IF($H14&lt;&gt;"","refunded","credit applied"),IF($H14&lt;&gt;"",IF(N($I14)&gt;=$P14-0.005,"paid",IF(AND($C14="standard_balance",N($I14)+(-SUMPRODUCT((invoices!$B$2:$B$151=$B14)*(invoices!$C$2:$C$151="credit_note")*(LEN(invoices!$H$2:$H$151)=0)*invoices!$E$2:$E$151))&gt;=$P14-0.005),"paid (less credit)","part paid")),IF($D14="","draft",IF(IF(config!$B$37&lt;&gt;"",config!$B$37,TODAY())&gt;$O14,"overdue","sent")))))</f>
        <v/>
      </c>
      <c r="R14" s="25">
        <f>IF($A14="","",IF(OR($C14="founding_full",$C14="standard_deposit"),"Y","N"))</f>
        <v/>
      </c>
      <c r="S14" s="25">
        <f>IF($A14="","",IF(COUNTIF(invoices!$A$2:$A$151,$A14)&gt;1,"DUPLICATE invoice number; ","")&amp;IF(COUNTIF(campaigns!$A$2:$A$51,$B14)=0,"campaign_id missing or not on campaigns; ","")&amp;IF(AND($C14&lt;&gt;"credit_note",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lt;&gt;"",ABS(N($E14)-N(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gt;0.005),"amount differs from the price ("&amp;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amp;") - credit notes go on their own row; ","")&amp;IF(AND($C14="credit_note",N($E14)&gt;=0),"a credit note is negative; ","")&amp;IF(AND($H14&lt;&gt;"",N($I14)&gt;$P14+0.005,$C14&lt;&gt;"credit_note"),"paid more than the total; ","")&amp;IF(AND($H14&lt;&gt;"",$J14=""),"method?; ",""))</f>
        <v/>
      </c>
    </row>
    <row r="15">
      <c r="D15" s="9" t="n"/>
      <c r="E15" s="10" t="n"/>
      <c r="F15" s="10" t="n"/>
      <c r="H15" s="9" t="n"/>
      <c r="I15" s="10" t="n"/>
      <c r="L15" s="10" t="n"/>
      <c r="N15" s="25">
        <f>IF($B15="","",IFERROR(IF(INDEX(campaigns!$BE$2:$BE$51,MATCH($B15,campaigns!$A$2:$A$51,0))="","",INDEX(campaigns!$BE$2:$BE$51,MATCH($B15,campaigns!$A$2:$A$51,0))),""))</f>
        <v/>
      </c>
      <c r="O15" s="26">
        <f>IF(OR($A15="",$D15=""),"",IF($C15="founding_full",WORKDAY($D15,config!$B$27,calendar!$A$2:$A$80),$D15))</f>
        <v/>
      </c>
      <c r="P15" s="27">
        <f>IF($A15="","",N($E15)+N($F15))</f>
        <v/>
      </c>
      <c r="Q15" s="25">
        <f>IF($A15="","",IF($C15="credit_note",IF($H15&lt;&gt;"","refunded","credit applied"),IF($H15&lt;&gt;"",IF(N($I15)&gt;=$P15-0.005,"paid",IF(AND($C15="standard_balance",N($I15)+(-SUMPRODUCT((invoices!$B$2:$B$151=$B15)*(invoices!$C$2:$C$151="credit_note")*(LEN(invoices!$H$2:$H$151)=0)*invoices!$E$2:$E$151))&gt;=$P15-0.005),"paid (less credit)","part paid")),IF($D15="","draft",IF(IF(config!$B$37&lt;&gt;"",config!$B$37,TODAY())&gt;$O15,"overdue","sent")))))</f>
        <v/>
      </c>
      <c r="R15" s="25">
        <f>IF($A15="","",IF(OR($C15="founding_full",$C15="standard_deposit"),"Y","N"))</f>
        <v/>
      </c>
      <c r="S15" s="25">
        <f>IF($A15="","",IF(COUNTIF(invoices!$A$2:$A$151,$A15)&gt;1,"DUPLICATE invoice number; ","")&amp;IF(COUNTIF(campaigns!$A$2:$A$51,$B15)=0,"campaign_id missing or not on campaigns; ","")&amp;IF(AND($C15&lt;&gt;"credit_note",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lt;&gt;"",ABS(N($E15)-N(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gt;0.005),"amount differs from the price ("&amp;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amp;") - credit notes go on their own row; ","")&amp;IF(AND($C15="credit_note",N($E15)&gt;=0),"a credit note is negative; ","")&amp;IF(AND($H15&lt;&gt;"",N($I15)&gt;$P15+0.005,$C15&lt;&gt;"credit_note"),"paid more than the total; ","")&amp;IF(AND($H15&lt;&gt;"",$J15=""),"method?; ",""))</f>
        <v/>
      </c>
    </row>
    <row r="16">
      <c r="D16" s="9" t="n"/>
      <c r="E16" s="10" t="n"/>
      <c r="F16" s="10" t="n"/>
      <c r="H16" s="9" t="n"/>
      <c r="I16" s="10" t="n"/>
      <c r="L16" s="10" t="n"/>
      <c r="N16" s="25">
        <f>IF($B16="","",IFERROR(IF(INDEX(campaigns!$BE$2:$BE$51,MATCH($B16,campaigns!$A$2:$A$51,0))="","",INDEX(campaigns!$BE$2:$BE$51,MATCH($B16,campaigns!$A$2:$A$51,0))),""))</f>
        <v/>
      </c>
      <c r="O16" s="26">
        <f>IF(OR($A16="",$D16=""),"",IF($C16="founding_full",WORKDAY($D16,config!$B$27,calendar!$A$2:$A$80),$D16))</f>
        <v/>
      </c>
      <c r="P16" s="27">
        <f>IF($A16="","",N($E16)+N($F16))</f>
        <v/>
      </c>
      <c r="Q16" s="25">
        <f>IF($A16="","",IF($C16="credit_note",IF($H16&lt;&gt;"","refunded","credit applied"),IF($H16&lt;&gt;"",IF(N($I16)&gt;=$P16-0.005,"paid",IF(AND($C16="standard_balance",N($I16)+(-SUMPRODUCT((invoices!$B$2:$B$151=$B16)*(invoices!$C$2:$C$151="credit_note")*(LEN(invoices!$H$2:$H$151)=0)*invoices!$E$2:$E$151))&gt;=$P16-0.005),"paid (less credit)","part paid")),IF($D16="","draft",IF(IF(config!$B$37&lt;&gt;"",config!$B$37,TODAY())&gt;$O16,"overdue","sent")))))</f>
        <v/>
      </c>
      <c r="R16" s="25">
        <f>IF($A16="","",IF(OR($C16="founding_full",$C16="standard_deposit"),"Y","N"))</f>
        <v/>
      </c>
      <c r="S16" s="25">
        <f>IF($A16="","",IF(COUNTIF(invoices!$A$2:$A$151,$A16)&gt;1,"DUPLICATE invoice number; ","")&amp;IF(COUNTIF(campaigns!$A$2:$A$51,$B16)=0,"campaign_id missing or not on campaigns; ","")&amp;IF(AND($C16&lt;&gt;"credit_note",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lt;&gt;"",ABS(N($E16)-N(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gt;0.005),"amount differs from the price ("&amp;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amp;") - credit notes go on their own row; ","")&amp;IF(AND($C16="credit_note",N($E16)&gt;=0),"a credit note is negative; ","")&amp;IF(AND($H16&lt;&gt;"",N($I16)&gt;$P16+0.005,$C16&lt;&gt;"credit_note"),"paid more than the total; ","")&amp;IF(AND($H16&lt;&gt;"",$J16=""),"method?; ",""))</f>
        <v/>
      </c>
    </row>
    <row r="17">
      <c r="D17" s="9" t="n"/>
      <c r="E17" s="10" t="n"/>
      <c r="F17" s="10" t="n"/>
      <c r="H17" s="9" t="n"/>
      <c r="I17" s="10" t="n"/>
      <c r="L17" s="10" t="n"/>
      <c r="N17" s="25">
        <f>IF($B17="","",IFERROR(IF(INDEX(campaigns!$BE$2:$BE$51,MATCH($B17,campaigns!$A$2:$A$51,0))="","",INDEX(campaigns!$BE$2:$BE$51,MATCH($B17,campaigns!$A$2:$A$51,0))),""))</f>
        <v/>
      </c>
      <c r="O17" s="26">
        <f>IF(OR($A17="",$D17=""),"",IF($C17="founding_full",WORKDAY($D17,config!$B$27,calendar!$A$2:$A$80),$D17))</f>
        <v/>
      </c>
      <c r="P17" s="27">
        <f>IF($A17="","",N($E17)+N($F17))</f>
        <v/>
      </c>
      <c r="Q17" s="25">
        <f>IF($A17="","",IF($C17="credit_note",IF($H17&lt;&gt;"","refunded","credit applied"),IF($H17&lt;&gt;"",IF(N($I17)&gt;=$P17-0.005,"paid",IF(AND($C17="standard_balance",N($I17)+(-SUMPRODUCT((invoices!$B$2:$B$151=$B17)*(invoices!$C$2:$C$151="credit_note")*(LEN(invoices!$H$2:$H$151)=0)*invoices!$E$2:$E$151))&gt;=$P17-0.005),"paid (less credit)","part paid")),IF($D17="","draft",IF(IF(config!$B$37&lt;&gt;"",config!$B$37,TODAY())&gt;$O17,"overdue","sent")))))</f>
        <v/>
      </c>
      <c r="R17" s="25">
        <f>IF($A17="","",IF(OR($C17="founding_full",$C17="standard_deposit"),"Y","N"))</f>
        <v/>
      </c>
      <c r="S17" s="25">
        <f>IF($A17="","",IF(COUNTIF(invoices!$A$2:$A$151,$A17)&gt;1,"DUPLICATE invoice number; ","")&amp;IF(COUNTIF(campaigns!$A$2:$A$51,$B17)=0,"campaign_id missing or not on campaigns; ","")&amp;IF(AND($C17&lt;&gt;"credit_note",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lt;&gt;"",ABS(N($E17)-N(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gt;0.005),"amount differs from the price ("&amp;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amp;") - credit notes go on their own row; ","")&amp;IF(AND($C17="credit_note",N($E17)&gt;=0),"a credit note is negative; ","")&amp;IF(AND($H17&lt;&gt;"",N($I17)&gt;$P17+0.005,$C17&lt;&gt;"credit_note"),"paid more than the total; ","")&amp;IF(AND($H17&lt;&gt;"",$J17=""),"method?; ",""))</f>
        <v/>
      </c>
    </row>
    <row r="18">
      <c r="D18" s="9" t="n"/>
      <c r="E18" s="10" t="n"/>
      <c r="F18" s="10" t="n"/>
      <c r="H18" s="9" t="n"/>
      <c r="I18" s="10" t="n"/>
      <c r="L18" s="10" t="n"/>
      <c r="N18" s="25">
        <f>IF($B18="","",IFERROR(IF(INDEX(campaigns!$BE$2:$BE$51,MATCH($B18,campaigns!$A$2:$A$51,0))="","",INDEX(campaigns!$BE$2:$BE$51,MATCH($B18,campaigns!$A$2:$A$51,0))),""))</f>
        <v/>
      </c>
      <c r="O18" s="26">
        <f>IF(OR($A18="",$D18=""),"",IF($C18="founding_full",WORKDAY($D18,config!$B$27,calendar!$A$2:$A$80),$D18))</f>
        <v/>
      </c>
      <c r="P18" s="27">
        <f>IF($A18="","",N($E18)+N($F18))</f>
        <v/>
      </c>
      <c r="Q18" s="25">
        <f>IF($A18="","",IF($C18="credit_note",IF($H18&lt;&gt;"","refunded","credit applied"),IF($H18&lt;&gt;"",IF(N($I18)&gt;=$P18-0.005,"paid",IF(AND($C18="standard_balance",N($I18)+(-SUMPRODUCT((invoices!$B$2:$B$151=$B18)*(invoices!$C$2:$C$151="credit_note")*(LEN(invoices!$H$2:$H$151)=0)*invoices!$E$2:$E$151))&gt;=$P18-0.005),"paid (less credit)","part paid")),IF($D18="","draft",IF(IF(config!$B$37&lt;&gt;"",config!$B$37,TODAY())&gt;$O18,"overdue","sent")))))</f>
        <v/>
      </c>
      <c r="R18" s="25">
        <f>IF($A18="","",IF(OR($C18="founding_full",$C18="standard_deposit"),"Y","N"))</f>
        <v/>
      </c>
      <c r="S18" s="25">
        <f>IF($A18="","",IF(COUNTIF(invoices!$A$2:$A$151,$A18)&gt;1,"DUPLICATE invoice number; ","")&amp;IF(COUNTIF(campaigns!$A$2:$A$51,$B18)=0,"campaign_id missing or not on campaigns; ","")&amp;IF(AND($C18&lt;&gt;"credit_note",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lt;&gt;"",ABS(N($E18)-N(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gt;0.005),"amount differs from the price ("&amp;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amp;") - credit notes go on their own row; ","")&amp;IF(AND($C18="credit_note",N($E18)&gt;=0),"a credit note is negative; ","")&amp;IF(AND($H18&lt;&gt;"",N($I18)&gt;$P18+0.005,$C18&lt;&gt;"credit_note"),"paid more than the total; ","")&amp;IF(AND($H18&lt;&gt;"",$J18=""),"method?; ",""))</f>
        <v/>
      </c>
    </row>
    <row r="19">
      <c r="D19" s="9" t="n"/>
      <c r="E19" s="10" t="n"/>
      <c r="F19" s="10" t="n"/>
      <c r="H19" s="9" t="n"/>
      <c r="I19" s="10" t="n"/>
      <c r="L19" s="10" t="n"/>
      <c r="N19" s="25">
        <f>IF($B19="","",IFERROR(IF(INDEX(campaigns!$BE$2:$BE$51,MATCH($B19,campaigns!$A$2:$A$51,0))="","",INDEX(campaigns!$BE$2:$BE$51,MATCH($B19,campaigns!$A$2:$A$51,0))),""))</f>
        <v/>
      </c>
      <c r="O19" s="26">
        <f>IF(OR($A19="",$D19=""),"",IF($C19="founding_full",WORKDAY($D19,config!$B$27,calendar!$A$2:$A$80),$D19))</f>
        <v/>
      </c>
      <c r="P19" s="27">
        <f>IF($A19="","",N($E19)+N($F19))</f>
        <v/>
      </c>
      <c r="Q19" s="25">
        <f>IF($A19="","",IF($C19="credit_note",IF($H19&lt;&gt;"","refunded","credit applied"),IF($H19&lt;&gt;"",IF(N($I19)&gt;=$P19-0.005,"paid",IF(AND($C19="standard_balance",N($I19)+(-SUMPRODUCT((invoices!$B$2:$B$151=$B19)*(invoices!$C$2:$C$151="credit_note")*(LEN(invoices!$H$2:$H$151)=0)*invoices!$E$2:$E$151))&gt;=$P19-0.005),"paid (less credit)","part paid")),IF($D19="","draft",IF(IF(config!$B$37&lt;&gt;"",config!$B$37,TODAY())&gt;$O19,"overdue","sent")))))</f>
        <v/>
      </c>
      <c r="R19" s="25">
        <f>IF($A19="","",IF(OR($C19="founding_full",$C19="standard_deposit"),"Y","N"))</f>
        <v/>
      </c>
      <c r="S19" s="25">
        <f>IF($A19="","",IF(COUNTIF(invoices!$A$2:$A$151,$A19)&gt;1,"DUPLICATE invoice number; ","")&amp;IF(COUNTIF(campaigns!$A$2:$A$51,$B19)=0,"campaign_id missing or not on campaigns; ","")&amp;IF(AND($C19&lt;&gt;"credit_note",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lt;&gt;"",ABS(N($E19)-N(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gt;0.005),"amount differs from the price ("&amp;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amp;") - credit notes go on their own row; ","")&amp;IF(AND($C19="credit_note",N($E19)&gt;=0),"a credit note is negative; ","")&amp;IF(AND($H19&lt;&gt;"",N($I19)&gt;$P19+0.005,$C19&lt;&gt;"credit_note"),"paid more than the total; ","")&amp;IF(AND($H19&lt;&gt;"",$J19=""),"method?; ",""))</f>
        <v/>
      </c>
    </row>
    <row r="20">
      <c r="D20" s="9" t="n"/>
      <c r="E20" s="10" t="n"/>
      <c r="F20" s="10" t="n"/>
      <c r="H20" s="9" t="n"/>
      <c r="I20" s="10" t="n"/>
      <c r="L20" s="10" t="n"/>
      <c r="N20" s="25">
        <f>IF($B20="","",IFERROR(IF(INDEX(campaigns!$BE$2:$BE$51,MATCH($B20,campaigns!$A$2:$A$51,0))="","",INDEX(campaigns!$BE$2:$BE$51,MATCH($B20,campaigns!$A$2:$A$51,0))),""))</f>
        <v/>
      </c>
      <c r="O20" s="26">
        <f>IF(OR($A20="",$D20=""),"",IF($C20="founding_full",WORKDAY($D20,config!$B$27,calendar!$A$2:$A$80),$D20))</f>
        <v/>
      </c>
      <c r="P20" s="27">
        <f>IF($A20="","",N($E20)+N($F20))</f>
        <v/>
      </c>
      <c r="Q20" s="25">
        <f>IF($A20="","",IF($C20="credit_note",IF($H20&lt;&gt;"","refunded","credit applied"),IF($H20&lt;&gt;"",IF(N($I20)&gt;=$P20-0.005,"paid",IF(AND($C20="standard_balance",N($I20)+(-SUMPRODUCT((invoices!$B$2:$B$151=$B20)*(invoices!$C$2:$C$151="credit_note")*(LEN(invoices!$H$2:$H$151)=0)*invoices!$E$2:$E$151))&gt;=$P20-0.005),"paid (less credit)","part paid")),IF($D20="","draft",IF(IF(config!$B$37&lt;&gt;"",config!$B$37,TODAY())&gt;$O20,"overdue","sent")))))</f>
        <v/>
      </c>
      <c r="R20" s="25">
        <f>IF($A20="","",IF(OR($C20="founding_full",$C20="standard_deposit"),"Y","N"))</f>
        <v/>
      </c>
      <c r="S20" s="25">
        <f>IF($A20="","",IF(COUNTIF(invoices!$A$2:$A$151,$A20)&gt;1,"DUPLICATE invoice number; ","")&amp;IF(COUNTIF(campaigns!$A$2:$A$51,$B20)=0,"campaign_id missing or not on campaigns; ","")&amp;IF(AND($C20&lt;&gt;"credit_note",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lt;&gt;"",ABS(N($E20)-N(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gt;0.005),"amount differs from the price ("&amp;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amp;") - credit notes go on their own row; ","")&amp;IF(AND($C20="credit_note",N($E20)&gt;=0),"a credit note is negative; ","")&amp;IF(AND($H20&lt;&gt;"",N($I20)&gt;$P20+0.005,$C20&lt;&gt;"credit_note"),"paid more than the total; ","")&amp;IF(AND($H20&lt;&gt;"",$J20=""),"method?; ",""))</f>
        <v/>
      </c>
    </row>
    <row r="21">
      <c r="D21" s="9" t="n"/>
      <c r="E21" s="10" t="n"/>
      <c r="F21" s="10" t="n"/>
      <c r="H21" s="9" t="n"/>
      <c r="I21" s="10" t="n"/>
      <c r="L21" s="10" t="n"/>
      <c r="N21" s="25">
        <f>IF($B21="","",IFERROR(IF(INDEX(campaigns!$BE$2:$BE$51,MATCH($B21,campaigns!$A$2:$A$51,0))="","",INDEX(campaigns!$BE$2:$BE$51,MATCH($B21,campaigns!$A$2:$A$51,0))),""))</f>
        <v/>
      </c>
      <c r="O21" s="26">
        <f>IF(OR($A21="",$D21=""),"",IF($C21="founding_full",WORKDAY($D21,config!$B$27,calendar!$A$2:$A$80),$D21))</f>
        <v/>
      </c>
      <c r="P21" s="27">
        <f>IF($A21="","",N($E21)+N($F21))</f>
        <v/>
      </c>
      <c r="Q21" s="25">
        <f>IF($A21="","",IF($C21="credit_note",IF($H21&lt;&gt;"","refunded","credit applied"),IF($H21&lt;&gt;"",IF(N($I21)&gt;=$P21-0.005,"paid",IF(AND($C21="standard_balance",N($I21)+(-SUMPRODUCT((invoices!$B$2:$B$151=$B21)*(invoices!$C$2:$C$151="credit_note")*(LEN(invoices!$H$2:$H$151)=0)*invoices!$E$2:$E$151))&gt;=$P21-0.005),"paid (less credit)","part paid")),IF($D21="","draft",IF(IF(config!$B$37&lt;&gt;"",config!$B$37,TODAY())&gt;$O21,"overdue","sent")))))</f>
        <v/>
      </c>
      <c r="R21" s="25">
        <f>IF($A21="","",IF(OR($C21="founding_full",$C21="standard_deposit"),"Y","N"))</f>
        <v/>
      </c>
      <c r="S21" s="25">
        <f>IF($A21="","",IF(COUNTIF(invoices!$A$2:$A$151,$A21)&gt;1,"DUPLICATE invoice number; ","")&amp;IF(COUNTIF(campaigns!$A$2:$A$51,$B21)=0,"campaign_id missing or not on campaigns; ","")&amp;IF(AND($C21&lt;&gt;"credit_note",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lt;&gt;"",ABS(N($E21)-N(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gt;0.005),"amount differs from the price ("&amp;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amp;") - credit notes go on their own row; ","")&amp;IF(AND($C21="credit_note",N($E21)&gt;=0),"a credit note is negative; ","")&amp;IF(AND($H21&lt;&gt;"",N($I21)&gt;$P21+0.005,$C21&lt;&gt;"credit_note"),"paid more than the total; ","")&amp;IF(AND($H21&lt;&gt;"",$J21=""),"method?; ",""))</f>
        <v/>
      </c>
    </row>
    <row r="22">
      <c r="D22" s="9" t="n"/>
      <c r="E22" s="10" t="n"/>
      <c r="F22" s="10" t="n"/>
      <c r="H22" s="9" t="n"/>
      <c r="I22" s="10" t="n"/>
      <c r="L22" s="10" t="n"/>
      <c r="N22" s="25">
        <f>IF($B22="","",IFERROR(IF(INDEX(campaigns!$BE$2:$BE$51,MATCH($B22,campaigns!$A$2:$A$51,0))="","",INDEX(campaigns!$BE$2:$BE$51,MATCH($B22,campaigns!$A$2:$A$51,0))),""))</f>
        <v/>
      </c>
      <c r="O22" s="26">
        <f>IF(OR($A22="",$D22=""),"",IF($C22="founding_full",WORKDAY($D22,config!$B$27,calendar!$A$2:$A$80),$D22))</f>
        <v/>
      </c>
      <c r="P22" s="27">
        <f>IF($A22="","",N($E22)+N($F22))</f>
        <v/>
      </c>
      <c r="Q22" s="25">
        <f>IF($A22="","",IF($C22="credit_note",IF($H22&lt;&gt;"","refunded","credit applied"),IF($H22&lt;&gt;"",IF(N($I22)&gt;=$P22-0.005,"paid",IF(AND($C22="standard_balance",N($I22)+(-SUMPRODUCT((invoices!$B$2:$B$151=$B22)*(invoices!$C$2:$C$151="credit_note")*(LEN(invoices!$H$2:$H$151)=0)*invoices!$E$2:$E$151))&gt;=$P22-0.005),"paid (less credit)","part paid")),IF($D22="","draft",IF(IF(config!$B$37&lt;&gt;"",config!$B$37,TODAY())&gt;$O22,"overdue","sent")))))</f>
        <v/>
      </c>
      <c r="R22" s="25">
        <f>IF($A22="","",IF(OR($C22="founding_full",$C22="standard_deposit"),"Y","N"))</f>
        <v/>
      </c>
      <c r="S22" s="25">
        <f>IF($A22="","",IF(COUNTIF(invoices!$A$2:$A$151,$A22)&gt;1,"DUPLICATE invoice number; ","")&amp;IF(COUNTIF(campaigns!$A$2:$A$51,$B22)=0,"campaign_id missing or not on campaigns; ","")&amp;IF(AND($C22&lt;&gt;"credit_note",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lt;&gt;"",ABS(N($E22)-N(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gt;0.005),"amount differs from the price ("&amp;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amp;") - credit notes go on their own row; ","")&amp;IF(AND($C22="credit_note",N($E22)&gt;=0),"a credit note is negative; ","")&amp;IF(AND($H22&lt;&gt;"",N($I22)&gt;$P22+0.005,$C22&lt;&gt;"credit_note"),"paid more than the total; ","")&amp;IF(AND($H22&lt;&gt;"",$J22=""),"method?; ",""))</f>
        <v/>
      </c>
    </row>
    <row r="23">
      <c r="D23" s="9" t="n"/>
      <c r="E23" s="10" t="n"/>
      <c r="F23" s="10" t="n"/>
      <c r="H23" s="9" t="n"/>
      <c r="I23" s="10" t="n"/>
      <c r="L23" s="10" t="n"/>
      <c r="N23" s="25">
        <f>IF($B23="","",IFERROR(IF(INDEX(campaigns!$BE$2:$BE$51,MATCH($B23,campaigns!$A$2:$A$51,0))="","",INDEX(campaigns!$BE$2:$BE$51,MATCH($B23,campaigns!$A$2:$A$51,0))),""))</f>
        <v/>
      </c>
      <c r="O23" s="26">
        <f>IF(OR($A23="",$D23=""),"",IF($C23="founding_full",WORKDAY($D23,config!$B$27,calendar!$A$2:$A$80),$D23))</f>
        <v/>
      </c>
      <c r="P23" s="27">
        <f>IF($A23="","",N($E23)+N($F23))</f>
        <v/>
      </c>
      <c r="Q23" s="25">
        <f>IF($A23="","",IF($C23="credit_note",IF($H23&lt;&gt;"","refunded","credit applied"),IF($H23&lt;&gt;"",IF(N($I23)&gt;=$P23-0.005,"paid",IF(AND($C23="standard_balance",N($I23)+(-SUMPRODUCT((invoices!$B$2:$B$151=$B23)*(invoices!$C$2:$C$151="credit_note")*(LEN(invoices!$H$2:$H$151)=0)*invoices!$E$2:$E$151))&gt;=$P23-0.005),"paid (less credit)","part paid")),IF($D23="","draft",IF(IF(config!$B$37&lt;&gt;"",config!$B$37,TODAY())&gt;$O23,"overdue","sent")))))</f>
        <v/>
      </c>
      <c r="R23" s="25">
        <f>IF($A23="","",IF(OR($C23="founding_full",$C23="standard_deposit"),"Y","N"))</f>
        <v/>
      </c>
      <c r="S23" s="25">
        <f>IF($A23="","",IF(COUNTIF(invoices!$A$2:$A$151,$A23)&gt;1,"DUPLICATE invoice number; ","")&amp;IF(COUNTIF(campaigns!$A$2:$A$51,$B23)=0,"campaign_id missing or not on campaigns; ","")&amp;IF(AND($C23&lt;&gt;"credit_note",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lt;&gt;"",ABS(N($E23)-N(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gt;0.005),"amount differs from the price ("&amp;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amp;") - credit notes go on their own row; ","")&amp;IF(AND($C23="credit_note",N($E23)&gt;=0),"a credit note is negative; ","")&amp;IF(AND($H23&lt;&gt;"",N($I23)&gt;$P23+0.005,$C23&lt;&gt;"credit_note"),"paid more than the total; ","")&amp;IF(AND($H23&lt;&gt;"",$J23=""),"method?; ",""))</f>
        <v/>
      </c>
    </row>
    <row r="24">
      <c r="D24" s="9" t="n"/>
      <c r="E24" s="10" t="n"/>
      <c r="F24" s="10" t="n"/>
      <c r="H24" s="9" t="n"/>
      <c r="I24" s="10" t="n"/>
      <c r="L24" s="10" t="n"/>
      <c r="N24" s="25">
        <f>IF($B24="","",IFERROR(IF(INDEX(campaigns!$BE$2:$BE$51,MATCH($B24,campaigns!$A$2:$A$51,0))="","",INDEX(campaigns!$BE$2:$BE$51,MATCH($B24,campaigns!$A$2:$A$51,0))),""))</f>
        <v/>
      </c>
      <c r="O24" s="26">
        <f>IF(OR($A24="",$D24=""),"",IF($C24="founding_full",WORKDAY($D24,config!$B$27,calendar!$A$2:$A$80),$D24))</f>
        <v/>
      </c>
      <c r="P24" s="27">
        <f>IF($A24="","",N($E24)+N($F24))</f>
        <v/>
      </c>
      <c r="Q24" s="25">
        <f>IF($A24="","",IF($C24="credit_note",IF($H24&lt;&gt;"","refunded","credit applied"),IF($H24&lt;&gt;"",IF(N($I24)&gt;=$P24-0.005,"paid",IF(AND($C24="standard_balance",N($I24)+(-SUMPRODUCT((invoices!$B$2:$B$151=$B24)*(invoices!$C$2:$C$151="credit_note")*(LEN(invoices!$H$2:$H$151)=0)*invoices!$E$2:$E$151))&gt;=$P24-0.005),"paid (less credit)","part paid")),IF($D24="","draft",IF(IF(config!$B$37&lt;&gt;"",config!$B$37,TODAY())&gt;$O24,"overdue","sent")))))</f>
        <v/>
      </c>
      <c r="R24" s="25">
        <f>IF($A24="","",IF(OR($C24="founding_full",$C24="standard_deposit"),"Y","N"))</f>
        <v/>
      </c>
      <c r="S24" s="25">
        <f>IF($A24="","",IF(COUNTIF(invoices!$A$2:$A$151,$A24)&gt;1,"DUPLICATE invoice number; ","")&amp;IF(COUNTIF(campaigns!$A$2:$A$51,$B24)=0,"campaign_id missing or not on campaigns; ","")&amp;IF(AND($C24&lt;&gt;"credit_note",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lt;&gt;"",ABS(N($E24)-N(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gt;0.005),"amount differs from the price ("&amp;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amp;") - credit notes go on their own row; ","")&amp;IF(AND($C24="credit_note",N($E24)&gt;=0),"a credit note is negative; ","")&amp;IF(AND($H24&lt;&gt;"",N($I24)&gt;$P24+0.005,$C24&lt;&gt;"credit_note"),"paid more than the total; ","")&amp;IF(AND($H24&lt;&gt;"",$J24=""),"method?; ",""))</f>
        <v/>
      </c>
    </row>
    <row r="25">
      <c r="D25" s="9" t="n"/>
      <c r="E25" s="10" t="n"/>
      <c r="F25" s="10" t="n"/>
      <c r="H25" s="9" t="n"/>
      <c r="I25" s="10" t="n"/>
      <c r="L25" s="10" t="n"/>
      <c r="N25" s="25">
        <f>IF($B25="","",IFERROR(IF(INDEX(campaigns!$BE$2:$BE$51,MATCH($B25,campaigns!$A$2:$A$51,0))="","",INDEX(campaigns!$BE$2:$BE$51,MATCH($B25,campaigns!$A$2:$A$51,0))),""))</f>
        <v/>
      </c>
      <c r="O25" s="26">
        <f>IF(OR($A25="",$D25=""),"",IF($C25="founding_full",WORKDAY($D25,config!$B$27,calendar!$A$2:$A$80),$D25))</f>
        <v/>
      </c>
      <c r="P25" s="27">
        <f>IF($A25="","",N($E25)+N($F25))</f>
        <v/>
      </c>
      <c r="Q25" s="25">
        <f>IF($A25="","",IF($C25="credit_note",IF($H25&lt;&gt;"","refunded","credit applied"),IF($H25&lt;&gt;"",IF(N($I25)&gt;=$P25-0.005,"paid",IF(AND($C25="standard_balance",N($I25)+(-SUMPRODUCT((invoices!$B$2:$B$151=$B25)*(invoices!$C$2:$C$151="credit_note")*(LEN(invoices!$H$2:$H$151)=0)*invoices!$E$2:$E$151))&gt;=$P25-0.005),"paid (less credit)","part paid")),IF($D25="","draft",IF(IF(config!$B$37&lt;&gt;"",config!$B$37,TODAY())&gt;$O25,"overdue","sent")))))</f>
        <v/>
      </c>
      <c r="R25" s="25">
        <f>IF($A25="","",IF(OR($C25="founding_full",$C25="standard_deposit"),"Y","N"))</f>
        <v/>
      </c>
      <c r="S25" s="25">
        <f>IF($A25="","",IF(COUNTIF(invoices!$A$2:$A$151,$A25)&gt;1,"DUPLICATE invoice number; ","")&amp;IF(COUNTIF(campaigns!$A$2:$A$51,$B25)=0,"campaign_id missing or not on campaigns; ","")&amp;IF(AND($C25&lt;&gt;"credit_note",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lt;&gt;"",ABS(N($E25)-N(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gt;0.005),"amount differs from the price ("&amp;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amp;") - credit notes go on their own row; ","")&amp;IF(AND($C25="credit_note",N($E25)&gt;=0),"a credit note is negative; ","")&amp;IF(AND($H25&lt;&gt;"",N($I25)&gt;$P25+0.005,$C25&lt;&gt;"credit_note"),"paid more than the total; ","")&amp;IF(AND($H25&lt;&gt;"",$J25=""),"method?; ",""))</f>
        <v/>
      </c>
    </row>
    <row r="26">
      <c r="D26" s="9" t="n"/>
      <c r="E26" s="10" t="n"/>
      <c r="F26" s="10" t="n"/>
      <c r="H26" s="9" t="n"/>
      <c r="I26" s="10" t="n"/>
      <c r="L26" s="10" t="n"/>
      <c r="N26" s="25">
        <f>IF($B26="","",IFERROR(IF(INDEX(campaigns!$BE$2:$BE$51,MATCH($B26,campaigns!$A$2:$A$51,0))="","",INDEX(campaigns!$BE$2:$BE$51,MATCH($B26,campaigns!$A$2:$A$51,0))),""))</f>
        <v/>
      </c>
      <c r="O26" s="26">
        <f>IF(OR($A26="",$D26=""),"",IF($C26="founding_full",WORKDAY($D26,config!$B$27,calendar!$A$2:$A$80),$D26))</f>
        <v/>
      </c>
      <c r="P26" s="27">
        <f>IF($A26="","",N($E26)+N($F26))</f>
        <v/>
      </c>
      <c r="Q26" s="25">
        <f>IF($A26="","",IF($C26="credit_note",IF($H26&lt;&gt;"","refunded","credit applied"),IF($H26&lt;&gt;"",IF(N($I26)&gt;=$P26-0.005,"paid",IF(AND($C26="standard_balance",N($I26)+(-SUMPRODUCT((invoices!$B$2:$B$151=$B26)*(invoices!$C$2:$C$151="credit_note")*(LEN(invoices!$H$2:$H$151)=0)*invoices!$E$2:$E$151))&gt;=$P26-0.005),"paid (less credit)","part paid")),IF($D26="","draft",IF(IF(config!$B$37&lt;&gt;"",config!$B$37,TODAY())&gt;$O26,"overdue","sent")))))</f>
        <v/>
      </c>
      <c r="R26" s="25">
        <f>IF($A26="","",IF(OR($C26="founding_full",$C26="standard_deposit"),"Y","N"))</f>
        <v/>
      </c>
      <c r="S26" s="25">
        <f>IF($A26="","",IF(COUNTIF(invoices!$A$2:$A$151,$A26)&gt;1,"DUPLICATE invoice number; ","")&amp;IF(COUNTIF(campaigns!$A$2:$A$51,$B26)=0,"campaign_id missing or not on campaigns; ","")&amp;IF(AND($C26&lt;&gt;"credit_note",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lt;&gt;"",ABS(N($E26)-N(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gt;0.005),"amount differs from the price ("&amp;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amp;") - credit notes go on their own row; ","")&amp;IF(AND($C26="credit_note",N($E26)&gt;=0),"a credit note is negative; ","")&amp;IF(AND($H26&lt;&gt;"",N($I26)&gt;$P26+0.005,$C26&lt;&gt;"credit_note"),"paid more than the total; ","")&amp;IF(AND($H26&lt;&gt;"",$J26=""),"method?; ",""))</f>
        <v/>
      </c>
    </row>
    <row r="27">
      <c r="D27" s="9" t="n"/>
      <c r="E27" s="10" t="n"/>
      <c r="F27" s="10" t="n"/>
      <c r="H27" s="9" t="n"/>
      <c r="I27" s="10" t="n"/>
      <c r="L27" s="10" t="n"/>
      <c r="N27" s="25">
        <f>IF($B27="","",IFERROR(IF(INDEX(campaigns!$BE$2:$BE$51,MATCH($B27,campaigns!$A$2:$A$51,0))="","",INDEX(campaigns!$BE$2:$BE$51,MATCH($B27,campaigns!$A$2:$A$51,0))),""))</f>
        <v/>
      </c>
      <c r="O27" s="26">
        <f>IF(OR($A27="",$D27=""),"",IF($C27="founding_full",WORKDAY($D27,config!$B$27,calendar!$A$2:$A$80),$D27))</f>
        <v/>
      </c>
      <c r="P27" s="27">
        <f>IF($A27="","",N($E27)+N($F27))</f>
        <v/>
      </c>
      <c r="Q27" s="25">
        <f>IF($A27="","",IF($C27="credit_note",IF($H27&lt;&gt;"","refunded","credit applied"),IF($H27&lt;&gt;"",IF(N($I27)&gt;=$P27-0.005,"paid",IF(AND($C27="standard_balance",N($I27)+(-SUMPRODUCT((invoices!$B$2:$B$151=$B27)*(invoices!$C$2:$C$151="credit_note")*(LEN(invoices!$H$2:$H$151)=0)*invoices!$E$2:$E$151))&gt;=$P27-0.005),"paid (less credit)","part paid")),IF($D27="","draft",IF(IF(config!$B$37&lt;&gt;"",config!$B$37,TODAY())&gt;$O27,"overdue","sent")))))</f>
        <v/>
      </c>
      <c r="R27" s="25">
        <f>IF($A27="","",IF(OR($C27="founding_full",$C27="standard_deposit"),"Y","N"))</f>
        <v/>
      </c>
      <c r="S27" s="25">
        <f>IF($A27="","",IF(COUNTIF(invoices!$A$2:$A$151,$A27)&gt;1,"DUPLICATE invoice number; ","")&amp;IF(COUNTIF(campaigns!$A$2:$A$51,$B27)=0,"campaign_id missing or not on campaigns; ","")&amp;IF(AND($C27&lt;&gt;"credit_note",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lt;&gt;"",ABS(N($E27)-N(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gt;0.005),"amount differs from the price ("&amp;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amp;") - credit notes go on their own row; ","")&amp;IF(AND($C27="credit_note",N($E27)&gt;=0),"a credit note is negative; ","")&amp;IF(AND($H27&lt;&gt;"",N($I27)&gt;$P27+0.005,$C27&lt;&gt;"credit_note"),"paid more than the total; ","")&amp;IF(AND($H27&lt;&gt;"",$J27=""),"method?; ",""))</f>
        <v/>
      </c>
    </row>
    <row r="28">
      <c r="D28" s="9" t="n"/>
      <c r="E28" s="10" t="n"/>
      <c r="F28" s="10" t="n"/>
      <c r="H28" s="9" t="n"/>
      <c r="I28" s="10" t="n"/>
      <c r="L28" s="10" t="n"/>
      <c r="N28" s="25">
        <f>IF($B28="","",IFERROR(IF(INDEX(campaigns!$BE$2:$BE$51,MATCH($B28,campaigns!$A$2:$A$51,0))="","",INDEX(campaigns!$BE$2:$BE$51,MATCH($B28,campaigns!$A$2:$A$51,0))),""))</f>
        <v/>
      </c>
      <c r="O28" s="26">
        <f>IF(OR($A28="",$D28=""),"",IF($C28="founding_full",WORKDAY($D28,config!$B$27,calendar!$A$2:$A$80),$D28))</f>
        <v/>
      </c>
      <c r="P28" s="27">
        <f>IF($A28="","",N($E28)+N($F28))</f>
        <v/>
      </c>
      <c r="Q28" s="25">
        <f>IF($A28="","",IF($C28="credit_note",IF($H28&lt;&gt;"","refunded","credit applied"),IF($H28&lt;&gt;"",IF(N($I28)&gt;=$P28-0.005,"paid",IF(AND($C28="standard_balance",N($I28)+(-SUMPRODUCT((invoices!$B$2:$B$151=$B28)*(invoices!$C$2:$C$151="credit_note")*(LEN(invoices!$H$2:$H$151)=0)*invoices!$E$2:$E$151))&gt;=$P28-0.005),"paid (less credit)","part paid")),IF($D28="","draft",IF(IF(config!$B$37&lt;&gt;"",config!$B$37,TODAY())&gt;$O28,"overdue","sent")))))</f>
        <v/>
      </c>
      <c r="R28" s="25">
        <f>IF($A28="","",IF(OR($C28="founding_full",$C28="standard_deposit"),"Y","N"))</f>
        <v/>
      </c>
      <c r="S28" s="25">
        <f>IF($A28="","",IF(COUNTIF(invoices!$A$2:$A$151,$A28)&gt;1,"DUPLICATE invoice number; ","")&amp;IF(COUNTIF(campaigns!$A$2:$A$51,$B28)=0,"campaign_id missing or not on campaigns; ","")&amp;IF(AND($C28&lt;&gt;"credit_note",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lt;&gt;"",ABS(N($E28)-N(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gt;0.005),"amount differs from the price ("&amp;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amp;") - credit notes go on their own row; ","")&amp;IF(AND($C28="credit_note",N($E28)&gt;=0),"a credit note is negative; ","")&amp;IF(AND($H28&lt;&gt;"",N($I28)&gt;$P28+0.005,$C28&lt;&gt;"credit_note"),"paid more than the total; ","")&amp;IF(AND($H28&lt;&gt;"",$J28=""),"method?; ",""))</f>
        <v/>
      </c>
    </row>
    <row r="29">
      <c r="D29" s="9" t="n"/>
      <c r="E29" s="10" t="n"/>
      <c r="F29" s="10" t="n"/>
      <c r="H29" s="9" t="n"/>
      <c r="I29" s="10" t="n"/>
      <c r="L29" s="10" t="n"/>
      <c r="N29" s="25">
        <f>IF($B29="","",IFERROR(IF(INDEX(campaigns!$BE$2:$BE$51,MATCH($B29,campaigns!$A$2:$A$51,0))="","",INDEX(campaigns!$BE$2:$BE$51,MATCH($B29,campaigns!$A$2:$A$51,0))),""))</f>
        <v/>
      </c>
      <c r="O29" s="26">
        <f>IF(OR($A29="",$D29=""),"",IF($C29="founding_full",WORKDAY($D29,config!$B$27,calendar!$A$2:$A$80),$D29))</f>
        <v/>
      </c>
      <c r="P29" s="27">
        <f>IF($A29="","",N($E29)+N($F29))</f>
        <v/>
      </c>
      <c r="Q29" s="25">
        <f>IF($A29="","",IF($C29="credit_note",IF($H29&lt;&gt;"","refunded","credit applied"),IF($H29&lt;&gt;"",IF(N($I29)&gt;=$P29-0.005,"paid",IF(AND($C29="standard_balance",N($I29)+(-SUMPRODUCT((invoices!$B$2:$B$151=$B29)*(invoices!$C$2:$C$151="credit_note")*(LEN(invoices!$H$2:$H$151)=0)*invoices!$E$2:$E$151))&gt;=$P29-0.005),"paid (less credit)","part paid")),IF($D29="","draft",IF(IF(config!$B$37&lt;&gt;"",config!$B$37,TODAY())&gt;$O29,"overdue","sent")))))</f>
        <v/>
      </c>
      <c r="R29" s="25">
        <f>IF($A29="","",IF(OR($C29="founding_full",$C29="standard_deposit"),"Y","N"))</f>
        <v/>
      </c>
      <c r="S29" s="25">
        <f>IF($A29="","",IF(COUNTIF(invoices!$A$2:$A$151,$A29)&gt;1,"DUPLICATE invoice number; ","")&amp;IF(COUNTIF(campaigns!$A$2:$A$51,$B29)=0,"campaign_id missing or not on campaigns; ","")&amp;IF(AND($C29&lt;&gt;"credit_note",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lt;&gt;"",ABS(N($E29)-N(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gt;0.005),"amount differs from the price ("&amp;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amp;") - credit notes go on their own row; ","")&amp;IF(AND($C29="credit_note",N($E29)&gt;=0),"a credit note is negative; ","")&amp;IF(AND($H29&lt;&gt;"",N($I29)&gt;$P29+0.005,$C29&lt;&gt;"credit_note"),"paid more than the total; ","")&amp;IF(AND($H29&lt;&gt;"",$J29=""),"method?; ",""))</f>
        <v/>
      </c>
    </row>
    <row r="30">
      <c r="D30" s="9" t="n"/>
      <c r="E30" s="10" t="n"/>
      <c r="F30" s="10" t="n"/>
      <c r="H30" s="9" t="n"/>
      <c r="I30" s="10" t="n"/>
      <c r="L30" s="10" t="n"/>
      <c r="N30" s="25">
        <f>IF($B30="","",IFERROR(IF(INDEX(campaigns!$BE$2:$BE$51,MATCH($B30,campaigns!$A$2:$A$51,0))="","",INDEX(campaigns!$BE$2:$BE$51,MATCH($B30,campaigns!$A$2:$A$51,0))),""))</f>
        <v/>
      </c>
      <c r="O30" s="26">
        <f>IF(OR($A30="",$D30=""),"",IF($C30="founding_full",WORKDAY($D30,config!$B$27,calendar!$A$2:$A$80),$D30))</f>
        <v/>
      </c>
      <c r="P30" s="27">
        <f>IF($A30="","",N($E30)+N($F30))</f>
        <v/>
      </c>
      <c r="Q30" s="25">
        <f>IF($A30="","",IF($C30="credit_note",IF($H30&lt;&gt;"","refunded","credit applied"),IF($H30&lt;&gt;"",IF(N($I30)&gt;=$P30-0.005,"paid",IF(AND($C30="standard_balance",N($I30)+(-SUMPRODUCT((invoices!$B$2:$B$151=$B30)*(invoices!$C$2:$C$151="credit_note")*(LEN(invoices!$H$2:$H$151)=0)*invoices!$E$2:$E$151))&gt;=$P30-0.005),"paid (less credit)","part paid")),IF($D30="","draft",IF(IF(config!$B$37&lt;&gt;"",config!$B$37,TODAY())&gt;$O30,"overdue","sent")))))</f>
        <v/>
      </c>
      <c r="R30" s="25">
        <f>IF($A30="","",IF(OR($C30="founding_full",$C30="standard_deposit"),"Y","N"))</f>
        <v/>
      </c>
      <c r="S30" s="25">
        <f>IF($A30="","",IF(COUNTIF(invoices!$A$2:$A$151,$A30)&gt;1,"DUPLICATE invoice number; ","")&amp;IF(COUNTIF(campaigns!$A$2:$A$51,$B30)=0,"campaign_id missing or not on campaigns; ","")&amp;IF(AND($C30&lt;&gt;"credit_note",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lt;&gt;"",ABS(N($E30)-N(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gt;0.005),"amount differs from the price ("&amp;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amp;") - credit notes go on their own row; ","")&amp;IF(AND($C30="credit_note",N($E30)&gt;=0),"a credit note is negative; ","")&amp;IF(AND($H30&lt;&gt;"",N($I30)&gt;$P30+0.005,$C30&lt;&gt;"credit_note"),"paid more than the total; ","")&amp;IF(AND($H30&lt;&gt;"",$J30=""),"method?; ",""))</f>
        <v/>
      </c>
    </row>
    <row r="31">
      <c r="D31" s="9" t="n"/>
      <c r="E31" s="10" t="n"/>
      <c r="F31" s="10" t="n"/>
      <c r="H31" s="9" t="n"/>
      <c r="I31" s="10" t="n"/>
      <c r="L31" s="10" t="n"/>
      <c r="N31" s="25">
        <f>IF($B31="","",IFERROR(IF(INDEX(campaigns!$BE$2:$BE$51,MATCH($B31,campaigns!$A$2:$A$51,0))="","",INDEX(campaigns!$BE$2:$BE$51,MATCH($B31,campaigns!$A$2:$A$51,0))),""))</f>
        <v/>
      </c>
      <c r="O31" s="26">
        <f>IF(OR($A31="",$D31=""),"",IF($C31="founding_full",WORKDAY($D31,config!$B$27,calendar!$A$2:$A$80),$D31))</f>
        <v/>
      </c>
      <c r="P31" s="27">
        <f>IF($A31="","",N($E31)+N($F31))</f>
        <v/>
      </c>
      <c r="Q31" s="25">
        <f>IF($A31="","",IF($C31="credit_note",IF($H31&lt;&gt;"","refunded","credit applied"),IF($H31&lt;&gt;"",IF(N($I31)&gt;=$P31-0.005,"paid",IF(AND($C31="standard_balance",N($I31)+(-SUMPRODUCT((invoices!$B$2:$B$151=$B31)*(invoices!$C$2:$C$151="credit_note")*(LEN(invoices!$H$2:$H$151)=0)*invoices!$E$2:$E$151))&gt;=$P31-0.005),"paid (less credit)","part paid")),IF($D31="","draft",IF(IF(config!$B$37&lt;&gt;"",config!$B$37,TODAY())&gt;$O31,"overdue","sent")))))</f>
        <v/>
      </c>
      <c r="R31" s="25">
        <f>IF($A31="","",IF(OR($C31="founding_full",$C31="standard_deposit"),"Y","N"))</f>
        <v/>
      </c>
      <c r="S31" s="25">
        <f>IF($A31="","",IF(COUNTIF(invoices!$A$2:$A$151,$A31)&gt;1,"DUPLICATE invoice number; ","")&amp;IF(COUNTIF(campaigns!$A$2:$A$51,$B31)=0,"campaign_id missing or not on campaigns; ","")&amp;IF(AND($C31&lt;&gt;"credit_note",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lt;&gt;"",ABS(N($E31)-N(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gt;0.005),"amount differs from the price ("&amp;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amp;") - credit notes go on their own row; ","")&amp;IF(AND($C31="credit_note",N($E31)&gt;=0),"a credit note is negative; ","")&amp;IF(AND($H31&lt;&gt;"",N($I31)&gt;$P31+0.005,$C31&lt;&gt;"credit_note"),"paid more than the total; ","")&amp;IF(AND($H31&lt;&gt;"",$J31=""),"method?; ",""))</f>
        <v/>
      </c>
    </row>
    <row r="32">
      <c r="D32" s="9" t="n"/>
      <c r="E32" s="10" t="n"/>
      <c r="F32" s="10" t="n"/>
      <c r="H32" s="9" t="n"/>
      <c r="I32" s="10" t="n"/>
      <c r="L32" s="10" t="n"/>
      <c r="N32" s="25">
        <f>IF($B32="","",IFERROR(IF(INDEX(campaigns!$BE$2:$BE$51,MATCH($B32,campaigns!$A$2:$A$51,0))="","",INDEX(campaigns!$BE$2:$BE$51,MATCH($B32,campaigns!$A$2:$A$51,0))),""))</f>
        <v/>
      </c>
      <c r="O32" s="26">
        <f>IF(OR($A32="",$D32=""),"",IF($C32="founding_full",WORKDAY($D32,config!$B$27,calendar!$A$2:$A$80),$D32))</f>
        <v/>
      </c>
      <c r="P32" s="27">
        <f>IF($A32="","",N($E32)+N($F32))</f>
        <v/>
      </c>
      <c r="Q32" s="25">
        <f>IF($A32="","",IF($C32="credit_note",IF($H32&lt;&gt;"","refunded","credit applied"),IF($H32&lt;&gt;"",IF(N($I32)&gt;=$P32-0.005,"paid",IF(AND($C32="standard_balance",N($I32)+(-SUMPRODUCT((invoices!$B$2:$B$151=$B32)*(invoices!$C$2:$C$151="credit_note")*(LEN(invoices!$H$2:$H$151)=0)*invoices!$E$2:$E$151))&gt;=$P32-0.005),"paid (less credit)","part paid")),IF($D32="","draft",IF(IF(config!$B$37&lt;&gt;"",config!$B$37,TODAY())&gt;$O32,"overdue","sent")))))</f>
        <v/>
      </c>
      <c r="R32" s="25">
        <f>IF($A32="","",IF(OR($C32="founding_full",$C32="standard_deposit"),"Y","N"))</f>
        <v/>
      </c>
      <c r="S32" s="25">
        <f>IF($A32="","",IF(COUNTIF(invoices!$A$2:$A$151,$A32)&gt;1,"DUPLICATE invoice number; ","")&amp;IF(COUNTIF(campaigns!$A$2:$A$51,$B32)=0,"campaign_id missing or not on campaigns; ","")&amp;IF(AND($C32&lt;&gt;"credit_note",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lt;&gt;"",ABS(N($E32)-N(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gt;0.005),"amount differs from the price ("&amp;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amp;") - credit notes go on their own row; ","")&amp;IF(AND($C32="credit_note",N($E32)&gt;=0),"a credit note is negative; ","")&amp;IF(AND($H32&lt;&gt;"",N($I32)&gt;$P32+0.005,$C32&lt;&gt;"credit_note"),"paid more than the total; ","")&amp;IF(AND($H32&lt;&gt;"",$J32=""),"method?; ",""))</f>
        <v/>
      </c>
    </row>
    <row r="33">
      <c r="D33" s="9" t="n"/>
      <c r="E33" s="10" t="n"/>
      <c r="F33" s="10" t="n"/>
      <c r="H33" s="9" t="n"/>
      <c r="I33" s="10" t="n"/>
      <c r="L33" s="10" t="n"/>
      <c r="N33" s="25">
        <f>IF($B33="","",IFERROR(IF(INDEX(campaigns!$BE$2:$BE$51,MATCH($B33,campaigns!$A$2:$A$51,0))="","",INDEX(campaigns!$BE$2:$BE$51,MATCH($B33,campaigns!$A$2:$A$51,0))),""))</f>
        <v/>
      </c>
      <c r="O33" s="26">
        <f>IF(OR($A33="",$D33=""),"",IF($C33="founding_full",WORKDAY($D33,config!$B$27,calendar!$A$2:$A$80),$D33))</f>
        <v/>
      </c>
      <c r="P33" s="27">
        <f>IF($A33="","",N($E33)+N($F33))</f>
        <v/>
      </c>
      <c r="Q33" s="25">
        <f>IF($A33="","",IF($C33="credit_note",IF($H33&lt;&gt;"","refunded","credit applied"),IF($H33&lt;&gt;"",IF(N($I33)&gt;=$P33-0.005,"paid",IF(AND($C33="standard_balance",N($I33)+(-SUMPRODUCT((invoices!$B$2:$B$151=$B33)*(invoices!$C$2:$C$151="credit_note")*(LEN(invoices!$H$2:$H$151)=0)*invoices!$E$2:$E$151))&gt;=$P33-0.005),"paid (less credit)","part paid")),IF($D33="","draft",IF(IF(config!$B$37&lt;&gt;"",config!$B$37,TODAY())&gt;$O33,"overdue","sent")))))</f>
        <v/>
      </c>
      <c r="R33" s="25">
        <f>IF($A33="","",IF(OR($C33="founding_full",$C33="standard_deposit"),"Y","N"))</f>
        <v/>
      </c>
      <c r="S33" s="25">
        <f>IF($A33="","",IF(COUNTIF(invoices!$A$2:$A$151,$A33)&gt;1,"DUPLICATE invoice number; ","")&amp;IF(COUNTIF(campaigns!$A$2:$A$51,$B33)=0,"campaign_id missing or not on campaigns; ","")&amp;IF(AND($C33&lt;&gt;"credit_note",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lt;&gt;"",ABS(N($E33)-N(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gt;0.005),"amount differs from the price ("&amp;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amp;") - credit notes go on their own row; ","")&amp;IF(AND($C33="credit_note",N($E33)&gt;=0),"a credit note is negative; ","")&amp;IF(AND($H33&lt;&gt;"",N($I33)&gt;$P33+0.005,$C33&lt;&gt;"credit_note"),"paid more than the total; ","")&amp;IF(AND($H33&lt;&gt;"",$J33=""),"method?; ",""))</f>
        <v/>
      </c>
    </row>
    <row r="34">
      <c r="D34" s="9" t="n"/>
      <c r="E34" s="10" t="n"/>
      <c r="F34" s="10" t="n"/>
      <c r="H34" s="9" t="n"/>
      <c r="I34" s="10" t="n"/>
      <c r="L34" s="10" t="n"/>
      <c r="N34" s="25">
        <f>IF($B34="","",IFERROR(IF(INDEX(campaigns!$BE$2:$BE$51,MATCH($B34,campaigns!$A$2:$A$51,0))="","",INDEX(campaigns!$BE$2:$BE$51,MATCH($B34,campaigns!$A$2:$A$51,0))),""))</f>
        <v/>
      </c>
      <c r="O34" s="26">
        <f>IF(OR($A34="",$D34=""),"",IF($C34="founding_full",WORKDAY($D34,config!$B$27,calendar!$A$2:$A$80),$D34))</f>
        <v/>
      </c>
      <c r="P34" s="27">
        <f>IF($A34="","",N($E34)+N($F34))</f>
        <v/>
      </c>
      <c r="Q34" s="25">
        <f>IF($A34="","",IF($C34="credit_note",IF($H34&lt;&gt;"","refunded","credit applied"),IF($H34&lt;&gt;"",IF(N($I34)&gt;=$P34-0.005,"paid",IF(AND($C34="standard_balance",N($I34)+(-SUMPRODUCT((invoices!$B$2:$B$151=$B34)*(invoices!$C$2:$C$151="credit_note")*(LEN(invoices!$H$2:$H$151)=0)*invoices!$E$2:$E$151))&gt;=$P34-0.005),"paid (less credit)","part paid")),IF($D34="","draft",IF(IF(config!$B$37&lt;&gt;"",config!$B$37,TODAY())&gt;$O34,"overdue","sent")))))</f>
        <v/>
      </c>
      <c r="R34" s="25">
        <f>IF($A34="","",IF(OR($C34="founding_full",$C34="standard_deposit"),"Y","N"))</f>
        <v/>
      </c>
      <c r="S34" s="25">
        <f>IF($A34="","",IF(COUNTIF(invoices!$A$2:$A$151,$A34)&gt;1,"DUPLICATE invoice number; ","")&amp;IF(COUNTIF(campaigns!$A$2:$A$51,$B34)=0,"campaign_id missing or not on campaigns; ","")&amp;IF(AND($C34&lt;&gt;"credit_note",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lt;&gt;"",ABS(N($E34)-N(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gt;0.005),"amount differs from the price ("&amp;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amp;") - credit notes go on their own row; ","")&amp;IF(AND($C34="credit_note",N($E34)&gt;=0),"a credit note is negative; ","")&amp;IF(AND($H34&lt;&gt;"",N($I34)&gt;$P34+0.005,$C34&lt;&gt;"credit_note"),"paid more than the total; ","")&amp;IF(AND($H34&lt;&gt;"",$J34=""),"method?; ",""))</f>
        <v/>
      </c>
    </row>
    <row r="35">
      <c r="D35" s="9" t="n"/>
      <c r="E35" s="10" t="n"/>
      <c r="F35" s="10" t="n"/>
      <c r="H35" s="9" t="n"/>
      <c r="I35" s="10" t="n"/>
      <c r="L35" s="10" t="n"/>
      <c r="N35" s="25">
        <f>IF($B35="","",IFERROR(IF(INDEX(campaigns!$BE$2:$BE$51,MATCH($B35,campaigns!$A$2:$A$51,0))="","",INDEX(campaigns!$BE$2:$BE$51,MATCH($B35,campaigns!$A$2:$A$51,0))),""))</f>
        <v/>
      </c>
      <c r="O35" s="26">
        <f>IF(OR($A35="",$D35=""),"",IF($C35="founding_full",WORKDAY($D35,config!$B$27,calendar!$A$2:$A$80),$D35))</f>
        <v/>
      </c>
      <c r="P35" s="27">
        <f>IF($A35="","",N($E35)+N($F35))</f>
        <v/>
      </c>
      <c r="Q35" s="25">
        <f>IF($A35="","",IF($C35="credit_note",IF($H35&lt;&gt;"","refunded","credit applied"),IF($H35&lt;&gt;"",IF(N($I35)&gt;=$P35-0.005,"paid",IF(AND($C35="standard_balance",N($I35)+(-SUMPRODUCT((invoices!$B$2:$B$151=$B35)*(invoices!$C$2:$C$151="credit_note")*(LEN(invoices!$H$2:$H$151)=0)*invoices!$E$2:$E$151))&gt;=$P35-0.005),"paid (less credit)","part paid")),IF($D35="","draft",IF(IF(config!$B$37&lt;&gt;"",config!$B$37,TODAY())&gt;$O35,"overdue","sent")))))</f>
        <v/>
      </c>
      <c r="R35" s="25">
        <f>IF($A35="","",IF(OR($C35="founding_full",$C35="standard_deposit"),"Y","N"))</f>
        <v/>
      </c>
      <c r="S35" s="25">
        <f>IF($A35="","",IF(COUNTIF(invoices!$A$2:$A$151,$A35)&gt;1,"DUPLICATE invoice number; ","")&amp;IF(COUNTIF(campaigns!$A$2:$A$51,$B35)=0,"campaign_id missing or not on campaigns; ","")&amp;IF(AND($C35&lt;&gt;"credit_note",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lt;&gt;"",ABS(N($E35)-N(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gt;0.005),"amount differs from the price ("&amp;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amp;") - credit notes go on their own row; ","")&amp;IF(AND($C35="credit_note",N($E35)&gt;=0),"a credit note is negative; ","")&amp;IF(AND($H35&lt;&gt;"",N($I35)&gt;$P35+0.005,$C35&lt;&gt;"credit_note"),"paid more than the total; ","")&amp;IF(AND($H35&lt;&gt;"",$J35=""),"method?; ",""))</f>
        <v/>
      </c>
    </row>
    <row r="36">
      <c r="D36" s="9" t="n"/>
      <c r="E36" s="10" t="n"/>
      <c r="F36" s="10" t="n"/>
      <c r="H36" s="9" t="n"/>
      <c r="I36" s="10" t="n"/>
      <c r="L36" s="10" t="n"/>
      <c r="N36" s="25">
        <f>IF($B36="","",IFERROR(IF(INDEX(campaigns!$BE$2:$BE$51,MATCH($B36,campaigns!$A$2:$A$51,0))="","",INDEX(campaigns!$BE$2:$BE$51,MATCH($B36,campaigns!$A$2:$A$51,0))),""))</f>
        <v/>
      </c>
      <c r="O36" s="26">
        <f>IF(OR($A36="",$D36=""),"",IF($C36="founding_full",WORKDAY($D36,config!$B$27,calendar!$A$2:$A$80),$D36))</f>
        <v/>
      </c>
      <c r="P36" s="27">
        <f>IF($A36="","",N($E36)+N($F36))</f>
        <v/>
      </c>
      <c r="Q36" s="25">
        <f>IF($A36="","",IF($C36="credit_note",IF($H36&lt;&gt;"","refunded","credit applied"),IF($H36&lt;&gt;"",IF(N($I36)&gt;=$P36-0.005,"paid",IF(AND($C36="standard_balance",N($I36)+(-SUMPRODUCT((invoices!$B$2:$B$151=$B36)*(invoices!$C$2:$C$151="credit_note")*(LEN(invoices!$H$2:$H$151)=0)*invoices!$E$2:$E$151))&gt;=$P36-0.005),"paid (less credit)","part paid")),IF($D36="","draft",IF(IF(config!$B$37&lt;&gt;"",config!$B$37,TODAY())&gt;$O36,"overdue","sent")))))</f>
        <v/>
      </c>
      <c r="R36" s="25">
        <f>IF($A36="","",IF(OR($C36="founding_full",$C36="standard_deposit"),"Y","N"))</f>
        <v/>
      </c>
      <c r="S36" s="25">
        <f>IF($A36="","",IF(COUNTIF(invoices!$A$2:$A$151,$A36)&gt;1,"DUPLICATE invoice number; ","")&amp;IF(COUNTIF(campaigns!$A$2:$A$51,$B36)=0,"campaign_id missing or not on campaigns; ","")&amp;IF(AND($C36&lt;&gt;"credit_note",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lt;&gt;"",ABS(N($E36)-N(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gt;0.005),"amount differs from the price ("&amp;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amp;") - credit notes go on their own row; ","")&amp;IF(AND($C36="credit_note",N($E36)&gt;=0),"a credit note is negative; ","")&amp;IF(AND($H36&lt;&gt;"",N($I36)&gt;$P36+0.005,$C36&lt;&gt;"credit_note"),"paid more than the total; ","")&amp;IF(AND($H36&lt;&gt;"",$J36=""),"method?; ",""))</f>
        <v/>
      </c>
    </row>
    <row r="37">
      <c r="D37" s="9" t="n"/>
      <c r="E37" s="10" t="n"/>
      <c r="F37" s="10" t="n"/>
      <c r="H37" s="9" t="n"/>
      <c r="I37" s="10" t="n"/>
      <c r="L37" s="10" t="n"/>
      <c r="N37" s="25">
        <f>IF($B37="","",IFERROR(IF(INDEX(campaigns!$BE$2:$BE$51,MATCH($B37,campaigns!$A$2:$A$51,0))="","",INDEX(campaigns!$BE$2:$BE$51,MATCH($B37,campaigns!$A$2:$A$51,0))),""))</f>
        <v/>
      </c>
      <c r="O37" s="26">
        <f>IF(OR($A37="",$D37=""),"",IF($C37="founding_full",WORKDAY($D37,config!$B$27,calendar!$A$2:$A$80),$D37))</f>
        <v/>
      </c>
      <c r="P37" s="27">
        <f>IF($A37="","",N($E37)+N($F37))</f>
        <v/>
      </c>
      <c r="Q37" s="25">
        <f>IF($A37="","",IF($C37="credit_note",IF($H37&lt;&gt;"","refunded","credit applied"),IF($H37&lt;&gt;"",IF(N($I37)&gt;=$P37-0.005,"paid",IF(AND($C37="standard_balance",N($I37)+(-SUMPRODUCT((invoices!$B$2:$B$151=$B37)*(invoices!$C$2:$C$151="credit_note")*(LEN(invoices!$H$2:$H$151)=0)*invoices!$E$2:$E$151))&gt;=$P37-0.005),"paid (less credit)","part paid")),IF($D37="","draft",IF(IF(config!$B$37&lt;&gt;"",config!$B$37,TODAY())&gt;$O37,"overdue","sent")))))</f>
        <v/>
      </c>
      <c r="R37" s="25">
        <f>IF($A37="","",IF(OR($C37="founding_full",$C37="standard_deposit"),"Y","N"))</f>
        <v/>
      </c>
      <c r="S37" s="25">
        <f>IF($A37="","",IF(COUNTIF(invoices!$A$2:$A$151,$A37)&gt;1,"DUPLICATE invoice number; ","")&amp;IF(COUNTIF(campaigns!$A$2:$A$51,$B37)=0,"campaign_id missing or not on campaigns; ","")&amp;IF(AND($C37&lt;&gt;"credit_note",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lt;&gt;"",ABS(N($E37)-N(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gt;0.005),"amount differs from the price ("&amp;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amp;") - credit notes go on their own row; ","")&amp;IF(AND($C37="credit_note",N($E37)&gt;=0),"a credit note is negative; ","")&amp;IF(AND($H37&lt;&gt;"",N($I37)&gt;$P37+0.005,$C37&lt;&gt;"credit_note"),"paid more than the total; ","")&amp;IF(AND($H37&lt;&gt;"",$J37=""),"method?; ",""))</f>
        <v/>
      </c>
    </row>
    <row r="38">
      <c r="D38" s="9" t="n"/>
      <c r="E38" s="10" t="n"/>
      <c r="F38" s="10" t="n"/>
      <c r="H38" s="9" t="n"/>
      <c r="I38" s="10" t="n"/>
      <c r="L38" s="10" t="n"/>
      <c r="N38" s="25">
        <f>IF($B38="","",IFERROR(IF(INDEX(campaigns!$BE$2:$BE$51,MATCH($B38,campaigns!$A$2:$A$51,0))="","",INDEX(campaigns!$BE$2:$BE$51,MATCH($B38,campaigns!$A$2:$A$51,0))),""))</f>
        <v/>
      </c>
      <c r="O38" s="26">
        <f>IF(OR($A38="",$D38=""),"",IF($C38="founding_full",WORKDAY($D38,config!$B$27,calendar!$A$2:$A$80),$D38))</f>
        <v/>
      </c>
      <c r="P38" s="27">
        <f>IF($A38="","",N($E38)+N($F38))</f>
        <v/>
      </c>
      <c r="Q38" s="25">
        <f>IF($A38="","",IF($C38="credit_note",IF($H38&lt;&gt;"","refunded","credit applied"),IF($H38&lt;&gt;"",IF(N($I38)&gt;=$P38-0.005,"paid",IF(AND($C38="standard_balance",N($I38)+(-SUMPRODUCT((invoices!$B$2:$B$151=$B38)*(invoices!$C$2:$C$151="credit_note")*(LEN(invoices!$H$2:$H$151)=0)*invoices!$E$2:$E$151))&gt;=$P38-0.005),"paid (less credit)","part paid")),IF($D38="","draft",IF(IF(config!$B$37&lt;&gt;"",config!$B$37,TODAY())&gt;$O38,"overdue","sent")))))</f>
        <v/>
      </c>
      <c r="R38" s="25">
        <f>IF($A38="","",IF(OR($C38="founding_full",$C38="standard_deposit"),"Y","N"))</f>
        <v/>
      </c>
      <c r="S38" s="25">
        <f>IF($A38="","",IF(COUNTIF(invoices!$A$2:$A$151,$A38)&gt;1,"DUPLICATE invoice number; ","")&amp;IF(COUNTIF(campaigns!$A$2:$A$51,$B38)=0,"campaign_id missing or not on campaigns; ","")&amp;IF(AND($C38&lt;&gt;"credit_note",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lt;&gt;"",ABS(N($E38)-N(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gt;0.005),"amount differs from the price ("&amp;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amp;") - credit notes go on their own row; ","")&amp;IF(AND($C38="credit_note",N($E38)&gt;=0),"a credit note is negative; ","")&amp;IF(AND($H38&lt;&gt;"",N($I38)&gt;$P38+0.005,$C38&lt;&gt;"credit_note"),"paid more than the total; ","")&amp;IF(AND($H38&lt;&gt;"",$J38=""),"method?; ",""))</f>
        <v/>
      </c>
    </row>
    <row r="39">
      <c r="D39" s="9" t="n"/>
      <c r="E39" s="10" t="n"/>
      <c r="F39" s="10" t="n"/>
      <c r="H39" s="9" t="n"/>
      <c r="I39" s="10" t="n"/>
      <c r="L39" s="10" t="n"/>
      <c r="N39" s="25">
        <f>IF($B39="","",IFERROR(IF(INDEX(campaigns!$BE$2:$BE$51,MATCH($B39,campaigns!$A$2:$A$51,0))="","",INDEX(campaigns!$BE$2:$BE$51,MATCH($B39,campaigns!$A$2:$A$51,0))),""))</f>
        <v/>
      </c>
      <c r="O39" s="26">
        <f>IF(OR($A39="",$D39=""),"",IF($C39="founding_full",WORKDAY($D39,config!$B$27,calendar!$A$2:$A$80),$D39))</f>
        <v/>
      </c>
      <c r="P39" s="27">
        <f>IF($A39="","",N($E39)+N($F39))</f>
        <v/>
      </c>
      <c r="Q39" s="25">
        <f>IF($A39="","",IF($C39="credit_note",IF($H39&lt;&gt;"","refunded","credit applied"),IF($H39&lt;&gt;"",IF(N($I39)&gt;=$P39-0.005,"paid",IF(AND($C39="standard_balance",N($I39)+(-SUMPRODUCT((invoices!$B$2:$B$151=$B39)*(invoices!$C$2:$C$151="credit_note")*(LEN(invoices!$H$2:$H$151)=0)*invoices!$E$2:$E$151))&gt;=$P39-0.005),"paid (less credit)","part paid")),IF($D39="","draft",IF(IF(config!$B$37&lt;&gt;"",config!$B$37,TODAY())&gt;$O39,"overdue","sent")))))</f>
        <v/>
      </c>
      <c r="R39" s="25">
        <f>IF($A39="","",IF(OR($C39="founding_full",$C39="standard_deposit"),"Y","N"))</f>
        <v/>
      </c>
      <c r="S39" s="25">
        <f>IF($A39="","",IF(COUNTIF(invoices!$A$2:$A$151,$A39)&gt;1,"DUPLICATE invoice number; ","")&amp;IF(COUNTIF(campaigns!$A$2:$A$51,$B39)=0,"campaign_id missing or not on campaigns; ","")&amp;IF(AND($C39&lt;&gt;"credit_note",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lt;&gt;"",ABS(N($E39)-N(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gt;0.005),"amount differs from the price ("&amp;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amp;") - credit notes go on their own row; ","")&amp;IF(AND($C39="credit_note",N($E39)&gt;=0),"a credit note is negative; ","")&amp;IF(AND($H39&lt;&gt;"",N($I39)&gt;$P39+0.005,$C39&lt;&gt;"credit_note"),"paid more than the total; ","")&amp;IF(AND($H39&lt;&gt;"",$J39=""),"method?; ",""))</f>
        <v/>
      </c>
    </row>
    <row r="40">
      <c r="D40" s="9" t="n"/>
      <c r="E40" s="10" t="n"/>
      <c r="F40" s="10" t="n"/>
      <c r="H40" s="9" t="n"/>
      <c r="I40" s="10" t="n"/>
      <c r="L40" s="10" t="n"/>
      <c r="N40" s="25">
        <f>IF($B40="","",IFERROR(IF(INDEX(campaigns!$BE$2:$BE$51,MATCH($B40,campaigns!$A$2:$A$51,0))="","",INDEX(campaigns!$BE$2:$BE$51,MATCH($B40,campaigns!$A$2:$A$51,0))),""))</f>
        <v/>
      </c>
      <c r="O40" s="26">
        <f>IF(OR($A40="",$D40=""),"",IF($C40="founding_full",WORKDAY($D40,config!$B$27,calendar!$A$2:$A$80),$D40))</f>
        <v/>
      </c>
      <c r="P40" s="27">
        <f>IF($A40="","",N($E40)+N($F40))</f>
        <v/>
      </c>
      <c r="Q40" s="25">
        <f>IF($A40="","",IF($C40="credit_note",IF($H40&lt;&gt;"","refunded","credit applied"),IF($H40&lt;&gt;"",IF(N($I40)&gt;=$P40-0.005,"paid",IF(AND($C40="standard_balance",N($I40)+(-SUMPRODUCT((invoices!$B$2:$B$151=$B40)*(invoices!$C$2:$C$151="credit_note")*(LEN(invoices!$H$2:$H$151)=0)*invoices!$E$2:$E$151))&gt;=$P40-0.005),"paid (less credit)","part paid")),IF($D40="","draft",IF(IF(config!$B$37&lt;&gt;"",config!$B$37,TODAY())&gt;$O40,"overdue","sent")))))</f>
        <v/>
      </c>
      <c r="R40" s="25">
        <f>IF($A40="","",IF(OR($C40="founding_full",$C40="standard_deposit"),"Y","N"))</f>
        <v/>
      </c>
      <c r="S40" s="25">
        <f>IF($A40="","",IF(COUNTIF(invoices!$A$2:$A$151,$A40)&gt;1,"DUPLICATE invoice number; ","")&amp;IF(COUNTIF(campaigns!$A$2:$A$51,$B40)=0,"campaign_id missing or not on campaigns; ","")&amp;IF(AND($C40&lt;&gt;"credit_note",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lt;&gt;"",ABS(N($E40)-N(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gt;0.005),"amount differs from the price ("&amp;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amp;") - credit notes go on their own row; ","")&amp;IF(AND($C40="credit_note",N($E40)&gt;=0),"a credit note is negative; ","")&amp;IF(AND($H40&lt;&gt;"",N($I40)&gt;$P40+0.005,$C40&lt;&gt;"credit_note"),"paid more than the total; ","")&amp;IF(AND($H40&lt;&gt;"",$J40=""),"method?; ",""))</f>
        <v/>
      </c>
    </row>
    <row r="41">
      <c r="D41" s="9" t="n"/>
      <c r="E41" s="10" t="n"/>
      <c r="F41" s="10" t="n"/>
      <c r="H41" s="9" t="n"/>
      <c r="I41" s="10" t="n"/>
      <c r="L41" s="10" t="n"/>
      <c r="N41" s="25">
        <f>IF($B41="","",IFERROR(IF(INDEX(campaigns!$BE$2:$BE$51,MATCH($B41,campaigns!$A$2:$A$51,0))="","",INDEX(campaigns!$BE$2:$BE$51,MATCH($B41,campaigns!$A$2:$A$51,0))),""))</f>
        <v/>
      </c>
      <c r="O41" s="26">
        <f>IF(OR($A41="",$D41=""),"",IF($C41="founding_full",WORKDAY($D41,config!$B$27,calendar!$A$2:$A$80),$D41))</f>
        <v/>
      </c>
      <c r="P41" s="27">
        <f>IF($A41="","",N($E41)+N($F41))</f>
        <v/>
      </c>
      <c r="Q41" s="25">
        <f>IF($A41="","",IF($C41="credit_note",IF($H41&lt;&gt;"","refunded","credit applied"),IF($H41&lt;&gt;"",IF(N($I41)&gt;=$P41-0.005,"paid",IF(AND($C41="standard_balance",N($I41)+(-SUMPRODUCT((invoices!$B$2:$B$151=$B41)*(invoices!$C$2:$C$151="credit_note")*(LEN(invoices!$H$2:$H$151)=0)*invoices!$E$2:$E$151))&gt;=$P41-0.005),"paid (less credit)","part paid")),IF($D41="","draft",IF(IF(config!$B$37&lt;&gt;"",config!$B$37,TODAY())&gt;$O41,"overdue","sent")))))</f>
        <v/>
      </c>
      <c r="R41" s="25">
        <f>IF($A41="","",IF(OR($C41="founding_full",$C41="standard_deposit"),"Y","N"))</f>
        <v/>
      </c>
      <c r="S41" s="25">
        <f>IF($A41="","",IF(COUNTIF(invoices!$A$2:$A$151,$A41)&gt;1,"DUPLICATE invoice number; ","")&amp;IF(COUNTIF(campaigns!$A$2:$A$51,$B41)=0,"campaign_id missing or not on campaigns; ","")&amp;IF(AND($C41&lt;&gt;"credit_note",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lt;&gt;"",ABS(N($E41)-N(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gt;0.005),"amount differs from the price ("&amp;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amp;") - credit notes go on their own row; ","")&amp;IF(AND($C41="credit_note",N($E41)&gt;=0),"a credit note is negative; ","")&amp;IF(AND($H41&lt;&gt;"",N($I41)&gt;$P41+0.005,$C41&lt;&gt;"credit_note"),"paid more than the total; ","")&amp;IF(AND($H41&lt;&gt;"",$J41=""),"method?; ",""))</f>
        <v/>
      </c>
    </row>
    <row r="42">
      <c r="D42" s="9" t="n"/>
      <c r="E42" s="10" t="n"/>
      <c r="F42" s="10" t="n"/>
      <c r="H42" s="9" t="n"/>
      <c r="I42" s="10" t="n"/>
      <c r="L42" s="10" t="n"/>
      <c r="N42" s="25">
        <f>IF($B42="","",IFERROR(IF(INDEX(campaigns!$BE$2:$BE$51,MATCH($B42,campaigns!$A$2:$A$51,0))="","",INDEX(campaigns!$BE$2:$BE$51,MATCH($B42,campaigns!$A$2:$A$51,0))),""))</f>
        <v/>
      </c>
      <c r="O42" s="26">
        <f>IF(OR($A42="",$D42=""),"",IF($C42="founding_full",WORKDAY($D42,config!$B$27,calendar!$A$2:$A$80),$D42))</f>
        <v/>
      </c>
      <c r="P42" s="27">
        <f>IF($A42="","",N($E42)+N($F42))</f>
        <v/>
      </c>
      <c r="Q42" s="25">
        <f>IF($A42="","",IF($C42="credit_note",IF($H42&lt;&gt;"","refunded","credit applied"),IF($H42&lt;&gt;"",IF(N($I42)&gt;=$P42-0.005,"paid",IF(AND($C42="standard_balance",N($I42)+(-SUMPRODUCT((invoices!$B$2:$B$151=$B42)*(invoices!$C$2:$C$151="credit_note")*(LEN(invoices!$H$2:$H$151)=0)*invoices!$E$2:$E$151))&gt;=$P42-0.005),"paid (less credit)","part paid")),IF($D42="","draft",IF(IF(config!$B$37&lt;&gt;"",config!$B$37,TODAY())&gt;$O42,"overdue","sent")))))</f>
        <v/>
      </c>
      <c r="R42" s="25">
        <f>IF($A42="","",IF(OR($C42="founding_full",$C42="standard_deposit"),"Y","N"))</f>
        <v/>
      </c>
      <c r="S42" s="25">
        <f>IF($A42="","",IF(COUNTIF(invoices!$A$2:$A$151,$A42)&gt;1,"DUPLICATE invoice number; ","")&amp;IF(COUNTIF(campaigns!$A$2:$A$51,$B42)=0,"campaign_id missing or not on campaigns; ","")&amp;IF(AND($C42&lt;&gt;"credit_note",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lt;&gt;"",ABS(N($E42)-N(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gt;0.005),"amount differs from the price ("&amp;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amp;") - credit notes go on their own row; ","")&amp;IF(AND($C42="credit_note",N($E42)&gt;=0),"a credit note is negative; ","")&amp;IF(AND($H42&lt;&gt;"",N($I42)&gt;$P42+0.005,$C42&lt;&gt;"credit_note"),"paid more than the total; ","")&amp;IF(AND($H42&lt;&gt;"",$J42=""),"method?; ",""))</f>
        <v/>
      </c>
    </row>
    <row r="43">
      <c r="D43" s="9" t="n"/>
      <c r="E43" s="10" t="n"/>
      <c r="F43" s="10" t="n"/>
      <c r="H43" s="9" t="n"/>
      <c r="I43" s="10" t="n"/>
      <c r="L43" s="10" t="n"/>
      <c r="N43" s="25">
        <f>IF($B43="","",IFERROR(IF(INDEX(campaigns!$BE$2:$BE$51,MATCH($B43,campaigns!$A$2:$A$51,0))="","",INDEX(campaigns!$BE$2:$BE$51,MATCH($B43,campaigns!$A$2:$A$51,0))),""))</f>
        <v/>
      </c>
      <c r="O43" s="26">
        <f>IF(OR($A43="",$D43=""),"",IF($C43="founding_full",WORKDAY($D43,config!$B$27,calendar!$A$2:$A$80),$D43))</f>
        <v/>
      </c>
      <c r="P43" s="27">
        <f>IF($A43="","",N($E43)+N($F43))</f>
        <v/>
      </c>
      <c r="Q43" s="25">
        <f>IF($A43="","",IF($C43="credit_note",IF($H43&lt;&gt;"","refunded","credit applied"),IF($H43&lt;&gt;"",IF(N($I43)&gt;=$P43-0.005,"paid",IF(AND($C43="standard_balance",N($I43)+(-SUMPRODUCT((invoices!$B$2:$B$151=$B43)*(invoices!$C$2:$C$151="credit_note")*(LEN(invoices!$H$2:$H$151)=0)*invoices!$E$2:$E$151))&gt;=$P43-0.005),"paid (less credit)","part paid")),IF($D43="","draft",IF(IF(config!$B$37&lt;&gt;"",config!$B$37,TODAY())&gt;$O43,"overdue","sent")))))</f>
        <v/>
      </c>
      <c r="R43" s="25">
        <f>IF($A43="","",IF(OR($C43="founding_full",$C43="standard_deposit"),"Y","N"))</f>
        <v/>
      </c>
      <c r="S43" s="25">
        <f>IF($A43="","",IF(COUNTIF(invoices!$A$2:$A$151,$A43)&gt;1,"DUPLICATE invoice number; ","")&amp;IF(COUNTIF(campaigns!$A$2:$A$51,$B43)=0,"campaign_id missing or not on campaigns; ","")&amp;IF(AND($C43&lt;&gt;"credit_note",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lt;&gt;"",ABS(N($E43)-N(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gt;0.005),"amount differs from the price ("&amp;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amp;") - credit notes go on their own row; ","")&amp;IF(AND($C43="credit_note",N($E43)&gt;=0),"a credit note is negative; ","")&amp;IF(AND($H43&lt;&gt;"",N($I43)&gt;$P43+0.005,$C43&lt;&gt;"credit_note"),"paid more than the total; ","")&amp;IF(AND($H43&lt;&gt;"",$J43=""),"method?; ",""))</f>
        <v/>
      </c>
    </row>
    <row r="44">
      <c r="D44" s="9" t="n"/>
      <c r="E44" s="10" t="n"/>
      <c r="F44" s="10" t="n"/>
      <c r="H44" s="9" t="n"/>
      <c r="I44" s="10" t="n"/>
      <c r="L44" s="10" t="n"/>
      <c r="N44" s="25">
        <f>IF($B44="","",IFERROR(IF(INDEX(campaigns!$BE$2:$BE$51,MATCH($B44,campaigns!$A$2:$A$51,0))="","",INDEX(campaigns!$BE$2:$BE$51,MATCH($B44,campaigns!$A$2:$A$51,0))),""))</f>
        <v/>
      </c>
      <c r="O44" s="26">
        <f>IF(OR($A44="",$D44=""),"",IF($C44="founding_full",WORKDAY($D44,config!$B$27,calendar!$A$2:$A$80),$D44))</f>
        <v/>
      </c>
      <c r="P44" s="27">
        <f>IF($A44="","",N($E44)+N($F44))</f>
        <v/>
      </c>
      <c r="Q44" s="25">
        <f>IF($A44="","",IF($C44="credit_note",IF($H44&lt;&gt;"","refunded","credit applied"),IF($H44&lt;&gt;"",IF(N($I44)&gt;=$P44-0.005,"paid",IF(AND($C44="standard_balance",N($I44)+(-SUMPRODUCT((invoices!$B$2:$B$151=$B44)*(invoices!$C$2:$C$151="credit_note")*(LEN(invoices!$H$2:$H$151)=0)*invoices!$E$2:$E$151))&gt;=$P44-0.005),"paid (less credit)","part paid")),IF($D44="","draft",IF(IF(config!$B$37&lt;&gt;"",config!$B$37,TODAY())&gt;$O44,"overdue","sent")))))</f>
        <v/>
      </c>
      <c r="R44" s="25">
        <f>IF($A44="","",IF(OR($C44="founding_full",$C44="standard_deposit"),"Y","N"))</f>
        <v/>
      </c>
      <c r="S44" s="25">
        <f>IF($A44="","",IF(COUNTIF(invoices!$A$2:$A$151,$A44)&gt;1,"DUPLICATE invoice number; ","")&amp;IF(COUNTIF(campaigns!$A$2:$A$51,$B44)=0,"campaign_id missing or not on campaigns; ","")&amp;IF(AND($C44&lt;&gt;"credit_note",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lt;&gt;"",ABS(N($E44)-N(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gt;0.005),"amount differs from the price ("&amp;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amp;") - credit notes go on their own row; ","")&amp;IF(AND($C44="credit_note",N($E44)&gt;=0),"a credit note is negative; ","")&amp;IF(AND($H44&lt;&gt;"",N($I44)&gt;$P44+0.005,$C44&lt;&gt;"credit_note"),"paid more than the total; ","")&amp;IF(AND($H44&lt;&gt;"",$J44=""),"method?; ",""))</f>
        <v/>
      </c>
    </row>
    <row r="45">
      <c r="D45" s="9" t="n"/>
      <c r="E45" s="10" t="n"/>
      <c r="F45" s="10" t="n"/>
      <c r="H45" s="9" t="n"/>
      <c r="I45" s="10" t="n"/>
      <c r="L45" s="10" t="n"/>
      <c r="N45" s="25">
        <f>IF($B45="","",IFERROR(IF(INDEX(campaigns!$BE$2:$BE$51,MATCH($B45,campaigns!$A$2:$A$51,0))="","",INDEX(campaigns!$BE$2:$BE$51,MATCH($B45,campaigns!$A$2:$A$51,0))),""))</f>
        <v/>
      </c>
      <c r="O45" s="26">
        <f>IF(OR($A45="",$D45=""),"",IF($C45="founding_full",WORKDAY($D45,config!$B$27,calendar!$A$2:$A$80),$D45))</f>
        <v/>
      </c>
      <c r="P45" s="27">
        <f>IF($A45="","",N($E45)+N($F45))</f>
        <v/>
      </c>
      <c r="Q45" s="25">
        <f>IF($A45="","",IF($C45="credit_note",IF($H45&lt;&gt;"","refunded","credit applied"),IF($H45&lt;&gt;"",IF(N($I45)&gt;=$P45-0.005,"paid",IF(AND($C45="standard_balance",N($I45)+(-SUMPRODUCT((invoices!$B$2:$B$151=$B45)*(invoices!$C$2:$C$151="credit_note")*(LEN(invoices!$H$2:$H$151)=0)*invoices!$E$2:$E$151))&gt;=$P45-0.005),"paid (less credit)","part paid")),IF($D45="","draft",IF(IF(config!$B$37&lt;&gt;"",config!$B$37,TODAY())&gt;$O45,"overdue","sent")))))</f>
        <v/>
      </c>
      <c r="R45" s="25">
        <f>IF($A45="","",IF(OR($C45="founding_full",$C45="standard_deposit"),"Y","N"))</f>
        <v/>
      </c>
      <c r="S45" s="25">
        <f>IF($A45="","",IF(COUNTIF(invoices!$A$2:$A$151,$A45)&gt;1,"DUPLICATE invoice number; ","")&amp;IF(COUNTIF(campaigns!$A$2:$A$51,$B45)=0,"campaign_id missing or not on campaigns; ","")&amp;IF(AND($C45&lt;&gt;"credit_note",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lt;&gt;"",ABS(N($E45)-N(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gt;0.005),"amount differs from the price ("&amp;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amp;") - credit notes go on their own row; ","")&amp;IF(AND($C45="credit_note",N($E45)&gt;=0),"a credit note is negative; ","")&amp;IF(AND($H45&lt;&gt;"",N($I45)&gt;$P45+0.005,$C45&lt;&gt;"credit_note"),"paid more than the total; ","")&amp;IF(AND($H45&lt;&gt;"",$J45=""),"method?; ",""))</f>
        <v/>
      </c>
    </row>
    <row r="46">
      <c r="D46" s="9" t="n"/>
      <c r="E46" s="10" t="n"/>
      <c r="F46" s="10" t="n"/>
      <c r="H46" s="9" t="n"/>
      <c r="I46" s="10" t="n"/>
      <c r="L46" s="10" t="n"/>
      <c r="N46" s="25">
        <f>IF($B46="","",IFERROR(IF(INDEX(campaigns!$BE$2:$BE$51,MATCH($B46,campaigns!$A$2:$A$51,0))="","",INDEX(campaigns!$BE$2:$BE$51,MATCH($B46,campaigns!$A$2:$A$51,0))),""))</f>
        <v/>
      </c>
      <c r="O46" s="26">
        <f>IF(OR($A46="",$D46=""),"",IF($C46="founding_full",WORKDAY($D46,config!$B$27,calendar!$A$2:$A$80),$D46))</f>
        <v/>
      </c>
      <c r="P46" s="27">
        <f>IF($A46="","",N($E46)+N($F46))</f>
        <v/>
      </c>
      <c r="Q46" s="25">
        <f>IF($A46="","",IF($C46="credit_note",IF($H46&lt;&gt;"","refunded","credit applied"),IF($H46&lt;&gt;"",IF(N($I46)&gt;=$P46-0.005,"paid",IF(AND($C46="standard_balance",N($I46)+(-SUMPRODUCT((invoices!$B$2:$B$151=$B46)*(invoices!$C$2:$C$151="credit_note")*(LEN(invoices!$H$2:$H$151)=0)*invoices!$E$2:$E$151))&gt;=$P46-0.005),"paid (less credit)","part paid")),IF($D46="","draft",IF(IF(config!$B$37&lt;&gt;"",config!$B$37,TODAY())&gt;$O46,"overdue","sent")))))</f>
        <v/>
      </c>
      <c r="R46" s="25">
        <f>IF($A46="","",IF(OR($C46="founding_full",$C46="standard_deposit"),"Y","N"))</f>
        <v/>
      </c>
      <c r="S46" s="25">
        <f>IF($A46="","",IF(COUNTIF(invoices!$A$2:$A$151,$A46)&gt;1,"DUPLICATE invoice number; ","")&amp;IF(COUNTIF(campaigns!$A$2:$A$51,$B46)=0,"campaign_id missing or not on campaigns; ","")&amp;IF(AND($C46&lt;&gt;"credit_note",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lt;&gt;"",ABS(N($E46)-N(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gt;0.005),"amount differs from the price ("&amp;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amp;") - credit notes go on their own row; ","")&amp;IF(AND($C46="credit_note",N($E46)&gt;=0),"a credit note is negative; ","")&amp;IF(AND($H46&lt;&gt;"",N($I46)&gt;$P46+0.005,$C46&lt;&gt;"credit_note"),"paid more than the total; ","")&amp;IF(AND($H46&lt;&gt;"",$J46=""),"method?; ",""))</f>
        <v/>
      </c>
    </row>
    <row r="47">
      <c r="D47" s="9" t="n"/>
      <c r="E47" s="10" t="n"/>
      <c r="F47" s="10" t="n"/>
      <c r="H47" s="9" t="n"/>
      <c r="I47" s="10" t="n"/>
      <c r="L47" s="10" t="n"/>
      <c r="N47" s="25">
        <f>IF($B47="","",IFERROR(IF(INDEX(campaigns!$BE$2:$BE$51,MATCH($B47,campaigns!$A$2:$A$51,0))="","",INDEX(campaigns!$BE$2:$BE$51,MATCH($B47,campaigns!$A$2:$A$51,0))),""))</f>
        <v/>
      </c>
      <c r="O47" s="26">
        <f>IF(OR($A47="",$D47=""),"",IF($C47="founding_full",WORKDAY($D47,config!$B$27,calendar!$A$2:$A$80),$D47))</f>
        <v/>
      </c>
      <c r="P47" s="27">
        <f>IF($A47="","",N($E47)+N($F47))</f>
        <v/>
      </c>
      <c r="Q47" s="25">
        <f>IF($A47="","",IF($C47="credit_note",IF($H47&lt;&gt;"","refunded","credit applied"),IF($H47&lt;&gt;"",IF(N($I47)&gt;=$P47-0.005,"paid",IF(AND($C47="standard_balance",N($I47)+(-SUMPRODUCT((invoices!$B$2:$B$151=$B47)*(invoices!$C$2:$C$151="credit_note")*(LEN(invoices!$H$2:$H$151)=0)*invoices!$E$2:$E$151))&gt;=$P47-0.005),"paid (less credit)","part paid")),IF($D47="","draft",IF(IF(config!$B$37&lt;&gt;"",config!$B$37,TODAY())&gt;$O47,"overdue","sent")))))</f>
        <v/>
      </c>
      <c r="R47" s="25">
        <f>IF($A47="","",IF(OR($C47="founding_full",$C47="standard_deposit"),"Y","N"))</f>
        <v/>
      </c>
      <c r="S47" s="25">
        <f>IF($A47="","",IF(COUNTIF(invoices!$A$2:$A$151,$A47)&gt;1,"DUPLICATE invoice number; ","")&amp;IF(COUNTIF(campaigns!$A$2:$A$51,$B47)=0,"campaign_id missing or not on campaigns; ","")&amp;IF(AND($C47&lt;&gt;"credit_note",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lt;&gt;"",ABS(N($E47)-N(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gt;0.005),"amount differs from the price ("&amp;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amp;") - credit notes go on their own row; ","")&amp;IF(AND($C47="credit_note",N($E47)&gt;=0),"a credit note is negative; ","")&amp;IF(AND($H47&lt;&gt;"",N($I47)&gt;$P47+0.005,$C47&lt;&gt;"credit_note"),"paid more than the total; ","")&amp;IF(AND($H47&lt;&gt;"",$J47=""),"method?; ",""))</f>
        <v/>
      </c>
    </row>
    <row r="48">
      <c r="D48" s="9" t="n"/>
      <c r="E48" s="10" t="n"/>
      <c r="F48" s="10" t="n"/>
      <c r="H48" s="9" t="n"/>
      <c r="I48" s="10" t="n"/>
      <c r="L48" s="10" t="n"/>
      <c r="N48" s="25">
        <f>IF($B48="","",IFERROR(IF(INDEX(campaigns!$BE$2:$BE$51,MATCH($B48,campaigns!$A$2:$A$51,0))="","",INDEX(campaigns!$BE$2:$BE$51,MATCH($B48,campaigns!$A$2:$A$51,0))),""))</f>
        <v/>
      </c>
      <c r="O48" s="26">
        <f>IF(OR($A48="",$D48=""),"",IF($C48="founding_full",WORKDAY($D48,config!$B$27,calendar!$A$2:$A$80),$D48))</f>
        <v/>
      </c>
      <c r="P48" s="27">
        <f>IF($A48="","",N($E48)+N($F48))</f>
        <v/>
      </c>
      <c r="Q48" s="25">
        <f>IF($A48="","",IF($C48="credit_note",IF($H48&lt;&gt;"","refunded","credit applied"),IF($H48&lt;&gt;"",IF(N($I48)&gt;=$P48-0.005,"paid",IF(AND($C48="standard_balance",N($I48)+(-SUMPRODUCT((invoices!$B$2:$B$151=$B48)*(invoices!$C$2:$C$151="credit_note")*(LEN(invoices!$H$2:$H$151)=0)*invoices!$E$2:$E$151))&gt;=$P48-0.005),"paid (less credit)","part paid")),IF($D48="","draft",IF(IF(config!$B$37&lt;&gt;"",config!$B$37,TODAY())&gt;$O48,"overdue","sent")))))</f>
        <v/>
      </c>
      <c r="R48" s="25">
        <f>IF($A48="","",IF(OR($C48="founding_full",$C48="standard_deposit"),"Y","N"))</f>
        <v/>
      </c>
      <c r="S48" s="25">
        <f>IF($A48="","",IF(COUNTIF(invoices!$A$2:$A$151,$A48)&gt;1,"DUPLICATE invoice number; ","")&amp;IF(COUNTIF(campaigns!$A$2:$A$51,$B48)=0,"campaign_id missing or not on campaigns; ","")&amp;IF(AND($C48&lt;&gt;"credit_note",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lt;&gt;"",ABS(N($E48)-N(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gt;0.005),"amount differs from the price ("&amp;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amp;") - credit notes go on their own row; ","")&amp;IF(AND($C48="credit_note",N($E48)&gt;=0),"a credit note is negative; ","")&amp;IF(AND($H48&lt;&gt;"",N($I48)&gt;$P48+0.005,$C48&lt;&gt;"credit_note"),"paid more than the total; ","")&amp;IF(AND($H48&lt;&gt;"",$J48=""),"method?; ",""))</f>
        <v/>
      </c>
    </row>
    <row r="49">
      <c r="D49" s="9" t="n"/>
      <c r="E49" s="10" t="n"/>
      <c r="F49" s="10" t="n"/>
      <c r="H49" s="9" t="n"/>
      <c r="I49" s="10" t="n"/>
      <c r="L49" s="10" t="n"/>
      <c r="N49" s="25">
        <f>IF($B49="","",IFERROR(IF(INDEX(campaigns!$BE$2:$BE$51,MATCH($B49,campaigns!$A$2:$A$51,0))="","",INDEX(campaigns!$BE$2:$BE$51,MATCH($B49,campaigns!$A$2:$A$51,0))),""))</f>
        <v/>
      </c>
      <c r="O49" s="26">
        <f>IF(OR($A49="",$D49=""),"",IF($C49="founding_full",WORKDAY($D49,config!$B$27,calendar!$A$2:$A$80),$D49))</f>
        <v/>
      </c>
      <c r="P49" s="27">
        <f>IF($A49="","",N($E49)+N($F49))</f>
        <v/>
      </c>
      <c r="Q49" s="25">
        <f>IF($A49="","",IF($C49="credit_note",IF($H49&lt;&gt;"","refunded","credit applied"),IF($H49&lt;&gt;"",IF(N($I49)&gt;=$P49-0.005,"paid",IF(AND($C49="standard_balance",N($I49)+(-SUMPRODUCT((invoices!$B$2:$B$151=$B49)*(invoices!$C$2:$C$151="credit_note")*(LEN(invoices!$H$2:$H$151)=0)*invoices!$E$2:$E$151))&gt;=$P49-0.005),"paid (less credit)","part paid")),IF($D49="","draft",IF(IF(config!$B$37&lt;&gt;"",config!$B$37,TODAY())&gt;$O49,"overdue","sent")))))</f>
        <v/>
      </c>
      <c r="R49" s="25">
        <f>IF($A49="","",IF(OR($C49="founding_full",$C49="standard_deposit"),"Y","N"))</f>
        <v/>
      </c>
      <c r="S49" s="25">
        <f>IF($A49="","",IF(COUNTIF(invoices!$A$2:$A$151,$A49)&gt;1,"DUPLICATE invoice number; ","")&amp;IF(COUNTIF(campaigns!$A$2:$A$51,$B49)=0,"campaign_id missing or not on campaigns; ","")&amp;IF(AND($C49&lt;&gt;"credit_note",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lt;&gt;"",ABS(N($E49)-N(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gt;0.005),"amount differs from the price ("&amp;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amp;") - credit notes go on their own row; ","")&amp;IF(AND($C49="credit_note",N($E49)&gt;=0),"a credit note is negative; ","")&amp;IF(AND($H49&lt;&gt;"",N($I49)&gt;$P49+0.005,$C49&lt;&gt;"credit_note"),"paid more than the total; ","")&amp;IF(AND($H49&lt;&gt;"",$J49=""),"method?; ",""))</f>
        <v/>
      </c>
    </row>
    <row r="50">
      <c r="D50" s="9" t="n"/>
      <c r="E50" s="10" t="n"/>
      <c r="F50" s="10" t="n"/>
      <c r="H50" s="9" t="n"/>
      <c r="I50" s="10" t="n"/>
      <c r="L50" s="10" t="n"/>
      <c r="N50" s="25">
        <f>IF($B50="","",IFERROR(IF(INDEX(campaigns!$BE$2:$BE$51,MATCH($B50,campaigns!$A$2:$A$51,0))="","",INDEX(campaigns!$BE$2:$BE$51,MATCH($B50,campaigns!$A$2:$A$51,0))),""))</f>
        <v/>
      </c>
      <c r="O50" s="26">
        <f>IF(OR($A50="",$D50=""),"",IF($C50="founding_full",WORKDAY($D50,config!$B$27,calendar!$A$2:$A$80),$D50))</f>
        <v/>
      </c>
      <c r="P50" s="27">
        <f>IF($A50="","",N($E50)+N($F50))</f>
        <v/>
      </c>
      <c r="Q50" s="25">
        <f>IF($A50="","",IF($C50="credit_note",IF($H50&lt;&gt;"","refunded","credit applied"),IF($H50&lt;&gt;"",IF(N($I50)&gt;=$P50-0.005,"paid",IF(AND($C50="standard_balance",N($I50)+(-SUMPRODUCT((invoices!$B$2:$B$151=$B50)*(invoices!$C$2:$C$151="credit_note")*(LEN(invoices!$H$2:$H$151)=0)*invoices!$E$2:$E$151))&gt;=$P50-0.005),"paid (less credit)","part paid")),IF($D50="","draft",IF(IF(config!$B$37&lt;&gt;"",config!$B$37,TODAY())&gt;$O50,"overdue","sent")))))</f>
        <v/>
      </c>
      <c r="R50" s="25">
        <f>IF($A50="","",IF(OR($C50="founding_full",$C50="standard_deposit"),"Y","N"))</f>
        <v/>
      </c>
      <c r="S50" s="25">
        <f>IF($A50="","",IF(COUNTIF(invoices!$A$2:$A$151,$A50)&gt;1,"DUPLICATE invoice number; ","")&amp;IF(COUNTIF(campaigns!$A$2:$A$51,$B50)=0,"campaign_id missing or not on campaigns; ","")&amp;IF(AND($C50&lt;&gt;"credit_note",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lt;&gt;"",ABS(N($E50)-N(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gt;0.005),"amount differs from the price ("&amp;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amp;") - credit notes go on their own row; ","")&amp;IF(AND($C50="credit_note",N($E50)&gt;=0),"a credit note is negative; ","")&amp;IF(AND($H50&lt;&gt;"",N($I50)&gt;$P50+0.005,$C50&lt;&gt;"credit_note"),"paid more than the total; ","")&amp;IF(AND($H50&lt;&gt;"",$J50=""),"method?; ",""))</f>
        <v/>
      </c>
    </row>
    <row r="51">
      <c r="D51" s="9" t="n"/>
      <c r="E51" s="10" t="n"/>
      <c r="F51" s="10" t="n"/>
      <c r="H51" s="9" t="n"/>
      <c r="I51" s="10" t="n"/>
      <c r="L51" s="10" t="n"/>
      <c r="N51" s="25">
        <f>IF($B51="","",IFERROR(IF(INDEX(campaigns!$BE$2:$BE$51,MATCH($B51,campaigns!$A$2:$A$51,0))="","",INDEX(campaigns!$BE$2:$BE$51,MATCH($B51,campaigns!$A$2:$A$51,0))),""))</f>
        <v/>
      </c>
      <c r="O51" s="26">
        <f>IF(OR($A51="",$D51=""),"",IF($C51="founding_full",WORKDAY($D51,config!$B$27,calendar!$A$2:$A$80),$D51))</f>
        <v/>
      </c>
      <c r="P51" s="27">
        <f>IF($A51="","",N($E51)+N($F51))</f>
        <v/>
      </c>
      <c r="Q51" s="25">
        <f>IF($A51="","",IF($C51="credit_note",IF($H51&lt;&gt;"","refunded","credit applied"),IF($H51&lt;&gt;"",IF(N($I51)&gt;=$P51-0.005,"paid",IF(AND($C51="standard_balance",N($I51)+(-SUMPRODUCT((invoices!$B$2:$B$151=$B51)*(invoices!$C$2:$C$151="credit_note")*(LEN(invoices!$H$2:$H$151)=0)*invoices!$E$2:$E$151))&gt;=$P51-0.005),"paid (less credit)","part paid")),IF($D51="","draft",IF(IF(config!$B$37&lt;&gt;"",config!$B$37,TODAY())&gt;$O51,"overdue","sent")))))</f>
        <v/>
      </c>
      <c r="R51" s="25">
        <f>IF($A51="","",IF(OR($C51="founding_full",$C51="standard_deposit"),"Y","N"))</f>
        <v/>
      </c>
      <c r="S51" s="25">
        <f>IF($A51="","",IF(COUNTIF(invoices!$A$2:$A$151,$A51)&gt;1,"DUPLICATE invoice number; ","")&amp;IF(COUNTIF(campaigns!$A$2:$A$51,$B51)=0,"campaign_id missing or not on campaigns; ","")&amp;IF(AND($C51&lt;&gt;"credit_note",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lt;&gt;"",ABS(N($E51)-N(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gt;0.005),"amount differs from the price ("&amp;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amp;") - credit notes go on their own row; ","")&amp;IF(AND($C51="credit_note",N($E51)&gt;=0),"a credit note is negative; ","")&amp;IF(AND($H51&lt;&gt;"",N($I51)&gt;$P51+0.005,$C51&lt;&gt;"credit_note"),"paid more than the total; ","")&amp;IF(AND($H51&lt;&gt;"",$J51=""),"method?; ",""))</f>
        <v/>
      </c>
    </row>
    <row r="52">
      <c r="D52" s="9" t="n"/>
      <c r="E52" s="10" t="n"/>
      <c r="F52" s="10" t="n"/>
      <c r="H52" s="9" t="n"/>
      <c r="I52" s="10" t="n"/>
      <c r="L52" s="10" t="n"/>
      <c r="N52" s="25">
        <f>IF($B52="","",IFERROR(IF(INDEX(campaigns!$BE$2:$BE$51,MATCH($B52,campaigns!$A$2:$A$51,0))="","",INDEX(campaigns!$BE$2:$BE$51,MATCH($B52,campaigns!$A$2:$A$51,0))),""))</f>
        <v/>
      </c>
      <c r="O52" s="26">
        <f>IF(OR($A52="",$D52=""),"",IF($C52="founding_full",WORKDAY($D52,config!$B$27,calendar!$A$2:$A$80),$D52))</f>
        <v/>
      </c>
      <c r="P52" s="27">
        <f>IF($A52="","",N($E52)+N($F52))</f>
        <v/>
      </c>
      <c r="Q52" s="25">
        <f>IF($A52="","",IF($C52="credit_note",IF($H52&lt;&gt;"","refunded","credit applied"),IF($H52&lt;&gt;"",IF(N($I52)&gt;=$P52-0.005,"paid",IF(AND($C52="standard_balance",N($I52)+(-SUMPRODUCT((invoices!$B$2:$B$151=$B52)*(invoices!$C$2:$C$151="credit_note")*(LEN(invoices!$H$2:$H$151)=0)*invoices!$E$2:$E$151))&gt;=$P52-0.005),"paid (less credit)","part paid")),IF($D52="","draft",IF(IF(config!$B$37&lt;&gt;"",config!$B$37,TODAY())&gt;$O52,"overdue","sent")))))</f>
        <v/>
      </c>
      <c r="R52" s="25">
        <f>IF($A52="","",IF(OR($C52="founding_full",$C52="standard_deposit"),"Y","N"))</f>
        <v/>
      </c>
      <c r="S52" s="25">
        <f>IF($A52="","",IF(COUNTIF(invoices!$A$2:$A$151,$A52)&gt;1,"DUPLICATE invoice number; ","")&amp;IF(COUNTIF(campaigns!$A$2:$A$51,$B52)=0,"campaign_id missing or not on campaigns; ","")&amp;IF(AND($C52&lt;&gt;"credit_note",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lt;&gt;"",ABS(N($E52)-N(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gt;0.005),"amount differs from the price ("&amp;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amp;") - credit notes go on their own row; ","")&amp;IF(AND($C52="credit_note",N($E52)&gt;=0),"a credit note is negative; ","")&amp;IF(AND($H52&lt;&gt;"",N($I52)&gt;$P52+0.005,$C52&lt;&gt;"credit_note"),"paid more than the total; ","")&amp;IF(AND($H52&lt;&gt;"",$J52=""),"method?; ",""))</f>
        <v/>
      </c>
    </row>
    <row r="53">
      <c r="D53" s="9" t="n"/>
      <c r="E53" s="10" t="n"/>
      <c r="F53" s="10" t="n"/>
      <c r="H53" s="9" t="n"/>
      <c r="I53" s="10" t="n"/>
      <c r="L53" s="10" t="n"/>
      <c r="N53" s="25">
        <f>IF($B53="","",IFERROR(IF(INDEX(campaigns!$BE$2:$BE$51,MATCH($B53,campaigns!$A$2:$A$51,0))="","",INDEX(campaigns!$BE$2:$BE$51,MATCH($B53,campaigns!$A$2:$A$51,0))),""))</f>
        <v/>
      </c>
      <c r="O53" s="26">
        <f>IF(OR($A53="",$D53=""),"",IF($C53="founding_full",WORKDAY($D53,config!$B$27,calendar!$A$2:$A$80),$D53))</f>
        <v/>
      </c>
      <c r="P53" s="27">
        <f>IF($A53="","",N($E53)+N($F53))</f>
        <v/>
      </c>
      <c r="Q53" s="25">
        <f>IF($A53="","",IF($C53="credit_note",IF($H53&lt;&gt;"","refunded","credit applied"),IF($H53&lt;&gt;"",IF(N($I53)&gt;=$P53-0.005,"paid",IF(AND($C53="standard_balance",N($I53)+(-SUMPRODUCT((invoices!$B$2:$B$151=$B53)*(invoices!$C$2:$C$151="credit_note")*(LEN(invoices!$H$2:$H$151)=0)*invoices!$E$2:$E$151))&gt;=$P53-0.005),"paid (less credit)","part paid")),IF($D53="","draft",IF(IF(config!$B$37&lt;&gt;"",config!$B$37,TODAY())&gt;$O53,"overdue","sent")))))</f>
        <v/>
      </c>
      <c r="R53" s="25">
        <f>IF($A53="","",IF(OR($C53="founding_full",$C53="standard_deposit"),"Y","N"))</f>
        <v/>
      </c>
      <c r="S53" s="25">
        <f>IF($A53="","",IF(COUNTIF(invoices!$A$2:$A$151,$A53)&gt;1,"DUPLICATE invoice number; ","")&amp;IF(COUNTIF(campaigns!$A$2:$A$51,$B53)=0,"campaign_id missing or not on campaigns; ","")&amp;IF(AND($C53&lt;&gt;"credit_note",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lt;&gt;"",ABS(N($E53)-N(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gt;0.005),"amount differs from the price ("&amp;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amp;") - credit notes go on their own row; ","")&amp;IF(AND($C53="credit_note",N($E53)&gt;=0),"a credit note is negative; ","")&amp;IF(AND($H53&lt;&gt;"",N($I53)&gt;$P53+0.005,$C53&lt;&gt;"credit_note"),"paid more than the total; ","")&amp;IF(AND($H53&lt;&gt;"",$J53=""),"method?; ",""))</f>
        <v/>
      </c>
    </row>
    <row r="54">
      <c r="D54" s="9" t="n"/>
      <c r="E54" s="10" t="n"/>
      <c r="F54" s="10" t="n"/>
      <c r="H54" s="9" t="n"/>
      <c r="I54" s="10" t="n"/>
      <c r="L54" s="10" t="n"/>
      <c r="N54" s="25">
        <f>IF($B54="","",IFERROR(IF(INDEX(campaigns!$BE$2:$BE$51,MATCH($B54,campaigns!$A$2:$A$51,0))="","",INDEX(campaigns!$BE$2:$BE$51,MATCH($B54,campaigns!$A$2:$A$51,0))),""))</f>
        <v/>
      </c>
      <c r="O54" s="26">
        <f>IF(OR($A54="",$D54=""),"",IF($C54="founding_full",WORKDAY($D54,config!$B$27,calendar!$A$2:$A$80),$D54))</f>
        <v/>
      </c>
      <c r="P54" s="27">
        <f>IF($A54="","",N($E54)+N($F54))</f>
        <v/>
      </c>
      <c r="Q54" s="25">
        <f>IF($A54="","",IF($C54="credit_note",IF($H54&lt;&gt;"","refunded","credit applied"),IF($H54&lt;&gt;"",IF(N($I54)&gt;=$P54-0.005,"paid",IF(AND($C54="standard_balance",N($I54)+(-SUMPRODUCT((invoices!$B$2:$B$151=$B54)*(invoices!$C$2:$C$151="credit_note")*(LEN(invoices!$H$2:$H$151)=0)*invoices!$E$2:$E$151))&gt;=$P54-0.005),"paid (less credit)","part paid")),IF($D54="","draft",IF(IF(config!$B$37&lt;&gt;"",config!$B$37,TODAY())&gt;$O54,"overdue","sent")))))</f>
        <v/>
      </c>
      <c r="R54" s="25">
        <f>IF($A54="","",IF(OR($C54="founding_full",$C54="standard_deposit"),"Y","N"))</f>
        <v/>
      </c>
      <c r="S54" s="25">
        <f>IF($A54="","",IF(COUNTIF(invoices!$A$2:$A$151,$A54)&gt;1,"DUPLICATE invoice number; ","")&amp;IF(COUNTIF(campaigns!$A$2:$A$51,$B54)=0,"campaign_id missing or not on campaigns; ","")&amp;IF(AND($C54&lt;&gt;"credit_note",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lt;&gt;"",ABS(N($E54)-N(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gt;0.005),"amount differs from the price ("&amp;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amp;") - credit notes go on their own row; ","")&amp;IF(AND($C54="credit_note",N($E54)&gt;=0),"a credit note is negative; ","")&amp;IF(AND($H54&lt;&gt;"",N($I54)&gt;$P54+0.005,$C54&lt;&gt;"credit_note"),"paid more than the total; ","")&amp;IF(AND($H54&lt;&gt;"",$J54=""),"method?; ",""))</f>
        <v/>
      </c>
    </row>
    <row r="55">
      <c r="D55" s="9" t="n"/>
      <c r="E55" s="10" t="n"/>
      <c r="F55" s="10" t="n"/>
      <c r="H55" s="9" t="n"/>
      <c r="I55" s="10" t="n"/>
      <c r="L55" s="10" t="n"/>
      <c r="N55" s="25">
        <f>IF($B55="","",IFERROR(IF(INDEX(campaigns!$BE$2:$BE$51,MATCH($B55,campaigns!$A$2:$A$51,0))="","",INDEX(campaigns!$BE$2:$BE$51,MATCH($B55,campaigns!$A$2:$A$51,0))),""))</f>
        <v/>
      </c>
      <c r="O55" s="26">
        <f>IF(OR($A55="",$D55=""),"",IF($C55="founding_full",WORKDAY($D55,config!$B$27,calendar!$A$2:$A$80),$D55))</f>
        <v/>
      </c>
      <c r="P55" s="27">
        <f>IF($A55="","",N($E55)+N($F55))</f>
        <v/>
      </c>
      <c r="Q55" s="25">
        <f>IF($A55="","",IF($C55="credit_note",IF($H55&lt;&gt;"","refunded","credit applied"),IF($H55&lt;&gt;"",IF(N($I55)&gt;=$P55-0.005,"paid",IF(AND($C55="standard_balance",N($I55)+(-SUMPRODUCT((invoices!$B$2:$B$151=$B55)*(invoices!$C$2:$C$151="credit_note")*(LEN(invoices!$H$2:$H$151)=0)*invoices!$E$2:$E$151))&gt;=$P55-0.005),"paid (less credit)","part paid")),IF($D55="","draft",IF(IF(config!$B$37&lt;&gt;"",config!$B$37,TODAY())&gt;$O55,"overdue","sent")))))</f>
        <v/>
      </c>
      <c r="R55" s="25">
        <f>IF($A55="","",IF(OR($C55="founding_full",$C55="standard_deposit"),"Y","N"))</f>
        <v/>
      </c>
      <c r="S55" s="25">
        <f>IF($A55="","",IF(COUNTIF(invoices!$A$2:$A$151,$A55)&gt;1,"DUPLICATE invoice number; ","")&amp;IF(COUNTIF(campaigns!$A$2:$A$51,$B55)=0,"campaign_id missing or not on campaigns; ","")&amp;IF(AND($C55&lt;&gt;"credit_note",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lt;&gt;"",ABS(N($E55)-N(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gt;0.005),"amount differs from the price ("&amp;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amp;") - credit notes go on their own row; ","")&amp;IF(AND($C55="credit_note",N($E55)&gt;=0),"a credit note is negative; ","")&amp;IF(AND($H55&lt;&gt;"",N($I55)&gt;$P55+0.005,$C55&lt;&gt;"credit_note"),"paid more than the total; ","")&amp;IF(AND($H55&lt;&gt;"",$J55=""),"method?; ",""))</f>
        <v/>
      </c>
    </row>
    <row r="56">
      <c r="D56" s="9" t="n"/>
      <c r="E56" s="10" t="n"/>
      <c r="F56" s="10" t="n"/>
      <c r="H56" s="9" t="n"/>
      <c r="I56" s="10" t="n"/>
      <c r="L56" s="10" t="n"/>
      <c r="N56" s="25">
        <f>IF($B56="","",IFERROR(IF(INDEX(campaigns!$BE$2:$BE$51,MATCH($B56,campaigns!$A$2:$A$51,0))="","",INDEX(campaigns!$BE$2:$BE$51,MATCH($B56,campaigns!$A$2:$A$51,0))),""))</f>
        <v/>
      </c>
      <c r="O56" s="26">
        <f>IF(OR($A56="",$D56=""),"",IF($C56="founding_full",WORKDAY($D56,config!$B$27,calendar!$A$2:$A$80),$D56))</f>
        <v/>
      </c>
      <c r="P56" s="27">
        <f>IF($A56="","",N($E56)+N($F56))</f>
        <v/>
      </c>
      <c r="Q56" s="25">
        <f>IF($A56="","",IF($C56="credit_note",IF($H56&lt;&gt;"","refunded","credit applied"),IF($H56&lt;&gt;"",IF(N($I56)&gt;=$P56-0.005,"paid",IF(AND($C56="standard_balance",N($I56)+(-SUMPRODUCT((invoices!$B$2:$B$151=$B56)*(invoices!$C$2:$C$151="credit_note")*(LEN(invoices!$H$2:$H$151)=0)*invoices!$E$2:$E$151))&gt;=$P56-0.005),"paid (less credit)","part paid")),IF($D56="","draft",IF(IF(config!$B$37&lt;&gt;"",config!$B$37,TODAY())&gt;$O56,"overdue","sent")))))</f>
        <v/>
      </c>
      <c r="R56" s="25">
        <f>IF($A56="","",IF(OR($C56="founding_full",$C56="standard_deposit"),"Y","N"))</f>
        <v/>
      </c>
      <c r="S56" s="25">
        <f>IF($A56="","",IF(COUNTIF(invoices!$A$2:$A$151,$A56)&gt;1,"DUPLICATE invoice number; ","")&amp;IF(COUNTIF(campaigns!$A$2:$A$51,$B56)=0,"campaign_id missing or not on campaigns; ","")&amp;IF(AND($C56&lt;&gt;"credit_note",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lt;&gt;"",ABS(N($E56)-N(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gt;0.005),"amount differs from the price ("&amp;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amp;") - credit notes go on their own row; ","")&amp;IF(AND($C56="credit_note",N($E56)&gt;=0),"a credit note is negative; ","")&amp;IF(AND($H56&lt;&gt;"",N($I56)&gt;$P56+0.005,$C56&lt;&gt;"credit_note"),"paid more than the total; ","")&amp;IF(AND($H56&lt;&gt;"",$J56=""),"method?; ",""))</f>
        <v/>
      </c>
    </row>
    <row r="57">
      <c r="D57" s="9" t="n"/>
      <c r="E57" s="10" t="n"/>
      <c r="F57" s="10" t="n"/>
      <c r="H57" s="9" t="n"/>
      <c r="I57" s="10" t="n"/>
      <c r="L57" s="10" t="n"/>
      <c r="N57" s="25">
        <f>IF($B57="","",IFERROR(IF(INDEX(campaigns!$BE$2:$BE$51,MATCH($B57,campaigns!$A$2:$A$51,0))="","",INDEX(campaigns!$BE$2:$BE$51,MATCH($B57,campaigns!$A$2:$A$51,0))),""))</f>
        <v/>
      </c>
      <c r="O57" s="26">
        <f>IF(OR($A57="",$D57=""),"",IF($C57="founding_full",WORKDAY($D57,config!$B$27,calendar!$A$2:$A$80),$D57))</f>
        <v/>
      </c>
      <c r="P57" s="27">
        <f>IF($A57="","",N($E57)+N($F57))</f>
        <v/>
      </c>
      <c r="Q57" s="25">
        <f>IF($A57="","",IF($C57="credit_note",IF($H57&lt;&gt;"","refunded","credit applied"),IF($H57&lt;&gt;"",IF(N($I57)&gt;=$P57-0.005,"paid",IF(AND($C57="standard_balance",N($I57)+(-SUMPRODUCT((invoices!$B$2:$B$151=$B57)*(invoices!$C$2:$C$151="credit_note")*(LEN(invoices!$H$2:$H$151)=0)*invoices!$E$2:$E$151))&gt;=$P57-0.005),"paid (less credit)","part paid")),IF($D57="","draft",IF(IF(config!$B$37&lt;&gt;"",config!$B$37,TODAY())&gt;$O57,"overdue","sent")))))</f>
        <v/>
      </c>
      <c r="R57" s="25">
        <f>IF($A57="","",IF(OR($C57="founding_full",$C57="standard_deposit"),"Y","N"))</f>
        <v/>
      </c>
      <c r="S57" s="25">
        <f>IF($A57="","",IF(COUNTIF(invoices!$A$2:$A$151,$A57)&gt;1,"DUPLICATE invoice number; ","")&amp;IF(COUNTIF(campaigns!$A$2:$A$51,$B57)=0,"campaign_id missing or not on campaigns; ","")&amp;IF(AND($C57&lt;&gt;"credit_note",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lt;&gt;"",ABS(N($E57)-N(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gt;0.005),"amount differs from the price ("&amp;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amp;") - credit notes go on their own row; ","")&amp;IF(AND($C57="credit_note",N($E57)&gt;=0),"a credit note is negative; ","")&amp;IF(AND($H57&lt;&gt;"",N($I57)&gt;$P57+0.005,$C57&lt;&gt;"credit_note"),"paid more than the total; ","")&amp;IF(AND($H57&lt;&gt;"",$J57=""),"method?; ",""))</f>
        <v/>
      </c>
    </row>
    <row r="58">
      <c r="D58" s="9" t="n"/>
      <c r="E58" s="10" t="n"/>
      <c r="F58" s="10" t="n"/>
      <c r="H58" s="9" t="n"/>
      <c r="I58" s="10" t="n"/>
      <c r="L58" s="10" t="n"/>
      <c r="N58" s="25">
        <f>IF($B58="","",IFERROR(IF(INDEX(campaigns!$BE$2:$BE$51,MATCH($B58,campaigns!$A$2:$A$51,0))="","",INDEX(campaigns!$BE$2:$BE$51,MATCH($B58,campaigns!$A$2:$A$51,0))),""))</f>
        <v/>
      </c>
      <c r="O58" s="26">
        <f>IF(OR($A58="",$D58=""),"",IF($C58="founding_full",WORKDAY($D58,config!$B$27,calendar!$A$2:$A$80),$D58))</f>
        <v/>
      </c>
      <c r="P58" s="27">
        <f>IF($A58="","",N($E58)+N($F58))</f>
        <v/>
      </c>
      <c r="Q58" s="25">
        <f>IF($A58="","",IF($C58="credit_note",IF($H58&lt;&gt;"","refunded","credit applied"),IF($H58&lt;&gt;"",IF(N($I58)&gt;=$P58-0.005,"paid",IF(AND($C58="standard_balance",N($I58)+(-SUMPRODUCT((invoices!$B$2:$B$151=$B58)*(invoices!$C$2:$C$151="credit_note")*(LEN(invoices!$H$2:$H$151)=0)*invoices!$E$2:$E$151))&gt;=$P58-0.005),"paid (less credit)","part paid")),IF($D58="","draft",IF(IF(config!$B$37&lt;&gt;"",config!$B$37,TODAY())&gt;$O58,"overdue","sent")))))</f>
        <v/>
      </c>
      <c r="R58" s="25">
        <f>IF($A58="","",IF(OR($C58="founding_full",$C58="standard_deposit"),"Y","N"))</f>
        <v/>
      </c>
      <c r="S58" s="25">
        <f>IF($A58="","",IF(COUNTIF(invoices!$A$2:$A$151,$A58)&gt;1,"DUPLICATE invoice number; ","")&amp;IF(COUNTIF(campaigns!$A$2:$A$51,$B58)=0,"campaign_id missing or not on campaigns; ","")&amp;IF(AND($C58&lt;&gt;"credit_note",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lt;&gt;"",ABS(N($E58)-N(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gt;0.005),"amount differs from the price ("&amp;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amp;") - credit notes go on their own row; ","")&amp;IF(AND($C58="credit_note",N($E58)&gt;=0),"a credit note is negative; ","")&amp;IF(AND($H58&lt;&gt;"",N($I58)&gt;$P58+0.005,$C58&lt;&gt;"credit_note"),"paid more than the total; ","")&amp;IF(AND($H58&lt;&gt;"",$J58=""),"method?; ",""))</f>
        <v/>
      </c>
    </row>
    <row r="59">
      <c r="D59" s="9" t="n"/>
      <c r="E59" s="10" t="n"/>
      <c r="F59" s="10" t="n"/>
      <c r="H59" s="9" t="n"/>
      <c r="I59" s="10" t="n"/>
      <c r="L59" s="10" t="n"/>
      <c r="N59" s="25">
        <f>IF($B59="","",IFERROR(IF(INDEX(campaigns!$BE$2:$BE$51,MATCH($B59,campaigns!$A$2:$A$51,0))="","",INDEX(campaigns!$BE$2:$BE$51,MATCH($B59,campaigns!$A$2:$A$51,0))),""))</f>
        <v/>
      </c>
      <c r="O59" s="26">
        <f>IF(OR($A59="",$D59=""),"",IF($C59="founding_full",WORKDAY($D59,config!$B$27,calendar!$A$2:$A$80),$D59))</f>
        <v/>
      </c>
      <c r="P59" s="27">
        <f>IF($A59="","",N($E59)+N($F59))</f>
        <v/>
      </c>
      <c r="Q59" s="25">
        <f>IF($A59="","",IF($C59="credit_note",IF($H59&lt;&gt;"","refunded","credit applied"),IF($H59&lt;&gt;"",IF(N($I59)&gt;=$P59-0.005,"paid",IF(AND($C59="standard_balance",N($I59)+(-SUMPRODUCT((invoices!$B$2:$B$151=$B59)*(invoices!$C$2:$C$151="credit_note")*(LEN(invoices!$H$2:$H$151)=0)*invoices!$E$2:$E$151))&gt;=$P59-0.005),"paid (less credit)","part paid")),IF($D59="","draft",IF(IF(config!$B$37&lt;&gt;"",config!$B$37,TODAY())&gt;$O59,"overdue","sent")))))</f>
        <v/>
      </c>
      <c r="R59" s="25">
        <f>IF($A59="","",IF(OR($C59="founding_full",$C59="standard_deposit"),"Y","N"))</f>
        <v/>
      </c>
      <c r="S59" s="25">
        <f>IF($A59="","",IF(COUNTIF(invoices!$A$2:$A$151,$A59)&gt;1,"DUPLICATE invoice number; ","")&amp;IF(COUNTIF(campaigns!$A$2:$A$51,$B59)=0,"campaign_id missing or not on campaigns; ","")&amp;IF(AND($C59&lt;&gt;"credit_note",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lt;&gt;"",ABS(N($E59)-N(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gt;0.005),"amount differs from the price ("&amp;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amp;") - credit notes go on their own row; ","")&amp;IF(AND($C59="credit_note",N($E59)&gt;=0),"a credit note is negative; ","")&amp;IF(AND($H59&lt;&gt;"",N($I59)&gt;$P59+0.005,$C59&lt;&gt;"credit_note"),"paid more than the total; ","")&amp;IF(AND($H59&lt;&gt;"",$J59=""),"method?; ",""))</f>
        <v/>
      </c>
    </row>
    <row r="60">
      <c r="D60" s="9" t="n"/>
      <c r="E60" s="10" t="n"/>
      <c r="F60" s="10" t="n"/>
      <c r="H60" s="9" t="n"/>
      <c r="I60" s="10" t="n"/>
      <c r="L60" s="10" t="n"/>
      <c r="N60" s="25">
        <f>IF($B60="","",IFERROR(IF(INDEX(campaigns!$BE$2:$BE$51,MATCH($B60,campaigns!$A$2:$A$51,0))="","",INDEX(campaigns!$BE$2:$BE$51,MATCH($B60,campaigns!$A$2:$A$51,0))),""))</f>
        <v/>
      </c>
      <c r="O60" s="26">
        <f>IF(OR($A60="",$D60=""),"",IF($C60="founding_full",WORKDAY($D60,config!$B$27,calendar!$A$2:$A$80),$D60))</f>
        <v/>
      </c>
      <c r="P60" s="27">
        <f>IF($A60="","",N($E60)+N($F60))</f>
        <v/>
      </c>
      <c r="Q60" s="25">
        <f>IF($A60="","",IF($C60="credit_note",IF($H60&lt;&gt;"","refunded","credit applied"),IF($H60&lt;&gt;"",IF(N($I60)&gt;=$P60-0.005,"paid",IF(AND($C60="standard_balance",N($I60)+(-SUMPRODUCT((invoices!$B$2:$B$151=$B60)*(invoices!$C$2:$C$151="credit_note")*(LEN(invoices!$H$2:$H$151)=0)*invoices!$E$2:$E$151))&gt;=$P60-0.005),"paid (less credit)","part paid")),IF($D60="","draft",IF(IF(config!$B$37&lt;&gt;"",config!$B$37,TODAY())&gt;$O60,"overdue","sent")))))</f>
        <v/>
      </c>
      <c r="R60" s="25">
        <f>IF($A60="","",IF(OR($C60="founding_full",$C60="standard_deposit"),"Y","N"))</f>
        <v/>
      </c>
      <c r="S60" s="25">
        <f>IF($A60="","",IF(COUNTIF(invoices!$A$2:$A$151,$A60)&gt;1,"DUPLICATE invoice number; ","")&amp;IF(COUNTIF(campaigns!$A$2:$A$51,$B60)=0,"campaign_id missing or not on campaigns; ","")&amp;IF(AND($C60&lt;&gt;"credit_note",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lt;&gt;"",ABS(N($E60)-N(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gt;0.005),"amount differs from the price ("&amp;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amp;") - credit notes go on their own row; ","")&amp;IF(AND($C60="credit_note",N($E60)&gt;=0),"a credit note is negative; ","")&amp;IF(AND($H60&lt;&gt;"",N($I60)&gt;$P60+0.005,$C60&lt;&gt;"credit_note"),"paid more than the total; ","")&amp;IF(AND($H60&lt;&gt;"",$J60=""),"method?; ",""))</f>
        <v/>
      </c>
    </row>
    <row r="61">
      <c r="D61" s="9" t="n"/>
      <c r="E61" s="10" t="n"/>
      <c r="F61" s="10" t="n"/>
      <c r="H61" s="9" t="n"/>
      <c r="I61" s="10" t="n"/>
      <c r="L61" s="10" t="n"/>
      <c r="N61" s="25">
        <f>IF($B61="","",IFERROR(IF(INDEX(campaigns!$BE$2:$BE$51,MATCH($B61,campaigns!$A$2:$A$51,0))="","",INDEX(campaigns!$BE$2:$BE$51,MATCH($B61,campaigns!$A$2:$A$51,0))),""))</f>
        <v/>
      </c>
      <c r="O61" s="26">
        <f>IF(OR($A61="",$D61=""),"",IF($C61="founding_full",WORKDAY($D61,config!$B$27,calendar!$A$2:$A$80),$D61))</f>
        <v/>
      </c>
      <c r="P61" s="27">
        <f>IF($A61="","",N($E61)+N($F61))</f>
        <v/>
      </c>
      <c r="Q61" s="25">
        <f>IF($A61="","",IF($C61="credit_note",IF($H61&lt;&gt;"","refunded","credit applied"),IF($H61&lt;&gt;"",IF(N($I61)&gt;=$P61-0.005,"paid",IF(AND($C61="standard_balance",N($I61)+(-SUMPRODUCT((invoices!$B$2:$B$151=$B61)*(invoices!$C$2:$C$151="credit_note")*(LEN(invoices!$H$2:$H$151)=0)*invoices!$E$2:$E$151))&gt;=$P61-0.005),"paid (less credit)","part paid")),IF($D61="","draft",IF(IF(config!$B$37&lt;&gt;"",config!$B$37,TODAY())&gt;$O61,"overdue","sent")))))</f>
        <v/>
      </c>
      <c r="R61" s="25">
        <f>IF($A61="","",IF(OR($C61="founding_full",$C61="standard_deposit"),"Y","N"))</f>
        <v/>
      </c>
      <c r="S61" s="25">
        <f>IF($A61="","",IF(COUNTIF(invoices!$A$2:$A$151,$A61)&gt;1,"DUPLICATE invoice number; ","")&amp;IF(COUNTIF(campaigns!$A$2:$A$51,$B61)=0,"campaign_id missing or not on campaigns; ","")&amp;IF(AND($C61&lt;&gt;"credit_note",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lt;&gt;"",ABS(N($E61)-N(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gt;0.005),"amount differs from the price ("&amp;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amp;") - credit notes go on their own row; ","")&amp;IF(AND($C61="credit_note",N($E61)&gt;=0),"a credit note is negative; ","")&amp;IF(AND($H61&lt;&gt;"",N($I61)&gt;$P61+0.005,$C61&lt;&gt;"credit_note"),"paid more than the total; ","")&amp;IF(AND($H61&lt;&gt;"",$J61=""),"method?; ",""))</f>
        <v/>
      </c>
    </row>
    <row r="62">
      <c r="D62" s="9" t="n"/>
      <c r="E62" s="10" t="n"/>
      <c r="F62" s="10" t="n"/>
      <c r="H62" s="9" t="n"/>
      <c r="I62" s="10" t="n"/>
      <c r="L62" s="10" t="n"/>
      <c r="N62" s="25">
        <f>IF($B62="","",IFERROR(IF(INDEX(campaigns!$BE$2:$BE$51,MATCH($B62,campaigns!$A$2:$A$51,0))="","",INDEX(campaigns!$BE$2:$BE$51,MATCH($B62,campaigns!$A$2:$A$51,0))),""))</f>
        <v/>
      </c>
      <c r="O62" s="26">
        <f>IF(OR($A62="",$D62=""),"",IF($C62="founding_full",WORKDAY($D62,config!$B$27,calendar!$A$2:$A$80),$D62))</f>
        <v/>
      </c>
      <c r="P62" s="27">
        <f>IF($A62="","",N($E62)+N($F62))</f>
        <v/>
      </c>
      <c r="Q62" s="25">
        <f>IF($A62="","",IF($C62="credit_note",IF($H62&lt;&gt;"","refunded","credit applied"),IF($H62&lt;&gt;"",IF(N($I62)&gt;=$P62-0.005,"paid",IF(AND($C62="standard_balance",N($I62)+(-SUMPRODUCT((invoices!$B$2:$B$151=$B62)*(invoices!$C$2:$C$151="credit_note")*(LEN(invoices!$H$2:$H$151)=0)*invoices!$E$2:$E$151))&gt;=$P62-0.005),"paid (less credit)","part paid")),IF($D62="","draft",IF(IF(config!$B$37&lt;&gt;"",config!$B$37,TODAY())&gt;$O62,"overdue","sent")))))</f>
        <v/>
      </c>
      <c r="R62" s="25">
        <f>IF($A62="","",IF(OR($C62="founding_full",$C62="standard_deposit"),"Y","N"))</f>
        <v/>
      </c>
      <c r="S62" s="25">
        <f>IF($A62="","",IF(COUNTIF(invoices!$A$2:$A$151,$A62)&gt;1,"DUPLICATE invoice number; ","")&amp;IF(COUNTIF(campaigns!$A$2:$A$51,$B62)=0,"campaign_id missing or not on campaigns; ","")&amp;IF(AND($C62&lt;&gt;"credit_note",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lt;&gt;"",ABS(N($E62)-N(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gt;0.005),"amount differs from the price ("&amp;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amp;") - credit notes go on their own row; ","")&amp;IF(AND($C62="credit_note",N($E62)&gt;=0),"a credit note is negative; ","")&amp;IF(AND($H62&lt;&gt;"",N($I62)&gt;$P62+0.005,$C62&lt;&gt;"credit_note"),"paid more than the total; ","")&amp;IF(AND($H62&lt;&gt;"",$J62=""),"method?; ",""))</f>
        <v/>
      </c>
    </row>
    <row r="63">
      <c r="D63" s="9" t="n"/>
      <c r="E63" s="10" t="n"/>
      <c r="F63" s="10" t="n"/>
      <c r="H63" s="9" t="n"/>
      <c r="I63" s="10" t="n"/>
      <c r="L63" s="10" t="n"/>
      <c r="N63" s="25">
        <f>IF($B63="","",IFERROR(IF(INDEX(campaigns!$BE$2:$BE$51,MATCH($B63,campaigns!$A$2:$A$51,0))="","",INDEX(campaigns!$BE$2:$BE$51,MATCH($B63,campaigns!$A$2:$A$51,0))),""))</f>
        <v/>
      </c>
      <c r="O63" s="26">
        <f>IF(OR($A63="",$D63=""),"",IF($C63="founding_full",WORKDAY($D63,config!$B$27,calendar!$A$2:$A$80),$D63))</f>
        <v/>
      </c>
      <c r="P63" s="27">
        <f>IF($A63="","",N($E63)+N($F63))</f>
        <v/>
      </c>
      <c r="Q63" s="25">
        <f>IF($A63="","",IF($C63="credit_note",IF($H63&lt;&gt;"","refunded","credit applied"),IF($H63&lt;&gt;"",IF(N($I63)&gt;=$P63-0.005,"paid",IF(AND($C63="standard_balance",N($I63)+(-SUMPRODUCT((invoices!$B$2:$B$151=$B63)*(invoices!$C$2:$C$151="credit_note")*(LEN(invoices!$H$2:$H$151)=0)*invoices!$E$2:$E$151))&gt;=$P63-0.005),"paid (less credit)","part paid")),IF($D63="","draft",IF(IF(config!$B$37&lt;&gt;"",config!$B$37,TODAY())&gt;$O63,"overdue","sent")))))</f>
        <v/>
      </c>
      <c r="R63" s="25">
        <f>IF($A63="","",IF(OR($C63="founding_full",$C63="standard_deposit"),"Y","N"))</f>
        <v/>
      </c>
      <c r="S63" s="25">
        <f>IF($A63="","",IF(COUNTIF(invoices!$A$2:$A$151,$A63)&gt;1,"DUPLICATE invoice number; ","")&amp;IF(COUNTIF(campaigns!$A$2:$A$51,$B63)=0,"campaign_id missing or not on campaigns; ","")&amp;IF(AND($C63&lt;&gt;"credit_note",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lt;&gt;"",ABS(N($E63)-N(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gt;0.005),"amount differs from the price ("&amp;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amp;") - credit notes go on their own row; ","")&amp;IF(AND($C63="credit_note",N($E63)&gt;=0),"a credit note is negative; ","")&amp;IF(AND($H63&lt;&gt;"",N($I63)&gt;$P63+0.005,$C63&lt;&gt;"credit_note"),"paid more than the total; ","")&amp;IF(AND($H63&lt;&gt;"",$J63=""),"method?; ",""))</f>
        <v/>
      </c>
    </row>
    <row r="64">
      <c r="D64" s="9" t="n"/>
      <c r="E64" s="10" t="n"/>
      <c r="F64" s="10" t="n"/>
      <c r="H64" s="9" t="n"/>
      <c r="I64" s="10" t="n"/>
      <c r="L64" s="10" t="n"/>
      <c r="N64" s="25">
        <f>IF($B64="","",IFERROR(IF(INDEX(campaigns!$BE$2:$BE$51,MATCH($B64,campaigns!$A$2:$A$51,0))="","",INDEX(campaigns!$BE$2:$BE$51,MATCH($B64,campaigns!$A$2:$A$51,0))),""))</f>
        <v/>
      </c>
      <c r="O64" s="26">
        <f>IF(OR($A64="",$D64=""),"",IF($C64="founding_full",WORKDAY($D64,config!$B$27,calendar!$A$2:$A$80),$D64))</f>
        <v/>
      </c>
      <c r="P64" s="27">
        <f>IF($A64="","",N($E64)+N($F64))</f>
        <v/>
      </c>
      <c r="Q64" s="25">
        <f>IF($A64="","",IF($C64="credit_note",IF($H64&lt;&gt;"","refunded","credit applied"),IF($H64&lt;&gt;"",IF(N($I64)&gt;=$P64-0.005,"paid",IF(AND($C64="standard_balance",N($I64)+(-SUMPRODUCT((invoices!$B$2:$B$151=$B64)*(invoices!$C$2:$C$151="credit_note")*(LEN(invoices!$H$2:$H$151)=0)*invoices!$E$2:$E$151))&gt;=$P64-0.005),"paid (less credit)","part paid")),IF($D64="","draft",IF(IF(config!$B$37&lt;&gt;"",config!$B$37,TODAY())&gt;$O64,"overdue","sent")))))</f>
        <v/>
      </c>
      <c r="R64" s="25">
        <f>IF($A64="","",IF(OR($C64="founding_full",$C64="standard_deposit"),"Y","N"))</f>
        <v/>
      </c>
      <c r="S64" s="25">
        <f>IF($A64="","",IF(COUNTIF(invoices!$A$2:$A$151,$A64)&gt;1,"DUPLICATE invoice number; ","")&amp;IF(COUNTIF(campaigns!$A$2:$A$51,$B64)=0,"campaign_id missing or not on campaigns; ","")&amp;IF(AND($C64&lt;&gt;"credit_note",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lt;&gt;"",ABS(N($E64)-N(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gt;0.005),"amount differs from the price ("&amp;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amp;") - credit notes go on their own row; ","")&amp;IF(AND($C64="credit_note",N($E64)&gt;=0),"a credit note is negative; ","")&amp;IF(AND($H64&lt;&gt;"",N($I64)&gt;$P64+0.005,$C64&lt;&gt;"credit_note"),"paid more than the total; ","")&amp;IF(AND($H64&lt;&gt;"",$J64=""),"method?; ",""))</f>
        <v/>
      </c>
    </row>
    <row r="65">
      <c r="D65" s="9" t="n"/>
      <c r="E65" s="10" t="n"/>
      <c r="F65" s="10" t="n"/>
      <c r="H65" s="9" t="n"/>
      <c r="I65" s="10" t="n"/>
      <c r="L65" s="10" t="n"/>
      <c r="N65" s="25">
        <f>IF($B65="","",IFERROR(IF(INDEX(campaigns!$BE$2:$BE$51,MATCH($B65,campaigns!$A$2:$A$51,0))="","",INDEX(campaigns!$BE$2:$BE$51,MATCH($B65,campaigns!$A$2:$A$51,0))),""))</f>
        <v/>
      </c>
      <c r="O65" s="26">
        <f>IF(OR($A65="",$D65=""),"",IF($C65="founding_full",WORKDAY($D65,config!$B$27,calendar!$A$2:$A$80),$D65))</f>
        <v/>
      </c>
      <c r="P65" s="27">
        <f>IF($A65="","",N($E65)+N($F65))</f>
        <v/>
      </c>
      <c r="Q65" s="25">
        <f>IF($A65="","",IF($C65="credit_note",IF($H65&lt;&gt;"","refunded","credit applied"),IF($H65&lt;&gt;"",IF(N($I65)&gt;=$P65-0.005,"paid",IF(AND($C65="standard_balance",N($I65)+(-SUMPRODUCT((invoices!$B$2:$B$151=$B65)*(invoices!$C$2:$C$151="credit_note")*(LEN(invoices!$H$2:$H$151)=0)*invoices!$E$2:$E$151))&gt;=$P65-0.005),"paid (less credit)","part paid")),IF($D65="","draft",IF(IF(config!$B$37&lt;&gt;"",config!$B$37,TODAY())&gt;$O65,"overdue","sent")))))</f>
        <v/>
      </c>
      <c r="R65" s="25">
        <f>IF($A65="","",IF(OR($C65="founding_full",$C65="standard_deposit"),"Y","N"))</f>
        <v/>
      </c>
      <c r="S65" s="25">
        <f>IF($A65="","",IF(COUNTIF(invoices!$A$2:$A$151,$A65)&gt;1,"DUPLICATE invoice number; ","")&amp;IF(COUNTIF(campaigns!$A$2:$A$51,$B65)=0,"campaign_id missing or not on campaigns; ","")&amp;IF(AND($C65&lt;&gt;"credit_note",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lt;&gt;"",ABS(N($E65)-N(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gt;0.005),"amount differs from the price ("&amp;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amp;") - credit notes go on their own row; ","")&amp;IF(AND($C65="credit_note",N($E65)&gt;=0),"a credit note is negative; ","")&amp;IF(AND($H65&lt;&gt;"",N($I65)&gt;$P65+0.005,$C65&lt;&gt;"credit_note"),"paid more than the total; ","")&amp;IF(AND($H65&lt;&gt;"",$J65=""),"method?; ",""))</f>
        <v/>
      </c>
    </row>
    <row r="66">
      <c r="D66" s="9" t="n"/>
      <c r="E66" s="10" t="n"/>
      <c r="F66" s="10" t="n"/>
      <c r="H66" s="9" t="n"/>
      <c r="I66" s="10" t="n"/>
      <c r="L66" s="10" t="n"/>
      <c r="N66" s="25">
        <f>IF($B66="","",IFERROR(IF(INDEX(campaigns!$BE$2:$BE$51,MATCH($B66,campaigns!$A$2:$A$51,0))="","",INDEX(campaigns!$BE$2:$BE$51,MATCH($B66,campaigns!$A$2:$A$51,0))),""))</f>
        <v/>
      </c>
      <c r="O66" s="26">
        <f>IF(OR($A66="",$D66=""),"",IF($C66="founding_full",WORKDAY($D66,config!$B$27,calendar!$A$2:$A$80),$D66))</f>
        <v/>
      </c>
      <c r="P66" s="27">
        <f>IF($A66="","",N($E66)+N($F66))</f>
        <v/>
      </c>
      <c r="Q66" s="25">
        <f>IF($A66="","",IF($C66="credit_note",IF($H66&lt;&gt;"","refunded","credit applied"),IF($H66&lt;&gt;"",IF(N($I66)&gt;=$P66-0.005,"paid",IF(AND($C66="standard_balance",N($I66)+(-SUMPRODUCT((invoices!$B$2:$B$151=$B66)*(invoices!$C$2:$C$151="credit_note")*(LEN(invoices!$H$2:$H$151)=0)*invoices!$E$2:$E$151))&gt;=$P66-0.005),"paid (less credit)","part paid")),IF($D66="","draft",IF(IF(config!$B$37&lt;&gt;"",config!$B$37,TODAY())&gt;$O66,"overdue","sent")))))</f>
        <v/>
      </c>
      <c r="R66" s="25">
        <f>IF($A66="","",IF(OR($C66="founding_full",$C66="standard_deposit"),"Y","N"))</f>
        <v/>
      </c>
      <c r="S66" s="25">
        <f>IF($A66="","",IF(COUNTIF(invoices!$A$2:$A$151,$A66)&gt;1,"DUPLICATE invoice number; ","")&amp;IF(COUNTIF(campaigns!$A$2:$A$51,$B66)=0,"campaign_id missing or not on campaigns; ","")&amp;IF(AND($C66&lt;&gt;"credit_note",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lt;&gt;"",ABS(N($E66)-N(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gt;0.005),"amount differs from the price ("&amp;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amp;") - credit notes go on their own row; ","")&amp;IF(AND($C66="credit_note",N($E66)&gt;=0),"a credit note is negative; ","")&amp;IF(AND($H66&lt;&gt;"",N($I66)&gt;$P66+0.005,$C66&lt;&gt;"credit_note"),"paid more than the total; ","")&amp;IF(AND($H66&lt;&gt;"",$J66=""),"method?; ",""))</f>
        <v/>
      </c>
    </row>
    <row r="67">
      <c r="D67" s="9" t="n"/>
      <c r="E67" s="10" t="n"/>
      <c r="F67" s="10" t="n"/>
      <c r="H67" s="9" t="n"/>
      <c r="I67" s="10" t="n"/>
      <c r="L67" s="10" t="n"/>
      <c r="N67" s="25">
        <f>IF($B67="","",IFERROR(IF(INDEX(campaigns!$BE$2:$BE$51,MATCH($B67,campaigns!$A$2:$A$51,0))="","",INDEX(campaigns!$BE$2:$BE$51,MATCH($B67,campaigns!$A$2:$A$51,0))),""))</f>
        <v/>
      </c>
      <c r="O67" s="26">
        <f>IF(OR($A67="",$D67=""),"",IF($C67="founding_full",WORKDAY($D67,config!$B$27,calendar!$A$2:$A$80),$D67))</f>
        <v/>
      </c>
      <c r="P67" s="27">
        <f>IF($A67="","",N($E67)+N($F67))</f>
        <v/>
      </c>
      <c r="Q67" s="25">
        <f>IF($A67="","",IF($C67="credit_note",IF($H67&lt;&gt;"","refunded","credit applied"),IF($H67&lt;&gt;"",IF(N($I67)&gt;=$P67-0.005,"paid",IF(AND($C67="standard_balance",N($I67)+(-SUMPRODUCT((invoices!$B$2:$B$151=$B67)*(invoices!$C$2:$C$151="credit_note")*(LEN(invoices!$H$2:$H$151)=0)*invoices!$E$2:$E$151))&gt;=$P67-0.005),"paid (less credit)","part paid")),IF($D67="","draft",IF(IF(config!$B$37&lt;&gt;"",config!$B$37,TODAY())&gt;$O67,"overdue","sent")))))</f>
        <v/>
      </c>
      <c r="R67" s="25">
        <f>IF($A67="","",IF(OR($C67="founding_full",$C67="standard_deposit"),"Y","N"))</f>
        <v/>
      </c>
      <c r="S67" s="25">
        <f>IF($A67="","",IF(COUNTIF(invoices!$A$2:$A$151,$A67)&gt;1,"DUPLICATE invoice number; ","")&amp;IF(COUNTIF(campaigns!$A$2:$A$51,$B67)=0,"campaign_id missing or not on campaigns; ","")&amp;IF(AND($C67&lt;&gt;"credit_note",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lt;&gt;"",ABS(N($E67)-N(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gt;0.005),"amount differs from the price ("&amp;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amp;") - credit notes go on their own row; ","")&amp;IF(AND($C67="credit_note",N($E67)&gt;=0),"a credit note is negative; ","")&amp;IF(AND($H67&lt;&gt;"",N($I67)&gt;$P67+0.005,$C67&lt;&gt;"credit_note"),"paid more than the total; ","")&amp;IF(AND($H67&lt;&gt;"",$J67=""),"method?; ",""))</f>
        <v/>
      </c>
    </row>
    <row r="68">
      <c r="D68" s="9" t="n"/>
      <c r="E68" s="10" t="n"/>
      <c r="F68" s="10" t="n"/>
      <c r="H68" s="9" t="n"/>
      <c r="I68" s="10" t="n"/>
      <c r="L68" s="10" t="n"/>
      <c r="N68" s="25">
        <f>IF($B68="","",IFERROR(IF(INDEX(campaigns!$BE$2:$BE$51,MATCH($B68,campaigns!$A$2:$A$51,0))="","",INDEX(campaigns!$BE$2:$BE$51,MATCH($B68,campaigns!$A$2:$A$51,0))),""))</f>
        <v/>
      </c>
      <c r="O68" s="26">
        <f>IF(OR($A68="",$D68=""),"",IF($C68="founding_full",WORKDAY($D68,config!$B$27,calendar!$A$2:$A$80),$D68))</f>
        <v/>
      </c>
      <c r="P68" s="27">
        <f>IF($A68="","",N($E68)+N($F68))</f>
        <v/>
      </c>
      <c r="Q68" s="25">
        <f>IF($A68="","",IF($C68="credit_note",IF($H68&lt;&gt;"","refunded","credit applied"),IF($H68&lt;&gt;"",IF(N($I68)&gt;=$P68-0.005,"paid",IF(AND($C68="standard_balance",N($I68)+(-SUMPRODUCT((invoices!$B$2:$B$151=$B68)*(invoices!$C$2:$C$151="credit_note")*(LEN(invoices!$H$2:$H$151)=0)*invoices!$E$2:$E$151))&gt;=$P68-0.005),"paid (less credit)","part paid")),IF($D68="","draft",IF(IF(config!$B$37&lt;&gt;"",config!$B$37,TODAY())&gt;$O68,"overdue","sent")))))</f>
        <v/>
      </c>
      <c r="R68" s="25">
        <f>IF($A68="","",IF(OR($C68="founding_full",$C68="standard_deposit"),"Y","N"))</f>
        <v/>
      </c>
      <c r="S68" s="25">
        <f>IF($A68="","",IF(COUNTIF(invoices!$A$2:$A$151,$A68)&gt;1,"DUPLICATE invoice number; ","")&amp;IF(COUNTIF(campaigns!$A$2:$A$51,$B68)=0,"campaign_id missing or not on campaigns; ","")&amp;IF(AND($C68&lt;&gt;"credit_note",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lt;&gt;"",ABS(N($E68)-N(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gt;0.005),"amount differs from the price ("&amp;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amp;") - credit notes go on their own row; ","")&amp;IF(AND($C68="credit_note",N($E68)&gt;=0),"a credit note is negative; ","")&amp;IF(AND($H68&lt;&gt;"",N($I68)&gt;$P68+0.005,$C68&lt;&gt;"credit_note"),"paid more than the total; ","")&amp;IF(AND($H68&lt;&gt;"",$J68=""),"method?; ",""))</f>
        <v/>
      </c>
    </row>
    <row r="69">
      <c r="D69" s="9" t="n"/>
      <c r="E69" s="10" t="n"/>
      <c r="F69" s="10" t="n"/>
      <c r="H69" s="9" t="n"/>
      <c r="I69" s="10" t="n"/>
      <c r="L69" s="10" t="n"/>
      <c r="N69" s="25">
        <f>IF($B69="","",IFERROR(IF(INDEX(campaigns!$BE$2:$BE$51,MATCH($B69,campaigns!$A$2:$A$51,0))="","",INDEX(campaigns!$BE$2:$BE$51,MATCH($B69,campaigns!$A$2:$A$51,0))),""))</f>
        <v/>
      </c>
      <c r="O69" s="26">
        <f>IF(OR($A69="",$D69=""),"",IF($C69="founding_full",WORKDAY($D69,config!$B$27,calendar!$A$2:$A$80),$D69))</f>
        <v/>
      </c>
      <c r="P69" s="27">
        <f>IF($A69="","",N($E69)+N($F69))</f>
        <v/>
      </c>
      <c r="Q69" s="25">
        <f>IF($A69="","",IF($C69="credit_note",IF($H69&lt;&gt;"","refunded","credit applied"),IF($H69&lt;&gt;"",IF(N($I69)&gt;=$P69-0.005,"paid",IF(AND($C69="standard_balance",N($I69)+(-SUMPRODUCT((invoices!$B$2:$B$151=$B69)*(invoices!$C$2:$C$151="credit_note")*(LEN(invoices!$H$2:$H$151)=0)*invoices!$E$2:$E$151))&gt;=$P69-0.005),"paid (less credit)","part paid")),IF($D69="","draft",IF(IF(config!$B$37&lt;&gt;"",config!$B$37,TODAY())&gt;$O69,"overdue","sent")))))</f>
        <v/>
      </c>
      <c r="R69" s="25">
        <f>IF($A69="","",IF(OR($C69="founding_full",$C69="standard_deposit"),"Y","N"))</f>
        <v/>
      </c>
      <c r="S69" s="25">
        <f>IF($A69="","",IF(COUNTIF(invoices!$A$2:$A$151,$A69)&gt;1,"DUPLICATE invoice number; ","")&amp;IF(COUNTIF(campaigns!$A$2:$A$51,$B69)=0,"campaign_id missing or not on campaigns; ","")&amp;IF(AND($C69&lt;&gt;"credit_note",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lt;&gt;"",ABS(N($E69)-N(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gt;0.005),"amount differs from the price ("&amp;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amp;") - credit notes go on their own row; ","")&amp;IF(AND($C69="credit_note",N($E69)&gt;=0),"a credit note is negative; ","")&amp;IF(AND($H69&lt;&gt;"",N($I69)&gt;$P69+0.005,$C69&lt;&gt;"credit_note"),"paid more than the total; ","")&amp;IF(AND($H69&lt;&gt;"",$J69=""),"method?; ",""))</f>
        <v/>
      </c>
    </row>
    <row r="70">
      <c r="D70" s="9" t="n"/>
      <c r="E70" s="10" t="n"/>
      <c r="F70" s="10" t="n"/>
      <c r="H70" s="9" t="n"/>
      <c r="I70" s="10" t="n"/>
      <c r="L70" s="10" t="n"/>
      <c r="N70" s="25">
        <f>IF($B70="","",IFERROR(IF(INDEX(campaigns!$BE$2:$BE$51,MATCH($B70,campaigns!$A$2:$A$51,0))="","",INDEX(campaigns!$BE$2:$BE$51,MATCH($B70,campaigns!$A$2:$A$51,0))),""))</f>
        <v/>
      </c>
      <c r="O70" s="26">
        <f>IF(OR($A70="",$D70=""),"",IF($C70="founding_full",WORKDAY($D70,config!$B$27,calendar!$A$2:$A$80),$D70))</f>
        <v/>
      </c>
      <c r="P70" s="27">
        <f>IF($A70="","",N($E70)+N($F70))</f>
        <v/>
      </c>
      <c r="Q70" s="25">
        <f>IF($A70="","",IF($C70="credit_note",IF($H70&lt;&gt;"","refunded","credit applied"),IF($H70&lt;&gt;"",IF(N($I70)&gt;=$P70-0.005,"paid",IF(AND($C70="standard_balance",N($I70)+(-SUMPRODUCT((invoices!$B$2:$B$151=$B70)*(invoices!$C$2:$C$151="credit_note")*(LEN(invoices!$H$2:$H$151)=0)*invoices!$E$2:$E$151))&gt;=$P70-0.005),"paid (less credit)","part paid")),IF($D70="","draft",IF(IF(config!$B$37&lt;&gt;"",config!$B$37,TODAY())&gt;$O70,"overdue","sent")))))</f>
        <v/>
      </c>
      <c r="R70" s="25">
        <f>IF($A70="","",IF(OR($C70="founding_full",$C70="standard_deposit"),"Y","N"))</f>
        <v/>
      </c>
      <c r="S70" s="25">
        <f>IF($A70="","",IF(COUNTIF(invoices!$A$2:$A$151,$A70)&gt;1,"DUPLICATE invoice number; ","")&amp;IF(COUNTIF(campaigns!$A$2:$A$51,$B70)=0,"campaign_id missing or not on campaigns; ","")&amp;IF(AND($C70&lt;&gt;"credit_note",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lt;&gt;"",ABS(N($E70)-N(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gt;0.005),"amount differs from the price ("&amp;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amp;") - credit notes go on their own row; ","")&amp;IF(AND($C70="credit_note",N($E70)&gt;=0),"a credit note is negative; ","")&amp;IF(AND($H70&lt;&gt;"",N($I70)&gt;$P70+0.005,$C70&lt;&gt;"credit_note"),"paid more than the total; ","")&amp;IF(AND($H70&lt;&gt;"",$J70=""),"method?; ",""))</f>
        <v/>
      </c>
    </row>
    <row r="71">
      <c r="D71" s="9" t="n"/>
      <c r="E71" s="10" t="n"/>
      <c r="F71" s="10" t="n"/>
      <c r="H71" s="9" t="n"/>
      <c r="I71" s="10" t="n"/>
      <c r="L71" s="10" t="n"/>
      <c r="N71" s="25">
        <f>IF($B71="","",IFERROR(IF(INDEX(campaigns!$BE$2:$BE$51,MATCH($B71,campaigns!$A$2:$A$51,0))="","",INDEX(campaigns!$BE$2:$BE$51,MATCH($B71,campaigns!$A$2:$A$51,0))),""))</f>
        <v/>
      </c>
      <c r="O71" s="26">
        <f>IF(OR($A71="",$D71=""),"",IF($C71="founding_full",WORKDAY($D71,config!$B$27,calendar!$A$2:$A$80),$D71))</f>
        <v/>
      </c>
      <c r="P71" s="27">
        <f>IF($A71="","",N($E71)+N($F71))</f>
        <v/>
      </c>
      <c r="Q71" s="25">
        <f>IF($A71="","",IF($C71="credit_note",IF($H71&lt;&gt;"","refunded","credit applied"),IF($H71&lt;&gt;"",IF(N($I71)&gt;=$P71-0.005,"paid",IF(AND($C71="standard_balance",N($I71)+(-SUMPRODUCT((invoices!$B$2:$B$151=$B71)*(invoices!$C$2:$C$151="credit_note")*(LEN(invoices!$H$2:$H$151)=0)*invoices!$E$2:$E$151))&gt;=$P71-0.005),"paid (less credit)","part paid")),IF($D71="","draft",IF(IF(config!$B$37&lt;&gt;"",config!$B$37,TODAY())&gt;$O71,"overdue","sent")))))</f>
        <v/>
      </c>
      <c r="R71" s="25">
        <f>IF($A71="","",IF(OR($C71="founding_full",$C71="standard_deposit"),"Y","N"))</f>
        <v/>
      </c>
      <c r="S71" s="25">
        <f>IF($A71="","",IF(COUNTIF(invoices!$A$2:$A$151,$A71)&gt;1,"DUPLICATE invoice number; ","")&amp;IF(COUNTIF(campaigns!$A$2:$A$51,$B71)=0,"campaign_id missing or not on campaigns; ","")&amp;IF(AND($C71&lt;&gt;"credit_note",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lt;&gt;"",ABS(N($E71)-N(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gt;0.005),"amount differs from the price ("&amp;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amp;") - credit notes go on their own row; ","")&amp;IF(AND($C71="credit_note",N($E71)&gt;=0),"a credit note is negative; ","")&amp;IF(AND($H71&lt;&gt;"",N($I71)&gt;$P71+0.005,$C71&lt;&gt;"credit_note"),"paid more than the total; ","")&amp;IF(AND($H71&lt;&gt;"",$J71=""),"method?; ",""))</f>
        <v/>
      </c>
    </row>
    <row r="72">
      <c r="D72" s="9" t="n"/>
      <c r="E72" s="10" t="n"/>
      <c r="F72" s="10" t="n"/>
      <c r="H72" s="9" t="n"/>
      <c r="I72" s="10" t="n"/>
      <c r="L72" s="10" t="n"/>
      <c r="N72" s="25">
        <f>IF($B72="","",IFERROR(IF(INDEX(campaigns!$BE$2:$BE$51,MATCH($B72,campaigns!$A$2:$A$51,0))="","",INDEX(campaigns!$BE$2:$BE$51,MATCH($B72,campaigns!$A$2:$A$51,0))),""))</f>
        <v/>
      </c>
      <c r="O72" s="26">
        <f>IF(OR($A72="",$D72=""),"",IF($C72="founding_full",WORKDAY($D72,config!$B$27,calendar!$A$2:$A$80),$D72))</f>
        <v/>
      </c>
      <c r="P72" s="27">
        <f>IF($A72="","",N($E72)+N($F72))</f>
        <v/>
      </c>
      <c r="Q72" s="25">
        <f>IF($A72="","",IF($C72="credit_note",IF($H72&lt;&gt;"","refunded","credit applied"),IF($H72&lt;&gt;"",IF(N($I72)&gt;=$P72-0.005,"paid",IF(AND($C72="standard_balance",N($I72)+(-SUMPRODUCT((invoices!$B$2:$B$151=$B72)*(invoices!$C$2:$C$151="credit_note")*(LEN(invoices!$H$2:$H$151)=0)*invoices!$E$2:$E$151))&gt;=$P72-0.005),"paid (less credit)","part paid")),IF($D72="","draft",IF(IF(config!$B$37&lt;&gt;"",config!$B$37,TODAY())&gt;$O72,"overdue","sent")))))</f>
        <v/>
      </c>
      <c r="R72" s="25">
        <f>IF($A72="","",IF(OR($C72="founding_full",$C72="standard_deposit"),"Y","N"))</f>
        <v/>
      </c>
      <c r="S72" s="25">
        <f>IF($A72="","",IF(COUNTIF(invoices!$A$2:$A$151,$A72)&gt;1,"DUPLICATE invoice number; ","")&amp;IF(COUNTIF(campaigns!$A$2:$A$51,$B72)=0,"campaign_id missing or not on campaigns; ","")&amp;IF(AND($C72&lt;&gt;"credit_note",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lt;&gt;"",ABS(N($E72)-N(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gt;0.005),"amount differs from the price ("&amp;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amp;") - credit notes go on their own row; ","")&amp;IF(AND($C72="credit_note",N($E72)&gt;=0),"a credit note is negative; ","")&amp;IF(AND($H72&lt;&gt;"",N($I72)&gt;$P72+0.005,$C72&lt;&gt;"credit_note"),"paid more than the total; ","")&amp;IF(AND($H72&lt;&gt;"",$J72=""),"method?; ",""))</f>
        <v/>
      </c>
    </row>
    <row r="73">
      <c r="D73" s="9" t="n"/>
      <c r="E73" s="10" t="n"/>
      <c r="F73" s="10" t="n"/>
      <c r="H73" s="9" t="n"/>
      <c r="I73" s="10" t="n"/>
      <c r="L73" s="10" t="n"/>
      <c r="N73" s="25">
        <f>IF($B73="","",IFERROR(IF(INDEX(campaigns!$BE$2:$BE$51,MATCH($B73,campaigns!$A$2:$A$51,0))="","",INDEX(campaigns!$BE$2:$BE$51,MATCH($B73,campaigns!$A$2:$A$51,0))),""))</f>
        <v/>
      </c>
      <c r="O73" s="26">
        <f>IF(OR($A73="",$D73=""),"",IF($C73="founding_full",WORKDAY($D73,config!$B$27,calendar!$A$2:$A$80),$D73))</f>
        <v/>
      </c>
      <c r="P73" s="27">
        <f>IF($A73="","",N($E73)+N($F73))</f>
        <v/>
      </c>
      <c r="Q73" s="25">
        <f>IF($A73="","",IF($C73="credit_note",IF($H73&lt;&gt;"","refunded","credit applied"),IF($H73&lt;&gt;"",IF(N($I73)&gt;=$P73-0.005,"paid",IF(AND($C73="standard_balance",N($I73)+(-SUMPRODUCT((invoices!$B$2:$B$151=$B73)*(invoices!$C$2:$C$151="credit_note")*(LEN(invoices!$H$2:$H$151)=0)*invoices!$E$2:$E$151))&gt;=$P73-0.005),"paid (less credit)","part paid")),IF($D73="","draft",IF(IF(config!$B$37&lt;&gt;"",config!$B$37,TODAY())&gt;$O73,"overdue","sent")))))</f>
        <v/>
      </c>
      <c r="R73" s="25">
        <f>IF($A73="","",IF(OR($C73="founding_full",$C73="standard_deposit"),"Y","N"))</f>
        <v/>
      </c>
      <c r="S73" s="25">
        <f>IF($A73="","",IF(COUNTIF(invoices!$A$2:$A$151,$A73)&gt;1,"DUPLICATE invoice number; ","")&amp;IF(COUNTIF(campaigns!$A$2:$A$51,$B73)=0,"campaign_id missing or not on campaigns; ","")&amp;IF(AND($C73&lt;&gt;"credit_note",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lt;&gt;"",ABS(N($E73)-N(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gt;0.005),"amount differs from the price ("&amp;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amp;") - credit notes go on their own row; ","")&amp;IF(AND($C73="credit_note",N($E73)&gt;=0),"a credit note is negative; ","")&amp;IF(AND($H73&lt;&gt;"",N($I73)&gt;$P73+0.005,$C73&lt;&gt;"credit_note"),"paid more than the total; ","")&amp;IF(AND($H73&lt;&gt;"",$J73=""),"method?; ",""))</f>
        <v/>
      </c>
    </row>
    <row r="74">
      <c r="D74" s="9" t="n"/>
      <c r="E74" s="10" t="n"/>
      <c r="F74" s="10" t="n"/>
      <c r="H74" s="9" t="n"/>
      <c r="I74" s="10" t="n"/>
      <c r="L74" s="10" t="n"/>
      <c r="N74" s="25">
        <f>IF($B74="","",IFERROR(IF(INDEX(campaigns!$BE$2:$BE$51,MATCH($B74,campaigns!$A$2:$A$51,0))="","",INDEX(campaigns!$BE$2:$BE$51,MATCH($B74,campaigns!$A$2:$A$51,0))),""))</f>
        <v/>
      </c>
      <c r="O74" s="26">
        <f>IF(OR($A74="",$D74=""),"",IF($C74="founding_full",WORKDAY($D74,config!$B$27,calendar!$A$2:$A$80),$D74))</f>
        <v/>
      </c>
      <c r="P74" s="27">
        <f>IF($A74="","",N($E74)+N($F74))</f>
        <v/>
      </c>
      <c r="Q74" s="25">
        <f>IF($A74="","",IF($C74="credit_note",IF($H74&lt;&gt;"","refunded","credit applied"),IF($H74&lt;&gt;"",IF(N($I74)&gt;=$P74-0.005,"paid",IF(AND($C74="standard_balance",N($I74)+(-SUMPRODUCT((invoices!$B$2:$B$151=$B74)*(invoices!$C$2:$C$151="credit_note")*(LEN(invoices!$H$2:$H$151)=0)*invoices!$E$2:$E$151))&gt;=$P74-0.005),"paid (less credit)","part paid")),IF($D74="","draft",IF(IF(config!$B$37&lt;&gt;"",config!$B$37,TODAY())&gt;$O74,"overdue","sent")))))</f>
        <v/>
      </c>
      <c r="R74" s="25">
        <f>IF($A74="","",IF(OR($C74="founding_full",$C74="standard_deposit"),"Y","N"))</f>
        <v/>
      </c>
      <c r="S74" s="25">
        <f>IF($A74="","",IF(COUNTIF(invoices!$A$2:$A$151,$A74)&gt;1,"DUPLICATE invoice number; ","")&amp;IF(COUNTIF(campaigns!$A$2:$A$51,$B74)=0,"campaign_id missing or not on campaigns; ","")&amp;IF(AND($C74&lt;&gt;"credit_note",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lt;&gt;"",ABS(N($E74)-N(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gt;0.005),"amount differs from the price ("&amp;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amp;") - credit notes go on their own row; ","")&amp;IF(AND($C74="credit_note",N($E74)&gt;=0),"a credit note is negative; ","")&amp;IF(AND($H74&lt;&gt;"",N($I74)&gt;$P74+0.005,$C74&lt;&gt;"credit_note"),"paid more than the total; ","")&amp;IF(AND($H74&lt;&gt;"",$J74=""),"method?; ",""))</f>
        <v/>
      </c>
    </row>
    <row r="75">
      <c r="D75" s="9" t="n"/>
      <c r="E75" s="10" t="n"/>
      <c r="F75" s="10" t="n"/>
      <c r="H75" s="9" t="n"/>
      <c r="I75" s="10" t="n"/>
      <c r="L75" s="10" t="n"/>
      <c r="N75" s="25">
        <f>IF($B75="","",IFERROR(IF(INDEX(campaigns!$BE$2:$BE$51,MATCH($B75,campaigns!$A$2:$A$51,0))="","",INDEX(campaigns!$BE$2:$BE$51,MATCH($B75,campaigns!$A$2:$A$51,0))),""))</f>
        <v/>
      </c>
      <c r="O75" s="26">
        <f>IF(OR($A75="",$D75=""),"",IF($C75="founding_full",WORKDAY($D75,config!$B$27,calendar!$A$2:$A$80),$D75))</f>
        <v/>
      </c>
      <c r="P75" s="27">
        <f>IF($A75="","",N($E75)+N($F75))</f>
        <v/>
      </c>
      <c r="Q75" s="25">
        <f>IF($A75="","",IF($C75="credit_note",IF($H75&lt;&gt;"","refunded","credit applied"),IF($H75&lt;&gt;"",IF(N($I75)&gt;=$P75-0.005,"paid",IF(AND($C75="standard_balance",N($I75)+(-SUMPRODUCT((invoices!$B$2:$B$151=$B75)*(invoices!$C$2:$C$151="credit_note")*(LEN(invoices!$H$2:$H$151)=0)*invoices!$E$2:$E$151))&gt;=$P75-0.005),"paid (less credit)","part paid")),IF($D75="","draft",IF(IF(config!$B$37&lt;&gt;"",config!$B$37,TODAY())&gt;$O75,"overdue","sent")))))</f>
        <v/>
      </c>
      <c r="R75" s="25">
        <f>IF($A75="","",IF(OR($C75="founding_full",$C75="standard_deposit"),"Y","N"))</f>
        <v/>
      </c>
      <c r="S75" s="25">
        <f>IF($A75="","",IF(COUNTIF(invoices!$A$2:$A$151,$A75)&gt;1,"DUPLICATE invoice number; ","")&amp;IF(COUNTIF(campaigns!$A$2:$A$51,$B75)=0,"campaign_id missing or not on campaigns; ","")&amp;IF(AND($C75&lt;&gt;"credit_note",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lt;&gt;"",ABS(N($E75)-N(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gt;0.005),"amount differs from the price ("&amp;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amp;") - credit notes go on their own row; ","")&amp;IF(AND($C75="credit_note",N($E75)&gt;=0),"a credit note is negative; ","")&amp;IF(AND($H75&lt;&gt;"",N($I75)&gt;$P75+0.005,$C75&lt;&gt;"credit_note"),"paid more than the total; ","")&amp;IF(AND($H75&lt;&gt;"",$J75=""),"method?; ",""))</f>
        <v/>
      </c>
    </row>
    <row r="76">
      <c r="D76" s="9" t="n"/>
      <c r="E76" s="10" t="n"/>
      <c r="F76" s="10" t="n"/>
      <c r="H76" s="9" t="n"/>
      <c r="I76" s="10" t="n"/>
      <c r="L76" s="10" t="n"/>
      <c r="N76" s="25">
        <f>IF($B76="","",IFERROR(IF(INDEX(campaigns!$BE$2:$BE$51,MATCH($B76,campaigns!$A$2:$A$51,0))="","",INDEX(campaigns!$BE$2:$BE$51,MATCH($B76,campaigns!$A$2:$A$51,0))),""))</f>
        <v/>
      </c>
      <c r="O76" s="26">
        <f>IF(OR($A76="",$D76=""),"",IF($C76="founding_full",WORKDAY($D76,config!$B$27,calendar!$A$2:$A$80),$D76))</f>
        <v/>
      </c>
      <c r="P76" s="27">
        <f>IF($A76="","",N($E76)+N($F76))</f>
        <v/>
      </c>
      <c r="Q76" s="25">
        <f>IF($A76="","",IF($C76="credit_note",IF($H76&lt;&gt;"","refunded","credit applied"),IF($H76&lt;&gt;"",IF(N($I76)&gt;=$P76-0.005,"paid",IF(AND($C76="standard_balance",N($I76)+(-SUMPRODUCT((invoices!$B$2:$B$151=$B76)*(invoices!$C$2:$C$151="credit_note")*(LEN(invoices!$H$2:$H$151)=0)*invoices!$E$2:$E$151))&gt;=$P76-0.005),"paid (less credit)","part paid")),IF($D76="","draft",IF(IF(config!$B$37&lt;&gt;"",config!$B$37,TODAY())&gt;$O76,"overdue","sent")))))</f>
        <v/>
      </c>
      <c r="R76" s="25">
        <f>IF($A76="","",IF(OR($C76="founding_full",$C76="standard_deposit"),"Y","N"))</f>
        <v/>
      </c>
      <c r="S76" s="25">
        <f>IF($A76="","",IF(COUNTIF(invoices!$A$2:$A$151,$A76)&gt;1,"DUPLICATE invoice number; ","")&amp;IF(COUNTIF(campaigns!$A$2:$A$51,$B76)=0,"campaign_id missing or not on campaigns; ","")&amp;IF(AND($C76&lt;&gt;"credit_note",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lt;&gt;"",ABS(N($E76)-N(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gt;0.005),"amount differs from the price ("&amp;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amp;") - credit notes go on their own row; ","")&amp;IF(AND($C76="credit_note",N($E76)&gt;=0),"a credit note is negative; ","")&amp;IF(AND($H76&lt;&gt;"",N($I76)&gt;$P76+0.005,$C76&lt;&gt;"credit_note"),"paid more than the total; ","")&amp;IF(AND($H76&lt;&gt;"",$J76=""),"method?; ",""))</f>
        <v/>
      </c>
    </row>
    <row r="77">
      <c r="D77" s="9" t="n"/>
      <c r="E77" s="10" t="n"/>
      <c r="F77" s="10" t="n"/>
      <c r="H77" s="9" t="n"/>
      <c r="I77" s="10" t="n"/>
      <c r="L77" s="10" t="n"/>
      <c r="N77" s="25">
        <f>IF($B77="","",IFERROR(IF(INDEX(campaigns!$BE$2:$BE$51,MATCH($B77,campaigns!$A$2:$A$51,0))="","",INDEX(campaigns!$BE$2:$BE$51,MATCH($B77,campaigns!$A$2:$A$51,0))),""))</f>
        <v/>
      </c>
      <c r="O77" s="26">
        <f>IF(OR($A77="",$D77=""),"",IF($C77="founding_full",WORKDAY($D77,config!$B$27,calendar!$A$2:$A$80),$D77))</f>
        <v/>
      </c>
      <c r="P77" s="27">
        <f>IF($A77="","",N($E77)+N($F77))</f>
        <v/>
      </c>
      <c r="Q77" s="25">
        <f>IF($A77="","",IF($C77="credit_note",IF($H77&lt;&gt;"","refunded","credit applied"),IF($H77&lt;&gt;"",IF(N($I77)&gt;=$P77-0.005,"paid",IF(AND($C77="standard_balance",N($I77)+(-SUMPRODUCT((invoices!$B$2:$B$151=$B77)*(invoices!$C$2:$C$151="credit_note")*(LEN(invoices!$H$2:$H$151)=0)*invoices!$E$2:$E$151))&gt;=$P77-0.005),"paid (less credit)","part paid")),IF($D77="","draft",IF(IF(config!$B$37&lt;&gt;"",config!$B$37,TODAY())&gt;$O77,"overdue","sent")))))</f>
        <v/>
      </c>
      <c r="R77" s="25">
        <f>IF($A77="","",IF(OR($C77="founding_full",$C77="standard_deposit"),"Y","N"))</f>
        <v/>
      </c>
      <c r="S77" s="25">
        <f>IF($A77="","",IF(COUNTIF(invoices!$A$2:$A$151,$A77)&gt;1,"DUPLICATE invoice number; ","")&amp;IF(COUNTIF(campaigns!$A$2:$A$51,$B77)=0,"campaign_id missing or not on campaigns; ","")&amp;IF(AND($C77&lt;&gt;"credit_note",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lt;&gt;"",ABS(N($E77)-N(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gt;0.005),"amount differs from the price ("&amp;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amp;") - credit notes go on their own row; ","")&amp;IF(AND($C77="credit_note",N($E77)&gt;=0),"a credit note is negative; ","")&amp;IF(AND($H77&lt;&gt;"",N($I77)&gt;$P77+0.005,$C77&lt;&gt;"credit_note"),"paid more than the total; ","")&amp;IF(AND($H77&lt;&gt;"",$J77=""),"method?; ",""))</f>
        <v/>
      </c>
    </row>
    <row r="78">
      <c r="D78" s="9" t="n"/>
      <c r="E78" s="10" t="n"/>
      <c r="F78" s="10" t="n"/>
      <c r="H78" s="9" t="n"/>
      <c r="I78" s="10" t="n"/>
      <c r="L78" s="10" t="n"/>
      <c r="N78" s="25">
        <f>IF($B78="","",IFERROR(IF(INDEX(campaigns!$BE$2:$BE$51,MATCH($B78,campaigns!$A$2:$A$51,0))="","",INDEX(campaigns!$BE$2:$BE$51,MATCH($B78,campaigns!$A$2:$A$51,0))),""))</f>
        <v/>
      </c>
      <c r="O78" s="26">
        <f>IF(OR($A78="",$D78=""),"",IF($C78="founding_full",WORKDAY($D78,config!$B$27,calendar!$A$2:$A$80),$D78))</f>
        <v/>
      </c>
      <c r="P78" s="27">
        <f>IF($A78="","",N($E78)+N($F78))</f>
        <v/>
      </c>
      <c r="Q78" s="25">
        <f>IF($A78="","",IF($C78="credit_note",IF($H78&lt;&gt;"","refunded","credit applied"),IF($H78&lt;&gt;"",IF(N($I78)&gt;=$P78-0.005,"paid",IF(AND($C78="standard_balance",N($I78)+(-SUMPRODUCT((invoices!$B$2:$B$151=$B78)*(invoices!$C$2:$C$151="credit_note")*(LEN(invoices!$H$2:$H$151)=0)*invoices!$E$2:$E$151))&gt;=$P78-0.005),"paid (less credit)","part paid")),IF($D78="","draft",IF(IF(config!$B$37&lt;&gt;"",config!$B$37,TODAY())&gt;$O78,"overdue","sent")))))</f>
        <v/>
      </c>
      <c r="R78" s="25">
        <f>IF($A78="","",IF(OR($C78="founding_full",$C78="standard_deposit"),"Y","N"))</f>
        <v/>
      </c>
      <c r="S78" s="25">
        <f>IF($A78="","",IF(COUNTIF(invoices!$A$2:$A$151,$A78)&gt;1,"DUPLICATE invoice number; ","")&amp;IF(COUNTIF(campaigns!$A$2:$A$51,$B78)=0,"campaign_id missing or not on campaigns; ","")&amp;IF(AND($C78&lt;&gt;"credit_note",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lt;&gt;"",ABS(N($E78)-N(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gt;0.005),"amount differs from the price ("&amp;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amp;") - credit notes go on their own row; ","")&amp;IF(AND($C78="credit_note",N($E78)&gt;=0),"a credit note is negative; ","")&amp;IF(AND($H78&lt;&gt;"",N($I78)&gt;$P78+0.005,$C78&lt;&gt;"credit_note"),"paid more than the total; ","")&amp;IF(AND($H78&lt;&gt;"",$J78=""),"method?; ",""))</f>
        <v/>
      </c>
    </row>
    <row r="79">
      <c r="D79" s="9" t="n"/>
      <c r="E79" s="10" t="n"/>
      <c r="F79" s="10" t="n"/>
      <c r="H79" s="9" t="n"/>
      <c r="I79" s="10" t="n"/>
      <c r="L79" s="10" t="n"/>
      <c r="N79" s="25">
        <f>IF($B79="","",IFERROR(IF(INDEX(campaigns!$BE$2:$BE$51,MATCH($B79,campaigns!$A$2:$A$51,0))="","",INDEX(campaigns!$BE$2:$BE$51,MATCH($B79,campaigns!$A$2:$A$51,0))),""))</f>
        <v/>
      </c>
      <c r="O79" s="26">
        <f>IF(OR($A79="",$D79=""),"",IF($C79="founding_full",WORKDAY($D79,config!$B$27,calendar!$A$2:$A$80),$D79))</f>
        <v/>
      </c>
      <c r="P79" s="27">
        <f>IF($A79="","",N($E79)+N($F79))</f>
        <v/>
      </c>
      <c r="Q79" s="25">
        <f>IF($A79="","",IF($C79="credit_note",IF($H79&lt;&gt;"","refunded","credit applied"),IF($H79&lt;&gt;"",IF(N($I79)&gt;=$P79-0.005,"paid",IF(AND($C79="standard_balance",N($I79)+(-SUMPRODUCT((invoices!$B$2:$B$151=$B79)*(invoices!$C$2:$C$151="credit_note")*(LEN(invoices!$H$2:$H$151)=0)*invoices!$E$2:$E$151))&gt;=$P79-0.005),"paid (less credit)","part paid")),IF($D79="","draft",IF(IF(config!$B$37&lt;&gt;"",config!$B$37,TODAY())&gt;$O79,"overdue","sent")))))</f>
        <v/>
      </c>
      <c r="R79" s="25">
        <f>IF($A79="","",IF(OR($C79="founding_full",$C79="standard_deposit"),"Y","N"))</f>
        <v/>
      </c>
      <c r="S79" s="25">
        <f>IF($A79="","",IF(COUNTIF(invoices!$A$2:$A$151,$A79)&gt;1,"DUPLICATE invoice number; ","")&amp;IF(COUNTIF(campaigns!$A$2:$A$51,$B79)=0,"campaign_id missing or not on campaigns; ","")&amp;IF(AND($C79&lt;&gt;"credit_note",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lt;&gt;"",ABS(N($E79)-N(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gt;0.005),"amount differs from the price ("&amp;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amp;") - credit notes go on their own row; ","")&amp;IF(AND($C79="credit_note",N($E79)&gt;=0),"a credit note is negative; ","")&amp;IF(AND($H79&lt;&gt;"",N($I79)&gt;$P79+0.005,$C79&lt;&gt;"credit_note"),"paid more than the total; ","")&amp;IF(AND($H79&lt;&gt;"",$J79=""),"method?; ",""))</f>
        <v/>
      </c>
    </row>
    <row r="80">
      <c r="D80" s="9" t="n"/>
      <c r="E80" s="10" t="n"/>
      <c r="F80" s="10" t="n"/>
      <c r="H80" s="9" t="n"/>
      <c r="I80" s="10" t="n"/>
      <c r="L80" s="10" t="n"/>
      <c r="N80" s="25">
        <f>IF($B80="","",IFERROR(IF(INDEX(campaigns!$BE$2:$BE$51,MATCH($B80,campaigns!$A$2:$A$51,0))="","",INDEX(campaigns!$BE$2:$BE$51,MATCH($B80,campaigns!$A$2:$A$51,0))),""))</f>
        <v/>
      </c>
      <c r="O80" s="26">
        <f>IF(OR($A80="",$D80=""),"",IF($C80="founding_full",WORKDAY($D80,config!$B$27,calendar!$A$2:$A$80),$D80))</f>
        <v/>
      </c>
      <c r="P80" s="27">
        <f>IF($A80="","",N($E80)+N($F80))</f>
        <v/>
      </c>
      <c r="Q80" s="25">
        <f>IF($A80="","",IF($C80="credit_note",IF($H80&lt;&gt;"","refunded","credit applied"),IF($H80&lt;&gt;"",IF(N($I80)&gt;=$P80-0.005,"paid",IF(AND($C80="standard_balance",N($I80)+(-SUMPRODUCT((invoices!$B$2:$B$151=$B80)*(invoices!$C$2:$C$151="credit_note")*(LEN(invoices!$H$2:$H$151)=0)*invoices!$E$2:$E$151))&gt;=$P80-0.005),"paid (less credit)","part paid")),IF($D80="","draft",IF(IF(config!$B$37&lt;&gt;"",config!$B$37,TODAY())&gt;$O80,"overdue","sent")))))</f>
        <v/>
      </c>
      <c r="R80" s="25">
        <f>IF($A80="","",IF(OR($C80="founding_full",$C80="standard_deposit"),"Y","N"))</f>
        <v/>
      </c>
      <c r="S80" s="25">
        <f>IF($A80="","",IF(COUNTIF(invoices!$A$2:$A$151,$A80)&gt;1,"DUPLICATE invoice number; ","")&amp;IF(COUNTIF(campaigns!$A$2:$A$51,$B80)=0,"campaign_id missing or not on campaigns; ","")&amp;IF(AND($C80&lt;&gt;"credit_note",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lt;&gt;"",ABS(N($E80)-N(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gt;0.005),"amount differs from the price ("&amp;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amp;") - credit notes go on their own row; ","")&amp;IF(AND($C80="credit_note",N($E80)&gt;=0),"a credit note is negative; ","")&amp;IF(AND($H80&lt;&gt;"",N($I80)&gt;$P80+0.005,$C80&lt;&gt;"credit_note"),"paid more than the total; ","")&amp;IF(AND($H80&lt;&gt;"",$J80=""),"method?; ",""))</f>
        <v/>
      </c>
    </row>
    <row r="81">
      <c r="D81" s="9" t="n"/>
      <c r="E81" s="10" t="n"/>
      <c r="F81" s="10" t="n"/>
      <c r="H81" s="9" t="n"/>
      <c r="I81" s="10" t="n"/>
      <c r="L81" s="10" t="n"/>
      <c r="N81" s="25">
        <f>IF($B81="","",IFERROR(IF(INDEX(campaigns!$BE$2:$BE$51,MATCH($B81,campaigns!$A$2:$A$51,0))="","",INDEX(campaigns!$BE$2:$BE$51,MATCH($B81,campaigns!$A$2:$A$51,0))),""))</f>
        <v/>
      </c>
      <c r="O81" s="26">
        <f>IF(OR($A81="",$D81=""),"",IF($C81="founding_full",WORKDAY($D81,config!$B$27,calendar!$A$2:$A$80),$D81))</f>
        <v/>
      </c>
      <c r="P81" s="27">
        <f>IF($A81="","",N($E81)+N($F81))</f>
        <v/>
      </c>
      <c r="Q81" s="25">
        <f>IF($A81="","",IF($C81="credit_note",IF($H81&lt;&gt;"","refunded","credit applied"),IF($H81&lt;&gt;"",IF(N($I81)&gt;=$P81-0.005,"paid",IF(AND($C81="standard_balance",N($I81)+(-SUMPRODUCT((invoices!$B$2:$B$151=$B81)*(invoices!$C$2:$C$151="credit_note")*(LEN(invoices!$H$2:$H$151)=0)*invoices!$E$2:$E$151))&gt;=$P81-0.005),"paid (less credit)","part paid")),IF($D81="","draft",IF(IF(config!$B$37&lt;&gt;"",config!$B$37,TODAY())&gt;$O81,"overdue","sent")))))</f>
        <v/>
      </c>
      <c r="R81" s="25">
        <f>IF($A81="","",IF(OR($C81="founding_full",$C81="standard_deposit"),"Y","N"))</f>
        <v/>
      </c>
      <c r="S81" s="25">
        <f>IF($A81="","",IF(COUNTIF(invoices!$A$2:$A$151,$A81)&gt;1,"DUPLICATE invoice number; ","")&amp;IF(COUNTIF(campaigns!$A$2:$A$51,$B81)=0,"campaign_id missing or not on campaigns; ","")&amp;IF(AND($C81&lt;&gt;"credit_note",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lt;&gt;"",ABS(N($E81)-N(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gt;0.005),"amount differs from the price ("&amp;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amp;") - credit notes go on their own row; ","")&amp;IF(AND($C81="credit_note",N($E81)&gt;=0),"a credit note is negative; ","")&amp;IF(AND($H81&lt;&gt;"",N($I81)&gt;$P81+0.005,$C81&lt;&gt;"credit_note"),"paid more than the total; ","")&amp;IF(AND($H81&lt;&gt;"",$J81=""),"method?; ",""))</f>
        <v/>
      </c>
    </row>
    <row r="82">
      <c r="D82" s="9" t="n"/>
      <c r="E82" s="10" t="n"/>
      <c r="F82" s="10" t="n"/>
      <c r="H82" s="9" t="n"/>
      <c r="I82" s="10" t="n"/>
      <c r="L82" s="10" t="n"/>
      <c r="N82" s="25">
        <f>IF($B82="","",IFERROR(IF(INDEX(campaigns!$BE$2:$BE$51,MATCH($B82,campaigns!$A$2:$A$51,0))="","",INDEX(campaigns!$BE$2:$BE$51,MATCH($B82,campaigns!$A$2:$A$51,0))),""))</f>
        <v/>
      </c>
      <c r="O82" s="26">
        <f>IF(OR($A82="",$D82=""),"",IF($C82="founding_full",WORKDAY($D82,config!$B$27,calendar!$A$2:$A$80),$D82))</f>
        <v/>
      </c>
      <c r="P82" s="27">
        <f>IF($A82="","",N($E82)+N($F82))</f>
        <v/>
      </c>
      <c r="Q82" s="25">
        <f>IF($A82="","",IF($C82="credit_note",IF($H82&lt;&gt;"","refunded","credit applied"),IF($H82&lt;&gt;"",IF(N($I82)&gt;=$P82-0.005,"paid",IF(AND($C82="standard_balance",N($I82)+(-SUMPRODUCT((invoices!$B$2:$B$151=$B82)*(invoices!$C$2:$C$151="credit_note")*(LEN(invoices!$H$2:$H$151)=0)*invoices!$E$2:$E$151))&gt;=$P82-0.005),"paid (less credit)","part paid")),IF($D82="","draft",IF(IF(config!$B$37&lt;&gt;"",config!$B$37,TODAY())&gt;$O82,"overdue","sent")))))</f>
        <v/>
      </c>
      <c r="R82" s="25">
        <f>IF($A82="","",IF(OR($C82="founding_full",$C82="standard_deposit"),"Y","N"))</f>
        <v/>
      </c>
      <c r="S82" s="25">
        <f>IF($A82="","",IF(COUNTIF(invoices!$A$2:$A$151,$A82)&gt;1,"DUPLICATE invoice number; ","")&amp;IF(COUNTIF(campaigns!$A$2:$A$51,$B82)=0,"campaign_id missing or not on campaigns; ","")&amp;IF(AND($C82&lt;&gt;"credit_note",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lt;&gt;"",ABS(N($E82)-N(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gt;0.005),"amount differs from the price ("&amp;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amp;") - credit notes go on their own row; ","")&amp;IF(AND($C82="credit_note",N($E82)&gt;=0),"a credit note is negative; ","")&amp;IF(AND($H82&lt;&gt;"",N($I82)&gt;$P82+0.005,$C82&lt;&gt;"credit_note"),"paid more than the total; ","")&amp;IF(AND($H82&lt;&gt;"",$J82=""),"method?; ",""))</f>
        <v/>
      </c>
    </row>
    <row r="83">
      <c r="D83" s="9" t="n"/>
      <c r="E83" s="10" t="n"/>
      <c r="F83" s="10" t="n"/>
      <c r="H83" s="9" t="n"/>
      <c r="I83" s="10" t="n"/>
      <c r="L83" s="10" t="n"/>
      <c r="N83" s="25">
        <f>IF($B83="","",IFERROR(IF(INDEX(campaigns!$BE$2:$BE$51,MATCH($B83,campaigns!$A$2:$A$51,0))="","",INDEX(campaigns!$BE$2:$BE$51,MATCH($B83,campaigns!$A$2:$A$51,0))),""))</f>
        <v/>
      </c>
      <c r="O83" s="26">
        <f>IF(OR($A83="",$D83=""),"",IF($C83="founding_full",WORKDAY($D83,config!$B$27,calendar!$A$2:$A$80),$D83))</f>
        <v/>
      </c>
      <c r="P83" s="27">
        <f>IF($A83="","",N($E83)+N($F83))</f>
        <v/>
      </c>
      <c r="Q83" s="25">
        <f>IF($A83="","",IF($C83="credit_note",IF($H83&lt;&gt;"","refunded","credit applied"),IF($H83&lt;&gt;"",IF(N($I83)&gt;=$P83-0.005,"paid",IF(AND($C83="standard_balance",N($I83)+(-SUMPRODUCT((invoices!$B$2:$B$151=$B83)*(invoices!$C$2:$C$151="credit_note")*(LEN(invoices!$H$2:$H$151)=0)*invoices!$E$2:$E$151))&gt;=$P83-0.005),"paid (less credit)","part paid")),IF($D83="","draft",IF(IF(config!$B$37&lt;&gt;"",config!$B$37,TODAY())&gt;$O83,"overdue","sent")))))</f>
        <v/>
      </c>
      <c r="R83" s="25">
        <f>IF($A83="","",IF(OR($C83="founding_full",$C83="standard_deposit"),"Y","N"))</f>
        <v/>
      </c>
      <c r="S83" s="25">
        <f>IF($A83="","",IF(COUNTIF(invoices!$A$2:$A$151,$A83)&gt;1,"DUPLICATE invoice number; ","")&amp;IF(COUNTIF(campaigns!$A$2:$A$51,$B83)=0,"campaign_id missing or not on campaigns; ","")&amp;IF(AND($C83&lt;&gt;"credit_note",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lt;&gt;"",ABS(N($E83)-N(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gt;0.005),"amount differs from the price ("&amp;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amp;") - credit notes go on their own row; ","")&amp;IF(AND($C83="credit_note",N($E83)&gt;=0),"a credit note is negative; ","")&amp;IF(AND($H83&lt;&gt;"",N($I83)&gt;$P83+0.005,$C83&lt;&gt;"credit_note"),"paid more than the total; ","")&amp;IF(AND($H83&lt;&gt;"",$J83=""),"method?; ",""))</f>
        <v/>
      </c>
    </row>
    <row r="84">
      <c r="D84" s="9" t="n"/>
      <c r="E84" s="10" t="n"/>
      <c r="F84" s="10" t="n"/>
      <c r="H84" s="9" t="n"/>
      <c r="I84" s="10" t="n"/>
      <c r="L84" s="10" t="n"/>
      <c r="N84" s="25">
        <f>IF($B84="","",IFERROR(IF(INDEX(campaigns!$BE$2:$BE$51,MATCH($B84,campaigns!$A$2:$A$51,0))="","",INDEX(campaigns!$BE$2:$BE$51,MATCH($B84,campaigns!$A$2:$A$51,0))),""))</f>
        <v/>
      </c>
      <c r="O84" s="26">
        <f>IF(OR($A84="",$D84=""),"",IF($C84="founding_full",WORKDAY($D84,config!$B$27,calendar!$A$2:$A$80),$D84))</f>
        <v/>
      </c>
      <c r="P84" s="27">
        <f>IF($A84="","",N($E84)+N($F84))</f>
        <v/>
      </c>
      <c r="Q84" s="25">
        <f>IF($A84="","",IF($C84="credit_note",IF($H84&lt;&gt;"","refunded","credit applied"),IF($H84&lt;&gt;"",IF(N($I84)&gt;=$P84-0.005,"paid",IF(AND($C84="standard_balance",N($I84)+(-SUMPRODUCT((invoices!$B$2:$B$151=$B84)*(invoices!$C$2:$C$151="credit_note")*(LEN(invoices!$H$2:$H$151)=0)*invoices!$E$2:$E$151))&gt;=$P84-0.005),"paid (less credit)","part paid")),IF($D84="","draft",IF(IF(config!$B$37&lt;&gt;"",config!$B$37,TODAY())&gt;$O84,"overdue","sent")))))</f>
        <v/>
      </c>
      <c r="R84" s="25">
        <f>IF($A84="","",IF(OR($C84="founding_full",$C84="standard_deposit"),"Y","N"))</f>
        <v/>
      </c>
      <c r="S84" s="25">
        <f>IF($A84="","",IF(COUNTIF(invoices!$A$2:$A$151,$A84)&gt;1,"DUPLICATE invoice number; ","")&amp;IF(COUNTIF(campaigns!$A$2:$A$51,$B84)=0,"campaign_id missing or not on campaigns; ","")&amp;IF(AND($C84&lt;&gt;"credit_note",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lt;&gt;"",ABS(N($E84)-N(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gt;0.005),"amount differs from the price ("&amp;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amp;") - credit notes go on their own row; ","")&amp;IF(AND($C84="credit_note",N($E84)&gt;=0),"a credit note is negative; ","")&amp;IF(AND($H84&lt;&gt;"",N($I84)&gt;$P84+0.005,$C84&lt;&gt;"credit_note"),"paid more than the total; ","")&amp;IF(AND($H84&lt;&gt;"",$J84=""),"method?; ",""))</f>
        <v/>
      </c>
    </row>
    <row r="85">
      <c r="D85" s="9" t="n"/>
      <c r="E85" s="10" t="n"/>
      <c r="F85" s="10" t="n"/>
      <c r="H85" s="9" t="n"/>
      <c r="I85" s="10" t="n"/>
      <c r="L85" s="10" t="n"/>
      <c r="N85" s="25">
        <f>IF($B85="","",IFERROR(IF(INDEX(campaigns!$BE$2:$BE$51,MATCH($B85,campaigns!$A$2:$A$51,0))="","",INDEX(campaigns!$BE$2:$BE$51,MATCH($B85,campaigns!$A$2:$A$51,0))),""))</f>
        <v/>
      </c>
      <c r="O85" s="26">
        <f>IF(OR($A85="",$D85=""),"",IF($C85="founding_full",WORKDAY($D85,config!$B$27,calendar!$A$2:$A$80),$D85))</f>
        <v/>
      </c>
      <c r="P85" s="27">
        <f>IF($A85="","",N($E85)+N($F85))</f>
        <v/>
      </c>
      <c r="Q85" s="25">
        <f>IF($A85="","",IF($C85="credit_note",IF($H85&lt;&gt;"","refunded","credit applied"),IF($H85&lt;&gt;"",IF(N($I85)&gt;=$P85-0.005,"paid",IF(AND($C85="standard_balance",N($I85)+(-SUMPRODUCT((invoices!$B$2:$B$151=$B85)*(invoices!$C$2:$C$151="credit_note")*(LEN(invoices!$H$2:$H$151)=0)*invoices!$E$2:$E$151))&gt;=$P85-0.005),"paid (less credit)","part paid")),IF($D85="","draft",IF(IF(config!$B$37&lt;&gt;"",config!$B$37,TODAY())&gt;$O85,"overdue","sent")))))</f>
        <v/>
      </c>
      <c r="R85" s="25">
        <f>IF($A85="","",IF(OR($C85="founding_full",$C85="standard_deposit"),"Y","N"))</f>
        <v/>
      </c>
      <c r="S85" s="25">
        <f>IF($A85="","",IF(COUNTIF(invoices!$A$2:$A$151,$A85)&gt;1,"DUPLICATE invoice number; ","")&amp;IF(COUNTIF(campaigns!$A$2:$A$51,$B85)=0,"campaign_id missing or not on campaigns; ","")&amp;IF(AND($C85&lt;&gt;"credit_note",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lt;&gt;"",ABS(N($E85)-N(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gt;0.005),"amount differs from the price ("&amp;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amp;") - credit notes go on their own row; ","")&amp;IF(AND($C85="credit_note",N($E85)&gt;=0),"a credit note is negative; ","")&amp;IF(AND($H85&lt;&gt;"",N($I85)&gt;$P85+0.005,$C85&lt;&gt;"credit_note"),"paid more than the total; ","")&amp;IF(AND($H85&lt;&gt;"",$J85=""),"method?; ",""))</f>
        <v/>
      </c>
    </row>
    <row r="86">
      <c r="D86" s="9" t="n"/>
      <c r="E86" s="10" t="n"/>
      <c r="F86" s="10" t="n"/>
      <c r="H86" s="9" t="n"/>
      <c r="I86" s="10" t="n"/>
      <c r="L86" s="10" t="n"/>
      <c r="N86" s="25">
        <f>IF($B86="","",IFERROR(IF(INDEX(campaigns!$BE$2:$BE$51,MATCH($B86,campaigns!$A$2:$A$51,0))="","",INDEX(campaigns!$BE$2:$BE$51,MATCH($B86,campaigns!$A$2:$A$51,0))),""))</f>
        <v/>
      </c>
      <c r="O86" s="26">
        <f>IF(OR($A86="",$D86=""),"",IF($C86="founding_full",WORKDAY($D86,config!$B$27,calendar!$A$2:$A$80),$D86))</f>
        <v/>
      </c>
      <c r="P86" s="27">
        <f>IF($A86="","",N($E86)+N($F86))</f>
        <v/>
      </c>
      <c r="Q86" s="25">
        <f>IF($A86="","",IF($C86="credit_note",IF($H86&lt;&gt;"","refunded","credit applied"),IF($H86&lt;&gt;"",IF(N($I86)&gt;=$P86-0.005,"paid",IF(AND($C86="standard_balance",N($I86)+(-SUMPRODUCT((invoices!$B$2:$B$151=$B86)*(invoices!$C$2:$C$151="credit_note")*(LEN(invoices!$H$2:$H$151)=0)*invoices!$E$2:$E$151))&gt;=$P86-0.005),"paid (less credit)","part paid")),IF($D86="","draft",IF(IF(config!$B$37&lt;&gt;"",config!$B$37,TODAY())&gt;$O86,"overdue","sent")))))</f>
        <v/>
      </c>
      <c r="R86" s="25">
        <f>IF($A86="","",IF(OR($C86="founding_full",$C86="standard_deposit"),"Y","N"))</f>
        <v/>
      </c>
      <c r="S86" s="25">
        <f>IF($A86="","",IF(COUNTIF(invoices!$A$2:$A$151,$A86)&gt;1,"DUPLICATE invoice number; ","")&amp;IF(COUNTIF(campaigns!$A$2:$A$51,$B86)=0,"campaign_id missing or not on campaigns; ","")&amp;IF(AND($C86&lt;&gt;"credit_note",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lt;&gt;"",ABS(N($E86)-N(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gt;0.005),"amount differs from the price ("&amp;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amp;") - credit notes go on their own row; ","")&amp;IF(AND($C86="credit_note",N($E86)&gt;=0),"a credit note is negative; ","")&amp;IF(AND($H86&lt;&gt;"",N($I86)&gt;$P86+0.005,$C86&lt;&gt;"credit_note"),"paid more than the total; ","")&amp;IF(AND($H86&lt;&gt;"",$J86=""),"method?; ",""))</f>
        <v/>
      </c>
    </row>
    <row r="87">
      <c r="D87" s="9" t="n"/>
      <c r="E87" s="10" t="n"/>
      <c r="F87" s="10" t="n"/>
      <c r="H87" s="9" t="n"/>
      <c r="I87" s="10" t="n"/>
      <c r="L87" s="10" t="n"/>
      <c r="N87" s="25">
        <f>IF($B87="","",IFERROR(IF(INDEX(campaigns!$BE$2:$BE$51,MATCH($B87,campaigns!$A$2:$A$51,0))="","",INDEX(campaigns!$BE$2:$BE$51,MATCH($B87,campaigns!$A$2:$A$51,0))),""))</f>
        <v/>
      </c>
      <c r="O87" s="26">
        <f>IF(OR($A87="",$D87=""),"",IF($C87="founding_full",WORKDAY($D87,config!$B$27,calendar!$A$2:$A$80),$D87))</f>
        <v/>
      </c>
      <c r="P87" s="27">
        <f>IF($A87="","",N($E87)+N($F87))</f>
        <v/>
      </c>
      <c r="Q87" s="25">
        <f>IF($A87="","",IF($C87="credit_note",IF($H87&lt;&gt;"","refunded","credit applied"),IF($H87&lt;&gt;"",IF(N($I87)&gt;=$P87-0.005,"paid",IF(AND($C87="standard_balance",N($I87)+(-SUMPRODUCT((invoices!$B$2:$B$151=$B87)*(invoices!$C$2:$C$151="credit_note")*(LEN(invoices!$H$2:$H$151)=0)*invoices!$E$2:$E$151))&gt;=$P87-0.005),"paid (less credit)","part paid")),IF($D87="","draft",IF(IF(config!$B$37&lt;&gt;"",config!$B$37,TODAY())&gt;$O87,"overdue","sent")))))</f>
        <v/>
      </c>
      <c r="R87" s="25">
        <f>IF($A87="","",IF(OR($C87="founding_full",$C87="standard_deposit"),"Y","N"))</f>
        <v/>
      </c>
      <c r="S87" s="25">
        <f>IF($A87="","",IF(COUNTIF(invoices!$A$2:$A$151,$A87)&gt;1,"DUPLICATE invoice number; ","")&amp;IF(COUNTIF(campaigns!$A$2:$A$51,$B87)=0,"campaign_id missing or not on campaigns; ","")&amp;IF(AND($C87&lt;&gt;"credit_note",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lt;&gt;"",ABS(N($E87)-N(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gt;0.005),"amount differs from the price ("&amp;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amp;") - credit notes go on their own row; ","")&amp;IF(AND($C87="credit_note",N($E87)&gt;=0),"a credit note is negative; ","")&amp;IF(AND($H87&lt;&gt;"",N($I87)&gt;$P87+0.005,$C87&lt;&gt;"credit_note"),"paid more than the total; ","")&amp;IF(AND($H87&lt;&gt;"",$J87=""),"method?; ",""))</f>
        <v/>
      </c>
    </row>
    <row r="88">
      <c r="D88" s="9" t="n"/>
      <c r="E88" s="10" t="n"/>
      <c r="F88" s="10" t="n"/>
      <c r="H88" s="9" t="n"/>
      <c r="I88" s="10" t="n"/>
      <c r="L88" s="10" t="n"/>
      <c r="N88" s="25">
        <f>IF($B88="","",IFERROR(IF(INDEX(campaigns!$BE$2:$BE$51,MATCH($B88,campaigns!$A$2:$A$51,0))="","",INDEX(campaigns!$BE$2:$BE$51,MATCH($B88,campaigns!$A$2:$A$51,0))),""))</f>
        <v/>
      </c>
      <c r="O88" s="26">
        <f>IF(OR($A88="",$D88=""),"",IF($C88="founding_full",WORKDAY($D88,config!$B$27,calendar!$A$2:$A$80),$D88))</f>
        <v/>
      </c>
      <c r="P88" s="27">
        <f>IF($A88="","",N($E88)+N($F88))</f>
        <v/>
      </c>
      <c r="Q88" s="25">
        <f>IF($A88="","",IF($C88="credit_note",IF($H88&lt;&gt;"","refunded","credit applied"),IF($H88&lt;&gt;"",IF(N($I88)&gt;=$P88-0.005,"paid",IF(AND($C88="standard_balance",N($I88)+(-SUMPRODUCT((invoices!$B$2:$B$151=$B88)*(invoices!$C$2:$C$151="credit_note")*(LEN(invoices!$H$2:$H$151)=0)*invoices!$E$2:$E$151))&gt;=$P88-0.005),"paid (less credit)","part paid")),IF($D88="","draft",IF(IF(config!$B$37&lt;&gt;"",config!$B$37,TODAY())&gt;$O88,"overdue","sent")))))</f>
        <v/>
      </c>
      <c r="R88" s="25">
        <f>IF($A88="","",IF(OR($C88="founding_full",$C88="standard_deposit"),"Y","N"))</f>
        <v/>
      </c>
      <c r="S88" s="25">
        <f>IF($A88="","",IF(COUNTIF(invoices!$A$2:$A$151,$A88)&gt;1,"DUPLICATE invoice number; ","")&amp;IF(COUNTIF(campaigns!$A$2:$A$51,$B88)=0,"campaign_id missing or not on campaigns; ","")&amp;IF(AND($C88&lt;&gt;"credit_note",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lt;&gt;"",ABS(N($E88)-N(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gt;0.005),"amount differs from the price ("&amp;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amp;") - credit notes go on their own row; ","")&amp;IF(AND($C88="credit_note",N($E88)&gt;=0),"a credit note is negative; ","")&amp;IF(AND($H88&lt;&gt;"",N($I88)&gt;$P88+0.005,$C88&lt;&gt;"credit_note"),"paid more than the total; ","")&amp;IF(AND($H88&lt;&gt;"",$J88=""),"method?; ",""))</f>
        <v/>
      </c>
    </row>
    <row r="89">
      <c r="D89" s="9" t="n"/>
      <c r="E89" s="10" t="n"/>
      <c r="F89" s="10" t="n"/>
      <c r="H89" s="9" t="n"/>
      <c r="I89" s="10" t="n"/>
      <c r="L89" s="10" t="n"/>
      <c r="N89" s="25">
        <f>IF($B89="","",IFERROR(IF(INDEX(campaigns!$BE$2:$BE$51,MATCH($B89,campaigns!$A$2:$A$51,0))="","",INDEX(campaigns!$BE$2:$BE$51,MATCH($B89,campaigns!$A$2:$A$51,0))),""))</f>
        <v/>
      </c>
      <c r="O89" s="26">
        <f>IF(OR($A89="",$D89=""),"",IF($C89="founding_full",WORKDAY($D89,config!$B$27,calendar!$A$2:$A$80),$D89))</f>
        <v/>
      </c>
      <c r="P89" s="27">
        <f>IF($A89="","",N($E89)+N($F89))</f>
        <v/>
      </c>
      <c r="Q89" s="25">
        <f>IF($A89="","",IF($C89="credit_note",IF($H89&lt;&gt;"","refunded","credit applied"),IF($H89&lt;&gt;"",IF(N($I89)&gt;=$P89-0.005,"paid",IF(AND($C89="standard_balance",N($I89)+(-SUMPRODUCT((invoices!$B$2:$B$151=$B89)*(invoices!$C$2:$C$151="credit_note")*(LEN(invoices!$H$2:$H$151)=0)*invoices!$E$2:$E$151))&gt;=$P89-0.005),"paid (less credit)","part paid")),IF($D89="","draft",IF(IF(config!$B$37&lt;&gt;"",config!$B$37,TODAY())&gt;$O89,"overdue","sent")))))</f>
        <v/>
      </c>
      <c r="R89" s="25">
        <f>IF($A89="","",IF(OR($C89="founding_full",$C89="standard_deposit"),"Y","N"))</f>
        <v/>
      </c>
      <c r="S89" s="25">
        <f>IF($A89="","",IF(COUNTIF(invoices!$A$2:$A$151,$A89)&gt;1,"DUPLICATE invoice number; ","")&amp;IF(COUNTIF(campaigns!$A$2:$A$51,$B89)=0,"campaign_id missing or not on campaigns; ","")&amp;IF(AND($C89&lt;&gt;"credit_note",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lt;&gt;"",ABS(N($E89)-N(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gt;0.005),"amount differs from the price ("&amp;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amp;") - credit notes go on their own row; ","")&amp;IF(AND($C89="credit_note",N($E89)&gt;=0),"a credit note is negative; ","")&amp;IF(AND($H89&lt;&gt;"",N($I89)&gt;$P89+0.005,$C89&lt;&gt;"credit_note"),"paid more than the total; ","")&amp;IF(AND($H89&lt;&gt;"",$J89=""),"method?; ",""))</f>
        <v/>
      </c>
    </row>
    <row r="90">
      <c r="D90" s="9" t="n"/>
      <c r="E90" s="10" t="n"/>
      <c r="F90" s="10" t="n"/>
      <c r="H90" s="9" t="n"/>
      <c r="I90" s="10" t="n"/>
      <c r="L90" s="10" t="n"/>
      <c r="N90" s="25">
        <f>IF($B90="","",IFERROR(IF(INDEX(campaigns!$BE$2:$BE$51,MATCH($B90,campaigns!$A$2:$A$51,0))="","",INDEX(campaigns!$BE$2:$BE$51,MATCH($B90,campaigns!$A$2:$A$51,0))),""))</f>
        <v/>
      </c>
      <c r="O90" s="26">
        <f>IF(OR($A90="",$D90=""),"",IF($C90="founding_full",WORKDAY($D90,config!$B$27,calendar!$A$2:$A$80),$D90))</f>
        <v/>
      </c>
      <c r="P90" s="27">
        <f>IF($A90="","",N($E90)+N($F90))</f>
        <v/>
      </c>
      <c r="Q90" s="25">
        <f>IF($A90="","",IF($C90="credit_note",IF($H90&lt;&gt;"","refunded","credit applied"),IF($H90&lt;&gt;"",IF(N($I90)&gt;=$P90-0.005,"paid",IF(AND($C90="standard_balance",N($I90)+(-SUMPRODUCT((invoices!$B$2:$B$151=$B90)*(invoices!$C$2:$C$151="credit_note")*(LEN(invoices!$H$2:$H$151)=0)*invoices!$E$2:$E$151))&gt;=$P90-0.005),"paid (less credit)","part paid")),IF($D90="","draft",IF(IF(config!$B$37&lt;&gt;"",config!$B$37,TODAY())&gt;$O90,"overdue","sent")))))</f>
        <v/>
      </c>
      <c r="R90" s="25">
        <f>IF($A90="","",IF(OR($C90="founding_full",$C90="standard_deposit"),"Y","N"))</f>
        <v/>
      </c>
      <c r="S90" s="25">
        <f>IF($A90="","",IF(COUNTIF(invoices!$A$2:$A$151,$A90)&gt;1,"DUPLICATE invoice number; ","")&amp;IF(COUNTIF(campaigns!$A$2:$A$51,$B90)=0,"campaign_id missing or not on campaigns; ","")&amp;IF(AND($C90&lt;&gt;"credit_note",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lt;&gt;"",ABS(N($E90)-N(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gt;0.005),"amount differs from the price ("&amp;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amp;") - credit notes go on their own row; ","")&amp;IF(AND($C90="credit_note",N($E90)&gt;=0),"a credit note is negative; ","")&amp;IF(AND($H90&lt;&gt;"",N($I90)&gt;$P90+0.005,$C90&lt;&gt;"credit_note"),"paid more than the total; ","")&amp;IF(AND($H90&lt;&gt;"",$J90=""),"method?; ",""))</f>
        <v/>
      </c>
    </row>
    <row r="91">
      <c r="D91" s="9" t="n"/>
      <c r="E91" s="10" t="n"/>
      <c r="F91" s="10" t="n"/>
      <c r="H91" s="9" t="n"/>
      <c r="I91" s="10" t="n"/>
      <c r="L91" s="10" t="n"/>
      <c r="N91" s="25">
        <f>IF($B91="","",IFERROR(IF(INDEX(campaigns!$BE$2:$BE$51,MATCH($B91,campaigns!$A$2:$A$51,0))="","",INDEX(campaigns!$BE$2:$BE$51,MATCH($B91,campaigns!$A$2:$A$51,0))),""))</f>
        <v/>
      </c>
      <c r="O91" s="26">
        <f>IF(OR($A91="",$D91=""),"",IF($C91="founding_full",WORKDAY($D91,config!$B$27,calendar!$A$2:$A$80),$D91))</f>
        <v/>
      </c>
      <c r="P91" s="27">
        <f>IF($A91="","",N($E91)+N($F91))</f>
        <v/>
      </c>
      <c r="Q91" s="25">
        <f>IF($A91="","",IF($C91="credit_note",IF($H91&lt;&gt;"","refunded","credit applied"),IF($H91&lt;&gt;"",IF(N($I91)&gt;=$P91-0.005,"paid",IF(AND($C91="standard_balance",N($I91)+(-SUMPRODUCT((invoices!$B$2:$B$151=$B91)*(invoices!$C$2:$C$151="credit_note")*(LEN(invoices!$H$2:$H$151)=0)*invoices!$E$2:$E$151))&gt;=$P91-0.005),"paid (less credit)","part paid")),IF($D91="","draft",IF(IF(config!$B$37&lt;&gt;"",config!$B$37,TODAY())&gt;$O91,"overdue","sent")))))</f>
        <v/>
      </c>
      <c r="R91" s="25">
        <f>IF($A91="","",IF(OR($C91="founding_full",$C91="standard_deposit"),"Y","N"))</f>
        <v/>
      </c>
      <c r="S91" s="25">
        <f>IF($A91="","",IF(COUNTIF(invoices!$A$2:$A$151,$A91)&gt;1,"DUPLICATE invoice number; ","")&amp;IF(COUNTIF(campaigns!$A$2:$A$51,$B91)=0,"campaign_id missing or not on campaigns; ","")&amp;IF(AND($C91&lt;&gt;"credit_note",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lt;&gt;"",ABS(N($E91)-N(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gt;0.005),"amount differs from the price ("&amp;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amp;") - credit notes go on their own row; ","")&amp;IF(AND($C91="credit_note",N($E91)&gt;=0),"a credit note is negative; ","")&amp;IF(AND($H91&lt;&gt;"",N($I91)&gt;$P91+0.005,$C91&lt;&gt;"credit_note"),"paid more than the total; ","")&amp;IF(AND($H91&lt;&gt;"",$J91=""),"method?; ",""))</f>
        <v/>
      </c>
    </row>
    <row r="92">
      <c r="D92" s="9" t="n"/>
      <c r="E92" s="10" t="n"/>
      <c r="F92" s="10" t="n"/>
      <c r="H92" s="9" t="n"/>
      <c r="I92" s="10" t="n"/>
      <c r="L92" s="10" t="n"/>
      <c r="N92" s="25">
        <f>IF($B92="","",IFERROR(IF(INDEX(campaigns!$BE$2:$BE$51,MATCH($B92,campaigns!$A$2:$A$51,0))="","",INDEX(campaigns!$BE$2:$BE$51,MATCH($B92,campaigns!$A$2:$A$51,0))),""))</f>
        <v/>
      </c>
      <c r="O92" s="26">
        <f>IF(OR($A92="",$D92=""),"",IF($C92="founding_full",WORKDAY($D92,config!$B$27,calendar!$A$2:$A$80),$D92))</f>
        <v/>
      </c>
      <c r="P92" s="27">
        <f>IF($A92="","",N($E92)+N($F92))</f>
        <v/>
      </c>
      <c r="Q92" s="25">
        <f>IF($A92="","",IF($C92="credit_note",IF($H92&lt;&gt;"","refunded","credit applied"),IF($H92&lt;&gt;"",IF(N($I92)&gt;=$P92-0.005,"paid",IF(AND($C92="standard_balance",N($I92)+(-SUMPRODUCT((invoices!$B$2:$B$151=$B92)*(invoices!$C$2:$C$151="credit_note")*(LEN(invoices!$H$2:$H$151)=0)*invoices!$E$2:$E$151))&gt;=$P92-0.005),"paid (less credit)","part paid")),IF($D92="","draft",IF(IF(config!$B$37&lt;&gt;"",config!$B$37,TODAY())&gt;$O92,"overdue","sent")))))</f>
        <v/>
      </c>
      <c r="R92" s="25">
        <f>IF($A92="","",IF(OR($C92="founding_full",$C92="standard_deposit"),"Y","N"))</f>
        <v/>
      </c>
      <c r="S92" s="25">
        <f>IF($A92="","",IF(COUNTIF(invoices!$A$2:$A$151,$A92)&gt;1,"DUPLICATE invoice number; ","")&amp;IF(COUNTIF(campaigns!$A$2:$A$51,$B92)=0,"campaign_id missing or not on campaigns; ","")&amp;IF(AND($C92&lt;&gt;"credit_note",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lt;&gt;"",ABS(N($E92)-N(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gt;0.005),"amount differs from the price ("&amp;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amp;") - credit notes go on their own row; ","")&amp;IF(AND($C92="credit_note",N($E92)&gt;=0),"a credit note is negative; ","")&amp;IF(AND($H92&lt;&gt;"",N($I92)&gt;$P92+0.005,$C92&lt;&gt;"credit_note"),"paid more than the total; ","")&amp;IF(AND($H92&lt;&gt;"",$J92=""),"method?; ",""))</f>
        <v/>
      </c>
    </row>
    <row r="93">
      <c r="D93" s="9" t="n"/>
      <c r="E93" s="10" t="n"/>
      <c r="F93" s="10" t="n"/>
      <c r="H93" s="9" t="n"/>
      <c r="I93" s="10" t="n"/>
      <c r="L93" s="10" t="n"/>
      <c r="N93" s="25">
        <f>IF($B93="","",IFERROR(IF(INDEX(campaigns!$BE$2:$BE$51,MATCH($B93,campaigns!$A$2:$A$51,0))="","",INDEX(campaigns!$BE$2:$BE$51,MATCH($B93,campaigns!$A$2:$A$51,0))),""))</f>
        <v/>
      </c>
      <c r="O93" s="26">
        <f>IF(OR($A93="",$D93=""),"",IF($C93="founding_full",WORKDAY($D93,config!$B$27,calendar!$A$2:$A$80),$D93))</f>
        <v/>
      </c>
      <c r="P93" s="27">
        <f>IF($A93="","",N($E93)+N($F93))</f>
        <v/>
      </c>
      <c r="Q93" s="25">
        <f>IF($A93="","",IF($C93="credit_note",IF($H93&lt;&gt;"","refunded","credit applied"),IF($H93&lt;&gt;"",IF(N($I93)&gt;=$P93-0.005,"paid",IF(AND($C93="standard_balance",N($I93)+(-SUMPRODUCT((invoices!$B$2:$B$151=$B93)*(invoices!$C$2:$C$151="credit_note")*(LEN(invoices!$H$2:$H$151)=0)*invoices!$E$2:$E$151))&gt;=$P93-0.005),"paid (less credit)","part paid")),IF($D93="","draft",IF(IF(config!$B$37&lt;&gt;"",config!$B$37,TODAY())&gt;$O93,"overdue","sent")))))</f>
        <v/>
      </c>
      <c r="R93" s="25">
        <f>IF($A93="","",IF(OR($C93="founding_full",$C93="standard_deposit"),"Y","N"))</f>
        <v/>
      </c>
      <c r="S93" s="25">
        <f>IF($A93="","",IF(COUNTIF(invoices!$A$2:$A$151,$A93)&gt;1,"DUPLICATE invoice number; ","")&amp;IF(COUNTIF(campaigns!$A$2:$A$51,$B93)=0,"campaign_id missing or not on campaigns; ","")&amp;IF(AND($C93&lt;&gt;"credit_note",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lt;&gt;"",ABS(N($E93)-N(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gt;0.005),"amount differs from the price ("&amp;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amp;") - credit notes go on their own row; ","")&amp;IF(AND($C93="credit_note",N($E93)&gt;=0),"a credit note is negative; ","")&amp;IF(AND($H93&lt;&gt;"",N($I93)&gt;$P93+0.005,$C93&lt;&gt;"credit_note"),"paid more than the total; ","")&amp;IF(AND($H93&lt;&gt;"",$J93=""),"method?; ",""))</f>
        <v/>
      </c>
    </row>
    <row r="94">
      <c r="D94" s="9" t="n"/>
      <c r="E94" s="10" t="n"/>
      <c r="F94" s="10" t="n"/>
      <c r="H94" s="9" t="n"/>
      <c r="I94" s="10" t="n"/>
      <c r="L94" s="10" t="n"/>
      <c r="N94" s="25">
        <f>IF($B94="","",IFERROR(IF(INDEX(campaigns!$BE$2:$BE$51,MATCH($B94,campaigns!$A$2:$A$51,0))="","",INDEX(campaigns!$BE$2:$BE$51,MATCH($B94,campaigns!$A$2:$A$51,0))),""))</f>
        <v/>
      </c>
      <c r="O94" s="26">
        <f>IF(OR($A94="",$D94=""),"",IF($C94="founding_full",WORKDAY($D94,config!$B$27,calendar!$A$2:$A$80),$D94))</f>
        <v/>
      </c>
      <c r="P94" s="27">
        <f>IF($A94="","",N($E94)+N($F94))</f>
        <v/>
      </c>
      <c r="Q94" s="25">
        <f>IF($A94="","",IF($C94="credit_note",IF($H94&lt;&gt;"","refunded","credit applied"),IF($H94&lt;&gt;"",IF(N($I94)&gt;=$P94-0.005,"paid",IF(AND($C94="standard_balance",N($I94)+(-SUMPRODUCT((invoices!$B$2:$B$151=$B94)*(invoices!$C$2:$C$151="credit_note")*(LEN(invoices!$H$2:$H$151)=0)*invoices!$E$2:$E$151))&gt;=$P94-0.005),"paid (less credit)","part paid")),IF($D94="","draft",IF(IF(config!$B$37&lt;&gt;"",config!$B$37,TODAY())&gt;$O94,"overdue","sent")))))</f>
        <v/>
      </c>
      <c r="R94" s="25">
        <f>IF($A94="","",IF(OR($C94="founding_full",$C94="standard_deposit"),"Y","N"))</f>
        <v/>
      </c>
      <c r="S94" s="25">
        <f>IF($A94="","",IF(COUNTIF(invoices!$A$2:$A$151,$A94)&gt;1,"DUPLICATE invoice number; ","")&amp;IF(COUNTIF(campaigns!$A$2:$A$51,$B94)=0,"campaign_id missing or not on campaigns; ","")&amp;IF(AND($C94&lt;&gt;"credit_note",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lt;&gt;"",ABS(N($E94)-N(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gt;0.005),"amount differs from the price ("&amp;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amp;") - credit notes go on their own row; ","")&amp;IF(AND($C94="credit_note",N($E94)&gt;=0),"a credit note is negative; ","")&amp;IF(AND($H94&lt;&gt;"",N($I94)&gt;$P94+0.005,$C94&lt;&gt;"credit_note"),"paid more than the total; ","")&amp;IF(AND($H94&lt;&gt;"",$J94=""),"method?; ",""))</f>
        <v/>
      </c>
    </row>
    <row r="95">
      <c r="D95" s="9" t="n"/>
      <c r="E95" s="10" t="n"/>
      <c r="F95" s="10" t="n"/>
      <c r="H95" s="9" t="n"/>
      <c r="I95" s="10" t="n"/>
      <c r="L95" s="10" t="n"/>
      <c r="N95" s="25">
        <f>IF($B95="","",IFERROR(IF(INDEX(campaigns!$BE$2:$BE$51,MATCH($B95,campaigns!$A$2:$A$51,0))="","",INDEX(campaigns!$BE$2:$BE$51,MATCH($B95,campaigns!$A$2:$A$51,0))),""))</f>
        <v/>
      </c>
      <c r="O95" s="26">
        <f>IF(OR($A95="",$D95=""),"",IF($C95="founding_full",WORKDAY($D95,config!$B$27,calendar!$A$2:$A$80),$D95))</f>
        <v/>
      </c>
      <c r="P95" s="27">
        <f>IF($A95="","",N($E95)+N($F95))</f>
        <v/>
      </c>
      <c r="Q95" s="25">
        <f>IF($A95="","",IF($C95="credit_note",IF($H95&lt;&gt;"","refunded","credit applied"),IF($H95&lt;&gt;"",IF(N($I95)&gt;=$P95-0.005,"paid",IF(AND($C95="standard_balance",N($I95)+(-SUMPRODUCT((invoices!$B$2:$B$151=$B95)*(invoices!$C$2:$C$151="credit_note")*(LEN(invoices!$H$2:$H$151)=0)*invoices!$E$2:$E$151))&gt;=$P95-0.005),"paid (less credit)","part paid")),IF($D95="","draft",IF(IF(config!$B$37&lt;&gt;"",config!$B$37,TODAY())&gt;$O95,"overdue","sent")))))</f>
        <v/>
      </c>
      <c r="R95" s="25">
        <f>IF($A95="","",IF(OR($C95="founding_full",$C95="standard_deposit"),"Y","N"))</f>
        <v/>
      </c>
      <c r="S95" s="25">
        <f>IF($A95="","",IF(COUNTIF(invoices!$A$2:$A$151,$A95)&gt;1,"DUPLICATE invoice number; ","")&amp;IF(COUNTIF(campaigns!$A$2:$A$51,$B95)=0,"campaign_id missing or not on campaigns; ","")&amp;IF(AND($C95&lt;&gt;"credit_note",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lt;&gt;"",ABS(N($E95)-N(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gt;0.005),"amount differs from the price ("&amp;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amp;") - credit notes go on their own row; ","")&amp;IF(AND($C95="credit_note",N($E95)&gt;=0),"a credit note is negative; ","")&amp;IF(AND($H95&lt;&gt;"",N($I95)&gt;$P95+0.005,$C95&lt;&gt;"credit_note"),"paid more than the total; ","")&amp;IF(AND($H95&lt;&gt;"",$J95=""),"method?; ",""))</f>
        <v/>
      </c>
    </row>
    <row r="96">
      <c r="D96" s="9" t="n"/>
      <c r="E96" s="10" t="n"/>
      <c r="F96" s="10" t="n"/>
      <c r="H96" s="9" t="n"/>
      <c r="I96" s="10" t="n"/>
      <c r="L96" s="10" t="n"/>
      <c r="N96" s="25">
        <f>IF($B96="","",IFERROR(IF(INDEX(campaigns!$BE$2:$BE$51,MATCH($B96,campaigns!$A$2:$A$51,0))="","",INDEX(campaigns!$BE$2:$BE$51,MATCH($B96,campaigns!$A$2:$A$51,0))),""))</f>
        <v/>
      </c>
      <c r="O96" s="26">
        <f>IF(OR($A96="",$D96=""),"",IF($C96="founding_full",WORKDAY($D96,config!$B$27,calendar!$A$2:$A$80),$D96))</f>
        <v/>
      </c>
      <c r="P96" s="27">
        <f>IF($A96="","",N($E96)+N($F96))</f>
        <v/>
      </c>
      <c r="Q96" s="25">
        <f>IF($A96="","",IF($C96="credit_note",IF($H96&lt;&gt;"","refunded","credit applied"),IF($H96&lt;&gt;"",IF(N($I96)&gt;=$P96-0.005,"paid",IF(AND($C96="standard_balance",N($I96)+(-SUMPRODUCT((invoices!$B$2:$B$151=$B96)*(invoices!$C$2:$C$151="credit_note")*(LEN(invoices!$H$2:$H$151)=0)*invoices!$E$2:$E$151))&gt;=$P96-0.005),"paid (less credit)","part paid")),IF($D96="","draft",IF(IF(config!$B$37&lt;&gt;"",config!$B$37,TODAY())&gt;$O96,"overdue","sent")))))</f>
        <v/>
      </c>
      <c r="R96" s="25">
        <f>IF($A96="","",IF(OR($C96="founding_full",$C96="standard_deposit"),"Y","N"))</f>
        <v/>
      </c>
      <c r="S96" s="25">
        <f>IF($A96="","",IF(COUNTIF(invoices!$A$2:$A$151,$A96)&gt;1,"DUPLICATE invoice number; ","")&amp;IF(COUNTIF(campaigns!$A$2:$A$51,$B96)=0,"campaign_id missing or not on campaigns; ","")&amp;IF(AND($C96&lt;&gt;"credit_note",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lt;&gt;"",ABS(N($E96)-N(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gt;0.005),"amount differs from the price ("&amp;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amp;") - credit notes go on their own row; ","")&amp;IF(AND($C96="credit_note",N($E96)&gt;=0),"a credit note is negative; ","")&amp;IF(AND($H96&lt;&gt;"",N($I96)&gt;$P96+0.005,$C96&lt;&gt;"credit_note"),"paid more than the total; ","")&amp;IF(AND($H96&lt;&gt;"",$J96=""),"method?; ",""))</f>
        <v/>
      </c>
    </row>
    <row r="97">
      <c r="D97" s="9" t="n"/>
      <c r="E97" s="10" t="n"/>
      <c r="F97" s="10" t="n"/>
      <c r="H97" s="9" t="n"/>
      <c r="I97" s="10" t="n"/>
      <c r="L97" s="10" t="n"/>
      <c r="N97" s="25">
        <f>IF($B97="","",IFERROR(IF(INDEX(campaigns!$BE$2:$BE$51,MATCH($B97,campaigns!$A$2:$A$51,0))="","",INDEX(campaigns!$BE$2:$BE$51,MATCH($B97,campaigns!$A$2:$A$51,0))),""))</f>
        <v/>
      </c>
      <c r="O97" s="26">
        <f>IF(OR($A97="",$D97=""),"",IF($C97="founding_full",WORKDAY($D97,config!$B$27,calendar!$A$2:$A$80),$D97))</f>
        <v/>
      </c>
      <c r="P97" s="27">
        <f>IF($A97="","",N($E97)+N($F97))</f>
        <v/>
      </c>
      <c r="Q97" s="25">
        <f>IF($A97="","",IF($C97="credit_note",IF($H97&lt;&gt;"","refunded","credit applied"),IF($H97&lt;&gt;"",IF(N($I97)&gt;=$P97-0.005,"paid",IF(AND($C97="standard_balance",N($I97)+(-SUMPRODUCT((invoices!$B$2:$B$151=$B97)*(invoices!$C$2:$C$151="credit_note")*(LEN(invoices!$H$2:$H$151)=0)*invoices!$E$2:$E$151))&gt;=$P97-0.005),"paid (less credit)","part paid")),IF($D97="","draft",IF(IF(config!$B$37&lt;&gt;"",config!$B$37,TODAY())&gt;$O97,"overdue","sent")))))</f>
        <v/>
      </c>
      <c r="R97" s="25">
        <f>IF($A97="","",IF(OR($C97="founding_full",$C97="standard_deposit"),"Y","N"))</f>
        <v/>
      </c>
      <c r="S97" s="25">
        <f>IF($A97="","",IF(COUNTIF(invoices!$A$2:$A$151,$A97)&gt;1,"DUPLICATE invoice number; ","")&amp;IF(COUNTIF(campaigns!$A$2:$A$51,$B97)=0,"campaign_id missing or not on campaigns; ","")&amp;IF(AND($C97&lt;&gt;"credit_note",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lt;&gt;"",ABS(N($E97)-N(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gt;0.005),"amount differs from the price ("&amp;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amp;") - credit notes go on their own row; ","")&amp;IF(AND($C97="credit_note",N($E97)&gt;=0),"a credit note is negative; ","")&amp;IF(AND($H97&lt;&gt;"",N($I97)&gt;$P97+0.005,$C97&lt;&gt;"credit_note"),"paid more than the total; ","")&amp;IF(AND($H97&lt;&gt;"",$J97=""),"method?; ",""))</f>
        <v/>
      </c>
    </row>
    <row r="98">
      <c r="D98" s="9" t="n"/>
      <c r="E98" s="10" t="n"/>
      <c r="F98" s="10" t="n"/>
      <c r="H98" s="9" t="n"/>
      <c r="I98" s="10" t="n"/>
      <c r="L98" s="10" t="n"/>
      <c r="N98" s="25">
        <f>IF($B98="","",IFERROR(IF(INDEX(campaigns!$BE$2:$BE$51,MATCH($B98,campaigns!$A$2:$A$51,0))="","",INDEX(campaigns!$BE$2:$BE$51,MATCH($B98,campaigns!$A$2:$A$51,0))),""))</f>
        <v/>
      </c>
      <c r="O98" s="26">
        <f>IF(OR($A98="",$D98=""),"",IF($C98="founding_full",WORKDAY($D98,config!$B$27,calendar!$A$2:$A$80),$D98))</f>
        <v/>
      </c>
      <c r="P98" s="27">
        <f>IF($A98="","",N($E98)+N($F98))</f>
        <v/>
      </c>
      <c r="Q98" s="25">
        <f>IF($A98="","",IF($C98="credit_note",IF($H98&lt;&gt;"","refunded","credit applied"),IF($H98&lt;&gt;"",IF(N($I98)&gt;=$P98-0.005,"paid",IF(AND($C98="standard_balance",N($I98)+(-SUMPRODUCT((invoices!$B$2:$B$151=$B98)*(invoices!$C$2:$C$151="credit_note")*(LEN(invoices!$H$2:$H$151)=0)*invoices!$E$2:$E$151))&gt;=$P98-0.005),"paid (less credit)","part paid")),IF($D98="","draft",IF(IF(config!$B$37&lt;&gt;"",config!$B$37,TODAY())&gt;$O98,"overdue","sent")))))</f>
        <v/>
      </c>
      <c r="R98" s="25">
        <f>IF($A98="","",IF(OR($C98="founding_full",$C98="standard_deposit"),"Y","N"))</f>
        <v/>
      </c>
      <c r="S98" s="25">
        <f>IF($A98="","",IF(COUNTIF(invoices!$A$2:$A$151,$A98)&gt;1,"DUPLICATE invoice number; ","")&amp;IF(COUNTIF(campaigns!$A$2:$A$51,$B98)=0,"campaign_id missing or not on campaigns; ","")&amp;IF(AND($C98&lt;&gt;"credit_note",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lt;&gt;"",ABS(N($E98)-N(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gt;0.005),"amount differs from the price ("&amp;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amp;") - credit notes go on their own row; ","")&amp;IF(AND($C98="credit_note",N($E98)&gt;=0),"a credit note is negative; ","")&amp;IF(AND($H98&lt;&gt;"",N($I98)&gt;$P98+0.005,$C98&lt;&gt;"credit_note"),"paid more than the total; ","")&amp;IF(AND($H98&lt;&gt;"",$J98=""),"method?; ",""))</f>
        <v/>
      </c>
    </row>
    <row r="99">
      <c r="D99" s="9" t="n"/>
      <c r="E99" s="10" t="n"/>
      <c r="F99" s="10" t="n"/>
      <c r="H99" s="9" t="n"/>
      <c r="I99" s="10" t="n"/>
      <c r="L99" s="10" t="n"/>
      <c r="N99" s="25">
        <f>IF($B99="","",IFERROR(IF(INDEX(campaigns!$BE$2:$BE$51,MATCH($B99,campaigns!$A$2:$A$51,0))="","",INDEX(campaigns!$BE$2:$BE$51,MATCH($B99,campaigns!$A$2:$A$51,0))),""))</f>
        <v/>
      </c>
      <c r="O99" s="26">
        <f>IF(OR($A99="",$D99=""),"",IF($C99="founding_full",WORKDAY($D99,config!$B$27,calendar!$A$2:$A$80),$D99))</f>
        <v/>
      </c>
      <c r="P99" s="27">
        <f>IF($A99="","",N($E99)+N($F99))</f>
        <v/>
      </c>
      <c r="Q99" s="25">
        <f>IF($A99="","",IF($C99="credit_note",IF($H99&lt;&gt;"","refunded","credit applied"),IF($H99&lt;&gt;"",IF(N($I99)&gt;=$P99-0.005,"paid",IF(AND($C99="standard_balance",N($I99)+(-SUMPRODUCT((invoices!$B$2:$B$151=$B99)*(invoices!$C$2:$C$151="credit_note")*(LEN(invoices!$H$2:$H$151)=0)*invoices!$E$2:$E$151))&gt;=$P99-0.005),"paid (less credit)","part paid")),IF($D99="","draft",IF(IF(config!$B$37&lt;&gt;"",config!$B$37,TODAY())&gt;$O99,"overdue","sent")))))</f>
        <v/>
      </c>
      <c r="R99" s="25">
        <f>IF($A99="","",IF(OR($C99="founding_full",$C99="standard_deposit"),"Y","N"))</f>
        <v/>
      </c>
      <c r="S99" s="25">
        <f>IF($A99="","",IF(COUNTIF(invoices!$A$2:$A$151,$A99)&gt;1,"DUPLICATE invoice number; ","")&amp;IF(COUNTIF(campaigns!$A$2:$A$51,$B99)=0,"campaign_id missing or not on campaigns; ","")&amp;IF(AND($C99&lt;&gt;"credit_note",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lt;&gt;"",ABS(N($E99)-N(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gt;0.005),"amount differs from the price ("&amp;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amp;") - credit notes go on their own row; ","")&amp;IF(AND($C99="credit_note",N($E99)&gt;=0),"a credit note is negative; ","")&amp;IF(AND($H99&lt;&gt;"",N($I99)&gt;$P99+0.005,$C99&lt;&gt;"credit_note"),"paid more than the total; ","")&amp;IF(AND($H99&lt;&gt;"",$J99=""),"method?; ",""))</f>
        <v/>
      </c>
    </row>
    <row r="100">
      <c r="D100" s="9" t="n"/>
      <c r="E100" s="10" t="n"/>
      <c r="F100" s="10" t="n"/>
      <c r="H100" s="9" t="n"/>
      <c r="I100" s="10" t="n"/>
      <c r="L100" s="10" t="n"/>
      <c r="N100" s="25">
        <f>IF($B100="","",IFERROR(IF(INDEX(campaigns!$BE$2:$BE$51,MATCH($B100,campaigns!$A$2:$A$51,0))="","",INDEX(campaigns!$BE$2:$BE$51,MATCH($B100,campaigns!$A$2:$A$51,0))),""))</f>
        <v/>
      </c>
      <c r="O100" s="26">
        <f>IF(OR($A100="",$D100=""),"",IF($C100="founding_full",WORKDAY($D100,config!$B$27,calendar!$A$2:$A$80),$D100))</f>
        <v/>
      </c>
      <c r="P100" s="27">
        <f>IF($A100="","",N($E100)+N($F100))</f>
        <v/>
      </c>
      <c r="Q100" s="25">
        <f>IF($A100="","",IF($C100="credit_note",IF($H100&lt;&gt;"","refunded","credit applied"),IF($H100&lt;&gt;"",IF(N($I100)&gt;=$P100-0.005,"paid",IF(AND($C100="standard_balance",N($I100)+(-SUMPRODUCT((invoices!$B$2:$B$151=$B100)*(invoices!$C$2:$C$151="credit_note")*(LEN(invoices!$H$2:$H$151)=0)*invoices!$E$2:$E$151))&gt;=$P100-0.005),"paid (less credit)","part paid")),IF($D100="","draft",IF(IF(config!$B$37&lt;&gt;"",config!$B$37,TODAY())&gt;$O100,"overdue","sent")))))</f>
        <v/>
      </c>
      <c r="R100" s="25">
        <f>IF($A100="","",IF(OR($C100="founding_full",$C100="standard_deposit"),"Y","N"))</f>
        <v/>
      </c>
      <c r="S100" s="25">
        <f>IF($A100="","",IF(COUNTIF(invoices!$A$2:$A$151,$A100)&gt;1,"DUPLICATE invoice number; ","")&amp;IF(COUNTIF(campaigns!$A$2:$A$51,$B100)=0,"campaign_id missing or not on campaigns; ","")&amp;IF(AND($C100&lt;&gt;"credit_note",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lt;&gt;"",ABS(N($E100)-N(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gt;0.005),"amount differs from the price ("&amp;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amp;") - credit notes go on their own row; ","")&amp;IF(AND($C100="credit_note",N($E100)&gt;=0),"a credit note is negative; ","")&amp;IF(AND($H100&lt;&gt;"",N($I100)&gt;$P100+0.005,$C100&lt;&gt;"credit_note"),"paid more than the total; ","")&amp;IF(AND($H100&lt;&gt;"",$J100=""),"method?; ",""))</f>
        <v/>
      </c>
    </row>
    <row r="101">
      <c r="D101" s="9" t="n"/>
      <c r="E101" s="10" t="n"/>
      <c r="F101" s="10" t="n"/>
      <c r="H101" s="9" t="n"/>
      <c r="I101" s="10" t="n"/>
      <c r="L101" s="10" t="n"/>
      <c r="N101" s="25">
        <f>IF($B101="","",IFERROR(IF(INDEX(campaigns!$BE$2:$BE$51,MATCH($B101,campaigns!$A$2:$A$51,0))="","",INDEX(campaigns!$BE$2:$BE$51,MATCH($B101,campaigns!$A$2:$A$51,0))),""))</f>
        <v/>
      </c>
      <c r="O101" s="26">
        <f>IF(OR($A101="",$D101=""),"",IF($C101="founding_full",WORKDAY($D101,config!$B$27,calendar!$A$2:$A$80),$D101))</f>
        <v/>
      </c>
      <c r="P101" s="27">
        <f>IF($A101="","",N($E101)+N($F101))</f>
        <v/>
      </c>
      <c r="Q101" s="25">
        <f>IF($A101="","",IF($C101="credit_note",IF($H101&lt;&gt;"","refunded","credit applied"),IF($H101&lt;&gt;"",IF(N($I101)&gt;=$P101-0.005,"paid",IF(AND($C101="standard_balance",N($I101)+(-SUMPRODUCT((invoices!$B$2:$B$151=$B101)*(invoices!$C$2:$C$151="credit_note")*(LEN(invoices!$H$2:$H$151)=0)*invoices!$E$2:$E$151))&gt;=$P101-0.005),"paid (less credit)","part paid")),IF($D101="","draft",IF(IF(config!$B$37&lt;&gt;"",config!$B$37,TODAY())&gt;$O101,"overdue","sent")))))</f>
        <v/>
      </c>
      <c r="R101" s="25">
        <f>IF($A101="","",IF(OR($C101="founding_full",$C101="standard_deposit"),"Y","N"))</f>
        <v/>
      </c>
      <c r="S101" s="25">
        <f>IF($A101="","",IF(COUNTIF(invoices!$A$2:$A$151,$A101)&gt;1,"DUPLICATE invoice number; ","")&amp;IF(COUNTIF(campaigns!$A$2:$A$51,$B101)=0,"campaign_id missing or not on campaigns; ","")&amp;IF(AND($C101&lt;&gt;"credit_note",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lt;&gt;"",ABS(N($E101)-N(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gt;0.005),"amount differs from the price ("&amp;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amp;") - credit notes go on their own row; ","")&amp;IF(AND($C101="credit_note",N($E101)&gt;=0),"a credit note is negative; ","")&amp;IF(AND($H101&lt;&gt;"",N($I101)&gt;$P101+0.005,$C101&lt;&gt;"credit_note"),"paid more than the total; ","")&amp;IF(AND($H101&lt;&gt;"",$J101=""),"method?; ",""))</f>
        <v/>
      </c>
    </row>
    <row r="102">
      <c r="D102" s="9" t="n"/>
      <c r="E102" s="10" t="n"/>
      <c r="F102" s="10" t="n"/>
      <c r="H102" s="9" t="n"/>
      <c r="I102" s="10" t="n"/>
      <c r="L102" s="10" t="n"/>
      <c r="N102" s="25">
        <f>IF($B102="","",IFERROR(IF(INDEX(campaigns!$BE$2:$BE$51,MATCH($B102,campaigns!$A$2:$A$51,0))="","",INDEX(campaigns!$BE$2:$BE$51,MATCH($B102,campaigns!$A$2:$A$51,0))),""))</f>
        <v/>
      </c>
      <c r="O102" s="26">
        <f>IF(OR($A102="",$D102=""),"",IF($C102="founding_full",WORKDAY($D102,config!$B$27,calendar!$A$2:$A$80),$D102))</f>
        <v/>
      </c>
      <c r="P102" s="27">
        <f>IF($A102="","",N($E102)+N($F102))</f>
        <v/>
      </c>
      <c r="Q102" s="25">
        <f>IF($A102="","",IF($C102="credit_note",IF($H102&lt;&gt;"","refunded","credit applied"),IF($H102&lt;&gt;"",IF(N($I102)&gt;=$P102-0.005,"paid",IF(AND($C102="standard_balance",N($I102)+(-SUMPRODUCT((invoices!$B$2:$B$151=$B102)*(invoices!$C$2:$C$151="credit_note")*(LEN(invoices!$H$2:$H$151)=0)*invoices!$E$2:$E$151))&gt;=$P102-0.005),"paid (less credit)","part paid")),IF($D102="","draft",IF(IF(config!$B$37&lt;&gt;"",config!$B$37,TODAY())&gt;$O102,"overdue","sent")))))</f>
        <v/>
      </c>
      <c r="R102" s="25">
        <f>IF($A102="","",IF(OR($C102="founding_full",$C102="standard_deposit"),"Y","N"))</f>
        <v/>
      </c>
      <c r="S102" s="25">
        <f>IF($A102="","",IF(COUNTIF(invoices!$A$2:$A$151,$A102)&gt;1,"DUPLICATE invoice number; ","")&amp;IF(COUNTIF(campaigns!$A$2:$A$51,$B102)=0,"campaign_id missing or not on campaigns; ","")&amp;IF(AND($C102&lt;&gt;"credit_note",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lt;&gt;"",ABS(N($E102)-N(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gt;0.005),"amount differs from the price ("&amp;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amp;") - credit notes go on their own row; ","")&amp;IF(AND($C102="credit_note",N($E102)&gt;=0),"a credit note is negative; ","")&amp;IF(AND($H102&lt;&gt;"",N($I102)&gt;$P102+0.005,$C102&lt;&gt;"credit_note"),"paid more than the total; ","")&amp;IF(AND($H102&lt;&gt;"",$J102=""),"method?; ",""))</f>
        <v/>
      </c>
    </row>
    <row r="103">
      <c r="D103" s="9" t="n"/>
      <c r="E103" s="10" t="n"/>
      <c r="F103" s="10" t="n"/>
      <c r="H103" s="9" t="n"/>
      <c r="I103" s="10" t="n"/>
      <c r="L103" s="10" t="n"/>
      <c r="N103" s="25">
        <f>IF($B103="","",IFERROR(IF(INDEX(campaigns!$BE$2:$BE$51,MATCH($B103,campaigns!$A$2:$A$51,0))="","",INDEX(campaigns!$BE$2:$BE$51,MATCH($B103,campaigns!$A$2:$A$51,0))),""))</f>
        <v/>
      </c>
      <c r="O103" s="26">
        <f>IF(OR($A103="",$D103=""),"",IF($C103="founding_full",WORKDAY($D103,config!$B$27,calendar!$A$2:$A$80),$D103))</f>
        <v/>
      </c>
      <c r="P103" s="27">
        <f>IF($A103="","",N($E103)+N($F103))</f>
        <v/>
      </c>
      <c r="Q103" s="25">
        <f>IF($A103="","",IF($C103="credit_note",IF($H103&lt;&gt;"","refunded","credit applied"),IF($H103&lt;&gt;"",IF(N($I103)&gt;=$P103-0.005,"paid",IF(AND($C103="standard_balance",N($I103)+(-SUMPRODUCT((invoices!$B$2:$B$151=$B103)*(invoices!$C$2:$C$151="credit_note")*(LEN(invoices!$H$2:$H$151)=0)*invoices!$E$2:$E$151))&gt;=$P103-0.005),"paid (less credit)","part paid")),IF($D103="","draft",IF(IF(config!$B$37&lt;&gt;"",config!$B$37,TODAY())&gt;$O103,"overdue","sent")))))</f>
        <v/>
      </c>
      <c r="R103" s="25">
        <f>IF($A103="","",IF(OR($C103="founding_full",$C103="standard_deposit"),"Y","N"))</f>
        <v/>
      </c>
      <c r="S103" s="25">
        <f>IF($A103="","",IF(COUNTIF(invoices!$A$2:$A$151,$A103)&gt;1,"DUPLICATE invoice number; ","")&amp;IF(COUNTIF(campaigns!$A$2:$A$51,$B103)=0,"campaign_id missing or not on campaigns; ","")&amp;IF(AND($C103&lt;&gt;"credit_note",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lt;&gt;"",ABS(N($E103)-N(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gt;0.005),"amount differs from the price ("&amp;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amp;") - credit notes go on their own row; ","")&amp;IF(AND($C103="credit_note",N($E103)&gt;=0),"a credit note is negative; ","")&amp;IF(AND($H103&lt;&gt;"",N($I103)&gt;$P103+0.005,$C103&lt;&gt;"credit_note"),"paid more than the total; ","")&amp;IF(AND($H103&lt;&gt;"",$J103=""),"method?; ",""))</f>
        <v/>
      </c>
    </row>
    <row r="104">
      <c r="D104" s="9" t="n"/>
      <c r="E104" s="10" t="n"/>
      <c r="F104" s="10" t="n"/>
      <c r="H104" s="9" t="n"/>
      <c r="I104" s="10" t="n"/>
      <c r="L104" s="10" t="n"/>
      <c r="N104" s="25">
        <f>IF($B104="","",IFERROR(IF(INDEX(campaigns!$BE$2:$BE$51,MATCH($B104,campaigns!$A$2:$A$51,0))="","",INDEX(campaigns!$BE$2:$BE$51,MATCH($B104,campaigns!$A$2:$A$51,0))),""))</f>
        <v/>
      </c>
      <c r="O104" s="26">
        <f>IF(OR($A104="",$D104=""),"",IF($C104="founding_full",WORKDAY($D104,config!$B$27,calendar!$A$2:$A$80),$D104))</f>
        <v/>
      </c>
      <c r="P104" s="27">
        <f>IF($A104="","",N($E104)+N($F104))</f>
        <v/>
      </c>
      <c r="Q104" s="25">
        <f>IF($A104="","",IF($C104="credit_note",IF($H104&lt;&gt;"","refunded","credit applied"),IF($H104&lt;&gt;"",IF(N($I104)&gt;=$P104-0.005,"paid",IF(AND($C104="standard_balance",N($I104)+(-SUMPRODUCT((invoices!$B$2:$B$151=$B104)*(invoices!$C$2:$C$151="credit_note")*(LEN(invoices!$H$2:$H$151)=0)*invoices!$E$2:$E$151))&gt;=$P104-0.005),"paid (less credit)","part paid")),IF($D104="","draft",IF(IF(config!$B$37&lt;&gt;"",config!$B$37,TODAY())&gt;$O104,"overdue","sent")))))</f>
        <v/>
      </c>
      <c r="R104" s="25">
        <f>IF($A104="","",IF(OR($C104="founding_full",$C104="standard_deposit"),"Y","N"))</f>
        <v/>
      </c>
      <c r="S104" s="25">
        <f>IF($A104="","",IF(COUNTIF(invoices!$A$2:$A$151,$A104)&gt;1,"DUPLICATE invoice number; ","")&amp;IF(COUNTIF(campaigns!$A$2:$A$51,$B104)=0,"campaign_id missing or not on campaigns; ","")&amp;IF(AND($C104&lt;&gt;"credit_note",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lt;&gt;"",ABS(N($E104)-N(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gt;0.005),"amount differs from the price ("&amp;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amp;") - credit notes go on their own row; ","")&amp;IF(AND($C104="credit_note",N($E104)&gt;=0),"a credit note is negative; ","")&amp;IF(AND($H104&lt;&gt;"",N($I104)&gt;$P104+0.005,$C104&lt;&gt;"credit_note"),"paid more than the total; ","")&amp;IF(AND($H104&lt;&gt;"",$J104=""),"method?; ",""))</f>
        <v/>
      </c>
    </row>
    <row r="105">
      <c r="D105" s="9" t="n"/>
      <c r="E105" s="10" t="n"/>
      <c r="F105" s="10" t="n"/>
      <c r="H105" s="9" t="n"/>
      <c r="I105" s="10" t="n"/>
      <c r="L105" s="10" t="n"/>
      <c r="N105" s="25">
        <f>IF($B105="","",IFERROR(IF(INDEX(campaigns!$BE$2:$BE$51,MATCH($B105,campaigns!$A$2:$A$51,0))="","",INDEX(campaigns!$BE$2:$BE$51,MATCH($B105,campaigns!$A$2:$A$51,0))),""))</f>
        <v/>
      </c>
      <c r="O105" s="26">
        <f>IF(OR($A105="",$D105=""),"",IF($C105="founding_full",WORKDAY($D105,config!$B$27,calendar!$A$2:$A$80),$D105))</f>
        <v/>
      </c>
      <c r="P105" s="27">
        <f>IF($A105="","",N($E105)+N($F105))</f>
        <v/>
      </c>
      <c r="Q105" s="25">
        <f>IF($A105="","",IF($C105="credit_note",IF($H105&lt;&gt;"","refunded","credit applied"),IF($H105&lt;&gt;"",IF(N($I105)&gt;=$P105-0.005,"paid",IF(AND($C105="standard_balance",N($I105)+(-SUMPRODUCT((invoices!$B$2:$B$151=$B105)*(invoices!$C$2:$C$151="credit_note")*(LEN(invoices!$H$2:$H$151)=0)*invoices!$E$2:$E$151))&gt;=$P105-0.005),"paid (less credit)","part paid")),IF($D105="","draft",IF(IF(config!$B$37&lt;&gt;"",config!$B$37,TODAY())&gt;$O105,"overdue","sent")))))</f>
        <v/>
      </c>
      <c r="R105" s="25">
        <f>IF($A105="","",IF(OR($C105="founding_full",$C105="standard_deposit"),"Y","N"))</f>
        <v/>
      </c>
      <c r="S105" s="25">
        <f>IF($A105="","",IF(COUNTIF(invoices!$A$2:$A$151,$A105)&gt;1,"DUPLICATE invoice number; ","")&amp;IF(COUNTIF(campaigns!$A$2:$A$51,$B105)=0,"campaign_id missing or not on campaigns; ","")&amp;IF(AND($C105&lt;&gt;"credit_note",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lt;&gt;"",ABS(N($E105)-N(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gt;0.005),"amount differs from the price ("&amp;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amp;") - credit notes go on their own row; ","")&amp;IF(AND($C105="credit_note",N($E105)&gt;=0),"a credit note is negative; ","")&amp;IF(AND($H105&lt;&gt;"",N($I105)&gt;$P105+0.005,$C105&lt;&gt;"credit_note"),"paid more than the total; ","")&amp;IF(AND($H105&lt;&gt;"",$J105=""),"method?; ",""))</f>
        <v/>
      </c>
    </row>
    <row r="106">
      <c r="D106" s="9" t="n"/>
      <c r="E106" s="10" t="n"/>
      <c r="F106" s="10" t="n"/>
      <c r="H106" s="9" t="n"/>
      <c r="I106" s="10" t="n"/>
      <c r="L106" s="10" t="n"/>
      <c r="N106" s="25">
        <f>IF($B106="","",IFERROR(IF(INDEX(campaigns!$BE$2:$BE$51,MATCH($B106,campaigns!$A$2:$A$51,0))="","",INDEX(campaigns!$BE$2:$BE$51,MATCH($B106,campaigns!$A$2:$A$51,0))),""))</f>
        <v/>
      </c>
      <c r="O106" s="26">
        <f>IF(OR($A106="",$D106=""),"",IF($C106="founding_full",WORKDAY($D106,config!$B$27,calendar!$A$2:$A$80),$D106))</f>
        <v/>
      </c>
      <c r="P106" s="27">
        <f>IF($A106="","",N($E106)+N($F106))</f>
        <v/>
      </c>
      <c r="Q106" s="25">
        <f>IF($A106="","",IF($C106="credit_note",IF($H106&lt;&gt;"","refunded","credit applied"),IF($H106&lt;&gt;"",IF(N($I106)&gt;=$P106-0.005,"paid",IF(AND($C106="standard_balance",N($I106)+(-SUMPRODUCT((invoices!$B$2:$B$151=$B106)*(invoices!$C$2:$C$151="credit_note")*(LEN(invoices!$H$2:$H$151)=0)*invoices!$E$2:$E$151))&gt;=$P106-0.005),"paid (less credit)","part paid")),IF($D106="","draft",IF(IF(config!$B$37&lt;&gt;"",config!$B$37,TODAY())&gt;$O106,"overdue","sent")))))</f>
        <v/>
      </c>
      <c r="R106" s="25">
        <f>IF($A106="","",IF(OR($C106="founding_full",$C106="standard_deposit"),"Y","N"))</f>
        <v/>
      </c>
      <c r="S106" s="25">
        <f>IF($A106="","",IF(COUNTIF(invoices!$A$2:$A$151,$A106)&gt;1,"DUPLICATE invoice number; ","")&amp;IF(COUNTIF(campaigns!$A$2:$A$51,$B106)=0,"campaign_id missing or not on campaigns; ","")&amp;IF(AND($C106&lt;&gt;"credit_note",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lt;&gt;"",ABS(N($E106)-N(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gt;0.005),"amount differs from the price ("&amp;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amp;") - credit notes go on their own row; ","")&amp;IF(AND($C106="credit_note",N($E106)&gt;=0),"a credit note is negative; ","")&amp;IF(AND($H106&lt;&gt;"",N($I106)&gt;$P106+0.005,$C106&lt;&gt;"credit_note"),"paid more than the total; ","")&amp;IF(AND($H106&lt;&gt;"",$J106=""),"method?; ",""))</f>
        <v/>
      </c>
    </row>
    <row r="107">
      <c r="D107" s="9" t="n"/>
      <c r="E107" s="10" t="n"/>
      <c r="F107" s="10" t="n"/>
      <c r="H107" s="9" t="n"/>
      <c r="I107" s="10" t="n"/>
      <c r="L107" s="10" t="n"/>
      <c r="N107" s="25">
        <f>IF($B107="","",IFERROR(IF(INDEX(campaigns!$BE$2:$BE$51,MATCH($B107,campaigns!$A$2:$A$51,0))="","",INDEX(campaigns!$BE$2:$BE$51,MATCH($B107,campaigns!$A$2:$A$51,0))),""))</f>
        <v/>
      </c>
      <c r="O107" s="26">
        <f>IF(OR($A107="",$D107=""),"",IF($C107="founding_full",WORKDAY($D107,config!$B$27,calendar!$A$2:$A$80),$D107))</f>
        <v/>
      </c>
      <c r="P107" s="27">
        <f>IF($A107="","",N($E107)+N($F107))</f>
        <v/>
      </c>
      <c r="Q107" s="25">
        <f>IF($A107="","",IF($C107="credit_note",IF($H107&lt;&gt;"","refunded","credit applied"),IF($H107&lt;&gt;"",IF(N($I107)&gt;=$P107-0.005,"paid",IF(AND($C107="standard_balance",N($I107)+(-SUMPRODUCT((invoices!$B$2:$B$151=$B107)*(invoices!$C$2:$C$151="credit_note")*(LEN(invoices!$H$2:$H$151)=0)*invoices!$E$2:$E$151))&gt;=$P107-0.005),"paid (less credit)","part paid")),IF($D107="","draft",IF(IF(config!$B$37&lt;&gt;"",config!$B$37,TODAY())&gt;$O107,"overdue","sent")))))</f>
        <v/>
      </c>
      <c r="R107" s="25">
        <f>IF($A107="","",IF(OR($C107="founding_full",$C107="standard_deposit"),"Y","N"))</f>
        <v/>
      </c>
      <c r="S107" s="25">
        <f>IF($A107="","",IF(COUNTIF(invoices!$A$2:$A$151,$A107)&gt;1,"DUPLICATE invoice number; ","")&amp;IF(COUNTIF(campaigns!$A$2:$A$51,$B107)=0,"campaign_id missing or not on campaigns; ","")&amp;IF(AND($C107&lt;&gt;"credit_note",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lt;&gt;"",ABS(N($E107)-N(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gt;0.005),"amount differs from the price ("&amp;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amp;") - credit notes go on their own row; ","")&amp;IF(AND($C107="credit_note",N($E107)&gt;=0),"a credit note is negative; ","")&amp;IF(AND($H107&lt;&gt;"",N($I107)&gt;$P107+0.005,$C107&lt;&gt;"credit_note"),"paid more than the total; ","")&amp;IF(AND($H107&lt;&gt;"",$J107=""),"method?; ",""))</f>
        <v/>
      </c>
    </row>
    <row r="108">
      <c r="D108" s="9" t="n"/>
      <c r="E108" s="10" t="n"/>
      <c r="F108" s="10" t="n"/>
      <c r="H108" s="9" t="n"/>
      <c r="I108" s="10" t="n"/>
      <c r="L108" s="10" t="n"/>
      <c r="N108" s="25">
        <f>IF($B108="","",IFERROR(IF(INDEX(campaigns!$BE$2:$BE$51,MATCH($B108,campaigns!$A$2:$A$51,0))="","",INDEX(campaigns!$BE$2:$BE$51,MATCH($B108,campaigns!$A$2:$A$51,0))),""))</f>
        <v/>
      </c>
      <c r="O108" s="26">
        <f>IF(OR($A108="",$D108=""),"",IF($C108="founding_full",WORKDAY($D108,config!$B$27,calendar!$A$2:$A$80),$D108))</f>
        <v/>
      </c>
      <c r="P108" s="27">
        <f>IF($A108="","",N($E108)+N($F108))</f>
        <v/>
      </c>
      <c r="Q108" s="25">
        <f>IF($A108="","",IF($C108="credit_note",IF($H108&lt;&gt;"","refunded","credit applied"),IF($H108&lt;&gt;"",IF(N($I108)&gt;=$P108-0.005,"paid",IF(AND($C108="standard_balance",N($I108)+(-SUMPRODUCT((invoices!$B$2:$B$151=$B108)*(invoices!$C$2:$C$151="credit_note")*(LEN(invoices!$H$2:$H$151)=0)*invoices!$E$2:$E$151))&gt;=$P108-0.005),"paid (less credit)","part paid")),IF($D108="","draft",IF(IF(config!$B$37&lt;&gt;"",config!$B$37,TODAY())&gt;$O108,"overdue","sent")))))</f>
        <v/>
      </c>
      <c r="R108" s="25">
        <f>IF($A108="","",IF(OR($C108="founding_full",$C108="standard_deposit"),"Y","N"))</f>
        <v/>
      </c>
      <c r="S108" s="25">
        <f>IF($A108="","",IF(COUNTIF(invoices!$A$2:$A$151,$A108)&gt;1,"DUPLICATE invoice number; ","")&amp;IF(COUNTIF(campaigns!$A$2:$A$51,$B108)=0,"campaign_id missing or not on campaigns; ","")&amp;IF(AND($C108&lt;&gt;"credit_note",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lt;&gt;"",ABS(N($E108)-N(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gt;0.005),"amount differs from the price ("&amp;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amp;") - credit notes go on their own row; ","")&amp;IF(AND($C108="credit_note",N($E108)&gt;=0),"a credit note is negative; ","")&amp;IF(AND($H108&lt;&gt;"",N($I108)&gt;$P108+0.005,$C108&lt;&gt;"credit_note"),"paid more than the total; ","")&amp;IF(AND($H108&lt;&gt;"",$J108=""),"method?; ",""))</f>
        <v/>
      </c>
    </row>
    <row r="109">
      <c r="D109" s="9" t="n"/>
      <c r="E109" s="10" t="n"/>
      <c r="F109" s="10" t="n"/>
      <c r="H109" s="9" t="n"/>
      <c r="I109" s="10" t="n"/>
      <c r="L109" s="10" t="n"/>
      <c r="N109" s="25">
        <f>IF($B109="","",IFERROR(IF(INDEX(campaigns!$BE$2:$BE$51,MATCH($B109,campaigns!$A$2:$A$51,0))="","",INDEX(campaigns!$BE$2:$BE$51,MATCH($B109,campaigns!$A$2:$A$51,0))),""))</f>
        <v/>
      </c>
      <c r="O109" s="26">
        <f>IF(OR($A109="",$D109=""),"",IF($C109="founding_full",WORKDAY($D109,config!$B$27,calendar!$A$2:$A$80),$D109))</f>
        <v/>
      </c>
      <c r="P109" s="27">
        <f>IF($A109="","",N($E109)+N($F109))</f>
        <v/>
      </c>
      <c r="Q109" s="25">
        <f>IF($A109="","",IF($C109="credit_note",IF($H109&lt;&gt;"","refunded","credit applied"),IF($H109&lt;&gt;"",IF(N($I109)&gt;=$P109-0.005,"paid",IF(AND($C109="standard_balance",N($I109)+(-SUMPRODUCT((invoices!$B$2:$B$151=$B109)*(invoices!$C$2:$C$151="credit_note")*(LEN(invoices!$H$2:$H$151)=0)*invoices!$E$2:$E$151))&gt;=$P109-0.005),"paid (less credit)","part paid")),IF($D109="","draft",IF(IF(config!$B$37&lt;&gt;"",config!$B$37,TODAY())&gt;$O109,"overdue","sent")))))</f>
        <v/>
      </c>
      <c r="R109" s="25">
        <f>IF($A109="","",IF(OR($C109="founding_full",$C109="standard_deposit"),"Y","N"))</f>
        <v/>
      </c>
      <c r="S109" s="25">
        <f>IF($A109="","",IF(COUNTIF(invoices!$A$2:$A$151,$A109)&gt;1,"DUPLICATE invoice number; ","")&amp;IF(COUNTIF(campaigns!$A$2:$A$51,$B109)=0,"campaign_id missing or not on campaigns; ","")&amp;IF(AND($C109&lt;&gt;"credit_note",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lt;&gt;"",ABS(N($E109)-N(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gt;0.005),"amount differs from the price ("&amp;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amp;") - credit notes go on their own row; ","")&amp;IF(AND($C109="credit_note",N($E109)&gt;=0),"a credit note is negative; ","")&amp;IF(AND($H109&lt;&gt;"",N($I109)&gt;$P109+0.005,$C109&lt;&gt;"credit_note"),"paid more than the total; ","")&amp;IF(AND($H109&lt;&gt;"",$J109=""),"method?; ",""))</f>
        <v/>
      </c>
    </row>
    <row r="110">
      <c r="D110" s="9" t="n"/>
      <c r="E110" s="10" t="n"/>
      <c r="F110" s="10" t="n"/>
      <c r="H110" s="9" t="n"/>
      <c r="I110" s="10" t="n"/>
      <c r="L110" s="10" t="n"/>
      <c r="N110" s="25">
        <f>IF($B110="","",IFERROR(IF(INDEX(campaigns!$BE$2:$BE$51,MATCH($B110,campaigns!$A$2:$A$51,0))="","",INDEX(campaigns!$BE$2:$BE$51,MATCH($B110,campaigns!$A$2:$A$51,0))),""))</f>
        <v/>
      </c>
      <c r="O110" s="26">
        <f>IF(OR($A110="",$D110=""),"",IF($C110="founding_full",WORKDAY($D110,config!$B$27,calendar!$A$2:$A$80),$D110))</f>
        <v/>
      </c>
      <c r="P110" s="27">
        <f>IF($A110="","",N($E110)+N($F110))</f>
        <v/>
      </c>
      <c r="Q110" s="25">
        <f>IF($A110="","",IF($C110="credit_note",IF($H110&lt;&gt;"","refunded","credit applied"),IF($H110&lt;&gt;"",IF(N($I110)&gt;=$P110-0.005,"paid",IF(AND($C110="standard_balance",N($I110)+(-SUMPRODUCT((invoices!$B$2:$B$151=$B110)*(invoices!$C$2:$C$151="credit_note")*(LEN(invoices!$H$2:$H$151)=0)*invoices!$E$2:$E$151))&gt;=$P110-0.005),"paid (less credit)","part paid")),IF($D110="","draft",IF(IF(config!$B$37&lt;&gt;"",config!$B$37,TODAY())&gt;$O110,"overdue","sent")))))</f>
        <v/>
      </c>
      <c r="R110" s="25">
        <f>IF($A110="","",IF(OR($C110="founding_full",$C110="standard_deposit"),"Y","N"))</f>
        <v/>
      </c>
      <c r="S110" s="25">
        <f>IF($A110="","",IF(COUNTIF(invoices!$A$2:$A$151,$A110)&gt;1,"DUPLICATE invoice number; ","")&amp;IF(COUNTIF(campaigns!$A$2:$A$51,$B110)=0,"campaign_id missing or not on campaigns; ","")&amp;IF(AND($C110&lt;&gt;"credit_note",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lt;&gt;"",ABS(N($E110)-N(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gt;0.005),"amount differs from the price ("&amp;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amp;") - credit notes go on their own row; ","")&amp;IF(AND($C110="credit_note",N($E110)&gt;=0),"a credit note is negative; ","")&amp;IF(AND($H110&lt;&gt;"",N($I110)&gt;$P110+0.005,$C110&lt;&gt;"credit_note"),"paid more than the total; ","")&amp;IF(AND($H110&lt;&gt;"",$J110=""),"method?; ",""))</f>
        <v/>
      </c>
    </row>
    <row r="111">
      <c r="D111" s="9" t="n"/>
      <c r="E111" s="10" t="n"/>
      <c r="F111" s="10" t="n"/>
      <c r="H111" s="9" t="n"/>
      <c r="I111" s="10" t="n"/>
      <c r="L111" s="10" t="n"/>
      <c r="N111" s="25">
        <f>IF($B111="","",IFERROR(IF(INDEX(campaigns!$BE$2:$BE$51,MATCH($B111,campaigns!$A$2:$A$51,0))="","",INDEX(campaigns!$BE$2:$BE$51,MATCH($B111,campaigns!$A$2:$A$51,0))),""))</f>
        <v/>
      </c>
      <c r="O111" s="26">
        <f>IF(OR($A111="",$D111=""),"",IF($C111="founding_full",WORKDAY($D111,config!$B$27,calendar!$A$2:$A$80),$D111))</f>
        <v/>
      </c>
      <c r="P111" s="27">
        <f>IF($A111="","",N($E111)+N($F111))</f>
        <v/>
      </c>
      <c r="Q111" s="25">
        <f>IF($A111="","",IF($C111="credit_note",IF($H111&lt;&gt;"","refunded","credit applied"),IF($H111&lt;&gt;"",IF(N($I111)&gt;=$P111-0.005,"paid",IF(AND($C111="standard_balance",N($I111)+(-SUMPRODUCT((invoices!$B$2:$B$151=$B111)*(invoices!$C$2:$C$151="credit_note")*(LEN(invoices!$H$2:$H$151)=0)*invoices!$E$2:$E$151))&gt;=$P111-0.005),"paid (less credit)","part paid")),IF($D111="","draft",IF(IF(config!$B$37&lt;&gt;"",config!$B$37,TODAY())&gt;$O111,"overdue","sent")))))</f>
        <v/>
      </c>
      <c r="R111" s="25">
        <f>IF($A111="","",IF(OR($C111="founding_full",$C111="standard_deposit"),"Y","N"))</f>
        <v/>
      </c>
      <c r="S111" s="25">
        <f>IF($A111="","",IF(COUNTIF(invoices!$A$2:$A$151,$A111)&gt;1,"DUPLICATE invoice number; ","")&amp;IF(COUNTIF(campaigns!$A$2:$A$51,$B111)=0,"campaign_id missing or not on campaigns; ","")&amp;IF(AND($C111&lt;&gt;"credit_note",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lt;&gt;"",ABS(N($E111)-N(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gt;0.005),"amount differs from the price ("&amp;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amp;") - credit notes go on their own row; ","")&amp;IF(AND($C111="credit_note",N($E111)&gt;=0),"a credit note is negative; ","")&amp;IF(AND($H111&lt;&gt;"",N($I111)&gt;$P111+0.005,$C111&lt;&gt;"credit_note"),"paid more than the total; ","")&amp;IF(AND($H111&lt;&gt;"",$J111=""),"method?; ",""))</f>
        <v/>
      </c>
    </row>
    <row r="112">
      <c r="D112" s="9" t="n"/>
      <c r="E112" s="10" t="n"/>
      <c r="F112" s="10" t="n"/>
      <c r="H112" s="9" t="n"/>
      <c r="I112" s="10" t="n"/>
      <c r="L112" s="10" t="n"/>
      <c r="N112" s="25">
        <f>IF($B112="","",IFERROR(IF(INDEX(campaigns!$BE$2:$BE$51,MATCH($B112,campaigns!$A$2:$A$51,0))="","",INDEX(campaigns!$BE$2:$BE$51,MATCH($B112,campaigns!$A$2:$A$51,0))),""))</f>
        <v/>
      </c>
      <c r="O112" s="26">
        <f>IF(OR($A112="",$D112=""),"",IF($C112="founding_full",WORKDAY($D112,config!$B$27,calendar!$A$2:$A$80),$D112))</f>
        <v/>
      </c>
      <c r="P112" s="27">
        <f>IF($A112="","",N($E112)+N($F112))</f>
        <v/>
      </c>
      <c r="Q112" s="25">
        <f>IF($A112="","",IF($C112="credit_note",IF($H112&lt;&gt;"","refunded","credit applied"),IF($H112&lt;&gt;"",IF(N($I112)&gt;=$P112-0.005,"paid",IF(AND($C112="standard_balance",N($I112)+(-SUMPRODUCT((invoices!$B$2:$B$151=$B112)*(invoices!$C$2:$C$151="credit_note")*(LEN(invoices!$H$2:$H$151)=0)*invoices!$E$2:$E$151))&gt;=$P112-0.005),"paid (less credit)","part paid")),IF($D112="","draft",IF(IF(config!$B$37&lt;&gt;"",config!$B$37,TODAY())&gt;$O112,"overdue","sent")))))</f>
        <v/>
      </c>
      <c r="R112" s="25">
        <f>IF($A112="","",IF(OR($C112="founding_full",$C112="standard_deposit"),"Y","N"))</f>
        <v/>
      </c>
      <c r="S112" s="25">
        <f>IF($A112="","",IF(COUNTIF(invoices!$A$2:$A$151,$A112)&gt;1,"DUPLICATE invoice number; ","")&amp;IF(COUNTIF(campaigns!$A$2:$A$51,$B112)=0,"campaign_id missing or not on campaigns; ","")&amp;IF(AND($C112&lt;&gt;"credit_note",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lt;&gt;"",ABS(N($E112)-N(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gt;0.005),"amount differs from the price ("&amp;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amp;") - credit notes go on their own row; ","")&amp;IF(AND($C112="credit_note",N($E112)&gt;=0),"a credit note is negative; ","")&amp;IF(AND($H112&lt;&gt;"",N($I112)&gt;$P112+0.005,$C112&lt;&gt;"credit_note"),"paid more than the total; ","")&amp;IF(AND($H112&lt;&gt;"",$J112=""),"method?; ",""))</f>
        <v/>
      </c>
    </row>
    <row r="113">
      <c r="D113" s="9" t="n"/>
      <c r="E113" s="10" t="n"/>
      <c r="F113" s="10" t="n"/>
      <c r="H113" s="9" t="n"/>
      <c r="I113" s="10" t="n"/>
      <c r="L113" s="10" t="n"/>
      <c r="N113" s="25">
        <f>IF($B113="","",IFERROR(IF(INDEX(campaigns!$BE$2:$BE$51,MATCH($B113,campaigns!$A$2:$A$51,0))="","",INDEX(campaigns!$BE$2:$BE$51,MATCH($B113,campaigns!$A$2:$A$51,0))),""))</f>
        <v/>
      </c>
      <c r="O113" s="26">
        <f>IF(OR($A113="",$D113=""),"",IF($C113="founding_full",WORKDAY($D113,config!$B$27,calendar!$A$2:$A$80),$D113))</f>
        <v/>
      </c>
      <c r="P113" s="27">
        <f>IF($A113="","",N($E113)+N($F113))</f>
        <v/>
      </c>
      <c r="Q113" s="25">
        <f>IF($A113="","",IF($C113="credit_note",IF($H113&lt;&gt;"","refunded","credit applied"),IF($H113&lt;&gt;"",IF(N($I113)&gt;=$P113-0.005,"paid",IF(AND($C113="standard_balance",N($I113)+(-SUMPRODUCT((invoices!$B$2:$B$151=$B113)*(invoices!$C$2:$C$151="credit_note")*(LEN(invoices!$H$2:$H$151)=0)*invoices!$E$2:$E$151))&gt;=$P113-0.005),"paid (less credit)","part paid")),IF($D113="","draft",IF(IF(config!$B$37&lt;&gt;"",config!$B$37,TODAY())&gt;$O113,"overdue","sent")))))</f>
        <v/>
      </c>
      <c r="R113" s="25">
        <f>IF($A113="","",IF(OR($C113="founding_full",$C113="standard_deposit"),"Y","N"))</f>
        <v/>
      </c>
      <c r="S113" s="25">
        <f>IF($A113="","",IF(COUNTIF(invoices!$A$2:$A$151,$A113)&gt;1,"DUPLICATE invoice number; ","")&amp;IF(COUNTIF(campaigns!$A$2:$A$51,$B113)=0,"campaign_id missing or not on campaigns; ","")&amp;IF(AND($C113&lt;&gt;"credit_note",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lt;&gt;"",ABS(N($E113)-N(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gt;0.005),"amount differs from the price ("&amp;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amp;") - credit notes go on their own row; ","")&amp;IF(AND($C113="credit_note",N($E113)&gt;=0),"a credit note is negative; ","")&amp;IF(AND($H113&lt;&gt;"",N($I113)&gt;$P113+0.005,$C113&lt;&gt;"credit_note"),"paid more than the total; ","")&amp;IF(AND($H113&lt;&gt;"",$J113=""),"method?; ",""))</f>
        <v/>
      </c>
    </row>
    <row r="114">
      <c r="D114" s="9" t="n"/>
      <c r="E114" s="10" t="n"/>
      <c r="F114" s="10" t="n"/>
      <c r="H114" s="9" t="n"/>
      <c r="I114" s="10" t="n"/>
      <c r="L114" s="10" t="n"/>
      <c r="N114" s="25">
        <f>IF($B114="","",IFERROR(IF(INDEX(campaigns!$BE$2:$BE$51,MATCH($B114,campaigns!$A$2:$A$51,0))="","",INDEX(campaigns!$BE$2:$BE$51,MATCH($B114,campaigns!$A$2:$A$51,0))),""))</f>
        <v/>
      </c>
      <c r="O114" s="26">
        <f>IF(OR($A114="",$D114=""),"",IF($C114="founding_full",WORKDAY($D114,config!$B$27,calendar!$A$2:$A$80),$D114))</f>
        <v/>
      </c>
      <c r="P114" s="27">
        <f>IF($A114="","",N($E114)+N($F114))</f>
        <v/>
      </c>
      <c r="Q114" s="25">
        <f>IF($A114="","",IF($C114="credit_note",IF($H114&lt;&gt;"","refunded","credit applied"),IF($H114&lt;&gt;"",IF(N($I114)&gt;=$P114-0.005,"paid",IF(AND($C114="standard_balance",N($I114)+(-SUMPRODUCT((invoices!$B$2:$B$151=$B114)*(invoices!$C$2:$C$151="credit_note")*(LEN(invoices!$H$2:$H$151)=0)*invoices!$E$2:$E$151))&gt;=$P114-0.005),"paid (less credit)","part paid")),IF($D114="","draft",IF(IF(config!$B$37&lt;&gt;"",config!$B$37,TODAY())&gt;$O114,"overdue","sent")))))</f>
        <v/>
      </c>
      <c r="R114" s="25">
        <f>IF($A114="","",IF(OR($C114="founding_full",$C114="standard_deposit"),"Y","N"))</f>
        <v/>
      </c>
      <c r="S114" s="25">
        <f>IF($A114="","",IF(COUNTIF(invoices!$A$2:$A$151,$A114)&gt;1,"DUPLICATE invoice number; ","")&amp;IF(COUNTIF(campaigns!$A$2:$A$51,$B114)=0,"campaign_id missing or not on campaigns; ","")&amp;IF(AND($C114&lt;&gt;"credit_note",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lt;&gt;"",ABS(N($E114)-N(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gt;0.005),"amount differs from the price ("&amp;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amp;") - credit notes go on their own row; ","")&amp;IF(AND($C114="credit_note",N($E114)&gt;=0),"a credit note is negative; ","")&amp;IF(AND($H114&lt;&gt;"",N($I114)&gt;$P114+0.005,$C114&lt;&gt;"credit_note"),"paid more than the total; ","")&amp;IF(AND($H114&lt;&gt;"",$J114=""),"method?; ",""))</f>
        <v/>
      </c>
    </row>
    <row r="115">
      <c r="D115" s="9" t="n"/>
      <c r="E115" s="10" t="n"/>
      <c r="F115" s="10" t="n"/>
      <c r="H115" s="9" t="n"/>
      <c r="I115" s="10" t="n"/>
      <c r="L115" s="10" t="n"/>
      <c r="N115" s="25">
        <f>IF($B115="","",IFERROR(IF(INDEX(campaigns!$BE$2:$BE$51,MATCH($B115,campaigns!$A$2:$A$51,0))="","",INDEX(campaigns!$BE$2:$BE$51,MATCH($B115,campaigns!$A$2:$A$51,0))),""))</f>
        <v/>
      </c>
      <c r="O115" s="26">
        <f>IF(OR($A115="",$D115=""),"",IF($C115="founding_full",WORKDAY($D115,config!$B$27,calendar!$A$2:$A$80),$D115))</f>
        <v/>
      </c>
      <c r="P115" s="27">
        <f>IF($A115="","",N($E115)+N($F115))</f>
        <v/>
      </c>
      <c r="Q115" s="25">
        <f>IF($A115="","",IF($C115="credit_note",IF($H115&lt;&gt;"","refunded","credit applied"),IF($H115&lt;&gt;"",IF(N($I115)&gt;=$P115-0.005,"paid",IF(AND($C115="standard_balance",N($I115)+(-SUMPRODUCT((invoices!$B$2:$B$151=$B115)*(invoices!$C$2:$C$151="credit_note")*(LEN(invoices!$H$2:$H$151)=0)*invoices!$E$2:$E$151))&gt;=$P115-0.005),"paid (less credit)","part paid")),IF($D115="","draft",IF(IF(config!$B$37&lt;&gt;"",config!$B$37,TODAY())&gt;$O115,"overdue","sent")))))</f>
        <v/>
      </c>
      <c r="R115" s="25">
        <f>IF($A115="","",IF(OR($C115="founding_full",$C115="standard_deposit"),"Y","N"))</f>
        <v/>
      </c>
      <c r="S115" s="25">
        <f>IF($A115="","",IF(COUNTIF(invoices!$A$2:$A$151,$A115)&gt;1,"DUPLICATE invoice number; ","")&amp;IF(COUNTIF(campaigns!$A$2:$A$51,$B115)=0,"campaign_id missing or not on campaigns; ","")&amp;IF(AND($C115&lt;&gt;"credit_note",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lt;&gt;"",ABS(N($E115)-N(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gt;0.005),"amount differs from the price ("&amp;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amp;") - credit notes go on their own row; ","")&amp;IF(AND($C115="credit_note",N($E115)&gt;=0),"a credit note is negative; ","")&amp;IF(AND($H115&lt;&gt;"",N($I115)&gt;$P115+0.005,$C115&lt;&gt;"credit_note"),"paid more than the total; ","")&amp;IF(AND($H115&lt;&gt;"",$J115=""),"method?; ",""))</f>
        <v/>
      </c>
    </row>
    <row r="116">
      <c r="D116" s="9" t="n"/>
      <c r="E116" s="10" t="n"/>
      <c r="F116" s="10" t="n"/>
      <c r="H116" s="9" t="n"/>
      <c r="I116" s="10" t="n"/>
      <c r="L116" s="10" t="n"/>
      <c r="N116" s="25">
        <f>IF($B116="","",IFERROR(IF(INDEX(campaigns!$BE$2:$BE$51,MATCH($B116,campaigns!$A$2:$A$51,0))="","",INDEX(campaigns!$BE$2:$BE$51,MATCH($B116,campaigns!$A$2:$A$51,0))),""))</f>
        <v/>
      </c>
      <c r="O116" s="26">
        <f>IF(OR($A116="",$D116=""),"",IF($C116="founding_full",WORKDAY($D116,config!$B$27,calendar!$A$2:$A$80),$D116))</f>
        <v/>
      </c>
      <c r="P116" s="27">
        <f>IF($A116="","",N($E116)+N($F116))</f>
        <v/>
      </c>
      <c r="Q116" s="25">
        <f>IF($A116="","",IF($C116="credit_note",IF($H116&lt;&gt;"","refunded","credit applied"),IF($H116&lt;&gt;"",IF(N($I116)&gt;=$P116-0.005,"paid",IF(AND($C116="standard_balance",N($I116)+(-SUMPRODUCT((invoices!$B$2:$B$151=$B116)*(invoices!$C$2:$C$151="credit_note")*(LEN(invoices!$H$2:$H$151)=0)*invoices!$E$2:$E$151))&gt;=$P116-0.005),"paid (less credit)","part paid")),IF($D116="","draft",IF(IF(config!$B$37&lt;&gt;"",config!$B$37,TODAY())&gt;$O116,"overdue","sent")))))</f>
        <v/>
      </c>
      <c r="R116" s="25">
        <f>IF($A116="","",IF(OR($C116="founding_full",$C116="standard_deposit"),"Y","N"))</f>
        <v/>
      </c>
      <c r="S116" s="25">
        <f>IF($A116="","",IF(COUNTIF(invoices!$A$2:$A$151,$A116)&gt;1,"DUPLICATE invoice number; ","")&amp;IF(COUNTIF(campaigns!$A$2:$A$51,$B116)=0,"campaign_id missing or not on campaigns; ","")&amp;IF(AND($C116&lt;&gt;"credit_note",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lt;&gt;"",ABS(N($E116)-N(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gt;0.005),"amount differs from the price ("&amp;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amp;") - credit notes go on their own row; ","")&amp;IF(AND($C116="credit_note",N($E116)&gt;=0),"a credit note is negative; ","")&amp;IF(AND($H116&lt;&gt;"",N($I116)&gt;$P116+0.005,$C116&lt;&gt;"credit_note"),"paid more than the total; ","")&amp;IF(AND($H116&lt;&gt;"",$J116=""),"method?; ",""))</f>
        <v/>
      </c>
    </row>
    <row r="117">
      <c r="D117" s="9" t="n"/>
      <c r="E117" s="10" t="n"/>
      <c r="F117" s="10" t="n"/>
      <c r="H117" s="9" t="n"/>
      <c r="I117" s="10" t="n"/>
      <c r="L117" s="10" t="n"/>
      <c r="N117" s="25">
        <f>IF($B117="","",IFERROR(IF(INDEX(campaigns!$BE$2:$BE$51,MATCH($B117,campaigns!$A$2:$A$51,0))="","",INDEX(campaigns!$BE$2:$BE$51,MATCH($B117,campaigns!$A$2:$A$51,0))),""))</f>
        <v/>
      </c>
      <c r="O117" s="26">
        <f>IF(OR($A117="",$D117=""),"",IF($C117="founding_full",WORKDAY($D117,config!$B$27,calendar!$A$2:$A$80),$D117))</f>
        <v/>
      </c>
      <c r="P117" s="27">
        <f>IF($A117="","",N($E117)+N($F117))</f>
        <v/>
      </c>
      <c r="Q117" s="25">
        <f>IF($A117="","",IF($C117="credit_note",IF($H117&lt;&gt;"","refunded","credit applied"),IF($H117&lt;&gt;"",IF(N($I117)&gt;=$P117-0.005,"paid",IF(AND($C117="standard_balance",N($I117)+(-SUMPRODUCT((invoices!$B$2:$B$151=$B117)*(invoices!$C$2:$C$151="credit_note")*(LEN(invoices!$H$2:$H$151)=0)*invoices!$E$2:$E$151))&gt;=$P117-0.005),"paid (less credit)","part paid")),IF($D117="","draft",IF(IF(config!$B$37&lt;&gt;"",config!$B$37,TODAY())&gt;$O117,"overdue","sent")))))</f>
        <v/>
      </c>
      <c r="R117" s="25">
        <f>IF($A117="","",IF(OR($C117="founding_full",$C117="standard_deposit"),"Y","N"))</f>
        <v/>
      </c>
      <c r="S117" s="25">
        <f>IF($A117="","",IF(COUNTIF(invoices!$A$2:$A$151,$A117)&gt;1,"DUPLICATE invoice number; ","")&amp;IF(COUNTIF(campaigns!$A$2:$A$51,$B117)=0,"campaign_id missing or not on campaigns; ","")&amp;IF(AND($C117&lt;&gt;"credit_note",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lt;&gt;"",ABS(N($E117)-N(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gt;0.005),"amount differs from the price ("&amp;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amp;") - credit notes go on their own row; ","")&amp;IF(AND($C117="credit_note",N($E117)&gt;=0),"a credit note is negative; ","")&amp;IF(AND($H117&lt;&gt;"",N($I117)&gt;$P117+0.005,$C117&lt;&gt;"credit_note"),"paid more than the total; ","")&amp;IF(AND($H117&lt;&gt;"",$J117=""),"method?; ",""))</f>
        <v/>
      </c>
    </row>
    <row r="118">
      <c r="D118" s="9" t="n"/>
      <c r="E118" s="10" t="n"/>
      <c r="F118" s="10" t="n"/>
      <c r="H118" s="9" t="n"/>
      <c r="I118" s="10" t="n"/>
      <c r="L118" s="10" t="n"/>
      <c r="N118" s="25">
        <f>IF($B118="","",IFERROR(IF(INDEX(campaigns!$BE$2:$BE$51,MATCH($B118,campaigns!$A$2:$A$51,0))="","",INDEX(campaigns!$BE$2:$BE$51,MATCH($B118,campaigns!$A$2:$A$51,0))),""))</f>
        <v/>
      </c>
      <c r="O118" s="26">
        <f>IF(OR($A118="",$D118=""),"",IF($C118="founding_full",WORKDAY($D118,config!$B$27,calendar!$A$2:$A$80),$D118))</f>
        <v/>
      </c>
      <c r="P118" s="27">
        <f>IF($A118="","",N($E118)+N($F118))</f>
        <v/>
      </c>
      <c r="Q118" s="25">
        <f>IF($A118="","",IF($C118="credit_note",IF($H118&lt;&gt;"","refunded","credit applied"),IF($H118&lt;&gt;"",IF(N($I118)&gt;=$P118-0.005,"paid",IF(AND($C118="standard_balance",N($I118)+(-SUMPRODUCT((invoices!$B$2:$B$151=$B118)*(invoices!$C$2:$C$151="credit_note")*(LEN(invoices!$H$2:$H$151)=0)*invoices!$E$2:$E$151))&gt;=$P118-0.005),"paid (less credit)","part paid")),IF($D118="","draft",IF(IF(config!$B$37&lt;&gt;"",config!$B$37,TODAY())&gt;$O118,"overdue","sent")))))</f>
        <v/>
      </c>
      <c r="R118" s="25">
        <f>IF($A118="","",IF(OR($C118="founding_full",$C118="standard_deposit"),"Y","N"))</f>
        <v/>
      </c>
      <c r="S118" s="25">
        <f>IF($A118="","",IF(COUNTIF(invoices!$A$2:$A$151,$A118)&gt;1,"DUPLICATE invoice number; ","")&amp;IF(COUNTIF(campaigns!$A$2:$A$51,$B118)=0,"campaign_id missing or not on campaigns; ","")&amp;IF(AND($C118&lt;&gt;"credit_note",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lt;&gt;"",ABS(N($E118)-N(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gt;0.005),"amount differs from the price ("&amp;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amp;") - credit notes go on their own row; ","")&amp;IF(AND($C118="credit_note",N($E118)&gt;=0),"a credit note is negative; ","")&amp;IF(AND($H118&lt;&gt;"",N($I118)&gt;$P118+0.005,$C118&lt;&gt;"credit_note"),"paid more than the total; ","")&amp;IF(AND($H118&lt;&gt;"",$J118=""),"method?; ",""))</f>
        <v/>
      </c>
    </row>
    <row r="119">
      <c r="D119" s="9" t="n"/>
      <c r="E119" s="10" t="n"/>
      <c r="F119" s="10" t="n"/>
      <c r="H119" s="9" t="n"/>
      <c r="I119" s="10" t="n"/>
      <c r="L119" s="10" t="n"/>
      <c r="N119" s="25">
        <f>IF($B119="","",IFERROR(IF(INDEX(campaigns!$BE$2:$BE$51,MATCH($B119,campaigns!$A$2:$A$51,0))="","",INDEX(campaigns!$BE$2:$BE$51,MATCH($B119,campaigns!$A$2:$A$51,0))),""))</f>
        <v/>
      </c>
      <c r="O119" s="26">
        <f>IF(OR($A119="",$D119=""),"",IF($C119="founding_full",WORKDAY($D119,config!$B$27,calendar!$A$2:$A$80),$D119))</f>
        <v/>
      </c>
      <c r="P119" s="27">
        <f>IF($A119="","",N($E119)+N($F119))</f>
        <v/>
      </c>
      <c r="Q119" s="25">
        <f>IF($A119="","",IF($C119="credit_note",IF($H119&lt;&gt;"","refunded","credit applied"),IF($H119&lt;&gt;"",IF(N($I119)&gt;=$P119-0.005,"paid",IF(AND($C119="standard_balance",N($I119)+(-SUMPRODUCT((invoices!$B$2:$B$151=$B119)*(invoices!$C$2:$C$151="credit_note")*(LEN(invoices!$H$2:$H$151)=0)*invoices!$E$2:$E$151))&gt;=$P119-0.005),"paid (less credit)","part paid")),IF($D119="","draft",IF(IF(config!$B$37&lt;&gt;"",config!$B$37,TODAY())&gt;$O119,"overdue","sent")))))</f>
        <v/>
      </c>
      <c r="R119" s="25">
        <f>IF($A119="","",IF(OR($C119="founding_full",$C119="standard_deposit"),"Y","N"))</f>
        <v/>
      </c>
      <c r="S119" s="25">
        <f>IF($A119="","",IF(COUNTIF(invoices!$A$2:$A$151,$A119)&gt;1,"DUPLICATE invoice number; ","")&amp;IF(COUNTIF(campaigns!$A$2:$A$51,$B119)=0,"campaign_id missing or not on campaigns; ","")&amp;IF(AND($C119&lt;&gt;"credit_note",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lt;&gt;"",ABS(N($E119)-N(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gt;0.005),"amount differs from the price ("&amp;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amp;") - credit notes go on their own row; ","")&amp;IF(AND($C119="credit_note",N($E119)&gt;=0),"a credit note is negative; ","")&amp;IF(AND($H119&lt;&gt;"",N($I119)&gt;$P119+0.005,$C119&lt;&gt;"credit_note"),"paid more than the total; ","")&amp;IF(AND($H119&lt;&gt;"",$J119=""),"method?; ",""))</f>
        <v/>
      </c>
    </row>
    <row r="120">
      <c r="D120" s="9" t="n"/>
      <c r="E120" s="10" t="n"/>
      <c r="F120" s="10" t="n"/>
      <c r="H120" s="9" t="n"/>
      <c r="I120" s="10" t="n"/>
      <c r="L120" s="10" t="n"/>
      <c r="N120" s="25">
        <f>IF($B120="","",IFERROR(IF(INDEX(campaigns!$BE$2:$BE$51,MATCH($B120,campaigns!$A$2:$A$51,0))="","",INDEX(campaigns!$BE$2:$BE$51,MATCH($B120,campaigns!$A$2:$A$51,0))),""))</f>
        <v/>
      </c>
      <c r="O120" s="26">
        <f>IF(OR($A120="",$D120=""),"",IF($C120="founding_full",WORKDAY($D120,config!$B$27,calendar!$A$2:$A$80),$D120))</f>
        <v/>
      </c>
      <c r="P120" s="27">
        <f>IF($A120="","",N($E120)+N($F120))</f>
        <v/>
      </c>
      <c r="Q120" s="25">
        <f>IF($A120="","",IF($C120="credit_note",IF($H120&lt;&gt;"","refunded","credit applied"),IF($H120&lt;&gt;"",IF(N($I120)&gt;=$P120-0.005,"paid",IF(AND($C120="standard_balance",N($I120)+(-SUMPRODUCT((invoices!$B$2:$B$151=$B120)*(invoices!$C$2:$C$151="credit_note")*(LEN(invoices!$H$2:$H$151)=0)*invoices!$E$2:$E$151))&gt;=$P120-0.005),"paid (less credit)","part paid")),IF($D120="","draft",IF(IF(config!$B$37&lt;&gt;"",config!$B$37,TODAY())&gt;$O120,"overdue","sent")))))</f>
        <v/>
      </c>
      <c r="R120" s="25">
        <f>IF($A120="","",IF(OR($C120="founding_full",$C120="standard_deposit"),"Y","N"))</f>
        <v/>
      </c>
      <c r="S120" s="25">
        <f>IF($A120="","",IF(COUNTIF(invoices!$A$2:$A$151,$A120)&gt;1,"DUPLICATE invoice number; ","")&amp;IF(COUNTIF(campaigns!$A$2:$A$51,$B120)=0,"campaign_id missing or not on campaigns; ","")&amp;IF(AND($C120&lt;&gt;"credit_note",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lt;&gt;"",ABS(N($E120)-N(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gt;0.005),"amount differs from the price ("&amp;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amp;") - credit notes go on their own row; ","")&amp;IF(AND($C120="credit_note",N($E120)&gt;=0),"a credit note is negative; ","")&amp;IF(AND($H120&lt;&gt;"",N($I120)&gt;$P120+0.005,$C120&lt;&gt;"credit_note"),"paid more than the total; ","")&amp;IF(AND($H120&lt;&gt;"",$J120=""),"method?; ",""))</f>
        <v/>
      </c>
    </row>
    <row r="121">
      <c r="D121" s="9" t="n"/>
      <c r="E121" s="10" t="n"/>
      <c r="F121" s="10" t="n"/>
      <c r="H121" s="9" t="n"/>
      <c r="I121" s="10" t="n"/>
      <c r="L121" s="10" t="n"/>
      <c r="N121" s="25">
        <f>IF($B121="","",IFERROR(IF(INDEX(campaigns!$BE$2:$BE$51,MATCH($B121,campaigns!$A$2:$A$51,0))="","",INDEX(campaigns!$BE$2:$BE$51,MATCH($B121,campaigns!$A$2:$A$51,0))),""))</f>
        <v/>
      </c>
      <c r="O121" s="26">
        <f>IF(OR($A121="",$D121=""),"",IF($C121="founding_full",WORKDAY($D121,config!$B$27,calendar!$A$2:$A$80),$D121))</f>
        <v/>
      </c>
      <c r="P121" s="27">
        <f>IF($A121="","",N($E121)+N($F121))</f>
        <v/>
      </c>
      <c r="Q121" s="25">
        <f>IF($A121="","",IF($C121="credit_note",IF($H121&lt;&gt;"","refunded","credit applied"),IF($H121&lt;&gt;"",IF(N($I121)&gt;=$P121-0.005,"paid",IF(AND($C121="standard_balance",N($I121)+(-SUMPRODUCT((invoices!$B$2:$B$151=$B121)*(invoices!$C$2:$C$151="credit_note")*(LEN(invoices!$H$2:$H$151)=0)*invoices!$E$2:$E$151))&gt;=$P121-0.005),"paid (less credit)","part paid")),IF($D121="","draft",IF(IF(config!$B$37&lt;&gt;"",config!$B$37,TODAY())&gt;$O121,"overdue","sent")))))</f>
        <v/>
      </c>
      <c r="R121" s="25">
        <f>IF($A121="","",IF(OR($C121="founding_full",$C121="standard_deposit"),"Y","N"))</f>
        <v/>
      </c>
      <c r="S121" s="25">
        <f>IF($A121="","",IF(COUNTIF(invoices!$A$2:$A$151,$A121)&gt;1,"DUPLICATE invoice number; ","")&amp;IF(COUNTIF(campaigns!$A$2:$A$51,$B121)=0,"campaign_id missing or not on campaigns; ","")&amp;IF(AND($C121&lt;&gt;"credit_note",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lt;&gt;"",ABS(N($E121)-N(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gt;0.005),"amount differs from the price ("&amp;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amp;") - credit notes go on their own row; ","")&amp;IF(AND($C121="credit_note",N($E121)&gt;=0),"a credit note is negative; ","")&amp;IF(AND($H121&lt;&gt;"",N($I121)&gt;$P121+0.005,$C121&lt;&gt;"credit_note"),"paid more than the total; ","")&amp;IF(AND($H121&lt;&gt;"",$J121=""),"method?; ",""))</f>
        <v/>
      </c>
    </row>
    <row r="122">
      <c r="D122" s="9" t="n"/>
      <c r="E122" s="10" t="n"/>
      <c r="F122" s="10" t="n"/>
      <c r="H122" s="9" t="n"/>
      <c r="I122" s="10" t="n"/>
      <c r="L122" s="10" t="n"/>
      <c r="N122" s="25">
        <f>IF($B122="","",IFERROR(IF(INDEX(campaigns!$BE$2:$BE$51,MATCH($B122,campaigns!$A$2:$A$51,0))="","",INDEX(campaigns!$BE$2:$BE$51,MATCH($B122,campaigns!$A$2:$A$51,0))),""))</f>
        <v/>
      </c>
      <c r="O122" s="26">
        <f>IF(OR($A122="",$D122=""),"",IF($C122="founding_full",WORKDAY($D122,config!$B$27,calendar!$A$2:$A$80),$D122))</f>
        <v/>
      </c>
      <c r="P122" s="27">
        <f>IF($A122="","",N($E122)+N($F122))</f>
        <v/>
      </c>
      <c r="Q122" s="25">
        <f>IF($A122="","",IF($C122="credit_note",IF($H122&lt;&gt;"","refunded","credit applied"),IF($H122&lt;&gt;"",IF(N($I122)&gt;=$P122-0.005,"paid",IF(AND($C122="standard_balance",N($I122)+(-SUMPRODUCT((invoices!$B$2:$B$151=$B122)*(invoices!$C$2:$C$151="credit_note")*(LEN(invoices!$H$2:$H$151)=0)*invoices!$E$2:$E$151))&gt;=$P122-0.005),"paid (less credit)","part paid")),IF($D122="","draft",IF(IF(config!$B$37&lt;&gt;"",config!$B$37,TODAY())&gt;$O122,"overdue","sent")))))</f>
        <v/>
      </c>
      <c r="R122" s="25">
        <f>IF($A122="","",IF(OR($C122="founding_full",$C122="standard_deposit"),"Y","N"))</f>
        <v/>
      </c>
      <c r="S122" s="25">
        <f>IF($A122="","",IF(COUNTIF(invoices!$A$2:$A$151,$A122)&gt;1,"DUPLICATE invoice number; ","")&amp;IF(COUNTIF(campaigns!$A$2:$A$51,$B122)=0,"campaign_id missing or not on campaigns; ","")&amp;IF(AND($C122&lt;&gt;"credit_note",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lt;&gt;"",ABS(N($E122)-N(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gt;0.005),"amount differs from the price ("&amp;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amp;") - credit notes go on their own row; ","")&amp;IF(AND($C122="credit_note",N($E122)&gt;=0),"a credit note is negative; ","")&amp;IF(AND($H122&lt;&gt;"",N($I122)&gt;$P122+0.005,$C122&lt;&gt;"credit_note"),"paid more than the total; ","")&amp;IF(AND($H122&lt;&gt;"",$J122=""),"method?; ",""))</f>
        <v/>
      </c>
    </row>
    <row r="123">
      <c r="D123" s="9" t="n"/>
      <c r="E123" s="10" t="n"/>
      <c r="F123" s="10" t="n"/>
      <c r="H123" s="9" t="n"/>
      <c r="I123" s="10" t="n"/>
      <c r="L123" s="10" t="n"/>
      <c r="N123" s="25">
        <f>IF($B123="","",IFERROR(IF(INDEX(campaigns!$BE$2:$BE$51,MATCH($B123,campaigns!$A$2:$A$51,0))="","",INDEX(campaigns!$BE$2:$BE$51,MATCH($B123,campaigns!$A$2:$A$51,0))),""))</f>
        <v/>
      </c>
      <c r="O123" s="26">
        <f>IF(OR($A123="",$D123=""),"",IF($C123="founding_full",WORKDAY($D123,config!$B$27,calendar!$A$2:$A$80),$D123))</f>
        <v/>
      </c>
      <c r="P123" s="27">
        <f>IF($A123="","",N($E123)+N($F123))</f>
        <v/>
      </c>
      <c r="Q123" s="25">
        <f>IF($A123="","",IF($C123="credit_note",IF($H123&lt;&gt;"","refunded","credit applied"),IF($H123&lt;&gt;"",IF(N($I123)&gt;=$P123-0.005,"paid",IF(AND($C123="standard_balance",N($I123)+(-SUMPRODUCT((invoices!$B$2:$B$151=$B123)*(invoices!$C$2:$C$151="credit_note")*(LEN(invoices!$H$2:$H$151)=0)*invoices!$E$2:$E$151))&gt;=$P123-0.005),"paid (less credit)","part paid")),IF($D123="","draft",IF(IF(config!$B$37&lt;&gt;"",config!$B$37,TODAY())&gt;$O123,"overdue","sent")))))</f>
        <v/>
      </c>
      <c r="R123" s="25">
        <f>IF($A123="","",IF(OR($C123="founding_full",$C123="standard_deposit"),"Y","N"))</f>
        <v/>
      </c>
      <c r="S123" s="25">
        <f>IF($A123="","",IF(COUNTIF(invoices!$A$2:$A$151,$A123)&gt;1,"DUPLICATE invoice number; ","")&amp;IF(COUNTIF(campaigns!$A$2:$A$51,$B123)=0,"campaign_id missing or not on campaigns; ","")&amp;IF(AND($C123&lt;&gt;"credit_note",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lt;&gt;"",ABS(N($E123)-N(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gt;0.005),"amount differs from the price ("&amp;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amp;") - credit notes go on their own row; ","")&amp;IF(AND($C123="credit_note",N($E123)&gt;=0),"a credit note is negative; ","")&amp;IF(AND($H123&lt;&gt;"",N($I123)&gt;$P123+0.005,$C123&lt;&gt;"credit_note"),"paid more than the total; ","")&amp;IF(AND($H123&lt;&gt;"",$J123=""),"method?; ",""))</f>
        <v/>
      </c>
    </row>
    <row r="124">
      <c r="D124" s="9" t="n"/>
      <c r="E124" s="10" t="n"/>
      <c r="F124" s="10" t="n"/>
      <c r="H124" s="9" t="n"/>
      <c r="I124" s="10" t="n"/>
      <c r="L124" s="10" t="n"/>
      <c r="N124" s="25">
        <f>IF($B124="","",IFERROR(IF(INDEX(campaigns!$BE$2:$BE$51,MATCH($B124,campaigns!$A$2:$A$51,0))="","",INDEX(campaigns!$BE$2:$BE$51,MATCH($B124,campaigns!$A$2:$A$51,0))),""))</f>
        <v/>
      </c>
      <c r="O124" s="26">
        <f>IF(OR($A124="",$D124=""),"",IF($C124="founding_full",WORKDAY($D124,config!$B$27,calendar!$A$2:$A$80),$D124))</f>
        <v/>
      </c>
      <c r="P124" s="27">
        <f>IF($A124="","",N($E124)+N($F124))</f>
        <v/>
      </c>
      <c r="Q124" s="25">
        <f>IF($A124="","",IF($C124="credit_note",IF($H124&lt;&gt;"","refunded","credit applied"),IF($H124&lt;&gt;"",IF(N($I124)&gt;=$P124-0.005,"paid",IF(AND($C124="standard_balance",N($I124)+(-SUMPRODUCT((invoices!$B$2:$B$151=$B124)*(invoices!$C$2:$C$151="credit_note")*(LEN(invoices!$H$2:$H$151)=0)*invoices!$E$2:$E$151))&gt;=$P124-0.005),"paid (less credit)","part paid")),IF($D124="","draft",IF(IF(config!$B$37&lt;&gt;"",config!$B$37,TODAY())&gt;$O124,"overdue","sent")))))</f>
        <v/>
      </c>
      <c r="R124" s="25">
        <f>IF($A124="","",IF(OR($C124="founding_full",$C124="standard_deposit"),"Y","N"))</f>
        <v/>
      </c>
      <c r="S124" s="25">
        <f>IF($A124="","",IF(COUNTIF(invoices!$A$2:$A$151,$A124)&gt;1,"DUPLICATE invoice number; ","")&amp;IF(COUNTIF(campaigns!$A$2:$A$51,$B124)=0,"campaign_id missing or not on campaigns; ","")&amp;IF(AND($C124&lt;&gt;"credit_note",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lt;&gt;"",ABS(N($E124)-N(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gt;0.005),"amount differs from the price ("&amp;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amp;") - credit notes go on their own row; ","")&amp;IF(AND($C124="credit_note",N($E124)&gt;=0),"a credit note is negative; ","")&amp;IF(AND($H124&lt;&gt;"",N($I124)&gt;$P124+0.005,$C124&lt;&gt;"credit_note"),"paid more than the total; ","")&amp;IF(AND($H124&lt;&gt;"",$J124=""),"method?; ",""))</f>
        <v/>
      </c>
    </row>
    <row r="125">
      <c r="D125" s="9" t="n"/>
      <c r="E125" s="10" t="n"/>
      <c r="F125" s="10" t="n"/>
      <c r="H125" s="9" t="n"/>
      <c r="I125" s="10" t="n"/>
      <c r="L125" s="10" t="n"/>
      <c r="N125" s="25">
        <f>IF($B125="","",IFERROR(IF(INDEX(campaigns!$BE$2:$BE$51,MATCH($B125,campaigns!$A$2:$A$51,0))="","",INDEX(campaigns!$BE$2:$BE$51,MATCH($B125,campaigns!$A$2:$A$51,0))),""))</f>
        <v/>
      </c>
      <c r="O125" s="26">
        <f>IF(OR($A125="",$D125=""),"",IF($C125="founding_full",WORKDAY($D125,config!$B$27,calendar!$A$2:$A$80),$D125))</f>
        <v/>
      </c>
      <c r="P125" s="27">
        <f>IF($A125="","",N($E125)+N($F125))</f>
        <v/>
      </c>
      <c r="Q125" s="25">
        <f>IF($A125="","",IF($C125="credit_note",IF($H125&lt;&gt;"","refunded","credit applied"),IF($H125&lt;&gt;"",IF(N($I125)&gt;=$P125-0.005,"paid",IF(AND($C125="standard_balance",N($I125)+(-SUMPRODUCT((invoices!$B$2:$B$151=$B125)*(invoices!$C$2:$C$151="credit_note")*(LEN(invoices!$H$2:$H$151)=0)*invoices!$E$2:$E$151))&gt;=$P125-0.005),"paid (less credit)","part paid")),IF($D125="","draft",IF(IF(config!$B$37&lt;&gt;"",config!$B$37,TODAY())&gt;$O125,"overdue","sent")))))</f>
        <v/>
      </c>
      <c r="R125" s="25">
        <f>IF($A125="","",IF(OR($C125="founding_full",$C125="standard_deposit"),"Y","N"))</f>
        <v/>
      </c>
      <c r="S125" s="25">
        <f>IF($A125="","",IF(COUNTIF(invoices!$A$2:$A$151,$A125)&gt;1,"DUPLICATE invoice number; ","")&amp;IF(COUNTIF(campaigns!$A$2:$A$51,$B125)=0,"campaign_id missing or not on campaigns; ","")&amp;IF(AND($C125&lt;&gt;"credit_note",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lt;&gt;"",ABS(N($E125)-N(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gt;0.005),"amount differs from the price ("&amp;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amp;") - credit notes go on their own row; ","")&amp;IF(AND($C125="credit_note",N($E125)&gt;=0),"a credit note is negative; ","")&amp;IF(AND($H125&lt;&gt;"",N($I125)&gt;$P125+0.005,$C125&lt;&gt;"credit_note"),"paid more than the total; ","")&amp;IF(AND($H125&lt;&gt;"",$J125=""),"method?; ",""))</f>
        <v/>
      </c>
    </row>
    <row r="126">
      <c r="D126" s="9" t="n"/>
      <c r="E126" s="10" t="n"/>
      <c r="F126" s="10" t="n"/>
      <c r="H126" s="9" t="n"/>
      <c r="I126" s="10" t="n"/>
      <c r="L126" s="10" t="n"/>
      <c r="N126" s="25">
        <f>IF($B126="","",IFERROR(IF(INDEX(campaigns!$BE$2:$BE$51,MATCH($B126,campaigns!$A$2:$A$51,0))="","",INDEX(campaigns!$BE$2:$BE$51,MATCH($B126,campaigns!$A$2:$A$51,0))),""))</f>
        <v/>
      </c>
      <c r="O126" s="26">
        <f>IF(OR($A126="",$D126=""),"",IF($C126="founding_full",WORKDAY($D126,config!$B$27,calendar!$A$2:$A$80),$D126))</f>
        <v/>
      </c>
      <c r="P126" s="27">
        <f>IF($A126="","",N($E126)+N($F126))</f>
        <v/>
      </c>
      <c r="Q126" s="25">
        <f>IF($A126="","",IF($C126="credit_note",IF($H126&lt;&gt;"","refunded","credit applied"),IF($H126&lt;&gt;"",IF(N($I126)&gt;=$P126-0.005,"paid",IF(AND($C126="standard_balance",N($I126)+(-SUMPRODUCT((invoices!$B$2:$B$151=$B126)*(invoices!$C$2:$C$151="credit_note")*(LEN(invoices!$H$2:$H$151)=0)*invoices!$E$2:$E$151))&gt;=$P126-0.005),"paid (less credit)","part paid")),IF($D126="","draft",IF(IF(config!$B$37&lt;&gt;"",config!$B$37,TODAY())&gt;$O126,"overdue","sent")))))</f>
        <v/>
      </c>
      <c r="R126" s="25">
        <f>IF($A126="","",IF(OR($C126="founding_full",$C126="standard_deposit"),"Y","N"))</f>
        <v/>
      </c>
      <c r="S126" s="25">
        <f>IF($A126="","",IF(COUNTIF(invoices!$A$2:$A$151,$A126)&gt;1,"DUPLICATE invoice number; ","")&amp;IF(COUNTIF(campaigns!$A$2:$A$51,$B126)=0,"campaign_id missing or not on campaigns; ","")&amp;IF(AND($C126&lt;&gt;"credit_note",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lt;&gt;"",ABS(N($E126)-N(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gt;0.005),"amount differs from the price ("&amp;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amp;") - credit notes go on their own row; ","")&amp;IF(AND($C126="credit_note",N($E126)&gt;=0),"a credit note is negative; ","")&amp;IF(AND($H126&lt;&gt;"",N($I126)&gt;$P126+0.005,$C126&lt;&gt;"credit_note"),"paid more than the total; ","")&amp;IF(AND($H126&lt;&gt;"",$J126=""),"method?; ",""))</f>
        <v/>
      </c>
    </row>
    <row r="127">
      <c r="D127" s="9" t="n"/>
      <c r="E127" s="10" t="n"/>
      <c r="F127" s="10" t="n"/>
      <c r="H127" s="9" t="n"/>
      <c r="I127" s="10" t="n"/>
      <c r="L127" s="10" t="n"/>
      <c r="N127" s="25">
        <f>IF($B127="","",IFERROR(IF(INDEX(campaigns!$BE$2:$BE$51,MATCH($B127,campaigns!$A$2:$A$51,0))="","",INDEX(campaigns!$BE$2:$BE$51,MATCH($B127,campaigns!$A$2:$A$51,0))),""))</f>
        <v/>
      </c>
      <c r="O127" s="26">
        <f>IF(OR($A127="",$D127=""),"",IF($C127="founding_full",WORKDAY($D127,config!$B$27,calendar!$A$2:$A$80),$D127))</f>
        <v/>
      </c>
      <c r="P127" s="27">
        <f>IF($A127="","",N($E127)+N($F127))</f>
        <v/>
      </c>
      <c r="Q127" s="25">
        <f>IF($A127="","",IF($C127="credit_note",IF($H127&lt;&gt;"","refunded","credit applied"),IF($H127&lt;&gt;"",IF(N($I127)&gt;=$P127-0.005,"paid",IF(AND($C127="standard_balance",N($I127)+(-SUMPRODUCT((invoices!$B$2:$B$151=$B127)*(invoices!$C$2:$C$151="credit_note")*(LEN(invoices!$H$2:$H$151)=0)*invoices!$E$2:$E$151))&gt;=$P127-0.005),"paid (less credit)","part paid")),IF($D127="","draft",IF(IF(config!$B$37&lt;&gt;"",config!$B$37,TODAY())&gt;$O127,"overdue","sent")))))</f>
        <v/>
      </c>
      <c r="R127" s="25">
        <f>IF($A127="","",IF(OR($C127="founding_full",$C127="standard_deposit"),"Y","N"))</f>
        <v/>
      </c>
      <c r="S127" s="25">
        <f>IF($A127="","",IF(COUNTIF(invoices!$A$2:$A$151,$A127)&gt;1,"DUPLICATE invoice number; ","")&amp;IF(COUNTIF(campaigns!$A$2:$A$51,$B127)=0,"campaign_id missing or not on campaigns; ","")&amp;IF(AND($C127&lt;&gt;"credit_note",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lt;&gt;"",ABS(N($E127)-N(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gt;0.005),"amount differs from the price ("&amp;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amp;") - credit notes go on their own row; ","")&amp;IF(AND($C127="credit_note",N($E127)&gt;=0),"a credit note is negative; ","")&amp;IF(AND($H127&lt;&gt;"",N($I127)&gt;$P127+0.005,$C127&lt;&gt;"credit_note"),"paid more than the total; ","")&amp;IF(AND($H127&lt;&gt;"",$J127=""),"method?; ",""))</f>
        <v/>
      </c>
    </row>
    <row r="128">
      <c r="D128" s="9" t="n"/>
      <c r="E128" s="10" t="n"/>
      <c r="F128" s="10" t="n"/>
      <c r="H128" s="9" t="n"/>
      <c r="I128" s="10" t="n"/>
      <c r="L128" s="10" t="n"/>
      <c r="N128" s="25">
        <f>IF($B128="","",IFERROR(IF(INDEX(campaigns!$BE$2:$BE$51,MATCH($B128,campaigns!$A$2:$A$51,0))="","",INDEX(campaigns!$BE$2:$BE$51,MATCH($B128,campaigns!$A$2:$A$51,0))),""))</f>
        <v/>
      </c>
      <c r="O128" s="26">
        <f>IF(OR($A128="",$D128=""),"",IF($C128="founding_full",WORKDAY($D128,config!$B$27,calendar!$A$2:$A$80),$D128))</f>
        <v/>
      </c>
      <c r="P128" s="27">
        <f>IF($A128="","",N($E128)+N($F128))</f>
        <v/>
      </c>
      <c r="Q128" s="25">
        <f>IF($A128="","",IF($C128="credit_note",IF($H128&lt;&gt;"","refunded","credit applied"),IF($H128&lt;&gt;"",IF(N($I128)&gt;=$P128-0.005,"paid",IF(AND($C128="standard_balance",N($I128)+(-SUMPRODUCT((invoices!$B$2:$B$151=$B128)*(invoices!$C$2:$C$151="credit_note")*(LEN(invoices!$H$2:$H$151)=0)*invoices!$E$2:$E$151))&gt;=$P128-0.005),"paid (less credit)","part paid")),IF($D128="","draft",IF(IF(config!$B$37&lt;&gt;"",config!$B$37,TODAY())&gt;$O128,"overdue","sent")))))</f>
        <v/>
      </c>
      <c r="R128" s="25">
        <f>IF($A128="","",IF(OR($C128="founding_full",$C128="standard_deposit"),"Y","N"))</f>
        <v/>
      </c>
      <c r="S128" s="25">
        <f>IF($A128="","",IF(COUNTIF(invoices!$A$2:$A$151,$A128)&gt;1,"DUPLICATE invoice number; ","")&amp;IF(COUNTIF(campaigns!$A$2:$A$51,$B128)=0,"campaign_id missing or not on campaigns; ","")&amp;IF(AND($C128&lt;&gt;"credit_note",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lt;&gt;"",ABS(N($E128)-N(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gt;0.005),"amount differs from the price ("&amp;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amp;") - credit notes go on their own row; ","")&amp;IF(AND($C128="credit_note",N($E128)&gt;=0),"a credit note is negative; ","")&amp;IF(AND($H128&lt;&gt;"",N($I128)&gt;$P128+0.005,$C128&lt;&gt;"credit_note"),"paid more than the total; ","")&amp;IF(AND($H128&lt;&gt;"",$J128=""),"method?; ",""))</f>
        <v/>
      </c>
    </row>
    <row r="129">
      <c r="D129" s="9" t="n"/>
      <c r="E129" s="10" t="n"/>
      <c r="F129" s="10" t="n"/>
      <c r="H129" s="9" t="n"/>
      <c r="I129" s="10" t="n"/>
      <c r="L129" s="10" t="n"/>
      <c r="N129" s="25">
        <f>IF($B129="","",IFERROR(IF(INDEX(campaigns!$BE$2:$BE$51,MATCH($B129,campaigns!$A$2:$A$51,0))="","",INDEX(campaigns!$BE$2:$BE$51,MATCH($B129,campaigns!$A$2:$A$51,0))),""))</f>
        <v/>
      </c>
      <c r="O129" s="26">
        <f>IF(OR($A129="",$D129=""),"",IF($C129="founding_full",WORKDAY($D129,config!$B$27,calendar!$A$2:$A$80),$D129))</f>
        <v/>
      </c>
      <c r="P129" s="27">
        <f>IF($A129="","",N($E129)+N($F129))</f>
        <v/>
      </c>
      <c r="Q129" s="25">
        <f>IF($A129="","",IF($C129="credit_note",IF($H129&lt;&gt;"","refunded","credit applied"),IF($H129&lt;&gt;"",IF(N($I129)&gt;=$P129-0.005,"paid",IF(AND($C129="standard_balance",N($I129)+(-SUMPRODUCT((invoices!$B$2:$B$151=$B129)*(invoices!$C$2:$C$151="credit_note")*(LEN(invoices!$H$2:$H$151)=0)*invoices!$E$2:$E$151))&gt;=$P129-0.005),"paid (less credit)","part paid")),IF($D129="","draft",IF(IF(config!$B$37&lt;&gt;"",config!$B$37,TODAY())&gt;$O129,"overdue","sent")))))</f>
        <v/>
      </c>
      <c r="R129" s="25">
        <f>IF($A129="","",IF(OR($C129="founding_full",$C129="standard_deposit"),"Y","N"))</f>
        <v/>
      </c>
      <c r="S129" s="25">
        <f>IF($A129="","",IF(COUNTIF(invoices!$A$2:$A$151,$A129)&gt;1,"DUPLICATE invoice number; ","")&amp;IF(COUNTIF(campaigns!$A$2:$A$51,$B129)=0,"campaign_id missing or not on campaigns; ","")&amp;IF(AND($C129&lt;&gt;"credit_note",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lt;&gt;"",ABS(N($E129)-N(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gt;0.005),"amount differs from the price ("&amp;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amp;") - credit notes go on their own row; ","")&amp;IF(AND($C129="credit_note",N($E129)&gt;=0),"a credit note is negative; ","")&amp;IF(AND($H129&lt;&gt;"",N($I129)&gt;$P129+0.005,$C129&lt;&gt;"credit_note"),"paid more than the total; ","")&amp;IF(AND($H129&lt;&gt;"",$J129=""),"method?; ",""))</f>
        <v/>
      </c>
    </row>
    <row r="130">
      <c r="D130" s="9" t="n"/>
      <c r="E130" s="10" t="n"/>
      <c r="F130" s="10" t="n"/>
      <c r="H130" s="9" t="n"/>
      <c r="I130" s="10" t="n"/>
      <c r="L130" s="10" t="n"/>
      <c r="N130" s="25">
        <f>IF($B130="","",IFERROR(IF(INDEX(campaigns!$BE$2:$BE$51,MATCH($B130,campaigns!$A$2:$A$51,0))="","",INDEX(campaigns!$BE$2:$BE$51,MATCH($B130,campaigns!$A$2:$A$51,0))),""))</f>
        <v/>
      </c>
      <c r="O130" s="26">
        <f>IF(OR($A130="",$D130=""),"",IF($C130="founding_full",WORKDAY($D130,config!$B$27,calendar!$A$2:$A$80),$D130))</f>
        <v/>
      </c>
      <c r="P130" s="27">
        <f>IF($A130="","",N($E130)+N($F130))</f>
        <v/>
      </c>
      <c r="Q130" s="25">
        <f>IF($A130="","",IF($C130="credit_note",IF($H130&lt;&gt;"","refunded","credit applied"),IF($H130&lt;&gt;"",IF(N($I130)&gt;=$P130-0.005,"paid",IF(AND($C130="standard_balance",N($I130)+(-SUMPRODUCT((invoices!$B$2:$B$151=$B130)*(invoices!$C$2:$C$151="credit_note")*(LEN(invoices!$H$2:$H$151)=0)*invoices!$E$2:$E$151))&gt;=$P130-0.005),"paid (less credit)","part paid")),IF($D130="","draft",IF(IF(config!$B$37&lt;&gt;"",config!$B$37,TODAY())&gt;$O130,"overdue","sent")))))</f>
        <v/>
      </c>
      <c r="R130" s="25">
        <f>IF($A130="","",IF(OR($C130="founding_full",$C130="standard_deposit"),"Y","N"))</f>
        <v/>
      </c>
      <c r="S130" s="25">
        <f>IF($A130="","",IF(COUNTIF(invoices!$A$2:$A$151,$A130)&gt;1,"DUPLICATE invoice number; ","")&amp;IF(COUNTIF(campaigns!$A$2:$A$51,$B130)=0,"campaign_id missing or not on campaigns; ","")&amp;IF(AND($C130&lt;&gt;"credit_note",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lt;&gt;"",ABS(N($E130)-N(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gt;0.005),"amount differs from the price ("&amp;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amp;") - credit notes go on their own row; ","")&amp;IF(AND($C130="credit_note",N($E130)&gt;=0),"a credit note is negative; ","")&amp;IF(AND($H130&lt;&gt;"",N($I130)&gt;$P130+0.005,$C130&lt;&gt;"credit_note"),"paid more than the total; ","")&amp;IF(AND($H130&lt;&gt;"",$J130=""),"method?; ",""))</f>
        <v/>
      </c>
    </row>
    <row r="131">
      <c r="D131" s="9" t="n"/>
      <c r="E131" s="10" t="n"/>
      <c r="F131" s="10" t="n"/>
      <c r="H131" s="9" t="n"/>
      <c r="I131" s="10" t="n"/>
      <c r="L131" s="10" t="n"/>
      <c r="N131" s="25">
        <f>IF($B131="","",IFERROR(IF(INDEX(campaigns!$BE$2:$BE$51,MATCH($B131,campaigns!$A$2:$A$51,0))="","",INDEX(campaigns!$BE$2:$BE$51,MATCH($B131,campaigns!$A$2:$A$51,0))),""))</f>
        <v/>
      </c>
      <c r="O131" s="26">
        <f>IF(OR($A131="",$D131=""),"",IF($C131="founding_full",WORKDAY($D131,config!$B$27,calendar!$A$2:$A$80),$D131))</f>
        <v/>
      </c>
      <c r="P131" s="27">
        <f>IF($A131="","",N($E131)+N($F131))</f>
        <v/>
      </c>
      <c r="Q131" s="25">
        <f>IF($A131="","",IF($C131="credit_note",IF($H131&lt;&gt;"","refunded","credit applied"),IF($H131&lt;&gt;"",IF(N($I131)&gt;=$P131-0.005,"paid",IF(AND($C131="standard_balance",N($I131)+(-SUMPRODUCT((invoices!$B$2:$B$151=$B131)*(invoices!$C$2:$C$151="credit_note")*(LEN(invoices!$H$2:$H$151)=0)*invoices!$E$2:$E$151))&gt;=$P131-0.005),"paid (less credit)","part paid")),IF($D131="","draft",IF(IF(config!$B$37&lt;&gt;"",config!$B$37,TODAY())&gt;$O131,"overdue","sent")))))</f>
        <v/>
      </c>
      <c r="R131" s="25">
        <f>IF($A131="","",IF(OR($C131="founding_full",$C131="standard_deposit"),"Y","N"))</f>
        <v/>
      </c>
      <c r="S131" s="25">
        <f>IF($A131="","",IF(COUNTIF(invoices!$A$2:$A$151,$A131)&gt;1,"DUPLICATE invoice number; ","")&amp;IF(COUNTIF(campaigns!$A$2:$A$51,$B131)=0,"campaign_id missing or not on campaigns; ","")&amp;IF(AND($C131&lt;&gt;"credit_note",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lt;&gt;"",ABS(N($E131)-N(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gt;0.005),"amount differs from the price ("&amp;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amp;") - credit notes go on their own row; ","")&amp;IF(AND($C131="credit_note",N($E131)&gt;=0),"a credit note is negative; ","")&amp;IF(AND($H131&lt;&gt;"",N($I131)&gt;$P131+0.005,$C131&lt;&gt;"credit_note"),"paid more than the total; ","")&amp;IF(AND($H131&lt;&gt;"",$J131=""),"method?; ",""))</f>
        <v/>
      </c>
    </row>
    <row r="132">
      <c r="D132" s="9" t="n"/>
      <c r="E132" s="10" t="n"/>
      <c r="F132" s="10" t="n"/>
      <c r="H132" s="9" t="n"/>
      <c r="I132" s="10" t="n"/>
      <c r="L132" s="10" t="n"/>
      <c r="N132" s="25">
        <f>IF($B132="","",IFERROR(IF(INDEX(campaigns!$BE$2:$BE$51,MATCH($B132,campaigns!$A$2:$A$51,0))="","",INDEX(campaigns!$BE$2:$BE$51,MATCH($B132,campaigns!$A$2:$A$51,0))),""))</f>
        <v/>
      </c>
      <c r="O132" s="26">
        <f>IF(OR($A132="",$D132=""),"",IF($C132="founding_full",WORKDAY($D132,config!$B$27,calendar!$A$2:$A$80),$D132))</f>
        <v/>
      </c>
      <c r="P132" s="27">
        <f>IF($A132="","",N($E132)+N($F132))</f>
        <v/>
      </c>
      <c r="Q132" s="25">
        <f>IF($A132="","",IF($C132="credit_note",IF($H132&lt;&gt;"","refunded","credit applied"),IF($H132&lt;&gt;"",IF(N($I132)&gt;=$P132-0.005,"paid",IF(AND($C132="standard_balance",N($I132)+(-SUMPRODUCT((invoices!$B$2:$B$151=$B132)*(invoices!$C$2:$C$151="credit_note")*(LEN(invoices!$H$2:$H$151)=0)*invoices!$E$2:$E$151))&gt;=$P132-0.005),"paid (less credit)","part paid")),IF($D132="","draft",IF(IF(config!$B$37&lt;&gt;"",config!$B$37,TODAY())&gt;$O132,"overdue","sent")))))</f>
        <v/>
      </c>
      <c r="R132" s="25">
        <f>IF($A132="","",IF(OR($C132="founding_full",$C132="standard_deposit"),"Y","N"))</f>
        <v/>
      </c>
      <c r="S132" s="25">
        <f>IF($A132="","",IF(COUNTIF(invoices!$A$2:$A$151,$A132)&gt;1,"DUPLICATE invoice number; ","")&amp;IF(COUNTIF(campaigns!$A$2:$A$51,$B132)=0,"campaign_id missing or not on campaigns; ","")&amp;IF(AND($C132&lt;&gt;"credit_note",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lt;&gt;"",ABS(N($E132)-N(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gt;0.005),"amount differs from the price ("&amp;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amp;") - credit notes go on their own row; ","")&amp;IF(AND($C132="credit_note",N($E132)&gt;=0),"a credit note is negative; ","")&amp;IF(AND($H132&lt;&gt;"",N($I132)&gt;$P132+0.005,$C132&lt;&gt;"credit_note"),"paid more than the total; ","")&amp;IF(AND($H132&lt;&gt;"",$J132=""),"method?; ",""))</f>
        <v/>
      </c>
    </row>
    <row r="133">
      <c r="D133" s="9" t="n"/>
      <c r="E133" s="10" t="n"/>
      <c r="F133" s="10" t="n"/>
      <c r="H133" s="9" t="n"/>
      <c r="I133" s="10" t="n"/>
      <c r="L133" s="10" t="n"/>
      <c r="N133" s="25">
        <f>IF($B133="","",IFERROR(IF(INDEX(campaigns!$BE$2:$BE$51,MATCH($B133,campaigns!$A$2:$A$51,0))="","",INDEX(campaigns!$BE$2:$BE$51,MATCH($B133,campaigns!$A$2:$A$51,0))),""))</f>
        <v/>
      </c>
      <c r="O133" s="26">
        <f>IF(OR($A133="",$D133=""),"",IF($C133="founding_full",WORKDAY($D133,config!$B$27,calendar!$A$2:$A$80),$D133))</f>
        <v/>
      </c>
      <c r="P133" s="27">
        <f>IF($A133="","",N($E133)+N($F133))</f>
        <v/>
      </c>
      <c r="Q133" s="25">
        <f>IF($A133="","",IF($C133="credit_note",IF($H133&lt;&gt;"","refunded","credit applied"),IF($H133&lt;&gt;"",IF(N($I133)&gt;=$P133-0.005,"paid",IF(AND($C133="standard_balance",N($I133)+(-SUMPRODUCT((invoices!$B$2:$B$151=$B133)*(invoices!$C$2:$C$151="credit_note")*(LEN(invoices!$H$2:$H$151)=0)*invoices!$E$2:$E$151))&gt;=$P133-0.005),"paid (less credit)","part paid")),IF($D133="","draft",IF(IF(config!$B$37&lt;&gt;"",config!$B$37,TODAY())&gt;$O133,"overdue","sent")))))</f>
        <v/>
      </c>
      <c r="R133" s="25">
        <f>IF($A133="","",IF(OR($C133="founding_full",$C133="standard_deposit"),"Y","N"))</f>
        <v/>
      </c>
      <c r="S133" s="25">
        <f>IF($A133="","",IF(COUNTIF(invoices!$A$2:$A$151,$A133)&gt;1,"DUPLICATE invoice number; ","")&amp;IF(COUNTIF(campaigns!$A$2:$A$51,$B133)=0,"campaign_id missing or not on campaigns; ","")&amp;IF(AND($C133&lt;&gt;"credit_note",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lt;&gt;"",ABS(N($E133)-N(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gt;0.005),"amount differs from the price ("&amp;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amp;") - credit notes go on their own row; ","")&amp;IF(AND($C133="credit_note",N($E133)&gt;=0),"a credit note is negative; ","")&amp;IF(AND($H133&lt;&gt;"",N($I133)&gt;$P133+0.005,$C133&lt;&gt;"credit_note"),"paid more than the total; ","")&amp;IF(AND($H133&lt;&gt;"",$J133=""),"method?; ",""))</f>
        <v/>
      </c>
    </row>
    <row r="134">
      <c r="D134" s="9" t="n"/>
      <c r="E134" s="10" t="n"/>
      <c r="F134" s="10" t="n"/>
      <c r="H134" s="9" t="n"/>
      <c r="I134" s="10" t="n"/>
      <c r="L134" s="10" t="n"/>
      <c r="N134" s="25">
        <f>IF($B134="","",IFERROR(IF(INDEX(campaigns!$BE$2:$BE$51,MATCH($B134,campaigns!$A$2:$A$51,0))="","",INDEX(campaigns!$BE$2:$BE$51,MATCH($B134,campaigns!$A$2:$A$51,0))),""))</f>
        <v/>
      </c>
      <c r="O134" s="26">
        <f>IF(OR($A134="",$D134=""),"",IF($C134="founding_full",WORKDAY($D134,config!$B$27,calendar!$A$2:$A$80),$D134))</f>
        <v/>
      </c>
      <c r="P134" s="27">
        <f>IF($A134="","",N($E134)+N($F134))</f>
        <v/>
      </c>
      <c r="Q134" s="25">
        <f>IF($A134="","",IF($C134="credit_note",IF($H134&lt;&gt;"","refunded","credit applied"),IF($H134&lt;&gt;"",IF(N($I134)&gt;=$P134-0.005,"paid",IF(AND($C134="standard_balance",N($I134)+(-SUMPRODUCT((invoices!$B$2:$B$151=$B134)*(invoices!$C$2:$C$151="credit_note")*(LEN(invoices!$H$2:$H$151)=0)*invoices!$E$2:$E$151))&gt;=$P134-0.005),"paid (less credit)","part paid")),IF($D134="","draft",IF(IF(config!$B$37&lt;&gt;"",config!$B$37,TODAY())&gt;$O134,"overdue","sent")))))</f>
        <v/>
      </c>
      <c r="R134" s="25">
        <f>IF($A134="","",IF(OR($C134="founding_full",$C134="standard_deposit"),"Y","N"))</f>
        <v/>
      </c>
      <c r="S134" s="25">
        <f>IF($A134="","",IF(COUNTIF(invoices!$A$2:$A$151,$A134)&gt;1,"DUPLICATE invoice number; ","")&amp;IF(COUNTIF(campaigns!$A$2:$A$51,$B134)=0,"campaign_id missing or not on campaigns; ","")&amp;IF(AND($C134&lt;&gt;"credit_note",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lt;&gt;"",ABS(N($E134)-N(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gt;0.005),"amount differs from the price ("&amp;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amp;") - credit notes go on their own row; ","")&amp;IF(AND($C134="credit_note",N($E134)&gt;=0),"a credit note is negative; ","")&amp;IF(AND($H134&lt;&gt;"",N($I134)&gt;$P134+0.005,$C134&lt;&gt;"credit_note"),"paid more than the total; ","")&amp;IF(AND($H134&lt;&gt;"",$J134=""),"method?; ",""))</f>
        <v/>
      </c>
    </row>
    <row r="135">
      <c r="D135" s="9" t="n"/>
      <c r="E135" s="10" t="n"/>
      <c r="F135" s="10" t="n"/>
      <c r="H135" s="9" t="n"/>
      <c r="I135" s="10" t="n"/>
      <c r="L135" s="10" t="n"/>
      <c r="N135" s="25">
        <f>IF($B135="","",IFERROR(IF(INDEX(campaigns!$BE$2:$BE$51,MATCH($B135,campaigns!$A$2:$A$51,0))="","",INDEX(campaigns!$BE$2:$BE$51,MATCH($B135,campaigns!$A$2:$A$51,0))),""))</f>
        <v/>
      </c>
      <c r="O135" s="26">
        <f>IF(OR($A135="",$D135=""),"",IF($C135="founding_full",WORKDAY($D135,config!$B$27,calendar!$A$2:$A$80),$D135))</f>
        <v/>
      </c>
      <c r="P135" s="27">
        <f>IF($A135="","",N($E135)+N($F135))</f>
        <v/>
      </c>
      <c r="Q135" s="25">
        <f>IF($A135="","",IF($C135="credit_note",IF($H135&lt;&gt;"","refunded","credit applied"),IF($H135&lt;&gt;"",IF(N($I135)&gt;=$P135-0.005,"paid",IF(AND($C135="standard_balance",N($I135)+(-SUMPRODUCT((invoices!$B$2:$B$151=$B135)*(invoices!$C$2:$C$151="credit_note")*(LEN(invoices!$H$2:$H$151)=0)*invoices!$E$2:$E$151))&gt;=$P135-0.005),"paid (less credit)","part paid")),IF($D135="","draft",IF(IF(config!$B$37&lt;&gt;"",config!$B$37,TODAY())&gt;$O135,"overdue","sent")))))</f>
        <v/>
      </c>
      <c r="R135" s="25">
        <f>IF($A135="","",IF(OR($C135="founding_full",$C135="standard_deposit"),"Y","N"))</f>
        <v/>
      </c>
      <c r="S135" s="25">
        <f>IF($A135="","",IF(COUNTIF(invoices!$A$2:$A$151,$A135)&gt;1,"DUPLICATE invoice number; ","")&amp;IF(COUNTIF(campaigns!$A$2:$A$51,$B135)=0,"campaign_id missing or not on campaigns; ","")&amp;IF(AND($C135&lt;&gt;"credit_note",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lt;&gt;"",ABS(N($E135)-N(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gt;0.005),"amount differs from the price ("&amp;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amp;") - credit notes go on their own row; ","")&amp;IF(AND($C135="credit_note",N($E135)&gt;=0),"a credit note is negative; ","")&amp;IF(AND($H135&lt;&gt;"",N($I135)&gt;$P135+0.005,$C135&lt;&gt;"credit_note"),"paid more than the total; ","")&amp;IF(AND($H135&lt;&gt;"",$J135=""),"method?; ",""))</f>
        <v/>
      </c>
    </row>
    <row r="136">
      <c r="D136" s="9" t="n"/>
      <c r="E136" s="10" t="n"/>
      <c r="F136" s="10" t="n"/>
      <c r="H136" s="9" t="n"/>
      <c r="I136" s="10" t="n"/>
      <c r="L136" s="10" t="n"/>
      <c r="N136" s="25">
        <f>IF($B136="","",IFERROR(IF(INDEX(campaigns!$BE$2:$BE$51,MATCH($B136,campaigns!$A$2:$A$51,0))="","",INDEX(campaigns!$BE$2:$BE$51,MATCH($B136,campaigns!$A$2:$A$51,0))),""))</f>
        <v/>
      </c>
      <c r="O136" s="26">
        <f>IF(OR($A136="",$D136=""),"",IF($C136="founding_full",WORKDAY($D136,config!$B$27,calendar!$A$2:$A$80),$D136))</f>
        <v/>
      </c>
      <c r="P136" s="27">
        <f>IF($A136="","",N($E136)+N($F136))</f>
        <v/>
      </c>
      <c r="Q136" s="25">
        <f>IF($A136="","",IF($C136="credit_note",IF($H136&lt;&gt;"","refunded","credit applied"),IF($H136&lt;&gt;"",IF(N($I136)&gt;=$P136-0.005,"paid",IF(AND($C136="standard_balance",N($I136)+(-SUMPRODUCT((invoices!$B$2:$B$151=$B136)*(invoices!$C$2:$C$151="credit_note")*(LEN(invoices!$H$2:$H$151)=0)*invoices!$E$2:$E$151))&gt;=$P136-0.005),"paid (less credit)","part paid")),IF($D136="","draft",IF(IF(config!$B$37&lt;&gt;"",config!$B$37,TODAY())&gt;$O136,"overdue","sent")))))</f>
        <v/>
      </c>
      <c r="R136" s="25">
        <f>IF($A136="","",IF(OR($C136="founding_full",$C136="standard_deposit"),"Y","N"))</f>
        <v/>
      </c>
      <c r="S136" s="25">
        <f>IF($A136="","",IF(COUNTIF(invoices!$A$2:$A$151,$A136)&gt;1,"DUPLICATE invoice number; ","")&amp;IF(COUNTIF(campaigns!$A$2:$A$51,$B136)=0,"campaign_id missing or not on campaigns; ","")&amp;IF(AND($C136&lt;&gt;"credit_note",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lt;&gt;"",ABS(N($E136)-N(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gt;0.005),"amount differs from the price ("&amp;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amp;") - credit notes go on their own row; ","")&amp;IF(AND($C136="credit_note",N($E136)&gt;=0),"a credit note is negative; ","")&amp;IF(AND($H136&lt;&gt;"",N($I136)&gt;$P136+0.005,$C136&lt;&gt;"credit_note"),"paid more than the total; ","")&amp;IF(AND($H136&lt;&gt;"",$J136=""),"method?; ",""))</f>
        <v/>
      </c>
    </row>
    <row r="137">
      <c r="D137" s="9" t="n"/>
      <c r="E137" s="10" t="n"/>
      <c r="F137" s="10" t="n"/>
      <c r="H137" s="9" t="n"/>
      <c r="I137" s="10" t="n"/>
      <c r="L137" s="10" t="n"/>
      <c r="N137" s="25">
        <f>IF($B137="","",IFERROR(IF(INDEX(campaigns!$BE$2:$BE$51,MATCH($B137,campaigns!$A$2:$A$51,0))="","",INDEX(campaigns!$BE$2:$BE$51,MATCH($B137,campaigns!$A$2:$A$51,0))),""))</f>
        <v/>
      </c>
      <c r="O137" s="26">
        <f>IF(OR($A137="",$D137=""),"",IF($C137="founding_full",WORKDAY($D137,config!$B$27,calendar!$A$2:$A$80),$D137))</f>
        <v/>
      </c>
      <c r="P137" s="27">
        <f>IF($A137="","",N($E137)+N($F137))</f>
        <v/>
      </c>
      <c r="Q137" s="25">
        <f>IF($A137="","",IF($C137="credit_note",IF($H137&lt;&gt;"","refunded","credit applied"),IF($H137&lt;&gt;"",IF(N($I137)&gt;=$P137-0.005,"paid",IF(AND($C137="standard_balance",N($I137)+(-SUMPRODUCT((invoices!$B$2:$B$151=$B137)*(invoices!$C$2:$C$151="credit_note")*(LEN(invoices!$H$2:$H$151)=0)*invoices!$E$2:$E$151))&gt;=$P137-0.005),"paid (less credit)","part paid")),IF($D137="","draft",IF(IF(config!$B$37&lt;&gt;"",config!$B$37,TODAY())&gt;$O137,"overdue","sent")))))</f>
        <v/>
      </c>
      <c r="R137" s="25">
        <f>IF($A137="","",IF(OR($C137="founding_full",$C137="standard_deposit"),"Y","N"))</f>
        <v/>
      </c>
      <c r="S137" s="25">
        <f>IF($A137="","",IF(COUNTIF(invoices!$A$2:$A$151,$A137)&gt;1,"DUPLICATE invoice number; ","")&amp;IF(COUNTIF(campaigns!$A$2:$A$51,$B137)=0,"campaign_id missing or not on campaigns; ","")&amp;IF(AND($C137&lt;&gt;"credit_note",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lt;&gt;"",ABS(N($E137)-N(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gt;0.005),"amount differs from the price ("&amp;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amp;") - credit notes go on their own row; ","")&amp;IF(AND($C137="credit_note",N($E137)&gt;=0),"a credit note is negative; ","")&amp;IF(AND($H137&lt;&gt;"",N($I137)&gt;$P137+0.005,$C137&lt;&gt;"credit_note"),"paid more than the total; ","")&amp;IF(AND($H137&lt;&gt;"",$J137=""),"method?; ",""))</f>
        <v/>
      </c>
    </row>
    <row r="138">
      <c r="D138" s="9" t="n"/>
      <c r="E138" s="10" t="n"/>
      <c r="F138" s="10" t="n"/>
      <c r="H138" s="9" t="n"/>
      <c r="I138" s="10" t="n"/>
      <c r="L138" s="10" t="n"/>
      <c r="N138" s="25">
        <f>IF($B138="","",IFERROR(IF(INDEX(campaigns!$BE$2:$BE$51,MATCH($B138,campaigns!$A$2:$A$51,0))="","",INDEX(campaigns!$BE$2:$BE$51,MATCH($B138,campaigns!$A$2:$A$51,0))),""))</f>
        <v/>
      </c>
      <c r="O138" s="26">
        <f>IF(OR($A138="",$D138=""),"",IF($C138="founding_full",WORKDAY($D138,config!$B$27,calendar!$A$2:$A$80),$D138))</f>
        <v/>
      </c>
      <c r="P138" s="27">
        <f>IF($A138="","",N($E138)+N($F138))</f>
        <v/>
      </c>
      <c r="Q138" s="25">
        <f>IF($A138="","",IF($C138="credit_note",IF($H138&lt;&gt;"","refunded","credit applied"),IF($H138&lt;&gt;"",IF(N($I138)&gt;=$P138-0.005,"paid",IF(AND($C138="standard_balance",N($I138)+(-SUMPRODUCT((invoices!$B$2:$B$151=$B138)*(invoices!$C$2:$C$151="credit_note")*(LEN(invoices!$H$2:$H$151)=0)*invoices!$E$2:$E$151))&gt;=$P138-0.005),"paid (less credit)","part paid")),IF($D138="","draft",IF(IF(config!$B$37&lt;&gt;"",config!$B$37,TODAY())&gt;$O138,"overdue","sent")))))</f>
        <v/>
      </c>
      <c r="R138" s="25">
        <f>IF($A138="","",IF(OR($C138="founding_full",$C138="standard_deposit"),"Y","N"))</f>
        <v/>
      </c>
      <c r="S138" s="25">
        <f>IF($A138="","",IF(COUNTIF(invoices!$A$2:$A$151,$A138)&gt;1,"DUPLICATE invoice number; ","")&amp;IF(COUNTIF(campaigns!$A$2:$A$51,$B138)=0,"campaign_id missing or not on campaigns; ","")&amp;IF(AND($C138&lt;&gt;"credit_note",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lt;&gt;"",ABS(N($E138)-N(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gt;0.005),"amount differs from the price ("&amp;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amp;") - credit notes go on their own row; ","")&amp;IF(AND($C138="credit_note",N($E138)&gt;=0),"a credit note is negative; ","")&amp;IF(AND($H138&lt;&gt;"",N($I138)&gt;$P138+0.005,$C138&lt;&gt;"credit_note"),"paid more than the total; ","")&amp;IF(AND($H138&lt;&gt;"",$J138=""),"method?; ",""))</f>
        <v/>
      </c>
    </row>
    <row r="139">
      <c r="D139" s="9" t="n"/>
      <c r="E139" s="10" t="n"/>
      <c r="F139" s="10" t="n"/>
      <c r="H139" s="9" t="n"/>
      <c r="I139" s="10" t="n"/>
      <c r="L139" s="10" t="n"/>
      <c r="N139" s="25">
        <f>IF($B139="","",IFERROR(IF(INDEX(campaigns!$BE$2:$BE$51,MATCH($B139,campaigns!$A$2:$A$51,0))="","",INDEX(campaigns!$BE$2:$BE$51,MATCH($B139,campaigns!$A$2:$A$51,0))),""))</f>
        <v/>
      </c>
      <c r="O139" s="26">
        <f>IF(OR($A139="",$D139=""),"",IF($C139="founding_full",WORKDAY($D139,config!$B$27,calendar!$A$2:$A$80),$D139))</f>
        <v/>
      </c>
      <c r="P139" s="27">
        <f>IF($A139="","",N($E139)+N($F139))</f>
        <v/>
      </c>
      <c r="Q139" s="25">
        <f>IF($A139="","",IF($C139="credit_note",IF($H139&lt;&gt;"","refunded","credit applied"),IF($H139&lt;&gt;"",IF(N($I139)&gt;=$P139-0.005,"paid",IF(AND($C139="standard_balance",N($I139)+(-SUMPRODUCT((invoices!$B$2:$B$151=$B139)*(invoices!$C$2:$C$151="credit_note")*(LEN(invoices!$H$2:$H$151)=0)*invoices!$E$2:$E$151))&gt;=$P139-0.005),"paid (less credit)","part paid")),IF($D139="","draft",IF(IF(config!$B$37&lt;&gt;"",config!$B$37,TODAY())&gt;$O139,"overdue","sent")))))</f>
        <v/>
      </c>
      <c r="R139" s="25">
        <f>IF($A139="","",IF(OR($C139="founding_full",$C139="standard_deposit"),"Y","N"))</f>
        <v/>
      </c>
      <c r="S139" s="25">
        <f>IF($A139="","",IF(COUNTIF(invoices!$A$2:$A$151,$A139)&gt;1,"DUPLICATE invoice number; ","")&amp;IF(COUNTIF(campaigns!$A$2:$A$51,$B139)=0,"campaign_id missing or not on campaigns; ","")&amp;IF(AND($C139&lt;&gt;"credit_note",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lt;&gt;"",ABS(N($E139)-N(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gt;0.005),"amount differs from the price ("&amp;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amp;") - credit notes go on their own row; ","")&amp;IF(AND($C139="credit_note",N($E139)&gt;=0),"a credit note is negative; ","")&amp;IF(AND($H139&lt;&gt;"",N($I139)&gt;$P139+0.005,$C139&lt;&gt;"credit_note"),"paid more than the total; ","")&amp;IF(AND($H139&lt;&gt;"",$J139=""),"method?; ",""))</f>
        <v/>
      </c>
    </row>
    <row r="140">
      <c r="D140" s="9" t="n"/>
      <c r="E140" s="10" t="n"/>
      <c r="F140" s="10" t="n"/>
      <c r="H140" s="9" t="n"/>
      <c r="I140" s="10" t="n"/>
      <c r="L140" s="10" t="n"/>
      <c r="N140" s="25">
        <f>IF($B140="","",IFERROR(IF(INDEX(campaigns!$BE$2:$BE$51,MATCH($B140,campaigns!$A$2:$A$51,0))="","",INDEX(campaigns!$BE$2:$BE$51,MATCH($B140,campaigns!$A$2:$A$51,0))),""))</f>
        <v/>
      </c>
      <c r="O140" s="26">
        <f>IF(OR($A140="",$D140=""),"",IF($C140="founding_full",WORKDAY($D140,config!$B$27,calendar!$A$2:$A$80),$D140))</f>
        <v/>
      </c>
      <c r="P140" s="27">
        <f>IF($A140="","",N($E140)+N($F140))</f>
        <v/>
      </c>
      <c r="Q140" s="25">
        <f>IF($A140="","",IF($C140="credit_note",IF($H140&lt;&gt;"","refunded","credit applied"),IF($H140&lt;&gt;"",IF(N($I140)&gt;=$P140-0.005,"paid",IF(AND($C140="standard_balance",N($I140)+(-SUMPRODUCT((invoices!$B$2:$B$151=$B140)*(invoices!$C$2:$C$151="credit_note")*(LEN(invoices!$H$2:$H$151)=0)*invoices!$E$2:$E$151))&gt;=$P140-0.005),"paid (less credit)","part paid")),IF($D140="","draft",IF(IF(config!$B$37&lt;&gt;"",config!$B$37,TODAY())&gt;$O140,"overdue","sent")))))</f>
        <v/>
      </c>
      <c r="R140" s="25">
        <f>IF($A140="","",IF(OR($C140="founding_full",$C140="standard_deposit"),"Y","N"))</f>
        <v/>
      </c>
      <c r="S140" s="25">
        <f>IF($A140="","",IF(COUNTIF(invoices!$A$2:$A$151,$A140)&gt;1,"DUPLICATE invoice number; ","")&amp;IF(COUNTIF(campaigns!$A$2:$A$51,$B140)=0,"campaign_id missing or not on campaigns; ","")&amp;IF(AND($C140&lt;&gt;"credit_note",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lt;&gt;"",ABS(N($E140)-N(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gt;0.005),"amount differs from the price ("&amp;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amp;") - credit notes go on their own row; ","")&amp;IF(AND($C140="credit_note",N($E140)&gt;=0),"a credit note is negative; ","")&amp;IF(AND($H140&lt;&gt;"",N($I140)&gt;$P140+0.005,$C140&lt;&gt;"credit_note"),"paid more than the total; ","")&amp;IF(AND($H140&lt;&gt;"",$J140=""),"method?; ",""))</f>
        <v/>
      </c>
    </row>
    <row r="141">
      <c r="D141" s="9" t="n"/>
      <c r="E141" s="10" t="n"/>
      <c r="F141" s="10" t="n"/>
      <c r="H141" s="9" t="n"/>
      <c r="I141" s="10" t="n"/>
      <c r="L141" s="10" t="n"/>
      <c r="N141" s="25">
        <f>IF($B141="","",IFERROR(IF(INDEX(campaigns!$BE$2:$BE$51,MATCH($B141,campaigns!$A$2:$A$51,0))="","",INDEX(campaigns!$BE$2:$BE$51,MATCH($B141,campaigns!$A$2:$A$51,0))),""))</f>
        <v/>
      </c>
      <c r="O141" s="26">
        <f>IF(OR($A141="",$D141=""),"",IF($C141="founding_full",WORKDAY($D141,config!$B$27,calendar!$A$2:$A$80),$D141))</f>
        <v/>
      </c>
      <c r="P141" s="27">
        <f>IF($A141="","",N($E141)+N($F141))</f>
        <v/>
      </c>
      <c r="Q141" s="25">
        <f>IF($A141="","",IF($C141="credit_note",IF($H141&lt;&gt;"","refunded","credit applied"),IF($H141&lt;&gt;"",IF(N($I141)&gt;=$P141-0.005,"paid",IF(AND($C141="standard_balance",N($I141)+(-SUMPRODUCT((invoices!$B$2:$B$151=$B141)*(invoices!$C$2:$C$151="credit_note")*(LEN(invoices!$H$2:$H$151)=0)*invoices!$E$2:$E$151))&gt;=$P141-0.005),"paid (less credit)","part paid")),IF($D141="","draft",IF(IF(config!$B$37&lt;&gt;"",config!$B$37,TODAY())&gt;$O141,"overdue","sent")))))</f>
        <v/>
      </c>
      <c r="R141" s="25">
        <f>IF($A141="","",IF(OR($C141="founding_full",$C141="standard_deposit"),"Y","N"))</f>
        <v/>
      </c>
      <c r="S141" s="25">
        <f>IF($A141="","",IF(COUNTIF(invoices!$A$2:$A$151,$A141)&gt;1,"DUPLICATE invoice number; ","")&amp;IF(COUNTIF(campaigns!$A$2:$A$51,$B141)=0,"campaign_id missing or not on campaigns; ","")&amp;IF(AND($C141&lt;&gt;"credit_note",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lt;&gt;"",ABS(N($E141)-N(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gt;0.005),"amount differs from the price ("&amp;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amp;") - credit notes go on their own row; ","")&amp;IF(AND($C141="credit_note",N($E141)&gt;=0),"a credit note is negative; ","")&amp;IF(AND($H141&lt;&gt;"",N($I141)&gt;$P141+0.005,$C141&lt;&gt;"credit_note"),"paid more than the total; ","")&amp;IF(AND($H141&lt;&gt;"",$J141=""),"method?; ",""))</f>
        <v/>
      </c>
    </row>
    <row r="142">
      <c r="D142" s="9" t="n"/>
      <c r="E142" s="10" t="n"/>
      <c r="F142" s="10" t="n"/>
      <c r="H142" s="9" t="n"/>
      <c r="I142" s="10" t="n"/>
      <c r="L142" s="10" t="n"/>
      <c r="N142" s="25">
        <f>IF($B142="","",IFERROR(IF(INDEX(campaigns!$BE$2:$BE$51,MATCH($B142,campaigns!$A$2:$A$51,0))="","",INDEX(campaigns!$BE$2:$BE$51,MATCH($B142,campaigns!$A$2:$A$51,0))),""))</f>
        <v/>
      </c>
      <c r="O142" s="26">
        <f>IF(OR($A142="",$D142=""),"",IF($C142="founding_full",WORKDAY($D142,config!$B$27,calendar!$A$2:$A$80),$D142))</f>
        <v/>
      </c>
      <c r="P142" s="27">
        <f>IF($A142="","",N($E142)+N($F142))</f>
        <v/>
      </c>
      <c r="Q142" s="25">
        <f>IF($A142="","",IF($C142="credit_note",IF($H142&lt;&gt;"","refunded","credit applied"),IF($H142&lt;&gt;"",IF(N($I142)&gt;=$P142-0.005,"paid",IF(AND($C142="standard_balance",N($I142)+(-SUMPRODUCT((invoices!$B$2:$B$151=$B142)*(invoices!$C$2:$C$151="credit_note")*(LEN(invoices!$H$2:$H$151)=0)*invoices!$E$2:$E$151))&gt;=$P142-0.005),"paid (less credit)","part paid")),IF($D142="","draft",IF(IF(config!$B$37&lt;&gt;"",config!$B$37,TODAY())&gt;$O142,"overdue","sent")))))</f>
        <v/>
      </c>
      <c r="R142" s="25">
        <f>IF($A142="","",IF(OR($C142="founding_full",$C142="standard_deposit"),"Y","N"))</f>
        <v/>
      </c>
      <c r="S142" s="25">
        <f>IF($A142="","",IF(COUNTIF(invoices!$A$2:$A$151,$A142)&gt;1,"DUPLICATE invoice number; ","")&amp;IF(COUNTIF(campaigns!$A$2:$A$51,$B142)=0,"campaign_id missing or not on campaigns; ","")&amp;IF(AND($C142&lt;&gt;"credit_note",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lt;&gt;"",ABS(N($E142)-N(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gt;0.005),"amount differs from the price ("&amp;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amp;") - credit notes go on their own row; ","")&amp;IF(AND($C142="credit_note",N($E142)&gt;=0),"a credit note is negative; ","")&amp;IF(AND($H142&lt;&gt;"",N($I142)&gt;$P142+0.005,$C142&lt;&gt;"credit_note"),"paid more than the total; ","")&amp;IF(AND($H142&lt;&gt;"",$J142=""),"method?; ",""))</f>
        <v/>
      </c>
    </row>
    <row r="143">
      <c r="D143" s="9" t="n"/>
      <c r="E143" s="10" t="n"/>
      <c r="F143" s="10" t="n"/>
      <c r="H143" s="9" t="n"/>
      <c r="I143" s="10" t="n"/>
      <c r="L143" s="10" t="n"/>
      <c r="N143" s="25">
        <f>IF($B143="","",IFERROR(IF(INDEX(campaigns!$BE$2:$BE$51,MATCH($B143,campaigns!$A$2:$A$51,0))="","",INDEX(campaigns!$BE$2:$BE$51,MATCH($B143,campaigns!$A$2:$A$51,0))),""))</f>
        <v/>
      </c>
      <c r="O143" s="26">
        <f>IF(OR($A143="",$D143=""),"",IF($C143="founding_full",WORKDAY($D143,config!$B$27,calendar!$A$2:$A$80),$D143))</f>
        <v/>
      </c>
      <c r="P143" s="27">
        <f>IF($A143="","",N($E143)+N($F143))</f>
        <v/>
      </c>
      <c r="Q143" s="25">
        <f>IF($A143="","",IF($C143="credit_note",IF($H143&lt;&gt;"","refunded","credit applied"),IF($H143&lt;&gt;"",IF(N($I143)&gt;=$P143-0.005,"paid",IF(AND($C143="standard_balance",N($I143)+(-SUMPRODUCT((invoices!$B$2:$B$151=$B143)*(invoices!$C$2:$C$151="credit_note")*(LEN(invoices!$H$2:$H$151)=0)*invoices!$E$2:$E$151))&gt;=$P143-0.005),"paid (less credit)","part paid")),IF($D143="","draft",IF(IF(config!$B$37&lt;&gt;"",config!$B$37,TODAY())&gt;$O143,"overdue","sent")))))</f>
        <v/>
      </c>
      <c r="R143" s="25">
        <f>IF($A143="","",IF(OR($C143="founding_full",$C143="standard_deposit"),"Y","N"))</f>
        <v/>
      </c>
      <c r="S143" s="25">
        <f>IF($A143="","",IF(COUNTIF(invoices!$A$2:$A$151,$A143)&gt;1,"DUPLICATE invoice number; ","")&amp;IF(COUNTIF(campaigns!$A$2:$A$51,$B143)=0,"campaign_id missing or not on campaigns; ","")&amp;IF(AND($C143&lt;&gt;"credit_note",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lt;&gt;"",ABS(N($E143)-N(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gt;0.005),"amount differs from the price ("&amp;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amp;") - credit notes go on their own row; ","")&amp;IF(AND($C143="credit_note",N($E143)&gt;=0),"a credit note is negative; ","")&amp;IF(AND($H143&lt;&gt;"",N($I143)&gt;$P143+0.005,$C143&lt;&gt;"credit_note"),"paid more than the total; ","")&amp;IF(AND($H143&lt;&gt;"",$J143=""),"method?; ",""))</f>
        <v/>
      </c>
    </row>
    <row r="144">
      <c r="D144" s="9" t="n"/>
      <c r="E144" s="10" t="n"/>
      <c r="F144" s="10" t="n"/>
      <c r="H144" s="9" t="n"/>
      <c r="I144" s="10" t="n"/>
      <c r="L144" s="10" t="n"/>
      <c r="N144" s="25">
        <f>IF($B144="","",IFERROR(IF(INDEX(campaigns!$BE$2:$BE$51,MATCH($B144,campaigns!$A$2:$A$51,0))="","",INDEX(campaigns!$BE$2:$BE$51,MATCH($B144,campaigns!$A$2:$A$51,0))),""))</f>
        <v/>
      </c>
      <c r="O144" s="26">
        <f>IF(OR($A144="",$D144=""),"",IF($C144="founding_full",WORKDAY($D144,config!$B$27,calendar!$A$2:$A$80),$D144))</f>
        <v/>
      </c>
      <c r="P144" s="27">
        <f>IF($A144="","",N($E144)+N($F144))</f>
        <v/>
      </c>
      <c r="Q144" s="25">
        <f>IF($A144="","",IF($C144="credit_note",IF($H144&lt;&gt;"","refunded","credit applied"),IF($H144&lt;&gt;"",IF(N($I144)&gt;=$P144-0.005,"paid",IF(AND($C144="standard_balance",N($I144)+(-SUMPRODUCT((invoices!$B$2:$B$151=$B144)*(invoices!$C$2:$C$151="credit_note")*(LEN(invoices!$H$2:$H$151)=0)*invoices!$E$2:$E$151))&gt;=$P144-0.005),"paid (less credit)","part paid")),IF($D144="","draft",IF(IF(config!$B$37&lt;&gt;"",config!$B$37,TODAY())&gt;$O144,"overdue","sent")))))</f>
        <v/>
      </c>
      <c r="R144" s="25">
        <f>IF($A144="","",IF(OR($C144="founding_full",$C144="standard_deposit"),"Y","N"))</f>
        <v/>
      </c>
      <c r="S144" s="25">
        <f>IF($A144="","",IF(COUNTIF(invoices!$A$2:$A$151,$A144)&gt;1,"DUPLICATE invoice number; ","")&amp;IF(COUNTIF(campaigns!$A$2:$A$51,$B144)=0,"campaign_id missing or not on campaigns; ","")&amp;IF(AND($C144&lt;&gt;"credit_note",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lt;&gt;"",ABS(N($E144)-N(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gt;0.005),"amount differs from the price ("&amp;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amp;") - credit notes go on their own row; ","")&amp;IF(AND($C144="credit_note",N($E144)&gt;=0),"a credit note is negative; ","")&amp;IF(AND($H144&lt;&gt;"",N($I144)&gt;$P144+0.005,$C144&lt;&gt;"credit_note"),"paid more than the total; ","")&amp;IF(AND($H144&lt;&gt;"",$J144=""),"method?; ",""))</f>
        <v/>
      </c>
    </row>
    <row r="145">
      <c r="D145" s="9" t="n"/>
      <c r="E145" s="10" t="n"/>
      <c r="F145" s="10" t="n"/>
      <c r="H145" s="9" t="n"/>
      <c r="I145" s="10" t="n"/>
      <c r="L145" s="10" t="n"/>
      <c r="N145" s="25">
        <f>IF($B145="","",IFERROR(IF(INDEX(campaigns!$BE$2:$BE$51,MATCH($B145,campaigns!$A$2:$A$51,0))="","",INDEX(campaigns!$BE$2:$BE$51,MATCH($B145,campaigns!$A$2:$A$51,0))),""))</f>
        <v/>
      </c>
      <c r="O145" s="26">
        <f>IF(OR($A145="",$D145=""),"",IF($C145="founding_full",WORKDAY($D145,config!$B$27,calendar!$A$2:$A$80),$D145))</f>
        <v/>
      </c>
      <c r="P145" s="27">
        <f>IF($A145="","",N($E145)+N($F145))</f>
        <v/>
      </c>
      <c r="Q145" s="25">
        <f>IF($A145="","",IF($C145="credit_note",IF($H145&lt;&gt;"","refunded","credit applied"),IF($H145&lt;&gt;"",IF(N($I145)&gt;=$P145-0.005,"paid",IF(AND($C145="standard_balance",N($I145)+(-SUMPRODUCT((invoices!$B$2:$B$151=$B145)*(invoices!$C$2:$C$151="credit_note")*(LEN(invoices!$H$2:$H$151)=0)*invoices!$E$2:$E$151))&gt;=$P145-0.005),"paid (less credit)","part paid")),IF($D145="","draft",IF(IF(config!$B$37&lt;&gt;"",config!$B$37,TODAY())&gt;$O145,"overdue","sent")))))</f>
        <v/>
      </c>
      <c r="R145" s="25">
        <f>IF($A145="","",IF(OR($C145="founding_full",$C145="standard_deposit"),"Y","N"))</f>
        <v/>
      </c>
      <c r="S145" s="25">
        <f>IF($A145="","",IF(COUNTIF(invoices!$A$2:$A$151,$A145)&gt;1,"DUPLICATE invoice number; ","")&amp;IF(COUNTIF(campaigns!$A$2:$A$51,$B145)=0,"campaign_id missing or not on campaigns; ","")&amp;IF(AND($C145&lt;&gt;"credit_note",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lt;&gt;"",ABS(N($E145)-N(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gt;0.005),"amount differs from the price ("&amp;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amp;") - credit notes go on their own row; ","")&amp;IF(AND($C145="credit_note",N($E145)&gt;=0),"a credit note is negative; ","")&amp;IF(AND($H145&lt;&gt;"",N($I145)&gt;$P145+0.005,$C145&lt;&gt;"credit_note"),"paid more than the total; ","")&amp;IF(AND($H145&lt;&gt;"",$J145=""),"method?; ",""))</f>
        <v/>
      </c>
    </row>
    <row r="146">
      <c r="D146" s="9" t="n"/>
      <c r="E146" s="10" t="n"/>
      <c r="F146" s="10" t="n"/>
      <c r="H146" s="9" t="n"/>
      <c r="I146" s="10" t="n"/>
      <c r="L146" s="10" t="n"/>
      <c r="N146" s="25">
        <f>IF($B146="","",IFERROR(IF(INDEX(campaigns!$BE$2:$BE$51,MATCH($B146,campaigns!$A$2:$A$51,0))="","",INDEX(campaigns!$BE$2:$BE$51,MATCH($B146,campaigns!$A$2:$A$51,0))),""))</f>
        <v/>
      </c>
      <c r="O146" s="26">
        <f>IF(OR($A146="",$D146=""),"",IF($C146="founding_full",WORKDAY($D146,config!$B$27,calendar!$A$2:$A$80),$D146))</f>
        <v/>
      </c>
      <c r="P146" s="27">
        <f>IF($A146="","",N($E146)+N($F146))</f>
        <v/>
      </c>
      <c r="Q146" s="25">
        <f>IF($A146="","",IF($C146="credit_note",IF($H146&lt;&gt;"","refunded","credit applied"),IF($H146&lt;&gt;"",IF(N($I146)&gt;=$P146-0.005,"paid",IF(AND($C146="standard_balance",N($I146)+(-SUMPRODUCT((invoices!$B$2:$B$151=$B146)*(invoices!$C$2:$C$151="credit_note")*(LEN(invoices!$H$2:$H$151)=0)*invoices!$E$2:$E$151))&gt;=$P146-0.005),"paid (less credit)","part paid")),IF($D146="","draft",IF(IF(config!$B$37&lt;&gt;"",config!$B$37,TODAY())&gt;$O146,"overdue","sent")))))</f>
        <v/>
      </c>
      <c r="R146" s="25">
        <f>IF($A146="","",IF(OR($C146="founding_full",$C146="standard_deposit"),"Y","N"))</f>
        <v/>
      </c>
      <c r="S146" s="25">
        <f>IF($A146="","",IF(COUNTIF(invoices!$A$2:$A$151,$A146)&gt;1,"DUPLICATE invoice number; ","")&amp;IF(COUNTIF(campaigns!$A$2:$A$51,$B146)=0,"campaign_id missing or not on campaigns; ","")&amp;IF(AND($C146&lt;&gt;"credit_note",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lt;&gt;"",ABS(N($E146)-N(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gt;0.005),"amount differs from the price ("&amp;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amp;") - credit notes go on their own row; ","")&amp;IF(AND($C146="credit_note",N($E146)&gt;=0),"a credit note is negative; ","")&amp;IF(AND($H146&lt;&gt;"",N($I146)&gt;$P146+0.005,$C146&lt;&gt;"credit_note"),"paid more than the total; ","")&amp;IF(AND($H146&lt;&gt;"",$J146=""),"method?; ",""))</f>
        <v/>
      </c>
    </row>
    <row r="147">
      <c r="D147" s="9" t="n"/>
      <c r="E147" s="10" t="n"/>
      <c r="F147" s="10" t="n"/>
      <c r="H147" s="9" t="n"/>
      <c r="I147" s="10" t="n"/>
      <c r="L147" s="10" t="n"/>
      <c r="N147" s="25">
        <f>IF($B147="","",IFERROR(IF(INDEX(campaigns!$BE$2:$BE$51,MATCH($B147,campaigns!$A$2:$A$51,0))="","",INDEX(campaigns!$BE$2:$BE$51,MATCH($B147,campaigns!$A$2:$A$51,0))),""))</f>
        <v/>
      </c>
      <c r="O147" s="26">
        <f>IF(OR($A147="",$D147=""),"",IF($C147="founding_full",WORKDAY($D147,config!$B$27,calendar!$A$2:$A$80),$D147))</f>
        <v/>
      </c>
      <c r="P147" s="27">
        <f>IF($A147="","",N($E147)+N($F147))</f>
        <v/>
      </c>
      <c r="Q147" s="25">
        <f>IF($A147="","",IF($C147="credit_note",IF($H147&lt;&gt;"","refunded","credit applied"),IF($H147&lt;&gt;"",IF(N($I147)&gt;=$P147-0.005,"paid",IF(AND($C147="standard_balance",N($I147)+(-SUMPRODUCT((invoices!$B$2:$B$151=$B147)*(invoices!$C$2:$C$151="credit_note")*(LEN(invoices!$H$2:$H$151)=0)*invoices!$E$2:$E$151))&gt;=$P147-0.005),"paid (less credit)","part paid")),IF($D147="","draft",IF(IF(config!$B$37&lt;&gt;"",config!$B$37,TODAY())&gt;$O147,"overdue","sent")))))</f>
        <v/>
      </c>
      <c r="R147" s="25">
        <f>IF($A147="","",IF(OR($C147="founding_full",$C147="standard_deposit"),"Y","N"))</f>
        <v/>
      </c>
      <c r="S147" s="25">
        <f>IF($A147="","",IF(COUNTIF(invoices!$A$2:$A$151,$A147)&gt;1,"DUPLICATE invoice number; ","")&amp;IF(COUNTIF(campaigns!$A$2:$A$51,$B147)=0,"campaign_id missing or not on campaigns; ","")&amp;IF(AND($C147&lt;&gt;"credit_note",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lt;&gt;"",ABS(N($E147)-N(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gt;0.005),"amount differs from the price ("&amp;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amp;") - credit notes go on their own row; ","")&amp;IF(AND($C147="credit_note",N($E147)&gt;=0),"a credit note is negative; ","")&amp;IF(AND($H147&lt;&gt;"",N($I147)&gt;$P147+0.005,$C147&lt;&gt;"credit_note"),"paid more than the total; ","")&amp;IF(AND($H147&lt;&gt;"",$J147=""),"method?; ",""))</f>
        <v/>
      </c>
    </row>
    <row r="148">
      <c r="D148" s="9" t="n"/>
      <c r="E148" s="10" t="n"/>
      <c r="F148" s="10" t="n"/>
      <c r="H148" s="9" t="n"/>
      <c r="I148" s="10" t="n"/>
      <c r="L148" s="10" t="n"/>
      <c r="N148" s="25">
        <f>IF($B148="","",IFERROR(IF(INDEX(campaigns!$BE$2:$BE$51,MATCH($B148,campaigns!$A$2:$A$51,0))="","",INDEX(campaigns!$BE$2:$BE$51,MATCH($B148,campaigns!$A$2:$A$51,0))),""))</f>
        <v/>
      </c>
      <c r="O148" s="26">
        <f>IF(OR($A148="",$D148=""),"",IF($C148="founding_full",WORKDAY($D148,config!$B$27,calendar!$A$2:$A$80),$D148))</f>
        <v/>
      </c>
      <c r="P148" s="27">
        <f>IF($A148="","",N($E148)+N($F148))</f>
        <v/>
      </c>
      <c r="Q148" s="25">
        <f>IF($A148="","",IF($C148="credit_note",IF($H148&lt;&gt;"","refunded","credit applied"),IF($H148&lt;&gt;"",IF(N($I148)&gt;=$P148-0.005,"paid",IF(AND($C148="standard_balance",N($I148)+(-SUMPRODUCT((invoices!$B$2:$B$151=$B148)*(invoices!$C$2:$C$151="credit_note")*(LEN(invoices!$H$2:$H$151)=0)*invoices!$E$2:$E$151))&gt;=$P148-0.005),"paid (less credit)","part paid")),IF($D148="","draft",IF(IF(config!$B$37&lt;&gt;"",config!$B$37,TODAY())&gt;$O148,"overdue","sent")))))</f>
        <v/>
      </c>
      <c r="R148" s="25">
        <f>IF($A148="","",IF(OR($C148="founding_full",$C148="standard_deposit"),"Y","N"))</f>
        <v/>
      </c>
      <c r="S148" s="25">
        <f>IF($A148="","",IF(COUNTIF(invoices!$A$2:$A$151,$A148)&gt;1,"DUPLICATE invoice number; ","")&amp;IF(COUNTIF(campaigns!$A$2:$A$51,$B148)=0,"campaign_id missing or not on campaigns; ","")&amp;IF(AND($C148&lt;&gt;"credit_note",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lt;&gt;"",ABS(N($E148)-N(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gt;0.005),"amount differs from the price ("&amp;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amp;") - credit notes go on their own row; ","")&amp;IF(AND($C148="credit_note",N($E148)&gt;=0),"a credit note is negative; ","")&amp;IF(AND($H148&lt;&gt;"",N($I148)&gt;$P148+0.005,$C148&lt;&gt;"credit_note"),"paid more than the total; ","")&amp;IF(AND($H148&lt;&gt;"",$J148=""),"method?; ",""))</f>
        <v/>
      </c>
    </row>
    <row r="149">
      <c r="D149" s="9" t="n"/>
      <c r="E149" s="10" t="n"/>
      <c r="F149" s="10" t="n"/>
      <c r="H149" s="9" t="n"/>
      <c r="I149" s="10" t="n"/>
      <c r="L149" s="10" t="n"/>
      <c r="N149" s="25">
        <f>IF($B149="","",IFERROR(IF(INDEX(campaigns!$BE$2:$BE$51,MATCH($B149,campaigns!$A$2:$A$51,0))="","",INDEX(campaigns!$BE$2:$BE$51,MATCH($B149,campaigns!$A$2:$A$51,0))),""))</f>
        <v/>
      </c>
      <c r="O149" s="26">
        <f>IF(OR($A149="",$D149=""),"",IF($C149="founding_full",WORKDAY($D149,config!$B$27,calendar!$A$2:$A$80),$D149))</f>
        <v/>
      </c>
      <c r="P149" s="27">
        <f>IF($A149="","",N($E149)+N($F149))</f>
        <v/>
      </c>
      <c r="Q149" s="25">
        <f>IF($A149="","",IF($C149="credit_note",IF($H149&lt;&gt;"","refunded","credit applied"),IF($H149&lt;&gt;"",IF(N($I149)&gt;=$P149-0.005,"paid",IF(AND($C149="standard_balance",N($I149)+(-SUMPRODUCT((invoices!$B$2:$B$151=$B149)*(invoices!$C$2:$C$151="credit_note")*(LEN(invoices!$H$2:$H$151)=0)*invoices!$E$2:$E$151))&gt;=$P149-0.005),"paid (less credit)","part paid")),IF($D149="","draft",IF(IF(config!$B$37&lt;&gt;"",config!$B$37,TODAY())&gt;$O149,"overdue","sent")))))</f>
        <v/>
      </c>
      <c r="R149" s="25">
        <f>IF($A149="","",IF(OR($C149="founding_full",$C149="standard_deposit"),"Y","N"))</f>
        <v/>
      </c>
      <c r="S149" s="25">
        <f>IF($A149="","",IF(COUNTIF(invoices!$A$2:$A$151,$A149)&gt;1,"DUPLICATE invoice number; ","")&amp;IF(COUNTIF(campaigns!$A$2:$A$51,$B149)=0,"campaign_id missing or not on campaigns; ","")&amp;IF(AND($C149&lt;&gt;"credit_note",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lt;&gt;"",ABS(N($E149)-N(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gt;0.005),"amount differs from the price ("&amp;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amp;") - credit notes go on their own row; ","")&amp;IF(AND($C149="credit_note",N($E149)&gt;=0),"a credit note is negative; ","")&amp;IF(AND($H149&lt;&gt;"",N($I149)&gt;$P149+0.005,$C149&lt;&gt;"credit_note"),"paid more than the total; ","")&amp;IF(AND($H149&lt;&gt;"",$J149=""),"method?; ",""))</f>
        <v/>
      </c>
    </row>
    <row r="150">
      <c r="D150" s="9" t="n"/>
      <c r="E150" s="10" t="n"/>
      <c r="F150" s="10" t="n"/>
      <c r="H150" s="9" t="n"/>
      <c r="I150" s="10" t="n"/>
      <c r="L150" s="10" t="n"/>
      <c r="N150" s="25">
        <f>IF($B150="","",IFERROR(IF(INDEX(campaigns!$BE$2:$BE$51,MATCH($B150,campaigns!$A$2:$A$51,0))="","",INDEX(campaigns!$BE$2:$BE$51,MATCH($B150,campaigns!$A$2:$A$51,0))),""))</f>
        <v/>
      </c>
      <c r="O150" s="26">
        <f>IF(OR($A150="",$D150=""),"",IF($C150="founding_full",WORKDAY($D150,config!$B$27,calendar!$A$2:$A$80),$D150))</f>
        <v/>
      </c>
      <c r="P150" s="27">
        <f>IF($A150="","",N($E150)+N($F150))</f>
        <v/>
      </c>
      <c r="Q150" s="25">
        <f>IF($A150="","",IF($C150="credit_note",IF($H150&lt;&gt;"","refunded","credit applied"),IF($H150&lt;&gt;"",IF(N($I150)&gt;=$P150-0.005,"paid",IF(AND($C150="standard_balance",N($I150)+(-SUMPRODUCT((invoices!$B$2:$B$151=$B150)*(invoices!$C$2:$C$151="credit_note")*(LEN(invoices!$H$2:$H$151)=0)*invoices!$E$2:$E$151))&gt;=$P150-0.005),"paid (less credit)","part paid")),IF($D150="","draft",IF(IF(config!$B$37&lt;&gt;"",config!$B$37,TODAY())&gt;$O150,"overdue","sent")))))</f>
        <v/>
      </c>
      <c r="R150" s="25">
        <f>IF($A150="","",IF(OR($C150="founding_full",$C150="standard_deposit"),"Y","N"))</f>
        <v/>
      </c>
      <c r="S150" s="25">
        <f>IF($A150="","",IF(COUNTIF(invoices!$A$2:$A$151,$A150)&gt;1,"DUPLICATE invoice number; ","")&amp;IF(COUNTIF(campaigns!$A$2:$A$51,$B150)=0,"campaign_id missing or not on campaigns; ","")&amp;IF(AND($C150&lt;&gt;"credit_note",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lt;&gt;"",ABS(N($E150)-N(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gt;0.005),"amount differs from the price ("&amp;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amp;") - credit notes go on their own row; ","")&amp;IF(AND($C150="credit_note",N($E150)&gt;=0),"a credit note is negative; ","")&amp;IF(AND($H150&lt;&gt;"",N($I150)&gt;$P150+0.005,$C150&lt;&gt;"credit_note"),"paid more than the total; ","")&amp;IF(AND($H150&lt;&gt;"",$J150=""),"method?; ",""))</f>
        <v/>
      </c>
    </row>
    <row r="151">
      <c r="D151" s="9" t="n"/>
      <c r="E151" s="10" t="n"/>
      <c r="F151" s="10" t="n"/>
      <c r="H151" s="9" t="n"/>
      <c r="I151" s="10" t="n"/>
      <c r="L151" s="10" t="n"/>
      <c r="N151" s="25">
        <f>IF($B151="","",IFERROR(IF(INDEX(campaigns!$BE$2:$BE$51,MATCH($B151,campaigns!$A$2:$A$51,0))="","",INDEX(campaigns!$BE$2:$BE$51,MATCH($B151,campaigns!$A$2:$A$51,0))),""))</f>
        <v/>
      </c>
      <c r="O151" s="26">
        <f>IF(OR($A151="",$D151=""),"",IF($C151="founding_full",WORKDAY($D151,config!$B$27,calendar!$A$2:$A$80),$D151))</f>
        <v/>
      </c>
      <c r="P151" s="27">
        <f>IF($A151="","",N($E151)+N($F151))</f>
        <v/>
      </c>
      <c r="Q151" s="25">
        <f>IF($A151="","",IF($C151="credit_note",IF($H151&lt;&gt;"","refunded","credit applied"),IF($H151&lt;&gt;"",IF(N($I151)&gt;=$P151-0.005,"paid",IF(AND($C151="standard_balance",N($I151)+(-SUMPRODUCT((invoices!$B$2:$B$151=$B151)*(invoices!$C$2:$C$151="credit_note")*(LEN(invoices!$H$2:$H$151)=0)*invoices!$E$2:$E$151))&gt;=$P151-0.005),"paid (less credit)","part paid")),IF($D151="","draft",IF(IF(config!$B$37&lt;&gt;"",config!$B$37,TODAY())&gt;$O151,"overdue","sent")))))</f>
        <v/>
      </c>
      <c r="R151" s="25">
        <f>IF($A151="","",IF(OR($C151="founding_full",$C151="standard_deposit"),"Y","N"))</f>
        <v/>
      </c>
      <c r="S151" s="25">
        <f>IF($A151="","",IF(COUNTIF(invoices!$A$2:$A$151,$A151)&gt;1,"DUPLICATE invoice number; ","")&amp;IF(COUNTIF(campaigns!$A$2:$A$51,$B151)=0,"campaign_id missing or not on campaigns; ","")&amp;IF(AND($C151&lt;&gt;"credit_note",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lt;&gt;"",ABS(N($E151)-N(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gt;0.005),"amount differs from the price ("&amp;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amp;") - credit notes go on their own row; ","")&amp;IF(AND($C151="credit_note",N($E151)&gt;=0),"a credit note is negative; ","")&amp;IF(AND($H151&lt;&gt;"",N($I151)&gt;$P151+0.005,$C151&lt;&gt;"credit_note"),"paid more than the total; ","")&amp;IF(AND($H151&lt;&gt;"",$J151=""),"method?; ",""))</f>
        <v/>
      </c>
    </row>
  </sheetData>
  <conditionalFormatting sqref="S2:S151">
    <cfRule type="expression" priority="1" dxfId="1">
      <formula>LEN(S2)&gt;0</formula>
    </cfRule>
  </conditionalFormatting>
  <dataValidations count="2">
    <dataValidation sqref="C2:C151" showDropDown="0" showInputMessage="0" showErrorMessage="1" allowBlank="1" errorTitle="Not on the list" error="Pick a value from the list." type="list">
      <formula1>"founding_full,standard_deposit,standard_balance,credit_note"</formula1>
    </dataValidation>
    <dataValidation sqref="J2:J151" showDropDown="0" showInputMessage="0" showErrorMessage="1" allowBlank="1" errorTitle="Not on the list" error="Pick a value from the list." type="list">
      <formula1>"bank_transfer,card,check"</formula1>
    </dataValidation>
  </dataValidations>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tabColor rgb="00FFF9E5"/>
    <outlinePr summaryBelow="1" summaryRight="1"/>
    <pageSetUpPr/>
  </sheetPr>
  <dimension ref="A1:U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s="34" t="inlineStr">
        <is>
          <t>submitted_at</t>
        </is>
      </c>
      <c r="B1" s="34" t="inlineStr">
        <is>
          <t>form_version</t>
        </is>
      </c>
      <c r="C1" s="34" t="inlineStr">
        <is>
          <t>company</t>
        </is>
      </c>
      <c r="D1" s="34" t="inlineStr">
        <is>
          <t>contact_name</t>
        </is>
      </c>
      <c r="E1" s="34" t="inlineStr">
        <is>
          <t>contact_title</t>
        </is>
      </c>
      <c r="F1" s="34" t="inlineStr">
        <is>
          <t>contact_email</t>
        </is>
      </c>
      <c r="G1" s="34" t="inlineStr">
        <is>
          <t>contact_phone</t>
        </is>
      </c>
      <c r="H1" s="34" t="inlineStr">
        <is>
          <t>office_address</t>
        </is>
      </c>
      <c r="I1" s="34" t="inlineStr">
        <is>
          <t>floor_suite</t>
        </is>
      </c>
      <c r="J1" s="34" t="inlineStr">
        <is>
          <t>tuesday_headcount</t>
        </is>
      </c>
      <c r="K1" s="34" t="inlineStr">
        <is>
          <t>pantry_owner_name</t>
        </is>
      </c>
      <c r="L1" s="34" t="inlineStr">
        <is>
          <t>pantry_owner_title</t>
        </is>
      </c>
      <c r="M1" s="34" t="inlineStr">
        <is>
          <t>pantry_owner_is_contact</t>
        </is>
      </c>
      <c r="N1" s="34" t="inlineStr">
        <is>
          <t>receiving_type</t>
        </is>
      </c>
      <c r="O1" s="34" t="inlineStr">
        <is>
          <t>receiving_window</t>
        </is>
      </c>
      <c r="P1" s="34" t="inlineStr">
        <is>
          <t>coi_required</t>
        </is>
      </c>
      <c r="Q1" s="34" t="inlineStr">
        <is>
          <t>survey_channel</t>
        </is>
      </c>
      <c r="R1" s="34" t="inlineStr">
        <is>
          <t>categories_wanted</t>
        </is>
      </c>
      <c r="S1" s="34" t="inlineStr">
        <is>
          <t>vetoes</t>
        </is>
      </c>
      <c r="T1" s="34" t="inlineStr">
        <is>
          <t>notes</t>
        </is>
      </c>
      <c r="U1" s="34" t="inlineStr">
        <is>
          <t>source</t>
        </is>
      </c>
    </row>
    <row r="2">
      <c r="A2" t="inlineStr">
        <is>
          <t>2026-11-10T10:01:00-05:00</t>
        </is>
      </c>
      <c r="B2" t="inlineStr">
        <is>
          <t>office-1.0</t>
        </is>
      </c>
      <c r="C2" t="inlineStr">
        <is>
          <t>SAMPLE Northpoint Software</t>
        </is>
      </c>
      <c r="D2" t="inlineStr">
        <is>
          <t>SAMPLE Owner 001</t>
        </is>
      </c>
      <c r="E2" t="inlineStr">
        <is>
          <t>SAMPLE Office Manager</t>
        </is>
      </c>
      <c r="F2" t="inlineStr">
        <is>
          <t>SAMPLE-owner-001@example.com</t>
        </is>
      </c>
      <c r="G2" t="inlineStr">
        <is>
          <t>SAMPLE (212) 555-0101</t>
        </is>
      </c>
      <c r="H2" t="inlineStr">
        <is>
          <t>SAMPLE 110 Example Avenue</t>
        </is>
      </c>
      <c r="I2" t="inlineStr">
        <is>
          <t>SAMPLE Floor 3</t>
        </is>
      </c>
      <c r="J2" t="n">
        <v>52</v>
      </c>
      <c r="K2" t="inlineStr">
        <is>
          <t>SAMPLE Owner 001</t>
        </is>
      </c>
      <c r="L2" t="inlineStr">
        <is>
          <t>SAMPLE Office Manager</t>
        </is>
      </c>
      <c r="M2" t="inlineStr">
        <is>
          <t>Y</t>
        </is>
      </c>
      <c r="N2" t="inlineStr">
        <is>
          <t>walk-up</t>
        </is>
      </c>
      <c r="O2" t="inlineStr">
        <is>
          <t>8 to 10 am</t>
        </is>
      </c>
      <c r="P2" t="inlineStr">
        <is>
          <t>no</t>
        </is>
      </c>
      <c r="Q2" t="inlineStr">
        <is>
          <t>slack</t>
        </is>
      </c>
      <c r="R2" t="inlineStr">
        <is>
          <t>chips-crisps;bars;sparkling-soda;fruit-snacks</t>
        </is>
      </c>
      <c r="T2" t="inlineStr">
        <is>
          <t>SAMPLE intake note</t>
        </is>
      </c>
      <c r="U2" t="inlineStr">
        <is>
          <t>website</t>
        </is>
      </c>
    </row>
    <row r="3">
      <c r="A3" t="inlineStr">
        <is>
          <t>2026-11-18T10:03:00-05:00</t>
        </is>
      </c>
      <c r="B3" t="inlineStr">
        <is>
          <t>office-1.0</t>
        </is>
      </c>
      <c r="C3" t="inlineStr">
        <is>
          <t>SAMPLE Halcyon Media</t>
        </is>
      </c>
      <c r="D3" t="inlineStr">
        <is>
          <t>SAMPLE Owner 003</t>
        </is>
      </c>
      <c r="E3" t="inlineStr">
        <is>
          <t>SAMPLE Office Manager</t>
        </is>
      </c>
      <c r="F3" t="inlineStr">
        <is>
          <t>SAMPLE-owner-003@example.com</t>
        </is>
      </c>
      <c r="G3" t="inlineStr">
        <is>
          <t>SAMPLE (212) 555-0103</t>
        </is>
      </c>
      <c r="H3" t="inlineStr">
        <is>
          <t>SAMPLE 130 Example Avenue</t>
        </is>
      </c>
      <c r="I3" t="inlineStr">
        <is>
          <t>SAMPLE Floor 5</t>
        </is>
      </c>
      <c r="J3" t="n">
        <v>95</v>
      </c>
      <c r="K3" t="inlineStr">
        <is>
          <t>SAMPLE Owner 003</t>
        </is>
      </c>
      <c r="L3" t="inlineStr">
        <is>
          <t>SAMPLE Office Manager</t>
        </is>
      </c>
      <c r="M3" t="inlineStr">
        <is>
          <t>Y</t>
        </is>
      </c>
      <c r="N3" t="inlineStr">
        <is>
          <t>walk-up</t>
        </is>
      </c>
      <c r="O3" t="inlineStr">
        <is>
          <t>9 to 11 am</t>
        </is>
      </c>
      <c r="P3" t="inlineStr">
        <is>
          <t>unsure</t>
        </is>
      </c>
      <c r="Q3" t="inlineStr">
        <is>
          <t>slack</t>
        </is>
      </c>
      <c r="R3" t="inlineStr">
        <is>
          <t>chips-crisps;popcorn-puffs;sparkling-soda;tea-juice;bars;fruit-snacks</t>
        </is>
      </c>
      <c r="T3" t="inlineStr">
        <is>
          <t>SAMPLE intake note</t>
        </is>
      </c>
      <c r="U3" t="inlineStr">
        <is>
          <t>website</t>
        </is>
      </c>
    </row>
    <row r="4">
      <c r="A4" t="inlineStr">
        <is>
          <t>2026-11-27T10:05:00-05:00</t>
        </is>
      </c>
      <c r="B4" t="inlineStr">
        <is>
          <t>office-1.0</t>
        </is>
      </c>
      <c r="C4" t="inlineStr">
        <is>
          <t>SAMPLE Studio Marlow</t>
        </is>
      </c>
      <c r="D4" t="inlineStr">
        <is>
          <t>SAMPLE Owner 005</t>
        </is>
      </c>
      <c r="E4" t="inlineStr">
        <is>
          <t>SAMPLE Office Manager</t>
        </is>
      </c>
      <c r="F4" t="inlineStr">
        <is>
          <t>SAMPLE-owner-005@example.com</t>
        </is>
      </c>
      <c r="G4" t="inlineStr">
        <is>
          <t>SAMPLE (212) 555-0105</t>
        </is>
      </c>
      <c r="H4" t="inlineStr">
        <is>
          <t>SAMPLE 150 Example Avenue</t>
        </is>
      </c>
      <c r="I4" t="inlineStr">
        <is>
          <t>SAMPLE Floor 7</t>
        </is>
      </c>
      <c r="J4" t="n">
        <v>190</v>
      </c>
      <c r="K4" t="inlineStr">
        <is>
          <t>SAMPLE Owner 005</t>
        </is>
      </c>
      <c r="L4" t="inlineStr">
        <is>
          <t>SAMPLE Office Manager</t>
        </is>
      </c>
      <c r="M4" t="inlineStr">
        <is>
          <t>Y</t>
        </is>
      </c>
      <c r="N4" t="inlineStr">
        <is>
          <t>front desk</t>
        </is>
      </c>
      <c r="O4" t="inlineStr">
        <is>
          <t>10 am to noon</t>
        </is>
      </c>
      <c r="P4" t="inlineStr">
        <is>
          <t>yes</t>
        </is>
      </c>
      <c r="Q4" t="inlineStr">
        <is>
          <t>slack</t>
        </is>
      </c>
      <c r="R4" t="inlineStr">
        <is>
          <t>chips-crisps;cookies-baked;sparkling-soda;coffee-rtd;bars;fruit-snacks</t>
        </is>
      </c>
      <c r="T4" t="inlineStr">
        <is>
          <t>SAMPLE intake note</t>
        </is>
      </c>
      <c r="U4" t="inlineStr">
        <is>
          <t>website</t>
        </is>
      </c>
    </row>
    <row r="5">
      <c r="A5" t="inlineStr">
        <is>
          <t>2026-12-30T10:06:00-05:00</t>
        </is>
      </c>
      <c r="B5" t="inlineStr">
        <is>
          <t>office-1.0</t>
        </is>
      </c>
      <c r="C5" t="inlineStr">
        <is>
          <t>SAMPLE Kestrel Analytics</t>
        </is>
      </c>
      <c r="D5" t="inlineStr">
        <is>
          <t>SAMPLE Owner 006</t>
        </is>
      </c>
      <c r="E5" t="inlineStr">
        <is>
          <t>SAMPLE Office Manager</t>
        </is>
      </c>
      <c r="F5" t="inlineStr">
        <is>
          <t>SAMPLE-owner-006@example.com</t>
        </is>
      </c>
      <c r="G5" t="inlineStr">
        <is>
          <t>SAMPLE (212) 555-0106</t>
        </is>
      </c>
      <c r="H5" t="inlineStr">
        <is>
          <t>SAMPLE 160 Example Avenue</t>
        </is>
      </c>
      <c r="I5" t="inlineStr">
        <is>
          <t>SAMPLE Floor 8</t>
        </is>
      </c>
      <c r="J5" t="n">
        <v>65</v>
      </c>
      <c r="K5" t="inlineStr">
        <is>
          <t>SAMPLE Owner 006</t>
        </is>
      </c>
      <c r="L5" t="inlineStr">
        <is>
          <t>SAMPLE Office Manager</t>
        </is>
      </c>
      <c r="M5" t="inlineStr">
        <is>
          <t>Y</t>
        </is>
      </c>
      <c r="N5" t="inlineStr">
        <is>
          <t>walk-up</t>
        </is>
      </c>
      <c r="O5" t="inlineStr">
        <is>
          <t>8 to 10 am</t>
        </is>
      </c>
      <c r="P5" t="inlineStr">
        <is>
          <t>no</t>
        </is>
      </c>
      <c r="Q5" t="inlineStr">
        <is>
          <t>slack</t>
        </is>
      </c>
      <c r="R5" t="inlineStr">
        <is>
          <t>chips-crisps;bars;fruit-snacks;sparkling-soda</t>
        </is>
      </c>
      <c r="T5" t="inlineStr">
        <is>
          <t>SAMPLE intake note</t>
        </is>
      </c>
      <c r="U5" t="inlineStr">
        <is>
          <t>website</t>
        </is>
      </c>
    </row>
    <row r="6">
      <c r="A6" t="inlineStr">
        <is>
          <t>2026-12-31T10:07:00-05:00</t>
        </is>
      </c>
      <c r="B6" t="inlineStr">
        <is>
          <t>office-1.0</t>
        </is>
      </c>
      <c r="C6" t="inlineStr">
        <is>
          <t>SAMPLE Brine &amp; Bell PR</t>
        </is>
      </c>
      <c r="D6" t="inlineStr">
        <is>
          <t>SAMPLE Owner 007</t>
        </is>
      </c>
      <c r="E6" t="inlineStr">
        <is>
          <t>SAMPLE Office Manager</t>
        </is>
      </c>
      <c r="F6" t="inlineStr">
        <is>
          <t>SAMPLE-owner-007@example.com</t>
        </is>
      </c>
      <c r="G6" t="inlineStr">
        <is>
          <t>SAMPLE (212) 555-0107</t>
        </is>
      </c>
      <c r="H6" t="inlineStr">
        <is>
          <t>SAMPLE 170 Example Avenue</t>
        </is>
      </c>
      <c r="I6" t="inlineStr">
        <is>
          <t>SAMPLE Floor 9</t>
        </is>
      </c>
      <c r="J6" t="n">
        <v>140</v>
      </c>
      <c r="K6" t="inlineStr">
        <is>
          <t>SAMPLE Owner 007</t>
        </is>
      </c>
      <c r="L6" t="inlineStr">
        <is>
          <t>SAMPLE Office Manager</t>
        </is>
      </c>
      <c r="M6" t="inlineStr">
        <is>
          <t>Y</t>
        </is>
      </c>
      <c r="N6" t="inlineStr">
        <is>
          <t>front desk</t>
        </is>
      </c>
      <c r="O6" t="inlineStr">
        <is>
          <t>9 to 11 am</t>
        </is>
      </c>
      <c r="P6" t="inlineStr">
        <is>
          <t>no</t>
        </is>
      </c>
      <c r="Q6" t="inlineStr">
        <is>
          <t>slack</t>
        </is>
      </c>
      <c r="R6" t="inlineStr">
        <is>
          <t>chips-crisps;bars;fruit-snacks;chocolate-candy</t>
        </is>
      </c>
      <c r="S6" t="inlineStr">
        <is>
          <t>SAMPLE no tree nuts</t>
        </is>
      </c>
      <c r="T6" t="inlineStr">
        <is>
          <t>SAMPLE intake note</t>
        </is>
      </c>
      <c r="U6" t="inlineStr">
        <is>
          <t>website</t>
        </is>
      </c>
    </row>
    <row r="7">
      <c r="A7" t="inlineStr">
        <is>
          <t>2027-01-02T10:09:00-05:00</t>
        </is>
      </c>
      <c r="B7" t="inlineStr">
        <is>
          <t>office-1.0</t>
        </is>
      </c>
      <c r="C7" t="inlineStr">
        <is>
          <t>SAMPLE Overlook Games</t>
        </is>
      </c>
      <c r="D7" t="inlineStr">
        <is>
          <t>SAMPLE Owner 009</t>
        </is>
      </c>
      <c r="E7" t="inlineStr">
        <is>
          <t>SAMPLE Office Manager</t>
        </is>
      </c>
      <c r="F7" t="inlineStr">
        <is>
          <t>SAMPLE-owner-009@example.com</t>
        </is>
      </c>
      <c r="G7" t="inlineStr">
        <is>
          <t>SAMPLE (212) 555-0109</t>
        </is>
      </c>
      <c r="H7" t="inlineStr">
        <is>
          <t>SAMPLE 190 Example Avenue</t>
        </is>
      </c>
      <c r="I7" t="inlineStr">
        <is>
          <t>SAMPLE Floor 2</t>
        </is>
      </c>
      <c r="J7" t="n">
        <v>220</v>
      </c>
      <c r="K7" t="inlineStr">
        <is>
          <t>SAMPLE Owner 009</t>
        </is>
      </c>
      <c r="L7" t="inlineStr">
        <is>
          <t>SAMPLE Office Manager</t>
        </is>
      </c>
      <c r="M7" t="inlineStr">
        <is>
          <t>Y</t>
        </is>
      </c>
      <c r="N7" t="inlineStr">
        <is>
          <t>front desk</t>
        </is>
      </c>
      <c r="O7" t="inlineStr">
        <is>
          <t>10 am to noon</t>
        </is>
      </c>
      <c r="P7" t="inlineStr">
        <is>
          <t>no</t>
        </is>
      </c>
      <c r="Q7" t="inlineStr">
        <is>
          <t>slack</t>
        </is>
      </c>
      <c r="R7" t="inlineStr">
        <is>
          <t>chips-crisps;bars;fruit-snacks;sparkling-soda;popcorn-puffs</t>
        </is>
      </c>
      <c r="T7" t="inlineStr">
        <is>
          <t>SAMPLE intake note</t>
        </is>
      </c>
      <c r="U7" t="inlineStr">
        <is>
          <t>website</t>
        </is>
      </c>
    </row>
  </sheetData>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tabColor rgb="00FFF9E5"/>
    <outlinePr summaryBelow="1" summaryRight="1"/>
    <pageSetUpPr/>
  </sheetPr>
  <dimension ref="A1:AA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s>
  <sheetData>
    <row r="1">
      <c r="A1" s="34" t="inlineStr">
        <is>
          <t>submitted_at</t>
        </is>
      </c>
      <c r="B1" s="34" t="inlineStr">
        <is>
          <t>form_version</t>
        </is>
      </c>
      <c r="C1" s="34" t="inlineStr">
        <is>
          <t>brand_name</t>
        </is>
      </c>
      <c r="D1" s="34" t="inlineStr">
        <is>
          <t>website</t>
        </is>
      </c>
      <c r="E1" s="34" t="inlineStr">
        <is>
          <t>contact_name</t>
        </is>
      </c>
      <c r="F1" s="34" t="inlineStr">
        <is>
          <t>contact_title</t>
        </is>
      </c>
      <c r="G1" s="34" t="inlineStr">
        <is>
          <t>contact_email</t>
        </is>
      </c>
      <c r="H1" s="34" t="inlineStr">
        <is>
          <t>contact_phone</t>
        </is>
      </c>
      <c r="I1" s="34" t="inlineStr">
        <is>
          <t>product_sku</t>
        </is>
      </c>
      <c r="J1" s="34" t="inlineStr">
        <is>
          <t>category</t>
        </is>
      </c>
      <c r="K1" s="34" t="inlineStr">
        <is>
          <t>hq_city</t>
        </is>
      </c>
      <c r="L1" s="34" t="inlineStr">
        <is>
          <t>nyc_retailers</t>
        </is>
      </c>
      <c r="M1" s="34" t="inlineStr">
        <is>
          <t>online_store_url</t>
        </is>
      </c>
      <c r="N1" s="34" t="inlineStr">
        <is>
          <t>can_issue_discount_code</t>
        </is>
      </c>
      <c r="O1" s="34" t="inlineStr">
        <is>
          <t>preferred_timing</t>
        </is>
      </c>
      <c r="P1" s="34" t="inlineStr">
        <is>
          <t>budget_approver_is_contact</t>
        </is>
      </c>
      <c r="Q1" s="34" t="inlineStr">
        <is>
          <t>budget_approver_name_title</t>
        </is>
      </c>
      <c r="R1" s="34" t="inlineStr">
        <is>
          <t>q1_sealed_shelf_stable_60d</t>
        </is>
      </c>
      <c r="S1" s="34" t="inlineStr">
        <is>
          <t>q2_labeled_ingredients_allergens</t>
        </is>
      </c>
      <c r="T1" s="34" t="inlineStr">
        <is>
          <t>q3_buy_path_near_cluster</t>
        </is>
      </c>
      <c r="U1" s="34" t="inlineStr">
        <is>
          <t>q4_can_ship_275_in_10bd</t>
        </is>
      </c>
      <c r="V1" s="34" t="inlineStr">
        <is>
          <t>q5_product_liability_insurance</t>
        </is>
      </c>
      <c r="W1" s="34" t="inlineStr">
        <is>
          <t>q6_contact_can_approve_600</t>
        </is>
      </c>
      <c r="X1" s="34" t="inlineStr">
        <is>
          <t>q7_why_now</t>
        </is>
      </c>
      <c r="Y1" s="34" t="inlineStr">
        <is>
          <t>excluded_category_confirmed</t>
        </is>
      </c>
      <c r="Z1" s="34" t="inlineStr">
        <is>
          <t>notes</t>
        </is>
      </c>
      <c r="AA1" s="34" t="inlineStr">
        <is>
          <t>source</t>
        </is>
      </c>
    </row>
    <row r="2">
      <c r="A2" t="inlineStr">
        <is>
          <t>2026-11-10T09:14:08-05:00</t>
        </is>
      </c>
      <c r="B2" t="inlineStr">
        <is>
          <t>brand-1.0</t>
        </is>
      </c>
      <c r="C2" t="inlineStr">
        <is>
          <t>SAMPLE Brightside</t>
        </is>
      </c>
      <c r="D2" t="inlineStr">
        <is>
          <t>https://example.com/brightside</t>
        </is>
      </c>
      <c r="E2" t="inlineStr">
        <is>
          <t>SAMPLE Founder of Brightside</t>
        </is>
      </c>
      <c r="F2" t="inlineStr">
        <is>
          <t>SAMPLE Co-founder</t>
        </is>
      </c>
      <c r="G2" t="inlineStr">
        <is>
          <t>SAMPLE-001@example.com</t>
        </is>
      </c>
      <c r="H2" t="inlineStr">
        <is>
          <t>SAMPLE (718) 555-0101</t>
        </is>
      </c>
      <c r="I2" t="inlineStr">
        <is>
          <t>SAMPLE Sea Salt Lentil Crisps, 1 oz bags</t>
        </is>
      </c>
      <c r="J2" t="inlineStr">
        <is>
          <t>chips-crisps</t>
        </is>
      </c>
      <c r="K2" t="inlineStr">
        <is>
          <t>SAMPLE Queens, NY</t>
        </is>
      </c>
      <c r="L2" t="inlineStr">
        <is>
          <t>SAMPLE Example Market, 1 Example Street</t>
        </is>
      </c>
      <c r="M2" t="inlineStr">
        <is>
          <t>https://example.com/brightside/shop</t>
        </is>
      </c>
      <c r="N2" t="inlineStr">
        <is>
          <t>Y</t>
        </is>
      </c>
      <c r="O2" t="inlineStr">
        <is>
          <t>Next available drop</t>
        </is>
      </c>
      <c r="P2" t="inlineStr">
        <is>
          <t>Y</t>
        </is>
      </c>
      <c r="Q2" t="inlineStr">
        <is>
          <t>SAMPLE Founder of Brightside, SAMPLE Co-founder</t>
        </is>
      </c>
      <c r="R2" t="inlineStr">
        <is>
          <t>Y</t>
        </is>
      </c>
      <c r="S2" t="inlineStr">
        <is>
          <t>Y</t>
        </is>
      </c>
      <c r="T2" t="inlineStr">
        <is>
          <t>Y</t>
        </is>
      </c>
      <c r="U2" t="inlineStr">
        <is>
          <t>Y</t>
        </is>
      </c>
      <c r="V2" t="inlineStr">
        <is>
          <t>Y</t>
        </is>
      </c>
      <c r="W2" t="inlineStr">
        <is>
          <t>Y</t>
        </is>
      </c>
      <c r="X2" t="inlineStr">
        <is>
          <t>SAMPLE new placement at a store near the cluster</t>
        </is>
      </c>
      <c r="Y2" t="inlineStr">
        <is>
          <t>Y</t>
        </is>
      </c>
      <c r="AA2" t="inlineStr">
        <is>
          <t>website</t>
        </is>
      </c>
    </row>
    <row r="3">
      <c r="A3" t="inlineStr">
        <is>
          <t>2026-12-15T11:30:00-05:00</t>
        </is>
      </c>
      <c r="B3" t="inlineStr">
        <is>
          <t>brand-2.0</t>
        </is>
      </c>
      <c r="C3" t="inlineStr">
        <is>
          <t>SAMPLE Tallgrass</t>
        </is>
      </c>
      <c r="D3" t="inlineStr">
        <is>
          <t>https://example.com/tallgrass</t>
        </is>
      </c>
      <c r="E3" t="inlineStr">
        <is>
          <t>SAMPLE Founder of Tallgrass</t>
        </is>
      </c>
      <c r="F3" t="inlineStr">
        <is>
          <t>SAMPLE Co-founder</t>
        </is>
      </c>
      <c r="G3" t="inlineStr">
        <is>
          <t>SAMPLE-003@example.com</t>
        </is>
      </c>
      <c r="H3" t="inlineStr">
        <is>
          <t>SAMPLE (718) 555-0103</t>
        </is>
      </c>
      <c r="I3" t="inlineStr">
        <is>
          <t>SAMPLE Oat &amp; Date Bars, 1.4 oz</t>
        </is>
      </c>
      <c r="J3" t="inlineStr">
        <is>
          <t>bars</t>
        </is>
      </c>
      <c r="K3" t="inlineStr">
        <is>
          <t>SAMPLE Jersey City, NJ</t>
        </is>
      </c>
      <c r="L3" t="inlineStr">
        <is>
          <t>SAMPLE Example Market, 1 Example Street</t>
        </is>
      </c>
      <c r="M3" t="inlineStr">
        <is>
          <t>https://example.com/tallgrass/shop</t>
        </is>
      </c>
      <c r="N3" t="inlineStr">
        <is>
          <t>Y</t>
        </is>
      </c>
      <c r="O3" t="inlineStr">
        <is>
          <t>Next available drop</t>
        </is>
      </c>
      <c r="P3" t="inlineStr">
        <is>
          <t>Y</t>
        </is>
      </c>
      <c r="Q3" t="inlineStr">
        <is>
          <t>SAMPLE Founder of Tallgrass, SAMPLE Co-founder</t>
        </is>
      </c>
      <c r="R3" t="inlineStr">
        <is>
          <t>Y</t>
        </is>
      </c>
      <c r="S3" t="inlineStr">
        <is>
          <t>Y</t>
        </is>
      </c>
      <c r="T3" t="inlineStr">
        <is>
          <t>Y</t>
        </is>
      </c>
      <c r="U3" t="inlineStr">
        <is>
          <t>Y</t>
        </is>
      </c>
      <c r="V3" t="inlineStr">
        <is>
          <t>Y</t>
        </is>
      </c>
      <c r="W3" t="inlineStr">
        <is>
          <t>Y</t>
        </is>
      </c>
      <c r="X3" t="inlineStr">
        <is>
          <t>SAMPLE new placement at a store near the cluster</t>
        </is>
      </c>
      <c r="Y3" t="inlineStr">
        <is>
          <t>Y</t>
        </is>
      </c>
      <c r="AA3" t="inlineStr">
        <is>
          <t>website</t>
        </is>
      </c>
    </row>
    <row r="4">
      <c r="A4" t="inlineStr">
        <is>
          <t>2026-12-21T16:45:00-05:00</t>
        </is>
      </c>
      <c r="B4" t="inlineStr">
        <is>
          <t>brand-2.0</t>
        </is>
      </c>
      <c r="C4" t="inlineStr">
        <is>
          <t>SAMPLE Orchard Row</t>
        </is>
      </c>
      <c r="D4" t="inlineStr">
        <is>
          <t>https://example.com/orchardrow</t>
        </is>
      </c>
      <c r="E4" t="inlineStr">
        <is>
          <t>SAMPLE Founder of Orchard Row</t>
        </is>
      </c>
      <c r="F4" t="inlineStr">
        <is>
          <t>SAMPLE Co-founder</t>
        </is>
      </c>
      <c r="G4" t="inlineStr">
        <is>
          <t>SAMPLE-004@example.com</t>
        </is>
      </c>
      <c r="H4" t="inlineStr">
        <is>
          <t>SAMPLE (718) 555-0104</t>
        </is>
      </c>
      <c r="I4" t="inlineStr">
        <is>
          <t>SAMPLE Dried Mango Strips, 1 oz</t>
        </is>
      </c>
      <c r="J4" t="inlineStr">
        <is>
          <t>fruit-snacks</t>
        </is>
      </c>
      <c r="K4" t="inlineStr">
        <is>
          <t>SAMPLE Hudson Valley, NY</t>
        </is>
      </c>
      <c r="L4" t="inlineStr">
        <is>
          <t>SAMPLE Example Market, 1 Example Street</t>
        </is>
      </c>
      <c r="M4" t="inlineStr">
        <is>
          <t>https://example.com/orchardrow/shop</t>
        </is>
      </c>
      <c r="N4" t="inlineStr">
        <is>
          <t>Y</t>
        </is>
      </c>
      <c r="O4" t="inlineStr">
        <is>
          <t>Next available drop</t>
        </is>
      </c>
      <c r="P4" t="inlineStr">
        <is>
          <t>Y</t>
        </is>
      </c>
      <c r="Q4" t="inlineStr">
        <is>
          <t>SAMPLE Founder of Orchard Row, SAMPLE Co-founder</t>
        </is>
      </c>
      <c r="R4" t="inlineStr">
        <is>
          <t>Y</t>
        </is>
      </c>
      <c r="S4" t="inlineStr">
        <is>
          <t>Y</t>
        </is>
      </c>
      <c r="T4" t="inlineStr">
        <is>
          <t>Y</t>
        </is>
      </c>
      <c r="U4" t="inlineStr">
        <is>
          <t>Y</t>
        </is>
      </c>
      <c r="V4" t="inlineStr">
        <is>
          <t>Y</t>
        </is>
      </c>
      <c r="W4" t="inlineStr">
        <is>
          <t>Y</t>
        </is>
      </c>
      <c r="X4" t="inlineStr">
        <is>
          <t>SAMPLE new placement at a store near the cluster</t>
        </is>
      </c>
      <c r="Y4" t="inlineStr">
        <is>
          <t>Y</t>
        </is>
      </c>
      <c r="AA4" t="inlineStr">
        <is>
          <t>website</t>
        </is>
      </c>
    </row>
    <row r="5">
      <c r="A5" t="inlineStr">
        <is>
          <t>2026-12-28T10:20:00-05:00</t>
        </is>
      </c>
      <c r="B5" t="inlineStr">
        <is>
          <t>brand-2.0</t>
        </is>
      </c>
      <c r="C5" t="inlineStr">
        <is>
          <t>SAMPLE Kettle Ridge</t>
        </is>
      </c>
      <c r="D5" t="inlineStr">
        <is>
          <t>https://example.com/kettleridge</t>
        </is>
      </c>
      <c r="E5" t="inlineStr">
        <is>
          <t>SAMPLE Founder of Kettle Ridge</t>
        </is>
      </c>
      <c r="F5" t="inlineStr">
        <is>
          <t>SAMPLE Co-founder</t>
        </is>
      </c>
      <c r="G5" t="inlineStr">
        <is>
          <t>SAMPLE-005@example.com</t>
        </is>
      </c>
      <c r="H5" t="inlineStr">
        <is>
          <t>SAMPLE (718) 555-0105</t>
        </is>
      </c>
      <c r="I5" t="inlineStr">
        <is>
          <t>SAMPLE Kettle Chips, Sea Salt, 1 oz bags</t>
        </is>
      </c>
      <c r="J5" t="inlineStr">
        <is>
          <t>chips-crisps</t>
        </is>
      </c>
      <c r="K5" t="inlineStr">
        <is>
          <t>SAMPLE Albany, NY</t>
        </is>
      </c>
      <c r="L5" t="inlineStr">
        <is>
          <t>SAMPLE Example Market, 1 Example Street</t>
        </is>
      </c>
      <c r="M5" t="inlineStr">
        <is>
          <t>https://example.com/kettleridge/shop</t>
        </is>
      </c>
      <c r="N5" t="inlineStr">
        <is>
          <t>Y</t>
        </is>
      </c>
      <c r="O5" t="inlineStr">
        <is>
          <t>Next available drop</t>
        </is>
      </c>
      <c r="P5" t="inlineStr">
        <is>
          <t>Y</t>
        </is>
      </c>
      <c r="Q5" t="inlineStr">
        <is>
          <t>SAMPLE Founder of Kettle Ridge, SAMPLE Co-founder</t>
        </is>
      </c>
      <c r="R5" t="inlineStr">
        <is>
          <t>Y</t>
        </is>
      </c>
      <c r="S5" t="inlineStr">
        <is>
          <t>Y</t>
        </is>
      </c>
      <c r="T5" t="inlineStr">
        <is>
          <t>Y</t>
        </is>
      </c>
      <c r="U5" t="inlineStr">
        <is>
          <t>Y</t>
        </is>
      </c>
      <c r="V5" t="inlineStr">
        <is>
          <t>Y</t>
        </is>
      </c>
      <c r="W5" t="inlineStr">
        <is>
          <t>Y</t>
        </is>
      </c>
      <c r="X5" t="inlineStr">
        <is>
          <t>SAMPLE new placement at a store near the cluster</t>
        </is>
      </c>
      <c r="Y5" t="inlineStr">
        <is>
          <t>Y</t>
        </is>
      </c>
      <c r="AA5" t="inlineStr">
        <is>
          <t>website</t>
        </is>
      </c>
    </row>
  </sheetData>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tabColor rgb="00FFF9E5"/>
    <outlinePr summaryBelow="1" summaryRight="1"/>
    <pageSetUpPr/>
  </sheetPr>
  <dimension ref="A1:U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70" customWidth="1" min="21" max="21"/>
  </cols>
  <sheetData>
    <row r="1">
      <c r="A1" s="35" t="inlineStr">
        <is>
          <t>Timestamp</t>
        </is>
      </c>
      <c r="B1" s="35" t="inlineStr">
        <is>
          <t>Company</t>
        </is>
      </c>
      <c r="C1" s="35" t="inlineStr">
        <is>
          <t>Your name</t>
        </is>
      </c>
      <c r="D1" s="35" t="inlineStr">
        <is>
          <t>Your title (optional)</t>
        </is>
      </c>
      <c r="E1" s="35" t="inlineStr">
        <is>
          <t>Work email</t>
        </is>
      </c>
      <c r="F1" s="35" t="inlineStr">
        <is>
          <t>Work phone (optional)</t>
        </is>
      </c>
      <c r="G1" s="35" t="inlineStr">
        <is>
          <t>Office street address</t>
        </is>
      </c>
      <c r="H1" s="35" t="inlineStr">
        <is>
          <t>Floor or suite (optional)</t>
        </is>
      </c>
      <c r="I1" s="35" t="inlineStr">
        <is>
          <t>People in the office on a typical Tuesday</t>
        </is>
      </c>
      <c r="J1" s="35" t="inlineStr">
        <is>
          <t>Are you the pantry owner?</t>
        </is>
      </c>
      <c r="K1" s="35" t="inlineStr">
        <is>
          <t>Pantry owner's name (only if someone else)</t>
        </is>
      </c>
      <c r="L1" s="35" t="inlineStr">
        <is>
          <t>Pantry owner's title (optional)</t>
        </is>
      </c>
      <c r="M1" s="35" t="inlineStr">
        <is>
          <t>How do deliveries reach your office?</t>
        </is>
      </c>
      <c r="N1" s="35" t="inlineStr">
        <is>
          <t>Best time to receive, on a Tuesday or Wednesday morning</t>
        </is>
      </c>
      <c r="O1" s="35" t="inlineStr">
        <is>
          <t>Does your building ask for a certificate of insurance before a delivery?</t>
        </is>
      </c>
      <c r="P1" s="35" t="inlineStr">
        <is>
          <t>Where would you post the three-question survey link?</t>
        </is>
      </c>
      <c r="Q1" s="35" t="inlineStr">
        <is>
          <t>Which categories do you want?</t>
        </is>
      </c>
      <c r="R1" s="35" t="inlineStr">
        <is>
          <t>Anything you never want? (optional)</t>
        </is>
      </c>
      <c r="S1" s="35" t="inlineStr">
        <is>
          <t>Anything else? (optional)</t>
        </is>
      </c>
      <c r="U1" s="16" t="inlineStr">
        <is>
          <t>Template of the founder-side office form's response tab. When you link the Google Form to this file, Google adds a new tab: delete this one and rename the new tab office_form (forms/office-intake-form.md).</t>
        </is>
      </c>
    </row>
    <row r="2">
      <c r="A2" s="37" t="n">
        <v>46338.58472222222</v>
      </c>
      <c r="B2" t="inlineStr">
        <is>
          <t>SAMPLE Ferro Architecture</t>
        </is>
      </c>
      <c r="C2" t="inlineStr">
        <is>
          <t>SAMPLE Owner 002</t>
        </is>
      </c>
      <c r="D2" t="inlineStr">
        <is>
          <t>SAMPLE Office Manager</t>
        </is>
      </c>
      <c r="E2" t="inlineStr">
        <is>
          <t>SAMPLE-owner-002@example.com</t>
        </is>
      </c>
      <c r="F2" t="inlineStr">
        <is>
          <t>SAMPLE (212) 555-0102</t>
        </is>
      </c>
      <c r="G2" t="inlineStr">
        <is>
          <t>SAMPLE 120 Example Avenue</t>
        </is>
      </c>
      <c r="H2" t="inlineStr">
        <is>
          <t>SAMPLE Floor 4</t>
        </is>
      </c>
      <c r="I2" t="n">
        <v>48</v>
      </c>
      <c r="J2" t="inlineStr">
        <is>
          <t>Yes, me</t>
        </is>
      </c>
      <c r="M2" t="inlineStr">
        <is>
          <t>Front desk</t>
        </is>
      </c>
      <c r="N2" t="inlineStr">
        <is>
          <t>9 to 11 am</t>
        </is>
      </c>
      <c r="O2" t="inlineStr">
        <is>
          <t>No</t>
        </is>
      </c>
      <c r="P2" t="inlineStr">
        <is>
          <t>Email</t>
        </is>
      </c>
      <c r="Q2" t="inlineStr">
        <is>
          <t>Chips and crisps, Crackers and pretzels, Sparkling water and soda, Bars</t>
        </is>
      </c>
      <c r="R2" t="inlineStr"/>
      <c r="S2" t="inlineStr">
        <is>
          <t>SAMPLE intake note</t>
        </is>
      </c>
    </row>
    <row r="3">
      <c r="A3" s="37" t="n">
        <v>46351.58611111111</v>
      </c>
      <c r="B3" t="inlineStr">
        <is>
          <t>SAMPLE Union Food Fund</t>
        </is>
      </c>
      <c r="C3" t="inlineStr">
        <is>
          <t>SAMPLE Owner 004</t>
        </is>
      </c>
      <c r="D3" t="inlineStr">
        <is>
          <t>SAMPLE Office Manager</t>
        </is>
      </c>
      <c r="E3" t="inlineStr">
        <is>
          <t>SAMPLE-owner-004@example.com</t>
        </is>
      </c>
      <c r="F3" t="inlineStr">
        <is>
          <t>SAMPLE (212) 555-0104</t>
        </is>
      </c>
      <c r="G3" t="inlineStr">
        <is>
          <t>SAMPLE 140 Example Avenue</t>
        </is>
      </c>
      <c r="H3" t="inlineStr">
        <is>
          <t>SAMPLE Floor 6</t>
        </is>
      </c>
      <c r="I3" t="n">
        <v>110</v>
      </c>
      <c r="J3" t="inlineStr">
        <is>
          <t>Yes, me</t>
        </is>
      </c>
      <c r="M3" t="inlineStr">
        <is>
          <t>Loading dock</t>
        </is>
      </c>
      <c r="N3" t="inlineStr">
        <is>
          <t>10 am to noon</t>
        </is>
      </c>
      <c r="O3" t="inlineStr">
        <is>
          <t>No</t>
        </is>
      </c>
      <c r="P3" t="inlineStr">
        <is>
          <t>Email</t>
        </is>
      </c>
      <c r="Q3" t="inlineStr">
        <is>
          <t>Chips and crisps, Sparkling water and soda, Bars, Dried fruit and fruit snacks</t>
        </is>
      </c>
      <c r="R3" t="inlineStr"/>
      <c r="S3" t="inlineStr">
        <is>
          <t>SAMPLE intake note</t>
        </is>
      </c>
    </row>
    <row r="4">
      <c r="A4" s="37" t="n">
        <v>46388.58888888889</v>
      </c>
      <c r="B4" t="inlineStr">
        <is>
          <t>SAMPLE Larch Legal</t>
        </is>
      </c>
      <c r="C4" t="inlineStr">
        <is>
          <t>SAMPLE Owner 008</t>
        </is>
      </c>
      <c r="D4" t="inlineStr">
        <is>
          <t>SAMPLE Office Manager</t>
        </is>
      </c>
      <c r="E4" t="inlineStr">
        <is>
          <t>SAMPLE-owner-008@example.com</t>
        </is>
      </c>
      <c r="F4" t="inlineStr">
        <is>
          <t>SAMPLE (212) 555-0108</t>
        </is>
      </c>
      <c r="G4" t="inlineStr">
        <is>
          <t>SAMPLE 180 Example Avenue</t>
        </is>
      </c>
      <c r="H4" t="inlineStr">
        <is>
          <t>SAMPLE Floor 10</t>
        </is>
      </c>
      <c r="I4" t="n">
        <v>80</v>
      </c>
      <c r="J4" t="inlineStr">
        <is>
          <t>Yes, me</t>
        </is>
      </c>
      <c r="M4" t="inlineStr">
        <is>
          <t>Front desk</t>
        </is>
      </c>
      <c r="N4" t="inlineStr">
        <is>
          <t>9 to 11 am</t>
        </is>
      </c>
      <c r="O4" t="inlineStr">
        <is>
          <t>Yes</t>
        </is>
      </c>
      <c r="P4" t="inlineStr">
        <is>
          <t>Email</t>
        </is>
      </c>
      <c r="Q4" t="inlineStr">
        <is>
          <t>Chips and crisps, Bars, Dried fruit and fruit snacks, Nuts, seeds and trail mix</t>
        </is>
      </c>
      <c r="R4" t="inlineStr"/>
      <c r="S4" t="inlineStr">
        <is>
          <t>SAMPLE intake note</t>
        </is>
      </c>
    </row>
    <row r="5">
      <c r="A5" s="37" t="n">
        <v>46394.59027777778</v>
      </c>
      <c r="B5" t="inlineStr">
        <is>
          <t>SAMPLE Quill Nonprofit Press</t>
        </is>
      </c>
      <c r="C5" t="inlineStr">
        <is>
          <t>SAMPLE Owner 010</t>
        </is>
      </c>
      <c r="D5" t="inlineStr">
        <is>
          <t>SAMPLE Office Manager</t>
        </is>
      </c>
      <c r="E5" t="inlineStr">
        <is>
          <t>SAMPLE-owner-010@example.com</t>
        </is>
      </c>
      <c r="F5" t="inlineStr">
        <is>
          <t>SAMPLE (212) 555-0110</t>
        </is>
      </c>
      <c r="G5" t="inlineStr">
        <is>
          <t>SAMPLE 200 Example Avenue</t>
        </is>
      </c>
      <c r="H5" t="inlineStr">
        <is>
          <t>SAMPLE Floor 3</t>
        </is>
      </c>
      <c r="I5" t="n">
        <v>45</v>
      </c>
      <c r="J5" t="inlineStr">
        <is>
          <t>Yes, me</t>
        </is>
      </c>
      <c r="M5" t="inlineStr">
        <is>
          <t>Walk-up, straight to us</t>
        </is>
      </c>
      <c r="N5" t="inlineStr">
        <is>
          <t>8 to 10 am</t>
        </is>
      </c>
      <c r="O5" t="inlineStr">
        <is>
          <t>No</t>
        </is>
      </c>
      <c r="P5" t="inlineStr">
        <is>
          <t>Email</t>
        </is>
      </c>
      <c r="Q5" t="inlineStr">
        <is>
          <t>Chips and crisps, Bars, Dried fruit and fruit snacks, Tea, juice and other non-carbonated drinks</t>
        </is>
      </c>
      <c r="R5" t="inlineStr"/>
      <c r="S5" t="inlineStr">
        <is>
          <t>SAMPLE intake note</t>
        </is>
      </c>
    </row>
  </sheetData>
  <pageMargins left="0.75" right="0.75" top="1" bottom="1" header="0.5" footer="0.5"/>
</worksheet>
</file>

<file path=xl/worksheets/sheet26.xml><?xml version="1.0" encoding="utf-8"?>
<worksheet xmlns="http://schemas.openxmlformats.org/spreadsheetml/2006/main">
  <sheetPr>
    <tabColor rgb="00FFF9E5"/>
    <outlinePr summaryBelow="1" summaryRight="1"/>
    <pageSetUpPr/>
  </sheetPr>
  <dimension ref="A1:AA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70" customWidth="1" min="27" max="27"/>
  </cols>
  <sheetData>
    <row r="1">
      <c r="A1" s="35" t="inlineStr">
        <is>
          <t>Timestamp</t>
        </is>
      </c>
      <c r="B1" s="35" t="inlineStr">
        <is>
          <t>Brand name</t>
        </is>
      </c>
      <c r="C1" s="35" t="inlineStr">
        <is>
          <t>Brand website</t>
        </is>
      </c>
      <c r="D1" s="35" t="inlineStr">
        <is>
          <t>Product for the campaign</t>
        </is>
      </c>
      <c r="E1" s="35" t="inlineStr">
        <is>
          <t>Category</t>
        </is>
      </c>
      <c r="F1" s="35" t="inlineStr">
        <is>
          <t>Where is the brand based?</t>
        </is>
      </c>
      <c r="G1" s="35" t="inlineStr">
        <is>
          <t>Your name</t>
        </is>
      </c>
      <c r="H1" s="35" t="inlineStr">
        <is>
          <t>Your title</t>
        </is>
      </c>
      <c r="I1" s="35" t="inlineStr">
        <is>
          <t>Work email</t>
        </is>
      </c>
      <c r="J1" s="35" t="inlineStr">
        <is>
          <t>Work phone (optional)</t>
        </is>
      </c>
      <c r="K1" s="35" t="inlineStr">
        <is>
          <t>Who signs off on the budget?</t>
        </is>
      </c>
      <c r="L1" s="35" t="inlineStr">
        <is>
          <t>Their name and title (only if someone else)</t>
        </is>
      </c>
      <c r="M1" s="35" t="inlineStr">
        <is>
          <t>New York stores that carry you (optional)</t>
        </is>
      </c>
      <c r="N1" s="35" t="inlineStr">
        <is>
          <t>Online store (optional)</t>
        </is>
      </c>
      <c r="O1" s="35" t="inlineStr">
        <is>
          <t>Can you issue a discount code for the campaign?</t>
        </is>
      </c>
      <c r="P1" s="35" t="inlineStr">
        <is>
          <t>When would you want a campaign?</t>
        </is>
      </c>
      <c r="Q1" s="35" t="inlineStr">
        <is>
          <t>1. Individually packaged, sealed and shelf-stable, with 60 or more days of shelf life left at delivery?</t>
        </is>
      </c>
      <c r="R1" s="35" t="inlineStr">
        <is>
          <t>2. Labeled with ingredients and the nine major allergens?</t>
        </is>
      </c>
      <c r="S1" s="35" t="inlineStr">
        <is>
          <t>3. Sold in a store inside or within ten blocks of the cluster, or online with a discount code?</t>
        </is>
      </c>
      <c r="T1" s="35" t="inlineStr">
        <is>
          <t>4. Able to ship 275 units to one Manhattan address within ten business days?</t>
        </is>
      </c>
      <c r="U1" s="35" t="inlineStr">
        <is>
          <t>5. Covered by product liability insurance?</t>
        </is>
      </c>
      <c r="V1" s="35" t="inlineStr">
        <is>
          <t>6. Can you approve $600 on your own, without a committee?</t>
        </is>
      </c>
      <c r="W1" s="35" t="inlineStr">
        <is>
          <t>7. Why New York, and why now?</t>
        </is>
      </c>
      <c r="X1" s="35" t="inlineStr">
        <is>
          <t>Not an excluded product</t>
        </is>
      </c>
      <c r="Y1" s="35" t="inlineStr">
        <is>
          <t>Notes (optional)</t>
        </is>
      </c>
      <c r="AA1" s="16" t="inlineStr">
        <is>
          <t>Template of the founder-side brand form's response tab. When you link the Google Form, delete this tab and rename Google's new tab brand_form.</t>
        </is>
      </c>
    </row>
    <row r="2">
      <c r="A2" s="37" t="n">
        <v>46345.58680555555</v>
      </c>
      <c r="B2" t="inlineStr">
        <is>
          <t>SAMPLE Northbound</t>
        </is>
      </c>
      <c r="C2" t="inlineStr">
        <is>
          <t>example.com/northbound</t>
        </is>
      </c>
      <c r="D2" t="inlineStr">
        <is>
          <t>SAMPLE Grapefruit Sparkling Water, 12 oz cans</t>
        </is>
      </c>
      <c r="E2" t="inlineStr">
        <is>
          <t>Sparkling water and soda</t>
        </is>
      </c>
      <c r="F2" t="inlineStr">
        <is>
          <t>SAMPLE Brooklyn, NY</t>
        </is>
      </c>
      <c r="G2" t="inlineStr">
        <is>
          <t>SAMPLE Founder of Northbound</t>
        </is>
      </c>
      <c r="H2" t="inlineStr">
        <is>
          <t>SAMPLE Co-founder</t>
        </is>
      </c>
      <c r="I2" t="inlineStr">
        <is>
          <t>SAMPLE-002@example.com</t>
        </is>
      </c>
      <c r="J2" t="inlineStr">
        <is>
          <t>SAMPLE (718) 555-0102</t>
        </is>
      </c>
      <c r="K2" t="inlineStr">
        <is>
          <t>I do</t>
        </is>
      </c>
      <c r="L2" t="inlineStr"/>
      <c r="M2" t="inlineStr">
        <is>
          <t>SAMPLE Example Market, 1 Example Street</t>
        </is>
      </c>
      <c r="N2" t="inlineStr">
        <is>
          <t>https://example.com/northbound/shop</t>
        </is>
      </c>
      <c r="O2" t="inlineStr">
        <is>
          <t>Yes</t>
        </is>
      </c>
      <c r="P2" t="inlineStr">
        <is>
          <t>Next available drop</t>
        </is>
      </c>
      <c r="Q2" t="inlineStr">
        <is>
          <t>Yes</t>
        </is>
      </c>
      <c r="R2" t="inlineStr">
        <is>
          <t>Yes</t>
        </is>
      </c>
      <c r="S2" t="inlineStr">
        <is>
          <t>Yes</t>
        </is>
      </c>
      <c r="T2" t="inlineStr">
        <is>
          <t>Yes</t>
        </is>
      </c>
      <c r="U2" t="inlineStr">
        <is>
          <t>Yes</t>
        </is>
      </c>
      <c r="V2" t="inlineStr">
        <is>
          <t>Yes</t>
        </is>
      </c>
      <c r="W2" t="inlineStr">
        <is>
          <t>SAMPLE new placement at a store near the cluster</t>
        </is>
      </c>
      <c r="X2" t="inlineStr">
        <is>
          <t>My product is none of these: alcohol; cannabis, CBD or THC; a dietary supplement; refrigerated or perishable; needs preparation; makes health claims.</t>
        </is>
      </c>
      <c r="Y2" t="inlineStr"/>
    </row>
  </sheetData>
  <pageMargins left="0.75" right="0.75" top="1" bottom="1" header="0.5" footer="0.5"/>
</worksheet>
</file>

<file path=xl/worksheets/sheet27.xml><?xml version="1.0" encoding="utf-8"?>
<worksheet xmlns="http://schemas.openxmlformats.org/spreadsheetml/2006/main">
  <sheetPr>
    <tabColor rgb="00EDEDED"/>
    <outlinePr summaryBelow="1" summaryRight="1"/>
    <pageSetUpPr/>
  </sheetPr>
  <dimension ref="A1:U8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s="24" t="inlineStr">
        <is>
          <t>submitted_at</t>
        </is>
      </c>
      <c r="B1" s="24" t="inlineStr">
        <is>
          <t>form_version</t>
        </is>
      </c>
      <c r="C1" s="24" t="inlineStr">
        <is>
          <t>company</t>
        </is>
      </c>
      <c r="D1" s="24" t="inlineStr">
        <is>
          <t>contact_name</t>
        </is>
      </c>
      <c r="E1" s="24" t="inlineStr">
        <is>
          <t>contact_title</t>
        </is>
      </c>
      <c r="F1" s="24" t="inlineStr">
        <is>
          <t>contact_email</t>
        </is>
      </c>
      <c r="G1" s="24" t="inlineStr">
        <is>
          <t>contact_phone</t>
        </is>
      </c>
      <c r="H1" s="24" t="inlineStr">
        <is>
          <t>office_address</t>
        </is>
      </c>
      <c r="I1" s="24" t="inlineStr">
        <is>
          <t>floor_suite</t>
        </is>
      </c>
      <c r="J1" s="24" t="inlineStr">
        <is>
          <t>tuesday_headcount</t>
        </is>
      </c>
      <c r="K1" s="24" t="inlineStr">
        <is>
          <t>pantry_owner_name</t>
        </is>
      </c>
      <c r="L1" s="24" t="inlineStr">
        <is>
          <t>pantry_owner_title</t>
        </is>
      </c>
      <c r="M1" s="24" t="inlineStr">
        <is>
          <t>pantry_owner_is_contact</t>
        </is>
      </c>
      <c r="N1" s="24" t="inlineStr">
        <is>
          <t>receiving_type</t>
        </is>
      </c>
      <c r="O1" s="24" t="inlineStr">
        <is>
          <t>receiving_window</t>
        </is>
      </c>
      <c r="P1" s="24" t="inlineStr">
        <is>
          <t>coi_required</t>
        </is>
      </c>
      <c r="Q1" s="24" t="inlineStr">
        <is>
          <t>survey_channel</t>
        </is>
      </c>
      <c r="R1" s="24" t="inlineStr">
        <is>
          <t>categories_wanted</t>
        </is>
      </c>
      <c r="S1" s="24" t="inlineStr">
        <is>
          <t>vetoes</t>
        </is>
      </c>
      <c r="T1" s="24" t="inlineStr">
        <is>
          <t>notes</t>
        </is>
      </c>
      <c r="U1" s="24" t="inlineStr">
        <is>
          <t>source</t>
        </is>
      </c>
    </row>
    <row r="2">
      <c r="A2" s="25">
        <f>IF(INDIRECT("office_form!A"&amp;ROW())="","",TEXT(INDIRECT("office_form!A"&amp;ROW()),"yyyy-mm-dd""T""hh:mm:ss"))</f>
        <v/>
      </c>
      <c r="B2" s="25">
        <f>IF(INDIRECT("office_form!A"&amp;ROW())="","",config!$B$36)</f>
        <v/>
      </c>
      <c r="C2" s="25">
        <f>IF(INDIRECT("office_form!A"&amp;ROW())="","",IF(INDIRECT("office_form!B"&amp;ROW())="","",INDIRECT("office_form!B"&amp;ROW())))</f>
        <v/>
      </c>
      <c r="D2" s="25">
        <f>IF(INDIRECT("office_form!A"&amp;ROW())="","",IF(INDIRECT("office_form!C"&amp;ROW())="","",INDIRECT("office_form!C"&amp;ROW())))</f>
        <v/>
      </c>
      <c r="E2" s="25">
        <f>IF(INDIRECT("office_form!A"&amp;ROW())="","",IF(INDIRECT("office_form!D"&amp;ROW())="","",INDIRECT("office_form!D"&amp;ROW())))</f>
        <v/>
      </c>
      <c r="F2" s="25">
        <f>IF(INDIRECT("office_form!A"&amp;ROW())="","",IF(INDIRECT("office_form!E"&amp;ROW())="","",INDIRECT("office_form!E"&amp;ROW())))</f>
        <v/>
      </c>
      <c r="G2" s="25">
        <f>IF(INDIRECT("office_form!A"&amp;ROW())="","",IF(INDIRECT("office_form!F"&amp;ROW())="","",INDIRECT("office_form!F"&amp;ROW())))</f>
        <v/>
      </c>
      <c r="H2" s="25">
        <f>IF(INDIRECT("office_form!A"&amp;ROW())="","",IF(INDIRECT("office_form!G"&amp;ROW())="","",INDIRECT("office_form!G"&amp;ROW())))</f>
        <v/>
      </c>
      <c r="I2" s="25">
        <f>IF(INDIRECT("office_form!A"&amp;ROW())="","",IF(INDIRECT("office_form!H"&amp;ROW())="","",INDIRECT("office_form!H"&amp;ROW())))</f>
        <v/>
      </c>
      <c r="J2" s="25">
        <f>IF(INDIRECT("office_form!A"&amp;ROW())="","",IF(INDIRECT("office_form!I"&amp;ROW())="","",INDIRECT("office_form!I"&amp;ROW())))</f>
        <v/>
      </c>
      <c r="K2" s="25">
        <f>IF(INDIRECT("office_form!A"&amp;ROW())="","",IF($M2="Y",$D2,IF(INDIRECT("office_form!K"&amp;ROW())="","",INDIRECT("office_form!K"&amp;ROW()))))</f>
        <v/>
      </c>
      <c r="L2" s="25">
        <f>IF(INDIRECT("office_form!A"&amp;ROW())="","",IF($M2="Y",$E2,IF(INDIRECT("office_form!L"&amp;ROW())="","",INDIRECT("office_form!L"&amp;ROW()))))</f>
        <v/>
      </c>
      <c r="M2" s="25">
        <f>IF(INDIRECT("office_form!A"&amp;ROW())="","",IF(IF(INDIRECT("office_form!J"&amp;ROW())="","",INDIRECT("office_form!J"&amp;ROW()))="Yes, me","Y",IF(IF(INDIRECT("office_form!J"&amp;ROW())="","",INDIRECT("office_form!J"&amp;ROW()))="Someone else","N","")))</f>
        <v/>
      </c>
      <c r="N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 s="25">
        <f>IF(INDIRECT("office_form!A"&amp;ROW())="","",IF(INDIRECT("office_form!N"&amp;ROW())="","",INDIRECT("office_form!N"&amp;ROW())))</f>
        <v/>
      </c>
      <c r="P2" s="25">
        <f>IF(INDIRECT("office_form!A"&amp;ROW())="","",IF(IF(INDIRECT("office_form!O"&amp;ROW())="","",INDIRECT("office_form!O"&amp;ROW()))="Yes","yes",IF(IF(INDIRECT("office_form!O"&amp;ROW())="","",INDIRECT("office_form!O"&amp;ROW()))="No","no",IF(IF(INDIRECT("office_form!O"&amp;ROW())="","",INDIRECT("office_form!O"&amp;ROW()))="Not sure","unsure",""))))</f>
        <v/>
      </c>
      <c r="Q2" s="25">
        <f>IF(INDIRECT("office_form!A"&amp;ROW())="","",IF(IF(INDIRECT("office_form!P"&amp;ROW())="","",INDIRECT("office_form!P"&amp;ROW()))="Slack","slack",IF(IF(INDIRECT("office_form!P"&amp;ROW())="","",INDIRECT("office_form!P"&amp;ROW()))="Email","email",IF(IF(INDIRECT("office_form!P"&amp;ROW())="","",INDIRECT("office_form!P"&amp;ROW()))="Other","other",""))))</f>
        <v/>
      </c>
      <c r="R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 s="25">
        <f>IF(INDIRECT("office_form!A"&amp;ROW())="","",IF(INDIRECT("office_form!R"&amp;ROW())="","",INDIRECT("office_form!R"&amp;ROW())))</f>
        <v/>
      </c>
      <c r="T2" s="25">
        <f>IF(INDIRECT("office_form!A"&amp;ROW())="","",IF(INDIRECT("office_form!S"&amp;ROW())="","",INDIRECT("office_form!S"&amp;ROW())))</f>
        <v/>
      </c>
      <c r="U2" s="25">
        <f>IF(INDIRECT("office_form!A"&amp;ROW())="","","founder")</f>
        <v/>
      </c>
    </row>
    <row r="3">
      <c r="A3" s="25">
        <f>IF(INDIRECT("office_form!A"&amp;ROW())="","",TEXT(INDIRECT("office_form!A"&amp;ROW()),"yyyy-mm-dd""T""hh:mm:ss"))</f>
        <v/>
      </c>
      <c r="B3" s="25">
        <f>IF(INDIRECT("office_form!A"&amp;ROW())="","",config!$B$36)</f>
        <v/>
      </c>
      <c r="C3" s="25">
        <f>IF(INDIRECT("office_form!A"&amp;ROW())="","",IF(INDIRECT("office_form!B"&amp;ROW())="","",INDIRECT("office_form!B"&amp;ROW())))</f>
        <v/>
      </c>
      <c r="D3" s="25">
        <f>IF(INDIRECT("office_form!A"&amp;ROW())="","",IF(INDIRECT("office_form!C"&amp;ROW())="","",INDIRECT("office_form!C"&amp;ROW())))</f>
        <v/>
      </c>
      <c r="E3" s="25">
        <f>IF(INDIRECT("office_form!A"&amp;ROW())="","",IF(INDIRECT("office_form!D"&amp;ROW())="","",INDIRECT("office_form!D"&amp;ROW())))</f>
        <v/>
      </c>
      <c r="F3" s="25">
        <f>IF(INDIRECT("office_form!A"&amp;ROW())="","",IF(INDIRECT("office_form!E"&amp;ROW())="","",INDIRECT("office_form!E"&amp;ROW())))</f>
        <v/>
      </c>
      <c r="G3" s="25">
        <f>IF(INDIRECT("office_form!A"&amp;ROW())="","",IF(INDIRECT("office_form!F"&amp;ROW())="","",INDIRECT("office_form!F"&amp;ROW())))</f>
        <v/>
      </c>
      <c r="H3" s="25">
        <f>IF(INDIRECT("office_form!A"&amp;ROW())="","",IF(INDIRECT("office_form!G"&amp;ROW())="","",INDIRECT("office_form!G"&amp;ROW())))</f>
        <v/>
      </c>
      <c r="I3" s="25">
        <f>IF(INDIRECT("office_form!A"&amp;ROW())="","",IF(INDIRECT("office_form!H"&amp;ROW())="","",INDIRECT("office_form!H"&amp;ROW())))</f>
        <v/>
      </c>
      <c r="J3" s="25">
        <f>IF(INDIRECT("office_form!A"&amp;ROW())="","",IF(INDIRECT("office_form!I"&amp;ROW())="","",INDIRECT("office_form!I"&amp;ROW())))</f>
        <v/>
      </c>
      <c r="K3" s="25">
        <f>IF(INDIRECT("office_form!A"&amp;ROW())="","",IF($M3="Y",$D3,IF(INDIRECT("office_form!K"&amp;ROW())="","",INDIRECT("office_form!K"&amp;ROW()))))</f>
        <v/>
      </c>
      <c r="L3" s="25">
        <f>IF(INDIRECT("office_form!A"&amp;ROW())="","",IF($M3="Y",$E3,IF(INDIRECT("office_form!L"&amp;ROW())="","",INDIRECT("office_form!L"&amp;ROW()))))</f>
        <v/>
      </c>
      <c r="M3" s="25">
        <f>IF(INDIRECT("office_form!A"&amp;ROW())="","",IF(IF(INDIRECT("office_form!J"&amp;ROW())="","",INDIRECT("office_form!J"&amp;ROW()))="Yes, me","Y",IF(IF(INDIRECT("office_form!J"&amp;ROW())="","",INDIRECT("office_form!J"&amp;ROW()))="Someone else","N","")))</f>
        <v/>
      </c>
      <c r="N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 s="25">
        <f>IF(INDIRECT("office_form!A"&amp;ROW())="","",IF(INDIRECT("office_form!N"&amp;ROW())="","",INDIRECT("office_form!N"&amp;ROW())))</f>
        <v/>
      </c>
      <c r="P3" s="25">
        <f>IF(INDIRECT("office_form!A"&amp;ROW())="","",IF(IF(INDIRECT("office_form!O"&amp;ROW())="","",INDIRECT("office_form!O"&amp;ROW()))="Yes","yes",IF(IF(INDIRECT("office_form!O"&amp;ROW())="","",INDIRECT("office_form!O"&amp;ROW()))="No","no",IF(IF(INDIRECT("office_form!O"&amp;ROW())="","",INDIRECT("office_form!O"&amp;ROW()))="Not sure","unsure",""))))</f>
        <v/>
      </c>
      <c r="Q3" s="25">
        <f>IF(INDIRECT("office_form!A"&amp;ROW())="","",IF(IF(INDIRECT("office_form!P"&amp;ROW())="","",INDIRECT("office_form!P"&amp;ROW()))="Slack","slack",IF(IF(INDIRECT("office_form!P"&amp;ROW())="","",INDIRECT("office_form!P"&amp;ROW()))="Email","email",IF(IF(INDIRECT("office_form!P"&amp;ROW())="","",INDIRECT("office_form!P"&amp;ROW()))="Other","other",""))))</f>
        <v/>
      </c>
      <c r="R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 s="25">
        <f>IF(INDIRECT("office_form!A"&amp;ROW())="","",IF(INDIRECT("office_form!R"&amp;ROW())="","",INDIRECT("office_form!R"&amp;ROW())))</f>
        <v/>
      </c>
      <c r="T3" s="25">
        <f>IF(INDIRECT("office_form!A"&amp;ROW())="","",IF(INDIRECT("office_form!S"&amp;ROW())="","",INDIRECT("office_form!S"&amp;ROW())))</f>
        <v/>
      </c>
      <c r="U3" s="25">
        <f>IF(INDIRECT("office_form!A"&amp;ROW())="","","founder")</f>
        <v/>
      </c>
    </row>
    <row r="4">
      <c r="A4" s="25">
        <f>IF(INDIRECT("office_form!A"&amp;ROW())="","",TEXT(INDIRECT("office_form!A"&amp;ROW()),"yyyy-mm-dd""T""hh:mm:ss"))</f>
        <v/>
      </c>
      <c r="B4" s="25">
        <f>IF(INDIRECT("office_form!A"&amp;ROW())="","",config!$B$36)</f>
        <v/>
      </c>
      <c r="C4" s="25">
        <f>IF(INDIRECT("office_form!A"&amp;ROW())="","",IF(INDIRECT("office_form!B"&amp;ROW())="","",INDIRECT("office_form!B"&amp;ROW())))</f>
        <v/>
      </c>
      <c r="D4" s="25">
        <f>IF(INDIRECT("office_form!A"&amp;ROW())="","",IF(INDIRECT("office_form!C"&amp;ROW())="","",INDIRECT("office_form!C"&amp;ROW())))</f>
        <v/>
      </c>
      <c r="E4" s="25">
        <f>IF(INDIRECT("office_form!A"&amp;ROW())="","",IF(INDIRECT("office_form!D"&amp;ROW())="","",INDIRECT("office_form!D"&amp;ROW())))</f>
        <v/>
      </c>
      <c r="F4" s="25">
        <f>IF(INDIRECT("office_form!A"&amp;ROW())="","",IF(INDIRECT("office_form!E"&amp;ROW())="","",INDIRECT("office_form!E"&amp;ROW())))</f>
        <v/>
      </c>
      <c r="G4" s="25">
        <f>IF(INDIRECT("office_form!A"&amp;ROW())="","",IF(INDIRECT("office_form!F"&amp;ROW())="","",INDIRECT("office_form!F"&amp;ROW())))</f>
        <v/>
      </c>
      <c r="H4" s="25">
        <f>IF(INDIRECT("office_form!A"&amp;ROW())="","",IF(INDIRECT("office_form!G"&amp;ROW())="","",INDIRECT("office_form!G"&amp;ROW())))</f>
        <v/>
      </c>
      <c r="I4" s="25">
        <f>IF(INDIRECT("office_form!A"&amp;ROW())="","",IF(INDIRECT("office_form!H"&amp;ROW())="","",INDIRECT("office_form!H"&amp;ROW())))</f>
        <v/>
      </c>
      <c r="J4" s="25">
        <f>IF(INDIRECT("office_form!A"&amp;ROW())="","",IF(INDIRECT("office_form!I"&amp;ROW())="","",INDIRECT("office_form!I"&amp;ROW())))</f>
        <v/>
      </c>
      <c r="K4" s="25">
        <f>IF(INDIRECT("office_form!A"&amp;ROW())="","",IF($M4="Y",$D4,IF(INDIRECT("office_form!K"&amp;ROW())="","",INDIRECT("office_form!K"&amp;ROW()))))</f>
        <v/>
      </c>
      <c r="L4" s="25">
        <f>IF(INDIRECT("office_form!A"&amp;ROW())="","",IF($M4="Y",$E4,IF(INDIRECT("office_form!L"&amp;ROW())="","",INDIRECT("office_form!L"&amp;ROW()))))</f>
        <v/>
      </c>
      <c r="M4" s="25">
        <f>IF(INDIRECT("office_form!A"&amp;ROW())="","",IF(IF(INDIRECT("office_form!J"&amp;ROW())="","",INDIRECT("office_form!J"&amp;ROW()))="Yes, me","Y",IF(IF(INDIRECT("office_form!J"&amp;ROW())="","",INDIRECT("office_form!J"&amp;ROW()))="Someone else","N","")))</f>
        <v/>
      </c>
      <c r="N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 s="25">
        <f>IF(INDIRECT("office_form!A"&amp;ROW())="","",IF(INDIRECT("office_form!N"&amp;ROW())="","",INDIRECT("office_form!N"&amp;ROW())))</f>
        <v/>
      </c>
      <c r="P4" s="25">
        <f>IF(INDIRECT("office_form!A"&amp;ROW())="","",IF(IF(INDIRECT("office_form!O"&amp;ROW())="","",INDIRECT("office_form!O"&amp;ROW()))="Yes","yes",IF(IF(INDIRECT("office_form!O"&amp;ROW())="","",INDIRECT("office_form!O"&amp;ROW()))="No","no",IF(IF(INDIRECT("office_form!O"&amp;ROW())="","",INDIRECT("office_form!O"&amp;ROW()))="Not sure","unsure",""))))</f>
        <v/>
      </c>
      <c r="Q4" s="25">
        <f>IF(INDIRECT("office_form!A"&amp;ROW())="","",IF(IF(INDIRECT("office_form!P"&amp;ROW())="","",INDIRECT("office_form!P"&amp;ROW()))="Slack","slack",IF(IF(INDIRECT("office_form!P"&amp;ROW())="","",INDIRECT("office_form!P"&amp;ROW()))="Email","email",IF(IF(INDIRECT("office_form!P"&amp;ROW())="","",INDIRECT("office_form!P"&amp;ROW()))="Other","other",""))))</f>
        <v/>
      </c>
      <c r="R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 s="25">
        <f>IF(INDIRECT("office_form!A"&amp;ROW())="","",IF(INDIRECT("office_form!R"&amp;ROW())="","",INDIRECT("office_form!R"&amp;ROW())))</f>
        <v/>
      </c>
      <c r="T4" s="25">
        <f>IF(INDIRECT("office_form!A"&amp;ROW())="","",IF(INDIRECT("office_form!S"&amp;ROW())="","",INDIRECT("office_form!S"&amp;ROW())))</f>
        <v/>
      </c>
      <c r="U4" s="25">
        <f>IF(INDIRECT("office_form!A"&amp;ROW())="","","founder")</f>
        <v/>
      </c>
    </row>
    <row r="5">
      <c r="A5" s="25">
        <f>IF(INDIRECT("office_form!A"&amp;ROW())="","",TEXT(INDIRECT("office_form!A"&amp;ROW()),"yyyy-mm-dd""T""hh:mm:ss"))</f>
        <v/>
      </c>
      <c r="B5" s="25">
        <f>IF(INDIRECT("office_form!A"&amp;ROW())="","",config!$B$36)</f>
        <v/>
      </c>
      <c r="C5" s="25">
        <f>IF(INDIRECT("office_form!A"&amp;ROW())="","",IF(INDIRECT("office_form!B"&amp;ROW())="","",INDIRECT("office_form!B"&amp;ROW())))</f>
        <v/>
      </c>
      <c r="D5" s="25">
        <f>IF(INDIRECT("office_form!A"&amp;ROW())="","",IF(INDIRECT("office_form!C"&amp;ROW())="","",INDIRECT("office_form!C"&amp;ROW())))</f>
        <v/>
      </c>
      <c r="E5" s="25">
        <f>IF(INDIRECT("office_form!A"&amp;ROW())="","",IF(INDIRECT("office_form!D"&amp;ROW())="","",INDIRECT("office_form!D"&amp;ROW())))</f>
        <v/>
      </c>
      <c r="F5" s="25">
        <f>IF(INDIRECT("office_form!A"&amp;ROW())="","",IF(INDIRECT("office_form!E"&amp;ROW())="","",INDIRECT("office_form!E"&amp;ROW())))</f>
        <v/>
      </c>
      <c r="G5" s="25">
        <f>IF(INDIRECT("office_form!A"&amp;ROW())="","",IF(INDIRECT("office_form!F"&amp;ROW())="","",INDIRECT("office_form!F"&amp;ROW())))</f>
        <v/>
      </c>
      <c r="H5" s="25">
        <f>IF(INDIRECT("office_form!A"&amp;ROW())="","",IF(INDIRECT("office_form!G"&amp;ROW())="","",INDIRECT("office_form!G"&amp;ROW())))</f>
        <v/>
      </c>
      <c r="I5" s="25">
        <f>IF(INDIRECT("office_form!A"&amp;ROW())="","",IF(INDIRECT("office_form!H"&amp;ROW())="","",INDIRECT("office_form!H"&amp;ROW())))</f>
        <v/>
      </c>
      <c r="J5" s="25">
        <f>IF(INDIRECT("office_form!A"&amp;ROW())="","",IF(INDIRECT("office_form!I"&amp;ROW())="","",INDIRECT("office_form!I"&amp;ROW())))</f>
        <v/>
      </c>
      <c r="K5" s="25">
        <f>IF(INDIRECT("office_form!A"&amp;ROW())="","",IF($M5="Y",$D5,IF(INDIRECT("office_form!K"&amp;ROW())="","",INDIRECT("office_form!K"&amp;ROW()))))</f>
        <v/>
      </c>
      <c r="L5" s="25">
        <f>IF(INDIRECT("office_form!A"&amp;ROW())="","",IF($M5="Y",$E5,IF(INDIRECT("office_form!L"&amp;ROW())="","",INDIRECT("office_form!L"&amp;ROW()))))</f>
        <v/>
      </c>
      <c r="M5" s="25">
        <f>IF(INDIRECT("office_form!A"&amp;ROW())="","",IF(IF(INDIRECT("office_form!J"&amp;ROW())="","",INDIRECT("office_form!J"&amp;ROW()))="Yes, me","Y",IF(IF(INDIRECT("office_form!J"&amp;ROW())="","",INDIRECT("office_form!J"&amp;ROW()))="Someone else","N","")))</f>
        <v/>
      </c>
      <c r="N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 s="25">
        <f>IF(INDIRECT("office_form!A"&amp;ROW())="","",IF(INDIRECT("office_form!N"&amp;ROW())="","",INDIRECT("office_form!N"&amp;ROW())))</f>
        <v/>
      </c>
      <c r="P5" s="25">
        <f>IF(INDIRECT("office_form!A"&amp;ROW())="","",IF(IF(INDIRECT("office_form!O"&amp;ROW())="","",INDIRECT("office_form!O"&amp;ROW()))="Yes","yes",IF(IF(INDIRECT("office_form!O"&amp;ROW())="","",INDIRECT("office_form!O"&amp;ROW()))="No","no",IF(IF(INDIRECT("office_form!O"&amp;ROW())="","",INDIRECT("office_form!O"&amp;ROW()))="Not sure","unsure",""))))</f>
        <v/>
      </c>
      <c r="Q5" s="25">
        <f>IF(INDIRECT("office_form!A"&amp;ROW())="","",IF(IF(INDIRECT("office_form!P"&amp;ROW())="","",INDIRECT("office_form!P"&amp;ROW()))="Slack","slack",IF(IF(INDIRECT("office_form!P"&amp;ROW())="","",INDIRECT("office_form!P"&amp;ROW()))="Email","email",IF(IF(INDIRECT("office_form!P"&amp;ROW())="","",INDIRECT("office_form!P"&amp;ROW()))="Other","other",""))))</f>
        <v/>
      </c>
      <c r="R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 s="25">
        <f>IF(INDIRECT("office_form!A"&amp;ROW())="","",IF(INDIRECT("office_form!R"&amp;ROW())="","",INDIRECT("office_form!R"&amp;ROW())))</f>
        <v/>
      </c>
      <c r="T5" s="25">
        <f>IF(INDIRECT("office_form!A"&amp;ROW())="","",IF(INDIRECT("office_form!S"&amp;ROW())="","",INDIRECT("office_form!S"&amp;ROW())))</f>
        <v/>
      </c>
      <c r="U5" s="25">
        <f>IF(INDIRECT("office_form!A"&amp;ROW())="","","founder")</f>
        <v/>
      </c>
    </row>
    <row r="6">
      <c r="A6" s="25">
        <f>IF(INDIRECT("office_form!A"&amp;ROW())="","",TEXT(INDIRECT("office_form!A"&amp;ROW()),"yyyy-mm-dd""T""hh:mm:ss"))</f>
        <v/>
      </c>
      <c r="B6" s="25">
        <f>IF(INDIRECT("office_form!A"&amp;ROW())="","",config!$B$36)</f>
        <v/>
      </c>
      <c r="C6" s="25">
        <f>IF(INDIRECT("office_form!A"&amp;ROW())="","",IF(INDIRECT("office_form!B"&amp;ROW())="","",INDIRECT("office_form!B"&amp;ROW())))</f>
        <v/>
      </c>
      <c r="D6" s="25">
        <f>IF(INDIRECT("office_form!A"&amp;ROW())="","",IF(INDIRECT("office_form!C"&amp;ROW())="","",INDIRECT("office_form!C"&amp;ROW())))</f>
        <v/>
      </c>
      <c r="E6" s="25">
        <f>IF(INDIRECT("office_form!A"&amp;ROW())="","",IF(INDIRECT("office_form!D"&amp;ROW())="","",INDIRECT("office_form!D"&amp;ROW())))</f>
        <v/>
      </c>
      <c r="F6" s="25">
        <f>IF(INDIRECT("office_form!A"&amp;ROW())="","",IF(INDIRECT("office_form!E"&amp;ROW())="","",INDIRECT("office_form!E"&amp;ROW())))</f>
        <v/>
      </c>
      <c r="G6" s="25">
        <f>IF(INDIRECT("office_form!A"&amp;ROW())="","",IF(INDIRECT("office_form!F"&amp;ROW())="","",INDIRECT("office_form!F"&amp;ROW())))</f>
        <v/>
      </c>
      <c r="H6" s="25">
        <f>IF(INDIRECT("office_form!A"&amp;ROW())="","",IF(INDIRECT("office_form!G"&amp;ROW())="","",INDIRECT("office_form!G"&amp;ROW())))</f>
        <v/>
      </c>
      <c r="I6" s="25">
        <f>IF(INDIRECT("office_form!A"&amp;ROW())="","",IF(INDIRECT("office_form!H"&amp;ROW())="","",INDIRECT("office_form!H"&amp;ROW())))</f>
        <v/>
      </c>
      <c r="J6" s="25">
        <f>IF(INDIRECT("office_form!A"&amp;ROW())="","",IF(INDIRECT("office_form!I"&amp;ROW())="","",INDIRECT("office_form!I"&amp;ROW())))</f>
        <v/>
      </c>
      <c r="K6" s="25">
        <f>IF(INDIRECT("office_form!A"&amp;ROW())="","",IF($M6="Y",$D6,IF(INDIRECT("office_form!K"&amp;ROW())="","",INDIRECT("office_form!K"&amp;ROW()))))</f>
        <v/>
      </c>
      <c r="L6" s="25">
        <f>IF(INDIRECT("office_form!A"&amp;ROW())="","",IF($M6="Y",$E6,IF(INDIRECT("office_form!L"&amp;ROW())="","",INDIRECT("office_form!L"&amp;ROW()))))</f>
        <v/>
      </c>
      <c r="M6" s="25">
        <f>IF(INDIRECT("office_form!A"&amp;ROW())="","",IF(IF(INDIRECT("office_form!J"&amp;ROW())="","",INDIRECT("office_form!J"&amp;ROW()))="Yes, me","Y",IF(IF(INDIRECT("office_form!J"&amp;ROW())="","",INDIRECT("office_form!J"&amp;ROW()))="Someone else","N","")))</f>
        <v/>
      </c>
      <c r="N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 s="25">
        <f>IF(INDIRECT("office_form!A"&amp;ROW())="","",IF(INDIRECT("office_form!N"&amp;ROW())="","",INDIRECT("office_form!N"&amp;ROW())))</f>
        <v/>
      </c>
      <c r="P6" s="25">
        <f>IF(INDIRECT("office_form!A"&amp;ROW())="","",IF(IF(INDIRECT("office_form!O"&amp;ROW())="","",INDIRECT("office_form!O"&amp;ROW()))="Yes","yes",IF(IF(INDIRECT("office_form!O"&amp;ROW())="","",INDIRECT("office_form!O"&amp;ROW()))="No","no",IF(IF(INDIRECT("office_form!O"&amp;ROW())="","",INDIRECT("office_form!O"&amp;ROW()))="Not sure","unsure",""))))</f>
        <v/>
      </c>
      <c r="Q6" s="25">
        <f>IF(INDIRECT("office_form!A"&amp;ROW())="","",IF(IF(INDIRECT("office_form!P"&amp;ROW())="","",INDIRECT("office_form!P"&amp;ROW()))="Slack","slack",IF(IF(INDIRECT("office_form!P"&amp;ROW())="","",INDIRECT("office_form!P"&amp;ROW()))="Email","email",IF(IF(INDIRECT("office_form!P"&amp;ROW())="","",INDIRECT("office_form!P"&amp;ROW()))="Other","other",""))))</f>
        <v/>
      </c>
      <c r="R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 s="25">
        <f>IF(INDIRECT("office_form!A"&amp;ROW())="","",IF(INDIRECT("office_form!R"&amp;ROW())="","",INDIRECT("office_form!R"&amp;ROW())))</f>
        <v/>
      </c>
      <c r="T6" s="25">
        <f>IF(INDIRECT("office_form!A"&amp;ROW())="","",IF(INDIRECT("office_form!S"&amp;ROW())="","",INDIRECT("office_form!S"&amp;ROW())))</f>
        <v/>
      </c>
      <c r="U6" s="25">
        <f>IF(INDIRECT("office_form!A"&amp;ROW())="","","founder")</f>
        <v/>
      </c>
    </row>
    <row r="7">
      <c r="A7" s="25">
        <f>IF(INDIRECT("office_form!A"&amp;ROW())="","",TEXT(INDIRECT("office_form!A"&amp;ROW()),"yyyy-mm-dd""T""hh:mm:ss"))</f>
        <v/>
      </c>
      <c r="B7" s="25">
        <f>IF(INDIRECT("office_form!A"&amp;ROW())="","",config!$B$36)</f>
        <v/>
      </c>
      <c r="C7" s="25">
        <f>IF(INDIRECT("office_form!A"&amp;ROW())="","",IF(INDIRECT("office_form!B"&amp;ROW())="","",INDIRECT("office_form!B"&amp;ROW())))</f>
        <v/>
      </c>
      <c r="D7" s="25">
        <f>IF(INDIRECT("office_form!A"&amp;ROW())="","",IF(INDIRECT("office_form!C"&amp;ROW())="","",INDIRECT("office_form!C"&amp;ROW())))</f>
        <v/>
      </c>
      <c r="E7" s="25">
        <f>IF(INDIRECT("office_form!A"&amp;ROW())="","",IF(INDIRECT("office_form!D"&amp;ROW())="","",INDIRECT("office_form!D"&amp;ROW())))</f>
        <v/>
      </c>
      <c r="F7" s="25">
        <f>IF(INDIRECT("office_form!A"&amp;ROW())="","",IF(INDIRECT("office_form!E"&amp;ROW())="","",INDIRECT("office_form!E"&amp;ROW())))</f>
        <v/>
      </c>
      <c r="G7" s="25">
        <f>IF(INDIRECT("office_form!A"&amp;ROW())="","",IF(INDIRECT("office_form!F"&amp;ROW())="","",INDIRECT("office_form!F"&amp;ROW())))</f>
        <v/>
      </c>
      <c r="H7" s="25">
        <f>IF(INDIRECT("office_form!A"&amp;ROW())="","",IF(INDIRECT("office_form!G"&amp;ROW())="","",INDIRECT("office_form!G"&amp;ROW())))</f>
        <v/>
      </c>
      <c r="I7" s="25">
        <f>IF(INDIRECT("office_form!A"&amp;ROW())="","",IF(INDIRECT("office_form!H"&amp;ROW())="","",INDIRECT("office_form!H"&amp;ROW())))</f>
        <v/>
      </c>
      <c r="J7" s="25">
        <f>IF(INDIRECT("office_form!A"&amp;ROW())="","",IF(INDIRECT("office_form!I"&amp;ROW())="","",INDIRECT("office_form!I"&amp;ROW())))</f>
        <v/>
      </c>
      <c r="K7" s="25">
        <f>IF(INDIRECT("office_form!A"&amp;ROW())="","",IF($M7="Y",$D7,IF(INDIRECT("office_form!K"&amp;ROW())="","",INDIRECT("office_form!K"&amp;ROW()))))</f>
        <v/>
      </c>
      <c r="L7" s="25">
        <f>IF(INDIRECT("office_form!A"&amp;ROW())="","",IF($M7="Y",$E7,IF(INDIRECT("office_form!L"&amp;ROW())="","",INDIRECT("office_form!L"&amp;ROW()))))</f>
        <v/>
      </c>
      <c r="M7" s="25">
        <f>IF(INDIRECT("office_form!A"&amp;ROW())="","",IF(IF(INDIRECT("office_form!J"&amp;ROW())="","",INDIRECT("office_form!J"&amp;ROW()))="Yes, me","Y",IF(IF(INDIRECT("office_form!J"&amp;ROW())="","",INDIRECT("office_form!J"&amp;ROW()))="Someone else","N","")))</f>
        <v/>
      </c>
      <c r="N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 s="25">
        <f>IF(INDIRECT("office_form!A"&amp;ROW())="","",IF(INDIRECT("office_form!N"&amp;ROW())="","",INDIRECT("office_form!N"&amp;ROW())))</f>
        <v/>
      </c>
      <c r="P7" s="25">
        <f>IF(INDIRECT("office_form!A"&amp;ROW())="","",IF(IF(INDIRECT("office_form!O"&amp;ROW())="","",INDIRECT("office_form!O"&amp;ROW()))="Yes","yes",IF(IF(INDIRECT("office_form!O"&amp;ROW())="","",INDIRECT("office_form!O"&amp;ROW()))="No","no",IF(IF(INDIRECT("office_form!O"&amp;ROW())="","",INDIRECT("office_form!O"&amp;ROW()))="Not sure","unsure",""))))</f>
        <v/>
      </c>
      <c r="Q7" s="25">
        <f>IF(INDIRECT("office_form!A"&amp;ROW())="","",IF(IF(INDIRECT("office_form!P"&amp;ROW())="","",INDIRECT("office_form!P"&amp;ROW()))="Slack","slack",IF(IF(INDIRECT("office_form!P"&amp;ROW())="","",INDIRECT("office_form!P"&amp;ROW()))="Email","email",IF(IF(INDIRECT("office_form!P"&amp;ROW())="","",INDIRECT("office_form!P"&amp;ROW()))="Other","other",""))))</f>
        <v/>
      </c>
      <c r="R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 s="25">
        <f>IF(INDIRECT("office_form!A"&amp;ROW())="","",IF(INDIRECT("office_form!R"&amp;ROW())="","",INDIRECT("office_form!R"&amp;ROW())))</f>
        <v/>
      </c>
      <c r="T7" s="25">
        <f>IF(INDIRECT("office_form!A"&amp;ROW())="","",IF(INDIRECT("office_form!S"&amp;ROW())="","",INDIRECT("office_form!S"&amp;ROW())))</f>
        <v/>
      </c>
      <c r="U7" s="25">
        <f>IF(INDIRECT("office_form!A"&amp;ROW())="","","founder")</f>
        <v/>
      </c>
    </row>
    <row r="8">
      <c r="A8" s="25">
        <f>IF(INDIRECT("office_form!A"&amp;ROW())="","",TEXT(INDIRECT("office_form!A"&amp;ROW()),"yyyy-mm-dd""T""hh:mm:ss"))</f>
        <v/>
      </c>
      <c r="B8" s="25">
        <f>IF(INDIRECT("office_form!A"&amp;ROW())="","",config!$B$36)</f>
        <v/>
      </c>
      <c r="C8" s="25">
        <f>IF(INDIRECT("office_form!A"&amp;ROW())="","",IF(INDIRECT("office_form!B"&amp;ROW())="","",INDIRECT("office_form!B"&amp;ROW())))</f>
        <v/>
      </c>
      <c r="D8" s="25">
        <f>IF(INDIRECT("office_form!A"&amp;ROW())="","",IF(INDIRECT("office_form!C"&amp;ROW())="","",INDIRECT("office_form!C"&amp;ROW())))</f>
        <v/>
      </c>
      <c r="E8" s="25">
        <f>IF(INDIRECT("office_form!A"&amp;ROW())="","",IF(INDIRECT("office_form!D"&amp;ROW())="","",INDIRECT("office_form!D"&amp;ROW())))</f>
        <v/>
      </c>
      <c r="F8" s="25">
        <f>IF(INDIRECT("office_form!A"&amp;ROW())="","",IF(INDIRECT("office_form!E"&amp;ROW())="","",INDIRECT("office_form!E"&amp;ROW())))</f>
        <v/>
      </c>
      <c r="G8" s="25">
        <f>IF(INDIRECT("office_form!A"&amp;ROW())="","",IF(INDIRECT("office_form!F"&amp;ROW())="","",INDIRECT("office_form!F"&amp;ROW())))</f>
        <v/>
      </c>
      <c r="H8" s="25">
        <f>IF(INDIRECT("office_form!A"&amp;ROW())="","",IF(INDIRECT("office_form!G"&amp;ROW())="","",INDIRECT("office_form!G"&amp;ROW())))</f>
        <v/>
      </c>
      <c r="I8" s="25">
        <f>IF(INDIRECT("office_form!A"&amp;ROW())="","",IF(INDIRECT("office_form!H"&amp;ROW())="","",INDIRECT("office_form!H"&amp;ROW())))</f>
        <v/>
      </c>
      <c r="J8" s="25">
        <f>IF(INDIRECT("office_form!A"&amp;ROW())="","",IF(INDIRECT("office_form!I"&amp;ROW())="","",INDIRECT("office_form!I"&amp;ROW())))</f>
        <v/>
      </c>
      <c r="K8" s="25">
        <f>IF(INDIRECT("office_form!A"&amp;ROW())="","",IF($M8="Y",$D8,IF(INDIRECT("office_form!K"&amp;ROW())="","",INDIRECT("office_form!K"&amp;ROW()))))</f>
        <v/>
      </c>
      <c r="L8" s="25">
        <f>IF(INDIRECT("office_form!A"&amp;ROW())="","",IF($M8="Y",$E8,IF(INDIRECT("office_form!L"&amp;ROW())="","",INDIRECT("office_form!L"&amp;ROW()))))</f>
        <v/>
      </c>
      <c r="M8" s="25">
        <f>IF(INDIRECT("office_form!A"&amp;ROW())="","",IF(IF(INDIRECT("office_form!J"&amp;ROW())="","",INDIRECT("office_form!J"&amp;ROW()))="Yes, me","Y",IF(IF(INDIRECT("office_form!J"&amp;ROW())="","",INDIRECT("office_form!J"&amp;ROW()))="Someone else","N","")))</f>
        <v/>
      </c>
      <c r="N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 s="25">
        <f>IF(INDIRECT("office_form!A"&amp;ROW())="","",IF(INDIRECT("office_form!N"&amp;ROW())="","",INDIRECT("office_form!N"&amp;ROW())))</f>
        <v/>
      </c>
      <c r="P8" s="25">
        <f>IF(INDIRECT("office_form!A"&amp;ROW())="","",IF(IF(INDIRECT("office_form!O"&amp;ROW())="","",INDIRECT("office_form!O"&amp;ROW()))="Yes","yes",IF(IF(INDIRECT("office_form!O"&amp;ROW())="","",INDIRECT("office_form!O"&amp;ROW()))="No","no",IF(IF(INDIRECT("office_form!O"&amp;ROW())="","",INDIRECT("office_form!O"&amp;ROW()))="Not sure","unsure",""))))</f>
        <v/>
      </c>
      <c r="Q8" s="25">
        <f>IF(INDIRECT("office_form!A"&amp;ROW())="","",IF(IF(INDIRECT("office_form!P"&amp;ROW())="","",INDIRECT("office_form!P"&amp;ROW()))="Slack","slack",IF(IF(INDIRECT("office_form!P"&amp;ROW())="","",INDIRECT("office_form!P"&amp;ROW()))="Email","email",IF(IF(INDIRECT("office_form!P"&amp;ROW())="","",INDIRECT("office_form!P"&amp;ROW()))="Other","other",""))))</f>
        <v/>
      </c>
      <c r="R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 s="25">
        <f>IF(INDIRECT("office_form!A"&amp;ROW())="","",IF(INDIRECT("office_form!R"&amp;ROW())="","",INDIRECT("office_form!R"&amp;ROW())))</f>
        <v/>
      </c>
      <c r="T8" s="25">
        <f>IF(INDIRECT("office_form!A"&amp;ROW())="","",IF(INDIRECT("office_form!S"&amp;ROW())="","",INDIRECT("office_form!S"&amp;ROW())))</f>
        <v/>
      </c>
      <c r="U8" s="25">
        <f>IF(INDIRECT("office_form!A"&amp;ROW())="","","founder")</f>
        <v/>
      </c>
    </row>
    <row r="9">
      <c r="A9" s="25">
        <f>IF(INDIRECT("office_form!A"&amp;ROW())="","",TEXT(INDIRECT("office_form!A"&amp;ROW()),"yyyy-mm-dd""T""hh:mm:ss"))</f>
        <v/>
      </c>
      <c r="B9" s="25">
        <f>IF(INDIRECT("office_form!A"&amp;ROW())="","",config!$B$36)</f>
        <v/>
      </c>
      <c r="C9" s="25">
        <f>IF(INDIRECT("office_form!A"&amp;ROW())="","",IF(INDIRECT("office_form!B"&amp;ROW())="","",INDIRECT("office_form!B"&amp;ROW())))</f>
        <v/>
      </c>
      <c r="D9" s="25">
        <f>IF(INDIRECT("office_form!A"&amp;ROW())="","",IF(INDIRECT("office_form!C"&amp;ROW())="","",INDIRECT("office_form!C"&amp;ROW())))</f>
        <v/>
      </c>
      <c r="E9" s="25">
        <f>IF(INDIRECT("office_form!A"&amp;ROW())="","",IF(INDIRECT("office_form!D"&amp;ROW())="","",INDIRECT("office_form!D"&amp;ROW())))</f>
        <v/>
      </c>
      <c r="F9" s="25">
        <f>IF(INDIRECT("office_form!A"&amp;ROW())="","",IF(INDIRECT("office_form!E"&amp;ROW())="","",INDIRECT("office_form!E"&amp;ROW())))</f>
        <v/>
      </c>
      <c r="G9" s="25">
        <f>IF(INDIRECT("office_form!A"&amp;ROW())="","",IF(INDIRECT("office_form!F"&amp;ROW())="","",INDIRECT("office_form!F"&amp;ROW())))</f>
        <v/>
      </c>
      <c r="H9" s="25">
        <f>IF(INDIRECT("office_form!A"&amp;ROW())="","",IF(INDIRECT("office_form!G"&amp;ROW())="","",INDIRECT("office_form!G"&amp;ROW())))</f>
        <v/>
      </c>
      <c r="I9" s="25">
        <f>IF(INDIRECT("office_form!A"&amp;ROW())="","",IF(INDIRECT("office_form!H"&amp;ROW())="","",INDIRECT("office_form!H"&amp;ROW())))</f>
        <v/>
      </c>
      <c r="J9" s="25">
        <f>IF(INDIRECT("office_form!A"&amp;ROW())="","",IF(INDIRECT("office_form!I"&amp;ROW())="","",INDIRECT("office_form!I"&amp;ROW())))</f>
        <v/>
      </c>
      <c r="K9" s="25">
        <f>IF(INDIRECT("office_form!A"&amp;ROW())="","",IF($M9="Y",$D9,IF(INDIRECT("office_form!K"&amp;ROW())="","",INDIRECT("office_form!K"&amp;ROW()))))</f>
        <v/>
      </c>
      <c r="L9" s="25">
        <f>IF(INDIRECT("office_form!A"&amp;ROW())="","",IF($M9="Y",$E9,IF(INDIRECT("office_form!L"&amp;ROW())="","",INDIRECT("office_form!L"&amp;ROW()))))</f>
        <v/>
      </c>
      <c r="M9" s="25">
        <f>IF(INDIRECT("office_form!A"&amp;ROW())="","",IF(IF(INDIRECT("office_form!J"&amp;ROW())="","",INDIRECT("office_form!J"&amp;ROW()))="Yes, me","Y",IF(IF(INDIRECT("office_form!J"&amp;ROW())="","",INDIRECT("office_form!J"&amp;ROW()))="Someone else","N","")))</f>
        <v/>
      </c>
      <c r="N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9" s="25">
        <f>IF(INDIRECT("office_form!A"&amp;ROW())="","",IF(INDIRECT("office_form!N"&amp;ROW())="","",INDIRECT("office_form!N"&amp;ROW())))</f>
        <v/>
      </c>
      <c r="P9" s="25">
        <f>IF(INDIRECT("office_form!A"&amp;ROW())="","",IF(IF(INDIRECT("office_form!O"&amp;ROW())="","",INDIRECT("office_form!O"&amp;ROW()))="Yes","yes",IF(IF(INDIRECT("office_form!O"&amp;ROW())="","",INDIRECT("office_form!O"&amp;ROW()))="No","no",IF(IF(INDIRECT("office_form!O"&amp;ROW())="","",INDIRECT("office_form!O"&amp;ROW()))="Not sure","unsure",""))))</f>
        <v/>
      </c>
      <c r="Q9" s="25">
        <f>IF(INDIRECT("office_form!A"&amp;ROW())="","",IF(IF(INDIRECT("office_form!P"&amp;ROW())="","",INDIRECT("office_form!P"&amp;ROW()))="Slack","slack",IF(IF(INDIRECT("office_form!P"&amp;ROW())="","",INDIRECT("office_form!P"&amp;ROW()))="Email","email",IF(IF(INDIRECT("office_form!P"&amp;ROW())="","",INDIRECT("office_form!P"&amp;ROW()))="Other","other",""))))</f>
        <v/>
      </c>
      <c r="R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9" s="25">
        <f>IF(INDIRECT("office_form!A"&amp;ROW())="","",IF(INDIRECT("office_form!R"&amp;ROW())="","",INDIRECT("office_form!R"&amp;ROW())))</f>
        <v/>
      </c>
      <c r="T9" s="25">
        <f>IF(INDIRECT("office_form!A"&amp;ROW())="","",IF(INDIRECT("office_form!S"&amp;ROW())="","",INDIRECT("office_form!S"&amp;ROW())))</f>
        <v/>
      </c>
      <c r="U9" s="25">
        <f>IF(INDIRECT("office_form!A"&amp;ROW())="","","founder")</f>
        <v/>
      </c>
    </row>
    <row r="10">
      <c r="A10" s="25">
        <f>IF(INDIRECT("office_form!A"&amp;ROW())="","",TEXT(INDIRECT("office_form!A"&amp;ROW()),"yyyy-mm-dd""T""hh:mm:ss"))</f>
        <v/>
      </c>
      <c r="B10" s="25">
        <f>IF(INDIRECT("office_form!A"&amp;ROW())="","",config!$B$36)</f>
        <v/>
      </c>
      <c r="C10" s="25">
        <f>IF(INDIRECT("office_form!A"&amp;ROW())="","",IF(INDIRECT("office_form!B"&amp;ROW())="","",INDIRECT("office_form!B"&amp;ROW())))</f>
        <v/>
      </c>
      <c r="D10" s="25">
        <f>IF(INDIRECT("office_form!A"&amp;ROW())="","",IF(INDIRECT("office_form!C"&amp;ROW())="","",INDIRECT("office_form!C"&amp;ROW())))</f>
        <v/>
      </c>
      <c r="E10" s="25">
        <f>IF(INDIRECT("office_form!A"&amp;ROW())="","",IF(INDIRECT("office_form!D"&amp;ROW())="","",INDIRECT("office_form!D"&amp;ROW())))</f>
        <v/>
      </c>
      <c r="F10" s="25">
        <f>IF(INDIRECT("office_form!A"&amp;ROW())="","",IF(INDIRECT("office_form!E"&amp;ROW())="","",INDIRECT("office_form!E"&amp;ROW())))</f>
        <v/>
      </c>
      <c r="G10" s="25">
        <f>IF(INDIRECT("office_form!A"&amp;ROW())="","",IF(INDIRECT("office_form!F"&amp;ROW())="","",INDIRECT("office_form!F"&amp;ROW())))</f>
        <v/>
      </c>
      <c r="H10" s="25">
        <f>IF(INDIRECT("office_form!A"&amp;ROW())="","",IF(INDIRECT("office_form!G"&amp;ROW())="","",INDIRECT("office_form!G"&amp;ROW())))</f>
        <v/>
      </c>
      <c r="I10" s="25">
        <f>IF(INDIRECT("office_form!A"&amp;ROW())="","",IF(INDIRECT("office_form!H"&amp;ROW())="","",INDIRECT("office_form!H"&amp;ROW())))</f>
        <v/>
      </c>
      <c r="J10" s="25">
        <f>IF(INDIRECT("office_form!A"&amp;ROW())="","",IF(INDIRECT("office_form!I"&amp;ROW())="","",INDIRECT("office_form!I"&amp;ROW())))</f>
        <v/>
      </c>
      <c r="K10" s="25">
        <f>IF(INDIRECT("office_form!A"&amp;ROW())="","",IF($M10="Y",$D10,IF(INDIRECT("office_form!K"&amp;ROW())="","",INDIRECT("office_form!K"&amp;ROW()))))</f>
        <v/>
      </c>
      <c r="L10" s="25">
        <f>IF(INDIRECT("office_form!A"&amp;ROW())="","",IF($M10="Y",$E10,IF(INDIRECT("office_form!L"&amp;ROW())="","",INDIRECT("office_form!L"&amp;ROW()))))</f>
        <v/>
      </c>
      <c r="M10" s="25">
        <f>IF(INDIRECT("office_form!A"&amp;ROW())="","",IF(IF(INDIRECT("office_form!J"&amp;ROW())="","",INDIRECT("office_form!J"&amp;ROW()))="Yes, me","Y",IF(IF(INDIRECT("office_form!J"&amp;ROW())="","",INDIRECT("office_form!J"&amp;ROW()))="Someone else","N","")))</f>
        <v/>
      </c>
      <c r="N1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0" s="25">
        <f>IF(INDIRECT("office_form!A"&amp;ROW())="","",IF(INDIRECT("office_form!N"&amp;ROW())="","",INDIRECT("office_form!N"&amp;ROW())))</f>
        <v/>
      </c>
      <c r="P10" s="25">
        <f>IF(INDIRECT("office_form!A"&amp;ROW())="","",IF(IF(INDIRECT("office_form!O"&amp;ROW())="","",INDIRECT("office_form!O"&amp;ROW()))="Yes","yes",IF(IF(INDIRECT("office_form!O"&amp;ROW())="","",INDIRECT("office_form!O"&amp;ROW()))="No","no",IF(IF(INDIRECT("office_form!O"&amp;ROW())="","",INDIRECT("office_form!O"&amp;ROW()))="Not sure","unsure",""))))</f>
        <v/>
      </c>
      <c r="Q10" s="25">
        <f>IF(INDIRECT("office_form!A"&amp;ROW())="","",IF(IF(INDIRECT("office_form!P"&amp;ROW())="","",INDIRECT("office_form!P"&amp;ROW()))="Slack","slack",IF(IF(INDIRECT("office_form!P"&amp;ROW())="","",INDIRECT("office_form!P"&amp;ROW()))="Email","email",IF(IF(INDIRECT("office_form!P"&amp;ROW())="","",INDIRECT("office_form!P"&amp;ROW()))="Other","other",""))))</f>
        <v/>
      </c>
      <c r="R1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0" s="25">
        <f>IF(INDIRECT("office_form!A"&amp;ROW())="","",IF(INDIRECT("office_form!R"&amp;ROW())="","",INDIRECT("office_form!R"&amp;ROW())))</f>
        <v/>
      </c>
      <c r="T10" s="25">
        <f>IF(INDIRECT("office_form!A"&amp;ROW())="","",IF(INDIRECT("office_form!S"&amp;ROW())="","",INDIRECT("office_form!S"&amp;ROW())))</f>
        <v/>
      </c>
      <c r="U10" s="25">
        <f>IF(INDIRECT("office_form!A"&amp;ROW())="","","founder")</f>
        <v/>
      </c>
    </row>
    <row r="11">
      <c r="A11" s="25">
        <f>IF(INDIRECT("office_form!A"&amp;ROW())="","",TEXT(INDIRECT("office_form!A"&amp;ROW()),"yyyy-mm-dd""T""hh:mm:ss"))</f>
        <v/>
      </c>
      <c r="B11" s="25">
        <f>IF(INDIRECT("office_form!A"&amp;ROW())="","",config!$B$36)</f>
        <v/>
      </c>
      <c r="C11" s="25">
        <f>IF(INDIRECT("office_form!A"&amp;ROW())="","",IF(INDIRECT("office_form!B"&amp;ROW())="","",INDIRECT("office_form!B"&amp;ROW())))</f>
        <v/>
      </c>
      <c r="D11" s="25">
        <f>IF(INDIRECT("office_form!A"&amp;ROW())="","",IF(INDIRECT("office_form!C"&amp;ROW())="","",INDIRECT("office_form!C"&amp;ROW())))</f>
        <v/>
      </c>
      <c r="E11" s="25">
        <f>IF(INDIRECT("office_form!A"&amp;ROW())="","",IF(INDIRECT("office_form!D"&amp;ROW())="","",INDIRECT("office_form!D"&amp;ROW())))</f>
        <v/>
      </c>
      <c r="F11" s="25">
        <f>IF(INDIRECT("office_form!A"&amp;ROW())="","",IF(INDIRECT("office_form!E"&amp;ROW())="","",INDIRECT("office_form!E"&amp;ROW())))</f>
        <v/>
      </c>
      <c r="G11" s="25">
        <f>IF(INDIRECT("office_form!A"&amp;ROW())="","",IF(INDIRECT("office_form!F"&amp;ROW())="","",INDIRECT("office_form!F"&amp;ROW())))</f>
        <v/>
      </c>
      <c r="H11" s="25">
        <f>IF(INDIRECT("office_form!A"&amp;ROW())="","",IF(INDIRECT("office_form!G"&amp;ROW())="","",INDIRECT("office_form!G"&amp;ROW())))</f>
        <v/>
      </c>
      <c r="I11" s="25">
        <f>IF(INDIRECT("office_form!A"&amp;ROW())="","",IF(INDIRECT("office_form!H"&amp;ROW())="","",INDIRECT("office_form!H"&amp;ROW())))</f>
        <v/>
      </c>
      <c r="J11" s="25">
        <f>IF(INDIRECT("office_form!A"&amp;ROW())="","",IF(INDIRECT("office_form!I"&amp;ROW())="","",INDIRECT("office_form!I"&amp;ROW())))</f>
        <v/>
      </c>
      <c r="K11" s="25">
        <f>IF(INDIRECT("office_form!A"&amp;ROW())="","",IF($M11="Y",$D11,IF(INDIRECT("office_form!K"&amp;ROW())="","",INDIRECT("office_form!K"&amp;ROW()))))</f>
        <v/>
      </c>
      <c r="L11" s="25">
        <f>IF(INDIRECT("office_form!A"&amp;ROW())="","",IF($M11="Y",$E11,IF(INDIRECT("office_form!L"&amp;ROW())="","",INDIRECT("office_form!L"&amp;ROW()))))</f>
        <v/>
      </c>
      <c r="M11" s="25">
        <f>IF(INDIRECT("office_form!A"&amp;ROW())="","",IF(IF(INDIRECT("office_form!J"&amp;ROW())="","",INDIRECT("office_form!J"&amp;ROW()))="Yes, me","Y",IF(IF(INDIRECT("office_form!J"&amp;ROW())="","",INDIRECT("office_form!J"&amp;ROW()))="Someone else","N","")))</f>
        <v/>
      </c>
      <c r="N1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1" s="25">
        <f>IF(INDIRECT("office_form!A"&amp;ROW())="","",IF(INDIRECT("office_form!N"&amp;ROW())="","",INDIRECT("office_form!N"&amp;ROW())))</f>
        <v/>
      </c>
      <c r="P11" s="25">
        <f>IF(INDIRECT("office_form!A"&amp;ROW())="","",IF(IF(INDIRECT("office_form!O"&amp;ROW())="","",INDIRECT("office_form!O"&amp;ROW()))="Yes","yes",IF(IF(INDIRECT("office_form!O"&amp;ROW())="","",INDIRECT("office_form!O"&amp;ROW()))="No","no",IF(IF(INDIRECT("office_form!O"&amp;ROW())="","",INDIRECT("office_form!O"&amp;ROW()))="Not sure","unsure",""))))</f>
        <v/>
      </c>
      <c r="Q11" s="25">
        <f>IF(INDIRECT("office_form!A"&amp;ROW())="","",IF(IF(INDIRECT("office_form!P"&amp;ROW())="","",INDIRECT("office_form!P"&amp;ROW()))="Slack","slack",IF(IF(INDIRECT("office_form!P"&amp;ROW())="","",INDIRECT("office_form!P"&amp;ROW()))="Email","email",IF(IF(INDIRECT("office_form!P"&amp;ROW())="","",INDIRECT("office_form!P"&amp;ROW()))="Other","other",""))))</f>
        <v/>
      </c>
      <c r="R1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1" s="25">
        <f>IF(INDIRECT("office_form!A"&amp;ROW())="","",IF(INDIRECT("office_form!R"&amp;ROW())="","",INDIRECT("office_form!R"&amp;ROW())))</f>
        <v/>
      </c>
      <c r="T11" s="25">
        <f>IF(INDIRECT("office_form!A"&amp;ROW())="","",IF(INDIRECT("office_form!S"&amp;ROW())="","",INDIRECT("office_form!S"&amp;ROW())))</f>
        <v/>
      </c>
      <c r="U11" s="25">
        <f>IF(INDIRECT("office_form!A"&amp;ROW())="","","founder")</f>
        <v/>
      </c>
    </row>
    <row r="12">
      <c r="A12" s="25">
        <f>IF(INDIRECT("office_form!A"&amp;ROW())="","",TEXT(INDIRECT("office_form!A"&amp;ROW()),"yyyy-mm-dd""T""hh:mm:ss"))</f>
        <v/>
      </c>
      <c r="B12" s="25">
        <f>IF(INDIRECT("office_form!A"&amp;ROW())="","",config!$B$36)</f>
        <v/>
      </c>
      <c r="C12" s="25">
        <f>IF(INDIRECT("office_form!A"&amp;ROW())="","",IF(INDIRECT("office_form!B"&amp;ROW())="","",INDIRECT("office_form!B"&amp;ROW())))</f>
        <v/>
      </c>
      <c r="D12" s="25">
        <f>IF(INDIRECT("office_form!A"&amp;ROW())="","",IF(INDIRECT("office_form!C"&amp;ROW())="","",INDIRECT("office_form!C"&amp;ROW())))</f>
        <v/>
      </c>
      <c r="E12" s="25">
        <f>IF(INDIRECT("office_form!A"&amp;ROW())="","",IF(INDIRECT("office_form!D"&amp;ROW())="","",INDIRECT("office_form!D"&amp;ROW())))</f>
        <v/>
      </c>
      <c r="F12" s="25">
        <f>IF(INDIRECT("office_form!A"&amp;ROW())="","",IF(INDIRECT("office_form!E"&amp;ROW())="","",INDIRECT("office_form!E"&amp;ROW())))</f>
        <v/>
      </c>
      <c r="G12" s="25">
        <f>IF(INDIRECT("office_form!A"&amp;ROW())="","",IF(INDIRECT("office_form!F"&amp;ROW())="","",INDIRECT("office_form!F"&amp;ROW())))</f>
        <v/>
      </c>
      <c r="H12" s="25">
        <f>IF(INDIRECT("office_form!A"&amp;ROW())="","",IF(INDIRECT("office_form!G"&amp;ROW())="","",INDIRECT("office_form!G"&amp;ROW())))</f>
        <v/>
      </c>
      <c r="I12" s="25">
        <f>IF(INDIRECT("office_form!A"&amp;ROW())="","",IF(INDIRECT("office_form!H"&amp;ROW())="","",INDIRECT("office_form!H"&amp;ROW())))</f>
        <v/>
      </c>
      <c r="J12" s="25">
        <f>IF(INDIRECT("office_form!A"&amp;ROW())="","",IF(INDIRECT("office_form!I"&amp;ROW())="","",INDIRECT("office_form!I"&amp;ROW())))</f>
        <v/>
      </c>
      <c r="K12" s="25">
        <f>IF(INDIRECT("office_form!A"&amp;ROW())="","",IF($M12="Y",$D12,IF(INDIRECT("office_form!K"&amp;ROW())="","",INDIRECT("office_form!K"&amp;ROW()))))</f>
        <v/>
      </c>
      <c r="L12" s="25">
        <f>IF(INDIRECT("office_form!A"&amp;ROW())="","",IF($M12="Y",$E12,IF(INDIRECT("office_form!L"&amp;ROW())="","",INDIRECT("office_form!L"&amp;ROW()))))</f>
        <v/>
      </c>
      <c r="M12" s="25">
        <f>IF(INDIRECT("office_form!A"&amp;ROW())="","",IF(IF(INDIRECT("office_form!J"&amp;ROW())="","",INDIRECT("office_form!J"&amp;ROW()))="Yes, me","Y",IF(IF(INDIRECT("office_form!J"&amp;ROW())="","",INDIRECT("office_form!J"&amp;ROW()))="Someone else","N","")))</f>
        <v/>
      </c>
      <c r="N1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2" s="25">
        <f>IF(INDIRECT("office_form!A"&amp;ROW())="","",IF(INDIRECT("office_form!N"&amp;ROW())="","",INDIRECT("office_form!N"&amp;ROW())))</f>
        <v/>
      </c>
      <c r="P12" s="25">
        <f>IF(INDIRECT("office_form!A"&amp;ROW())="","",IF(IF(INDIRECT("office_form!O"&amp;ROW())="","",INDIRECT("office_form!O"&amp;ROW()))="Yes","yes",IF(IF(INDIRECT("office_form!O"&amp;ROW())="","",INDIRECT("office_form!O"&amp;ROW()))="No","no",IF(IF(INDIRECT("office_form!O"&amp;ROW())="","",INDIRECT("office_form!O"&amp;ROW()))="Not sure","unsure",""))))</f>
        <v/>
      </c>
      <c r="Q12" s="25">
        <f>IF(INDIRECT("office_form!A"&amp;ROW())="","",IF(IF(INDIRECT("office_form!P"&amp;ROW())="","",INDIRECT("office_form!P"&amp;ROW()))="Slack","slack",IF(IF(INDIRECT("office_form!P"&amp;ROW())="","",INDIRECT("office_form!P"&amp;ROW()))="Email","email",IF(IF(INDIRECT("office_form!P"&amp;ROW())="","",INDIRECT("office_form!P"&amp;ROW()))="Other","other",""))))</f>
        <v/>
      </c>
      <c r="R1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2" s="25">
        <f>IF(INDIRECT("office_form!A"&amp;ROW())="","",IF(INDIRECT("office_form!R"&amp;ROW())="","",INDIRECT("office_form!R"&amp;ROW())))</f>
        <v/>
      </c>
      <c r="T12" s="25">
        <f>IF(INDIRECT("office_form!A"&amp;ROW())="","",IF(INDIRECT("office_form!S"&amp;ROW())="","",INDIRECT("office_form!S"&amp;ROW())))</f>
        <v/>
      </c>
      <c r="U12" s="25">
        <f>IF(INDIRECT("office_form!A"&amp;ROW())="","","founder")</f>
        <v/>
      </c>
    </row>
    <row r="13">
      <c r="A13" s="25">
        <f>IF(INDIRECT("office_form!A"&amp;ROW())="","",TEXT(INDIRECT("office_form!A"&amp;ROW()),"yyyy-mm-dd""T""hh:mm:ss"))</f>
        <v/>
      </c>
      <c r="B13" s="25">
        <f>IF(INDIRECT("office_form!A"&amp;ROW())="","",config!$B$36)</f>
        <v/>
      </c>
      <c r="C13" s="25">
        <f>IF(INDIRECT("office_form!A"&amp;ROW())="","",IF(INDIRECT("office_form!B"&amp;ROW())="","",INDIRECT("office_form!B"&amp;ROW())))</f>
        <v/>
      </c>
      <c r="D13" s="25">
        <f>IF(INDIRECT("office_form!A"&amp;ROW())="","",IF(INDIRECT("office_form!C"&amp;ROW())="","",INDIRECT("office_form!C"&amp;ROW())))</f>
        <v/>
      </c>
      <c r="E13" s="25">
        <f>IF(INDIRECT("office_form!A"&amp;ROW())="","",IF(INDIRECT("office_form!D"&amp;ROW())="","",INDIRECT("office_form!D"&amp;ROW())))</f>
        <v/>
      </c>
      <c r="F13" s="25">
        <f>IF(INDIRECT("office_form!A"&amp;ROW())="","",IF(INDIRECT("office_form!E"&amp;ROW())="","",INDIRECT("office_form!E"&amp;ROW())))</f>
        <v/>
      </c>
      <c r="G13" s="25">
        <f>IF(INDIRECT("office_form!A"&amp;ROW())="","",IF(INDIRECT("office_form!F"&amp;ROW())="","",INDIRECT("office_form!F"&amp;ROW())))</f>
        <v/>
      </c>
      <c r="H13" s="25">
        <f>IF(INDIRECT("office_form!A"&amp;ROW())="","",IF(INDIRECT("office_form!G"&amp;ROW())="","",INDIRECT("office_form!G"&amp;ROW())))</f>
        <v/>
      </c>
      <c r="I13" s="25">
        <f>IF(INDIRECT("office_form!A"&amp;ROW())="","",IF(INDIRECT("office_form!H"&amp;ROW())="","",INDIRECT("office_form!H"&amp;ROW())))</f>
        <v/>
      </c>
      <c r="J13" s="25">
        <f>IF(INDIRECT("office_form!A"&amp;ROW())="","",IF(INDIRECT("office_form!I"&amp;ROW())="","",INDIRECT("office_form!I"&amp;ROW())))</f>
        <v/>
      </c>
      <c r="K13" s="25">
        <f>IF(INDIRECT("office_form!A"&amp;ROW())="","",IF($M13="Y",$D13,IF(INDIRECT("office_form!K"&amp;ROW())="","",INDIRECT("office_form!K"&amp;ROW()))))</f>
        <v/>
      </c>
      <c r="L13" s="25">
        <f>IF(INDIRECT("office_form!A"&amp;ROW())="","",IF($M13="Y",$E13,IF(INDIRECT("office_form!L"&amp;ROW())="","",INDIRECT("office_form!L"&amp;ROW()))))</f>
        <v/>
      </c>
      <c r="M13" s="25">
        <f>IF(INDIRECT("office_form!A"&amp;ROW())="","",IF(IF(INDIRECT("office_form!J"&amp;ROW())="","",INDIRECT("office_form!J"&amp;ROW()))="Yes, me","Y",IF(IF(INDIRECT("office_form!J"&amp;ROW())="","",INDIRECT("office_form!J"&amp;ROW()))="Someone else","N","")))</f>
        <v/>
      </c>
      <c r="N1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3" s="25">
        <f>IF(INDIRECT("office_form!A"&amp;ROW())="","",IF(INDIRECT("office_form!N"&amp;ROW())="","",INDIRECT("office_form!N"&amp;ROW())))</f>
        <v/>
      </c>
      <c r="P13" s="25">
        <f>IF(INDIRECT("office_form!A"&amp;ROW())="","",IF(IF(INDIRECT("office_form!O"&amp;ROW())="","",INDIRECT("office_form!O"&amp;ROW()))="Yes","yes",IF(IF(INDIRECT("office_form!O"&amp;ROW())="","",INDIRECT("office_form!O"&amp;ROW()))="No","no",IF(IF(INDIRECT("office_form!O"&amp;ROW())="","",INDIRECT("office_form!O"&amp;ROW()))="Not sure","unsure",""))))</f>
        <v/>
      </c>
      <c r="Q13" s="25">
        <f>IF(INDIRECT("office_form!A"&amp;ROW())="","",IF(IF(INDIRECT("office_form!P"&amp;ROW())="","",INDIRECT("office_form!P"&amp;ROW()))="Slack","slack",IF(IF(INDIRECT("office_form!P"&amp;ROW())="","",INDIRECT("office_form!P"&amp;ROW()))="Email","email",IF(IF(INDIRECT("office_form!P"&amp;ROW())="","",INDIRECT("office_form!P"&amp;ROW()))="Other","other",""))))</f>
        <v/>
      </c>
      <c r="R1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3" s="25">
        <f>IF(INDIRECT("office_form!A"&amp;ROW())="","",IF(INDIRECT("office_form!R"&amp;ROW())="","",INDIRECT("office_form!R"&amp;ROW())))</f>
        <v/>
      </c>
      <c r="T13" s="25">
        <f>IF(INDIRECT("office_form!A"&amp;ROW())="","",IF(INDIRECT("office_form!S"&amp;ROW())="","",INDIRECT("office_form!S"&amp;ROW())))</f>
        <v/>
      </c>
      <c r="U13" s="25">
        <f>IF(INDIRECT("office_form!A"&amp;ROW())="","","founder")</f>
        <v/>
      </c>
    </row>
    <row r="14">
      <c r="A14" s="25">
        <f>IF(INDIRECT("office_form!A"&amp;ROW())="","",TEXT(INDIRECT("office_form!A"&amp;ROW()),"yyyy-mm-dd""T""hh:mm:ss"))</f>
        <v/>
      </c>
      <c r="B14" s="25">
        <f>IF(INDIRECT("office_form!A"&amp;ROW())="","",config!$B$36)</f>
        <v/>
      </c>
      <c r="C14" s="25">
        <f>IF(INDIRECT("office_form!A"&amp;ROW())="","",IF(INDIRECT("office_form!B"&amp;ROW())="","",INDIRECT("office_form!B"&amp;ROW())))</f>
        <v/>
      </c>
      <c r="D14" s="25">
        <f>IF(INDIRECT("office_form!A"&amp;ROW())="","",IF(INDIRECT("office_form!C"&amp;ROW())="","",INDIRECT("office_form!C"&amp;ROW())))</f>
        <v/>
      </c>
      <c r="E14" s="25">
        <f>IF(INDIRECT("office_form!A"&amp;ROW())="","",IF(INDIRECT("office_form!D"&amp;ROW())="","",INDIRECT("office_form!D"&amp;ROW())))</f>
        <v/>
      </c>
      <c r="F14" s="25">
        <f>IF(INDIRECT("office_form!A"&amp;ROW())="","",IF(INDIRECT("office_form!E"&amp;ROW())="","",INDIRECT("office_form!E"&amp;ROW())))</f>
        <v/>
      </c>
      <c r="G14" s="25">
        <f>IF(INDIRECT("office_form!A"&amp;ROW())="","",IF(INDIRECT("office_form!F"&amp;ROW())="","",INDIRECT("office_form!F"&amp;ROW())))</f>
        <v/>
      </c>
      <c r="H14" s="25">
        <f>IF(INDIRECT("office_form!A"&amp;ROW())="","",IF(INDIRECT("office_form!G"&amp;ROW())="","",INDIRECT("office_form!G"&amp;ROW())))</f>
        <v/>
      </c>
      <c r="I14" s="25">
        <f>IF(INDIRECT("office_form!A"&amp;ROW())="","",IF(INDIRECT("office_form!H"&amp;ROW())="","",INDIRECT("office_form!H"&amp;ROW())))</f>
        <v/>
      </c>
      <c r="J14" s="25">
        <f>IF(INDIRECT("office_form!A"&amp;ROW())="","",IF(INDIRECT("office_form!I"&amp;ROW())="","",INDIRECT("office_form!I"&amp;ROW())))</f>
        <v/>
      </c>
      <c r="K14" s="25">
        <f>IF(INDIRECT("office_form!A"&amp;ROW())="","",IF($M14="Y",$D14,IF(INDIRECT("office_form!K"&amp;ROW())="","",INDIRECT("office_form!K"&amp;ROW()))))</f>
        <v/>
      </c>
      <c r="L14" s="25">
        <f>IF(INDIRECT("office_form!A"&amp;ROW())="","",IF($M14="Y",$E14,IF(INDIRECT("office_form!L"&amp;ROW())="","",INDIRECT("office_form!L"&amp;ROW()))))</f>
        <v/>
      </c>
      <c r="M14" s="25">
        <f>IF(INDIRECT("office_form!A"&amp;ROW())="","",IF(IF(INDIRECT("office_form!J"&amp;ROW())="","",INDIRECT("office_form!J"&amp;ROW()))="Yes, me","Y",IF(IF(INDIRECT("office_form!J"&amp;ROW())="","",INDIRECT("office_form!J"&amp;ROW()))="Someone else","N","")))</f>
        <v/>
      </c>
      <c r="N1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4" s="25">
        <f>IF(INDIRECT("office_form!A"&amp;ROW())="","",IF(INDIRECT("office_form!N"&amp;ROW())="","",INDIRECT("office_form!N"&amp;ROW())))</f>
        <v/>
      </c>
      <c r="P14" s="25">
        <f>IF(INDIRECT("office_form!A"&amp;ROW())="","",IF(IF(INDIRECT("office_form!O"&amp;ROW())="","",INDIRECT("office_form!O"&amp;ROW()))="Yes","yes",IF(IF(INDIRECT("office_form!O"&amp;ROW())="","",INDIRECT("office_form!O"&amp;ROW()))="No","no",IF(IF(INDIRECT("office_form!O"&amp;ROW())="","",INDIRECT("office_form!O"&amp;ROW()))="Not sure","unsure",""))))</f>
        <v/>
      </c>
      <c r="Q14" s="25">
        <f>IF(INDIRECT("office_form!A"&amp;ROW())="","",IF(IF(INDIRECT("office_form!P"&amp;ROW())="","",INDIRECT("office_form!P"&amp;ROW()))="Slack","slack",IF(IF(INDIRECT("office_form!P"&amp;ROW())="","",INDIRECT("office_form!P"&amp;ROW()))="Email","email",IF(IF(INDIRECT("office_form!P"&amp;ROW())="","",INDIRECT("office_form!P"&amp;ROW()))="Other","other",""))))</f>
        <v/>
      </c>
      <c r="R1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4" s="25">
        <f>IF(INDIRECT("office_form!A"&amp;ROW())="","",IF(INDIRECT("office_form!R"&amp;ROW())="","",INDIRECT("office_form!R"&amp;ROW())))</f>
        <v/>
      </c>
      <c r="T14" s="25">
        <f>IF(INDIRECT("office_form!A"&amp;ROW())="","",IF(INDIRECT("office_form!S"&amp;ROW())="","",INDIRECT("office_form!S"&amp;ROW())))</f>
        <v/>
      </c>
      <c r="U14" s="25">
        <f>IF(INDIRECT("office_form!A"&amp;ROW())="","","founder")</f>
        <v/>
      </c>
    </row>
    <row r="15">
      <c r="A15" s="25">
        <f>IF(INDIRECT("office_form!A"&amp;ROW())="","",TEXT(INDIRECT("office_form!A"&amp;ROW()),"yyyy-mm-dd""T""hh:mm:ss"))</f>
        <v/>
      </c>
      <c r="B15" s="25">
        <f>IF(INDIRECT("office_form!A"&amp;ROW())="","",config!$B$36)</f>
        <v/>
      </c>
      <c r="C15" s="25">
        <f>IF(INDIRECT("office_form!A"&amp;ROW())="","",IF(INDIRECT("office_form!B"&amp;ROW())="","",INDIRECT("office_form!B"&amp;ROW())))</f>
        <v/>
      </c>
      <c r="D15" s="25">
        <f>IF(INDIRECT("office_form!A"&amp;ROW())="","",IF(INDIRECT("office_form!C"&amp;ROW())="","",INDIRECT("office_form!C"&amp;ROW())))</f>
        <v/>
      </c>
      <c r="E15" s="25">
        <f>IF(INDIRECT("office_form!A"&amp;ROW())="","",IF(INDIRECT("office_form!D"&amp;ROW())="","",INDIRECT("office_form!D"&amp;ROW())))</f>
        <v/>
      </c>
      <c r="F15" s="25">
        <f>IF(INDIRECT("office_form!A"&amp;ROW())="","",IF(INDIRECT("office_form!E"&amp;ROW())="","",INDIRECT("office_form!E"&amp;ROW())))</f>
        <v/>
      </c>
      <c r="G15" s="25">
        <f>IF(INDIRECT("office_form!A"&amp;ROW())="","",IF(INDIRECT("office_form!F"&amp;ROW())="","",INDIRECT("office_form!F"&amp;ROW())))</f>
        <v/>
      </c>
      <c r="H15" s="25">
        <f>IF(INDIRECT("office_form!A"&amp;ROW())="","",IF(INDIRECT("office_form!G"&amp;ROW())="","",INDIRECT("office_form!G"&amp;ROW())))</f>
        <v/>
      </c>
      <c r="I15" s="25">
        <f>IF(INDIRECT("office_form!A"&amp;ROW())="","",IF(INDIRECT("office_form!H"&amp;ROW())="","",INDIRECT("office_form!H"&amp;ROW())))</f>
        <v/>
      </c>
      <c r="J15" s="25">
        <f>IF(INDIRECT("office_form!A"&amp;ROW())="","",IF(INDIRECT("office_form!I"&amp;ROW())="","",INDIRECT("office_form!I"&amp;ROW())))</f>
        <v/>
      </c>
      <c r="K15" s="25">
        <f>IF(INDIRECT("office_form!A"&amp;ROW())="","",IF($M15="Y",$D15,IF(INDIRECT("office_form!K"&amp;ROW())="","",INDIRECT("office_form!K"&amp;ROW()))))</f>
        <v/>
      </c>
      <c r="L15" s="25">
        <f>IF(INDIRECT("office_form!A"&amp;ROW())="","",IF($M15="Y",$E15,IF(INDIRECT("office_form!L"&amp;ROW())="","",INDIRECT("office_form!L"&amp;ROW()))))</f>
        <v/>
      </c>
      <c r="M15" s="25">
        <f>IF(INDIRECT("office_form!A"&amp;ROW())="","",IF(IF(INDIRECT("office_form!J"&amp;ROW())="","",INDIRECT("office_form!J"&amp;ROW()))="Yes, me","Y",IF(IF(INDIRECT("office_form!J"&amp;ROW())="","",INDIRECT("office_form!J"&amp;ROW()))="Someone else","N","")))</f>
        <v/>
      </c>
      <c r="N1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5" s="25">
        <f>IF(INDIRECT("office_form!A"&amp;ROW())="","",IF(INDIRECT("office_form!N"&amp;ROW())="","",INDIRECT("office_form!N"&amp;ROW())))</f>
        <v/>
      </c>
      <c r="P15" s="25">
        <f>IF(INDIRECT("office_form!A"&amp;ROW())="","",IF(IF(INDIRECT("office_form!O"&amp;ROW())="","",INDIRECT("office_form!O"&amp;ROW()))="Yes","yes",IF(IF(INDIRECT("office_form!O"&amp;ROW())="","",INDIRECT("office_form!O"&amp;ROW()))="No","no",IF(IF(INDIRECT("office_form!O"&amp;ROW())="","",INDIRECT("office_form!O"&amp;ROW()))="Not sure","unsure",""))))</f>
        <v/>
      </c>
      <c r="Q15" s="25">
        <f>IF(INDIRECT("office_form!A"&amp;ROW())="","",IF(IF(INDIRECT("office_form!P"&amp;ROW())="","",INDIRECT("office_form!P"&amp;ROW()))="Slack","slack",IF(IF(INDIRECT("office_form!P"&amp;ROW())="","",INDIRECT("office_form!P"&amp;ROW()))="Email","email",IF(IF(INDIRECT("office_form!P"&amp;ROW())="","",INDIRECT("office_form!P"&amp;ROW()))="Other","other",""))))</f>
        <v/>
      </c>
      <c r="R1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5" s="25">
        <f>IF(INDIRECT("office_form!A"&amp;ROW())="","",IF(INDIRECT("office_form!R"&amp;ROW())="","",INDIRECT("office_form!R"&amp;ROW())))</f>
        <v/>
      </c>
      <c r="T15" s="25">
        <f>IF(INDIRECT("office_form!A"&amp;ROW())="","",IF(INDIRECT("office_form!S"&amp;ROW())="","",INDIRECT("office_form!S"&amp;ROW())))</f>
        <v/>
      </c>
      <c r="U15" s="25">
        <f>IF(INDIRECT("office_form!A"&amp;ROW())="","","founder")</f>
        <v/>
      </c>
    </row>
    <row r="16">
      <c r="A16" s="25">
        <f>IF(INDIRECT("office_form!A"&amp;ROW())="","",TEXT(INDIRECT("office_form!A"&amp;ROW()),"yyyy-mm-dd""T""hh:mm:ss"))</f>
        <v/>
      </c>
      <c r="B16" s="25">
        <f>IF(INDIRECT("office_form!A"&amp;ROW())="","",config!$B$36)</f>
        <v/>
      </c>
      <c r="C16" s="25">
        <f>IF(INDIRECT("office_form!A"&amp;ROW())="","",IF(INDIRECT("office_form!B"&amp;ROW())="","",INDIRECT("office_form!B"&amp;ROW())))</f>
        <v/>
      </c>
      <c r="D16" s="25">
        <f>IF(INDIRECT("office_form!A"&amp;ROW())="","",IF(INDIRECT("office_form!C"&amp;ROW())="","",INDIRECT("office_form!C"&amp;ROW())))</f>
        <v/>
      </c>
      <c r="E16" s="25">
        <f>IF(INDIRECT("office_form!A"&amp;ROW())="","",IF(INDIRECT("office_form!D"&amp;ROW())="","",INDIRECT("office_form!D"&amp;ROW())))</f>
        <v/>
      </c>
      <c r="F16" s="25">
        <f>IF(INDIRECT("office_form!A"&amp;ROW())="","",IF(INDIRECT("office_form!E"&amp;ROW())="","",INDIRECT("office_form!E"&amp;ROW())))</f>
        <v/>
      </c>
      <c r="G16" s="25">
        <f>IF(INDIRECT("office_form!A"&amp;ROW())="","",IF(INDIRECT("office_form!F"&amp;ROW())="","",INDIRECT("office_form!F"&amp;ROW())))</f>
        <v/>
      </c>
      <c r="H16" s="25">
        <f>IF(INDIRECT("office_form!A"&amp;ROW())="","",IF(INDIRECT("office_form!G"&amp;ROW())="","",INDIRECT("office_form!G"&amp;ROW())))</f>
        <v/>
      </c>
      <c r="I16" s="25">
        <f>IF(INDIRECT("office_form!A"&amp;ROW())="","",IF(INDIRECT("office_form!H"&amp;ROW())="","",INDIRECT("office_form!H"&amp;ROW())))</f>
        <v/>
      </c>
      <c r="J16" s="25">
        <f>IF(INDIRECT("office_form!A"&amp;ROW())="","",IF(INDIRECT("office_form!I"&amp;ROW())="","",INDIRECT("office_form!I"&amp;ROW())))</f>
        <v/>
      </c>
      <c r="K16" s="25">
        <f>IF(INDIRECT("office_form!A"&amp;ROW())="","",IF($M16="Y",$D16,IF(INDIRECT("office_form!K"&amp;ROW())="","",INDIRECT("office_form!K"&amp;ROW()))))</f>
        <v/>
      </c>
      <c r="L16" s="25">
        <f>IF(INDIRECT("office_form!A"&amp;ROW())="","",IF($M16="Y",$E16,IF(INDIRECT("office_form!L"&amp;ROW())="","",INDIRECT("office_form!L"&amp;ROW()))))</f>
        <v/>
      </c>
      <c r="M16" s="25">
        <f>IF(INDIRECT("office_form!A"&amp;ROW())="","",IF(IF(INDIRECT("office_form!J"&amp;ROW())="","",INDIRECT("office_form!J"&amp;ROW()))="Yes, me","Y",IF(IF(INDIRECT("office_form!J"&amp;ROW())="","",INDIRECT("office_form!J"&amp;ROW()))="Someone else","N","")))</f>
        <v/>
      </c>
      <c r="N1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6" s="25">
        <f>IF(INDIRECT("office_form!A"&amp;ROW())="","",IF(INDIRECT("office_form!N"&amp;ROW())="","",INDIRECT("office_form!N"&amp;ROW())))</f>
        <v/>
      </c>
      <c r="P16" s="25">
        <f>IF(INDIRECT("office_form!A"&amp;ROW())="","",IF(IF(INDIRECT("office_form!O"&amp;ROW())="","",INDIRECT("office_form!O"&amp;ROW()))="Yes","yes",IF(IF(INDIRECT("office_form!O"&amp;ROW())="","",INDIRECT("office_form!O"&amp;ROW()))="No","no",IF(IF(INDIRECT("office_form!O"&amp;ROW())="","",INDIRECT("office_form!O"&amp;ROW()))="Not sure","unsure",""))))</f>
        <v/>
      </c>
      <c r="Q16" s="25">
        <f>IF(INDIRECT("office_form!A"&amp;ROW())="","",IF(IF(INDIRECT("office_form!P"&amp;ROW())="","",INDIRECT("office_form!P"&amp;ROW()))="Slack","slack",IF(IF(INDIRECT("office_form!P"&amp;ROW())="","",INDIRECT("office_form!P"&amp;ROW()))="Email","email",IF(IF(INDIRECT("office_form!P"&amp;ROW())="","",INDIRECT("office_form!P"&amp;ROW()))="Other","other",""))))</f>
        <v/>
      </c>
      <c r="R1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6" s="25">
        <f>IF(INDIRECT("office_form!A"&amp;ROW())="","",IF(INDIRECT("office_form!R"&amp;ROW())="","",INDIRECT("office_form!R"&amp;ROW())))</f>
        <v/>
      </c>
      <c r="T16" s="25">
        <f>IF(INDIRECT("office_form!A"&amp;ROW())="","",IF(INDIRECT("office_form!S"&amp;ROW())="","",INDIRECT("office_form!S"&amp;ROW())))</f>
        <v/>
      </c>
      <c r="U16" s="25">
        <f>IF(INDIRECT("office_form!A"&amp;ROW())="","","founder")</f>
        <v/>
      </c>
    </row>
    <row r="17">
      <c r="A17" s="25">
        <f>IF(INDIRECT("office_form!A"&amp;ROW())="","",TEXT(INDIRECT("office_form!A"&amp;ROW()),"yyyy-mm-dd""T""hh:mm:ss"))</f>
        <v/>
      </c>
      <c r="B17" s="25">
        <f>IF(INDIRECT("office_form!A"&amp;ROW())="","",config!$B$36)</f>
        <v/>
      </c>
      <c r="C17" s="25">
        <f>IF(INDIRECT("office_form!A"&amp;ROW())="","",IF(INDIRECT("office_form!B"&amp;ROW())="","",INDIRECT("office_form!B"&amp;ROW())))</f>
        <v/>
      </c>
      <c r="D17" s="25">
        <f>IF(INDIRECT("office_form!A"&amp;ROW())="","",IF(INDIRECT("office_form!C"&amp;ROW())="","",INDIRECT("office_form!C"&amp;ROW())))</f>
        <v/>
      </c>
      <c r="E17" s="25">
        <f>IF(INDIRECT("office_form!A"&amp;ROW())="","",IF(INDIRECT("office_form!D"&amp;ROW())="","",INDIRECT("office_form!D"&amp;ROW())))</f>
        <v/>
      </c>
      <c r="F17" s="25">
        <f>IF(INDIRECT("office_form!A"&amp;ROW())="","",IF(INDIRECT("office_form!E"&amp;ROW())="","",INDIRECT("office_form!E"&amp;ROW())))</f>
        <v/>
      </c>
      <c r="G17" s="25">
        <f>IF(INDIRECT("office_form!A"&amp;ROW())="","",IF(INDIRECT("office_form!F"&amp;ROW())="","",INDIRECT("office_form!F"&amp;ROW())))</f>
        <v/>
      </c>
      <c r="H17" s="25">
        <f>IF(INDIRECT("office_form!A"&amp;ROW())="","",IF(INDIRECT("office_form!G"&amp;ROW())="","",INDIRECT("office_form!G"&amp;ROW())))</f>
        <v/>
      </c>
      <c r="I17" s="25">
        <f>IF(INDIRECT("office_form!A"&amp;ROW())="","",IF(INDIRECT("office_form!H"&amp;ROW())="","",INDIRECT("office_form!H"&amp;ROW())))</f>
        <v/>
      </c>
      <c r="J17" s="25">
        <f>IF(INDIRECT("office_form!A"&amp;ROW())="","",IF(INDIRECT("office_form!I"&amp;ROW())="","",INDIRECT("office_form!I"&amp;ROW())))</f>
        <v/>
      </c>
      <c r="K17" s="25">
        <f>IF(INDIRECT("office_form!A"&amp;ROW())="","",IF($M17="Y",$D17,IF(INDIRECT("office_form!K"&amp;ROW())="","",INDIRECT("office_form!K"&amp;ROW()))))</f>
        <v/>
      </c>
      <c r="L17" s="25">
        <f>IF(INDIRECT("office_form!A"&amp;ROW())="","",IF($M17="Y",$E17,IF(INDIRECT("office_form!L"&amp;ROW())="","",INDIRECT("office_form!L"&amp;ROW()))))</f>
        <v/>
      </c>
      <c r="M17" s="25">
        <f>IF(INDIRECT("office_form!A"&amp;ROW())="","",IF(IF(INDIRECT("office_form!J"&amp;ROW())="","",INDIRECT("office_form!J"&amp;ROW()))="Yes, me","Y",IF(IF(INDIRECT("office_form!J"&amp;ROW())="","",INDIRECT("office_form!J"&amp;ROW()))="Someone else","N","")))</f>
        <v/>
      </c>
      <c r="N1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7" s="25">
        <f>IF(INDIRECT("office_form!A"&amp;ROW())="","",IF(INDIRECT("office_form!N"&amp;ROW())="","",INDIRECT("office_form!N"&amp;ROW())))</f>
        <v/>
      </c>
      <c r="P17" s="25">
        <f>IF(INDIRECT("office_form!A"&amp;ROW())="","",IF(IF(INDIRECT("office_form!O"&amp;ROW())="","",INDIRECT("office_form!O"&amp;ROW()))="Yes","yes",IF(IF(INDIRECT("office_form!O"&amp;ROW())="","",INDIRECT("office_form!O"&amp;ROW()))="No","no",IF(IF(INDIRECT("office_form!O"&amp;ROW())="","",INDIRECT("office_form!O"&amp;ROW()))="Not sure","unsure",""))))</f>
        <v/>
      </c>
      <c r="Q17" s="25">
        <f>IF(INDIRECT("office_form!A"&amp;ROW())="","",IF(IF(INDIRECT("office_form!P"&amp;ROW())="","",INDIRECT("office_form!P"&amp;ROW()))="Slack","slack",IF(IF(INDIRECT("office_form!P"&amp;ROW())="","",INDIRECT("office_form!P"&amp;ROW()))="Email","email",IF(IF(INDIRECT("office_form!P"&amp;ROW())="","",INDIRECT("office_form!P"&amp;ROW()))="Other","other",""))))</f>
        <v/>
      </c>
      <c r="R1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7" s="25">
        <f>IF(INDIRECT("office_form!A"&amp;ROW())="","",IF(INDIRECT("office_form!R"&amp;ROW())="","",INDIRECT("office_form!R"&amp;ROW())))</f>
        <v/>
      </c>
      <c r="T17" s="25">
        <f>IF(INDIRECT("office_form!A"&amp;ROW())="","",IF(INDIRECT("office_form!S"&amp;ROW())="","",INDIRECT("office_form!S"&amp;ROW())))</f>
        <v/>
      </c>
      <c r="U17" s="25">
        <f>IF(INDIRECT("office_form!A"&amp;ROW())="","","founder")</f>
        <v/>
      </c>
    </row>
    <row r="18">
      <c r="A18" s="25">
        <f>IF(INDIRECT("office_form!A"&amp;ROW())="","",TEXT(INDIRECT("office_form!A"&amp;ROW()),"yyyy-mm-dd""T""hh:mm:ss"))</f>
        <v/>
      </c>
      <c r="B18" s="25">
        <f>IF(INDIRECT("office_form!A"&amp;ROW())="","",config!$B$36)</f>
        <v/>
      </c>
      <c r="C18" s="25">
        <f>IF(INDIRECT("office_form!A"&amp;ROW())="","",IF(INDIRECT("office_form!B"&amp;ROW())="","",INDIRECT("office_form!B"&amp;ROW())))</f>
        <v/>
      </c>
      <c r="D18" s="25">
        <f>IF(INDIRECT("office_form!A"&amp;ROW())="","",IF(INDIRECT("office_form!C"&amp;ROW())="","",INDIRECT("office_form!C"&amp;ROW())))</f>
        <v/>
      </c>
      <c r="E18" s="25">
        <f>IF(INDIRECT("office_form!A"&amp;ROW())="","",IF(INDIRECT("office_form!D"&amp;ROW())="","",INDIRECT("office_form!D"&amp;ROW())))</f>
        <v/>
      </c>
      <c r="F18" s="25">
        <f>IF(INDIRECT("office_form!A"&amp;ROW())="","",IF(INDIRECT("office_form!E"&amp;ROW())="","",INDIRECT("office_form!E"&amp;ROW())))</f>
        <v/>
      </c>
      <c r="G18" s="25">
        <f>IF(INDIRECT("office_form!A"&amp;ROW())="","",IF(INDIRECT("office_form!F"&amp;ROW())="","",INDIRECT("office_form!F"&amp;ROW())))</f>
        <v/>
      </c>
      <c r="H18" s="25">
        <f>IF(INDIRECT("office_form!A"&amp;ROW())="","",IF(INDIRECT("office_form!G"&amp;ROW())="","",INDIRECT("office_form!G"&amp;ROW())))</f>
        <v/>
      </c>
      <c r="I18" s="25">
        <f>IF(INDIRECT("office_form!A"&amp;ROW())="","",IF(INDIRECT("office_form!H"&amp;ROW())="","",INDIRECT("office_form!H"&amp;ROW())))</f>
        <v/>
      </c>
      <c r="J18" s="25">
        <f>IF(INDIRECT("office_form!A"&amp;ROW())="","",IF(INDIRECT("office_form!I"&amp;ROW())="","",INDIRECT("office_form!I"&amp;ROW())))</f>
        <v/>
      </c>
      <c r="K18" s="25">
        <f>IF(INDIRECT("office_form!A"&amp;ROW())="","",IF($M18="Y",$D18,IF(INDIRECT("office_form!K"&amp;ROW())="","",INDIRECT("office_form!K"&amp;ROW()))))</f>
        <v/>
      </c>
      <c r="L18" s="25">
        <f>IF(INDIRECT("office_form!A"&amp;ROW())="","",IF($M18="Y",$E18,IF(INDIRECT("office_form!L"&amp;ROW())="","",INDIRECT("office_form!L"&amp;ROW()))))</f>
        <v/>
      </c>
      <c r="M18" s="25">
        <f>IF(INDIRECT("office_form!A"&amp;ROW())="","",IF(IF(INDIRECT("office_form!J"&amp;ROW())="","",INDIRECT("office_form!J"&amp;ROW()))="Yes, me","Y",IF(IF(INDIRECT("office_form!J"&amp;ROW())="","",INDIRECT("office_form!J"&amp;ROW()))="Someone else","N","")))</f>
        <v/>
      </c>
      <c r="N1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8" s="25">
        <f>IF(INDIRECT("office_form!A"&amp;ROW())="","",IF(INDIRECT("office_form!N"&amp;ROW())="","",INDIRECT("office_form!N"&amp;ROW())))</f>
        <v/>
      </c>
      <c r="P18" s="25">
        <f>IF(INDIRECT("office_form!A"&amp;ROW())="","",IF(IF(INDIRECT("office_form!O"&amp;ROW())="","",INDIRECT("office_form!O"&amp;ROW()))="Yes","yes",IF(IF(INDIRECT("office_form!O"&amp;ROW())="","",INDIRECT("office_form!O"&amp;ROW()))="No","no",IF(IF(INDIRECT("office_form!O"&amp;ROW())="","",INDIRECT("office_form!O"&amp;ROW()))="Not sure","unsure",""))))</f>
        <v/>
      </c>
      <c r="Q18" s="25">
        <f>IF(INDIRECT("office_form!A"&amp;ROW())="","",IF(IF(INDIRECT("office_form!P"&amp;ROW())="","",INDIRECT("office_form!P"&amp;ROW()))="Slack","slack",IF(IF(INDIRECT("office_form!P"&amp;ROW())="","",INDIRECT("office_form!P"&amp;ROW()))="Email","email",IF(IF(INDIRECT("office_form!P"&amp;ROW())="","",INDIRECT("office_form!P"&amp;ROW()))="Other","other",""))))</f>
        <v/>
      </c>
      <c r="R1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8" s="25">
        <f>IF(INDIRECT("office_form!A"&amp;ROW())="","",IF(INDIRECT("office_form!R"&amp;ROW())="","",INDIRECT("office_form!R"&amp;ROW())))</f>
        <v/>
      </c>
      <c r="T18" s="25">
        <f>IF(INDIRECT("office_form!A"&amp;ROW())="","",IF(INDIRECT("office_form!S"&amp;ROW())="","",INDIRECT("office_form!S"&amp;ROW())))</f>
        <v/>
      </c>
      <c r="U18" s="25">
        <f>IF(INDIRECT("office_form!A"&amp;ROW())="","","founder")</f>
        <v/>
      </c>
    </row>
    <row r="19">
      <c r="A19" s="25">
        <f>IF(INDIRECT("office_form!A"&amp;ROW())="","",TEXT(INDIRECT("office_form!A"&amp;ROW()),"yyyy-mm-dd""T""hh:mm:ss"))</f>
        <v/>
      </c>
      <c r="B19" s="25">
        <f>IF(INDIRECT("office_form!A"&amp;ROW())="","",config!$B$36)</f>
        <v/>
      </c>
      <c r="C19" s="25">
        <f>IF(INDIRECT("office_form!A"&amp;ROW())="","",IF(INDIRECT("office_form!B"&amp;ROW())="","",INDIRECT("office_form!B"&amp;ROW())))</f>
        <v/>
      </c>
      <c r="D19" s="25">
        <f>IF(INDIRECT("office_form!A"&amp;ROW())="","",IF(INDIRECT("office_form!C"&amp;ROW())="","",INDIRECT("office_form!C"&amp;ROW())))</f>
        <v/>
      </c>
      <c r="E19" s="25">
        <f>IF(INDIRECT("office_form!A"&amp;ROW())="","",IF(INDIRECT("office_form!D"&amp;ROW())="","",INDIRECT("office_form!D"&amp;ROW())))</f>
        <v/>
      </c>
      <c r="F19" s="25">
        <f>IF(INDIRECT("office_form!A"&amp;ROW())="","",IF(INDIRECT("office_form!E"&amp;ROW())="","",INDIRECT("office_form!E"&amp;ROW())))</f>
        <v/>
      </c>
      <c r="G19" s="25">
        <f>IF(INDIRECT("office_form!A"&amp;ROW())="","",IF(INDIRECT("office_form!F"&amp;ROW())="","",INDIRECT("office_form!F"&amp;ROW())))</f>
        <v/>
      </c>
      <c r="H19" s="25">
        <f>IF(INDIRECT("office_form!A"&amp;ROW())="","",IF(INDIRECT("office_form!G"&amp;ROW())="","",INDIRECT("office_form!G"&amp;ROW())))</f>
        <v/>
      </c>
      <c r="I19" s="25">
        <f>IF(INDIRECT("office_form!A"&amp;ROW())="","",IF(INDIRECT("office_form!H"&amp;ROW())="","",INDIRECT("office_form!H"&amp;ROW())))</f>
        <v/>
      </c>
      <c r="J19" s="25">
        <f>IF(INDIRECT("office_form!A"&amp;ROW())="","",IF(INDIRECT("office_form!I"&amp;ROW())="","",INDIRECT("office_form!I"&amp;ROW())))</f>
        <v/>
      </c>
      <c r="K19" s="25">
        <f>IF(INDIRECT("office_form!A"&amp;ROW())="","",IF($M19="Y",$D19,IF(INDIRECT("office_form!K"&amp;ROW())="","",INDIRECT("office_form!K"&amp;ROW()))))</f>
        <v/>
      </c>
      <c r="L19" s="25">
        <f>IF(INDIRECT("office_form!A"&amp;ROW())="","",IF($M19="Y",$E19,IF(INDIRECT("office_form!L"&amp;ROW())="","",INDIRECT("office_form!L"&amp;ROW()))))</f>
        <v/>
      </c>
      <c r="M19" s="25">
        <f>IF(INDIRECT("office_form!A"&amp;ROW())="","",IF(IF(INDIRECT("office_form!J"&amp;ROW())="","",INDIRECT("office_form!J"&amp;ROW()))="Yes, me","Y",IF(IF(INDIRECT("office_form!J"&amp;ROW())="","",INDIRECT("office_form!J"&amp;ROW()))="Someone else","N","")))</f>
        <v/>
      </c>
      <c r="N1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9" s="25">
        <f>IF(INDIRECT("office_form!A"&amp;ROW())="","",IF(INDIRECT("office_form!N"&amp;ROW())="","",INDIRECT("office_form!N"&amp;ROW())))</f>
        <v/>
      </c>
      <c r="P19" s="25">
        <f>IF(INDIRECT("office_form!A"&amp;ROW())="","",IF(IF(INDIRECT("office_form!O"&amp;ROW())="","",INDIRECT("office_form!O"&amp;ROW()))="Yes","yes",IF(IF(INDIRECT("office_form!O"&amp;ROW())="","",INDIRECT("office_form!O"&amp;ROW()))="No","no",IF(IF(INDIRECT("office_form!O"&amp;ROW())="","",INDIRECT("office_form!O"&amp;ROW()))="Not sure","unsure",""))))</f>
        <v/>
      </c>
      <c r="Q19" s="25">
        <f>IF(INDIRECT("office_form!A"&amp;ROW())="","",IF(IF(INDIRECT("office_form!P"&amp;ROW())="","",INDIRECT("office_form!P"&amp;ROW()))="Slack","slack",IF(IF(INDIRECT("office_form!P"&amp;ROW())="","",INDIRECT("office_form!P"&amp;ROW()))="Email","email",IF(IF(INDIRECT("office_form!P"&amp;ROW())="","",INDIRECT("office_form!P"&amp;ROW()))="Other","other",""))))</f>
        <v/>
      </c>
      <c r="R1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9" s="25">
        <f>IF(INDIRECT("office_form!A"&amp;ROW())="","",IF(INDIRECT("office_form!R"&amp;ROW())="","",INDIRECT("office_form!R"&amp;ROW())))</f>
        <v/>
      </c>
      <c r="T19" s="25">
        <f>IF(INDIRECT("office_form!A"&amp;ROW())="","",IF(INDIRECT("office_form!S"&amp;ROW())="","",INDIRECT("office_form!S"&amp;ROW())))</f>
        <v/>
      </c>
      <c r="U19" s="25">
        <f>IF(INDIRECT("office_form!A"&amp;ROW())="","","founder")</f>
        <v/>
      </c>
    </row>
    <row r="20">
      <c r="A20" s="25">
        <f>IF(INDIRECT("office_form!A"&amp;ROW())="","",TEXT(INDIRECT("office_form!A"&amp;ROW()),"yyyy-mm-dd""T""hh:mm:ss"))</f>
        <v/>
      </c>
      <c r="B20" s="25">
        <f>IF(INDIRECT("office_form!A"&amp;ROW())="","",config!$B$36)</f>
        <v/>
      </c>
      <c r="C20" s="25">
        <f>IF(INDIRECT("office_form!A"&amp;ROW())="","",IF(INDIRECT("office_form!B"&amp;ROW())="","",INDIRECT("office_form!B"&amp;ROW())))</f>
        <v/>
      </c>
      <c r="D20" s="25">
        <f>IF(INDIRECT("office_form!A"&amp;ROW())="","",IF(INDIRECT("office_form!C"&amp;ROW())="","",INDIRECT("office_form!C"&amp;ROW())))</f>
        <v/>
      </c>
      <c r="E20" s="25">
        <f>IF(INDIRECT("office_form!A"&amp;ROW())="","",IF(INDIRECT("office_form!D"&amp;ROW())="","",INDIRECT("office_form!D"&amp;ROW())))</f>
        <v/>
      </c>
      <c r="F20" s="25">
        <f>IF(INDIRECT("office_form!A"&amp;ROW())="","",IF(INDIRECT("office_form!E"&amp;ROW())="","",INDIRECT("office_form!E"&amp;ROW())))</f>
        <v/>
      </c>
      <c r="G20" s="25">
        <f>IF(INDIRECT("office_form!A"&amp;ROW())="","",IF(INDIRECT("office_form!F"&amp;ROW())="","",INDIRECT("office_form!F"&amp;ROW())))</f>
        <v/>
      </c>
      <c r="H20" s="25">
        <f>IF(INDIRECT("office_form!A"&amp;ROW())="","",IF(INDIRECT("office_form!G"&amp;ROW())="","",INDIRECT("office_form!G"&amp;ROW())))</f>
        <v/>
      </c>
      <c r="I20" s="25">
        <f>IF(INDIRECT("office_form!A"&amp;ROW())="","",IF(INDIRECT("office_form!H"&amp;ROW())="","",INDIRECT("office_form!H"&amp;ROW())))</f>
        <v/>
      </c>
      <c r="J20" s="25">
        <f>IF(INDIRECT("office_form!A"&amp;ROW())="","",IF(INDIRECT("office_form!I"&amp;ROW())="","",INDIRECT("office_form!I"&amp;ROW())))</f>
        <v/>
      </c>
      <c r="K20" s="25">
        <f>IF(INDIRECT("office_form!A"&amp;ROW())="","",IF($M20="Y",$D20,IF(INDIRECT("office_form!K"&amp;ROW())="","",INDIRECT("office_form!K"&amp;ROW()))))</f>
        <v/>
      </c>
      <c r="L20" s="25">
        <f>IF(INDIRECT("office_form!A"&amp;ROW())="","",IF($M20="Y",$E20,IF(INDIRECT("office_form!L"&amp;ROW())="","",INDIRECT("office_form!L"&amp;ROW()))))</f>
        <v/>
      </c>
      <c r="M20" s="25">
        <f>IF(INDIRECT("office_form!A"&amp;ROW())="","",IF(IF(INDIRECT("office_form!J"&amp;ROW())="","",INDIRECT("office_form!J"&amp;ROW()))="Yes, me","Y",IF(IF(INDIRECT("office_form!J"&amp;ROW())="","",INDIRECT("office_form!J"&amp;ROW()))="Someone else","N","")))</f>
        <v/>
      </c>
      <c r="N2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0" s="25">
        <f>IF(INDIRECT("office_form!A"&amp;ROW())="","",IF(INDIRECT("office_form!N"&amp;ROW())="","",INDIRECT("office_form!N"&amp;ROW())))</f>
        <v/>
      </c>
      <c r="P20" s="25">
        <f>IF(INDIRECT("office_form!A"&amp;ROW())="","",IF(IF(INDIRECT("office_form!O"&amp;ROW())="","",INDIRECT("office_form!O"&amp;ROW()))="Yes","yes",IF(IF(INDIRECT("office_form!O"&amp;ROW())="","",INDIRECT("office_form!O"&amp;ROW()))="No","no",IF(IF(INDIRECT("office_form!O"&amp;ROW())="","",INDIRECT("office_form!O"&amp;ROW()))="Not sure","unsure",""))))</f>
        <v/>
      </c>
      <c r="Q20" s="25">
        <f>IF(INDIRECT("office_form!A"&amp;ROW())="","",IF(IF(INDIRECT("office_form!P"&amp;ROW())="","",INDIRECT("office_form!P"&amp;ROW()))="Slack","slack",IF(IF(INDIRECT("office_form!P"&amp;ROW())="","",INDIRECT("office_form!P"&amp;ROW()))="Email","email",IF(IF(INDIRECT("office_form!P"&amp;ROW())="","",INDIRECT("office_form!P"&amp;ROW()))="Other","other",""))))</f>
        <v/>
      </c>
      <c r="R2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0" s="25">
        <f>IF(INDIRECT("office_form!A"&amp;ROW())="","",IF(INDIRECT("office_form!R"&amp;ROW())="","",INDIRECT("office_form!R"&amp;ROW())))</f>
        <v/>
      </c>
      <c r="T20" s="25">
        <f>IF(INDIRECT("office_form!A"&amp;ROW())="","",IF(INDIRECT("office_form!S"&amp;ROW())="","",INDIRECT("office_form!S"&amp;ROW())))</f>
        <v/>
      </c>
      <c r="U20" s="25">
        <f>IF(INDIRECT("office_form!A"&amp;ROW())="","","founder")</f>
        <v/>
      </c>
    </row>
    <row r="21">
      <c r="A21" s="25">
        <f>IF(INDIRECT("office_form!A"&amp;ROW())="","",TEXT(INDIRECT("office_form!A"&amp;ROW()),"yyyy-mm-dd""T""hh:mm:ss"))</f>
        <v/>
      </c>
      <c r="B21" s="25">
        <f>IF(INDIRECT("office_form!A"&amp;ROW())="","",config!$B$36)</f>
        <v/>
      </c>
      <c r="C21" s="25">
        <f>IF(INDIRECT("office_form!A"&amp;ROW())="","",IF(INDIRECT("office_form!B"&amp;ROW())="","",INDIRECT("office_form!B"&amp;ROW())))</f>
        <v/>
      </c>
      <c r="D21" s="25">
        <f>IF(INDIRECT("office_form!A"&amp;ROW())="","",IF(INDIRECT("office_form!C"&amp;ROW())="","",INDIRECT("office_form!C"&amp;ROW())))</f>
        <v/>
      </c>
      <c r="E21" s="25">
        <f>IF(INDIRECT("office_form!A"&amp;ROW())="","",IF(INDIRECT("office_form!D"&amp;ROW())="","",INDIRECT("office_form!D"&amp;ROW())))</f>
        <v/>
      </c>
      <c r="F21" s="25">
        <f>IF(INDIRECT("office_form!A"&amp;ROW())="","",IF(INDIRECT("office_form!E"&amp;ROW())="","",INDIRECT("office_form!E"&amp;ROW())))</f>
        <v/>
      </c>
      <c r="G21" s="25">
        <f>IF(INDIRECT("office_form!A"&amp;ROW())="","",IF(INDIRECT("office_form!F"&amp;ROW())="","",INDIRECT("office_form!F"&amp;ROW())))</f>
        <v/>
      </c>
      <c r="H21" s="25">
        <f>IF(INDIRECT("office_form!A"&amp;ROW())="","",IF(INDIRECT("office_form!G"&amp;ROW())="","",INDIRECT("office_form!G"&amp;ROW())))</f>
        <v/>
      </c>
      <c r="I21" s="25">
        <f>IF(INDIRECT("office_form!A"&amp;ROW())="","",IF(INDIRECT("office_form!H"&amp;ROW())="","",INDIRECT("office_form!H"&amp;ROW())))</f>
        <v/>
      </c>
      <c r="J21" s="25">
        <f>IF(INDIRECT("office_form!A"&amp;ROW())="","",IF(INDIRECT("office_form!I"&amp;ROW())="","",INDIRECT("office_form!I"&amp;ROW())))</f>
        <v/>
      </c>
      <c r="K21" s="25">
        <f>IF(INDIRECT("office_form!A"&amp;ROW())="","",IF($M21="Y",$D21,IF(INDIRECT("office_form!K"&amp;ROW())="","",INDIRECT("office_form!K"&amp;ROW()))))</f>
        <v/>
      </c>
      <c r="L21" s="25">
        <f>IF(INDIRECT("office_form!A"&amp;ROW())="","",IF($M21="Y",$E21,IF(INDIRECT("office_form!L"&amp;ROW())="","",INDIRECT("office_form!L"&amp;ROW()))))</f>
        <v/>
      </c>
      <c r="M21" s="25">
        <f>IF(INDIRECT("office_form!A"&amp;ROW())="","",IF(IF(INDIRECT("office_form!J"&amp;ROW())="","",INDIRECT("office_form!J"&amp;ROW()))="Yes, me","Y",IF(IF(INDIRECT("office_form!J"&amp;ROW())="","",INDIRECT("office_form!J"&amp;ROW()))="Someone else","N","")))</f>
        <v/>
      </c>
      <c r="N2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1" s="25">
        <f>IF(INDIRECT("office_form!A"&amp;ROW())="","",IF(INDIRECT("office_form!N"&amp;ROW())="","",INDIRECT("office_form!N"&amp;ROW())))</f>
        <v/>
      </c>
      <c r="P21" s="25">
        <f>IF(INDIRECT("office_form!A"&amp;ROW())="","",IF(IF(INDIRECT("office_form!O"&amp;ROW())="","",INDIRECT("office_form!O"&amp;ROW()))="Yes","yes",IF(IF(INDIRECT("office_form!O"&amp;ROW())="","",INDIRECT("office_form!O"&amp;ROW()))="No","no",IF(IF(INDIRECT("office_form!O"&amp;ROW())="","",INDIRECT("office_form!O"&amp;ROW()))="Not sure","unsure",""))))</f>
        <v/>
      </c>
      <c r="Q21" s="25">
        <f>IF(INDIRECT("office_form!A"&amp;ROW())="","",IF(IF(INDIRECT("office_form!P"&amp;ROW())="","",INDIRECT("office_form!P"&amp;ROW()))="Slack","slack",IF(IF(INDIRECT("office_form!P"&amp;ROW())="","",INDIRECT("office_form!P"&amp;ROW()))="Email","email",IF(IF(INDIRECT("office_form!P"&amp;ROW())="","",INDIRECT("office_form!P"&amp;ROW()))="Other","other",""))))</f>
        <v/>
      </c>
      <c r="R2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1" s="25">
        <f>IF(INDIRECT("office_form!A"&amp;ROW())="","",IF(INDIRECT("office_form!R"&amp;ROW())="","",INDIRECT("office_form!R"&amp;ROW())))</f>
        <v/>
      </c>
      <c r="T21" s="25">
        <f>IF(INDIRECT("office_form!A"&amp;ROW())="","",IF(INDIRECT("office_form!S"&amp;ROW())="","",INDIRECT("office_form!S"&amp;ROW())))</f>
        <v/>
      </c>
      <c r="U21" s="25">
        <f>IF(INDIRECT("office_form!A"&amp;ROW())="","","founder")</f>
        <v/>
      </c>
    </row>
    <row r="22">
      <c r="A22" s="25">
        <f>IF(INDIRECT("office_form!A"&amp;ROW())="","",TEXT(INDIRECT("office_form!A"&amp;ROW()),"yyyy-mm-dd""T""hh:mm:ss"))</f>
        <v/>
      </c>
      <c r="B22" s="25">
        <f>IF(INDIRECT("office_form!A"&amp;ROW())="","",config!$B$36)</f>
        <v/>
      </c>
      <c r="C22" s="25">
        <f>IF(INDIRECT("office_form!A"&amp;ROW())="","",IF(INDIRECT("office_form!B"&amp;ROW())="","",INDIRECT("office_form!B"&amp;ROW())))</f>
        <v/>
      </c>
      <c r="D22" s="25">
        <f>IF(INDIRECT("office_form!A"&amp;ROW())="","",IF(INDIRECT("office_form!C"&amp;ROW())="","",INDIRECT("office_form!C"&amp;ROW())))</f>
        <v/>
      </c>
      <c r="E22" s="25">
        <f>IF(INDIRECT("office_form!A"&amp;ROW())="","",IF(INDIRECT("office_form!D"&amp;ROW())="","",INDIRECT("office_form!D"&amp;ROW())))</f>
        <v/>
      </c>
      <c r="F22" s="25">
        <f>IF(INDIRECT("office_form!A"&amp;ROW())="","",IF(INDIRECT("office_form!E"&amp;ROW())="","",INDIRECT("office_form!E"&amp;ROW())))</f>
        <v/>
      </c>
      <c r="G22" s="25">
        <f>IF(INDIRECT("office_form!A"&amp;ROW())="","",IF(INDIRECT("office_form!F"&amp;ROW())="","",INDIRECT("office_form!F"&amp;ROW())))</f>
        <v/>
      </c>
      <c r="H22" s="25">
        <f>IF(INDIRECT("office_form!A"&amp;ROW())="","",IF(INDIRECT("office_form!G"&amp;ROW())="","",INDIRECT("office_form!G"&amp;ROW())))</f>
        <v/>
      </c>
      <c r="I22" s="25">
        <f>IF(INDIRECT("office_form!A"&amp;ROW())="","",IF(INDIRECT("office_form!H"&amp;ROW())="","",INDIRECT("office_form!H"&amp;ROW())))</f>
        <v/>
      </c>
      <c r="J22" s="25">
        <f>IF(INDIRECT("office_form!A"&amp;ROW())="","",IF(INDIRECT("office_form!I"&amp;ROW())="","",INDIRECT("office_form!I"&amp;ROW())))</f>
        <v/>
      </c>
      <c r="K22" s="25">
        <f>IF(INDIRECT("office_form!A"&amp;ROW())="","",IF($M22="Y",$D22,IF(INDIRECT("office_form!K"&amp;ROW())="","",INDIRECT("office_form!K"&amp;ROW()))))</f>
        <v/>
      </c>
      <c r="L22" s="25">
        <f>IF(INDIRECT("office_form!A"&amp;ROW())="","",IF($M22="Y",$E22,IF(INDIRECT("office_form!L"&amp;ROW())="","",INDIRECT("office_form!L"&amp;ROW()))))</f>
        <v/>
      </c>
      <c r="M22" s="25">
        <f>IF(INDIRECT("office_form!A"&amp;ROW())="","",IF(IF(INDIRECT("office_form!J"&amp;ROW())="","",INDIRECT("office_form!J"&amp;ROW()))="Yes, me","Y",IF(IF(INDIRECT("office_form!J"&amp;ROW())="","",INDIRECT("office_form!J"&amp;ROW()))="Someone else","N","")))</f>
        <v/>
      </c>
      <c r="N2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2" s="25">
        <f>IF(INDIRECT("office_form!A"&amp;ROW())="","",IF(INDIRECT("office_form!N"&amp;ROW())="","",INDIRECT("office_form!N"&amp;ROW())))</f>
        <v/>
      </c>
      <c r="P22" s="25">
        <f>IF(INDIRECT("office_form!A"&amp;ROW())="","",IF(IF(INDIRECT("office_form!O"&amp;ROW())="","",INDIRECT("office_form!O"&amp;ROW()))="Yes","yes",IF(IF(INDIRECT("office_form!O"&amp;ROW())="","",INDIRECT("office_form!O"&amp;ROW()))="No","no",IF(IF(INDIRECT("office_form!O"&amp;ROW())="","",INDIRECT("office_form!O"&amp;ROW()))="Not sure","unsure",""))))</f>
        <v/>
      </c>
      <c r="Q22" s="25">
        <f>IF(INDIRECT("office_form!A"&amp;ROW())="","",IF(IF(INDIRECT("office_form!P"&amp;ROW())="","",INDIRECT("office_form!P"&amp;ROW()))="Slack","slack",IF(IF(INDIRECT("office_form!P"&amp;ROW())="","",INDIRECT("office_form!P"&amp;ROW()))="Email","email",IF(IF(INDIRECT("office_form!P"&amp;ROW())="","",INDIRECT("office_form!P"&amp;ROW()))="Other","other",""))))</f>
        <v/>
      </c>
      <c r="R2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2" s="25">
        <f>IF(INDIRECT("office_form!A"&amp;ROW())="","",IF(INDIRECT("office_form!R"&amp;ROW())="","",INDIRECT("office_form!R"&amp;ROW())))</f>
        <v/>
      </c>
      <c r="T22" s="25">
        <f>IF(INDIRECT("office_form!A"&amp;ROW())="","",IF(INDIRECT("office_form!S"&amp;ROW())="","",INDIRECT("office_form!S"&amp;ROW())))</f>
        <v/>
      </c>
      <c r="U22" s="25">
        <f>IF(INDIRECT("office_form!A"&amp;ROW())="","","founder")</f>
        <v/>
      </c>
    </row>
    <row r="23">
      <c r="A23" s="25">
        <f>IF(INDIRECT("office_form!A"&amp;ROW())="","",TEXT(INDIRECT("office_form!A"&amp;ROW()),"yyyy-mm-dd""T""hh:mm:ss"))</f>
        <v/>
      </c>
      <c r="B23" s="25">
        <f>IF(INDIRECT("office_form!A"&amp;ROW())="","",config!$B$36)</f>
        <v/>
      </c>
      <c r="C23" s="25">
        <f>IF(INDIRECT("office_form!A"&amp;ROW())="","",IF(INDIRECT("office_form!B"&amp;ROW())="","",INDIRECT("office_form!B"&amp;ROW())))</f>
        <v/>
      </c>
      <c r="D23" s="25">
        <f>IF(INDIRECT("office_form!A"&amp;ROW())="","",IF(INDIRECT("office_form!C"&amp;ROW())="","",INDIRECT("office_form!C"&amp;ROW())))</f>
        <v/>
      </c>
      <c r="E23" s="25">
        <f>IF(INDIRECT("office_form!A"&amp;ROW())="","",IF(INDIRECT("office_form!D"&amp;ROW())="","",INDIRECT("office_form!D"&amp;ROW())))</f>
        <v/>
      </c>
      <c r="F23" s="25">
        <f>IF(INDIRECT("office_form!A"&amp;ROW())="","",IF(INDIRECT("office_form!E"&amp;ROW())="","",INDIRECT("office_form!E"&amp;ROW())))</f>
        <v/>
      </c>
      <c r="G23" s="25">
        <f>IF(INDIRECT("office_form!A"&amp;ROW())="","",IF(INDIRECT("office_form!F"&amp;ROW())="","",INDIRECT("office_form!F"&amp;ROW())))</f>
        <v/>
      </c>
      <c r="H23" s="25">
        <f>IF(INDIRECT("office_form!A"&amp;ROW())="","",IF(INDIRECT("office_form!G"&amp;ROW())="","",INDIRECT("office_form!G"&amp;ROW())))</f>
        <v/>
      </c>
      <c r="I23" s="25">
        <f>IF(INDIRECT("office_form!A"&amp;ROW())="","",IF(INDIRECT("office_form!H"&amp;ROW())="","",INDIRECT("office_form!H"&amp;ROW())))</f>
        <v/>
      </c>
      <c r="J23" s="25">
        <f>IF(INDIRECT("office_form!A"&amp;ROW())="","",IF(INDIRECT("office_form!I"&amp;ROW())="","",INDIRECT("office_form!I"&amp;ROW())))</f>
        <v/>
      </c>
      <c r="K23" s="25">
        <f>IF(INDIRECT("office_form!A"&amp;ROW())="","",IF($M23="Y",$D23,IF(INDIRECT("office_form!K"&amp;ROW())="","",INDIRECT("office_form!K"&amp;ROW()))))</f>
        <v/>
      </c>
      <c r="L23" s="25">
        <f>IF(INDIRECT("office_form!A"&amp;ROW())="","",IF($M23="Y",$E23,IF(INDIRECT("office_form!L"&amp;ROW())="","",INDIRECT("office_form!L"&amp;ROW()))))</f>
        <v/>
      </c>
      <c r="M23" s="25">
        <f>IF(INDIRECT("office_form!A"&amp;ROW())="","",IF(IF(INDIRECT("office_form!J"&amp;ROW())="","",INDIRECT("office_form!J"&amp;ROW()))="Yes, me","Y",IF(IF(INDIRECT("office_form!J"&amp;ROW())="","",INDIRECT("office_form!J"&amp;ROW()))="Someone else","N","")))</f>
        <v/>
      </c>
      <c r="N2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3" s="25">
        <f>IF(INDIRECT("office_form!A"&amp;ROW())="","",IF(INDIRECT("office_form!N"&amp;ROW())="","",INDIRECT("office_form!N"&amp;ROW())))</f>
        <v/>
      </c>
      <c r="P23" s="25">
        <f>IF(INDIRECT("office_form!A"&amp;ROW())="","",IF(IF(INDIRECT("office_form!O"&amp;ROW())="","",INDIRECT("office_form!O"&amp;ROW()))="Yes","yes",IF(IF(INDIRECT("office_form!O"&amp;ROW())="","",INDIRECT("office_form!O"&amp;ROW()))="No","no",IF(IF(INDIRECT("office_form!O"&amp;ROW())="","",INDIRECT("office_form!O"&amp;ROW()))="Not sure","unsure",""))))</f>
        <v/>
      </c>
      <c r="Q23" s="25">
        <f>IF(INDIRECT("office_form!A"&amp;ROW())="","",IF(IF(INDIRECT("office_form!P"&amp;ROW())="","",INDIRECT("office_form!P"&amp;ROW()))="Slack","slack",IF(IF(INDIRECT("office_form!P"&amp;ROW())="","",INDIRECT("office_form!P"&amp;ROW()))="Email","email",IF(IF(INDIRECT("office_form!P"&amp;ROW())="","",INDIRECT("office_form!P"&amp;ROW()))="Other","other",""))))</f>
        <v/>
      </c>
      <c r="R2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3" s="25">
        <f>IF(INDIRECT("office_form!A"&amp;ROW())="","",IF(INDIRECT("office_form!R"&amp;ROW())="","",INDIRECT("office_form!R"&amp;ROW())))</f>
        <v/>
      </c>
      <c r="T23" s="25">
        <f>IF(INDIRECT("office_form!A"&amp;ROW())="","",IF(INDIRECT("office_form!S"&amp;ROW())="","",INDIRECT("office_form!S"&amp;ROW())))</f>
        <v/>
      </c>
      <c r="U23" s="25">
        <f>IF(INDIRECT("office_form!A"&amp;ROW())="","","founder")</f>
        <v/>
      </c>
    </row>
    <row r="24">
      <c r="A24" s="25">
        <f>IF(INDIRECT("office_form!A"&amp;ROW())="","",TEXT(INDIRECT("office_form!A"&amp;ROW()),"yyyy-mm-dd""T""hh:mm:ss"))</f>
        <v/>
      </c>
      <c r="B24" s="25">
        <f>IF(INDIRECT("office_form!A"&amp;ROW())="","",config!$B$36)</f>
        <v/>
      </c>
      <c r="C24" s="25">
        <f>IF(INDIRECT("office_form!A"&amp;ROW())="","",IF(INDIRECT("office_form!B"&amp;ROW())="","",INDIRECT("office_form!B"&amp;ROW())))</f>
        <v/>
      </c>
      <c r="D24" s="25">
        <f>IF(INDIRECT("office_form!A"&amp;ROW())="","",IF(INDIRECT("office_form!C"&amp;ROW())="","",INDIRECT("office_form!C"&amp;ROW())))</f>
        <v/>
      </c>
      <c r="E24" s="25">
        <f>IF(INDIRECT("office_form!A"&amp;ROW())="","",IF(INDIRECT("office_form!D"&amp;ROW())="","",INDIRECT("office_form!D"&amp;ROW())))</f>
        <v/>
      </c>
      <c r="F24" s="25">
        <f>IF(INDIRECT("office_form!A"&amp;ROW())="","",IF(INDIRECT("office_form!E"&amp;ROW())="","",INDIRECT("office_form!E"&amp;ROW())))</f>
        <v/>
      </c>
      <c r="G24" s="25">
        <f>IF(INDIRECT("office_form!A"&amp;ROW())="","",IF(INDIRECT("office_form!F"&amp;ROW())="","",INDIRECT("office_form!F"&amp;ROW())))</f>
        <v/>
      </c>
      <c r="H24" s="25">
        <f>IF(INDIRECT("office_form!A"&amp;ROW())="","",IF(INDIRECT("office_form!G"&amp;ROW())="","",INDIRECT("office_form!G"&amp;ROW())))</f>
        <v/>
      </c>
      <c r="I24" s="25">
        <f>IF(INDIRECT("office_form!A"&amp;ROW())="","",IF(INDIRECT("office_form!H"&amp;ROW())="","",INDIRECT("office_form!H"&amp;ROW())))</f>
        <v/>
      </c>
      <c r="J24" s="25">
        <f>IF(INDIRECT("office_form!A"&amp;ROW())="","",IF(INDIRECT("office_form!I"&amp;ROW())="","",INDIRECT("office_form!I"&amp;ROW())))</f>
        <v/>
      </c>
      <c r="K24" s="25">
        <f>IF(INDIRECT("office_form!A"&amp;ROW())="","",IF($M24="Y",$D24,IF(INDIRECT("office_form!K"&amp;ROW())="","",INDIRECT("office_form!K"&amp;ROW()))))</f>
        <v/>
      </c>
      <c r="L24" s="25">
        <f>IF(INDIRECT("office_form!A"&amp;ROW())="","",IF($M24="Y",$E24,IF(INDIRECT("office_form!L"&amp;ROW())="","",INDIRECT("office_form!L"&amp;ROW()))))</f>
        <v/>
      </c>
      <c r="M24" s="25">
        <f>IF(INDIRECT("office_form!A"&amp;ROW())="","",IF(IF(INDIRECT("office_form!J"&amp;ROW())="","",INDIRECT("office_form!J"&amp;ROW()))="Yes, me","Y",IF(IF(INDIRECT("office_form!J"&amp;ROW())="","",INDIRECT("office_form!J"&amp;ROW()))="Someone else","N","")))</f>
        <v/>
      </c>
      <c r="N2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4" s="25">
        <f>IF(INDIRECT("office_form!A"&amp;ROW())="","",IF(INDIRECT("office_form!N"&amp;ROW())="","",INDIRECT("office_form!N"&amp;ROW())))</f>
        <v/>
      </c>
      <c r="P24" s="25">
        <f>IF(INDIRECT("office_form!A"&amp;ROW())="","",IF(IF(INDIRECT("office_form!O"&amp;ROW())="","",INDIRECT("office_form!O"&amp;ROW()))="Yes","yes",IF(IF(INDIRECT("office_form!O"&amp;ROW())="","",INDIRECT("office_form!O"&amp;ROW()))="No","no",IF(IF(INDIRECT("office_form!O"&amp;ROW())="","",INDIRECT("office_form!O"&amp;ROW()))="Not sure","unsure",""))))</f>
        <v/>
      </c>
      <c r="Q24" s="25">
        <f>IF(INDIRECT("office_form!A"&amp;ROW())="","",IF(IF(INDIRECT("office_form!P"&amp;ROW())="","",INDIRECT("office_form!P"&amp;ROW()))="Slack","slack",IF(IF(INDIRECT("office_form!P"&amp;ROW())="","",INDIRECT("office_form!P"&amp;ROW()))="Email","email",IF(IF(INDIRECT("office_form!P"&amp;ROW())="","",INDIRECT("office_form!P"&amp;ROW()))="Other","other",""))))</f>
        <v/>
      </c>
      <c r="R2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4" s="25">
        <f>IF(INDIRECT("office_form!A"&amp;ROW())="","",IF(INDIRECT("office_form!R"&amp;ROW())="","",INDIRECT("office_form!R"&amp;ROW())))</f>
        <v/>
      </c>
      <c r="T24" s="25">
        <f>IF(INDIRECT("office_form!A"&amp;ROW())="","",IF(INDIRECT("office_form!S"&amp;ROW())="","",INDIRECT("office_form!S"&amp;ROW())))</f>
        <v/>
      </c>
      <c r="U24" s="25">
        <f>IF(INDIRECT("office_form!A"&amp;ROW())="","","founder")</f>
        <v/>
      </c>
    </row>
    <row r="25">
      <c r="A25" s="25">
        <f>IF(INDIRECT("office_form!A"&amp;ROW())="","",TEXT(INDIRECT("office_form!A"&amp;ROW()),"yyyy-mm-dd""T""hh:mm:ss"))</f>
        <v/>
      </c>
      <c r="B25" s="25">
        <f>IF(INDIRECT("office_form!A"&amp;ROW())="","",config!$B$36)</f>
        <v/>
      </c>
      <c r="C25" s="25">
        <f>IF(INDIRECT("office_form!A"&amp;ROW())="","",IF(INDIRECT("office_form!B"&amp;ROW())="","",INDIRECT("office_form!B"&amp;ROW())))</f>
        <v/>
      </c>
      <c r="D25" s="25">
        <f>IF(INDIRECT("office_form!A"&amp;ROW())="","",IF(INDIRECT("office_form!C"&amp;ROW())="","",INDIRECT("office_form!C"&amp;ROW())))</f>
        <v/>
      </c>
      <c r="E25" s="25">
        <f>IF(INDIRECT("office_form!A"&amp;ROW())="","",IF(INDIRECT("office_form!D"&amp;ROW())="","",INDIRECT("office_form!D"&amp;ROW())))</f>
        <v/>
      </c>
      <c r="F25" s="25">
        <f>IF(INDIRECT("office_form!A"&amp;ROW())="","",IF(INDIRECT("office_form!E"&amp;ROW())="","",INDIRECT("office_form!E"&amp;ROW())))</f>
        <v/>
      </c>
      <c r="G25" s="25">
        <f>IF(INDIRECT("office_form!A"&amp;ROW())="","",IF(INDIRECT("office_form!F"&amp;ROW())="","",INDIRECT("office_form!F"&amp;ROW())))</f>
        <v/>
      </c>
      <c r="H25" s="25">
        <f>IF(INDIRECT("office_form!A"&amp;ROW())="","",IF(INDIRECT("office_form!G"&amp;ROW())="","",INDIRECT("office_form!G"&amp;ROW())))</f>
        <v/>
      </c>
      <c r="I25" s="25">
        <f>IF(INDIRECT("office_form!A"&amp;ROW())="","",IF(INDIRECT("office_form!H"&amp;ROW())="","",INDIRECT("office_form!H"&amp;ROW())))</f>
        <v/>
      </c>
      <c r="J25" s="25">
        <f>IF(INDIRECT("office_form!A"&amp;ROW())="","",IF(INDIRECT("office_form!I"&amp;ROW())="","",INDIRECT("office_form!I"&amp;ROW())))</f>
        <v/>
      </c>
      <c r="K25" s="25">
        <f>IF(INDIRECT("office_form!A"&amp;ROW())="","",IF($M25="Y",$D25,IF(INDIRECT("office_form!K"&amp;ROW())="","",INDIRECT("office_form!K"&amp;ROW()))))</f>
        <v/>
      </c>
      <c r="L25" s="25">
        <f>IF(INDIRECT("office_form!A"&amp;ROW())="","",IF($M25="Y",$E25,IF(INDIRECT("office_form!L"&amp;ROW())="","",INDIRECT("office_form!L"&amp;ROW()))))</f>
        <v/>
      </c>
      <c r="M25" s="25">
        <f>IF(INDIRECT("office_form!A"&amp;ROW())="","",IF(IF(INDIRECT("office_form!J"&amp;ROW())="","",INDIRECT("office_form!J"&amp;ROW()))="Yes, me","Y",IF(IF(INDIRECT("office_form!J"&amp;ROW())="","",INDIRECT("office_form!J"&amp;ROW()))="Someone else","N","")))</f>
        <v/>
      </c>
      <c r="N2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5" s="25">
        <f>IF(INDIRECT("office_form!A"&amp;ROW())="","",IF(INDIRECT("office_form!N"&amp;ROW())="","",INDIRECT("office_form!N"&amp;ROW())))</f>
        <v/>
      </c>
      <c r="P25" s="25">
        <f>IF(INDIRECT("office_form!A"&amp;ROW())="","",IF(IF(INDIRECT("office_form!O"&amp;ROW())="","",INDIRECT("office_form!O"&amp;ROW()))="Yes","yes",IF(IF(INDIRECT("office_form!O"&amp;ROW())="","",INDIRECT("office_form!O"&amp;ROW()))="No","no",IF(IF(INDIRECT("office_form!O"&amp;ROW())="","",INDIRECT("office_form!O"&amp;ROW()))="Not sure","unsure",""))))</f>
        <v/>
      </c>
      <c r="Q25" s="25">
        <f>IF(INDIRECT("office_form!A"&amp;ROW())="","",IF(IF(INDIRECT("office_form!P"&amp;ROW())="","",INDIRECT("office_form!P"&amp;ROW()))="Slack","slack",IF(IF(INDIRECT("office_form!P"&amp;ROW())="","",INDIRECT("office_form!P"&amp;ROW()))="Email","email",IF(IF(INDIRECT("office_form!P"&amp;ROW())="","",INDIRECT("office_form!P"&amp;ROW()))="Other","other",""))))</f>
        <v/>
      </c>
      <c r="R2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5" s="25">
        <f>IF(INDIRECT("office_form!A"&amp;ROW())="","",IF(INDIRECT("office_form!R"&amp;ROW())="","",INDIRECT("office_form!R"&amp;ROW())))</f>
        <v/>
      </c>
      <c r="T25" s="25">
        <f>IF(INDIRECT("office_form!A"&amp;ROW())="","",IF(INDIRECT("office_form!S"&amp;ROW())="","",INDIRECT("office_form!S"&amp;ROW())))</f>
        <v/>
      </c>
      <c r="U25" s="25">
        <f>IF(INDIRECT("office_form!A"&amp;ROW())="","","founder")</f>
        <v/>
      </c>
    </row>
    <row r="26">
      <c r="A26" s="25">
        <f>IF(INDIRECT("office_form!A"&amp;ROW())="","",TEXT(INDIRECT("office_form!A"&amp;ROW()),"yyyy-mm-dd""T""hh:mm:ss"))</f>
        <v/>
      </c>
      <c r="B26" s="25">
        <f>IF(INDIRECT("office_form!A"&amp;ROW())="","",config!$B$36)</f>
        <v/>
      </c>
      <c r="C26" s="25">
        <f>IF(INDIRECT("office_form!A"&amp;ROW())="","",IF(INDIRECT("office_form!B"&amp;ROW())="","",INDIRECT("office_form!B"&amp;ROW())))</f>
        <v/>
      </c>
      <c r="D26" s="25">
        <f>IF(INDIRECT("office_form!A"&amp;ROW())="","",IF(INDIRECT("office_form!C"&amp;ROW())="","",INDIRECT("office_form!C"&amp;ROW())))</f>
        <v/>
      </c>
      <c r="E26" s="25">
        <f>IF(INDIRECT("office_form!A"&amp;ROW())="","",IF(INDIRECT("office_form!D"&amp;ROW())="","",INDIRECT("office_form!D"&amp;ROW())))</f>
        <v/>
      </c>
      <c r="F26" s="25">
        <f>IF(INDIRECT("office_form!A"&amp;ROW())="","",IF(INDIRECT("office_form!E"&amp;ROW())="","",INDIRECT("office_form!E"&amp;ROW())))</f>
        <v/>
      </c>
      <c r="G26" s="25">
        <f>IF(INDIRECT("office_form!A"&amp;ROW())="","",IF(INDIRECT("office_form!F"&amp;ROW())="","",INDIRECT("office_form!F"&amp;ROW())))</f>
        <v/>
      </c>
      <c r="H26" s="25">
        <f>IF(INDIRECT("office_form!A"&amp;ROW())="","",IF(INDIRECT("office_form!G"&amp;ROW())="","",INDIRECT("office_form!G"&amp;ROW())))</f>
        <v/>
      </c>
      <c r="I26" s="25">
        <f>IF(INDIRECT("office_form!A"&amp;ROW())="","",IF(INDIRECT("office_form!H"&amp;ROW())="","",INDIRECT("office_form!H"&amp;ROW())))</f>
        <v/>
      </c>
      <c r="J26" s="25">
        <f>IF(INDIRECT("office_form!A"&amp;ROW())="","",IF(INDIRECT("office_form!I"&amp;ROW())="","",INDIRECT("office_form!I"&amp;ROW())))</f>
        <v/>
      </c>
      <c r="K26" s="25">
        <f>IF(INDIRECT("office_form!A"&amp;ROW())="","",IF($M26="Y",$D26,IF(INDIRECT("office_form!K"&amp;ROW())="","",INDIRECT("office_form!K"&amp;ROW()))))</f>
        <v/>
      </c>
      <c r="L26" s="25">
        <f>IF(INDIRECT("office_form!A"&amp;ROW())="","",IF($M26="Y",$E26,IF(INDIRECT("office_form!L"&amp;ROW())="","",INDIRECT("office_form!L"&amp;ROW()))))</f>
        <v/>
      </c>
      <c r="M26" s="25">
        <f>IF(INDIRECT("office_form!A"&amp;ROW())="","",IF(IF(INDIRECT("office_form!J"&amp;ROW())="","",INDIRECT("office_form!J"&amp;ROW()))="Yes, me","Y",IF(IF(INDIRECT("office_form!J"&amp;ROW())="","",INDIRECT("office_form!J"&amp;ROW()))="Someone else","N","")))</f>
        <v/>
      </c>
      <c r="N2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6" s="25">
        <f>IF(INDIRECT("office_form!A"&amp;ROW())="","",IF(INDIRECT("office_form!N"&amp;ROW())="","",INDIRECT("office_form!N"&amp;ROW())))</f>
        <v/>
      </c>
      <c r="P26" s="25">
        <f>IF(INDIRECT("office_form!A"&amp;ROW())="","",IF(IF(INDIRECT("office_form!O"&amp;ROW())="","",INDIRECT("office_form!O"&amp;ROW()))="Yes","yes",IF(IF(INDIRECT("office_form!O"&amp;ROW())="","",INDIRECT("office_form!O"&amp;ROW()))="No","no",IF(IF(INDIRECT("office_form!O"&amp;ROW())="","",INDIRECT("office_form!O"&amp;ROW()))="Not sure","unsure",""))))</f>
        <v/>
      </c>
      <c r="Q26" s="25">
        <f>IF(INDIRECT("office_form!A"&amp;ROW())="","",IF(IF(INDIRECT("office_form!P"&amp;ROW())="","",INDIRECT("office_form!P"&amp;ROW()))="Slack","slack",IF(IF(INDIRECT("office_form!P"&amp;ROW())="","",INDIRECT("office_form!P"&amp;ROW()))="Email","email",IF(IF(INDIRECT("office_form!P"&amp;ROW())="","",INDIRECT("office_form!P"&amp;ROW()))="Other","other",""))))</f>
        <v/>
      </c>
      <c r="R2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6" s="25">
        <f>IF(INDIRECT("office_form!A"&amp;ROW())="","",IF(INDIRECT("office_form!R"&amp;ROW())="","",INDIRECT("office_form!R"&amp;ROW())))</f>
        <v/>
      </c>
      <c r="T26" s="25">
        <f>IF(INDIRECT("office_form!A"&amp;ROW())="","",IF(INDIRECT("office_form!S"&amp;ROW())="","",INDIRECT("office_form!S"&amp;ROW())))</f>
        <v/>
      </c>
      <c r="U26" s="25">
        <f>IF(INDIRECT("office_form!A"&amp;ROW())="","","founder")</f>
        <v/>
      </c>
    </row>
    <row r="27">
      <c r="A27" s="25">
        <f>IF(INDIRECT("office_form!A"&amp;ROW())="","",TEXT(INDIRECT("office_form!A"&amp;ROW()),"yyyy-mm-dd""T""hh:mm:ss"))</f>
        <v/>
      </c>
      <c r="B27" s="25">
        <f>IF(INDIRECT("office_form!A"&amp;ROW())="","",config!$B$36)</f>
        <v/>
      </c>
      <c r="C27" s="25">
        <f>IF(INDIRECT("office_form!A"&amp;ROW())="","",IF(INDIRECT("office_form!B"&amp;ROW())="","",INDIRECT("office_form!B"&amp;ROW())))</f>
        <v/>
      </c>
      <c r="D27" s="25">
        <f>IF(INDIRECT("office_form!A"&amp;ROW())="","",IF(INDIRECT("office_form!C"&amp;ROW())="","",INDIRECT("office_form!C"&amp;ROW())))</f>
        <v/>
      </c>
      <c r="E27" s="25">
        <f>IF(INDIRECT("office_form!A"&amp;ROW())="","",IF(INDIRECT("office_form!D"&amp;ROW())="","",INDIRECT("office_form!D"&amp;ROW())))</f>
        <v/>
      </c>
      <c r="F27" s="25">
        <f>IF(INDIRECT("office_form!A"&amp;ROW())="","",IF(INDIRECT("office_form!E"&amp;ROW())="","",INDIRECT("office_form!E"&amp;ROW())))</f>
        <v/>
      </c>
      <c r="G27" s="25">
        <f>IF(INDIRECT("office_form!A"&amp;ROW())="","",IF(INDIRECT("office_form!F"&amp;ROW())="","",INDIRECT("office_form!F"&amp;ROW())))</f>
        <v/>
      </c>
      <c r="H27" s="25">
        <f>IF(INDIRECT("office_form!A"&amp;ROW())="","",IF(INDIRECT("office_form!G"&amp;ROW())="","",INDIRECT("office_form!G"&amp;ROW())))</f>
        <v/>
      </c>
      <c r="I27" s="25">
        <f>IF(INDIRECT("office_form!A"&amp;ROW())="","",IF(INDIRECT("office_form!H"&amp;ROW())="","",INDIRECT("office_form!H"&amp;ROW())))</f>
        <v/>
      </c>
      <c r="J27" s="25">
        <f>IF(INDIRECT("office_form!A"&amp;ROW())="","",IF(INDIRECT("office_form!I"&amp;ROW())="","",INDIRECT("office_form!I"&amp;ROW())))</f>
        <v/>
      </c>
      <c r="K27" s="25">
        <f>IF(INDIRECT("office_form!A"&amp;ROW())="","",IF($M27="Y",$D27,IF(INDIRECT("office_form!K"&amp;ROW())="","",INDIRECT("office_form!K"&amp;ROW()))))</f>
        <v/>
      </c>
      <c r="L27" s="25">
        <f>IF(INDIRECT("office_form!A"&amp;ROW())="","",IF($M27="Y",$E27,IF(INDIRECT("office_form!L"&amp;ROW())="","",INDIRECT("office_form!L"&amp;ROW()))))</f>
        <v/>
      </c>
      <c r="M27" s="25">
        <f>IF(INDIRECT("office_form!A"&amp;ROW())="","",IF(IF(INDIRECT("office_form!J"&amp;ROW())="","",INDIRECT("office_form!J"&amp;ROW()))="Yes, me","Y",IF(IF(INDIRECT("office_form!J"&amp;ROW())="","",INDIRECT("office_form!J"&amp;ROW()))="Someone else","N","")))</f>
        <v/>
      </c>
      <c r="N2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7" s="25">
        <f>IF(INDIRECT("office_form!A"&amp;ROW())="","",IF(INDIRECT("office_form!N"&amp;ROW())="","",INDIRECT("office_form!N"&amp;ROW())))</f>
        <v/>
      </c>
      <c r="P27" s="25">
        <f>IF(INDIRECT("office_form!A"&amp;ROW())="","",IF(IF(INDIRECT("office_form!O"&amp;ROW())="","",INDIRECT("office_form!O"&amp;ROW()))="Yes","yes",IF(IF(INDIRECT("office_form!O"&amp;ROW())="","",INDIRECT("office_form!O"&amp;ROW()))="No","no",IF(IF(INDIRECT("office_form!O"&amp;ROW())="","",INDIRECT("office_form!O"&amp;ROW()))="Not sure","unsure",""))))</f>
        <v/>
      </c>
      <c r="Q27" s="25">
        <f>IF(INDIRECT("office_form!A"&amp;ROW())="","",IF(IF(INDIRECT("office_form!P"&amp;ROW())="","",INDIRECT("office_form!P"&amp;ROW()))="Slack","slack",IF(IF(INDIRECT("office_form!P"&amp;ROW())="","",INDIRECT("office_form!P"&amp;ROW()))="Email","email",IF(IF(INDIRECT("office_form!P"&amp;ROW())="","",INDIRECT("office_form!P"&amp;ROW()))="Other","other",""))))</f>
        <v/>
      </c>
      <c r="R2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7" s="25">
        <f>IF(INDIRECT("office_form!A"&amp;ROW())="","",IF(INDIRECT("office_form!R"&amp;ROW())="","",INDIRECT("office_form!R"&amp;ROW())))</f>
        <v/>
      </c>
      <c r="T27" s="25">
        <f>IF(INDIRECT("office_form!A"&amp;ROW())="","",IF(INDIRECT("office_form!S"&amp;ROW())="","",INDIRECT("office_form!S"&amp;ROW())))</f>
        <v/>
      </c>
      <c r="U27" s="25">
        <f>IF(INDIRECT("office_form!A"&amp;ROW())="","","founder")</f>
        <v/>
      </c>
    </row>
    <row r="28">
      <c r="A28" s="25">
        <f>IF(INDIRECT("office_form!A"&amp;ROW())="","",TEXT(INDIRECT("office_form!A"&amp;ROW()),"yyyy-mm-dd""T""hh:mm:ss"))</f>
        <v/>
      </c>
      <c r="B28" s="25">
        <f>IF(INDIRECT("office_form!A"&amp;ROW())="","",config!$B$36)</f>
        <v/>
      </c>
      <c r="C28" s="25">
        <f>IF(INDIRECT("office_form!A"&amp;ROW())="","",IF(INDIRECT("office_form!B"&amp;ROW())="","",INDIRECT("office_form!B"&amp;ROW())))</f>
        <v/>
      </c>
      <c r="D28" s="25">
        <f>IF(INDIRECT("office_form!A"&amp;ROW())="","",IF(INDIRECT("office_form!C"&amp;ROW())="","",INDIRECT("office_form!C"&amp;ROW())))</f>
        <v/>
      </c>
      <c r="E28" s="25">
        <f>IF(INDIRECT("office_form!A"&amp;ROW())="","",IF(INDIRECT("office_form!D"&amp;ROW())="","",INDIRECT("office_form!D"&amp;ROW())))</f>
        <v/>
      </c>
      <c r="F28" s="25">
        <f>IF(INDIRECT("office_form!A"&amp;ROW())="","",IF(INDIRECT("office_form!E"&amp;ROW())="","",INDIRECT("office_form!E"&amp;ROW())))</f>
        <v/>
      </c>
      <c r="G28" s="25">
        <f>IF(INDIRECT("office_form!A"&amp;ROW())="","",IF(INDIRECT("office_form!F"&amp;ROW())="","",INDIRECT("office_form!F"&amp;ROW())))</f>
        <v/>
      </c>
      <c r="H28" s="25">
        <f>IF(INDIRECT("office_form!A"&amp;ROW())="","",IF(INDIRECT("office_form!G"&amp;ROW())="","",INDIRECT("office_form!G"&amp;ROW())))</f>
        <v/>
      </c>
      <c r="I28" s="25">
        <f>IF(INDIRECT("office_form!A"&amp;ROW())="","",IF(INDIRECT("office_form!H"&amp;ROW())="","",INDIRECT("office_form!H"&amp;ROW())))</f>
        <v/>
      </c>
      <c r="J28" s="25">
        <f>IF(INDIRECT("office_form!A"&amp;ROW())="","",IF(INDIRECT("office_form!I"&amp;ROW())="","",INDIRECT("office_form!I"&amp;ROW())))</f>
        <v/>
      </c>
      <c r="K28" s="25">
        <f>IF(INDIRECT("office_form!A"&amp;ROW())="","",IF($M28="Y",$D28,IF(INDIRECT("office_form!K"&amp;ROW())="","",INDIRECT("office_form!K"&amp;ROW()))))</f>
        <v/>
      </c>
      <c r="L28" s="25">
        <f>IF(INDIRECT("office_form!A"&amp;ROW())="","",IF($M28="Y",$E28,IF(INDIRECT("office_form!L"&amp;ROW())="","",INDIRECT("office_form!L"&amp;ROW()))))</f>
        <v/>
      </c>
      <c r="M28" s="25">
        <f>IF(INDIRECT("office_form!A"&amp;ROW())="","",IF(IF(INDIRECT("office_form!J"&amp;ROW())="","",INDIRECT("office_form!J"&amp;ROW()))="Yes, me","Y",IF(IF(INDIRECT("office_form!J"&amp;ROW())="","",INDIRECT("office_form!J"&amp;ROW()))="Someone else","N","")))</f>
        <v/>
      </c>
      <c r="N2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8" s="25">
        <f>IF(INDIRECT("office_form!A"&amp;ROW())="","",IF(INDIRECT("office_form!N"&amp;ROW())="","",INDIRECT("office_form!N"&amp;ROW())))</f>
        <v/>
      </c>
      <c r="P28" s="25">
        <f>IF(INDIRECT("office_form!A"&amp;ROW())="","",IF(IF(INDIRECT("office_form!O"&amp;ROW())="","",INDIRECT("office_form!O"&amp;ROW()))="Yes","yes",IF(IF(INDIRECT("office_form!O"&amp;ROW())="","",INDIRECT("office_form!O"&amp;ROW()))="No","no",IF(IF(INDIRECT("office_form!O"&amp;ROW())="","",INDIRECT("office_form!O"&amp;ROW()))="Not sure","unsure",""))))</f>
        <v/>
      </c>
      <c r="Q28" s="25">
        <f>IF(INDIRECT("office_form!A"&amp;ROW())="","",IF(IF(INDIRECT("office_form!P"&amp;ROW())="","",INDIRECT("office_form!P"&amp;ROW()))="Slack","slack",IF(IF(INDIRECT("office_form!P"&amp;ROW())="","",INDIRECT("office_form!P"&amp;ROW()))="Email","email",IF(IF(INDIRECT("office_form!P"&amp;ROW())="","",INDIRECT("office_form!P"&amp;ROW()))="Other","other",""))))</f>
        <v/>
      </c>
      <c r="R2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8" s="25">
        <f>IF(INDIRECT("office_form!A"&amp;ROW())="","",IF(INDIRECT("office_form!R"&amp;ROW())="","",INDIRECT("office_form!R"&amp;ROW())))</f>
        <v/>
      </c>
      <c r="T28" s="25">
        <f>IF(INDIRECT("office_form!A"&amp;ROW())="","",IF(INDIRECT("office_form!S"&amp;ROW())="","",INDIRECT("office_form!S"&amp;ROW())))</f>
        <v/>
      </c>
      <c r="U28" s="25">
        <f>IF(INDIRECT("office_form!A"&amp;ROW())="","","founder")</f>
        <v/>
      </c>
    </row>
    <row r="29">
      <c r="A29" s="25">
        <f>IF(INDIRECT("office_form!A"&amp;ROW())="","",TEXT(INDIRECT("office_form!A"&amp;ROW()),"yyyy-mm-dd""T""hh:mm:ss"))</f>
        <v/>
      </c>
      <c r="B29" s="25">
        <f>IF(INDIRECT("office_form!A"&amp;ROW())="","",config!$B$36)</f>
        <v/>
      </c>
      <c r="C29" s="25">
        <f>IF(INDIRECT("office_form!A"&amp;ROW())="","",IF(INDIRECT("office_form!B"&amp;ROW())="","",INDIRECT("office_form!B"&amp;ROW())))</f>
        <v/>
      </c>
      <c r="D29" s="25">
        <f>IF(INDIRECT("office_form!A"&amp;ROW())="","",IF(INDIRECT("office_form!C"&amp;ROW())="","",INDIRECT("office_form!C"&amp;ROW())))</f>
        <v/>
      </c>
      <c r="E29" s="25">
        <f>IF(INDIRECT("office_form!A"&amp;ROW())="","",IF(INDIRECT("office_form!D"&amp;ROW())="","",INDIRECT("office_form!D"&amp;ROW())))</f>
        <v/>
      </c>
      <c r="F29" s="25">
        <f>IF(INDIRECT("office_form!A"&amp;ROW())="","",IF(INDIRECT("office_form!E"&amp;ROW())="","",INDIRECT("office_form!E"&amp;ROW())))</f>
        <v/>
      </c>
      <c r="G29" s="25">
        <f>IF(INDIRECT("office_form!A"&amp;ROW())="","",IF(INDIRECT("office_form!F"&amp;ROW())="","",INDIRECT("office_form!F"&amp;ROW())))</f>
        <v/>
      </c>
      <c r="H29" s="25">
        <f>IF(INDIRECT("office_form!A"&amp;ROW())="","",IF(INDIRECT("office_form!G"&amp;ROW())="","",INDIRECT("office_form!G"&amp;ROW())))</f>
        <v/>
      </c>
      <c r="I29" s="25">
        <f>IF(INDIRECT("office_form!A"&amp;ROW())="","",IF(INDIRECT("office_form!H"&amp;ROW())="","",INDIRECT("office_form!H"&amp;ROW())))</f>
        <v/>
      </c>
      <c r="J29" s="25">
        <f>IF(INDIRECT("office_form!A"&amp;ROW())="","",IF(INDIRECT("office_form!I"&amp;ROW())="","",INDIRECT("office_form!I"&amp;ROW())))</f>
        <v/>
      </c>
      <c r="K29" s="25">
        <f>IF(INDIRECT("office_form!A"&amp;ROW())="","",IF($M29="Y",$D29,IF(INDIRECT("office_form!K"&amp;ROW())="","",INDIRECT("office_form!K"&amp;ROW()))))</f>
        <v/>
      </c>
      <c r="L29" s="25">
        <f>IF(INDIRECT("office_form!A"&amp;ROW())="","",IF($M29="Y",$E29,IF(INDIRECT("office_form!L"&amp;ROW())="","",INDIRECT("office_form!L"&amp;ROW()))))</f>
        <v/>
      </c>
      <c r="M29" s="25">
        <f>IF(INDIRECT("office_form!A"&amp;ROW())="","",IF(IF(INDIRECT("office_form!J"&amp;ROW())="","",INDIRECT("office_form!J"&amp;ROW()))="Yes, me","Y",IF(IF(INDIRECT("office_form!J"&amp;ROW())="","",INDIRECT("office_form!J"&amp;ROW()))="Someone else","N","")))</f>
        <v/>
      </c>
      <c r="N2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9" s="25">
        <f>IF(INDIRECT("office_form!A"&amp;ROW())="","",IF(INDIRECT("office_form!N"&amp;ROW())="","",INDIRECT("office_form!N"&amp;ROW())))</f>
        <v/>
      </c>
      <c r="P29" s="25">
        <f>IF(INDIRECT("office_form!A"&amp;ROW())="","",IF(IF(INDIRECT("office_form!O"&amp;ROW())="","",INDIRECT("office_form!O"&amp;ROW()))="Yes","yes",IF(IF(INDIRECT("office_form!O"&amp;ROW())="","",INDIRECT("office_form!O"&amp;ROW()))="No","no",IF(IF(INDIRECT("office_form!O"&amp;ROW())="","",INDIRECT("office_form!O"&amp;ROW()))="Not sure","unsure",""))))</f>
        <v/>
      </c>
      <c r="Q29" s="25">
        <f>IF(INDIRECT("office_form!A"&amp;ROW())="","",IF(IF(INDIRECT("office_form!P"&amp;ROW())="","",INDIRECT("office_form!P"&amp;ROW()))="Slack","slack",IF(IF(INDIRECT("office_form!P"&amp;ROW())="","",INDIRECT("office_form!P"&amp;ROW()))="Email","email",IF(IF(INDIRECT("office_form!P"&amp;ROW())="","",INDIRECT("office_form!P"&amp;ROW()))="Other","other",""))))</f>
        <v/>
      </c>
      <c r="R2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9" s="25">
        <f>IF(INDIRECT("office_form!A"&amp;ROW())="","",IF(INDIRECT("office_form!R"&amp;ROW())="","",INDIRECT("office_form!R"&amp;ROW())))</f>
        <v/>
      </c>
      <c r="T29" s="25">
        <f>IF(INDIRECT("office_form!A"&amp;ROW())="","",IF(INDIRECT("office_form!S"&amp;ROW())="","",INDIRECT("office_form!S"&amp;ROW())))</f>
        <v/>
      </c>
      <c r="U29" s="25">
        <f>IF(INDIRECT("office_form!A"&amp;ROW())="","","founder")</f>
        <v/>
      </c>
    </row>
    <row r="30">
      <c r="A30" s="25">
        <f>IF(INDIRECT("office_form!A"&amp;ROW())="","",TEXT(INDIRECT("office_form!A"&amp;ROW()),"yyyy-mm-dd""T""hh:mm:ss"))</f>
        <v/>
      </c>
      <c r="B30" s="25">
        <f>IF(INDIRECT("office_form!A"&amp;ROW())="","",config!$B$36)</f>
        <v/>
      </c>
      <c r="C30" s="25">
        <f>IF(INDIRECT("office_form!A"&amp;ROW())="","",IF(INDIRECT("office_form!B"&amp;ROW())="","",INDIRECT("office_form!B"&amp;ROW())))</f>
        <v/>
      </c>
      <c r="D30" s="25">
        <f>IF(INDIRECT("office_form!A"&amp;ROW())="","",IF(INDIRECT("office_form!C"&amp;ROW())="","",INDIRECT("office_form!C"&amp;ROW())))</f>
        <v/>
      </c>
      <c r="E30" s="25">
        <f>IF(INDIRECT("office_form!A"&amp;ROW())="","",IF(INDIRECT("office_form!D"&amp;ROW())="","",INDIRECT("office_form!D"&amp;ROW())))</f>
        <v/>
      </c>
      <c r="F30" s="25">
        <f>IF(INDIRECT("office_form!A"&amp;ROW())="","",IF(INDIRECT("office_form!E"&amp;ROW())="","",INDIRECT("office_form!E"&amp;ROW())))</f>
        <v/>
      </c>
      <c r="G30" s="25">
        <f>IF(INDIRECT("office_form!A"&amp;ROW())="","",IF(INDIRECT("office_form!F"&amp;ROW())="","",INDIRECT("office_form!F"&amp;ROW())))</f>
        <v/>
      </c>
      <c r="H30" s="25">
        <f>IF(INDIRECT("office_form!A"&amp;ROW())="","",IF(INDIRECT("office_form!G"&amp;ROW())="","",INDIRECT("office_form!G"&amp;ROW())))</f>
        <v/>
      </c>
      <c r="I30" s="25">
        <f>IF(INDIRECT("office_form!A"&amp;ROW())="","",IF(INDIRECT("office_form!H"&amp;ROW())="","",INDIRECT("office_form!H"&amp;ROW())))</f>
        <v/>
      </c>
      <c r="J30" s="25">
        <f>IF(INDIRECT("office_form!A"&amp;ROW())="","",IF(INDIRECT("office_form!I"&amp;ROW())="","",INDIRECT("office_form!I"&amp;ROW())))</f>
        <v/>
      </c>
      <c r="K30" s="25">
        <f>IF(INDIRECT("office_form!A"&amp;ROW())="","",IF($M30="Y",$D30,IF(INDIRECT("office_form!K"&amp;ROW())="","",INDIRECT("office_form!K"&amp;ROW()))))</f>
        <v/>
      </c>
      <c r="L30" s="25">
        <f>IF(INDIRECT("office_form!A"&amp;ROW())="","",IF($M30="Y",$E30,IF(INDIRECT("office_form!L"&amp;ROW())="","",INDIRECT("office_form!L"&amp;ROW()))))</f>
        <v/>
      </c>
      <c r="M30" s="25">
        <f>IF(INDIRECT("office_form!A"&amp;ROW())="","",IF(IF(INDIRECT("office_form!J"&amp;ROW())="","",INDIRECT("office_form!J"&amp;ROW()))="Yes, me","Y",IF(IF(INDIRECT("office_form!J"&amp;ROW())="","",INDIRECT("office_form!J"&amp;ROW()))="Someone else","N","")))</f>
        <v/>
      </c>
      <c r="N3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0" s="25">
        <f>IF(INDIRECT("office_form!A"&amp;ROW())="","",IF(INDIRECT("office_form!N"&amp;ROW())="","",INDIRECT("office_form!N"&amp;ROW())))</f>
        <v/>
      </c>
      <c r="P30" s="25">
        <f>IF(INDIRECT("office_form!A"&amp;ROW())="","",IF(IF(INDIRECT("office_form!O"&amp;ROW())="","",INDIRECT("office_form!O"&amp;ROW()))="Yes","yes",IF(IF(INDIRECT("office_form!O"&amp;ROW())="","",INDIRECT("office_form!O"&amp;ROW()))="No","no",IF(IF(INDIRECT("office_form!O"&amp;ROW())="","",INDIRECT("office_form!O"&amp;ROW()))="Not sure","unsure",""))))</f>
        <v/>
      </c>
      <c r="Q30" s="25">
        <f>IF(INDIRECT("office_form!A"&amp;ROW())="","",IF(IF(INDIRECT("office_form!P"&amp;ROW())="","",INDIRECT("office_form!P"&amp;ROW()))="Slack","slack",IF(IF(INDIRECT("office_form!P"&amp;ROW())="","",INDIRECT("office_form!P"&amp;ROW()))="Email","email",IF(IF(INDIRECT("office_form!P"&amp;ROW())="","",INDIRECT("office_form!P"&amp;ROW()))="Other","other",""))))</f>
        <v/>
      </c>
      <c r="R3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0" s="25">
        <f>IF(INDIRECT("office_form!A"&amp;ROW())="","",IF(INDIRECT("office_form!R"&amp;ROW())="","",INDIRECT("office_form!R"&amp;ROW())))</f>
        <v/>
      </c>
      <c r="T30" s="25">
        <f>IF(INDIRECT("office_form!A"&amp;ROW())="","",IF(INDIRECT("office_form!S"&amp;ROW())="","",INDIRECT("office_form!S"&amp;ROW())))</f>
        <v/>
      </c>
      <c r="U30" s="25">
        <f>IF(INDIRECT("office_form!A"&amp;ROW())="","","founder")</f>
        <v/>
      </c>
    </row>
    <row r="31">
      <c r="A31" s="25">
        <f>IF(INDIRECT("office_form!A"&amp;ROW())="","",TEXT(INDIRECT("office_form!A"&amp;ROW()),"yyyy-mm-dd""T""hh:mm:ss"))</f>
        <v/>
      </c>
      <c r="B31" s="25">
        <f>IF(INDIRECT("office_form!A"&amp;ROW())="","",config!$B$36)</f>
        <v/>
      </c>
      <c r="C31" s="25">
        <f>IF(INDIRECT("office_form!A"&amp;ROW())="","",IF(INDIRECT("office_form!B"&amp;ROW())="","",INDIRECT("office_form!B"&amp;ROW())))</f>
        <v/>
      </c>
      <c r="D31" s="25">
        <f>IF(INDIRECT("office_form!A"&amp;ROW())="","",IF(INDIRECT("office_form!C"&amp;ROW())="","",INDIRECT("office_form!C"&amp;ROW())))</f>
        <v/>
      </c>
      <c r="E31" s="25">
        <f>IF(INDIRECT("office_form!A"&amp;ROW())="","",IF(INDIRECT("office_form!D"&amp;ROW())="","",INDIRECT("office_form!D"&amp;ROW())))</f>
        <v/>
      </c>
      <c r="F31" s="25">
        <f>IF(INDIRECT("office_form!A"&amp;ROW())="","",IF(INDIRECT("office_form!E"&amp;ROW())="","",INDIRECT("office_form!E"&amp;ROW())))</f>
        <v/>
      </c>
      <c r="G31" s="25">
        <f>IF(INDIRECT("office_form!A"&amp;ROW())="","",IF(INDIRECT("office_form!F"&amp;ROW())="","",INDIRECT("office_form!F"&amp;ROW())))</f>
        <v/>
      </c>
      <c r="H31" s="25">
        <f>IF(INDIRECT("office_form!A"&amp;ROW())="","",IF(INDIRECT("office_form!G"&amp;ROW())="","",INDIRECT("office_form!G"&amp;ROW())))</f>
        <v/>
      </c>
      <c r="I31" s="25">
        <f>IF(INDIRECT("office_form!A"&amp;ROW())="","",IF(INDIRECT("office_form!H"&amp;ROW())="","",INDIRECT("office_form!H"&amp;ROW())))</f>
        <v/>
      </c>
      <c r="J31" s="25">
        <f>IF(INDIRECT("office_form!A"&amp;ROW())="","",IF(INDIRECT("office_form!I"&amp;ROW())="","",INDIRECT("office_form!I"&amp;ROW())))</f>
        <v/>
      </c>
      <c r="K31" s="25">
        <f>IF(INDIRECT("office_form!A"&amp;ROW())="","",IF($M31="Y",$D31,IF(INDIRECT("office_form!K"&amp;ROW())="","",INDIRECT("office_form!K"&amp;ROW()))))</f>
        <v/>
      </c>
      <c r="L31" s="25">
        <f>IF(INDIRECT("office_form!A"&amp;ROW())="","",IF($M31="Y",$E31,IF(INDIRECT("office_form!L"&amp;ROW())="","",INDIRECT("office_form!L"&amp;ROW()))))</f>
        <v/>
      </c>
      <c r="M31" s="25">
        <f>IF(INDIRECT("office_form!A"&amp;ROW())="","",IF(IF(INDIRECT("office_form!J"&amp;ROW())="","",INDIRECT("office_form!J"&amp;ROW()))="Yes, me","Y",IF(IF(INDIRECT("office_form!J"&amp;ROW())="","",INDIRECT("office_form!J"&amp;ROW()))="Someone else","N","")))</f>
        <v/>
      </c>
      <c r="N3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1" s="25">
        <f>IF(INDIRECT("office_form!A"&amp;ROW())="","",IF(INDIRECT("office_form!N"&amp;ROW())="","",INDIRECT("office_form!N"&amp;ROW())))</f>
        <v/>
      </c>
      <c r="P31" s="25">
        <f>IF(INDIRECT("office_form!A"&amp;ROW())="","",IF(IF(INDIRECT("office_form!O"&amp;ROW())="","",INDIRECT("office_form!O"&amp;ROW()))="Yes","yes",IF(IF(INDIRECT("office_form!O"&amp;ROW())="","",INDIRECT("office_form!O"&amp;ROW()))="No","no",IF(IF(INDIRECT("office_form!O"&amp;ROW())="","",INDIRECT("office_form!O"&amp;ROW()))="Not sure","unsure",""))))</f>
        <v/>
      </c>
      <c r="Q31" s="25">
        <f>IF(INDIRECT("office_form!A"&amp;ROW())="","",IF(IF(INDIRECT("office_form!P"&amp;ROW())="","",INDIRECT("office_form!P"&amp;ROW()))="Slack","slack",IF(IF(INDIRECT("office_form!P"&amp;ROW())="","",INDIRECT("office_form!P"&amp;ROW()))="Email","email",IF(IF(INDIRECT("office_form!P"&amp;ROW())="","",INDIRECT("office_form!P"&amp;ROW()))="Other","other",""))))</f>
        <v/>
      </c>
      <c r="R3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1" s="25">
        <f>IF(INDIRECT("office_form!A"&amp;ROW())="","",IF(INDIRECT("office_form!R"&amp;ROW())="","",INDIRECT("office_form!R"&amp;ROW())))</f>
        <v/>
      </c>
      <c r="T31" s="25">
        <f>IF(INDIRECT("office_form!A"&amp;ROW())="","",IF(INDIRECT("office_form!S"&amp;ROW())="","",INDIRECT("office_form!S"&amp;ROW())))</f>
        <v/>
      </c>
      <c r="U31" s="25">
        <f>IF(INDIRECT("office_form!A"&amp;ROW())="","","founder")</f>
        <v/>
      </c>
    </row>
    <row r="32">
      <c r="A32" s="25">
        <f>IF(INDIRECT("office_form!A"&amp;ROW())="","",TEXT(INDIRECT("office_form!A"&amp;ROW()),"yyyy-mm-dd""T""hh:mm:ss"))</f>
        <v/>
      </c>
      <c r="B32" s="25">
        <f>IF(INDIRECT("office_form!A"&amp;ROW())="","",config!$B$36)</f>
        <v/>
      </c>
      <c r="C32" s="25">
        <f>IF(INDIRECT("office_form!A"&amp;ROW())="","",IF(INDIRECT("office_form!B"&amp;ROW())="","",INDIRECT("office_form!B"&amp;ROW())))</f>
        <v/>
      </c>
      <c r="D32" s="25">
        <f>IF(INDIRECT("office_form!A"&amp;ROW())="","",IF(INDIRECT("office_form!C"&amp;ROW())="","",INDIRECT("office_form!C"&amp;ROW())))</f>
        <v/>
      </c>
      <c r="E32" s="25">
        <f>IF(INDIRECT("office_form!A"&amp;ROW())="","",IF(INDIRECT("office_form!D"&amp;ROW())="","",INDIRECT("office_form!D"&amp;ROW())))</f>
        <v/>
      </c>
      <c r="F32" s="25">
        <f>IF(INDIRECT("office_form!A"&amp;ROW())="","",IF(INDIRECT("office_form!E"&amp;ROW())="","",INDIRECT("office_form!E"&amp;ROW())))</f>
        <v/>
      </c>
      <c r="G32" s="25">
        <f>IF(INDIRECT("office_form!A"&amp;ROW())="","",IF(INDIRECT("office_form!F"&amp;ROW())="","",INDIRECT("office_form!F"&amp;ROW())))</f>
        <v/>
      </c>
      <c r="H32" s="25">
        <f>IF(INDIRECT("office_form!A"&amp;ROW())="","",IF(INDIRECT("office_form!G"&amp;ROW())="","",INDIRECT("office_form!G"&amp;ROW())))</f>
        <v/>
      </c>
      <c r="I32" s="25">
        <f>IF(INDIRECT("office_form!A"&amp;ROW())="","",IF(INDIRECT("office_form!H"&amp;ROW())="","",INDIRECT("office_form!H"&amp;ROW())))</f>
        <v/>
      </c>
      <c r="J32" s="25">
        <f>IF(INDIRECT("office_form!A"&amp;ROW())="","",IF(INDIRECT("office_form!I"&amp;ROW())="","",INDIRECT("office_form!I"&amp;ROW())))</f>
        <v/>
      </c>
      <c r="K32" s="25">
        <f>IF(INDIRECT("office_form!A"&amp;ROW())="","",IF($M32="Y",$D32,IF(INDIRECT("office_form!K"&amp;ROW())="","",INDIRECT("office_form!K"&amp;ROW()))))</f>
        <v/>
      </c>
      <c r="L32" s="25">
        <f>IF(INDIRECT("office_form!A"&amp;ROW())="","",IF($M32="Y",$E32,IF(INDIRECT("office_form!L"&amp;ROW())="","",INDIRECT("office_form!L"&amp;ROW()))))</f>
        <v/>
      </c>
      <c r="M32" s="25">
        <f>IF(INDIRECT("office_form!A"&amp;ROW())="","",IF(IF(INDIRECT("office_form!J"&amp;ROW())="","",INDIRECT("office_form!J"&amp;ROW()))="Yes, me","Y",IF(IF(INDIRECT("office_form!J"&amp;ROW())="","",INDIRECT("office_form!J"&amp;ROW()))="Someone else","N","")))</f>
        <v/>
      </c>
      <c r="N3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2" s="25">
        <f>IF(INDIRECT("office_form!A"&amp;ROW())="","",IF(INDIRECT("office_form!N"&amp;ROW())="","",INDIRECT("office_form!N"&amp;ROW())))</f>
        <v/>
      </c>
      <c r="P32" s="25">
        <f>IF(INDIRECT("office_form!A"&amp;ROW())="","",IF(IF(INDIRECT("office_form!O"&amp;ROW())="","",INDIRECT("office_form!O"&amp;ROW()))="Yes","yes",IF(IF(INDIRECT("office_form!O"&amp;ROW())="","",INDIRECT("office_form!O"&amp;ROW()))="No","no",IF(IF(INDIRECT("office_form!O"&amp;ROW())="","",INDIRECT("office_form!O"&amp;ROW()))="Not sure","unsure",""))))</f>
        <v/>
      </c>
      <c r="Q32" s="25">
        <f>IF(INDIRECT("office_form!A"&amp;ROW())="","",IF(IF(INDIRECT("office_form!P"&amp;ROW())="","",INDIRECT("office_form!P"&amp;ROW()))="Slack","slack",IF(IF(INDIRECT("office_form!P"&amp;ROW())="","",INDIRECT("office_form!P"&amp;ROW()))="Email","email",IF(IF(INDIRECT("office_form!P"&amp;ROW())="","",INDIRECT("office_form!P"&amp;ROW()))="Other","other",""))))</f>
        <v/>
      </c>
      <c r="R3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2" s="25">
        <f>IF(INDIRECT("office_form!A"&amp;ROW())="","",IF(INDIRECT("office_form!R"&amp;ROW())="","",INDIRECT("office_form!R"&amp;ROW())))</f>
        <v/>
      </c>
      <c r="T32" s="25">
        <f>IF(INDIRECT("office_form!A"&amp;ROW())="","",IF(INDIRECT("office_form!S"&amp;ROW())="","",INDIRECT("office_form!S"&amp;ROW())))</f>
        <v/>
      </c>
      <c r="U32" s="25">
        <f>IF(INDIRECT("office_form!A"&amp;ROW())="","","founder")</f>
        <v/>
      </c>
    </row>
    <row r="33">
      <c r="A33" s="25">
        <f>IF(INDIRECT("office_form!A"&amp;ROW())="","",TEXT(INDIRECT("office_form!A"&amp;ROW()),"yyyy-mm-dd""T""hh:mm:ss"))</f>
        <v/>
      </c>
      <c r="B33" s="25">
        <f>IF(INDIRECT("office_form!A"&amp;ROW())="","",config!$B$36)</f>
        <v/>
      </c>
      <c r="C33" s="25">
        <f>IF(INDIRECT("office_form!A"&amp;ROW())="","",IF(INDIRECT("office_form!B"&amp;ROW())="","",INDIRECT("office_form!B"&amp;ROW())))</f>
        <v/>
      </c>
      <c r="D33" s="25">
        <f>IF(INDIRECT("office_form!A"&amp;ROW())="","",IF(INDIRECT("office_form!C"&amp;ROW())="","",INDIRECT("office_form!C"&amp;ROW())))</f>
        <v/>
      </c>
      <c r="E33" s="25">
        <f>IF(INDIRECT("office_form!A"&amp;ROW())="","",IF(INDIRECT("office_form!D"&amp;ROW())="","",INDIRECT("office_form!D"&amp;ROW())))</f>
        <v/>
      </c>
      <c r="F33" s="25">
        <f>IF(INDIRECT("office_form!A"&amp;ROW())="","",IF(INDIRECT("office_form!E"&amp;ROW())="","",INDIRECT("office_form!E"&amp;ROW())))</f>
        <v/>
      </c>
      <c r="G33" s="25">
        <f>IF(INDIRECT("office_form!A"&amp;ROW())="","",IF(INDIRECT("office_form!F"&amp;ROW())="","",INDIRECT("office_form!F"&amp;ROW())))</f>
        <v/>
      </c>
      <c r="H33" s="25">
        <f>IF(INDIRECT("office_form!A"&amp;ROW())="","",IF(INDIRECT("office_form!G"&amp;ROW())="","",INDIRECT("office_form!G"&amp;ROW())))</f>
        <v/>
      </c>
      <c r="I33" s="25">
        <f>IF(INDIRECT("office_form!A"&amp;ROW())="","",IF(INDIRECT("office_form!H"&amp;ROW())="","",INDIRECT("office_form!H"&amp;ROW())))</f>
        <v/>
      </c>
      <c r="J33" s="25">
        <f>IF(INDIRECT("office_form!A"&amp;ROW())="","",IF(INDIRECT("office_form!I"&amp;ROW())="","",INDIRECT("office_form!I"&amp;ROW())))</f>
        <v/>
      </c>
      <c r="K33" s="25">
        <f>IF(INDIRECT("office_form!A"&amp;ROW())="","",IF($M33="Y",$D33,IF(INDIRECT("office_form!K"&amp;ROW())="","",INDIRECT("office_form!K"&amp;ROW()))))</f>
        <v/>
      </c>
      <c r="L33" s="25">
        <f>IF(INDIRECT("office_form!A"&amp;ROW())="","",IF($M33="Y",$E33,IF(INDIRECT("office_form!L"&amp;ROW())="","",INDIRECT("office_form!L"&amp;ROW()))))</f>
        <v/>
      </c>
      <c r="M33" s="25">
        <f>IF(INDIRECT("office_form!A"&amp;ROW())="","",IF(IF(INDIRECT("office_form!J"&amp;ROW())="","",INDIRECT("office_form!J"&amp;ROW()))="Yes, me","Y",IF(IF(INDIRECT("office_form!J"&amp;ROW())="","",INDIRECT("office_form!J"&amp;ROW()))="Someone else","N","")))</f>
        <v/>
      </c>
      <c r="N3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3" s="25">
        <f>IF(INDIRECT("office_form!A"&amp;ROW())="","",IF(INDIRECT("office_form!N"&amp;ROW())="","",INDIRECT("office_form!N"&amp;ROW())))</f>
        <v/>
      </c>
      <c r="P33" s="25">
        <f>IF(INDIRECT("office_form!A"&amp;ROW())="","",IF(IF(INDIRECT("office_form!O"&amp;ROW())="","",INDIRECT("office_form!O"&amp;ROW()))="Yes","yes",IF(IF(INDIRECT("office_form!O"&amp;ROW())="","",INDIRECT("office_form!O"&amp;ROW()))="No","no",IF(IF(INDIRECT("office_form!O"&amp;ROW())="","",INDIRECT("office_form!O"&amp;ROW()))="Not sure","unsure",""))))</f>
        <v/>
      </c>
      <c r="Q33" s="25">
        <f>IF(INDIRECT("office_form!A"&amp;ROW())="","",IF(IF(INDIRECT("office_form!P"&amp;ROW())="","",INDIRECT("office_form!P"&amp;ROW()))="Slack","slack",IF(IF(INDIRECT("office_form!P"&amp;ROW())="","",INDIRECT("office_form!P"&amp;ROW()))="Email","email",IF(IF(INDIRECT("office_form!P"&amp;ROW())="","",INDIRECT("office_form!P"&amp;ROW()))="Other","other",""))))</f>
        <v/>
      </c>
      <c r="R3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3" s="25">
        <f>IF(INDIRECT("office_form!A"&amp;ROW())="","",IF(INDIRECT("office_form!R"&amp;ROW())="","",INDIRECT("office_form!R"&amp;ROW())))</f>
        <v/>
      </c>
      <c r="T33" s="25">
        <f>IF(INDIRECT("office_form!A"&amp;ROW())="","",IF(INDIRECT("office_form!S"&amp;ROW())="","",INDIRECT("office_form!S"&amp;ROW())))</f>
        <v/>
      </c>
      <c r="U33" s="25">
        <f>IF(INDIRECT("office_form!A"&amp;ROW())="","","founder")</f>
        <v/>
      </c>
    </row>
    <row r="34">
      <c r="A34" s="25">
        <f>IF(INDIRECT("office_form!A"&amp;ROW())="","",TEXT(INDIRECT("office_form!A"&amp;ROW()),"yyyy-mm-dd""T""hh:mm:ss"))</f>
        <v/>
      </c>
      <c r="B34" s="25">
        <f>IF(INDIRECT("office_form!A"&amp;ROW())="","",config!$B$36)</f>
        <v/>
      </c>
      <c r="C34" s="25">
        <f>IF(INDIRECT("office_form!A"&amp;ROW())="","",IF(INDIRECT("office_form!B"&amp;ROW())="","",INDIRECT("office_form!B"&amp;ROW())))</f>
        <v/>
      </c>
      <c r="D34" s="25">
        <f>IF(INDIRECT("office_form!A"&amp;ROW())="","",IF(INDIRECT("office_form!C"&amp;ROW())="","",INDIRECT("office_form!C"&amp;ROW())))</f>
        <v/>
      </c>
      <c r="E34" s="25">
        <f>IF(INDIRECT("office_form!A"&amp;ROW())="","",IF(INDIRECT("office_form!D"&amp;ROW())="","",INDIRECT("office_form!D"&amp;ROW())))</f>
        <v/>
      </c>
      <c r="F34" s="25">
        <f>IF(INDIRECT("office_form!A"&amp;ROW())="","",IF(INDIRECT("office_form!E"&amp;ROW())="","",INDIRECT("office_form!E"&amp;ROW())))</f>
        <v/>
      </c>
      <c r="G34" s="25">
        <f>IF(INDIRECT("office_form!A"&amp;ROW())="","",IF(INDIRECT("office_form!F"&amp;ROW())="","",INDIRECT("office_form!F"&amp;ROW())))</f>
        <v/>
      </c>
      <c r="H34" s="25">
        <f>IF(INDIRECT("office_form!A"&amp;ROW())="","",IF(INDIRECT("office_form!G"&amp;ROW())="","",INDIRECT("office_form!G"&amp;ROW())))</f>
        <v/>
      </c>
      <c r="I34" s="25">
        <f>IF(INDIRECT("office_form!A"&amp;ROW())="","",IF(INDIRECT("office_form!H"&amp;ROW())="","",INDIRECT("office_form!H"&amp;ROW())))</f>
        <v/>
      </c>
      <c r="J34" s="25">
        <f>IF(INDIRECT("office_form!A"&amp;ROW())="","",IF(INDIRECT("office_form!I"&amp;ROW())="","",INDIRECT("office_form!I"&amp;ROW())))</f>
        <v/>
      </c>
      <c r="K34" s="25">
        <f>IF(INDIRECT("office_form!A"&amp;ROW())="","",IF($M34="Y",$D34,IF(INDIRECT("office_form!K"&amp;ROW())="","",INDIRECT("office_form!K"&amp;ROW()))))</f>
        <v/>
      </c>
      <c r="L34" s="25">
        <f>IF(INDIRECT("office_form!A"&amp;ROW())="","",IF($M34="Y",$E34,IF(INDIRECT("office_form!L"&amp;ROW())="","",INDIRECT("office_form!L"&amp;ROW()))))</f>
        <v/>
      </c>
      <c r="M34" s="25">
        <f>IF(INDIRECT("office_form!A"&amp;ROW())="","",IF(IF(INDIRECT("office_form!J"&amp;ROW())="","",INDIRECT("office_form!J"&amp;ROW()))="Yes, me","Y",IF(IF(INDIRECT("office_form!J"&amp;ROW())="","",INDIRECT("office_form!J"&amp;ROW()))="Someone else","N","")))</f>
        <v/>
      </c>
      <c r="N3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4" s="25">
        <f>IF(INDIRECT("office_form!A"&amp;ROW())="","",IF(INDIRECT("office_form!N"&amp;ROW())="","",INDIRECT("office_form!N"&amp;ROW())))</f>
        <v/>
      </c>
      <c r="P34" s="25">
        <f>IF(INDIRECT("office_form!A"&amp;ROW())="","",IF(IF(INDIRECT("office_form!O"&amp;ROW())="","",INDIRECT("office_form!O"&amp;ROW()))="Yes","yes",IF(IF(INDIRECT("office_form!O"&amp;ROW())="","",INDIRECT("office_form!O"&amp;ROW()))="No","no",IF(IF(INDIRECT("office_form!O"&amp;ROW())="","",INDIRECT("office_form!O"&amp;ROW()))="Not sure","unsure",""))))</f>
        <v/>
      </c>
      <c r="Q34" s="25">
        <f>IF(INDIRECT("office_form!A"&amp;ROW())="","",IF(IF(INDIRECT("office_form!P"&amp;ROW())="","",INDIRECT("office_form!P"&amp;ROW()))="Slack","slack",IF(IF(INDIRECT("office_form!P"&amp;ROW())="","",INDIRECT("office_form!P"&amp;ROW()))="Email","email",IF(IF(INDIRECT("office_form!P"&amp;ROW())="","",INDIRECT("office_form!P"&amp;ROW()))="Other","other",""))))</f>
        <v/>
      </c>
      <c r="R3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4" s="25">
        <f>IF(INDIRECT("office_form!A"&amp;ROW())="","",IF(INDIRECT("office_form!R"&amp;ROW())="","",INDIRECT("office_form!R"&amp;ROW())))</f>
        <v/>
      </c>
      <c r="T34" s="25">
        <f>IF(INDIRECT("office_form!A"&amp;ROW())="","",IF(INDIRECT("office_form!S"&amp;ROW())="","",INDIRECT("office_form!S"&amp;ROW())))</f>
        <v/>
      </c>
      <c r="U34" s="25">
        <f>IF(INDIRECT("office_form!A"&amp;ROW())="","","founder")</f>
        <v/>
      </c>
    </row>
    <row r="35">
      <c r="A35" s="25">
        <f>IF(INDIRECT("office_form!A"&amp;ROW())="","",TEXT(INDIRECT("office_form!A"&amp;ROW()),"yyyy-mm-dd""T""hh:mm:ss"))</f>
        <v/>
      </c>
      <c r="B35" s="25">
        <f>IF(INDIRECT("office_form!A"&amp;ROW())="","",config!$B$36)</f>
        <v/>
      </c>
      <c r="C35" s="25">
        <f>IF(INDIRECT("office_form!A"&amp;ROW())="","",IF(INDIRECT("office_form!B"&amp;ROW())="","",INDIRECT("office_form!B"&amp;ROW())))</f>
        <v/>
      </c>
      <c r="D35" s="25">
        <f>IF(INDIRECT("office_form!A"&amp;ROW())="","",IF(INDIRECT("office_form!C"&amp;ROW())="","",INDIRECT("office_form!C"&amp;ROW())))</f>
        <v/>
      </c>
      <c r="E35" s="25">
        <f>IF(INDIRECT("office_form!A"&amp;ROW())="","",IF(INDIRECT("office_form!D"&amp;ROW())="","",INDIRECT("office_form!D"&amp;ROW())))</f>
        <v/>
      </c>
      <c r="F35" s="25">
        <f>IF(INDIRECT("office_form!A"&amp;ROW())="","",IF(INDIRECT("office_form!E"&amp;ROW())="","",INDIRECT("office_form!E"&amp;ROW())))</f>
        <v/>
      </c>
      <c r="G35" s="25">
        <f>IF(INDIRECT("office_form!A"&amp;ROW())="","",IF(INDIRECT("office_form!F"&amp;ROW())="","",INDIRECT("office_form!F"&amp;ROW())))</f>
        <v/>
      </c>
      <c r="H35" s="25">
        <f>IF(INDIRECT("office_form!A"&amp;ROW())="","",IF(INDIRECT("office_form!G"&amp;ROW())="","",INDIRECT("office_form!G"&amp;ROW())))</f>
        <v/>
      </c>
      <c r="I35" s="25">
        <f>IF(INDIRECT("office_form!A"&amp;ROW())="","",IF(INDIRECT("office_form!H"&amp;ROW())="","",INDIRECT("office_form!H"&amp;ROW())))</f>
        <v/>
      </c>
      <c r="J35" s="25">
        <f>IF(INDIRECT("office_form!A"&amp;ROW())="","",IF(INDIRECT("office_form!I"&amp;ROW())="","",INDIRECT("office_form!I"&amp;ROW())))</f>
        <v/>
      </c>
      <c r="K35" s="25">
        <f>IF(INDIRECT("office_form!A"&amp;ROW())="","",IF($M35="Y",$D35,IF(INDIRECT("office_form!K"&amp;ROW())="","",INDIRECT("office_form!K"&amp;ROW()))))</f>
        <v/>
      </c>
      <c r="L35" s="25">
        <f>IF(INDIRECT("office_form!A"&amp;ROW())="","",IF($M35="Y",$E35,IF(INDIRECT("office_form!L"&amp;ROW())="","",INDIRECT("office_form!L"&amp;ROW()))))</f>
        <v/>
      </c>
      <c r="M35" s="25">
        <f>IF(INDIRECT("office_form!A"&amp;ROW())="","",IF(IF(INDIRECT("office_form!J"&amp;ROW())="","",INDIRECT("office_form!J"&amp;ROW()))="Yes, me","Y",IF(IF(INDIRECT("office_form!J"&amp;ROW())="","",INDIRECT("office_form!J"&amp;ROW()))="Someone else","N","")))</f>
        <v/>
      </c>
      <c r="N3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5" s="25">
        <f>IF(INDIRECT("office_form!A"&amp;ROW())="","",IF(INDIRECT("office_form!N"&amp;ROW())="","",INDIRECT("office_form!N"&amp;ROW())))</f>
        <v/>
      </c>
      <c r="P35" s="25">
        <f>IF(INDIRECT("office_form!A"&amp;ROW())="","",IF(IF(INDIRECT("office_form!O"&amp;ROW())="","",INDIRECT("office_form!O"&amp;ROW()))="Yes","yes",IF(IF(INDIRECT("office_form!O"&amp;ROW())="","",INDIRECT("office_form!O"&amp;ROW()))="No","no",IF(IF(INDIRECT("office_form!O"&amp;ROW())="","",INDIRECT("office_form!O"&amp;ROW()))="Not sure","unsure",""))))</f>
        <v/>
      </c>
      <c r="Q35" s="25">
        <f>IF(INDIRECT("office_form!A"&amp;ROW())="","",IF(IF(INDIRECT("office_form!P"&amp;ROW())="","",INDIRECT("office_form!P"&amp;ROW()))="Slack","slack",IF(IF(INDIRECT("office_form!P"&amp;ROW())="","",INDIRECT("office_form!P"&amp;ROW()))="Email","email",IF(IF(INDIRECT("office_form!P"&amp;ROW())="","",INDIRECT("office_form!P"&amp;ROW()))="Other","other",""))))</f>
        <v/>
      </c>
      <c r="R3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5" s="25">
        <f>IF(INDIRECT("office_form!A"&amp;ROW())="","",IF(INDIRECT("office_form!R"&amp;ROW())="","",INDIRECT("office_form!R"&amp;ROW())))</f>
        <v/>
      </c>
      <c r="T35" s="25">
        <f>IF(INDIRECT("office_form!A"&amp;ROW())="","",IF(INDIRECT("office_form!S"&amp;ROW())="","",INDIRECT("office_form!S"&amp;ROW())))</f>
        <v/>
      </c>
      <c r="U35" s="25">
        <f>IF(INDIRECT("office_form!A"&amp;ROW())="","","founder")</f>
        <v/>
      </c>
    </row>
    <row r="36">
      <c r="A36" s="25">
        <f>IF(INDIRECT("office_form!A"&amp;ROW())="","",TEXT(INDIRECT("office_form!A"&amp;ROW()),"yyyy-mm-dd""T""hh:mm:ss"))</f>
        <v/>
      </c>
      <c r="B36" s="25">
        <f>IF(INDIRECT("office_form!A"&amp;ROW())="","",config!$B$36)</f>
        <v/>
      </c>
      <c r="C36" s="25">
        <f>IF(INDIRECT("office_form!A"&amp;ROW())="","",IF(INDIRECT("office_form!B"&amp;ROW())="","",INDIRECT("office_form!B"&amp;ROW())))</f>
        <v/>
      </c>
      <c r="D36" s="25">
        <f>IF(INDIRECT("office_form!A"&amp;ROW())="","",IF(INDIRECT("office_form!C"&amp;ROW())="","",INDIRECT("office_form!C"&amp;ROW())))</f>
        <v/>
      </c>
      <c r="E36" s="25">
        <f>IF(INDIRECT("office_form!A"&amp;ROW())="","",IF(INDIRECT("office_form!D"&amp;ROW())="","",INDIRECT("office_form!D"&amp;ROW())))</f>
        <v/>
      </c>
      <c r="F36" s="25">
        <f>IF(INDIRECT("office_form!A"&amp;ROW())="","",IF(INDIRECT("office_form!E"&amp;ROW())="","",INDIRECT("office_form!E"&amp;ROW())))</f>
        <v/>
      </c>
      <c r="G36" s="25">
        <f>IF(INDIRECT("office_form!A"&amp;ROW())="","",IF(INDIRECT("office_form!F"&amp;ROW())="","",INDIRECT("office_form!F"&amp;ROW())))</f>
        <v/>
      </c>
      <c r="H36" s="25">
        <f>IF(INDIRECT("office_form!A"&amp;ROW())="","",IF(INDIRECT("office_form!G"&amp;ROW())="","",INDIRECT("office_form!G"&amp;ROW())))</f>
        <v/>
      </c>
      <c r="I36" s="25">
        <f>IF(INDIRECT("office_form!A"&amp;ROW())="","",IF(INDIRECT("office_form!H"&amp;ROW())="","",INDIRECT("office_form!H"&amp;ROW())))</f>
        <v/>
      </c>
      <c r="J36" s="25">
        <f>IF(INDIRECT("office_form!A"&amp;ROW())="","",IF(INDIRECT("office_form!I"&amp;ROW())="","",INDIRECT("office_form!I"&amp;ROW())))</f>
        <v/>
      </c>
      <c r="K36" s="25">
        <f>IF(INDIRECT("office_form!A"&amp;ROW())="","",IF($M36="Y",$D36,IF(INDIRECT("office_form!K"&amp;ROW())="","",INDIRECT("office_form!K"&amp;ROW()))))</f>
        <v/>
      </c>
      <c r="L36" s="25">
        <f>IF(INDIRECT("office_form!A"&amp;ROW())="","",IF($M36="Y",$E36,IF(INDIRECT("office_form!L"&amp;ROW())="","",INDIRECT("office_form!L"&amp;ROW()))))</f>
        <v/>
      </c>
      <c r="M36" s="25">
        <f>IF(INDIRECT("office_form!A"&amp;ROW())="","",IF(IF(INDIRECT("office_form!J"&amp;ROW())="","",INDIRECT("office_form!J"&amp;ROW()))="Yes, me","Y",IF(IF(INDIRECT("office_form!J"&amp;ROW())="","",INDIRECT("office_form!J"&amp;ROW()))="Someone else","N","")))</f>
        <v/>
      </c>
      <c r="N3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6" s="25">
        <f>IF(INDIRECT("office_form!A"&amp;ROW())="","",IF(INDIRECT("office_form!N"&amp;ROW())="","",INDIRECT("office_form!N"&amp;ROW())))</f>
        <v/>
      </c>
      <c r="P36" s="25">
        <f>IF(INDIRECT("office_form!A"&amp;ROW())="","",IF(IF(INDIRECT("office_form!O"&amp;ROW())="","",INDIRECT("office_form!O"&amp;ROW()))="Yes","yes",IF(IF(INDIRECT("office_form!O"&amp;ROW())="","",INDIRECT("office_form!O"&amp;ROW()))="No","no",IF(IF(INDIRECT("office_form!O"&amp;ROW())="","",INDIRECT("office_form!O"&amp;ROW()))="Not sure","unsure",""))))</f>
        <v/>
      </c>
      <c r="Q36" s="25">
        <f>IF(INDIRECT("office_form!A"&amp;ROW())="","",IF(IF(INDIRECT("office_form!P"&amp;ROW())="","",INDIRECT("office_form!P"&amp;ROW()))="Slack","slack",IF(IF(INDIRECT("office_form!P"&amp;ROW())="","",INDIRECT("office_form!P"&amp;ROW()))="Email","email",IF(IF(INDIRECT("office_form!P"&amp;ROW())="","",INDIRECT("office_form!P"&amp;ROW()))="Other","other",""))))</f>
        <v/>
      </c>
      <c r="R3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6" s="25">
        <f>IF(INDIRECT("office_form!A"&amp;ROW())="","",IF(INDIRECT("office_form!R"&amp;ROW())="","",INDIRECT("office_form!R"&amp;ROW())))</f>
        <v/>
      </c>
      <c r="T36" s="25">
        <f>IF(INDIRECT("office_form!A"&amp;ROW())="","",IF(INDIRECT("office_form!S"&amp;ROW())="","",INDIRECT("office_form!S"&amp;ROW())))</f>
        <v/>
      </c>
      <c r="U36" s="25">
        <f>IF(INDIRECT("office_form!A"&amp;ROW())="","","founder")</f>
        <v/>
      </c>
    </row>
    <row r="37">
      <c r="A37" s="25">
        <f>IF(INDIRECT("office_form!A"&amp;ROW())="","",TEXT(INDIRECT("office_form!A"&amp;ROW()),"yyyy-mm-dd""T""hh:mm:ss"))</f>
        <v/>
      </c>
      <c r="B37" s="25">
        <f>IF(INDIRECT("office_form!A"&amp;ROW())="","",config!$B$36)</f>
        <v/>
      </c>
      <c r="C37" s="25">
        <f>IF(INDIRECT("office_form!A"&amp;ROW())="","",IF(INDIRECT("office_form!B"&amp;ROW())="","",INDIRECT("office_form!B"&amp;ROW())))</f>
        <v/>
      </c>
      <c r="D37" s="25">
        <f>IF(INDIRECT("office_form!A"&amp;ROW())="","",IF(INDIRECT("office_form!C"&amp;ROW())="","",INDIRECT("office_form!C"&amp;ROW())))</f>
        <v/>
      </c>
      <c r="E37" s="25">
        <f>IF(INDIRECT("office_form!A"&amp;ROW())="","",IF(INDIRECT("office_form!D"&amp;ROW())="","",INDIRECT("office_form!D"&amp;ROW())))</f>
        <v/>
      </c>
      <c r="F37" s="25">
        <f>IF(INDIRECT("office_form!A"&amp;ROW())="","",IF(INDIRECT("office_form!E"&amp;ROW())="","",INDIRECT("office_form!E"&amp;ROW())))</f>
        <v/>
      </c>
      <c r="G37" s="25">
        <f>IF(INDIRECT("office_form!A"&amp;ROW())="","",IF(INDIRECT("office_form!F"&amp;ROW())="","",INDIRECT("office_form!F"&amp;ROW())))</f>
        <v/>
      </c>
      <c r="H37" s="25">
        <f>IF(INDIRECT("office_form!A"&amp;ROW())="","",IF(INDIRECT("office_form!G"&amp;ROW())="","",INDIRECT("office_form!G"&amp;ROW())))</f>
        <v/>
      </c>
      <c r="I37" s="25">
        <f>IF(INDIRECT("office_form!A"&amp;ROW())="","",IF(INDIRECT("office_form!H"&amp;ROW())="","",INDIRECT("office_form!H"&amp;ROW())))</f>
        <v/>
      </c>
      <c r="J37" s="25">
        <f>IF(INDIRECT("office_form!A"&amp;ROW())="","",IF(INDIRECT("office_form!I"&amp;ROW())="","",INDIRECT("office_form!I"&amp;ROW())))</f>
        <v/>
      </c>
      <c r="K37" s="25">
        <f>IF(INDIRECT("office_form!A"&amp;ROW())="","",IF($M37="Y",$D37,IF(INDIRECT("office_form!K"&amp;ROW())="","",INDIRECT("office_form!K"&amp;ROW()))))</f>
        <v/>
      </c>
      <c r="L37" s="25">
        <f>IF(INDIRECT("office_form!A"&amp;ROW())="","",IF($M37="Y",$E37,IF(INDIRECT("office_form!L"&amp;ROW())="","",INDIRECT("office_form!L"&amp;ROW()))))</f>
        <v/>
      </c>
      <c r="M37" s="25">
        <f>IF(INDIRECT("office_form!A"&amp;ROW())="","",IF(IF(INDIRECT("office_form!J"&amp;ROW())="","",INDIRECT("office_form!J"&amp;ROW()))="Yes, me","Y",IF(IF(INDIRECT("office_form!J"&amp;ROW())="","",INDIRECT("office_form!J"&amp;ROW()))="Someone else","N","")))</f>
        <v/>
      </c>
      <c r="N3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7" s="25">
        <f>IF(INDIRECT("office_form!A"&amp;ROW())="","",IF(INDIRECT("office_form!N"&amp;ROW())="","",INDIRECT("office_form!N"&amp;ROW())))</f>
        <v/>
      </c>
      <c r="P37" s="25">
        <f>IF(INDIRECT("office_form!A"&amp;ROW())="","",IF(IF(INDIRECT("office_form!O"&amp;ROW())="","",INDIRECT("office_form!O"&amp;ROW()))="Yes","yes",IF(IF(INDIRECT("office_form!O"&amp;ROW())="","",INDIRECT("office_form!O"&amp;ROW()))="No","no",IF(IF(INDIRECT("office_form!O"&amp;ROW())="","",INDIRECT("office_form!O"&amp;ROW()))="Not sure","unsure",""))))</f>
        <v/>
      </c>
      <c r="Q37" s="25">
        <f>IF(INDIRECT("office_form!A"&amp;ROW())="","",IF(IF(INDIRECT("office_form!P"&amp;ROW())="","",INDIRECT("office_form!P"&amp;ROW()))="Slack","slack",IF(IF(INDIRECT("office_form!P"&amp;ROW())="","",INDIRECT("office_form!P"&amp;ROW()))="Email","email",IF(IF(INDIRECT("office_form!P"&amp;ROW())="","",INDIRECT("office_form!P"&amp;ROW()))="Other","other",""))))</f>
        <v/>
      </c>
      <c r="R3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7" s="25">
        <f>IF(INDIRECT("office_form!A"&amp;ROW())="","",IF(INDIRECT("office_form!R"&amp;ROW())="","",INDIRECT("office_form!R"&amp;ROW())))</f>
        <v/>
      </c>
      <c r="T37" s="25">
        <f>IF(INDIRECT("office_form!A"&amp;ROW())="","",IF(INDIRECT("office_form!S"&amp;ROW())="","",INDIRECT("office_form!S"&amp;ROW())))</f>
        <v/>
      </c>
      <c r="U37" s="25">
        <f>IF(INDIRECT("office_form!A"&amp;ROW())="","","founder")</f>
        <v/>
      </c>
    </row>
    <row r="38">
      <c r="A38" s="25">
        <f>IF(INDIRECT("office_form!A"&amp;ROW())="","",TEXT(INDIRECT("office_form!A"&amp;ROW()),"yyyy-mm-dd""T""hh:mm:ss"))</f>
        <v/>
      </c>
      <c r="B38" s="25">
        <f>IF(INDIRECT("office_form!A"&amp;ROW())="","",config!$B$36)</f>
        <v/>
      </c>
      <c r="C38" s="25">
        <f>IF(INDIRECT("office_form!A"&amp;ROW())="","",IF(INDIRECT("office_form!B"&amp;ROW())="","",INDIRECT("office_form!B"&amp;ROW())))</f>
        <v/>
      </c>
      <c r="D38" s="25">
        <f>IF(INDIRECT("office_form!A"&amp;ROW())="","",IF(INDIRECT("office_form!C"&amp;ROW())="","",INDIRECT("office_form!C"&amp;ROW())))</f>
        <v/>
      </c>
      <c r="E38" s="25">
        <f>IF(INDIRECT("office_form!A"&amp;ROW())="","",IF(INDIRECT("office_form!D"&amp;ROW())="","",INDIRECT("office_form!D"&amp;ROW())))</f>
        <v/>
      </c>
      <c r="F38" s="25">
        <f>IF(INDIRECT("office_form!A"&amp;ROW())="","",IF(INDIRECT("office_form!E"&amp;ROW())="","",INDIRECT("office_form!E"&amp;ROW())))</f>
        <v/>
      </c>
      <c r="G38" s="25">
        <f>IF(INDIRECT("office_form!A"&amp;ROW())="","",IF(INDIRECT("office_form!F"&amp;ROW())="","",INDIRECT("office_form!F"&amp;ROW())))</f>
        <v/>
      </c>
      <c r="H38" s="25">
        <f>IF(INDIRECT("office_form!A"&amp;ROW())="","",IF(INDIRECT("office_form!G"&amp;ROW())="","",INDIRECT("office_form!G"&amp;ROW())))</f>
        <v/>
      </c>
      <c r="I38" s="25">
        <f>IF(INDIRECT("office_form!A"&amp;ROW())="","",IF(INDIRECT("office_form!H"&amp;ROW())="","",INDIRECT("office_form!H"&amp;ROW())))</f>
        <v/>
      </c>
      <c r="J38" s="25">
        <f>IF(INDIRECT("office_form!A"&amp;ROW())="","",IF(INDIRECT("office_form!I"&amp;ROW())="","",INDIRECT("office_form!I"&amp;ROW())))</f>
        <v/>
      </c>
      <c r="K38" s="25">
        <f>IF(INDIRECT("office_form!A"&amp;ROW())="","",IF($M38="Y",$D38,IF(INDIRECT("office_form!K"&amp;ROW())="","",INDIRECT("office_form!K"&amp;ROW()))))</f>
        <v/>
      </c>
      <c r="L38" s="25">
        <f>IF(INDIRECT("office_form!A"&amp;ROW())="","",IF($M38="Y",$E38,IF(INDIRECT("office_form!L"&amp;ROW())="","",INDIRECT("office_form!L"&amp;ROW()))))</f>
        <v/>
      </c>
      <c r="M38" s="25">
        <f>IF(INDIRECT("office_form!A"&amp;ROW())="","",IF(IF(INDIRECT("office_form!J"&amp;ROW())="","",INDIRECT("office_form!J"&amp;ROW()))="Yes, me","Y",IF(IF(INDIRECT("office_form!J"&amp;ROW())="","",INDIRECT("office_form!J"&amp;ROW()))="Someone else","N","")))</f>
        <v/>
      </c>
      <c r="N3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8" s="25">
        <f>IF(INDIRECT("office_form!A"&amp;ROW())="","",IF(INDIRECT("office_form!N"&amp;ROW())="","",INDIRECT("office_form!N"&amp;ROW())))</f>
        <v/>
      </c>
      <c r="P38" s="25">
        <f>IF(INDIRECT("office_form!A"&amp;ROW())="","",IF(IF(INDIRECT("office_form!O"&amp;ROW())="","",INDIRECT("office_form!O"&amp;ROW()))="Yes","yes",IF(IF(INDIRECT("office_form!O"&amp;ROW())="","",INDIRECT("office_form!O"&amp;ROW()))="No","no",IF(IF(INDIRECT("office_form!O"&amp;ROW())="","",INDIRECT("office_form!O"&amp;ROW()))="Not sure","unsure",""))))</f>
        <v/>
      </c>
      <c r="Q38" s="25">
        <f>IF(INDIRECT("office_form!A"&amp;ROW())="","",IF(IF(INDIRECT("office_form!P"&amp;ROW())="","",INDIRECT("office_form!P"&amp;ROW()))="Slack","slack",IF(IF(INDIRECT("office_form!P"&amp;ROW())="","",INDIRECT("office_form!P"&amp;ROW()))="Email","email",IF(IF(INDIRECT("office_form!P"&amp;ROW())="","",INDIRECT("office_form!P"&amp;ROW()))="Other","other",""))))</f>
        <v/>
      </c>
      <c r="R3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8" s="25">
        <f>IF(INDIRECT("office_form!A"&amp;ROW())="","",IF(INDIRECT("office_form!R"&amp;ROW())="","",INDIRECT("office_form!R"&amp;ROW())))</f>
        <v/>
      </c>
      <c r="T38" s="25">
        <f>IF(INDIRECT("office_form!A"&amp;ROW())="","",IF(INDIRECT("office_form!S"&amp;ROW())="","",INDIRECT("office_form!S"&amp;ROW())))</f>
        <v/>
      </c>
      <c r="U38" s="25">
        <f>IF(INDIRECT("office_form!A"&amp;ROW())="","","founder")</f>
        <v/>
      </c>
    </row>
    <row r="39">
      <c r="A39" s="25">
        <f>IF(INDIRECT("office_form!A"&amp;ROW())="","",TEXT(INDIRECT("office_form!A"&amp;ROW()),"yyyy-mm-dd""T""hh:mm:ss"))</f>
        <v/>
      </c>
      <c r="B39" s="25">
        <f>IF(INDIRECT("office_form!A"&amp;ROW())="","",config!$B$36)</f>
        <v/>
      </c>
      <c r="C39" s="25">
        <f>IF(INDIRECT("office_form!A"&amp;ROW())="","",IF(INDIRECT("office_form!B"&amp;ROW())="","",INDIRECT("office_form!B"&amp;ROW())))</f>
        <v/>
      </c>
      <c r="D39" s="25">
        <f>IF(INDIRECT("office_form!A"&amp;ROW())="","",IF(INDIRECT("office_form!C"&amp;ROW())="","",INDIRECT("office_form!C"&amp;ROW())))</f>
        <v/>
      </c>
      <c r="E39" s="25">
        <f>IF(INDIRECT("office_form!A"&amp;ROW())="","",IF(INDIRECT("office_form!D"&amp;ROW())="","",INDIRECT("office_form!D"&amp;ROW())))</f>
        <v/>
      </c>
      <c r="F39" s="25">
        <f>IF(INDIRECT("office_form!A"&amp;ROW())="","",IF(INDIRECT("office_form!E"&amp;ROW())="","",INDIRECT("office_form!E"&amp;ROW())))</f>
        <v/>
      </c>
      <c r="G39" s="25">
        <f>IF(INDIRECT("office_form!A"&amp;ROW())="","",IF(INDIRECT("office_form!F"&amp;ROW())="","",INDIRECT("office_form!F"&amp;ROW())))</f>
        <v/>
      </c>
      <c r="H39" s="25">
        <f>IF(INDIRECT("office_form!A"&amp;ROW())="","",IF(INDIRECT("office_form!G"&amp;ROW())="","",INDIRECT("office_form!G"&amp;ROW())))</f>
        <v/>
      </c>
      <c r="I39" s="25">
        <f>IF(INDIRECT("office_form!A"&amp;ROW())="","",IF(INDIRECT("office_form!H"&amp;ROW())="","",INDIRECT("office_form!H"&amp;ROW())))</f>
        <v/>
      </c>
      <c r="J39" s="25">
        <f>IF(INDIRECT("office_form!A"&amp;ROW())="","",IF(INDIRECT("office_form!I"&amp;ROW())="","",INDIRECT("office_form!I"&amp;ROW())))</f>
        <v/>
      </c>
      <c r="K39" s="25">
        <f>IF(INDIRECT("office_form!A"&amp;ROW())="","",IF($M39="Y",$D39,IF(INDIRECT("office_form!K"&amp;ROW())="","",INDIRECT("office_form!K"&amp;ROW()))))</f>
        <v/>
      </c>
      <c r="L39" s="25">
        <f>IF(INDIRECT("office_form!A"&amp;ROW())="","",IF($M39="Y",$E39,IF(INDIRECT("office_form!L"&amp;ROW())="","",INDIRECT("office_form!L"&amp;ROW()))))</f>
        <v/>
      </c>
      <c r="M39" s="25">
        <f>IF(INDIRECT("office_form!A"&amp;ROW())="","",IF(IF(INDIRECT("office_form!J"&amp;ROW())="","",INDIRECT("office_form!J"&amp;ROW()))="Yes, me","Y",IF(IF(INDIRECT("office_form!J"&amp;ROW())="","",INDIRECT("office_form!J"&amp;ROW()))="Someone else","N","")))</f>
        <v/>
      </c>
      <c r="N3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9" s="25">
        <f>IF(INDIRECT("office_form!A"&amp;ROW())="","",IF(INDIRECT("office_form!N"&amp;ROW())="","",INDIRECT("office_form!N"&amp;ROW())))</f>
        <v/>
      </c>
      <c r="P39" s="25">
        <f>IF(INDIRECT("office_form!A"&amp;ROW())="","",IF(IF(INDIRECT("office_form!O"&amp;ROW())="","",INDIRECT("office_form!O"&amp;ROW()))="Yes","yes",IF(IF(INDIRECT("office_form!O"&amp;ROW())="","",INDIRECT("office_form!O"&amp;ROW()))="No","no",IF(IF(INDIRECT("office_form!O"&amp;ROW())="","",INDIRECT("office_form!O"&amp;ROW()))="Not sure","unsure",""))))</f>
        <v/>
      </c>
      <c r="Q39" s="25">
        <f>IF(INDIRECT("office_form!A"&amp;ROW())="","",IF(IF(INDIRECT("office_form!P"&amp;ROW())="","",INDIRECT("office_form!P"&amp;ROW()))="Slack","slack",IF(IF(INDIRECT("office_form!P"&amp;ROW())="","",INDIRECT("office_form!P"&amp;ROW()))="Email","email",IF(IF(INDIRECT("office_form!P"&amp;ROW())="","",INDIRECT("office_form!P"&amp;ROW()))="Other","other",""))))</f>
        <v/>
      </c>
      <c r="R3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9" s="25">
        <f>IF(INDIRECT("office_form!A"&amp;ROW())="","",IF(INDIRECT("office_form!R"&amp;ROW())="","",INDIRECT("office_form!R"&amp;ROW())))</f>
        <v/>
      </c>
      <c r="T39" s="25">
        <f>IF(INDIRECT("office_form!A"&amp;ROW())="","",IF(INDIRECT("office_form!S"&amp;ROW())="","",INDIRECT("office_form!S"&amp;ROW())))</f>
        <v/>
      </c>
      <c r="U39" s="25">
        <f>IF(INDIRECT("office_form!A"&amp;ROW())="","","founder")</f>
        <v/>
      </c>
    </row>
    <row r="40">
      <c r="A40" s="25">
        <f>IF(INDIRECT("office_form!A"&amp;ROW())="","",TEXT(INDIRECT("office_form!A"&amp;ROW()),"yyyy-mm-dd""T""hh:mm:ss"))</f>
        <v/>
      </c>
      <c r="B40" s="25">
        <f>IF(INDIRECT("office_form!A"&amp;ROW())="","",config!$B$36)</f>
        <v/>
      </c>
      <c r="C40" s="25">
        <f>IF(INDIRECT("office_form!A"&amp;ROW())="","",IF(INDIRECT("office_form!B"&amp;ROW())="","",INDIRECT("office_form!B"&amp;ROW())))</f>
        <v/>
      </c>
      <c r="D40" s="25">
        <f>IF(INDIRECT("office_form!A"&amp;ROW())="","",IF(INDIRECT("office_form!C"&amp;ROW())="","",INDIRECT("office_form!C"&amp;ROW())))</f>
        <v/>
      </c>
      <c r="E40" s="25">
        <f>IF(INDIRECT("office_form!A"&amp;ROW())="","",IF(INDIRECT("office_form!D"&amp;ROW())="","",INDIRECT("office_form!D"&amp;ROW())))</f>
        <v/>
      </c>
      <c r="F40" s="25">
        <f>IF(INDIRECT("office_form!A"&amp;ROW())="","",IF(INDIRECT("office_form!E"&amp;ROW())="","",INDIRECT("office_form!E"&amp;ROW())))</f>
        <v/>
      </c>
      <c r="G40" s="25">
        <f>IF(INDIRECT("office_form!A"&amp;ROW())="","",IF(INDIRECT("office_form!F"&amp;ROW())="","",INDIRECT("office_form!F"&amp;ROW())))</f>
        <v/>
      </c>
      <c r="H40" s="25">
        <f>IF(INDIRECT("office_form!A"&amp;ROW())="","",IF(INDIRECT("office_form!G"&amp;ROW())="","",INDIRECT("office_form!G"&amp;ROW())))</f>
        <v/>
      </c>
      <c r="I40" s="25">
        <f>IF(INDIRECT("office_form!A"&amp;ROW())="","",IF(INDIRECT("office_form!H"&amp;ROW())="","",INDIRECT("office_form!H"&amp;ROW())))</f>
        <v/>
      </c>
      <c r="J40" s="25">
        <f>IF(INDIRECT("office_form!A"&amp;ROW())="","",IF(INDIRECT("office_form!I"&amp;ROW())="","",INDIRECT("office_form!I"&amp;ROW())))</f>
        <v/>
      </c>
      <c r="K40" s="25">
        <f>IF(INDIRECT("office_form!A"&amp;ROW())="","",IF($M40="Y",$D40,IF(INDIRECT("office_form!K"&amp;ROW())="","",INDIRECT("office_form!K"&amp;ROW()))))</f>
        <v/>
      </c>
      <c r="L40" s="25">
        <f>IF(INDIRECT("office_form!A"&amp;ROW())="","",IF($M40="Y",$E40,IF(INDIRECT("office_form!L"&amp;ROW())="","",INDIRECT("office_form!L"&amp;ROW()))))</f>
        <v/>
      </c>
      <c r="M40" s="25">
        <f>IF(INDIRECT("office_form!A"&amp;ROW())="","",IF(IF(INDIRECT("office_form!J"&amp;ROW())="","",INDIRECT("office_form!J"&amp;ROW()))="Yes, me","Y",IF(IF(INDIRECT("office_form!J"&amp;ROW())="","",INDIRECT("office_form!J"&amp;ROW()))="Someone else","N","")))</f>
        <v/>
      </c>
      <c r="N4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0" s="25">
        <f>IF(INDIRECT("office_form!A"&amp;ROW())="","",IF(INDIRECT("office_form!N"&amp;ROW())="","",INDIRECT("office_form!N"&amp;ROW())))</f>
        <v/>
      </c>
      <c r="P40" s="25">
        <f>IF(INDIRECT("office_form!A"&amp;ROW())="","",IF(IF(INDIRECT("office_form!O"&amp;ROW())="","",INDIRECT("office_form!O"&amp;ROW()))="Yes","yes",IF(IF(INDIRECT("office_form!O"&amp;ROW())="","",INDIRECT("office_form!O"&amp;ROW()))="No","no",IF(IF(INDIRECT("office_form!O"&amp;ROW())="","",INDIRECT("office_form!O"&amp;ROW()))="Not sure","unsure",""))))</f>
        <v/>
      </c>
      <c r="Q40" s="25">
        <f>IF(INDIRECT("office_form!A"&amp;ROW())="","",IF(IF(INDIRECT("office_form!P"&amp;ROW())="","",INDIRECT("office_form!P"&amp;ROW()))="Slack","slack",IF(IF(INDIRECT("office_form!P"&amp;ROW())="","",INDIRECT("office_form!P"&amp;ROW()))="Email","email",IF(IF(INDIRECT("office_form!P"&amp;ROW())="","",INDIRECT("office_form!P"&amp;ROW()))="Other","other",""))))</f>
        <v/>
      </c>
      <c r="R4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0" s="25">
        <f>IF(INDIRECT("office_form!A"&amp;ROW())="","",IF(INDIRECT("office_form!R"&amp;ROW())="","",INDIRECT("office_form!R"&amp;ROW())))</f>
        <v/>
      </c>
      <c r="T40" s="25">
        <f>IF(INDIRECT("office_form!A"&amp;ROW())="","",IF(INDIRECT("office_form!S"&amp;ROW())="","",INDIRECT("office_form!S"&amp;ROW())))</f>
        <v/>
      </c>
      <c r="U40" s="25">
        <f>IF(INDIRECT("office_form!A"&amp;ROW())="","","founder")</f>
        <v/>
      </c>
    </row>
    <row r="41">
      <c r="A41" s="25">
        <f>IF(INDIRECT("office_form!A"&amp;ROW())="","",TEXT(INDIRECT("office_form!A"&amp;ROW()),"yyyy-mm-dd""T""hh:mm:ss"))</f>
        <v/>
      </c>
      <c r="B41" s="25">
        <f>IF(INDIRECT("office_form!A"&amp;ROW())="","",config!$B$36)</f>
        <v/>
      </c>
      <c r="C41" s="25">
        <f>IF(INDIRECT("office_form!A"&amp;ROW())="","",IF(INDIRECT("office_form!B"&amp;ROW())="","",INDIRECT("office_form!B"&amp;ROW())))</f>
        <v/>
      </c>
      <c r="D41" s="25">
        <f>IF(INDIRECT("office_form!A"&amp;ROW())="","",IF(INDIRECT("office_form!C"&amp;ROW())="","",INDIRECT("office_form!C"&amp;ROW())))</f>
        <v/>
      </c>
      <c r="E41" s="25">
        <f>IF(INDIRECT("office_form!A"&amp;ROW())="","",IF(INDIRECT("office_form!D"&amp;ROW())="","",INDIRECT("office_form!D"&amp;ROW())))</f>
        <v/>
      </c>
      <c r="F41" s="25">
        <f>IF(INDIRECT("office_form!A"&amp;ROW())="","",IF(INDIRECT("office_form!E"&amp;ROW())="","",INDIRECT("office_form!E"&amp;ROW())))</f>
        <v/>
      </c>
      <c r="G41" s="25">
        <f>IF(INDIRECT("office_form!A"&amp;ROW())="","",IF(INDIRECT("office_form!F"&amp;ROW())="","",INDIRECT("office_form!F"&amp;ROW())))</f>
        <v/>
      </c>
      <c r="H41" s="25">
        <f>IF(INDIRECT("office_form!A"&amp;ROW())="","",IF(INDIRECT("office_form!G"&amp;ROW())="","",INDIRECT("office_form!G"&amp;ROW())))</f>
        <v/>
      </c>
      <c r="I41" s="25">
        <f>IF(INDIRECT("office_form!A"&amp;ROW())="","",IF(INDIRECT("office_form!H"&amp;ROW())="","",INDIRECT("office_form!H"&amp;ROW())))</f>
        <v/>
      </c>
      <c r="J41" s="25">
        <f>IF(INDIRECT("office_form!A"&amp;ROW())="","",IF(INDIRECT("office_form!I"&amp;ROW())="","",INDIRECT("office_form!I"&amp;ROW())))</f>
        <v/>
      </c>
      <c r="K41" s="25">
        <f>IF(INDIRECT("office_form!A"&amp;ROW())="","",IF($M41="Y",$D41,IF(INDIRECT("office_form!K"&amp;ROW())="","",INDIRECT("office_form!K"&amp;ROW()))))</f>
        <v/>
      </c>
      <c r="L41" s="25">
        <f>IF(INDIRECT("office_form!A"&amp;ROW())="","",IF($M41="Y",$E41,IF(INDIRECT("office_form!L"&amp;ROW())="","",INDIRECT("office_form!L"&amp;ROW()))))</f>
        <v/>
      </c>
      <c r="M41" s="25">
        <f>IF(INDIRECT("office_form!A"&amp;ROW())="","",IF(IF(INDIRECT("office_form!J"&amp;ROW())="","",INDIRECT("office_form!J"&amp;ROW()))="Yes, me","Y",IF(IF(INDIRECT("office_form!J"&amp;ROW())="","",INDIRECT("office_form!J"&amp;ROW()))="Someone else","N","")))</f>
        <v/>
      </c>
      <c r="N4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1" s="25">
        <f>IF(INDIRECT("office_form!A"&amp;ROW())="","",IF(INDIRECT("office_form!N"&amp;ROW())="","",INDIRECT("office_form!N"&amp;ROW())))</f>
        <v/>
      </c>
      <c r="P41" s="25">
        <f>IF(INDIRECT("office_form!A"&amp;ROW())="","",IF(IF(INDIRECT("office_form!O"&amp;ROW())="","",INDIRECT("office_form!O"&amp;ROW()))="Yes","yes",IF(IF(INDIRECT("office_form!O"&amp;ROW())="","",INDIRECT("office_form!O"&amp;ROW()))="No","no",IF(IF(INDIRECT("office_form!O"&amp;ROW())="","",INDIRECT("office_form!O"&amp;ROW()))="Not sure","unsure",""))))</f>
        <v/>
      </c>
      <c r="Q41" s="25">
        <f>IF(INDIRECT("office_form!A"&amp;ROW())="","",IF(IF(INDIRECT("office_form!P"&amp;ROW())="","",INDIRECT("office_form!P"&amp;ROW()))="Slack","slack",IF(IF(INDIRECT("office_form!P"&amp;ROW())="","",INDIRECT("office_form!P"&amp;ROW()))="Email","email",IF(IF(INDIRECT("office_form!P"&amp;ROW())="","",INDIRECT("office_form!P"&amp;ROW()))="Other","other",""))))</f>
        <v/>
      </c>
      <c r="R4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1" s="25">
        <f>IF(INDIRECT("office_form!A"&amp;ROW())="","",IF(INDIRECT("office_form!R"&amp;ROW())="","",INDIRECT("office_form!R"&amp;ROW())))</f>
        <v/>
      </c>
      <c r="T41" s="25">
        <f>IF(INDIRECT("office_form!A"&amp;ROW())="","",IF(INDIRECT("office_form!S"&amp;ROW())="","",INDIRECT("office_form!S"&amp;ROW())))</f>
        <v/>
      </c>
      <c r="U41" s="25">
        <f>IF(INDIRECT("office_form!A"&amp;ROW())="","","founder")</f>
        <v/>
      </c>
    </row>
    <row r="42">
      <c r="A42" s="25">
        <f>IF(INDIRECT("office_form!A"&amp;ROW())="","",TEXT(INDIRECT("office_form!A"&amp;ROW()),"yyyy-mm-dd""T""hh:mm:ss"))</f>
        <v/>
      </c>
      <c r="B42" s="25">
        <f>IF(INDIRECT("office_form!A"&amp;ROW())="","",config!$B$36)</f>
        <v/>
      </c>
      <c r="C42" s="25">
        <f>IF(INDIRECT("office_form!A"&amp;ROW())="","",IF(INDIRECT("office_form!B"&amp;ROW())="","",INDIRECT("office_form!B"&amp;ROW())))</f>
        <v/>
      </c>
      <c r="D42" s="25">
        <f>IF(INDIRECT("office_form!A"&amp;ROW())="","",IF(INDIRECT("office_form!C"&amp;ROW())="","",INDIRECT("office_form!C"&amp;ROW())))</f>
        <v/>
      </c>
      <c r="E42" s="25">
        <f>IF(INDIRECT("office_form!A"&amp;ROW())="","",IF(INDIRECT("office_form!D"&amp;ROW())="","",INDIRECT("office_form!D"&amp;ROW())))</f>
        <v/>
      </c>
      <c r="F42" s="25">
        <f>IF(INDIRECT("office_form!A"&amp;ROW())="","",IF(INDIRECT("office_form!E"&amp;ROW())="","",INDIRECT("office_form!E"&amp;ROW())))</f>
        <v/>
      </c>
      <c r="G42" s="25">
        <f>IF(INDIRECT("office_form!A"&amp;ROW())="","",IF(INDIRECT("office_form!F"&amp;ROW())="","",INDIRECT("office_form!F"&amp;ROW())))</f>
        <v/>
      </c>
      <c r="H42" s="25">
        <f>IF(INDIRECT("office_form!A"&amp;ROW())="","",IF(INDIRECT("office_form!G"&amp;ROW())="","",INDIRECT("office_form!G"&amp;ROW())))</f>
        <v/>
      </c>
      <c r="I42" s="25">
        <f>IF(INDIRECT("office_form!A"&amp;ROW())="","",IF(INDIRECT("office_form!H"&amp;ROW())="","",INDIRECT("office_form!H"&amp;ROW())))</f>
        <v/>
      </c>
      <c r="J42" s="25">
        <f>IF(INDIRECT("office_form!A"&amp;ROW())="","",IF(INDIRECT("office_form!I"&amp;ROW())="","",INDIRECT("office_form!I"&amp;ROW())))</f>
        <v/>
      </c>
      <c r="K42" s="25">
        <f>IF(INDIRECT("office_form!A"&amp;ROW())="","",IF($M42="Y",$D42,IF(INDIRECT("office_form!K"&amp;ROW())="","",INDIRECT("office_form!K"&amp;ROW()))))</f>
        <v/>
      </c>
      <c r="L42" s="25">
        <f>IF(INDIRECT("office_form!A"&amp;ROW())="","",IF($M42="Y",$E42,IF(INDIRECT("office_form!L"&amp;ROW())="","",INDIRECT("office_form!L"&amp;ROW()))))</f>
        <v/>
      </c>
      <c r="M42" s="25">
        <f>IF(INDIRECT("office_form!A"&amp;ROW())="","",IF(IF(INDIRECT("office_form!J"&amp;ROW())="","",INDIRECT("office_form!J"&amp;ROW()))="Yes, me","Y",IF(IF(INDIRECT("office_form!J"&amp;ROW())="","",INDIRECT("office_form!J"&amp;ROW()))="Someone else","N","")))</f>
        <v/>
      </c>
      <c r="N4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2" s="25">
        <f>IF(INDIRECT("office_form!A"&amp;ROW())="","",IF(INDIRECT("office_form!N"&amp;ROW())="","",INDIRECT("office_form!N"&amp;ROW())))</f>
        <v/>
      </c>
      <c r="P42" s="25">
        <f>IF(INDIRECT("office_form!A"&amp;ROW())="","",IF(IF(INDIRECT("office_form!O"&amp;ROW())="","",INDIRECT("office_form!O"&amp;ROW()))="Yes","yes",IF(IF(INDIRECT("office_form!O"&amp;ROW())="","",INDIRECT("office_form!O"&amp;ROW()))="No","no",IF(IF(INDIRECT("office_form!O"&amp;ROW())="","",INDIRECT("office_form!O"&amp;ROW()))="Not sure","unsure",""))))</f>
        <v/>
      </c>
      <c r="Q42" s="25">
        <f>IF(INDIRECT("office_form!A"&amp;ROW())="","",IF(IF(INDIRECT("office_form!P"&amp;ROW())="","",INDIRECT("office_form!P"&amp;ROW()))="Slack","slack",IF(IF(INDIRECT("office_form!P"&amp;ROW())="","",INDIRECT("office_form!P"&amp;ROW()))="Email","email",IF(IF(INDIRECT("office_form!P"&amp;ROW())="","",INDIRECT("office_form!P"&amp;ROW()))="Other","other",""))))</f>
        <v/>
      </c>
      <c r="R4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2" s="25">
        <f>IF(INDIRECT("office_form!A"&amp;ROW())="","",IF(INDIRECT("office_form!R"&amp;ROW())="","",INDIRECT("office_form!R"&amp;ROW())))</f>
        <v/>
      </c>
      <c r="T42" s="25">
        <f>IF(INDIRECT("office_form!A"&amp;ROW())="","",IF(INDIRECT("office_form!S"&amp;ROW())="","",INDIRECT("office_form!S"&amp;ROW())))</f>
        <v/>
      </c>
      <c r="U42" s="25">
        <f>IF(INDIRECT("office_form!A"&amp;ROW())="","","founder")</f>
        <v/>
      </c>
    </row>
    <row r="43">
      <c r="A43" s="25">
        <f>IF(INDIRECT("office_form!A"&amp;ROW())="","",TEXT(INDIRECT("office_form!A"&amp;ROW()),"yyyy-mm-dd""T""hh:mm:ss"))</f>
        <v/>
      </c>
      <c r="B43" s="25">
        <f>IF(INDIRECT("office_form!A"&amp;ROW())="","",config!$B$36)</f>
        <v/>
      </c>
      <c r="C43" s="25">
        <f>IF(INDIRECT("office_form!A"&amp;ROW())="","",IF(INDIRECT("office_form!B"&amp;ROW())="","",INDIRECT("office_form!B"&amp;ROW())))</f>
        <v/>
      </c>
      <c r="D43" s="25">
        <f>IF(INDIRECT("office_form!A"&amp;ROW())="","",IF(INDIRECT("office_form!C"&amp;ROW())="","",INDIRECT("office_form!C"&amp;ROW())))</f>
        <v/>
      </c>
      <c r="E43" s="25">
        <f>IF(INDIRECT("office_form!A"&amp;ROW())="","",IF(INDIRECT("office_form!D"&amp;ROW())="","",INDIRECT("office_form!D"&amp;ROW())))</f>
        <v/>
      </c>
      <c r="F43" s="25">
        <f>IF(INDIRECT("office_form!A"&amp;ROW())="","",IF(INDIRECT("office_form!E"&amp;ROW())="","",INDIRECT("office_form!E"&amp;ROW())))</f>
        <v/>
      </c>
      <c r="G43" s="25">
        <f>IF(INDIRECT("office_form!A"&amp;ROW())="","",IF(INDIRECT("office_form!F"&amp;ROW())="","",INDIRECT("office_form!F"&amp;ROW())))</f>
        <v/>
      </c>
      <c r="H43" s="25">
        <f>IF(INDIRECT("office_form!A"&amp;ROW())="","",IF(INDIRECT("office_form!G"&amp;ROW())="","",INDIRECT("office_form!G"&amp;ROW())))</f>
        <v/>
      </c>
      <c r="I43" s="25">
        <f>IF(INDIRECT("office_form!A"&amp;ROW())="","",IF(INDIRECT("office_form!H"&amp;ROW())="","",INDIRECT("office_form!H"&amp;ROW())))</f>
        <v/>
      </c>
      <c r="J43" s="25">
        <f>IF(INDIRECT("office_form!A"&amp;ROW())="","",IF(INDIRECT("office_form!I"&amp;ROW())="","",INDIRECT("office_form!I"&amp;ROW())))</f>
        <v/>
      </c>
      <c r="K43" s="25">
        <f>IF(INDIRECT("office_form!A"&amp;ROW())="","",IF($M43="Y",$D43,IF(INDIRECT("office_form!K"&amp;ROW())="","",INDIRECT("office_form!K"&amp;ROW()))))</f>
        <v/>
      </c>
      <c r="L43" s="25">
        <f>IF(INDIRECT("office_form!A"&amp;ROW())="","",IF($M43="Y",$E43,IF(INDIRECT("office_form!L"&amp;ROW())="","",INDIRECT("office_form!L"&amp;ROW()))))</f>
        <v/>
      </c>
      <c r="M43" s="25">
        <f>IF(INDIRECT("office_form!A"&amp;ROW())="","",IF(IF(INDIRECT("office_form!J"&amp;ROW())="","",INDIRECT("office_form!J"&amp;ROW()))="Yes, me","Y",IF(IF(INDIRECT("office_form!J"&amp;ROW())="","",INDIRECT("office_form!J"&amp;ROW()))="Someone else","N","")))</f>
        <v/>
      </c>
      <c r="N4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3" s="25">
        <f>IF(INDIRECT("office_form!A"&amp;ROW())="","",IF(INDIRECT("office_form!N"&amp;ROW())="","",INDIRECT("office_form!N"&amp;ROW())))</f>
        <v/>
      </c>
      <c r="P43" s="25">
        <f>IF(INDIRECT("office_form!A"&amp;ROW())="","",IF(IF(INDIRECT("office_form!O"&amp;ROW())="","",INDIRECT("office_form!O"&amp;ROW()))="Yes","yes",IF(IF(INDIRECT("office_form!O"&amp;ROW())="","",INDIRECT("office_form!O"&amp;ROW()))="No","no",IF(IF(INDIRECT("office_form!O"&amp;ROW())="","",INDIRECT("office_form!O"&amp;ROW()))="Not sure","unsure",""))))</f>
        <v/>
      </c>
      <c r="Q43" s="25">
        <f>IF(INDIRECT("office_form!A"&amp;ROW())="","",IF(IF(INDIRECT("office_form!P"&amp;ROW())="","",INDIRECT("office_form!P"&amp;ROW()))="Slack","slack",IF(IF(INDIRECT("office_form!P"&amp;ROW())="","",INDIRECT("office_form!P"&amp;ROW()))="Email","email",IF(IF(INDIRECT("office_form!P"&amp;ROW())="","",INDIRECT("office_form!P"&amp;ROW()))="Other","other",""))))</f>
        <v/>
      </c>
      <c r="R4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3" s="25">
        <f>IF(INDIRECT("office_form!A"&amp;ROW())="","",IF(INDIRECT("office_form!R"&amp;ROW())="","",INDIRECT("office_form!R"&amp;ROW())))</f>
        <v/>
      </c>
      <c r="T43" s="25">
        <f>IF(INDIRECT("office_form!A"&amp;ROW())="","",IF(INDIRECT("office_form!S"&amp;ROW())="","",INDIRECT("office_form!S"&amp;ROW())))</f>
        <v/>
      </c>
      <c r="U43" s="25">
        <f>IF(INDIRECT("office_form!A"&amp;ROW())="","","founder")</f>
        <v/>
      </c>
    </row>
    <row r="44">
      <c r="A44" s="25">
        <f>IF(INDIRECT("office_form!A"&amp;ROW())="","",TEXT(INDIRECT("office_form!A"&amp;ROW()),"yyyy-mm-dd""T""hh:mm:ss"))</f>
        <v/>
      </c>
      <c r="B44" s="25">
        <f>IF(INDIRECT("office_form!A"&amp;ROW())="","",config!$B$36)</f>
        <v/>
      </c>
      <c r="C44" s="25">
        <f>IF(INDIRECT("office_form!A"&amp;ROW())="","",IF(INDIRECT("office_form!B"&amp;ROW())="","",INDIRECT("office_form!B"&amp;ROW())))</f>
        <v/>
      </c>
      <c r="D44" s="25">
        <f>IF(INDIRECT("office_form!A"&amp;ROW())="","",IF(INDIRECT("office_form!C"&amp;ROW())="","",INDIRECT("office_form!C"&amp;ROW())))</f>
        <v/>
      </c>
      <c r="E44" s="25">
        <f>IF(INDIRECT("office_form!A"&amp;ROW())="","",IF(INDIRECT("office_form!D"&amp;ROW())="","",INDIRECT("office_form!D"&amp;ROW())))</f>
        <v/>
      </c>
      <c r="F44" s="25">
        <f>IF(INDIRECT("office_form!A"&amp;ROW())="","",IF(INDIRECT("office_form!E"&amp;ROW())="","",INDIRECT("office_form!E"&amp;ROW())))</f>
        <v/>
      </c>
      <c r="G44" s="25">
        <f>IF(INDIRECT("office_form!A"&amp;ROW())="","",IF(INDIRECT("office_form!F"&amp;ROW())="","",INDIRECT("office_form!F"&amp;ROW())))</f>
        <v/>
      </c>
      <c r="H44" s="25">
        <f>IF(INDIRECT("office_form!A"&amp;ROW())="","",IF(INDIRECT("office_form!G"&amp;ROW())="","",INDIRECT("office_form!G"&amp;ROW())))</f>
        <v/>
      </c>
      <c r="I44" s="25">
        <f>IF(INDIRECT("office_form!A"&amp;ROW())="","",IF(INDIRECT("office_form!H"&amp;ROW())="","",INDIRECT("office_form!H"&amp;ROW())))</f>
        <v/>
      </c>
      <c r="J44" s="25">
        <f>IF(INDIRECT("office_form!A"&amp;ROW())="","",IF(INDIRECT("office_form!I"&amp;ROW())="","",INDIRECT("office_form!I"&amp;ROW())))</f>
        <v/>
      </c>
      <c r="K44" s="25">
        <f>IF(INDIRECT("office_form!A"&amp;ROW())="","",IF($M44="Y",$D44,IF(INDIRECT("office_form!K"&amp;ROW())="","",INDIRECT("office_form!K"&amp;ROW()))))</f>
        <v/>
      </c>
      <c r="L44" s="25">
        <f>IF(INDIRECT("office_form!A"&amp;ROW())="","",IF($M44="Y",$E44,IF(INDIRECT("office_form!L"&amp;ROW())="","",INDIRECT("office_form!L"&amp;ROW()))))</f>
        <v/>
      </c>
      <c r="M44" s="25">
        <f>IF(INDIRECT("office_form!A"&amp;ROW())="","",IF(IF(INDIRECT("office_form!J"&amp;ROW())="","",INDIRECT("office_form!J"&amp;ROW()))="Yes, me","Y",IF(IF(INDIRECT("office_form!J"&amp;ROW())="","",INDIRECT("office_form!J"&amp;ROW()))="Someone else","N","")))</f>
        <v/>
      </c>
      <c r="N4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4" s="25">
        <f>IF(INDIRECT("office_form!A"&amp;ROW())="","",IF(INDIRECT("office_form!N"&amp;ROW())="","",INDIRECT("office_form!N"&amp;ROW())))</f>
        <v/>
      </c>
      <c r="P44" s="25">
        <f>IF(INDIRECT("office_form!A"&amp;ROW())="","",IF(IF(INDIRECT("office_form!O"&amp;ROW())="","",INDIRECT("office_form!O"&amp;ROW()))="Yes","yes",IF(IF(INDIRECT("office_form!O"&amp;ROW())="","",INDIRECT("office_form!O"&amp;ROW()))="No","no",IF(IF(INDIRECT("office_form!O"&amp;ROW())="","",INDIRECT("office_form!O"&amp;ROW()))="Not sure","unsure",""))))</f>
        <v/>
      </c>
      <c r="Q44" s="25">
        <f>IF(INDIRECT("office_form!A"&amp;ROW())="","",IF(IF(INDIRECT("office_form!P"&amp;ROW())="","",INDIRECT("office_form!P"&amp;ROW()))="Slack","slack",IF(IF(INDIRECT("office_form!P"&amp;ROW())="","",INDIRECT("office_form!P"&amp;ROW()))="Email","email",IF(IF(INDIRECT("office_form!P"&amp;ROW())="","",INDIRECT("office_form!P"&amp;ROW()))="Other","other",""))))</f>
        <v/>
      </c>
      <c r="R4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4" s="25">
        <f>IF(INDIRECT("office_form!A"&amp;ROW())="","",IF(INDIRECT("office_form!R"&amp;ROW())="","",INDIRECT("office_form!R"&amp;ROW())))</f>
        <v/>
      </c>
      <c r="T44" s="25">
        <f>IF(INDIRECT("office_form!A"&amp;ROW())="","",IF(INDIRECT("office_form!S"&amp;ROW())="","",INDIRECT("office_form!S"&amp;ROW())))</f>
        <v/>
      </c>
      <c r="U44" s="25">
        <f>IF(INDIRECT("office_form!A"&amp;ROW())="","","founder")</f>
        <v/>
      </c>
    </row>
    <row r="45">
      <c r="A45" s="25">
        <f>IF(INDIRECT("office_form!A"&amp;ROW())="","",TEXT(INDIRECT("office_form!A"&amp;ROW()),"yyyy-mm-dd""T""hh:mm:ss"))</f>
        <v/>
      </c>
      <c r="B45" s="25">
        <f>IF(INDIRECT("office_form!A"&amp;ROW())="","",config!$B$36)</f>
        <v/>
      </c>
      <c r="C45" s="25">
        <f>IF(INDIRECT("office_form!A"&amp;ROW())="","",IF(INDIRECT("office_form!B"&amp;ROW())="","",INDIRECT("office_form!B"&amp;ROW())))</f>
        <v/>
      </c>
      <c r="D45" s="25">
        <f>IF(INDIRECT("office_form!A"&amp;ROW())="","",IF(INDIRECT("office_form!C"&amp;ROW())="","",INDIRECT("office_form!C"&amp;ROW())))</f>
        <v/>
      </c>
      <c r="E45" s="25">
        <f>IF(INDIRECT("office_form!A"&amp;ROW())="","",IF(INDIRECT("office_form!D"&amp;ROW())="","",INDIRECT("office_form!D"&amp;ROW())))</f>
        <v/>
      </c>
      <c r="F45" s="25">
        <f>IF(INDIRECT("office_form!A"&amp;ROW())="","",IF(INDIRECT("office_form!E"&amp;ROW())="","",INDIRECT("office_form!E"&amp;ROW())))</f>
        <v/>
      </c>
      <c r="G45" s="25">
        <f>IF(INDIRECT("office_form!A"&amp;ROW())="","",IF(INDIRECT("office_form!F"&amp;ROW())="","",INDIRECT("office_form!F"&amp;ROW())))</f>
        <v/>
      </c>
      <c r="H45" s="25">
        <f>IF(INDIRECT("office_form!A"&amp;ROW())="","",IF(INDIRECT("office_form!G"&amp;ROW())="","",INDIRECT("office_form!G"&amp;ROW())))</f>
        <v/>
      </c>
      <c r="I45" s="25">
        <f>IF(INDIRECT("office_form!A"&amp;ROW())="","",IF(INDIRECT("office_form!H"&amp;ROW())="","",INDIRECT("office_form!H"&amp;ROW())))</f>
        <v/>
      </c>
      <c r="J45" s="25">
        <f>IF(INDIRECT("office_form!A"&amp;ROW())="","",IF(INDIRECT("office_form!I"&amp;ROW())="","",INDIRECT("office_form!I"&amp;ROW())))</f>
        <v/>
      </c>
      <c r="K45" s="25">
        <f>IF(INDIRECT("office_form!A"&amp;ROW())="","",IF($M45="Y",$D45,IF(INDIRECT("office_form!K"&amp;ROW())="","",INDIRECT("office_form!K"&amp;ROW()))))</f>
        <v/>
      </c>
      <c r="L45" s="25">
        <f>IF(INDIRECT("office_form!A"&amp;ROW())="","",IF($M45="Y",$E45,IF(INDIRECT("office_form!L"&amp;ROW())="","",INDIRECT("office_form!L"&amp;ROW()))))</f>
        <v/>
      </c>
      <c r="M45" s="25">
        <f>IF(INDIRECT("office_form!A"&amp;ROW())="","",IF(IF(INDIRECT("office_form!J"&amp;ROW())="","",INDIRECT("office_form!J"&amp;ROW()))="Yes, me","Y",IF(IF(INDIRECT("office_form!J"&amp;ROW())="","",INDIRECT("office_form!J"&amp;ROW()))="Someone else","N","")))</f>
        <v/>
      </c>
      <c r="N4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5" s="25">
        <f>IF(INDIRECT("office_form!A"&amp;ROW())="","",IF(INDIRECT("office_form!N"&amp;ROW())="","",INDIRECT("office_form!N"&amp;ROW())))</f>
        <v/>
      </c>
      <c r="P45" s="25">
        <f>IF(INDIRECT("office_form!A"&amp;ROW())="","",IF(IF(INDIRECT("office_form!O"&amp;ROW())="","",INDIRECT("office_form!O"&amp;ROW()))="Yes","yes",IF(IF(INDIRECT("office_form!O"&amp;ROW())="","",INDIRECT("office_form!O"&amp;ROW()))="No","no",IF(IF(INDIRECT("office_form!O"&amp;ROW())="","",INDIRECT("office_form!O"&amp;ROW()))="Not sure","unsure",""))))</f>
        <v/>
      </c>
      <c r="Q45" s="25">
        <f>IF(INDIRECT("office_form!A"&amp;ROW())="","",IF(IF(INDIRECT("office_form!P"&amp;ROW())="","",INDIRECT("office_form!P"&amp;ROW()))="Slack","slack",IF(IF(INDIRECT("office_form!P"&amp;ROW())="","",INDIRECT("office_form!P"&amp;ROW()))="Email","email",IF(IF(INDIRECT("office_form!P"&amp;ROW())="","",INDIRECT("office_form!P"&amp;ROW()))="Other","other",""))))</f>
        <v/>
      </c>
      <c r="R4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5" s="25">
        <f>IF(INDIRECT("office_form!A"&amp;ROW())="","",IF(INDIRECT("office_form!R"&amp;ROW())="","",INDIRECT("office_form!R"&amp;ROW())))</f>
        <v/>
      </c>
      <c r="T45" s="25">
        <f>IF(INDIRECT("office_form!A"&amp;ROW())="","",IF(INDIRECT("office_form!S"&amp;ROW())="","",INDIRECT("office_form!S"&amp;ROW())))</f>
        <v/>
      </c>
      <c r="U45" s="25">
        <f>IF(INDIRECT("office_form!A"&amp;ROW())="","","founder")</f>
        <v/>
      </c>
    </row>
    <row r="46">
      <c r="A46" s="25">
        <f>IF(INDIRECT("office_form!A"&amp;ROW())="","",TEXT(INDIRECT("office_form!A"&amp;ROW()),"yyyy-mm-dd""T""hh:mm:ss"))</f>
        <v/>
      </c>
      <c r="B46" s="25">
        <f>IF(INDIRECT("office_form!A"&amp;ROW())="","",config!$B$36)</f>
        <v/>
      </c>
      <c r="C46" s="25">
        <f>IF(INDIRECT("office_form!A"&amp;ROW())="","",IF(INDIRECT("office_form!B"&amp;ROW())="","",INDIRECT("office_form!B"&amp;ROW())))</f>
        <v/>
      </c>
      <c r="D46" s="25">
        <f>IF(INDIRECT("office_form!A"&amp;ROW())="","",IF(INDIRECT("office_form!C"&amp;ROW())="","",INDIRECT("office_form!C"&amp;ROW())))</f>
        <v/>
      </c>
      <c r="E46" s="25">
        <f>IF(INDIRECT("office_form!A"&amp;ROW())="","",IF(INDIRECT("office_form!D"&amp;ROW())="","",INDIRECT("office_form!D"&amp;ROW())))</f>
        <v/>
      </c>
      <c r="F46" s="25">
        <f>IF(INDIRECT("office_form!A"&amp;ROW())="","",IF(INDIRECT("office_form!E"&amp;ROW())="","",INDIRECT("office_form!E"&amp;ROW())))</f>
        <v/>
      </c>
      <c r="G46" s="25">
        <f>IF(INDIRECT("office_form!A"&amp;ROW())="","",IF(INDIRECT("office_form!F"&amp;ROW())="","",INDIRECT("office_form!F"&amp;ROW())))</f>
        <v/>
      </c>
      <c r="H46" s="25">
        <f>IF(INDIRECT("office_form!A"&amp;ROW())="","",IF(INDIRECT("office_form!G"&amp;ROW())="","",INDIRECT("office_form!G"&amp;ROW())))</f>
        <v/>
      </c>
      <c r="I46" s="25">
        <f>IF(INDIRECT("office_form!A"&amp;ROW())="","",IF(INDIRECT("office_form!H"&amp;ROW())="","",INDIRECT("office_form!H"&amp;ROW())))</f>
        <v/>
      </c>
      <c r="J46" s="25">
        <f>IF(INDIRECT("office_form!A"&amp;ROW())="","",IF(INDIRECT("office_form!I"&amp;ROW())="","",INDIRECT("office_form!I"&amp;ROW())))</f>
        <v/>
      </c>
      <c r="K46" s="25">
        <f>IF(INDIRECT("office_form!A"&amp;ROW())="","",IF($M46="Y",$D46,IF(INDIRECT("office_form!K"&amp;ROW())="","",INDIRECT("office_form!K"&amp;ROW()))))</f>
        <v/>
      </c>
      <c r="L46" s="25">
        <f>IF(INDIRECT("office_form!A"&amp;ROW())="","",IF($M46="Y",$E46,IF(INDIRECT("office_form!L"&amp;ROW())="","",INDIRECT("office_form!L"&amp;ROW()))))</f>
        <v/>
      </c>
      <c r="M46" s="25">
        <f>IF(INDIRECT("office_form!A"&amp;ROW())="","",IF(IF(INDIRECT("office_form!J"&amp;ROW())="","",INDIRECT("office_form!J"&amp;ROW()))="Yes, me","Y",IF(IF(INDIRECT("office_form!J"&amp;ROW())="","",INDIRECT("office_form!J"&amp;ROW()))="Someone else","N","")))</f>
        <v/>
      </c>
      <c r="N4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6" s="25">
        <f>IF(INDIRECT("office_form!A"&amp;ROW())="","",IF(INDIRECT("office_form!N"&amp;ROW())="","",INDIRECT("office_form!N"&amp;ROW())))</f>
        <v/>
      </c>
      <c r="P46" s="25">
        <f>IF(INDIRECT("office_form!A"&amp;ROW())="","",IF(IF(INDIRECT("office_form!O"&amp;ROW())="","",INDIRECT("office_form!O"&amp;ROW()))="Yes","yes",IF(IF(INDIRECT("office_form!O"&amp;ROW())="","",INDIRECT("office_form!O"&amp;ROW()))="No","no",IF(IF(INDIRECT("office_form!O"&amp;ROW())="","",INDIRECT("office_form!O"&amp;ROW()))="Not sure","unsure",""))))</f>
        <v/>
      </c>
      <c r="Q46" s="25">
        <f>IF(INDIRECT("office_form!A"&amp;ROW())="","",IF(IF(INDIRECT("office_form!P"&amp;ROW())="","",INDIRECT("office_form!P"&amp;ROW()))="Slack","slack",IF(IF(INDIRECT("office_form!P"&amp;ROW())="","",INDIRECT("office_form!P"&amp;ROW()))="Email","email",IF(IF(INDIRECT("office_form!P"&amp;ROW())="","",INDIRECT("office_form!P"&amp;ROW()))="Other","other",""))))</f>
        <v/>
      </c>
      <c r="R4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6" s="25">
        <f>IF(INDIRECT("office_form!A"&amp;ROW())="","",IF(INDIRECT("office_form!R"&amp;ROW())="","",INDIRECT("office_form!R"&amp;ROW())))</f>
        <v/>
      </c>
      <c r="T46" s="25">
        <f>IF(INDIRECT("office_form!A"&amp;ROW())="","",IF(INDIRECT("office_form!S"&amp;ROW())="","",INDIRECT("office_form!S"&amp;ROW())))</f>
        <v/>
      </c>
      <c r="U46" s="25">
        <f>IF(INDIRECT("office_form!A"&amp;ROW())="","","founder")</f>
        <v/>
      </c>
    </row>
    <row r="47">
      <c r="A47" s="25">
        <f>IF(INDIRECT("office_form!A"&amp;ROW())="","",TEXT(INDIRECT("office_form!A"&amp;ROW()),"yyyy-mm-dd""T""hh:mm:ss"))</f>
        <v/>
      </c>
      <c r="B47" s="25">
        <f>IF(INDIRECT("office_form!A"&amp;ROW())="","",config!$B$36)</f>
        <v/>
      </c>
      <c r="C47" s="25">
        <f>IF(INDIRECT("office_form!A"&amp;ROW())="","",IF(INDIRECT("office_form!B"&amp;ROW())="","",INDIRECT("office_form!B"&amp;ROW())))</f>
        <v/>
      </c>
      <c r="D47" s="25">
        <f>IF(INDIRECT("office_form!A"&amp;ROW())="","",IF(INDIRECT("office_form!C"&amp;ROW())="","",INDIRECT("office_form!C"&amp;ROW())))</f>
        <v/>
      </c>
      <c r="E47" s="25">
        <f>IF(INDIRECT("office_form!A"&amp;ROW())="","",IF(INDIRECT("office_form!D"&amp;ROW())="","",INDIRECT("office_form!D"&amp;ROW())))</f>
        <v/>
      </c>
      <c r="F47" s="25">
        <f>IF(INDIRECT("office_form!A"&amp;ROW())="","",IF(INDIRECT("office_form!E"&amp;ROW())="","",INDIRECT("office_form!E"&amp;ROW())))</f>
        <v/>
      </c>
      <c r="G47" s="25">
        <f>IF(INDIRECT("office_form!A"&amp;ROW())="","",IF(INDIRECT("office_form!F"&amp;ROW())="","",INDIRECT("office_form!F"&amp;ROW())))</f>
        <v/>
      </c>
      <c r="H47" s="25">
        <f>IF(INDIRECT("office_form!A"&amp;ROW())="","",IF(INDIRECT("office_form!G"&amp;ROW())="","",INDIRECT("office_form!G"&amp;ROW())))</f>
        <v/>
      </c>
      <c r="I47" s="25">
        <f>IF(INDIRECT("office_form!A"&amp;ROW())="","",IF(INDIRECT("office_form!H"&amp;ROW())="","",INDIRECT("office_form!H"&amp;ROW())))</f>
        <v/>
      </c>
      <c r="J47" s="25">
        <f>IF(INDIRECT("office_form!A"&amp;ROW())="","",IF(INDIRECT("office_form!I"&amp;ROW())="","",INDIRECT("office_form!I"&amp;ROW())))</f>
        <v/>
      </c>
      <c r="K47" s="25">
        <f>IF(INDIRECT("office_form!A"&amp;ROW())="","",IF($M47="Y",$D47,IF(INDIRECT("office_form!K"&amp;ROW())="","",INDIRECT("office_form!K"&amp;ROW()))))</f>
        <v/>
      </c>
      <c r="L47" s="25">
        <f>IF(INDIRECT("office_form!A"&amp;ROW())="","",IF($M47="Y",$E47,IF(INDIRECT("office_form!L"&amp;ROW())="","",INDIRECT("office_form!L"&amp;ROW()))))</f>
        <v/>
      </c>
      <c r="M47" s="25">
        <f>IF(INDIRECT("office_form!A"&amp;ROW())="","",IF(IF(INDIRECT("office_form!J"&amp;ROW())="","",INDIRECT("office_form!J"&amp;ROW()))="Yes, me","Y",IF(IF(INDIRECT("office_form!J"&amp;ROW())="","",INDIRECT("office_form!J"&amp;ROW()))="Someone else","N","")))</f>
        <v/>
      </c>
      <c r="N4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7" s="25">
        <f>IF(INDIRECT("office_form!A"&amp;ROW())="","",IF(INDIRECT("office_form!N"&amp;ROW())="","",INDIRECT("office_form!N"&amp;ROW())))</f>
        <v/>
      </c>
      <c r="P47" s="25">
        <f>IF(INDIRECT("office_form!A"&amp;ROW())="","",IF(IF(INDIRECT("office_form!O"&amp;ROW())="","",INDIRECT("office_form!O"&amp;ROW()))="Yes","yes",IF(IF(INDIRECT("office_form!O"&amp;ROW())="","",INDIRECT("office_form!O"&amp;ROW()))="No","no",IF(IF(INDIRECT("office_form!O"&amp;ROW())="","",INDIRECT("office_form!O"&amp;ROW()))="Not sure","unsure",""))))</f>
        <v/>
      </c>
      <c r="Q47" s="25">
        <f>IF(INDIRECT("office_form!A"&amp;ROW())="","",IF(IF(INDIRECT("office_form!P"&amp;ROW())="","",INDIRECT("office_form!P"&amp;ROW()))="Slack","slack",IF(IF(INDIRECT("office_form!P"&amp;ROW())="","",INDIRECT("office_form!P"&amp;ROW()))="Email","email",IF(IF(INDIRECT("office_form!P"&amp;ROW())="","",INDIRECT("office_form!P"&amp;ROW()))="Other","other",""))))</f>
        <v/>
      </c>
      <c r="R4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7" s="25">
        <f>IF(INDIRECT("office_form!A"&amp;ROW())="","",IF(INDIRECT("office_form!R"&amp;ROW())="","",INDIRECT("office_form!R"&amp;ROW())))</f>
        <v/>
      </c>
      <c r="T47" s="25">
        <f>IF(INDIRECT("office_form!A"&amp;ROW())="","",IF(INDIRECT("office_form!S"&amp;ROW())="","",INDIRECT("office_form!S"&amp;ROW())))</f>
        <v/>
      </c>
      <c r="U47" s="25">
        <f>IF(INDIRECT("office_form!A"&amp;ROW())="","","founder")</f>
        <v/>
      </c>
    </row>
    <row r="48">
      <c r="A48" s="25">
        <f>IF(INDIRECT("office_form!A"&amp;ROW())="","",TEXT(INDIRECT("office_form!A"&amp;ROW()),"yyyy-mm-dd""T""hh:mm:ss"))</f>
        <v/>
      </c>
      <c r="B48" s="25">
        <f>IF(INDIRECT("office_form!A"&amp;ROW())="","",config!$B$36)</f>
        <v/>
      </c>
      <c r="C48" s="25">
        <f>IF(INDIRECT("office_form!A"&amp;ROW())="","",IF(INDIRECT("office_form!B"&amp;ROW())="","",INDIRECT("office_form!B"&amp;ROW())))</f>
        <v/>
      </c>
      <c r="D48" s="25">
        <f>IF(INDIRECT("office_form!A"&amp;ROW())="","",IF(INDIRECT("office_form!C"&amp;ROW())="","",INDIRECT("office_form!C"&amp;ROW())))</f>
        <v/>
      </c>
      <c r="E48" s="25">
        <f>IF(INDIRECT("office_form!A"&amp;ROW())="","",IF(INDIRECT("office_form!D"&amp;ROW())="","",INDIRECT("office_form!D"&amp;ROW())))</f>
        <v/>
      </c>
      <c r="F48" s="25">
        <f>IF(INDIRECT("office_form!A"&amp;ROW())="","",IF(INDIRECT("office_form!E"&amp;ROW())="","",INDIRECT("office_form!E"&amp;ROW())))</f>
        <v/>
      </c>
      <c r="G48" s="25">
        <f>IF(INDIRECT("office_form!A"&amp;ROW())="","",IF(INDIRECT("office_form!F"&amp;ROW())="","",INDIRECT("office_form!F"&amp;ROW())))</f>
        <v/>
      </c>
      <c r="H48" s="25">
        <f>IF(INDIRECT("office_form!A"&amp;ROW())="","",IF(INDIRECT("office_form!G"&amp;ROW())="","",INDIRECT("office_form!G"&amp;ROW())))</f>
        <v/>
      </c>
      <c r="I48" s="25">
        <f>IF(INDIRECT("office_form!A"&amp;ROW())="","",IF(INDIRECT("office_form!H"&amp;ROW())="","",INDIRECT("office_form!H"&amp;ROW())))</f>
        <v/>
      </c>
      <c r="J48" s="25">
        <f>IF(INDIRECT("office_form!A"&amp;ROW())="","",IF(INDIRECT("office_form!I"&amp;ROW())="","",INDIRECT("office_form!I"&amp;ROW())))</f>
        <v/>
      </c>
      <c r="K48" s="25">
        <f>IF(INDIRECT("office_form!A"&amp;ROW())="","",IF($M48="Y",$D48,IF(INDIRECT("office_form!K"&amp;ROW())="","",INDIRECT("office_form!K"&amp;ROW()))))</f>
        <v/>
      </c>
      <c r="L48" s="25">
        <f>IF(INDIRECT("office_form!A"&amp;ROW())="","",IF($M48="Y",$E48,IF(INDIRECT("office_form!L"&amp;ROW())="","",INDIRECT("office_form!L"&amp;ROW()))))</f>
        <v/>
      </c>
      <c r="M48" s="25">
        <f>IF(INDIRECT("office_form!A"&amp;ROW())="","",IF(IF(INDIRECT("office_form!J"&amp;ROW())="","",INDIRECT("office_form!J"&amp;ROW()))="Yes, me","Y",IF(IF(INDIRECT("office_form!J"&amp;ROW())="","",INDIRECT("office_form!J"&amp;ROW()))="Someone else","N","")))</f>
        <v/>
      </c>
      <c r="N4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8" s="25">
        <f>IF(INDIRECT("office_form!A"&amp;ROW())="","",IF(INDIRECT("office_form!N"&amp;ROW())="","",INDIRECT("office_form!N"&amp;ROW())))</f>
        <v/>
      </c>
      <c r="P48" s="25">
        <f>IF(INDIRECT("office_form!A"&amp;ROW())="","",IF(IF(INDIRECT("office_form!O"&amp;ROW())="","",INDIRECT("office_form!O"&amp;ROW()))="Yes","yes",IF(IF(INDIRECT("office_form!O"&amp;ROW())="","",INDIRECT("office_form!O"&amp;ROW()))="No","no",IF(IF(INDIRECT("office_form!O"&amp;ROW())="","",INDIRECT("office_form!O"&amp;ROW()))="Not sure","unsure",""))))</f>
        <v/>
      </c>
      <c r="Q48" s="25">
        <f>IF(INDIRECT("office_form!A"&amp;ROW())="","",IF(IF(INDIRECT("office_form!P"&amp;ROW())="","",INDIRECT("office_form!P"&amp;ROW()))="Slack","slack",IF(IF(INDIRECT("office_form!P"&amp;ROW())="","",INDIRECT("office_form!P"&amp;ROW()))="Email","email",IF(IF(INDIRECT("office_form!P"&amp;ROW())="","",INDIRECT("office_form!P"&amp;ROW()))="Other","other",""))))</f>
        <v/>
      </c>
      <c r="R4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8" s="25">
        <f>IF(INDIRECT("office_form!A"&amp;ROW())="","",IF(INDIRECT("office_form!R"&amp;ROW())="","",INDIRECT("office_form!R"&amp;ROW())))</f>
        <v/>
      </c>
      <c r="T48" s="25">
        <f>IF(INDIRECT("office_form!A"&amp;ROW())="","",IF(INDIRECT("office_form!S"&amp;ROW())="","",INDIRECT("office_form!S"&amp;ROW())))</f>
        <v/>
      </c>
      <c r="U48" s="25">
        <f>IF(INDIRECT("office_form!A"&amp;ROW())="","","founder")</f>
        <v/>
      </c>
    </row>
    <row r="49">
      <c r="A49" s="25">
        <f>IF(INDIRECT("office_form!A"&amp;ROW())="","",TEXT(INDIRECT("office_form!A"&amp;ROW()),"yyyy-mm-dd""T""hh:mm:ss"))</f>
        <v/>
      </c>
      <c r="B49" s="25">
        <f>IF(INDIRECT("office_form!A"&amp;ROW())="","",config!$B$36)</f>
        <v/>
      </c>
      <c r="C49" s="25">
        <f>IF(INDIRECT("office_form!A"&amp;ROW())="","",IF(INDIRECT("office_form!B"&amp;ROW())="","",INDIRECT("office_form!B"&amp;ROW())))</f>
        <v/>
      </c>
      <c r="D49" s="25">
        <f>IF(INDIRECT("office_form!A"&amp;ROW())="","",IF(INDIRECT("office_form!C"&amp;ROW())="","",INDIRECT("office_form!C"&amp;ROW())))</f>
        <v/>
      </c>
      <c r="E49" s="25">
        <f>IF(INDIRECT("office_form!A"&amp;ROW())="","",IF(INDIRECT("office_form!D"&amp;ROW())="","",INDIRECT("office_form!D"&amp;ROW())))</f>
        <v/>
      </c>
      <c r="F49" s="25">
        <f>IF(INDIRECT("office_form!A"&amp;ROW())="","",IF(INDIRECT("office_form!E"&amp;ROW())="","",INDIRECT("office_form!E"&amp;ROW())))</f>
        <v/>
      </c>
      <c r="G49" s="25">
        <f>IF(INDIRECT("office_form!A"&amp;ROW())="","",IF(INDIRECT("office_form!F"&amp;ROW())="","",INDIRECT("office_form!F"&amp;ROW())))</f>
        <v/>
      </c>
      <c r="H49" s="25">
        <f>IF(INDIRECT("office_form!A"&amp;ROW())="","",IF(INDIRECT("office_form!G"&amp;ROW())="","",INDIRECT("office_form!G"&amp;ROW())))</f>
        <v/>
      </c>
      <c r="I49" s="25">
        <f>IF(INDIRECT("office_form!A"&amp;ROW())="","",IF(INDIRECT("office_form!H"&amp;ROW())="","",INDIRECT("office_form!H"&amp;ROW())))</f>
        <v/>
      </c>
      <c r="J49" s="25">
        <f>IF(INDIRECT("office_form!A"&amp;ROW())="","",IF(INDIRECT("office_form!I"&amp;ROW())="","",INDIRECT("office_form!I"&amp;ROW())))</f>
        <v/>
      </c>
      <c r="K49" s="25">
        <f>IF(INDIRECT("office_form!A"&amp;ROW())="","",IF($M49="Y",$D49,IF(INDIRECT("office_form!K"&amp;ROW())="","",INDIRECT("office_form!K"&amp;ROW()))))</f>
        <v/>
      </c>
      <c r="L49" s="25">
        <f>IF(INDIRECT("office_form!A"&amp;ROW())="","",IF($M49="Y",$E49,IF(INDIRECT("office_form!L"&amp;ROW())="","",INDIRECT("office_form!L"&amp;ROW()))))</f>
        <v/>
      </c>
      <c r="M49" s="25">
        <f>IF(INDIRECT("office_form!A"&amp;ROW())="","",IF(IF(INDIRECT("office_form!J"&amp;ROW())="","",INDIRECT("office_form!J"&amp;ROW()))="Yes, me","Y",IF(IF(INDIRECT("office_form!J"&amp;ROW())="","",INDIRECT("office_form!J"&amp;ROW()))="Someone else","N","")))</f>
        <v/>
      </c>
      <c r="N4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9" s="25">
        <f>IF(INDIRECT("office_form!A"&amp;ROW())="","",IF(INDIRECT("office_form!N"&amp;ROW())="","",INDIRECT("office_form!N"&amp;ROW())))</f>
        <v/>
      </c>
      <c r="P49" s="25">
        <f>IF(INDIRECT("office_form!A"&amp;ROW())="","",IF(IF(INDIRECT("office_form!O"&amp;ROW())="","",INDIRECT("office_form!O"&amp;ROW()))="Yes","yes",IF(IF(INDIRECT("office_form!O"&amp;ROW())="","",INDIRECT("office_form!O"&amp;ROW()))="No","no",IF(IF(INDIRECT("office_form!O"&amp;ROW())="","",INDIRECT("office_form!O"&amp;ROW()))="Not sure","unsure",""))))</f>
        <v/>
      </c>
      <c r="Q49" s="25">
        <f>IF(INDIRECT("office_form!A"&amp;ROW())="","",IF(IF(INDIRECT("office_form!P"&amp;ROW())="","",INDIRECT("office_form!P"&amp;ROW()))="Slack","slack",IF(IF(INDIRECT("office_form!P"&amp;ROW())="","",INDIRECT("office_form!P"&amp;ROW()))="Email","email",IF(IF(INDIRECT("office_form!P"&amp;ROW())="","",INDIRECT("office_form!P"&amp;ROW()))="Other","other",""))))</f>
        <v/>
      </c>
      <c r="R4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9" s="25">
        <f>IF(INDIRECT("office_form!A"&amp;ROW())="","",IF(INDIRECT("office_form!R"&amp;ROW())="","",INDIRECT("office_form!R"&amp;ROW())))</f>
        <v/>
      </c>
      <c r="T49" s="25">
        <f>IF(INDIRECT("office_form!A"&amp;ROW())="","",IF(INDIRECT("office_form!S"&amp;ROW())="","",INDIRECT("office_form!S"&amp;ROW())))</f>
        <v/>
      </c>
      <c r="U49" s="25">
        <f>IF(INDIRECT("office_form!A"&amp;ROW())="","","founder")</f>
        <v/>
      </c>
    </row>
    <row r="50">
      <c r="A50" s="25">
        <f>IF(INDIRECT("office_form!A"&amp;ROW())="","",TEXT(INDIRECT("office_form!A"&amp;ROW()),"yyyy-mm-dd""T""hh:mm:ss"))</f>
        <v/>
      </c>
      <c r="B50" s="25">
        <f>IF(INDIRECT("office_form!A"&amp;ROW())="","",config!$B$36)</f>
        <v/>
      </c>
      <c r="C50" s="25">
        <f>IF(INDIRECT("office_form!A"&amp;ROW())="","",IF(INDIRECT("office_form!B"&amp;ROW())="","",INDIRECT("office_form!B"&amp;ROW())))</f>
        <v/>
      </c>
      <c r="D50" s="25">
        <f>IF(INDIRECT("office_form!A"&amp;ROW())="","",IF(INDIRECT("office_form!C"&amp;ROW())="","",INDIRECT("office_form!C"&amp;ROW())))</f>
        <v/>
      </c>
      <c r="E50" s="25">
        <f>IF(INDIRECT("office_form!A"&amp;ROW())="","",IF(INDIRECT("office_form!D"&amp;ROW())="","",INDIRECT("office_form!D"&amp;ROW())))</f>
        <v/>
      </c>
      <c r="F50" s="25">
        <f>IF(INDIRECT("office_form!A"&amp;ROW())="","",IF(INDIRECT("office_form!E"&amp;ROW())="","",INDIRECT("office_form!E"&amp;ROW())))</f>
        <v/>
      </c>
      <c r="G50" s="25">
        <f>IF(INDIRECT("office_form!A"&amp;ROW())="","",IF(INDIRECT("office_form!F"&amp;ROW())="","",INDIRECT("office_form!F"&amp;ROW())))</f>
        <v/>
      </c>
      <c r="H50" s="25">
        <f>IF(INDIRECT("office_form!A"&amp;ROW())="","",IF(INDIRECT("office_form!G"&amp;ROW())="","",INDIRECT("office_form!G"&amp;ROW())))</f>
        <v/>
      </c>
      <c r="I50" s="25">
        <f>IF(INDIRECT("office_form!A"&amp;ROW())="","",IF(INDIRECT("office_form!H"&amp;ROW())="","",INDIRECT("office_form!H"&amp;ROW())))</f>
        <v/>
      </c>
      <c r="J50" s="25">
        <f>IF(INDIRECT("office_form!A"&amp;ROW())="","",IF(INDIRECT("office_form!I"&amp;ROW())="","",INDIRECT("office_form!I"&amp;ROW())))</f>
        <v/>
      </c>
      <c r="K50" s="25">
        <f>IF(INDIRECT("office_form!A"&amp;ROW())="","",IF($M50="Y",$D50,IF(INDIRECT("office_form!K"&amp;ROW())="","",INDIRECT("office_form!K"&amp;ROW()))))</f>
        <v/>
      </c>
      <c r="L50" s="25">
        <f>IF(INDIRECT("office_form!A"&amp;ROW())="","",IF($M50="Y",$E50,IF(INDIRECT("office_form!L"&amp;ROW())="","",INDIRECT("office_form!L"&amp;ROW()))))</f>
        <v/>
      </c>
      <c r="M50" s="25">
        <f>IF(INDIRECT("office_form!A"&amp;ROW())="","",IF(IF(INDIRECT("office_form!J"&amp;ROW())="","",INDIRECT("office_form!J"&amp;ROW()))="Yes, me","Y",IF(IF(INDIRECT("office_form!J"&amp;ROW())="","",INDIRECT("office_form!J"&amp;ROW()))="Someone else","N","")))</f>
        <v/>
      </c>
      <c r="N5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0" s="25">
        <f>IF(INDIRECT("office_form!A"&amp;ROW())="","",IF(INDIRECT("office_form!N"&amp;ROW())="","",INDIRECT("office_form!N"&amp;ROW())))</f>
        <v/>
      </c>
      <c r="P50" s="25">
        <f>IF(INDIRECT("office_form!A"&amp;ROW())="","",IF(IF(INDIRECT("office_form!O"&amp;ROW())="","",INDIRECT("office_form!O"&amp;ROW()))="Yes","yes",IF(IF(INDIRECT("office_form!O"&amp;ROW())="","",INDIRECT("office_form!O"&amp;ROW()))="No","no",IF(IF(INDIRECT("office_form!O"&amp;ROW())="","",INDIRECT("office_form!O"&amp;ROW()))="Not sure","unsure",""))))</f>
        <v/>
      </c>
      <c r="Q50" s="25">
        <f>IF(INDIRECT("office_form!A"&amp;ROW())="","",IF(IF(INDIRECT("office_form!P"&amp;ROW())="","",INDIRECT("office_form!P"&amp;ROW()))="Slack","slack",IF(IF(INDIRECT("office_form!P"&amp;ROW())="","",INDIRECT("office_form!P"&amp;ROW()))="Email","email",IF(IF(INDIRECT("office_form!P"&amp;ROW())="","",INDIRECT("office_form!P"&amp;ROW()))="Other","other",""))))</f>
        <v/>
      </c>
      <c r="R5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0" s="25">
        <f>IF(INDIRECT("office_form!A"&amp;ROW())="","",IF(INDIRECT("office_form!R"&amp;ROW())="","",INDIRECT("office_form!R"&amp;ROW())))</f>
        <v/>
      </c>
      <c r="T50" s="25">
        <f>IF(INDIRECT("office_form!A"&amp;ROW())="","",IF(INDIRECT("office_form!S"&amp;ROW())="","",INDIRECT("office_form!S"&amp;ROW())))</f>
        <v/>
      </c>
      <c r="U50" s="25">
        <f>IF(INDIRECT("office_form!A"&amp;ROW())="","","founder")</f>
        <v/>
      </c>
    </row>
    <row r="51">
      <c r="A51" s="25">
        <f>IF(INDIRECT("office_form!A"&amp;ROW())="","",TEXT(INDIRECT("office_form!A"&amp;ROW()),"yyyy-mm-dd""T""hh:mm:ss"))</f>
        <v/>
      </c>
      <c r="B51" s="25">
        <f>IF(INDIRECT("office_form!A"&amp;ROW())="","",config!$B$36)</f>
        <v/>
      </c>
      <c r="C51" s="25">
        <f>IF(INDIRECT("office_form!A"&amp;ROW())="","",IF(INDIRECT("office_form!B"&amp;ROW())="","",INDIRECT("office_form!B"&amp;ROW())))</f>
        <v/>
      </c>
      <c r="D51" s="25">
        <f>IF(INDIRECT("office_form!A"&amp;ROW())="","",IF(INDIRECT("office_form!C"&amp;ROW())="","",INDIRECT("office_form!C"&amp;ROW())))</f>
        <v/>
      </c>
      <c r="E51" s="25">
        <f>IF(INDIRECT("office_form!A"&amp;ROW())="","",IF(INDIRECT("office_form!D"&amp;ROW())="","",INDIRECT("office_form!D"&amp;ROW())))</f>
        <v/>
      </c>
      <c r="F51" s="25">
        <f>IF(INDIRECT("office_form!A"&amp;ROW())="","",IF(INDIRECT("office_form!E"&amp;ROW())="","",INDIRECT("office_form!E"&amp;ROW())))</f>
        <v/>
      </c>
      <c r="G51" s="25">
        <f>IF(INDIRECT("office_form!A"&amp;ROW())="","",IF(INDIRECT("office_form!F"&amp;ROW())="","",INDIRECT("office_form!F"&amp;ROW())))</f>
        <v/>
      </c>
      <c r="H51" s="25">
        <f>IF(INDIRECT("office_form!A"&amp;ROW())="","",IF(INDIRECT("office_form!G"&amp;ROW())="","",INDIRECT("office_form!G"&amp;ROW())))</f>
        <v/>
      </c>
      <c r="I51" s="25">
        <f>IF(INDIRECT("office_form!A"&amp;ROW())="","",IF(INDIRECT("office_form!H"&amp;ROW())="","",INDIRECT("office_form!H"&amp;ROW())))</f>
        <v/>
      </c>
      <c r="J51" s="25">
        <f>IF(INDIRECT("office_form!A"&amp;ROW())="","",IF(INDIRECT("office_form!I"&amp;ROW())="","",INDIRECT("office_form!I"&amp;ROW())))</f>
        <v/>
      </c>
      <c r="K51" s="25">
        <f>IF(INDIRECT("office_form!A"&amp;ROW())="","",IF($M51="Y",$D51,IF(INDIRECT("office_form!K"&amp;ROW())="","",INDIRECT("office_form!K"&amp;ROW()))))</f>
        <v/>
      </c>
      <c r="L51" s="25">
        <f>IF(INDIRECT("office_form!A"&amp;ROW())="","",IF($M51="Y",$E51,IF(INDIRECT("office_form!L"&amp;ROW())="","",INDIRECT("office_form!L"&amp;ROW()))))</f>
        <v/>
      </c>
      <c r="M51" s="25">
        <f>IF(INDIRECT("office_form!A"&amp;ROW())="","",IF(IF(INDIRECT("office_form!J"&amp;ROW())="","",INDIRECT("office_form!J"&amp;ROW()))="Yes, me","Y",IF(IF(INDIRECT("office_form!J"&amp;ROW())="","",INDIRECT("office_form!J"&amp;ROW()))="Someone else","N","")))</f>
        <v/>
      </c>
      <c r="N5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1" s="25">
        <f>IF(INDIRECT("office_form!A"&amp;ROW())="","",IF(INDIRECT("office_form!N"&amp;ROW())="","",INDIRECT("office_form!N"&amp;ROW())))</f>
        <v/>
      </c>
      <c r="P51" s="25">
        <f>IF(INDIRECT("office_form!A"&amp;ROW())="","",IF(IF(INDIRECT("office_form!O"&amp;ROW())="","",INDIRECT("office_form!O"&amp;ROW()))="Yes","yes",IF(IF(INDIRECT("office_form!O"&amp;ROW())="","",INDIRECT("office_form!O"&amp;ROW()))="No","no",IF(IF(INDIRECT("office_form!O"&amp;ROW())="","",INDIRECT("office_form!O"&amp;ROW()))="Not sure","unsure",""))))</f>
        <v/>
      </c>
      <c r="Q51" s="25">
        <f>IF(INDIRECT("office_form!A"&amp;ROW())="","",IF(IF(INDIRECT("office_form!P"&amp;ROW())="","",INDIRECT("office_form!P"&amp;ROW()))="Slack","slack",IF(IF(INDIRECT("office_form!P"&amp;ROW())="","",INDIRECT("office_form!P"&amp;ROW()))="Email","email",IF(IF(INDIRECT("office_form!P"&amp;ROW())="","",INDIRECT("office_form!P"&amp;ROW()))="Other","other",""))))</f>
        <v/>
      </c>
      <c r="R5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1" s="25">
        <f>IF(INDIRECT("office_form!A"&amp;ROW())="","",IF(INDIRECT("office_form!R"&amp;ROW())="","",INDIRECT("office_form!R"&amp;ROW())))</f>
        <v/>
      </c>
      <c r="T51" s="25">
        <f>IF(INDIRECT("office_form!A"&amp;ROW())="","",IF(INDIRECT("office_form!S"&amp;ROW())="","",INDIRECT("office_form!S"&amp;ROW())))</f>
        <v/>
      </c>
      <c r="U51" s="25">
        <f>IF(INDIRECT("office_form!A"&amp;ROW())="","","founder")</f>
        <v/>
      </c>
    </row>
    <row r="52">
      <c r="A52" s="25">
        <f>IF(INDIRECT("office_form!A"&amp;ROW())="","",TEXT(INDIRECT("office_form!A"&amp;ROW()),"yyyy-mm-dd""T""hh:mm:ss"))</f>
        <v/>
      </c>
      <c r="B52" s="25">
        <f>IF(INDIRECT("office_form!A"&amp;ROW())="","",config!$B$36)</f>
        <v/>
      </c>
      <c r="C52" s="25">
        <f>IF(INDIRECT("office_form!A"&amp;ROW())="","",IF(INDIRECT("office_form!B"&amp;ROW())="","",INDIRECT("office_form!B"&amp;ROW())))</f>
        <v/>
      </c>
      <c r="D52" s="25">
        <f>IF(INDIRECT("office_form!A"&amp;ROW())="","",IF(INDIRECT("office_form!C"&amp;ROW())="","",INDIRECT("office_form!C"&amp;ROW())))</f>
        <v/>
      </c>
      <c r="E52" s="25">
        <f>IF(INDIRECT("office_form!A"&amp;ROW())="","",IF(INDIRECT("office_form!D"&amp;ROW())="","",INDIRECT("office_form!D"&amp;ROW())))</f>
        <v/>
      </c>
      <c r="F52" s="25">
        <f>IF(INDIRECT("office_form!A"&amp;ROW())="","",IF(INDIRECT("office_form!E"&amp;ROW())="","",INDIRECT("office_form!E"&amp;ROW())))</f>
        <v/>
      </c>
      <c r="G52" s="25">
        <f>IF(INDIRECT("office_form!A"&amp;ROW())="","",IF(INDIRECT("office_form!F"&amp;ROW())="","",INDIRECT("office_form!F"&amp;ROW())))</f>
        <v/>
      </c>
      <c r="H52" s="25">
        <f>IF(INDIRECT("office_form!A"&amp;ROW())="","",IF(INDIRECT("office_form!G"&amp;ROW())="","",INDIRECT("office_form!G"&amp;ROW())))</f>
        <v/>
      </c>
      <c r="I52" s="25">
        <f>IF(INDIRECT("office_form!A"&amp;ROW())="","",IF(INDIRECT("office_form!H"&amp;ROW())="","",INDIRECT("office_form!H"&amp;ROW())))</f>
        <v/>
      </c>
      <c r="J52" s="25">
        <f>IF(INDIRECT("office_form!A"&amp;ROW())="","",IF(INDIRECT("office_form!I"&amp;ROW())="","",INDIRECT("office_form!I"&amp;ROW())))</f>
        <v/>
      </c>
      <c r="K52" s="25">
        <f>IF(INDIRECT("office_form!A"&amp;ROW())="","",IF($M52="Y",$D52,IF(INDIRECT("office_form!K"&amp;ROW())="","",INDIRECT("office_form!K"&amp;ROW()))))</f>
        <v/>
      </c>
      <c r="L52" s="25">
        <f>IF(INDIRECT("office_form!A"&amp;ROW())="","",IF($M52="Y",$E52,IF(INDIRECT("office_form!L"&amp;ROW())="","",INDIRECT("office_form!L"&amp;ROW()))))</f>
        <v/>
      </c>
      <c r="M52" s="25">
        <f>IF(INDIRECT("office_form!A"&amp;ROW())="","",IF(IF(INDIRECT("office_form!J"&amp;ROW())="","",INDIRECT("office_form!J"&amp;ROW()))="Yes, me","Y",IF(IF(INDIRECT("office_form!J"&amp;ROW())="","",INDIRECT("office_form!J"&amp;ROW()))="Someone else","N","")))</f>
        <v/>
      </c>
      <c r="N5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2" s="25">
        <f>IF(INDIRECT("office_form!A"&amp;ROW())="","",IF(INDIRECT("office_form!N"&amp;ROW())="","",INDIRECT("office_form!N"&amp;ROW())))</f>
        <v/>
      </c>
      <c r="P52" s="25">
        <f>IF(INDIRECT("office_form!A"&amp;ROW())="","",IF(IF(INDIRECT("office_form!O"&amp;ROW())="","",INDIRECT("office_form!O"&amp;ROW()))="Yes","yes",IF(IF(INDIRECT("office_form!O"&amp;ROW())="","",INDIRECT("office_form!O"&amp;ROW()))="No","no",IF(IF(INDIRECT("office_form!O"&amp;ROW())="","",INDIRECT("office_form!O"&amp;ROW()))="Not sure","unsure",""))))</f>
        <v/>
      </c>
      <c r="Q52" s="25">
        <f>IF(INDIRECT("office_form!A"&amp;ROW())="","",IF(IF(INDIRECT("office_form!P"&amp;ROW())="","",INDIRECT("office_form!P"&amp;ROW()))="Slack","slack",IF(IF(INDIRECT("office_form!P"&amp;ROW())="","",INDIRECT("office_form!P"&amp;ROW()))="Email","email",IF(IF(INDIRECT("office_form!P"&amp;ROW())="","",INDIRECT("office_form!P"&amp;ROW()))="Other","other",""))))</f>
        <v/>
      </c>
      <c r="R5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2" s="25">
        <f>IF(INDIRECT("office_form!A"&amp;ROW())="","",IF(INDIRECT("office_form!R"&amp;ROW())="","",INDIRECT("office_form!R"&amp;ROW())))</f>
        <v/>
      </c>
      <c r="T52" s="25">
        <f>IF(INDIRECT("office_form!A"&amp;ROW())="","",IF(INDIRECT("office_form!S"&amp;ROW())="","",INDIRECT("office_form!S"&amp;ROW())))</f>
        <v/>
      </c>
      <c r="U52" s="25">
        <f>IF(INDIRECT("office_form!A"&amp;ROW())="","","founder")</f>
        <v/>
      </c>
    </row>
    <row r="53">
      <c r="A53" s="25">
        <f>IF(INDIRECT("office_form!A"&amp;ROW())="","",TEXT(INDIRECT("office_form!A"&amp;ROW()),"yyyy-mm-dd""T""hh:mm:ss"))</f>
        <v/>
      </c>
      <c r="B53" s="25">
        <f>IF(INDIRECT("office_form!A"&amp;ROW())="","",config!$B$36)</f>
        <v/>
      </c>
      <c r="C53" s="25">
        <f>IF(INDIRECT("office_form!A"&amp;ROW())="","",IF(INDIRECT("office_form!B"&amp;ROW())="","",INDIRECT("office_form!B"&amp;ROW())))</f>
        <v/>
      </c>
      <c r="D53" s="25">
        <f>IF(INDIRECT("office_form!A"&amp;ROW())="","",IF(INDIRECT("office_form!C"&amp;ROW())="","",INDIRECT("office_form!C"&amp;ROW())))</f>
        <v/>
      </c>
      <c r="E53" s="25">
        <f>IF(INDIRECT("office_form!A"&amp;ROW())="","",IF(INDIRECT("office_form!D"&amp;ROW())="","",INDIRECT("office_form!D"&amp;ROW())))</f>
        <v/>
      </c>
      <c r="F53" s="25">
        <f>IF(INDIRECT("office_form!A"&amp;ROW())="","",IF(INDIRECT("office_form!E"&amp;ROW())="","",INDIRECT("office_form!E"&amp;ROW())))</f>
        <v/>
      </c>
      <c r="G53" s="25">
        <f>IF(INDIRECT("office_form!A"&amp;ROW())="","",IF(INDIRECT("office_form!F"&amp;ROW())="","",INDIRECT("office_form!F"&amp;ROW())))</f>
        <v/>
      </c>
      <c r="H53" s="25">
        <f>IF(INDIRECT("office_form!A"&amp;ROW())="","",IF(INDIRECT("office_form!G"&amp;ROW())="","",INDIRECT("office_form!G"&amp;ROW())))</f>
        <v/>
      </c>
      <c r="I53" s="25">
        <f>IF(INDIRECT("office_form!A"&amp;ROW())="","",IF(INDIRECT("office_form!H"&amp;ROW())="","",INDIRECT("office_form!H"&amp;ROW())))</f>
        <v/>
      </c>
      <c r="J53" s="25">
        <f>IF(INDIRECT("office_form!A"&amp;ROW())="","",IF(INDIRECT("office_form!I"&amp;ROW())="","",INDIRECT("office_form!I"&amp;ROW())))</f>
        <v/>
      </c>
      <c r="K53" s="25">
        <f>IF(INDIRECT("office_form!A"&amp;ROW())="","",IF($M53="Y",$D53,IF(INDIRECT("office_form!K"&amp;ROW())="","",INDIRECT("office_form!K"&amp;ROW()))))</f>
        <v/>
      </c>
      <c r="L53" s="25">
        <f>IF(INDIRECT("office_form!A"&amp;ROW())="","",IF($M53="Y",$E53,IF(INDIRECT("office_form!L"&amp;ROW())="","",INDIRECT("office_form!L"&amp;ROW()))))</f>
        <v/>
      </c>
      <c r="M53" s="25">
        <f>IF(INDIRECT("office_form!A"&amp;ROW())="","",IF(IF(INDIRECT("office_form!J"&amp;ROW())="","",INDIRECT("office_form!J"&amp;ROW()))="Yes, me","Y",IF(IF(INDIRECT("office_form!J"&amp;ROW())="","",INDIRECT("office_form!J"&amp;ROW()))="Someone else","N","")))</f>
        <v/>
      </c>
      <c r="N5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3" s="25">
        <f>IF(INDIRECT("office_form!A"&amp;ROW())="","",IF(INDIRECT("office_form!N"&amp;ROW())="","",INDIRECT("office_form!N"&amp;ROW())))</f>
        <v/>
      </c>
      <c r="P53" s="25">
        <f>IF(INDIRECT("office_form!A"&amp;ROW())="","",IF(IF(INDIRECT("office_form!O"&amp;ROW())="","",INDIRECT("office_form!O"&amp;ROW()))="Yes","yes",IF(IF(INDIRECT("office_form!O"&amp;ROW())="","",INDIRECT("office_form!O"&amp;ROW()))="No","no",IF(IF(INDIRECT("office_form!O"&amp;ROW())="","",INDIRECT("office_form!O"&amp;ROW()))="Not sure","unsure",""))))</f>
        <v/>
      </c>
      <c r="Q53" s="25">
        <f>IF(INDIRECT("office_form!A"&amp;ROW())="","",IF(IF(INDIRECT("office_form!P"&amp;ROW())="","",INDIRECT("office_form!P"&amp;ROW()))="Slack","slack",IF(IF(INDIRECT("office_form!P"&amp;ROW())="","",INDIRECT("office_form!P"&amp;ROW()))="Email","email",IF(IF(INDIRECT("office_form!P"&amp;ROW())="","",INDIRECT("office_form!P"&amp;ROW()))="Other","other",""))))</f>
        <v/>
      </c>
      <c r="R5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3" s="25">
        <f>IF(INDIRECT("office_form!A"&amp;ROW())="","",IF(INDIRECT("office_form!R"&amp;ROW())="","",INDIRECT("office_form!R"&amp;ROW())))</f>
        <v/>
      </c>
      <c r="T53" s="25">
        <f>IF(INDIRECT("office_form!A"&amp;ROW())="","",IF(INDIRECT("office_form!S"&amp;ROW())="","",INDIRECT("office_form!S"&amp;ROW())))</f>
        <v/>
      </c>
      <c r="U53" s="25">
        <f>IF(INDIRECT("office_form!A"&amp;ROW())="","","founder")</f>
        <v/>
      </c>
    </row>
    <row r="54">
      <c r="A54" s="25">
        <f>IF(INDIRECT("office_form!A"&amp;ROW())="","",TEXT(INDIRECT("office_form!A"&amp;ROW()),"yyyy-mm-dd""T""hh:mm:ss"))</f>
        <v/>
      </c>
      <c r="B54" s="25">
        <f>IF(INDIRECT("office_form!A"&amp;ROW())="","",config!$B$36)</f>
        <v/>
      </c>
      <c r="C54" s="25">
        <f>IF(INDIRECT("office_form!A"&amp;ROW())="","",IF(INDIRECT("office_form!B"&amp;ROW())="","",INDIRECT("office_form!B"&amp;ROW())))</f>
        <v/>
      </c>
      <c r="D54" s="25">
        <f>IF(INDIRECT("office_form!A"&amp;ROW())="","",IF(INDIRECT("office_form!C"&amp;ROW())="","",INDIRECT("office_form!C"&amp;ROW())))</f>
        <v/>
      </c>
      <c r="E54" s="25">
        <f>IF(INDIRECT("office_form!A"&amp;ROW())="","",IF(INDIRECT("office_form!D"&amp;ROW())="","",INDIRECT("office_form!D"&amp;ROW())))</f>
        <v/>
      </c>
      <c r="F54" s="25">
        <f>IF(INDIRECT("office_form!A"&amp;ROW())="","",IF(INDIRECT("office_form!E"&amp;ROW())="","",INDIRECT("office_form!E"&amp;ROW())))</f>
        <v/>
      </c>
      <c r="G54" s="25">
        <f>IF(INDIRECT("office_form!A"&amp;ROW())="","",IF(INDIRECT("office_form!F"&amp;ROW())="","",INDIRECT("office_form!F"&amp;ROW())))</f>
        <v/>
      </c>
      <c r="H54" s="25">
        <f>IF(INDIRECT("office_form!A"&amp;ROW())="","",IF(INDIRECT("office_form!G"&amp;ROW())="","",INDIRECT("office_form!G"&amp;ROW())))</f>
        <v/>
      </c>
      <c r="I54" s="25">
        <f>IF(INDIRECT("office_form!A"&amp;ROW())="","",IF(INDIRECT("office_form!H"&amp;ROW())="","",INDIRECT("office_form!H"&amp;ROW())))</f>
        <v/>
      </c>
      <c r="J54" s="25">
        <f>IF(INDIRECT("office_form!A"&amp;ROW())="","",IF(INDIRECT("office_form!I"&amp;ROW())="","",INDIRECT("office_form!I"&amp;ROW())))</f>
        <v/>
      </c>
      <c r="K54" s="25">
        <f>IF(INDIRECT("office_form!A"&amp;ROW())="","",IF($M54="Y",$D54,IF(INDIRECT("office_form!K"&amp;ROW())="","",INDIRECT("office_form!K"&amp;ROW()))))</f>
        <v/>
      </c>
      <c r="L54" s="25">
        <f>IF(INDIRECT("office_form!A"&amp;ROW())="","",IF($M54="Y",$E54,IF(INDIRECT("office_form!L"&amp;ROW())="","",INDIRECT("office_form!L"&amp;ROW()))))</f>
        <v/>
      </c>
      <c r="M54" s="25">
        <f>IF(INDIRECT("office_form!A"&amp;ROW())="","",IF(IF(INDIRECT("office_form!J"&amp;ROW())="","",INDIRECT("office_form!J"&amp;ROW()))="Yes, me","Y",IF(IF(INDIRECT("office_form!J"&amp;ROW())="","",INDIRECT("office_form!J"&amp;ROW()))="Someone else","N","")))</f>
        <v/>
      </c>
      <c r="N5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4" s="25">
        <f>IF(INDIRECT("office_form!A"&amp;ROW())="","",IF(INDIRECT("office_form!N"&amp;ROW())="","",INDIRECT("office_form!N"&amp;ROW())))</f>
        <v/>
      </c>
      <c r="P54" s="25">
        <f>IF(INDIRECT("office_form!A"&amp;ROW())="","",IF(IF(INDIRECT("office_form!O"&amp;ROW())="","",INDIRECT("office_form!O"&amp;ROW()))="Yes","yes",IF(IF(INDIRECT("office_form!O"&amp;ROW())="","",INDIRECT("office_form!O"&amp;ROW()))="No","no",IF(IF(INDIRECT("office_form!O"&amp;ROW())="","",INDIRECT("office_form!O"&amp;ROW()))="Not sure","unsure",""))))</f>
        <v/>
      </c>
      <c r="Q54" s="25">
        <f>IF(INDIRECT("office_form!A"&amp;ROW())="","",IF(IF(INDIRECT("office_form!P"&amp;ROW())="","",INDIRECT("office_form!P"&amp;ROW()))="Slack","slack",IF(IF(INDIRECT("office_form!P"&amp;ROW())="","",INDIRECT("office_form!P"&amp;ROW()))="Email","email",IF(IF(INDIRECT("office_form!P"&amp;ROW())="","",INDIRECT("office_form!P"&amp;ROW()))="Other","other",""))))</f>
        <v/>
      </c>
      <c r="R5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4" s="25">
        <f>IF(INDIRECT("office_form!A"&amp;ROW())="","",IF(INDIRECT("office_form!R"&amp;ROW())="","",INDIRECT("office_form!R"&amp;ROW())))</f>
        <v/>
      </c>
      <c r="T54" s="25">
        <f>IF(INDIRECT("office_form!A"&amp;ROW())="","",IF(INDIRECT("office_form!S"&amp;ROW())="","",INDIRECT("office_form!S"&amp;ROW())))</f>
        <v/>
      </c>
      <c r="U54" s="25">
        <f>IF(INDIRECT("office_form!A"&amp;ROW())="","","founder")</f>
        <v/>
      </c>
    </row>
    <row r="55">
      <c r="A55" s="25">
        <f>IF(INDIRECT("office_form!A"&amp;ROW())="","",TEXT(INDIRECT("office_form!A"&amp;ROW()),"yyyy-mm-dd""T""hh:mm:ss"))</f>
        <v/>
      </c>
      <c r="B55" s="25">
        <f>IF(INDIRECT("office_form!A"&amp;ROW())="","",config!$B$36)</f>
        <v/>
      </c>
      <c r="C55" s="25">
        <f>IF(INDIRECT("office_form!A"&amp;ROW())="","",IF(INDIRECT("office_form!B"&amp;ROW())="","",INDIRECT("office_form!B"&amp;ROW())))</f>
        <v/>
      </c>
      <c r="D55" s="25">
        <f>IF(INDIRECT("office_form!A"&amp;ROW())="","",IF(INDIRECT("office_form!C"&amp;ROW())="","",INDIRECT("office_form!C"&amp;ROW())))</f>
        <v/>
      </c>
      <c r="E55" s="25">
        <f>IF(INDIRECT("office_form!A"&amp;ROW())="","",IF(INDIRECT("office_form!D"&amp;ROW())="","",INDIRECT("office_form!D"&amp;ROW())))</f>
        <v/>
      </c>
      <c r="F55" s="25">
        <f>IF(INDIRECT("office_form!A"&amp;ROW())="","",IF(INDIRECT("office_form!E"&amp;ROW())="","",INDIRECT("office_form!E"&amp;ROW())))</f>
        <v/>
      </c>
      <c r="G55" s="25">
        <f>IF(INDIRECT("office_form!A"&amp;ROW())="","",IF(INDIRECT("office_form!F"&amp;ROW())="","",INDIRECT("office_form!F"&amp;ROW())))</f>
        <v/>
      </c>
      <c r="H55" s="25">
        <f>IF(INDIRECT("office_form!A"&amp;ROW())="","",IF(INDIRECT("office_form!G"&amp;ROW())="","",INDIRECT("office_form!G"&amp;ROW())))</f>
        <v/>
      </c>
      <c r="I55" s="25">
        <f>IF(INDIRECT("office_form!A"&amp;ROW())="","",IF(INDIRECT("office_form!H"&amp;ROW())="","",INDIRECT("office_form!H"&amp;ROW())))</f>
        <v/>
      </c>
      <c r="J55" s="25">
        <f>IF(INDIRECT("office_form!A"&amp;ROW())="","",IF(INDIRECT("office_form!I"&amp;ROW())="","",INDIRECT("office_form!I"&amp;ROW())))</f>
        <v/>
      </c>
      <c r="K55" s="25">
        <f>IF(INDIRECT("office_form!A"&amp;ROW())="","",IF($M55="Y",$D55,IF(INDIRECT("office_form!K"&amp;ROW())="","",INDIRECT("office_form!K"&amp;ROW()))))</f>
        <v/>
      </c>
      <c r="L55" s="25">
        <f>IF(INDIRECT("office_form!A"&amp;ROW())="","",IF($M55="Y",$E55,IF(INDIRECT("office_form!L"&amp;ROW())="","",INDIRECT("office_form!L"&amp;ROW()))))</f>
        <v/>
      </c>
      <c r="M55" s="25">
        <f>IF(INDIRECT("office_form!A"&amp;ROW())="","",IF(IF(INDIRECT("office_form!J"&amp;ROW())="","",INDIRECT("office_form!J"&amp;ROW()))="Yes, me","Y",IF(IF(INDIRECT("office_form!J"&amp;ROW())="","",INDIRECT("office_form!J"&amp;ROW()))="Someone else","N","")))</f>
        <v/>
      </c>
      <c r="N5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5" s="25">
        <f>IF(INDIRECT("office_form!A"&amp;ROW())="","",IF(INDIRECT("office_form!N"&amp;ROW())="","",INDIRECT("office_form!N"&amp;ROW())))</f>
        <v/>
      </c>
      <c r="P55" s="25">
        <f>IF(INDIRECT("office_form!A"&amp;ROW())="","",IF(IF(INDIRECT("office_form!O"&amp;ROW())="","",INDIRECT("office_form!O"&amp;ROW()))="Yes","yes",IF(IF(INDIRECT("office_form!O"&amp;ROW())="","",INDIRECT("office_form!O"&amp;ROW()))="No","no",IF(IF(INDIRECT("office_form!O"&amp;ROW())="","",INDIRECT("office_form!O"&amp;ROW()))="Not sure","unsure",""))))</f>
        <v/>
      </c>
      <c r="Q55" s="25">
        <f>IF(INDIRECT("office_form!A"&amp;ROW())="","",IF(IF(INDIRECT("office_form!P"&amp;ROW())="","",INDIRECT("office_form!P"&amp;ROW()))="Slack","slack",IF(IF(INDIRECT("office_form!P"&amp;ROW())="","",INDIRECT("office_form!P"&amp;ROW()))="Email","email",IF(IF(INDIRECT("office_form!P"&amp;ROW())="","",INDIRECT("office_form!P"&amp;ROW()))="Other","other",""))))</f>
        <v/>
      </c>
      <c r="R5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5" s="25">
        <f>IF(INDIRECT("office_form!A"&amp;ROW())="","",IF(INDIRECT("office_form!R"&amp;ROW())="","",INDIRECT("office_form!R"&amp;ROW())))</f>
        <v/>
      </c>
      <c r="T55" s="25">
        <f>IF(INDIRECT("office_form!A"&amp;ROW())="","",IF(INDIRECT("office_form!S"&amp;ROW())="","",INDIRECT("office_form!S"&amp;ROW())))</f>
        <v/>
      </c>
      <c r="U55" s="25">
        <f>IF(INDIRECT("office_form!A"&amp;ROW())="","","founder")</f>
        <v/>
      </c>
    </row>
    <row r="56">
      <c r="A56" s="25">
        <f>IF(INDIRECT("office_form!A"&amp;ROW())="","",TEXT(INDIRECT("office_form!A"&amp;ROW()),"yyyy-mm-dd""T""hh:mm:ss"))</f>
        <v/>
      </c>
      <c r="B56" s="25">
        <f>IF(INDIRECT("office_form!A"&amp;ROW())="","",config!$B$36)</f>
        <v/>
      </c>
      <c r="C56" s="25">
        <f>IF(INDIRECT("office_form!A"&amp;ROW())="","",IF(INDIRECT("office_form!B"&amp;ROW())="","",INDIRECT("office_form!B"&amp;ROW())))</f>
        <v/>
      </c>
      <c r="D56" s="25">
        <f>IF(INDIRECT("office_form!A"&amp;ROW())="","",IF(INDIRECT("office_form!C"&amp;ROW())="","",INDIRECT("office_form!C"&amp;ROW())))</f>
        <v/>
      </c>
      <c r="E56" s="25">
        <f>IF(INDIRECT("office_form!A"&amp;ROW())="","",IF(INDIRECT("office_form!D"&amp;ROW())="","",INDIRECT("office_form!D"&amp;ROW())))</f>
        <v/>
      </c>
      <c r="F56" s="25">
        <f>IF(INDIRECT("office_form!A"&amp;ROW())="","",IF(INDIRECT("office_form!E"&amp;ROW())="","",INDIRECT("office_form!E"&amp;ROW())))</f>
        <v/>
      </c>
      <c r="G56" s="25">
        <f>IF(INDIRECT("office_form!A"&amp;ROW())="","",IF(INDIRECT("office_form!F"&amp;ROW())="","",INDIRECT("office_form!F"&amp;ROW())))</f>
        <v/>
      </c>
      <c r="H56" s="25">
        <f>IF(INDIRECT("office_form!A"&amp;ROW())="","",IF(INDIRECT("office_form!G"&amp;ROW())="","",INDIRECT("office_form!G"&amp;ROW())))</f>
        <v/>
      </c>
      <c r="I56" s="25">
        <f>IF(INDIRECT("office_form!A"&amp;ROW())="","",IF(INDIRECT("office_form!H"&amp;ROW())="","",INDIRECT("office_form!H"&amp;ROW())))</f>
        <v/>
      </c>
      <c r="J56" s="25">
        <f>IF(INDIRECT("office_form!A"&amp;ROW())="","",IF(INDIRECT("office_form!I"&amp;ROW())="","",INDIRECT("office_form!I"&amp;ROW())))</f>
        <v/>
      </c>
      <c r="K56" s="25">
        <f>IF(INDIRECT("office_form!A"&amp;ROW())="","",IF($M56="Y",$D56,IF(INDIRECT("office_form!K"&amp;ROW())="","",INDIRECT("office_form!K"&amp;ROW()))))</f>
        <v/>
      </c>
      <c r="L56" s="25">
        <f>IF(INDIRECT("office_form!A"&amp;ROW())="","",IF($M56="Y",$E56,IF(INDIRECT("office_form!L"&amp;ROW())="","",INDIRECT("office_form!L"&amp;ROW()))))</f>
        <v/>
      </c>
      <c r="M56" s="25">
        <f>IF(INDIRECT("office_form!A"&amp;ROW())="","",IF(IF(INDIRECT("office_form!J"&amp;ROW())="","",INDIRECT("office_form!J"&amp;ROW()))="Yes, me","Y",IF(IF(INDIRECT("office_form!J"&amp;ROW())="","",INDIRECT("office_form!J"&amp;ROW()))="Someone else","N","")))</f>
        <v/>
      </c>
      <c r="N5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6" s="25">
        <f>IF(INDIRECT("office_form!A"&amp;ROW())="","",IF(INDIRECT("office_form!N"&amp;ROW())="","",INDIRECT("office_form!N"&amp;ROW())))</f>
        <v/>
      </c>
      <c r="P56" s="25">
        <f>IF(INDIRECT("office_form!A"&amp;ROW())="","",IF(IF(INDIRECT("office_form!O"&amp;ROW())="","",INDIRECT("office_form!O"&amp;ROW()))="Yes","yes",IF(IF(INDIRECT("office_form!O"&amp;ROW())="","",INDIRECT("office_form!O"&amp;ROW()))="No","no",IF(IF(INDIRECT("office_form!O"&amp;ROW())="","",INDIRECT("office_form!O"&amp;ROW()))="Not sure","unsure",""))))</f>
        <v/>
      </c>
      <c r="Q56" s="25">
        <f>IF(INDIRECT("office_form!A"&amp;ROW())="","",IF(IF(INDIRECT("office_form!P"&amp;ROW())="","",INDIRECT("office_form!P"&amp;ROW()))="Slack","slack",IF(IF(INDIRECT("office_form!P"&amp;ROW())="","",INDIRECT("office_form!P"&amp;ROW()))="Email","email",IF(IF(INDIRECT("office_form!P"&amp;ROW())="","",INDIRECT("office_form!P"&amp;ROW()))="Other","other",""))))</f>
        <v/>
      </c>
      <c r="R5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6" s="25">
        <f>IF(INDIRECT("office_form!A"&amp;ROW())="","",IF(INDIRECT("office_form!R"&amp;ROW())="","",INDIRECT("office_form!R"&amp;ROW())))</f>
        <v/>
      </c>
      <c r="T56" s="25">
        <f>IF(INDIRECT("office_form!A"&amp;ROW())="","",IF(INDIRECT("office_form!S"&amp;ROW())="","",INDIRECT("office_form!S"&amp;ROW())))</f>
        <v/>
      </c>
      <c r="U56" s="25">
        <f>IF(INDIRECT("office_form!A"&amp;ROW())="","","founder")</f>
        <v/>
      </c>
    </row>
    <row r="57">
      <c r="A57" s="25">
        <f>IF(INDIRECT("office_form!A"&amp;ROW())="","",TEXT(INDIRECT("office_form!A"&amp;ROW()),"yyyy-mm-dd""T""hh:mm:ss"))</f>
        <v/>
      </c>
      <c r="B57" s="25">
        <f>IF(INDIRECT("office_form!A"&amp;ROW())="","",config!$B$36)</f>
        <v/>
      </c>
      <c r="C57" s="25">
        <f>IF(INDIRECT("office_form!A"&amp;ROW())="","",IF(INDIRECT("office_form!B"&amp;ROW())="","",INDIRECT("office_form!B"&amp;ROW())))</f>
        <v/>
      </c>
      <c r="D57" s="25">
        <f>IF(INDIRECT("office_form!A"&amp;ROW())="","",IF(INDIRECT("office_form!C"&amp;ROW())="","",INDIRECT("office_form!C"&amp;ROW())))</f>
        <v/>
      </c>
      <c r="E57" s="25">
        <f>IF(INDIRECT("office_form!A"&amp;ROW())="","",IF(INDIRECT("office_form!D"&amp;ROW())="","",INDIRECT("office_form!D"&amp;ROW())))</f>
        <v/>
      </c>
      <c r="F57" s="25">
        <f>IF(INDIRECT("office_form!A"&amp;ROW())="","",IF(INDIRECT("office_form!E"&amp;ROW())="","",INDIRECT("office_form!E"&amp;ROW())))</f>
        <v/>
      </c>
      <c r="G57" s="25">
        <f>IF(INDIRECT("office_form!A"&amp;ROW())="","",IF(INDIRECT("office_form!F"&amp;ROW())="","",INDIRECT("office_form!F"&amp;ROW())))</f>
        <v/>
      </c>
      <c r="H57" s="25">
        <f>IF(INDIRECT("office_form!A"&amp;ROW())="","",IF(INDIRECT("office_form!G"&amp;ROW())="","",INDIRECT("office_form!G"&amp;ROW())))</f>
        <v/>
      </c>
      <c r="I57" s="25">
        <f>IF(INDIRECT("office_form!A"&amp;ROW())="","",IF(INDIRECT("office_form!H"&amp;ROW())="","",INDIRECT("office_form!H"&amp;ROW())))</f>
        <v/>
      </c>
      <c r="J57" s="25">
        <f>IF(INDIRECT("office_form!A"&amp;ROW())="","",IF(INDIRECT("office_form!I"&amp;ROW())="","",INDIRECT("office_form!I"&amp;ROW())))</f>
        <v/>
      </c>
      <c r="K57" s="25">
        <f>IF(INDIRECT("office_form!A"&amp;ROW())="","",IF($M57="Y",$D57,IF(INDIRECT("office_form!K"&amp;ROW())="","",INDIRECT("office_form!K"&amp;ROW()))))</f>
        <v/>
      </c>
      <c r="L57" s="25">
        <f>IF(INDIRECT("office_form!A"&amp;ROW())="","",IF($M57="Y",$E57,IF(INDIRECT("office_form!L"&amp;ROW())="","",INDIRECT("office_form!L"&amp;ROW()))))</f>
        <v/>
      </c>
      <c r="M57" s="25">
        <f>IF(INDIRECT("office_form!A"&amp;ROW())="","",IF(IF(INDIRECT("office_form!J"&amp;ROW())="","",INDIRECT("office_form!J"&amp;ROW()))="Yes, me","Y",IF(IF(INDIRECT("office_form!J"&amp;ROW())="","",INDIRECT("office_form!J"&amp;ROW()))="Someone else","N","")))</f>
        <v/>
      </c>
      <c r="N5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7" s="25">
        <f>IF(INDIRECT("office_form!A"&amp;ROW())="","",IF(INDIRECT("office_form!N"&amp;ROW())="","",INDIRECT("office_form!N"&amp;ROW())))</f>
        <v/>
      </c>
      <c r="P57" s="25">
        <f>IF(INDIRECT("office_form!A"&amp;ROW())="","",IF(IF(INDIRECT("office_form!O"&amp;ROW())="","",INDIRECT("office_form!O"&amp;ROW()))="Yes","yes",IF(IF(INDIRECT("office_form!O"&amp;ROW())="","",INDIRECT("office_form!O"&amp;ROW()))="No","no",IF(IF(INDIRECT("office_form!O"&amp;ROW())="","",INDIRECT("office_form!O"&amp;ROW()))="Not sure","unsure",""))))</f>
        <v/>
      </c>
      <c r="Q57" s="25">
        <f>IF(INDIRECT("office_form!A"&amp;ROW())="","",IF(IF(INDIRECT("office_form!P"&amp;ROW())="","",INDIRECT("office_form!P"&amp;ROW()))="Slack","slack",IF(IF(INDIRECT("office_form!P"&amp;ROW())="","",INDIRECT("office_form!P"&amp;ROW()))="Email","email",IF(IF(INDIRECT("office_form!P"&amp;ROW())="","",INDIRECT("office_form!P"&amp;ROW()))="Other","other",""))))</f>
        <v/>
      </c>
      <c r="R5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7" s="25">
        <f>IF(INDIRECT("office_form!A"&amp;ROW())="","",IF(INDIRECT("office_form!R"&amp;ROW())="","",INDIRECT("office_form!R"&amp;ROW())))</f>
        <v/>
      </c>
      <c r="T57" s="25">
        <f>IF(INDIRECT("office_form!A"&amp;ROW())="","",IF(INDIRECT("office_form!S"&amp;ROW())="","",INDIRECT("office_form!S"&amp;ROW())))</f>
        <v/>
      </c>
      <c r="U57" s="25">
        <f>IF(INDIRECT("office_form!A"&amp;ROW())="","","founder")</f>
        <v/>
      </c>
    </row>
    <row r="58">
      <c r="A58" s="25">
        <f>IF(INDIRECT("office_form!A"&amp;ROW())="","",TEXT(INDIRECT("office_form!A"&amp;ROW()),"yyyy-mm-dd""T""hh:mm:ss"))</f>
        <v/>
      </c>
      <c r="B58" s="25">
        <f>IF(INDIRECT("office_form!A"&amp;ROW())="","",config!$B$36)</f>
        <v/>
      </c>
      <c r="C58" s="25">
        <f>IF(INDIRECT("office_form!A"&amp;ROW())="","",IF(INDIRECT("office_form!B"&amp;ROW())="","",INDIRECT("office_form!B"&amp;ROW())))</f>
        <v/>
      </c>
      <c r="D58" s="25">
        <f>IF(INDIRECT("office_form!A"&amp;ROW())="","",IF(INDIRECT("office_form!C"&amp;ROW())="","",INDIRECT("office_form!C"&amp;ROW())))</f>
        <v/>
      </c>
      <c r="E58" s="25">
        <f>IF(INDIRECT("office_form!A"&amp;ROW())="","",IF(INDIRECT("office_form!D"&amp;ROW())="","",INDIRECT("office_form!D"&amp;ROW())))</f>
        <v/>
      </c>
      <c r="F58" s="25">
        <f>IF(INDIRECT("office_form!A"&amp;ROW())="","",IF(INDIRECT("office_form!E"&amp;ROW())="","",INDIRECT("office_form!E"&amp;ROW())))</f>
        <v/>
      </c>
      <c r="G58" s="25">
        <f>IF(INDIRECT("office_form!A"&amp;ROW())="","",IF(INDIRECT("office_form!F"&amp;ROW())="","",INDIRECT("office_form!F"&amp;ROW())))</f>
        <v/>
      </c>
      <c r="H58" s="25">
        <f>IF(INDIRECT("office_form!A"&amp;ROW())="","",IF(INDIRECT("office_form!G"&amp;ROW())="","",INDIRECT("office_form!G"&amp;ROW())))</f>
        <v/>
      </c>
      <c r="I58" s="25">
        <f>IF(INDIRECT("office_form!A"&amp;ROW())="","",IF(INDIRECT("office_form!H"&amp;ROW())="","",INDIRECT("office_form!H"&amp;ROW())))</f>
        <v/>
      </c>
      <c r="J58" s="25">
        <f>IF(INDIRECT("office_form!A"&amp;ROW())="","",IF(INDIRECT("office_form!I"&amp;ROW())="","",INDIRECT("office_form!I"&amp;ROW())))</f>
        <v/>
      </c>
      <c r="K58" s="25">
        <f>IF(INDIRECT("office_form!A"&amp;ROW())="","",IF($M58="Y",$D58,IF(INDIRECT("office_form!K"&amp;ROW())="","",INDIRECT("office_form!K"&amp;ROW()))))</f>
        <v/>
      </c>
      <c r="L58" s="25">
        <f>IF(INDIRECT("office_form!A"&amp;ROW())="","",IF($M58="Y",$E58,IF(INDIRECT("office_form!L"&amp;ROW())="","",INDIRECT("office_form!L"&amp;ROW()))))</f>
        <v/>
      </c>
      <c r="M58" s="25">
        <f>IF(INDIRECT("office_form!A"&amp;ROW())="","",IF(IF(INDIRECT("office_form!J"&amp;ROW())="","",INDIRECT("office_form!J"&amp;ROW()))="Yes, me","Y",IF(IF(INDIRECT("office_form!J"&amp;ROW())="","",INDIRECT("office_form!J"&amp;ROW()))="Someone else","N","")))</f>
        <v/>
      </c>
      <c r="N5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8" s="25">
        <f>IF(INDIRECT("office_form!A"&amp;ROW())="","",IF(INDIRECT("office_form!N"&amp;ROW())="","",INDIRECT("office_form!N"&amp;ROW())))</f>
        <v/>
      </c>
      <c r="P58" s="25">
        <f>IF(INDIRECT("office_form!A"&amp;ROW())="","",IF(IF(INDIRECT("office_form!O"&amp;ROW())="","",INDIRECT("office_form!O"&amp;ROW()))="Yes","yes",IF(IF(INDIRECT("office_form!O"&amp;ROW())="","",INDIRECT("office_form!O"&amp;ROW()))="No","no",IF(IF(INDIRECT("office_form!O"&amp;ROW())="","",INDIRECT("office_form!O"&amp;ROW()))="Not sure","unsure",""))))</f>
        <v/>
      </c>
      <c r="Q58" s="25">
        <f>IF(INDIRECT("office_form!A"&amp;ROW())="","",IF(IF(INDIRECT("office_form!P"&amp;ROW())="","",INDIRECT("office_form!P"&amp;ROW()))="Slack","slack",IF(IF(INDIRECT("office_form!P"&amp;ROW())="","",INDIRECT("office_form!P"&amp;ROW()))="Email","email",IF(IF(INDIRECT("office_form!P"&amp;ROW())="","",INDIRECT("office_form!P"&amp;ROW()))="Other","other",""))))</f>
        <v/>
      </c>
      <c r="R5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8" s="25">
        <f>IF(INDIRECT("office_form!A"&amp;ROW())="","",IF(INDIRECT("office_form!R"&amp;ROW())="","",INDIRECT("office_form!R"&amp;ROW())))</f>
        <v/>
      </c>
      <c r="T58" s="25">
        <f>IF(INDIRECT("office_form!A"&amp;ROW())="","",IF(INDIRECT("office_form!S"&amp;ROW())="","",INDIRECT("office_form!S"&amp;ROW())))</f>
        <v/>
      </c>
      <c r="U58" s="25">
        <f>IF(INDIRECT("office_form!A"&amp;ROW())="","","founder")</f>
        <v/>
      </c>
    </row>
    <row r="59">
      <c r="A59" s="25">
        <f>IF(INDIRECT("office_form!A"&amp;ROW())="","",TEXT(INDIRECT("office_form!A"&amp;ROW()),"yyyy-mm-dd""T""hh:mm:ss"))</f>
        <v/>
      </c>
      <c r="B59" s="25">
        <f>IF(INDIRECT("office_form!A"&amp;ROW())="","",config!$B$36)</f>
        <v/>
      </c>
      <c r="C59" s="25">
        <f>IF(INDIRECT("office_form!A"&amp;ROW())="","",IF(INDIRECT("office_form!B"&amp;ROW())="","",INDIRECT("office_form!B"&amp;ROW())))</f>
        <v/>
      </c>
      <c r="D59" s="25">
        <f>IF(INDIRECT("office_form!A"&amp;ROW())="","",IF(INDIRECT("office_form!C"&amp;ROW())="","",INDIRECT("office_form!C"&amp;ROW())))</f>
        <v/>
      </c>
      <c r="E59" s="25">
        <f>IF(INDIRECT("office_form!A"&amp;ROW())="","",IF(INDIRECT("office_form!D"&amp;ROW())="","",INDIRECT("office_form!D"&amp;ROW())))</f>
        <v/>
      </c>
      <c r="F59" s="25">
        <f>IF(INDIRECT("office_form!A"&amp;ROW())="","",IF(INDIRECT("office_form!E"&amp;ROW())="","",INDIRECT("office_form!E"&amp;ROW())))</f>
        <v/>
      </c>
      <c r="G59" s="25">
        <f>IF(INDIRECT("office_form!A"&amp;ROW())="","",IF(INDIRECT("office_form!F"&amp;ROW())="","",INDIRECT("office_form!F"&amp;ROW())))</f>
        <v/>
      </c>
      <c r="H59" s="25">
        <f>IF(INDIRECT("office_form!A"&amp;ROW())="","",IF(INDIRECT("office_form!G"&amp;ROW())="","",INDIRECT("office_form!G"&amp;ROW())))</f>
        <v/>
      </c>
      <c r="I59" s="25">
        <f>IF(INDIRECT("office_form!A"&amp;ROW())="","",IF(INDIRECT("office_form!H"&amp;ROW())="","",INDIRECT("office_form!H"&amp;ROW())))</f>
        <v/>
      </c>
      <c r="J59" s="25">
        <f>IF(INDIRECT("office_form!A"&amp;ROW())="","",IF(INDIRECT("office_form!I"&amp;ROW())="","",INDIRECT("office_form!I"&amp;ROW())))</f>
        <v/>
      </c>
      <c r="K59" s="25">
        <f>IF(INDIRECT("office_form!A"&amp;ROW())="","",IF($M59="Y",$D59,IF(INDIRECT("office_form!K"&amp;ROW())="","",INDIRECT("office_form!K"&amp;ROW()))))</f>
        <v/>
      </c>
      <c r="L59" s="25">
        <f>IF(INDIRECT("office_form!A"&amp;ROW())="","",IF($M59="Y",$E59,IF(INDIRECT("office_form!L"&amp;ROW())="","",INDIRECT("office_form!L"&amp;ROW()))))</f>
        <v/>
      </c>
      <c r="M59" s="25">
        <f>IF(INDIRECT("office_form!A"&amp;ROW())="","",IF(IF(INDIRECT("office_form!J"&amp;ROW())="","",INDIRECT("office_form!J"&amp;ROW()))="Yes, me","Y",IF(IF(INDIRECT("office_form!J"&amp;ROW())="","",INDIRECT("office_form!J"&amp;ROW()))="Someone else","N","")))</f>
        <v/>
      </c>
      <c r="N5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9" s="25">
        <f>IF(INDIRECT("office_form!A"&amp;ROW())="","",IF(INDIRECT("office_form!N"&amp;ROW())="","",INDIRECT("office_form!N"&amp;ROW())))</f>
        <v/>
      </c>
      <c r="P59" s="25">
        <f>IF(INDIRECT("office_form!A"&amp;ROW())="","",IF(IF(INDIRECT("office_form!O"&amp;ROW())="","",INDIRECT("office_form!O"&amp;ROW()))="Yes","yes",IF(IF(INDIRECT("office_form!O"&amp;ROW())="","",INDIRECT("office_form!O"&amp;ROW()))="No","no",IF(IF(INDIRECT("office_form!O"&amp;ROW())="","",INDIRECT("office_form!O"&amp;ROW()))="Not sure","unsure",""))))</f>
        <v/>
      </c>
      <c r="Q59" s="25">
        <f>IF(INDIRECT("office_form!A"&amp;ROW())="","",IF(IF(INDIRECT("office_form!P"&amp;ROW())="","",INDIRECT("office_form!P"&amp;ROW()))="Slack","slack",IF(IF(INDIRECT("office_form!P"&amp;ROW())="","",INDIRECT("office_form!P"&amp;ROW()))="Email","email",IF(IF(INDIRECT("office_form!P"&amp;ROW())="","",INDIRECT("office_form!P"&amp;ROW()))="Other","other",""))))</f>
        <v/>
      </c>
      <c r="R5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9" s="25">
        <f>IF(INDIRECT("office_form!A"&amp;ROW())="","",IF(INDIRECT("office_form!R"&amp;ROW())="","",INDIRECT("office_form!R"&amp;ROW())))</f>
        <v/>
      </c>
      <c r="T59" s="25">
        <f>IF(INDIRECT("office_form!A"&amp;ROW())="","",IF(INDIRECT("office_form!S"&amp;ROW())="","",INDIRECT("office_form!S"&amp;ROW())))</f>
        <v/>
      </c>
      <c r="U59" s="25">
        <f>IF(INDIRECT("office_form!A"&amp;ROW())="","","founder")</f>
        <v/>
      </c>
    </row>
    <row r="60">
      <c r="A60" s="25">
        <f>IF(INDIRECT("office_form!A"&amp;ROW())="","",TEXT(INDIRECT("office_form!A"&amp;ROW()),"yyyy-mm-dd""T""hh:mm:ss"))</f>
        <v/>
      </c>
      <c r="B60" s="25">
        <f>IF(INDIRECT("office_form!A"&amp;ROW())="","",config!$B$36)</f>
        <v/>
      </c>
      <c r="C60" s="25">
        <f>IF(INDIRECT("office_form!A"&amp;ROW())="","",IF(INDIRECT("office_form!B"&amp;ROW())="","",INDIRECT("office_form!B"&amp;ROW())))</f>
        <v/>
      </c>
      <c r="D60" s="25">
        <f>IF(INDIRECT("office_form!A"&amp;ROW())="","",IF(INDIRECT("office_form!C"&amp;ROW())="","",INDIRECT("office_form!C"&amp;ROW())))</f>
        <v/>
      </c>
      <c r="E60" s="25">
        <f>IF(INDIRECT("office_form!A"&amp;ROW())="","",IF(INDIRECT("office_form!D"&amp;ROW())="","",INDIRECT("office_form!D"&amp;ROW())))</f>
        <v/>
      </c>
      <c r="F60" s="25">
        <f>IF(INDIRECT("office_form!A"&amp;ROW())="","",IF(INDIRECT("office_form!E"&amp;ROW())="","",INDIRECT("office_form!E"&amp;ROW())))</f>
        <v/>
      </c>
      <c r="G60" s="25">
        <f>IF(INDIRECT("office_form!A"&amp;ROW())="","",IF(INDIRECT("office_form!F"&amp;ROW())="","",INDIRECT("office_form!F"&amp;ROW())))</f>
        <v/>
      </c>
      <c r="H60" s="25">
        <f>IF(INDIRECT("office_form!A"&amp;ROW())="","",IF(INDIRECT("office_form!G"&amp;ROW())="","",INDIRECT("office_form!G"&amp;ROW())))</f>
        <v/>
      </c>
      <c r="I60" s="25">
        <f>IF(INDIRECT("office_form!A"&amp;ROW())="","",IF(INDIRECT("office_form!H"&amp;ROW())="","",INDIRECT("office_form!H"&amp;ROW())))</f>
        <v/>
      </c>
      <c r="J60" s="25">
        <f>IF(INDIRECT("office_form!A"&amp;ROW())="","",IF(INDIRECT("office_form!I"&amp;ROW())="","",INDIRECT("office_form!I"&amp;ROW())))</f>
        <v/>
      </c>
      <c r="K60" s="25">
        <f>IF(INDIRECT("office_form!A"&amp;ROW())="","",IF($M60="Y",$D60,IF(INDIRECT("office_form!K"&amp;ROW())="","",INDIRECT("office_form!K"&amp;ROW()))))</f>
        <v/>
      </c>
      <c r="L60" s="25">
        <f>IF(INDIRECT("office_form!A"&amp;ROW())="","",IF($M60="Y",$E60,IF(INDIRECT("office_form!L"&amp;ROW())="","",INDIRECT("office_form!L"&amp;ROW()))))</f>
        <v/>
      </c>
      <c r="M60" s="25">
        <f>IF(INDIRECT("office_form!A"&amp;ROW())="","",IF(IF(INDIRECT("office_form!J"&amp;ROW())="","",INDIRECT("office_form!J"&amp;ROW()))="Yes, me","Y",IF(IF(INDIRECT("office_form!J"&amp;ROW())="","",INDIRECT("office_form!J"&amp;ROW()))="Someone else","N","")))</f>
        <v/>
      </c>
      <c r="N6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0" s="25">
        <f>IF(INDIRECT("office_form!A"&amp;ROW())="","",IF(INDIRECT("office_form!N"&amp;ROW())="","",INDIRECT("office_form!N"&amp;ROW())))</f>
        <v/>
      </c>
      <c r="P60" s="25">
        <f>IF(INDIRECT("office_form!A"&amp;ROW())="","",IF(IF(INDIRECT("office_form!O"&amp;ROW())="","",INDIRECT("office_form!O"&amp;ROW()))="Yes","yes",IF(IF(INDIRECT("office_form!O"&amp;ROW())="","",INDIRECT("office_form!O"&amp;ROW()))="No","no",IF(IF(INDIRECT("office_form!O"&amp;ROW())="","",INDIRECT("office_form!O"&amp;ROW()))="Not sure","unsure",""))))</f>
        <v/>
      </c>
      <c r="Q60" s="25">
        <f>IF(INDIRECT("office_form!A"&amp;ROW())="","",IF(IF(INDIRECT("office_form!P"&amp;ROW())="","",INDIRECT("office_form!P"&amp;ROW()))="Slack","slack",IF(IF(INDIRECT("office_form!P"&amp;ROW())="","",INDIRECT("office_form!P"&amp;ROW()))="Email","email",IF(IF(INDIRECT("office_form!P"&amp;ROW())="","",INDIRECT("office_form!P"&amp;ROW()))="Other","other",""))))</f>
        <v/>
      </c>
      <c r="R6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0" s="25">
        <f>IF(INDIRECT("office_form!A"&amp;ROW())="","",IF(INDIRECT("office_form!R"&amp;ROW())="","",INDIRECT("office_form!R"&amp;ROW())))</f>
        <v/>
      </c>
      <c r="T60" s="25">
        <f>IF(INDIRECT("office_form!A"&amp;ROW())="","",IF(INDIRECT("office_form!S"&amp;ROW())="","",INDIRECT("office_form!S"&amp;ROW())))</f>
        <v/>
      </c>
      <c r="U60" s="25">
        <f>IF(INDIRECT("office_form!A"&amp;ROW())="","","founder")</f>
        <v/>
      </c>
    </row>
    <row r="61">
      <c r="A61" s="25">
        <f>IF(INDIRECT("office_form!A"&amp;ROW())="","",TEXT(INDIRECT("office_form!A"&amp;ROW()),"yyyy-mm-dd""T""hh:mm:ss"))</f>
        <v/>
      </c>
      <c r="B61" s="25">
        <f>IF(INDIRECT("office_form!A"&amp;ROW())="","",config!$B$36)</f>
        <v/>
      </c>
      <c r="C61" s="25">
        <f>IF(INDIRECT("office_form!A"&amp;ROW())="","",IF(INDIRECT("office_form!B"&amp;ROW())="","",INDIRECT("office_form!B"&amp;ROW())))</f>
        <v/>
      </c>
      <c r="D61" s="25">
        <f>IF(INDIRECT("office_form!A"&amp;ROW())="","",IF(INDIRECT("office_form!C"&amp;ROW())="","",INDIRECT("office_form!C"&amp;ROW())))</f>
        <v/>
      </c>
      <c r="E61" s="25">
        <f>IF(INDIRECT("office_form!A"&amp;ROW())="","",IF(INDIRECT("office_form!D"&amp;ROW())="","",INDIRECT("office_form!D"&amp;ROW())))</f>
        <v/>
      </c>
      <c r="F61" s="25">
        <f>IF(INDIRECT("office_form!A"&amp;ROW())="","",IF(INDIRECT("office_form!E"&amp;ROW())="","",INDIRECT("office_form!E"&amp;ROW())))</f>
        <v/>
      </c>
      <c r="G61" s="25">
        <f>IF(INDIRECT("office_form!A"&amp;ROW())="","",IF(INDIRECT("office_form!F"&amp;ROW())="","",INDIRECT("office_form!F"&amp;ROW())))</f>
        <v/>
      </c>
      <c r="H61" s="25">
        <f>IF(INDIRECT("office_form!A"&amp;ROW())="","",IF(INDIRECT("office_form!G"&amp;ROW())="","",INDIRECT("office_form!G"&amp;ROW())))</f>
        <v/>
      </c>
      <c r="I61" s="25">
        <f>IF(INDIRECT("office_form!A"&amp;ROW())="","",IF(INDIRECT("office_form!H"&amp;ROW())="","",INDIRECT("office_form!H"&amp;ROW())))</f>
        <v/>
      </c>
      <c r="J61" s="25">
        <f>IF(INDIRECT("office_form!A"&amp;ROW())="","",IF(INDIRECT("office_form!I"&amp;ROW())="","",INDIRECT("office_form!I"&amp;ROW())))</f>
        <v/>
      </c>
      <c r="K61" s="25">
        <f>IF(INDIRECT("office_form!A"&amp;ROW())="","",IF($M61="Y",$D61,IF(INDIRECT("office_form!K"&amp;ROW())="","",INDIRECT("office_form!K"&amp;ROW()))))</f>
        <v/>
      </c>
      <c r="L61" s="25">
        <f>IF(INDIRECT("office_form!A"&amp;ROW())="","",IF($M61="Y",$E61,IF(INDIRECT("office_form!L"&amp;ROW())="","",INDIRECT("office_form!L"&amp;ROW()))))</f>
        <v/>
      </c>
      <c r="M61" s="25">
        <f>IF(INDIRECT("office_form!A"&amp;ROW())="","",IF(IF(INDIRECT("office_form!J"&amp;ROW())="","",INDIRECT("office_form!J"&amp;ROW()))="Yes, me","Y",IF(IF(INDIRECT("office_form!J"&amp;ROW())="","",INDIRECT("office_form!J"&amp;ROW()))="Someone else","N","")))</f>
        <v/>
      </c>
      <c r="N6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1" s="25">
        <f>IF(INDIRECT("office_form!A"&amp;ROW())="","",IF(INDIRECT("office_form!N"&amp;ROW())="","",INDIRECT("office_form!N"&amp;ROW())))</f>
        <v/>
      </c>
      <c r="P61" s="25">
        <f>IF(INDIRECT("office_form!A"&amp;ROW())="","",IF(IF(INDIRECT("office_form!O"&amp;ROW())="","",INDIRECT("office_form!O"&amp;ROW()))="Yes","yes",IF(IF(INDIRECT("office_form!O"&amp;ROW())="","",INDIRECT("office_form!O"&amp;ROW()))="No","no",IF(IF(INDIRECT("office_form!O"&amp;ROW())="","",INDIRECT("office_form!O"&amp;ROW()))="Not sure","unsure",""))))</f>
        <v/>
      </c>
      <c r="Q61" s="25">
        <f>IF(INDIRECT("office_form!A"&amp;ROW())="","",IF(IF(INDIRECT("office_form!P"&amp;ROW())="","",INDIRECT("office_form!P"&amp;ROW()))="Slack","slack",IF(IF(INDIRECT("office_form!P"&amp;ROW())="","",INDIRECT("office_form!P"&amp;ROW()))="Email","email",IF(IF(INDIRECT("office_form!P"&amp;ROW())="","",INDIRECT("office_form!P"&amp;ROW()))="Other","other",""))))</f>
        <v/>
      </c>
      <c r="R6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1" s="25">
        <f>IF(INDIRECT("office_form!A"&amp;ROW())="","",IF(INDIRECT("office_form!R"&amp;ROW())="","",INDIRECT("office_form!R"&amp;ROW())))</f>
        <v/>
      </c>
      <c r="T61" s="25">
        <f>IF(INDIRECT("office_form!A"&amp;ROW())="","",IF(INDIRECT("office_form!S"&amp;ROW())="","",INDIRECT("office_form!S"&amp;ROW())))</f>
        <v/>
      </c>
      <c r="U61" s="25">
        <f>IF(INDIRECT("office_form!A"&amp;ROW())="","","founder")</f>
        <v/>
      </c>
    </row>
    <row r="62">
      <c r="A62" s="25">
        <f>IF(INDIRECT("office_form!A"&amp;ROW())="","",TEXT(INDIRECT("office_form!A"&amp;ROW()),"yyyy-mm-dd""T""hh:mm:ss"))</f>
        <v/>
      </c>
      <c r="B62" s="25">
        <f>IF(INDIRECT("office_form!A"&amp;ROW())="","",config!$B$36)</f>
        <v/>
      </c>
      <c r="C62" s="25">
        <f>IF(INDIRECT("office_form!A"&amp;ROW())="","",IF(INDIRECT("office_form!B"&amp;ROW())="","",INDIRECT("office_form!B"&amp;ROW())))</f>
        <v/>
      </c>
      <c r="D62" s="25">
        <f>IF(INDIRECT("office_form!A"&amp;ROW())="","",IF(INDIRECT("office_form!C"&amp;ROW())="","",INDIRECT("office_form!C"&amp;ROW())))</f>
        <v/>
      </c>
      <c r="E62" s="25">
        <f>IF(INDIRECT("office_form!A"&amp;ROW())="","",IF(INDIRECT("office_form!D"&amp;ROW())="","",INDIRECT("office_form!D"&amp;ROW())))</f>
        <v/>
      </c>
      <c r="F62" s="25">
        <f>IF(INDIRECT("office_form!A"&amp;ROW())="","",IF(INDIRECT("office_form!E"&amp;ROW())="","",INDIRECT("office_form!E"&amp;ROW())))</f>
        <v/>
      </c>
      <c r="G62" s="25">
        <f>IF(INDIRECT("office_form!A"&amp;ROW())="","",IF(INDIRECT("office_form!F"&amp;ROW())="","",INDIRECT("office_form!F"&amp;ROW())))</f>
        <v/>
      </c>
      <c r="H62" s="25">
        <f>IF(INDIRECT("office_form!A"&amp;ROW())="","",IF(INDIRECT("office_form!G"&amp;ROW())="","",INDIRECT("office_form!G"&amp;ROW())))</f>
        <v/>
      </c>
      <c r="I62" s="25">
        <f>IF(INDIRECT("office_form!A"&amp;ROW())="","",IF(INDIRECT("office_form!H"&amp;ROW())="","",INDIRECT("office_form!H"&amp;ROW())))</f>
        <v/>
      </c>
      <c r="J62" s="25">
        <f>IF(INDIRECT("office_form!A"&amp;ROW())="","",IF(INDIRECT("office_form!I"&amp;ROW())="","",INDIRECT("office_form!I"&amp;ROW())))</f>
        <v/>
      </c>
      <c r="K62" s="25">
        <f>IF(INDIRECT("office_form!A"&amp;ROW())="","",IF($M62="Y",$D62,IF(INDIRECT("office_form!K"&amp;ROW())="","",INDIRECT("office_form!K"&amp;ROW()))))</f>
        <v/>
      </c>
      <c r="L62" s="25">
        <f>IF(INDIRECT("office_form!A"&amp;ROW())="","",IF($M62="Y",$E62,IF(INDIRECT("office_form!L"&amp;ROW())="","",INDIRECT("office_form!L"&amp;ROW()))))</f>
        <v/>
      </c>
      <c r="M62" s="25">
        <f>IF(INDIRECT("office_form!A"&amp;ROW())="","",IF(IF(INDIRECT("office_form!J"&amp;ROW())="","",INDIRECT("office_form!J"&amp;ROW()))="Yes, me","Y",IF(IF(INDIRECT("office_form!J"&amp;ROW())="","",INDIRECT("office_form!J"&amp;ROW()))="Someone else","N","")))</f>
        <v/>
      </c>
      <c r="N6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2" s="25">
        <f>IF(INDIRECT("office_form!A"&amp;ROW())="","",IF(INDIRECT("office_form!N"&amp;ROW())="","",INDIRECT("office_form!N"&amp;ROW())))</f>
        <v/>
      </c>
      <c r="P62" s="25">
        <f>IF(INDIRECT("office_form!A"&amp;ROW())="","",IF(IF(INDIRECT("office_form!O"&amp;ROW())="","",INDIRECT("office_form!O"&amp;ROW()))="Yes","yes",IF(IF(INDIRECT("office_form!O"&amp;ROW())="","",INDIRECT("office_form!O"&amp;ROW()))="No","no",IF(IF(INDIRECT("office_form!O"&amp;ROW())="","",INDIRECT("office_form!O"&amp;ROW()))="Not sure","unsure",""))))</f>
        <v/>
      </c>
      <c r="Q62" s="25">
        <f>IF(INDIRECT("office_form!A"&amp;ROW())="","",IF(IF(INDIRECT("office_form!P"&amp;ROW())="","",INDIRECT("office_form!P"&amp;ROW()))="Slack","slack",IF(IF(INDIRECT("office_form!P"&amp;ROW())="","",INDIRECT("office_form!P"&amp;ROW()))="Email","email",IF(IF(INDIRECT("office_form!P"&amp;ROW())="","",INDIRECT("office_form!P"&amp;ROW()))="Other","other",""))))</f>
        <v/>
      </c>
      <c r="R6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2" s="25">
        <f>IF(INDIRECT("office_form!A"&amp;ROW())="","",IF(INDIRECT("office_form!R"&amp;ROW())="","",INDIRECT("office_form!R"&amp;ROW())))</f>
        <v/>
      </c>
      <c r="T62" s="25">
        <f>IF(INDIRECT("office_form!A"&amp;ROW())="","",IF(INDIRECT("office_form!S"&amp;ROW())="","",INDIRECT("office_form!S"&amp;ROW())))</f>
        <v/>
      </c>
      <c r="U62" s="25">
        <f>IF(INDIRECT("office_form!A"&amp;ROW())="","","founder")</f>
        <v/>
      </c>
    </row>
    <row r="63">
      <c r="A63" s="25">
        <f>IF(INDIRECT("office_form!A"&amp;ROW())="","",TEXT(INDIRECT("office_form!A"&amp;ROW()),"yyyy-mm-dd""T""hh:mm:ss"))</f>
        <v/>
      </c>
      <c r="B63" s="25">
        <f>IF(INDIRECT("office_form!A"&amp;ROW())="","",config!$B$36)</f>
        <v/>
      </c>
      <c r="C63" s="25">
        <f>IF(INDIRECT("office_form!A"&amp;ROW())="","",IF(INDIRECT("office_form!B"&amp;ROW())="","",INDIRECT("office_form!B"&amp;ROW())))</f>
        <v/>
      </c>
      <c r="D63" s="25">
        <f>IF(INDIRECT("office_form!A"&amp;ROW())="","",IF(INDIRECT("office_form!C"&amp;ROW())="","",INDIRECT("office_form!C"&amp;ROW())))</f>
        <v/>
      </c>
      <c r="E63" s="25">
        <f>IF(INDIRECT("office_form!A"&amp;ROW())="","",IF(INDIRECT("office_form!D"&amp;ROW())="","",INDIRECT("office_form!D"&amp;ROW())))</f>
        <v/>
      </c>
      <c r="F63" s="25">
        <f>IF(INDIRECT("office_form!A"&amp;ROW())="","",IF(INDIRECT("office_form!E"&amp;ROW())="","",INDIRECT("office_form!E"&amp;ROW())))</f>
        <v/>
      </c>
      <c r="G63" s="25">
        <f>IF(INDIRECT("office_form!A"&amp;ROW())="","",IF(INDIRECT("office_form!F"&amp;ROW())="","",INDIRECT("office_form!F"&amp;ROW())))</f>
        <v/>
      </c>
      <c r="H63" s="25">
        <f>IF(INDIRECT("office_form!A"&amp;ROW())="","",IF(INDIRECT("office_form!G"&amp;ROW())="","",INDIRECT("office_form!G"&amp;ROW())))</f>
        <v/>
      </c>
      <c r="I63" s="25">
        <f>IF(INDIRECT("office_form!A"&amp;ROW())="","",IF(INDIRECT("office_form!H"&amp;ROW())="","",INDIRECT("office_form!H"&amp;ROW())))</f>
        <v/>
      </c>
      <c r="J63" s="25">
        <f>IF(INDIRECT("office_form!A"&amp;ROW())="","",IF(INDIRECT("office_form!I"&amp;ROW())="","",INDIRECT("office_form!I"&amp;ROW())))</f>
        <v/>
      </c>
      <c r="K63" s="25">
        <f>IF(INDIRECT("office_form!A"&amp;ROW())="","",IF($M63="Y",$D63,IF(INDIRECT("office_form!K"&amp;ROW())="","",INDIRECT("office_form!K"&amp;ROW()))))</f>
        <v/>
      </c>
      <c r="L63" s="25">
        <f>IF(INDIRECT("office_form!A"&amp;ROW())="","",IF($M63="Y",$E63,IF(INDIRECT("office_form!L"&amp;ROW())="","",INDIRECT("office_form!L"&amp;ROW()))))</f>
        <v/>
      </c>
      <c r="M63" s="25">
        <f>IF(INDIRECT("office_form!A"&amp;ROW())="","",IF(IF(INDIRECT("office_form!J"&amp;ROW())="","",INDIRECT("office_form!J"&amp;ROW()))="Yes, me","Y",IF(IF(INDIRECT("office_form!J"&amp;ROW())="","",INDIRECT("office_form!J"&amp;ROW()))="Someone else","N","")))</f>
        <v/>
      </c>
      <c r="N6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3" s="25">
        <f>IF(INDIRECT("office_form!A"&amp;ROW())="","",IF(INDIRECT("office_form!N"&amp;ROW())="","",INDIRECT("office_form!N"&amp;ROW())))</f>
        <v/>
      </c>
      <c r="P63" s="25">
        <f>IF(INDIRECT("office_form!A"&amp;ROW())="","",IF(IF(INDIRECT("office_form!O"&amp;ROW())="","",INDIRECT("office_form!O"&amp;ROW()))="Yes","yes",IF(IF(INDIRECT("office_form!O"&amp;ROW())="","",INDIRECT("office_form!O"&amp;ROW()))="No","no",IF(IF(INDIRECT("office_form!O"&amp;ROW())="","",INDIRECT("office_form!O"&amp;ROW()))="Not sure","unsure",""))))</f>
        <v/>
      </c>
      <c r="Q63" s="25">
        <f>IF(INDIRECT("office_form!A"&amp;ROW())="","",IF(IF(INDIRECT("office_form!P"&amp;ROW())="","",INDIRECT("office_form!P"&amp;ROW()))="Slack","slack",IF(IF(INDIRECT("office_form!P"&amp;ROW())="","",INDIRECT("office_form!P"&amp;ROW()))="Email","email",IF(IF(INDIRECT("office_form!P"&amp;ROW())="","",INDIRECT("office_form!P"&amp;ROW()))="Other","other",""))))</f>
        <v/>
      </c>
      <c r="R6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3" s="25">
        <f>IF(INDIRECT("office_form!A"&amp;ROW())="","",IF(INDIRECT("office_form!R"&amp;ROW())="","",INDIRECT("office_form!R"&amp;ROW())))</f>
        <v/>
      </c>
      <c r="T63" s="25">
        <f>IF(INDIRECT("office_form!A"&amp;ROW())="","",IF(INDIRECT("office_form!S"&amp;ROW())="","",INDIRECT("office_form!S"&amp;ROW())))</f>
        <v/>
      </c>
      <c r="U63" s="25">
        <f>IF(INDIRECT("office_form!A"&amp;ROW())="","","founder")</f>
        <v/>
      </c>
    </row>
    <row r="64">
      <c r="A64" s="25">
        <f>IF(INDIRECT("office_form!A"&amp;ROW())="","",TEXT(INDIRECT("office_form!A"&amp;ROW()),"yyyy-mm-dd""T""hh:mm:ss"))</f>
        <v/>
      </c>
      <c r="B64" s="25">
        <f>IF(INDIRECT("office_form!A"&amp;ROW())="","",config!$B$36)</f>
        <v/>
      </c>
      <c r="C64" s="25">
        <f>IF(INDIRECT("office_form!A"&amp;ROW())="","",IF(INDIRECT("office_form!B"&amp;ROW())="","",INDIRECT("office_form!B"&amp;ROW())))</f>
        <v/>
      </c>
      <c r="D64" s="25">
        <f>IF(INDIRECT("office_form!A"&amp;ROW())="","",IF(INDIRECT("office_form!C"&amp;ROW())="","",INDIRECT("office_form!C"&amp;ROW())))</f>
        <v/>
      </c>
      <c r="E64" s="25">
        <f>IF(INDIRECT("office_form!A"&amp;ROW())="","",IF(INDIRECT("office_form!D"&amp;ROW())="","",INDIRECT("office_form!D"&amp;ROW())))</f>
        <v/>
      </c>
      <c r="F64" s="25">
        <f>IF(INDIRECT("office_form!A"&amp;ROW())="","",IF(INDIRECT("office_form!E"&amp;ROW())="","",INDIRECT("office_form!E"&amp;ROW())))</f>
        <v/>
      </c>
      <c r="G64" s="25">
        <f>IF(INDIRECT("office_form!A"&amp;ROW())="","",IF(INDIRECT("office_form!F"&amp;ROW())="","",INDIRECT("office_form!F"&amp;ROW())))</f>
        <v/>
      </c>
      <c r="H64" s="25">
        <f>IF(INDIRECT("office_form!A"&amp;ROW())="","",IF(INDIRECT("office_form!G"&amp;ROW())="","",INDIRECT("office_form!G"&amp;ROW())))</f>
        <v/>
      </c>
      <c r="I64" s="25">
        <f>IF(INDIRECT("office_form!A"&amp;ROW())="","",IF(INDIRECT("office_form!H"&amp;ROW())="","",INDIRECT("office_form!H"&amp;ROW())))</f>
        <v/>
      </c>
      <c r="J64" s="25">
        <f>IF(INDIRECT("office_form!A"&amp;ROW())="","",IF(INDIRECT("office_form!I"&amp;ROW())="","",INDIRECT("office_form!I"&amp;ROW())))</f>
        <v/>
      </c>
      <c r="K64" s="25">
        <f>IF(INDIRECT("office_form!A"&amp;ROW())="","",IF($M64="Y",$D64,IF(INDIRECT("office_form!K"&amp;ROW())="","",INDIRECT("office_form!K"&amp;ROW()))))</f>
        <v/>
      </c>
      <c r="L64" s="25">
        <f>IF(INDIRECT("office_form!A"&amp;ROW())="","",IF($M64="Y",$E64,IF(INDIRECT("office_form!L"&amp;ROW())="","",INDIRECT("office_form!L"&amp;ROW()))))</f>
        <v/>
      </c>
      <c r="M64" s="25">
        <f>IF(INDIRECT("office_form!A"&amp;ROW())="","",IF(IF(INDIRECT("office_form!J"&amp;ROW())="","",INDIRECT("office_form!J"&amp;ROW()))="Yes, me","Y",IF(IF(INDIRECT("office_form!J"&amp;ROW())="","",INDIRECT("office_form!J"&amp;ROW()))="Someone else","N","")))</f>
        <v/>
      </c>
      <c r="N6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4" s="25">
        <f>IF(INDIRECT("office_form!A"&amp;ROW())="","",IF(INDIRECT("office_form!N"&amp;ROW())="","",INDIRECT("office_form!N"&amp;ROW())))</f>
        <v/>
      </c>
      <c r="P64" s="25">
        <f>IF(INDIRECT("office_form!A"&amp;ROW())="","",IF(IF(INDIRECT("office_form!O"&amp;ROW())="","",INDIRECT("office_form!O"&amp;ROW()))="Yes","yes",IF(IF(INDIRECT("office_form!O"&amp;ROW())="","",INDIRECT("office_form!O"&amp;ROW()))="No","no",IF(IF(INDIRECT("office_form!O"&amp;ROW())="","",INDIRECT("office_form!O"&amp;ROW()))="Not sure","unsure",""))))</f>
        <v/>
      </c>
      <c r="Q64" s="25">
        <f>IF(INDIRECT("office_form!A"&amp;ROW())="","",IF(IF(INDIRECT("office_form!P"&amp;ROW())="","",INDIRECT("office_form!P"&amp;ROW()))="Slack","slack",IF(IF(INDIRECT("office_form!P"&amp;ROW())="","",INDIRECT("office_form!P"&amp;ROW()))="Email","email",IF(IF(INDIRECT("office_form!P"&amp;ROW())="","",INDIRECT("office_form!P"&amp;ROW()))="Other","other",""))))</f>
        <v/>
      </c>
      <c r="R6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4" s="25">
        <f>IF(INDIRECT("office_form!A"&amp;ROW())="","",IF(INDIRECT("office_form!R"&amp;ROW())="","",INDIRECT("office_form!R"&amp;ROW())))</f>
        <v/>
      </c>
      <c r="T64" s="25">
        <f>IF(INDIRECT("office_form!A"&amp;ROW())="","",IF(INDIRECT("office_form!S"&amp;ROW())="","",INDIRECT("office_form!S"&amp;ROW())))</f>
        <v/>
      </c>
      <c r="U64" s="25">
        <f>IF(INDIRECT("office_form!A"&amp;ROW())="","","founder")</f>
        <v/>
      </c>
    </row>
    <row r="65">
      <c r="A65" s="25">
        <f>IF(INDIRECT("office_form!A"&amp;ROW())="","",TEXT(INDIRECT("office_form!A"&amp;ROW()),"yyyy-mm-dd""T""hh:mm:ss"))</f>
        <v/>
      </c>
      <c r="B65" s="25">
        <f>IF(INDIRECT("office_form!A"&amp;ROW())="","",config!$B$36)</f>
        <v/>
      </c>
      <c r="C65" s="25">
        <f>IF(INDIRECT("office_form!A"&amp;ROW())="","",IF(INDIRECT("office_form!B"&amp;ROW())="","",INDIRECT("office_form!B"&amp;ROW())))</f>
        <v/>
      </c>
      <c r="D65" s="25">
        <f>IF(INDIRECT("office_form!A"&amp;ROW())="","",IF(INDIRECT("office_form!C"&amp;ROW())="","",INDIRECT("office_form!C"&amp;ROW())))</f>
        <v/>
      </c>
      <c r="E65" s="25">
        <f>IF(INDIRECT("office_form!A"&amp;ROW())="","",IF(INDIRECT("office_form!D"&amp;ROW())="","",INDIRECT("office_form!D"&amp;ROW())))</f>
        <v/>
      </c>
      <c r="F65" s="25">
        <f>IF(INDIRECT("office_form!A"&amp;ROW())="","",IF(INDIRECT("office_form!E"&amp;ROW())="","",INDIRECT("office_form!E"&amp;ROW())))</f>
        <v/>
      </c>
      <c r="G65" s="25">
        <f>IF(INDIRECT("office_form!A"&amp;ROW())="","",IF(INDIRECT("office_form!F"&amp;ROW())="","",INDIRECT("office_form!F"&amp;ROW())))</f>
        <v/>
      </c>
      <c r="H65" s="25">
        <f>IF(INDIRECT("office_form!A"&amp;ROW())="","",IF(INDIRECT("office_form!G"&amp;ROW())="","",INDIRECT("office_form!G"&amp;ROW())))</f>
        <v/>
      </c>
      <c r="I65" s="25">
        <f>IF(INDIRECT("office_form!A"&amp;ROW())="","",IF(INDIRECT("office_form!H"&amp;ROW())="","",INDIRECT("office_form!H"&amp;ROW())))</f>
        <v/>
      </c>
      <c r="J65" s="25">
        <f>IF(INDIRECT("office_form!A"&amp;ROW())="","",IF(INDIRECT("office_form!I"&amp;ROW())="","",INDIRECT("office_form!I"&amp;ROW())))</f>
        <v/>
      </c>
      <c r="K65" s="25">
        <f>IF(INDIRECT("office_form!A"&amp;ROW())="","",IF($M65="Y",$D65,IF(INDIRECT("office_form!K"&amp;ROW())="","",INDIRECT("office_form!K"&amp;ROW()))))</f>
        <v/>
      </c>
      <c r="L65" s="25">
        <f>IF(INDIRECT("office_form!A"&amp;ROW())="","",IF($M65="Y",$E65,IF(INDIRECT("office_form!L"&amp;ROW())="","",INDIRECT("office_form!L"&amp;ROW()))))</f>
        <v/>
      </c>
      <c r="M65" s="25">
        <f>IF(INDIRECT("office_form!A"&amp;ROW())="","",IF(IF(INDIRECT("office_form!J"&amp;ROW())="","",INDIRECT("office_form!J"&amp;ROW()))="Yes, me","Y",IF(IF(INDIRECT("office_form!J"&amp;ROW())="","",INDIRECT("office_form!J"&amp;ROW()))="Someone else","N","")))</f>
        <v/>
      </c>
      <c r="N6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5" s="25">
        <f>IF(INDIRECT("office_form!A"&amp;ROW())="","",IF(INDIRECT("office_form!N"&amp;ROW())="","",INDIRECT("office_form!N"&amp;ROW())))</f>
        <v/>
      </c>
      <c r="P65" s="25">
        <f>IF(INDIRECT("office_form!A"&amp;ROW())="","",IF(IF(INDIRECT("office_form!O"&amp;ROW())="","",INDIRECT("office_form!O"&amp;ROW()))="Yes","yes",IF(IF(INDIRECT("office_form!O"&amp;ROW())="","",INDIRECT("office_form!O"&amp;ROW()))="No","no",IF(IF(INDIRECT("office_form!O"&amp;ROW())="","",INDIRECT("office_form!O"&amp;ROW()))="Not sure","unsure",""))))</f>
        <v/>
      </c>
      <c r="Q65" s="25">
        <f>IF(INDIRECT("office_form!A"&amp;ROW())="","",IF(IF(INDIRECT("office_form!P"&amp;ROW())="","",INDIRECT("office_form!P"&amp;ROW()))="Slack","slack",IF(IF(INDIRECT("office_form!P"&amp;ROW())="","",INDIRECT("office_form!P"&amp;ROW()))="Email","email",IF(IF(INDIRECT("office_form!P"&amp;ROW())="","",INDIRECT("office_form!P"&amp;ROW()))="Other","other",""))))</f>
        <v/>
      </c>
      <c r="R6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5" s="25">
        <f>IF(INDIRECT("office_form!A"&amp;ROW())="","",IF(INDIRECT("office_form!R"&amp;ROW())="","",INDIRECT("office_form!R"&amp;ROW())))</f>
        <v/>
      </c>
      <c r="T65" s="25">
        <f>IF(INDIRECT("office_form!A"&amp;ROW())="","",IF(INDIRECT("office_form!S"&amp;ROW())="","",INDIRECT("office_form!S"&amp;ROW())))</f>
        <v/>
      </c>
      <c r="U65" s="25">
        <f>IF(INDIRECT("office_form!A"&amp;ROW())="","","founder")</f>
        <v/>
      </c>
    </row>
    <row r="66">
      <c r="A66" s="25">
        <f>IF(INDIRECT("office_form!A"&amp;ROW())="","",TEXT(INDIRECT("office_form!A"&amp;ROW()),"yyyy-mm-dd""T""hh:mm:ss"))</f>
        <v/>
      </c>
      <c r="B66" s="25">
        <f>IF(INDIRECT("office_form!A"&amp;ROW())="","",config!$B$36)</f>
        <v/>
      </c>
      <c r="C66" s="25">
        <f>IF(INDIRECT("office_form!A"&amp;ROW())="","",IF(INDIRECT("office_form!B"&amp;ROW())="","",INDIRECT("office_form!B"&amp;ROW())))</f>
        <v/>
      </c>
      <c r="D66" s="25">
        <f>IF(INDIRECT("office_form!A"&amp;ROW())="","",IF(INDIRECT("office_form!C"&amp;ROW())="","",INDIRECT("office_form!C"&amp;ROW())))</f>
        <v/>
      </c>
      <c r="E66" s="25">
        <f>IF(INDIRECT("office_form!A"&amp;ROW())="","",IF(INDIRECT("office_form!D"&amp;ROW())="","",INDIRECT("office_form!D"&amp;ROW())))</f>
        <v/>
      </c>
      <c r="F66" s="25">
        <f>IF(INDIRECT("office_form!A"&amp;ROW())="","",IF(INDIRECT("office_form!E"&amp;ROW())="","",INDIRECT("office_form!E"&amp;ROW())))</f>
        <v/>
      </c>
      <c r="G66" s="25">
        <f>IF(INDIRECT("office_form!A"&amp;ROW())="","",IF(INDIRECT("office_form!F"&amp;ROW())="","",INDIRECT("office_form!F"&amp;ROW())))</f>
        <v/>
      </c>
      <c r="H66" s="25">
        <f>IF(INDIRECT("office_form!A"&amp;ROW())="","",IF(INDIRECT("office_form!G"&amp;ROW())="","",INDIRECT("office_form!G"&amp;ROW())))</f>
        <v/>
      </c>
      <c r="I66" s="25">
        <f>IF(INDIRECT("office_form!A"&amp;ROW())="","",IF(INDIRECT("office_form!H"&amp;ROW())="","",INDIRECT("office_form!H"&amp;ROW())))</f>
        <v/>
      </c>
      <c r="J66" s="25">
        <f>IF(INDIRECT("office_form!A"&amp;ROW())="","",IF(INDIRECT("office_form!I"&amp;ROW())="","",INDIRECT("office_form!I"&amp;ROW())))</f>
        <v/>
      </c>
      <c r="K66" s="25">
        <f>IF(INDIRECT("office_form!A"&amp;ROW())="","",IF($M66="Y",$D66,IF(INDIRECT("office_form!K"&amp;ROW())="","",INDIRECT("office_form!K"&amp;ROW()))))</f>
        <v/>
      </c>
      <c r="L66" s="25">
        <f>IF(INDIRECT("office_form!A"&amp;ROW())="","",IF($M66="Y",$E66,IF(INDIRECT("office_form!L"&amp;ROW())="","",INDIRECT("office_form!L"&amp;ROW()))))</f>
        <v/>
      </c>
      <c r="M66" s="25">
        <f>IF(INDIRECT("office_form!A"&amp;ROW())="","",IF(IF(INDIRECT("office_form!J"&amp;ROW())="","",INDIRECT("office_form!J"&amp;ROW()))="Yes, me","Y",IF(IF(INDIRECT("office_form!J"&amp;ROW())="","",INDIRECT("office_form!J"&amp;ROW()))="Someone else","N","")))</f>
        <v/>
      </c>
      <c r="N6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6" s="25">
        <f>IF(INDIRECT("office_form!A"&amp;ROW())="","",IF(INDIRECT("office_form!N"&amp;ROW())="","",INDIRECT("office_form!N"&amp;ROW())))</f>
        <v/>
      </c>
      <c r="P66" s="25">
        <f>IF(INDIRECT("office_form!A"&amp;ROW())="","",IF(IF(INDIRECT("office_form!O"&amp;ROW())="","",INDIRECT("office_form!O"&amp;ROW()))="Yes","yes",IF(IF(INDIRECT("office_form!O"&amp;ROW())="","",INDIRECT("office_form!O"&amp;ROW()))="No","no",IF(IF(INDIRECT("office_form!O"&amp;ROW())="","",INDIRECT("office_form!O"&amp;ROW()))="Not sure","unsure",""))))</f>
        <v/>
      </c>
      <c r="Q66" s="25">
        <f>IF(INDIRECT("office_form!A"&amp;ROW())="","",IF(IF(INDIRECT("office_form!P"&amp;ROW())="","",INDIRECT("office_form!P"&amp;ROW()))="Slack","slack",IF(IF(INDIRECT("office_form!P"&amp;ROW())="","",INDIRECT("office_form!P"&amp;ROW()))="Email","email",IF(IF(INDIRECT("office_form!P"&amp;ROW())="","",INDIRECT("office_form!P"&amp;ROW()))="Other","other",""))))</f>
        <v/>
      </c>
      <c r="R6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6" s="25">
        <f>IF(INDIRECT("office_form!A"&amp;ROW())="","",IF(INDIRECT("office_form!R"&amp;ROW())="","",INDIRECT("office_form!R"&amp;ROW())))</f>
        <v/>
      </c>
      <c r="T66" s="25">
        <f>IF(INDIRECT("office_form!A"&amp;ROW())="","",IF(INDIRECT("office_form!S"&amp;ROW())="","",INDIRECT("office_form!S"&amp;ROW())))</f>
        <v/>
      </c>
      <c r="U66" s="25">
        <f>IF(INDIRECT("office_form!A"&amp;ROW())="","","founder")</f>
        <v/>
      </c>
    </row>
    <row r="67">
      <c r="A67" s="25">
        <f>IF(INDIRECT("office_form!A"&amp;ROW())="","",TEXT(INDIRECT("office_form!A"&amp;ROW()),"yyyy-mm-dd""T""hh:mm:ss"))</f>
        <v/>
      </c>
      <c r="B67" s="25">
        <f>IF(INDIRECT("office_form!A"&amp;ROW())="","",config!$B$36)</f>
        <v/>
      </c>
      <c r="C67" s="25">
        <f>IF(INDIRECT("office_form!A"&amp;ROW())="","",IF(INDIRECT("office_form!B"&amp;ROW())="","",INDIRECT("office_form!B"&amp;ROW())))</f>
        <v/>
      </c>
      <c r="D67" s="25">
        <f>IF(INDIRECT("office_form!A"&amp;ROW())="","",IF(INDIRECT("office_form!C"&amp;ROW())="","",INDIRECT("office_form!C"&amp;ROW())))</f>
        <v/>
      </c>
      <c r="E67" s="25">
        <f>IF(INDIRECT("office_form!A"&amp;ROW())="","",IF(INDIRECT("office_form!D"&amp;ROW())="","",INDIRECT("office_form!D"&amp;ROW())))</f>
        <v/>
      </c>
      <c r="F67" s="25">
        <f>IF(INDIRECT("office_form!A"&amp;ROW())="","",IF(INDIRECT("office_form!E"&amp;ROW())="","",INDIRECT("office_form!E"&amp;ROW())))</f>
        <v/>
      </c>
      <c r="G67" s="25">
        <f>IF(INDIRECT("office_form!A"&amp;ROW())="","",IF(INDIRECT("office_form!F"&amp;ROW())="","",INDIRECT("office_form!F"&amp;ROW())))</f>
        <v/>
      </c>
      <c r="H67" s="25">
        <f>IF(INDIRECT("office_form!A"&amp;ROW())="","",IF(INDIRECT("office_form!G"&amp;ROW())="","",INDIRECT("office_form!G"&amp;ROW())))</f>
        <v/>
      </c>
      <c r="I67" s="25">
        <f>IF(INDIRECT("office_form!A"&amp;ROW())="","",IF(INDIRECT("office_form!H"&amp;ROW())="","",INDIRECT("office_form!H"&amp;ROW())))</f>
        <v/>
      </c>
      <c r="J67" s="25">
        <f>IF(INDIRECT("office_form!A"&amp;ROW())="","",IF(INDIRECT("office_form!I"&amp;ROW())="","",INDIRECT("office_form!I"&amp;ROW())))</f>
        <v/>
      </c>
      <c r="K67" s="25">
        <f>IF(INDIRECT("office_form!A"&amp;ROW())="","",IF($M67="Y",$D67,IF(INDIRECT("office_form!K"&amp;ROW())="","",INDIRECT("office_form!K"&amp;ROW()))))</f>
        <v/>
      </c>
      <c r="L67" s="25">
        <f>IF(INDIRECT("office_form!A"&amp;ROW())="","",IF($M67="Y",$E67,IF(INDIRECT("office_form!L"&amp;ROW())="","",INDIRECT("office_form!L"&amp;ROW()))))</f>
        <v/>
      </c>
      <c r="M67" s="25">
        <f>IF(INDIRECT("office_form!A"&amp;ROW())="","",IF(IF(INDIRECT("office_form!J"&amp;ROW())="","",INDIRECT("office_form!J"&amp;ROW()))="Yes, me","Y",IF(IF(INDIRECT("office_form!J"&amp;ROW())="","",INDIRECT("office_form!J"&amp;ROW()))="Someone else","N","")))</f>
        <v/>
      </c>
      <c r="N6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7" s="25">
        <f>IF(INDIRECT("office_form!A"&amp;ROW())="","",IF(INDIRECT("office_form!N"&amp;ROW())="","",INDIRECT("office_form!N"&amp;ROW())))</f>
        <v/>
      </c>
      <c r="P67" s="25">
        <f>IF(INDIRECT("office_form!A"&amp;ROW())="","",IF(IF(INDIRECT("office_form!O"&amp;ROW())="","",INDIRECT("office_form!O"&amp;ROW()))="Yes","yes",IF(IF(INDIRECT("office_form!O"&amp;ROW())="","",INDIRECT("office_form!O"&amp;ROW()))="No","no",IF(IF(INDIRECT("office_form!O"&amp;ROW())="","",INDIRECT("office_form!O"&amp;ROW()))="Not sure","unsure",""))))</f>
        <v/>
      </c>
      <c r="Q67" s="25">
        <f>IF(INDIRECT("office_form!A"&amp;ROW())="","",IF(IF(INDIRECT("office_form!P"&amp;ROW())="","",INDIRECT("office_form!P"&amp;ROW()))="Slack","slack",IF(IF(INDIRECT("office_form!P"&amp;ROW())="","",INDIRECT("office_form!P"&amp;ROW()))="Email","email",IF(IF(INDIRECT("office_form!P"&amp;ROW())="","",INDIRECT("office_form!P"&amp;ROW()))="Other","other",""))))</f>
        <v/>
      </c>
      <c r="R6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7" s="25">
        <f>IF(INDIRECT("office_form!A"&amp;ROW())="","",IF(INDIRECT("office_form!R"&amp;ROW())="","",INDIRECT("office_form!R"&amp;ROW())))</f>
        <v/>
      </c>
      <c r="T67" s="25">
        <f>IF(INDIRECT("office_form!A"&amp;ROW())="","",IF(INDIRECT("office_form!S"&amp;ROW())="","",INDIRECT("office_form!S"&amp;ROW())))</f>
        <v/>
      </c>
      <c r="U67" s="25">
        <f>IF(INDIRECT("office_form!A"&amp;ROW())="","","founder")</f>
        <v/>
      </c>
    </row>
    <row r="68">
      <c r="A68" s="25">
        <f>IF(INDIRECT("office_form!A"&amp;ROW())="","",TEXT(INDIRECT("office_form!A"&amp;ROW()),"yyyy-mm-dd""T""hh:mm:ss"))</f>
        <v/>
      </c>
      <c r="B68" s="25">
        <f>IF(INDIRECT("office_form!A"&amp;ROW())="","",config!$B$36)</f>
        <v/>
      </c>
      <c r="C68" s="25">
        <f>IF(INDIRECT("office_form!A"&amp;ROW())="","",IF(INDIRECT("office_form!B"&amp;ROW())="","",INDIRECT("office_form!B"&amp;ROW())))</f>
        <v/>
      </c>
      <c r="D68" s="25">
        <f>IF(INDIRECT("office_form!A"&amp;ROW())="","",IF(INDIRECT("office_form!C"&amp;ROW())="","",INDIRECT("office_form!C"&amp;ROW())))</f>
        <v/>
      </c>
      <c r="E68" s="25">
        <f>IF(INDIRECT("office_form!A"&amp;ROW())="","",IF(INDIRECT("office_form!D"&amp;ROW())="","",INDIRECT("office_form!D"&amp;ROW())))</f>
        <v/>
      </c>
      <c r="F68" s="25">
        <f>IF(INDIRECT("office_form!A"&amp;ROW())="","",IF(INDIRECT("office_form!E"&amp;ROW())="","",INDIRECT("office_form!E"&amp;ROW())))</f>
        <v/>
      </c>
      <c r="G68" s="25">
        <f>IF(INDIRECT("office_form!A"&amp;ROW())="","",IF(INDIRECT("office_form!F"&amp;ROW())="","",INDIRECT("office_form!F"&amp;ROW())))</f>
        <v/>
      </c>
      <c r="H68" s="25">
        <f>IF(INDIRECT("office_form!A"&amp;ROW())="","",IF(INDIRECT("office_form!G"&amp;ROW())="","",INDIRECT("office_form!G"&amp;ROW())))</f>
        <v/>
      </c>
      <c r="I68" s="25">
        <f>IF(INDIRECT("office_form!A"&amp;ROW())="","",IF(INDIRECT("office_form!H"&amp;ROW())="","",INDIRECT("office_form!H"&amp;ROW())))</f>
        <v/>
      </c>
      <c r="J68" s="25">
        <f>IF(INDIRECT("office_form!A"&amp;ROW())="","",IF(INDIRECT("office_form!I"&amp;ROW())="","",INDIRECT("office_form!I"&amp;ROW())))</f>
        <v/>
      </c>
      <c r="K68" s="25">
        <f>IF(INDIRECT("office_form!A"&amp;ROW())="","",IF($M68="Y",$D68,IF(INDIRECT("office_form!K"&amp;ROW())="","",INDIRECT("office_form!K"&amp;ROW()))))</f>
        <v/>
      </c>
      <c r="L68" s="25">
        <f>IF(INDIRECT("office_form!A"&amp;ROW())="","",IF($M68="Y",$E68,IF(INDIRECT("office_form!L"&amp;ROW())="","",INDIRECT("office_form!L"&amp;ROW()))))</f>
        <v/>
      </c>
      <c r="M68" s="25">
        <f>IF(INDIRECT("office_form!A"&amp;ROW())="","",IF(IF(INDIRECT("office_form!J"&amp;ROW())="","",INDIRECT("office_form!J"&amp;ROW()))="Yes, me","Y",IF(IF(INDIRECT("office_form!J"&amp;ROW())="","",INDIRECT("office_form!J"&amp;ROW()))="Someone else","N","")))</f>
        <v/>
      </c>
      <c r="N6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8" s="25">
        <f>IF(INDIRECT("office_form!A"&amp;ROW())="","",IF(INDIRECT("office_form!N"&amp;ROW())="","",INDIRECT("office_form!N"&amp;ROW())))</f>
        <v/>
      </c>
      <c r="P68" s="25">
        <f>IF(INDIRECT("office_form!A"&amp;ROW())="","",IF(IF(INDIRECT("office_form!O"&amp;ROW())="","",INDIRECT("office_form!O"&amp;ROW()))="Yes","yes",IF(IF(INDIRECT("office_form!O"&amp;ROW())="","",INDIRECT("office_form!O"&amp;ROW()))="No","no",IF(IF(INDIRECT("office_form!O"&amp;ROW())="","",INDIRECT("office_form!O"&amp;ROW()))="Not sure","unsure",""))))</f>
        <v/>
      </c>
      <c r="Q68" s="25">
        <f>IF(INDIRECT("office_form!A"&amp;ROW())="","",IF(IF(INDIRECT("office_form!P"&amp;ROW())="","",INDIRECT("office_form!P"&amp;ROW()))="Slack","slack",IF(IF(INDIRECT("office_form!P"&amp;ROW())="","",INDIRECT("office_form!P"&amp;ROW()))="Email","email",IF(IF(INDIRECT("office_form!P"&amp;ROW())="","",INDIRECT("office_form!P"&amp;ROW()))="Other","other",""))))</f>
        <v/>
      </c>
      <c r="R6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8" s="25">
        <f>IF(INDIRECT("office_form!A"&amp;ROW())="","",IF(INDIRECT("office_form!R"&amp;ROW())="","",INDIRECT("office_form!R"&amp;ROW())))</f>
        <v/>
      </c>
      <c r="T68" s="25">
        <f>IF(INDIRECT("office_form!A"&amp;ROW())="","",IF(INDIRECT("office_form!S"&amp;ROW())="","",INDIRECT("office_form!S"&amp;ROW())))</f>
        <v/>
      </c>
      <c r="U68" s="25">
        <f>IF(INDIRECT("office_form!A"&amp;ROW())="","","founder")</f>
        <v/>
      </c>
    </row>
    <row r="69">
      <c r="A69" s="25">
        <f>IF(INDIRECT("office_form!A"&amp;ROW())="","",TEXT(INDIRECT("office_form!A"&amp;ROW()),"yyyy-mm-dd""T""hh:mm:ss"))</f>
        <v/>
      </c>
      <c r="B69" s="25">
        <f>IF(INDIRECT("office_form!A"&amp;ROW())="","",config!$B$36)</f>
        <v/>
      </c>
      <c r="C69" s="25">
        <f>IF(INDIRECT("office_form!A"&amp;ROW())="","",IF(INDIRECT("office_form!B"&amp;ROW())="","",INDIRECT("office_form!B"&amp;ROW())))</f>
        <v/>
      </c>
      <c r="D69" s="25">
        <f>IF(INDIRECT("office_form!A"&amp;ROW())="","",IF(INDIRECT("office_form!C"&amp;ROW())="","",INDIRECT("office_form!C"&amp;ROW())))</f>
        <v/>
      </c>
      <c r="E69" s="25">
        <f>IF(INDIRECT("office_form!A"&amp;ROW())="","",IF(INDIRECT("office_form!D"&amp;ROW())="","",INDIRECT("office_form!D"&amp;ROW())))</f>
        <v/>
      </c>
      <c r="F69" s="25">
        <f>IF(INDIRECT("office_form!A"&amp;ROW())="","",IF(INDIRECT("office_form!E"&amp;ROW())="","",INDIRECT("office_form!E"&amp;ROW())))</f>
        <v/>
      </c>
      <c r="G69" s="25">
        <f>IF(INDIRECT("office_form!A"&amp;ROW())="","",IF(INDIRECT("office_form!F"&amp;ROW())="","",INDIRECT("office_form!F"&amp;ROW())))</f>
        <v/>
      </c>
      <c r="H69" s="25">
        <f>IF(INDIRECT("office_form!A"&amp;ROW())="","",IF(INDIRECT("office_form!G"&amp;ROW())="","",INDIRECT("office_form!G"&amp;ROW())))</f>
        <v/>
      </c>
      <c r="I69" s="25">
        <f>IF(INDIRECT("office_form!A"&amp;ROW())="","",IF(INDIRECT("office_form!H"&amp;ROW())="","",INDIRECT("office_form!H"&amp;ROW())))</f>
        <v/>
      </c>
      <c r="J69" s="25">
        <f>IF(INDIRECT("office_form!A"&amp;ROW())="","",IF(INDIRECT("office_form!I"&amp;ROW())="","",INDIRECT("office_form!I"&amp;ROW())))</f>
        <v/>
      </c>
      <c r="K69" s="25">
        <f>IF(INDIRECT("office_form!A"&amp;ROW())="","",IF($M69="Y",$D69,IF(INDIRECT("office_form!K"&amp;ROW())="","",INDIRECT("office_form!K"&amp;ROW()))))</f>
        <v/>
      </c>
      <c r="L69" s="25">
        <f>IF(INDIRECT("office_form!A"&amp;ROW())="","",IF($M69="Y",$E69,IF(INDIRECT("office_form!L"&amp;ROW())="","",INDIRECT("office_form!L"&amp;ROW()))))</f>
        <v/>
      </c>
      <c r="M69" s="25">
        <f>IF(INDIRECT("office_form!A"&amp;ROW())="","",IF(IF(INDIRECT("office_form!J"&amp;ROW())="","",INDIRECT("office_form!J"&amp;ROW()))="Yes, me","Y",IF(IF(INDIRECT("office_form!J"&amp;ROW())="","",INDIRECT("office_form!J"&amp;ROW()))="Someone else","N","")))</f>
        <v/>
      </c>
      <c r="N6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9" s="25">
        <f>IF(INDIRECT("office_form!A"&amp;ROW())="","",IF(INDIRECT("office_form!N"&amp;ROW())="","",INDIRECT("office_form!N"&amp;ROW())))</f>
        <v/>
      </c>
      <c r="P69" s="25">
        <f>IF(INDIRECT("office_form!A"&amp;ROW())="","",IF(IF(INDIRECT("office_form!O"&amp;ROW())="","",INDIRECT("office_form!O"&amp;ROW()))="Yes","yes",IF(IF(INDIRECT("office_form!O"&amp;ROW())="","",INDIRECT("office_form!O"&amp;ROW()))="No","no",IF(IF(INDIRECT("office_form!O"&amp;ROW())="","",INDIRECT("office_form!O"&amp;ROW()))="Not sure","unsure",""))))</f>
        <v/>
      </c>
      <c r="Q69" s="25">
        <f>IF(INDIRECT("office_form!A"&amp;ROW())="","",IF(IF(INDIRECT("office_form!P"&amp;ROW())="","",INDIRECT("office_form!P"&amp;ROW()))="Slack","slack",IF(IF(INDIRECT("office_form!P"&amp;ROW())="","",INDIRECT("office_form!P"&amp;ROW()))="Email","email",IF(IF(INDIRECT("office_form!P"&amp;ROW())="","",INDIRECT("office_form!P"&amp;ROW()))="Other","other",""))))</f>
        <v/>
      </c>
      <c r="R6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9" s="25">
        <f>IF(INDIRECT("office_form!A"&amp;ROW())="","",IF(INDIRECT("office_form!R"&amp;ROW())="","",INDIRECT("office_form!R"&amp;ROW())))</f>
        <v/>
      </c>
      <c r="T69" s="25">
        <f>IF(INDIRECT("office_form!A"&amp;ROW())="","",IF(INDIRECT("office_form!S"&amp;ROW())="","",INDIRECT("office_form!S"&amp;ROW())))</f>
        <v/>
      </c>
      <c r="U69" s="25">
        <f>IF(INDIRECT("office_form!A"&amp;ROW())="","","founder")</f>
        <v/>
      </c>
    </row>
    <row r="70">
      <c r="A70" s="25">
        <f>IF(INDIRECT("office_form!A"&amp;ROW())="","",TEXT(INDIRECT("office_form!A"&amp;ROW()),"yyyy-mm-dd""T""hh:mm:ss"))</f>
        <v/>
      </c>
      <c r="B70" s="25">
        <f>IF(INDIRECT("office_form!A"&amp;ROW())="","",config!$B$36)</f>
        <v/>
      </c>
      <c r="C70" s="25">
        <f>IF(INDIRECT("office_form!A"&amp;ROW())="","",IF(INDIRECT("office_form!B"&amp;ROW())="","",INDIRECT("office_form!B"&amp;ROW())))</f>
        <v/>
      </c>
      <c r="D70" s="25">
        <f>IF(INDIRECT("office_form!A"&amp;ROW())="","",IF(INDIRECT("office_form!C"&amp;ROW())="","",INDIRECT("office_form!C"&amp;ROW())))</f>
        <v/>
      </c>
      <c r="E70" s="25">
        <f>IF(INDIRECT("office_form!A"&amp;ROW())="","",IF(INDIRECT("office_form!D"&amp;ROW())="","",INDIRECT("office_form!D"&amp;ROW())))</f>
        <v/>
      </c>
      <c r="F70" s="25">
        <f>IF(INDIRECT("office_form!A"&amp;ROW())="","",IF(INDIRECT("office_form!E"&amp;ROW())="","",INDIRECT("office_form!E"&amp;ROW())))</f>
        <v/>
      </c>
      <c r="G70" s="25">
        <f>IF(INDIRECT("office_form!A"&amp;ROW())="","",IF(INDIRECT("office_form!F"&amp;ROW())="","",INDIRECT("office_form!F"&amp;ROW())))</f>
        <v/>
      </c>
      <c r="H70" s="25">
        <f>IF(INDIRECT("office_form!A"&amp;ROW())="","",IF(INDIRECT("office_form!G"&amp;ROW())="","",INDIRECT("office_form!G"&amp;ROW())))</f>
        <v/>
      </c>
      <c r="I70" s="25">
        <f>IF(INDIRECT("office_form!A"&amp;ROW())="","",IF(INDIRECT("office_form!H"&amp;ROW())="","",INDIRECT("office_form!H"&amp;ROW())))</f>
        <v/>
      </c>
      <c r="J70" s="25">
        <f>IF(INDIRECT("office_form!A"&amp;ROW())="","",IF(INDIRECT("office_form!I"&amp;ROW())="","",INDIRECT("office_form!I"&amp;ROW())))</f>
        <v/>
      </c>
      <c r="K70" s="25">
        <f>IF(INDIRECT("office_form!A"&amp;ROW())="","",IF($M70="Y",$D70,IF(INDIRECT("office_form!K"&amp;ROW())="","",INDIRECT("office_form!K"&amp;ROW()))))</f>
        <v/>
      </c>
      <c r="L70" s="25">
        <f>IF(INDIRECT("office_form!A"&amp;ROW())="","",IF($M70="Y",$E70,IF(INDIRECT("office_form!L"&amp;ROW())="","",INDIRECT("office_form!L"&amp;ROW()))))</f>
        <v/>
      </c>
      <c r="M70" s="25">
        <f>IF(INDIRECT("office_form!A"&amp;ROW())="","",IF(IF(INDIRECT("office_form!J"&amp;ROW())="","",INDIRECT("office_form!J"&amp;ROW()))="Yes, me","Y",IF(IF(INDIRECT("office_form!J"&amp;ROW())="","",INDIRECT("office_form!J"&amp;ROW()))="Someone else","N","")))</f>
        <v/>
      </c>
      <c r="N7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0" s="25">
        <f>IF(INDIRECT("office_form!A"&amp;ROW())="","",IF(INDIRECT("office_form!N"&amp;ROW())="","",INDIRECT("office_form!N"&amp;ROW())))</f>
        <v/>
      </c>
      <c r="P70" s="25">
        <f>IF(INDIRECT("office_form!A"&amp;ROW())="","",IF(IF(INDIRECT("office_form!O"&amp;ROW())="","",INDIRECT("office_form!O"&amp;ROW()))="Yes","yes",IF(IF(INDIRECT("office_form!O"&amp;ROW())="","",INDIRECT("office_form!O"&amp;ROW()))="No","no",IF(IF(INDIRECT("office_form!O"&amp;ROW())="","",INDIRECT("office_form!O"&amp;ROW()))="Not sure","unsure",""))))</f>
        <v/>
      </c>
      <c r="Q70" s="25">
        <f>IF(INDIRECT("office_form!A"&amp;ROW())="","",IF(IF(INDIRECT("office_form!P"&amp;ROW())="","",INDIRECT("office_form!P"&amp;ROW()))="Slack","slack",IF(IF(INDIRECT("office_form!P"&amp;ROW())="","",INDIRECT("office_form!P"&amp;ROW()))="Email","email",IF(IF(INDIRECT("office_form!P"&amp;ROW())="","",INDIRECT("office_form!P"&amp;ROW()))="Other","other",""))))</f>
        <v/>
      </c>
      <c r="R7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0" s="25">
        <f>IF(INDIRECT("office_form!A"&amp;ROW())="","",IF(INDIRECT("office_form!R"&amp;ROW())="","",INDIRECT("office_form!R"&amp;ROW())))</f>
        <v/>
      </c>
      <c r="T70" s="25">
        <f>IF(INDIRECT("office_form!A"&amp;ROW())="","",IF(INDIRECT("office_form!S"&amp;ROW())="","",INDIRECT("office_form!S"&amp;ROW())))</f>
        <v/>
      </c>
      <c r="U70" s="25">
        <f>IF(INDIRECT("office_form!A"&amp;ROW())="","","founder")</f>
        <v/>
      </c>
    </row>
    <row r="71">
      <c r="A71" s="25">
        <f>IF(INDIRECT("office_form!A"&amp;ROW())="","",TEXT(INDIRECT("office_form!A"&amp;ROW()),"yyyy-mm-dd""T""hh:mm:ss"))</f>
        <v/>
      </c>
      <c r="B71" s="25">
        <f>IF(INDIRECT("office_form!A"&amp;ROW())="","",config!$B$36)</f>
        <v/>
      </c>
      <c r="C71" s="25">
        <f>IF(INDIRECT("office_form!A"&amp;ROW())="","",IF(INDIRECT("office_form!B"&amp;ROW())="","",INDIRECT("office_form!B"&amp;ROW())))</f>
        <v/>
      </c>
      <c r="D71" s="25">
        <f>IF(INDIRECT("office_form!A"&amp;ROW())="","",IF(INDIRECT("office_form!C"&amp;ROW())="","",INDIRECT("office_form!C"&amp;ROW())))</f>
        <v/>
      </c>
      <c r="E71" s="25">
        <f>IF(INDIRECT("office_form!A"&amp;ROW())="","",IF(INDIRECT("office_form!D"&amp;ROW())="","",INDIRECT("office_form!D"&amp;ROW())))</f>
        <v/>
      </c>
      <c r="F71" s="25">
        <f>IF(INDIRECT("office_form!A"&amp;ROW())="","",IF(INDIRECT("office_form!E"&amp;ROW())="","",INDIRECT("office_form!E"&amp;ROW())))</f>
        <v/>
      </c>
      <c r="G71" s="25">
        <f>IF(INDIRECT("office_form!A"&amp;ROW())="","",IF(INDIRECT("office_form!F"&amp;ROW())="","",INDIRECT("office_form!F"&amp;ROW())))</f>
        <v/>
      </c>
      <c r="H71" s="25">
        <f>IF(INDIRECT("office_form!A"&amp;ROW())="","",IF(INDIRECT("office_form!G"&amp;ROW())="","",INDIRECT("office_form!G"&amp;ROW())))</f>
        <v/>
      </c>
      <c r="I71" s="25">
        <f>IF(INDIRECT("office_form!A"&amp;ROW())="","",IF(INDIRECT("office_form!H"&amp;ROW())="","",INDIRECT("office_form!H"&amp;ROW())))</f>
        <v/>
      </c>
      <c r="J71" s="25">
        <f>IF(INDIRECT("office_form!A"&amp;ROW())="","",IF(INDIRECT("office_form!I"&amp;ROW())="","",INDIRECT("office_form!I"&amp;ROW())))</f>
        <v/>
      </c>
      <c r="K71" s="25">
        <f>IF(INDIRECT("office_form!A"&amp;ROW())="","",IF($M71="Y",$D71,IF(INDIRECT("office_form!K"&amp;ROW())="","",INDIRECT("office_form!K"&amp;ROW()))))</f>
        <v/>
      </c>
      <c r="L71" s="25">
        <f>IF(INDIRECT("office_form!A"&amp;ROW())="","",IF($M71="Y",$E71,IF(INDIRECT("office_form!L"&amp;ROW())="","",INDIRECT("office_form!L"&amp;ROW()))))</f>
        <v/>
      </c>
      <c r="M71" s="25">
        <f>IF(INDIRECT("office_form!A"&amp;ROW())="","",IF(IF(INDIRECT("office_form!J"&amp;ROW())="","",INDIRECT("office_form!J"&amp;ROW()))="Yes, me","Y",IF(IF(INDIRECT("office_form!J"&amp;ROW())="","",INDIRECT("office_form!J"&amp;ROW()))="Someone else","N","")))</f>
        <v/>
      </c>
      <c r="N7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1" s="25">
        <f>IF(INDIRECT("office_form!A"&amp;ROW())="","",IF(INDIRECT("office_form!N"&amp;ROW())="","",INDIRECT("office_form!N"&amp;ROW())))</f>
        <v/>
      </c>
      <c r="P71" s="25">
        <f>IF(INDIRECT("office_form!A"&amp;ROW())="","",IF(IF(INDIRECT("office_form!O"&amp;ROW())="","",INDIRECT("office_form!O"&amp;ROW()))="Yes","yes",IF(IF(INDIRECT("office_form!O"&amp;ROW())="","",INDIRECT("office_form!O"&amp;ROW()))="No","no",IF(IF(INDIRECT("office_form!O"&amp;ROW())="","",INDIRECT("office_form!O"&amp;ROW()))="Not sure","unsure",""))))</f>
        <v/>
      </c>
      <c r="Q71" s="25">
        <f>IF(INDIRECT("office_form!A"&amp;ROW())="","",IF(IF(INDIRECT("office_form!P"&amp;ROW())="","",INDIRECT("office_form!P"&amp;ROW()))="Slack","slack",IF(IF(INDIRECT("office_form!P"&amp;ROW())="","",INDIRECT("office_form!P"&amp;ROW()))="Email","email",IF(IF(INDIRECT("office_form!P"&amp;ROW())="","",INDIRECT("office_form!P"&amp;ROW()))="Other","other",""))))</f>
        <v/>
      </c>
      <c r="R7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1" s="25">
        <f>IF(INDIRECT("office_form!A"&amp;ROW())="","",IF(INDIRECT("office_form!R"&amp;ROW())="","",INDIRECT("office_form!R"&amp;ROW())))</f>
        <v/>
      </c>
      <c r="T71" s="25">
        <f>IF(INDIRECT("office_form!A"&amp;ROW())="","",IF(INDIRECT("office_form!S"&amp;ROW())="","",INDIRECT("office_form!S"&amp;ROW())))</f>
        <v/>
      </c>
      <c r="U71" s="25">
        <f>IF(INDIRECT("office_form!A"&amp;ROW())="","","founder")</f>
        <v/>
      </c>
    </row>
    <row r="72">
      <c r="A72" s="25">
        <f>IF(INDIRECT("office_form!A"&amp;ROW())="","",TEXT(INDIRECT("office_form!A"&amp;ROW()),"yyyy-mm-dd""T""hh:mm:ss"))</f>
        <v/>
      </c>
      <c r="B72" s="25">
        <f>IF(INDIRECT("office_form!A"&amp;ROW())="","",config!$B$36)</f>
        <v/>
      </c>
      <c r="C72" s="25">
        <f>IF(INDIRECT("office_form!A"&amp;ROW())="","",IF(INDIRECT("office_form!B"&amp;ROW())="","",INDIRECT("office_form!B"&amp;ROW())))</f>
        <v/>
      </c>
      <c r="D72" s="25">
        <f>IF(INDIRECT("office_form!A"&amp;ROW())="","",IF(INDIRECT("office_form!C"&amp;ROW())="","",INDIRECT("office_form!C"&amp;ROW())))</f>
        <v/>
      </c>
      <c r="E72" s="25">
        <f>IF(INDIRECT("office_form!A"&amp;ROW())="","",IF(INDIRECT("office_form!D"&amp;ROW())="","",INDIRECT("office_form!D"&amp;ROW())))</f>
        <v/>
      </c>
      <c r="F72" s="25">
        <f>IF(INDIRECT("office_form!A"&amp;ROW())="","",IF(INDIRECT("office_form!E"&amp;ROW())="","",INDIRECT("office_form!E"&amp;ROW())))</f>
        <v/>
      </c>
      <c r="G72" s="25">
        <f>IF(INDIRECT("office_form!A"&amp;ROW())="","",IF(INDIRECT("office_form!F"&amp;ROW())="","",INDIRECT("office_form!F"&amp;ROW())))</f>
        <v/>
      </c>
      <c r="H72" s="25">
        <f>IF(INDIRECT("office_form!A"&amp;ROW())="","",IF(INDIRECT("office_form!G"&amp;ROW())="","",INDIRECT("office_form!G"&amp;ROW())))</f>
        <v/>
      </c>
      <c r="I72" s="25">
        <f>IF(INDIRECT("office_form!A"&amp;ROW())="","",IF(INDIRECT("office_form!H"&amp;ROW())="","",INDIRECT("office_form!H"&amp;ROW())))</f>
        <v/>
      </c>
      <c r="J72" s="25">
        <f>IF(INDIRECT("office_form!A"&amp;ROW())="","",IF(INDIRECT("office_form!I"&amp;ROW())="","",INDIRECT("office_form!I"&amp;ROW())))</f>
        <v/>
      </c>
      <c r="K72" s="25">
        <f>IF(INDIRECT("office_form!A"&amp;ROW())="","",IF($M72="Y",$D72,IF(INDIRECT("office_form!K"&amp;ROW())="","",INDIRECT("office_form!K"&amp;ROW()))))</f>
        <v/>
      </c>
      <c r="L72" s="25">
        <f>IF(INDIRECT("office_form!A"&amp;ROW())="","",IF($M72="Y",$E72,IF(INDIRECT("office_form!L"&amp;ROW())="","",INDIRECT("office_form!L"&amp;ROW()))))</f>
        <v/>
      </c>
      <c r="M72" s="25">
        <f>IF(INDIRECT("office_form!A"&amp;ROW())="","",IF(IF(INDIRECT("office_form!J"&amp;ROW())="","",INDIRECT("office_form!J"&amp;ROW()))="Yes, me","Y",IF(IF(INDIRECT("office_form!J"&amp;ROW())="","",INDIRECT("office_form!J"&amp;ROW()))="Someone else","N","")))</f>
        <v/>
      </c>
      <c r="N7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2" s="25">
        <f>IF(INDIRECT("office_form!A"&amp;ROW())="","",IF(INDIRECT("office_form!N"&amp;ROW())="","",INDIRECT("office_form!N"&amp;ROW())))</f>
        <v/>
      </c>
      <c r="P72" s="25">
        <f>IF(INDIRECT("office_form!A"&amp;ROW())="","",IF(IF(INDIRECT("office_form!O"&amp;ROW())="","",INDIRECT("office_form!O"&amp;ROW()))="Yes","yes",IF(IF(INDIRECT("office_form!O"&amp;ROW())="","",INDIRECT("office_form!O"&amp;ROW()))="No","no",IF(IF(INDIRECT("office_form!O"&amp;ROW())="","",INDIRECT("office_form!O"&amp;ROW()))="Not sure","unsure",""))))</f>
        <v/>
      </c>
      <c r="Q72" s="25">
        <f>IF(INDIRECT("office_form!A"&amp;ROW())="","",IF(IF(INDIRECT("office_form!P"&amp;ROW())="","",INDIRECT("office_form!P"&amp;ROW()))="Slack","slack",IF(IF(INDIRECT("office_form!P"&amp;ROW())="","",INDIRECT("office_form!P"&amp;ROW()))="Email","email",IF(IF(INDIRECT("office_form!P"&amp;ROW())="","",INDIRECT("office_form!P"&amp;ROW()))="Other","other",""))))</f>
        <v/>
      </c>
      <c r="R7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2" s="25">
        <f>IF(INDIRECT("office_form!A"&amp;ROW())="","",IF(INDIRECT("office_form!R"&amp;ROW())="","",INDIRECT("office_form!R"&amp;ROW())))</f>
        <v/>
      </c>
      <c r="T72" s="25">
        <f>IF(INDIRECT("office_form!A"&amp;ROW())="","",IF(INDIRECT("office_form!S"&amp;ROW())="","",INDIRECT("office_form!S"&amp;ROW())))</f>
        <v/>
      </c>
      <c r="U72" s="25">
        <f>IF(INDIRECT("office_form!A"&amp;ROW())="","","founder")</f>
        <v/>
      </c>
    </row>
    <row r="73">
      <c r="A73" s="25">
        <f>IF(INDIRECT("office_form!A"&amp;ROW())="","",TEXT(INDIRECT("office_form!A"&amp;ROW()),"yyyy-mm-dd""T""hh:mm:ss"))</f>
        <v/>
      </c>
      <c r="B73" s="25">
        <f>IF(INDIRECT("office_form!A"&amp;ROW())="","",config!$B$36)</f>
        <v/>
      </c>
      <c r="C73" s="25">
        <f>IF(INDIRECT("office_form!A"&amp;ROW())="","",IF(INDIRECT("office_form!B"&amp;ROW())="","",INDIRECT("office_form!B"&amp;ROW())))</f>
        <v/>
      </c>
      <c r="D73" s="25">
        <f>IF(INDIRECT("office_form!A"&amp;ROW())="","",IF(INDIRECT("office_form!C"&amp;ROW())="","",INDIRECT("office_form!C"&amp;ROW())))</f>
        <v/>
      </c>
      <c r="E73" s="25">
        <f>IF(INDIRECT("office_form!A"&amp;ROW())="","",IF(INDIRECT("office_form!D"&amp;ROW())="","",INDIRECT("office_form!D"&amp;ROW())))</f>
        <v/>
      </c>
      <c r="F73" s="25">
        <f>IF(INDIRECT("office_form!A"&amp;ROW())="","",IF(INDIRECT("office_form!E"&amp;ROW())="","",INDIRECT("office_form!E"&amp;ROW())))</f>
        <v/>
      </c>
      <c r="G73" s="25">
        <f>IF(INDIRECT("office_form!A"&amp;ROW())="","",IF(INDIRECT("office_form!F"&amp;ROW())="","",INDIRECT("office_form!F"&amp;ROW())))</f>
        <v/>
      </c>
      <c r="H73" s="25">
        <f>IF(INDIRECT("office_form!A"&amp;ROW())="","",IF(INDIRECT("office_form!G"&amp;ROW())="","",INDIRECT("office_form!G"&amp;ROW())))</f>
        <v/>
      </c>
      <c r="I73" s="25">
        <f>IF(INDIRECT("office_form!A"&amp;ROW())="","",IF(INDIRECT("office_form!H"&amp;ROW())="","",INDIRECT("office_form!H"&amp;ROW())))</f>
        <v/>
      </c>
      <c r="J73" s="25">
        <f>IF(INDIRECT("office_form!A"&amp;ROW())="","",IF(INDIRECT("office_form!I"&amp;ROW())="","",INDIRECT("office_form!I"&amp;ROW())))</f>
        <v/>
      </c>
      <c r="K73" s="25">
        <f>IF(INDIRECT("office_form!A"&amp;ROW())="","",IF($M73="Y",$D73,IF(INDIRECT("office_form!K"&amp;ROW())="","",INDIRECT("office_form!K"&amp;ROW()))))</f>
        <v/>
      </c>
      <c r="L73" s="25">
        <f>IF(INDIRECT("office_form!A"&amp;ROW())="","",IF($M73="Y",$E73,IF(INDIRECT("office_form!L"&amp;ROW())="","",INDIRECT("office_form!L"&amp;ROW()))))</f>
        <v/>
      </c>
      <c r="M73" s="25">
        <f>IF(INDIRECT("office_form!A"&amp;ROW())="","",IF(IF(INDIRECT("office_form!J"&amp;ROW())="","",INDIRECT("office_form!J"&amp;ROW()))="Yes, me","Y",IF(IF(INDIRECT("office_form!J"&amp;ROW())="","",INDIRECT("office_form!J"&amp;ROW()))="Someone else","N","")))</f>
        <v/>
      </c>
      <c r="N7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3" s="25">
        <f>IF(INDIRECT("office_form!A"&amp;ROW())="","",IF(INDIRECT("office_form!N"&amp;ROW())="","",INDIRECT("office_form!N"&amp;ROW())))</f>
        <v/>
      </c>
      <c r="P73" s="25">
        <f>IF(INDIRECT("office_form!A"&amp;ROW())="","",IF(IF(INDIRECT("office_form!O"&amp;ROW())="","",INDIRECT("office_form!O"&amp;ROW()))="Yes","yes",IF(IF(INDIRECT("office_form!O"&amp;ROW())="","",INDIRECT("office_form!O"&amp;ROW()))="No","no",IF(IF(INDIRECT("office_form!O"&amp;ROW())="","",INDIRECT("office_form!O"&amp;ROW()))="Not sure","unsure",""))))</f>
        <v/>
      </c>
      <c r="Q73" s="25">
        <f>IF(INDIRECT("office_form!A"&amp;ROW())="","",IF(IF(INDIRECT("office_form!P"&amp;ROW())="","",INDIRECT("office_form!P"&amp;ROW()))="Slack","slack",IF(IF(INDIRECT("office_form!P"&amp;ROW())="","",INDIRECT("office_form!P"&amp;ROW()))="Email","email",IF(IF(INDIRECT("office_form!P"&amp;ROW())="","",INDIRECT("office_form!P"&amp;ROW()))="Other","other",""))))</f>
        <v/>
      </c>
      <c r="R7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3" s="25">
        <f>IF(INDIRECT("office_form!A"&amp;ROW())="","",IF(INDIRECT("office_form!R"&amp;ROW())="","",INDIRECT("office_form!R"&amp;ROW())))</f>
        <v/>
      </c>
      <c r="T73" s="25">
        <f>IF(INDIRECT("office_form!A"&amp;ROW())="","",IF(INDIRECT("office_form!S"&amp;ROW())="","",INDIRECT("office_form!S"&amp;ROW())))</f>
        <v/>
      </c>
      <c r="U73" s="25">
        <f>IF(INDIRECT("office_form!A"&amp;ROW())="","","founder")</f>
        <v/>
      </c>
    </row>
    <row r="74">
      <c r="A74" s="25">
        <f>IF(INDIRECT("office_form!A"&amp;ROW())="","",TEXT(INDIRECT("office_form!A"&amp;ROW()),"yyyy-mm-dd""T""hh:mm:ss"))</f>
        <v/>
      </c>
      <c r="B74" s="25">
        <f>IF(INDIRECT("office_form!A"&amp;ROW())="","",config!$B$36)</f>
        <v/>
      </c>
      <c r="C74" s="25">
        <f>IF(INDIRECT("office_form!A"&amp;ROW())="","",IF(INDIRECT("office_form!B"&amp;ROW())="","",INDIRECT("office_form!B"&amp;ROW())))</f>
        <v/>
      </c>
      <c r="D74" s="25">
        <f>IF(INDIRECT("office_form!A"&amp;ROW())="","",IF(INDIRECT("office_form!C"&amp;ROW())="","",INDIRECT("office_form!C"&amp;ROW())))</f>
        <v/>
      </c>
      <c r="E74" s="25">
        <f>IF(INDIRECT("office_form!A"&amp;ROW())="","",IF(INDIRECT("office_form!D"&amp;ROW())="","",INDIRECT("office_form!D"&amp;ROW())))</f>
        <v/>
      </c>
      <c r="F74" s="25">
        <f>IF(INDIRECT("office_form!A"&amp;ROW())="","",IF(INDIRECT("office_form!E"&amp;ROW())="","",INDIRECT("office_form!E"&amp;ROW())))</f>
        <v/>
      </c>
      <c r="G74" s="25">
        <f>IF(INDIRECT("office_form!A"&amp;ROW())="","",IF(INDIRECT("office_form!F"&amp;ROW())="","",INDIRECT("office_form!F"&amp;ROW())))</f>
        <v/>
      </c>
      <c r="H74" s="25">
        <f>IF(INDIRECT("office_form!A"&amp;ROW())="","",IF(INDIRECT("office_form!G"&amp;ROW())="","",INDIRECT("office_form!G"&amp;ROW())))</f>
        <v/>
      </c>
      <c r="I74" s="25">
        <f>IF(INDIRECT("office_form!A"&amp;ROW())="","",IF(INDIRECT("office_form!H"&amp;ROW())="","",INDIRECT("office_form!H"&amp;ROW())))</f>
        <v/>
      </c>
      <c r="J74" s="25">
        <f>IF(INDIRECT("office_form!A"&amp;ROW())="","",IF(INDIRECT("office_form!I"&amp;ROW())="","",INDIRECT("office_form!I"&amp;ROW())))</f>
        <v/>
      </c>
      <c r="K74" s="25">
        <f>IF(INDIRECT("office_form!A"&amp;ROW())="","",IF($M74="Y",$D74,IF(INDIRECT("office_form!K"&amp;ROW())="","",INDIRECT("office_form!K"&amp;ROW()))))</f>
        <v/>
      </c>
      <c r="L74" s="25">
        <f>IF(INDIRECT("office_form!A"&amp;ROW())="","",IF($M74="Y",$E74,IF(INDIRECT("office_form!L"&amp;ROW())="","",INDIRECT("office_form!L"&amp;ROW()))))</f>
        <v/>
      </c>
      <c r="M74" s="25">
        <f>IF(INDIRECT("office_form!A"&amp;ROW())="","",IF(IF(INDIRECT("office_form!J"&amp;ROW())="","",INDIRECT("office_form!J"&amp;ROW()))="Yes, me","Y",IF(IF(INDIRECT("office_form!J"&amp;ROW())="","",INDIRECT("office_form!J"&amp;ROW()))="Someone else","N","")))</f>
        <v/>
      </c>
      <c r="N7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4" s="25">
        <f>IF(INDIRECT("office_form!A"&amp;ROW())="","",IF(INDIRECT("office_form!N"&amp;ROW())="","",INDIRECT("office_form!N"&amp;ROW())))</f>
        <v/>
      </c>
      <c r="P74" s="25">
        <f>IF(INDIRECT("office_form!A"&amp;ROW())="","",IF(IF(INDIRECT("office_form!O"&amp;ROW())="","",INDIRECT("office_form!O"&amp;ROW()))="Yes","yes",IF(IF(INDIRECT("office_form!O"&amp;ROW())="","",INDIRECT("office_form!O"&amp;ROW()))="No","no",IF(IF(INDIRECT("office_form!O"&amp;ROW())="","",INDIRECT("office_form!O"&amp;ROW()))="Not sure","unsure",""))))</f>
        <v/>
      </c>
      <c r="Q74" s="25">
        <f>IF(INDIRECT("office_form!A"&amp;ROW())="","",IF(IF(INDIRECT("office_form!P"&amp;ROW())="","",INDIRECT("office_form!P"&amp;ROW()))="Slack","slack",IF(IF(INDIRECT("office_form!P"&amp;ROW())="","",INDIRECT("office_form!P"&amp;ROW()))="Email","email",IF(IF(INDIRECT("office_form!P"&amp;ROW())="","",INDIRECT("office_form!P"&amp;ROW()))="Other","other",""))))</f>
        <v/>
      </c>
      <c r="R7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4" s="25">
        <f>IF(INDIRECT("office_form!A"&amp;ROW())="","",IF(INDIRECT("office_form!R"&amp;ROW())="","",INDIRECT("office_form!R"&amp;ROW())))</f>
        <v/>
      </c>
      <c r="T74" s="25">
        <f>IF(INDIRECT("office_form!A"&amp;ROW())="","",IF(INDIRECT("office_form!S"&amp;ROW())="","",INDIRECT("office_form!S"&amp;ROW())))</f>
        <v/>
      </c>
      <c r="U74" s="25">
        <f>IF(INDIRECT("office_form!A"&amp;ROW())="","","founder")</f>
        <v/>
      </c>
    </row>
    <row r="75">
      <c r="A75" s="25">
        <f>IF(INDIRECT("office_form!A"&amp;ROW())="","",TEXT(INDIRECT("office_form!A"&amp;ROW()),"yyyy-mm-dd""T""hh:mm:ss"))</f>
        <v/>
      </c>
      <c r="B75" s="25">
        <f>IF(INDIRECT("office_form!A"&amp;ROW())="","",config!$B$36)</f>
        <v/>
      </c>
      <c r="C75" s="25">
        <f>IF(INDIRECT("office_form!A"&amp;ROW())="","",IF(INDIRECT("office_form!B"&amp;ROW())="","",INDIRECT("office_form!B"&amp;ROW())))</f>
        <v/>
      </c>
      <c r="D75" s="25">
        <f>IF(INDIRECT("office_form!A"&amp;ROW())="","",IF(INDIRECT("office_form!C"&amp;ROW())="","",INDIRECT("office_form!C"&amp;ROW())))</f>
        <v/>
      </c>
      <c r="E75" s="25">
        <f>IF(INDIRECT("office_form!A"&amp;ROW())="","",IF(INDIRECT("office_form!D"&amp;ROW())="","",INDIRECT("office_form!D"&amp;ROW())))</f>
        <v/>
      </c>
      <c r="F75" s="25">
        <f>IF(INDIRECT("office_form!A"&amp;ROW())="","",IF(INDIRECT("office_form!E"&amp;ROW())="","",INDIRECT("office_form!E"&amp;ROW())))</f>
        <v/>
      </c>
      <c r="G75" s="25">
        <f>IF(INDIRECT("office_form!A"&amp;ROW())="","",IF(INDIRECT("office_form!F"&amp;ROW())="","",INDIRECT("office_form!F"&amp;ROW())))</f>
        <v/>
      </c>
      <c r="H75" s="25">
        <f>IF(INDIRECT("office_form!A"&amp;ROW())="","",IF(INDIRECT("office_form!G"&amp;ROW())="","",INDIRECT("office_form!G"&amp;ROW())))</f>
        <v/>
      </c>
      <c r="I75" s="25">
        <f>IF(INDIRECT("office_form!A"&amp;ROW())="","",IF(INDIRECT("office_form!H"&amp;ROW())="","",INDIRECT("office_form!H"&amp;ROW())))</f>
        <v/>
      </c>
      <c r="J75" s="25">
        <f>IF(INDIRECT("office_form!A"&amp;ROW())="","",IF(INDIRECT("office_form!I"&amp;ROW())="","",INDIRECT("office_form!I"&amp;ROW())))</f>
        <v/>
      </c>
      <c r="K75" s="25">
        <f>IF(INDIRECT("office_form!A"&amp;ROW())="","",IF($M75="Y",$D75,IF(INDIRECT("office_form!K"&amp;ROW())="","",INDIRECT("office_form!K"&amp;ROW()))))</f>
        <v/>
      </c>
      <c r="L75" s="25">
        <f>IF(INDIRECT("office_form!A"&amp;ROW())="","",IF($M75="Y",$E75,IF(INDIRECT("office_form!L"&amp;ROW())="","",INDIRECT("office_form!L"&amp;ROW()))))</f>
        <v/>
      </c>
      <c r="M75" s="25">
        <f>IF(INDIRECT("office_form!A"&amp;ROW())="","",IF(IF(INDIRECT("office_form!J"&amp;ROW())="","",INDIRECT("office_form!J"&amp;ROW()))="Yes, me","Y",IF(IF(INDIRECT("office_form!J"&amp;ROW())="","",INDIRECT("office_form!J"&amp;ROW()))="Someone else","N","")))</f>
        <v/>
      </c>
      <c r="N7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5" s="25">
        <f>IF(INDIRECT("office_form!A"&amp;ROW())="","",IF(INDIRECT("office_form!N"&amp;ROW())="","",INDIRECT("office_form!N"&amp;ROW())))</f>
        <v/>
      </c>
      <c r="P75" s="25">
        <f>IF(INDIRECT("office_form!A"&amp;ROW())="","",IF(IF(INDIRECT("office_form!O"&amp;ROW())="","",INDIRECT("office_form!O"&amp;ROW()))="Yes","yes",IF(IF(INDIRECT("office_form!O"&amp;ROW())="","",INDIRECT("office_form!O"&amp;ROW()))="No","no",IF(IF(INDIRECT("office_form!O"&amp;ROW())="","",INDIRECT("office_form!O"&amp;ROW()))="Not sure","unsure",""))))</f>
        <v/>
      </c>
      <c r="Q75" s="25">
        <f>IF(INDIRECT("office_form!A"&amp;ROW())="","",IF(IF(INDIRECT("office_form!P"&amp;ROW())="","",INDIRECT("office_form!P"&amp;ROW()))="Slack","slack",IF(IF(INDIRECT("office_form!P"&amp;ROW())="","",INDIRECT("office_form!P"&amp;ROW()))="Email","email",IF(IF(INDIRECT("office_form!P"&amp;ROW())="","",INDIRECT("office_form!P"&amp;ROW()))="Other","other",""))))</f>
        <v/>
      </c>
      <c r="R7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5" s="25">
        <f>IF(INDIRECT("office_form!A"&amp;ROW())="","",IF(INDIRECT("office_form!R"&amp;ROW())="","",INDIRECT("office_form!R"&amp;ROW())))</f>
        <v/>
      </c>
      <c r="T75" s="25">
        <f>IF(INDIRECT("office_form!A"&amp;ROW())="","",IF(INDIRECT("office_form!S"&amp;ROW())="","",INDIRECT("office_form!S"&amp;ROW())))</f>
        <v/>
      </c>
      <c r="U75" s="25">
        <f>IF(INDIRECT("office_form!A"&amp;ROW())="","","founder")</f>
        <v/>
      </c>
    </row>
    <row r="76">
      <c r="A76" s="25">
        <f>IF(INDIRECT("office_form!A"&amp;ROW())="","",TEXT(INDIRECT("office_form!A"&amp;ROW()),"yyyy-mm-dd""T""hh:mm:ss"))</f>
        <v/>
      </c>
      <c r="B76" s="25">
        <f>IF(INDIRECT("office_form!A"&amp;ROW())="","",config!$B$36)</f>
        <v/>
      </c>
      <c r="C76" s="25">
        <f>IF(INDIRECT("office_form!A"&amp;ROW())="","",IF(INDIRECT("office_form!B"&amp;ROW())="","",INDIRECT("office_form!B"&amp;ROW())))</f>
        <v/>
      </c>
      <c r="D76" s="25">
        <f>IF(INDIRECT("office_form!A"&amp;ROW())="","",IF(INDIRECT("office_form!C"&amp;ROW())="","",INDIRECT("office_form!C"&amp;ROW())))</f>
        <v/>
      </c>
      <c r="E76" s="25">
        <f>IF(INDIRECT("office_form!A"&amp;ROW())="","",IF(INDIRECT("office_form!D"&amp;ROW())="","",INDIRECT("office_form!D"&amp;ROW())))</f>
        <v/>
      </c>
      <c r="F76" s="25">
        <f>IF(INDIRECT("office_form!A"&amp;ROW())="","",IF(INDIRECT("office_form!E"&amp;ROW())="","",INDIRECT("office_form!E"&amp;ROW())))</f>
        <v/>
      </c>
      <c r="G76" s="25">
        <f>IF(INDIRECT("office_form!A"&amp;ROW())="","",IF(INDIRECT("office_form!F"&amp;ROW())="","",INDIRECT("office_form!F"&amp;ROW())))</f>
        <v/>
      </c>
      <c r="H76" s="25">
        <f>IF(INDIRECT("office_form!A"&amp;ROW())="","",IF(INDIRECT("office_form!G"&amp;ROW())="","",INDIRECT("office_form!G"&amp;ROW())))</f>
        <v/>
      </c>
      <c r="I76" s="25">
        <f>IF(INDIRECT("office_form!A"&amp;ROW())="","",IF(INDIRECT("office_form!H"&amp;ROW())="","",INDIRECT("office_form!H"&amp;ROW())))</f>
        <v/>
      </c>
      <c r="J76" s="25">
        <f>IF(INDIRECT("office_form!A"&amp;ROW())="","",IF(INDIRECT("office_form!I"&amp;ROW())="","",INDIRECT("office_form!I"&amp;ROW())))</f>
        <v/>
      </c>
      <c r="K76" s="25">
        <f>IF(INDIRECT("office_form!A"&amp;ROW())="","",IF($M76="Y",$D76,IF(INDIRECT("office_form!K"&amp;ROW())="","",INDIRECT("office_form!K"&amp;ROW()))))</f>
        <v/>
      </c>
      <c r="L76" s="25">
        <f>IF(INDIRECT("office_form!A"&amp;ROW())="","",IF($M76="Y",$E76,IF(INDIRECT("office_form!L"&amp;ROW())="","",INDIRECT("office_form!L"&amp;ROW()))))</f>
        <v/>
      </c>
      <c r="M76" s="25">
        <f>IF(INDIRECT("office_form!A"&amp;ROW())="","",IF(IF(INDIRECT("office_form!J"&amp;ROW())="","",INDIRECT("office_form!J"&amp;ROW()))="Yes, me","Y",IF(IF(INDIRECT("office_form!J"&amp;ROW())="","",INDIRECT("office_form!J"&amp;ROW()))="Someone else","N","")))</f>
        <v/>
      </c>
      <c r="N7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6" s="25">
        <f>IF(INDIRECT("office_form!A"&amp;ROW())="","",IF(INDIRECT("office_form!N"&amp;ROW())="","",INDIRECT("office_form!N"&amp;ROW())))</f>
        <v/>
      </c>
      <c r="P76" s="25">
        <f>IF(INDIRECT("office_form!A"&amp;ROW())="","",IF(IF(INDIRECT("office_form!O"&amp;ROW())="","",INDIRECT("office_form!O"&amp;ROW()))="Yes","yes",IF(IF(INDIRECT("office_form!O"&amp;ROW())="","",INDIRECT("office_form!O"&amp;ROW()))="No","no",IF(IF(INDIRECT("office_form!O"&amp;ROW())="","",INDIRECT("office_form!O"&amp;ROW()))="Not sure","unsure",""))))</f>
        <v/>
      </c>
      <c r="Q76" s="25">
        <f>IF(INDIRECT("office_form!A"&amp;ROW())="","",IF(IF(INDIRECT("office_form!P"&amp;ROW())="","",INDIRECT("office_form!P"&amp;ROW()))="Slack","slack",IF(IF(INDIRECT("office_form!P"&amp;ROW())="","",INDIRECT("office_form!P"&amp;ROW()))="Email","email",IF(IF(INDIRECT("office_form!P"&amp;ROW())="","",INDIRECT("office_form!P"&amp;ROW()))="Other","other",""))))</f>
        <v/>
      </c>
      <c r="R7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6" s="25">
        <f>IF(INDIRECT("office_form!A"&amp;ROW())="","",IF(INDIRECT("office_form!R"&amp;ROW())="","",INDIRECT("office_form!R"&amp;ROW())))</f>
        <v/>
      </c>
      <c r="T76" s="25">
        <f>IF(INDIRECT("office_form!A"&amp;ROW())="","",IF(INDIRECT("office_form!S"&amp;ROW())="","",INDIRECT("office_form!S"&amp;ROW())))</f>
        <v/>
      </c>
      <c r="U76" s="25">
        <f>IF(INDIRECT("office_form!A"&amp;ROW())="","","founder")</f>
        <v/>
      </c>
    </row>
    <row r="77">
      <c r="A77" s="25">
        <f>IF(INDIRECT("office_form!A"&amp;ROW())="","",TEXT(INDIRECT("office_form!A"&amp;ROW()),"yyyy-mm-dd""T""hh:mm:ss"))</f>
        <v/>
      </c>
      <c r="B77" s="25">
        <f>IF(INDIRECT("office_form!A"&amp;ROW())="","",config!$B$36)</f>
        <v/>
      </c>
      <c r="C77" s="25">
        <f>IF(INDIRECT("office_form!A"&amp;ROW())="","",IF(INDIRECT("office_form!B"&amp;ROW())="","",INDIRECT("office_form!B"&amp;ROW())))</f>
        <v/>
      </c>
      <c r="D77" s="25">
        <f>IF(INDIRECT("office_form!A"&amp;ROW())="","",IF(INDIRECT("office_form!C"&amp;ROW())="","",INDIRECT("office_form!C"&amp;ROW())))</f>
        <v/>
      </c>
      <c r="E77" s="25">
        <f>IF(INDIRECT("office_form!A"&amp;ROW())="","",IF(INDIRECT("office_form!D"&amp;ROW())="","",INDIRECT("office_form!D"&amp;ROW())))</f>
        <v/>
      </c>
      <c r="F77" s="25">
        <f>IF(INDIRECT("office_form!A"&amp;ROW())="","",IF(INDIRECT("office_form!E"&amp;ROW())="","",INDIRECT("office_form!E"&amp;ROW())))</f>
        <v/>
      </c>
      <c r="G77" s="25">
        <f>IF(INDIRECT("office_form!A"&amp;ROW())="","",IF(INDIRECT("office_form!F"&amp;ROW())="","",INDIRECT("office_form!F"&amp;ROW())))</f>
        <v/>
      </c>
      <c r="H77" s="25">
        <f>IF(INDIRECT("office_form!A"&amp;ROW())="","",IF(INDIRECT("office_form!G"&amp;ROW())="","",INDIRECT("office_form!G"&amp;ROW())))</f>
        <v/>
      </c>
      <c r="I77" s="25">
        <f>IF(INDIRECT("office_form!A"&amp;ROW())="","",IF(INDIRECT("office_form!H"&amp;ROW())="","",INDIRECT("office_form!H"&amp;ROW())))</f>
        <v/>
      </c>
      <c r="J77" s="25">
        <f>IF(INDIRECT("office_form!A"&amp;ROW())="","",IF(INDIRECT("office_form!I"&amp;ROW())="","",INDIRECT("office_form!I"&amp;ROW())))</f>
        <v/>
      </c>
      <c r="K77" s="25">
        <f>IF(INDIRECT("office_form!A"&amp;ROW())="","",IF($M77="Y",$D77,IF(INDIRECT("office_form!K"&amp;ROW())="","",INDIRECT("office_form!K"&amp;ROW()))))</f>
        <v/>
      </c>
      <c r="L77" s="25">
        <f>IF(INDIRECT("office_form!A"&amp;ROW())="","",IF($M77="Y",$E77,IF(INDIRECT("office_form!L"&amp;ROW())="","",INDIRECT("office_form!L"&amp;ROW()))))</f>
        <v/>
      </c>
      <c r="M77" s="25">
        <f>IF(INDIRECT("office_form!A"&amp;ROW())="","",IF(IF(INDIRECT("office_form!J"&amp;ROW())="","",INDIRECT("office_form!J"&amp;ROW()))="Yes, me","Y",IF(IF(INDIRECT("office_form!J"&amp;ROW())="","",INDIRECT("office_form!J"&amp;ROW()))="Someone else","N","")))</f>
        <v/>
      </c>
      <c r="N7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7" s="25">
        <f>IF(INDIRECT("office_form!A"&amp;ROW())="","",IF(INDIRECT("office_form!N"&amp;ROW())="","",INDIRECT("office_form!N"&amp;ROW())))</f>
        <v/>
      </c>
      <c r="P77" s="25">
        <f>IF(INDIRECT("office_form!A"&amp;ROW())="","",IF(IF(INDIRECT("office_form!O"&amp;ROW())="","",INDIRECT("office_form!O"&amp;ROW()))="Yes","yes",IF(IF(INDIRECT("office_form!O"&amp;ROW())="","",INDIRECT("office_form!O"&amp;ROW()))="No","no",IF(IF(INDIRECT("office_form!O"&amp;ROW())="","",INDIRECT("office_form!O"&amp;ROW()))="Not sure","unsure",""))))</f>
        <v/>
      </c>
      <c r="Q77" s="25">
        <f>IF(INDIRECT("office_form!A"&amp;ROW())="","",IF(IF(INDIRECT("office_form!P"&amp;ROW())="","",INDIRECT("office_form!P"&amp;ROW()))="Slack","slack",IF(IF(INDIRECT("office_form!P"&amp;ROW())="","",INDIRECT("office_form!P"&amp;ROW()))="Email","email",IF(IF(INDIRECT("office_form!P"&amp;ROW())="","",INDIRECT("office_form!P"&amp;ROW()))="Other","other",""))))</f>
        <v/>
      </c>
      <c r="R7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7" s="25">
        <f>IF(INDIRECT("office_form!A"&amp;ROW())="","",IF(INDIRECT("office_form!R"&amp;ROW())="","",INDIRECT("office_form!R"&amp;ROW())))</f>
        <v/>
      </c>
      <c r="T77" s="25">
        <f>IF(INDIRECT("office_form!A"&amp;ROW())="","",IF(INDIRECT("office_form!S"&amp;ROW())="","",INDIRECT("office_form!S"&amp;ROW())))</f>
        <v/>
      </c>
      <c r="U77" s="25">
        <f>IF(INDIRECT("office_form!A"&amp;ROW())="","","founder")</f>
        <v/>
      </c>
    </row>
    <row r="78">
      <c r="A78" s="25">
        <f>IF(INDIRECT("office_form!A"&amp;ROW())="","",TEXT(INDIRECT("office_form!A"&amp;ROW()),"yyyy-mm-dd""T""hh:mm:ss"))</f>
        <v/>
      </c>
      <c r="B78" s="25">
        <f>IF(INDIRECT("office_form!A"&amp;ROW())="","",config!$B$36)</f>
        <v/>
      </c>
      <c r="C78" s="25">
        <f>IF(INDIRECT("office_form!A"&amp;ROW())="","",IF(INDIRECT("office_form!B"&amp;ROW())="","",INDIRECT("office_form!B"&amp;ROW())))</f>
        <v/>
      </c>
      <c r="D78" s="25">
        <f>IF(INDIRECT("office_form!A"&amp;ROW())="","",IF(INDIRECT("office_form!C"&amp;ROW())="","",INDIRECT("office_form!C"&amp;ROW())))</f>
        <v/>
      </c>
      <c r="E78" s="25">
        <f>IF(INDIRECT("office_form!A"&amp;ROW())="","",IF(INDIRECT("office_form!D"&amp;ROW())="","",INDIRECT("office_form!D"&amp;ROW())))</f>
        <v/>
      </c>
      <c r="F78" s="25">
        <f>IF(INDIRECT("office_form!A"&amp;ROW())="","",IF(INDIRECT("office_form!E"&amp;ROW())="","",INDIRECT("office_form!E"&amp;ROW())))</f>
        <v/>
      </c>
      <c r="G78" s="25">
        <f>IF(INDIRECT("office_form!A"&amp;ROW())="","",IF(INDIRECT("office_form!F"&amp;ROW())="","",INDIRECT("office_form!F"&amp;ROW())))</f>
        <v/>
      </c>
      <c r="H78" s="25">
        <f>IF(INDIRECT("office_form!A"&amp;ROW())="","",IF(INDIRECT("office_form!G"&amp;ROW())="","",INDIRECT("office_form!G"&amp;ROW())))</f>
        <v/>
      </c>
      <c r="I78" s="25">
        <f>IF(INDIRECT("office_form!A"&amp;ROW())="","",IF(INDIRECT("office_form!H"&amp;ROW())="","",INDIRECT("office_form!H"&amp;ROW())))</f>
        <v/>
      </c>
      <c r="J78" s="25">
        <f>IF(INDIRECT("office_form!A"&amp;ROW())="","",IF(INDIRECT("office_form!I"&amp;ROW())="","",INDIRECT("office_form!I"&amp;ROW())))</f>
        <v/>
      </c>
      <c r="K78" s="25">
        <f>IF(INDIRECT("office_form!A"&amp;ROW())="","",IF($M78="Y",$D78,IF(INDIRECT("office_form!K"&amp;ROW())="","",INDIRECT("office_form!K"&amp;ROW()))))</f>
        <v/>
      </c>
      <c r="L78" s="25">
        <f>IF(INDIRECT("office_form!A"&amp;ROW())="","",IF($M78="Y",$E78,IF(INDIRECT("office_form!L"&amp;ROW())="","",INDIRECT("office_form!L"&amp;ROW()))))</f>
        <v/>
      </c>
      <c r="M78" s="25">
        <f>IF(INDIRECT("office_form!A"&amp;ROW())="","",IF(IF(INDIRECT("office_form!J"&amp;ROW())="","",INDIRECT("office_form!J"&amp;ROW()))="Yes, me","Y",IF(IF(INDIRECT("office_form!J"&amp;ROW())="","",INDIRECT("office_form!J"&amp;ROW()))="Someone else","N","")))</f>
        <v/>
      </c>
      <c r="N7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8" s="25">
        <f>IF(INDIRECT("office_form!A"&amp;ROW())="","",IF(INDIRECT("office_form!N"&amp;ROW())="","",INDIRECT("office_form!N"&amp;ROW())))</f>
        <v/>
      </c>
      <c r="P78" s="25">
        <f>IF(INDIRECT("office_form!A"&amp;ROW())="","",IF(IF(INDIRECT("office_form!O"&amp;ROW())="","",INDIRECT("office_form!O"&amp;ROW()))="Yes","yes",IF(IF(INDIRECT("office_form!O"&amp;ROW())="","",INDIRECT("office_form!O"&amp;ROW()))="No","no",IF(IF(INDIRECT("office_form!O"&amp;ROW())="","",INDIRECT("office_form!O"&amp;ROW()))="Not sure","unsure",""))))</f>
        <v/>
      </c>
      <c r="Q78" s="25">
        <f>IF(INDIRECT("office_form!A"&amp;ROW())="","",IF(IF(INDIRECT("office_form!P"&amp;ROW())="","",INDIRECT("office_form!P"&amp;ROW()))="Slack","slack",IF(IF(INDIRECT("office_form!P"&amp;ROW())="","",INDIRECT("office_form!P"&amp;ROW()))="Email","email",IF(IF(INDIRECT("office_form!P"&amp;ROW())="","",INDIRECT("office_form!P"&amp;ROW()))="Other","other",""))))</f>
        <v/>
      </c>
      <c r="R7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8" s="25">
        <f>IF(INDIRECT("office_form!A"&amp;ROW())="","",IF(INDIRECT("office_form!R"&amp;ROW())="","",INDIRECT("office_form!R"&amp;ROW())))</f>
        <v/>
      </c>
      <c r="T78" s="25">
        <f>IF(INDIRECT("office_form!A"&amp;ROW())="","",IF(INDIRECT("office_form!S"&amp;ROW())="","",INDIRECT("office_form!S"&amp;ROW())))</f>
        <v/>
      </c>
      <c r="U78" s="25">
        <f>IF(INDIRECT("office_form!A"&amp;ROW())="","","founder")</f>
        <v/>
      </c>
    </row>
    <row r="79">
      <c r="A79" s="25">
        <f>IF(INDIRECT("office_form!A"&amp;ROW())="","",TEXT(INDIRECT("office_form!A"&amp;ROW()),"yyyy-mm-dd""T""hh:mm:ss"))</f>
        <v/>
      </c>
      <c r="B79" s="25">
        <f>IF(INDIRECT("office_form!A"&amp;ROW())="","",config!$B$36)</f>
        <v/>
      </c>
      <c r="C79" s="25">
        <f>IF(INDIRECT("office_form!A"&amp;ROW())="","",IF(INDIRECT("office_form!B"&amp;ROW())="","",INDIRECT("office_form!B"&amp;ROW())))</f>
        <v/>
      </c>
      <c r="D79" s="25">
        <f>IF(INDIRECT("office_form!A"&amp;ROW())="","",IF(INDIRECT("office_form!C"&amp;ROW())="","",INDIRECT("office_form!C"&amp;ROW())))</f>
        <v/>
      </c>
      <c r="E79" s="25">
        <f>IF(INDIRECT("office_form!A"&amp;ROW())="","",IF(INDIRECT("office_form!D"&amp;ROW())="","",INDIRECT("office_form!D"&amp;ROW())))</f>
        <v/>
      </c>
      <c r="F79" s="25">
        <f>IF(INDIRECT("office_form!A"&amp;ROW())="","",IF(INDIRECT("office_form!E"&amp;ROW())="","",INDIRECT("office_form!E"&amp;ROW())))</f>
        <v/>
      </c>
      <c r="G79" s="25">
        <f>IF(INDIRECT("office_form!A"&amp;ROW())="","",IF(INDIRECT("office_form!F"&amp;ROW())="","",INDIRECT("office_form!F"&amp;ROW())))</f>
        <v/>
      </c>
      <c r="H79" s="25">
        <f>IF(INDIRECT("office_form!A"&amp;ROW())="","",IF(INDIRECT("office_form!G"&amp;ROW())="","",INDIRECT("office_form!G"&amp;ROW())))</f>
        <v/>
      </c>
      <c r="I79" s="25">
        <f>IF(INDIRECT("office_form!A"&amp;ROW())="","",IF(INDIRECT("office_form!H"&amp;ROW())="","",INDIRECT("office_form!H"&amp;ROW())))</f>
        <v/>
      </c>
      <c r="J79" s="25">
        <f>IF(INDIRECT("office_form!A"&amp;ROW())="","",IF(INDIRECT("office_form!I"&amp;ROW())="","",INDIRECT("office_form!I"&amp;ROW())))</f>
        <v/>
      </c>
      <c r="K79" s="25">
        <f>IF(INDIRECT("office_form!A"&amp;ROW())="","",IF($M79="Y",$D79,IF(INDIRECT("office_form!K"&amp;ROW())="","",INDIRECT("office_form!K"&amp;ROW()))))</f>
        <v/>
      </c>
      <c r="L79" s="25">
        <f>IF(INDIRECT("office_form!A"&amp;ROW())="","",IF($M79="Y",$E79,IF(INDIRECT("office_form!L"&amp;ROW())="","",INDIRECT("office_form!L"&amp;ROW()))))</f>
        <v/>
      </c>
      <c r="M79" s="25">
        <f>IF(INDIRECT("office_form!A"&amp;ROW())="","",IF(IF(INDIRECT("office_form!J"&amp;ROW())="","",INDIRECT("office_form!J"&amp;ROW()))="Yes, me","Y",IF(IF(INDIRECT("office_form!J"&amp;ROW())="","",INDIRECT("office_form!J"&amp;ROW()))="Someone else","N","")))</f>
        <v/>
      </c>
      <c r="N7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9" s="25">
        <f>IF(INDIRECT("office_form!A"&amp;ROW())="","",IF(INDIRECT("office_form!N"&amp;ROW())="","",INDIRECT("office_form!N"&amp;ROW())))</f>
        <v/>
      </c>
      <c r="P79" s="25">
        <f>IF(INDIRECT("office_form!A"&amp;ROW())="","",IF(IF(INDIRECT("office_form!O"&amp;ROW())="","",INDIRECT("office_form!O"&amp;ROW()))="Yes","yes",IF(IF(INDIRECT("office_form!O"&amp;ROW())="","",INDIRECT("office_form!O"&amp;ROW()))="No","no",IF(IF(INDIRECT("office_form!O"&amp;ROW())="","",INDIRECT("office_form!O"&amp;ROW()))="Not sure","unsure",""))))</f>
        <v/>
      </c>
      <c r="Q79" s="25">
        <f>IF(INDIRECT("office_form!A"&amp;ROW())="","",IF(IF(INDIRECT("office_form!P"&amp;ROW())="","",INDIRECT("office_form!P"&amp;ROW()))="Slack","slack",IF(IF(INDIRECT("office_form!P"&amp;ROW())="","",INDIRECT("office_form!P"&amp;ROW()))="Email","email",IF(IF(INDIRECT("office_form!P"&amp;ROW())="","",INDIRECT("office_form!P"&amp;ROW()))="Other","other",""))))</f>
        <v/>
      </c>
      <c r="R7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9" s="25">
        <f>IF(INDIRECT("office_form!A"&amp;ROW())="","",IF(INDIRECT("office_form!R"&amp;ROW())="","",INDIRECT("office_form!R"&amp;ROW())))</f>
        <v/>
      </c>
      <c r="T79" s="25">
        <f>IF(INDIRECT("office_form!A"&amp;ROW())="","",IF(INDIRECT("office_form!S"&amp;ROW())="","",INDIRECT("office_form!S"&amp;ROW())))</f>
        <v/>
      </c>
      <c r="U79" s="25">
        <f>IF(INDIRECT("office_form!A"&amp;ROW())="","","founder")</f>
        <v/>
      </c>
    </row>
    <row r="80">
      <c r="A80" s="25">
        <f>IF(INDIRECT("office_form!A"&amp;ROW())="","",TEXT(INDIRECT("office_form!A"&amp;ROW()),"yyyy-mm-dd""T""hh:mm:ss"))</f>
        <v/>
      </c>
      <c r="B80" s="25">
        <f>IF(INDIRECT("office_form!A"&amp;ROW())="","",config!$B$36)</f>
        <v/>
      </c>
      <c r="C80" s="25">
        <f>IF(INDIRECT("office_form!A"&amp;ROW())="","",IF(INDIRECT("office_form!B"&amp;ROW())="","",INDIRECT("office_form!B"&amp;ROW())))</f>
        <v/>
      </c>
      <c r="D80" s="25">
        <f>IF(INDIRECT("office_form!A"&amp;ROW())="","",IF(INDIRECT("office_form!C"&amp;ROW())="","",INDIRECT("office_form!C"&amp;ROW())))</f>
        <v/>
      </c>
      <c r="E80" s="25">
        <f>IF(INDIRECT("office_form!A"&amp;ROW())="","",IF(INDIRECT("office_form!D"&amp;ROW())="","",INDIRECT("office_form!D"&amp;ROW())))</f>
        <v/>
      </c>
      <c r="F80" s="25">
        <f>IF(INDIRECT("office_form!A"&amp;ROW())="","",IF(INDIRECT("office_form!E"&amp;ROW())="","",INDIRECT("office_form!E"&amp;ROW())))</f>
        <v/>
      </c>
      <c r="G80" s="25">
        <f>IF(INDIRECT("office_form!A"&amp;ROW())="","",IF(INDIRECT("office_form!F"&amp;ROW())="","",INDIRECT("office_form!F"&amp;ROW())))</f>
        <v/>
      </c>
      <c r="H80" s="25">
        <f>IF(INDIRECT("office_form!A"&amp;ROW())="","",IF(INDIRECT("office_form!G"&amp;ROW())="","",INDIRECT("office_form!G"&amp;ROW())))</f>
        <v/>
      </c>
      <c r="I80" s="25">
        <f>IF(INDIRECT("office_form!A"&amp;ROW())="","",IF(INDIRECT("office_form!H"&amp;ROW())="","",INDIRECT("office_form!H"&amp;ROW())))</f>
        <v/>
      </c>
      <c r="J80" s="25">
        <f>IF(INDIRECT("office_form!A"&amp;ROW())="","",IF(INDIRECT("office_form!I"&amp;ROW())="","",INDIRECT("office_form!I"&amp;ROW())))</f>
        <v/>
      </c>
      <c r="K80" s="25">
        <f>IF(INDIRECT("office_form!A"&amp;ROW())="","",IF($M80="Y",$D80,IF(INDIRECT("office_form!K"&amp;ROW())="","",INDIRECT("office_form!K"&amp;ROW()))))</f>
        <v/>
      </c>
      <c r="L80" s="25">
        <f>IF(INDIRECT("office_form!A"&amp;ROW())="","",IF($M80="Y",$E80,IF(INDIRECT("office_form!L"&amp;ROW())="","",INDIRECT("office_form!L"&amp;ROW()))))</f>
        <v/>
      </c>
      <c r="M80" s="25">
        <f>IF(INDIRECT("office_form!A"&amp;ROW())="","",IF(IF(INDIRECT("office_form!J"&amp;ROW())="","",INDIRECT("office_form!J"&amp;ROW()))="Yes, me","Y",IF(IF(INDIRECT("office_form!J"&amp;ROW())="","",INDIRECT("office_form!J"&amp;ROW()))="Someone else","N","")))</f>
        <v/>
      </c>
      <c r="N8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0" s="25">
        <f>IF(INDIRECT("office_form!A"&amp;ROW())="","",IF(INDIRECT("office_form!N"&amp;ROW())="","",INDIRECT("office_form!N"&amp;ROW())))</f>
        <v/>
      </c>
      <c r="P80" s="25">
        <f>IF(INDIRECT("office_form!A"&amp;ROW())="","",IF(IF(INDIRECT("office_form!O"&amp;ROW())="","",INDIRECT("office_form!O"&amp;ROW()))="Yes","yes",IF(IF(INDIRECT("office_form!O"&amp;ROW())="","",INDIRECT("office_form!O"&amp;ROW()))="No","no",IF(IF(INDIRECT("office_form!O"&amp;ROW())="","",INDIRECT("office_form!O"&amp;ROW()))="Not sure","unsure",""))))</f>
        <v/>
      </c>
      <c r="Q80" s="25">
        <f>IF(INDIRECT("office_form!A"&amp;ROW())="","",IF(IF(INDIRECT("office_form!P"&amp;ROW())="","",INDIRECT("office_form!P"&amp;ROW()))="Slack","slack",IF(IF(INDIRECT("office_form!P"&amp;ROW())="","",INDIRECT("office_form!P"&amp;ROW()))="Email","email",IF(IF(INDIRECT("office_form!P"&amp;ROW())="","",INDIRECT("office_form!P"&amp;ROW()))="Other","other",""))))</f>
        <v/>
      </c>
      <c r="R8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0" s="25">
        <f>IF(INDIRECT("office_form!A"&amp;ROW())="","",IF(INDIRECT("office_form!R"&amp;ROW())="","",INDIRECT("office_form!R"&amp;ROW())))</f>
        <v/>
      </c>
      <c r="T80" s="25">
        <f>IF(INDIRECT("office_form!A"&amp;ROW())="","",IF(INDIRECT("office_form!S"&amp;ROW())="","",INDIRECT("office_form!S"&amp;ROW())))</f>
        <v/>
      </c>
      <c r="U80" s="25">
        <f>IF(INDIRECT("office_form!A"&amp;ROW())="","","founder")</f>
        <v/>
      </c>
    </row>
    <row r="81">
      <c r="A81" s="25">
        <f>IF(INDIRECT("office_form!A"&amp;ROW())="","",TEXT(INDIRECT("office_form!A"&amp;ROW()),"yyyy-mm-dd""T""hh:mm:ss"))</f>
        <v/>
      </c>
      <c r="B81" s="25">
        <f>IF(INDIRECT("office_form!A"&amp;ROW())="","",config!$B$36)</f>
        <v/>
      </c>
      <c r="C81" s="25">
        <f>IF(INDIRECT("office_form!A"&amp;ROW())="","",IF(INDIRECT("office_form!B"&amp;ROW())="","",INDIRECT("office_form!B"&amp;ROW())))</f>
        <v/>
      </c>
      <c r="D81" s="25">
        <f>IF(INDIRECT("office_form!A"&amp;ROW())="","",IF(INDIRECT("office_form!C"&amp;ROW())="","",INDIRECT("office_form!C"&amp;ROW())))</f>
        <v/>
      </c>
      <c r="E81" s="25">
        <f>IF(INDIRECT("office_form!A"&amp;ROW())="","",IF(INDIRECT("office_form!D"&amp;ROW())="","",INDIRECT("office_form!D"&amp;ROW())))</f>
        <v/>
      </c>
      <c r="F81" s="25">
        <f>IF(INDIRECT("office_form!A"&amp;ROW())="","",IF(INDIRECT("office_form!E"&amp;ROW())="","",INDIRECT("office_form!E"&amp;ROW())))</f>
        <v/>
      </c>
      <c r="G81" s="25">
        <f>IF(INDIRECT("office_form!A"&amp;ROW())="","",IF(INDIRECT("office_form!F"&amp;ROW())="","",INDIRECT("office_form!F"&amp;ROW())))</f>
        <v/>
      </c>
      <c r="H81" s="25">
        <f>IF(INDIRECT("office_form!A"&amp;ROW())="","",IF(INDIRECT("office_form!G"&amp;ROW())="","",INDIRECT("office_form!G"&amp;ROW())))</f>
        <v/>
      </c>
      <c r="I81" s="25">
        <f>IF(INDIRECT("office_form!A"&amp;ROW())="","",IF(INDIRECT("office_form!H"&amp;ROW())="","",INDIRECT("office_form!H"&amp;ROW())))</f>
        <v/>
      </c>
      <c r="J81" s="25">
        <f>IF(INDIRECT("office_form!A"&amp;ROW())="","",IF(INDIRECT("office_form!I"&amp;ROW())="","",INDIRECT("office_form!I"&amp;ROW())))</f>
        <v/>
      </c>
      <c r="K81" s="25">
        <f>IF(INDIRECT("office_form!A"&amp;ROW())="","",IF($M81="Y",$D81,IF(INDIRECT("office_form!K"&amp;ROW())="","",INDIRECT("office_form!K"&amp;ROW()))))</f>
        <v/>
      </c>
      <c r="L81" s="25">
        <f>IF(INDIRECT("office_form!A"&amp;ROW())="","",IF($M81="Y",$E81,IF(INDIRECT("office_form!L"&amp;ROW())="","",INDIRECT("office_form!L"&amp;ROW()))))</f>
        <v/>
      </c>
      <c r="M81" s="25">
        <f>IF(INDIRECT("office_form!A"&amp;ROW())="","",IF(IF(INDIRECT("office_form!J"&amp;ROW())="","",INDIRECT("office_form!J"&amp;ROW()))="Yes, me","Y",IF(IF(INDIRECT("office_form!J"&amp;ROW())="","",INDIRECT("office_form!J"&amp;ROW()))="Someone else","N","")))</f>
        <v/>
      </c>
      <c r="N8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1" s="25">
        <f>IF(INDIRECT("office_form!A"&amp;ROW())="","",IF(INDIRECT("office_form!N"&amp;ROW())="","",INDIRECT("office_form!N"&amp;ROW())))</f>
        <v/>
      </c>
      <c r="P81" s="25">
        <f>IF(INDIRECT("office_form!A"&amp;ROW())="","",IF(IF(INDIRECT("office_form!O"&amp;ROW())="","",INDIRECT("office_form!O"&amp;ROW()))="Yes","yes",IF(IF(INDIRECT("office_form!O"&amp;ROW())="","",INDIRECT("office_form!O"&amp;ROW()))="No","no",IF(IF(INDIRECT("office_form!O"&amp;ROW())="","",INDIRECT("office_form!O"&amp;ROW()))="Not sure","unsure",""))))</f>
        <v/>
      </c>
      <c r="Q81" s="25">
        <f>IF(INDIRECT("office_form!A"&amp;ROW())="","",IF(IF(INDIRECT("office_form!P"&amp;ROW())="","",INDIRECT("office_form!P"&amp;ROW()))="Slack","slack",IF(IF(INDIRECT("office_form!P"&amp;ROW())="","",INDIRECT("office_form!P"&amp;ROW()))="Email","email",IF(IF(INDIRECT("office_form!P"&amp;ROW())="","",INDIRECT("office_form!P"&amp;ROW()))="Other","other",""))))</f>
        <v/>
      </c>
      <c r="R8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1" s="25">
        <f>IF(INDIRECT("office_form!A"&amp;ROW())="","",IF(INDIRECT("office_form!R"&amp;ROW())="","",INDIRECT("office_form!R"&amp;ROW())))</f>
        <v/>
      </c>
      <c r="T81" s="25">
        <f>IF(INDIRECT("office_form!A"&amp;ROW())="","",IF(INDIRECT("office_form!S"&amp;ROW())="","",INDIRECT("office_form!S"&amp;ROW())))</f>
        <v/>
      </c>
      <c r="U81" s="25">
        <f>IF(INDIRECT("office_form!A"&amp;ROW())="","","founder")</f>
        <v/>
      </c>
    </row>
  </sheetData>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tabColor rgb="00EDEDED"/>
    <outlinePr summaryBelow="1" summaryRight="1"/>
    <pageSetUpPr/>
  </sheetPr>
  <dimension ref="A1:AA8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s>
  <sheetData>
    <row r="1">
      <c r="A1" s="24" t="inlineStr">
        <is>
          <t>submitted_at</t>
        </is>
      </c>
      <c r="B1" s="24" t="inlineStr">
        <is>
          <t>form_version</t>
        </is>
      </c>
      <c r="C1" s="24" t="inlineStr">
        <is>
          <t>brand_name</t>
        </is>
      </c>
      <c r="D1" s="24" t="inlineStr">
        <is>
          <t>website</t>
        </is>
      </c>
      <c r="E1" s="24" t="inlineStr">
        <is>
          <t>contact_name</t>
        </is>
      </c>
      <c r="F1" s="24" t="inlineStr">
        <is>
          <t>contact_title</t>
        </is>
      </c>
      <c r="G1" s="24" t="inlineStr">
        <is>
          <t>contact_email</t>
        </is>
      </c>
      <c r="H1" s="24" t="inlineStr">
        <is>
          <t>contact_phone</t>
        </is>
      </c>
      <c r="I1" s="24" t="inlineStr">
        <is>
          <t>product_sku</t>
        </is>
      </c>
      <c r="J1" s="24" t="inlineStr">
        <is>
          <t>category</t>
        </is>
      </c>
      <c r="K1" s="24" t="inlineStr">
        <is>
          <t>hq_city</t>
        </is>
      </c>
      <c r="L1" s="24" t="inlineStr">
        <is>
          <t>nyc_retailers</t>
        </is>
      </c>
      <c r="M1" s="24" t="inlineStr">
        <is>
          <t>online_store_url</t>
        </is>
      </c>
      <c r="N1" s="24" t="inlineStr">
        <is>
          <t>can_issue_discount_code</t>
        </is>
      </c>
      <c r="O1" s="24" t="inlineStr">
        <is>
          <t>preferred_timing</t>
        </is>
      </c>
      <c r="P1" s="24" t="inlineStr">
        <is>
          <t>budget_approver_is_contact</t>
        </is>
      </c>
      <c r="Q1" s="24" t="inlineStr">
        <is>
          <t>budget_approver_name_title</t>
        </is>
      </c>
      <c r="R1" s="24" t="inlineStr">
        <is>
          <t>q1_sealed_shelf_stable_60d</t>
        </is>
      </c>
      <c r="S1" s="24" t="inlineStr">
        <is>
          <t>q2_labeled_ingredients_allergens</t>
        </is>
      </c>
      <c r="T1" s="24" t="inlineStr">
        <is>
          <t>q3_buy_path_near_cluster</t>
        </is>
      </c>
      <c r="U1" s="24" t="inlineStr">
        <is>
          <t>q4_can_ship_275_in_10bd</t>
        </is>
      </c>
      <c r="V1" s="24" t="inlineStr">
        <is>
          <t>q5_product_liability_insurance</t>
        </is>
      </c>
      <c r="W1" s="24" t="inlineStr">
        <is>
          <t>q6_contact_can_approve_600</t>
        </is>
      </c>
      <c r="X1" s="24" t="inlineStr">
        <is>
          <t>q7_why_now</t>
        </is>
      </c>
      <c r="Y1" s="24" t="inlineStr">
        <is>
          <t>excluded_category_confirmed</t>
        </is>
      </c>
      <c r="Z1" s="24" t="inlineStr">
        <is>
          <t>notes</t>
        </is>
      </c>
      <c r="AA1" s="24" t="inlineStr">
        <is>
          <t>source</t>
        </is>
      </c>
    </row>
    <row r="2">
      <c r="A2" s="25">
        <f>IF(INDIRECT("brand_form!A"&amp;ROW())="","",TEXT(INDIRECT("brand_form!A"&amp;ROW()),"yyyy-mm-dd""T""hh:mm:ss"))</f>
        <v/>
      </c>
      <c r="B2" s="25">
        <f>IF(INDIRECT("brand_form!A"&amp;ROW())="","",config!$B$35)</f>
        <v/>
      </c>
      <c r="C2" s="25">
        <f>IF(INDIRECT("brand_form!A"&amp;ROW())="","",IF(INDIRECT("brand_form!B"&amp;ROW())="","",INDIRECT("brand_form!B"&amp;ROW())))</f>
        <v/>
      </c>
      <c r="D2" s="25">
        <f>IF(INDIRECT("brand_form!A"&amp;ROW())="","",IF(IF(INDIRECT("brand_form!C"&amp;ROW())="","",INDIRECT("brand_form!C"&amp;ROW()))="","",IF(LEFT(LOWER(IF(INDIRECT("brand_form!C"&amp;ROW())="","",INDIRECT("brand_form!C"&amp;ROW()))),4)="http",IF(INDIRECT("brand_form!C"&amp;ROW())="","",INDIRECT("brand_form!C"&amp;ROW())),"https://"&amp;IF(INDIRECT("brand_form!C"&amp;ROW())="","",INDIRECT("brand_form!C"&amp;ROW())))))</f>
        <v/>
      </c>
      <c r="E2" s="25">
        <f>IF(INDIRECT("brand_form!A"&amp;ROW())="","",IF(INDIRECT("brand_form!G"&amp;ROW())="","",INDIRECT("brand_form!G"&amp;ROW())))</f>
        <v/>
      </c>
      <c r="F2" s="25">
        <f>IF(INDIRECT("brand_form!A"&amp;ROW())="","",IF(INDIRECT("brand_form!H"&amp;ROW())="","",INDIRECT("brand_form!H"&amp;ROW())))</f>
        <v/>
      </c>
      <c r="G2" s="25">
        <f>IF(INDIRECT("brand_form!A"&amp;ROW())="","",IF(INDIRECT("brand_form!I"&amp;ROW())="","",INDIRECT("brand_form!I"&amp;ROW())))</f>
        <v/>
      </c>
      <c r="H2" s="25">
        <f>IF(INDIRECT("brand_form!A"&amp;ROW())="","",IF(INDIRECT("brand_form!J"&amp;ROW())="","",INDIRECT("brand_form!J"&amp;ROW())))</f>
        <v/>
      </c>
      <c r="I2" s="25">
        <f>IF(INDIRECT("brand_form!A"&amp;ROW())="","",IF(INDIRECT("brand_form!D"&amp;ROW())="","",INDIRECT("brand_form!D"&amp;ROW())))</f>
        <v/>
      </c>
      <c r="J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 s="25">
        <f>IF(INDIRECT("brand_form!A"&amp;ROW())="","",IF(INDIRECT("brand_form!F"&amp;ROW())="","",INDIRECT("brand_form!F"&amp;ROW())))</f>
        <v/>
      </c>
      <c r="L2" s="25">
        <f>IF(INDIRECT("brand_form!A"&amp;ROW())="","",IF(INDIRECT("brand_form!M"&amp;ROW())="","",INDIRECT("brand_form!M"&amp;ROW())))</f>
        <v/>
      </c>
      <c r="M2" s="25">
        <f>IF(INDIRECT("brand_form!A"&amp;ROW())="","",IF(IF(INDIRECT("brand_form!N"&amp;ROW())="","",INDIRECT("brand_form!N"&amp;ROW()))="","",IF(LEFT(LOWER(IF(INDIRECT("brand_form!N"&amp;ROW())="","",INDIRECT("brand_form!N"&amp;ROW()))),4)="http",IF(INDIRECT("brand_form!N"&amp;ROW())="","",INDIRECT("brand_form!N"&amp;ROW())),"https://"&amp;IF(INDIRECT("brand_form!N"&amp;ROW())="","",INDIRECT("brand_form!N"&amp;ROW())))))</f>
        <v/>
      </c>
      <c r="N2" s="25">
        <f>IF(INDIRECT("brand_form!A"&amp;ROW())="","",IF(IF(INDIRECT("brand_form!O"&amp;ROW())="","",INDIRECT("brand_form!O"&amp;ROW()))="Yes","Y",IF(IF(INDIRECT("brand_form!O"&amp;ROW())="","",INDIRECT("brand_form!O"&amp;ROW()))="No","N","")))</f>
        <v/>
      </c>
      <c r="O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 s="25">
        <f>IF(INDIRECT("brand_form!A"&amp;ROW())="","",IF(IF(INDIRECT("brand_form!K"&amp;ROW())="","",INDIRECT("brand_form!K"&amp;ROW()))="I do","Y",IF(IF(INDIRECT("brand_form!K"&amp;ROW())="","",INDIRECT("brand_form!K"&amp;ROW()))="Someone else","N","")))</f>
        <v/>
      </c>
      <c r="Q2" s="25">
        <f>IF(INDIRECT("brand_form!A"&amp;ROW())="","",IF($P2="Y",$E2&amp;", "&amp;$F2,IF(INDIRECT("brand_form!L"&amp;ROW())="","",INDIRECT("brand_form!L"&amp;ROW()))))</f>
        <v/>
      </c>
      <c r="R2" s="25">
        <f>IF(INDIRECT("brand_form!A"&amp;ROW())="","",IF(IF(INDIRECT("brand_form!Q"&amp;ROW())="","",INDIRECT("brand_form!Q"&amp;ROW()))="Yes","Y",IF(IF(INDIRECT("brand_form!Q"&amp;ROW())="","",INDIRECT("brand_form!Q"&amp;ROW()))="No","N",IF(IF(INDIRECT("brand_form!Q"&amp;ROW())="","",INDIRECT("brand_form!Q"&amp;ROW()))="Not sure","unsure",""))))</f>
        <v/>
      </c>
      <c r="S2" s="25">
        <f>IF(INDIRECT("brand_form!A"&amp;ROW())="","",IF(IF(INDIRECT("brand_form!R"&amp;ROW())="","",INDIRECT("brand_form!R"&amp;ROW()))="Yes","Y",IF(IF(INDIRECT("brand_form!R"&amp;ROW())="","",INDIRECT("brand_form!R"&amp;ROW()))="No","N",IF(IF(INDIRECT("brand_form!R"&amp;ROW())="","",INDIRECT("brand_form!R"&amp;ROW()))="Not sure","unsure",""))))</f>
        <v/>
      </c>
      <c r="T2" s="25">
        <f>IF(INDIRECT("brand_form!A"&amp;ROW())="","",IF(IF(INDIRECT("brand_form!S"&amp;ROW())="","",INDIRECT("brand_form!S"&amp;ROW()))="Yes","Y",IF(IF(INDIRECT("brand_form!S"&amp;ROW())="","",INDIRECT("brand_form!S"&amp;ROW()))="No","N",IF(IF(INDIRECT("brand_form!S"&amp;ROW())="","",INDIRECT("brand_form!S"&amp;ROW()))="Not sure","unsure",""))))</f>
        <v/>
      </c>
      <c r="U2" s="25">
        <f>IF(INDIRECT("brand_form!A"&amp;ROW())="","",IF(IF(INDIRECT("brand_form!T"&amp;ROW())="","",INDIRECT("brand_form!T"&amp;ROW()))="Yes","Y",IF(IF(INDIRECT("brand_form!T"&amp;ROW())="","",INDIRECT("brand_form!T"&amp;ROW()))="No","N",IF(IF(INDIRECT("brand_form!T"&amp;ROW())="","",INDIRECT("brand_form!T"&amp;ROW()))="Not sure","unsure",""))))</f>
        <v/>
      </c>
      <c r="V2" s="25">
        <f>IF(INDIRECT("brand_form!A"&amp;ROW())="","",IF(IF(INDIRECT("brand_form!U"&amp;ROW())="","",INDIRECT("brand_form!U"&amp;ROW()))="Yes","Y",IF(IF(INDIRECT("brand_form!U"&amp;ROW())="","",INDIRECT("brand_form!U"&amp;ROW()))="No","N",IF(IF(INDIRECT("brand_form!U"&amp;ROW())="","",INDIRECT("brand_form!U"&amp;ROW()))="Not sure","unsure",""))))</f>
        <v/>
      </c>
      <c r="W2" s="25">
        <f>IF(INDIRECT("brand_form!A"&amp;ROW())="","",IF(IF(INDIRECT("brand_form!V"&amp;ROW())="","",INDIRECT("brand_form!V"&amp;ROW()))="Yes","Y",IF(IF(INDIRECT("brand_form!V"&amp;ROW())="","",INDIRECT("brand_form!V"&amp;ROW()))="No","N",IF(IF(INDIRECT("brand_form!V"&amp;ROW())="","",INDIRECT("brand_form!V"&amp;ROW()))="Not sure","unsure",""))))</f>
        <v/>
      </c>
      <c r="X2" s="25">
        <f>IF(INDIRECT("brand_form!A"&amp;ROW())="","",IF(INDIRECT("brand_form!W"&amp;ROW())="","",INDIRECT("brand_form!W"&amp;ROW())))</f>
        <v/>
      </c>
      <c r="Y2" s="25">
        <f>IF(INDIRECT("brand_form!A"&amp;ROW())="","",IF(IF(INDIRECT("brand_form!X"&amp;ROW())="","",INDIRECT("brand_form!X"&amp;ROW()))&lt;&gt;"","Y",""))</f>
        <v/>
      </c>
      <c r="Z2" s="25">
        <f>IF(INDIRECT("brand_form!A"&amp;ROW())="","",IF(INDIRECT("brand_form!Y"&amp;ROW())="","",INDIRECT("brand_form!Y"&amp;ROW())))</f>
        <v/>
      </c>
      <c r="AA2" s="25">
        <f>IF(INDIRECT("brand_form!A"&amp;ROW())="","","founder")</f>
        <v/>
      </c>
    </row>
    <row r="3">
      <c r="A3" s="25">
        <f>IF(INDIRECT("brand_form!A"&amp;ROW())="","",TEXT(INDIRECT("brand_form!A"&amp;ROW()),"yyyy-mm-dd""T""hh:mm:ss"))</f>
        <v/>
      </c>
      <c r="B3" s="25">
        <f>IF(INDIRECT("brand_form!A"&amp;ROW())="","",config!$B$35)</f>
        <v/>
      </c>
      <c r="C3" s="25">
        <f>IF(INDIRECT("brand_form!A"&amp;ROW())="","",IF(INDIRECT("brand_form!B"&amp;ROW())="","",INDIRECT("brand_form!B"&amp;ROW())))</f>
        <v/>
      </c>
      <c r="D3" s="25">
        <f>IF(INDIRECT("brand_form!A"&amp;ROW())="","",IF(IF(INDIRECT("brand_form!C"&amp;ROW())="","",INDIRECT("brand_form!C"&amp;ROW()))="","",IF(LEFT(LOWER(IF(INDIRECT("brand_form!C"&amp;ROW())="","",INDIRECT("brand_form!C"&amp;ROW()))),4)="http",IF(INDIRECT("brand_form!C"&amp;ROW())="","",INDIRECT("brand_form!C"&amp;ROW())),"https://"&amp;IF(INDIRECT("brand_form!C"&amp;ROW())="","",INDIRECT("brand_form!C"&amp;ROW())))))</f>
        <v/>
      </c>
      <c r="E3" s="25">
        <f>IF(INDIRECT("brand_form!A"&amp;ROW())="","",IF(INDIRECT("brand_form!G"&amp;ROW())="","",INDIRECT("brand_form!G"&amp;ROW())))</f>
        <v/>
      </c>
      <c r="F3" s="25">
        <f>IF(INDIRECT("brand_form!A"&amp;ROW())="","",IF(INDIRECT("brand_form!H"&amp;ROW())="","",INDIRECT("brand_form!H"&amp;ROW())))</f>
        <v/>
      </c>
      <c r="G3" s="25">
        <f>IF(INDIRECT("brand_form!A"&amp;ROW())="","",IF(INDIRECT("brand_form!I"&amp;ROW())="","",INDIRECT("brand_form!I"&amp;ROW())))</f>
        <v/>
      </c>
      <c r="H3" s="25">
        <f>IF(INDIRECT("brand_form!A"&amp;ROW())="","",IF(INDIRECT("brand_form!J"&amp;ROW())="","",INDIRECT("brand_form!J"&amp;ROW())))</f>
        <v/>
      </c>
      <c r="I3" s="25">
        <f>IF(INDIRECT("brand_form!A"&amp;ROW())="","",IF(INDIRECT("brand_form!D"&amp;ROW())="","",INDIRECT("brand_form!D"&amp;ROW())))</f>
        <v/>
      </c>
      <c r="J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 s="25">
        <f>IF(INDIRECT("brand_form!A"&amp;ROW())="","",IF(INDIRECT("brand_form!F"&amp;ROW())="","",INDIRECT("brand_form!F"&amp;ROW())))</f>
        <v/>
      </c>
      <c r="L3" s="25">
        <f>IF(INDIRECT("brand_form!A"&amp;ROW())="","",IF(INDIRECT("brand_form!M"&amp;ROW())="","",INDIRECT("brand_form!M"&amp;ROW())))</f>
        <v/>
      </c>
      <c r="M3" s="25">
        <f>IF(INDIRECT("brand_form!A"&amp;ROW())="","",IF(IF(INDIRECT("brand_form!N"&amp;ROW())="","",INDIRECT("brand_form!N"&amp;ROW()))="","",IF(LEFT(LOWER(IF(INDIRECT("brand_form!N"&amp;ROW())="","",INDIRECT("brand_form!N"&amp;ROW()))),4)="http",IF(INDIRECT("brand_form!N"&amp;ROW())="","",INDIRECT("brand_form!N"&amp;ROW())),"https://"&amp;IF(INDIRECT("brand_form!N"&amp;ROW())="","",INDIRECT("brand_form!N"&amp;ROW())))))</f>
        <v/>
      </c>
      <c r="N3" s="25">
        <f>IF(INDIRECT("brand_form!A"&amp;ROW())="","",IF(IF(INDIRECT("brand_form!O"&amp;ROW())="","",INDIRECT("brand_form!O"&amp;ROW()))="Yes","Y",IF(IF(INDIRECT("brand_form!O"&amp;ROW())="","",INDIRECT("brand_form!O"&amp;ROW()))="No","N","")))</f>
        <v/>
      </c>
      <c r="O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 s="25">
        <f>IF(INDIRECT("brand_form!A"&amp;ROW())="","",IF(IF(INDIRECT("brand_form!K"&amp;ROW())="","",INDIRECT("brand_form!K"&amp;ROW()))="I do","Y",IF(IF(INDIRECT("brand_form!K"&amp;ROW())="","",INDIRECT("brand_form!K"&amp;ROW()))="Someone else","N","")))</f>
        <v/>
      </c>
      <c r="Q3" s="25">
        <f>IF(INDIRECT("brand_form!A"&amp;ROW())="","",IF($P3="Y",$E3&amp;", "&amp;$F3,IF(INDIRECT("brand_form!L"&amp;ROW())="","",INDIRECT("brand_form!L"&amp;ROW()))))</f>
        <v/>
      </c>
      <c r="R3" s="25">
        <f>IF(INDIRECT("brand_form!A"&amp;ROW())="","",IF(IF(INDIRECT("brand_form!Q"&amp;ROW())="","",INDIRECT("brand_form!Q"&amp;ROW()))="Yes","Y",IF(IF(INDIRECT("brand_form!Q"&amp;ROW())="","",INDIRECT("brand_form!Q"&amp;ROW()))="No","N",IF(IF(INDIRECT("brand_form!Q"&amp;ROW())="","",INDIRECT("brand_form!Q"&amp;ROW()))="Not sure","unsure",""))))</f>
        <v/>
      </c>
      <c r="S3" s="25">
        <f>IF(INDIRECT("brand_form!A"&amp;ROW())="","",IF(IF(INDIRECT("brand_form!R"&amp;ROW())="","",INDIRECT("brand_form!R"&amp;ROW()))="Yes","Y",IF(IF(INDIRECT("brand_form!R"&amp;ROW())="","",INDIRECT("brand_form!R"&amp;ROW()))="No","N",IF(IF(INDIRECT("brand_form!R"&amp;ROW())="","",INDIRECT("brand_form!R"&amp;ROW()))="Not sure","unsure",""))))</f>
        <v/>
      </c>
      <c r="T3" s="25">
        <f>IF(INDIRECT("brand_form!A"&amp;ROW())="","",IF(IF(INDIRECT("brand_form!S"&amp;ROW())="","",INDIRECT("brand_form!S"&amp;ROW()))="Yes","Y",IF(IF(INDIRECT("brand_form!S"&amp;ROW())="","",INDIRECT("brand_form!S"&amp;ROW()))="No","N",IF(IF(INDIRECT("brand_form!S"&amp;ROW())="","",INDIRECT("brand_form!S"&amp;ROW()))="Not sure","unsure",""))))</f>
        <v/>
      </c>
      <c r="U3" s="25">
        <f>IF(INDIRECT("brand_form!A"&amp;ROW())="","",IF(IF(INDIRECT("brand_form!T"&amp;ROW())="","",INDIRECT("brand_form!T"&amp;ROW()))="Yes","Y",IF(IF(INDIRECT("brand_form!T"&amp;ROW())="","",INDIRECT("brand_form!T"&amp;ROW()))="No","N",IF(IF(INDIRECT("brand_form!T"&amp;ROW())="","",INDIRECT("brand_form!T"&amp;ROW()))="Not sure","unsure",""))))</f>
        <v/>
      </c>
      <c r="V3" s="25">
        <f>IF(INDIRECT("brand_form!A"&amp;ROW())="","",IF(IF(INDIRECT("brand_form!U"&amp;ROW())="","",INDIRECT("brand_form!U"&amp;ROW()))="Yes","Y",IF(IF(INDIRECT("brand_form!U"&amp;ROW())="","",INDIRECT("brand_form!U"&amp;ROW()))="No","N",IF(IF(INDIRECT("brand_form!U"&amp;ROW())="","",INDIRECT("brand_form!U"&amp;ROW()))="Not sure","unsure",""))))</f>
        <v/>
      </c>
      <c r="W3" s="25">
        <f>IF(INDIRECT("brand_form!A"&amp;ROW())="","",IF(IF(INDIRECT("brand_form!V"&amp;ROW())="","",INDIRECT("brand_form!V"&amp;ROW()))="Yes","Y",IF(IF(INDIRECT("brand_form!V"&amp;ROW())="","",INDIRECT("brand_form!V"&amp;ROW()))="No","N",IF(IF(INDIRECT("brand_form!V"&amp;ROW())="","",INDIRECT("brand_form!V"&amp;ROW()))="Not sure","unsure",""))))</f>
        <v/>
      </c>
      <c r="X3" s="25">
        <f>IF(INDIRECT("brand_form!A"&amp;ROW())="","",IF(INDIRECT("brand_form!W"&amp;ROW())="","",INDIRECT("brand_form!W"&amp;ROW())))</f>
        <v/>
      </c>
      <c r="Y3" s="25">
        <f>IF(INDIRECT("brand_form!A"&amp;ROW())="","",IF(IF(INDIRECT("brand_form!X"&amp;ROW())="","",INDIRECT("brand_form!X"&amp;ROW()))&lt;&gt;"","Y",""))</f>
        <v/>
      </c>
      <c r="Z3" s="25">
        <f>IF(INDIRECT("brand_form!A"&amp;ROW())="","",IF(INDIRECT("brand_form!Y"&amp;ROW())="","",INDIRECT("brand_form!Y"&amp;ROW())))</f>
        <v/>
      </c>
      <c r="AA3" s="25">
        <f>IF(INDIRECT("brand_form!A"&amp;ROW())="","","founder")</f>
        <v/>
      </c>
    </row>
    <row r="4">
      <c r="A4" s="25">
        <f>IF(INDIRECT("brand_form!A"&amp;ROW())="","",TEXT(INDIRECT("brand_form!A"&amp;ROW()),"yyyy-mm-dd""T""hh:mm:ss"))</f>
        <v/>
      </c>
      <c r="B4" s="25">
        <f>IF(INDIRECT("brand_form!A"&amp;ROW())="","",config!$B$35)</f>
        <v/>
      </c>
      <c r="C4" s="25">
        <f>IF(INDIRECT("brand_form!A"&amp;ROW())="","",IF(INDIRECT("brand_form!B"&amp;ROW())="","",INDIRECT("brand_form!B"&amp;ROW())))</f>
        <v/>
      </c>
      <c r="D4" s="25">
        <f>IF(INDIRECT("brand_form!A"&amp;ROW())="","",IF(IF(INDIRECT("brand_form!C"&amp;ROW())="","",INDIRECT("brand_form!C"&amp;ROW()))="","",IF(LEFT(LOWER(IF(INDIRECT("brand_form!C"&amp;ROW())="","",INDIRECT("brand_form!C"&amp;ROW()))),4)="http",IF(INDIRECT("brand_form!C"&amp;ROW())="","",INDIRECT("brand_form!C"&amp;ROW())),"https://"&amp;IF(INDIRECT("brand_form!C"&amp;ROW())="","",INDIRECT("brand_form!C"&amp;ROW())))))</f>
        <v/>
      </c>
      <c r="E4" s="25">
        <f>IF(INDIRECT("brand_form!A"&amp;ROW())="","",IF(INDIRECT("brand_form!G"&amp;ROW())="","",INDIRECT("brand_form!G"&amp;ROW())))</f>
        <v/>
      </c>
      <c r="F4" s="25">
        <f>IF(INDIRECT("brand_form!A"&amp;ROW())="","",IF(INDIRECT("brand_form!H"&amp;ROW())="","",INDIRECT("brand_form!H"&amp;ROW())))</f>
        <v/>
      </c>
      <c r="G4" s="25">
        <f>IF(INDIRECT("brand_form!A"&amp;ROW())="","",IF(INDIRECT("brand_form!I"&amp;ROW())="","",INDIRECT("brand_form!I"&amp;ROW())))</f>
        <v/>
      </c>
      <c r="H4" s="25">
        <f>IF(INDIRECT("brand_form!A"&amp;ROW())="","",IF(INDIRECT("brand_form!J"&amp;ROW())="","",INDIRECT("brand_form!J"&amp;ROW())))</f>
        <v/>
      </c>
      <c r="I4" s="25">
        <f>IF(INDIRECT("brand_form!A"&amp;ROW())="","",IF(INDIRECT("brand_form!D"&amp;ROW())="","",INDIRECT("brand_form!D"&amp;ROW())))</f>
        <v/>
      </c>
      <c r="J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 s="25">
        <f>IF(INDIRECT("brand_form!A"&amp;ROW())="","",IF(INDIRECT("brand_form!F"&amp;ROW())="","",INDIRECT("brand_form!F"&amp;ROW())))</f>
        <v/>
      </c>
      <c r="L4" s="25">
        <f>IF(INDIRECT("brand_form!A"&amp;ROW())="","",IF(INDIRECT("brand_form!M"&amp;ROW())="","",INDIRECT("brand_form!M"&amp;ROW())))</f>
        <v/>
      </c>
      <c r="M4" s="25">
        <f>IF(INDIRECT("brand_form!A"&amp;ROW())="","",IF(IF(INDIRECT("brand_form!N"&amp;ROW())="","",INDIRECT("brand_form!N"&amp;ROW()))="","",IF(LEFT(LOWER(IF(INDIRECT("brand_form!N"&amp;ROW())="","",INDIRECT("brand_form!N"&amp;ROW()))),4)="http",IF(INDIRECT("brand_form!N"&amp;ROW())="","",INDIRECT("brand_form!N"&amp;ROW())),"https://"&amp;IF(INDIRECT("brand_form!N"&amp;ROW())="","",INDIRECT("brand_form!N"&amp;ROW())))))</f>
        <v/>
      </c>
      <c r="N4" s="25">
        <f>IF(INDIRECT("brand_form!A"&amp;ROW())="","",IF(IF(INDIRECT("brand_form!O"&amp;ROW())="","",INDIRECT("brand_form!O"&amp;ROW()))="Yes","Y",IF(IF(INDIRECT("brand_form!O"&amp;ROW())="","",INDIRECT("brand_form!O"&amp;ROW()))="No","N","")))</f>
        <v/>
      </c>
      <c r="O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 s="25">
        <f>IF(INDIRECT("brand_form!A"&amp;ROW())="","",IF(IF(INDIRECT("brand_form!K"&amp;ROW())="","",INDIRECT("brand_form!K"&amp;ROW()))="I do","Y",IF(IF(INDIRECT("brand_form!K"&amp;ROW())="","",INDIRECT("brand_form!K"&amp;ROW()))="Someone else","N","")))</f>
        <v/>
      </c>
      <c r="Q4" s="25">
        <f>IF(INDIRECT("brand_form!A"&amp;ROW())="","",IF($P4="Y",$E4&amp;", "&amp;$F4,IF(INDIRECT("brand_form!L"&amp;ROW())="","",INDIRECT("brand_form!L"&amp;ROW()))))</f>
        <v/>
      </c>
      <c r="R4" s="25">
        <f>IF(INDIRECT("brand_form!A"&amp;ROW())="","",IF(IF(INDIRECT("brand_form!Q"&amp;ROW())="","",INDIRECT("brand_form!Q"&amp;ROW()))="Yes","Y",IF(IF(INDIRECT("brand_form!Q"&amp;ROW())="","",INDIRECT("brand_form!Q"&amp;ROW()))="No","N",IF(IF(INDIRECT("brand_form!Q"&amp;ROW())="","",INDIRECT("brand_form!Q"&amp;ROW()))="Not sure","unsure",""))))</f>
        <v/>
      </c>
      <c r="S4" s="25">
        <f>IF(INDIRECT("brand_form!A"&amp;ROW())="","",IF(IF(INDIRECT("brand_form!R"&amp;ROW())="","",INDIRECT("brand_form!R"&amp;ROW()))="Yes","Y",IF(IF(INDIRECT("brand_form!R"&amp;ROW())="","",INDIRECT("brand_form!R"&amp;ROW()))="No","N",IF(IF(INDIRECT("brand_form!R"&amp;ROW())="","",INDIRECT("brand_form!R"&amp;ROW()))="Not sure","unsure",""))))</f>
        <v/>
      </c>
      <c r="T4" s="25">
        <f>IF(INDIRECT("brand_form!A"&amp;ROW())="","",IF(IF(INDIRECT("brand_form!S"&amp;ROW())="","",INDIRECT("brand_form!S"&amp;ROW()))="Yes","Y",IF(IF(INDIRECT("brand_form!S"&amp;ROW())="","",INDIRECT("brand_form!S"&amp;ROW()))="No","N",IF(IF(INDIRECT("brand_form!S"&amp;ROW())="","",INDIRECT("brand_form!S"&amp;ROW()))="Not sure","unsure",""))))</f>
        <v/>
      </c>
      <c r="U4" s="25">
        <f>IF(INDIRECT("brand_form!A"&amp;ROW())="","",IF(IF(INDIRECT("brand_form!T"&amp;ROW())="","",INDIRECT("brand_form!T"&amp;ROW()))="Yes","Y",IF(IF(INDIRECT("brand_form!T"&amp;ROW())="","",INDIRECT("brand_form!T"&amp;ROW()))="No","N",IF(IF(INDIRECT("brand_form!T"&amp;ROW())="","",INDIRECT("brand_form!T"&amp;ROW()))="Not sure","unsure",""))))</f>
        <v/>
      </c>
      <c r="V4" s="25">
        <f>IF(INDIRECT("brand_form!A"&amp;ROW())="","",IF(IF(INDIRECT("brand_form!U"&amp;ROW())="","",INDIRECT("brand_form!U"&amp;ROW()))="Yes","Y",IF(IF(INDIRECT("brand_form!U"&amp;ROW())="","",INDIRECT("brand_form!U"&amp;ROW()))="No","N",IF(IF(INDIRECT("brand_form!U"&amp;ROW())="","",INDIRECT("brand_form!U"&amp;ROW()))="Not sure","unsure",""))))</f>
        <v/>
      </c>
      <c r="W4" s="25">
        <f>IF(INDIRECT("brand_form!A"&amp;ROW())="","",IF(IF(INDIRECT("brand_form!V"&amp;ROW())="","",INDIRECT("brand_form!V"&amp;ROW()))="Yes","Y",IF(IF(INDIRECT("brand_form!V"&amp;ROW())="","",INDIRECT("brand_form!V"&amp;ROW()))="No","N",IF(IF(INDIRECT("brand_form!V"&amp;ROW())="","",INDIRECT("brand_form!V"&amp;ROW()))="Not sure","unsure",""))))</f>
        <v/>
      </c>
      <c r="X4" s="25">
        <f>IF(INDIRECT("brand_form!A"&amp;ROW())="","",IF(INDIRECT("brand_form!W"&amp;ROW())="","",INDIRECT("brand_form!W"&amp;ROW())))</f>
        <v/>
      </c>
      <c r="Y4" s="25">
        <f>IF(INDIRECT("brand_form!A"&amp;ROW())="","",IF(IF(INDIRECT("brand_form!X"&amp;ROW())="","",INDIRECT("brand_form!X"&amp;ROW()))&lt;&gt;"","Y",""))</f>
        <v/>
      </c>
      <c r="Z4" s="25">
        <f>IF(INDIRECT("brand_form!A"&amp;ROW())="","",IF(INDIRECT("brand_form!Y"&amp;ROW())="","",INDIRECT("brand_form!Y"&amp;ROW())))</f>
        <v/>
      </c>
      <c r="AA4" s="25">
        <f>IF(INDIRECT("brand_form!A"&amp;ROW())="","","founder")</f>
        <v/>
      </c>
    </row>
    <row r="5">
      <c r="A5" s="25">
        <f>IF(INDIRECT("brand_form!A"&amp;ROW())="","",TEXT(INDIRECT("brand_form!A"&amp;ROW()),"yyyy-mm-dd""T""hh:mm:ss"))</f>
        <v/>
      </c>
      <c r="B5" s="25">
        <f>IF(INDIRECT("brand_form!A"&amp;ROW())="","",config!$B$35)</f>
        <v/>
      </c>
      <c r="C5" s="25">
        <f>IF(INDIRECT("brand_form!A"&amp;ROW())="","",IF(INDIRECT("brand_form!B"&amp;ROW())="","",INDIRECT("brand_form!B"&amp;ROW())))</f>
        <v/>
      </c>
      <c r="D5" s="25">
        <f>IF(INDIRECT("brand_form!A"&amp;ROW())="","",IF(IF(INDIRECT("brand_form!C"&amp;ROW())="","",INDIRECT("brand_form!C"&amp;ROW()))="","",IF(LEFT(LOWER(IF(INDIRECT("brand_form!C"&amp;ROW())="","",INDIRECT("brand_form!C"&amp;ROW()))),4)="http",IF(INDIRECT("brand_form!C"&amp;ROW())="","",INDIRECT("brand_form!C"&amp;ROW())),"https://"&amp;IF(INDIRECT("brand_form!C"&amp;ROW())="","",INDIRECT("brand_form!C"&amp;ROW())))))</f>
        <v/>
      </c>
      <c r="E5" s="25">
        <f>IF(INDIRECT("brand_form!A"&amp;ROW())="","",IF(INDIRECT("brand_form!G"&amp;ROW())="","",INDIRECT("brand_form!G"&amp;ROW())))</f>
        <v/>
      </c>
      <c r="F5" s="25">
        <f>IF(INDIRECT("brand_form!A"&amp;ROW())="","",IF(INDIRECT("brand_form!H"&amp;ROW())="","",INDIRECT("brand_form!H"&amp;ROW())))</f>
        <v/>
      </c>
      <c r="G5" s="25">
        <f>IF(INDIRECT("brand_form!A"&amp;ROW())="","",IF(INDIRECT("brand_form!I"&amp;ROW())="","",INDIRECT("brand_form!I"&amp;ROW())))</f>
        <v/>
      </c>
      <c r="H5" s="25">
        <f>IF(INDIRECT("brand_form!A"&amp;ROW())="","",IF(INDIRECT("brand_form!J"&amp;ROW())="","",INDIRECT("brand_form!J"&amp;ROW())))</f>
        <v/>
      </c>
      <c r="I5" s="25">
        <f>IF(INDIRECT("brand_form!A"&amp;ROW())="","",IF(INDIRECT("brand_form!D"&amp;ROW())="","",INDIRECT("brand_form!D"&amp;ROW())))</f>
        <v/>
      </c>
      <c r="J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 s="25">
        <f>IF(INDIRECT("brand_form!A"&amp;ROW())="","",IF(INDIRECT("brand_form!F"&amp;ROW())="","",INDIRECT("brand_form!F"&amp;ROW())))</f>
        <v/>
      </c>
      <c r="L5" s="25">
        <f>IF(INDIRECT("brand_form!A"&amp;ROW())="","",IF(INDIRECT("brand_form!M"&amp;ROW())="","",INDIRECT("brand_form!M"&amp;ROW())))</f>
        <v/>
      </c>
      <c r="M5" s="25">
        <f>IF(INDIRECT("brand_form!A"&amp;ROW())="","",IF(IF(INDIRECT("brand_form!N"&amp;ROW())="","",INDIRECT("brand_form!N"&amp;ROW()))="","",IF(LEFT(LOWER(IF(INDIRECT("brand_form!N"&amp;ROW())="","",INDIRECT("brand_form!N"&amp;ROW()))),4)="http",IF(INDIRECT("brand_form!N"&amp;ROW())="","",INDIRECT("brand_form!N"&amp;ROW())),"https://"&amp;IF(INDIRECT("brand_form!N"&amp;ROW())="","",INDIRECT("brand_form!N"&amp;ROW())))))</f>
        <v/>
      </c>
      <c r="N5" s="25">
        <f>IF(INDIRECT("brand_form!A"&amp;ROW())="","",IF(IF(INDIRECT("brand_form!O"&amp;ROW())="","",INDIRECT("brand_form!O"&amp;ROW()))="Yes","Y",IF(IF(INDIRECT("brand_form!O"&amp;ROW())="","",INDIRECT("brand_form!O"&amp;ROW()))="No","N","")))</f>
        <v/>
      </c>
      <c r="O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 s="25">
        <f>IF(INDIRECT("brand_form!A"&amp;ROW())="","",IF(IF(INDIRECT("brand_form!K"&amp;ROW())="","",INDIRECT("brand_form!K"&amp;ROW()))="I do","Y",IF(IF(INDIRECT("brand_form!K"&amp;ROW())="","",INDIRECT("brand_form!K"&amp;ROW()))="Someone else","N","")))</f>
        <v/>
      </c>
      <c r="Q5" s="25">
        <f>IF(INDIRECT("brand_form!A"&amp;ROW())="","",IF($P5="Y",$E5&amp;", "&amp;$F5,IF(INDIRECT("brand_form!L"&amp;ROW())="","",INDIRECT("brand_form!L"&amp;ROW()))))</f>
        <v/>
      </c>
      <c r="R5" s="25">
        <f>IF(INDIRECT("brand_form!A"&amp;ROW())="","",IF(IF(INDIRECT("brand_form!Q"&amp;ROW())="","",INDIRECT("brand_form!Q"&amp;ROW()))="Yes","Y",IF(IF(INDIRECT("brand_form!Q"&amp;ROW())="","",INDIRECT("brand_form!Q"&amp;ROW()))="No","N",IF(IF(INDIRECT("brand_form!Q"&amp;ROW())="","",INDIRECT("brand_form!Q"&amp;ROW()))="Not sure","unsure",""))))</f>
        <v/>
      </c>
      <c r="S5" s="25">
        <f>IF(INDIRECT("brand_form!A"&amp;ROW())="","",IF(IF(INDIRECT("brand_form!R"&amp;ROW())="","",INDIRECT("brand_form!R"&amp;ROW()))="Yes","Y",IF(IF(INDIRECT("brand_form!R"&amp;ROW())="","",INDIRECT("brand_form!R"&amp;ROW()))="No","N",IF(IF(INDIRECT("brand_form!R"&amp;ROW())="","",INDIRECT("brand_form!R"&amp;ROW()))="Not sure","unsure",""))))</f>
        <v/>
      </c>
      <c r="T5" s="25">
        <f>IF(INDIRECT("brand_form!A"&amp;ROW())="","",IF(IF(INDIRECT("brand_form!S"&amp;ROW())="","",INDIRECT("brand_form!S"&amp;ROW()))="Yes","Y",IF(IF(INDIRECT("brand_form!S"&amp;ROW())="","",INDIRECT("brand_form!S"&amp;ROW()))="No","N",IF(IF(INDIRECT("brand_form!S"&amp;ROW())="","",INDIRECT("brand_form!S"&amp;ROW()))="Not sure","unsure",""))))</f>
        <v/>
      </c>
      <c r="U5" s="25">
        <f>IF(INDIRECT("brand_form!A"&amp;ROW())="","",IF(IF(INDIRECT("brand_form!T"&amp;ROW())="","",INDIRECT("brand_form!T"&amp;ROW()))="Yes","Y",IF(IF(INDIRECT("brand_form!T"&amp;ROW())="","",INDIRECT("brand_form!T"&amp;ROW()))="No","N",IF(IF(INDIRECT("brand_form!T"&amp;ROW())="","",INDIRECT("brand_form!T"&amp;ROW()))="Not sure","unsure",""))))</f>
        <v/>
      </c>
      <c r="V5" s="25">
        <f>IF(INDIRECT("brand_form!A"&amp;ROW())="","",IF(IF(INDIRECT("brand_form!U"&amp;ROW())="","",INDIRECT("brand_form!U"&amp;ROW()))="Yes","Y",IF(IF(INDIRECT("brand_form!U"&amp;ROW())="","",INDIRECT("brand_form!U"&amp;ROW()))="No","N",IF(IF(INDIRECT("brand_form!U"&amp;ROW())="","",INDIRECT("brand_form!U"&amp;ROW()))="Not sure","unsure",""))))</f>
        <v/>
      </c>
      <c r="W5" s="25">
        <f>IF(INDIRECT("brand_form!A"&amp;ROW())="","",IF(IF(INDIRECT("brand_form!V"&amp;ROW())="","",INDIRECT("brand_form!V"&amp;ROW()))="Yes","Y",IF(IF(INDIRECT("brand_form!V"&amp;ROW())="","",INDIRECT("brand_form!V"&amp;ROW()))="No","N",IF(IF(INDIRECT("brand_form!V"&amp;ROW())="","",INDIRECT("brand_form!V"&amp;ROW()))="Not sure","unsure",""))))</f>
        <v/>
      </c>
      <c r="X5" s="25">
        <f>IF(INDIRECT("brand_form!A"&amp;ROW())="","",IF(INDIRECT("brand_form!W"&amp;ROW())="","",INDIRECT("brand_form!W"&amp;ROW())))</f>
        <v/>
      </c>
      <c r="Y5" s="25">
        <f>IF(INDIRECT("brand_form!A"&amp;ROW())="","",IF(IF(INDIRECT("brand_form!X"&amp;ROW())="","",INDIRECT("brand_form!X"&amp;ROW()))&lt;&gt;"","Y",""))</f>
        <v/>
      </c>
      <c r="Z5" s="25">
        <f>IF(INDIRECT("brand_form!A"&amp;ROW())="","",IF(INDIRECT("brand_form!Y"&amp;ROW())="","",INDIRECT("brand_form!Y"&amp;ROW())))</f>
        <v/>
      </c>
      <c r="AA5" s="25">
        <f>IF(INDIRECT("brand_form!A"&amp;ROW())="","","founder")</f>
        <v/>
      </c>
    </row>
    <row r="6">
      <c r="A6" s="25">
        <f>IF(INDIRECT("brand_form!A"&amp;ROW())="","",TEXT(INDIRECT("brand_form!A"&amp;ROW()),"yyyy-mm-dd""T""hh:mm:ss"))</f>
        <v/>
      </c>
      <c r="B6" s="25">
        <f>IF(INDIRECT("brand_form!A"&amp;ROW())="","",config!$B$35)</f>
        <v/>
      </c>
      <c r="C6" s="25">
        <f>IF(INDIRECT("brand_form!A"&amp;ROW())="","",IF(INDIRECT("brand_form!B"&amp;ROW())="","",INDIRECT("brand_form!B"&amp;ROW())))</f>
        <v/>
      </c>
      <c r="D6" s="25">
        <f>IF(INDIRECT("brand_form!A"&amp;ROW())="","",IF(IF(INDIRECT("brand_form!C"&amp;ROW())="","",INDIRECT("brand_form!C"&amp;ROW()))="","",IF(LEFT(LOWER(IF(INDIRECT("brand_form!C"&amp;ROW())="","",INDIRECT("brand_form!C"&amp;ROW()))),4)="http",IF(INDIRECT("brand_form!C"&amp;ROW())="","",INDIRECT("brand_form!C"&amp;ROW())),"https://"&amp;IF(INDIRECT("brand_form!C"&amp;ROW())="","",INDIRECT("brand_form!C"&amp;ROW())))))</f>
        <v/>
      </c>
      <c r="E6" s="25">
        <f>IF(INDIRECT("brand_form!A"&amp;ROW())="","",IF(INDIRECT("brand_form!G"&amp;ROW())="","",INDIRECT("brand_form!G"&amp;ROW())))</f>
        <v/>
      </c>
      <c r="F6" s="25">
        <f>IF(INDIRECT("brand_form!A"&amp;ROW())="","",IF(INDIRECT("brand_form!H"&amp;ROW())="","",INDIRECT("brand_form!H"&amp;ROW())))</f>
        <v/>
      </c>
      <c r="G6" s="25">
        <f>IF(INDIRECT("brand_form!A"&amp;ROW())="","",IF(INDIRECT("brand_form!I"&amp;ROW())="","",INDIRECT("brand_form!I"&amp;ROW())))</f>
        <v/>
      </c>
      <c r="H6" s="25">
        <f>IF(INDIRECT("brand_form!A"&amp;ROW())="","",IF(INDIRECT("brand_form!J"&amp;ROW())="","",INDIRECT("brand_form!J"&amp;ROW())))</f>
        <v/>
      </c>
      <c r="I6" s="25">
        <f>IF(INDIRECT("brand_form!A"&amp;ROW())="","",IF(INDIRECT("brand_form!D"&amp;ROW())="","",INDIRECT("brand_form!D"&amp;ROW())))</f>
        <v/>
      </c>
      <c r="J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 s="25">
        <f>IF(INDIRECT("brand_form!A"&amp;ROW())="","",IF(INDIRECT("brand_form!F"&amp;ROW())="","",INDIRECT("brand_form!F"&amp;ROW())))</f>
        <v/>
      </c>
      <c r="L6" s="25">
        <f>IF(INDIRECT("brand_form!A"&amp;ROW())="","",IF(INDIRECT("brand_form!M"&amp;ROW())="","",INDIRECT("brand_form!M"&amp;ROW())))</f>
        <v/>
      </c>
      <c r="M6" s="25">
        <f>IF(INDIRECT("brand_form!A"&amp;ROW())="","",IF(IF(INDIRECT("brand_form!N"&amp;ROW())="","",INDIRECT("brand_form!N"&amp;ROW()))="","",IF(LEFT(LOWER(IF(INDIRECT("brand_form!N"&amp;ROW())="","",INDIRECT("brand_form!N"&amp;ROW()))),4)="http",IF(INDIRECT("brand_form!N"&amp;ROW())="","",INDIRECT("brand_form!N"&amp;ROW())),"https://"&amp;IF(INDIRECT("brand_form!N"&amp;ROW())="","",INDIRECT("brand_form!N"&amp;ROW())))))</f>
        <v/>
      </c>
      <c r="N6" s="25">
        <f>IF(INDIRECT("brand_form!A"&amp;ROW())="","",IF(IF(INDIRECT("brand_form!O"&amp;ROW())="","",INDIRECT("brand_form!O"&amp;ROW()))="Yes","Y",IF(IF(INDIRECT("brand_form!O"&amp;ROW())="","",INDIRECT("brand_form!O"&amp;ROW()))="No","N","")))</f>
        <v/>
      </c>
      <c r="O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 s="25">
        <f>IF(INDIRECT("brand_form!A"&amp;ROW())="","",IF(IF(INDIRECT("brand_form!K"&amp;ROW())="","",INDIRECT("brand_form!K"&amp;ROW()))="I do","Y",IF(IF(INDIRECT("brand_form!K"&amp;ROW())="","",INDIRECT("brand_form!K"&amp;ROW()))="Someone else","N","")))</f>
        <v/>
      </c>
      <c r="Q6" s="25">
        <f>IF(INDIRECT("brand_form!A"&amp;ROW())="","",IF($P6="Y",$E6&amp;", "&amp;$F6,IF(INDIRECT("brand_form!L"&amp;ROW())="","",INDIRECT("brand_form!L"&amp;ROW()))))</f>
        <v/>
      </c>
      <c r="R6" s="25">
        <f>IF(INDIRECT("brand_form!A"&amp;ROW())="","",IF(IF(INDIRECT("brand_form!Q"&amp;ROW())="","",INDIRECT("brand_form!Q"&amp;ROW()))="Yes","Y",IF(IF(INDIRECT("brand_form!Q"&amp;ROW())="","",INDIRECT("brand_form!Q"&amp;ROW()))="No","N",IF(IF(INDIRECT("brand_form!Q"&amp;ROW())="","",INDIRECT("brand_form!Q"&amp;ROW()))="Not sure","unsure",""))))</f>
        <v/>
      </c>
      <c r="S6" s="25">
        <f>IF(INDIRECT("brand_form!A"&amp;ROW())="","",IF(IF(INDIRECT("brand_form!R"&amp;ROW())="","",INDIRECT("brand_form!R"&amp;ROW()))="Yes","Y",IF(IF(INDIRECT("brand_form!R"&amp;ROW())="","",INDIRECT("brand_form!R"&amp;ROW()))="No","N",IF(IF(INDIRECT("brand_form!R"&amp;ROW())="","",INDIRECT("brand_form!R"&amp;ROW()))="Not sure","unsure",""))))</f>
        <v/>
      </c>
      <c r="T6" s="25">
        <f>IF(INDIRECT("brand_form!A"&amp;ROW())="","",IF(IF(INDIRECT("brand_form!S"&amp;ROW())="","",INDIRECT("brand_form!S"&amp;ROW()))="Yes","Y",IF(IF(INDIRECT("brand_form!S"&amp;ROW())="","",INDIRECT("brand_form!S"&amp;ROW()))="No","N",IF(IF(INDIRECT("brand_form!S"&amp;ROW())="","",INDIRECT("brand_form!S"&amp;ROW()))="Not sure","unsure",""))))</f>
        <v/>
      </c>
      <c r="U6" s="25">
        <f>IF(INDIRECT("brand_form!A"&amp;ROW())="","",IF(IF(INDIRECT("brand_form!T"&amp;ROW())="","",INDIRECT("brand_form!T"&amp;ROW()))="Yes","Y",IF(IF(INDIRECT("brand_form!T"&amp;ROW())="","",INDIRECT("brand_form!T"&amp;ROW()))="No","N",IF(IF(INDIRECT("brand_form!T"&amp;ROW())="","",INDIRECT("brand_form!T"&amp;ROW()))="Not sure","unsure",""))))</f>
        <v/>
      </c>
      <c r="V6" s="25">
        <f>IF(INDIRECT("brand_form!A"&amp;ROW())="","",IF(IF(INDIRECT("brand_form!U"&amp;ROW())="","",INDIRECT("brand_form!U"&amp;ROW()))="Yes","Y",IF(IF(INDIRECT("brand_form!U"&amp;ROW())="","",INDIRECT("brand_form!U"&amp;ROW()))="No","N",IF(IF(INDIRECT("brand_form!U"&amp;ROW())="","",INDIRECT("brand_form!U"&amp;ROW()))="Not sure","unsure",""))))</f>
        <v/>
      </c>
      <c r="W6" s="25">
        <f>IF(INDIRECT("brand_form!A"&amp;ROW())="","",IF(IF(INDIRECT("brand_form!V"&amp;ROW())="","",INDIRECT("brand_form!V"&amp;ROW()))="Yes","Y",IF(IF(INDIRECT("brand_form!V"&amp;ROW())="","",INDIRECT("brand_form!V"&amp;ROW()))="No","N",IF(IF(INDIRECT("brand_form!V"&amp;ROW())="","",INDIRECT("brand_form!V"&amp;ROW()))="Not sure","unsure",""))))</f>
        <v/>
      </c>
      <c r="X6" s="25">
        <f>IF(INDIRECT("brand_form!A"&amp;ROW())="","",IF(INDIRECT("brand_form!W"&amp;ROW())="","",INDIRECT("brand_form!W"&amp;ROW())))</f>
        <v/>
      </c>
      <c r="Y6" s="25">
        <f>IF(INDIRECT("brand_form!A"&amp;ROW())="","",IF(IF(INDIRECT("brand_form!X"&amp;ROW())="","",INDIRECT("brand_form!X"&amp;ROW()))&lt;&gt;"","Y",""))</f>
        <v/>
      </c>
      <c r="Z6" s="25">
        <f>IF(INDIRECT("brand_form!A"&amp;ROW())="","",IF(INDIRECT("brand_form!Y"&amp;ROW())="","",INDIRECT("brand_form!Y"&amp;ROW())))</f>
        <v/>
      </c>
      <c r="AA6" s="25">
        <f>IF(INDIRECT("brand_form!A"&amp;ROW())="","","founder")</f>
        <v/>
      </c>
    </row>
    <row r="7">
      <c r="A7" s="25">
        <f>IF(INDIRECT("brand_form!A"&amp;ROW())="","",TEXT(INDIRECT("brand_form!A"&amp;ROW()),"yyyy-mm-dd""T""hh:mm:ss"))</f>
        <v/>
      </c>
      <c r="B7" s="25">
        <f>IF(INDIRECT("brand_form!A"&amp;ROW())="","",config!$B$35)</f>
        <v/>
      </c>
      <c r="C7" s="25">
        <f>IF(INDIRECT("brand_form!A"&amp;ROW())="","",IF(INDIRECT("brand_form!B"&amp;ROW())="","",INDIRECT("brand_form!B"&amp;ROW())))</f>
        <v/>
      </c>
      <c r="D7" s="25">
        <f>IF(INDIRECT("brand_form!A"&amp;ROW())="","",IF(IF(INDIRECT("brand_form!C"&amp;ROW())="","",INDIRECT("brand_form!C"&amp;ROW()))="","",IF(LEFT(LOWER(IF(INDIRECT("brand_form!C"&amp;ROW())="","",INDIRECT("brand_form!C"&amp;ROW()))),4)="http",IF(INDIRECT("brand_form!C"&amp;ROW())="","",INDIRECT("brand_form!C"&amp;ROW())),"https://"&amp;IF(INDIRECT("brand_form!C"&amp;ROW())="","",INDIRECT("brand_form!C"&amp;ROW())))))</f>
        <v/>
      </c>
      <c r="E7" s="25">
        <f>IF(INDIRECT("brand_form!A"&amp;ROW())="","",IF(INDIRECT("brand_form!G"&amp;ROW())="","",INDIRECT("brand_form!G"&amp;ROW())))</f>
        <v/>
      </c>
      <c r="F7" s="25">
        <f>IF(INDIRECT("brand_form!A"&amp;ROW())="","",IF(INDIRECT("brand_form!H"&amp;ROW())="","",INDIRECT("brand_form!H"&amp;ROW())))</f>
        <v/>
      </c>
      <c r="G7" s="25">
        <f>IF(INDIRECT("brand_form!A"&amp;ROW())="","",IF(INDIRECT("brand_form!I"&amp;ROW())="","",INDIRECT("brand_form!I"&amp;ROW())))</f>
        <v/>
      </c>
      <c r="H7" s="25">
        <f>IF(INDIRECT("brand_form!A"&amp;ROW())="","",IF(INDIRECT("brand_form!J"&amp;ROW())="","",INDIRECT("brand_form!J"&amp;ROW())))</f>
        <v/>
      </c>
      <c r="I7" s="25">
        <f>IF(INDIRECT("brand_form!A"&amp;ROW())="","",IF(INDIRECT("brand_form!D"&amp;ROW())="","",INDIRECT("brand_form!D"&amp;ROW())))</f>
        <v/>
      </c>
      <c r="J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 s="25">
        <f>IF(INDIRECT("brand_form!A"&amp;ROW())="","",IF(INDIRECT("brand_form!F"&amp;ROW())="","",INDIRECT("brand_form!F"&amp;ROW())))</f>
        <v/>
      </c>
      <c r="L7" s="25">
        <f>IF(INDIRECT("brand_form!A"&amp;ROW())="","",IF(INDIRECT("brand_form!M"&amp;ROW())="","",INDIRECT("brand_form!M"&amp;ROW())))</f>
        <v/>
      </c>
      <c r="M7" s="25">
        <f>IF(INDIRECT("brand_form!A"&amp;ROW())="","",IF(IF(INDIRECT("brand_form!N"&amp;ROW())="","",INDIRECT("brand_form!N"&amp;ROW()))="","",IF(LEFT(LOWER(IF(INDIRECT("brand_form!N"&amp;ROW())="","",INDIRECT("brand_form!N"&amp;ROW()))),4)="http",IF(INDIRECT("brand_form!N"&amp;ROW())="","",INDIRECT("brand_form!N"&amp;ROW())),"https://"&amp;IF(INDIRECT("brand_form!N"&amp;ROW())="","",INDIRECT("brand_form!N"&amp;ROW())))))</f>
        <v/>
      </c>
      <c r="N7" s="25">
        <f>IF(INDIRECT("brand_form!A"&amp;ROW())="","",IF(IF(INDIRECT("brand_form!O"&amp;ROW())="","",INDIRECT("brand_form!O"&amp;ROW()))="Yes","Y",IF(IF(INDIRECT("brand_form!O"&amp;ROW())="","",INDIRECT("brand_form!O"&amp;ROW()))="No","N","")))</f>
        <v/>
      </c>
      <c r="O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 s="25">
        <f>IF(INDIRECT("brand_form!A"&amp;ROW())="","",IF(IF(INDIRECT("brand_form!K"&amp;ROW())="","",INDIRECT("brand_form!K"&amp;ROW()))="I do","Y",IF(IF(INDIRECT("brand_form!K"&amp;ROW())="","",INDIRECT("brand_form!K"&amp;ROW()))="Someone else","N","")))</f>
        <v/>
      </c>
      <c r="Q7" s="25">
        <f>IF(INDIRECT("brand_form!A"&amp;ROW())="","",IF($P7="Y",$E7&amp;", "&amp;$F7,IF(INDIRECT("brand_form!L"&amp;ROW())="","",INDIRECT("brand_form!L"&amp;ROW()))))</f>
        <v/>
      </c>
      <c r="R7" s="25">
        <f>IF(INDIRECT("brand_form!A"&amp;ROW())="","",IF(IF(INDIRECT("brand_form!Q"&amp;ROW())="","",INDIRECT("brand_form!Q"&amp;ROW()))="Yes","Y",IF(IF(INDIRECT("brand_form!Q"&amp;ROW())="","",INDIRECT("brand_form!Q"&amp;ROW()))="No","N",IF(IF(INDIRECT("brand_form!Q"&amp;ROW())="","",INDIRECT("brand_form!Q"&amp;ROW()))="Not sure","unsure",""))))</f>
        <v/>
      </c>
      <c r="S7" s="25">
        <f>IF(INDIRECT("brand_form!A"&amp;ROW())="","",IF(IF(INDIRECT("brand_form!R"&amp;ROW())="","",INDIRECT("brand_form!R"&amp;ROW()))="Yes","Y",IF(IF(INDIRECT("brand_form!R"&amp;ROW())="","",INDIRECT("brand_form!R"&amp;ROW()))="No","N",IF(IF(INDIRECT("brand_form!R"&amp;ROW())="","",INDIRECT("brand_form!R"&amp;ROW()))="Not sure","unsure",""))))</f>
        <v/>
      </c>
      <c r="T7" s="25">
        <f>IF(INDIRECT("brand_form!A"&amp;ROW())="","",IF(IF(INDIRECT("brand_form!S"&amp;ROW())="","",INDIRECT("brand_form!S"&amp;ROW()))="Yes","Y",IF(IF(INDIRECT("brand_form!S"&amp;ROW())="","",INDIRECT("brand_form!S"&amp;ROW()))="No","N",IF(IF(INDIRECT("brand_form!S"&amp;ROW())="","",INDIRECT("brand_form!S"&amp;ROW()))="Not sure","unsure",""))))</f>
        <v/>
      </c>
      <c r="U7" s="25">
        <f>IF(INDIRECT("brand_form!A"&amp;ROW())="","",IF(IF(INDIRECT("brand_form!T"&amp;ROW())="","",INDIRECT("brand_form!T"&amp;ROW()))="Yes","Y",IF(IF(INDIRECT("brand_form!T"&amp;ROW())="","",INDIRECT("brand_form!T"&amp;ROW()))="No","N",IF(IF(INDIRECT("brand_form!T"&amp;ROW())="","",INDIRECT("brand_form!T"&amp;ROW()))="Not sure","unsure",""))))</f>
        <v/>
      </c>
      <c r="V7" s="25">
        <f>IF(INDIRECT("brand_form!A"&amp;ROW())="","",IF(IF(INDIRECT("brand_form!U"&amp;ROW())="","",INDIRECT("brand_form!U"&amp;ROW()))="Yes","Y",IF(IF(INDIRECT("brand_form!U"&amp;ROW())="","",INDIRECT("brand_form!U"&amp;ROW()))="No","N",IF(IF(INDIRECT("brand_form!U"&amp;ROW())="","",INDIRECT("brand_form!U"&amp;ROW()))="Not sure","unsure",""))))</f>
        <v/>
      </c>
      <c r="W7" s="25">
        <f>IF(INDIRECT("brand_form!A"&amp;ROW())="","",IF(IF(INDIRECT("brand_form!V"&amp;ROW())="","",INDIRECT("brand_form!V"&amp;ROW()))="Yes","Y",IF(IF(INDIRECT("brand_form!V"&amp;ROW())="","",INDIRECT("brand_form!V"&amp;ROW()))="No","N",IF(IF(INDIRECT("brand_form!V"&amp;ROW())="","",INDIRECT("brand_form!V"&amp;ROW()))="Not sure","unsure",""))))</f>
        <v/>
      </c>
      <c r="X7" s="25">
        <f>IF(INDIRECT("brand_form!A"&amp;ROW())="","",IF(INDIRECT("brand_form!W"&amp;ROW())="","",INDIRECT("brand_form!W"&amp;ROW())))</f>
        <v/>
      </c>
      <c r="Y7" s="25">
        <f>IF(INDIRECT("brand_form!A"&amp;ROW())="","",IF(IF(INDIRECT("brand_form!X"&amp;ROW())="","",INDIRECT("brand_form!X"&amp;ROW()))&lt;&gt;"","Y",""))</f>
        <v/>
      </c>
      <c r="Z7" s="25">
        <f>IF(INDIRECT("brand_form!A"&amp;ROW())="","",IF(INDIRECT("brand_form!Y"&amp;ROW())="","",INDIRECT("brand_form!Y"&amp;ROW())))</f>
        <v/>
      </c>
      <c r="AA7" s="25">
        <f>IF(INDIRECT("brand_form!A"&amp;ROW())="","","founder")</f>
        <v/>
      </c>
    </row>
    <row r="8">
      <c r="A8" s="25">
        <f>IF(INDIRECT("brand_form!A"&amp;ROW())="","",TEXT(INDIRECT("brand_form!A"&amp;ROW()),"yyyy-mm-dd""T""hh:mm:ss"))</f>
        <v/>
      </c>
      <c r="B8" s="25">
        <f>IF(INDIRECT("brand_form!A"&amp;ROW())="","",config!$B$35)</f>
        <v/>
      </c>
      <c r="C8" s="25">
        <f>IF(INDIRECT("brand_form!A"&amp;ROW())="","",IF(INDIRECT("brand_form!B"&amp;ROW())="","",INDIRECT("brand_form!B"&amp;ROW())))</f>
        <v/>
      </c>
      <c r="D8" s="25">
        <f>IF(INDIRECT("brand_form!A"&amp;ROW())="","",IF(IF(INDIRECT("brand_form!C"&amp;ROW())="","",INDIRECT("brand_form!C"&amp;ROW()))="","",IF(LEFT(LOWER(IF(INDIRECT("brand_form!C"&amp;ROW())="","",INDIRECT("brand_form!C"&amp;ROW()))),4)="http",IF(INDIRECT("brand_form!C"&amp;ROW())="","",INDIRECT("brand_form!C"&amp;ROW())),"https://"&amp;IF(INDIRECT("brand_form!C"&amp;ROW())="","",INDIRECT("brand_form!C"&amp;ROW())))))</f>
        <v/>
      </c>
      <c r="E8" s="25">
        <f>IF(INDIRECT("brand_form!A"&amp;ROW())="","",IF(INDIRECT("brand_form!G"&amp;ROW())="","",INDIRECT("brand_form!G"&amp;ROW())))</f>
        <v/>
      </c>
      <c r="F8" s="25">
        <f>IF(INDIRECT("brand_form!A"&amp;ROW())="","",IF(INDIRECT("brand_form!H"&amp;ROW())="","",INDIRECT("brand_form!H"&amp;ROW())))</f>
        <v/>
      </c>
      <c r="G8" s="25">
        <f>IF(INDIRECT("brand_form!A"&amp;ROW())="","",IF(INDIRECT("brand_form!I"&amp;ROW())="","",INDIRECT("brand_form!I"&amp;ROW())))</f>
        <v/>
      </c>
      <c r="H8" s="25">
        <f>IF(INDIRECT("brand_form!A"&amp;ROW())="","",IF(INDIRECT("brand_form!J"&amp;ROW())="","",INDIRECT("brand_form!J"&amp;ROW())))</f>
        <v/>
      </c>
      <c r="I8" s="25">
        <f>IF(INDIRECT("brand_form!A"&amp;ROW())="","",IF(INDIRECT("brand_form!D"&amp;ROW())="","",INDIRECT("brand_form!D"&amp;ROW())))</f>
        <v/>
      </c>
      <c r="J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 s="25">
        <f>IF(INDIRECT("brand_form!A"&amp;ROW())="","",IF(INDIRECT("brand_form!F"&amp;ROW())="","",INDIRECT("brand_form!F"&amp;ROW())))</f>
        <v/>
      </c>
      <c r="L8" s="25">
        <f>IF(INDIRECT("brand_form!A"&amp;ROW())="","",IF(INDIRECT("brand_form!M"&amp;ROW())="","",INDIRECT("brand_form!M"&amp;ROW())))</f>
        <v/>
      </c>
      <c r="M8" s="25">
        <f>IF(INDIRECT("brand_form!A"&amp;ROW())="","",IF(IF(INDIRECT("brand_form!N"&amp;ROW())="","",INDIRECT("brand_form!N"&amp;ROW()))="","",IF(LEFT(LOWER(IF(INDIRECT("brand_form!N"&amp;ROW())="","",INDIRECT("brand_form!N"&amp;ROW()))),4)="http",IF(INDIRECT("brand_form!N"&amp;ROW())="","",INDIRECT("brand_form!N"&amp;ROW())),"https://"&amp;IF(INDIRECT("brand_form!N"&amp;ROW())="","",INDIRECT("brand_form!N"&amp;ROW())))))</f>
        <v/>
      </c>
      <c r="N8" s="25">
        <f>IF(INDIRECT("brand_form!A"&amp;ROW())="","",IF(IF(INDIRECT("brand_form!O"&amp;ROW())="","",INDIRECT("brand_form!O"&amp;ROW()))="Yes","Y",IF(IF(INDIRECT("brand_form!O"&amp;ROW())="","",INDIRECT("brand_form!O"&amp;ROW()))="No","N","")))</f>
        <v/>
      </c>
      <c r="O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 s="25">
        <f>IF(INDIRECT("brand_form!A"&amp;ROW())="","",IF(IF(INDIRECT("brand_form!K"&amp;ROW())="","",INDIRECT("brand_form!K"&amp;ROW()))="I do","Y",IF(IF(INDIRECT("brand_form!K"&amp;ROW())="","",INDIRECT("brand_form!K"&amp;ROW()))="Someone else","N","")))</f>
        <v/>
      </c>
      <c r="Q8" s="25">
        <f>IF(INDIRECT("brand_form!A"&amp;ROW())="","",IF($P8="Y",$E8&amp;", "&amp;$F8,IF(INDIRECT("brand_form!L"&amp;ROW())="","",INDIRECT("brand_form!L"&amp;ROW()))))</f>
        <v/>
      </c>
      <c r="R8" s="25">
        <f>IF(INDIRECT("brand_form!A"&amp;ROW())="","",IF(IF(INDIRECT("brand_form!Q"&amp;ROW())="","",INDIRECT("brand_form!Q"&amp;ROW()))="Yes","Y",IF(IF(INDIRECT("brand_form!Q"&amp;ROW())="","",INDIRECT("brand_form!Q"&amp;ROW()))="No","N",IF(IF(INDIRECT("brand_form!Q"&amp;ROW())="","",INDIRECT("brand_form!Q"&amp;ROW()))="Not sure","unsure",""))))</f>
        <v/>
      </c>
      <c r="S8" s="25">
        <f>IF(INDIRECT("brand_form!A"&amp;ROW())="","",IF(IF(INDIRECT("brand_form!R"&amp;ROW())="","",INDIRECT("brand_form!R"&amp;ROW()))="Yes","Y",IF(IF(INDIRECT("brand_form!R"&amp;ROW())="","",INDIRECT("brand_form!R"&amp;ROW()))="No","N",IF(IF(INDIRECT("brand_form!R"&amp;ROW())="","",INDIRECT("brand_form!R"&amp;ROW()))="Not sure","unsure",""))))</f>
        <v/>
      </c>
      <c r="T8" s="25">
        <f>IF(INDIRECT("brand_form!A"&amp;ROW())="","",IF(IF(INDIRECT("brand_form!S"&amp;ROW())="","",INDIRECT("brand_form!S"&amp;ROW()))="Yes","Y",IF(IF(INDIRECT("brand_form!S"&amp;ROW())="","",INDIRECT("brand_form!S"&amp;ROW()))="No","N",IF(IF(INDIRECT("brand_form!S"&amp;ROW())="","",INDIRECT("brand_form!S"&amp;ROW()))="Not sure","unsure",""))))</f>
        <v/>
      </c>
      <c r="U8" s="25">
        <f>IF(INDIRECT("brand_form!A"&amp;ROW())="","",IF(IF(INDIRECT("brand_form!T"&amp;ROW())="","",INDIRECT("brand_form!T"&amp;ROW()))="Yes","Y",IF(IF(INDIRECT("brand_form!T"&amp;ROW())="","",INDIRECT("brand_form!T"&amp;ROW()))="No","N",IF(IF(INDIRECT("brand_form!T"&amp;ROW())="","",INDIRECT("brand_form!T"&amp;ROW()))="Not sure","unsure",""))))</f>
        <v/>
      </c>
      <c r="V8" s="25">
        <f>IF(INDIRECT("brand_form!A"&amp;ROW())="","",IF(IF(INDIRECT("brand_form!U"&amp;ROW())="","",INDIRECT("brand_form!U"&amp;ROW()))="Yes","Y",IF(IF(INDIRECT("brand_form!U"&amp;ROW())="","",INDIRECT("brand_form!U"&amp;ROW()))="No","N",IF(IF(INDIRECT("brand_form!U"&amp;ROW())="","",INDIRECT("brand_form!U"&amp;ROW()))="Not sure","unsure",""))))</f>
        <v/>
      </c>
      <c r="W8" s="25">
        <f>IF(INDIRECT("brand_form!A"&amp;ROW())="","",IF(IF(INDIRECT("brand_form!V"&amp;ROW())="","",INDIRECT("brand_form!V"&amp;ROW()))="Yes","Y",IF(IF(INDIRECT("brand_form!V"&amp;ROW())="","",INDIRECT("brand_form!V"&amp;ROW()))="No","N",IF(IF(INDIRECT("brand_form!V"&amp;ROW())="","",INDIRECT("brand_form!V"&amp;ROW()))="Not sure","unsure",""))))</f>
        <v/>
      </c>
      <c r="X8" s="25">
        <f>IF(INDIRECT("brand_form!A"&amp;ROW())="","",IF(INDIRECT("brand_form!W"&amp;ROW())="","",INDIRECT("brand_form!W"&amp;ROW())))</f>
        <v/>
      </c>
      <c r="Y8" s="25">
        <f>IF(INDIRECT("brand_form!A"&amp;ROW())="","",IF(IF(INDIRECT("brand_form!X"&amp;ROW())="","",INDIRECT("brand_form!X"&amp;ROW()))&lt;&gt;"","Y",""))</f>
        <v/>
      </c>
      <c r="Z8" s="25">
        <f>IF(INDIRECT("brand_form!A"&amp;ROW())="","",IF(INDIRECT("brand_form!Y"&amp;ROW())="","",INDIRECT("brand_form!Y"&amp;ROW())))</f>
        <v/>
      </c>
      <c r="AA8" s="25">
        <f>IF(INDIRECT("brand_form!A"&amp;ROW())="","","founder")</f>
        <v/>
      </c>
    </row>
    <row r="9">
      <c r="A9" s="25">
        <f>IF(INDIRECT("brand_form!A"&amp;ROW())="","",TEXT(INDIRECT("brand_form!A"&amp;ROW()),"yyyy-mm-dd""T""hh:mm:ss"))</f>
        <v/>
      </c>
      <c r="B9" s="25">
        <f>IF(INDIRECT("brand_form!A"&amp;ROW())="","",config!$B$35)</f>
        <v/>
      </c>
      <c r="C9" s="25">
        <f>IF(INDIRECT("brand_form!A"&amp;ROW())="","",IF(INDIRECT("brand_form!B"&amp;ROW())="","",INDIRECT("brand_form!B"&amp;ROW())))</f>
        <v/>
      </c>
      <c r="D9" s="25">
        <f>IF(INDIRECT("brand_form!A"&amp;ROW())="","",IF(IF(INDIRECT("brand_form!C"&amp;ROW())="","",INDIRECT("brand_form!C"&amp;ROW()))="","",IF(LEFT(LOWER(IF(INDIRECT("brand_form!C"&amp;ROW())="","",INDIRECT("brand_form!C"&amp;ROW()))),4)="http",IF(INDIRECT("brand_form!C"&amp;ROW())="","",INDIRECT("brand_form!C"&amp;ROW())),"https://"&amp;IF(INDIRECT("brand_form!C"&amp;ROW())="","",INDIRECT("brand_form!C"&amp;ROW())))))</f>
        <v/>
      </c>
      <c r="E9" s="25">
        <f>IF(INDIRECT("brand_form!A"&amp;ROW())="","",IF(INDIRECT("brand_form!G"&amp;ROW())="","",INDIRECT("brand_form!G"&amp;ROW())))</f>
        <v/>
      </c>
      <c r="F9" s="25">
        <f>IF(INDIRECT("brand_form!A"&amp;ROW())="","",IF(INDIRECT("brand_form!H"&amp;ROW())="","",INDIRECT("brand_form!H"&amp;ROW())))</f>
        <v/>
      </c>
      <c r="G9" s="25">
        <f>IF(INDIRECT("brand_form!A"&amp;ROW())="","",IF(INDIRECT("brand_form!I"&amp;ROW())="","",INDIRECT("brand_form!I"&amp;ROW())))</f>
        <v/>
      </c>
      <c r="H9" s="25">
        <f>IF(INDIRECT("brand_form!A"&amp;ROW())="","",IF(INDIRECT("brand_form!J"&amp;ROW())="","",INDIRECT("brand_form!J"&amp;ROW())))</f>
        <v/>
      </c>
      <c r="I9" s="25">
        <f>IF(INDIRECT("brand_form!A"&amp;ROW())="","",IF(INDIRECT("brand_form!D"&amp;ROW())="","",INDIRECT("brand_form!D"&amp;ROW())))</f>
        <v/>
      </c>
      <c r="J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9" s="25">
        <f>IF(INDIRECT("brand_form!A"&amp;ROW())="","",IF(INDIRECT("brand_form!F"&amp;ROW())="","",INDIRECT("brand_form!F"&amp;ROW())))</f>
        <v/>
      </c>
      <c r="L9" s="25">
        <f>IF(INDIRECT("brand_form!A"&amp;ROW())="","",IF(INDIRECT("brand_form!M"&amp;ROW())="","",INDIRECT("brand_form!M"&amp;ROW())))</f>
        <v/>
      </c>
      <c r="M9" s="25">
        <f>IF(INDIRECT("brand_form!A"&amp;ROW())="","",IF(IF(INDIRECT("brand_form!N"&amp;ROW())="","",INDIRECT("brand_form!N"&amp;ROW()))="","",IF(LEFT(LOWER(IF(INDIRECT("brand_form!N"&amp;ROW())="","",INDIRECT("brand_form!N"&amp;ROW()))),4)="http",IF(INDIRECT("brand_form!N"&amp;ROW())="","",INDIRECT("brand_form!N"&amp;ROW())),"https://"&amp;IF(INDIRECT("brand_form!N"&amp;ROW())="","",INDIRECT("brand_form!N"&amp;ROW())))))</f>
        <v/>
      </c>
      <c r="N9" s="25">
        <f>IF(INDIRECT("brand_form!A"&amp;ROW())="","",IF(IF(INDIRECT("brand_form!O"&amp;ROW())="","",INDIRECT("brand_form!O"&amp;ROW()))="Yes","Y",IF(IF(INDIRECT("brand_form!O"&amp;ROW())="","",INDIRECT("brand_form!O"&amp;ROW()))="No","N","")))</f>
        <v/>
      </c>
      <c r="O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9" s="25">
        <f>IF(INDIRECT("brand_form!A"&amp;ROW())="","",IF(IF(INDIRECT("brand_form!K"&amp;ROW())="","",INDIRECT("brand_form!K"&amp;ROW()))="I do","Y",IF(IF(INDIRECT("brand_form!K"&amp;ROW())="","",INDIRECT("brand_form!K"&amp;ROW()))="Someone else","N","")))</f>
        <v/>
      </c>
      <c r="Q9" s="25">
        <f>IF(INDIRECT("brand_form!A"&amp;ROW())="","",IF($P9="Y",$E9&amp;", "&amp;$F9,IF(INDIRECT("brand_form!L"&amp;ROW())="","",INDIRECT("brand_form!L"&amp;ROW()))))</f>
        <v/>
      </c>
      <c r="R9" s="25">
        <f>IF(INDIRECT("brand_form!A"&amp;ROW())="","",IF(IF(INDIRECT("brand_form!Q"&amp;ROW())="","",INDIRECT("brand_form!Q"&amp;ROW()))="Yes","Y",IF(IF(INDIRECT("brand_form!Q"&amp;ROW())="","",INDIRECT("brand_form!Q"&amp;ROW()))="No","N",IF(IF(INDIRECT("brand_form!Q"&amp;ROW())="","",INDIRECT("brand_form!Q"&amp;ROW()))="Not sure","unsure",""))))</f>
        <v/>
      </c>
      <c r="S9" s="25">
        <f>IF(INDIRECT("brand_form!A"&amp;ROW())="","",IF(IF(INDIRECT("brand_form!R"&amp;ROW())="","",INDIRECT("brand_form!R"&amp;ROW()))="Yes","Y",IF(IF(INDIRECT("brand_form!R"&amp;ROW())="","",INDIRECT("brand_form!R"&amp;ROW()))="No","N",IF(IF(INDIRECT("brand_form!R"&amp;ROW())="","",INDIRECT("brand_form!R"&amp;ROW()))="Not sure","unsure",""))))</f>
        <v/>
      </c>
      <c r="T9" s="25">
        <f>IF(INDIRECT("brand_form!A"&amp;ROW())="","",IF(IF(INDIRECT("brand_form!S"&amp;ROW())="","",INDIRECT("brand_form!S"&amp;ROW()))="Yes","Y",IF(IF(INDIRECT("brand_form!S"&amp;ROW())="","",INDIRECT("brand_form!S"&amp;ROW()))="No","N",IF(IF(INDIRECT("brand_form!S"&amp;ROW())="","",INDIRECT("brand_form!S"&amp;ROW()))="Not sure","unsure",""))))</f>
        <v/>
      </c>
      <c r="U9" s="25">
        <f>IF(INDIRECT("brand_form!A"&amp;ROW())="","",IF(IF(INDIRECT("brand_form!T"&amp;ROW())="","",INDIRECT("brand_form!T"&amp;ROW()))="Yes","Y",IF(IF(INDIRECT("brand_form!T"&amp;ROW())="","",INDIRECT("brand_form!T"&amp;ROW()))="No","N",IF(IF(INDIRECT("brand_form!T"&amp;ROW())="","",INDIRECT("brand_form!T"&amp;ROW()))="Not sure","unsure",""))))</f>
        <v/>
      </c>
      <c r="V9" s="25">
        <f>IF(INDIRECT("brand_form!A"&amp;ROW())="","",IF(IF(INDIRECT("brand_form!U"&amp;ROW())="","",INDIRECT("brand_form!U"&amp;ROW()))="Yes","Y",IF(IF(INDIRECT("brand_form!U"&amp;ROW())="","",INDIRECT("brand_form!U"&amp;ROW()))="No","N",IF(IF(INDIRECT("brand_form!U"&amp;ROW())="","",INDIRECT("brand_form!U"&amp;ROW()))="Not sure","unsure",""))))</f>
        <v/>
      </c>
      <c r="W9" s="25">
        <f>IF(INDIRECT("brand_form!A"&amp;ROW())="","",IF(IF(INDIRECT("brand_form!V"&amp;ROW())="","",INDIRECT("brand_form!V"&amp;ROW()))="Yes","Y",IF(IF(INDIRECT("brand_form!V"&amp;ROW())="","",INDIRECT("brand_form!V"&amp;ROW()))="No","N",IF(IF(INDIRECT("brand_form!V"&amp;ROW())="","",INDIRECT("brand_form!V"&amp;ROW()))="Not sure","unsure",""))))</f>
        <v/>
      </c>
      <c r="X9" s="25">
        <f>IF(INDIRECT("brand_form!A"&amp;ROW())="","",IF(INDIRECT("brand_form!W"&amp;ROW())="","",INDIRECT("brand_form!W"&amp;ROW())))</f>
        <v/>
      </c>
      <c r="Y9" s="25">
        <f>IF(INDIRECT("brand_form!A"&amp;ROW())="","",IF(IF(INDIRECT("brand_form!X"&amp;ROW())="","",INDIRECT("brand_form!X"&amp;ROW()))&lt;&gt;"","Y",""))</f>
        <v/>
      </c>
      <c r="Z9" s="25">
        <f>IF(INDIRECT("brand_form!A"&amp;ROW())="","",IF(INDIRECT("brand_form!Y"&amp;ROW())="","",INDIRECT("brand_form!Y"&amp;ROW())))</f>
        <v/>
      </c>
      <c r="AA9" s="25">
        <f>IF(INDIRECT("brand_form!A"&amp;ROW())="","","founder")</f>
        <v/>
      </c>
    </row>
    <row r="10">
      <c r="A10" s="25">
        <f>IF(INDIRECT("brand_form!A"&amp;ROW())="","",TEXT(INDIRECT("brand_form!A"&amp;ROW()),"yyyy-mm-dd""T""hh:mm:ss"))</f>
        <v/>
      </c>
      <c r="B10" s="25">
        <f>IF(INDIRECT("brand_form!A"&amp;ROW())="","",config!$B$35)</f>
        <v/>
      </c>
      <c r="C10" s="25">
        <f>IF(INDIRECT("brand_form!A"&amp;ROW())="","",IF(INDIRECT("brand_form!B"&amp;ROW())="","",INDIRECT("brand_form!B"&amp;ROW())))</f>
        <v/>
      </c>
      <c r="D10" s="25">
        <f>IF(INDIRECT("brand_form!A"&amp;ROW())="","",IF(IF(INDIRECT("brand_form!C"&amp;ROW())="","",INDIRECT("brand_form!C"&amp;ROW()))="","",IF(LEFT(LOWER(IF(INDIRECT("brand_form!C"&amp;ROW())="","",INDIRECT("brand_form!C"&amp;ROW()))),4)="http",IF(INDIRECT("brand_form!C"&amp;ROW())="","",INDIRECT("brand_form!C"&amp;ROW())),"https://"&amp;IF(INDIRECT("brand_form!C"&amp;ROW())="","",INDIRECT("brand_form!C"&amp;ROW())))))</f>
        <v/>
      </c>
      <c r="E10" s="25">
        <f>IF(INDIRECT("brand_form!A"&amp;ROW())="","",IF(INDIRECT("brand_form!G"&amp;ROW())="","",INDIRECT("brand_form!G"&amp;ROW())))</f>
        <v/>
      </c>
      <c r="F10" s="25">
        <f>IF(INDIRECT("brand_form!A"&amp;ROW())="","",IF(INDIRECT("brand_form!H"&amp;ROW())="","",INDIRECT("brand_form!H"&amp;ROW())))</f>
        <v/>
      </c>
      <c r="G10" s="25">
        <f>IF(INDIRECT("brand_form!A"&amp;ROW())="","",IF(INDIRECT("brand_form!I"&amp;ROW())="","",INDIRECT("brand_form!I"&amp;ROW())))</f>
        <v/>
      </c>
      <c r="H10" s="25">
        <f>IF(INDIRECT("brand_form!A"&amp;ROW())="","",IF(INDIRECT("brand_form!J"&amp;ROW())="","",INDIRECT("brand_form!J"&amp;ROW())))</f>
        <v/>
      </c>
      <c r="I10" s="25">
        <f>IF(INDIRECT("brand_form!A"&amp;ROW())="","",IF(INDIRECT("brand_form!D"&amp;ROW())="","",INDIRECT("brand_form!D"&amp;ROW())))</f>
        <v/>
      </c>
      <c r="J1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0" s="25">
        <f>IF(INDIRECT("brand_form!A"&amp;ROW())="","",IF(INDIRECT("brand_form!F"&amp;ROW())="","",INDIRECT("brand_form!F"&amp;ROW())))</f>
        <v/>
      </c>
      <c r="L10" s="25">
        <f>IF(INDIRECT("brand_form!A"&amp;ROW())="","",IF(INDIRECT("brand_form!M"&amp;ROW())="","",INDIRECT("brand_form!M"&amp;ROW())))</f>
        <v/>
      </c>
      <c r="M10" s="25">
        <f>IF(INDIRECT("brand_form!A"&amp;ROW())="","",IF(IF(INDIRECT("brand_form!N"&amp;ROW())="","",INDIRECT("brand_form!N"&amp;ROW()))="","",IF(LEFT(LOWER(IF(INDIRECT("brand_form!N"&amp;ROW())="","",INDIRECT("brand_form!N"&amp;ROW()))),4)="http",IF(INDIRECT("brand_form!N"&amp;ROW())="","",INDIRECT("brand_form!N"&amp;ROW())),"https://"&amp;IF(INDIRECT("brand_form!N"&amp;ROW())="","",INDIRECT("brand_form!N"&amp;ROW())))))</f>
        <v/>
      </c>
      <c r="N10" s="25">
        <f>IF(INDIRECT("brand_form!A"&amp;ROW())="","",IF(IF(INDIRECT("brand_form!O"&amp;ROW())="","",INDIRECT("brand_form!O"&amp;ROW()))="Yes","Y",IF(IF(INDIRECT("brand_form!O"&amp;ROW())="","",INDIRECT("brand_form!O"&amp;ROW()))="No","N","")))</f>
        <v/>
      </c>
      <c r="O1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0" s="25">
        <f>IF(INDIRECT("brand_form!A"&amp;ROW())="","",IF(IF(INDIRECT("brand_form!K"&amp;ROW())="","",INDIRECT("brand_form!K"&amp;ROW()))="I do","Y",IF(IF(INDIRECT("brand_form!K"&amp;ROW())="","",INDIRECT("brand_form!K"&amp;ROW()))="Someone else","N","")))</f>
        <v/>
      </c>
      <c r="Q10" s="25">
        <f>IF(INDIRECT("brand_form!A"&amp;ROW())="","",IF($P10="Y",$E10&amp;", "&amp;$F10,IF(INDIRECT("brand_form!L"&amp;ROW())="","",INDIRECT("brand_form!L"&amp;ROW()))))</f>
        <v/>
      </c>
      <c r="R10" s="25">
        <f>IF(INDIRECT("brand_form!A"&amp;ROW())="","",IF(IF(INDIRECT("brand_form!Q"&amp;ROW())="","",INDIRECT("brand_form!Q"&amp;ROW()))="Yes","Y",IF(IF(INDIRECT("brand_form!Q"&amp;ROW())="","",INDIRECT("brand_form!Q"&amp;ROW()))="No","N",IF(IF(INDIRECT("brand_form!Q"&amp;ROW())="","",INDIRECT("brand_form!Q"&amp;ROW()))="Not sure","unsure",""))))</f>
        <v/>
      </c>
      <c r="S10" s="25">
        <f>IF(INDIRECT("brand_form!A"&amp;ROW())="","",IF(IF(INDIRECT("brand_form!R"&amp;ROW())="","",INDIRECT("brand_form!R"&amp;ROW()))="Yes","Y",IF(IF(INDIRECT("brand_form!R"&amp;ROW())="","",INDIRECT("brand_form!R"&amp;ROW()))="No","N",IF(IF(INDIRECT("brand_form!R"&amp;ROW())="","",INDIRECT("brand_form!R"&amp;ROW()))="Not sure","unsure",""))))</f>
        <v/>
      </c>
      <c r="T10" s="25">
        <f>IF(INDIRECT("brand_form!A"&amp;ROW())="","",IF(IF(INDIRECT("brand_form!S"&amp;ROW())="","",INDIRECT("brand_form!S"&amp;ROW()))="Yes","Y",IF(IF(INDIRECT("brand_form!S"&amp;ROW())="","",INDIRECT("brand_form!S"&amp;ROW()))="No","N",IF(IF(INDIRECT("brand_form!S"&amp;ROW())="","",INDIRECT("brand_form!S"&amp;ROW()))="Not sure","unsure",""))))</f>
        <v/>
      </c>
      <c r="U10" s="25">
        <f>IF(INDIRECT("brand_form!A"&amp;ROW())="","",IF(IF(INDIRECT("brand_form!T"&amp;ROW())="","",INDIRECT("brand_form!T"&amp;ROW()))="Yes","Y",IF(IF(INDIRECT("brand_form!T"&amp;ROW())="","",INDIRECT("brand_form!T"&amp;ROW()))="No","N",IF(IF(INDIRECT("brand_form!T"&amp;ROW())="","",INDIRECT("brand_form!T"&amp;ROW()))="Not sure","unsure",""))))</f>
        <v/>
      </c>
      <c r="V10" s="25">
        <f>IF(INDIRECT("brand_form!A"&amp;ROW())="","",IF(IF(INDIRECT("brand_form!U"&amp;ROW())="","",INDIRECT("brand_form!U"&amp;ROW()))="Yes","Y",IF(IF(INDIRECT("brand_form!U"&amp;ROW())="","",INDIRECT("brand_form!U"&amp;ROW()))="No","N",IF(IF(INDIRECT("brand_form!U"&amp;ROW())="","",INDIRECT("brand_form!U"&amp;ROW()))="Not sure","unsure",""))))</f>
        <v/>
      </c>
      <c r="W10" s="25">
        <f>IF(INDIRECT("brand_form!A"&amp;ROW())="","",IF(IF(INDIRECT("brand_form!V"&amp;ROW())="","",INDIRECT("brand_form!V"&amp;ROW()))="Yes","Y",IF(IF(INDIRECT("brand_form!V"&amp;ROW())="","",INDIRECT("brand_form!V"&amp;ROW()))="No","N",IF(IF(INDIRECT("brand_form!V"&amp;ROW())="","",INDIRECT("brand_form!V"&amp;ROW()))="Not sure","unsure",""))))</f>
        <v/>
      </c>
      <c r="X10" s="25">
        <f>IF(INDIRECT("brand_form!A"&amp;ROW())="","",IF(INDIRECT("brand_form!W"&amp;ROW())="","",INDIRECT("brand_form!W"&amp;ROW())))</f>
        <v/>
      </c>
      <c r="Y10" s="25">
        <f>IF(INDIRECT("brand_form!A"&amp;ROW())="","",IF(IF(INDIRECT("brand_form!X"&amp;ROW())="","",INDIRECT("brand_form!X"&amp;ROW()))&lt;&gt;"","Y",""))</f>
        <v/>
      </c>
      <c r="Z10" s="25">
        <f>IF(INDIRECT("brand_form!A"&amp;ROW())="","",IF(INDIRECT("brand_form!Y"&amp;ROW())="","",INDIRECT("brand_form!Y"&amp;ROW())))</f>
        <v/>
      </c>
      <c r="AA10" s="25">
        <f>IF(INDIRECT("brand_form!A"&amp;ROW())="","","founder")</f>
        <v/>
      </c>
    </row>
    <row r="11">
      <c r="A11" s="25">
        <f>IF(INDIRECT("brand_form!A"&amp;ROW())="","",TEXT(INDIRECT("brand_form!A"&amp;ROW()),"yyyy-mm-dd""T""hh:mm:ss"))</f>
        <v/>
      </c>
      <c r="B11" s="25">
        <f>IF(INDIRECT("brand_form!A"&amp;ROW())="","",config!$B$35)</f>
        <v/>
      </c>
      <c r="C11" s="25">
        <f>IF(INDIRECT("brand_form!A"&amp;ROW())="","",IF(INDIRECT("brand_form!B"&amp;ROW())="","",INDIRECT("brand_form!B"&amp;ROW())))</f>
        <v/>
      </c>
      <c r="D11" s="25">
        <f>IF(INDIRECT("brand_form!A"&amp;ROW())="","",IF(IF(INDIRECT("brand_form!C"&amp;ROW())="","",INDIRECT("brand_form!C"&amp;ROW()))="","",IF(LEFT(LOWER(IF(INDIRECT("brand_form!C"&amp;ROW())="","",INDIRECT("brand_form!C"&amp;ROW()))),4)="http",IF(INDIRECT("brand_form!C"&amp;ROW())="","",INDIRECT("brand_form!C"&amp;ROW())),"https://"&amp;IF(INDIRECT("brand_form!C"&amp;ROW())="","",INDIRECT("brand_form!C"&amp;ROW())))))</f>
        <v/>
      </c>
      <c r="E11" s="25">
        <f>IF(INDIRECT("brand_form!A"&amp;ROW())="","",IF(INDIRECT("brand_form!G"&amp;ROW())="","",INDIRECT("brand_form!G"&amp;ROW())))</f>
        <v/>
      </c>
      <c r="F11" s="25">
        <f>IF(INDIRECT("brand_form!A"&amp;ROW())="","",IF(INDIRECT("brand_form!H"&amp;ROW())="","",INDIRECT("brand_form!H"&amp;ROW())))</f>
        <v/>
      </c>
      <c r="G11" s="25">
        <f>IF(INDIRECT("brand_form!A"&amp;ROW())="","",IF(INDIRECT("brand_form!I"&amp;ROW())="","",INDIRECT("brand_form!I"&amp;ROW())))</f>
        <v/>
      </c>
      <c r="H11" s="25">
        <f>IF(INDIRECT("brand_form!A"&amp;ROW())="","",IF(INDIRECT("brand_form!J"&amp;ROW())="","",INDIRECT("brand_form!J"&amp;ROW())))</f>
        <v/>
      </c>
      <c r="I11" s="25">
        <f>IF(INDIRECT("brand_form!A"&amp;ROW())="","",IF(INDIRECT("brand_form!D"&amp;ROW())="","",INDIRECT("brand_form!D"&amp;ROW())))</f>
        <v/>
      </c>
      <c r="J1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1" s="25">
        <f>IF(INDIRECT("brand_form!A"&amp;ROW())="","",IF(INDIRECT("brand_form!F"&amp;ROW())="","",INDIRECT("brand_form!F"&amp;ROW())))</f>
        <v/>
      </c>
      <c r="L11" s="25">
        <f>IF(INDIRECT("brand_form!A"&amp;ROW())="","",IF(INDIRECT("brand_form!M"&amp;ROW())="","",INDIRECT("brand_form!M"&amp;ROW())))</f>
        <v/>
      </c>
      <c r="M11" s="25">
        <f>IF(INDIRECT("brand_form!A"&amp;ROW())="","",IF(IF(INDIRECT("brand_form!N"&amp;ROW())="","",INDIRECT("brand_form!N"&amp;ROW()))="","",IF(LEFT(LOWER(IF(INDIRECT("brand_form!N"&amp;ROW())="","",INDIRECT("brand_form!N"&amp;ROW()))),4)="http",IF(INDIRECT("brand_form!N"&amp;ROW())="","",INDIRECT("brand_form!N"&amp;ROW())),"https://"&amp;IF(INDIRECT("brand_form!N"&amp;ROW())="","",INDIRECT("brand_form!N"&amp;ROW())))))</f>
        <v/>
      </c>
      <c r="N11" s="25">
        <f>IF(INDIRECT("brand_form!A"&amp;ROW())="","",IF(IF(INDIRECT("brand_form!O"&amp;ROW())="","",INDIRECT("brand_form!O"&amp;ROW()))="Yes","Y",IF(IF(INDIRECT("brand_form!O"&amp;ROW())="","",INDIRECT("brand_form!O"&amp;ROW()))="No","N","")))</f>
        <v/>
      </c>
      <c r="O1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1" s="25">
        <f>IF(INDIRECT("brand_form!A"&amp;ROW())="","",IF(IF(INDIRECT("brand_form!K"&amp;ROW())="","",INDIRECT("brand_form!K"&amp;ROW()))="I do","Y",IF(IF(INDIRECT("brand_form!K"&amp;ROW())="","",INDIRECT("brand_form!K"&amp;ROW()))="Someone else","N","")))</f>
        <v/>
      </c>
      <c r="Q11" s="25">
        <f>IF(INDIRECT("brand_form!A"&amp;ROW())="","",IF($P11="Y",$E11&amp;", "&amp;$F11,IF(INDIRECT("brand_form!L"&amp;ROW())="","",INDIRECT("brand_form!L"&amp;ROW()))))</f>
        <v/>
      </c>
      <c r="R11" s="25">
        <f>IF(INDIRECT("brand_form!A"&amp;ROW())="","",IF(IF(INDIRECT("brand_form!Q"&amp;ROW())="","",INDIRECT("brand_form!Q"&amp;ROW()))="Yes","Y",IF(IF(INDIRECT("brand_form!Q"&amp;ROW())="","",INDIRECT("brand_form!Q"&amp;ROW()))="No","N",IF(IF(INDIRECT("brand_form!Q"&amp;ROW())="","",INDIRECT("brand_form!Q"&amp;ROW()))="Not sure","unsure",""))))</f>
        <v/>
      </c>
      <c r="S11" s="25">
        <f>IF(INDIRECT("brand_form!A"&amp;ROW())="","",IF(IF(INDIRECT("brand_form!R"&amp;ROW())="","",INDIRECT("brand_form!R"&amp;ROW()))="Yes","Y",IF(IF(INDIRECT("brand_form!R"&amp;ROW())="","",INDIRECT("brand_form!R"&amp;ROW()))="No","N",IF(IF(INDIRECT("brand_form!R"&amp;ROW())="","",INDIRECT("brand_form!R"&amp;ROW()))="Not sure","unsure",""))))</f>
        <v/>
      </c>
      <c r="T11" s="25">
        <f>IF(INDIRECT("brand_form!A"&amp;ROW())="","",IF(IF(INDIRECT("brand_form!S"&amp;ROW())="","",INDIRECT("brand_form!S"&amp;ROW()))="Yes","Y",IF(IF(INDIRECT("brand_form!S"&amp;ROW())="","",INDIRECT("brand_form!S"&amp;ROW()))="No","N",IF(IF(INDIRECT("brand_form!S"&amp;ROW())="","",INDIRECT("brand_form!S"&amp;ROW()))="Not sure","unsure",""))))</f>
        <v/>
      </c>
      <c r="U11" s="25">
        <f>IF(INDIRECT("brand_form!A"&amp;ROW())="","",IF(IF(INDIRECT("brand_form!T"&amp;ROW())="","",INDIRECT("brand_form!T"&amp;ROW()))="Yes","Y",IF(IF(INDIRECT("brand_form!T"&amp;ROW())="","",INDIRECT("brand_form!T"&amp;ROW()))="No","N",IF(IF(INDIRECT("brand_form!T"&amp;ROW())="","",INDIRECT("brand_form!T"&amp;ROW()))="Not sure","unsure",""))))</f>
        <v/>
      </c>
      <c r="V11" s="25">
        <f>IF(INDIRECT("brand_form!A"&amp;ROW())="","",IF(IF(INDIRECT("brand_form!U"&amp;ROW())="","",INDIRECT("brand_form!U"&amp;ROW()))="Yes","Y",IF(IF(INDIRECT("brand_form!U"&amp;ROW())="","",INDIRECT("brand_form!U"&amp;ROW()))="No","N",IF(IF(INDIRECT("brand_form!U"&amp;ROW())="","",INDIRECT("brand_form!U"&amp;ROW()))="Not sure","unsure",""))))</f>
        <v/>
      </c>
      <c r="W11" s="25">
        <f>IF(INDIRECT("brand_form!A"&amp;ROW())="","",IF(IF(INDIRECT("brand_form!V"&amp;ROW())="","",INDIRECT("brand_form!V"&amp;ROW()))="Yes","Y",IF(IF(INDIRECT("brand_form!V"&amp;ROW())="","",INDIRECT("brand_form!V"&amp;ROW()))="No","N",IF(IF(INDIRECT("brand_form!V"&amp;ROW())="","",INDIRECT("brand_form!V"&amp;ROW()))="Not sure","unsure",""))))</f>
        <v/>
      </c>
      <c r="X11" s="25">
        <f>IF(INDIRECT("brand_form!A"&amp;ROW())="","",IF(INDIRECT("brand_form!W"&amp;ROW())="","",INDIRECT("brand_form!W"&amp;ROW())))</f>
        <v/>
      </c>
      <c r="Y11" s="25">
        <f>IF(INDIRECT("brand_form!A"&amp;ROW())="","",IF(IF(INDIRECT("brand_form!X"&amp;ROW())="","",INDIRECT("brand_form!X"&amp;ROW()))&lt;&gt;"","Y",""))</f>
        <v/>
      </c>
      <c r="Z11" s="25">
        <f>IF(INDIRECT("brand_form!A"&amp;ROW())="","",IF(INDIRECT("brand_form!Y"&amp;ROW())="","",INDIRECT("brand_form!Y"&amp;ROW())))</f>
        <v/>
      </c>
      <c r="AA11" s="25">
        <f>IF(INDIRECT("brand_form!A"&amp;ROW())="","","founder")</f>
        <v/>
      </c>
    </row>
    <row r="12">
      <c r="A12" s="25">
        <f>IF(INDIRECT("brand_form!A"&amp;ROW())="","",TEXT(INDIRECT("brand_form!A"&amp;ROW()),"yyyy-mm-dd""T""hh:mm:ss"))</f>
        <v/>
      </c>
      <c r="B12" s="25">
        <f>IF(INDIRECT("brand_form!A"&amp;ROW())="","",config!$B$35)</f>
        <v/>
      </c>
      <c r="C12" s="25">
        <f>IF(INDIRECT("brand_form!A"&amp;ROW())="","",IF(INDIRECT("brand_form!B"&amp;ROW())="","",INDIRECT("brand_form!B"&amp;ROW())))</f>
        <v/>
      </c>
      <c r="D12" s="25">
        <f>IF(INDIRECT("brand_form!A"&amp;ROW())="","",IF(IF(INDIRECT("brand_form!C"&amp;ROW())="","",INDIRECT("brand_form!C"&amp;ROW()))="","",IF(LEFT(LOWER(IF(INDIRECT("brand_form!C"&amp;ROW())="","",INDIRECT("brand_form!C"&amp;ROW()))),4)="http",IF(INDIRECT("brand_form!C"&amp;ROW())="","",INDIRECT("brand_form!C"&amp;ROW())),"https://"&amp;IF(INDIRECT("brand_form!C"&amp;ROW())="","",INDIRECT("brand_form!C"&amp;ROW())))))</f>
        <v/>
      </c>
      <c r="E12" s="25">
        <f>IF(INDIRECT("brand_form!A"&amp;ROW())="","",IF(INDIRECT("brand_form!G"&amp;ROW())="","",INDIRECT("brand_form!G"&amp;ROW())))</f>
        <v/>
      </c>
      <c r="F12" s="25">
        <f>IF(INDIRECT("brand_form!A"&amp;ROW())="","",IF(INDIRECT("brand_form!H"&amp;ROW())="","",INDIRECT("brand_form!H"&amp;ROW())))</f>
        <v/>
      </c>
      <c r="G12" s="25">
        <f>IF(INDIRECT("brand_form!A"&amp;ROW())="","",IF(INDIRECT("brand_form!I"&amp;ROW())="","",INDIRECT("brand_form!I"&amp;ROW())))</f>
        <v/>
      </c>
      <c r="H12" s="25">
        <f>IF(INDIRECT("brand_form!A"&amp;ROW())="","",IF(INDIRECT("brand_form!J"&amp;ROW())="","",INDIRECT("brand_form!J"&amp;ROW())))</f>
        <v/>
      </c>
      <c r="I12" s="25">
        <f>IF(INDIRECT("brand_form!A"&amp;ROW())="","",IF(INDIRECT("brand_form!D"&amp;ROW())="","",INDIRECT("brand_form!D"&amp;ROW())))</f>
        <v/>
      </c>
      <c r="J1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2" s="25">
        <f>IF(INDIRECT("brand_form!A"&amp;ROW())="","",IF(INDIRECT("brand_form!F"&amp;ROW())="","",INDIRECT("brand_form!F"&amp;ROW())))</f>
        <v/>
      </c>
      <c r="L12" s="25">
        <f>IF(INDIRECT("brand_form!A"&amp;ROW())="","",IF(INDIRECT("brand_form!M"&amp;ROW())="","",INDIRECT("brand_form!M"&amp;ROW())))</f>
        <v/>
      </c>
      <c r="M12" s="25">
        <f>IF(INDIRECT("brand_form!A"&amp;ROW())="","",IF(IF(INDIRECT("brand_form!N"&amp;ROW())="","",INDIRECT("brand_form!N"&amp;ROW()))="","",IF(LEFT(LOWER(IF(INDIRECT("brand_form!N"&amp;ROW())="","",INDIRECT("brand_form!N"&amp;ROW()))),4)="http",IF(INDIRECT("brand_form!N"&amp;ROW())="","",INDIRECT("brand_form!N"&amp;ROW())),"https://"&amp;IF(INDIRECT("brand_form!N"&amp;ROW())="","",INDIRECT("brand_form!N"&amp;ROW())))))</f>
        <v/>
      </c>
      <c r="N12" s="25">
        <f>IF(INDIRECT("brand_form!A"&amp;ROW())="","",IF(IF(INDIRECT("brand_form!O"&amp;ROW())="","",INDIRECT("brand_form!O"&amp;ROW()))="Yes","Y",IF(IF(INDIRECT("brand_form!O"&amp;ROW())="","",INDIRECT("brand_form!O"&amp;ROW()))="No","N","")))</f>
        <v/>
      </c>
      <c r="O1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2" s="25">
        <f>IF(INDIRECT("brand_form!A"&amp;ROW())="","",IF(IF(INDIRECT("brand_form!K"&amp;ROW())="","",INDIRECT("brand_form!K"&amp;ROW()))="I do","Y",IF(IF(INDIRECT("brand_form!K"&amp;ROW())="","",INDIRECT("brand_form!K"&amp;ROW()))="Someone else","N","")))</f>
        <v/>
      </c>
      <c r="Q12" s="25">
        <f>IF(INDIRECT("brand_form!A"&amp;ROW())="","",IF($P12="Y",$E12&amp;", "&amp;$F12,IF(INDIRECT("brand_form!L"&amp;ROW())="","",INDIRECT("brand_form!L"&amp;ROW()))))</f>
        <v/>
      </c>
      <c r="R12" s="25">
        <f>IF(INDIRECT("brand_form!A"&amp;ROW())="","",IF(IF(INDIRECT("brand_form!Q"&amp;ROW())="","",INDIRECT("brand_form!Q"&amp;ROW()))="Yes","Y",IF(IF(INDIRECT("brand_form!Q"&amp;ROW())="","",INDIRECT("brand_form!Q"&amp;ROW()))="No","N",IF(IF(INDIRECT("brand_form!Q"&amp;ROW())="","",INDIRECT("brand_form!Q"&amp;ROW()))="Not sure","unsure",""))))</f>
        <v/>
      </c>
      <c r="S12" s="25">
        <f>IF(INDIRECT("brand_form!A"&amp;ROW())="","",IF(IF(INDIRECT("brand_form!R"&amp;ROW())="","",INDIRECT("brand_form!R"&amp;ROW()))="Yes","Y",IF(IF(INDIRECT("brand_form!R"&amp;ROW())="","",INDIRECT("brand_form!R"&amp;ROW()))="No","N",IF(IF(INDIRECT("brand_form!R"&amp;ROW())="","",INDIRECT("brand_form!R"&amp;ROW()))="Not sure","unsure",""))))</f>
        <v/>
      </c>
      <c r="T12" s="25">
        <f>IF(INDIRECT("brand_form!A"&amp;ROW())="","",IF(IF(INDIRECT("brand_form!S"&amp;ROW())="","",INDIRECT("brand_form!S"&amp;ROW()))="Yes","Y",IF(IF(INDIRECT("brand_form!S"&amp;ROW())="","",INDIRECT("brand_form!S"&amp;ROW()))="No","N",IF(IF(INDIRECT("brand_form!S"&amp;ROW())="","",INDIRECT("brand_form!S"&amp;ROW()))="Not sure","unsure",""))))</f>
        <v/>
      </c>
      <c r="U12" s="25">
        <f>IF(INDIRECT("brand_form!A"&amp;ROW())="","",IF(IF(INDIRECT("brand_form!T"&amp;ROW())="","",INDIRECT("brand_form!T"&amp;ROW()))="Yes","Y",IF(IF(INDIRECT("brand_form!T"&amp;ROW())="","",INDIRECT("brand_form!T"&amp;ROW()))="No","N",IF(IF(INDIRECT("brand_form!T"&amp;ROW())="","",INDIRECT("brand_form!T"&amp;ROW()))="Not sure","unsure",""))))</f>
        <v/>
      </c>
      <c r="V12" s="25">
        <f>IF(INDIRECT("brand_form!A"&amp;ROW())="","",IF(IF(INDIRECT("brand_form!U"&amp;ROW())="","",INDIRECT("brand_form!U"&amp;ROW()))="Yes","Y",IF(IF(INDIRECT("brand_form!U"&amp;ROW())="","",INDIRECT("brand_form!U"&amp;ROW()))="No","N",IF(IF(INDIRECT("brand_form!U"&amp;ROW())="","",INDIRECT("brand_form!U"&amp;ROW()))="Not sure","unsure",""))))</f>
        <v/>
      </c>
      <c r="W12" s="25">
        <f>IF(INDIRECT("brand_form!A"&amp;ROW())="","",IF(IF(INDIRECT("brand_form!V"&amp;ROW())="","",INDIRECT("brand_form!V"&amp;ROW()))="Yes","Y",IF(IF(INDIRECT("brand_form!V"&amp;ROW())="","",INDIRECT("brand_form!V"&amp;ROW()))="No","N",IF(IF(INDIRECT("brand_form!V"&amp;ROW())="","",INDIRECT("brand_form!V"&amp;ROW()))="Not sure","unsure",""))))</f>
        <v/>
      </c>
      <c r="X12" s="25">
        <f>IF(INDIRECT("brand_form!A"&amp;ROW())="","",IF(INDIRECT("brand_form!W"&amp;ROW())="","",INDIRECT("brand_form!W"&amp;ROW())))</f>
        <v/>
      </c>
      <c r="Y12" s="25">
        <f>IF(INDIRECT("brand_form!A"&amp;ROW())="","",IF(IF(INDIRECT("brand_form!X"&amp;ROW())="","",INDIRECT("brand_form!X"&amp;ROW()))&lt;&gt;"","Y",""))</f>
        <v/>
      </c>
      <c r="Z12" s="25">
        <f>IF(INDIRECT("brand_form!A"&amp;ROW())="","",IF(INDIRECT("brand_form!Y"&amp;ROW())="","",INDIRECT("brand_form!Y"&amp;ROW())))</f>
        <v/>
      </c>
      <c r="AA12" s="25">
        <f>IF(INDIRECT("brand_form!A"&amp;ROW())="","","founder")</f>
        <v/>
      </c>
    </row>
    <row r="13">
      <c r="A13" s="25">
        <f>IF(INDIRECT("brand_form!A"&amp;ROW())="","",TEXT(INDIRECT("brand_form!A"&amp;ROW()),"yyyy-mm-dd""T""hh:mm:ss"))</f>
        <v/>
      </c>
      <c r="B13" s="25">
        <f>IF(INDIRECT("brand_form!A"&amp;ROW())="","",config!$B$35)</f>
        <v/>
      </c>
      <c r="C13" s="25">
        <f>IF(INDIRECT("brand_form!A"&amp;ROW())="","",IF(INDIRECT("brand_form!B"&amp;ROW())="","",INDIRECT("brand_form!B"&amp;ROW())))</f>
        <v/>
      </c>
      <c r="D13" s="25">
        <f>IF(INDIRECT("brand_form!A"&amp;ROW())="","",IF(IF(INDIRECT("brand_form!C"&amp;ROW())="","",INDIRECT("brand_form!C"&amp;ROW()))="","",IF(LEFT(LOWER(IF(INDIRECT("brand_form!C"&amp;ROW())="","",INDIRECT("brand_form!C"&amp;ROW()))),4)="http",IF(INDIRECT("brand_form!C"&amp;ROW())="","",INDIRECT("brand_form!C"&amp;ROW())),"https://"&amp;IF(INDIRECT("brand_form!C"&amp;ROW())="","",INDIRECT("brand_form!C"&amp;ROW())))))</f>
        <v/>
      </c>
      <c r="E13" s="25">
        <f>IF(INDIRECT("brand_form!A"&amp;ROW())="","",IF(INDIRECT("brand_form!G"&amp;ROW())="","",INDIRECT("brand_form!G"&amp;ROW())))</f>
        <v/>
      </c>
      <c r="F13" s="25">
        <f>IF(INDIRECT("brand_form!A"&amp;ROW())="","",IF(INDIRECT("brand_form!H"&amp;ROW())="","",INDIRECT("brand_form!H"&amp;ROW())))</f>
        <v/>
      </c>
      <c r="G13" s="25">
        <f>IF(INDIRECT("brand_form!A"&amp;ROW())="","",IF(INDIRECT("brand_form!I"&amp;ROW())="","",INDIRECT("brand_form!I"&amp;ROW())))</f>
        <v/>
      </c>
      <c r="H13" s="25">
        <f>IF(INDIRECT("brand_form!A"&amp;ROW())="","",IF(INDIRECT("brand_form!J"&amp;ROW())="","",INDIRECT("brand_form!J"&amp;ROW())))</f>
        <v/>
      </c>
      <c r="I13" s="25">
        <f>IF(INDIRECT("brand_form!A"&amp;ROW())="","",IF(INDIRECT("brand_form!D"&amp;ROW())="","",INDIRECT("brand_form!D"&amp;ROW())))</f>
        <v/>
      </c>
      <c r="J1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3" s="25">
        <f>IF(INDIRECT("brand_form!A"&amp;ROW())="","",IF(INDIRECT("brand_form!F"&amp;ROW())="","",INDIRECT("brand_form!F"&amp;ROW())))</f>
        <v/>
      </c>
      <c r="L13" s="25">
        <f>IF(INDIRECT("brand_form!A"&amp;ROW())="","",IF(INDIRECT("brand_form!M"&amp;ROW())="","",INDIRECT("brand_form!M"&amp;ROW())))</f>
        <v/>
      </c>
      <c r="M13" s="25">
        <f>IF(INDIRECT("brand_form!A"&amp;ROW())="","",IF(IF(INDIRECT("brand_form!N"&amp;ROW())="","",INDIRECT("brand_form!N"&amp;ROW()))="","",IF(LEFT(LOWER(IF(INDIRECT("brand_form!N"&amp;ROW())="","",INDIRECT("brand_form!N"&amp;ROW()))),4)="http",IF(INDIRECT("brand_form!N"&amp;ROW())="","",INDIRECT("brand_form!N"&amp;ROW())),"https://"&amp;IF(INDIRECT("brand_form!N"&amp;ROW())="","",INDIRECT("brand_form!N"&amp;ROW())))))</f>
        <v/>
      </c>
      <c r="N13" s="25">
        <f>IF(INDIRECT("brand_form!A"&amp;ROW())="","",IF(IF(INDIRECT("brand_form!O"&amp;ROW())="","",INDIRECT("brand_form!O"&amp;ROW()))="Yes","Y",IF(IF(INDIRECT("brand_form!O"&amp;ROW())="","",INDIRECT("brand_form!O"&amp;ROW()))="No","N","")))</f>
        <v/>
      </c>
      <c r="O1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3" s="25">
        <f>IF(INDIRECT("brand_form!A"&amp;ROW())="","",IF(IF(INDIRECT("brand_form!K"&amp;ROW())="","",INDIRECT("brand_form!K"&amp;ROW()))="I do","Y",IF(IF(INDIRECT("brand_form!K"&amp;ROW())="","",INDIRECT("brand_form!K"&amp;ROW()))="Someone else","N","")))</f>
        <v/>
      </c>
      <c r="Q13" s="25">
        <f>IF(INDIRECT("brand_form!A"&amp;ROW())="","",IF($P13="Y",$E13&amp;", "&amp;$F13,IF(INDIRECT("brand_form!L"&amp;ROW())="","",INDIRECT("brand_form!L"&amp;ROW()))))</f>
        <v/>
      </c>
      <c r="R13" s="25">
        <f>IF(INDIRECT("brand_form!A"&amp;ROW())="","",IF(IF(INDIRECT("brand_form!Q"&amp;ROW())="","",INDIRECT("brand_form!Q"&amp;ROW()))="Yes","Y",IF(IF(INDIRECT("brand_form!Q"&amp;ROW())="","",INDIRECT("brand_form!Q"&amp;ROW()))="No","N",IF(IF(INDIRECT("brand_form!Q"&amp;ROW())="","",INDIRECT("brand_form!Q"&amp;ROW()))="Not sure","unsure",""))))</f>
        <v/>
      </c>
      <c r="S13" s="25">
        <f>IF(INDIRECT("brand_form!A"&amp;ROW())="","",IF(IF(INDIRECT("brand_form!R"&amp;ROW())="","",INDIRECT("brand_form!R"&amp;ROW()))="Yes","Y",IF(IF(INDIRECT("brand_form!R"&amp;ROW())="","",INDIRECT("brand_form!R"&amp;ROW()))="No","N",IF(IF(INDIRECT("brand_form!R"&amp;ROW())="","",INDIRECT("brand_form!R"&amp;ROW()))="Not sure","unsure",""))))</f>
        <v/>
      </c>
      <c r="T13" s="25">
        <f>IF(INDIRECT("brand_form!A"&amp;ROW())="","",IF(IF(INDIRECT("brand_form!S"&amp;ROW())="","",INDIRECT("brand_form!S"&amp;ROW()))="Yes","Y",IF(IF(INDIRECT("brand_form!S"&amp;ROW())="","",INDIRECT("brand_form!S"&amp;ROW()))="No","N",IF(IF(INDIRECT("brand_form!S"&amp;ROW())="","",INDIRECT("brand_form!S"&amp;ROW()))="Not sure","unsure",""))))</f>
        <v/>
      </c>
      <c r="U13" s="25">
        <f>IF(INDIRECT("brand_form!A"&amp;ROW())="","",IF(IF(INDIRECT("brand_form!T"&amp;ROW())="","",INDIRECT("brand_form!T"&amp;ROW()))="Yes","Y",IF(IF(INDIRECT("brand_form!T"&amp;ROW())="","",INDIRECT("brand_form!T"&amp;ROW()))="No","N",IF(IF(INDIRECT("brand_form!T"&amp;ROW())="","",INDIRECT("brand_form!T"&amp;ROW()))="Not sure","unsure",""))))</f>
        <v/>
      </c>
      <c r="V13" s="25">
        <f>IF(INDIRECT("brand_form!A"&amp;ROW())="","",IF(IF(INDIRECT("brand_form!U"&amp;ROW())="","",INDIRECT("brand_form!U"&amp;ROW()))="Yes","Y",IF(IF(INDIRECT("brand_form!U"&amp;ROW())="","",INDIRECT("brand_form!U"&amp;ROW()))="No","N",IF(IF(INDIRECT("brand_form!U"&amp;ROW())="","",INDIRECT("brand_form!U"&amp;ROW()))="Not sure","unsure",""))))</f>
        <v/>
      </c>
      <c r="W13" s="25">
        <f>IF(INDIRECT("brand_form!A"&amp;ROW())="","",IF(IF(INDIRECT("brand_form!V"&amp;ROW())="","",INDIRECT("brand_form!V"&amp;ROW()))="Yes","Y",IF(IF(INDIRECT("brand_form!V"&amp;ROW())="","",INDIRECT("brand_form!V"&amp;ROW()))="No","N",IF(IF(INDIRECT("brand_form!V"&amp;ROW())="","",INDIRECT("brand_form!V"&amp;ROW()))="Not sure","unsure",""))))</f>
        <v/>
      </c>
      <c r="X13" s="25">
        <f>IF(INDIRECT("brand_form!A"&amp;ROW())="","",IF(INDIRECT("brand_form!W"&amp;ROW())="","",INDIRECT("brand_form!W"&amp;ROW())))</f>
        <v/>
      </c>
      <c r="Y13" s="25">
        <f>IF(INDIRECT("brand_form!A"&amp;ROW())="","",IF(IF(INDIRECT("brand_form!X"&amp;ROW())="","",INDIRECT("brand_form!X"&amp;ROW()))&lt;&gt;"","Y",""))</f>
        <v/>
      </c>
      <c r="Z13" s="25">
        <f>IF(INDIRECT("brand_form!A"&amp;ROW())="","",IF(INDIRECT("brand_form!Y"&amp;ROW())="","",INDIRECT("brand_form!Y"&amp;ROW())))</f>
        <v/>
      </c>
      <c r="AA13" s="25">
        <f>IF(INDIRECT("brand_form!A"&amp;ROW())="","","founder")</f>
        <v/>
      </c>
    </row>
    <row r="14">
      <c r="A14" s="25">
        <f>IF(INDIRECT("brand_form!A"&amp;ROW())="","",TEXT(INDIRECT("brand_form!A"&amp;ROW()),"yyyy-mm-dd""T""hh:mm:ss"))</f>
        <v/>
      </c>
      <c r="B14" s="25">
        <f>IF(INDIRECT("brand_form!A"&amp;ROW())="","",config!$B$35)</f>
        <v/>
      </c>
      <c r="C14" s="25">
        <f>IF(INDIRECT("brand_form!A"&amp;ROW())="","",IF(INDIRECT("brand_form!B"&amp;ROW())="","",INDIRECT("brand_form!B"&amp;ROW())))</f>
        <v/>
      </c>
      <c r="D14" s="25">
        <f>IF(INDIRECT("brand_form!A"&amp;ROW())="","",IF(IF(INDIRECT("brand_form!C"&amp;ROW())="","",INDIRECT("brand_form!C"&amp;ROW()))="","",IF(LEFT(LOWER(IF(INDIRECT("brand_form!C"&amp;ROW())="","",INDIRECT("brand_form!C"&amp;ROW()))),4)="http",IF(INDIRECT("brand_form!C"&amp;ROW())="","",INDIRECT("brand_form!C"&amp;ROW())),"https://"&amp;IF(INDIRECT("brand_form!C"&amp;ROW())="","",INDIRECT("brand_form!C"&amp;ROW())))))</f>
        <v/>
      </c>
      <c r="E14" s="25">
        <f>IF(INDIRECT("brand_form!A"&amp;ROW())="","",IF(INDIRECT("brand_form!G"&amp;ROW())="","",INDIRECT("brand_form!G"&amp;ROW())))</f>
        <v/>
      </c>
      <c r="F14" s="25">
        <f>IF(INDIRECT("brand_form!A"&amp;ROW())="","",IF(INDIRECT("brand_form!H"&amp;ROW())="","",INDIRECT("brand_form!H"&amp;ROW())))</f>
        <v/>
      </c>
      <c r="G14" s="25">
        <f>IF(INDIRECT("brand_form!A"&amp;ROW())="","",IF(INDIRECT("brand_form!I"&amp;ROW())="","",INDIRECT("brand_form!I"&amp;ROW())))</f>
        <v/>
      </c>
      <c r="H14" s="25">
        <f>IF(INDIRECT("brand_form!A"&amp;ROW())="","",IF(INDIRECT("brand_form!J"&amp;ROW())="","",INDIRECT("brand_form!J"&amp;ROW())))</f>
        <v/>
      </c>
      <c r="I14" s="25">
        <f>IF(INDIRECT("brand_form!A"&amp;ROW())="","",IF(INDIRECT("brand_form!D"&amp;ROW())="","",INDIRECT("brand_form!D"&amp;ROW())))</f>
        <v/>
      </c>
      <c r="J1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4" s="25">
        <f>IF(INDIRECT("brand_form!A"&amp;ROW())="","",IF(INDIRECT("brand_form!F"&amp;ROW())="","",INDIRECT("brand_form!F"&amp;ROW())))</f>
        <v/>
      </c>
      <c r="L14" s="25">
        <f>IF(INDIRECT("brand_form!A"&amp;ROW())="","",IF(INDIRECT("brand_form!M"&amp;ROW())="","",INDIRECT("brand_form!M"&amp;ROW())))</f>
        <v/>
      </c>
      <c r="M14" s="25">
        <f>IF(INDIRECT("brand_form!A"&amp;ROW())="","",IF(IF(INDIRECT("brand_form!N"&amp;ROW())="","",INDIRECT("brand_form!N"&amp;ROW()))="","",IF(LEFT(LOWER(IF(INDIRECT("brand_form!N"&amp;ROW())="","",INDIRECT("brand_form!N"&amp;ROW()))),4)="http",IF(INDIRECT("brand_form!N"&amp;ROW())="","",INDIRECT("brand_form!N"&amp;ROW())),"https://"&amp;IF(INDIRECT("brand_form!N"&amp;ROW())="","",INDIRECT("brand_form!N"&amp;ROW())))))</f>
        <v/>
      </c>
      <c r="N14" s="25">
        <f>IF(INDIRECT("brand_form!A"&amp;ROW())="","",IF(IF(INDIRECT("brand_form!O"&amp;ROW())="","",INDIRECT("brand_form!O"&amp;ROW()))="Yes","Y",IF(IF(INDIRECT("brand_form!O"&amp;ROW())="","",INDIRECT("brand_form!O"&amp;ROW()))="No","N","")))</f>
        <v/>
      </c>
      <c r="O1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4" s="25">
        <f>IF(INDIRECT("brand_form!A"&amp;ROW())="","",IF(IF(INDIRECT("brand_form!K"&amp;ROW())="","",INDIRECT("brand_form!K"&amp;ROW()))="I do","Y",IF(IF(INDIRECT("brand_form!K"&amp;ROW())="","",INDIRECT("brand_form!K"&amp;ROW()))="Someone else","N","")))</f>
        <v/>
      </c>
      <c r="Q14" s="25">
        <f>IF(INDIRECT("brand_form!A"&amp;ROW())="","",IF($P14="Y",$E14&amp;", "&amp;$F14,IF(INDIRECT("brand_form!L"&amp;ROW())="","",INDIRECT("brand_form!L"&amp;ROW()))))</f>
        <v/>
      </c>
      <c r="R14" s="25">
        <f>IF(INDIRECT("brand_form!A"&amp;ROW())="","",IF(IF(INDIRECT("brand_form!Q"&amp;ROW())="","",INDIRECT("brand_form!Q"&amp;ROW()))="Yes","Y",IF(IF(INDIRECT("brand_form!Q"&amp;ROW())="","",INDIRECT("brand_form!Q"&amp;ROW()))="No","N",IF(IF(INDIRECT("brand_form!Q"&amp;ROW())="","",INDIRECT("brand_form!Q"&amp;ROW()))="Not sure","unsure",""))))</f>
        <v/>
      </c>
      <c r="S14" s="25">
        <f>IF(INDIRECT("brand_form!A"&amp;ROW())="","",IF(IF(INDIRECT("brand_form!R"&amp;ROW())="","",INDIRECT("brand_form!R"&amp;ROW()))="Yes","Y",IF(IF(INDIRECT("brand_form!R"&amp;ROW())="","",INDIRECT("brand_form!R"&amp;ROW()))="No","N",IF(IF(INDIRECT("brand_form!R"&amp;ROW())="","",INDIRECT("brand_form!R"&amp;ROW()))="Not sure","unsure",""))))</f>
        <v/>
      </c>
      <c r="T14" s="25">
        <f>IF(INDIRECT("brand_form!A"&amp;ROW())="","",IF(IF(INDIRECT("brand_form!S"&amp;ROW())="","",INDIRECT("brand_form!S"&amp;ROW()))="Yes","Y",IF(IF(INDIRECT("brand_form!S"&amp;ROW())="","",INDIRECT("brand_form!S"&amp;ROW()))="No","N",IF(IF(INDIRECT("brand_form!S"&amp;ROW())="","",INDIRECT("brand_form!S"&amp;ROW()))="Not sure","unsure",""))))</f>
        <v/>
      </c>
      <c r="U14" s="25">
        <f>IF(INDIRECT("brand_form!A"&amp;ROW())="","",IF(IF(INDIRECT("brand_form!T"&amp;ROW())="","",INDIRECT("brand_form!T"&amp;ROW()))="Yes","Y",IF(IF(INDIRECT("brand_form!T"&amp;ROW())="","",INDIRECT("brand_form!T"&amp;ROW()))="No","N",IF(IF(INDIRECT("brand_form!T"&amp;ROW())="","",INDIRECT("brand_form!T"&amp;ROW()))="Not sure","unsure",""))))</f>
        <v/>
      </c>
      <c r="V14" s="25">
        <f>IF(INDIRECT("brand_form!A"&amp;ROW())="","",IF(IF(INDIRECT("brand_form!U"&amp;ROW())="","",INDIRECT("brand_form!U"&amp;ROW()))="Yes","Y",IF(IF(INDIRECT("brand_form!U"&amp;ROW())="","",INDIRECT("brand_form!U"&amp;ROW()))="No","N",IF(IF(INDIRECT("brand_form!U"&amp;ROW())="","",INDIRECT("brand_form!U"&amp;ROW()))="Not sure","unsure",""))))</f>
        <v/>
      </c>
      <c r="W14" s="25">
        <f>IF(INDIRECT("brand_form!A"&amp;ROW())="","",IF(IF(INDIRECT("brand_form!V"&amp;ROW())="","",INDIRECT("brand_form!V"&amp;ROW()))="Yes","Y",IF(IF(INDIRECT("brand_form!V"&amp;ROW())="","",INDIRECT("brand_form!V"&amp;ROW()))="No","N",IF(IF(INDIRECT("brand_form!V"&amp;ROW())="","",INDIRECT("brand_form!V"&amp;ROW()))="Not sure","unsure",""))))</f>
        <v/>
      </c>
      <c r="X14" s="25">
        <f>IF(INDIRECT("brand_form!A"&amp;ROW())="","",IF(INDIRECT("brand_form!W"&amp;ROW())="","",INDIRECT("brand_form!W"&amp;ROW())))</f>
        <v/>
      </c>
      <c r="Y14" s="25">
        <f>IF(INDIRECT("brand_form!A"&amp;ROW())="","",IF(IF(INDIRECT("brand_form!X"&amp;ROW())="","",INDIRECT("brand_form!X"&amp;ROW()))&lt;&gt;"","Y",""))</f>
        <v/>
      </c>
      <c r="Z14" s="25">
        <f>IF(INDIRECT("brand_form!A"&amp;ROW())="","",IF(INDIRECT("brand_form!Y"&amp;ROW())="","",INDIRECT("brand_form!Y"&amp;ROW())))</f>
        <v/>
      </c>
      <c r="AA14" s="25">
        <f>IF(INDIRECT("brand_form!A"&amp;ROW())="","","founder")</f>
        <v/>
      </c>
    </row>
    <row r="15">
      <c r="A15" s="25">
        <f>IF(INDIRECT("brand_form!A"&amp;ROW())="","",TEXT(INDIRECT("brand_form!A"&amp;ROW()),"yyyy-mm-dd""T""hh:mm:ss"))</f>
        <v/>
      </c>
      <c r="B15" s="25">
        <f>IF(INDIRECT("brand_form!A"&amp;ROW())="","",config!$B$35)</f>
        <v/>
      </c>
      <c r="C15" s="25">
        <f>IF(INDIRECT("brand_form!A"&amp;ROW())="","",IF(INDIRECT("brand_form!B"&amp;ROW())="","",INDIRECT("brand_form!B"&amp;ROW())))</f>
        <v/>
      </c>
      <c r="D15" s="25">
        <f>IF(INDIRECT("brand_form!A"&amp;ROW())="","",IF(IF(INDIRECT("brand_form!C"&amp;ROW())="","",INDIRECT("brand_form!C"&amp;ROW()))="","",IF(LEFT(LOWER(IF(INDIRECT("brand_form!C"&amp;ROW())="","",INDIRECT("brand_form!C"&amp;ROW()))),4)="http",IF(INDIRECT("brand_form!C"&amp;ROW())="","",INDIRECT("brand_form!C"&amp;ROW())),"https://"&amp;IF(INDIRECT("brand_form!C"&amp;ROW())="","",INDIRECT("brand_form!C"&amp;ROW())))))</f>
        <v/>
      </c>
      <c r="E15" s="25">
        <f>IF(INDIRECT("brand_form!A"&amp;ROW())="","",IF(INDIRECT("brand_form!G"&amp;ROW())="","",INDIRECT("brand_form!G"&amp;ROW())))</f>
        <v/>
      </c>
      <c r="F15" s="25">
        <f>IF(INDIRECT("brand_form!A"&amp;ROW())="","",IF(INDIRECT("brand_form!H"&amp;ROW())="","",INDIRECT("brand_form!H"&amp;ROW())))</f>
        <v/>
      </c>
      <c r="G15" s="25">
        <f>IF(INDIRECT("brand_form!A"&amp;ROW())="","",IF(INDIRECT("brand_form!I"&amp;ROW())="","",INDIRECT("brand_form!I"&amp;ROW())))</f>
        <v/>
      </c>
      <c r="H15" s="25">
        <f>IF(INDIRECT("brand_form!A"&amp;ROW())="","",IF(INDIRECT("brand_form!J"&amp;ROW())="","",INDIRECT("brand_form!J"&amp;ROW())))</f>
        <v/>
      </c>
      <c r="I15" s="25">
        <f>IF(INDIRECT("brand_form!A"&amp;ROW())="","",IF(INDIRECT("brand_form!D"&amp;ROW())="","",INDIRECT("brand_form!D"&amp;ROW())))</f>
        <v/>
      </c>
      <c r="J1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5" s="25">
        <f>IF(INDIRECT("brand_form!A"&amp;ROW())="","",IF(INDIRECT("brand_form!F"&amp;ROW())="","",INDIRECT("brand_form!F"&amp;ROW())))</f>
        <v/>
      </c>
      <c r="L15" s="25">
        <f>IF(INDIRECT("brand_form!A"&amp;ROW())="","",IF(INDIRECT("brand_form!M"&amp;ROW())="","",INDIRECT("brand_form!M"&amp;ROW())))</f>
        <v/>
      </c>
      <c r="M15" s="25">
        <f>IF(INDIRECT("brand_form!A"&amp;ROW())="","",IF(IF(INDIRECT("brand_form!N"&amp;ROW())="","",INDIRECT("brand_form!N"&amp;ROW()))="","",IF(LEFT(LOWER(IF(INDIRECT("brand_form!N"&amp;ROW())="","",INDIRECT("brand_form!N"&amp;ROW()))),4)="http",IF(INDIRECT("brand_form!N"&amp;ROW())="","",INDIRECT("brand_form!N"&amp;ROW())),"https://"&amp;IF(INDIRECT("brand_form!N"&amp;ROW())="","",INDIRECT("brand_form!N"&amp;ROW())))))</f>
        <v/>
      </c>
      <c r="N15" s="25">
        <f>IF(INDIRECT("brand_form!A"&amp;ROW())="","",IF(IF(INDIRECT("brand_form!O"&amp;ROW())="","",INDIRECT("brand_form!O"&amp;ROW()))="Yes","Y",IF(IF(INDIRECT("brand_form!O"&amp;ROW())="","",INDIRECT("brand_form!O"&amp;ROW()))="No","N","")))</f>
        <v/>
      </c>
      <c r="O1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5" s="25">
        <f>IF(INDIRECT("brand_form!A"&amp;ROW())="","",IF(IF(INDIRECT("brand_form!K"&amp;ROW())="","",INDIRECT("brand_form!K"&amp;ROW()))="I do","Y",IF(IF(INDIRECT("brand_form!K"&amp;ROW())="","",INDIRECT("brand_form!K"&amp;ROW()))="Someone else","N","")))</f>
        <v/>
      </c>
      <c r="Q15" s="25">
        <f>IF(INDIRECT("brand_form!A"&amp;ROW())="","",IF($P15="Y",$E15&amp;", "&amp;$F15,IF(INDIRECT("brand_form!L"&amp;ROW())="","",INDIRECT("brand_form!L"&amp;ROW()))))</f>
        <v/>
      </c>
      <c r="R15" s="25">
        <f>IF(INDIRECT("brand_form!A"&amp;ROW())="","",IF(IF(INDIRECT("brand_form!Q"&amp;ROW())="","",INDIRECT("brand_form!Q"&amp;ROW()))="Yes","Y",IF(IF(INDIRECT("brand_form!Q"&amp;ROW())="","",INDIRECT("brand_form!Q"&amp;ROW()))="No","N",IF(IF(INDIRECT("brand_form!Q"&amp;ROW())="","",INDIRECT("brand_form!Q"&amp;ROW()))="Not sure","unsure",""))))</f>
        <v/>
      </c>
      <c r="S15" s="25">
        <f>IF(INDIRECT("brand_form!A"&amp;ROW())="","",IF(IF(INDIRECT("brand_form!R"&amp;ROW())="","",INDIRECT("brand_form!R"&amp;ROW()))="Yes","Y",IF(IF(INDIRECT("brand_form!R"&amp;ROW())="","",INDIRECT("brand_form!R"&amp;ROW()))="No","N",IF(IF(INDIRECT("brand_form!R"&amp;ROW())="","",INDIRECT("brand_form!R"&amp;ROW()))="Not sure","unsure",""))))</f>
        <v/>
      </c>
      <c r="T15" s="25">
        <f>IF(INDIRECT("brand_form!A"&amp;ROW())="","",IF(IF(INDIRECT("brand_form!S"&amp;ROW())="","",INDIRECT("brand_form!S"&amp;ROW()))="Yes","Y",IF(IF(INDIRECT("brand_form!S"&amp;ROW())="","",INDIRECT("brand_form!S"&amp;ROW()))="No","N",IF(IF(INDIRECT("brand_form!S"&amp;ROW())="","",INDIRECT("brand_form!S"&amp;ROW()))="Not sure","unsure",""))))</f>
        <v/>
      </c>
      <c r="U15" s="25">
        <f>IF(INDIRECT("brand_form!A"&amp;ROW())="","",IF(IF(INDIRECT("brand_form!T"&amp;ROW())="","",INDIRECT("brand_form!T"&amp;ROW()))="Yes","Y",IF(IF(INDIRECT("brand_form!T"&amp;ROW())="","",INDIRECT("brand_form!T"&amp;ROW()))="No","N",IF(IF(INDIRECT("brand_form!T"&amp;ROW())="","",INDIRECT("brand_form!T"&amp;ROW()))="Not sure","unsure",""))))</f>
        <v/>
      </c>
      <c r="V15" s="25">
        <f>IF(INDIRECT("brand_form!A"&amp;ROW())="","",IF(IF(INDIRECT("brand_form!U"&amp;ROW())="","",INDIRECT("brand_form!U"&amp;ROW()))="Yes","Y",IF(IF(INDIRECT("brand_form!U"&amp;ROW())="","",INDIRECT("brand_form!U"&amp;ROW()))="No","N",IF(IF(INDIRECT("brand_form!U"&amp;ROW())="","",INDIRECT("brand_form!U"&amp;ROW()))="Not sure","unsure",""))))</f>
        <v/>
      </c>
      <c r="W15" s="25">
        <f>IF(INDIRECT("brand_form!A"&amp;ROW())="","",IF(IF(INDIRECT("brand_form!V"&amp;ROW())="","",INDIRECT("brand_form!V"&amp;ROW()))="Yes","Y",IF(IF(INDIRECT("brand_form!V"&amp;ROW())="","",INDIRECT("brand_form!V"&amp;ROW()))="No","N",IF(IF(INDIRECT("brand_form!V"&amp;ROW())="","",INDIRECT("brand_form!V"&amp;ROW()))="Not sure","unsure",""))))</f>
        <v/>
      </c>
      <c r="X15" s="25">
        <f>IF(INDIRECT("brand_form!A"&amp;ROW())="","",IF(INDIRECT("brand_form!W"&amp;ROW())="","",INDIRECT("brand_form!W"&amp;ROW())))</f>
        <v/>
      </c>
      <c r="Y15" s="25">
        <f>IF(INDIRECT("brand_form!A"&amp;ROW())="","",IF(IF(INDIRECT("brand_form!X"&amp;ROW())="","",INDIRECT("brand_form!X"&amp;ROW()))&lt;&gt;"","Y",""))</f>
        <v/>
      </c>
      <c r="Z15" s="25">
        <f>IF(INDIRECT("brand_form!A"&amp;ROW())="","",IF(INDIRECT("brand_form!Y"&amp;ROW())="","",INDIRECT("brand_form!Y"&amp;ROW())))</f>
        <v/>
      </c>
      <c r="AA15" s="25">
        <f>IF(INDIRECT("brand_form!A"&amp;ROW())="","","founder")</f>
        <v/>
      </c>
    </row>
    <row r="16">
      <c r="A16" s="25">
        <f>IF(INDIRECT("brand_form!A"&amp;ROW())="","",TEXT(INDIRECT("brand_form!A"&amp;ROW()),"yyyy-mm-dd""T""hh:mm:ss"))</f>
        <v/>
      </c>
      <c r="B16" s="25">
        <f>IF(INDIRECT("brand_form!A"&amp;ROW())="","",config!$B$35)</f>
        <v/>
      </c>
      <c r="C16" s="25">
        <f>IF(INDIRECT("brand_form!A"&amp;ROW())="","",IF(INDIRECT("brand_form!B"&amp;ROW())="","",INDIRECT("brand_form!B"&amp;ROW())))</f>
        <v/>
      </c>
      <c r="D16" s="25">
        <f>IF(INDIRECT("brand_form!A"&amp;ROW())="","",IF(IF(INDIRECT("brand_form!C"&amp;ROW())="","",INDIRECT("brand_form!C"&amp;ROW()))="","",IF(LEFT(LOWER(IF(INDIRECT("brand_form!C"&amp;ROW())="","",INDIRECT("brand_form!C"&amp;ROW()))),4)="http",IF(INDIRECT("brand_form!C"&amp;ROW())="","",INDIRECT("brand_form!C"&amp;ROW())),"https://"&amp;IF(INDIRECT("brand_form!C"&amp;ROW())="","",INDIRECT("brand_form!C"&amp;ROW())))))</f>
        <v/>
      </c>
      <c r="E16" s="25">
        <f>IF(INDIRECT("brand_form!A"&amp;ROW())="","",IF(INDIRECT("brand_form!G"&amp;ROW())="","",INDIRECT("brand_form!G"&amp;ROW())))</f>
        <v/>
      </c>
      <c r="F16" s="25">
        <f>IF(INDIRECT("brand_form!A"&amp;ROW())="","",IF(INDIRECT("brand_form!H"&amp;ROW())="","",INDIRECT("brand_form!H"&amp;ROW())))</f>
        <v/>
      </c>
      <c r="G16" s="25">
        <f>IF(INDIRECT("brand_form!A"&amp;ROW())="","",IF(INDIRECT("brand_form!I"&amp;ROW())="","",INDIRECT("brand_form!I"&amp;ROW())))</f>
        <v/>
      </c>
      <c r="H16" s="25">
        <f>IF(INDIRECT("brand_form!A"&amp;ROW())="","",IF(INDIRECT("brand_form!J"&amp;ROW())="","",INDIRECT("brand_form!J"&amp;ROW())))</f>
        <v/>
      </c>
      <c r="I16" s="25">
        <f>IF(INDIRECT("brand_form!A"&amp;ROW())="","",IF(INDIRECT("brand_form!D"&amp;ROW())="","",INDIRECT("brand_form!D"&amp;ROW())))</f>
        <v/>
      </c>
      <c r="J1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6" s="25">
        <f>IF(INDIRECT("brand_form!A"&amp;ROW())="","",IF(INDIRECT("brand_form!F"&amp;ROW())="","",INDIRECT("brand_form!F"&amp;ROW())))</f>
        <v/>
      </c>
      <c r="L16" s="25">
        <f>IF(INDIRECT("brand_form!A"&amp;ROW())="","",IF(INDIRECT("brand_form!M"&amp;ROW())="","",INDIRECT("brand_form!M"&amp;ROW())))</f>
        <v/>
      </c>
      <c r="M16" s="25">
        <f>IF(INDIRECT("brand_form!A"&amp;ROW())="","",IF(IF(INDIRECT("brand_form!N"&amp;ROW())="","",INDIRECT("brand_form!N"&amp;ROW()))="","",IF(LEFT(LOWER(IF(INDIRECT("brand_form!N"&amp;ROW())="","",INDIRECT("brand_form!N"&amp;ROW()))),4)="http",IF(INDIRECT("brand_form!N"&amp;ROW())="","",INDIRECT("brand_form!N"&amp;ROW())),"https://"&amp;IF(INDIRECT("brand_form!N"&amp;ROW())="","",INDIRECT("brand_form!N"&amp;ROW())))))</f>
        <v/>
      </c>
      <c r="N16" s="25">
        <f>IF(INDIRECT("brand_form!A"&amp;ROW())="","",IF(IF(INDIRECT("brand_form!O"&amp;ROW())="","",INDIRECT("brand_form!O"&amp;ROW()))="Yes","Y",IF(IF(INDIRECT("brand_form!O"&amp;ROW())="","",INDIRECT("brand_form!O"&amp;ROW()))="No","N","")))</f>
        <v/>
      </c>
      <c r="O1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6" s="25">
        <f>IF(INDIRECT("brand_form!A"&amp;ROW())="","",IF(IF(INDIRECT("brand_form!K"&amp;ROW())="","",INDIRECT("brand_form!K"&amp;ROW()))="I do","Y",IF(IF(INDIRECT("brand_form!K"&amp;ROW())="","",INDIRECT("brand_form!K"&amp;ROW()))="Someone else","N","")))</f>
        <v/>
      </c>
      <c r="Q16" s="25">
        <f>IF(INDIRECT("brand_form!A"&amp;ROW())="","",IF($P16="Y",$E16&amp;", "&amp;$F16,IF(INDIRECT("brand_form!L"&amp;ROW())="","",INDIRECT("brand_form!L"&amp;ROW()))))</f>
        <v/>
      </c>
      <c r="R16" s="25">
        <f>IF(INDIRECT("brand_form!A"&amp;ROW())="","",IF(IF(INDIRECT("brand_form!Q"&amp;ROW())="","",INDIRECT("brand_form!Q"&amp;ROW()))="Yes","Y",IF(IF(INDIRECT("brand_form!Q"&amp;ROW())="","",INDIRECT("brand_form!Q"&amp;ROW()))="No","N",IF(IF(INDIRECT("brand_form!Q"&amp;ROW())="","",INDIRECT("brand_form!Q"&amp;ROW()))="Not sure","unsure",""))))</f>
        <v/>
      </c>
      <c r="S16" s="25">
        <f>IF(INDIRECT("brand_form!A"&amp;ROW())="","",IF(IF(INDIRECT("brand_form!R"&amp;ROW())="","",INDIRECT("brand_form!R"&amp;ROW()))="Yes","Y",IF(IF(INDIRECT("brand_form!R"&amp;ROW())="","",INDIRECT("brand_form!R"&amp;ROW()))="No","N",IF(IF(INDIRECT("brand_form!R"&amp;ROW())="","",INDIRECT("brand_form!R"&amp;ROW()))="Not sure","unsure",""))))</f>
        <v/>
      </c>
      <c r="T16" s="25">
        <f>IF(INDIRECT("brand_form!A"&amp;ROW())="","",IF(IF(INDIRECT("brand_form!S"&amp;ROW())="","",INDIRECT("brand_form!S"&amp;ROW()))="Yes","Y",IF(IF(INDIRECT("brand_form!S"&amp;ROW())="","",INDIRECT("brand_form!S"&amp;ROW()))="No","N",IF(IF(INDIRECT("brand_form!S"&amp;ROW())="","",INDIRECT("brand_form!S"&amp;ROW()))="Not sure","unsure",""))))</f>
        <v/>
      </c>
      <c r="U16" s="25">
        <f>IF(INDIRECT("brand_form!A"&amp;ROW())="","",IF(IF(INDIRECT("brand_form!T"&amp;ROW())="","",INDIRECT("brand_form!T"&amp;ROW()))="Yes","Y",IF(IF(INDIRECT("brand_form!T"&amp;ROW())="","",INDIRECT("brand_form!T"&amp;ROW()))="No","N",IF(IF(INDIRECT("brand_form!T"&amp;ROW())="","",INDIRECT("brand_form!T"&amp;ROW()))="Not sure","unsure",""))))</f>
        <v/>
      </c>
      <c r="V16" s="25">
        <f>IF(INDIRECT("brand_form!A"&amp;ROW())="","",IF(IF(INDIRECT("brand_form!U"&amp;ROW())="","",INDIRECT("brand_form!U"&amp;ROW()))="Yes","Y",IF(IF(INDIRECT("brand_form!U"&amp;ROW())="","",INDIRECT("brand_form!U"&amp;ROW()))="No","N",IF(IF(INDIRECT("brand_form!U"&amp;ROW())="","",INDIRECT("brand_form!U"&amp;ROW()))="Not sure","unsure",""))))</f>
        <v/>
      </c>
      <c r="W16" s="25">
        <f>IF(INDIRECT("brand_form!A"&amp;ROW())="","",IF(IF(INDIRECT("brand_form!V"&amp;ROW())="","",INDIRECT("brand_form!V"&amp;ROW()))="Yes","Y",IF(IF(INDIRECT("brand_form!V"&amp;ROW())="","",INDIRECT("brand_form!V"&amp;ROW()))="No","N",IF(IF(INDIRECT("brand_form!V"&amp;ROW())="","",INDIRECT("brand_form!V"&amp;ROW()))="Not sure","unsure",""))))</f>
        <v/>
      </c>
      <c r="X16" s="25">
        <f>IF(INDIRECT("brand_form!A"&amp;ROW())="","",IF(INDIRECT("brand_form!W"&amp;ROW())="","",INDIRECT("brand_form!W"&amp;ROW())))</f>
        <v/>
      </c>
      <c r="Y16" s="25">
        <f>IF(INDIRECT("brand_form!A"&amp;ROW())="","",IF(IF(INDIRECT("brand_form!X"&amp;ROW())="","",INDIRECT("brand_form!X"&amp;ROW()))&lt;&gt;"","Y",""))</f>
        <v/>
      </c>
      <c r="Z16" s="25">
        <f>IF(INDIRECT("brand_form!A"&amp;ROW())="","",IF(INDIRECT("brand_form!Y"&amp;ROW())="","",INDIRECT("brand_form!Y"&amp;ROW())))</f>
        <v/>
      </c>
      <c r="AA16" s="25">
        <f>IF(INDIRECT("brand_form!A"&amp;ROW())="","","founder")</f>
        <v/>
      </c>
    </row>
    <row r="17">
      <c r="A17" s="25">
        <f>IF(INDIRECT("brand_form!A"&amp;ROW())="","",TEXT(INDIRECT("brand_form!A"&amp;ROW()),"yyyy-mm-dd""T""hh:mm:ss"))</f>
        <v/>
      </c>
      <c r="B17" s="25">
        <f>IF(INDIRECT("brand_form!A"&amp;ROW())="","",config!$B$35)</f>
        <v/>
      </c>
      <c r="C17" s="25">
        <f>IF(INDIRECT("brand_form!A"&amp;ROW())="","",IF(INDIRECT("brand_form!B"&amp;ROW())="","",INDIRECT("brand_form!B"&amp;ROW())))</f>
        <v/>
      </c>
      <c r="D17" s="25">
        <f>IF(INDIRECT("brand_form!A"&amp;ROW())="","",IF(IF(INDIRECT("brand_form!C"&amp;ROW())="","",INDIRECT("brand_form!C"&amp;ROW()))="","",IF(LEFT(LOWER(IF(INDIRECT("brand_form!C"&amp;ROW())="","",INDIRECT("brand_form!C"&amp;ROW()))),4)="http",IF(INDIRECT("brand_form!C"&amp;ROW())="","",INDIRECT("brand_form!C"&amp;ROW())),"https://"&amp;IF(INDIRECT("brand_form!C"&amp;ROW())="","",INDIRECT("brand_form!C"&amp;ROW())))))</f>
        <v/>
      </c>
      <c r="E17" s="25">
        <f>IF(INDIRECT("brand_form!A"&amp;ROW())="","",IF(INDIRECT("brand_form!G"&amp;ROW())="","",INDIRECT("brand_form!G"&amp;ROW())))</f>
        <v/>
      </c>
      <c r="F17" s="25">
        <f>IF(INDIRECT("brand_form!A"&amp;ROW())="","",IF(INDIRECT("brand_form!H"&amp;ROW())="","",INDIRECT("brand_form!H"&amp;ROW())))</f>
        <v/>
      </c>
      <c r="G17" s="25">
        <f>IF(INDIRECT("brand_form!A"&amp;ROW())="","",IF(INDIRECT("brand_form!I"&amp;ROW())="","",INDIRECT("brand_form!I"&amp;ROW())))</f>
        <v/>
      </c>
      <c r="H17" s="25">
        <f>IF(INDIRECT("brand_form!A"&amp;ROW())="","",IF(INDIRECT("brand_form!J"&amp;ROW())="","",INDIRECT("brand_form!J"&amp;ROW())))</f>
        <v/>
      </c>
      <c r="I17" s="25">
        <f>IF(INDIRECT("brand_form!A"&amp;ROW())="","",IF(INDIRECT("brand_form!D"&amp;ROW())="","",INDIRECT("brand_form!D"&amp;ROW())))</f>
        <v/>
      </c>
      <c r="J1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7" s="25">
        <f>IF(INDIRECT("brand_form!A"&amp;ROW())="","",IF(INDIRECT("brand_form!F"&amp;ROW())="","",INDIRECT("brand_form!F"&amp;ROW())))</f>
        <v/>
      </c>
      <c r="L17" s="25">
        <f>IF(INDIRECT("brand_form!A"&amp;ROW())="","",IF(INDIRECT("brand_form!M"&amp;ROW())="","",INDIRECT("brand_form!M"&amp;ROW())))</f>
        <v/>
      </c>
      <c r="M17" s="25">
        <f>IF(INDIRECT("brand_form!A"&amp;ROW())="","",IF(IF(INDIRECT("brand_form!N"&amp;ROW())="","",INDIRECT("brand_form!N"&amp;ROW()))="","",IF(LEFT(LOWER(IF(INDIRECT("brand_form!N"&amp;ROW())="","",INDIRECT("brand_form!N"&amp;ROW()))),4)="http",IF(INDIRECT("brand_form!N"&amp;ROW())="","",INDIRECT("brand_form!N"&amp;ROW())),"https://"&amp;IF(INDIRECT("brand_form!N"&amp;ROW())="","",INDIRECT("brand_form!N"&amp;ROW())))))</f>
        <v/>
      </c>
      <c r="N17" s="25">
        <f>IF(INDIRECT("brand_form!A"&amp;ROW())="","",IF(IF(INDIRECT("brand_form!O"&amp;ROW())="","",INDIRECT("brand_form!O"&amp;ROW()))="Yes","Y",IF(IF(INDIRECT("brand_form!O"&amp;ROW())="","",INDIRECT("brand_form!O"&amp;ROW()))="No","N","")))</f>
        <v/>
      </c>
      <c r="O1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7" s="25">
        <f>IF(INDIRECT("brand_form!A"&amp;ROW())="","",IF(IF(INDIRECT("brand_form!K"&amp;ROW())="","",INDIRECT("brand_form!K"&amp;ROW()))="I do","Y",IF(IF(INDIRECT("brand_form!K"&amp;ROW())="","",INDIRECT("brand_form!K"&amp;ROW()))="Someone else","N","")))</f>
        <v/>
      </c>
      <c r="Q17" s="25">
        <f>IF(INDIRECT("brand_form!A"&amp;ROW())="","",IF($P17="Y",$E17&amp;", "&amp;$F17,IF(INDIRECT("brand_form!L"&amp;ROW())="","",INDIRECT("brand_form!L"&amp;ROW()))))</f>
        <v/>
      </c>
      <c r="R17" s="25">
        <f>IF(INDIRECT("brand_form!A"&amp;ROW())="","",IF(IF(INDIRECT("brand_form!Q"&amp;ROW())="","",INDIRECT("brand_form!Q"&amp;ROW()))="Yes","Y",IF(IF(INDIRECT("brand_form!Q"&amp;ROW())="","",INDIRECT("brand_form!Q"&amp;ROW()))="No","N",IF(IF(INDIRECT("brand_form!Q"&amp;ROW())="","",INDIRECT("brand_form!Q"&amp;ROW()))="Not sure","unsure",""))))</f>
        <v/>
      </c>
      <c r="S17" s="25">
        <f>IF(INDIRECT("brand_form!A"&amp;ROW())="","",IF(IF(INDIRECT("brand_form!R"&amp;ROW())="","",INDIRECT("brand_form!R"&amp;ROW()))="Yes","Y",IF(IF(INDIRECT("brand_form!R"&amp;ROW())="","",INDIRECT("brand_form!R"&amp;ROW()))="No","N",IF(IF(INDIRECT("brand_form!R"&amp;ROW())="","",INDIRECT("brand_form!R"&amp;ROW()))="Not sure","unsure",""))))</f>
        <v/>
      </c>
      <c r="T17" s="25">
        <f>IF(INDIRECT("brand_form!A"&amp;ROW())="","",IF(IF(INDIRECT("brand_form!S"&amp;ROW())="","",INDIRECT("brand_form!S"&amp;ROW()))="Yes","Y",IF(IF(INDIRECT("brand_form!S"&amp;ROW())="","",INDIRECT("brand_form!S"&amp;ROW()))="No","N",IF(IF(INDIRECT("brand_form!S"&amp;ROW())="","",INDIRECT("brand_form!S"&amp;ROW()))="Not sure","unsure",""))))</f>
        <v/>
      </c>
      <c r="U17" s="25">
        <f>IF(INDIRECT("brand_form!A"&amp;ROW())="","",IF(IF(INDIRECT("brand_form!T"&amp;ROW())="","",INDIRECT("brand_form!T"&amp;ROW()))="Yes","Y",IF(IF(INDIRECT("brand_form!T"&amp;ROW())="","",INDIRECT("brand_form!T"&amp;ROW()))="No","N",IF(IF(INDIRECT("brand_form!T"&amp;ROW())="","",INDIRECT("brand_form!T"&amp;ROW()))="Not sure","unsure",""))))</f>
        <v/>
      </c>
      <c r="V17" s="25">
        <f>IF(INDIRECT("brand_form!A"&amp;ROW())="","",IF(IF(INDIRECT("brand_form!U"&amp;ROW())="","",INDIRECT("brand_form!U"&amp;ROW()))="Yes","Y",IF(IF(INDIRECT("brand_form!U"&amp;ROW())="","",INDIRECT("brand_form!U"&amp;ROW()))="No","N",IF(IF(INDIRECT("brand_form!U"&amp;ROW())="","",INDIRECT("brand_form!U"&amp;ROW()))="Not sure","unsure",""))))</f>
        <v/>
      </c>
      <c r="W17" s="25">
        <f>IF(INDIRECT("brand_form!A"&amp;ROW())="","",IF(IF(INDIRECT("brand_form!V"&amp;ROW())="","",INDIRECT("brand_form!V"&amp;ROW()))="Yes","Y",IF(IF(INDIRECT("brand_form!V"&amp;ROW())="","",INDIRECT("brand_form!V"&amp;ROW()))="No","N",IF(IF(INDIRECT("brand_form!V"&amp;ROW())="","",INDIRECT("brand_form!V"&amp;ROW()))="Not sure","unsure",""))))</f>
        <v/>
      </c>
      <c r="X17" s="25">
        <f>IF(INDIRECT("brand_form!A"&amp;ROW())="","",IF(INDIRECT("brand_form!W"&amp;ROW())="","",INDIRECT("brand_form!W"&amp;ROW())))</f>
        <v/>
      </c>
      <c r="Y17" s="25">
        <f>IF(INDIRECT("brand_form!A"&amp;ROW())="","",IF(IF(INDIRECT("brand_form!X"&amp;ROW())="","",INDIRECT("brand_form!X"&amp;ROW()))&lt;&gt;"","Y",""))</f>
        <v/>
      </c>
      <c r="Z17" s="25">
        <f>IF(INDIRECT("brand_form!A"&amp;ROW())="","",IF(INDIRECT("brand_form!Y"&amp;ROW())="","",INDIRECT("brand_form!Y"&amp;ROW())))</f>
        <v/>
      </c>
      <c r="AA17" s="25">
        <f>IF(INDIRECT("brand_form!A"&amp;ROW())="","","founder")</f>
        <v/>
      </c>
    </row>
    <row r="18">
      <c r="A18" s="25">
        <f>IF(INDIRECT("brand_form!A"&amp;ROW())="","",TEXT(INDIRECT("brand_form!A"&amp;ROW()),"yyyy-mm-dd""T""hh:mm:ss"))</f>
        <v/>
      </c>
      <c r="B18" s="25">
        <f>IF(INDIRECT("brand_form!A"&amp;ROW())="","",config!$B$35)</f>
        <v/>
      </c>
      <c r="C18" s="25">
        <f>IF(INDIRECT("brand_form!A"&amp;ROW())="","",IF(INDIRECT("brand_form!B"&amp;ROW())="","",INDIRECT("brand_form!B"&amp;ROW())))</f>
        <v/>
      </c>
      <c r="D18" s="25">
        <f>IF(INDIRECT("brand_form!A"&amp;ROW())="","",IF(IF(INDIRECT("brand_form!C"&amp;ROW())="","",INDIRECT("brand_form!C"&amp;ROW()))="","",IF(LEFT(LOWER(IF(INDIRECT("brand_form!C"&amp;ROW())="","",INDIRECT("brand_form!C"&amp;ROW()))),4)="http",IF(INDIRECT("brand_form!C"&amp;ROW())="","",INDIRECT("brand_form!C"&amp;ROW())),"https://"&amp;IF(INDIRECT("brand_form!C"&amp;ROW())="","",INDIRECT("brand_form!C"&amp;ROW())))))</f>
        <v/>
      </c>
      <c r="E18" s="25">
        <f>IF(INDIRECT("brand_form!A"&amp;ROW())="","",IF(INDIRECT("brand_form!G"&amp;ROW())="","",INDIRECT("brand_form!G"&amp;ROW())))</f>
        <v/>
      </c>
      <c r="F18" s="25">
        <f>IF(INDIRECT("brand_form!A"&amp;ROW())="","",IF(INDIRECT("brand_form!H"&amp;ROW())="","",INDIRECT("brand_form!H"&amp;ROW())))</f>
        <v/>
      </c>
      <c r="G18" s="25">
        <f>IF(INDIRECT("brand_form!A"&amp;ROW())="","",IF(INDIRECT("brand_form!I"&amp;ROW())="","",INDIRECT("brand_form!I"&amp;ROW())))</f>
        <v/>
      </c>
      <c r="H18" s="25">
        <f>IF(INDIRECT("brand_form!A"&amp;ROW())="","",IF(INDIRECT("brand_form!J"&amp;ROW())="","",INDIRECT("brand_form!J"&amp;ROW())))</f>
        <v/>
      </c>
      <c r="I18" s="25">
        <f>IF(INDIRECT("brand_form!A"&amp;ROW())="","",IF(INDIRECT("brand_form!D"&amp;ROW())="","",INDIRECT("brand_form!D"&amp;ROW())))</f>
        <v/>
      </c>
      <c r="J1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8" s="25">
        <f>IF(INDIRECT("brand_form!A"&amp;ROW())="","",IF(INDIRECT("brand_form!F"&amp;ROW())="","",INDIRECT("brand_form!F"&amp;ROW())))</f>
        <v/>
      </c>
      <c r="L18" s="25">
        <f>IF(INDIRECT("brand_form!A"&amp;ROW())="","",IF(INDIRECT("brand_form!M"&amp;ROW())="","",INDIRECT("brand_form!M"&amp;ROW())))</f>
        <v/>
      </c>
      <c r="M18" s="25">
        <f>IF(INDIRECT("brand_form!A"&amp;ROW())="","",IF(IF(INDIRECT("brand_form!N"&amp;ROW())="","",INDIRECT("brand_form!N"&amp;ROW()))="","",IF(LEFT(LOWER(IF(INDIRECT("brand_form!N"&amp;ROW())="","",INDIRECT("brand_form!N"&amp;ROW()))),4)="http",IF(INDIRECT("brand_form!N"&amp;ROW())="","",INDIRECT("brand_form!N"&amp;ROW())),"https://"&amp;IF(INDIRECT("brand_form!N"&amp;ROW())="","",INDIRECT("brand_form!N"&amp;ROW())))))</f>
        <v/>
      </c>
      <c r="N18" s="25">
        <f>IF(INDIRECT("brand_form!A"&amp;ROW())="","",IF(IF(INDIRECT("brand_form!O"&amp;ROW())="","",INDIRECT("brand_form!O"&amp;ROW()))="Yes","Y",IF(IF(INDIRECT("brand_form!O"&amp;ROW())="","",INDIRECT("brand_form!O"&amp;ROW()))="No","N","")))</f>
        <v/>
      </c>
      <c r="O1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8" s="25">
        <f>IF(INDIRECT("brand_form!A"&amp;ROW())="","",IF(IF(INDIRECT("brand_form!K"&amp;ROW())="","",INDIRECT("brand_form!K"&amp;ROW()))="I do","Y",IF(IF(INDIRECT("brand_form!K"&amp;ROW())="","",INDIRECT("brand_form!K"&amp;ROW()))="Someone else","N","")))</f>
        <v/>
      </c>
      <c r="Q18" s="25">
        <f>IF(INDIRECT("brand_form!A"&amp;ROW())="","",IF($P18="Y",$E18&amp;", "&amp;$F18,IF(INDIRECT("brand_form!L"&amp;ROW())="","",INDIRECT("brand_form!L"&amp;ROW()))))</f>
        <v/>
      </c>
      <c r="R18" s="25">
        <f>IF(INDIRECT("brand_form!A"&amp;ROW())="","",IF(IF(INDIRECT("brand_form!Q"&amp;ROW())="","",INDIRECT("brand_form!Q"&amp;ROW()))="Yes","Y",IF(IF(INDIRECT("brand_form!Q"&amp;ROW())="","",INDIRECT("brand_form!Q"&amp;ROW()))="No","N",IF(IF(INDIRECT("brand_form!Q"&amp;ROW())="","",INDIRECT("brand_form!Q"&amp;ROW()))="Not sure","unsure",""))))</f>
        <v/>
      </c>
      <c r="S18" s="25">
        <f>IF(INDIRECT("brand_form!A"&amp;ROW())="","",IF(IF(INDIRECT("brand_form!R"&amp;ROW())="","",INDIRECT("brand_form!R"&amp;ROW()))="Yes","Y",IF(IF(INDIRECT("brand_form!R"&amp;ROW())="","",INDIRECT("brand_form!R"&amp;ROW()))="No","N",IF(IF(INDIRECT("brand_form!R"&amp;ROW())="","",INDIRECT("brand_form!R"&amp;ROW()))="Not sure","unsure",""))))</f>
        <v/>
      </c>
      <c r="T18" s="25">
        <f>IF(INDIRECT("brand_form!A"&amp;ROW())="","",IF(IF(INDIRECT("brand_form!S"&amp;ROW())="","",INDIRECT("brand_form!S"&amp;ROW()))="Yes","Y",IF(IF(INDIRECT("brand_form!S"&amp;ROW())="","",INDIRECT("brand_form!S"&amp;ROW()))="No","N",IF(IF(INDIRECT("brand_form!S"&amp;ROW())="","",INDIRECT("brand_form!S"&amp;ROW()))="Not sure","unsure",""))))</f>
        <v/>
      </c>
      <c r="U18" s="25">
        <f>IF(INDIRECT("brand_form!A"&amp;ROW())="","",IF(IF(INDIRECT("brand_form!T"&amp;ROW())="","",INDIRECT("brand_form!T"&amp;ROW()))="Yes","Y",IF(IF(INDIRECT("brand_form!T"&amp;ROW())="","",INDIRECT("brand_form!T"&amp;ROW()))="No","N",IF(IF(INDIRECT("brand_form!T"&amp;ROW())="","",INDIRECT("brand_form!T"&amp;ROW()))="Not sure","unsure",""))))</f>
        <v/>
      </c>
      <c r="V18" s="25">
        <f>IF(INDIRECT("brand_form!A"&amp;ROW())="","",IF(IF(INDIRECT("brand_form!U"&amp;ROW())="","",INDIRECT("brand_form!U"&amp;ROW()))="Yes","Y",IF(IF(INDIRECT("brand_form!U"&amp;ROW())="","",INDIRECT("brand_form!U"&amp;ROW()))="No","N",IF(IF(INDIRECT("brand_form!U"&amp;ROW())="","",INDIRECT("brand_form!U"&amp;ROW()))="Not sure","unsure",""))))</f>
        <v/>
      </c>
      <c r="W18" s="25">
        <f>IF(INDIRECT("brand_form!A"&amp;ROW())="","",IF(IF(INDIRECT("brand_form!V"&amp;ROW())="","",INDIRECT("brand_form!V"&amp;ROW()))="Yes","Y",IF(IF(INDIRECT("brand_form!V"&amp;ROW())="","",INDIRECT("brand_form!V"&amp;ROW()))="No","N",IF(IF(INDIRECT("brand_form!V"&amp;ROW())="","",INDIRECT("brand_form!V"&amp;ROW()))="Not sure","unsure",""))))</f>
        <v/>
      </c>
      <c r="X18" s="25">
        <f>IF(INDIRECT("brand_form!A"&amp;ROW())="","",IF(INDIRECT("brand_form!W"&amp;ROW())="","",INDIRECT("brand_form!W"&amp;ROW())))</f>
        <v/>
      </c>
      <c r="Y18" s="25">
        <f>IF(INDIRECT("brand_form!A"&amp;ROW())="","",IF(IF(INDIRECT("brand_form!X"&amp;ROW())="","",INDIRECT("brand_form!X"&amp;ROW()))&lt;&gt;"","Y",""))</f>
        <v/>
      </c>
      <c r="Z18" s="25">
        <f>IF(INDIRECT("brand_form!A"&amp;ROW())="","",IF(INDIRECT("brand_form!Y"&amp;ROW())="","",INDIRECT("brand_form!Y"&amp;ROW())))</f>
        <v/>
      </c>
      <c r="AA18" s="25">
        <f>IF(INDIRECT("brand_form!A"&amp;ROW())="","","founder")</f>
        <v/>
      </c>
    </row>
    <row r="19">
      <c r="A19" s="25">
        <f>IF(INDIRECT("brand_form!A"&amp;ROW())="","",TEXT(INDIRECT("brand_form!A"&amp;ROW()),"yyyy-mm-dd""T""hh:mm:ss"))</f>
        <v/>
      </c>
      <c r="B19" s="25">
        <f>IF(INDIRECT("brand_form!A"&amp;ROW())="","",config!$B$35)</f>
        <v/>
      </c>
      <c r="C19" s="25">
        <f>IF(INDIRECT("brand_form!A"&amp;ROW())="","",IF(INDIRECT("brand_form!B"&amp;ROW())="","",INDIRECT("brand_form!B"&amp;ROW())))</f>
        <v/>
      </c>
      <c r="D19" s="25">
        <f>IF(INDIRECT("brand_form!A"&amp;ROW())="","",IF(IF(INDIRECT("brand_form!C"&amp;ROW())="","",INDIRECT("brand_form!C"&amp;ROW()))="","",IF(LEFT(LOWER(IF(INDIRECT("brand_form!C"&amp;ROW())="","",INDIRECT("brand_form!C"&amp;ROW()))),4)="http",IF(INDIRECT("brand_form!C"&amp;ROW())="","",INDIRECT("brand_form!C"&amp;ROW())),"https://"&amp;IF(INDIRECT("brand_form!C"&amp;ROW())="","",INDIRECT("brand_form!C"&amp;ROW())))))</f>
        <v/>
      </c>
      <c r="E19" s="25">
        <f>IF(INDIRECT("brand_form!A"&amp;ROW())="","",IF(INDIRECT("brand_form!G"&amp;ROW())="","",INDIRECT("brand_form!G"&amp;ROW())))</f>
        <v/>
      </c>
      <c r="F19" s="25">
        <f>IF(INDIRECT("brand_form!A"&amp;ROW())="","",IF(INDIRECT("brand_form!H"&amp;ROW())="","",INDIRECT("brand_form!H"&amp;ROW())))</f>
        <v/>
      </c>
      <c r="G19" s="25">
        <f>IF(INDIRECT("brand_form!A"&amp;ROW())="","",IF(INDIRECT("brand_form!I"&amp;ROW())="","",INDIRECT("brand_form!I"&amp;ROW())))</f>
        <v/>
      </c>
      <c r="H19" s="25">
        <f>IF(INDIRECT("brand_form!A"&amp;ROW())="","",IF(INDIRECT("brand_form!J"&amp;ROW())="","",INDIRECT("brand_form!J"&amp;ROW())))</f>
        <v/>
      </c>
      <c r="I19" s="25">
        <f>IF(INDIRECT("brand_form!A"&amp;ROW())="","",IF(INDIRECT("brand_form!D"&amp;ROW())="","",INDIRECT("brand_form!D"&amp;ROW())))</f>
        <v/>
      </c>
      <c r="J1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9" s="25">
        <f>IF(INDIRECT("brand_form!A"&amp;ROW())="","",IF(INDIRECT("brand_form!F"&amp;ROW())="","",INDIRECT("brand_form!F"&amp;ROW())))</f>
        <v/>
      </c>
      <c r="L19" s="25">
        <f>IF(INDIRECT("brand_form!A"&amp;ROW())="","",IF(INDIRECT("brand_form!M"&amp;ROW())="","",INDIRECT("brand_form!M"&amp;ROW())))</f>
        <v/>
      </c>
      <c r="M19" s="25">
        <f>IF(INDIRECT("brand_form!A"&amp;ROW())="","",IF(IF(INDIRECT("brand_form!N"&amp;ROW())="","",INDIRECT("brand_form!N"&amp;ROW()))="","",IF(LEFT(LOWER(IF(INDIRECT("brand_form!N"&amp;ROW())="","",INDIRECT("brand_form!N"&amp;ROW()))),4)="http",IF(INDIRECT("brand_form!N"&amp;ROW())="","",INDIRECT("brand_form!N"&amp;ROW())),"https://"&amp;IF(INDIRECT("brand_form!N"&amp;ROW())="","",INDIRECT("brand_form!N"&amp;ROW())))))</f>
        <v/>
      </c>
      <c r="N19" s="25">
        <f>IF(INDIRECT("brand_form!A"&amp;ROW())="","",IF(IF(INDIRECT("brand_form!O"&amp;ROW())="","",INDIRECT("brand_form!O"&amp;ROW()))="Yes","Y",IF(IF(INDIRECT("brand_form!O"&amp;ROW())="","",INDIRECT("brand_form!O"&amp;ROW()))="No","N","")))</f>
        <v/>
      </c>
      <c r="O1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9" s="25">
        <f>IF(INDIRECT("brand_form!A"&amp;ROW())="","",IF(IF(INDIRECT("brand_form!K"&amp;ROW())="","",INDIRECT("brand_form!K"&amp;ROW()))="I do","Y",IF(IF(INDIRECT("brand_form!K"&amp;ROW())="","",INDIRECT("brand_form!K"&amp;ROW()))="Someone else","N","")))</f>
        <v/>
      </c>
      <c r="Q19" s="25">
        <f>IF(INDIRECT("brand_form!A"&amp;ROW())="","",IF($P19="Y",$E19&amp;", "&amp;$F19,IF(INDIRECT("brand_form!L"&amp;ROW())="","",INDIRECT("brand_form!L"&amp;ROW()))))</f>
        <v/>
      </c>
      <c r="R19" s="25">
        <f>IF(INDIRECT("brand_form!A"&amp;ROW())="","",IF(IF(INDIRECT("brand_form!Q"&amp;ROW())="","",INDIRECT("brand_form!Q"&amp;ROW()))="Yes","Y",IF(IF(INDIRECT("brand_form!Q"&amp;ROW())="","",INDIRECT("brand_form!Q"&amp;ROW()))="No","N",IF(IF(INDIRECT("brand_form!Q"&amp;ROW())="","",INDIRECT("brand_form!Q"&amp;ROW()))="Not sure","unsure",""))))</f>
        <v/>
      </c>
      <c r="S19" s="25">
        <f>IF(INDIRECT("brand_form!A"&amp;ROW())="","",IF(IF(INDIRECT("brand_form!R"&amp;ROW())="","",INDIRECT("brand_form!R"&amp;ROW()))="Yes","Y",IF(IF(INDIRECT("brand_form!R"&amp;ROW())="","",INDIRECT("brand_form!R"&amp;ROW()))="No","N",IF(IF(INDIRECT("brand_form!R"&amp;ROW())="","",INDIRECT("brand_form!R"&amp;ROW()))="Not sure","unsure",""))))</f>
        <v/>
      </c>
      <c r="T19" s="25">
        <f>IF(INDIRECT("brand_form!A"&amp;ROW())="","",IF(IF(INDIRECT("brand_form!S"&amp;ROW())="","",INDIRECT("brand_form!S"&amp;ROW()))="Yes","Y",IF(IF(INDIRECT("brand_form!S"&amp;ROW())="","",INDIRECT("brand_form!S"&amp;ROW()))="No","N",IF(IF(INDIRECT("brand_form!S"&amp;ROW())="","",INDIRECT("brand_form!S"&amp;ROW()))="Not sure","unsure",""))))</f>
        <v/>
      </c>
      <c r="U19" s="25">
        <f>IF(INDIRECT("brand_form!A"&amp;ROW())="","",IF(IF(INDIRECT("brand_form!T"&amp;ROW())="","",INDIRECT("brand_form!T"&amp;ROW()))="Yes","Y",IF(IF(INDIRECT("brand_form!T"&amp;ROW())="","",INDIRECT("brand_form!T"&amp;ROW()))="No","N",IF(IF(INDIRECT("brand_form!T"&amp;ROW())="","",INDIRECT("brand_form!T"&amp;ROW()))="Not sure","unsure",""))))</f>
        <v/>
      </c>
      <c r="V19" s="25">
        <f>IF(INDIRECT("brand_form!A"&amp;ROW())="","",IF(IF(INDIRECT("brand_form!U"&amp;ROW())="","",INDIRECT("brand_form!U"&amp;ROW()))="Yes","Y",IF(IF(INDIRECT("brand_form!U"&amp;ROW())="","",INDIRECT("brand_form!U"&amp;ROW()))="No","N",IF(IF(INDIRECT("brand_form!U"&amp;ROW())="","",INDIRECT("brand_form!U"&amp;ROW()))="Not sure","unsure",""))))</f>
        <v/>
      </c>
      <c r="W19" s="25">
        <f>IF(INDIRECT("brand_form!A"&amp;ROW())="","",IF(IF(INDIRECT("brand_form!V"&amp;ROW())="","",INDIRECT("brand_form!V"&amp;ROW()))="Yes","Y",IF(IF(INDIRECT("brand_form!V"&amp;ROW())="","",INDIRECT("brand_form!V"&amp;ROW()))="No","N",IF(IF(INDIRECT("brand_form!V"&amp;ROW())="","",INDIRECT("brand_form!V"&amp;ROW()))="Not sure","unsure",""))))</f>
        <v/>
      </c>
      <c r="X19" s="25">
        <f>IF(INDIRECT("brand_form!A"&amp;ROW())="","",IF(INDIRECT("brand_form!W"&amp;ROW())="","",INDIRECT("brand_form!W"&amp;ROW())))</f>
        <v/>
      </c>
      <c r="Y19" s="25">
        <f>IF(INDIRECT("brand_form!A"&amp;ROW())="","",IF(IF(INDIRECT("brand_form!X"&amp;ROW())="","",INDIRECT("brand_form!X"&amp;ROW()))&lt;&gt;"","Y",""))</f>
        <v/>
      </c>
      <c r="Z19" s="25">
        <f>IF(INDIRECT("brand_form!A"&amp;ROW())="","",IF(INDIRECT("brand_form!Y"&amp;ROW())="","",INDIRECT("brand_form!Y"&amp;ROW())))</f>
        <v/>
      </c>
      <c r="AA19" s="25">
        <f>IF(INDIRECT("brand_form!A"&amp;ROW())="","","founder")</f>
        <v/>
      </c>
    </row>
    <row r="20">
      <c r="A20" s="25">
        <f>IF(INDIRECT("brand_form!A"&amp;ROW())="","",TEXT(INDIRECT("brand_form!A"&amp;ROW()),"yyyy-mm-dd""T""hh:mm:ss"))</f>
        <v/>
      </c>
      <c r="B20" s="25">
        <f>IF(INDIRECT("brand_form!A"&amp;ROW())="","",config!$B$35)</f>
        <v/>
      </c>
      <c r="C20" s="25">
        <f>IF(INDIRECT("brand_form!A"&amp;ROW())="","",IF(INDIRECT("brand_form!B"&amp;ROW())="","",INDIRECT("brand_form!B"&amp;ROW())))</f>
        <v/>
      </c>
      <c r="D20" s="25">
        <f>IF(INDIRECT("brand_form!A"&amp;ROW())="","",IF(IF(INDIRECT("brand_form!C"&amp;ROW())="","",INDIRECT("brand_form!C"&amp;ROW()))="","",IF(LEFT(LOWER(IF(INDIRECT("brand_form!C"&amp;ROW())="","",INDIRECT("brand_form!C"&amp;ROW()))),4)="http",IF(INDIRECT("brand_form!C"&amp;ROW())="","",INDIRECT("brand_form!C"&amp;ROW())),"https://"&amp;IF(INDIRECT("brand_form!C"&amp;ROW())="","",INDIRECT("brand_form!C"&amp;ROW())))))</f>
        <v/>
      </c>
      <c r="E20" s="25">
        <f>IF(INDIRECT("brand_form!A"&amp;ROW())="","",IF(INDIRECT("brand_form!G"&amp;ROW())="","",INDIRECT("brand_form!G"&amp;ROW())))</f>
        <v/>
      </c>
      <c r="F20" s="25">
        <f>IF(INDIRECT("brand_form!A"&amp;ROW())="","",IF(INDIRECT("brand_form!H"&amp;ROW())="","",INDIRECT("brand_form!H"&amp;ROW())))</f>
        <v/>
      </c>
      <c r="G20" s="25">
        <f>IF(INDIRECT("brand_form!A"&amp;ROW())="","",IF(INDIRECT("brand_form!I"&amp;ROW())="","",INDIRECT("brand_form!I"&amp;ROW())))</f>
        <v/>
      </c>
      <c r="H20" s="25">
        <f>IF(INDIRECT("brand_form!A"&amp;ROW())="","",IF(INDIRECT("brand_form!J"&amp;ROW())="","",INDIRECT("brand_form!J"&amp;ROW())))</f>
        <v/>
      </c>
      <c r="I20" s="25">
        <f>IF(INDIRECT("brand_form!A"&amp;ROW())="","",IF(INDIRECT("brand_form!D"&amp;ROW())="","",INDIRECT("brand_form!D"&amp;ROW())))</f>
        <v/>
      </c>
      <c r="J2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0" s="25">
        <f>IF(INDIRECT("brand_form!A"&amp;ROW())="","",IF(INDIRECT("brand_form!F"&amp;ROW())="","",INDIRECT("brand_form!F"&amp;ROW())))</f>
        <v/>
      </c>
      <c r="L20" s="25">
        <f>IF(INDIRECT("brand_form!A"&amp;ROW())="","",IF(INDIRECT("brand_form!M"&amp;ROW())="","",INDIRECT("brand_form!M"&amp;ROW())))</f>
        <v/>
      </c>
      <c r="M20" s="25">
        <f>IF(INDIRECT("brand_form!A"&amp;ROW())="","",IF(IF(INDIRECT("brand_form!N"&amp;ROW())="","",INDIRECT("brand_form!N"&amp;ROW()))="","",IF(LEFT(LOWER(IF(INDIRECT("brand_form!N"&amp;ROW())="","",INDIRECT("brand_form!N"&amp;ROW()))),4)="http",IF(INDIRECT("brand_form!N"&amp;ROW())="","",INDIRECT("brand_form!N"&amp;ROW())),"https://"&amp;IF(INDIRECT("brand_form!N"&amp;ROW())="","",INDIRECT("brand_form!N"&amp;ROW())))))</f>
        <v/>
      </c>
      <c r="N20" s="25">
        <f>IF(INDIRECT("brand_form!A"&amp;ROW())="","",IF(IF(INDIRECT("brand_form!O"&amp;ROW())="","",INDIRECT("brand_form!O"&amp;ROW()))="Yes","Y",IF(IF(INDIRECT("brand_form!O"&amp;ROW())="","",INDIRECT("brand_form!O"&amp;ROW()))="No","N","")))</f>
        <v/>
      </c>
      <c r="O2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0" s="25">
        <f>IF(INDIRECT("brand_form!A"&amp;ROW())="","",IF(IF(INDIRECT("brand_form!K"&amp;ROW())="","",INDIRECT("brand_form!K"&amp;ROW()))="I do","Y",IF(IF(INDIRECT("brand_form!K"&amp;ROW())="","",INDIRECT("brand_form!K"&amp;ROW()))="Someone else","N","")))</f>
        <v/>
      </c>
      <c r="Q20" s="25">
        <f>IF(INDIRECT("brand_form!A"&amp;ROW())="","",IF($P20="Y",$E20&amp;", "&amp;$F20,IF(INDIRECT("brand_form!L"&amp;ROW())="","",INDIRECT("brand_form!L"&amp;ROW()))))</f>
        <v/>
      </c>
      <c r="R20" s="25">
        <f>IF(INDIRECT("brand_form!A"&amp;ROW())="","",IF(IF(INDIRECT("brand_form!Q"&amp;ROW())="","",INDIRECT("brand_form!Q"&amp;ROW()))="Yes","Y",IF(IF(INDIRECT("brand_form!Q"&amp;ROW())="","",INDIRECT("brand_form!Q"&amp;ROW()))="No","N",IF(IF(INDIRECT("brand_form!Q"&amp;ROW())="","",INDIRECT("brand_form!Q"&amp;ROW()))="Not sure","unsure",""))))</f>
        <v/>
      </c>
      <c r="S20" s="25">
        <f>IF(INDIRECT("brand_form!A"&amp;ROW())="","",IF(IF(INDIRECT("brand_form!R"&amp;ROW())="","",INDIRECT("brand_form!R"&amp;ROW()))="Yes","Y",IF(IF(INDIRECT("brand_form!R"&amp;ROW())="","",INDIRECT("brand_form!R"&amp;ROW()))="No","N",IF(IF(INDIRECT("brand_form!R"&amp;ROW())="","",INDIRECT("brand_form!R"&amp;ROW()))="Not sure","unsure",""))))</f>
        <v/>
      </c>
      <c r="T20" s="25">
        <f>IF(INDIRECT("brand_form!A"&amp;ROW())="","",IF(IF(INDIRECT("brand_form!S"&amp;ROW())="","",INDIRECT("brand_form!S"&amp;ROW()))="Yes","Y",IF(IF(INDIRECT("brand_form!S"&amp;ROW())="","",INDIRECT("brand_form!S"&amp;ROW()))="No","N",IF(IF(INDIRECT("brand_form!S"&amp;ROW())="","",INDIRECT("brand_form!S"&amp;ROW()))="Not sure","unsure",""))))</f>
        <v/>
      </c>
      <c r="U20" s="25">
        <f>IF(INDIRECT("brand_form!A"&amp;ROW())="","",IF(IF(INDIRECT("brand_form!T"&amp;ROW())="","",INDIRECT("brand_form!T"&amp;ROW()))="Yes","Y",IF(IF(INDIRECT("brand_form!T"&amp;ROW())="","",INDIRECT("brand_form!T"&amp;ROW()))="No","N",IF(IF(INDIRECT("brand_form!T"&amp;ROW())="","",INDIRECT("brand_form!T"&amp;ROW()))="Not sure","unsure",""))))</f>
        <v/>
      </c>
      <c r="V20" s="25">
        <f>IF(INDIRECT("brand_form!A"&amp;ROW())="","",IF(IF(INDIRECT("brand_form!U"&amp;ROW())="","",INDIRECT("brand_form!U"&amp;ROW()))="Yes","Y",IF(IF(INDIRECT("brand_form!U"&amp;ROW())="","",INDIRECT("brand_form!U"&amp;ROW()))="No","N",IF(IF(INDIRECT("brand_form!U"&amp;ROW())="","",INDIRECT("brand_form!U"&amp;ROW()))="Not sure","unsure",""))))</f>
        <v/>
      </c>
      <c r="W20" s="25">
        <f>IF(INDIRECT("brand_form!A"&amp;ROW())="","",IF(IF(INDIRECT("brand_form!V"&amp;ROW())="","",INDIRECT("brand_form!V"&amp;ROW()))="Yes","Y",IF(IF(INDIRECT("brand_form!V"&amp;ROW())="","",INDIRECT("brand_form!V"&amp;ROW()))="No","N",IF(IF(INDIRECT("brand_form!V"&amp;ROW())="","",INDIRECT("brand_form!V"&amp;ROW()))="Not sure","unsure",""))))</f>
        <v/>
      </c>
      <c r="X20" s="25">
        <f>IF(INDIRECT("brand_form!A"&amp;ROW())="","",IF(INDIRECT("brand_form!W"&amp;ROW())="","",INDIRECT("brand_form!W"&amp;ROW())))</f>
        <v/>
      </c>
      <c r="Y20" s="25">
        <f>IF(INDIRECT("brand_form!A"&amp;ROW())="","",IF(IF(INDIRECT("brand_form!X"&amp;ROW())="","",INDIRECT("brand_form!X"&amp;ROW()))&lt;&gt;"","Y",""))</f>
        <v/>
      </c>
      <c r="Z20" s="25">
        <f>IF(INDIRECT("brand_form!A"&amp;ROW())="","",IF(INDIRECT("brand_form!Y"&amp;ROW())="","",INDIRECT("brand_form!Y"&amp;ROW())))</f>
        <v/>
      </c>
      <c r="AA20" s="25">
        <f>IF(INDIRECT("brand_form!A"&amp;ROW())="","","founder")</f>
        <v/>
      </c>
    </row>
    <row r="21">
      <c r="A21" s="25">
        <f>IF(INDIRECT("brand_form!A"&amp;ROW())="","",TEXT(INDIRECT("brand_form!A"&amp;ROW()),"yyyy-mm-dd""T""hh:mm:ss"))</f>
        <v/>
      </c>
      <c r="B21" s="25">
        <f>IF(INDIRECT("brand_form!A"&amp;ROW())="","",config!$B$35)</f>
        <v/>
      </c>
      <c r="C21" s="25">
        <f>IF(INDIRECT("brand_form!A"&amp;ROW())="","",IF(INDIRECT("brand_form!B"&amp;ROW())="","",INDIRECT("brand_form!B"&amp;ROW())))</f>
        <v/>
      </c>
      <c r="D21" s="25">
        <f>IF(INDIRECT("brand_form!A"&amp;ROW())="","",IF(IF(INDIRECT("brand_form!C"&amp;ROW())="","",INDIRECT("brand_form!C"&amp;ROW()))="","",IF(LEFT(LOWER(IF(INDIRECT("brand_form!C"&amp;ROW())="","",INDIRECT("brand_form!C"&amp;ROW()))),4)="http",IF(INDIRECT("brand_form!C"&amp;ROW())="","",INDIRECT("brand_form!C"&amp;ROW())),"https://"&amp;IF(INDIRECT("brand_form!C"&amp;ROW())="","",INDIRECT("brand_form!C"&amp;ROW())))))</f>
        <v/>
      </c>
      <c r="E21" s="25">
        <f>IF(INDIRECT("brand_form!A"&amp;ROW())="","",IF(INDIRECT("brand_form!G"&amp;ROW())="","",INDIRECT("brand_form!G"&amp;ROW())))</f>
        <v/>
      </c>
      <c r="F21" s="25">
        <f>IF(INDIRECT("brand_form!A"&amp;ROW())="","",IF(INDIRECT("brand_form!H"&amp;ROW())="","",INDIRECT("brand_form!H"&amp;ROW())))</f>
        <v/>
      </c>
      <c r="G21" s="25">
        <f>IF(INDIRECT("brand_form!A"&amp;ROW())="","",IF(INDIRECT("brand_form!I"&amp;ROW())="","",INDIRECT("brand_form!I"&amp;ROW())))</f>
        <v/>
      </c>
      <c r="H21" s="25">
        <f>IF(INDIRECT("brand_form!A"&amp;ROW())="","",IF(INDIRECT("brand_form!J"&amp;ROW())="","",INDIRECT("brand_form!J"&amp;ROW())))</f>
        <v/>
      </c>
      <c r="I21" s="25">
        <f>IF(INDIRECT("brand_form!A"&amp;ROW())="","",IF(INDIRECT("brand_form!D"&amp;ROW())="","",INDIRECT("brand_form!D"&amp;ROW())))</f>
        <v/>
      </c>
      <c r="J2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1" s="25">
        <f>IF(INDIRECT("brand_form!A"&amp;ROW())="","",IF(INDIRECT("brand_form!F"&amp;ROW())="","",INDIRECT("brand_form!F"&amp;ROW())))</f>
        <v/>
      </c>
      <c r="L21" s="25">
        <f>IF(INDIRECT("brand_form!A"&amp;ROW())="","",IF(INDIRECT("brand_form!M"&amp;ROW())="","",INDIRECT("brand_form!M"&amp;ROW())))</f>
        <v/>
      </c>
      <c r="M21" s="25">
        <f>IF(INDIRECT("brand_form!A"&amp;ROW())="","",IF(IF(INDIRECT("brand_form!N"&amp;ROW())="","",INDIRECT("brand_form!N"&amp;ROW()))="","",IF(LEFT(LOWER(IF(INDIRECT("brand_form!N"&amp;ROW())="","",INDIRECT("brand_form!N"&amp;ROW()))),4)="http",IF(INDIRECT("brand_form!N"&amp;ROW())="","",INDIRECT("brand_form!N"&amp;ROW())),"https://"&amp;IF(INDIRECT("brand_form!N"&amp;ROW())="","",INDIRECT("brand_form!N"&amp;ROW())))))</f>
        <v/>
      </c>
      <c r="N21" s="25">
        <f>IF(INDIRECT("brand_form!A"&amp;ROW())="","",IF(IF(INDIRECT("brand_form!O"&amp;ROW())="","",INDIRECT("brand_form!O"&amp;ROW()))="Yes","Y",IF(IF(INDIRECT("brand_form!O"&amp;ROW())="","",INDIRECT("brand_form!O"&amp;ROW()))="No","N","")))</f>
        <v/>
      </c>
      <c r="O2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1" s="25">
        <f>IF(INDIRECT("brand_form!A"&amp;ROW())="","",IF(IF(INDIRECT("brand_form!K"&amp;ROW())="","",INDIRECT("brand_form!K"&amp;ROW()))="I do","Y",IF(IF(INDIRECT("brand_form!K"&amp;ROW())="","",INDIRECT("brand_form!K"&amp;ROW()))="Someone else","N","")))</f>
        <v/>
      </c>
      <c r="Q21" s="25">
        <f>IF(INDIRECT("brand_form!A"&amp;ROW())="","",IF($P21="Y",$E21&amp;", "&amp;$F21,IF(INDIRECT("brand_form!L"&amp;ROW())="","",INDIRECT("brand_form!L"&amp;ROW()))))</f>
        <v/>
      </c>
      <c r="R21" s="25">
        <f>IF(INDIRECT("brand_form!A"&amp;ROW())="","",IF(IF(INDIRECT("brand_form!Q"&amp;ROW())="","",INDIRECT("brand_form!Q"&amp;ROW()))="Yes","Y",IF(IF(INDIRECT("brand_form!Q"&amp;ROW())="","",INDIRECT("brand_form!Q"&amp;ROW()))="No","N",IF(IF(INDIRECT("brand_form!Q"&amp;ROW())="","",INDIRECT("brand_form!Q"&amp;ROW()))="Not sure","unsure",""))))</f>
        <v/>
      </c>
      <c r="S21" s="25">
        <f>IF(INDIRECT("brand_form!A"&amp;ROW())="","",IF(IF(INDIRECT("brand_form!R"&amp;ROW())="","",INDIRECT("brand_form!R"&amp;ROW()))="Yes","Y",IF(IF(INDIRECT("brand_form!R"&amp;ROW())="","",INDIRECT("brand_form!R"&amp;ROW()))="No","N",IF(IF(INDIRECT("brand_form!R"&amp;ROW())="","",INDIRECT("brand_form!R"&amp;ROW()))="Not sure","unsure",""))))</f>
        <v/>
      </c>
      <c r="T21" s="25">
        <f>IF(INDIRECT("brand_form!A"&amp;ROW())="","",IF(IF(INDIRECT("brand_form!S"&amp;ROW())="","",INDIRECT("brand_form!S"&amp;ROW()))="Yes","Y",IF(IF(INDIRECT("brand_form!S"&amp;ROW())="","",INDIRECT("brand_form!S"&amp;ROW()))="No","N",IF(IF(INDIRECT("brand_form!S"&amp;ROW())="","",INDIRECT("brand_form!S"&amp;ROW()))="Not sure","unsure",""))))</f>
        <v/>
      </c>
      <c r="U21" s="25">
        <f>IF(INDIRECT("brand_form!A"&amp;ROW())="","",IF(IF(INDIRECT("brand_form!T"&amp;ROW())="","",INDIRECT("brand_form!T"&amp;ROW()))="Yes","Y",IF(IF(INDIRECT("brand_form!T"&amp;ROW())="","",INDIRECT("brand_form!T"&amp;ROW()))="No","N",IF(IF(INDIRECT("brand_form!T"&amp;ROW())="","",INDIRECT("brand_form!T"&amp;ROW()))="Not sure","unsure",""))))</f>
        <v/>
      </c>
      <c r="V21" s="25">
        <f>IF(INDIRECT("brand_form!A"&amp;ROW())="","",IF(IF(INDIRECT("brand_form!U"&amp;ROW())="","",INDIRECT("brand_form!U"&amp;ROW()))="Yes","Y",IF(IF(INDIRECT("brand_form!U"&amp;ROW())="","",INDIRECT("brand_form!U"&amp;ROW()))="No","N",IF(IF(INDIRECT("brand_form!U"&amp;ROW())="","",INDIRECT("brand_form!U"&amp;ROW()))="Not sure","unsure",""))))</f>
        <v/>
      </c>
      <c r="W21" s="25">
        <f>IF(INDIRECT("brand_form!A"&amp;ROW())="","",IF(IF(INDIRECT("brand_form!V"&amp;ROW())="","",INDIRECT("brand_form!V"&amp;ROW()))="Yes","Y",IF(IF(INDIRECT("brand_form!V"&amp;ROW())="","",INDIRECT("brand_form!V"&amp;ROW()))="No","N",IF(IF(INDIRECT("brand_form!V"&amp;ROW())="","",INDIRECT("brand_form!V"&amp;ROW()))="Not sure","unsure",""))))</f>
        <v/>
      </c>
      <c r="X21" s="25">
        <f>IF(INDIRECT("brand_form!A"&amp;ROW())="","",IF(INDIRECT("brand_form!W"&amp;ROW())="","",INDIRECT("brand_form!W"&amp;ROW())))</f>
        <v/>
      </c>
      <c r="Y21" s="25">
        <f>IF(INDIRECT("brand_form!A"&amp;ROW())="","",IF(IF(INDIRECT("brand_form!X"&amp;ROW())="","",INDIRECT("brand_form!X"&amp;ROW()))&lt;&gt;"","Y",""))</f>
        <v/>
      </c>
      <c r="Z21" s="25">
        <f>IF(INDIRECT("brand_form!A"&amp;ROW())="","",IF(INDIRECT("brand_form!Y"&amp;ROW())="","",INDIRECT("brand_form!Y"&amp;ROW())))</f>
        <v/>
      </c>
      <c r="AA21" s="25">
        <f>IF(INDIRECT("brand_form!A"&amp;ROW())="","","founder")</f>
        <v/>
      </c>
    </row>
    <row r="22">
      <c r="A22" s="25">
        <f>IF(INDIRECT("brand_form!A"&amp;ROW())="","",TEXT(INDIRECT("brand_form!A"&amp;ROW()),"yyyy-mm-dd""T""hh:mm:ss"))</f>
        <v/>
      </c>
      <c r="B22" s="25">
        <f>IF(INDIRECT("brand_form!A"&amp;ROW())="","",config!$B$35)</f>
        <v/>
      </c>
      <c r="C22" s="25">
        <f>IF(INDIRECT("brand_form!A"&amp;ROW())="","",IF(INDIRECT("brand_form!B"&amp;ROW())="","",INDIRECT("brand_form!B"&amp;ROW())))</f>
        <v/>
      </c>
      <c r="D22" s="25">
        <f>IF(INDIRECT("brand_form!A"&amp;ROW())="","",IF(IF(INDIRECT("brand_form!C"&amp;ROW())="","",INDIRECT("brand_form!C"&amp;ROW()))="","",IF(LEFT(LOWER(IF(INDIRECT("brand_form!C"&amp;ROW())="","",INDIRECT("brand_form!C"&amp;ROW()))),4)="http",IF(INDIRECT("brand_form!C"&amp;ROW())="","",INDIRECT("brand_form!C"&amp;ROW())),"https://"&amp;IF(INDIRECT("brand_form!C"&amp;ROW())="","",INDIRECT("brand_form!C"&amp;ROW())))))</f>
        <v/>
      </c>
      <c r="E22" s="25">
        <f>IF(INDIRECT("brand_form!A"&amp;ROW())="","",IF(INDIRECT("brand_form!G"&amp;ROW())="","",INDIRECT("brand_form!G"&amp;ROW())))</f>
        <v/>
      </c>
      <c r="F22" s="25">
        <f>IF(INDIRECT("brand_form!A"&amp;ROW())="","",IF(INDIRECT("brand_form!H"&amp;ROW())="","",INDIRECT("brand_form!H"&amp;ROW())))</f>
        <v/>
      </c>
      <c r="G22" s="25">
        <f>IF(INDIRECT("brand_form!A"&amp;ROW())="","",IF(INDIRECT("brand_form!I"&amp;ROW())="","",INDIRECT("brand_form!I"&amp;ROW())))</f>
        <v/>
      </c>
      <c r="H22" s="25">
        <f>IF(INDIRECT("brand_form!A"&amp;ROW())="","",IF(INDIRECT("brand_form!J"&amp;ROW())="","",INDIRECT("brand_form!J"&amp;ROW())))</f>
        <v/>
      </c>
      <c r="I22" s="25">
        <f>IF(INDIRECT("brand_form!A"&amp;ROW())="","",IF(INDIRECT("brand_form!D"&amp;ROW())="","",INDIRECT("brand_form!D"&amp;ROW())))</f>
        <v/>
      </c>
      <c r="J2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2" s="25">
        <f>IF(INDIRECT("brand_form!A"&amp;ROW())="","",IF(INDIRECT("brand_form!F"&amp;ROW())="","",INDIRECT("brand_form!F"&amp;ROW())))</f>
        <v/>
      </c>
      <c r="L22" s="25">
        <f>IF(INDIRECT("brand_form!A"&amp;ROW())="","",IF(INDIRECT("brand_form!M"&amp;ROW())="","",INDIRECT("brand_form!M"&amp;ROW())))</f>
        <v/>
      </c>
      <c r="M22" s="25">
        <f>IF(INDIRECT("brand_form!A"&amp;ROW())="","",IF(IF(INDIRECT("brand_form!N"&amp;ROW())="","",INDIRECT("brand_form!N"&amp;ROW()))="","",IF(LEFT(LOWER(IF(INDIRECT("brand_form!N"&amp;ROW())="","",INDIRECT("brand_form!N"&amp;ROW()))),4)="http",IF(INDIRECT("brand_form!N"&amp;ROW())="","",INDIRECT("brand_form!N"&amp;ROW())),"https://"&amp;IF(INDIRECT("brand_form!N"&amp;ROW())="","",INDIRECT("brand_form!N"&amp;ROW())))))</f>
        <v/>
      </c>
      <c r="N22" s="25">
        <f>IF(INDIRECT("brand_form!A"&amp;ROW())="","",IF(IF(INDIRECT("brand_form!O"&amp;ROW())="","",INDIRECT("brand_form!O"&amp;ROW()))="Yes","Y",IF(IF(INDIRECT("brand_form!O"&amp;ROW())="","",INDIRECT("brand_form!O"&amp;ROW()))="No","N","")))</f>
        <v/>
      </c>
      <c r="O2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2" s="25">
        <f>IF(INDIRECT("brand_form!A"&amp;ROW())="","",IF(IF(INDIRECT("brand_form!K"&amp;ROW())="","",INDIRECT("brand_form!K"&amp;ROW()))="I do","Y",IF(IF(INDIRECT("brand_form!K"&amp;ROW())="","",INDIRECT("brand_form!K"&amp;ROW()))="Someone else","N","")))</f>
        <v/>
      </c>
      <c r="Q22" s="25">
        <f>IF(INDIRECT("brand_form!A"&amp;ROW())="","",IF($P22="Y",$E22&amp;", "&amp;$F22,IF(INDIRECT("brand_form!L"&amp;ROW())="","",INDIRECT("brand_form!L"&amp;ROW()))))</f>
        <v/>
      </c>
      <c r="R22" s="25">
        <f>IF(INDIRECT("brand_form!A"&amp;ROW())="","",IF(IF(INDIRECT("brand_form!Q"&amp;ROW())="","",INDIRECT("brand_form!Q"&amp;ROW()))="Yes","Y",IF(IF(INDIRECT("brand_form!Q"&amp;ROW())="","",INDIRECT("brand_form!Q"&amp;ROW()))="No","N",IF(IF(INDIRECT("brand_form!Q"&amp;ROW())="","",INDIRECT("brand_form!Q"&amp;ROW()))="Not sure","unsure",""))))</f>
        <v/>
      </c>
      <c r="S22" s="25">
        <f>IF(INDIRECT("brand_form!A"&amp;ROW())="","",IF(IF(INDIRECT("brand_form!R"&amp;ROW())="","",INDIRECT("brand_form!R"&amp;ROW()))="Yes","Y",IF(IF(INDIRECT("brand_form!R"&amp;ROW())="","",INDIRECT("brand_form!R"&amp;ROW()))="No","N",IF(IF(INDIRECT("brand_form!R"&amp;ROW())="","",INDIRECT("brand_form!R"&amp;ROW()))="Not sure","unsure",""))))</f>
        <v/>
      </c>
      <c r="T22" s="25">
        <f>IF(INDIRECT("brand_form!A"&amp;ROW())="","",IF(IF(INDIRECT("brand_form!S"&amp;ROW())="","",INDIRECT("brand_form!S"&amp;ROW()))="Yes","Y",IF(IF(INDIRECT("brand_form!S"&amp;ROW())="","",INDIRECT("brand_form!S"&amp;ROW()))="No","N",IF(IF(INDIRECT("brand_form!S"&amp;ROW())="","",INDIRECT("brand_form!S"&amp;ROW()))="Not sure","unsure",""))))</f>
        <v/>
      </c>
      <c r="U22" s="25">
        <f>IF(INDIRECT("brand_form!A"&amp;ROW())="","",IF(IF(INDIRECT("brand_form!T"&amp;ROW())="","",INDIRECT("brand_form!T"&amp;ROW()))="Yes","Y",IF(IF(INDIRECT("brand_form!T"&amp;ROW())="","",INDIRECT("brand_form!T"&amp;ROW()))="No","N",IF(IF(INDIRECT("brand_form!T"&amp;ROW())="","",INDIRECT("brand_form!T"&amp;ROW()))="Not sure","unsure",""))))</f>
        <v/>
      </c>
      <c r="V22" s="25">
        <f>IF(INDIRECT("brand_form!A"&amp;ROW())="","",IF(IF(INDIRECT("brand_form!U"&amp;ROW())="","",INDIRECT("brand_form!U"&amp;ROW()))="Yes","Y",IF(IF(INDIRECT("brand_form!U"&amp;ROW())="","",INDIRECT("brand_form!U"&amp;ROW()))="No","N",IF(IF(INDIRECT("brand_form!U"&amp;ROW())="","",INDIRECT("brand_form!U"&amp;ROW()))="Not sure","unsure",""))))</f>
        <v/>
      </c>
      <c r="W22" s="25">
        <f>IF(INDIRECT("brand_form!A"&amp;ROW())="","",IF(IF(INDIRECT("brand_form!V"&amp;ROW())="","",INDIRECT("brand_form!V"&amp;ROW()))="Yes","Y",IF(IF(INDIRECT("brand_form!V"&amp;ROW())="","",INDIRECT("brand_form!V"&amp;ROW()))="No","N",IF(IF(INDIRECT("brand_form!V"&amp;ROW())="","",INDIRECT("brand_form!V"&amp;ROW()))="Not sure","unsure",""))))</f>
        <v/>
      </c>
      <c r="X22" s="25">
        <f>IF(INDIRECT("brand_form!A"&amp;ROW())="","",IF(INDIRECT("brand_form!W"&amp;ROW())="","",INDIRECT("brand_form!W"&amp;ROW())))</f>
        <v/>
      </c>
      <c r="Y22" s="25">
        <f>IF(INDIRECT("brand_form!A"&amp;ROW())="","",IF(IF(INDIRECT("brand_form!X"&amp;ROW())="","",INDIRECT("brand_form!X"&amp;ROW()))&lt;&gt;"","Y",""))</f>
        <v/>
      </c>
      <c r="Z22" s="25">
        <f>IF(INDIRECT("brand_form!A"&amp;ROW())="","",IF(INDIRECT("brand_form!Y"&amp;ROW())="","",INDIRECT("brand_form!Y"&amp;ROW())))</f>
        <v/>
      </c>
      <c r="AA22" s="25">
        <f>IF(INDIRECT("brand_form!A"&amp;ROW())="","","founder")</f>
        <v/>
      </c>
    </row>
    <row r="23">
      <c r="A23" s="25">
        <f>IF(INDIRECT("brand_form!A"&amp;ROW())="","",TEXT(INDIRECT("brand_form!A"&amp;ROW()),"yyyy-mm-dd""T""hh:mm:ss"))</f>
        <v/>
      </c>
      <c r="B23" s="25">
        <f>IF(INDIRECT("brand_form!A"&amp;ROW())="","",config!$B$35)</f>
        <v/>
      </c>
      <c r="C23" s="25">
        <f>IF(INDIRECT("brand_form!A"&amp;ROW())="","",IF(INDIRECT("brand_form!B"&amp;ROW())="","",INDIRECT("brand_form!B"&amp;ROW())))</f>
        <v/>
      </c>
      <c r="D23" s="25">
        <f>IF(INDIRECT("brand_form!A"&amp;ROW())="","",IF(IF(INDIRECT("brand_form!C"&amp;ROW())="","",INDIRECT("brand_form!C"&amp;ROW()))="","",IF(LEFT(LOWER(IF(INDIRECT("brand_form!C"&amp;ROW())="","",INDIRECT("brand_form!C"&amp;ROW()))),4)="http",IF(INDIRECT("brand_form!C"&amp;ROW())="","",INDIRECT("brand_form!C"&amp;ROW())),"https://"&amp;IF(INDIRECT("brand_form!C"&amp;ROW())="","",INDIRECT("brand_form!C"&amp;ROW())))))</f>
        <v/>
      </c>
      <c r="E23" s="25">
        <f>IF(INDIRECT("brand_form!A"&amp;ROW())="","",IF(INDIRECT("brand_form!G"&amp;ROW())="","",INDIRECT("brand_form!G"&amp;ROW())))</f>
        <v/>
      </c>
      <c r="F23" s="25">
        <f>IF(INDIRECT("brand_form!A"&amp;ROW())="","",IF(INDIRECT("brand_form!H"&amp;ROW())="","",INDIRECT("brand_form!H"&amp;ROW())))</f>
        <v/>
      </c>
      <c r="G23" s="25">
        <f>IF(INDIRECT("brand_form!A"&amp;ROW())="","",IF(INDIRECT("brand_form!I"&amp;ROW())="","",INDIRECT("brand_form!I"&amp;ROW())))</f>
        <v/>
      </c>
      <c r="H23" s="25">
        <f>IF(INDIRECT("brand_form!A"&amp;ROW())="","",IF(INDIRECT("brand_form!J"&amp;ROW())="","",INDIRECT("brand_form!J"&amp;ROW())))</f>
        <v/>
      </c>
      <c r="I23" s="25">
        <f>IF(INDIRECT("brand_form!A"&amp;ROW())="","",IF(INDIRECT("brand_form!D"&amp;ROW())="","",INDIRECT("brand_form!D"&amp;ROW())))</f>
        <v/>
      </c>
      <c r="J2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3" s="25">
        <f>IF(INDIRECT("brand_form!A"&amp;ROW())="","",IF(INDIRECT("brand_form!F"&amp;ROW())="","",INDIRECT("brand_form!F"&amp;ROW())))</f>
        <v/>
      </c>
      <c r="L23" s="25">
        <f>IF(INDIRECT("brand_form!A"&amp;ROW())="","",IF(INDIRECT("brand_form!M"&amp;ROW())="","",INDIRECT("brand_form!M"&amp;ROW())))</f>
        <v/>
      </c>
      <c r="M23" s="25">
        <f>IF(INDIRECT("brand_form!A"&amp;ROW())="","",IF(IF(INDIRECT("brand_form!N"&amp;ROW())="","",INDIRECT("brand_form!N"&amp;ROW()))="","",IF(LEFT(LOWER(IF(INDIRECT("brand_form!N"&amp;ROW())="","",INDIRECT("brand_form!N"&amp;ROW()))),4)="http",IF(INDIRECT("brand_form!N"&amp;ROW())="","",INDIRECT("brand_form!N"&amp;ROW())),"https://"&amp;IF(INDIRECT("brand_form!N"&amp;ROW())="","",INDIRECT("brand_form!N"&amp;ROW())))))</f>
        <v/>
      </c>
      <c r="N23" s="25">
        <f>IF(INDIRECT("brand_form!A"&amp;ROW())="","",IF(IF(INDIRECT("brand_form!O"&amp;ROW())="","",INDIRECT("brand_form!O"&amp;ROW()))="Yes","Y",IF(IF(INDIRECT("brand_form!O"&amp;ROW())="","",INDIRECT("brand_form!O"&amp;ROW()))="No","N","")))</f>
        <v/>
      </c>
      <c r="O2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3" s="25">
        <f>IF(INDIRECT("brand_form!A"&amp;ROW())="","",IF(IF(INDIRECT("brand_form!K"&amp;ROW())="","",INDIRECT("brand_form!K"&amp;ROW()))="I do","Y",IF(IF(INDIRECT("brand_form!K"&amp;ROW())="","",INDIRECT("brand_form!K"&amp;ROW()))="Someone else","N","")))</f>
        <v/>
      </c>
      <c r="Q23" s="25">
        <f>IF(INDIRECT("brand_form!A"&amp;ROW())="","",IF($P23="Y",$E23&amp;", "&amp;$F23,IF(INDIRECT("brand_form!L"&amp;ROW())="","",INDIRECT("brand_form!L"&amp;ROW()))))</f>
        <v/>
      </c>
      <c r="R23" s="25">
        <f>IF(INDIRECT("brand_form!A"&amp;ROW())="","",IF(IF(INDIRECT("brand_form!Q"&amp;ROW())="","",INDIRECT("brand_form!Q"&amp;ROW()))="Yes","Y",IF(IF(INDIRECT("brand_form!Q"&amp;ROW())="","",INDIRECT("brand_form!Q"&amp;ROW()))="No","N",IF(IF(INDIRECT("brand_form!Q"&amp;ROW())="","",INDIRECT("brand_form!Q"&amp;ROW()))="Not sure","unsure",""))))</f>
        <v/>
      </c>
      <c r="S23" s="25">
        <f>IF(INDIRECT("brand_form!A"&amp;ROW())="","",IF(IF(INDIRECT("brand_form!R"&amp;ROW())="","",INDIRECT("brand_form!R"&amp;ROW()))="Yes","Y",IF(IF(INDIRECT("brand_form!R"&amp;ROW())="","",INDIRECT("brand_form!R"&amp;ROW()))="No","N",IF(IF(INDIRECT("brand_form!R"&amp;ROW())="","",INDIRECT("brand_form!R"&amp;ROW()))="Not sure","unsure",""))))</f>
        <v/>
      </c>
      <c r="T23" s="25">
        <f>IF(INDIRECT("brand_form!A"&amp;ROW())="","",IF(IF(INDIRECT("brand_form!S"&amp;ROW())="","",INDIRECT("brand_form!S"&amp;ROW()))="Yes","Y",IF(IF(INDIRECT("brand_form!S"&amp;ROW())="","",INDIRECT("brand_form!S"&amp;ROW()))="No","N",IF(IF(INDIRECT("brand_form!S"&amp;ROW())="","",INDIRECT("brand_form!S"&amp;ROW()))="Not sure","unsure",""))))</f>
        <v/>
      </c>
      <c r="U23" s="25">
        <f>IF(INDIRECT("brand_form!A"&amp;ROW())="","",IF(IF(INDIRECT("brand_form!T"&amp;ROW())="","",INDIRECT("brand_form!T"&amp;ROW()))="Yes","Y",IF(IF(INDIRECT("brand_form!T"&amp;ROW())="","",INDIRECT("brand_form!T"&amp;ROW()))="No","N",IF(IF(INDIRECT("brand_form!T"&amp;ROW())="","",INDIRECT("brand_form!T"&amp;ROW()))="Not sure","unsure",""))))</f>
        <v/>
      </c>
      <c r="V23" s="25">
        <f>IF(INDIRECT("brand_form!A"&amp;ROW())="","",IF(IF(INDIRECT("brand_form!U"&amp;ROW())="","",INDIRECT("brand_form!U"&amp;ROW()))="Yes","Y",IF(IF(INDIRECT("brand_form!U"&amp;ROW())="","",INDIRECT("brand_form!U"&amp;ROW()))="No","N",IF(IF(INDIRECT("brand_form!U"&amp;ROW())="","",INDIRECT("brand_form!U"&amp;ROW()))="Not sure","unsure",""))))</f>
        <v/>
      </c>
      <c r="W23" s="25">
        <f>IF(INDIRECT("brand_form!A"&amp;ROW())="","",IF(IF(INDIRECT("brand_form!V"&amp;ROW())="","",INDIRECT("brand_form!V"&amp;ROW()))="Yes","Y",IF(IF(INDIRECT("brand_form!V"&amp;ROW())="","",INDIRECT("brand_form!V"&amp;ROW()))="No","N",IF(IF(INDIRECT("brand_form!V"&amp;ROW())="","",INDIRECT("brand_form!V"&amp;ROW()))="Not sure","unsure",""))))</f>
        <v/>
      </c>
      <c r="X23" s="25">
        <f>IF(INDIRECT("brand_form!A"&amp;ROW())="","",IF(INDIRECT("brand_form!W"&amp;ROW())="","",INDIRECT("brand_form!W"&amp;ROW())))</f>
        <v/>
      </c>
      <c r="Y23" s="25">
        <f>IF(INDIRECT("brand_form!A"&amp;ROW())="","",IF(IF(INDIRECT("brand_form!X"&amp;ROW())="","",INDIRECT("brand_form!X"&amp;ROW()))&lt;&gt;"","Y",""))</f>
        <v/>
      </c>
      <c r="Z23" s="25">
        <f>IF(INDIRECT("brand_form!A"&amp;ROW())="","",IF(INDIRECT("brand_form!Y"&amp;ROW())="","",INDIRECT("brand_form!Y"&amp;ROW())))</f>
        <v/>
      </c>
      <c r="AA23" s="25">
        <f>IF(INDIRECT("brand_form!A"&amp;ROW())="","","founder")</f>
        <v/>
      </c>
    </row>
    <row r="24">
      <c r="A24" s="25">
        <f>IF(INDIRECT("brand_form!A"&amp;ROW())="","",TEXT(INDIRECT("brand_form!A"&amp;ROW()),"yyyy-mm-dd""T""hh:mm:ss"))</f>
        <v/>
      </c>
      <c r="B24" s="25">
        <f>IF(INDIRECT("brand_form!A"&amp;ROW())="","",config!$B$35)</f>
        <v/>
      </c>
      <c r="C24" s="25">
        <f>IF(INDIRECT("brand_form!A"&amp;ROW())="","",IF(INDIRECT("brand_form!B"&amp;ROW())="","",INDIRECT("brand_form!B"&amp;ROW())))</f>
        <v/>
      </c>
      <c r="D24" s="25">
        <f>IF(INDIRECT("brand_form!A"&amp;ROW())="","",IF(IF(INDIRECT("brand_form!C"&amp;ROW())="","",INDIRECT("brand_form!C"&amp;ROW()))="","",IF(LEFT(LOWER(IF(INDIRECT("brand_form!C"&amp;ROW())="","",INDIRECT("brand_form!C"&amp;ROW()))),4)="http",IF(INDIRECT("brand_form!C"&amp;ROW())="","",INDIRECT("brand_form!C"&amp;ROW())),"https://"&amp;IF(INDIRECT("brand_form!C"&amp;ROW())="","",INDIRECT("brand_form!C"&amp;ROW())))))</f>
        <v/>
      </c>
      <c r="E24" s="25">
        <f>IF(INDIRECT("brand_form!A"&amp;ROW())="","",IF(INDIRECT("brand_form!G"&amp;ROW())="","",INDIRECT("brand_form!G"&amp;ROW())))</f>
        <v/>
      </c>
      <c r="F24" s="25">
        <f>IF(INDIRECT("brand_form!A"&amp;ROW())="","",IF(INDIRECT("brand_form!H"&amp;ROW())="","",INDIRECT("brand_form!H"&amp;ROW())))</f>
        <v/>
      </c>
      <c r="G24" s="25">
        <f>IF(INDIRECT("brand_form!A"&amp;ROW())="","",IF(INDIRECT("brand_form!I"&amp;ROW())="","",INDIRECT("brand_form!I"&amp;ROW())))</f>
        <v/>
      </c>
      <c r="H24" s="25">
        <f>IF(INDIRECT("brand_form!A"&amp;ROW())="","",IF(INDIRECT("brand_form!J"&amp;ROW())="","",INDIRECT("brand_form!J"&amp;ROW())))</f>
        <v/>
      </c>
      <c r="I24" s="25">
        <f>IF(INDIRECT("brand_form!A"&amp;ROW())="","",IF(INDIRECT("brand_form!D"&amp;ROW())="","",INDIRECT("brand_form!D"&amp;ROW())))</f>
        <v/>
      </c>
      <c r="J2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4" s="25">
        <f>IF(INDIRECT("brand_form!A"&amp;ROW())="","",IF(INDIRECT("brand_form!F"&amp;ROW())="","",INDIRECT("brand_form!F"&amp;ROW())))</f>
        <v/>
      </c>
      <c r="L24" s="25">
        <f>IF(INDIRECT("brand_form!A"&amp;ROW())="","",IF(INDIRECT("brand_form!M"&amp;ROW())="","",INDIRECT("brand_form!M"&amp;ROW())))</f>
        <v/>
      </c>
      <c r="M24" s="25">
        <f>IF(INDIRECT("brand_form!A"&amp;ROW())="","",IF(IF(INDIRECT("brand_form!N"&amp;ROW())="","",INDIRECT("brand_form!N"&amp;ROW()))="","",IF(LEFT(LOWER(IF(INDIRECT("brand_form!N"&amp;ROW())="","",INDIRECT("brand_form!N"&amp;ROW()))),4)="http",IF(INDIRECT("brand_form!N"&amp;ROW())="","",INDIRECT("brand_form!N"&amp;ROW())),"https://"&amp;IF(INDIRECT("brand_form!N"&amp;ROW())="","",INDIRECT("brand_form!N"&amp;ROW())))))</f>
        <v/>
      </c>
      <c r="N24" s="25">
        <f>IF(INDIRECT("brand_form!A"&amp;ROW())="","",IF(IF(INDIRECT("brand_form!O"&amp;ROW())="","",INDIRECT("brand_form!O"&amp;ROW()))="Yes","Y",IF(IF(INDIRECT("brand_form!O"&amp;ROW())="","",INDIRECT("brand_form!O"&amp;ROW()))="No","N","")))</f>
        <v/>
      </c>
      <c r="O2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4" s="25">
        <f>IF(INDIRECT("brand_form!A"&amp;ROW())="","",IF(IF(INDIRECT("brand_form!K"&amp;ROW())="","",INDIRECT("brand_form!K"&amp;ROW()))="I do","Y",IF(IF(INDIRECT("brand_form!K"&amp;ROW())="","",INDIRECT("brand_form!K"&amp;ROW()))="Someone else","N","")))</f>
        <v/>
      </c>
      <c r="Q24" s="25">
        <f>IF(INDIRECT("brand_form!A"&amp;ROW())="","",IF($P24="Y",$E24&amp;", "&amp;$F24,IF(INDIRECT("brand_form!L"&amp;ROW())="","",INDIRECT("brand_form!L"&amp;ROW()))))</f>
        <v/>
      </c>
      <c r="R24" s="25">
        <f>IF(INDIRECT("brand_form!A"&amp;ROW())="","",IF(IF(INDIRECT("brand_form!Q"&amp;ROW())="","",INDIRECT("brand_form!Q"&amp;ROW()))="Yes","Y",IF(IF(INDIRECT("brand_form!Q"&amp;ROW())="","",INDIRECT("brand_form!Q"&amp;ROW()))="No","N",IF(IF(INDIRECT("brand_form!Q"&amp;ROW())="","",INDIRECT("brand_form!Q"&amp;ROW()))="Not sure","unsure",""))))</f>
        <v/>
      </c>
      <c r="S24" s="25">
        <f>IF(INDIRECT("brand_form!A"&amp;ROW())="","",IF(IF(INDIRECT("brand_form!R"&amp;ROW())="","",INDIRECT("brand_form!R"&amp;ROW()))="Yes","Y",IF(IF(INDIRECT("brand_form!R"&amp;ROW())="","",INDIRECT("brand_form!R"&amp;ROW()))="No","N",IF(IF(INDIRECT("brand_form!R"&amp;ROW())="","",INDIRECT("brand_form!R"&amp;ROW()))="Not sure","unsure",""))))</f>
        <v/>
      </c>
      <c r="T24" s="25">
        <f>IF(INDIRECT("brand_form!A"&amp;ROW())="","",IF(IF(INDIRECT("brand_form!S"&amp;ROW())="","",INDIRECT("brand_form!S"&amp;ROW()))="Yes","Y",IF(IF(INDIRECT("brand_form!S"&amp;ROW())="","",INDIRECT("brand_form!S"&amp;ROW()))="No","N",IF(IF(INDIRECT("brand_form!S"&amp;ROW())="","",INDIRECT("brand_form!S"&amp;ROW()))="Not sure","unsure",""))))</f>
        <v/>
      </c>
      <c r="U24" s="25">
        <f>IF(INDIRECT("brand_form!A"&amp;ROW())="","",IF(IF(INDIRECT("brand_form!T"&amp;ROW())="","",INDIRECT("brand_form!T"&amp;ROW()))="Yes","Y",IF(IF(INDIRECT("brand_form!T"&amp;ROW())="","",INDIRECT("brand_form!T"&amp;ROW()))="No","N",IF(IF(INDIRECT("brand_form!T"&amp;ROW())="","",INDIRECT("brand_form!T"&amp;ROW()))="Not sure","unsure",""))))</f>
        <v/>
      </c>
      <c r="V24" s="25">
        <f>IF(INDIRECT("brand_form!A"&amp;ROW())="","",IF(IF(INDIRECT("brand_form!U"&amp;ROW())="","",INDIRECT("brand_form!U"&amp;ROW()))="Yes","Y",IF(IF(INDIRECT("brand_form!U"&amp;ROW())="","",INDIRECT("brand_form!U"&amp;ROW()))="No","N",IF(IF(INDIRECT("brand_form!U"&amp;ROW())="","",INDIRECT("brand_form!U"&amp;ROW()))="Not sure","unsure",""))))</f>
        <v/>
      </c>
      <c r="W24" s="25">
        <f>IF(INDIRECT("brand_form!A"&amp;ROW())="","",IF(IF(INDIRECT("brand_form!V"&amp;ROW())="","",INDIRECT("brand_form!V"&amp;ROW()))="Yes","Y",IF(IF(INDIRECT("brand_form!V"&amp;ROW())="","",INDIRECT("brand_form!V"&amp;ROW()))="No","N",IF(IF(INDIRECT("brand_form!V"&amp;ROW())="","",INDIRECT("brand_form!V"&amp;ROW()))="Not sure","unsure",""))))</f>
        <v/>
      </c>
      <c r="X24" s="25">
        <f>IF(INDIRECT("brand_form!A"&amp;ROW())="","",IF(INDIRECT("brand_form!W"&amp;ROW())="","",INDIRECT("brand_form!W"&amp;ROW())))</f>
        <v/>
      </c>
      <c r="Y24" s="25">
        <f>IF(INDIRECT("brand_form!A"&amp;ROW())="","",IF(IF(INDIRECT("brand_form!X"&amp;ROW())="","",INDIRECT("brand_form!X"&amp;ROW()))&lt;&gt;"","Y",""))</f>
        <v/>
      </c>
      <c r="Z24" s="25">
        <f>IF(INDIRECT("brand_form!A"&amp;ROW())="","",IF(INDIRECT("brand_form!Y"&amp;ROW())="","",INDIRECT("brand_form!Y"&amp;ROW())))</f>
        <v/>
      </c>
      <c r="AA24" s="25">
        <f>IF(INDIRECT("brand_form!A"&amp;ROW())="","","founder")</f>
        <v/>
      </c>
    </row>
    <row r="25">
      <c r="A25" s="25">
        <f>IF(INDIRECT("brand_form!A"&amp;ROW())="","",TEXT(INDIRECT("brand_form!A"&amp;ROW()),"yyyy-mm-dd""T""hh:mm:ss"))</f>
        <v/>
      </c>
      <c r="B25" s="25">
        <f>IF(INDIRECT("brand_form!A"&amp;ROW())="","",config!$B$35)</f>
        <v/>
      </c>
      <c r="C25" s="25">
        <f>IF(INDIRECT("brand_form!A"&amp;ROW())="","",IF(INDIRECT("brand_form!B"&amp;ROW())="","",INDIRECT("brand_form!B"&amp;ROW())))</f>
        <v/>
      </c>
      <c r="D25" s="25">
        <f>IF(INDIRECT("brand_form!A"&amp;ROW())="","",IF(IF(INDIRECT("brand_form!C"&amp;ROW())="","",INDIRECT("brand_form!C"&amp;ROW()))="","",IF(LEFT(LOWER(IF(INDIRECT("brand_form!C"&amp;ROW())="","",INDIRECT("brand_form!C"&amp;ROW()))),4)="http",IF(INDIRECT("brand_form!C"&amp;ROW())="","",INDIRECT("brand_form!C"&amp;ROW())),"https://"&amp;IF(INDIRECT("brand_form!C"&amp;ROW())="","",INDIRECT("brand_form!C"&amp;ROW())))))</f>
        <v/>
      </c>
      <c r="E25" s="25">
        <f>IF(INDIRECT("brand_form!A"&amp;ROW())="","",IF(INDIRECT("brand_form!G"&amp;ROW())="","",INDIRECT("brand_form!G"&amp;ROW())))</f>
        <v/>
      </c>
      <c r="F25" s="25">
        <f>IF(INDIRECT("brand_form!A"&amp;ROW())="","",IF(INDIRECT("brand_form!H"&amp;ROW())="","",INDIRECT("brand_form!H"&amp;ROW())))</f>
        <v/>
      </c>
      <c r="G25" s="25">
        <f>IF(INDIRECT("brand_form!A"&amp;ROW())="","",IF(INDIRECT("brand_form!I"&amp;ROW())="","",INDIRECT("brand_form!I"&amp;ROW())))</f>
        <v/>
      </c>
      <c r="H25" s="25">
        <f>IF(INDIRECT("brand_form!A"&amp;ROW())="","",IF(INDIRECT("brand_form!J"&amp;ROW())="","",INDIRECT("brand_form!J"&amp;ROW())))</f>
        <v/>
      </c>
      <c r="I25" s="25">
        <f>IF(INDIRECT("brand_form!A"&amp;ROW())="","",IF(INDIRECT("brand_form!D"&amp;ROW())="","",INDIRECT("brand_form!D"&amp;ROW())))</f>
        <v/>
      </c>
      <c r="J2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5" s="25">
        <f>IF(INDIRECT("brand_form!A"&amp;ROW())="","",IF(INDIRECT("brand_form!F"&amp;ROW())="","",INDIRECT("brand_form!F"&amp;ROW())))</f>
        <v/>
      </c>
      <c r="L25" s="25">
        <f>IF(INDIRECT("brand_form!A"&amp;ROW())="","",IF(INDIRECT("brand_form!M"&amp;ROW())="","",INDIRECT("brand_form!M"&amp;ROW())))</f>
        <v/>
      </c>
      <c r="M25" s="25">
        <f>IF(INDIRECT("brand_form!A"&amp;ROW())="","",IF(IF(INDIRECT("brand_form!N"&amp;ROW())="","",INDIRECT("brand_form!N"&amp;ROW()))="","",IF(LEFT(LOWER(IF(INDIRECT("brand_form!N"&amp;ROW())="","",INDIRECT("brand_form!N"&amp;ROW()))),4)="http",IF(INDIRECT("brand_form!N"&amp;ROW())="","",INDIRECT("brand_form!N"&amp;ROW())),"https://"&amp;IF(INDIRECT("brand_form!N"&amp;ROW())="","",INDIRECT("brand_form!N"&amp;ROW())))))</f>
        <v/>
      </c>
      <c r="N25" s="25">
        <f>IF(INDIRECT("brand_form!A"&amp;ROW())="","",IF(IF(INDIRECT("brand_form!O"&amp;ROW())="","",INDIRECT("brand_form!O"&amp;ROW()))="Yes","Y",IF(IF(INDIRECT("brand_form!O"&amp;ROW())="","",INDIRECT("brand_form!O"&amp;ROW()))="No","N","")))</f>
        <v/>
      </c>
      <c r="O2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5" s="25">
        <f>IF(INDIRECT("brand_form!A"&amp;ROW())="","",IF(IF(INDIRECT("brand_form!K"&amp;ROW())="","",INDIRECT("brand_form!K"&amp;ROW()))="I do","Y",IF(IF(INDIRECT("brand_form!K"&amp;ROW())="","",INDIRECT("brand_form!K"&amp;ROW()))="Someone else","N","")))</f>
        <v/>
      </c>
      <c r="Q25" s="25">
        <f>IF(INDIRECT("brand_form!A"&amp;ROW())="","",IF($P25="Y",$E25&amp;", "&amp;$F25,IF(INDIRECT("brand_form!L"&amp;ROW())="","",INDIRECT("brand_form!L"&amp;ROW()))))</f>
        <v/>
      </c>
      <c r="R25" s="25">
        <f>IF(INDIRECT("brand_form!A"&amp;ROW())="","",IF(IF(INDIRECT("brand_form!Q"&amp;ROW())="","",INDIRECT("brand_form!Q"&amp;ROW()))="Yes","Y",IF(IF(INDIRECT("brand_form!Q"&amp;ROW())="","",INDIRECT("brand_form!Q"&amp;ROW()))="No","N",IF(IF(INDIRECT("brand_form!Q"&amp;ROW())="","",INDIRECT("brand_form!Q"&amp;ROW()))="Not sure","unsure",""))))</f>
        <v/>
      </c>
      <c r="S25" s="25">
        <f>IF(INDIRECT("brand_form!A"&amp;ROW())="","",IF(IF(INDIRECT("brand_form!R"&amp;ROW())="","",INDIRECT("brand_form!R"&amp;ROW()))="Yes","Y",IF(IF(INDIRECT("brand_form!R"&amp;ROW())="","",INDIRECT("brand_form!R"&amp;ROW()))="No","N",IF(IF(INDIRECT("brand_form!R"&amp;ROW())="","",INDIRECT("brand_form!R"&amp;ROW()))="Not sure","unsure",""))))</f>
        <v/>
      </c>
      <c r="T25" s="25">
        <f>IF(INDIRECT("brand_form!A"&amp;ROW())="","",IF(IF(INDIRECT("brand_form!S"&amp;ROW())="","",INDIRECT("brand_form!S"&amp;ROW()))="Yes","Y",IF(IF(INDIRECT("brand_form!S"&amp;ROW())="","",INDIRECT("brand_form!S"&amp;ROW()))="No","N",IF(IF(INDIRECT("brand_form!S"&amp;ROW())="","",INDIRECT("brand_form!S"&amp;ROW()))="Not sure","unsure",""))))</f>
        <v/>
      </c>
      <c r="U25" s="25">
        <f>IF(INDIRECT("brand_form!A"&amp;ROW())="","",IF(IF(INDIRECT("brand_form!T"&amp;ROW())="","",INDIRECT("brand_form!T"&amp;ROW()))="Yes","Y",IF(IF(INDIRECT("brand_form!T"&amp;ROW())="","",INDIRECT("brand_form!T"&amp;ROW()))="No","N",IF(IF(INDIRECT("brand_form!T"&amp;ROW())="","",INDIRECT("brand_form!T"&amp;ROW()))="Not sure","unsure",""))))</f>
        <v/>
      </c>
      <c r="V25" s="25">
        <f>IF(INDIRECT("brand_form!A"&amp;ROW())="","",IF(IF(INDIRECT("brand_form!U"&amp;ROW())="","",INDIRECT("brand_form!U"&amp;ROW()))="Yes","Y",IF(IF(INDIRECT("brand_form!U"&amp;ROW())="","",INDIRECT("brand_form!U"&amp;ROW()))="No","N",IF(IF(INDIRECT("brand_form!U"&amp;ROW())="","",INDIRECT("brand_form!U"&amp;ROW()))="Not sure","unsure",""))))</f>
        <v/>
      </c>
      <c r="W25" s="25">
        <f>IF(INDIRECT("brand_form!A"&amp;ROW())="","",IF(IF(INDIRECT("brand_form!V"&amp;ROW())="","",INDIRECT("brand_form!V"&amp;ROW()))="Yes","Y",IF(IF(INDIRECT("brand_form!V"&amp;ROW())="","",INDIRECT("brand_form!V"&amp;ROW()))="No","N",IF(IF(INDIRECT("brand_form!V"&amp;ROW())="","",INDIRECT("brand_form!V"&amp;ROW()))="Not sure","unsure",""))))</f>
        <v/>
      </c>
      <c r="X25" s="25">
        <f>IF(INDIRECT("brand_form!A"&amp;ROW())="","",IF(INDIRECT("brand_form!W"&amp;ROW())="","",INDIRECT("brand_form!W"&amp;ROW())))</f>
        <v/>
      </c>
      <c r="Y25" s="25">
        <f>IF(INDIRECT("brand_form!A"&amp;ROW())="","",IF(IF(INDIRECT("brand_form!X"&amp;ROW())="","",INDIRECT("brand_form!X"&amp;ROW()))&lt;&gt;"","Y",""))</f>
        <v/>
      </c>
      <c r="Z25" s="25">
        <f>IF(INDIRECT("brand_form!A"&amp;ROW())="","",IF(INDIRECT("brand_form!Y"&amp;ROW())="","",INDIRECT("brand_form!Y"&amp;ROW())))</f>
        <v/>
      </c>
      <c r="AA25" s="25">
        <f>IF(INDIRECT("brand_form!A"&amp;ROW())="","","founder")</f>
        <v/>
      </c>
    </row>
    <row r="26">
      <c r="A26" s="25">
        <f>IF(INDIRECT("brand_form!A"&amp;ROW())="","",TEXT(INDIRECT("brand_form!A"&amp;ROW()),"yyyy-mm-dd""T""hh:mm:ss"))</f>
        <v/>
      </c>
      <c r="B26" s="25">
        <f>IF(INDIRECT("brand_form!A"&amp;ROW())="","",config!$B$35)</f>
        <v/>
      </c>
      <c r="C26" s="25">
        <f>IF(INDIRECT("brand_form!A"&amp;ROW())="","",IF(INDIRECT("brand_form!B"&amp;ROW())="","",INDIRECT("brand_form!B"&amp;ROW())))</f>
        <v/>
      </c>
      <c r="D26" s="25">
        <f>IF(INDIRECT("brand_form!A"&amp;ROW())="","",IF(IF(INDIRECT("brand_form!C"&amp;ROW())="","",INDIRECT("brand_form!C"&amp;ROW()))="","",IF(LEFT(LOWER(IF(INDIRECT("brand_form!C"&amp;ROW())="","",INDIRECT("brand_form!C"&amp;ROW()))),4)="http",IF(INDIRECT("brand_form!C"&amp;ROW())="","",INDIRECT("brand_form!C"&amp;ROW())),"https://"&amp;IF(INDIRECT("brand_form!C"&amp;ROW())="","",INDIRECT("brand_form!C"&amp;ROW())))))</f>
        <v/>
      </c>
      <c r="E26" s="25">
        <f>IF(INDIRECT("brand_form!A"&amp;ROW())="","",IF(INDIRECT("brand_form!G"&amp;ROW())="","",INDIRECT("brand_form!G"&amp;ROW())))</f>
        <v/>
      </c>
      <c r="F26" s="25">
        <f>IF(INDIRECT("brand_form!A"&amp;ROW())="","",IF(INDIRECT("brand_form!H"&amp;ROW())="","",INDIRECT("brand_form!H"&amp;ROW())))</f>
        <v/>
      </c>
      <c r="G26" s="25">
        <f>IF(INDIRECT("brand_form!A"&amp;ROW())="","",IF(INDIRECT("brand_form!I"&amp;ROW())="","",INDIRECT("brand_form!I"&amp;ROW())))</f>
        <v/>
      </c>
      <c r="H26" s="25">
        <f>IF(INDIRECT("brand_form!A"&amp;ROW())="","",IF(INDIRECT("brand_form!J"&amp;ROW())="","",INDIRECT("brand_form!J"&amp;ROW())))</f>
        <v/>
      </c>
      <c r="I26" s="25">
        <f>IF(INDIRECT("brand_form!A"&amp;ROW())="","",IF(INDIRECT("brand_form!D"&amp;ROW())="","",INDIRECT("brand_form!D"&amp;ROW())))</f>
        <v/>
      </c>
      <c r="J2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6" s="25">
        <f>IF(INDIRECT("brand_form!A"&amp;ROW())="","",IF(INDIRECT("brand_form!F"&amp;ROW())="","",INDIRECT("brand_form!F"&amp;ROW())))</f>
        <v/>
      </c>
      <c r="L26" s="25">
        <f>IF(INDIRECT("brand_form!A"&amp;ROW())="","",IF(INDIRECT("brand_form!M"&amp;ROW())="","",INDIRECT("brand_form!M"&amp;ROW())))</f>
        <v/>
      </c>
      <c r="M26" s="25">
        <f>IF(INDIRECT("brand_form!A"&amp;ROW())="","",IF(IF(INDIRECT("brand_form!N"&amp;ROW())="","",INDIRECT("brand_form!N"&amp;ROW()))="","",IF(LEFT(LOWER(IF(INDIRECT("brand_form!N"&amp;ROW())="","",INDIRECT("brand_form!N"&amp;ROW()))),4)="http",IF(INDIRECT("brand_form!N"&amp;ROW())="","",INDIRECT("brand_form!N"&amp;ROW())),"https://"&amp;IF(INDIRECT("brand_form!N"&amp;ROW())="","",INDIRECT("brand_form!N"&amp;ROW())))))</f>
        <v/>
      </c>
      <c r="N26" s="25">
        <f>IF(INDIRECT("brand_form!A"&amp;ROW())="","",IF(IF(INDIRECT("brand_form!O"&amp;ROW())="","",INDIRECT("brand_form!O"&amp;ROW()))="Yes","Y",IF(IF(INDIRECT("brand_form!O"&amp;ROW())="","",INDIRECT("brand_form!O"&amp;ROW()))="No","N","")))</f>
        <v/>
      </c>
      <c r="O2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6" s="25">
        <f>IF(INDIRECT("brand_form!A"&amp;ROW())="","",IF(IF(INDIRECT("brand_form!K"&amp;ROW())="","",INDIRECT("brand_form!K"&amp;ROW()))="I do","Y",IF(IF(INDIRECT("brand_form!K"&amp;ROW())="","",INDIRECT("brand_form!K"&amp;ROW()))="Someone else","N","")))</f>
        <v/>
      </c>
      <c r="Q26" s="25">
        <f>IF(INDIRECT("brand_form!A"&amp;ROW())="","",IF($P26="Y",$E26&amp;", "&amp;$F26,IF(INDIRECT("brand_form!L"&amp;ROW())="","",INDIRECT("brand_form!L"&amp;ROW()))))</f>
        <v/>
      </c>
      <c r="R26" s="25">
        <f>IF(INDIRECT("brand_form!A"&amp;ROW())="","",IF(IF(INDIRECT("brand_form!Q"&amp;ROW())="","",INDIRECT("brand_form!Q"&amp;ROW()))="Yes","Y",IF(IF(INDIRECT("brand_form!Q"&amp;ROW())="","",INDIRECT("brand_form!Q"&amp;ROW()))="No","N",IF(IF(INDIRECT("brand_form!Q"&amp;ROW())="","",INDIRECT("brand_form!Q"&amp;ROW()))="Not sure","unsure",""))))</f>
        <v/>
      </c>
      <c r="S26" s="25">
        <f>IF(INDIRECT("brand_form!A"&amp;ROW())="","",IF(IF(INDIRECT("brand_form!R"&amp;ROW())="","",INDIRECT("brand_form!R"&amp;ROW()))="Yes","Y",IF(IF(INDIRECT("brand_form!R"&amp;ROW())="","",INDIRECT("brand_form!R"&amp;ROW()))="No","N",IF(IF(INDIRECT("brand_form!R"&amp;ROW())="","",INDIRECT("brand_form!R"&amp;ROW()))="Not sure","unsure",""))))</f>
        <v/>
      </c>
      <c r="T26" s="25">
        <f>IF(INDIRECT("brand_form!A"&amp;ROW())="","",IF(IF(INDIRECT("brand_form!S"&amp;ROW())="","",INDIRECT("brand_form!S"&amp;ROW()))="Yes","Y",IF(IF(INDIRECT("brand_form!S"&amp;ROW())="","",INDIRECT("brand_form!S"&amp;ROW()))="No","N",IF(IF(INDIRECT("brand_form!S"&amp;ROW())="","",INDIRECT("brand_form!S"&amp;ROW()))="Not sure","unsure",""))))</f>
        <v/>
      </c>
      <c r="U26" s="25">
        <f>IF(INDIRECT("brand_form!A"&amp;ROW())="","",IF(IF(INDIRECT("brand_form!T"&amp;ROW())="","",INDIRECT("brand_form!T"&amp;ROW()))="Yes","Y",IF(IF(INDIRECT("brand_form!T"&amp;ROW())="","",INDIRECT("brand_form!T"&amp;ROW()))="No","N",IF(IF(INDIRECT("brand_form!T"&amp;ROW())="","",INDIRECT("brand_form!T"&amp;ROW()))="Not sure","unsure",""))))</f>
        <v/>
      </c>
      <c r="V26" s="25">
        <f>IF(INDIRECT("brand_form!A"&amp;ROW())="","",IF(IF(INDIRECT("brand_form!U"&amp;ROW())="","",INDIRECT("brand_form!U"&amp;ROW()))="Yes","Y",IF(IF(INDIRECT("brand_form!U"&amp;ROW())="","",INDIRECT("brand_form!U"&amp;ROW()))="No","N",IF(IF(INDIRECT("brand_form!U"&amp;ROW())="","",INDIRECT("brand_form!U"&amp;ROW()))="Not sure","unsure",""))))</f>
        <v/>
      </c>
      <c r="W26" s="25">
        <f>IF(INDIRECT("brand_form!A"&amp;ROW())="","",IF(IF(INDIRECT("brand_form!V"&amp;ROW())="","",INDIRECT("brand_form!V"&amp;ROW()))="Yes","Y",IF(IF(INDIRECT("brand_form!V"&amp;ROW())="","",INDIRECT("brand_form!V"&amp;ROW()))="No","N",IF(IF(INDIRECT("brand_form!V"&amp;ROW())="","",INDIRECT("brand_form!V"&amp;ROW()))="Not sure","unsure",""))))</f>
        <v/>
      </c>
      <c r="X26" s="25">
        <f>IF(INDIRECT("brand_form!A"&amp;ROW())="","",IF(INDIRECT("brand_form!W"&amp;ROW())="","",INDIRECT("brand_form!W"&amp;ROW())))</f>
        <v/>
      </c>
      <c r="Y26" s="25">
        <f>IF(INDIRECT("brand_form!A"&amp;ROW())="","",IF(IF(INDIRECT("brand_form!X"&amp;ROW())="","",INDIRECT("brand_form!X"&amp;ROW()))&lt;&gt;"","Y",""))</f>
        <v/>
      </c>
      <c r="Z26" s="25">
        <f>IF(INDIRECT("brand_form!A"&amp;ROW())="","",IF(INDIRECT("brand_form!Y"&amp;ROW())="","",INDIRECT("brand_form!Y"&amp;ROW())))</f>
        <v/>
      </c>
      <c r="AA26" s="25">
        <f>IF(INDIRECT("brand_form!A"&amp;ROW())="","","founder")</f>
        <v/>
      </c>
    </row>
    <row r="27">
      <c r="A27" s="25">
        <f>IF(INDIRECT("brand_form!A"&amp;ROW())="","",TEXT(INDIRECT("brand_form!A"&amp;ROW()),"yyyy-mm-dd""T""hh:mm:ss"))</f>
        <v/>
      </c>
      <c r="B27" s="25">
        <f>IF(INDIRECT("brand_form!A"&amp;ROW())="","",config!$B$35)</f>
        <v/>
      </c>
      <c r="C27" s="25">
        <f>IF(INDIRECT("brand_form!A"&amp;ROW())="","",IF(INDIRECT("brand_form!B"&amp;ROW())="","",INDIRECT("brand_form!B"&amp;ROW())))</f>
        <v/>
      </c>
      <c r="D27" s="25">
        <f>IF(INDIRECT("brand_form!A"&amp;ROW())="","",IF(IF(INDIRECT("brand_form!C"&amp;ROW())="","",INDIRECT("brand_form!C"&amp;ROW()))="","",IF(LEFT(LOWER(IF(INDIRECT("brand_form!C"&amp;ROW())="","",INDIRECT("brand_form!C"&amp;ROW()))),4)="http",IF(INDIRECT("brand_form!C"&amp;ROW())="","",INDIRECT("brand_form!C"&amp;ROW())),"https://"&amp;IF(INDIRECT("brand_form!C"&amp;ROW())="","",INDIRECT("brand_form!C"&amp;ROW())))))</f>
        <v/>
      </c>
      <c r="E27" s="25">
        <f>IF(INDIRECT("brand_form!A"&amp;ROW())="","",IF(INDIRECT("brand_form!G"&amp;ROW())="","",INDIRECT("brand_form!G"&amp;ROW())))</f>
        <v/>
      </c>
      <c r="F27" s="25">
        <f>IF(INDIRECT("brand_form!A"&amp;ROW())="","",IF(INDIRECT("brand_form!H"&amp;ROW())="","",INDIRECT("brand_form!H"&amp;ROW())))</f>
        <v/>
      </c>
      <c r="G27" s="25">
        <f>IF(INDIRECT("brand_form!A"&amp;ROW())="","",IF(INDIRECT("brand_form!I"&amp;ROW())="","",INDIRECT("brand_form!I"&amp;ROW())))</f>
        <v/>
      </c>
      <c r="H27" s="25">
        <f>IF(INDIRECT("brand_form!A"&amp;ROW())="","",IF(INDIRECT("brand_form!J"&amp;ROW())="","",INDIRECT("brand_form!J"&amp;ROW())))</f>
        <v/>
      </c>
      <c r="I27" s="25">
        <f>IF(INDIRECT("brand_form!A"&amp;ROW())="","",IF(INDIRECT("brand_form!D"&amp;ROW())="","",INDIRECT("brand_form!D"&amp;ROW())))</f>
        <v/>
      </c>
      <c r="J2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7" s="25">
        <f>IF(INDIRECT("brand_form!A"&amp;ROW())="","",IF(INDIRECT("brand_form!F"&amp;ROW())="","",INDIRECT("brand_form!F"&amp;ROW())))</f>
        <v/>
      </c>
      <c r="L27" s="25">
        <f>IF(INDIRECT("brand_form!A"&amp;ROW())="","",IF(INDIRECT("brand_form!M"&amp;ROW())="","",INDIRECT("brand_form!M"&amp;ROW())))</f>
        <v/>
      </c>
      <c r="M27" s="25">
        <f>IF(INDIRECT("brand_form!A"&amp;ROW())="","",IF(IF(INDIRECT("brand_form!N"&amp;ROW())="","",INDIRECT("brand_form!N"&amp;ROW()))="","",IF(LEFT(LOWER(IF(INDIRECT("brand_form!N"&amp;ROW())="","",INDIRECT("brand_form!N"&amp;ROW()))),4)="http",IF(INDIRECT("brand_form!N"&amp;ROW())="","",INDIRECT("brand_form!N"&amp;ROW())),"https://"&amp;IF(INDIRECT("brand_form!N"&amp;ROW())="","",INDIRECT("brand_form!N"&amp;ROW())))))</f>
        <v/>
      </c>
      <c r="N27" s="25">
        <f>IF(INDIRECT("brand_form!A"&amp;ROW())="","",IF(IF(INDIRECT("brand_form!O"&amp;ROW())="","",INDIRECT("brand_form!O"&amp;ROW()))="Yes","Y",IF(IF(INDIRECT("brand_form!O"&amp;ROW())="","",INDIRECT("brand_form!O"&amp;ROW()))="No","N","")))</f>
        <v/>
      </c>
      <c r="O2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7" s="25">
        <f>IF(INDIRECT("brand_form!A"&amp;ROW())="","",IF(IF(INDIRECT("brand_form!K"&amp;ROW())="","",INDIRECT("brand_form!K"&amp;ROW()))="I do","Y",IF(IF(INDIRECT("brand_form!K"&amp;ROW())="","",INDIRECT("brand_form!K"&amp;ROW()))="Someone else","N","")))</f>
        <v/>
      </c>
      <c r="Q27" s="25">
        <f>IF(INDIRECT("brand_form!A"&amp;ROW())="","",IF($P27="Y",$E27&amp;", "&amp;$F27,IF(INDIRECT("brand_form!L"&amp;ROW())="","",INDIRECT("brand_form!L"&amp;ROW()))))</f>
        <v/>
      </c>
      <c r="R27" s="25">
        <f>IF(INDIRECT("brand_form!A"&amp;ROW())="","",IF(IF(INDIRECT("brand_form!Q"&amp;ROW())="","",INDIRECT("brand_form!Q"&amp;ROW()))="Yes","Y",IF(IF(INDIRECT("brand_form!Q"&amp;ROW())="","",INDIRECT("brand_form!Q"&amp;ROW()))="No","N",IF(IF(INDIRECT("brand_form!Q"&amp;ROW())="","",INDIRECT("brand_form!Q"&amp;ROW()))="Not sure","unsure",""))))</f>
        <v/>
      </c>
      <c r="S27" s="25">
        <f>IF(INDIRECT("brand_form!A"&amp;ROW())="","",IF(IF(INDIRECT("brand_form!R"&amp;ROW())="","",INDIRECT("brand_form!R"&amp;ROW()))="Yes","Y",IF(IF(INDIRECT("brand_form!R"&amp;ROW())="","",INDIRECT("brand_form!R"&amp;ROW()))="No","N",IF(IF(INDIRECT("brand_form!R"&amp;ROW())="","",INDIRECT("brand_form!R"&amp;ROW()))="Not sure","unsure",""))))</f>
        <v/>
      </c>
      <c r="T27" s="25">
        <f>IF(INDIRECT("brand_form!A"&amp;ROW())="","",IF(IF(INDIRECT("brand_form!S"&amp;ROW())="","",INDIRECT("brand_form!S"&amp;ROW()))="Yes","Y",IF(IF(INDIRECT("brand_form!S"&amp;ROW())="","",INDIRECT("brand_form!S"&amp;ROW()))="No","N",IF(IF(INDIRECT("brand_form!S"&amp;ROW())="","",INDIRECT("brand_form!S"&amp;ROW()))="Not sure","unsure",""))))</f>
        <v/>
      </c>
      <c r="U27" s="25">
        <f>IF(INDIRECT("brand_form!A"&amp;ROW())="","",IF(IF(INDIRECT("brand_form!T"&amp;ROW())="","",INDIRECT("brand_form!T"&amp;ROW()))="Yes","Y",IF(IF(INDIRECT("brand_form!T"&amp;ROW())="","",INDIRECT("brand_form!T"&amp;ROW()))="No","N",IF(IF(INDIRECT("brand_form!T"&amp;ROW())="","",INDIRECT("brand_form!T"&amp;ROW()))="Not sure","unsure",""))))</f>
        <v/>
      </c>
      <c r="V27" s="25">
        <f>IF(INDIRECT("brand_form!A"&amp;ROW())="","",IF(IF(INDIRECT("brand_form!U"&amp;ROW())="","",INDIRECT("brand_form!U"&amp;ROW()))="Yes","Y",IF(IF(INDIRECT("brand_form!U"&amp;ROW())="","",INDIRECT("brand_form!U"&amp;ROW()))="No","N",IF(IF(INDIRECT("brand_form!U"&amp;ROW())="","",INDIRECT("brand_form!U"&amp;ROW()))="Not sure","unsure",""))))</f>
        <v/>
      </c>
      <c r="W27" s="25">
        <f>IF(INDIRECT("brand_form!A"&amp;ROW())="","",IF(IF(INDIRECT("brand_form!V"&amp;ROW())="","",INDIRECT("brand_form!V"&amp;ROW()))="Yes","Y",IF(IF(INDIRECT("brand_form!V"&amp;ROW())="","",INDIRECT("brand_form!V"&amp;ROW()))="No","N",IF(IF(INDIRECT("brand_form!V"&amp;ROW())="","",INDIRECT("brand_form!V"&amp;ROW()))="Not sure","unsure",""))))</f>
        <v/>
      </c>
      <c r="X27" s="25">
        <f>IF(INDIRECT("brand_form!A"&amp;ROW())="","",IF(INDIRECT("brand_form!W"&amp;ROW())="","",INDIRECT("brand_form!W"&amp;ROW())))</f>
        <v/>
      </c>
      <c r="Y27" s="25">
        <f>IF(INDIRECT("brand_form!A"&amp;ROW())="","",IF(IF(INDIRECT("brand_form!X"&amp;ROW())="","",INDIRECT("brand_form!X"&amp;ROW()))&lt;&gt;"","Y",""))</f>
        <v/>
      </c>
      <c r="Z27" s="25">
        <f>IF(INDIRECT("brand_form!A"&amp;ROW())="","",IF(INDIRECT("brand_form!Y"&amp;ROW())="","",INDIRECT("brand_form!Y"&amp;ROW())))</f>
        <v/>
      </c>
      <c r="AA27" s="25">
        <f>IF(INDIRECT("brand_form!A"&amp;ROW())="","","founder")</f>
        <v/>
      </c>
    </row>
    <row r="28">
      <c r="A28" s="25">
        <f>IF(INDIRECT("brand_form!A"&amp;ROW())="","",TEXT(INDIRECT("brand_form!A"&amp;ROW()),"yyyy-mm-dd""T""hh:mm:ss"))</f>
        <v/>
      </c>
      <c r="B28" s="25">
        <f>IF(INDIRECT("brand_form!A"&amp;ROW())="","",config!$B$35)</f>
        <v/>
      </c>
      <c r="C28" s="25">
        <f>IF(INDIRECT("brand_form!A"&amp;ROW())="","",IF(INDIRECT("brand_form!B"&amp;ROW())="","",INDIRECT("brand_form!B"&amp;ROW())))</f>
        <v/>
      </c>
      <c r="D28" s="25">
        <f>IF(INDIRECT("brand_form!A"&amp;ROW())="","",IF(IF(INDIRECT("brand_form!C"&amp;ROW())="","",INDIRECT("brand_form!C"&amp;ROW()))="","",IF(LEFT(LOWER(IF(INDIRECT("brand_form!C"&amp;ROW())="","",INDIRECT("brand_form!C"&amp;ROW()))),4)="http",IF(INDIRECT("brand_form!C"&amp;ROW())="","",INDIRECT("brand_form!C"&amp;ROW())),"https://"&amp;IF(INDIRECT("brand_form!C"&amp;ROW())="","",INDIRECT("brand_form!C"&amp;ROW())))))</f>
        <v/>
      </c>
      <c r="E28" s="25">
        <f>IF(INDIRECT("brand_form!A"&amp;ROW())="","",IF(INDIRECT("brand_form!G"&amp;ROW())="","",INDIRECT("brand_form!G"&amp;ROW())))</f>
        <v/>
      </c>
      <c r="F28" s="25">
        <f>IF(INDIRECT("brand_form!A"&amp;ROW())="","",IF(INDIRECT("brand_form!H"&amp;ROW())="","",INDIRECT("brand_form!H"&amp;ROW())))</f>
        <v/>
      </c>
      <c r="G28" s="25">
        <f>IF(INDIRECT("brand_form!A"&amp;ROW())="","",IF(INDIRECT("brand_form!I"&amp;ROW())="","",INDIRECT("brand_form!I"&amp;ROW())))</f>
        <v/>
      </c>
      <c r="H28" s="25">
        <f>IF(INDIRECT("brand_form!A"&amp;ROW())="","",IF(INDIRECT("brand_form!J"&amp;ROW())="","",INDIRECT("brand_form!J"&amp;ROW())))</f>
        <v/>
      </c>
      <c r="I28" s="25">
        <f>IF(INDIRECT("brand_form!A"&amp;ROW())="","",IF(INDIRECT("brand_form!D"&amp;ROW())="","",INDIRECT("brand_form!D"&amp;ROW())))</f>
        <v/>
      </c>
      <c r="J2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8" s="25">
        <f>IF(INDIRECT("brand_form!A"&amp;ROW())="","",IF(INDIRECT("brand_form!F"&amp;ROW())="","",INDIRECT("brand_form!F"&amp;ROW())))</f>
        <v/>
      </c>
      <c r="L28" s="25">
        <f>IF(INDIRECT("brand_form!A"&amp;ROW())="","",IF(INDIRECT("brand_form!M"&amp;ROW())="","",INDIRECT("brand_form!M"&amp;ROW())))</f>
        <v/>
      </c>
      <c r="M28" s="25">
        <f>IF(INDIRECT("brand_form!A"&amp;ROW())="","",IF(IF(INDIRECT("brand_form!N"&amp;ROW())="","",INDIRECT("brand_form!N"&amp;ROW()))="","",IF(LEFT(LOWER(IF(INDIRECT("brand_form!N"&amp;ROW())="","",INDIRECT("brand_form!N"&amp;ROW()))),4)="http",IF(INDIRECT("brand_form!N"&amp;ROW())="","",INDIRECT("brand_form!N"&amp;ROW())),"https://"&amp;IF(INDIRECT("brand_form!N"&amp;ROW())="","",INDIRECT("brand_form!N"&amp;ROW())))))</f>
        <v/>
      </c>
      <c r="N28" s="25">
        <f>IF(INDIRECT("brand_form!A"&amp;ROW())="","",IF(IF(INDIRECT("brand_form!O"&amp;ROW())="","",INDIRECT("brand_form!O"&amp;ROW()))="Yes","Y",IF(IF(INDIRECT("brand_form!O"&amp;ROW())="","",INDIRECT("brand_form!O"&amp;ROW()))="No","N","")))</f>
        <v/>
      </c>
      <c r="O2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8" s="25">
        <f>IF(INDIRECT("brand_form!A"&amp;ROW())="","",IF(IF(INDIRECT("brand_form!K"&amp;ROW())="","",INDIRECT("brand_form!K"&amp;ROW()))="I do","Y",IF(IF(INDIRECT("brand_form!K"&amp;ROW())="","",INDIRECT("brand_form!K"&amp;ROW()))="Someone else","N","")))</f>
        <v/>
      </c>
      <c r="Q28" s="25">
        <f>IF(INDIRECT("brand_form!A"&amp;ROW())="","",IF($P28="Y",$E28&amp;", "&amp;$F28,IF(INDIRECT("brand_form!L"&amp;ROW())="","",INDIRECT("brand_form!L"&amp;ROW()))))</f>
        <v/>
      </c>
      <c r="R28" s="25">
        <f>IF(INDIRECT("brand_form!A"&amp;ROW())="","",IF(IF(INDIRECT("brand_form!Q"&amp;ROW())="","",INDIRECT("brand_form!Q"&amp;ROW()))="Yes","Y",IF(IF(INDIRECT("brand_form!Q"&amp;ROW())="","",INDIRECT("brand_form!Q"&amp;ROW()))="No","N",IF(IF(INDIRECT("brand_form!Q"&amp;ROW())="","",INDIRECT("brand_form!Q"&amp;ROW()))="Not sure","unsure",""))))</f>
        <v/>
      </c>
      <c r="S28" s="25">
        <f>IF(INDIRECT("brand_form!A"&amp;ROW())="","",IF(IF(INDIRECT("brand_form!R"&amp;ROW())="","",INDIRECT("brand_form!R"&amp;ROW()))="Yes","Y",IF(IF(INDIRECT("brand_form!R"&amp;ROW())="","",INDIRECT("brand_form!R"&amp;ROW()))="No","N",IF(IF(INDIRECT("brand_form!R"&amp;ROW())="","",INDIRECT("brand_form!R"&amp;ROW()))="Not sure","unsure",""))))</f>
        <v/>
      </c>
      <c r="T28" s="25">
        <f>IF(INDIRECT("brand_form!A"&amp;ROW())="","",IF(IF(INDIRECT("brand_form!S"&amp;ROW())="","",INDIRECT("brand_form!S"&amp;ROW()))="Yes","Y",IF(IF(INDIRECT("brand_form!S"&amp;ROW())="","",INDIRECT("brand_form!S"&amp;ROW()))="No","N",IF(IF(INDIRECT("brand_form!S"&amp;ROW())="","",INDIRECT("brand_form!S"&amp;ROW()))="Not sure","unsure",""))))</f>
        <v/>
      </c>
      <c r="U28" s="25">
        <f>IF(INDIRECT("brand_form!A"&amp;ROW())="","",IF(IF(INDIRECT("brand_form!T"&amp;ROW())="","",INDIRECT("brand_form!T"&amp;ROW()))="Yes","Y",IF(IF(INDIRECT("brand_form!T"&amp;ROW())="","",INDIRECT("brand_form!T"&amp;ROW()))="No","N",IF(IF(INDIRECT("brand_form!T"&amp;ROW())="","",INDIRECT("brand_form!T"&amp;ROW()))="Not sure","unsure",""))))</f>
        <v/>
      </c>
      <c r="V28" s="25">
        <f>IF(INDIRECT("brand_form!A"&amp;ROW())="","",IF(IF(INDIRECT("brand_form!U"&amp;ROW())="","",INDIRECT("brand_form!U"&amp;ROW()))="Yes","Y",IF(IF(INDIRECT("brand_form!U"&amp;ROW())="","",INDIRECT("brand_form!U"&amp;ROW()))="No","N",IF(IF(INDIRECT("brand_form!U"&amp;ROW())="","",INDIRECT("brand_form!U"&amp;ROW()))="Not sure","unsure",""))))</f>
        <v/>
      </c>
      <c r="W28" s="25">
        <f>IF(INDIRECT("brand_form!A"&amp;ROW())="","",IF(IF(INDIRECT("brand_form!V"&amp;ROW())="","",INDIRECT("brand_form!V"&amp;ROW()))="Yes","Y",IF(IF(INDIRECT("brand_form!V"&amp;ROW())="","",INDIRECT("brand_form!V"&amp;ROW()))="No","N",IF(IF(INDIRECT("brand_form!V"&amp;ROW())="","",INDIRECT("brand_form!V"&amp;ROW()))="Not sure","unsure",""))))</f>
        <v/>
      </c>
      <c r="X28" s="25">
        <f>IF(INDIRECT("brand_form!A"&amp;ROW())="","",IF(INDIRECT("brand_form!W"&amp;ROW())="","",INDIRECT("brand_form!W"&amp;ROW())))</f>
        <v/>
      </c>
      <c r="Y28" s="25">
        <f>IF(INDIRECT("brand_form!A"&amp;ROW())="","",IF(IF(INDIRECT("brand_form!X"&amp;ROW())="","",INDIRECT("brand_form!X"&amp;ROW()))&lt;&gt;"","Y",""))</f>
        <v/>
      </c>
      <c r="Z28" s="25">
        <f>IF(INDIRECT("brand_form!A"&amp;ROW())="","",IF(INDIRECT("brand_form!Y"&amp;ROW())="","",INDIRECT("brand_form!Y"&amp;ROW())))</f>
        <v/>
      </c>
      <c r="AA28" s="25">
        <f>IF(INDIRECT("brand_form!A"&amp;ROW())="","","founder")</f>
        <v/>
      </c>
    </row>
    <row r="29">
      <c r="A29" s="25">
        <f>IF(INDIRECT("brand_form!A"&amp;ROW())="","",TEXT(INDIRECT("brand_form!A"&amp;ROW()),"yyyy-mm-dd""T""hh:mm:ss"))</f>
        <v/>
      </c>
      <c r="B29" s="25">
        <f>IF(INDIRECT("brand_form!A"&amp;ROW())="","",config!$B$35)</f>
        <v/>
      </c>
      <c r="C29" s="25">
        <f>IF(INDIRECT("brand_form!A"&amp;ROW())="","",IF(INDIRECT("brand_form!B"&amp;ROW())="","",INDIRECT("brand_form!B"&amp;ROW())))</f>
        <v/>
      </c>
      <c r="D29" s="25">
        <f>IF(INDIRECT("brand_form!A"&amp;ROW())="","",IF(IF(INDIRECT("brand_form!C"&amp;ROW())="","",INDIRECT("brand_form!C"&amp;ROW()))="","",IF(LEFT(LOWER(IF(INDIRECT("brand_form!C"&amp;ROW())="","",INDIRECT("brand_form!C"&amp;ROW()))),4)="http",IF(INDIRECT("brand_form!C"&amp;ROW())="","",INDIRECT("brand_form!C"&amp;ROW())),"https://"&amp;IF(INDIRECT("brand_form!C"&amp;ROW())="","",INDIRECT("brand_form!C"&amp;ROW())))))</f>
        <v/>
      </c>
      <c r="E29" s="25">
        <f>IF(INDIRECT("brand_form!A"&amp;ROW())="","",IF(INDIRECT("brand_form!G"&amp;ROW())="","",INDIRECT("brand_form!G"&amp;ROW())))</f>
        <v/>
      </c>
      <c r="F29" s="25">
        <f>IF(INDIRECT("brand_form!A"&amp;ROW())="","",IF(INDIRECT("brand_form!H"&amp;ROW())="","",INDIRECT("brand_form!H"&amp;ROW())))</f>
        <v/>
      </c>
      <c r="G29" s="25">
        <f>IF(INDIRECT("brand_form!A"&amp;ROW())="","",IF(INDIRECT("brand_form!I"&amp;ROW())="","",INDIRECT("brand_form!I"&amp;ROW())))</f>
        <v/>
      </c>
      <c r="H29" s="25">
        <f>IF(INDIRECT("brand_form!A"&amp;ROW())="","",IF(INDIRECT("brand_form!J"&amp;ROW())="","",INDIRECT("brand_form!J"&amp;ROW())))</f>
        <v/>
      </c>
      <c r="I29" s="25">
        <f>IF(INDIRECT("brand_form!A"&amp;ROW())="","",IF(INDIRECT("brand_form!D"&amp;ROW())="","",INDIRECT("brand_form!D"&amp;ROW())))</f>
        <v/>
      </c>
      <c r="J2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9" s="25">
        <f>IF(INDIRECT("brand_form!A"&amp;ROW())="","",IF(INDIRECT("brand_form!F"&amp;ROW())="","",INDIRECT("brand_form!F"&amp;ROW())))</f>
        <v/>
      </c>
      <c r="L29" s="25">
        <f>IF(INDIRECT("brand_form!A"&amp;ROW())="","",IF(INDIRECT("brand_form!M"&amp;ROW())="","",INDIRECT("brand_form!M"&amp;ROW())))</f>
        <v/>
      </c>
      <c r="M29" s="25">
        <f>IF(INDIRECT("brand_form!A"&amp;ROW())="","",IF(IF(INDIRECT("brand_form!N"&amp;ROW())="","",INDIRECT("brand_form!N"&amp;ROW()))="","",IF(LEFT(LOWER(IF(INDIRECT("brand_form!N"&amp;ROW())="","",INDIRECT("brand_form!N"&amp;ROW()))),4)="http",IF(INDIRECT("brand_form!N"&amp;ROW())="","",INDIRECT("brand_form!N"&amp;ROW())),"https://"&amp;IF(INDIRECT("brand_form!N"&amp;ROW())="","",INDIRECT("brand_form!N"&amp;ROW())))))</f>
        <v/>
      </c>
      <c r="N29" s="25">
        <f>IF(INDIRECT("brand_form!A"&amp;ROW())="","",IF(IF(INDIRECT("brand_form!O"&amp;ROW())="","",INDIRECT("brand_form!O"&amp;ROW()))="Yes","Y",IF(IF(INDIRECT("brand_form!O"&amp;ROW())="","",INDIRECT("brand_form!O"&amp;ROW()))="No","N","")))</f>
        <v/>
      </c>
      <c r="O2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9" s="25">
        <f>IF(INDIRECT("brand_form!A"&amp;ROW())="","",IF(IF(INDIRECT("brand_form!K"&amp;ROW())="","",INDIRECT("brand_form!K"&amp;ROW()))="I do","Y",IF(IF(INDIRECT("brand_form!K"&amp;ROW())="","",INDIRECT("brand_form!K"&amp;ROW()))="Someone else","N","")))</f>
        <v/>
      </c>
      <c r="Q29" s="25">
        <f>IF(INDIRECT("brand_form!A"&amp;ROW())="","",IF($P29="Y",$E29&amp;", "&amp;$F29,IF(INDIRECT("brand_form!L"&amp;ROW())="","",INDIRECT("brand_form!L"&amp;ROW()))))</f>
        <v/>
      </c>
      <c r="R29" s="25">
        <f>IF(INDIRECT("brand_form!A"&amp;ROW())="","",IF(IF(INDIRECT("brand_form!Q"&amp;ROW())="","",INDIRECT("brand_form!Q"&amp;ROW()))="Yes","Y",IF(IF(INDIRECT("brand_form!Q"&amp;ROW())="","",INDIRECT("brand_form!Q"&amp;ROW()))="No","N",IF(IF(INDIRECT("brand_form!Q"&amp;ROW())="","",INDIRECT("brand_form!Q"&amp;ROW()))="Not sure","unsure",""))))</f>
        <v/>
      </c>
      <c r="S29" s="25">
        <f>IF(INDIRECT("brand_form!A"&amp;ROW())="","",IF(IF(INDIRECT("brand_form!R"&amp;ROW())="","",INDIRECT("brand_form!R"&amp;ROW()))="Yes","Y",IF(IF(INDIRECT("brand_form!R"&amp;ROW())="","",INDIRECT("brand_form!R"&amp;ROW()))="No","N",IF(IF(INDIRECT("brand_form!R"&amp;ROW())="","",INDIRECT("brand_form!R"&amp;ROW()))="Not sure","unsure",""))))</f>
        <v/>
      </c>
      <c r="T29" s="25">
        <f>IF(INDIRECT("brand_form!A"&amp;ROW())="","",IF(IF(INDIRECT("brand_form!S"&amp;ROW())="","",INDIRECT("brand_form!S"&amp;ROW()))="Yes","Y",IF(IF(INDIRECT("brand_form!S"&amp;ROW())="","",INDIRECT("brand_form!S"&amp;ROW()))="No","N",IF(IF(INDIRECT("brand_form!S"&amp;ROW())="","",INDIRECT("brand_form!S"&amp;ROW()))="Not sure","unsure",""))))</f>
        <v/>
      </c>
      <c r="U29" s="25">
        <f>IF(INDIRECT("brand_form!A"&amp;ROW())="","",IF(IF(INDIRECT("brand_form!T"&amp;ROW())="","",INDIRECT("brand_form!T"&amp;ROW()))="Yes","Y",IF(IF(INDIRECT("brand_form!T"&amp;ROW())="","",INDIRECT("brand_form!T"&amp;ROW()))="No","N",IF(IF(INDIRECT("brand_form!T"&amp;ROW())="","",INDIRECT("brand_form!T"&amp;ROW()))="Not sure","unsure",""))))</f>
        <v/>
      </c>
      <c r="V29" s="25">
        <f>IF(INDIRECT("brand_form!A"&amp;ROW())="","",IF(IF(INDIRECT("brand_form!U"&amp;ROW())="","",INDIRECT("brand_form!U"&amp;ROW()))="Yes","Y",IF(IF(INDIRECT("brand_form!U"&amp;ROW())="","",INDIRECT("brand_form!U"&amp;ROW()))="No","N",IF(IF(INDIRECT("brand_form!U"&amp;ROW())="","",INDIRECT("brand_form!U"&amp;ROW()))="Not sure","unsure",""))))</f>
        <v/>
      </c>
      <c r="W29" s="25">
        <f>IF(INDIRECT("brand_form!A"&amp;ROW())="","",IF(IF(INDIRECT("brand_form!V"&amp;ROW())="","",INDIRECT("brand_form!V"&amp;ROW()))="Yes","Y",IF(IF(INDIRECT("brand_form!V"&amp;ROW())="","",INDIRECT("brand_form!V"&amp;ROW()))="No","N",IF(IF(INDIRECT("brand_form!V"&amp;ROW())="","",INDIRECT("brand_form!V"&amp;ROW()))="Not sure","unsure",""))))</f>
        <v/>
      </c>
      <c r="X29" s="25">
        <f>IF(INDIRECT("brand_form!A"&amp;ROW())="","",IF(INDIRECT("brand_form!W"&amp;ROW())="","",INDIRECT("brand_form!W"&amp;ROW())))</f>
        <v/>
      </c>
      <c r="Y29" s="25">
        <f>IF(INDIRECT("brand_form!A"&amp;ROW())="","",IF(IF(INDIRECT("brand_form!X"&amp;ROW())="","",INDIRECT("brand_form!X"&amp;ROW()))&lt;&gt;"","Y",""))</f>
        <v/>
      </c>
      <c r="Z29" s="25">
        <f>IF(INDIRECT("brand_form!A"&amp;ROW())="","",IF(INDIRECT("brand_form!Y"&amp;ROW())="","",INDIRECT("brand_form!Y"&amp;ROW())))</f>
        <v/>
      </c>
      <c r="AA29" s="25">
        <f>IF(INDIRECT("brand_form!A"&amp;ROW())="","","founder")</f>
        <v/>
      </c>
    </row>
    <row r="30">
      <c r="A30" s="25">
        <f>IF(INDIRECT("brand_form!A"&amp;ROW())="","",TEXT(INDIRECT("brand_form!A"&amp;ROW()),"yyyy-mm-dd""T""hh:mm:ss"))</f>
        <v/>
      </c>
      <c r="B30" s="25">
        <f>IF(INDIRECT("brand_form!A"&amp;ROW())="","",config!$B$35)</f>
        <v/>
      </c>
      <c r="C30" s="25">
        <f>IF(INDIRECT("brand_form!A"&amp;ROW())="","",IF(INDIRECT("brand_form!B"&amp;ROW())="","",INDIRECT("brand_form!B"&amp;ROW())))</f>
        <v/>
      </c>
      <c r="D30" s="25">
        <f>IF(INDIRECT("brand_form!A"&amp;ROW())="","",IF(IF(INDIRECT("brand_form!C"&amp;ROW())="","",INDIRECT("brand_form!C"&amp;ROW()))="","",IF(LEFT(LOWER(IF(INDIRECT("brand_form!C"&amp;ROW())="","",INDIRECT("brand_form!C"&amp;ROW()))),4)="http",IF(INDIRECT("brand_form!C"&amp;ROW())="","",INDIRECT("brand_form!C"&amp;ROW())),"https://"&amp;IF(INDIRECT("brand_form!C"&amp;ROW())="","",INDIRECT("brand_form!C"&amp;ROW())))))</f>
        <v/>
      </c>
      <c r="E30" s="25">
        <f>IF(INDIRECT("brand_form!A"&amp;ROW())="","",IF(INDIRECT("brand_form!G"&amp;ROW())="","",INDIRECT("brand_form!G"&amp;ROW())))</f>
        <v/>
      </c>
      <c r="F30" s="25">
        <f>IF(INDIRECT("brand_form!A"&amp;ROW())="","",IF(INDIRECT("brand_form!H"&amp;ROW())="","",INDIRECT("brand_form!H"&amp;ROW())))</f>
        <v/>
      </c>
      <c r="G30" s="25">
        <f>IF(INDIRECT("brand_form!A"&amp;ROW())="","",IF(INDIRECT("brand_form!I"&amp;ROW())="","",INDIRECT("brand_form!I"&amp;ROW())))</f>
        <v/>
      </c>
      <c r="H30" s="25">
        <f>IF(INDIRECT("brand_form!A"&amp;ROW())="","",IF(INDIRECT("brand_form!J"&amp;ROW())="","",INDIRECT("brand_form!J"&amp;ROW())))</f>
        <v/>
      </c>
      <c r="I30" s="25">
        <f>IF(INDIRECT("brand_form!A"&amp;ROW())="","",IF(INDIRECT("brand_form!D"&amp;ROW())="","",INDIRECT("brand_form!D"&amp;ROW())))</f>
        <v/>
      </c>
      <c r="J3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0" s="25">
        <f>IF(INDIRECT("brand_form!A"&amp;ROW())="","",IF(INDIRECT("brand_form!F"&amp;ROW())="","",INDIRECT("brand_form!F"&amp;ROW())))</f>
        <v/>
      </c>
      <c r="L30" s="25">
        <f>IF(INDIRECT("brand_form!A"&amp;ROW())="","",IF(INDIRECT("brand_form!M"&amp;ROW())="","",INDIRECT("brand_form!M"&amp;ROW())))</f>
        <v/>
      </c>
      <c r="M30" s="25">
        <f>IF(INDIRECT("brand_form!A"&amp;ROW())="","",IF(IF(INDIRECT("brand_form!N"&amp;ROW())="","",INDIRECT("brand_form!N"&amp;ROW()))="","",IF(LEFT(LOWER(IF(INDIRECT("brand_form!N"&amp;ROW())="","",INDIRECT("brand_form!N"&amp;ROW()))),4)="http",IF(INDIRECT("brand_form!N"&amp;ROW())="","",INDIRECT("brand_form!N"&amp;ROW())),"https://"&amp;IF(INDIRECT("brand_form!N"&amp;ROW())="","",INDIRECT("brand_form!N"&amp;ROW())))))</f>
        <v/>
      </c>
      <c r="N30" s="25">
        <f>IF(INDIRECT("brand_form!A"&amp;ROW())="","",IF(IF(INDIRECT("brand_form!O"&amp;ROW())="","",INDIRECT("brand_form!O"&amp;ROW()))="Yes","Y",IF(IF(INDIRECT("brand_form!O"&amp;ROW())="","",INDIRECT("brand_form!O"&amp;ROW()))="No","N","")))</f>
        <v/>
      </c>
      <c r="O3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0" s="25">
        <f>IF(INDIRECT("brand_form!A"&amp;ROW())="","",IF(IF(INDIRECT("brand_form!K"&amp;ROW())="","",INDIRECT("brand_form!K"&amp;ROW()))="I do","Y",IF(IF(INDIRECT("brand_form!K"&amp;ROW())="","",INDIRECT("brand_form!K"&amp;ROW()))="Someone else","N","")))</f>
        <v/>
      </c>
      <c r="Q30" s="25">
        <f>IF(INDIRECT("brand_form!A"&amp;ROW())="","",IF($P30="Y",$E30&amp;", "&amp;$F30,IF(INDIRECT("brand_form!L"&amp;ROW())="","",INDIRECT("brand_form!L"&amp;ROW()))))</f>
        <v/>
      </c>
      <c r="R30" s="25">
        <f>IF(INDIRECT("brand_form!A"&amp;ROW())="","",IF(IF(INDIRECT("brand_form!Q"&amp;ROW())="","",INDIRECT("brand_form!Q"&amp;ROW()))="Yes","Y",IF(IF(INDIRECT("brand_form!Q"&amp;ROW())="","",INDIRECT("brand_form!Q"&amp;ROW()))="No","N",IF(IF(INDIRECT("brand_form!Q"&amp;ROW())="","",INDIRECT("brand_form!Q"&amp;ROW()))="Not sure","unsure",""))))</f>
        <v/>
      </c>
      <c r="S30" s="25">
        <f>IF(INDIRECT("brand_form!A"&amp;ROW())="","",IF(IF(INDIRECT("brand_form!R"&amp;ROW())="","",INDIRECT("brand_form!R"&amp;ROW()))="Yes","Y",IF(IF(INDIRECT("brand_form!R"&amp;ROW())="","",INDIRECT("brand_form!R"&amp;ROW()))="No","N",IF(IF(INDIRECT("brand_form!R"&amp;ROW())="","",INDIRECT("brand_form!R"&amp;ROW()))="Not sure","unsure",""))))</f>
        <v/>
      </c>
      <c r="T30" s="25">
        <f>IF(INDIRECT("brand_form!A"&amp;ROW())="","",IF(IF(INDIRECT("brand_form!S"&amp;ROW())="","",INDIRECT("brand_form!S"&amp;ROW()))="Yes","Y",IF(IF(INDIRECT("brand_form!S"&amp;ROW())="","",INDIRECT("brand_form!S"&amp;ROW()))="No","N",IF(IF(INDIRECT("brand_form!S"&amp;ROW())="","",INDIRECT("brand_form!S"&amp;ROW()))="Not sure","unsure",""))))</f>
        <v/>
      </c>
      <c r="U30" s="25">
        <f>IF(INDIRECT("brand_form!A"&amp;ROW())="","",IF(IF(INDIRECT("brand_form!T"&amp;ROW())="","",INDIRECT("brand_form!T"&amp;ROW()))="Yes","Y",IF(IF(INDIRECT("brand_form!T"&amp;ROW())="","",INDIRECT("brand_form!T"&amp;ROW()))="No","N",IF(IF(INDIRECT("brand_form!T"&amp;ROW())="","",INDIRECT("brand_form!T"&amp;ROW()))="Not sure","unsure",""))))</f>
        <v/>
      </c>
      <c r="V30" s="25">
        <f>IF(INDIRECT("brand_form!A"&amp;ROW())="","",IF(IF(INDIRECT("brand_form!U"&amp;ROW())="","",INDIRECT("brand_form!U"&amp;ROW()))="Yes","Y",IF(IF(INDIRECT("brand_form!U"&amp;ROW())="","",INDIRECT("brand_form!U"&amp;ROW()))="No","N",IF(IF(INDIRECT("brand_form!U"&amp;ROW())="","",INDIRECT("brand_form!U"&amp;ROW()))="Not sure","unsure",""))))</f>
        <v/>
      </c>
      <c r="W30" s="25">
        <f>IF(INDIRECT("brand_form!A"&amp;ROW())="","",IF(IF(INDIRECT("brand_form!V"&amp;ROW())="","",INDIRECT("brand_form!V"&amp;ROW()))="Yes","Y",IF(IF(INDIRECT("brand_form!V"&amp;ROW())="","",INDIRECT("brand_form!V"&amp;ROW()))="No","N",IF(IF(INDIRECT("brand_form!V"&amp;ROW())="","",INDIRECT("brand_form!V"&amp;ROW()))="Not sure","unsure",""))))</f>
        <v/>
      </c>
      <c r="X30" s="25">
        <f>IF(INDIRECT("brand_form!A"&amp;ROW())="","",IF(INDIRECT("brand_form!W"&amp;ROW())="","",INDIRECT("brand_form!W"&amp;ROW())))</f>
        <v/>
      </c>
      <c r="Y30" s="25">
        <f>IF(INDIRECT("brand_form!A"&amp;ROW())="","",IF(IF(INDIRECT("brand_form!X"&amp;ROW())="","",INDIRECT("brand_form!X"&amp;ROW()))&lt;&gt;"","Y",""))</f>
        <v/>
      </c>
      <c r="Z30" s="25">
        <f>IF(INDIRECT("brand_form!A"&amp;ROW())="","",IF(INDIRECT("brand_form!Y"&amp;ROW())="","",INDIRECT("brand_form!Y"&amp;ROW())))</f>
        <v/>
      </c>
      <c r="AA30" s="25">
        <f>IF(INDIRECT("brand_form!A"&amp;ROW())="","","founder")</f>
        <v/>
      </c>
    </row>
    <row r="31">
      <c r="A31" s="25">
        <f>IF(INDIRECT("brand_form!A"&amp;ROW())="","",TEXT(INDIRECT("brand_form!A"&amp;ROW()),"yyyy-mm-dd""T""hh:mm:ss"))</f>
        <v/>
      </c>
      <c r="B31" s="25">
        <f>IF(INDIRECT("brand_form!A"&amp;ROW())="","",config!$B$35)</f>
        <v/>
      </c>
      <c r="C31" s="25">
        <f>IF(INDIRECT("brand_form!A"&amp;ROW())="","",IF(INDIRECT("brand_form!B"&amp;ROW())="","",INDIRECT("brand_form!B"&amp;ROW())))</f>
        <v/>
      </c>
      <c r="D31" s="25">
        <f>IF(INDIRECT("brand_form!A"&amp;ROW())="","",IF(IF(INDIRECT("brand_form!C"&amp;ROW())="","",INDIRECT("brand_form!C"&amp;ROW()))="","",IF(LEFT(LOWER(IF(INDIRECT("brand_form!C"&amp;ROW())="","",INDIRECT("brand_form!C"&amp;ROW()))),4)="http",IF(INDIRECT("brand_form!C"&amp;ROW())="","",INDIRECT("brand_form!C"&amp;ROW())),"https://"&amp;IF(INDIRECT("brand_form!C"&amp;ROW())="","",INDIRECT("brand_form!C"&amp;ROW())))))</f>
        <v/>
      </c>
      <c r="E31" s="25">
        <f>IF(INDIRECT("brand_form!A"&amp;ROW())="","",IF(INDIRECT("brand_form!G"&amp;ROW())="","",INDIRECT("brand_form!G"&amp;ROW())))</f>
        <v/>
      </c>
      <c r="F31" s="25">
        <f>IF(INDIRECT("brand_form!A"&amp;ROW())="","",IF(INDIRECT("brand_form!H"&amp;ROW())="","",INDIRECT("brand_form!H"&amp;ROW())))</f>
        <v/>
      </c>
      <c r="G31" s="25">
        <f>IF(INDIRECT("brand_form!A"&amp;ROW())="","",IF(INDIRECT("brand_form!I"&amp;ROW())="","",INDIRECT("brand_form!I"&amp;ROW())))</f>
        <v/>
      </c>
      <c r="H31" s="25">
        <f>IF(INDIRECT("brand_form!A"&amp;ROW())="","",IF(INDIRECT("brand_form!J"&amp;ROW())="","",INDIRECT("brand_form!J"&amp;ROW())))</f>
        <v/>
      </c>
      <c r="I31" s="25">
        <f>IF(INDIRECT("brand_form!A"&amp;ROW())="","",IF(INDIRECT("brand_form!D"&amp;ROW())="","",INDIRECT("brand_form!D"&amp;ROW())))</f>
        <v/>
      </c>
      <c r="J3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1" s="25">
        <f>IF(INDIRECT("brand_form!A"&amp;ROW())="","",IF(INDIRECT("brand_form!F"&amp;ROW())="","",INDIRECT("brand_form!F"&amp;ROW())))</f>
        <v/>
      </c>
      <c r="L31" s="25">
        <f>IF(INDIRECT("brand_form!A"&amp;ROW())="","",IF(INDIRECT("brand_form!M"&amp;ROW())="","",INDIRECT("brand_form!M"&amp;ROW())))</f>
        <v/>
      </c>
      <c r="M31" s="25">
        <f>IF(INDIRECT("brand_form!A"&amp;ROW())="","",IF(IF(INDIRECT("brand_form!N"&amp;ROW())="","",INDIRECT("brand_form!N"&amp;ROW()))="","",IF(LEFT(LOWER(IF(INDIRECT("brand_form!N"&amp;ROW())="","",INDIRECT("brand_form!N"&amp;ROW()))),4)="http",IF(INDIRECT("brand_form!N"&amp;ROW())="","",INDIRECT("brand_form!N"&amp;ROW())),"https://"&amp;IF(INDIRECT("brand_form!N"&amp;ROW())="","",INDIRECT("brand_form!N"&amp;ROW())))))</f>
        <v/>
      </c>
      <c r="N31" s="25">
        <f>IF(INDIRECT("brand_form!A"&amp;ROW())="","",IF(IF(INDIRECT("brand_form!O"&amp;ROW())="","",INDIRECT("brand_form!O"&amp;ROW()))="Yes","Y",IF(IF(INDIRECT("brand_form!O"&amp;ROW())="","",INDIRECT("brand_form!O"&amp;ROW()))="No","N","")))</f>
        <v/>
      </c>
      <c r="O3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1" s="25">
        <f>IF(INDIRECT("brand_form!A"&amp;ROW())="","",IF(IF(INDIRECT("brand_form!K"&amp;ROW())="","",INDIRECT("brand_form!K"&amp;ROW()))="I do","Y",IF(IF(INDIRECT("brand_form!K"&amp;ROW())="","",INDIRECT("brand_form!K"&amp;ROW()))="Someone else","N","")))</f>
        <v/>
      </c>
      <c r="Q31" s="25">
        <f>IF(INDIRECT("brand_form!A"&amp;ROW())="","",IF($P31="Y",$E31&amp;", "&amp;$F31,IF(INDIRECT("brand_form!L"&amp;ROW())="","",INDIRECT("brand_form!L"&amp;ROW()))))</f>
        <v/>
      </c>
      <c r="R31" s="25">
        <f>IF(INDIRECT("brand_form!A"&amp;ROW())="","",IF(IF(INDIRECT("brand_form!Q"&amp;ROW())="","",INDIRECT("brand_form!Q"&amp;ROW()))="Yes","Y",IF(IF(INDIRECT("brand_form!Q"&amp;ROW())="","",INDIRECT("brand_form!Q"&amp;ROW()))="No","N",IF(IF(INDIRECT("brand_form!Q"&amp;ROW())="","",INDIRECT("brand_form!Q"&amp;ROW()))="Not sure","unsure",""))))</f>
        <v/>
      </c>
      <c r="S31" s="25">
        <f>IF(INDIRECT("brand_form!A"&amp;ROW())="","",IF(IF(INDIRECT("brand_form!R"&amp;ROW())="","",INDIRECT("brand_form!R"&amp;ROW()))="Yes","Y",IF(IF(INDIRECT("brand_form!R"&amp;ROW())="","",INDIRECT("brand_form!R"&amp;ROW()))="No","N",IF(IF(INDIRECT("brand_form!R"&amp;ROW())="","",INDIRECT("brand_form!R"&amp;ROW()))="Not sure","unsure",""))))</f>
        <v/>
      </c>
      <c r="T31" s="25">
        <f>IF(INDIRECT("brand_form!A"&amp;ROW())="","",IF(IF(INDIRECT("brand_form!S"&amp;ROW())="","",INDIRECT("brand_form!S"&amp;ROW()))="Yes","Y",IF(IF(INDIRECT("brand_form!S"&amp;ROW())="","",INDIRECT("brand_form!S"&amp;ROW()))="No","N",IF(IF(INDIRECT("brand_form!S"&amp;ROW())="","",INDIRECT("brand_form!S"&amp;ROW()))="Not sure","unsure",""))))</f>
        <v/>
      </c>
      <c r="U31" s="25">
        <f>IF(INDIRECT("brand_form!A"&amp;ROW())="","",IF(IF(INDIRECT("brand_form!T"&amp;ROW())="","",INDIRECT("brand_form!T"&amp;ROW()))="Yes","Y",IF(IF(INDIRECT("brand_form!T"&amp;ROW())="","",INDIRECT("brand_form!T"&amp;ROW()))="No","N",IF(IF(INDIRECT("brand_form!T"&amp;ROW())="","",INDIRECT("brand_form!T"&amp;ROW()))="Not sure","unsure",""))))</f>
        <v/>
      </c>
      <c r="V31" s="25">
        <f>IF(INDIRECT("brand_form!A"&amp;ROW())="","",IF(IF(INDIRECT("brand_form!U"&amp;ROW())="","",INDIRECT("brand_form!U"&amp;ROW()))="Yes","Y",IF(IF(INDIRECT("brand_form!U"&amp;ROW())="","",INDIRECT("brand_form!U"&amp;ROW()))="No","N",IF(IF(INDIRECT("brand_form!U"&amp;ROW())="","",INDIRECT("brand_form!U"&amp;ROW()))="Not sure","unsure",""))))</f>
        <v/>
      </c>
      <c r="W31" s="25">
        <f>IF(INDIRECT("brand_form!A"&amp;ROW())="","",IF(IF(INDIRECT("brand_form!V"&amp;ROW())="","",INDIRECT("brand_form!V"&amp;ROW()))="Yes","Y",IF(IF(INDIRECT("brand_form!V"&amp;ROW())="","",INDIRECT("brand_form!V"&amp;ROW()))="No","N",IF(IF(INDIRECT("brand_form!V"&amp;ROW())="","",INDIRECT("brand_form!V"&amp;ROW()))="Not sure","unsure",""))))</f>
        <v/>
      </c>
      <c r="X31" s="25">
        <f>IF(INDIRECT("brand_form!A"&amp;ROW())="","",IF(INDIRECT("brand_form!W"&amp;ROW())="","",INDIRECT("brand_form!W"&amp;ROW())))</f>
        <v/>
      </c>
      <c r="Y31" s="25">
        <f>IF(INDIRECT("brand_form!A"&amp;ROW())="","",IF(IF(INDIRECT("brand_form!X"&amp;ROW())="","",INDIRECT("brand_form!X"&amp;ROW()))&lt;&gt;"","Y",""))</f>
        <v/>
      </c>
      <c r="Z31" s="25">
        <f>IF(INDIRECT("brand_form!A"&amp;ROW())="","",IF(INDIRECT("brand_form!Y"&amp;ROW())="","",INDIRECT("brand_form!Y"&amp;ROW())))</f>
        <v/>
      </c>
      <c r="AA31" s="25">
        <f>IF(INDIRECT("brand_form!A"&amp;ROW())="","","founder")</f>
        <v/>
      </c>
    </row>
    <row r="32">
      <c r="A32" s="25">
        <f>IF(INDIRECT("brand_form!A"&amp;ROW())="","",TEXT(INDIRECT("brand_form!A"&amp;ROW()),"yyyy-mm-dd""T""hh:mm:ss"))</f>
        <v/>
      </c>
      <c r="B32" s="25">
        <f>IF(INDIRECT("brand_form!A"&amp;ROW())="","",config!$B$35)</f>
        <v/>
      </c>
      <c r="C32" s="25">
        <f>IF(INDIRECT("brand_form!A"&amp;ROW())="","",IF(INDIRECT("brand_form!B"&amp;ROW())="","",INDIRECT("brand_form!B"&amp;ROW())))</f>
        <v/>
      </c>
      <c r="D32" s="25">
        <f>IF(INDIRECT("brand_form!A"&amp;ROW())="","",IF(IF(INDIRECT("brand_form!C"&amp;ROW())="","",INDIRECT("brand_form!C"&amp;ROW()))="","",IF(LEFT(LOWER(IF(INDIRECT("brand_form!C"&amp;ROW())="","",INDIRECT("brand_form!C"&amp;ROW()))),4)="http",IF(INDIRECT("brand_form!C"&amp;ROW())="","",INDIRECT("brand_form!C"&amp;ROW())),"https://"&amp;IF(INDIRECT("brand_form!C"&amp;ROW())="","",INDIRECT("brand_form!C"&amp;ROW())))))</f>
        <v/>
      </c>
      <c r="E32" s="25">
        <f>IF(INDIRECT("brand_form!A"&amp;ROW())="","",IF(INDIRECT("brand_form!G"&amp;ROW())="","",INDIRECT("brand_form!G"&amp;ROW())))</f>
        <v/>
      </c>
      <c r="F32" s="25">
        <f>IF(INDIRECT("brand_form!A"&amp;ROW())="","",IF(INDIRECT("brand_form!H"&amp;ROW())="","",INDIRECT("brand_form!H"&amp;ROW())))</f>
        <v/>
      </c>
      <c r="G32" s="25">
        <f>IF(INDIRECT("brand_form!A"&amp;ROW())="","",IF(INDIRECT("brand_form!I"&amp;ROW())="","",INDIRECT("brand_form!I"&amp;ROW())))</f>
        <v/>
      </c>
      <c r="H32" s="25">
        <f>IF(INDIRECT("brand_form!A"&amp;ROW())="","",IF(INDIRECT("brand_form!J"&amp;ROW())="","",INDIRECT("brand_form!J"&amp;ROW())))</f>
        <v/>
      </c>
      <c r="I32" s="25">
        <f>IF(INDIRECT("brand_form!A"&amp;ROW())="","",IF(INDIRECT("brand_form!D"&amp;ROW())="","",INDIRECT("brand_form!D"&amp;ROW())))</f>
        <v/>
      </c>
      <c r="J3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2" s="25">
        <f>IF(INDIRECT("brand_form!A"&amp;ROW())="","",IF(INDIRECT("brand_form!F"&amp;ROW())="","",INDIRECT("brand_form!F"&amp;ROW())))</f>
        <v/>
      </c>
      <c r="L32" s="25">
        <f>IF(INDIRECT("brand_form!A"&amp;ROW())="","",IF(INDIRECT("brand_form!M"&amp;ROW())="","",INDIRECT("brand_form!M"&amp;ROW())))</f>
        <v/>
      </c>
      <c r="M32" s="25">
        <f>IF(INDIRECT("brand_form!A"&amp;ROW())="","",IF(IF(INDIRECT("brand_form!N"&amp;ROW())="","",INDIRECT("brand_form!N"&amp;ROW()))="","",IF(LEFT(LOWER(IF(INDIRECT("brand_form!N"&amp;ROW())="","",INDIRECT("brand_form!N"&amp;ROW()))),4)="http",IF(INDIRECT("brand_form!N"&amp;ROW())="","",INDIRECT("brand_form!N"&amp;ROW())),"https://"&amp;IF(INDIRECT("brand_form!N"&amp;ROW())="","",INDIRECT("brand_form!N"&amp;ROW())))))</f>
        <v/>
      </c>
      <c r="N32" s="25">
        <f>IF(INDIRECT("brand_form!A"&amp;ROW())="","",IF(IF(INDIRECT("brand_form!O"&amp;ROW())="","",INDIRECT("brand_form!O"&amp;ROW()))="Yes","Y",IF(IF(INDIRECT("brand_form!O"&amp;ROW())="","",INDIRECT("brand_form!O"&amp;ROW()))="No","N","")))</f>
        <v/>
      </c>
      <c r="O3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2" s="25">
        <f>IF(INDIRECT("brand_form!A"&amp;ROW())="","",IF(IF(INDIRECT("brand_form!K"&amp;ROW())="","",INDIRECT("brand_form!K"&amp;ROW()))="I do","Y",IF(IF(INDIRECT("brand_form!K"&amp;ROW())="","",INDIRECT("brand_form!K"&amp;ROW()))="Someone else","N","")))</f>
        <v/>
      </c>
      <c r="Q32" s="25">
        <f>IF(INDIRECT("brand_form!A"&amp;ROW())="","",IF($P32="Y",$E32&amp;", "&amp;$F32,IF(INDIRECT("brand_form!L"&amp;ROW())="","",INDIRECT("brand_form!L"&amp;ROW()))))</f>
        <v/>
      </c>
      <c r="R32" s="25">
        <f>IF(INDIRECT("brand_form!A"&amp;ROW())="","",IF(IF(INDIRECT("brand_form!Q"&amp;ROW())="","",INDIRECT("brand_form!Q"&amp;ROW()))="Yes","Y",IF(IF(INDIRECT("brand_form!Q"&amp;ROW())="","",INDIRECT("brand_form!Q"&amp;ROW()))="No","N",IF(IF(INDIRECT("brand_form!Q"&amp;ROW())="","",INDIRECT("brand_form!Q"&amp;ROW()))="Not sure","unsure",""))))</f>
        <v/>
      </c>
      <c r="S32" s="25">
        <f>IF(INDIRECT("brand_form!A"&amp;ROW())="","",IF(IF(INDIRECT("brand_form!R"&amp;ROW())="","",INDIRECT("brand_form!R"&amp;ROW()))="Yes","Y",IF(IF(INDIRECT("brand_form!R"&amp;ROW())="","",INDIRECT("brand_form!R"&amp;ROW()))="No","N",IF(IF(INDIRECT("brand_form!R"&amp;ROW())="","",INDIRECT("brand_form!R"&amp;ROW()))="Not sure","unsure",""))))</f>
        <v/>
      </c>
      <c r="T32" s="25">
        <f>IF(INDIRECT("brand_form!A"&amp;ROW())="","",IF(IF(INDIRECT("brand_form!S"&amp;ROW())="","",INDIRECT("brand_form!S"&amp;ROW()))="Yes","Y",IF(IF(INDIRECT("brand_form!S"&amp;ROW())="","",INDIRECT("brand_form!S"&amp;ROW()))="No","N",IF(IF(INDIRECT("brand_form!S"&amp;ROW())="","",INDIRECT("brand_form!S"&amp;ROW()))="Not sure","unsure",""))))</f>
        <v/>
      </c>
      <c r="U32" s="25">
        <f>IF(INDIRECT("brand_form!A"&amp;ROW())="","",IF(IF(INDIRECT("brand_form!T"&amp;ROW())="","",INDIRECT("brand_form!T"&amp;ROW()))="Yes","Y",IF(IF(INDIRECT("brand_form!T"&amp;ROW())="","",INDIRECT("brand_form!T"&amp;ROW()))="No","N",IF(IF(INDIRECT("brand_form!T"&amp;ROW())="","",INDIRECT("brand_form!T"&amp;ROW()))="Not sure","unsure",""))))</f>
        <v/>
      </c>
      <c r="V32" s="25">
        <f>IF(INDIRECT("brand_form!A"&amp;ROW())="","",IF(IF(INDIRECT("brand_form!U"&amp;ROW())="","",INDIRECT("brand_form!U"&amp;ROW()))="Yes","Y",IF(IF(INDIRECT("brand_form!U"&amp;ROW())="","",INDIRECT("brand_form!U"&amp;ROW()))="No","N",IF(IF(INDIRECT("brand_form!U"&amp;ROW())="","",INDIRECT("brand_form!U"&amp;ROW()))="Not sure","unsure",""))))</f>
        <v/>
      </c>
      <c r="W32" s="25">
        <f>IF(INDIRECT("brand_form!A"&amp;ROW())="","",IF(IF(INDIRECT("brand_form!V"&amp;ROW())="","",INDIRECT("brand_form!V"&amp;ROW()))="Yes","Y",IF(IF(INDIRECT("brand_form!V"&amp;ROW())="","",INDIRECT("brand_form!V"&amp;ROW()))="No","N",IF(IF(INDIRECT("brand_form!V"&amp;ROW())="","",INDIRECT("brand_form!V"&amp;ROW()))="Not sure","unsure",""))))</f>
        <v/>
      </c>
      <c r="X32" s="25">
        <f>IF(INDIRECT("brand_form!A"&amp;ROW())="","",IF(INDIRECT("brand_form!W"&amp;ROW())="","",INDIRECT("brand_form!W"&amp;ROW())))</f>
        <v/>
      </c>
      <c r="Y32" s="25">
        <f>IF(INDIRECT("brand_form!A"&amp;ROW())="","",IF(IF(INDIRECT("brand_form!X"&amp;ROW())="","",INDIRECT("brand_form!X"&amp;ROW()))&lt;&gt;"","Y",""))</f>
        <v/>
      </c>
      <c r="Z32" s="25">
        <f>IF(INDIRECT("brand_form!A"&amp;ROW())="","",IF(INDIRECT("brand_form!Y"&amp;ROW())="","",INDIRECT("brand_form!Y"&amp;ROW())))</f>
        <v/>
      </c>
      <c r="AA32" s="25">
        <f>IF(INDIRECT("brand_form!A"&amp;ROW())="","","founder")</f>
        <v/>
      </c>
    </row>
    <row r="33">
      <c r="A33" s="25">
        <f>IF(INDIRECT("brand_form!A"&amp;ROW())="","",TEXT(INDIRECT("brand_form!A"&amp;ROW()),"yyyy-mm-dd""T""hh:mm:ss"))</f>
        <v/>
      </c>
      <c r="B33" s="25">
        <f>IF(INDIRECT("brand_form!A"&amp;ROW())="","",config!$B$35)</f>
        <v/>
      </c>
      <c r="C33" s="25">
        <f>IF(INDIRECT("brand_form!A"&amp;ROW())="","",IF(INDIRECT("brand_form!B"&amp;ROW())="","",INDIRECT("brand_form!B"&amp;ROW())))</f>
        <v/>
      </c>
      <c r="D33" s="25">
        <f>IF(INDIRECT("brand_form!A"&amp;ROW())="","",IF(IF(INDIRECT("brand_form!C"&amp;ROW())="","",INDIRECT("brand_form!C"&amp;ROW()))="","",IF(LEFT(LOWER(IF(INDIRECT("brand_form!C"&amp;ROW())="","",INDIRECT("brand_form!C"&amp;ROW()))),4)="http",IF(INDIRECT("brand_form!C"&amp;ROW())="","",INDIRECT("brand_form!C"&amp;ROW())),"https://"&amp;IF(INDIRECT("brand_form!C"&amp;ROW())="","",INDIRECT("brand_form!C"&amp;ROW())))))</f>
        <v/>
      </c>
      <c r="E33" s="25">
        <f>IF(INDIRECT("brand_form!A"&amp;ROW())="","",IF(INDIRECT("brand_form!G"&amp;ROW())="","",INDIRECT("brand_form!G"&amp;ROW())))</f>
        <v/>
      </c>
      <c r="F33" s="25">
        <f>IF(INDIRECT("brand_form!A"&amp;ROW())="","",IF(INDIRECT("brand_form!H"&amp;ROW())="","",INDIRECT("brand_form!H"&amp;ROW())))</f>
        <v/>
      </c>
      <c r="G33" s="25">
        <f>IF(INDIRECT("brand_form!A"&amp;ROW())="","",IF(INDIRECT("brand_form!I"&amp;ROW())="","",INDIRECT("brand_form!I"&amp;ROW())))</f>
        <v/>
      </c>
      <c r="H33" s="25">
        <f>IF(INDIRECT("brand_form!A"&amp;ROW())="","",IF(INDIRECT("brand_form!J"&amp;ROW())="","",INDIRECT("brand_form!J"&amp;ROW())))</f>
        <v/>
      </c>
      <c r="I33" s="25">
        <f>IF(INDIRECT("brand_form!A"&amp;ROW())="","",IF(INDIRECT("brand_form!D"&amp;ROW())="","",INDIRECT("brand_form!D"&amp;ROW())))</f>
        <v/>
      </c>
      <c r="J3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3" s="25">
        <f>IF(INDIRECT("brand_form!A"&amp;ROW())="","",IF(INDIRECT("brand_form!F"&amp;ROW())="","",INDIRECT("brand_form!F"&amp;ROW())))</f>
        <v/>
      </c>
      <c r="L33" s="25">
        <f>IF(INDIRECT("brand_form!A"&amp;ROW())="","",IF(INDIRECT("brand_form!M"&amp;ROW())="","",INDIRECT("brand_form!M"&amp;ROW())))</f>
        <v/>
      </c>
      <c r="M33" s="25">
        <f>IF(INDIRECT("brand_form!A"&amp;ROW())="","",IF(IF(INDIRECT("brand_form!N"&amp;ROW())="","",INDIRECT("brand_form!N"&amp;ROW()))="","",IF(LEFT(LOWER(IF(INDIRECT("brand_form!N"&amp;ROW())="","",INDIRECT("brand_form!N"&amp;ROW()))),4)="http",IF(INDIRECT("brand_form!N"&amp;ROW())="","",INDIRECT("brand_form!N"&amp;ROW())),"https://"&amp;IF(INDIRECT("brand_form!N"&amp;ROW())="","",INDIRECT("brand_form!N"&amp;ROW())))))</f>
        <v/>
      </c>
      <c r="N33" s="25">
        <f>IF(INDIRECT("brand_form!A"&amp;ROW())="","",IF(IF(INDIRECT("brand_form!O"&amp;ROW())="","",INDIRECT("brand_form!O"&amp;ROW()))="Yes","Y",IF(IF(INDIRECT("brand_form!O"&amp;ROW())="","",INDIRECT("brand_form!O"&amp;ROW()))="No","N","")))</f>
        <v/>
      </c>
      <c r="O3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3" s="25">
        <f>IF(INDIRECT("brand_form!A"&amp;ROW())="","",IF(IF(INDIRECT("brand_form!K"&amp;ROW())="","",INDIRECT("brand_form!K"&amp;ROW()))="I do","Y",IF(IF(INDIRECT("brand_form!K"&amp;ROW())="","",INDIRECT("brand_form!K"&amp;ROW()))="Someone else","N","")))</f>
        <v/>
      </c>
      <c r="Q33" s="25">
        <f>IF(INDIRECT("brand_form!A"&amp;ROW())="","",IF($P33="Y",$E33&amp;", "&amp;$F33,IF(INDIRECT("brand_form!L"&amp;ROW())="","",INDIRECT("brand_form!L"&amp;ROW()))))</f>
        <v/>
      </c>
      <c r="R33" s="25">
        <f>IF(INDIRECT("brand_form!A"&amp;ROW())="","",IF(IF(INDIRECT("brand_form!Q"&amp;ROW())="","",INDIRECT("brand_form!Q"&amp;ROW()))="Yes","Y",IF(IF(INDIRECT("brand_form!Q"&amp;ROW())="","",INDIRECT("brand_form!Q"&amp;ROW()))="No","N",IF(IF(INDIRECT("brand_form!Q"&amp;ROW())="","",INDIRECT("brand_form!Q"&amp;ROW()))="Not sure","unsure",""))))</f>
        <v/>
      </c>
      <c r="S33" s="25">
        <f>IF(INDIRECT("brand_form!A"&amp;ROW())="","",IF(IF(INDIRECT("brand_form!R"&amp;ROW())="","",INDIRECT("brand_form!R"&amp;ROW()))="Yes","Y",IF(IF(INDIRECT("brand_form!R"&amp;ROW())="","",INDIRECT("brand_form!R"&amp;ROW()))="No","N",IF(IF(INDIRECT("brand_form!R"&amp;ROW())="","",INDIRECT("brand_form!R"&amp;ROW()))="Not sure","unsure",""))))</f>
        <v/>
      </c>
      <c r="T33" s="25">
        <f>IF(INDIRECT("brand_form!A"&amp;ROW())="","",IF(IF(INDIRECT("brand_form!S"&amp;ROW())="","",INDIRECT("brand_form!S"&amp;ROW()))="Yes","Y",IF(IF(INDIRECT("brand_form!S"&amp;ROW())="","",INDIRECT("brand_form!S"&amp;ROW()))="No","N",IF(IF(INDIRECT("brand_form!S"&amp;ROW())="","",INDIRECT("brand_form!S"&amp;ROW()))="Not sure","unsure",""))))</f>
        <v/>
      </c>
      <c r="U33" s="25">
        <f>IF(INDIRECT("brand_form!A"&amp;ROW())="","",IF(IF(INDIRECT("brand_form!T"&amp;ROW())="","",INDIRECT("brand_form!T"&amp;ROW()))="Yes","Y",IF(IF(INDIRECT("brand_form!T"&amp;ROW())="","",INDIRECT("brand_form!T"&amp;ROW()))="No","N",IF(IF(INDIRECT("brand_form!T"&amp;ROW())="","",INDIRECT("brand_form!T"&amp;ROW()))="Not sure","unsure",""))))</f>
        <v/>
      </c>
      <c r="V33" s="25">
        <f>IF(INDIRECT("brand_form!A"&amp;ROW())="","",IF(IF(INDIRECT("brand_form!U"&amp;ROW())="","",INDIRECT("brand_form!U"&amp;ROW()))="Yes","Y",IF(IF(INDIRECT("brand_form!U"&amp;ROW())="","",INDIRECT("brand_form!U"&amp;ROW()))="No","N",IF(IF(INDIRECT("brand_form!U"&amp;ROW())="","",INDIRECT("brand_form!U"&amp;ROW()))="Not sure","unsure",""))))</f>
        <v/>
      </c>
      <c r="W33" s="25">
        <f>IF(INDIRECT("brand_form!A"&amp;ROW())="","",IF(IF(INDIRECT("brand_form!V"&amp;ROW())="","",INDIRECT("brand_form!V"&amp;ROW()))="Yes","Y",IF(IF(INDIRECT("brand_form!V"&amp;ROW())="","",INDIRECT("brand_form!V"&amp;ROW()))="No","N",IF(IF(INDIRECT("brand_form!V"&amp;ROW())="","",INDIRECT("brand_form!V"&amp;ROW()))="Not sure","unsure",""))))</f>
        <v/>
      </c>
      <c r="X33" s="25">
        <f>IF(INDIRECT("brand_form!A"&amp;ROW())="","",IF(INDIRECT("brand_form!W"&amp;ROW())="","",INDIRECT("brand_form!W"&amp;ROW())))</f>
        <v/>
      </c>
      <c r="Y33" s="25">
        <f>IF(INDIRECT("brand_form!A"&amp;ROW())="","",IF(IF(INDIRECT("brand_form!X"&amp;ROW())="","",INDIRECT("brand_form!X"&amp;ROW()))&lt;&gt;"","Y",""))</f>
        <v/>
      </c>
      <c r="Z33" s="25">
        <f>IF(INDIRECT("brand_form!A"&amp;ROW())="","",IF(INDIRECT("brand_form!Y"&amp;ROW())="","",INDIRECT("brand_form!Y"&amp;ROW())))</f>
        <v/>
      </c>
      <c r="AA33" s="25">
        <f>IF(INDIRECT("brand_form!A"&amp;ROW())="","","founder")</f>
        <v/>
      </c>
    </row>
    <row r="34">
      <c r="A34" s="25">
        <f>IF(INDIRECT("brand_form!A"&amp;ROW())="","",TEXT(INDIRECT("brand_form!A"&amp;ROW()),"yyyy-mm-dd""T""hh:mm:ss"))</f>
        <v/>
      </c>
      <c r="B34" s="25">
        <f>IF(INDIRECT("brand_form!A"&amp;ROW())="","",config!$B$35)</f>
        <v/>
      </c>
      <c r="C34" s="25">
        <f>IF(INDIRECT("brand_form!A"&amp;ROW())="","",IF(INDIRECT("brand_form!B"&amp;ROW())="","",INDIRECT("brand_form!B"&amp;ROW())))</f>
        <v/>
      </c>
      <c r="D34" s="25">
        <f>IF(INDIRECT("brand_form!A"&amp;ROW())="","",IF(IF(INDIRECT("brand_form!C"&amp;ROW())="","",INDIRECT("brand_form!C"&amp;ROW()))="","",IF(LEFT(LOWER(IF(INDIRECT("brand_form!C"&amp;ROW())="","",INDIRECT("brand_form!C"&amp;ROW()))),4)="http",IF(INDIRECT("brand_form!C"&amp;ROW())="","",INDIRECT("brand_form!C"&amp;ROW())),"https://"&amp;IF(INDIRECT("brand_form!C"&amp;ROW())="","",INDIRECT("brand_form!C"&amp;ROW())))))</f>
        <v/>
      </c>
      <c r="E34" s="25">
        <f>IF(INDIRECT("brand_form!A"&amp;ROW())="","",IF(INDIRECT("brand_form!G"&amp;ROW())="","",INDIRECT("brand_form!G"&amp;ROW())))</f>
        <v/>
      </c>
      <c r="F34" s="25">
        <f>IF(INDIRECT("brand_form!A"&amp;ROW())="","",IF(INDIRECT("brand_form!H"&amp;ROW())="","",INDIRECT("brand_form!H"&amp;ROW())))</f>
        <v/>
      </c>
      <c r="G34" s="25">
        <f>IF(INDIRECT("brand_form!A"&amp;ROW())="","",IF(INDIRECT("brand_form!I"&amp;ROW())="","",INDIRECT("brand_form!I"&amp;ROW())))</f>
        <v/>
      </c>
      <c r="H34" s="25">
        <f>IF(INDIRECT("brand_form!A"&amp;ROW())="","",IF(INDIRECT("brand_form!J"&amp;ROW())="","",INDIRECT("brand_form!J"&amp;ROW())))</f>
        <v/>
      </c>
      <c r="I34" s="25">
        <f>IF(INDIRECT("brand_form!A"&amp;ROW())="","",IF(INDIRECT("brand_form!D"&amp;ROW())="","",INDIRECT("brand_form!D"&amp;ROW())))</f>
        <v/>
      </c>
      <c r="J3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4" s="25">
        <f>IF(INDIRECT("brand_form!A"&amp;ROW())="","",IF(INDIRECT("brand_form!F"&amp;ROW())="","",INDIRECT("brand_form!F"&amp;ROW())))</f>
        <v/>
      </c>
      <c r="L34" s="25">
        <f>IF(INDIRECT("brand_form!A"&amp;ROW())="","",IF(INDIRECT("brand_form!M"&amp;ROW())="","",INDIRECT("brand_form!M"&amp;ROW())))</f>
        <v/>
      </c>
      <c r="M34" s="25">
        <f>IF(INDIRECT("brand_form!A"&amp;ROW())="","",IF(IF(INDIRECT("brand_form!N"&amp;ROW())="","",INDIRECT("brand_form!N"&amp;ROW()))="","",IF(LEFT(LOWER(IF(INDIRECT("brand_form!N"&amp;ROW())="","",INDIRECT("brand_form!N"&amp;ROW()))),4)="http",IF(INDIRECT("brand_form!N"&amp;ROW())="","",INDIRECT("brand_form!N"&amp;ROW())),"https://"&amp;IF(INDIRECT("brand_form!N"&amp;ROW())="","",INDIRECT("brand_form!N"&amp;ROW())))))</f>
        <v/>
      </c>
      <c r="N34" s="25">
        <f>IF(INDIRECT("brand_form!A"&amp;ROW())="","",IF(IF(INDIRECT("brand_form!O"&amp;ROW())="","",INDIRECT("brand_form!O"&amp;ROW()))="Yes","Y",IF(IF(INDIRECT("brand_form!O"&amp;ROW())="","",INDIRECT("brand_form!O"&amp;ROW()))="No","N","")))</f>
        <v/>
      </c>
      <c r="O3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4" s="25">
        <f>IF(INDIRECT("brand_form!A"&amp;ROW())="","",IF(IF(INDIRECT("brand_form!K"&amp;ROW())="","",INDIRECT("brand_form!K"&amp;ROW()))="I do","Y",IF(IF(INDIRECT("brand_form!K"&amp;ROW())="","",INDIRECT("brand_form!K"&amp;ROW()))="Someone else","N","")))</f>
        <v/>
      </c>
      <c r="Q34" s="25">
        <f>IF(INDIRECT("brand_form!A"&amp;ROW())="","",IF($P34="Y",$E34&amp;", "&amp;$F34,IF(INDIRECT("brand_form!L"&amp;ROW())="","",INDIRECT("brand_form!L"&amp;ROW()))))</f>
        <v/>
      </c>
      <c r="R34" s="25">
        <f>IF(INDIRECT("brand_form!A"&amp;ROW())="","",IF(IF(INDIRECT("brand_form!Q"&amp;ROW())="","",INDIRECT("brand_form!Q"&amp;ROW()))="Yes","Y",IF(IF(INDIRECT("brand_form!Q"&amp;ROW())="","",INDIRECT("brand_form!Q"&amp;ROW()))="No","N",IF(IF(INDIRECT("brand_form!Q"&amp;ROW())="","",INDIRECT("brand_form!Q"&amp;ROW()))="Not sure","unsure",""))))</f>
        <v/>
      </c>
      <c r="S34" s="25">
        <f>IF(INDIRECT("brand_form!A"&amp;ROW())="","",IF(IF(INDIRECT("brand_form!R"&amp;ROW())="","",INDIRECT("brand_form!R"&amp;ROW()))="Yes","Y",IF(IF(INDIRECT("brand_form!R"&amp;ROW())="","",INDIRECT("brand_form!R"&amp;ROW()))="No","N",IF(IF(INDIRECT("brand_form!R"&amp;ROW())="","",INDIRECT("brand_form!R"&amp;ROW()))="Not sure","unsure",""))))</f>
        <v/>
      </c>
      <c r="T34" s="25">
        <f>IF(INDIRECT("brand_form!A"&amp;ROW())="","",IF(IF(INDIRECT("brand_form!S"&amp;ROW())="","",INDIRECT("brand_form!S"&amp;ROW()))="Yes","Y",IF(IF(INDIRECT("brand_form!S"&amp;ROW())="","",INDIRECT("brand_form!S"&amp;ROW()))="No","N",IF(IF(INDIRECT("brand_form!S"&amp;ROW())="","",INDIRECT("brand_form!S"&amp;ROW()))="Not sure","unsure",""))))</f>
        <v/>
      </c>
      <c r="U34" s="25">
        <f>IF(INDIRECT("brand_form!A"&amp;ROW())="","",IF(IF(INDIRECT("brand_form!T"&amp;ROW())="","",INDIRECT("brand_form!T"&amp;ROW()))="Yes","Y",IF(IF(INDIRECT("brand_form!T"&amp;ROW())="","",INDIRECT("brand_form!T"&amp;ROW()))="No","N",IF(IF(INDIRECT("brand_form!T"&amp;ROW())="","",INDIRECT("brand_form!T"&amp;ROW()))="Not sure","unsure",""))))</f>
        <v/>
      </c>
      <c r="V34" s="25">
        <f>IF(INDIRECT("brand_form!A"&amp;ROW())="","",IF(IF(INDIRECT("brand_form!U"&amp;ROW())="","",INDIRECT("brand_form!U"&amp;ROW()))="Yes","Y",IF(IF(INDIRECT("brand_form!U"&amp;ROW())="","",INDIRECT("brand_form!U"&amp;ROW()))="No","N",IF(IF(INDIRECT("brand_form!U"&amp;ROW())="","",INDIRECT("brand_form!U"&amp;ROW()))="Not sure","unsure",""))))</f>
        <v/>
      </c>
      <c r="W34" s="25">
        <f>IF(INDIRECT("brand_form!A"&amp;ROW())="","",IF(IF(INDIRECT("brand_form!V"&amp;ROW())="","",INDIRECT("brand_form!V"&amp;ROW()))="Yes","Y",IF(IF(INDIRECT("brand_form!V"&amp;ROW())="","",INDIRECT("brand_form!V"&amp;ROW()))="No","N",IF(IF(INDIRECT("brand_form!V"&amp;ROW())="","",INDIRECT("brand_form!V"&amp;ROW()))="Not sure","unsure",""))))</f>
        <v/>
      </c>
      <c r="X34" s="25">
        <f>IF(INDIRECT("brand_form!A"&amp;ROW())="","",IF(INDIRECT("brand_form!W"&amp;ROW())="","",INDIRECT("brand_form!W"&amp;ROW())))</f>
        <v/>
      </c>
      <c r="Y34" s="25">
        <f>IF(INDIRECT("brand_form!A"&amp;ROW())="","",IF(IF(INDIRECT("brand_form!X"&amp;ROW())="","",INDIRECT("brand_form!X"&amp;ROW()))&lt;&gt;"","Y",""))</f>
        <v/>
      </c>
      <c r="Z34" s="25">
        <f>IF(INDIRECT("brand_form!A"&amp;ROW())="","",IF(INDIRECT("brand_form!Y"&amp;ROW())="","",INDIRECT("brand_form!Y"&amp;ROW())))</f>
        <v/>
      </c>
      <c r="AA34" s="25">
        <f>IF(INDIRECT("brand_form!A"&amp;ROW())="","","founder")</f>
        <v/>
      </c>
    </row>
    <row r="35">
      <c r="A35" s="25">
        <f>IF(INDIRECT("brand_form!A"&amp;ROW())="","",TEXT(INDIRECT("brand_form!A"&amp;ROW()),"yyyy-mm-dd""T""hh:mm:ss"))</f>
        <v/>
      </c>
      <c r="B35" s="25">
        <f>IF(INDIRECT("brand_form!A"&amp;ROW())="","",config!$B$35)</f>
        <v/>
      </c>
      <c r="C35" s="25">
        <f>IF(INDIRECT("brand_form!A"&amp;ROW())="","",IF(INDIRECT("brand_form!B"&amp;ROW())="","",INDIRECT("brand_form!B"&amp;ROW())))</f>
        <v/>
      </c>
      <c r="D35" s="25">
        <f>IF(INDIRECT("brand_form!A"&amp;ROW())="","",IF(IF(INDIRECT("brand_form!C"&amp;ROW())="","",INDIRECT("brand_form!C"&amp;ROW()))="","",IF(LEFT(LOWER(IF(INDIRECT("brand_form!C"&amp;ROW())="","",INDIRECT("brand_form!C"&amp;ROW()))),4)="http",IF(INDIRECT("brand_form!C"&amp;ROW())="","",INDIRECT("brand_form!C"&amp;ROW())),"https://"&amp;IF(INDIRECT("brand_form!C"&amp;ROW())="","",INDIRECT("brand_form!C"&amp;ROW())))))</f>
        <v/>
      </c>
      <c r="E35" s="25">
        <f>IF(INDIRECT("brand_form!A"&amp;ROW())="","",IF(INDIRECT("brand_form!G"&amp;ROW())="","",INDIRECT("brand_form!G"&amp;ROW())))</f>
        <v/>
      </c>
      <c r="F35" s="25">
        <f>IF(INDIRECT("brand_form!A"&amp;ROW())="","",IF(INDIRECT("brand_form!H"&amp;ROW())="","",INDIRECT("brand_form!H"&amp;ROW())))</f>
        <v/>
      </c>
      <c r="G35" s="25">
        <f>IF(INDIRECT("brand_form!A"&amp;ROW())="","",IF(INDIRECT("brand_form!I"&amp;ROW())="","",INDIRECT("brand_form!I"&amp;ROW())))</f>
        <v/>
      </c>
      <c r="H35" s="25">
        <f>IF(INDIRECT("brand_form!A"&amp;ROW())="","",IF(INDIRECT("brand_form!J"&amp;ROW())="","",INDIRECT("brand_form!J"&amp;ROW())))</f>
        <v/>
      </c>
      <c r="I35" s="25">
        <f>IF(INDIRECT("brand_form!A"&amp;ROW())="","",IF(INDIRECT("brand_form!D"&amp;ROW())="","",INDIRECT("brand_form!D"&amp;ROW())))</f>
        <v/>
      </c>
      <c r="J3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5" s="25">
        <f>IF(INDIRECT("brand_form!A"&amp;ROW())="","",IF(INDIRECT("brand_form!F"&amp;ROW())="","",INDIRECT("brand_form!F"&amp;ROW())))</f>
        <v/>
      </c>
      <c r="L35" s="25">
        <f>IF(INDIRECT("brand_form!A"&amp;ROW())="","",IF(INDIRECT("brand_form!M"&amp;ROW())="","",INDIRECT("brand_form!M"&amp;ROW())))</f>
        <v/>
      </c>
      <c r="M35" s="25">
        <f>IF(INDIRECT("brand_form!A"&amp;ROW())="","",IF(IF(INDIRECT("brand_form!N"&amp;ROW())="","",INDIRECT("brand_form!N"&amp;ROW()))="","",IF(LEFT(LOWER(IF(INDIRECT("brand_form!N"&amp;ROW())="","",INDIRECT("brand_form!N"&amp;ROW()))),4)="http",IF(INDIRECT("brand_form!N"&amp;ROW())="","",INDIRECT("brand_form!N"&amp;ROW())),"https://"&amp;IF(INDIRECT("brand_form!N"&amp;ROW())="","",INDIRECT("brand_form!N"&amp;ROW())))))</f>
        <v/>
      </c>
      <c r="N35" s="25">
        <f>IF(INDIRECT("brand_form!A"&amp;ROW())="","",IF(IF(INDIRECT("brand_form!O"&amp;ROW())="","",INDIRECT("brand_form!O"&amp;ROW()))="Yes","Y",IF(IF(INDIRECT("brand_form!O"&amp;ROW())="","",INDIRECT("brand_form!O"&amp;ROW()))="No","N","")))</f>
        <v/>
      </c>
      <c r="O3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5" s="25">
        <f>IF(INDIRECT("brand_form!A"&amp;ROW())="","",IF(IF(INDIRECT("brand_form!K"&amp;ROW())="","",INDIRECT("brand_form!K"&amp;ROW()))="I do","Y",IF(IF(INDIRECT("brand_form!K"&amp;ROW())="","",INDIRECT("brand_form!K"&amp;ROW()))="Someone else","N","")))</f>
        <v/>
      </c>
      <c r="Q35" s="25">
        <f>IF(INDIRECT("brand_form!A"&amp;ROW())="","",IF($P35="Y",$E35&amp;", "&amp;$F35,IF(INDIRECT("brand_form!L"&amp;ROW())="","",INDIRECT("brand_form!L"&amp;ROW()))))</f>
        <v/>
      </c>
      <c r="R35" s="25">
        <f>IF(INDIRECT("brand_form!A"&amp;ROW())="","",IF(IF(INDIRECT("brand_form!Q"&amp;ROW())="","",INDIRECT("brand_form!Q"&amp;ROW()))="Yes","Y",IF(IF(INDIRECT("brand_form!Q"&amp;ROW())="","",INDIRECT("brand_form!Q"&amp;ROW()))="No","N",IF(IF(INDIRECT("brand_form!Q"&amp;ROW())="","",INDIRECT("brand_form!Q"&amp;ROW()))="Not sure","unsure",""))))</f>
        <v/>
      </c>
      <c r="S35" s="25">
        <f>IF(INDIRECT("brand_form!A"&amp;ROW())="","",IF(IF(INDIRECT("brand_form!R"&amp;ROW())="","",INDIRECT("brand_form!R"&amp;ROW()))="Yes","Y",IF(IF(INDIRECT("brand_form!R"&amp;ROW())="","",INDIRECT("brand_form!R"&amp;ROW()))="No","N",IF(IF(INDIRECT("brand_form!R"&amp;ROW())="","",INDIRECT("brand_form!R"&amp;ROW()))="Not sure","unsure",""))))</f>
        <v/>
      </c>
      <c r="T35" s="25">
        <f>IF(INDIRECT("brand_form!A"&amp;ROW())="","",IF(IF(INDIRECT("brand_form!S"&amp;ROW())="","",INDIRECT("brand_form!S"&amp;ROW()))="Yes","Y",IF(IF(INDIRECT("brand_form!S"&amp;ROW())="","",INDIRECT("brand_form!S"&amp;ROW()))="No","N",IF(IF(INDIRECT("brand_form!S"&amp;ROW())="","",INDIRECT("brand_form!S"&amp;ROW()))="Not sure","unsure",""))))</f>
        <v/>
      </c>
      <c r="U35" s="25">
        <f>IF(INDIRECT("brand_form!A"&amp;ROW())="","",IF(IF(INDIRECT("brand_form!T"&amp;ROW())="","",INDIRECT("brand_form!T"&amp;ROW()))="Yes","Y",IF(IF(INDIRECT("brand_form!T"&amp;ROW())="","",INDIRECT("brand_form!T"&amp;ROW()))="No","N",IF(IF(INDIRECT("brand_form!T"&amp;ROW())="","",INDIRECT("brand_form!T"&amp;ROW()))="Not sure","unsure",""))))</f>
        <v/>
      </c>
      <c r="V35" s="25">
        <f>IF(INDIRECT("brand_form!A"&amp;ROW())="","",IF(IF(INDIRECT("brand_form!U"&amp;ROW())="","",INDIRECT("brand_form!U"&amp;ROW()))="Yes","Y",IF(IF(INDIRECT("brand_form!U"&amp;ROW())="","",INDIRECT("brand_form!U"&amp;ROW()))="No","N",IF(IF(INDIRECT("brand_form!U"&amp;ROW())="","",INDIRECT("brand_form!U"&amp;ROW()))="Not sure","unsure",""))))</f>
        <v/>
      </c>
      <c r="W35" s="25">
        <f>IF(INDIRECT("brand_form!A"&amp;ROW())="","",IF(IF(INDIRECT("brand_form!V"&amp;ROW())="","",INDIRECT("brand_form!V"&amp;ROW()))="Yes","Y",IF(IF(INDIRECT("brand_form!V"&amp;ROW())="","",INDIRECT("brand_form!V"&amp;ROW()))="No","N",IF(IF(INDIRECT("brand_form!V"&amp;ROW())="","",INDIRECT("brand_form!V"&amp;ROW()))="Not sure","unsure",""))))</f>
        <v/>
      </c>
      <c r="X35" s="25">
        <f>IF(INDIRECT("brand_form!A"&amp;ROW())="","",IF(INDIRECT("brand_form!W"&amp;ROW())="","",INDIRECT("brand_form!W"&amp;ROW())))</f>
        <v/>
      </c>
      <c r="Y35" s="25">
        <f>IF(INDIRECT("brand_form!A"&amp;ROW())="","",IF(IF(INDIRECT("brand_form!X"&amp;ROW())="","",INDIRECT("brand_form!X"&amp;ROW()))&lt;&gt;"","Y",""))</f>
        <v/>
      </c>
      <c r="Z35" s="25">
        <f>IF(INDIRECT("brand_form!A"&amp;ROW())="","",IF(INDIRECT("brand_form!Y"&amp;ROW())="","",INDIRECT("brand_form!Y"&amp;ROW())))</f>
        <v/>
      </c>
      <c r="AA35" s="25">
        <f>IF(INDIRECT("brand_form!A"&amp;ROW())="","","founder")</f>
        <v/>
      </c>
    </row>
    <row r="36">
      <c r="A36" s="25">
        <f>IF(INDIRECT("brand_form!A"&amp;ROW())="","",TEXT(INDIRECT("brand_form!A"&amp;ROW()),"yyyy-mm-dd""T""hh:mm:ss"))</f>
        <v/>
      </c>
      <c r="B36" s="25">
        <f>IF(INDIRECT("brand_form!A"&amp;ROW())="","",config!$B$35)</f>
        <v/>
      </c>
      <c r="C36" s="25">
        <f>IF(INDIRECT("brand_form!A"&amp;ROW())="","",IF(INDIRECT("brand_form!B"&amp;ROW())="","",INDIRECT("brand_form!B"&amp;ROW())))</f>
        <v/>
      </c>
      <c r="D36" s="25">
        <f>IF(INDIRECT("brand_form!A"&amp;ROW())="","",IF(IF(INDIRECT("brand_form!C"&amp;ROW())="","",INDIRECT("brand_form!C"&amp;ROW()))="","",IF(LEFT(LOWER(IF(INDIRECT("brand_form!C"&amp;ROW())="","",INDIRECT("brand_form!C"&amp;ROW()))),4)="http",IF(INDIRECT("brand_form!C"&amp;ROW())="","",INDIRECT("brand_form!C"&amp;ROW())),"https://"&amp;IF(INDIRECT("brand_form!C"&amp;ROW())="","",INDIRECT("brand_form!C"&amp;ROW())))))</f>
        <v/>
      </c>
      <c r="E36" s="25">
        <f>IF(INDIRECT("brand_form!A"&amp;ROW())="","",IF(INDIRECT("brand_form!G"&amp;ROW())="","",INDIRECT("brand_form!G"&amp;ROW())))</f>
        <v/>
      </c>
      <c r="F36" s="25">
        <f>IF(INDIRECT("brand_form!A"&amp;ROW())="","",IF(INDIRECT("brand_form!H"&amp;ROW())="","",INDIRECT("brand_form!H"&amp;ROW())))</f>
        <v/>
      </c>
      <c r="G36" s="25">
        <f>IF(INDIRECT("brand_form!A"&amp;ROW())="","",IF(INDIRECT("brand_form!I"&amp;ROW())="","",INDIRECT("brand_form!I"&amp;ROW())))</f>
        <v/>
      </c>
      <c r="H36" s="25">
        <f>IF(INDIRECT("brand_form!A"&amp;ROW())="","",IF(INDIRECT("brand_form!J"&amp;ROW())="","",INDIRECT("brand_form!J"&amp;ROW())))</f>
        <v/>
      </c>
      <c r="I36" s="25">
        <f>IF(INDIRECT("brand_form!A"&amp;ROW())="","",IF(INDIRECT("brand_form!D"&amp;ROW())="","",INDIRECT("brand_form!D"&amp;ROW())))</f>
        <v/>
      </c>
      <c r="J3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6" s="25">
        <f>IF(INDIRECT("brand_form!A"&amp;ROW())="","",IF(INDIRECT("brand_form!F"&amp;ROW())="","",INDIRECT("brand_form!F"&amp;ROW())))</f>
        <v/>
      </c>
      <c r="L36" s="25">
        <f>IF(INDIRECT("brand_form!A"&amp;ROW())="","",IF(INDIRECT("brand_form!M"&amp;ROW())="","",INDIRECT("brand_form!M"&amp;ROW())))</f>
        <v/>
      </c>
      <c r="M36" s="25">
        <f>IF(INDIRECT("brand_form!A"&amp;ROW())="","",IF(IF(INDIRECT("brand_form!N"&amp;ROW())="","",INDIRECT("brand_form!N"&amp;ROW()))="","",IF(LEFT(LOWER(IF(INDIRECT("brand_form!N"&amp;ROW())="","",INDIRECT("brand_form!N"&amp;ROW()))),4)="http",IF(INDIRECT("brand_form!N"&amp;ROW())="","",INDIRECT("brand_form!N"&amp;ROW())),"https://"&amp;IF(INDIRECT("brand_form!N"&amp;ROW())="","",INDIRECT("brand_form!N"&amp;ROW())))))</f>
        <v/>
      </c>
      <c r="N36" s="25">
        <f>IF(INDIRECT("brand_form!A"&amp;ROW())="","",IF(IF(INDIRECT("brand_form!O"&amp;ROW())="","",INDIRECT("brand_form!O"&amp;ROW()))="Yes","Y",IF(IF(INDIRECT("brand_form!O"&amp;ROW())="","",INDIRECT("brand_form!O"&amp;ROW()))="No","N","")))</f>
        <v/>
      </c>
      <c r="O3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6" s="25">
        <f>IF(INDIRECT("brand_form!A"&amp;ROW())="","",IF(IF(INDIRECT("brand_form!K"&amp;ROW())="","",INDIRECT("brand_form!K"&amp;ROW()))="I do","Y",IF(IF(INDIRECT("brand_form!K"&amp;ROW())="","",INDIRECT("brand_form!K"&amp;ROW()))="Someone else","N","")))</f>
        <v/>
      </c>
      <c r="Q36" s="25">
        <f>IF(INDIRECT("brand_form!A"&amp;ROW())="","",IF($P36="Y",$E36&amp;", "&amp;$F36,IF(INDIRECT("brand_form!L"&amp;ROW())="","",INDIRECT("brand_form!L"&amp;ROW()))))</f>
        <v/>
      </c>
      <c r="R36" s="25">
        <f>IF(INDIRECT("brand_form!A"&amp;ROW())="","",IF(IF(INDIRECT("brand_form!Q"&amp;ROW())="","",INDIRECT("brand_form!Q"&amp;ROW()))="Yes","Y",IF(IF(INDIRECT("brand_form!Q"&amp;ROW())="","",INDIRECT("brand_form!Q"&amp;ROW()))="No","N",IF(IF(INDIRECT("brand_form!Q"&amp;ROW())="","",INDIRECT("brand_form!Q"&amp;ROW()))="Not sure","unsure",""))))</f>
        <v/>
      </c>
      <c r="S36" s="25">
        <f>IF(INDIRECT("brand_form!A"&amp;ROW())="","",IF(IF(INDIRECT("brand_form!R"&amp;ROW())="","",INDIRECT("brand_form!R"&amp;ROW()))="Yes","Y",IF(IF(INDIRECT("brand_form!R"&amp;ROW())="","",INDIRECT("brand_form!R"&amp;ROW()))="No","N",IF(IF(INDIRECT("brand_form!R"&amp;ROW())="","",INDIRECT("brand_form!R"&amp;ROW()))="Not sure","unsure",""))))</f>
        <v/>
      </c>
      <c r="T36" s="25">
        <f>IF(INDIRECT("brand_form!A"&amp;ROW())="","",IF(IF(INDIRECT("brand_form!S"&amp;ROW())="","",INDIRECT("brand_form!S"&amp;ROW()))="Yes","Y",IF(IF(INDIRECT("brand_form!S"&amp;ROW())="","",INDIRECT("brand_form!S"&amp;ROW()))="No","N",IF(IF(INDIRECT("brand_form!S"&amp;ROW())="","",INDIRECT("brand_form!S"&amp;ROW()))="Not sure","unsure",""))))</f>
        <v/>
      </c>
      <c r="U36" s="25">
        <f>IF(INDIRECT("brand_form!A"&amp;ROW())="","",IF(IF(INDIRECT("brand_form!T"&amp;ROW())="","",INDIRECT("brand_form!T"&amp;ROW()))="Yes","Y",IF(IF(INDIRECT("brand_form!T"&amp;ROW())="","",INDIRECT("brand_form!T"&amp;ROW()))="No","N",IF(IF(INDIRECT("brand_form!T"&amp;ROW())="","",INDIRECT("brand_form!T"&amp;ROW()))="Not sure","unsure",""))))</f>
        <v/>
      </c>
      <c r="V36" s="25">
        <f>IF(INDIRECT("brand_form!A"&amp;ROW())="","",IF(IF(INDIRECT("brand_form!U"&amp;ROW())="","",INDIRECT("brand_form!U"&amp;ROW()))="Yes","Y",IF(IF(INDIRECT("brand_form!U"&amp;ROW())="","",INDIRECT("brand_form!U"&amp;ROW()))="No","N",IF(IF(INDIRECT("brand_form!U"&amp;ROW())="","",INDIRECT("brand_form!U"&amp;ROW()))="Not sure","unsure",""))))</f>
        <v/>
      </c>
      <c r="W36" s="25">
        <f>IF(INDIRECT("brand_form!A"&amp;ROW())="","",IF(IF(INDIRECT("brand_form!V"&amp;ROW())="","",INDIRECT("brand_form!V"&amp;ROW()))="Yes","Y",IF(IF(INDIRECT("brand_form!V"&amp;ROW())="","",INDIRECT("brand_form!V"&amp;ROW()))="No","N",IF(IF(INDIRECT("brand_form!V"&amp;ROW())="","",INDIRECT("brand_form!V"&amp;ROW()))="Not sure","unsure",""))))</f>
        <v/>
      </c>
      <c r="X36" s="25">
        <f>IF(INDIRECT("brand_form!A"&amp;ROW())="","",IF(INDIRECT("brand_form!W"&amp;ROW())="","",INDIRECT("brand_form!W"&amp;ROW())))</f>
        <v/>
      </c>
      <c r="Y36" s="25">
        <f>IF(INDIRECT("brand_form!A"&amp;ROW())="","",IF(IF(INDIRECT("brand_form!X"&amp;ROW())="","",INDIRECT("brand_form!X"&amp;ROW()))&lt;&gt;"","Y",""))</f>
        <v/>
      </c>
      <c r="Z36" s="25">
        <f>IF(INDIRECT("brand_form!A"&amp;ROW())="","",IF(INDIRECT("brand_form!Y"&amp;ROW())="","",INDIRECT("brand_form!Y"&amp;ROW())))</f>
        <v/>
      </c>
      <c r="AA36" s="25">
        <f>IF(INDIRECT("brand_form!A"&amp;ROW())="","","founder")</f>
        <v/>
      </c>
    </row>
    <row r="37">
      <c r="A37" s="25">
        <f>IF(INDIRECT("brand_form!A"&amp;ROW())="","",TEXT(INDIRECT("brand_form!A"&amp;ROW()),"yyyy-mm-dd""T""hh:mm:ss"))</f>
        <v/>
      </c>
      <c r="B37" s="25">
        <f>IF(INDIRECT("brand_form!A"&amp;ROW())="","",config!$B$35)</f>
        <v/>
      </c>
      <c r="C37" s="25">
        <f>IF(INDIRECT("brand_form!A"&amp;ROW())="","",IF(INDIRECT("brand_form!B"&amp;ROW())="","",INDIRECT("brand_form!B"&amp;ROW())))</f>
        <v/>
      </c>
      <c r="D37" s="25">
        <f>IF(INDIRECT("brand_form!A"&amp;ROW())="","",IF(IF(INDIRECT("brand_form!C"&amp;ROW())="","",INDIRECT("brand_form!C"&amp;ROW()))="","",IF(LEFT(LOWER(IF(INDIRECT("brand_form!C"&amp;ROW())="","",INDIRECT("brand_form!C"&amp;ROW()))),4)="http",IF(INDIRECT("brand_form!C"&amp;ROW())="","",INDIRECT("brand_form!C"&amp;ROW())),"https://"&amp;IF(INDIRECT("brand_form!C"&amp;ROW())="","",INDIRECT("brand_form!C"&amp;ROW())))))</f>
        <v/>
      </c>
      <c r="E37" s="25">
        <f>IF(INDIRECT("brand_form!A"&amp;ROW())="","",IF(INDIRECT("brand_form!G"&amp;ROW())="","",INDIRECT("brand_form!G"&amp;ROW())))</f>
        <v/>
      </c>
      <c r="F37" s="25">
        <f>IF(INDIRECT("brand_form!A"&amp;ROW())="","",IF(INDIRECT("brand_form!H"&amp;ROW())="","",INDIRECT("brand_form!H"&amp;ROW())))</f>
        <v/>
      </c>
      <c r="G37" s="25">
        <f>IF(INDIRECT("brand_form!A"&amp;ROW())="","",IF(INDIRECT("brand_form!I"&amp;ROW())="","",INDIRECT("brand_form!I"&amp;ROW())))</f>
        <v/>
      </c>
      <c r="H37" s="25">
        <f>IF(INDIRECT("brand_form!A"&amp;ROW())="","",IF(INDIRECT("brand_form!J"&amp;ROW())="","",INDIRECT("brand_form!J"&amp;ROW())))</f>
        <v/>
      </c>
      <c r="I37" s="25">
        <f>IF(INDIRECT("brand_form!A"&amp;ROW())="","",IF(INDIRECT("brand_form!D"&amp;ROW())="","",INDIRECT("brand_form!D"&amp;ROW())))</f>
        <v/>
      </c>
      <c r="J3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7" s="25">
        <f>IF(INDIRECT("brand_form!A"&amp;ROW())="","",IF(INDIRECT("brand_form!F"&amp;ROW())="","",INDIRECT("brand_form!F"&amp;ROW())))</f>
        <v/>
      </c>
      <c r="L37" s="25">
        <f>IF(INDIRECT("brand_form!A"&amp;ROW())="","",IF(INDIRECT("brand_form!M"&amp;ROW())="","",INDIRECT("brand_form!M"&amp;ROW())))</f>
        <v/>
      </c>
      <c r="M37" s="25">
        <f>IF(INDIRECT("brand_form!A"&amp;ROW())="","",IF(IF(INDIRECT("brand_form!N"&amp;ROW())="","",INDIRECT("brand_form!N"&amp;ROW()))="","",IF(LEFT(LOWER(IF(INDIRECT("brand_form!N"&amp;ROW())="","",INDIRECT("brand_form!N"&amp;ROW()))),4)="http",IF(INDIRECT("brand_form!N"&amp;ROW())="","",INDIRECT("brand_form!N"&amp;ROW())),"https://"&amp;IF(INDIRECT("brand_form!N"&amp;ROW())="","",INDIRECT("brand_form!N"&amp;ROW())))))</f>
        <v/>
      </c>
      <c r="N37" s="25">
        <f>IF(INDIRECT("brand_form!A"&amp;ROW())="","",IF(IF(INDIRECT("brand_form!O"&amp;ROW())="","",INDIRECT("brand_form!O"&amp;ROW()))="Yes","Y",IF(IF(INDIRECT("brand_form!O"&amp;ROW())="","",INDIRECT("brand_form!O"&amp;ROW()))="No","N","")))</f>
        <v/>
      </c>
      <c r="O3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7" s="25">
        <f>IF(INDIRECT("brand_form!A"&amp;ROW())="","",IF(IF(INDIRECT("brand_form!K"&amp;ROW())="","",INDIRECT("brand_form!K"&amp;ROW()))="I do","Y",IF(IF(INDIRECT("brand_form!K"&amp;ROW())="","",INDIRECT("brand_form!K"&amp;ROW()))="Someone else","N","")))</f>
        <v/>
      </c>
      <c r="Q37" s="25">
        <f>IF(INDIRECT("brand_form!A"&amp;ROW())="","",IF($P37="Y",$E37&amp;", "&amp;$F37,IF(INDIRECT("brand_form!L"&amp;ROW())="","",INDIRECT("brand_form!L"&amp;ROW()))))</f>
        <v/>
      </c>
      <c r="R37" s="25">
        <f>IF(INDIRECT("brand_form!A"&amp;ROW())="","",IF(IF(INDIRECT("brand_form!Q"&amp;ROW())="","",INDIRECT("brand_form!Q"&amp;ROW()))="Yes","Y",IF(IF(INDIRECT("brand_form!Q"&amp;ROW())="","",INDIRECT("brand_form!Q"&amp;ROW()))="No","N",IF(IF(INDIRECT("brand_form!Q"&amp;ROW())="","",INDIRECT("brand_form!Q"&amp;ROW()))="Not sure","unsure",""))))</f>
        <v/>
      </c>
      <c r="S37" s="25">
        <f>IF(INDIRECT("brand_form!A"&amp;ROW())="","",IF(IF(INDIRECT("brand_form!R"&amp;ROW())="","",INDIRECT("brand_form!R"&amp;ROW()))="Yes","Y",IF(IF(INDIRECT("brand_form!R"&amp;ROW())="","",INDIRECT("brand_form!R"&amp;ROW()))="No","N",IF(IF(INDIRECT("brand_form!R"&amp;ROW())="","",INDIRECT("brand_form!R"&amp;ROW()))="Not sure","unsure",""))))</f>
        <v/>
      </c>
      <c r="T37" s="25">
        <f>IF(INDIRECT("brand_form!A"&amp;ROW())="","",IF(IF(INDIRECT("brand_form!S"&amp;ROW())="","",INDIRECT("brand_form!S"&amp;ROW()))="Yes","Y",IF(IF(INDIRECT("brand_form!S"&amp;ROW())="","",INDIRECT("brand_form!S"&amp;ROW()))="No","N",IF(IF(INDIRECT("brand_form!S"&amp;ROW())="","",INDIRECT("brand_form!S"&amp;ROW()))="Not sure","unsure",""))))</f>
        <v/>
      </c>
      <c r="U37" s="25">
        <f>IF(INDIRECT("brand_form!A"&amp;ROW())="","",IF(IF(INDIRECT("brand_form!T"&amp;ROW())="","",INDIRECT("brand_form!T"&amp;ROW()))="Yes","Y",IF(IF(INDIRECT("brand_form!T"&amp;ROW())="","",INDIRECT("brand_form!T"&amp;ROW()))="No","N",IF(IF(INDIRECT("brand_form!T"&amp;ROW())="","",INDIRECT("brand_form!T"&amp;ROW()))="Not sure","unsure",""))))</f>
        <v/>
      </c>
      <c r="V37" s="25">
        <f>IF(INDIRECT("brand_form!A"&amp;ROW())="","",IF(IF(INDIRECT("brand_form!U"&amp;ROW())="","",INDIRECT("brand_form!U"&amp;ROW()))="Yes","Y",IF(IF(INDIRECT("brand_form!U"&amp;ROW())="","",INDIRECT("brand_form!U"&amp;ROW()))="No","N",IF(IF(INDIRECT("brand_form!U"&amp;ROW())="","",INDIRECT("brand_form!U"&amp;ROW()))="Not sure","unsure",""))))</f>
        <v/>
      </c>
      <c r="W37" s="25">
        <f>IF(INDIRECT("brand_form!A"&amp;ROW())="","",IF(IF(INDIRECT("brand_form!V"&amp;ROW())="","",INDIRECT("brand_form!V"&amp;ROW()))="Yes","Y",IF(IF(INDIRECT("brand_form!V"&amp;ROW())="","",INDIRECT("brand_form!V"&amp;ROW()))="No","N",IF(IF(INDIRECT("brand_form!V"&amp;ROW())="","",INDIRECT("brand_form!V"&amp;ROW()))="Not sure","unsure",""))))</f>
        <v/>
      </c>
      <c r="X37" s="25">
        <f>IF(INDIRECT("brand_form!A"&amp;ROW())="","",IF(INDIRECT("brand_form!W"&amp;ROW())="","",INDIRECT("brand_form!W"&amp;ROW())))</f>
        <v/>
      </c>
      <c r="Y37" s="25">
        <f>IF(INDIRECT("brand_form!A"&amp;ROW())="","",IF(IF(INDIRECT("brand_form!X"&amp;ROW())="","",INDIRECT("brand_form!X"&amp;ROW()))&lt;&gt;"","Y",""))</f>
        <v/>
      </c>
      <c r="Z37" s="25">
        <f>IF(INDIRECT("brand_form!A"&amp;ROW())="","",IF(INDIRECT("brand_form!Y"&amp;ROW())="","",INDIRECT("brand_form!Y"&amp;ROW())))</f>
        <v/>
      </c>
      <c r="AA37" s="25">
        <f>IF(INDIRECT("brand_form!A"&amp;ROW())="","","founder")</f>
        <v/>
      </c>
    </row>
    <row r="38">
      <c r="A38" s="25">
        <f>IF(INDIRECT("brand_form!A"&amp;ROW())="","",TEXT(INDIRECT("brand_form!A"&amp;ROW()),"yyyy-mm-dd""T""hh:mm:ss"))</f>
        <v/>
      </c>
      <c r="B38" s="25">
        <f>IF(INDIRECT("brand_form!A"&amp;ROW())="","",config!$B$35)</f>
        <v/>
      </c>
      <c r="C38" s="25">
        <f>IF(INDIRECT("brand_form!A"&amp;ROW())="","",IF(INDIRECT("brand_form!B"&amp;ROW())="","",INDIRECT("brand_form!B"&amp;ROW())))</f>
        <v/>
      </c>
      <c r="D38" s="25">
        <f>IF(INDIRECT("brand_form!A"&amp;ROW())="","",IF(IF(INDIRECT("brand_form!C"&amp;ROW())="","",INDIRECT("brand_form!C"&amp;ROW()))="","",IF(LEFT(LOWER(IF(INDIRECT("brand_form!C"&amp;ROW())="","",INDIRECT("brand_form!C"&amp;ROW()))),4)="http",IF(INDIRECT("brand_form!C"&amp;ROW())="","",INDIRECT("brand_form!C"&amp;ROW())),"https://"&amp;IF(INDIRECT("brand_form!C"&amp;ROW())="","",INDIRECT("brand_form!C"&amp;ROW())))))</f>
        <v/>
      </c>
      <c r="E38" s="25">
        <f>IF(INDIRECT("brand_form!A"&amp;ROW())="","",IF(INDIRECT("brand_form!G"&amp;ROW())="","",INDIRECT("brand_form!G"&amp;ROW())))</f>
        <v/>
      </c>
      <c r="F38" s="25">
        <f>IF(INDIRECT("brand_form!A"&amp;ROW())="","",IF(INDIRECT("brand_form!H"&amp;ROW())="","",INDIRECT("brand_form!H"&amp;ROW())))</f>
        <v/>
      </c>
      <c r="G38" s="25">
        <f>IF(INDIRECT("brand_form!A"&amp;ROW())="","",IF(INDIRECT("brand_form!I"&amp;ROW())="","",INDIRECT("brand_form!I"&amp;ROW())))</f>
        <v/>
      </c>
      <c r="H38" s="25">
        <f>IF(INDIRECT("brand_form!A"&amp;ROW())="","",IF(INDIRECT("brand_form!J"&amp;ROW())="","",INDIRECT("brand_form!J"&amp;ROW())))</f>
        <v/>
      </c>
      <c r="I38" s="25">
        <f>IF(INDIRECT("brand_form!A"&amp;ROW())="","",IF(INDIRECT("brand_form!D"&amp;ROW())="","",INDIRECT("brand_form!D"&amp;ROW())))</f>
        <v/>
      </c>
      <c r="J3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8" s="25">
        <f>IF(INDIRECT("brand_form!A"&amp;ROW())="","",IF(INDIRECT("brand_form!F"&amp;ROW())="","",INDIRECT("brand_form!F"&amp;ROW())))</f>
        <v/>
      </c>
      <c r="L38" s="25">
        <f>IF(INDIRECT("brand_form!A"&amp;ROW())="","",IF(INDIRECT("brand_form!M"&amp;ROW())="","",INDIRECT("brand_form!M"&amp;ROW())))</f>
        <v/>
      </c>
      <c r="M38" s="25">
        <f>IF(INDIRECT("brand_form!A"&amp;ROW())="","",IF(IF(INDIRECT("brand_form!N"&amp;ROW())="","",INDIRECT("brand_form!N"&amp;ROW()))="","",IF(LEFT(LOWER(IF(INDIRECT("brand_form!N"&amp;ROW())="","",INDIRECT("brand_form!N"&amp;ROW()))),4)="http",IF(INDIRECT("brand_form!N"&amp;ROW())="","",INDIRECT("brand_form!N"&amp;ROW())),"https://"&amp;IF(INDIRECT("brand_form!N"&amp;ROW())="","",INDIRECT("brand_form!N"&amp;ROW())))))</f>
        <v/>
      </c>
      <c r="N38" s="25">
        <f>IF(INDIRECT("brand_form!A"&amp;ROW())="","",IF(IF(INDIRECT("brand_form!O"&amp;ROW())="","",INDIRECT("brand_form!O"&amp;ROW()))="Yes","Y",IF(IF(INDIRECT("brand_form!O"&amp;ROW())="","",INDIRECT("brand_form!O"&amp;ROW()))="No","N","")))</f>
        <v/>
      </c>
      <c r="O3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8" s="25">
        <f>IF(INDIRECT("brand_form!A"&amp;ROW())="","",IF(IF(INDIRECT("brand_form!K"&amp;ROW())="","",INDIRECT("brand_form!K"&amp;ROW()))="I do","Y",IF(IF(INDIRECT("brand_form!K"&amp;ROW())="","",INDIRECT("brand_form!K"&amp;ROW()))="Someone else","N","")))</f>
        <v/>
      </c>
      <c r="Q38" s="25">
        <f>IF(INDIRECT("brand_form!A"&amp;ROW())="","",IF($P38="Y",$E38&amp;", "&amp;$F38,IF(INDIRECT("brand_form!L"&amp;ROW())="","",INDIRECT("brand_form!L"&amp;ROW()))))</f>
        <v/>
      </c>
      <c r="R38" s="25">
        <f>IF(INDIRECT("brand_form!A"&amp;ROW())="","",IF(IF(INDIRECT("brand_form!Q"&amp;ROW())="","",INDIRECT("brand_form!Q"&amp;ROW()))="Yes","Y",IF(IF(INDIRECT("brand_form!Q"&amp;ROW())="","",INDIRECT("brand_form!Q"&amp;ROW()))="No","N",IF(IF(INDIRECT("brand_form!Q"&amp;ROW())="","",INDIRECT("brand_form!Q"&amp;ROW()))="Not sure","unsure",""))))</f>
        <v/>
      </c>
      <c r="S38" s="25">
        <f>IF(INDIRECT("brand_form!A"&amp;ROW())="","",IF(IF(INDIRECT("brand_form!R"&amp;ROW())="","",INDIRECT("brand_form!R"&amp;ROW()))="Yes","Y",IF(IF(INDIRECT("brand_form!R"&amp;ROW())="","",INDIRECT("brand_form!R"&amp;ROW()))="No","N",IF(IF(INDIRECT("brand_form!R"&amp;ROW())="","",INDIRECT("brand_form!R"&amp;ROW()))="Not sure","unsure",""))))</f>
        <v/>
      </c>
      <c r="T38" s="25">
        <f>IF(INDIRECT("brand_form!A"&amp;ROW())="","",IF(IF(INDIRECT("brand_form!S"&amp;ROW())="","",INDIRECT("brand_form!S"&amp;ROW()))="Yes","Y",IF(IF(INDIRECT("brand_form!S"&amp;ROW())="","",INDIRECT("brand_form!S"&amp;ROW()))="No","N",IF(IF(INDIRECT("brand_form!S"&amp;ROW())="","",INDIRECT("brand_form!S"&amp;ROW()))="Not sure","unsure",""))))</f>
        <v/>
      </c>
      <c r="U38" s="25">
        <f>IF(INDIRECT("brand_form!A"&amp;ROW())="","",IF(IF(INDIRECT("brand_form!T"&amp;ROW())="","",INDIRECT("brand_form!T"&amp;ROW()))="Yes","Y",IF(IF(INDIRECT("brand_form!T"&amp;ROW())="","",INDIRECT("brand_form!T"&amp;ROW()))="No","N",IF(IF(INDIRECT("brand_form!T"&amp;ROW())="","",INDIRECT("brand_form!T"&amp;ROW()))="Not sure","unsure",""))))</f>
        <v/>
      </c>
      <c r="V38" s="25">
        <f>IF(INDIRECT("brand_form!A"&amp;ROW())="","",IF(IF(INDIRECT("brand_form!U"&amp;ROW())="","",INDIRECT("brand_form!U"&amp;ROW()))="Yes","Y",IF(IF(INDIRECT("brand_form!U"&amp;ROW())="","",INDIRECT("brand_form!U"&amp;ROW()))="No","N",IF(IF(INDIRECT("brand_form!U"&amp;ROW())="","",INDIRECT("brand_form!U"&amp;ROW()))="Not sure","unsure",""))))</f>
        <v/>
      </c>
      <c r="W38" s="25">
        <f>IF(INDIRECT("brand_form!A"&amp;ROW())="","",IF(IF(INDIRECT("brand_form!V"&amp;ROW())="","",INDIRECT("brand_form!V"&amp;ROW()))="Yes","Y",IF(IF(INDIRECT("brand_form!V"&amp;ROW())="","",INDIRECT("brand_form!V"&amp;ROW()))="No","N",IF(IF(INDIRECT("brand_form!V"&amp;ROW())="","",INDIRECT("brand_form!V"&amp;ROW()))="Not sure","unsure",""))))</f>
        <v/>
      </c>
      <c r="X38" s="25">
        <f>IF(INDIRECT("brand_form!A"&amp;ROW())="","",IF(INDIRECT("brand_form!W"&amp;ROW())="","",INDIRECT("brand_form!W"&amp;ROW())))</f>
        <v/>
      </c>
      <c r="Y38" s="25">
        <f>IF(INDIRECT("brand_form!A"&amp;ROW())="","",IF(IF(INDIRECT("brand_form!X"&amp;ROW())="","",INDIRECT("brand_form!X"&amp;ROW()))&lt;&gt;"","Y",""))</f>
        <v/>
      </c>
      <c r="Z38" s="25">
        <f>IF(INDIRECT("brand_form!A"&amp;ROW())="","",IF(INDIRECT("brand_form!Y"&amp;ROW())="","",INDIRECT("brand_form!Y"&amp;ROW())))</f>
        <v/>
      </c>
      <c r="AA38" s="25">
        <f>IF(INDIRECT("brand_form!A"&amp;ROW())="","","founder")</f>
        <v/>
      </c>
    </row>
    <row r="39">
      <c r="A39" s="25">
        <f>IF(INDIRECT("brand_form!A"&amp;ROW())="","",TEXT(INDIRECT("brand_form!A"&amp;ROW()),"yyyy-mm-dd""T""hh:mm:ss"))</f>
        <v/>
      </c>
      <c r="B39" s="25">
        <f>IF(INDIRECT("brand_form!A"&amp;ROW())="","",config!$B$35)</f>
        <v/>
      </c>
      <c r="C39" s="25">
        <f>IF(INDIRECT("brand_form!A"&amp;ROW())="","",IF(INDIRECT("brand_form!B"&amp;ROW())="","",INDIRECT("brand_form!B"&amp;ROW())))</f>
        <v/>
      </c>
      <c r="D39" s="25">
        <f>IF(INDIRECT("brand_form!A"&amp;ROW())="","",IF(IF(INDIRECT("brand_form!C"&amp;ROW())="","",INDIRECT("brand_form!C"&amp;ROW()))="","",IF(LEFT(LOWER(IF(INDIRECT("brand_form!C"&amp;ROW())="","",INDIRECT("brand_form!C"&amp;ROW()))),4)="http",IF(INDIRECT("brand_form!C"&amp;ROW())="","",INDIRECT("brand_form!C"&amp;ROW())),"https://"&amp;IF(INDIRECT("brand_form!C"&amp;ROW())="","",INDIRECT("brand_form!C"&amp;ROW())))))</f>
        <v/>
      </c>
      <c r="E39" s="25">
        <f>IF(INDIRECT("brand_form!A"&amp;ROW())="","",IF(INDIRECT("brand_form!G"&amp;ROW())="","",INDIRECT("brand_form!G"&amp;ROW())))</f>
        <v/>
      </c>
      <c r="F39" s="25">
        <f>IF(INDIRECT("brand_form!A"&amp;ROW())="","",IF(INDIRECT("brand_form!H"&amp;ROW())="","",INDIRECT("brand_form!H"&amp;ROW())))</f>
        <v/>
      </c>
      <c r="G39" s="25">
        <f>IF(INDIRECT("brand_form!A"&amp;ROW())="","",IF(INDIRECT("brand_form!I"&amp;ROW())="","",INDIRECT("brand_form!I"&amp;ROW())))</f>
        <v/>
      </c>
      <c r="H39" s="25">
        <f>IF(INDIRECT("brand_form!A"&amp;ROW())="","",IF(INDIRECT("brand_form!J"&amp;ROW())="","",INDIRECT("brand_form!J"&amp;ROW())))</f>
        <v/>
      </c>
      <c r="I39" s="25">
        <f>IF(INDIRECT("brand_form!A"&amp;ROW())="","",IF(INDIRECT("brand_form!D"&amp;ROW())="","",INDIRECT("brand_form!D"&amp;ROW())))</f>
        <v/>
      </c>
      <c r="J3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9" s="25">
        <f>IF(INDIRECT("brand_form!A"&amp;ROW())="","",IF(INDIRECT("brand_form!F"&amp;ROW())="","",INDIRECT("brand_form!F"&amp;ROW())))</f>
        <v/>
      </c>
      <c r="L39" s="25">
        <f>IF(INDIRECT("brand_form!A"&amp;ROW())="","",IF(INDIRECT("brand_form!M"&amp;ROW())="","",INDIRECT("brand_form!M"&amp;ROW())))</f>
        <v/>
      </c>
      <c r="M39" s="25">
        <f>IF(INDIRECT("brand_form!A"&amp;ROW())="","",IF(IF(INDIRECT("brand_form!N"&amp;ROW())="","",INDIRECT("brand_form!N"&amp;ROW()))="","",IF(LEFT(LOWER(IF(INDIRECT("brand_form!N"&amp;ROW())="","",INDIRECT("brand_form!N"&amp;ROW()))),4)="http",IF(INDIRECT("brand_form!N"&amp;ROW())="","",INDIRECT("brand_form!N"&amp;ROW())),"https://"&amp;IF(INDIRECT("brand_form!N"&amp;ROW())="","",INDIRECT("brand_form!N"&amp;ROW())))))</f>
        <v/>
      </c>
      <c r="N39" s="25">
        <f>IF(INDIRECT("brand_form!A"&amp;ROW())="","",IF(IF(INDIRECT("brand_form!O"&amp;ROW())="","",INDIRECT("brand_form!O"&amp;ROW()))="Yes","Y",IF(IF(INDIRECT("brand_form!O"&amp;ROW())="","",INDIRECT("brand_form!O"&amp;ROW()))="No","N","")))</f>
        <v/>
      </c>
      <c r="O3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9" s="25">
        <f>IF(INDIRECT("brand_form!A"&amp;ROW())="","",IF(IF(INDIRECT("brand_form!K"&amp;ROW())="","",INDIRECT("brand_form!K"&amp;ROW()))="I do","Y",IF(IF(INDIRECT("brand_form!K"&amp;ROW())="","",INDIRECT("brand_form!K"&amp;ROW()))="Someone else","N","")))</f>
        <v/>
      </c>
      <c r="Q39" s="25">
        <f>IF(INDIRECT("brand_form!A"&amp;ROW())="","",IF($P39="Y",$E39&amp;", "&amp;$F39,IF(INDIRECT("brand_form!L"&amp;ROW())="","",INDIRECT("brand_form!L"&amp;ROW()))))</f>
        <v/>
      </c>
      <c r="R39" s="25">
        <f>IF(INDIRECT("brand_form!A"&amp;ROW())="","",IF(IF(INDIRECT("brand_form!Q"&amp;ROW())="","",INDIRECT("brand_form!Q"&amp;ROW()))="Yes","Y",IF(IF(INDIRECT("brand_form!Q"&amp;ROW())="","",INDIRECT("brand_form!Q"&amp;ROW()))="No","N",IF(IF(INDIRECT("brand_form!Q"&amp;ROW())="","",INDIRECT("brand_form!Q"&amp;ROW()))="Not sure","unsure",""))))</f>
        <v/>
      </c>
      <c r="S39" s="25">
        <f>IF(INDIRECT("brand_form!A"&amp;ROW())="","",IF(IF(INDIRECT("brand_form!R"&amp;ROW())="","",INDIRECT("brand_form!R"&amp;ROW()))="Yes","Y",IF(IF(INDIRECT("brand_form!R"&amp;ROW())="","",INDIRECT("brand_form!R"&amp;ROW()))="No","N",IF(IF(INDIRECT("brand_form!R"&amp;ROW())="","",INDIRECT("brand_form!R"&amp;ROW()))="Not sure","unsure",""))))</f>
        <v/>
      </c>
      <c r="T39" s="25">
        <f>IF(INDIRECT("brand_form!A"&amp;ROW())="","",IF(IF(INDIRECT("brand_form!S"&amp;ROW())="","",INDIRECT("brand_form!S"&amp;ROW()))="Yes","Y",IF(IF(INDIRECT("brand_form!S"&amp;ROW())="","",INDIRECT("brand_form!S"&amp;ROW()))="No","N",IF(IF(INDIRECT("brand_form!S"&amp;ROW())="","",INDIRECT("brand_form!S"&amp;ROW()))="Not sure","unsure",""))))</f>
        <v/>
      </c>
      <c r="U39" s="25">
        <f>IF(INDIRECT("brand_form!A"&amp;ROW())="","",IF(IF(INDIRECT("brand_form!T"&amp;ROW())="","",INDIRECT("brand_form!T"&amp;ROW()))="Yes","Y",IF(IF(INDIRECT("brand_form!T"&amp;ROW())="","",INDIRECT("brand_form!T"&amp;ROW()))="No","N",IF(IF(INDIRECT("brand_form!T"&amp;ROW())="","",INDIRECT("brand_form!T"&amp;ROW()))="Not sure","unsure",""))))</f>
        <v/>
      </c>
      <c r="V39" s="25">
        <f>IF(INDIRECT("brand_form!A"&amp;ROW())="","",IF(IF(INDIRECT("brand_form!U"&amp;ROW())="","",INDIRECT("brand_form!U"&amp;ROW()))="Yes","Y",IF(IF(INDIRECT("brand_form!U"&amp;ROW())="","",INDIRECT("brand_form!U"&amp;ROW()))="No","N",IF(IF(INDIRECT("brand_form!U"&amp;ROW())="","",INDIRECT("brand_form!U"&amp;ROW()))="Not sure","unsure",""))))</f>
        <v/>
      </c>
      <c r="W39" s="25">
        <f>IF(INDIRECT("brand_form!A"&amp;ROW())="","",IF(IF(INDIRECT("brand_form!V"&amp;ROW())="","",INDIRECT("brand_form!V"&amp;ROW()))="Yes","Y",IF(IF(INDIRECT("brand_form!V"&amp;ROW())="","",INDIRECT("brand_form!V"&amp;ROW()))="No","N",IF(IF(INDIRECT("brand_form!V"&amp;ROW())="","",INDIRECT("brand_form!V"&amp;ROW()))="Not sure","unsure",""))))</f>
        <v/>
      </c>
      <c r="X39" s="25">
        <f>IF(INDIRECT("brand_form!A"&amp;ROW())="","",IF(INDIRECT("brand_form!W"&amp;ROW())="","",INDIRECT("brand_form!W"&amp;ROW())))</f>
        <v/>
      </c>
      <c r="Y39" s="25">
        <f>IF(INDIRECT("brand_form!A"&amp;ROW())="","",IF(IF(INDIRECT("brand_form!X"&amp;ROW())="","",INDIRECT("brand_form!X"&amp;ROW()))&lt;&gt;"","Y",""))</f>
        <v/>
      </c>
      <c r="Z39" s="25">
        <f>IF(INDIRECT("brand_form!A"&amp;ROW())="","",IF(INDIRECT("brand_form!Y"&amp;ROW())="","",INDIRECT("brand_form!Y"&amp;ROW())))</f>
        <v/>
      </c>
      <c r="AA39" s="25">
        <f>IF(INDIRECT("brand_form!A"&amp;ROW())="","","founder")</f>
        <v/>
      </c>
    </row>
    <row r="40">
      <c r="A40" s="25">
        <f>IF(INDIRECT("brand_form!A"&amp;ROW())="","",TEXT(INDIRECT("brand_form!A"&amp;ROW()),"yyyy-mm-dd""T""hh:mm:ss"))</f>
        <v/>
      </c>
      <c r="B40" s="25">
        <f>IF(INDIRECT("brand_form!A"&amp;ROW())="","",config!$B$35)</f>
        <v/>
      </c>
      <c r="C40" s="25">
        <f>IF(INDIRECT("brand_form!A"&amp;ROW())="","",IF(INDIRECT("brand_form!B"&amp;ROW())="","",INDIRECT("brand_form!B"&amp;ROW())))</f>
        <v/>
      </c>
      <c r="D40" s="25">
        <f>IF(INDIRECT("brand_form!A"&amp;ROW())="","",IF(IF(INDIRECT("brand_form!C"&amp;ROW())="","",INDIRECT("brand_form!C"&amp;ROW()))="","",IF(LEFT(LOWER(IF(INDIRECT("brand_form!C"&amp;ROW())="","",INDIRECT("brand_form!C"&amp;ROW()))),4)="http",IF(INDIRECT("brand_form!C"&amp;ROW())="","",INDIRECT("brand_form!C"&amp;ROW())),"https://"&amp;IF(INDIRECT("brand_form!C"&amp;ROW())="","",INDIRECT("brand_form!C"&amp;ROW())))))</f>
        <v/>
      </c>
      <c r="E40" s="25">
        <f>IF(INDIRECT("brand_form!A"&amp;ROW())="","",IF(INDIRECT("brand_form!G"&amp;ROW())="","",INDIRECT("brand_form!G"&amp;ROW())))</f>
        <v/>
      </c>
      <c r="F40" s="25">
        <f>IF(INDIRECT("brand_form!A"&amp;ROW())="","",IF(INDIRECT("brand_form!H"&amp;ROW())="","",INDIRECT("brand_form!H"&amp;ROW())))</f>
        <v/>
      </c>
      <c r="G40" s="25">
        <f>IF(INDIRECT("brand_form!A"&amp;ROW())="","",IF(INDIRECT("brand_form!I"&amp;ROW())="","",INDIRECT("brand_form!I"&amp;ROW())))</f>
        <v/>
      </c>
      <c r="H40" s="25">
        <f>IF(INDIRECT("brand_form!A"&amp;ROW())="","",IF(INDIRECT("brand_form!J"&amp;ROW())="","",INDIRECT("brand_form!J"&amp;ROW())))</f>
        <v/>
      </c>
      <c r="I40" s="25">
        <f>IF(INDIRECT("brand_form!A"&amp;ROW())="","",IF(INDIRECT("brand_form!D"&amp;ROW())="","",INDIRECT("brand_form!D"&amp;ROW())))</f>
        <v/>
      </c>
      <c r="J4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0" s="25">
        <f>IF(INDIRECT("brand_form!A"&amp;ROW())="","",IF(INDIRECT("brand_form!F"&amp;ROW())="","",INDIRECT("brand_form!F"&amp;ROW())))</f>
        <v/>
      </c>
      <c r="L40" s="25">
        <f>IF(INDIRECT("brand_form!A"&amp;ROW())="","",IF(INDIRECT("brand_form!M"&amp;ROW())="","",INDIRECT("brand_form!M"&amp;ROW())))</f>
        <v/>
      </c>
      <c r="M40" s="25">
        <f>IF(INDIRECT("brand_form!A"&amp;ROW())="","",IF(IF(INDIRECT("brand_form!N"&amp;ROW())="","",INDIRECT("brand_form!N"&amp;ROW()))="","",IF(LEFT(LOWER(IF(INDIRECT("brand_form!N"&amp;ROW())="","",INDIRECT("brand_form!N"&amp;ROW()))),4)="http",IF(INDIRECT("brand_form!N"&amp;ROW())="","",INDIRECT("brand_form!N"&amp;ROW())),"https://"&amp;IF(INDIRECT("brand_form!N"&amp;ROW())="","",INDIRECT("brand_form!N"&amp;ROW())))))</f>
        <v/>
      </c>
      <c r="N40" s="25">
        <f>IF(INDIRECT("brand_form!A"&amp;ROW())="","",IF(IF(INDIRECT("brand_form!O"&amp;ROW())="","",INDIRECT("brand_form!O"&amp;ROW()))="Yes","Y",IF(IF(INDIRECT("brand_form!O"&amp;ROW())="","",INDIRECT("brand_form!O"&amp;ROW()))="No","N","")))</f>
        <v/>
      </c>
      <c r="O4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0" s="25">
        <f>IF(INDIRECT("brand_form!A"&amp;ROW())="","",IF(IF(INDIRECT("brand_form!K"&amp;ROW())="","",INDIRECT("brand_form!K"&amp;ROW()))="I do","Y",IF(IF(INDIRECT("brand_form!K"&amp;ROW())="","",INDIRECT("brand_form!K"&amp;ROW()))="Someone else","N","")))</f>
        <v/>
      </c>
      <c r="Q40" s="25">
        <f>IF(INDIRECT("brand_form!A"&amp;ROW())="","",IF($P40="Y",$E40&amp;", "&amp;$F40,IF(INDIRECT("brand_form!L"&amp;ROW())="","",INDIRECT("brand_form!L"&amp;ROW()))))</f>
        <v/>
      </c>
      <c r="R40" s="25">
        <f>IF(INDIRECT("brand_form!A"&amp;ROW())="","",IF(IF(INDIRECT("brand_form!Q"&amp;ROW())="","",INDIRECT("brand_form!Q"&amp;ROW()))="Yes","Y",IF(IF(INDIRECT("brand_form!Q"&amp;ROW())="","",INDIRECT("brand_form!Q"&amp;ROW()))="No","N",IF(IF(INDIRECT("brand_form!Q"&amp;ROW())="","",INDIRECT("brand_form!Q"&amp;ROW()))="Not sure","unsure",""))))</f>
        <v/>
      </c>
      <c r="S40" s="25">
        <f>IF(INDIRECT("brand_form!A"&amp;ROW())="","",IF(IF(INDIRECT("brand_form!R"&amp;ROW())="","",INDIRECT("brand_form!R"&amp;ROW()))="Yes","Y",IF(IF(INDIRECT("brand_form!R"&amp;ROW())="","",INDIRECT("brand_form!R"&amp;ROW()))="No","N",IF(IF(INDIRECT("brand_form!R"&amp;ROW())="","",INDIRECT("brand_form!R"&amp;ROW()))="Not sure","unsure",""))))</f>
        <v/>
      </c>
      <c r="T40" s="25">
        <f>IF(INDIRECT("brand_form!A"&amp;ROW())="","",IF(IF(INDIRECT("brand_form!S"&amp;ROW())="","",INDIRECT("brand_form!S"&amp;ROW()))="Yes","Y",IF(IF(INDIRECT("brand_form!S"&amp;ROW())="","",INDIRECT("brand_form!S"&amp;ROW()))="No","N",IF(IF(INDIRECT("brand_form!S"&amp;ROW())="","",INDIRECT("brand_form!S"&amp;ROW()))="Not sure","unsure",""))))</f>
        <v/>
      </c>
      <c r="U40" s="25">
        <f>IF(INDIRECT("brand_form!A"&amp;ROW())="","",IF(IF(INDIRECT("brand_form!T"&amp;ROW())="","",INDIRECT("brand_form!T"&amp;ROW()))="Yes","Y",IF(IF(INDIRECT("brand_form!T"&amp;ROW())="","",INDIRECT("brand_form!T"&amp;ROW()))="No","N",IF(IF(INDIRECT("brand_form!T"&amp;ROW())="","",INDIRECT("brand_form!T"&amp;ROW()))="Not sure","unsure",""))))</f>
        <v/>
      </c>
      <c r="V40" s="25">
        <f>IF(INDIRECT("brand_form!A"&amp;ROW())="","",IF(IF(INDIRECT("brand_form!U"&amp;ROW())="","",INDIRECT("brand_form!U"&amp;ROW()))="Yes","Y",IF(IF(INDIRECT("brand_form!U"&amp;ROW())="","",INDIRECT("brand_form!U"&amp;ROW()))="No","N",IF(IF(INDIRECT("brand_form!U"&amp;ROW())="","",INDIRECT("brand_form!U"&amp;ROW()))="Not sure","unsure",""))))</f>
        <v/>
      </c>
      <c r="W40" s="25">
        <f>IF(INDIRECT("brand_form!A"&amp;ROW())="","",IF(IF(INDIRECT("brand_form!V"&amp;ROW())="","",INDIRECT("brand_form!V"&amp;ROW()))="Yes","Y",IF(IF(INDIRECT("brand_form!V"&amp;ROW())="","",INDIRECT("brand_form!V"&amp;ROW()))="No","N",IF(IF(INDIRECT("brand_form!V"&amp;ROW())="","",INDIRECT("brand_form!V"&amp;ROW()))="Not sure","unsure",""))))</f>
        <v/>
      </c>
      <c r="X40" s="25">
        <f>IF(INDIRECT("brand_form!A"&amp;ROW())="","",IF(INDIRECT("brand_form!W"&amp;ROW())="","",INDIRECT("brand_form!W"&amp;ROW())))</f>
        <v/>
      </c>
      <c r="Y40" s="25">
        <f>IF(INDIRECT("brand_form!A"&amp;ROW())="","",IF(IF(INDIRECT("brand_form!X"&amp;ROW())="","",INDIRECT("brand_form!X"&amp;ROW()))&lt;&gt;"","Y",""))</f>
        <v/>
      </c>
      <c r="Z40" s="25">
        <f>IF(INDIRECT("brand_form!A"&amp;ROW())="","",IF(INDIRECT("brand_form!Y"&amp;ROW())="","",INDIRECT("brand_form!Y"&amp;ROW())))</f>
        <v/>
      </c>
      <c r="AA40" s="25">
        <f>IF(INDIRECT("brand_form!A"&amp;ROW())="","","founder")</f>
        <v/>
      </c>
    </row>
    <row r="41">
      <c r="A41" s="25">
        <f>IF(INDIRECT("brand_form!A"&amp;ROW())="","",TEXT(INDIRECT("brand_form!A"&amp;ROW()),"yyyy-mm-dd""T""hh:mm:ss"))</f>
        <v/>
      </c>
      <c r="B41" s="25">
        <f>IF(INDIRECT("brand_form!A"&amp;ROW())="","",config!$B$35)</f>
        <v/>
      </c>
      <c r="C41" s="25">
        <f>IF(INDIRECT("brand_form!A"&amp;ROW())="","",IF(INDIRECT("brand_form!B"&amp;ROW())="","",INDIRECT("brand_form!B"&amp;ROW())))</f>
        <v/>
      </c>
      <c r="D41" s="25">
        <f>IF(INDIRECT("brand_form!A"&amp;ROW())="","",IF(IF(INDIRECT("brand_form!C"&amp;ROW())="","",INDIRECT("brand_form!C"&amp;ROW()))="","",IF(LEFT(LOWER(IF(INDIRECT("brand_form!C"&amp;ROW())="","",INDIRECT("brand_form!C"&amp;ROW()))),4)="http",IF(INDIRECT("brand_form!C"&amp;ROW())="","",INDIRECT("brand_form!C"&amp;ROW())),"https://"&amp;IF(INDIRECT("brand_form!C"&amp;ROW())="","",INDIRECT("brand_form!C"&amp;ROW())))))</f>
        <v/>
      </c>
      <c r="E41" s="25">
        <f>IF(INDIRECT("brand_form!A"&amp;ROW())="","",IF(INDIRECT("brand_form!G"&amp;ROW())="","",INDIRECT("brand_form!G"&amp;ROW())))</f>
        <v/>
      </c>
      <c r="F41" s="25">
        <f>IF(INDIRECT("brand_form!A"&amp;ROW())="","",IF(INDIRECT("brand_form!H"&amp;ROW())="","",INDIRECT("brand_form!H"&amp;ROW())))</f>
        <v/>
      </c>
      <c r="G41" s="25">
        <f>IF(INDIRECT("brand_form!A"&amp;ROW())="","",IF(INDIRECT("brand_form!I"&amp;ROW())="","",INDIRECT("brand_form!I"&amp;ROW())))</f>
        <v/>
      </c>
      <c r="H41" s="25">
        <f>IF(INDIRECT("brand_form!A"&amp;ROW())="","",IF(INDIRECT("brand_form!J"&amp;ROW())="","",INDIRECT("brand_form!J"&amp;ROW())))</f>
        <v/>
      </c>
      <c r="I41" s="25">
        <f>IF(INDIRECT("brand_form!A"&amp;ROW())="","",IF(INDIRECT("brand_form!D"&amp;ROW())="","",INDIRECT("brand_form!D"&amp;ROW())))</f>
        <v/>
      </c>
      <c r="J4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1" s="25">
        <f>IF(INDIRECT("brand_form!A"&amp;ROW())="","",IF(INDIRECT("brand_form!F"&amp;ROW())="","",INDIRECT("brand_form!F"&amp;ROW())))</f>
        <v/>
      </c>
      <c r="L41" s="25">
        <f>IF(INDIRECT("brand_form!A"&amp;ROW())="","",IF(INDIRECT("brand_form!M"&amp;ROW())="","",INDIRECT("brand_form!M"&amp;ROW())))</f>
        <v/>
      </c>
      <c r="M41" s="25">
        <f>IF(INDIRECT("brand_form!A"&amp;ROW())="","",IF(IF(INDIRECT("brand_form!N"&amp;ROW())="","",INDIRECT("brand_form!N"&amp;ROW()))="","",IF(LEFT(LOWER(IF(INDIRECT("brand_form!N"&amp;ROW())="","",INDIRECT("brand_form!N"&amp;ROW()))),4)="http",IF(INDIRECT("brand_form!N"&amp;ROW())="","",INDIRECT("brand_form!N"&amp;ROW())),"https://"&amp;IF(INDIRECT("brand_form!N"&amp;ROW())="","",INDIRECT("brand_form!N"&amp;ROW())))))</f>
        <v/>
      </c>
      <c r="N41" s="25">
        <f>IF(INDIRECT("brand_form!A"&amp;ROW())="","",IF(IF(INDIRECT("brand_form!O"&amp;ROW())="","",INDIRECT("brand_form!O"&amp;ROW()))="Yes","Y",IF(IF(INDIRECT("brand_form!O"&amp;ROW())="","",INDIRECT("brand_form!O"&amp;ROW()))="No","N","")))</f>
        <v/>
      </c>
      <c r="O4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1" s="25">
        <f>IF(INDIRECT("brand_form!A"&amp;ROW())="","",IF(IF(INDIRECT("brand_form!K"&amp;ROW())="","",INDIRECT("brand_form!K"&amp;ROW()))="I do","Y",IF(IF(INDIRECT("brand_form!K"&amp;ROW())="","",INDIRECT("brand_form!K"&amp;ROW()))="Someone else","N","")))</f>
        <v/>
      </c>
      <c r="Q41" s="25">
        <f>IF(INDIRECT("brand_form!A"&amp;ROW())="","",IF($P41="Y",$E41&amp;", "&amp;$F41,IF(INDIRECT("brand_form!L"&amp;ROW())="","",INDIRECT("brand_form!L"&amp;ROW()))))</f>
        <v/>
      </c>
      <c r="R41" s="25">
        <f>IF(INDIRECT("brand_form!A"&amp;ROW())="","",IF(IF(INDIRECT("brand_form!Q"&amp;ROW())="","",INDIRECT("brand_form!Q"&amp;ROW()))="Yes","Y",IF(IF(INDIRECT("brand_form!Q"&amp;ROW())="","",INDIRECT("brand_form!Q"&amp;ROW()))="No","N",IF(IF(INDIRECT("brand_form!Q"&amp;ROW())="","",INDIRECT("brand_form!Q"&amp;ROW()))="Not sure","unsure",""))))</f>
        <v/>
      </c>
      <c r="S41" s="25">
        <f>IF(INDIRECT("brand_form!A"&amp;ROW())="","",IF(IF(INDIRECT("brand_form!R"&amp;ROW())="","",INDIRECT("brand_form!R"&amp;ROW()))="Yes","Y",IF(IF(INDIRECT("brand_form!R"&amp;ROW())="","",INDIRECT("brand_form!R"&amp;ROW()))="No","N",IF(IF(INDIRECT("brand_form!R"&amp;ROW())="","",INDIRECT("brand_form!R"&amp;ROW()))="Not sure","unsure",""))))</f>
        <v/>
      </c>
      <c r="T41" s="25">
        <f>IF(INDIRECT("brand_form!A"&amp;ROW())="","",IF(IF(INDIRECT("brand_form!S"&amp;ROW())="","",INDIRECT("brand_form!S"&amp;ROW()))="Yes","Y",IF(IF(INDIRECT("brand_form!S"&amp;ROW())="","",INDIRECT("brand_form!S"&amp;ROW()))="No","N",IF(IF(INDIRECT("brand_form!S"&amp;ROW())="","",INDIRECT("brand_form!S"&amp;ROW()))="Not sure","unsure",""))))</f>
        <v/>
      </c>
      <c r="U41" s="25">
        <f>IF(INDIRECT("brand_form!A"&amp;ROW())="","",IF(IF(INDIRECT("brand_form!T"&amp;ROW())="","",INDIRECT("brand_form!T"&amp;ROW()))="Yes","Y",IF(IF(INDIRECT("brand_form!T"&amp;ROW())="","",INDIRECT("brand_form!T"&amp;ROW()))="No","N",IF(IF(INDIRECT("brand_form!T"&amp;ROW())="","",INDIRECT("brand_form!T"&amp;ROW()))="Not sure","unsure",""))))</f>
        <v/>
      </c>
      <c r="V41" s="25">
        <f>IF(INDIRECT("brand_form!A"&amp;ROW())="","",IF(IF(INDIRECT("brand_form!U"&amp;ROW())="","",INDIRECT("brand_form!U"&amp;ROW()))="Yes","Y",IF(IF(INDIRECT("brand_form!U"&amp;ROW())="","",INDIRECT("brand_form!U"&amp;ROW()))="No","N",IF(IF(INDIRECT("brand_form!U"&amp;ROW())="","",INDIRECT("brand_form!U"&amp;ROW()))="Not sure","unsure",""))))</f>
        <v/>
      </c>
      <c r="W41" s="25">
        <f>IF(INDIRECT("brand_form!A"&amp;ROW())="","",IF(IF(INDIRECT("brand_form!V"&amp;ROW())="","",INDIRECT("brand_form!V"&amp;ROW()))="Yes","Y",IF(IF(INDIRECT("brand_form!V"&amp;ROW())="","",INDIRECT("brand_form!V"&amp;ROW()))="No","N",IF(IF(INDIRECT("brand_form!V"&amp;ROW())="","",INDIRECT("brand_form!V"&amp;ROW()))="Not sure","unsure",""))))</f>
        <v/>
      </c>
      <c r="X41" s="25">
        <f>IF(INDIRECT("brand_form!A"&amp;ROW())="","",IF(INDIRECT("brand_form!W"&amp;ROW())="","",INDIRECT("brand_form!W"&amp;ROW())))</f>
        <v/>
      </c>
      <c r="Y41" s="25">
        <f>IF(INDIRECT("brand_form!A"&amp;ROW())="","",IF(IF(INDIRECT("brand_form!X"&amp;ROW())="","",INDIRECT("brand_form!X"&amp;ROW()))&lt;&gt;"","Y",""))</f>
        <v/>
      </c>
      <c r="Z41" s="25">
        <f>IF(INDIRECT("brand_form!A"&amp;ROW())="","",IF(INDIRECT("brand_form!Y"&amp;ROW())="","",INDIRECT("brand_form!Y"&amp;ROW())))</f>
        <v/>
      </c>
      <c r="AA41" s="25">
        <f>IF(INDIRECT("brand_form!A"&amp;ROW())="","","founder")</f>
        <v/>
      </c>
    </row>
    <row r="42">
      <c r="A42" s="25">
        <f>IF(INDIRECT("brand_form!A"&amp;ROW())="","",TEXT(INDIRECT("brand_form!A"&amp;ROW()),"yyyy-mm-dd""T""hh:mm:ss"))</f>
        <v/>
      </c>
      <c r="B42" s="25">
        <f>IF(INDIRECT("brand_form!A"&amp;ROW())="","",config!$B$35)</f>
        <v/>
      </c>
      <c r="C42" s="25">
        <f>IF(INDIRECT("brand_form!A"&amp;ROW())="","",IF(INDIRECT("brand_form!B"&amp;ROW())="","",INDIRECT("brand_form!B"&amp;ROW())))</f>
        <v/>
      </c>
      <c r="D42" s="25">
        <f>IF(INDIRECT("brand_form!A"&amp;ROW())="","",IF(IF(INDIRECT("brand_form!C"&amp;ROW())="","",INDIRECT("brand_form!C"&amp;ROW()))="","",IF(LEFT(LOWER(IF(INDIRECT("brand_form!C"&amp;ROW())="","",INDIRECT("brand_form!C"&amp;ROW()))),4)="http",IF(INDIRECT("brand_form!C"&amp;ROW())="","",INDIRECT("brand_form!C"&amp;ROW())),"https://"&amp;IF(INDIRECT("brand_form!C"&amp;ROW())="","",INDIRECT("brand_form!C"&amp;ROW())))))</f>
        <v/>
      </c>
      <c r="E42" s="25">
        <f>IF(INDIRECT("brand_form!A"&amp;ROW())="","",IF(INDIRECT("brand_form!G"&amp;ROW())="","",INDIRECT("brand_form!G"&amp;ROW())))</f>
        <v/>
      </c>
      <c r="F42" s="25">
        <f>IF(INDIRECT("brand_form!A"&amp;ROW())="","",IF(INDIRECT("brand_form!H"&amp;ROW())="","",INDIRECT("brand_form!H"&amp;ROW())))</f>
        <v/>
      </c>
      <c r="G42" s="25">
        <f>IF(INDIRECT("brand_form!A"&amp;ROW())="","",IF(INDIRECT("brand_form!I"&amp;ROW())="","",INDIRECT("brand_form!I"&amp;ROW())))</f>
        <v/>
      </c>
      <c r="H42" s="25">
        <f>IF(INDIRECT("brand_form!A"&amp;ROW())="","",IF(INDIRECT("brand_form!J"&amp;ROW())="","",INDIRECT("brand_form!J"&amp;ROW())))</f>
        <v/>
      </c>
      <c r="I42" s="25">
        <f>IF(INDIRECT("brand_form!A"&amp;ROW())="","",IF(INDIRECT("brand_form!D"&amp;ROW())="","",INDIRECT("brand_form!D"&amp;ROW())))</f>
        <v/>
      </c>
      <c r="J4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2" s="25">
        <f>IF(INDIRECT("brand_form!A"&amp;ROW())="","",IF(INDIRECT("brand_form!F"&amp;ROW())="","",INDIRECT("brand_form!F"&amp;ROW())))</f>
        <v/>
      </c>
      <c r="L42" s="25">
        <f>IF(INDIRECT("brand_form!A"&amp;ROW())="","",IF(INDIRECT("brand_form!M"&amp;ROW())="","",INDIRECT("brand_form!M"&amp;ROW())))</f>
        <v/>
      </c>
      <c r="M42" s="25">
        <f>IF(INDIRECT("brand_form!A"&amp;ROW())="","",IF(IF(INDIRECT("brand_form!N"&amp;ROW())="","",INDIRECT("brand_form!N"&amp;ROW()))="","",IF(LEFT(LOWER(IF(INDIRECT("brand_form!N"&amp;ROW())="","",INDIRECT("brand_form!N"&amp;ROW()))),4)="http",IF(INDIRECT("brand_form!N"&amp;ROW())="","",INDIRECT("brand_form!N"&amp;ROW())),"https://"&amp;IF(INDIRECT("brand_form!N"&amp;ROW())="","",INDIRECT("brand_form!N"&amp;ROW())))))</f>
        <v/>
      </c>
      <c r="N42" s="25">
        <f>IF(INDIRECT("brand_form!A"&amp;ROW())="","",IF(IF(INDIRECT("brand_form!O"&amp;ROW())="","",INDIRECT("brand_form!O"&amp;ROW()))="Yes","Y",IF(IF(INDIRECT("brand_form!O"&amp;ROW())="","",INDIRECT("brand_form!O"&amp;ROW()))="No","N","")))</f>
        <v/>
      </c>
      <c r="O4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2" s="25">
        <f>IF(INDIRECT("brand_form!A"&amp;ROW())="","",IF(IF(INDIRECT("brand_form!K"&amp;ROW())="","",INDIRECT("brand_form!K"&amp;ROW()))="I do","Y",IF(IF(INDIRECT("brand_form!K"&amp;ROW())="","",INDIRECT("brand_form!K"&amp;ROW()))="Someone else","N","")))</f>
        <v/>
      </c>
      <c r="Q42" s="25">
        <f>IF(INDIRECT("brand_form!A"&amp;ROW())="","",IF($P42="Y",$E42&amp;", "&amp;$F42,IF(INDIRECT("brand_form!L"&amp;ROW())="","",INDIRECT("brand_form!L"&amp;ROW()))))</f>
        <v/>
      </c>
      <c r="R42" s="25">
        <f>IF(INDIRECT("brand_form!A"&amp;ROW())="","",IF(IF(INDIRECT("brand_form!Q"&amp;ROW())="","",INDIRECT("brand_form!Q"&amp;ROW()))="Yes","Y",IF(IF(INDIRECT("brand_form!Q"&amp;ROW())="","",INDIRECT("brand_form!Q"&amp;ROW()))="No","N",IF(IF(INDIRECT("brand_form!Q"&amp;ROW())="","",INDIRECT("brand_form!Q"&amp;ROW()))="Not sure","unsure",""))))</f>
        <v/>
      </c>
      <c r="S42" s="25">
        <f>IF(INDIRECT("brand_form!A"&amp;ROW())="","",IF(IF(INDIRECT("brand_form!R"&amp;ROW())="","",INDIRECT("brand_form!R"&amp;ROW()))="Yes","Y",IF(IF(INDIRECT("brand_form!R"&amp;ROW())="","",INDIRECT("brand_form!R"&amp;ROW()))="No","N",IF(IF(INDIRECT("brand_form!R"&amp;ROW())="","",INDIRECT("brand_form!R"&amp;ROW()))="Not sure","unsure",""))))</f>
        <v/>
      </c>
      <c r="T42" s="25">
        <f>IF(INDIRECT("brand_form!A"&amp;ROW())="","",IF(IF(INDIRECT("brand_form!S"&amp;ROW())="","",INDIRECT("brand_form!S"&amp;ROW()))="Yes","Y",IF(IF(INDIRECT("brand_form!S"&amp;ROW())="","",INDIRECT("brand_form!S"&amp;ROW()))="No","N",IF(IF(INDIRECT("brand_form!S"&amp;ROW())="","",INDIRECT("brand_form!S"&amp;ROW()))="Not sure","unsure",""))))</f>
        <v/>
      </c>
      <c r="U42" s="25">
        <f>IF(INDIRECT("brand_form!A"&amp;ROW())="","",IF(IF(INDIRECT("brand_form!T"&amp;ROW())="","",INDIRECT("brand_form!T"&amp;ROW()))="Yes","Y",IF(IF(INDIRECT("brand_form!T"&amp;ROW())="","",INDIRECT("brand_form!T"&amp;ROW()))="No","N",IF(IF(INDIRECT("brand_form!T"&amp;ROW())="","",INDIRECT("brand_form!T"&amp;ROW()))="Not sure","unsure",""))))</f>
        <v/>
      </c>
      <c r="V42" s="25">
        <f>IF(INDIRECT("brand_form!A"&amp;ROW())="","",IF(IF(INDIRECT("brand_form!U"&amp;ROW())="","",INDIRECT("brand_form!U"&amp;ROW()))="Yes","Y",IF(IF(INDIRECT("brand_form!U"&amp;ROW())="","",INDIRECT("brand_form!U"&amp;ROW()))="No","N",IF(IF(INDIRECT("brand_form!U"&amp;ROW())="","",INDIRECT("brand_form!U"&amp;ROW()))="Not sure","unsure",""))))</f>
        <v/>
      </c>
      <c r="W42" s="25">
        <f>IF(INDIRECT("brand_form!A"&amp;ROW())="","",IF(IF(INDIRECT("brand_form!V"&amp;ROW())="","",INDIRECT("brand_form!V"&amp;ROW()))="Yes","Y",IF(IF(INDIRECT("brand_form!V"&amp;ROW())="","",INDIRECT("brand_form!V"&amp;ROW()))="No","N",IF(IF(INDIRECT("brand_form!V"&amp;ROW())="","",INDIRECT("brand_form!V"&amp;ROW()))="Not sure","unsure",""))))</f>
        <v/>
      </c>
      <c r="X42" s="25">
        <f>IF(INDIRECT("brand_form!A"&amp;ROW())="","",IF(INDIRECT("brand_form!W"&amp;ROW())="","",INDIRECT("brand_form!W"&amp;ROW())))</f>
        <v/>
      </c>
      <c r="Y42" s="25">
        <f>IF(INDIRECT("brand_form!A"&amp;ROW())="","",IF(IF(INDIRECT("brand_form!X"&amp;ROW())="","",INDIRECT("brand_form!X"&amp;ROW()))&lt;&gt;"","Y",""))</f>
        <v/>
      </c>
      <c r="Z42" s="25">
        <f>IF(INDIRECT("brand_form!A"&amp;ROW())="","",IF(INDIRECT("brand_form!Y"&amp;ROW())="","",INDIRECT("brand_form!Y"&amp;ROW())))</f>
        <v/>
      </c>
      <c r="AA42" s="25">
        <f>IF(INDIRECT("brand_form!A"&amp;ROW())="","","founder")</f>
        <v/>
      </c>
    </row>
    <row r="43">
      <c r="A43" s="25">
        <f>IF(INDIRECT("brand_form!A"&amp;ROW())="","",TEXT(INDIRECT("brand_form!A"&amp;ROW()),"yyyy-mm-dd""T""hh:mm:ss"))</f>
        <v/>
      </c>
      <c r="B43" s="25">
        <f>IF(INDIRECT("brand_form!A"&amp;ROW())="","",config!$B$35)</f>
        <v/>
      </c>
      <c r="C43" s="25">
        <f>IF(INDIRECT("brand_form!A"&amp;ROW())="","",IF(INDIRECT("brand_form!B"&amp;ROW())="","",INDIRECT("brand_form!B"&amp;ROW())))</f>
        <v/>
      </c>
      <c r="D43" s="25">
        <f>IF(INDIRECT("brand_form!A"&amp;ROW())="","",IF(IF(INDIRECT("brand_form!C"&amp;ROW())="","",INDIRECT("brand_form!C"&amp;ROW()))="","",IF(LEFT(LOWER(IF(INDIRECT("brand_form!C"&amp;ROW())="","",INDIRECT("brand_form!C"&amp;ROW()))),4)="http",IF(INDIRECT("brand_form!C"&amp;ROW())="","",INDIRECT("brand_form!C"&amp;ROW())),"https://"&amp;IF(INDIRECT("brand_form!C"&amp;ROW())="","",INDIRECT("brand_form!C"&amp;ROW())))))</f>
        <v/>
      </c>
      <c r="E43" s="25">
        <f>IF(INDIRECT("brand_form!A"&amp;ROW())="","",IF(INDIRECT("brand_form!G"&amp;ROW())="","",INDIRECT("brand_form!G"&amp;ROW())))</f>
        <v/>
      </c>
      <c r="F43" s="25">
        <f>IF(INDIRECT("brand_form!A"&amp;ROW())="","",IF(INDIRECT("brand_form!H"&amp;ROW())="","",INDIRECT("brand_form!H"&amp;ROW())))</f>
        <v/>
      </c>
      <c r="G43" s="25">
        <f>IF(INDIRECT("brand_form!A"&amp;ROW())="","",IF(INDIRECT("brand_form!I"&amp;ROW())="","",INDIRECT("brand_form!I"&amp;ROW())))</f>
        <v/>
      </c>
      <c r="H43" s="25">
        <f>IF(INDIRECT("brand_form!A"&amp;ROW())="","",IF(INDIRECT("brand_form!J"&amp;ROW())="","",INDIRECT("brand_form!J"&amp;ROW())))</f>
        <v/>
      </c>
      <c r="I43" s="25">
        <f>IF(INDIRECT("brand_form!A"&amp;ROW())="","",IF(INDIRECT("brand_form!D"&amp;ROW())="","",INDIRECT("brand_form!D"&amp;ROW())))</f>
        <v/>
      </c>
      <c r="J4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3" s="25">
        <f>IF(INDIRECT("brand_form!A"&amp;ROW())="","",IF(INDIRECT("brand_form!F"&amp;ROW())="","",INDIRECT("brand_form!F"&amp;ROW())))</f>
        <v/>
      </c>
      <c r="L43" s="25">
        <f>IF(INDIRECT("brand_form!A"&amp;ROW())="","",IF(INDIRECT("brand_form!M"&amp;ROW())="","",INDIRECT("brand_form!M"&amp;ROW())))</f>
        <v/>
      </c>
      <c r="M43" s="25">
        <f>IF(INDIRECT("brand_form!A"&amp;ROW())="","",IF(IF(INDIRECT("brand_form!N"&amp;ROW())="","",INDIRECT("brand_form!N"&amp;ROW()))="","",IF(LEFT(LOWER(IF(INDIRECT("brand_form!N"&amp;ROW())="","",INDIRECT("brand_form!N"&amp;ROW()))),4)="http",IF(INDIRECT("brand_form!N"&amp;ROW())="","",INDIRECT("brand_form!N"&amp;ROW())),"https://"&amp;IF(INDIRECT("brand_form!N"&amp;ROW())="","",INDIRECT("brand_form!N"&amp;ROW())))))</f>
        <v/>
      </c>
      <c r="N43" s="25">
        <f>IF(INDIRECT("brand_form!A"&amp;ROW())="","",IF(IF(INDIRECT("brand_form!O"&amp;ROW())="","",INDIRECT("brand_form!O"&amp;ROW()))="Yes","Y",IF(IF(INDIRECT("brand_form!O"&amp;ROW())="","",INDIRECT("brand_form!O"&amp;ROW()))="No","N","")))</f>
        <v/>
      </c>
      <c r="O4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3" s="25">
        <f>IF(INDIRECT("brand_form!A"&amp;ROW())="","",IF(IF(INDIRECT("brand_form!K"&amp;ROW())="","",INDIRECT("brand_form!K"&amp;ROW()))="I do","Y",IF(IF(INDIRECT("brand_form!K"&amp;ROW())="","",INDIRECT("brand_form!K"&amp;ROW()))="Someone else","N","")))</f>
        <v/>
      </c>
      <c r="Q43" s="25">
        <f>IF(INDIRECT("brand_form!A"&amp;ROW())="","",IF($P43="Y",$E43&amp;", "&amp;$F43,IF(INDIRECT("brand_form!L"&amp;ROW())="","",INDIRECT("brand_form!L"&amp;ROW()))))</f>
        <v/>
      </c>
      <c r="R43" s="25">
        <f>IF(INDIRECT("brand_form!A"&amp;ROW())="","",IF(IF(INDIRECT("brand_form!Q"&amp;ROW())="","",INDIRECT("brand_form!Q"&amp;ROW()))="Yes","Y",IF(IF(INDIRECT("brand_form!Q"&amp;ROW())="","",INDIRECT("brand_form!Q"&amp;ROW()))="No","N",IF(IF(INDIRECT("brand_form!Q"&amp;ROW())="","",INDIRECT("brand_form!Q"&amp;ROW()))="Not sure","unsure",""))))</f>
        <v/>
      </c>
      <c r="S43" s="25">
        <f>IF(INDIRECT("brand_form!A"&amp;ROW())="","",IF(IF(INDIRECT("brand_form!R"&amp;ROW())="","",INDIRECT("brand_form!R"&amp;ROW()))="Yes","Y",IF(IF(INDIRECT("brand_form!R"&amp;ROW())="","",INDIRECT("brand_form!R"&amp;ROW()))="No","N",IF(IF(INDIRECT("brand_form!R"&amp;ROW())="","",INDIRECT("brand_form!R"&amp;ROW()))="Not sure","unsure",""))))</f>
        <v/>
      </c>
      <c r="T43" s="25">
        <f>IF(INDIRECT("brand_form!A"&amp;ROW())="","",IF(IF(INDIRECT("brand_form!S"&amp;ROW())="","",INDIRECT("brand_form!S"&amp;ROW()))="Yes","Y",IF(IF(INDIRECT("brand_form!S"&amp;ROW())="","",INDIRECT("brand_form!S"&amp;ROW()))="No","N",IF(IF(INDIRECT("brand_form!S"&amp;ROW())="","",INDIRECT("brand_form!S"&amp;ROW()))="Not sure","unsure",""))))</f>
        <v/>
      </c>
      <c r="U43" s="25">
        <f>IF(INDIRECT("brand_form!A"&amp;ROW())="","",IF(IF(INDIRECT("brand_form!T"&amp;ROW())="","",INDIRECT("brand_form!T"&amp;ROW()))="Yes","Y",IF(IF(INDIRECT("brand_form!T"&amp;ROW())="","",INDIRECT("brand_form!T"&amp;ROW()))="No","N",IF(IF(INDIRECT("brand_form!T"&amp;ROW())="","",INDIRECT("brand_form!T"&amp;ROW()))="Not sure","unsure",""))))</f>
        <v/>
      </c>
      <c r="V43" s="25">
        <f>IF(INDIRECT("brand_form!A"&amp;ROW())="","",IF(IF(INDIRECT("brand_form!U"&amp;ROW())="","",INDIRECT("brand_form!U"&amp;ROW()))="Yes","Y",IF(IF(INDIRECT("brand_form!U"&amp;ROW())="","",INDIRECT("brand_form!U"&amp;ROW()))="No","N",IF(IF(INDIRECT("brand_form!U"&amp;ROW())="","",INDIRECT("brand_form!U"&amp;ROW()))="Not sure","unsure",""))))</f>
        <v/>
      </c>
      <c r="W43" s="25">
        <f>IF(INDIRECT("brand_form!A"&amp;ROW())="","",IF(IF(INDIRECT("brand_form!V"&amp;ROW())="","",INDIRECT("brand_form!V"&amp;ROW()))="Yes","Y",IF(IF(INDIRECT("brand_form!V"&amp;ROW())="","",INDIRECT("brand_form!V"&amp;ROW()))="No","N",IF(IF(INDIRECT("brand_form!V"&amp;ROW())="","",INDIRECT("brand_form!V"&amp;ROW()))="Not sure","unsure",""))))</f>
        <v/>
      </c>
      <c r="X43" s="25">
        <f>IF(INDIRECT("brand_form!A"&amp;ROW())="","",IF(INDIRECT("brand_form!W"&amp;ROW())="","",INDIRECT("brand_form!W"&amp;ROW())))</f>
        <v/>
      </c>
      <c r="Y43" s="25">
        <f>IF(INDIRECT("brand_form!A"&amp;ROW())="","",IF(IF(INDIRECT("brand_form!X"&amp;ROW())="","",INDIRECT("brand_form!X"&amp;ROW()))&lt;&gt;"","Y",""))</f>
        <v/>
      </c>
      <c r="Z43" s="25">
        <f>IF(INDIRECT("brand_form!A"&amp;ROW())="","",IF(INDIRECT("brand_form!Y"&amp;ROW())="","",INDIRECT("brand_form!Y"&amp;ROW())))</f>
        <v/>
      </c>
      <c r="AA43" s="25">
        <f>IF(INDIRECT("brand_form!A"&amp;ROW())="","","founder")</f>
        <v/>
      </c>
    </row>
    <row r="44">
      <c r="A44" s="25">
        <f>IF(INDIRECT("brand_form!A"&amp;ROW())="","",TEXT(INDIRECT("brand_form!A"&amp;ROW()),"yyyy-mm-dd""T""hh:mm:ss"))</f>
        <v/>
      </c>
      <c r="B44" s="25">
        <f>IF(INDIRECT("brand_form!A"&amp;ROW())="","",config!$B$35)</f>
        <v/>
      </c>
      <c r="C44" s="25">
        <f>IF(INDIRECT("brand_form!A"&amp;ROW())="","",IF(INDIRECT("brand_form!B"&amp;ROW())="","",INDIRECT("brand_form!B"&amp;ROW())))</f>
        <v/>
      </c>
      <c r="D44" s="25">
        <f>IF(INDIRECT("brand_form!A"&amp;ROW())="","",IF(IF(INDIRECT("brand_form!C"&amp;ROW())="","",INDIRECT("brand_form!C"&amp;ROW()))="","",IF(LEFT(LOWER(IF(INDIRECT("brand_form!C"&amp;ROW())="","",INDIRECT("brand_form!C"&amp;ROW()))),4)="http",IF(INDIRECT("brand_form!C"&amp;ROW())="","",INDIRECT("brand_form!C"&amp;ROW())),"https://"&amp;IF(INDIRECT("brand_form!C"&amp;ROW())="","",INDIRECT("brand_form!C"&amp;ROW())))))</f>
        <v/>
      </c>
      <c r="E44" s="25">
        <f>IF(INDIRECT("brand_form!A"&amp;ROW())="","",IF(INDIRECT("brand_form!G"&amp;ROW())="","",INDIRECT("brand_form!G"&amp;ROW())))</f>
        <v/>
      </c>
      <c r="F44" s="25">
        <f>IF(INDIRECT("brand_form!A"&amp;ROW())="","",IF(INDIRECT("brand_form!H"&amp;ROW())="","",INDIRECT("brand_form!H"&amp;ROW())))</f>
        <v/>
      </c>
      <c r="G44" s="25">
        <f>IF(INDIRECT("brand_form!A"&amp;ROW())="","",IF(INDIRECT("brand_form!I"&amp;ROW())="","",INDIRECT("brand_form!I"&amp;ROW())))</f>
        <v/>
      </c>
      <c r="H44" s="25">
        <f>IF(INDIRECT("brand_form!A"&amp;ROW())="","",IF(INDIRECT("brand_form!J"&amp;ROW())="","",INDIRECT("brand_form!J"&amp;ROW())))</f>
        <v/>
      </c>
      <c r="I44" s="25">
        <f>IF(INDIRECT("brand_form!A"&amp;ROW())="","",IF(INDIRECT("brand_form!D"&amp;ROW())="","",INDIRECT("brand_form!D"&amp;ROW())))</f>
        <v/>
      </c>
      <c r="J4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4" s="25">
        <f>IF(INDIRECT("brand_form!A"&amp;ROW())="","",IF(INDIRECT("brand_form!F"&amp;ROW())="","",INDIRECT("brand_form!F"&amp;ROW())))</f>
        <v/>
      </c>
      <c r="L44" s="25">
        <f>IF(INDIRECT("brand_form!A"&amp;ROW())="","",IF(INDIRECT("brand_form!M"&amp;ROW())="","",INDIRECT("brand_form!M"&amp;ROW())))</f>
        <v/>
      </c>
      <c r="M44" s="25">
        <f>IF(INDIRECT("brand_form!A"&amp;ROW())="","",IF(IF(INDIRECT("brand_form!N"&amp;ROW())="","",INDIRECT("brand_form!N"&amp;ROW()))="","",IF(LEFT(LOWER(IF(INDIRECT("brand_form!N"&amp;ROW())="","",INDIRECT("brand_form!N"&amp;ROW()))),4)="http",IF(INDIRECT("brand_form!N"&amp;ROW())="","",INDIRECT("brand_form!N"&amp;ROW())),"https://"&amp;IF(INDIRECT("brand_form!N"&amp;ROW())="","",INDIRECT("brand_form!N"&amp;ROW())))))</f>
        <v/>
      </c>
      <c r="N44" s="25">
        <f>IF(INDIRECT("brand_form!A"&amp;ROW())="","",IF(IF(INDIRECT("brand_form!O"&amp;ROW())="","",INDIRECT("brand_form!O"&amp;ROW()))="Yes","Y",IF(IF(INDIRECT("brand_form!O"&amp;ROW())="","",INDIRECT("brand_form!O"&amp;ROW()))="No","N","")))</f>
        <v/>
      </c>
      <c r="O4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4" s="25">
        <f>IF(INDIRECT("brand_form!A"&amp;ROW())="","",IF(IF(INDIRECT("brand_form!K"&amp;ROW())="","",INDIRECT("brand_form!K"&amp;ROW()))="I do","Y",IF(IF(INDIRECT("brand_form!K"&amp;ROW())="","",INDIRECT("brand_form!K"&amp;ROW()))="Someone else","N","")))</f>
        <v/>
      </c>
      <c r="Q44" s="25">
        <f>IF(INDIRECT("brand_form!A"&amp;ROW())="","",IF($P44="Y",$E44&amp;", "&amp;$F44,IF(INDIRECT("brand_form!L"&amp;ROW())="","",INDIRECT("brand_form!L"&amp;ROW()))))</f>
        <v/>
      </c>
      <c r="R44" s="25">
        <f>IF(INDIRECT("brand_form!A"&amp;ROW())="","",IF(IF(INDIRECT("brand_form!Q"&amp;ROW())="","",INDIRECT("brand_form!Q"&amp;ROW()))="Yes","Y",IF(IF(INDIRECT("brand_form!Q"&amp;ROW())="","",INDIRECT("brand_form!Q"&amp;ROW()))="No","N",IF(IF(INDIRECT("brand_form!Q"&amp;ROW())="","",INDIRECT("brand_form!Q"&amp;ROW()))="Not sure","unsure",""))))</f>
        <v/>
      </c>
      <c r="S44" s="25">
        <f>IF(INDIRECT("brand_form!A"&amp;ROW())="","",IF(IF(INDIRECT("brand_form!R"&amp;ROW())="","",INDIRECT("brand_form!R"&amp;ROW()))="Yes","Y",IF(IF(INDIRECT("brand_form!R"&amp;ROW())="","",INDIRECT("brand_form!R"&amp;ROW()))="No","N",IF(IF(INDIRECT("brand_form!R"&amp;ROW())="","",INDIRECT("brand_form!R"&amp;ROW()))="Not sure","unsure",""))))</f>
        <v/>
      </c>
      <c r="T44" s="25">
        <f>IF(INDIRECT("brand_form!A"&amp;ROW())="","",IF(IF(INDIRECT("brand_form!S"&amp;ROW())="","",INDIRECT("brand_form!S"&amp;ROW()))="Yes","Y",IF(IF(INDIRECT("brand_form!S"&amp;ROW())="","",INDIRECT("brand_form!S"&amp;ROW()))="No","N",IF(IF(INDIRECT("brand_form!S"&amp;ROW())="","",INDIRECT("brand_form!S"&amp;ROW()))="Not sure","unsure",""))))</f>
        <v/>
      </c>
      <c r="U44" s="25">
        <f>IF(INDIRECT("brand_form!A"&amp;ROW())="","",IF(IF(INDIRECT("brand_form!T"&amp;ROW())="","",INDIRECT("brand_form!T"&amp;ROW()))="Yes","Y",IF(IF(INDIRECT("brand_form!T"&amp;ROW())="","",INDIRECT("brand_form!T"&amp;ROW()))="No","N",IF(IF(INDIRECT("brand_form!T"&amp;ROW())="","",INDIRECT("brand_form!T"&amp;ROW()))="Not sure","unsure",""))))</f>
        <v/>
      </c>
      <c r="V44" s="25">
        <f>IF(INDIRECT("brand_form!A"&amp;ROW())="","",IF(IF(INDIRECT("brand_form!U"&amp;ROW())="","",INDIRECT("brand_form!U"&amp;ROW()))="Yes","Y",IF(IF(INDIRECT("brand_form!U"&amp;ROW())="","",INDIRECT("brand_form!U"&amp;ROW()))="No","N",IF(IF(INDIRECT("brand_form!U"&amp;ROW())="","",INDIRECT("brand_form!U"&amp;ROW()))="Not sure","unsure",""))))</f>
        <v/>
      </c>
      <c r="W44" s="25">
        <f>IF(INDIRECT("brand_form!A"&amp;ROW())="","",IF(IF(INDIRECT("brand_form!V"&amp;ROW())="","",INDIRECT("brand_form!V"&amp;ROW()))="Yes","Y",IF(IF(INDIRECT("brand_form!V"&amp;ROW())="","",INDIRECT("brand_form!V"&amp;ROW()))="No","N",IF(IF(INDIRECT("brand_form!V"&amp;ROW())="","",INDIRECT("brand_form!V"&amp;ROW()))="Not sure","unsure",""))))</f>
        <v/>
      </c>
      <c r="X44" s="25">
        <f>IF(INDIRECT("brand_form!A"&amp;ROW())="","",IF(INDIRECT("brand_form!W"&amp;ROW())="","",INDIRECT("brand_form!W"&amp;ROW())))</f>
        <v/>
      </c>
      <c r="Y44" s="25">
        <f>IF(INDIRECT("brand_form!A"&amp;ROW())="","",IF(IF(INDIRECT("brand_form!X"&amp;ROW())="","",INDIRECT("brand_form!X"&amp;ROW()))&lt;&gt;"","Y",""))</f>
        <v/>
      </c>
      <c r="Z44" s="25">
        <f>IF(INDIRECT("brand_form!A"&amp;ROW())="","",IF(INDIRECT("brand_form!Y"&amp;ROW())="","",INDIRECT("brand_form!Y"&amp;ROW())))</f>
        <v/>
      </c>
      <c r="AA44" s="25">
        <f>IF(INDIRECT("brand_form!A"&amp;ROW())="","","founder")</f>
        <v/>
      </c>
    </row>
    <row r="45">
      <c r="A45" s="25">
        <f>IF(INDIRECT("brand_form!A"&amp;ROW())="","",TEXT(INDIRECT("brand_form!A"&amp;ROW()),"yyyy-mm-dd""T""hh:mm:ss"))</f>
        <v/>
      </c>
      <c r="B45" s="25">
        <f>IF(INDIRECT("brand_form!A"&amp;ROW())="","",config!$B$35)</f>
        <v/>
      </c>
      <c r="C45" s="25">
        <f>IF(INDIRECT("brand_form!A"&amp;ROW())="","",IF(INDIRECT("brand_form!B"&amp;ROW())="","",INDIRECT("brand_form!B"&amp;ROW())))</f>
        <v/>
      </c>
      <c r="D45" s="25">
        <f>IF(INDIRECT("brand_form!A"&amp;ROW())="","",IF(IF(INDIRECT("brand_form!C"&amp;ROW())="","",INDIRECT("brand_form!C"&amp;ROW()))="","",IF(LEFT(LOWER(IF(INDIRECT("brand_form!C"&amp;ROW())="","",INDIRECT("brand_form!C"&amp;ROW()))),4)="http",IF(INDIRECT("brand_form!C"&amp;ROW())="","",INDIRECT("brand_form!C"&amp;ROW())),"https://"&amp;IF(INDIRECT("brand_form!C"&amp;ROW())="","",INDIRECT("brand_form!C"&amp;ROW())))))</f>
        <v/>
      </c>
      <c r="E45" s="25">
        <f>IF(INDIRECT("brand_form!A"&amp;ROW())="","",IF(INDIRECT("brand_form!G"&amp;ROW())="","",INDIRECT("brand_form!G"&amp;ROW())))</f>
        <v/>
      </c>
      <c r="F45" s="25">
        <f>IF(INDIRECT("brand_form!A"&amp;ROW())="","",IF(INDIRECT("brand_form!H"&amp;ROW())="","",INDIRECT("brand_form!H"&amp;ROW())))</f>
        <v/>
      </c>
      <c r="G45" s="25">
        <f>IF(INDIRECT("brand_form!A"&amp;ROW())="","",IF(INDIRECT("brand_form!I"&amp;ROW())="","",INDIRECT("brand_form!I"&amp;ROW())))</f>
        <v/>
      </c>
      <c r="H45" s="25">
        <f>IF(INDIRECT("brand_form!A"&amp;ROW())="","",IF(INDIRECT("brand_form!J"&amp;ROW())="","",INDIRECT("brand_form!J"&amp;ROW())))</f>
        <v/>
      </c>
      <c r="I45" s="25">
        <f>IF(INDIRECT("brand_form!A"&amp;ROW())="","",IF(INDIRECT("brand_form!D"&amp;ROW())="","",INDIRECT("brand_form!D"&amp;ROW())))</f>
        <v/>
      </c>
      <c r="J4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5" s="25">
        <f>IF(INDIRECT("brand_form!A"&amp;ROW())="","",IF(INDIRECT("brand_form!F"&amp;ROW())="","",INDIRECT("brand_form!F"&amp;ROW())))</f>
        <v/>
      </c>
      <c r="L45" s="25">
        <f>IF(INDIRECT("brand_form!A"&amp;ROW())="","",IF(INDIRECT("brand_form!M"&amp;ROW())="","",INDIRECT("brand_form!M"&amp;ROW())))</f>
        <v/>
      </c>
      <c r="M45" s="25">
        <f>IF(INDIRECT("brand_form!A"&amp;ROW())="","",IF(IF(INDIRECT("brand_form!N"&amp;ROW())="","",INDIRECT("brand_form!N"&amp;ROW()))="","",IF(LEFT(LOWER(IF(INDIRECT("brand_form!N"&amp;ROW())="","",INDIRECT("brand_form!N"&amp;ROW()))),4)="http",IF(INDIRECT("brand_form!N"&amp;ROW())="","",INDIRECT("brand_form!N"&amp;ROW())),"https://"&amp;IF(INDIRECT("brand_form!N"&amp;ROW())="","",INDIRECT("brand_form!N"&amp;ROW())))))</f>
        <v/>
      </c>
      <c r="N45" s="25">
        <f>IF(INDIRECT("brand_form!A"&amp;ROW())="","",IF(IF(INDIRECT("brand_form!O"&amp;ROW())="","",INDIRECT("brand_form!O"&amp;ROW()))="Yes","Y",IF(IF(INDIRECT("brand_form!O"&amp;ROW())="","",INDIRECT("brand_form!O"&amp;ROW()))="No","N","")))</f>
        <v/>
      </c>
      <c r="O4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5" s="25">
        <f>IF(INDIRECT("brand_form!A"&amp;ROW())="","",IF(IF(INDIRECT("brand_form!K"&amp;ROW())="","",INDIRECT("brand_form!K"&amp;ROW()))="I do","Y",IF(IF(INDIRECT("brand_form!K"&amp;ROW())="","",INDIRECT("brand_form!K"&amp;ROW()))="Someone else","N","")))</f>
        <v/>
      </c>
      <c r="Q45" s="25">
        <f>IF(INDIRECT("brand_form!A"&amp;ROW())="","",IF($P45="Y",$E45&amp;", "&amp;$F45,IF(INDIRECT("brand_form!L"&amp;ROW())="","",INDIRECT("brand_form!L"&amp;ROW()))))</f>
        <v/>
      </c>
      <c r="R45" s="25">
        <f>IF(INDIRECT("brand_form!A"&amp;ROW())="","",IF(IF(INDIRECT("brand_form!Q"&amp;ROW())="","",INDIRECT("brand_form!Q"&amp;ROW()))="Yes","Y",IF(IF(INDIRECT("brand_form!Q"&amp;ROW())="","",INDIRECT("brand_form!Q"&amp;ROW()))="No","N",IF(IF(INDIRECT("brand_form!Q"&amp;ROW())="","",INDIRECT("brand_form!Q"&amp;ROW()))="Not sure","unsure",""))))</f>
        <v/>
      </c>
      <c r="S45" s="25">
        <f>IF(INDIRECT("brand_form!A"&amp;ROW())="","",IF(IF(INDIRECT("brand_form!R"&amp;ROW())="","",INDIRECT("brand_form!R"&amp;ROW()))="Yes","Y",IF(IF(INDIRECT("brand_form!R"&amp;ROW())="","",INDIRECT("brand_form!R"&amp;ROW()))="No","N",IF(IF(INDIRECT("brand_form!R"&amp;ROW())="","",INDIRECT("brand_form!R"&amp;ROW()))="Not sure","unsure",""))))</f>
        <v/>
      </c>
      <c r="T45" s="25">
        <f>IF(INDIRECT("brand_form!A"&amp;ROW())="","",IF(IF(INDIRECT("brand_form!S"&amp;ROW())="","",INDIRECT("brand_form!S"&amp;ROW()))="Yes","Y",IF(IF(INDIRECT("brand_form!S"&amp;ROW())="","",INDIRECT("brand_form!S"&amp;ROW()))="No","N",IF(IF(INDIRECT("brand_form!S"&amp;ROW())="","",INDIRECT("brand_form!S"&amp;ROW()))="Not sure","unsure",""))))</f>
        <v/>
      </c>
      <c r="U45" s="25">
        <f>IF(INDIRECT("brand_form!A"&amp;ROW())="","",IF(IF(INDIRECT("brand_form!T"&amp;ROW())="","",INDIRECT("brand_form!T"&amp;ROW()))="Yes","Y",IF(IF(INDIRECT("brand_form!T"&amp;ROW())="","",INDIRECT("brand_form!T"&amp;ROW()))="No","N",IF(IF(INDIRECT("brand_form!T"&amp;ROW())="","",INDIRECT("brand_form!T"&amp;ROW()))="Not sure","unsure",""))))</f>
        <v/>
      </c>
      <c r="V45" s="25">
        <f>IF(INDIRECT("brand_form!A"&amp;ROW())="","",IF(IF(INDIRECT("brand_form!U"&amp;ROW())="","",INDIRECT("brand_form!U"&amp;ROW()))="Yes","Y",IF(IF(INDIRECT("brand_form!U"&amp;ROW())="","",INDIRECT("brand_form!U"&amp;ROW()))="No","N",IF(IF(INDIRECT("brand_form!U"&amp;ROW())="","",INDIRECT("brand_form!U"&amp;ROW()))="Not sure","unsure",""))))</f>
        <v/>
      </c>
      <c r="W45" s="25">
        <f>IF(INDIRECT("brand_form!A"&amp;ROW())="","",IF(IF(INDIRECT("brand_form!V"&amp;ROW())="","",INDIRECT("brand_form!V"&amp;ROW()))="Yes","Y",IF(IF(INDIRECT("brand_form!V"&amp;ROW())="","",INDIRECT("brand_form!V"&amp;ROW()))="No","N",IF(IF(INDIRECT("brand_form!V"&amp;ROW())="","",INDIRECT("brand_form!V"&amp;ROW()))="Not sure","unsure",""))))</f>
        <v/>
      </c>
      <c r="X45" s="25">
        <f>IF(INDIRECT("brand_form!A"&amp;ROW())="","",IF(INDIRECT("brand_form!W"&amp;ROW())="","",INDIRECT("brand_form!W"&amp;ROW())))</f>
        <v/>
      </c>
      <c r="Y45" s="25">
        <f>IF(INDIRECT("brand_form!A"&amp;ROW())="","",IF(IF(INDIRECT("brand_form!X"&amp;ROW())="","",INDIRECT("brand_form!X"&amp;ROW()))&lt;&gt;"","Y",""))</f>
        <v/>
      </c>
      <c r="Z45" s="25">
        <f>IF(INDIRECT("brand_form!A"&amp;ROW())="","",IF(INDIRECT("brand_form!Y"&amp;ROW())="","",INDIRECT("brand_form!Y"&amp;ROW())))</f>
        <v/>
      </c>
      <c r="AA45" s="25">
        <f>IF(INDIRECT("brand_form!A"&amp;ROW())="","","founder")</f>
        <v/>
      </c>
    </row>
    <row r="46">
      <c r="A46" s="25">
        <f>IF(INDIRECT("brand_form!A"&amp;ROW())="","",TEXT(INDIRECT("brand_form!A"&amp;ROW()),"yyyy-mm-dd""T""hh:mm:ss"))</f>
        <v/>
      </c>
      <c r="B46" s="25">
        <f>IF(INDIRECT("brand_form!A"&amp;ROW())="","",config!$B$35)</f>
        <v/>
      </c>
      <c r="C46" s="25">
        <f>IF(INDIRECT("brand_form!A"&amp;ROW())="","",IF(INDIRECT("brand_form!B"&amp;ROW())="","",INDIRECT("brand_form!B"&amp;ROW())))</f>
        <v/>
      </c>
      <c r="D46" s="25">
        <f>IF(INDIRECT("brand_form!A"&amp;ROW())="","",IF(IF(INDIRECT("brand_form!C"&amp;ROW())="","",INDIRECT("brand_form!C"&amp;ROW()))="","",IF(LEFT(LOWER(IF(INDIRECT("brand_form!C"&amp;ROW())="","",INDIRECT("brand_form!C"&amp;ROW()))),4)="http",IF(INDIRECT("brand_form!C"&amp;ROW())="","",INDIRECT("brand_form!C"&amp;ROW())),"https://"&amp;IF(INDIRECT("brand_form!C"&amp;ROW())="","",INDIRECT("brand_form!C"&amp;ROW())))))</f>
        <v/>
      </c>
      <c r="E46" s="25">
        <f>IF(INDIRECT("brand_form!A"&amp;ROW())="","",IF(INDIRECT("brand_form!G"&amp;ROW())="","",INDIRECT("brand_form!G"&amp;ROW())))</f>
        <v/>
      </c>
      <c r="F46" s="25">
        <f>IF(INDIRECT("brand_form!A"&amp;ROW())="","",IF(INDIRECT("brand_form!H"&amp;ROW())="","",INDIRECT("brand_form!H"&amp;ROW())))</f>
        <v/>
      </c>
      <c r="G46" s="25">
        <f>IF(INDIRECT("brand_form!A"&amp;ROW())="","",IF(INDIRECT("brand_form!I"&amp;ROW())="","",INDIRECT("brand_form!I"&amp;ROW())))</f>
        <v/>
      </c>
      <c r="H46" s="25">
        <f>IF(INDIRECT("brand_form!A"&amp;ROW())="","",IF(INDIRECT("brand_form!J"&amp;ROW())="","",INDIRECT("brand_form!J"&amp;ROW())))</f>
        <v/>
      </c>
      <c r="I46" s="25">
        <f>IF(INDIRECT("brand_form!A"&amp;ROW())="","",IF(INDIRECT("brand_form!D"&amp;ROW())="","",INDIRECT("brand_form!D"&amp;ROW())))</f>
        <v/>
      </c>
      <c r="J4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6" s="25">
        <f>IF(INDIRECT("brand_form!A"&amp;ROW())="","",IF(INDIRECT("brand_form!F"&amp;ROW())="","",INDIRECT("brand_form!F"&amp;ROW())))</f>
        <v/>
      </c>
      <c r="L46" s="25">
        <f>IF(INDIRECT("brand_form!A"&amp;ROW())="","",IF(INDIRECT("brand_form!M"&amp;ROW())="","",INDIRECT("brand_form!M"&amp;ROW())))</f>
        <v/>
      </c>
      <c r="M46" s="25">
        <f>IF(INDIRECT("brand_form!A"&amp;ROW())="","",IF(IF(INDIRECT("brand_form!N"&amp;ROW())="","",INDIRECT("brand_form!N"&amp;ROW()))="","",IF(LEFT(LOWER(IF(INDIRECT("brand_form!N"&amp;ROW())="","",INDIRECT("brand_form!N"&amp;ROW()))),4)="http",IF(INDIRECT("brand_form!N"&amp;ROW())="","",INDIRECT("brand_form!N"&amp;ROW())),"https://"&amp;IF(INDIRECT("brand_form!N"&amp;ROW())="","",INDIRECT("brand_form!N"&amp;ROW())))))</f>
        <v/>
      </c>
      <c r="N46" s="25">
        <f>IF(INDIRECT("brand_form!A"&amp;ROW())="","",IF(IF(INDIRECT("brand_form!O"&amp;ROW())="","",INDIRECT("brand_form!O"&amp;ROW()))="Yes","Y",IF(IF(INDIRECT("brand_form!O"&amp;ROW())="","",INDIRECT("brand_form!O"&amp;ROW()))="No","N","")))</f>
        <v/>
      </c>
      <c r="O4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6" s="25">
        <f>IF(INDIRECT("brand_form!A"&amp;ROW())="","",IF(IF(INDIRECT("brand_form!K"&amp;ROW())="","",INDIRECT("brand_form!K"&amp;ROW()))="I do","Y",IF(IF(INDIRECT("brand_form!K"&amp;ROW())="","",INDIRECT("brand_form!K"&amp;ROW()))="Someone else","N","")))</f>
        <v/>
      </c>
      <c r="Q46" s="25">
        <f>IF(INDIRECT("brand_form!A"&amp;ROW())="","",IF($P46="Y",$E46&amp;", "&amp;$F46,IF(INDIRECT("brand_form!L"&amp;ROW())="","",INDIRECT("brand_form!L"&amp;ROW()))))</f>
        <v/>
      </c>
      <c r="R46" s="25">
        <f>IF(INDIRECT("brand_form!A"&amp;ROW())="","",IF(IF(INDIRECT("brand_form!Q"&amp;ROW())="","",INDIRECT("brand_form!Q"&amp;ROW()))="Yes","Y",IF(IF(INDIRECT("brand_form!Q"&amp;ROW())="","",INDIRECT("brand_form!Q"&amp;ROW()))="No","N",IF(IF(INDIRECT("brand_form!Q"&amp;ROW())="","",INDIRECT("brand_form!Q"&amp;ROW()))="Not sure","unsure",""))))</f>
        <v/>
      </c>
      <c r="S46" s="25">
        <f>IF(INDIRECT("brand_form!A"&amp;ROW())="","",IF(IF(INDIRECT("brand_form!R"&amp;ROW())="","",INDIRECT("brand_form!R"&amp;ROW()))="Yes","Y",IF(IF(INDIRECT("brand_form!R"&amp;ROW())="","",INDIRECT("brand_form!R"&amp;ROW()))="No","N",IF(IF(INDIRECT("brand_form!R"&amp;ROW())="","",INDIRECT("brand_form!R"&amp;ROW()))="Not sure","unsure",""))))</f>
        <v/>
      </c>
      <c r="T46" s="25">
        <f>IF(INDIRECT("brand_form!A"&amp;ROW())="","",IF(IF(INDIRECT("brand_form!S"&amp;ROW())="","",INDIRECT("brand_form!S"&amp;ROW()))="Yes","Y",IF(IF(INDIRECT("brand_form!S"&amp;ROW())="","",INDIRECT("brand_form!S"&amp;ROW()))="No","N",IF(IF(INDIRECT("brand_form!S"&amp;ROW())="","",INDIRECT("brand_form!S"&amp;ROW()))="Not sure","unsure",""))))</f>
        <v/>
      </c>
      <c r="U46" s="25">
        <f>IF(INDIRECT("brand_form!A"&amp;ROW())="","",IF(IF(INDIRECT("brand_form!T"&amp;ROW())="","",INDIRECT("brand_form!T"&amp;ROW()))="Yes","Y",IF(IF(INDIRECT("brand_form!T"&amp;ROW())="","",INDIRECT("brand_form!T"&amp;ROW()))="No","N",IF(IF(INDIRECT("brand_form!T"&amp;ROW())="","",INDIRECT("brand_form!T"&amp;ROW()))="Not sure","unsure",""))))</f>
        <v/>
      </c>
      <c r="V46" s="25">
        <f>IF(INDIRECT("brand_form!A"&amp;ROW())="","",IF(IF(INDIRECT("brand_form!U"&amp;ROW())="","",INDIRECT("brand_form!U"&amp;ROW()))="Yes","Y",IF(IF(INDIRECT("brand_form!U"&amp;ROW())="","",INDIRECT("brand_form!U"&amp;ROW()))="No","N",IF(IF(INDIRECT("brand_form!U"&amp;ROW())="","",INDIRECT("brand_form!U"&amp;ROW()))="Not sure","unsure",""))))</f>
        <v/>
      </c>
      <c r="W46" s="25">
        <f>IF(INDIRECT("brand_form!A"&amp;ROW())="","",IF(IF(INDIRECT("brand_form!V"&amp;ROW())="","",INDIRECT("brand_form!V"&amp;ROW()))="Yes","Y",IF(IF(INDIRECT("brand_form!V"&amp;ROW())="","",INDIRECT("brand_form!V"&amp;ROW()))="No","N",IF(IF(INDIRECT("brand_form!V"&amp;ROW())="","",INDIRECT("brand_form!V"&amp;ROW()))="Not sure","unsure",""))))</f>
        <v/>
      </c>
      <c r="X46" s="25">
        <f>IF(INDIRECT("brand_form!A"&amp;ROW())="","",IF(INDIRECT("brand_form!W"&amp;ROW())="","",INDIRECT("brand_form!W"&amp;ROW())))</f>
        <v/>
      </c>
      <c r="Y46" s="25">
        <f>IF(INDIRECT("brand_form!A"&amp;ROW())="","",IF(IF(INDIRECT("brand_form!X"&amp;ROW())="","",INDIRECT("brand_form!X"&amp;ROW()))&lt;&gt;"","Y",""))</f>
        <v/>
      </c>
      <c r="Z46" s="25">
        <f>IF(INDIRECT("brand_form!A"&amp;ROW())="","",IF(INDIRECT("brand_form!Y"&amp;ROW())="","",INDIRECT("brand_form!Y"&amp;ROW())))</f>
        <v/>
      </c>
      <c r="AA46" s="25">
        <f>IF(INDIRECT("brand_form!A"&amp;ROW())="","","founder")</f>
        <v/>
      </c>
    </row>
    <row r="47">
      <c r="A47" s="25">
        <f>IF(INDIRECT("brand_form!A"&amp;ROW())="","",TEXT(INDIRECT("brand_form!A"&amp;ROW()),"yyyy-mm-dd""T""hh:mm:ss"))</f>
        <v/>
      </c>
      <c r="B47" s="25">
        <f>IF(INDIRECT("brand_form!A"&amp;ROW())="","",config!$B$35)</f>
        <v/>
      </c>
      <c r="C47" s="25">
        <f>IF(INDIRECT("brand_form!A"&amp;ROW())="","",IF(INDIRECT("brand_form!B"&amp;ROW())="","",INDIRECT("brand_form!B"&amp;ROW())))</f>
        <v/>
      </c>
      <c r="D47" s="25">
        <f>IF(INDIRECT("brand_form!A"&amp;ROW())="","",IF(IF(INDIRECT("brand_form!C"&amp;ROW())="","",INDIRECT("brand_form!C"&amp;ROW()))="","",IF(LEFT(LOWER(IF(INDIRECT("brand_form!C"&amp;ROW())="","",INDIRECT("brand_form!C"&amp;ROW()))),4)="http",IF(INDIRECT("brand_form!C"&amp;ROW())="","",INDIRECT("brand_form!C"&amp;ROW())),"https://"&amp;IF(INDIRECT("brand_form!C"&amp;ROW())="","",INDIRECT("brand_form!C"&amp;ROW())))))</f>
        <v/>
      </c>
      <c r="E47" s="25">
        <f>IF(INDIRECT("brand_form!A"&amp;ROW())="","",IF(INDIRECT("brand_form!G"&amp;ROW())="","",INDIRECT("brand_form!G"&amp;ROW())))</f>
        <v/>
      </c>
      <c r="F47" s="25">
        <f>IF(INDIRECT("brand_form!A"&amp;ROW())="","",IF(INDIRECT("brand_form!H"&amp;ROW())="","",INDIRECT("brand_form!H"&amp;ROW())))</f>
        <v/>
      </c>
      <c r="G47" s="25">
        <f>IF(INDIRECT("brand_form!A"&amp;ROW())="","",IF(INDIRECT("brand_form!I"&amp;ROW())="","",INDIRECT("brand_form!I"&amp;ROW())))</f>
        <v/>
      </c>
      <c r="H47" s="25">
        <f>IF(INDIRECT("brand_form!A"&amp;ROW())="","",IF(INDIRECT("brand_form!J"&amp;ROW())="","",INDIRECT("brand_form!J"&amp;ROW())))</f>
        <v/>
      </c>
      <c r="I47" s="25">
        <f>IF(INDIRECT("brand_form!A"&amp;ROW())="","",IF(INDIRECT("brand_form!D"&amp;ROW())="","",INDIRECT("brand_form!D"&amp;ROW())))</f>
        <v/>
      </c>
      <c r="J4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7" s="25">
        <f>IF(INDIRECT("brand_form!A"&amp;ROW())="","",IF(INDIRECT("brand_form!F"&amp;ROW())="","",INDIRECT("brand_form!F"&amp;ROW())))</f>
        <v/>
      </c>
      <c r="L47" s="25">
        <f>IF(INDIRECT("brand_form!A"&amp;ROW())="","",IF(INDIRECT("brand_form!M"&amp;ROW())="","",INDIRECT("brand_form!M"&amp;ROW())))</f>
        <v/>
      </c>
      <c r="M47" s="25">
        <f>IF(INDIRECT("brand_form!A"&amp;ROW())="","",IF(IF(INDIRECT("brand_form!N"&amp;ROW())="","",INDIRECT("brand_form!N"&amp;ROW()))="","",IF(LEFT(LOWER(IF(INDIRECT("brand_form!N"&amp;ROW())="","",INDIRECT("brand_form!N"&amp;ROW()))),4)="http",IF(INDIRECT("brand_form!N"&amp;ROW())="","",INDIRECT("brand_form!N"&amp;ROW())),"https://"&amp;IF(INDIRECT("brand_form!N"&amp;ROW())="","",INDIRECT("brand_form!N"&amp;ROW())))))</f>
        <v/>
      </c>
      <c r="N47" s="25">
        <f>IF(INDIRECT("brand_form!A"&amp;ROW())="","",IF(IF(INDIRECT("brand_form!O"&amp;ROW())="","",INDIRECT("brand_form!O"&amp;ROW()))="Yes","Y",IF(IF(INDIRECT("brand_form!O"&amp;ROW())="","",INDIRECT("brand_form!O"&amp;ROW()))="No","N","")))</f>
        <v/>
      </c>
      <c r="O4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7" s="25">
        <f>IF(INDIRECT("brand_form!A"&amp;ROW())="","",IF(IF(INDIRECT("brand_form!K"&amp;ROW())="","",INDIRECT("brand_form!K"&amp;ROW()))="I do","Y",IF(IF(INDIRECT("brand_form!K"&amp;ROW())="","",INDIRECT("brand_form!K"&amp;ROW()))="Someone else","N","")))</f>
        <v/>
      </c>
      <c r="Q47" s="25">
        <f>IF(INDIRECT("brand_form!A"&amp;ROW())="","",IF($P47="Y",$E47&amp;", "&amp;$F47,IF(INDIRECT("brand_form!L"&amp;ROW())="","",INDIRECT("brand_form!L"&amp;ROW()))))</f>
        <v/>
      </c>
      <c r="R47" s="25">
        <f>IF(INDIRECT("brand_form!A"&amp;ROW())="","",IF(IF(INDIRECT("brand_form!Q"&amp;ROW())="","",INDIRECT("brand_form!Q"&amp;ROW()))="Yes","Y",IF(IF(INDIRECT("brand_form!Q"&amp;ROW())="","",INDIRECT("brand_form!Q"&amp;ROW()))="No","N",IF(IF(INDIRECT("brand_form!Q"&amp;ROW())="","",INDIRECT("brand_form!Q"&amp;ROW()))="Not sure","unsure",""))))</f>
        <v/>
      </c>
      <c r="S47" s="25">
        <f>IF(INDIRECT("brand_form!A"&amp;ROW())="","",IF(IF(INDIRECT("brand_form!R"&amp;ROW())="","",INDIRECT("brand_form!R"&amp;ROW()))="Yes","Y",IF(IF(INDIRECT("brand_form!R"&amp;ROW())="","",INDIRECT("brand_form!R"&amp;ROW()))="No","N",IF(IF(INDIRECT("brand_form!R"&amp;ROW())="","",INDIRECT("brand_form!R"&amp;ROW()))="Not sure","unsure",""))))</f>
        <v/>
      </c>
      <c r="T47" s="25">
        <f>IF(INDIRECT("brand_form!A"&amp;ROW())="","",IF(IF(INDIRECT("brand_form!S"&amp;ROW())="","",INDIRECT("brand_form!S"&amp;ROW()))="Yes","Y",IF(IF(INDIRECT("brand_form!S"&amp;ROW())="","",INDIRECT("brand_form!S"&amp;ROW()))="No","N",IF(IF(INDIRECT("brand_form!S"&amp;ROW())="","",INDIRECT("brand_form!S"&amp;ROW()))="Not sure","unsure",""))))</f>
        <v/>
      </c>
      <c r="U47" s="25">
        <f>IF(INDIRECT("brand_form!A"&amp;ROW())="","",IF(IF(INDIRECT("brand_form!T"&amp;ROW())="","",INDIRECT("brand_form!T"&amp;ROW()))="Yes","Y",IF(IF(INDIRECT("brand_form!T"&amp;ROW())="","",INDIRECT("brand_form!T"&amp;ROW()))="No","N",IF(IF(INDIRECT("brand_form!T"&amp;ROW())="","",INDIRECT("brand_form!T"&amp;ROW()))="Not sure","unsure",""))))</f>
        <v/>
      </c>
      <c r="V47" s="25">
        <f>IF(INDIRECT("brand_form!A"&amp;ROW())="","",IF(IF(INDIRECT("brand_form!U"&amp;ROW())="","",INDIRECT("brand_form!U"&amp;ROW()))="Yes","Y",IF(IF(INDIRECT("brand_form!U"&amp;ROW())="","",INDIRECT("brand_form!U"&amp;ROW()))="No","N",IF(IF(INDIRECT("brand_form!U"&amp;ROW())="","",INDIRECT("brand_form!U"&amp;ROW()))="Not sure","unsure",""))))</f>
        <v/>
      </c>
      <c r="W47" s="25">
        <f>IF(INDIRECT("brand_form!A"&amp;ROW())="","",IF(IF(INDIRECT("brand_form!V"&amp;ROW())="","",INDIRECT("brand_form!V"&amp;ROW()))="Yes","Y",IF(IF(INDIRECT("brand_form!V"&amp;ROW())="","",INDIRECT("brand_form!V"&amp;ROW()))="No","N",IF(IF(INDIRECT("brand_form!V"&amp;ROW())="","",INDIRECT("brand_form!V"&amp;ROW()))="Not sure","unsure",""))))</f>
        <v/>
      </c>
      <c r="X47" s="25">
        <f>IF(INDIRECT("brand_form!A"&amp;ROW())="","",IF(INDIRECT("brand_form!W"&amp;ROW())="","",INDIRECT("brand_form!W"&amp;ROW())))</f>
        <v/>
      </c>
      <c r="Y47" s="25">
        <f>IF(INDIRECT("brand_form!A"&amp;ROW())="","",IF(IF(INDIRECT("brand_form!X"&amp;ROW())="","",INDIRECT("brand_form!X"&amp;ROW()))&lt;&gt;"","Y",""))</f>
        <v/>
      </c>
      <c r="Z47" s="25">
        <f>IF(INDIRECT("brand_form!A"&amp;ROW())="","",IF(INDIRECT("brand_form!Y"&amp;ROW())="","",INDIRECT("brand_form!Y"&amp;ROW())))</f>
        <v/>
      </c>
      <c r="AA47" s="25">
        <f>IF(INDIRECT("brand_form!A"&amp;ROW())="","","founder")</f>
        <v/>
      </c>
    </row>
    <row r="48">
      <c r="A48" s="25">
        <f>IF(INDIRECT("brand_form!A"&amp;ROW())="","",TEXT(INDIRECT("brand_form!A"&amp;ROW()),"yyyy-mm-dd""T""hh:mm:ss"))</f>
        <v/>
      </c>
      <c r="B48" s="25">
        <f>IF(INDIRECT("brand_form!A"&amp;ROW())="","",config!$B$35)</f>
        <v/>
      </c>
      <c r="C48" s="25">
        <f>IF(INDIRECT("brand_form!A"&amp;ROW())="","",IF(INDIRECT("brand_form!B"&amp;ROW())="","",INDIRECT("brand_form!B"&amp;ROW())))</f>
        <v/>
      </c>
      <c r="D48" s="25">
        <f>IF(INDIRECT("brand_form!A"&amp;ROW())="","",IF(IF(INDIRECT("brand_form!C"&amp;ROW())="","",INDIRECT("brand_form!C"&amp;ROW()))="","",IF(LEFT(LOWER(IF(INDIRECT("brand_form!C"&amp;ROW())="","",INDIRECT("brand_form!C"&amp;ROW()))),4)="http",IF(INDIRECT("brand_form!C"&amp;ROW())="","",INDIRECT("brand_form!C"&amp;ROW())),"https://"&amp;IF(INDIRECT("brand_form!C"&amp;ROW())="","",INDIRECT("brand_form!C"&amp;ROW())))))</f>
        <v/>
      </c>
      <c r="E48" s="25">
        <f>IF(INDIRECT("brand_form!A"&amp;ROW())="","",IF(INDIRECT("brand_form!G"&amp;ROW())="","",INDIRECT("brand_form!G"&amp;ROW())))</f>
        <v/>
      </c>
      <c r="F48" s="25">
        <f>IF(INDIRECT("brand_form!A"&amp;ROW())="","",IF(INDIRECT("brand_form!H"&amp;ROW())="","",INDIRECT("brand_form!H"&amp;ROW())))</f>
        <v/>
      </c>
      <c r="G48" s="25">
        <f>IF(INDIRECT("brand_form!A"&amp;ROW())="","",IF(INDIRECT("brand_form!I"&amp;ROW())="","",INDIRECT("brand_form!I"&amp;ROW())))</f>
        <v/>
      </c>
      <c r="H48" s="25">
        <f>IF(INDIRECT("brand_form!A"&amp;ROW())="","",IF(INDIRECT("brand_form!J"&amp;ROW())="","",INDIRECT("brand_form!J"&amp;ROW())))</f>
        <v/>
      </c>
      <c r="I48" s="25">
        <f>IF(INDIRECT("brand_form!A"&amp;ROW())="","",IF(INDIRECT("brand_form!D"&amp;ROW())="","",INDIRECT("brand_form!D"&amp;ROW())))</f>
        <v/>
      </c>
      <c r="J4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8" s="25">
        <f>IF(INDIRECT("brand_form!A"&amp;ROW())="","",IF(INDIRECT("brand_form!F"&amp;ROW())="","",INDIRECT("brand_form!F"&amp;ROW())))</f>
        <v/>
      </c>
      <c r="L48" s="25">
        <f>IF(INDIRECT("brand_form!A"&amp;ROW())="","",IF(INDIRECT("brand_form!M"&amp;ROW())="","",INDIRECT("brand_form!M"&amp;ROW())))</f>
        <v/>
      </c>
      <c r="M48" s="25">
        <f>IF(INDIRECT("brand_form!A"&amp;ROW())="","",IF(IF(INDIRECT("brand_form!N"&amp;ROW())="","",INDIRECT("brand_form!N"&amp;ROW()))="","",IF(LEFT(LOWER(IF(INDIRECT("brand_form!N"&amp;ROW())="","",INDIRECT("brand_form!N"&amp;ROW()))),4)="http",IF(INDIRECT("brand_form!N"&amp;ROW())="","",INDIRECT("brand_form!N"&amp;ROW())),"https://"&amp;IF(INDIRECT("brand_form!N"&amp;ROW())="","",INDIRECT("brand_form!N"&amp;ROW())))))</f>
        <v/>
      </c>
      <c r="N48" s="25">
        <f>IF(INDIRECT("brand_form!A"&amp;ROW())="","",IF(IF(INDIRECT("brand_form!O"&amp;ROW())="","",INDIRECT("brand_form!O"&amp;ROW()))="Yes","Y",IF(IF(INDIRECT("brand_form!O"&amp;ROW())="","",INDIRECT("brand_form!O"&amp;ROW()))="No","N","")))</f>
        <v/>
      </c>
      <c r="O4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8" s="25">
        <f>IF(INDIRECT("brand_form!A"&amp;ROW())="","",IF(IF(INDIRECT("brand_form!K"&amp;ROW())="","",INDIRECT("brand_form!K"&amp;ROW()))="I do","Y",IF(IF(INDIRECT("brand_form!K"&amp;ROW())="","",INDIRECT("brand_form!K"&amp;ROW()))="Someone else","N","")))</f>
        <v/>
      </c>
      <c r="Q48" s="25">
        <f>IF(INDIRECT("brand_form!A"&amp;ROW())="","",IF($P48="Y",$E48&amp;", "&amp;$F48,IF(INDIRECT("brand_form!L"&amp;ROW())="","",INDIRECT("brand_form!L"&amp;ROW()))))</f>
        <v/>
      </c>
      <c r="R48" s="25">
        <f>IF(INDIRECT("brand_form!A"&amp;ROW())="","",IF(IF(INDIRECT("brand_form!Q"&amp;ROW())="","",INDIRECT("brand_form!Q"&amp;ROW()))="Yes","Y",IF(IF(INDIRECT("brand_form!Q"&amp;ROW())="","",INDIRECT("brand_form!Q"&amp;ROW()))="No","N",IF(IF(INDIRECT("brand_form!Q"&amp;ROW())="","",INDIRECT("brand_form!Q"&amp;ROW()))="Not sure","unsure",""))))</f>
        <v/>
      </c>
      <c r="S48" s="25">
        <f>IF(INDIRECT("brand_form!A"&amp;ROW())="","",IF(IF(INDIRECT("brand_form!R"&amp;ROW())="","",INDIRECT("brand_form!R"&amp;ROW()))="Yes","Y",IF(IF(INDIRECT("brand_form!R"&amp;ROW())="","",INDIRECT("brand_form!R"&amp;ROW()))="No","N",IF(IF(INDIRECT("brand_form!R"&amp;ROW())="","",INDIRECT("brand_form!R"&amp;ROW()))="Not sure","unsure",""))))</f>
        <v/>
      </c>
      <c r="T48" s="25">
        <f>IF(INDIRECT("brand_form!A"&amp;ROW())="","",IF(IF(INDIRECT("brand_form!S"&amp;ROW())="","",INDIRECT("brand_form!S"&amp;ROW()))="Yes","Y",IF(IF(INDIRECT("brand_form!S"&amp;ROW())="","",INDIRECT("brand_form!S"&amp;ROW()))="No","N",IF(IF(INDIRECT("brand_form!S"&amp;ROW())="","",INDIRECT("brand_form!S"&amp;ROW()))="Not sure","unsure",""))))</f>
        <v/>
      </c>
      <c r="U48" s="25">
        <f>IF(INDIRECT("brand_form!A"&amp;ROW())="","",IF(IF(INDIRECT("brand_form!T"&amp;ROW())="","",INDIRECT("brand_form!T"&amp;ROW()))="Yes","Y",IF(IF(INDIRECT("brand_form!T"&amp;ROW())="","",INDIRECT("brand_form!T"&amp;ROW()))="No","N",IF(IF(INDIRECT("brand_form!T"&amp;ROW())="","",INDIRECT("brand_form!T"&amp;ROW()))="Not sure","unsure",""))))</f>
        <v/>
      </c>
      <c r="V48" s="25">
        <f>IF(INDIRECT("brand_form!A"&amp;ROW())="","",IF(IF(INDIRECT("brand_form!U"&amp;ROW())="","",INDIRECT("brand_form!U"&amp;ROW()))="Yes","Y",IF(IF(INDIRECT("brand_form!U"&amp;ROW())="","",INDIRECT("brand_form!U"&amp;ROW()))="No","N",IF(IF(INDIRECT("brand_form!U"&amp;ROW())="","",INDIRECT("brand_form!U"&amp;ROW()))="Not sure","unsure",""))))</f>
        <v/>
      </c>
      <c r="W48" s="25">
        <f>IF(INDIRECT("brand_form!A"&amp;ROW())="","",IF(IF(INDIRECT("brand_form!V"&amp;ROW())="","",INDIRECT("brand_form!V"&amp;ROW()))="Yes","Y",IF(IF(INDIRECT("brand_form!V"&amp;ROW())="","",INDIRECT("brand_form!V"&amp;ROW()))="No","N",IF(IF(INDIRECT("brand_form!V"&amp;ROW())="","",INDIRECT("brand_form!V"&amp;ROW()))="Not sure","unsure",""))))</f>
        <v/>
      </c>
      <c r="X48" s="25">
        <f>IF(INDIRECT("brand_form!A"&amp;ROW())="","",IF(INDIRECT("brand_form!W"&amp;ROW())="","",INDIRECT("brand_form!W"&amp;ROW())))</f>
        <v/>
      </c>
      <c r="Y48" s="25">
        <f>IF(INDIRECT("brand_form!A"&amp;ROW())="","",IF(IF(INDIRECT("brand_form!X"&amp;ROW())="","",INDIRECT("brand_form!X"&amp;ROW()))&lt;&gt;"","Y",""))</f>
        <v/>
      </c>
      <c r="Z48" s="25">
        <f>IF(INDIRECT("brand_form!A"&amp;ROW())="","",IF(INDIRECT("brand_form!Y"&amp;ROW())="","",INDIRECT("brand_form!Y"&amp;ROW())))</f>
        <v/>
      </c>
      <c r="AA48" s="25">
        <f>IF(INDIRECT("brand_form!A"&amp;ROW())="","","founder")</f>
        <v/>
      </c>
    </row>
    <row r="49">
      <c r="A49" s="25">
        <f>IF(INDIRECT("brand_form!A"&amp;ROW())="","",TEXT(INDIRECT("brand_form!A"&amp;ROW()),"yyyy-mm-dd""T""hh:mm:ss"))</f>
        <v/>
      </c>
      <c r="B49" s="25">
        <f>IF(INDIRECT("brand_form!A"&amp;ROW())="","",config!$B$35)</f>
        <v/>
      </c>
      <c r="C49" s="25">
        <f>IF(INDIRECT("brand_form!A"&amp;ROW())="","",IF(INDIRECT("brand_form!B"&amp;ROW())="","",INDIRECT("brand_form!B"&amp;ROW())))</f>
        <v/>
      </c>
      <c r="D49" s="25">
        <f>IF(INDIRECT("brand_form!A"&amp;ROW())="","",IF(IF(INDIRECT("brand_form!C"&amp;ROW())="","",INDIRECT("brand_form!C"&amp;ROW()))="","",IF(LEFT(LOWER(IF(INDIRECT("brand_form!C"&amp;ROW())="","",INDIRECT("brand_form!C"&amp;ROW()))),4)="http",IF(INDIRECT("brand_form!C"&amp;ROW())="","",INDIRECT("brand_form!C"&amp;ROW())),"https://"&amp;IF(INDIRECT("brand_form!C"&amp;ROW())="","",INDIRECT("brand_form!C"&amp;ROW())))))</f>
        <v/>
      </c>
      <c r="E49" s="25">
        <f>IF(INDIRECT("brand_form!A"&amp;ROW())="","",IF(INDIRECT("brand_form!G"&amp;ROW())="","",INDIRECT("brand_form!G"&amp;ROW())))</f>
        <v/>
      </c>
      <c r="F49" s="25">
        <f>IF(INDIRECT("brand_form!A"&amp;ROW())="","",IF(INDIRECT("brand_form!H"&amp;ROW())="","",INDIRECT("brand_form!H"&amp;ROW())))</f>
        <v/>
      </c>
      <c r="G49" s="25">
        <f>IF(INDIRECT("brand_form!A"&amp;ROW())="","",IF(INDIRECT("brand_form!I"&amp;ROW())="","",INDIRECT("brand_form!I"&amp;ROW())))</f>
        <v/>
      </c>
      <c r="H49" s="25">
        <f>IF(INDIRECT("brand_form!A"&amp;ROW())="","",IF(INDIRECT("brand_form!J"&amp;ROW())="","",INDIRECT("brand_form!J"&amp;ROW())))</f>
        <v/>
      </c>
      <c r="I49" s="25">
        <f>IF(INDIRECT("brand_form!A"&amp;ROW())="","",IF(INDIRECT("brand_form!D"&amp;ROW())="","",INDIRECT("brand_form!D"&amp;ROW())))</f>
        <v/>
      </c>
      <c r="J4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9" s="25">
        <f>IF(INDIRECT("brand_form!A"&amp;ROW())="","",IF(INDIRECT("brand_form!F"&amp;ROW())="","",INDIRECT("brand_form!F"&amp;ROW())))</f>
        <v/>
      </c>
      <c r="L49" s="25">
        <f>IF(INDIRECT("brand_form!A"&amp;ROW())="","",IF(INDIRECT("brand_form!M"&amp;ROW())="","",INDIRECT("brand_form!M"&amp;ROW())))</f>
        <v/>
      </c>
      <c r="M49" s="25">
        <f>IF(INDIRECT("brand_form!A"&amp;ROW())="","",IF(IF(INDIRECT("brand_form!N"&amp;ROW())="","",INDIRECT("brand_form!N"&amp;ROW()))="","",IF(LEFT(LOWER(IF(INDIRECT("brand_form!N"&amp;ROW())="","",INDIRECT("brand_form!N"&amp;ROW()))),4)="http",IF(INDIRECT("brand_form!N"&amp;ROW())="","",INDIRECT("brand_form!N"&amp;ROW())),"https://"&amp;IF(INDIRECT("brand_form!N"&amp;ROW())="","",INDIRECT("brand_form!N"&amp;ROW())))))</f>
        <v/>
      </c>
      <c r="N49" s="25">
        <f>IF(INDIRECT("brand_form!A"&amp;ROW())="","",IF(IF(INDIRECT("brand_form!O"&amp;ROW())="","",INDIRECT("brand_form!O"&amp;ROW()))="Yes","Y",IF(IF(INDIRECT("brand_form!O"&amp;ROW())="","",INDIRECT("brand_form!O"&amp;ROW()))="No","N","")))</f>
        <v/>
      </c>
      <c r="O4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9" s="25">
        <f>IF(INDIRECT("brand_form!A"&amp;ROW())="","",IF(IF(INDIRECT("brand_form!K"&amp;ROW())="","",INDIRECT("brand_form!K"&amp;ROW()))="I do","Y",IF(IF(INDIRECT("brand_form!K"&amp;ROW())="","",INDIRECT("brand_form!K"&amp;ROW()))="Someone else","N","")))</f>
        <v/>
      </c>
      <c r="Q49" s="25">
        <f>IF(INDIRECT("brand_form!A"&amp;ROW())="","",IF($P49="Y",$E49&amp;", "&amp;$F49,IF(INDIRECT("brand_form!L"&amp;ROW())="","",INDIRECT("brand_form!L"&amp;ROW()))))</f>
        <v/>
      </c>
      <c r="R49" s="25">
        <f>IF(INDIRECT("brand_form!A"&amp;ROW())="","",IF(IF(INDIRECT("brand_form!Q"&amp;ROW())="","",INDIRECT("brand_form!Q"&amp;ROW()))="Yes","Y",IF(IF(INDIRECT("brand_form!Q"&amp;ROW())="","",INDIRECT("brand_form!Q"&amp;ROW()))="No","N",IF(IF(INDIRECT("brand_form!Q"&amp;ROW())="","",INDIRECT("brand_form!Q"&amp;ROW()))="Not sure","unsure",""))))</f>
        <v/>
      </c>
      <c r="S49" s="25">
        <f>IF(INDIRECT("brand_form!A"&amp;ROW())="","",IF(IF(INDIRECT("brand_form!R"&amp;ROW())="","",INDIRECT("brand_form!R"&amp;ROW()))="Yes","Y",IF(IF(INDIRECT("brand_form!R"&amp;ROW())="","",INDIRECT("brand_form!R"&amp;ROW()))="No","N",IF(IF(INDIRECT("brand_form!R"&amp;ROW())="","",INDIRECT("brand_form!R"&amp;ROW()))="Not sure","unsure",""))))</f>
        <v/>
      </c>
      <c r="T49" s="25">
        <f>IF(INDIRECT("brand_form!A"&amp;ROW())="","",IF(IF(INDIRECT("brand_form!S"&amp;ROW())="","",INDIRECT("brand_form!S"&amp;ROW()))="Yes","Y",IF(IF(INDIRECT("brand_form!S"&amp;ROW())="","",INDIRECT("brand_form!S"&amp;ROW()))="No","N",IF(IF(INDIRECT("brand_form!S"&amp;ROW())="","",INDIRECT("brand_form!S"&amp;ROW()))="Not sure","unsure",""))))</f>
        <v/>
      </c>
      <c r="U49" s="25">
        <f>IF(INDIRECT("brand_form!A"&amp;ROW())="","",IF(IF(INDIRECT("brand_form!T"&amp;ROW())="","",INDIRECT("brand_form!T"&amp;ROW()))="Yes","Y",IF(IF(INDIRECT("brand_form!T"&amp;ROW())="","",INDIRECT("brand_form!T"&amp;ROW()))="No","N",IF(IF(INDIRECT("brand_form!T"&amp;ROW())="","",INDIRECT("brand_form!T"&amp;ROW()))="Not sure","unsure",""))))</f>
        <v/>
      </c>
      <c r="V49" s="25">
        <f>IF(INDIRECT("brand_form!A"&amp;ROW())="","",IF(IF(INDIRECT("brand_form!U"&amp;ROW())="","",INDIRECT("brand_form!U"&amp;ROW()))="Yes","Y",IF(IF(INDIRECT("brand_form!U"&amp;ROW())="","",INDIRECT("brand_form!U"&amp;ROW()))="No","N",IF(IF(INDIRECT("brand_form!U"&amp;ROW())="","",INDIRECT("brand_form!U"&amp;ROW()))="Not sure","unsure",""))))</f>
        <v/>
      </c>
      <c r="W49" s="25">
        <f>IF(INDIRECT("brand_form!A"&amp;ROW())="","",IF(IF(INDIRECT("brand_form!V"&amp;ROW())="","",INDIRECT("brand_form!V"&amp;ROW()))="Yes","Y",IF(IF(INDIRECT("brand_form!V"&amp;ROW())="","",INDIRECT("brand_form!V"&amp;ROW()))="No","N",IF(IF(INDIRECT("brand_form!V"&amp;ROW())="","",INDIRECT("brand_form!V"&amp;ROW()))="Not sure","unsure",""))))</f>
        <v/>
      </c>
      <c r="X49" s="25">
        <f>IF(INDIRECT("brand_form!A"&amp;ROW())="","",IF(INDIRECT("brand_form!W"&amp;ROW())="","",INDIRECT("brand_form!W"&amp;ROW())))</f>
        <v/>
      </c>
      <c r="Y49" s="25">
        <f>IF(INDIRECT("brand_form!A"&amp;ROW())="","",IF(IF(INDIRECT("brand_form!X"&amp;ROW())="","",INDIRECT("brand_form!X"&amp;ROW()))&lt;&gt;"","Y",""))</f>
        <v/>
      </c>
      <c r="Z49" s="25">
        <f>IF(INDIRECT("brand_form!A"&amp;ROW())="","",IF(INDIRECT("brand_form!Y"&amp;ROW())="","",INDIRECT("brand_form!Y"&amp;ROW())))</f>
        <v/>
      </c>
      <c r="AA49" s="25">
        <f>IF(INDIRECT("brand_form!A"&amp;ROW())="","","founder")</f>
        <v/>
      </c>
    </row>
    <row r="50">
      <c r="A50" s="25">
        <f>IF(INDIRECT("brand_form!A"&amp;ROW())="","",TEXT(INDIRECT("brand_form!A"&amp;ROW()),"yyyy-mm-dd""T""hh:mm:ss"))</f>
        <v/>
      </c>
      <c r="B50" s="25">
        <f>IF(INDIRECT("brand_form!A"&amp;ROW())="","",config!$B$35)</f>
        <v/>
      </c>
      <c r="C50" s="25">
        <f>IF(INDIRECT("brand_form!A"&amp;ROW())="","",IF(INDIRECT("brand_form!B"&amp;ROW())="","",INDIRECT("brand_form!B"&amp;ROW())))</f>
        <v/>
      </c>
      <c r="D50" s="25">
        <f>IF(INDIRECT("brand_form!A"&amp;ROW())="","",IF(IF(INDIRECT("brand_form!C"&amp;ROW())="","",INDIRECT("brand_form!C"&amp;ROW()))="","",IF(LEFT(LOWER(IF(INDIRECT("brand_form!C"&amp;ROW())="","",INDIRECT("brand_form!C"&amp;ROW()))),4)="http",IF(INDIRECT("brand_form!C"&amp;ROW())="","",INDIRECT("brand_form!C"&amp;ROW())),"https://"&amp;IF(INDIRECT("brand_form!C"&amp;ROW())="","",INDIRECT("brand_form!C"&amp;ROW())))))</f>
        <v/>
      </c>
      <c r="E50" s="25">
        <f>IF(INDIRECT("brand_form!A"&amp;ROW())="","",IF(INDIRECT("brand_form!G"&amp;ROW())="","",INDIRECT("brand_form!G"&amp;ROW())))</f>
        <v/>
      </c>
      <c r="F50" s="25">
        <f>IF(INDIRECT("brand_form!A"&amp;ROW())="","",IF(INDIRECT("brand_form!H"&amp;ROW())="","",INDIRECT("brand_form!H"&amp;ROW())))</f>
        <v/>
      </c>
      <c r="G50" s="25">
        <f>IF(INDIRECT("brand_form!A"&amp;ROW())="","",IF(INDIRECT("brand_form!I"&amp;ROW())="","",INDIRECT("brand_form!I"&amp;ROW())))</f>
        <v/>
      </c>
      <c r="H50" s="25">
        <f>IF(INDIRECT("brand_form!A"&amp;ROW())="","",IF(INDIRECT("brand_form!J"&amp;ROW())="","",INDIRECT("brand_form!J"&amp;ROW())))</f>
        <v/>
      </c>
      <c r="I50" s="25">
        <f>IF(INDIRECT("brand_form!A"&amp;ROW())="","",IF(INDIRECT("brand_form!D"&amp;ROW())="","",INDIRECT("brand_form!D"&amp;ROW())))</f>
        <v/>
      </c>
      <c r="J5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0" s="25">
        <f>IF(INDIRECT("brand_form!A"&amp;ROW())="","",IF(INDIRECT("brand_form!F"&amp;ROW())="","",INDIRECT("brand_form!F"&amp;ROW())))</f>
        <v/>
      </c>
      <c r="L50" s="25">
        <f>IF(INDIRECT("brand_form!A"&amp;ROW())="","",IF(INDIRECT("brand_form!M"&amp;ROW())="","",INDIRECT("brand_form!M"&amp;ROW())))</f>
        <v/>
      </c>
      <c r="M50" s="25">
        <f>IF(INDIRECT("brand_form!A"&amp;ROW())="","",IF(IF(INDIRECT("brand_form!N"&amp;ROW())="","",INDIRECT("brand_form!N"&amp;ROW()))="","",IF(LEFT(LOWER(IF(INDIRECT("brand_form!N"&amp;ROW())="","",INDIRECT("brand_form!N"&amp;ROW()))),4)="http",IF(INDIRECT("brand_form!N"&amp;ROW())="","",INDIRECT("brand_form!N"&amp;ROW())),"https://"&amp;IF(INDIRECT("brand_form!N"&amp;ROW())="","",INDIRECT("brand_form!N"&amp;ROW())))))</f>
        <v/>
      </c>
      <c r="N50" s="25">
        <f>IF(INDIRECT("brand_form!A"&amp;ROW())="","",IF(IF(INDIRECT("brand_form!O"&amp;ROW())="","",INDIRECT("brand_form!O"&amp;ROW()))="Yes","Y",IF(IF(INDIRECT("brand_form!O"&amp;ROW())="","",INDIRECT("brand_form!O"&amp;ROW()))="No","N","")))</f>
        <v/>
      </c>
      <c r="O5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0" s="25">
        <f>IF(INDIRECT("brand_form!A"&amp;ROW())="","",IF(IF(INDIRECT("brand_form!K"&amp;ROW())="","",INDIRECT("brand_form!K"&amp;ROW()))="I do","Y",IF(IF(INDIRECT("brand_form!K"&amp;ROW())="","",INDIRECT("brand_form!K"&amp;ROW()))="Someone else","N","")))</f>
        <v/>
      </c>
      <c r="Q50" s="25">
        <f>IF(INDIRECT("brand_form!A"&amp;ROW())="","",IF($P50="Y",$E50&amp;", "&amp;$F50,IF(INDIRECT("brand_form!L"&amp;ROW())="","",INDIRECT("brand_form!L"&amp;ROW()))))</f>
        <v/>
      </c>
      <c r="R50" s="25">
        <f>IF(INDIRECT("brand_form!A"&amp;ROW())="","",IF(IF(INDIRECT("brand_form!Q"&amp;ROW())="","",INDIRECT("brand_form!Q"&amp;ROW()))="Yes","Y",IF(IF(INDIRECT("brand_form!Q"&amp;ROW())="","",INDIRECT("brand_form!Q"&amp;ROW()))="No","N",IF(IF(INDIRECT("brand_form!Q"&amp;ROW())="","",INDIRECT("brand_form!Q"&amp;ROW()))="Not sure","unsure",""))))</f>
        <v/>
      </c>
      <c r="S50" s="25">
        <f>IF(INDIRECT("brand_form!A"&amp;ROW())="","",IF(IF(INDIRECT("brand_form!R"&amp;ROW())="","",INDIRECT("brand_form!R"&amp;ROW()))="Yes","Y",IF(IF(INDIRECT("brand_form!R"&amp;ROW())="","",INDIRECT("brand_form!R"&amp;ROW()))="No","N",IF(IF(INDIRECT("brand_form!R"&amp;ROW())="","",INDIRECT("brand_form!R"&amp;ROW()))="Not sure","unsure",""))))</f>
        <v/>
      </c>
      <c r="T50" s="25">
        <f>IF(INDIRECT("brand_form!A"&amp;ROW())="","",IF(IF(INDIRECT("brand_form!S"&amp;ROW())="","",INDIRECT("brand_form!S"&amp;ROW()))="Yes","Y",IF(IF(INDIRECT("brand_form!S"&amp;ROW())="","",INDIRECT("brand_form!S"&amp;ROW()))="No","N",IF(IF(INDIRECT("brand_form!S"&amp;ROW())="","",INDIRECT("brand_form!S"&amp;ROW()))="Not sure","unsure",""))))</f>
        <v/>
      </c>
      <c r="U50" s="25">
        <f>IF(INDIRECT("brand_form!A"&amp;ROW())="","",IF(IF(INDIRECT("brand_form!T"&amp;ROW())="","",INDIRECT("brand_form!T"&amp;ROW()))="Yes","Y",IF(IF(INDIRECT("brand_form!T"&amp;ROW())="","",INDIRECT("brand_form!T"&amp;ROW()))="No","N",IF(IF(INDIRECT("brand_form!T"&amp;ROW())="","",INDIRECT("brand_form!T"&amp;ROW()))="Not sure","unsure",""))))</f>
        <v/>
      </c>
      <c r="V50" s="25">
        <f>IF(INDIRECT("brand_form!A"&amp;ROW())="","",IF(IF(INDIRECT("brand_form!U"&amp;ROW())="","",INDIRECT("brand_form!U"&amp;ROW()))="Yes","Y",IF(IF(INDIRECT("brand_form!U"&amp;ROW())="","",INDIRECT("brand_form!U"&amp;ROW()))="No","N",IF(IF(INDIRECT("brand_form!U"&amp;ROW())="","",INDIRECT("brand_form!U"&amp;ROW()))="Not sure","unsure",""))))</f>
        <v/>
      </c>
      <c r="W50" s="25">
        <f>IF(INDIRECT("brand_form!A"&amp;ROW())="","",IF(IF(INDIRECT("brand_form!V"&amp;ROW())="","",INDIRECT("brand_form!V"&amp;ROW()))="Yes","Y",IF(IF(INDIRECT("brand_form!V"&amp;ROW())="","",INDIRECT("brand_form!V"&amp;ROW()))="No","N",IF(IF(INDIRECT("brand_form!V"&amp;ROW())="","",INDIRECT("brand_form!V"&amp;ROW()))="Not sure","unsure",""))))</f>
        <v/>
      </c>
      <c r="X50" s="25">
        <f>IF(INDIRECT("brand_form!A"&amp;ROW())="","",IF(INDIRECT("brand_form!W"&amp;ROW())="","",INDIRECT("brand_form!W"&amp;ROW())))</f>
        <v/>
      </c>
      <c r="Y50" s="25">
        <f>IF(INDIRECT("brand_form!A"&amp;ROW())="","",IF(IF(INDIRECT("brand_form!X"&amp;ROW())="","",INDIRECT("brand_form!X"&amp;ROW()))&lt;&gt;"","Y",""))</f>
        <v/>
      </c>
      <c r="Z50" s="25">
        <f>IF(INDIRECT("brand_form!A"&amp;ROW())="","",IF(INDIRECT("brand_form!Y"&amp;ROW())="","",INDIRECT("brand_form!Y"&amp;ROW())))</f>
        <v/>
      </c>
      <c r="AA50" s="25">
        <f>IF(INDIRECT("brand_form!A"&amp;ROW())="","","founder")</f>
        <v/>
      </c>
    </row>
    <row r="51">
      <c r="A51" s="25">
        <f>IF(INDIRECT("brand_form!A"&amp;ROW())="","",TEXT(INDIRECT("brand_form!A"&amp;ROW()),"yyyy-mm-dd""T""hh:mm:ss"))</f>
        <v/>
      </c>
      <c r="B51" s="25">
        <f>IF(INDIRECT("brand_form!A"&amp;ROW())="","",config!$B$35)</f>
        <v/>
      </c>
      <c r="C51" s="25">
        <f>IF(INDIRECT("brand_form!A"&amp;ROW())="","",IF(INDIRECT("brand_form!B"&amp;ROW())="","",INDIRECT("brand_form!B"&amp;ROW())))</f>
        <v/>
      </c>
      <c r="D51" s="25">
        <f>IF(INDIRECT("brand_form!A"&amp;ROW())="","",IF(IF(INDIRECT("brand_form!C"&amp;ROW())="","",INDIRECT("brand_form!C"&amp;ROW()))="","",IF(LEFT(LOWER(IF(INDIRECT("brand_form!C"&amp;ROW())="","",INDIRECT("brand_form!C"&amp;ROW()))),4)="http",IF(INDIRECT("brand_form!C"&amp;ROW())="","",INDIRECT("brand_form!C"&amp;ROW())),"https://"&amp;IF(INDIRECT("brand_form!C"&amp;ROW())="","",INDIRECT("brand_form!C"&amp;ROW())))))</f>
        <v/>
      </c>
      <c r="E51" s="25">
        <f>IF(INDIRECT("brand_form!A"&amp;ROW())="","",IF(INDIRECT("brand_form!G"&amp;ROW())="","",INDIRECT("brand_form!G"&amp;ROW())))</f>
        <v/>
      </c>
      <c r="F51" s="25">
        <f>IF(INDIRECT("brand_form!A"&amp;ROW())="","",IF(INDIRECT("brand_form!H"&amp;ROW())="","",INDIRECT("brand_form!H"&amp;ROW())))</f>
        <v/>
      </c>
      <c r="G51" s="25">
        <f>IF(INDIRECT("brand_form!A"&amp;ROW())="","",IF(INDIRECT("brand_form!I"&amp;ROW())="","",INDIRECT("brand_form!I"&amp;ROW())))</f>
        <v/>
      </c>
      <c r="H51" s="25">
        <f>IF(INDIRECT("brand_form!A"&amp;ROW())="","",IF(INDIRECT("brand_form!J"&amp;ROW())="","",INDIRECT("brand_form!J"&amp;ROW())))</f>
        <v/>
      </c>
      <c r="I51" s="25">
        <f>IF(INDIRECT("brand_form!A"&amp;ROW())="","",IF(INDIRECT("brand_form!D"&amp;ROW())="","",INDIRECT("brand_form!D"&amp;ROW())))</f>
        <v/>
      </c>
      <c r="J5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1" s="25">
        <f>IF(INDIRECT("brand_form!A"&amp;ROW())="","",IF(INDIRECT("brand_form!F"&amp;ROW())="","",INDIRECT("brand_form!F"&amp;ROW())))</f>
        <v/>
      </c>
      <c r="L51" s="25">
        <f>IF(INDIRECT("brand_form!A"&amp;ROW())="","",IF(INDIRECT("brand_form!M"&amp;ROW())="","",INDIRECT("brand_form!M"&amp;ROW())))</f>
        <v/>
      </c>
      <c r="M51" s="25">
        <f>IF(INDIRECT("brand_form!A"&amp;ROW())="","",IF(IF(INDIRECT("brand_form!N"&amp;ROW())="","",INDIRECT("brand_form!N"&amp;ROW()))="","",IF(LEFT(LOWER(IF(INDIRECT("brand_form!N"&amp;ROW())="","",INDIRECT("brand_form!N"&amp;ROW()))),4)="http",IF(INDIRECT("brand_form!N"&amp;ROW())="","",INDIRECT("brand_form!N"&amp;ROW())),"https://"&amp;IF(INDIRECT("brand_form!N"&amp;ROW())="","",INDIRECT("brand_form!N"&amp;ROW())))))</f>
        <v/>
      </c>
      <c r="N51" s="25">
        <f>IF(INDIRECT("brand_form!A"&amp;ROW())="","",IF(IF(INDIRECT("brand_form!O"&amp;ROW())="","",INDIRECT("brand_form!O"&amp;ROW()))="Yes","Y",IF(IF(INDIRECT("brand_form!O"&amp;ROW())="","",INDIRECT("brand_form!O"&amp;ROW()))="No","N","")))</f>
        <v/>
      </c>
      <c r="O5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1" s="25">
        <f>IF(INDIRECT("brand_form!A"&amp;ROW())="","",IF(IF(INDIRECT("brand_form!K"&amp;ROW())="","",INDIRECT("brand_form!K"&amp;ROW()))="I do","Y",IF(IF(INDIRECT("brand_form!K"&amp;ROW())="","",INDIRECT("brand_form!K"&amp;ROW()))="Someone else","N","")))</f>
        <v/>
      </c>
      <c r="Q51" s="25">
        <f>IF(INDIRECT("brand_form!A"&amp;ROW())="","",IF($P51="Y",$E51&amp;", "&amp;$F51,IF(INDIRECT("brand_form!L"&amp;ROW())="","",INDIRECT("brand_form!L"&amp;ROW()))))</f>
        <v/>
      </c>
      <c r="R51" s="25">
        <f>IF(INDIRECT("brand_form!A"&amp;ROW())="","",IF(IF(INDIRECT("brand_form!Q"&amp;ROW())="","",INDIRECT("brand_form!Q"&amp;ROW()))="Yes","Y",IF(IF(INDIRECT("brand_form!Q"&amp;ROW())="","",INDIRECT("brand_form!Q"&amp;ROW()))="No","N",IF(IF(INDIRECT("brand_form!Q"&amp;ROW())="","",INDIRECT("brand_form!Q"&amp;ROW()))="Not sure","unsure",""))))</f>
        <v/>
      </c>
      <c r="S51" s="25">
        <f>IF(INDIRECT("brand_form!A"&amp;ROW())="","",IF(IF(INDIRECT("brand_form!R"&amp;ROW())="","",INDIRECT("brand_form!R"&amp;ROW()))="Yes","Y",IF(IF(INDIRECT("brand_form!R"&amp;ROW())="","",INDIRECT("brand_form!R"&amp;ROW()))="No","N",IF(IF(INDIRECT("brand_form!R"&amp;ROW())="","",INDIRECT("brand_form!R"&amp;ROW()))="Not sure","unsure",""))))</f>
        <v/>
      </c>
      <c r="T51" s="25">
        <f>IF(INDIRECT("brand_form!A"&amp;ROW())="","",IF(IF(INDIRECT("brand_form!S"&amp;ROW())="","",INDIRECT("brand_form!S"&amp;ROW()))="Yes","Y",IF(IF(INDIRECT("brand_form!S"&amp;ROW())="","",INDIRECT("brand_form!S"&amp;ROW()))="No","N",IF(IF(INDIRECT("brand_form!S"&amp;ROW())="","",INDIRECT("brand_form!S"&amp;ROW()))="Not sure","unsure",""))))</f>
        <v/>
      </c>
      <c r="U51" s="25">
        <f>IF(INDIRECT("brand_form!A"&amp;ROW())="","",IF(IF(INDIRECT("brand_form!T"&amp;ROW())="","",INDIRECT("brand_form!T"&amp;ROW()))="Yes","Y",IF(IF(INDIRECT("brand_form!T"&amp;ROW())="","",INDIRECT("brand_form!T"&amp;ROW()))="No","N",IF(IF(INDIRECT("brand_form!T"&amp;ROW())="","",INDIRECT("brand_form!T"&amp;ROW()))="Not sure","unsure",""))))</f>
        <v/>
      </c>
      <c r="V51" s="25">
        <f>IF(INDIRECT("brand_form!A"&amp;ROW())="","",IF(IF(INDIRECT("brand_form!U"&amp;ROW())="","",INDIRECT("brand_form!U"&amp;ROW()))="Yes","Y",IF(IF(INDIRECT("brand_form!U"&amp;ROW())="","",INDIRECT("brand_form!U"&amp;ROW()))="No","N",IF(IF(INDIRECT("brand_form!U"&amp;ROW())="","",INDIRECT("brand_form!U"&amp;ROW()))="Not sure","unsure",""))))</f>
        <v/>
      </c>
      <c r="W51" s="25">
        <f>IF(INDIRECT("brand_form!A"&amp;ROW())="","",IF(IF(INDIRECT("brand_form!V"&amp;ROW())="","",INDIRECT("brand_form!V"&amp;ROW()))="Yes","Y",IF(IF(INDIRECT("brand_form!V"&amp;ROW())="","",INDIRECT("brand_form!V"&amp;ROW()))="No","N",IF(IF(INDIRECT("brand_form!V"&amp;ROW())="","",INDIRECT("brand_form!V"&amp;ROW()))="Not sure","unsure",""))))</f>
        <v/>
      </c>
      <c r="X51" s="25">
        <f>IF(INDIRECT("brand_form!A"&amp;ROW())="","",IF(INDIRECT("brand_form!W"&amp;ROW())="","",INDIRECT("brand_form!W"&amp;ROW())))</f>
        <v/>
      </c>
      <c r="Y51" s="25">
        <f>IF(INDIRECT("brand_form!A"&amp;ROW())="","",IF(IF(INDIRECT("brand_form!X"&amp;ROW())="","",INDIRECT("brand_form!X"&amp;ROW()))&lt;&gt;"","Y",""))</f>
        <v/>
      </c>
      <c r="Z51" s="25">
        <f>IF(INDIRECT("brand_form!A"&amp;ROW())="","",IF(INDIRECT("brand_form!Y"&amp;ROW())="","",INDIRECT("brand_form!Y"&amp;ROW())))</f>
        <v/>
      </c>
      <c r="AA51" s="25">
        <f>IF(INDIRECT("brand_form!A"&amp;ROW())="","","founder")</f>
        <v/>
      </c>
    </row>
    <row r="52">
      <c r="A52" s="25">
        <f>IF(INDIRECT("brand_form!A"&amp;ROW())="","",TEXT(INDIRECT("brand_form!A"&amp;ROW()),"yyyy-mm-dd""T""hh:mm:ss"))</f>
        <v/>
      </c>
      <c r="B52" s="25">
        <f>IF(INDIRECT("brand_form!A"&amp;ROW())="","",config!$B$35)</f>
        <v/>
      </c>
      <c r="C52" s="25">
        <f>IF(INDIRECT("brand_form!A"&amp;ROW())="","",IF(INDIRECT("brand_form!B"&amp;ROW())="","",INDIRECT("brand_form!B"&amp;ROW())))</f>
        <v/>
      </c>
      <c r="D52" s="25">
        <f>IF(INDIRECT("brand_form!A"&amp;ROW())="","",IF(IF(INDIRECT("brand_form!C"&amp;ROW())="","",INDIRECT("brand_form!C"&amp;ROW()))="","",IF(LEFT(LOWER(IF(INDIRECT("brand_form!C"&amp;ROW())="","",INDIRECT("brand_form!C"&amp;ROW()))),4)="http",IF(INDIRECT("brand_form!C"&amp;ROW())="","",INDIRECT("brand_form!C"&amp;ROW())),"https://"&amp;IF(INDIRECT("brand_form!C"&amp;ROW())="","",INDIRECT("brand_form!C"&amp;ROW())))))</f>
        <v/>
      </c>
      <c r="E52" s="25">
        <f>IF(INDIRECT("brand_form!A"&amp;ROW())="","",IF(INDIRECT("brand_form!G"&amp;ROW())="","",INDIRECT("brand_form!G"&amp;ROW())))</f>
        <v/>
      </c>
      <c r="F52" s="25">
        <f>IF(INDIRECT("brand_form!A"&amp;ROW())="","",IF(INDIRECT("brand_form!H"&amp;ROW())="","",INDIRECT("brand_form!H"&amp;ROW())))</f>
        <v/>
      </c>
      <c r="G52" s="25">
        <f>IF(INDIRECT("brand_form!A"&amp;ROW())="","",IF(INDIRECT("brand_form!I"&amp;ROW())="","",INDIRECT("brand_form!I"&amp;ROW())))</f>
        <v/>
      </c>
      <c r="H52" s="25">
        <f>IF(INDIRECT("brand_form!A"&amp;ROW())="","",IF(INDIRECT("brand_form!J"&amp;ROW())="","",INDIRECT("brand_form!J"&amp;ROW())))</f>
        <v/>
      </c>
      <c r="I52" s="25">
        <f>IF(INDIRECT("brand_form!A"&amp;ROW())="","",IF(INDIRECT("brand_form!D"&amp;ROW())="","",INDIRECT("brand_form!D"&amp;ROW())))</f>
        <v/>
      </c>
      <c r="J5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2" s="25">
        <f>IF(INDIRECT("brand_form!A"&amp;ROW())="","",IF(INDIRECT("brand_form!F"&amp;ROW())="","",INDIRECT("brand_form!F"&amp;ROW())))</f>
        <v/>
      </c>
      <c r="L52" s="25">
        <f>IF(INDIRECT("brand_form!A"&amp;ROW())="","",IF(INDIRECT("brand_form!M"&amp;ROW())="","",INDIRECT("brand_form!M"&amp;ROW())))</f>
        <v/>
      </c>
      <c r="M52" s="25">
        <f>IF(INDIRECT("brand_form!A"&amp;ROW())="","",IF(IF(INDIRECT("brand_form!N"&amp;ROW())="","",INDIRECT("brand_form!N"&amp;ROW()))="","",IF(LEFT(LOWER(IF(INDIRECT("brand_form!N"&amp;ROW())="","",INDIRECT("brand_form!N"&amp;ROW()))),4)="http",IF(INDIRECT("brand_form!N"&amp;ROW())="","",INDIRECT("brand_form!N"&amp;ROW())),"https://"&amp;IF(INDIRECT("brand_form!N"&amp;ROW())="","",INDIRECT("brand_form!N"&amp;ROW())))))</f>
        <v/>
      </c>
      <c r="N52" s="25">
        <f>IF(INDIRECT("brand_form!A"&amp;ROW())="","",IF(IF(INDIRECT("brand_form!O"&amp;ROW())="","",INDIRECT("brand_form!O"&amp;ROW()))="Yes","Y",IF(IF(INDIRECT("brand_form!O"&amp;ROW())="","",INDIRECT("brand_form!O"&amp;ROW()))="No","N","")))</f>
        <v/>
      </c>
      <c r="O5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2" s="25">
        <f>IF(INDIRECT("brand_form!A"&amp;ROW())="","",IF(IF(INDIRECT("brand_form!K"&amp;ROW())="","",INDIRECT("brand_form!K"&amp;ROW()))="I do","Y",IF(IF(INDIRECT("brand_form!K"&amp;ROW())="","",INDIRECT("brand_form!K"&amp;ROW()))="Someone else","N","")))</f>
        <v/>
      </c>
      <c r="Q52" s="25">
        <f>IF(INDIRECT("brand_form!A"&amp;ROW())="","",IF($P52="Y",$E52&amp;", "&amp;$F52,IF(INDIRECT("brand_form!L"&amp;ROW())="","",INDIRECT("brand_form!L"&amp;ROW()))))</f>
        <v/>
      </c>
      <c r="R52" s="25">
        <f>IF(INDIRECT("brand_form!A"&amp;ROW())="","",IF(IF(INDIRECT("brand_form!Q"&amp;ROW())="","",INDIRECT("brand_form!Q"&amp;ROW()))="Yes","Y",IF(IF(INDIRECT("brand_form!Q"&amp;ROW())="","",INDIRECT("brand_form!Q"&amp;ROW()))="No","N",IF(IF(INDIRECT("brand_form!Q"&amp;ROW())="","",INDIRECT("brand_form!Q"&amp;ROW()))="Not sure","unsure",""))))</f>
        <v/>
      </c>
      <c r="S52" s="25">
        <f>IF(INDIRECT("brand_form!A"&amp;ROW())="","",IF(IF(INDIRECT("brand_form!R"&amp;ROW())="","",INDIRECT("brand_form!R"&amp;ROW()))="Yes","Y",IF(IF(INDIRECT("brand_form!R"&amp;ROW())="","",INDIRECT("brand_form!R"&amp;ROW()))="No","N",IF(IF(INDIRECT("brand_form!R"&amp;ROW())="","",INDIRECT("brand_form!R"&amp;ROW()))="Not sure","unsure",""))))</f>
        <v/>
      </c>
      <c r="T52" s="25">
        <f>IF(INDIRECT("brand_form!A"&amp;ROW())="","",IF(IF(INDIRECT("brand_form!S"&amp;ROW())="","",INDIRECT("brand_form!S"&amp;ROW()))="Yes","Y",IF(IF(INDIRECT("brand_form!S"&amp;ROW())="","",INDIRECT("brand_form!S"&amp;ROW()))="No","N",IF(IF(INDIRECT("brand_form!S"&amp;ROW())="","",INDIRECT("brand_form!S"&amp;ROW()))="Not sure","unsure",""))))</f>
        <v/>
      </c>
      <c r="U52" s="25">
        <f>IF(INDIRECT("brand_form!A"&amp;ROW())="","",IF(IF(INDIRECT("brand_form!T"&amp;ROW())="","",INDIRECT("brand_form!T"&amp;ROW()))="Yes","Y",IF(IF(INDIRECT("brand_form!T"&amp;ROW())="","",INDIRECT("brand_form!T"&amp;ROW()))="No","N",IF(IF(INDIRECT("brand_form!T"&amp;ROW())="","",INDIRECT("brand_form!T"&amp;ROW()))="Not sure","unsure",""))))</f>
        <v/>
      </c>
      <c r="V52" s="25">
        <f>IF(INDIRECT("brand_form!A"&amp;ROW())="","",IF(IF(INDIRECT("brand_form!U"&amp;ROW())="","",INDIRECT("brand_form!U"&amp;ROW()))="Yes","Y",IF(IF(INDIRECT("brand_form!U"&amp;ROW())="","",INDIRECT("brand_form!U"&amp;ROW()))="No","N",IF(IF(INDIRECT("brand_form!U"&amp;ROW())="","",INDIRECT("brand_form!U"&amp;ROW()))="Not sure","unsure",""))))</f>
        <v/>
      </c>
      <c r="W52" s="25">
        <f>IF(INDIRECT("brand_form!A"&amp;ROW())="","",IF(IF(INDIRECT("brand_form!V"&amp;ROW())="","",INDIRECT("brand_form!V"&amp;ROW()))="Yes","Y",IF(IF(INDIRECT("brand_form!V"&amp;ROW())="","",INDIRECT("brand_form!V"&amp;ROW()))="No","N",IF(IF(INDIRECT("brand_form!V"&amp;ROW())="","",INDIRECT("brand_form!V"&amp;ROW()))="Not sure","unsure",""))))</f>
        <v/>
      </c>
      <c r="X52" s="25">
        <f>IF(INDIRECT("brand_form!A"&amp;ROW())="","",IF(INDIRECT("brand_form!W"&amp;ROW())="","",INDIRECT("brand_form!W"&amp;ROW())))</f>
        <v/>
      </c>
      <c r="Y52" s="25">
        <f>IF(INDIRECT("brand_form!A"&amp;ROW())="","",IF(IF(INDIRECT("brand_form!X"&amp;ROW())="","",INDIRECT("brand_form!X"&amp;ROW()))&lt;&gt;"","Y",""))</f>
        <v/>
      </c>
      <c r="Z52" s="25">
        <f>IF(INDIRECT("brand_form!A"&amp;ROW())="","",IF(INDIRECT("brand_form!Y"&amp;ROW())="","",INDIRECT("brand_form!Y"&amp;ROW())))</f>
        <v/>
      </c>
      <c r="AA52" s="25">
        <f>IF(INDIRECT("brand_form!A"&amp;ROW())="","","founder")</f>
        <v/>
      </c>
    </row>
    <row r="53">
      <c r="A53" s="25">
        <f>IF(INDIRECT("brand_form!A"&amp;ROW())="","",TEXT(INDIRECT("brand_form!A"&amp;ROW()),"yyyy-mm-dd""T""hh:mm:ss"))</f>
        <v/>
      </c>
      <c r="B53" s="25">
        <f>IF(INDIRECT("brand_form!A"&amp;ROW())="","",config!$B$35)</f>
        <v/>
      </c>
      <c r="C53" s="25">
        <f>IF(INDIRECT("brand_form!A"&amp;ROW())="","",IF(INDIRECT("brand_form!B"&amp;ROW())="","",INDIRECT("brand_form!B"&amp;ROW())))</f>
        <v/>
      </c>
      <c r="D53" s="25">
        <f>IF(INDIRECT("brand_form!A"&amp;ROW())="","",IF(IF(INDIRECT("brand_form!C"&amp;ROW())="","",INDIRECT("brand_form!C"&amp;ROW()))="","",IF(LEFT(LOWER(IF(INDIRECT("brand_form!C"&amp;ROW())="","",INDIRECT("brand_form!C"&amp;ROW()))),4)="http",IF(INDIRECT("brand_form!C"&amp;ROW())="","",INDIRECT("brand_form!C"&amp;ROW())),"https://"&amp;IF(INDIRECT("brand_form!C"&amp;ROW())="","",INDIRECT("brand_form!C"&amp;ROW())))))</f>
        <v/>
      </c>
      <c r="E53" s="25">
        <f>IF(INDIRECT("brand_form!A"&amp;ROW())="","",IF(INDIRECT("brand_form!G"&amp;ROW())="","",INDIRECT("brand_form!G"&amp;ROW())))</f>
        <v/>
      </c>
      <c r="F53" s="25">
        <f>IF(INDIRECT("brand_form!A"&amp;ROW())="","",IF(INDIRECT("brand_form!H"&amp;ROW())="","",INDIRECT("brand_form!H"&amp;ROW())))</f>
        <v/>
      </c>
      <c r="G53" s="25">
        <f>IF(INDIRECT("brand_form!A"&amp;ROW())="","",IF(INDIRECT("brand_form!I"&amp;ROW())="","",INDIRECT("brand_form!I"&amp;ROW())))</f>
        <v/>
      </c>
      <c r="H53" s="25">
        <f>IF(INDIRECT("brand_form!A"&amp;ROW())="","",IF(INDIRECT("brand_form!J"&amp;ROW())="","",INDIRECT("brand_form!J"&amp;ROW())))</f>
        <v/>
      </c>
      <c r="I53" s="25">
        <f>IF(INDIRECT("brand_form!A"&amp;ROW())="","",IF(INDIRECT("brand_form!D"&amp;ROW())="","",INDIRECT("brand_form!D"&amp;ROW())))</f>
        <v/>
      </c>
      <c r="J5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3" s="25">
        <f>IF(INDIRECT("brand_form!A"&amp;ROW())="","",IF(INDIRECT("brand_form!F"&amp;ROW())="","",INDIRECT("brand_form!F"&amp;ROW())))</f>
        <v/>
      </c>
      <c r="L53" s="25">
        <f>IF(INDIRECT("brand_form!A"&amp;ROW())="","",IF(INDIRECT("brand_form!M"&amp;ROW())="","",INDIRECT("brand_form!M"&amp;ROW())))</f>
        <v/>
      </c>
      <c r="M53" s="25">
        <f>IF(INDIRECT("brand_form!A"&amp;ROW())="","",IF(IF(INDIRECT("brand_form!N"&amp;ROW())="","",INDIRECT("brand_form!N"&amp;ROW()))="","",IF(LEFT(LOWER(IF(INDIRECT("brand_form!N"&amp;ROW())="","",INDIRECT("brand_form!N"&amp;ROW()))),4)="http",IF(INDIRECT("brand_form!N"&amp;ROW())="","",INDIRECT("brand_form!N"&amp;ROW())),"https://"&amp;IF(INDIRECT("brand_form!N"&amp;ROW())="","",INDIRECT("brand_form!N"&amp;ROW())))))</f>
        <v/>
      </c>
      <c r="N53" s="25">
        <f>IF(INDIRECT("brand_form!A"&amp;ROW())="","",IF(IF(INDIRECT("brand_form!O"&amp;ROW())="","",INDIRECT("brand_form!O"&amp;ROW()))="Yes","Y",IF(IF(INDIRECT("brand_form!O"&amp;ROW())="","",INDIRECT("brand_form!O"&amp;ROW()))="No","N","")))</f>
        <v/>
      </c>
      <c r="O5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3" s="25">
        <f>IF(INDIRECT("brand_form!A"&amp;ROW())="","",IF(IF(INDIRECT("brand_form!K"&amp;ROW())="","",INDIRECT("brand_form!K"&amp;ROW()))="I do","Y",IF(IF(INDIRECT("brand_form!K"&amp;ROW())="","",INDIRECT("brand_form!K"&amp;ROW()))="Someone else","N","")))</f>
        <v/>
      </c>
      <c r="Q53" s="25">
        <f>IF(INDIRECT("brand_form!A"&amp;ROW())="","",IF($P53="Y",$E53&amp;", "&amp;$F53,IF(INDIRECT("brand_form!L"&amp;ROW())="","",INDIRECT("brand_form!L"&amp;ROW()))))</f>
        <v/>
      </c>
      <c r="R53" s="25">
        <f>IF(INDIRECT("brand_form!A"&amp;ROW())="","",IF(IF(INDIRECT("brand_form!Q"&amp;ROW())="","",INDIRECT("brand_form!Q"&amp;ROW()))="Yes","Y",IF(IF(INDIRECT("brand_form!Q"&amp;ROW())="","",INDIRECT("brand_form!Q"&amp;ROW()))="No","N",IF(IF(INDIRECT("brand_form!Q"&amp;ROW())="","",INDIRECT("brand_form!Q"&amp;ROW()))="Not sure","unsure",""))))</f>
        <v/>
      </c>
      <c r="S53" s="25">
        <f>IF(INDIRECT("brand_form!A"&amp;ROW())="","",IF(IF(INDIRECT("brand_form!R"&amp;ROW())="","",INDIRECT("brand_form!R"&amp;ROW()))="Yes","Y",IF(IF(INDIRECT("brand_form!R"&amp;ROW())="","",INDIRECT("brand_form!R"&amp;ROW()))="No","N",IF(IF(INDIRECT("brand_form!R"&amp;ROW())="","",INDIRECT("brand_form!R"&amp;ROW()))="Not sure","unsure",""))))</f>
        <v/>
      </c>
      <c r="T53" s="25">
        <f>IF(INDIRECT("brand_form!A"&amp;ROW())="","",IF(IF(INDIRECT("brand_form!S"&amp;ROW())="","",INDIRECT("brand_form!S"&amp;ROW()))="Yes","Y",IF(IF(INDIRECT("brand_form!S"&amp;ROW())="","",INDIRECT("brand_form!S"&amp;ROW()))="No","N",IF(IF(INDIRECT("brand_form!S"&amp;ROW())="","",INDIRECT("brand_form!S"&amp;ROW()))="Not sure","unsure",""))))</f>
        <v/>
      </c>
      <c r="U53" s="25">
        <f>IF(INDIRECT("brand_form!A"&amp;ROW())="","",IF(IF(INDIRECT("brand_form!T"&amp;ROW())="","",INDIRECT("brand_form!T"&amp;ROW()))="Yes","Y",IF(IF(INDIRECT("brand_form!T"&amp;ROW())="","",INDIRECT("brand_form!T"&amp;ROW()))="No","N",IF(IF(INDIRECT("brand_form!T"&amp;ROW())="","",INDIRECT("brand_form!T"&amp;ROW()))="Not sure","unsure",""))))</f>
        <v/>
      </c>
      <c r="V53" s="25">
        <f>IF(INDIRECT("brand_form!A"&amp;ROW())="","",IF(IF(INDIRECT("brand_form!U"&amp;ROW())="","",INDIRECT("brand_form!U"&amp;ROW()))="Yes","Y",IF(IF(INDIRECT("brand_form!U"&amp;ROW())="","",INDIRECT("brand_form!U"&amp;ROW()))="No","N",IF(IF(INDIRECT("brand_form!U"&amp;ROW())="","",INDIRECT("brand_form!U"&amp;ROW()))="Not sure","unsure",""))))</f>
        <v/>
      </c>
      <c r="W53" s="25">
        <f>IF(INDIRECT("brand_form!A"&amp;ROW())="","",IF(IF(INDIRECT("brand_form!V"&amp;ROW())="","",INDIRECT("brand_form!V"&amp;ROW()))="Yes","Y",IF(IF(INDIRECT("brand_form!V"&amp;ROW())="","",INDIRECT("brand_form!V"&amp;ROW()))="No","N",IF(IF(INDIRECT("brand_form!V"&amp;ROW())="","",INDIRECT("brand_form!V"&amp;ROW()))="Not sure","unsure",""))))</f>
        <v/>
      </c>
      <c r="X53" s="25">
        <f>IF(INDIRECT("brand_form!A"&amp;ROW())="","",IF(INDIRECT("brand_form!W"&amp;ROW())="","",INDIRECT("brand_form!W"&amp;ROW())))</f>
        <v/>
      </c>
      <c r="Y53" s="25">
        <f>IF(INDIRECT("brand_form!A"&amp;ROW())="","",IF(IF(INDIRECT("brand_form!X"&amp;ROW())="","",INDIRECT("brand_form!X"&amp;ROW()))&lt;&gt;"","Y",""))</f>
        <v/>
      </c>
      <c r="Z53" s="25">
        <f>IF(INDIRECT("brand_form!A"&amp;ROW())="","",IF(INDIRECT("brand_form!Y"&amp;ROW())="","",INDIRECT("brand_form!Y"&amp;ROW())))</f>
        <v/>
      </c>
      <c r="AA53" s="25">
        <f>IF(INDIRECT("brand_form!A"&amp;ROW())="","","founder")</f>
        <v/>
      </c>
    </row>
    <row r="54">
      <c r="A54" s="25">
        <f>IF(INDIRECT("brand_form!A"&amp;ROW())="","",TEXT(INDIRECT("brand_form!A"&amp;ROW()),"yyyy-mm-dd""T""hh:mm:ss"))</f>
        <v/>
      </c>
      <c r="B54" s="25">
        <f>IF(INDIRECT("brand_form!A"&amp;ROW())="","",config!$B$35)</f>
        <v/>
      </c>
      <c r="C54" s="25">
        <f>IF(INDIRECT("brand_form!A"&amp;ROW())="","",IF(INDIRECT("brand_form!B"&amp;ROW())="","",INDIRECT("brand_form!B"&amp;ROW())))</f>
        <v/>
      </c>
      <c r="D54" s="25">
        <f>IF(INDIRECT("brand_form!A"&amp;ROW())="","",IF(IF(INDIRECT("brand_form!C"&amp;ROW())="","",INDIRECT("brand_form!C"&amp;ROW()))="","",IF(LEFT(LOWER(IF(INDIRECT("brand_form!C"&amp;ROW())="","",INDIRECT("brand_form!C"&amp;ROW()))),4)="http",IF(INDIRECT("brand_form!C"&amp;ROW())="","",INDIRECT("brand_form!C"&amp;ROW())),"https://"&amp;IF(INDIRECT("brand_form!C"&amp;ROW())="","",INDIRECT("brand_form!C"&amp;ROW())))))</f>
        <v/>
      </c>
      <c r="E54" s="25">
        <f>IF(INDIRECT("brand_form!A"&amp;ROW())="","",IF(INDIRECT("brand_form!G"&amp;ROW())="","",INDIRECT("brand_form!G"&amp;ROW())))</f>
        <v/>
      </c>
      <c r="F54" s="25">
        <f>IF(INDIRECT("brand_form!A"&amp;ROW())="","",IF(INDIRECT("brand_form!H"&amp;ROW())="","",INDIRECT("brand_form!H"&amp;ROW())))</f>
        <v/>
      </c>
      <c r="G54" s="25">
        <f>IF(INDIRECT("brand_form!A"&amp;ROW())="","",IF(INDIRECT("brand_form!I"&amp;ROW())="","",INDIRECT("brand_form!I"&amp;ROW())))</f>
        <v/>
      </c>
      <c r="H54" s="25">
        <f>IF(INDIRECT("brand_form!A"&amp;ROW())="","",IF(INDIRECT("brand_form!J"&amp;ROW())="","",INDIRECT("brand_form!J"&amp;ROW())))</f>
        <v/>
      </c>
      <c r="I54" s="25">
        <f>IF(INDIRECT("brand_form!A"&amp;ROW())="","",IF(INDIRECT("brand_form!D"&amp;ROW())="","",INDIRECT("brand_form!D"&amp;ROW())))</f>
        <v/>
      </c>
      <c r="J5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4" s="25">
        <f>IF(INDIRECT("brand_form!A"&amp;ROW())="","",IF(INDIRECT("brand_form!F"&amp;ROW())="","",INDIRECT("brand_form!F"&amp;ROW())))</f>
        <v/>
      </c>
      <c r="L54" s="25">
        <f>IF(INDIRECT("brand_form!A"&amp;ROW())="","",IF(INDIRECT("brand_form!M"&amp;ROW())="","",INDIRECT("brand_form!M"&amp;ROW())))</f>
        <v/>
      </c>
      <c r="M54" s="25">
        <f>IF(INDIRECT("brand_form!A"&amp;ROW())="","",IF(IF(INDIRECT("brand_form!N"&amp;ROW())="","",INDIRECT("brand_form!N"&amp;ROW()))="","",IF(LEFT(LOWER(IF(INDIRECT("brand_form!N"&amp;ROW())="","",INDIRECT("brand_form!N"&amp;ROW()))),4)="http",IF(INDIRECT("brand_form!N"&amp;ROW())="","",INDIRECT("brand_form!N"&amp;ROW())),"https://"&amp;IF(INDIRECT("brand_form!N"&amp;ROW())="","",INDIRECT("brand_form!N"&amp;ROW())))))</f>
        <v/>
      </c>
      <c r="N54" s="25">
        <f>IF(INDIRECT("brand_form!A"&amp;ROW())="","",IF(IF(INDIRECT("brand_form!O"&amp;ROW())="","",INDIRECT("brand_form!O"&amp;ROW()))="Yes","Y",IF(IF(INDIRECT("brand_form!O"&amp;ROW())="","",INDIRECT("brand_form!O"&amp;ROW()))="No","N","")))</f>
        <v/>
      </c>
      <c r="O5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4" s="25">
        <f>IF(INDIRECT("brand_form!A"&amp;ROW())="","",IF(IF(INDIRECT("brand_form!K"&amp;ROW())="","",INDIRECT("brand_form!K"&amp;ROW()))="I do","Y",IF(IF(INDIRECT("brand_form!K"&amp;ROW())="","",INDIRECT("brand_form!K"&amp;ROW()))="Someone else","N","")))</f>
        <v/>
      </c>
      <c r="Q54" s="25">
        <f>IF(INDIRECT("brand_form!A"&amp;ROW())="","",IF($P54="Y",$E54&amp;", "&amp;$F54,IF(INDIRECT("brand_form!L"&amp;ROW())="","",INDIRECT("brand_form!L"&amp;ROW()))))</f>
        <v/>
      </c>
      <c r="R54" s="25">
        <f>IF(INDIRECT("brand_form!A"&amp;ROW())="","",IF(IF(INDIRECT("brand_form!Q"&amp;ROW())="","",INDIRECT("brand_form!Q"&amp;ROW()))="Yes","Y",IF(IF(INDIRECT("brand_form!Q"&amp;ROW())="","",INDIRECT("brand_form!Q"&amp;ROW()))="No","N",IF(IF(INDIRECT("brand_form!Q"&amp;ROW())="","",INDIRECT("brand_form!Q"&amp;ROW()))="Not sure","unsure",""))))</f>
        <v/>
      </c>
      <c r="S54" s="25">
        <f>IF(INDIRECT("brand_form!A"&amp;ROW())="","",IF(IF(INDIRECT("brand_form!R"&amp;ROW())="","",INDIRECT("brand_form!R"&amp;ROW()))="Yes","Y",IF(IF(INDIRECT("brand_form!R"&amp;ROW())="","",INDIRECT("brand_form!R"&amp;ROW()))="No","N",IF(IF(INDIRECT("brand_form!R"&amp;ROW())="","",INDIRECT("brand_form!R"&amp;ROW()))="Not sure","unsure",""))))</f>
        <v/>
      </c>
      <c r="T54" s="25">
        <f>IF(INDIRECT("brand_form!A"&amp;ROW())="","",IF(IF(INDIRECT("brand_form!S"&amp;ROW())="","",INDIRECT("brand_form!S"&amp;ROW()))="Yes","Y",IF(IF(INDIRECT("brand_form!S"&amp;ROW())="","",INDIRECT("brand_form!S"&amp;ROW()))="No","N",IF(IF(INDIRECT("brand_form!S"&amp;ROW())="","",INDIRECT("brand_form!S"&amp;ROW()))="Not sure","unsure",""))))</f>
        <v/>
      </c>
      <c r="U54" s="25">
        <f>IF(INDIRECT("brand_form!A"&amp;ROW())="","",IF(IF(INDIRECT("brand_form!T"&amp;ROW())="","",INDIRECT("brand_form!T"&amp;ROW()))="Yes","Y",IF(IF(INDIRECT("brand_form!T"&amp;ROW())="","",INDIRECT("brand_form!T"&amp;ROW()))="No","N",IF(IF(INDIRECT("brand_form!T"&amp;ROW())="","",INDIRECT("brand_form!T"&amp;ROW()))="Not sure","unsure",""))))</f>
        <v/>
      </c>
      <c r="V54" s="25">
        <f>IF(INDIRECT("brand_form!A"&amp;ROW())="","",IF(IF(INDIRECT("brand_form!U"&amp;ROW())="","",INDIRECT("brand_form!U"&amp;ROW()))="Yes","Y",IF(IF(INDIRECT("brand_form!U"&amp;ROW())="","",INDIRECT("brand_form!U"&amp;ROW()))="No","N",IF(IF(INDIRECT("brand_form!U"&amp;ROW())="","",INDIRECT("brand_form!U"&amp;ROW()))="Not sure","unsure",""))))</f>
        <v/>
      </c>
      <c r="W54" s="25">
        <f>IF(INDIRECT("brand_form!A"&amp;ROW())="","",IF(IF(INDIRECT("brand_form!V"&amp;ROW())="","",INDIRECT("brand_form!V"&amp;ROW()))="Yes","Y",IF(IF(INDIRECT("brand_form!V"&amp;ROW())="","",INDIRECT("brand_form!V"&amp;ROW()))="No","N",IF(IF(INDIRECT("brand_form!V"&amp;ROW())="","",INDIRECT("brand_form!V"&amp;ROW()))="Not sure","unsure",""))))</f>
        <v/>
      </c>
      <c r="X54" s="25">
        <f>IF(INDIRECT("brand_form!A"&amp;ROW())="","",IF(INDIRECT("brand_form!W"&amp;ROW())="","",INDIRECT("brand_form!W"&amp;ROW())))</f>
        <v/>
      </c>
      <c r="Y54" s="25">
        <f>IF(INDIRECT("brand_form!A"&amp;ROW())="","",IF(IF(INDIRECT("brand_form!X"&amp;ROW())="","",INDIRECT("brand_form!X"&amp;ROW()))&lt;&gt;"","Y",""))</f>
        <v/>
      </c>
      <c r="Z54" s="25">
        <f>IF(INDIRECT("brand_form!A"&amp;ROW())="","",IF(INDIRECT("brand_form!Y"&amp;ROW())="","",INDIRECT("brand_form!Y"&amp;ROW())))</f>
        <v/>
      </c>
      <c r="AA54" s="25">
        <f>IF(INDIRECT("brand_form!A"&amp;ROW())="","","founder")</f>
        <v/>
      </c>
    </row>
    <row r="55">
      <c r="A55" s="25">
        <f>IF(INDIRECT("brand_form!A"&amp;ROW())="","",TEXT(INDIRECT("brand_form!A"&amp;ROW()),"yyyy-mm-dd""T""hh:mm:ss"))</f>
        <v/>
      </c>
      <c r="B55" s="25">
        <f>IF(INDIRECT("brand_form!A"&amp;ROW())="","",config!$B$35)</f>
        <v/>
      </c>
      <c r="C55" s="25">
        <f>IF(INDIRECT("brand_form!A"&amp;ROW())="","",IF(INDIRECT("brand_form!B"&amp;ROW())="","",INDIRECT("brand_form!B"&amp;ROW())))</f>
        <v/>
      </c>
      <c r="D55" s="25">
        <f>IF(INDIRECT("brand_form!A"&amp;ROW())="","",IF(IF(INDIRECT("brand_form!C"&amp;ROW())="","",INDIRECT("brand_form!C"&amp;ROW()))="","",IF(LEFT(LOWER(IF(INDIRECT("brand_form!C"&amp;ROW())="","",INDIRECT("brand_form!C"&amp;ROW()))),4)="http",IF(INDIRECT("brand_form!C"&amp;ROW())="","",INDIRECT("brand_form!C"&amp;ROW())),"https://"&amp;IF(INDIRECT("brand_form!C"&amp;ROW())="","",INDIRECT("brand_form!C"&amp;ROW())))))</f>
        <v/>
      </c>
      <c r="E55" s="25">
        <f>IF(INDIRECT("brand_form!A"&amp;ROW())="","",IF(INDIRECT("brand_form!G"&amp;ROW())="","",INDIRECT("brand_form!G"&amp;ROW())))</f>
        <v/>
      </c>
      <c r="F55" s="25">
        <f>IF(INDIRECT("brand_form!A"&amp;ROW())="","",IF(INDIRECT("brand_form!H"&amp;ROW())="","",INDIRECT("brand_form!H"&amp;ROW())))</f>
        <v/>
      </c>
      <c r="G55" s="25">
        <f>IF(INDIRECT("brand_form!A"&amp;ROW())="","",IF(INDIRECT("brand_form!I"&amp;ROW())="","",INDIRECT("brand_form!I"&amp;ROW())))</f>
        <v/>
      </c>
      <c r="H55" s="25">
        <f>IF(INDIRECT("brand_form!A"&amp;ROW())="","",IF(INDIRECT("brand_form!J"&amp;ROW())="","",INDIRECT("brand_form!J"&amp;ROW())))</f>
        <v/>
      </c>
      <c r="I55" s="25">
        <f>IF(INDIRECT("brand_form!A"&amp;ROW())="","",IF(INDIRECT("brand_form!D"&amp;ROW())="","",INDIRECT("brand_form!D"&amp;ROW())))</f>
        <v/>
      </c>
      <c r="J5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5" s="25">
        <f>IF(INDIRECT("brand_form!A"&amp;ROW())="","",IF(INDIRECT("brand_form!F"&amp;ROW())="","",INDIRECT("brand_form!F"&amp;ROW())))</f>
        <v/>
      </c>
      <c r="L55" s="25">
        <f>IF(INDIRECT("brand_form!A"&amp;ROW())="","",IF(INDIRECT("brand_form!M"&amp;ROW())="","",INDIRECT("brand_form!M"&amp;ROW())))</f>
        <v/>
      </c>
      <c r="M55" s="25">
        <f>IF(INDIRECT("brand_form!A"&amp;ROW())="","",IF(IF(INDIRECT("brand_form!N"&amp;ROW())="","",INDIRECT("brand_form!N"&amp;ROW()))="","",IF(LEFT(LOWER(IF(INDIRECT("brand_form!N"&amp;ROW())="","",INDIRECT("brand_form!N"&amp;ROW()))),4)="http",IF(INDIRECT("brand_form!N"&amp;ROW())="","",INDIRECT("brand_form!N"&amp;ROW())),"https://"&amp;IF(INDIRECT("brand_form!N"&amp;ROW())="","",INDIRECT("brand_form!N"&amp;ROW())))))</f>
        <v/>
      </c>
      <c r="N55" s="25">
        <f>IF(INDIRECT("brand_form!A"&amp;ROW())="","",IF(IF(INDIRECT("brand_form!O"&amp;ROW())="","",INDIRECT("brand_form!O"&amp;ROW()))="Yes","Y",IF(IF(INDIRECT("brand_form!O"&amp;ROW())="","",INDIRECT("brand_form!O"&amp;ROW()))="No","N","")))</f>
        <v/>
      </c>
      <c r="O5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5" s="25">
        <f>IF(INDIRECT("brand_form!A"&amp;ROW())="","",IF(IF(INDIRECT("brand_form!K"&amp;ROW())="","",INDIRECT("brand_form!K"&amp;ROW()))="I do","Y",IF(IF(INDIRECT("brand_form!K"&amp;ROW())="","",INDIRECT("brand_form!K"&amp;ROW()))="Someone else","N","")))</f>
        <v/>
      </c>
      <c r="Q55" s="25">
        <f>IF(INDIRECT("brand_form!A"&amp;ROW())="","",IF($P55="Y",$E55&amp;", "&amp;$F55,IF(INDIRECT("brand_form!L"&amp;ROW())="","",INDIRECT("brand_form!L"&amp;ROW()))))</f>
        <v/>
      </c>
      <c r="R55" s="25">
        <f>IF(INDIRECT("brand_form!A"&amp;ROW())="","",IF(IF(INDIRECT("brand_form!Q"&amp;ROW())="","",INDIRECT("brand_form!Q"&amp;ROW()))="Yes","Y",IF(IF(INDIRECT("brand_form!Q"&amp;ROW())="","",INDIRECT("brand_form!Q"&amp;ROW()))="No","N",IF(IF(INDIRECT("brand_form!Q"&amp;ROW())="","",INDIRECT("brand_form!Q"&amp;ROW()))="Not sure","unsure",""))))</f>
        <v/>
      </c>
      <c r="S55" s="25">
        <f>IF(INDIRECT("brand_form!A"&amp;ROW())="","",IF(IF(INDIRECT("brand_form!R"&amp;ROW())="","",INDIRECT("brand_form!R"&amp;ROW()))="Yes","Y",IF(IF(INDIRECT("brand_form!R"&amp;ROW())="","",INDIRECT("brand_form!R"&amp;ROW()))="No","N",IF(IF(INDIRECT("brand_form!R"&amp;ROW())="","",INDIRECT("brand_form!R"&amp;ROW()))="Not sure","unsure",""))))</f>
        <v/>
      </c>
      <c r="T55" s="25">
        <f>IF(INDIRECT("brand_form!A"&amp;ROW())="","",IF(IF(INDIRECT("brand_form!S"&amp;ROW())="","",INDIRECT("brand_form!S"&amp;ROW()))="Yes","Y",IF(IF(INDIRECT("brand_form!S"&amp;ROW())="","",INDIRECT("brand_form!S"&amp;ROW()))="No","N",IF(IF(INDIRECT("brand_form!S"&amp;ROW())="","",INDIRECT("brand_form!S"&amp;ROW()))="Not sure","unsure",""))))</f>
        <v/>
      </c>
      <c r="U55" s="25">
        <f>IF(INDIRECT("brand_form!A"&amp;ROW())="","",IF(IF(INDIRECT("brand_form!T"&amp;ROW())="","",INDIRECT("brand_form!T"&amp;ROW()))="Yes","Y",IF(IF(INDIRECT("brand_form!T"&amp;ROW())="","",INDIRECT("brand_form!T"&amp;ROW()))="No","N",IF(IF(INDIRECT("brand_form!T"&amp;ROW())="","",INDIRECT("brand_form!T"&amp;ROW()))="Not sure","unsure",""))))</f>
        <v/>
      </c>
      <c r="V55" s="25">
        <f>IF(INDIRECT("brand_form!A"&amp;ROW())="","",IF(IF(INDIRECT("brand_form!U"&amp;ROW())="","",INDIRECT("brand_form!U"&amp;ROW()))="Yes","Y",IF(IF(INDIRECT("brand_form!U"&amp;ROW())="","",INDIRECT("brand_form!U"&amp;ROW()))="No","N",IF(IF(INDIRECT("brand_form!U"&amp;ROW())="","",INDIRECT("brand_form!U"&amp;ROW()))="Not sure","unsure",""))))</f>
        <v/>
      </c>
      <c r="W55" s="25">
        <f>IF(INDIRECT("brand_form!A"&amp;ROW())="","",IF(IF(INDIRECT("brand_form!V"&amp;ROW())="","",INDIRECT("brand_form!V"&amp;ROW()))="Yes","Y",IF(IF(INDIRECT("brand_form!V"&amp;ROW())="","",INDIRECT("brand_form!V"&amp;ROW()))="No","N",IF(IF(INDIRECT("brand_form!V"&amp;ROW())="","",INDIRECT("brand_form!V"&amp;ROW()))="Not sure","unsure",""))))</f>
        <v/>
      </c>
      <c r="X55" s="25">
        <f>IF(INDIRECT("brand_form!A"&amp;ROW())="","",IF(INDIRECT("brand_form!W"&amp;ROW())="","",INDIRECT("brand_form!W"&amp;ROW())))</f>
        <v/>
      </c>
      <c r="Y55" s="25">
        <f>IF(INDIRECT("brand_form!A"&amp;ROW())="","",IF(IF(INDIRECT("brand_form!X"&amp;ROW())="","",INDIRECT("brand_form!X"&amp;ROW()))&lt;&gt;"","Y",""))</f>
        <v/>
      </c>
      <c r="Z55" s="25">
        <f>IF(INDIRECT("brand_form!A"&amp;ROW())="","",IF(INDIRECT("brand_form!Y"&amp;ROW())="","",INDIRECT("brand_form!Y"&amp;ROW())))</f>
        <v/>
      </c>
      <c r="AA55" s="25">
        <f>IF(INDIRECT("brand_form!A"&amp;ROW())="","","founder")</f>
        <v/>
      </c>
    </row>
    <row r="56">
      <c r="A56" s="25">
        <f>IF(INDIRECT("brand_form!A"&amp;ROW())="","",TEXT(INDIRECT("brand_form!A"&amp;ROW()),"yyyy-mm-dd""T""hh:mm:ss"))</f>
        <v/>
      </c>
      <c r="B56" s="25">
        <f>IF(INDIRECT("brand_form!A"&amp;ROW())="","",config!$B$35)</f>
        <v/>
      </c>
      <c r="C56" s="25">
        <f>IF(INDIRECT("brand_form!A"&amp;ROW())="","",IF(INDIRECT("brand_form!B"&amp;ROW())="","",INDIRECT("brand_form!B"&amp;ROW())))</f>
        <v/>
      </c>
      <c r="D56" s="25">
        <f>IF(INDIRECT("brand_form!A"&amp;ROW())="","",IF(IF(INDIRECT("brand_form!C"&amp;ROW())="","",INDIRECT("brand_form!C"&amp;ROW()))="","",IF(LEFT(LOWER(IF(INDIRECT("brand_form!C"&amp;ROW())="","",INDIRECT("brand_form!C"&amp;ROW()))),4)="http",IF(INDIRECT("brand_form!C"&amp;ROW())="","",INDIRECT("brand_form!C"&amp;ROW())),"https://"&amp;IF(INDIRECT("brand_form!C"&amp;ROW())="","",INDIRECT("brand_form!C"&amp;ROW())))))</f>
        <v/>
      </c>
      <c r="E56" s="25">
        <f>IF(INDIRECT("brand_form!A"&amp;ROW())="","",IF(INDIRECT("brand_form!G"&amp;ROW())="","",INDIRECT("brand_form!G"&amp;ROW())))</f>
        <v/>
      </c>
      <c r="F56" s="25">
        <f>IF(INDIRECT("brand_form!A"&amp;ROW())="","",IF(INDIRECT("brand_form!H"&amp;ROW())="","",INDIRECT("brand_form!H"&amp;ROW())))</f>
        <v/>
      </c>
      <c r="G56" s="25">
        <f>IF(INDIRECT("brand_form!A"&amp;ROW())="","",IF(INDIRECT("brand_form!I"&amp;ROW())="","",INDIRECT("brand_form!I"&amp;ROW())))</f>
        <v/>
      </c>
      <c r="H56" s="25">
        <f>IF(INDIRECT("brand_form!A"&amp;ROW())="","",IF(INDIRECT("brand_form!J"&amp;ROW())="","",INDIRECT("brand_form!J"&amp;ROW())))</f>
        <v/>
      </c>
      <c r="I56" s="25">
        <f>IF(INDIRECT("brand_form!A"&amp;ROW())="","",IF(INDIRECT("brand_form!D"&amp;ROW())="","",INDIRECT("brand_form!D"&amp;ROW())))</f>
        <v/>
      </c>
      <c r="J5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6" s="25">
        <f>IF(INDIRECT("brand_form!A"&amp;ROW())="","",IF(INDIRECT("brand_form!F"&amp;ROW())="","",INDIRECT("brand_form!F"&amp;ROW())))</f>
        <v/>
      </c>
      <c r="L56" s="25">
        <f>IF(INDIRECT("brand_form!A"&amp;ROW())="","",IF(INDIRECT("brand_form!M"&amp;ROW())="","",INDIRECT("brand_form!M"&amp;ROW())))</f>
        <v/>
      </c>
      <c r="M56" s="25">
        <f>IF(INDIRECT("brand_form!A"&amp;ROW())="","",IF(IF(INDIRECT("brand_form!N"&amp;ROW())="","",INDIRECT("brand_form!N"&amp;ROW()))="","",IF(LEFT(LOWER(IF(INDIRECT("brand_form!N"&amp;ROW())="","",INDIRECT("brand_form!N"&amp;ROW()))),4)="http",IF(INDIRECT("brand_form!N"&amp;ROW())="","",INDIRECT("brand_form!N"&amp;ROW())),"https://"&amp;IF(INDIRECT("brand_form!N"&amp;ROW())="","",INDIRECT("brand_form!N"&amp;ROW())))))</f>
        <v/>
      </c>
      <c r="N56" s="25">
        <f>IF(INDIRECT("brand_form!A"&amp;ROW())="","",IF(IF(INDIRECT("brand_form!O"&amp;ROW())="","",INDIRECT("brand_form!O"&amp;ROW()))="Yes","Y",IF(IF(INDIRECT("brand_form!O"&amp;ROW())="","",INDIRECT("brand_form!O"&amp;ROW()))="No","N","")))</f>
        <v/>
      </c>
      <c r="O5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6" s="25">
        <f>IF(INDIRECT("brand_form!A"&amp;ROW())="","",IF(IF(INDIRECT("brand_form!K"&amp;ROW())="","",INDIRECT("brand_form!K"&amp;ROW()))="I do","Y",IF(IF(INDIRECT("brand_form!K"&amp;ROW())="","",INDIRECT("brand_form!K"&amp;ROW()))="Someone else","N","")))</f>
        <v/>
      </c>
      <c r="Q56" s="25">
        <f>IF(INDIRECT("brand_form!A"&amp;ROW())="","",IF($P56="Y",$E56&amp;", "&amp;$F56,IF(INDIRECT("brand_form!L"&amp;ROW())="","",INDIRECT("brand_form!L"&amp;ROW()))))</f>
        <v/>
      </c>
      <c r="R56" s="25">
        <f>IF(INDIRECT("brand_form!A"&amp;ROW())="","",IF(IF(INDIRECT("brand_form!Q"&amp;ROW())="","",INDIRECT("brand_form!Q"&amp;ROW()))="Yes","Y",IF(IF(INDIRECT("brand_form!Q"&amp;ROW())="","",INDIRECT("brand_form!Q"&amp;ROW()))="No","N",IF(IF(INDIRECT("brand_form!Q"&amp;ROW())="","",INDIRECT("brand_form!Q"&amp;ROW()))="Not sure","unsure",""))))</f>
        <v/>
      </c>
      <c r="S56" s="25">
        <f>IF(INDIRECT("brand_form!A"&amp;ROW())="","",IF(IF(INDIRECT("brand_form!R"&amp;ROW())="","",INDIRECT("brand_form!R"&amp;ROW()))="Yes","Y",IF(IF(INDIRECT("brand_form!R"&amp;ROW())="","",INDIRECT("brand_form!R"&amp;ROW()))="No","N",IF(IF(INDIRECT("brand_form!R"&amp;ROW())="","",INDIRECT("brand_form!R"&amp;ROW()))="Not sure","unsure",""))))</f>
        <v/>
      </c>
      <c r="T56" s="25">
        <f>IF(INDIRECT("brand_form!A"&amp;ROW())="","",IF(IF(INDIRECT("brand_form!S"&amp;ROW())="","",INDIRECT("brand_form!S"&amp;ROW()))="Yes","Y",IF(IF(INDIRECT("brand_form!S"&amp;ROW())="","",INDIRECT("brand_form!S"&amp;ROW()))="No","N",IF(IF(INDIRECT("brand_form!S"&amp;ROW())="","",INDIRECT("brand_form!S"&amp;ROW()))="Not sure","unsure",""))))</f>
        <v/>
      </c>
      <c r="U56" s="25">
        <f>IF(INDIRECT("brand_form!A"&amp;ROW())="","",IF(IF(INDIRECT("brand_form!T"&amp;ROW())="","",INDIRECT("brand_form!T"&amp;ROW()))="Yes","Y",IF(IF(INDIRECT("brand_form!T"&amp;ROW())="","",INDIRECT("brand_form!T"&amp;ROW()))="No","N",IF(IF(INDIRECT("brand_form!T"&amp;ROW())="","",INDIRECT("brand_form!T"&amp;ROW()))="Not sure","unsure",""))))</f>
        <v/>
      </c>
      <c r="V56" s="25">
        <f>IF(INDIRECT("brand_form!A"&amp;ROW())="","",IF(IF(INDIRECT("brand_form!U"&amp;ROW())="","",INDIRECT("brand_form!U"&amp;ROW()))="Yes","Y",IF(IF(INDIRECT("brand_form!U"&amp;ROW())="","",INDIRECT("brand_form!U"&amp;ROW()))="No","N",IF(IF(INDIRECT("brand_form!U"&amp;ROW())="","",INDIRECT("brand_form!U"&amp;ROW()))="Not sure","unsure",""))))</f>
        <v/>
      </c>
      <c r="W56" s="25">
        <f>IF(INDIRECT("brand_form!A"&amp;ROW())="","",IF(IF(INDIRECT("brand_form!V"&amp;ROW())="","",INDIRECT("brand_form!V"&amp;ROW()))="Yes","Y",IF(IF(INDIRECT("brand_form!V"&amp;ROW())="","",INDIRECT("brand_form!V"&amp;ROW()))="No","N",IF(IF(INDIRECT("brand_form!V"&amp;ROW())="","",INDIRECT("brand_form!V"&amp;ROW()))="Not sure","unsure",""))))</f>
        <v/>
      </c>
      <c r="X56" s="25">
        <f>IF(INDIRECT("brand_form!A"&amp;ROW())="","",IF(INDIRECT("brand_form!W"&amp;ROW())="","",INDIRECT("brand_form!W"&amp;ROW())))</f>
        <v/>
      </c>
      <c r="Y56" s="25">
        <f>IF(INDIRECT("brand_form!A"&amp;ROW())="","",IF(IF(INDIRECT("brand_form!X"&amp;ROW())="","",INDIRECT("brand_form!X"&amp;ROW()))&lt;&gt;"","Y",""))</f>
        <v/>
      </c>
      <c r="Z56" s="25">
        <f>IF(INDIRECT("brand_form!A"&amp;ROW())="","",IF(INDIRECT("brand_form!Y"&amp;ROW())="","",INDIRECT("brand_form!Y"&amp;ROW())))</f>
        <v/>
      </c>
      <c r="AA56" s="25">
        <f>IF(INDIRECT("brand_form!A"&amp;ROW())="","","founder")</f>
        <v/>
      </c>
    </row>
    <row r="57">
      <c r="A57" s="25">
        <f>IF(INDIRECT("brand_form!A"&amp;ROW())="","",TEXT(INDIRECT("brand_form!A"&amp;ROW()),"yyyy-mm-dd""T""hh:mm:ss"))</f>
        <v/>
      </c>
      <c r="B57" s="25">
        <f>IF(INDIRECT("brand_form!A"&amp;ROW())="","",config!$B$35)</f>
        <v/>
      </c>
      <c r="C57" s="25">
        <f>IF(INDIRECT("brand_form!A"&amp;ROW())="","",IF(INDIRECT("brand_form!B"&amp;ROW())="","",INDIRECT("brand_form!B"&amp;ROW())))</f>
        <v/>
      </c>
      <c r="D57" s="25">
        <f>IF(INDIRECT("brand_form!A"&amp;ROW())="","",IF(IF(INDIRECT("brand_form!C"&amp;ROW())="","",INDIRECT("brand_form!C"&amp;ROW()))="","",IF(LEFT(LOWER(IF(INDIRECT("brand_form!C"&amp;ROW())="","",INDIRECT("brand_form!C"&amp;ROW()))),4)="http",IF(INDIRECT("brand_form!C"&amp;ROW())="","",INDIRECT("brand_form!C"&amp;ROW())),"https://"&amp;IF(INDIRECT("brand_form!C"&amp;ROW())="","",INDIRECT("brand_form!C"&amp;ROW())))))</f>
        <v/>
      </c>
      <c r="E57" s="25">
        <f>IF(INDIRECT("brand_form!A"&amp;ROW())="","",IF(INDIRECT("brand_form!G"&amp;ROW())="","",INDIRECT("brand_form!G"&amp;ROW())))</f>
        <v/>
      </c>
      <c r="F57" s="25">
        <f>IF(INDIRECT("brand_form!A"&amp;ROW())="","",IF(INDIRECT("brand_form!H"&amp;ROW())="","",INDIRECT("brand_form!H"&amp;ROW())))</f>
        <v/>
      </c>
      <c r="G57" s="25">
        <f>IF(INDIRECT("brand_form!A"&amp;ROW())="","",IF(INDIRECT("brand_form!I"&amp;ROW())="","",INDIRECT("brand_form!I"&amp;ROW())))</f>
        <v/>
      </c>
      <c r="H57" s="25">
        <f>IF(INDIRECT("brand_form!A"&amp;ROW())="","",IF(INDIRECT("brand_form!J"&amp;ROW())="","",INDIRECT("brand_form!J"&amp;ROW())))</f>
        <v/>
      </c>
      <c r="I57" s="25">
        <f>IF(INDIRECT("brand_form!A"&amp;ROW())="","",IF(INDIRECT("brand_form!D"&amp;ROW())="","",INDIRECT("brand_form!D"&amp;ROW())))</f>
        <v/>
      </c>
      <c r="J5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7" s="25">
        <f>IF(INDIRECT("brand_form!A"&amp;ROW())="","",IF(INDIRECT("brand_form!F"&amp;ROW())="","",INDIRECT("brand_form!F"&amp;ROW())))</f>
        <v/>
      </c>
      <c r="L57" s="25">
        <f>IF(INDIRECT("brand_form!A"&amp;ROW())="","",IF(INDIRECT("brand_form!M"&amp;ROW())="","",INDIRECT("brand_form!M"&amp;ROW())))</f>
        <v/>
      </c>
      <c r="M57" s="25">
        <f>IF(INDIRECT("brand_form!A"&amp;ROW())="","",IF(IF(INDIRECT("brand_form!N"&amp;ROW())="","",INDIRECT("brand_form!N"&amp;ROW()))="","",IF(LEFT(LOWER(IF(INDIRECT("brand_form!N"&amp;ROW())="","",INDIRECT("brand_form!N"&amp;ROW()))),4)="http",IF(INDIRECT("brand_form!N"&amp;ROW())="","",INDIRECT("brand_form!N"&amp;ROW())),"https://"&amp;IF(INDIRECT("brand_form!N"&amp;ROW())="","",INDIRECT("brand_form!N"&amp;ROW())))))</f>
        <v/>
      </c>
      <c r="N57" s="25">
        <f>IF(INDIRECT("brand_form!A"&amp;ROW())="","",IF(IF(INDIRECT("brand_form!O"&amp;ROW())="","",INDIRECT("brand_form!O"&amp;ROW()))="Yes","Y",IF(IF(INDIRECT("brand_form!O"&amp;ROW())="","",INDIRECT("brand_form!O"&amp;ROW()))="No","N","")))</f>
        <v/>
      </c>
      <c r="O5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7" s="25">
        <f>IF(INDIRECT("brand_form!A"&amp;ROW())="","",IF(IF(INDIRECT("brand_form!K"&amp;ROW())="","",INDIRECT("brand_form!K"&amp;ROW()))="I do","Y",IF(IF(INDIRECT("brand_form!K"&amp;ROW())="","",INDIRECT("brand_form!K"&amp;ROW()))="Someone else","N","")))</f>
        <v/>
      </c>
      <c r="Q57" s="25">
        <f>IF(INDIRECT("brand_form!A"&amp;ROW())="","",IF($P57="Y",$E57&amp;", "&amp;$F57,IF(INDIRECT("brand_form!L"&amp;ROW())="","",INDIRECT("brand_form!L"&amp;ROW()))))</f>
        <v/>
      </c>
      <c r="R57" s="25">
        <f>IF(INDIRECT("brand_form!A"&amp;ROW())="","",IF(IF(INDIRECT("brand_form!Q"&amp;ROW())="","",INDIRECT("brand_form!Q"&amp;ROW()))="Yes","Y",IF(IF(INDIRECT("brand_form!Q"&amp;ROW())="","",INDIRECT("brand_form!Q"&amp;ROW()))="No","N",IF(IF(INDIRECT("brand_form!Q"&amp;ROW())="","",INDIRECT("brand_form!Q"&amp;ROW()))="Not sure","unsure",""))))</f>
        <v/>
      </c>
      <c r="S57" s="25">
        <f>IF(INDIRECT("brand_form!A"&amp;ROW())="","",IF(IF(INDIRECT("brand_form!R"&amp;ROW())="","",INDIRECT("brand_form!R"&amp;ROW()))="Yes","Y",IF(IF(INDIRECT("brand_form!R"&amp;ROW())="","",INDIRECT("brand_form!R"&amp;ROW()))="No","N",IF(IF(INDIRECT("brand_form!R"&amp;ROW())="","",INDIRECT("brand_form!R"&amp;ROW()))="Not sure","unsure",""))))</f>
        <v/>
      </c>
      <c r="T57" s="25">
        <f>IF(INDIRECT("brand_form!A"&amp;ROW())="","",IF(IF(INDIRECT("brand_form!S"&amp;ROW())="","",INDIRECT("brand_form!S"&amp;ROW()))="Yes","Y",IF(IF(INDIRECT("brand_form!S"&amp;ROW())="","",INDIRECT("brand_form!S"&amp;ROW()))="No","N",IF(IF(INDIRECT("brand_form!S"&amp;ROW())="","",INDIRECT("brand_form!S"&amp;ROW()))="Not sure","unsure",""))))</f>
        <v/>
      </c>
      <c r="U57" s="25">
        <f>IF(INDIRECT("brand_form!A"&amp;ROW())="","",IF(IF(INDIRECT("brand_form!T"&amp;ROW())="","",INDIRECT("brand_form!T"&amp;ROW()))="Yes","Y",IF(IF(INDIRECT("brand_form!T"&amp;ROW())="","",INDIRECT("brand_form!T"&amp;ROW()))="No","N",IF(IF(INDIRECT("brand_form!T"&amp;ROW())="","",INDIRECT("brand_form!T"&amp;ROW()))="Not sure","unsure",""))))</f>
        <v/>
      </c>
      <c r="V57" s="25">
        <f>IF(INDIRECT("brand_form!A"&amp;ROW())="","",IF(IF(INDIRECT("brand_form!U"&amp;ROW())="","",INDIRECT("brand_form!U"&amp;ROW()))="Yes","Y",IF(IF(INDIRECT("brand_form!U"&amp;ROW())="","",INDIRECT("brand_form!U"&amp;ROW()))="No","N",IF(IF(INDIRECT("brand_form!U"&amp;ROW())="","",INDIRECT("brand_form!U"&amp;ROW()))="Not sure","unsure",""))))</f>
        <v/>
      </c>
      <c r="W57" s="25">
        <f>IF(INDIRECT("brand_form!A"&amp;ROW())="","",IF(IF(INDIRECT("brand_form!V"&amp;ROW())="","",INDIRECT("brand_form!V"&amp;ROW()))="Yes","Y",IF(IF(INDIRECT("brand_form!V"&amp;ROW())="","",INDIRECT("brand_form!V"&amp;ROW()))="No","N",IF(IF(INDIRECT("brand_form!V"&amp;ROW())="","",INDIRECT("brand_form!V"&amp;ROW()))="Not sure","unsure",""))))</f>
        <v/>
      </c>
      <c r="X57" s="25">
        <f>IF(INDIRECT("brand_form!A"&amp;ROW())="","",IF(INDIRECT("brand_form!W"&amp;ROW())="","",INDIRECT("brand_form!W"&amp;ROW())))</f>
        <v/>
      </c>
      <c r="Y57" s="25">
        <f>IF(INDIRECT("brand_form!A"&amp;ROW())="","",IF(IF(INDIRECT("brand_form!X"&amp;ROW())="","",INDIRECT("brand_form!X"&amp;ROW()))&lt;&gt;"","Y",""))</f>
        <v/>
      </c>
      <c r="Z57" s="25">
        <f>IF(INDIRECT("brand_form!A"&amp;ROW())="","",IF(INDIRECT("brand_form!Y"&amp;ROW())="","",INDIRECT("brand_form!Y"&amp;ROW())))</f>
        <v/>
      </c>
      <c r="AA57" s="25">
        <f>IF(INDIRECT("brand_form!A"&amp;ROW())="","","founder")</f>
        <v/>
      </c>
    </row>
    <row r="58">
      <c r="A58" s="25">
        <f>IF(INDIRECT("brand_form!A"&amp;ROW())="","",TEXT(INDIRECT("brand_form!A"&amp;ROW()),"yyyy-mm-dd""T""hh:mm:ss"))</f>
        <v/>
      </c>
      <c r="B58" s="25">
        <f>IF(INDIRECT("brand_form!A"&amp;ROW())="","",config!$B$35)</f>
        <v/>
      </c>
      <c r="C58" s="25">
        <f>IF(INDIRECT("brand_form!A"&amp;ROW())="","",IF(INDIRECT("brand_form!B"&amp;ROW())="","",INDIRECT("brand_form!B"&amp;ROW())))</f>
        <v/>
      </c>
      <c r="D58" s="25">
        <f>IF(INDIRECT("brand_form!A"&amp;ROW())="","",IF(IF(INDIRECT("brand_form!C"&amp;ROW())="","",INDIRECT("brand_form!C"&amp;ROW()))="","",IF(LEFT(LOWER(IF(INDIRECT("brand_form!C"&amp;ROW())="","",INDIRECT("brand_form!C"&amp;ROW()))),4)="http",IF(INDIRECT("brand_form!C"&amp;ROW())="","",INDIRECT("brand_form!C"&amp;ROW())),"https://"&amp;IF(INDIRECT("brand_form!C"&amp;ROW())="","",INDIRECT("brand_form!C"&amp;ROW())))))</f>
        <v/>
      </c>
      <c r="E58" s="25">
        <f>IF(INDIRECT("brand_form!A"&amp;ROW())="","",IF(INDIRECT("brand_form!G"&amp;ROW())="","",INDIRECT("brand_form!G"&amp;ROW())))</f>
        <v/>
      </c>
      <c r="F58" s="25">
        <f>IF(INDIRECT("brand_form!A"&amp;ROW())="","",IF(INDIRECT("brand_form!H"&amp;ROW())="","",INDIRECT("brand_form!H"&amp;ROW())))</f>
        <v/>
      </c>
      <c r="G58" s="25">
        <f>IF(INDIRECT("brand_form!A"&amp;ROW())="","",IF(INDIRECT("brand_form!I"&amp;ROW())="","",INDIRECT("brand_form!I"&amp;ROW())))</f>
        <v/>
      </c>
      <c r="H58" s="25">
        <f>IF(INDIRECT("brand_form!A"&amp;ROW())="","",IF(INDIRECT("brand_form!J"&amp;ROW())="","",INDIRECT("brand_form!J"&amp;ROW())))</f>
        <v/>
      </c>
      <c r="I58" s="25">
        <f>IF(INDIRECT("brand_form!A"&amp;ROW())="","",IF(INDIRECT("brand_form!D"&amp;ROW())="","",INDIRECT("brand_form!D"&amp;ROW())))</f>
        <v/>
      </c>
      <c r="J5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8" s="25">
        <f>IF(INDIRECT("brand_form!A"&amp;ROW())="","",IF(INDIRECT("brand_form!F"&amp;ROW())="","",INDIRECT("brand_form!F"&amp;ROW())))</f>
        <v/>
      </c>
      <c r="L58" s="25">
        <f>IF(INDIRECT("brand_form!A"&amp;ROW())="","",IF(INDIRECT("brand_form!M"&amp;ROW())="","",INDIRECT("brand_form!M"&amp;ROW())))</f>
        <v/>
      </c>
      <c r="M58" s="25">
        <f>IF(INDIRECT("brand_form!A"&amp;ROW())="","",IF(IF(INDIRECT("brand_form!N"&amp;ROW())="","",INDIRECT("brand_form!N"&amp;ROW()))="","",IF(LEFT(LOWER(IF(INDIRECT("brand_form!N"&amp;ROW())="","",INDIRECT("brand_form!N"&amp;ROW()))),4)="http",IF(INDIRECT("brand_form!N"&amp;ROW())="","",INDIRECT("brand_form!N"&amp;ROW())),"https://"&amp;IF(INDIRECT("brand_form!N"&amp;ROW())="","",INDIRECT("brand_form!N"&amp;ROW())))))</f>
        <v/>
      </c>
      <c r="N58" s="25">
        <f>IF(INDIRECT("brand_form!A"&amp;ROW())="","",IF(IF(INDIRECT("brand_form!O"&amp;ROW())="","",INDIRECT("brand_form!O"&amp;ROW()))="Yes","Y",IF(IF(INDIRECT("brand_form!O"&amp;ROW())="","",INDIRECT("brand_form!O"&amp;ROW()))="No","N","")))</f>
        <v/>
      </c>
      <c r="O5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8" s="25">
        <f>IF(INDIRECT("brand_form!A"&amp;ROW())="","",IF(IF(INDIRECT("brand_form!K"&amp;ROW())="","",INDIRECT("brand_form!K"&amp;ROW()))="I do","Y",IF(IF(INDIRECT("brand_form!K"&amp;ROW())="","",INDIRECT("brand_form!K"&amp;ROW()))="Someone else","N","")))</f>
        <v/>
      </c>
      <c r="Q58" s="25">
        <f>IF(INDIRECT("brand_form!A"&amp;ROW())="","",IF($P58="Y",$E58&amp;", "&amp;$F58,IF(INDIRECT("brand_form!L"&amp;ROW())="","",INDIRECT("brand_form!L"&amp;ROW()))))</f>
        <v/>
      </c>
      <c r="R58" s="25">
        <f>IF(INDIRECT("brand_form!A"&amp;ROW())="","",IF(IF(INDIRECT("brand_form!Q"&amp;ROW())="","",INDIRECT("brand_form!Q"&amp;ROW()))="Yes","Y",IF(IF(INDIRECT("brand_form!Q"&amp;ROW())="","",INDIRECT("brand_form!Q"&amp;ROW()))="No","N",IF(IF(INDIRECT("brand_form!Q"&amp;ROW())="","",INDIRECT("brand_form!Q"&amp;ROW()))="Not sure","unsure",""))))</f>
        <v/>
      </c>
      <c r="S58" s="25">
        <f>IF(INDIRECT("brand_form!A"&amp;ROW())="","",IF(IF(INDIRECT("brand_form!R"&amp;ROW())="","",INDIRECT("brand_form!R"&amp;ROW()))="Yes","Y",IF(IF(INDIRECT("brand_form!R"&amp;ROW())="","",INDIRECT("brand_form!R"&amp;ROW()))="No","N",IF(IF(INDIRECT("brand_form!R"&amp;ROW())="","",INDIRECT("brand_form!R"&amp;ROW()))="Not sure","unsure",""))))</f>
        <v/>
      </c>
      <c r="T58" s="25">
        <f>IF(INDIRECT("brand_form!A"&amp;ROW())="","",IF(IF(INDIRECT("brand_form!S"&amp;ROW())="","",INDIRECT("brand_form!S"&amp;ROW()))="Yes","Y",IF(IF(INDIRECT("brand_form!S"&amp;ROW())="","",INDIRECT("brand_form!S"&amp;ROW()))="No","N",IF(IF(INDIRECT("brand_form!S"&amp;ROW())="","",INDIRECT("brand_form!S"&amp;ROW()))="Not sure","unsure",""))))</f>
        <v/>
      </c>
      <c r="U58" s="25">
        <f>IF(INDIRECT("brand_form!A"&amp;ROW())="","",IF(IF(INDIRECT("brand_form!T"&amp;ROW())="","",INDIRECT("brand_form!T"&amp;ROW()))="Yes","Y",IF(IF(INDIRECT("brand_form!T"&amp;ROW())="","",INDIRECT("brand_form!T"&amp;ROW()))="No","N",IF(IF(INDIRECT("brand_form!T"&amp;ROW())="","",INDIRECT("brand_form!T"&amp;ROW()))="Not sure","unsure",""))))</f>
        <v/>
      </c>
      <c r="V58" s="25">
        <f>IF(INDIRECT("brand_form!A"&amp;ROW())="","",IF(IF(INDIRECT("brand_form!U"&amp;ROW())="","",INDIRECT("brand_form!U"&amp;ROW()))="Yes","Y",IF(IF(INDIRECT("brand_form!U"&amp;ROW())="","",INDIRECT("brand_form!U"&amp;ROW()))="No","N",IF(IF(INDIRECT("brand_form!U"&amp;ROW())="","",INDIRECT("brand_form!U"&amp;ROW()))="Not sure","unsure",""))))</f>
        <v/>
      </c>
      <c r="W58" s="25">
        <f>IF(INDIRECT("brand_form!A"&amp;ROW())="","",IF(IF(INDIRECT("brand_form!V"&amp;ROW())="","",INDIRECT("brand_form!V"&amp;ROW()))="Yes","Y",IF(IF(INDIRECT("brand_form!V"&amp;ROW())="","",INDIRECT("brand_form!V"&amp;ROW()))="No","N",IF(IF(INDIRECT("brand_form!V"&amp;ROW())="","",INDIRECT("brand_form!V"&amp;ROW()))="Not sure","unsure",""))))</f>
        <v/>
      </c>
      <c r="X58" s="25">
        <f>IF(INDIRECT("brand_form!A"&amp;ROW())="","",IF(INDIRECT("brand_form!W"&amp;ROW())="","",INDIRECT("brand_form!W"&amp;ROW())))</f>
        <v/>
      </c>
      <c r="Y58" s="25">
        <f>IF(INDIRECT("brand_form!A"&amp;ROW())="","",IF(IF(INDIRECT("brand_form!X"&amp;ROW())="","",INDIRECT("brand_form!X"&amp;ROW()))&lt;&gt;"","Y",""))</f>
        <v/>
      </c>
      <c r="Z58" s="25">
        <f>IF(INDIRECT("brand_form!A"&amp;ROW())="","",IF(INDIRECT("brand_form!Y"&amp;ROW())="","",INDIRECT("brand_form!Y"&amp;ROW())))</f>
        <v/>
      </c>
      <c r="AA58" s="25">
        <f>IF(INDIRECT("brand_form!A"&amp;ROW())="","","founder")</f>
        <v/>
      </c>
    </row>
    <row r="59">
      <c r="A59" s="25">
        <f>IF(INDIRECT("brand_form!A"&amp;ROW())="","",TEXT(INDIRECT("brand_form!A"&amp;ROW()),"yyyy-mm-dd""T""hh:mm:ss"))</f>
        <v/>
      </c>
      <c r="B59" s="25">
        <f>IF(INDIRECT("brand_form!A"&amp;ROW())="","",config!$B$35)</f>
        <v/>
      </c>
      <c r="C59" s="25">
        <f>IF(INDIRECT("brand_form!A"&amp;ROW())="","",IF(INDIRECT("brand_form!B"&amp;ROW())="","",INDIRECT("brand_form!B"&amp;ROW())))</f>
        <v/>
      </c>
      <c r="D59" s="25">
        <f>IF(INDIRECT("brand_form!A"&amp;ROW())="","",IF(IF(INDIRECT("brand_form!C"&amp;ROW())="","",INDIRECT("brand_form!C"&amp;ROW()))="","",IF(LEFT(LOWER(IF(INDIRECT("brand_form!C"&amp;ROW())="","",INDIRECT("brand_form!C"&amp;ROW()))),4)="http",IF(INDIRECT("brand_form!C"&amp;ROW())="","",INDIRECT("brand_form!C"&amp;ROW())),"https://"&amp;IF(INDIRECT("brand_form!C"&amp;ROW())="","",INDIRECT("brand_form!C"&amp;ROW())))))</f>
        <v/>
      </c>
      <c r="E59" s="25">
        <f>IF(INDIRECT("brand_form!A"&amp;ROW())="","",IF(INDIRECT("brand_form!G"&amp;ROW())="","",INDIRECT("brand_form!G"&amp;ROW())))</f>
        <v/>
      </c>
      <c r="F59" s="25">
        <f>IF(INDIRECT("brand_form!A"&amp;ROW())="","",IF(INDIRECT("brand_form!H"&amp;ROW())="","",INDIRECT("brand_form!H"&amp;ROW())))</f>
        <v/>
      </c>
      <c r="G59" s="25">
        <f>IF(INDIRECT("brand_form!A"&amp;ROW())="","",IF(INDIRECT("brand_form!I"&amp;ROW())="","",INDIRECT("brand_form!I"&amp;ROW())))</f>
        <v/>
      </c>
      <c r="H59" s="25">
        <f>IF(INDIRECT("brand_form!A"&amp;ROW())="","",IF(INDIRECT("brand_form!J"&amp;ROW())="","",INDIRECT("brand_form!J"&amp;ROW())))</f>
        <v/>
      </c>
      <c r="I59" s="25">
        <f>IF(INDIRECT("brand_form!A"&amp;ROW())="","",IF(INDIRECT("brand_form!D"&amp;ROW())="","",INDIRECT("brand_form!D"&amp;ROW())))</f>
        <v/>
      </c>
      <c r="J5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9" s="25">
        <f>IF(INDIRECT("brand_form!A"&amp;ROW())="","",IF(INDIRECT("brand_form!F"&amp;ROW())="","",INDIRECT("brand_form!F"&amp;ROW())))</f>
        <v/>
      </c>
      <c r="L59" s="25">
        <f>IF(INDIRECT("brand_form!A"&amp;ROW())="","",IF(INDIRECT("brand_form!M"&amp;ROW())="","",INDIRECT("brand_form!M"&amp;ROW())))</f>
        <v/>
      </c>
      <c r="M59" s="25">
        <f>IF(INDIRECT("brand_form!A"&amp;ROW())="","",IF(IF(INDIRECT("brand_form!N"&amp;ROW())="","",INDIRECT("brand_form!N"&amp;ROW()))="","",IF(LEFT(LOWER(IF(INDIRECT("brand_form!N"&amp;ROW())="","",INDIRECT("brand_form!N"&amp;ROW()))),4)="http",IF(INDIRECT("brand_form!N"&amp;ROW())="","",INDIRECT("brand_form!N"&amp;ROW())),"https://"&amp;IF(INDIRECT("brand_form!N"&amp;ROW())="","",INDIRECT("brand_form!N"&amp;ROW())))))</f>
        <v/>
      </c>
      <c r="N59" s="25">
        <f>IF(INDIRECT("brand_form!A"&amp;ROW())="","",IF(IF(INDIRECT("brand_form!O"&amp;ROW())="","",INDIRECT("brand_form!O"&amp;ROW()))="Yes","Y",IF(IF(INDIRECT("brand_form!O"&amp;ROW())="","",INDIRECT("brand_form!O"&amp;ROW()))="No","N","")))</f>
        <v/>
      </c>
      <c r="O5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9" s="25">
        <f>IF(INDIRECT("brand_form!A"&amp;ROW())="","",IF(IF(INDIRECT("brand_form!K"&amp;ROW())="","",INDIRECT("brand_form!K"&amp;ROW()))="I do","Y",IF(IF(INDIRECT("brand_form!K"&amp;ROW())="","",INDIRECT("brand_form!K"&amp;ROW()))="Someone else","N","")))</f>
        <v/>
      </c>
      <c r="Q59" s="25">
        <f>IF(INDIRECT("brand_form!A"&amp;ROW())="","",IF($P59="Y",$E59&amp;", "&amp;$F59,IF(INDIRECT("brand_form!L"&amp;ROW())="","",INDIRECT("brand_form!L"&amp;ROW()))))</f>
        <v/>
      </c>
      <c r="R59" s="25">
        <f>IF(INDIRECT("brand_form!A"&amp;ROW())="","",IF(IF(INDIRECT("brand_form!Q"&amp;ROW())="","",INDIRECT("brand_form!Q"&amp;ROW()))="Yes","Y",IF(IF(INDIRECT("brand_form!Q"&amp;ROW())="","",INDIRECT("brand_form!Q"&amp;ROW()))="No","N",IF(IF(INDIRECT("brand_form!Q"&amp;ROW())="","",INDIRECT("brand_form!Q"&amp;ROW()))="Not sure","unsure",""))))</f>
        <v/>
      </c>
      <c r="S59" s="25">
        <f>IF(INDIRECT("brand_form!A"&amp;ROW())="","",IF(IF(INDIRECT("brand_form!R"&amp;ROW())="","",INDIRECT("brand_form!R"&amp;ROW()))="Yes","Y",IF(IF(INDIRECT("brand_form!R"&amp;ROW())="","",INDIRECT("brand_form!R"&amp;ROW()))="No","N",IF(IF(INDIRECT("brand_form!R"&amp;ROW())="","",INDIRECT("brand_form!R"&amp;ROW()))="Not sure","unsure",""))))</f>
        <v/>
      </c>
      <c r="T59" s="25">
        <f>IF(INDIRECT("brand_form!A"&amp;ROW())="","",IF(IF(INDIRECT("brand_form!S"&amp;ROW())="","",INDIRECT("brand_form!S"&amp;ROW()))="Yes","Y",IF(IF(INDIRECT("brand_form!S"&amp;ROW())="","",INDIRECT("brand_form!S"&amp;ROW()))="No","N",IF(IF(INDIRECT("brand_form!S"&amp;ROW())="","",INDIRECT("brand_form!S"&amp;ROW()))="Not sure","unsure",""))))</f>
        <v/>
      </c>
      <c r="U59" s="25">
        <f>IF(INDIRECT("brand_form!A"&amp;ROW())="","",IF(IF(INDIRECT("brand_form!T"&amp;ROW())="","",INDIRECT("brand_form!T"&amp;ROW()))="Yes","Y",IF(IF(INDIRECT("brand_form!T"&amp;ROW())="","",INDIRECT("brand_form!T"&amp;ROW()))="No","N",IF(IF(INDIRECT("brand_form!T"&amp;ROW())="","",INDIRECT("brand_form!T"&amp;ROW()))="Not sure","unsure",""))))</f>
        <v/>
      </c>
      <c r="V59" s="25">
        <f>IF(INDIRECT("brand_form!A"&amp;ROW())="","",IF(IF(INDIRECT("brand_form!U"&amp;ROW())="","",INDIRECT("brand_form!U"&amp;ROW()))="Yes","Y",IF(IF(INDIRECT("brand_form!U"&amp;ROW())="","",INDIRECT("brand_form!U"&amp;ROW()))="No","N",IF(IF(INDIRECT("brand_form!U"&amp;ROW())="","",INDIRECT("brand_form!U"&amp;ROW()))="Not sure","unsure",""))))</f>
        <v/>
      </c>
      <c r="W59" s="25">
        <f>IF(INDIRECT("brand_form!A"&amp;ROW())="","",IF(IF(INDIRECT("brand_form!V"&amp;ROW())="","",INDIRECT("brand_form!V"&amp;ROW()))="Yes","Y",IF(IF(INDIRECT("brand_form!V"&amp;ROW())="","",INDIRECT("brand_form!V"&amp;ROW()))="No","N",IF(IF(INDIRECT("brand_form!V"&amp;ROW())="","",INDIRECT("brand_form!V"&amp;ROW()))="Not sure","unsure",""))))</f>
        <v/>
      </c>
      <c r="X59" s="25">
        <f>IF(INDIRECT("brand_form!A"&amp;ROW())="","",IF(INDIRECT("brand_form!W"&amp;ROW())="","",INDIRECT("brand_form!W"&amp;ROW())))</f>
        <v/>
      </c>
      <c r="Y59" s="25">
        <f>IF(INDIRECT("brand_form!A"&amp;ROW())="","",IF(IF(INDIRECT("brand_form!X"&amp;ROW())="","",INDIRECT("brand_form!X"&amp;ROW()))&lt;&gt;"","Y",""))</f>
        <v/>
      </c>
      <c r="Z59" s="25">
        <f>IF(INDIRECT("brand_form!A"&amp;ROW())="","",IF(INDIRECT("brand_form!Y"&amp;ROW())="","",INDIRECT("brand_form!Y"&amp;ROW())))</f>
        <v/>
      </c>
      <c r="AA59" s="25">
        <f>IF(INDIRECT("brand_form!A"&amp;ROW())="","","founder")</f>
        <v/>
      </c>
    </row>
    <row r="60">
      <c r="A60" s="25">
        <f>IF(INDIRECT("brand_form!A"&amp;ROW())="","",TEXT(INDIRECT("brand_form!A"&amp;ROW()),"yyyy-mm-dd""T""hh:mm:ss"))</f>
        <v/>
      </c>
      <c r="B60" s="25">
        <f>IF(INDIRECT("brand_form!A"&amp;ROW())="","",config!$B$35)</f>
        <v/>
      </c>
      <c r="C60" s="25">
        <f>IF(INDIRECT("brand_form!A"&amp;ROW())="","",IF(INDIRECT("brand_form!B"&amp;ROW())="","",INDIRECT("brand_form!B"&amp;ROW())))</f>
        <v/>
      </c>
      <c r="D60" s="25">
        <f>IF(INDIRECT("brand_form!A"&amp;ROW())="","",IF(IF(INDIRECT("brand_form!C"&amp;ROW())="","",INDIRECT("brand_form!C"&amp;ROW()))="","",IF(LEFT(LOWER(IF(INDIRECT("brand_form!C"&amp;ROW())="","",INDIRECT("brand_form!C"&amp;ROW()))),4)="http",IF(INDIRECT("brand_form!C"&amp;ROW())="","",INDIRECT("brand_form!C"&amp;ROW())),"https://"&amp;IF(INDIRECT("brand_form!C"&amp;ROW())="","",INDIRECT("brand_form!C"&amp;ROW())))))</f>
        <v/>
      </c>
      <c r="E60" s="25">
        <f>IF(INDIRECT("brand_form!A"&amp;ROW())="","",IF(INDIRECT("brand_form!G"&amp;ROW())="","",INDIRECT("brand_form!G"&amp;ROW())))</f>
        <v/>
      </c>
      <c r="F60" s="25">
        <f>IF(INDIRECT("brand_form!A"&amp;ROW())="","",IF(INDIRECT("brand_form!H"&amp;ROW())="","",INDIRECT("brand_form!H"&amp;ROW())))</f>
        <v/>
      </c>
      <c r="G60" s="25">
        <f>IF(INDIRECT("brand_form!A"&amp;ROW())="","",IF(INDIRECT("brand_form!I"&amp;ROW())="","",INDIRECT("brand_form!I"&amp;ROW())))</f>
        <v/>
      </c>
      <c r="H60" s="25">
        <f>IF(INDIRECT("brand_form!A"&amp;ROW())="","",IF(INDIRECT("brand_form!J"&amp;ROW())="","",INDIRECT("brand_form!J"&amp;ROW())))</f>
        <v/>
      </c>
      <c r="I60" s="25">
        <f>IF(INDIRECT("brand_form!A"&amp;ROW())="","",IF(INDIRECT("brand_form!D"&amp;ROW())="","",INDIRECT("brand_form!D"&amp;ROW())))</f>
        <v/>
      </c>
      <c r="J6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0" s="25">
        <f>IF(INDIRECT("brand_form!A"&amp;ROW())="","",IF(INDIRECT("brand_form!F"&amp;ROW())="","",INDIRECT("brand_form!F"&amp;ROW())))</f>
        <v/>
      </c>
      <c r="L60" s="25">
        <f>IF(INDIRECT("brand_form!A"&amp;ROW())="","",IF(INDIRECT("brand_form!M"&amp;ROW())="","",INDIRECT("brand_form!M"&amp;ROW())))</f>
        <v/>
      </c>
      <c r="M60" s="25">
        <f>IF(INDIRECT("brand_form!A"&amp;ROW())="","",IF(IF(INDIRECT("brand_form!N"&amp;ROW())="","",INDIRECT("brand_form!N"&amp;ROW()))="","",IF(LEFT(LOWER(IF(INDIRECT("brand_form!N"&amp;ROW())="","",INDIRECT("brand_form!N"&amp;ROW()))),4)="http",IF(INDIRECT("brand_form!N"&amp;ROW())="","",INDIRECT("brand_form!N"&amp;ROW())),"https://"&amp;IF(INDIRECT("brand_form!N"&amp;ROW())="","",INDIRECT("brand_form!N"&amp;ROW())))))</f>
        <v/>
      </c>
      <c r="N60" s="25">
        <f>IF(INDIRECT("brand_form!A"&amp;ROW())="","",IF(IF(INDIRECT("brand_form!O"&amp;ROW())="","",INDIRECT("brand_form!O"&amp;ROW()))="Yes","Y",IF(IF(INDIRECT("brand_form!O"&amp;ROW())="","",INDIRECT("brand_form!O"&amp;ROW()))="No","N","")))</f>
        <v/>
      </c>
      <c r="O6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0" s="25">
        <f>IF(INDIRECT("brand_form!A"&amp;ROW())="","",IF(IF(INDIRECT("brand_form!K"&amp;ROW())="","",INDIRECT("brand_form!K"&amp;ROW()))="I do","Y",IF(IF(INDIRECT("brand_form!K"&amp;ROW())="","",INDIRECT("brand_form!K"&amp;ROW()))="Someone else","N","")))</f>
        <v/>
      </c>
      <c r="Q60" s="25">
        <f>IF(INDIRECT("brand_form!A"&amp;ROW())="","",IF($P60="Y",$E60&amp;", "&amp;$F60,IF(INDIRECT("brand_form!L"&amp;ROW())="","",INDIRECT("brand_form!L"&amp;ROW()))))</f>
        <v/>
      </c>
      <c r="R60" s="25">
        <f>IF(INDIRECT("brand_form!A"&amp;ROW())="","",IF(IF(INDIRECT("brand_form!Q"&amp;ROW())="","",INDIRECT("brand_form!Q"&amp;ROW()))="Yes","Y",IF(IF(INDIRECT("brand_form!Q"&amp;ROW())="","",INDIRECT("brand_form!Q"&amp;ROW()))="No","N",IF(IF(INDIRECT("brand_form!Q"&amp;ROW())="","",INDIRECT("brand_form!Q"&amp;ROW()))="Not sure","unsure",""))))</f>
        <v/>
      </c>
      <c r="S60" s="25">
        <f>IF(INDIRECT("brand_form!A"&amp;ROW())="","",IF(IF(INDIRECT("brand_form!R"&amp;ROW())="","",INDIRECT("brand_form!R"&amp;ROW()))="Yes","Y",IF(IF(INDIRECT("brand_form!R"&amp;ROW())="","",INDIRECT("brand_form!R"&amp;ROW()))="No","N",IF(IF(INDIRECT("brand_form!R"&amp;ROW())="","",INDIRECT("brand_form!R"&amp;ROW()))="Not sure","unsure",""))))</f>
        <v/>
      </c>
      <c r="T60" s="25">
        <f>IF(INDIRECT("brand_form!A"&amp;ROW())="","",IF(IF(INDIRECT("brand_form!S"&amp;ROW())="","",INDIRECT("brand_form!S"&amp;ROW()))="Yes","Y",IF(IF(INDIRECT("brand_form!S"&amp;ROW())="","",INDIRECT("brand_form!S"&amp;ROW()))="No","N",IF(IF(INDIRECT("brand_form!S"&amp;ROW())="","",INDIRECT("brand_form!S"&amp;ROW()))="Not sure","unsure",""))))</f>
        <v/>
      </c>
      <c r="U60" s="25">
        <f>IF(INDIRECT("brand_form!A"&amp;ROW())="","",IF(IF(INDIRECT("brand_form!T"&amp;ROW())="","",INDIRECT("brand_form!T"&amp;ROW()))="Yes","Y",IF(IF(INDIRECT("brand_form!T"&amp;ROW())="","",INDIRECT("brand_form!T"&amp;ROW()))="No","N",IF(IF(INDIRECT("brand_form!T"&amp;ROW())="","",INDIRECT("brand_form!T"&amp;ROW()))="Not sure","unsure",""))))</f>
        <v/>
      </c>
      <c r="V60" s="25">
        <f>IF(INDIRECT("brand_form!A"&amp;ROW())="","",IF(IF(INDIRECT("brand_form!U"&amp;ROW())="","",INDIRECT("brand_form!U"&amp;ROW()))="Yes","Y",IF(IF(INDIRECT("brand_form!U"&amp;ROW())="","",INDIRECT("brand_form!U"&amp;ROW()))="No","N",IF(IF(INDIRECT("brand_form!U"&amp;ROW())="","",INDIRECT("brand_form!U"&amp;ROW()))="Not sure","unsure",""))))</f>
        <v/>
      </c>
      <c r="W60" s="25">
        <f>IF(INDIRECT("brand_form!A"&amp;ROW())="","",IF(IF(INDIRECT("brand_form!V"&amp;ROW())="","",INDIRECT("brand_form!V"&amp;ROW()))="Yes","Y",IF(IF(INDIRECT("brand_form!V"&amp;ROW())="","",INDIRECT("brand_form!V"&amp;ROW()))="No","N",IF(IF(INDIRECT("brand_form!V"&amp;ROW())="","",INDIRECT("brand_form!V"&amp;ROW()))="Not sure","unsure",""))))</f>
        <v/>
      </c>
      <c r="X60" s="25">
        <f>IF(INDIRECT("brand_form!A"&amp;ROW())="","",IF(INDIRECT("brand_form!W"&amp;ROW())="","",INDIRECT("brand_form!W"&amp;ROW())))</f>
        <v/>
      </c>
      <c r="Y60" s="25">
        <f>IF(INDIRECT("brand_form!A"&amp;ROW())="","",IF(IF(INDIRECT("brand_form!X"&amp;ROW())="","",INDIRECT("brand_form!X"&amp;ROW()))&lt;&gt;"","Y",""))</f>
        <v/>
      </c>
      <c r="Z60" s="25">
        <f>IF(INDIRECT("brand_form!A"&amp;ROW())="","",IF(INDIRECT("brand_form!Y"&amp;ROW())="","",INDIRECT("brand_form!Y"&amp;ROW())))</f>
        <v/>
      </c>
      <c r="AA60" s="25">
        <f>IF(INDIRECT("brand_form!A"&amp;ROW())="","","founder")</f>
        <v/>
      </c>
    </row>
    <row r="61">
      <c r="A61" s="25">
        <f>IF(INDIRECT("brand_form!A"&amp;ROW())="","",TEXT(INDIRECT("brand_form!A"&amp;ROW()),"yyyy-mm-dd""T""hh:mm:ss"))</f>
        <v/>
      </c>
      <c r="B61" s="25">
        <f>IF(INDIRECT("brand_form!A"&amp;ROW())="","",config!$B$35)</f>
        <v/>
      </c>
      <c r="C61" s="25">
        <f>IF(INDIRECT("brand_form!A"&amp;ROW())="","",IF(INDIRECT("brand_form!B"&amp;ROW())="","",INDIRECT("brand_form!B"&amp;ROW())))</f>
        <v/>
      </c>
      <c r="D61" s="25">
        <f>IF(INDIRECT("brand_form!A"&amp;ROW())="","",IF(IF(INDIRECT("brand_form!C"&amp;ROW())="","",INDIRECT("brand_form!C"&amp;ROW()))="","",IF(LEFT(LOWER(IF(INDIRECT("brand_form!C"&amp;ROW())="","",INDIRECT("brand_form!C"&amp;ROW()))),4)="http",IF(INDIRECT("brand_form!C"&amp;ROW())="","",INDIRECT("brand_form!C"&amp;ROW())),"https://"&amp;IF(INDIRECT("brand_form!C"&amp;ROW())="","",INDIRECT("brand_form!C"&amp;ROW())))))</f>
        <v/>
      </c>
      <c r="E61" s="25">
        <f>IF(INDIRECT("brand_form!A"&amp;ROW())="","",IF(INDIRECT("brand_form!G"&amp;ROW())="","",INDIRECT("brand_form!G"&amp;ROW())))</f>
        <v/>
      </c>
      <c r="F61" s="25">
        <f>IF(INDIRECT("brand_form!A"&amp;ROW())="","",IF(INDIRECT("brand_form!H"&amp;ROW())="","",INDIRECT("brand_form!H"&amp;ROW())))</f>
        <v/>
      </c>
      <c r="G61" s="25">
        <f>IF(INDIRECT("brand_form!A"&amp;ROW())="","",IF(INDIRECT("brand_form!I"&amp;ROW())="","",INDIRECT("brand_form!I"&amp;ROW())))</f>
        <v/>
      </c>
      <c r="H61" s="25">
        <f>IF(INDIRECT("brand_form!A"&amp;ROW())="","",IF(INDIRECT("brand_form!J"&amp;ROW())="","",INDIRECT("brand_form!J"&amp;ROW())))</f>
        <v/>
      </c>
      <c r="I61" s="25">
        <f>IF(INDIRECT("brand_form!A"&amp;ROW())="","",IF(INDIRECT("brand_form!D"&amp;ROW())="","",INDIRECT("brand_form!D"&amp;ROW())))</f>
        <v/>
      </c>
      <c r="J6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1" s="25">
        <f>IF(INDIRECT("brand_form!A"&amp;ROW())="","",IF(INDIRECT("brand_form!F"&amp;ROW())="","",INDIRECT("brand_form!F"&amp;ROW())))</f>
        <v/>
      </c>
      <c r="L61" s="25">
        <f>IF(INDIRECT("brand_form!A"&amp;ROW())="","",IF(INDIRECT("brand_form!M"&amp;ROW())="","",INDIRECT("brand_form!M"&amp;ROW())))</f>
        <v/>
      </c>
      <c r="M61" s="25">
        <f>IF(INDIRECT("brand_form!A"&amp;ROW())="","",IF(IF(INDIRECT("brand_form!N"&amp;ROW())="","",INDIRECT("brand_form!N"&amp;ROW()))="","",IF(LEFT(LOWER(IF(INDIRECT("brand_form!N"&amp;ROW())="","",INDIRECT("brand_form!N"&amp;ROW()))),4)="http",IF(INDIRECT("brand_form!N"&amp;ROW())="","",INDIRECT("brand_form!N"&amp;ROW())),"https://"&amp;IF(INDIRECT("brand_form!N"&amp;ROW())="","",INDIRECT("brand_form!N"&amp;ROW())))))</f>
        <v/>
      </c>
      <c r="N61" s="25">
        <f>IF(INDIRECT("brand_form!A"&amp;ROW())="","",IF(IF(INDIRECT("brand_form!O"&amp;ROW())="","",INDIRECT("brand_form!O"&amp;ROW()))="Yes","Y",IF(IF(INDIRECT("brand_form!O"&amp;ROW())="","",INDIRECT("brand_form!O"&amp;ROW()))="No","N","")))</f>
        <v/>
      </c>
      <c r="O6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1" s="25">
        <f>IF(INDIRECT("brand_form!A"&amp;ROW())="","",IF(IF(INDIRECT("brand_form!K"&amp;ROW())="","",INDIRECT("brand_form!K"&amp;ROW()))="I do","Y",IF(IF(INDIRECT("brand_form!K"&amp;ROW())="","",INDIRECT("brand_form!K"&amp;ROW()))="Someone else","N","")))</f>
        <v/>
      </c>
      <c r="Q61" s="25">
        <f>IF(INDIRECT("brand_form!A"&amp;ROW())="","",IF($P61="Y",$E61&amp;", "&amp;$F61,IF(INDIRECT("brand_form!L"&amp;ROW())="","",INDIRECT("brand_form!L"&amp;ROW()))))</f>
        <v/>
      </c>
      <c r="R61" s="25">
        <f>IF(INDIRECT("brand_form!A"&amp;ROW())="","",IF(IF(INDIRECT("brand_form!Q"&amp;ROW())="","",INDIRECT("brand_form!Q"&amp;ROW()))="Yes","Y",IF(IF(INDIRECT("brand_form!Q"&amp;ROW())="","",INDIRECT("brand_form!Q"&amp;ROW()))="No","N",IF(IF(INDIRECT("brand_form!Q"&amp;ROW())="","",INDIRECT("brand_form!Q"&amp;ROW()))="Not sure","unsure",""))))</f>
        <v/>
      </c>
      <c r="S61" s="25">
        <f>IF(INDIRECT("brand_form!A"&amp;ROW())="","",IF(IF(INDIRECT("brand_form!R"&amp;ROW())="","",INDIRECT("brand_form!R"&amp;ROW()))="Yes","Y",IF(IF(INDIRECT("brand_form!R"&amp;ROW())="","",INDIRECT("brand_form!R"&amp;ROW()))="No","N",IF(IF(INDIRECT("brand_form!R"&amp;ROW())="","",INDIRECT("brand_form!R"&amp;ROW()))="Not sure","unsure",""))))</f>
        <v/>
      </c>
      <c r="T61" s="25">
        <f>IF(INDIRECT("brand_form!A"&amp;ROW())="","",IF(IF(INDIRECT("brand_form!S"&amp;ROW())="","",INDIRECT("brand_form!S"&amp;ROW()))="Yes","Y",IF(IF(INDIRECT("brand_form!S"&amp;ROW())="","",INDIRECT("brand_form!S"&amp;ROW()))="No","N",IF(IF(INDIRECT("brand_form!S"&amp;ROW())="","",INDIRECT("brand_form!S"&amp;ROW()))="Not sure","unsure",""))))</f>
        <v/>
      </c>
      <c r="U61" s="25">
        <f>IF(INDIRECT("brand_form!A"&amp;ROW())="","",IF(IF(INDIRECT("brand_form!T"&amp;ROW())="","",INDIRECT("brand_form!T"&amp;ROW()))="Yes","Y",IF(IF(INDIRECT("brand_form!T"&amp;ROW())="","",INDIRECT("brand_form!T"&amp;ROW()))="No","N",IF(IF(INDIRECT("brand_form!T"&amp;ROW())="","",INDIRECT("brand_form!T"&amp;ROW()))="Not sure","unsure",""))))</f>
        <v/>
      </c>
      <c r="V61" s="25">
        <f>IF(INDIRECT("brand_form!A"&amp;ROW())="","",IF(IF(INDIRECT("brand_form!U"&amp;ROW())="","",INDIRECT("brand_form!U"&amp;ROW()))="Yes","Y",IF(IF(INDIRECT("brand_form!U"&amp;ROW())="","",INDIRECT("brand_form!U"&amp;ROW()))="No","N",IF(IF(INDIRECT("brand_form!U"&amp;ROW())="","",INDIRECT("brand_form!U"&amp;ROW()))="Not sure","unsure",""))))</f>
        <v/>
      </c>
      <c r="W61" s="25">
        <f>IF(INDIRECT("brand_form!A"&amp;ROW())="","",IF(IF(INDIRECT("brand_form!V"&amp;ROW())="","",INDIRECT("brand_form!V"&amp;ROW()))="Yes","Y",IF(IF(INDIRECT("brand_form!V"&amp;ROW())="","",INDIRECT("brand_form!V"&amp;ROW()))="No","N",IF(IF(INDIRECT("brand_form!V"&amp;ROW())="","",INDIRECT("brand_form!V"&amp;ROW()))="Not sure","unsure",""))))</f>
        <v/>
      </c>
      <c r="X61" s="25">
        <f>IF(INDIRECT("brand_form!A"&amp;ROW())="","",IF(INDIRECT("brand_form!W"&amp;ROW())="","",INDIRECT("brand_form!W"&amp;ROW())))</f>
        <v/>
      </c>
      <c r="Y61" s="25">
        <f>IF(INDIRECT("brand_form!A"&amp;ROW())="","",IF(IF(INDIRECT("brand_form!X"&amp;ROW())="","",INDIRECT("brand_form!X"&amp;ROW()))&lt;&gt;"","Y",""))</f>
        <v/>
      </c>
      <c r="Z61" s="25">
        <f>IF(INDIRECT("brand_form!A"&amp;ROW())="","",IF(INDIRECT("brand_form!Y"&amp;ROW())="","",INDIRECT("brand_form!Y"&amp;ROW())))</f>
        <v/>
      </c>
      <c r="AA61" s="25">
        <f>IF(INDIRECT("brand_form!A"&amp;ROW())="","","founder")</f>
        <v/>
      </c>
    </row>
    <row r="62">
      <c r="A62" s="25">
        <f>IF(INDIRECT("brand_form!A"&amp;ROW())="","",TEXT(INDIRECT("brand_form!A"&amp;ROW()),"yyyy-mm-dd""T""hh:mm:ss"))</f>
        <v/>
      </c>
      <c r="B62" s="25">
        <f>IF(INDIRECT("brand_form!A"&amp;ROW())="","",config!$B$35)</f>
        <v/>
      </c>
      <c r="C62" s="25">
        <f>IF(INDIRECT("brand_form!A"&amp;ROW())="","",IF(INDIRECT("brand_form!B"&amp;ROW())="","",INDIRECT("brand_form!B"&amp;ROW())))</f>
        <v/>
      </c>
      <c r="D62" s="25">
        <f>IF(INDIRECT("brand_form!A"&amp;ROW())="","",IF(IF(INDIRECT("brand_form!C"&amp;ROW())="","",INDIRECT("brand_form!C"&amp;ROW()))="","",IF(LEFT(LOWER(IF(INDIRECT("brand_form!C"&amp;ROW())="","",INDIRECT("brand_form!C"&amp;ROW()))),4)="http",IF(INDIRECT("brand_form!C"&amp;ROW())="","",INDIRECT("brand_form!C"&amp;ROW())),"https://"&amp;IF(INDIRECT("brand_form!C"&amp;ROW())="","",INDIRECT("brand_form!C"&amp;ROW())))))</f>
        <v/>
      </c>
      <c r="E62" s="25">
        <f>IF(INDIRECT("brand_form!A"&amp;ROW())="","",IF(INDIRECT("brand_form!G"&amp;ROW())="","",INDIRECT("brand_form!G"&amp;ROW())))</f>
        <v/>
      </c>
      <c r="F62" s="25">
        <f>IF(INDIRECT("brand_form!A"&amp;ROW())="","",IF(INDIRECT("brand_form!H"&amp;ROW())="","",INDIRECT("brand_form!H"&amp;ROW())))</f>
        <v/>
      </c>
      <c r="G62" s="25">
        <f>IF(INDIRECT("brand_form!A"&amp;ROW())="","",IF(INDIRECT("brand_form!I"&amp;ROW())="","",INDIRECT("brand_form!I"&amp;ROW())))</f>
        <v/>
      </c>
      <c r="H62" s="25">
        <f>IF(INDIRECT("brand_form!A"&amp;ROW())="","",IF(INDIRECT("brand_form!J"&amp;ROW())="","",INDIRECT("brand_form!J"&amp;ROW())))</f>
        <v/>
      </c>
      <c r="I62" s="25">
        <f>IF(INDIRECT("brand_form!A"&amp;ROW())="","",IF(INDIRECT("brand_form!D"&amp;ROW())="","",INDIRECT("brand_form!D"&amp;ROW())))</f>
        <v/>
      </c>
      <c r="J6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2" s="25">
        <f>IF(INDIRECT("brand_form!A"&amp;ROW())="","",IF(INDIRECT("brand_form!F"&amp;ROW())="","",INDIRECT("brand_form!F"&amp;ROW())))</f>
        <v/>
      </c>
      <c r="L62" s="25">
        <f>IF(INDIRECT("brand_form!A"&amp;ROW())="","",IF(INDIRECT("brand_form!M"&amp;ROW())="","",INDIRECT("brand_form!M"&amp;ROW())))</f>
        <v/>
      </c>
      <c r="M62" s="25">
        <f>IF(INDIRECT("brand_form!A"&amp;ROW())="","",IF(IF(INDIRECT("brand_form!N"&amp;ROW())="","",INDIRECT("brand_form!N"&amp;ROW()))="","",IF(LEFT(LOWER(IF(INDIRECT("brand_form!N"&amp;ROW())="","",INDIRECT("brand_form!N"&amp;ROW()))),4)="http",IF(INDIRECT("brand_form!N"&amp;ROW())="","",INDIRECT("brand_form!N"&amp;ROW())),"https://"&amp;IF(INDIRECT("brand_form!N"&amp;ROW())="","",INDIRECT("brand_form!N"&amp;ROW())))))</f>
        <v/>
      </c>
      <c r="N62" s="25">
        <f>IF(INDIRECT("brand_form!A"&amp;ROW())="","",IF(IF(INDIRECT("brand_form!O"&amp;ROW())="","",INDIRECT("brand_form!O"&amp;ROW()))="Yes","Y",IF(IF(INDIRECT("brand_form!O"&amp;ROW())="","",INDIRECT("brand_form!O"&amp;ROW()))="No","N","")))</f>
        <v/>
      </c>
      <c r="O6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2" s="25">
        <f>IF(INDIRECT("brand_form!A"&amp;ROW())="","",IF(IF(INDIRECT("brand_form!K"&amp;ROW())="","",INDIRECT("brand_form!K"&amp;ROW()))="I do","Y",IF(IF(INDIRECT("brand_form!K"&amp;ROW())="","",INDIRECT("brand_form!K"&amp;ROW()))="Someone else","N","")))</f>
        <v/>
      </c>
      <c r="Q62" s="25">
        <f>IF(INDIRECT("brand_form!A"&amp;ROW())="","",IF($P62="Y",$E62&amp;", "&amp;$F62,IF(INDIRECT("brand_form!L"&amp;ROW())="","",INDIRECT("brand_form!L"&amp;ROW()))))</f>
        <v/>
      </c>
      <c r="R62" s="25">
        <f>IF(INDIRECT("brand_form!A"&amp;ROW())="","",IF(IF(INDIRECT("brand_form!Q"&amp;ROW())="","",INDIRECT("brand_form!Q"&amp;ROW()))="Yes","Y",IF(IF(INDIRECT("brand_form!Q"&amp;ROW())="","",INDIRECT("brand_form!Q"&amp;ROW()))="No","N",IF(IF(INDIRECT("brand_form!Q"&amp;ROW())="","",INDIRECT("brand_form!Q"&amp;ROW()))="Not sure","unsure",""))))</f>
        <v/>
      </c>
      <c r="S62" s="25">
        <f>IF(INDIRECT("brand_form!A"&amp;ROW())="","",IF(IF(INDIRECT("brand_form!R"&amp;ROW())="","",INDIRECT("brand_form!R"&amp;ROW()))="Yes","Y",IF(IF(INDIRECT("brand_form!R"&amp;ROW())="","",INDIRECT("brand_form!R"&amp;ROW()))="No","N",IF(IF(INDIRECT("brand_form!R"&amp;ROW())="","",INDIRECT("brand_form!R"&amp;ROW()))="Not sure","unsure",""))))</f>
        <v/>
      </c>
      <c r="T62" s="25">
        <f>IF(INDIRECT("brand_form!A"&amp;ROW())="","",IF(IF(INDIRECT("brand_form!S"&amp;ROW())="","",INDIRECT("brand_form!S"&amp;ROW()))="Yes","Y",IF(IF(INDIRECT("brand_form!S"&amp;ROW())="","",INDIRECT("brand_form!S"&amp;ROW()))="No","N",IF(IF(INDIRECT("brand_form!S"&amp;ROW())="","",INDIRECT("brand_form!S"&amp;ROW()))="Not sure","unsure",""))))</f>
        <v/>
      </c>
      <c r="U62" s="25">
        <f>IF(INDIRECT("brand_form!A"&amp;ROW())="","",IF(IF(INDIRECT("brand_form!T"&amp;ROW())="","",INDIRECT("brand_form!T"&amp;ROW()))="Yes","Y",IF(IF(INDIRECT("brand_form!T"&amp;ROW())="","",INDIRECT("brand_form!T"&amp;ROW()))="No","N",IF(IF(INDIRECT("brand_form!T"&amp;ROW())="","",INDIRECT("brand_form!T"&amp;ROW()))="Not sure","unsure",""))))</f>
        <v/>
      </c>
      <c r="V62" s="25">
        <f>IF(INDIRECT("brand_form!A"&amp;ROW())="","",IF(IF(INDIRECT("brand_form!U"&amp;ROW())="","",INDIRECT("brand_form!U"&amp;ROW()))="Yes","Y",IF(IF(INDIRECT("brand_form!U"&amp;ROW())="","",INDIRECT("brand_form!U"&amp;ROW()))="No","N",IF(IF(INDIRECT("brand_form!U"&amp;ROW())="","",INDIRECT("brand_form!U"&amp;ROW()))="Not sure","unsure",""))))</f>
        <v/>
      </c>
      <c r="W62" s="25">
        <f>IF(INDIRECT("brand_form!A"&amp;ROW())="","",IF(IF(INDIRECT("brand_form!V"&amp;ROW())="","",INDIRECT("brand_form!V"&amp;ROW()))="Yes","Y",IF(IF(INDIRECT("brand_form!V"&amp;ROW())="","",INDIRECT("brand_form!V"&amp;ROW()))="No","N",IF(IF(INDIRECT("brand_form!V"&amp;ROW())="","",INDIRECT("brand_form!V"&amp;ROW()))="Not sure","unsure",""))))</f>
        <v/>
      </c>
      <c r="X62" s="25">
        <f>IF(INDIRECT("brand_form!A"&amp;ROW())="","",IF(INDIRECT("brand_form!W"&amp;ROW())="","",INDIRECT("brand_form!W"&amp;ROW())))</f>
        <v/>
      </c>
      <c r="Y62" s="25">
        <f>IF(INDIRECT("brand_form!A"&amp;ROW())="","",IF(IF(INDIRECT("brand_form!X"&amp;ROW())="","",INDIRECT("brand_form!X"&amp;ROW()))&lt;&gt;"","Y",""))</f>
        <v/>
      </c>
      <c r="Z62" s="25">
        <f>IF(INDIRECT("brand_form!A"&amp;ROW())="","",IF(INDIRECT("brand_form!Y"&amp;ROW())="","",INDIRECT("brand_form!Y"&amp;ROW())))</f>
        <v/>
      </c>
      <c r="AA62" s="25">
        <f>IF(INDIRECT("brand_form!A"&amp;ROW())="","","founder")</f>
        <v/>
      </c>
    </row>
    <row r="63">
      <c r="A63" s="25">
        <f>IF(INDIRECT("brand_form!A"&amp;ROW())="","",TEXT(INDIRECT("brand_form!A"&amp;ROW()),"yyyy-mm-dd""T""hh:mm:ss"))</f>
        <v/>
      </c>
      <c r="B63" s="25">
        <f>IF(INDIRECT("brand_form!A"&amp;ROW())="","",config!$B$35)</f>
        <v/>
      </c>
      <c r="C63" s="25">
        <f>IF(INDIRECT("brand_form!A"&amp;ROW())="","",IF(INDIRECT("brand_form!B"&amp;ROW())="","",INDIRECT("brand_form!B"&amp;ROW())))</f>
        <v/>
      </c>
      <c r="D63" s="25">
        <f>IF(INDIRECT("brand_form!A"&amp;ROW())="","",IF(IF(INDIRECT("brand_form!C"&amp;ROW())="","",INDIRECT("brand_form!C"&amp;ROW()))="","",IF(LEFT(LOWER(IF(INDIRECT("brand_form!C"&amp;ROW())="","",INDIRECT("brand_form!C"&amp;ROW()))),4)="http",IF(INDIRECT("brand_form!C"&amp;ROW())="","",INDIRECT("brand_form!C"&amp;ROW())),"https://"&amp;IF(INDIRECT("brand_form!C"&amp;ROW())="","",INDIRECT("brand_form!C"&amp;ROW())))))</f>
        <v/>
      </c>
      <c r="E63" s="25">
        <f>IF(INDIRECT("brand_form!A"&amp;ROW())="","",IF(INDIRECT("brand_form!G"&amp;ROW())="","",INDIRECT("brand_form!G"&amp;ROW())))</f>
        <v/>
      </c>
      <c r="F63" s="25">
        <f>IF(INDIRECT("brand_form!A"&amp;ROW())="","",IF(INDIRECT("brand_form!H"&amp;ROW())="","",INDIRECT("brand_form!H"&amp;ROW())))</f>
        <v/>
      </c>
      <c r="G63" s="25">
        <f>IF(INDIRECT("brand_form!A"&amp;ROW())="","",IF(INDIRECT("brand_form!I"&amp;ROW())="","",INDIRECT("brand_form!I"&amp;ROW())))</f>
        <v/>
      </c>
      <c r="H63" s="25">
        <f>IF(INDIRECT("brand_form!A"&amp;ROW())="","",IF(INDIRECT("brand_form!J"&amp;ROW())="","",INDIRECT("brand_form!J"&amp;ROW())))</f>
        <v/>
      </c>
      <c r="I63" s="25">
        <f>IF(INDIRECT("brand_form!A"&amp;ROW())="","",IF(INDIRECT("brand_form!D"&amp;ROW())="","",INDIRECT("brand_form!D"&amp;ROW())))</f>
        <v/>
      </c>
      <c r="J6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3" s="25">
        <f>IF(INDIRECT("brand_form!A"&amp;ROW())="","",IF(INDIRECT("brand_form!F"&amp;ROW())="","",INDIRECT("brand_form!F"&amp;ROW())))</f>
        <v/>
      </c>
      <c r="L63" s="25">
        <f>IF(INDIRECT("brand_form!A"&amp;ROW())="","",IF(INDIRECT("brand_form!M"&amp;ROW())="","",INDIRECT("brand_form!M"&amp;ROW())))</f>
        <v/>
      </c>
      <c r="M63" s="25">
        <f>IF(INDIRECT("brand_form!A"&amp;ROW())="","",IF(IF(INDIRECT("brand_form!N"&amp;ROW())="","",INDIRECT("brand_form!N"&amp;ROW()))="","",IF(LEFT(LOWER(IF(INDIRECT("brand_form!N"&amp;ROW())="","",INDIRECT("brand_form!N"&amp;ROW()))),4)="http",IF(INDIRECT("brand_form!N"&amp;ROW())="","",INDIRECT("brand_form!N"&amp;ROW())),"https://"&amp;IF(INDIRECT("brand_form!N"&amp;ROW())="","",INDIRECT("brand_form!N"&amp;ROW())))))</f>
        <v/>
      </c>
      <c r="N63" s="25">
        <f>IF(INDIRECT("brand_form!A"&amp;ROW())="","",IF(IF(INDIRECT("brand_form!O"&amp;ROW())="","",INDIRECT("brand_form!O"&amp;ROW()))="Yes","Y",IF(IF(INDIRECT("brand_form!O"&amp;ROW())="","",INDIRECT("brand_form!O"&amp;ROW()))="No","N","")))</f>
        <v/>
      </c>
      <c r="O6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3" s="25">
        <f>IF(INDIRECT("brand_form!A"&amp;ROW())="","",IF(IF(INDIRECT("brand_form!K"&amp;ROW())="","",INDIRECT("brand_form!K"&amp;ROW()))="I do","Y",IF(IF(INDIRECT("brand_form!K"&amp;ROW())="","",INDIRECT("brand_form!K"&amp;ROW()))="Someone else","N","")))</f>
        <v/>
      </c>
      <c r="Q63" s="25">
        <f>IF(INDIRECT("brand_form!A"&amp;ROW())="","",IF($P63="Y",$E63&amp;", "&amp;$F63,IF(INDIRECT("brand_form!L"&amp;ROW())="","",INDIRECT("brand_form!L"&amp;ROW()))))</f>
        <v/>
      </c>
      <c r="R63" s="25">
        <f>IF(INDIRECT("brand_form!A"&amp;ROW())="","",IF(IF(INDIRECT("brand_form!Q"&amp;ROW())="","",INDIRECT("brand_form!Q"&amp;ROW()))="Yes","Y",IF(IF(INDIRECT("brand_form!Q"&amp;ROW())="","",INDIRECT("brand_form!Q"&amp;ROW()))="No","N",IF(IF(INDIRECT("brand_form!Q"&amp;ROW())="","",INDIRECT("brand_form!Q"&amp;ROW()))="Not sure","unsure",""))))</f>
        <v/>
      </c>
      <c r="S63" s="25">
        <f>IF(INDIRECT("brand_form!A"&amp;ROW())="","",IF(IF(INDIRECT("brand_form!R"&amp;ROW())="","",INDIRECT("brand_form!R"&amp;ROW()))="Yes","Y",IF(IF(INDIRECT("brand_form!R"&amp;ROW())="","",INDIRECT("brand_form!R"&amp;ROW()))="No","N",IF(IF(INDIRECT("brand_form!R"&amp;ROW())="","",INDIRECT("brand_form!R"&amp;ROW()))="Not sure","unsure",""))))</f>
        <v/>
      </c>
      <c r="T63" s="25">
        <f>IF(INDIRECT("brand_form!A"&amp;ROW())="","",IF(IF(INDIRECT("brand_form!S"&amp;ROW())="","",INDIRECT("brand_form!S"&amp;ROW()))="Yes","Y",IF(IF(INDIRECT("brand_form!S"&amp;ROW())="","",INDIRECT("brand_form!S"&amp;ROW()))="No","N",IF(IF(INDIRECT("brand_form!S"&amp;ROW())="","",INDIRECT("brand_form!S"&amp;ROW()))="Not sure","unsure",""))))</f>
        <v/>
      </c>
      <c r="U63" s="25">
        <f>IF(INDIRECT("brand_form!A"&amp;ROW())="","",IF(IF(INDIRECT("brand_form!T"&amp;ROW())="","",INDIRECT("brand_form!T"&amp;ROW()))="Yes","Y",IF(IF(INDIRECT("brand_form!T"&amp;ROW())="","",INDIRECT("brand_form!T"&amp;ROW()))="No","N",IF(IF(INDIRECT("brand_form!T"&amp;ROW())="","",INDIRECT("brand_form!T"&amp;ROW()))="Not sure","unsure",""))))</f>
        <v/>
      </c>
      <c r="V63" s="25">
        <f>IF(INDIRECT("brand_form!A"&amp;ROW())="","",IF(IF(INDIRECT("brand_form!U"&amp;ROW())="","",INDIRECT("brand_form!U"&amp;ROW()))="Yes","Y",IF(IF(INDIRECT("brand_form!U"&amp;ROW())="","",INDIRECT("brand_form!U"&amp;ROW()))="No","N",IF(IF(INDIRECT("brand_form!U"&amp;ROW())="","",INDIRECT("brand_form!U"&amp;ROW()))="Not sure","unsure",""))))</f>
        <v/>
      </c>
      <c r="W63" s="25">
        <f>IF(INDIRECT("brand_form!A"&amp;ROW())="","",IF(IF(INDIRECT("brand_form!V"&amp;ROW())="","",INDIRECT("brand_form!V"&amp;ROW()))="Yes","Y",IF(IF(INDIRECT("brand_form!V"&amp;ROW())="","",INDIRECT("brand_form!V"&amp;ROW()))="No","N",IF(IF(INDIRECT("brand_form!V"&amp;ROW())="","",INDIRECT("brand_form!V"&amp;ROW()))="Not sure","unsure",""))))</f>
        <v/>
      </c>
      <c r="X63" s="25">
        <f>IF(INDIRECT("brand_form!A"&amp;ROW())="","",IF(INDIRECT("brand_form!W"&amp;ROW())="","",INDIRECT("brand_form!W"&amp;ROW())))</f>
        <v/>
      </c>
      <c r="Y63" s="25">
        <f>IF(INDIRECT("brand_form!A"&amp;ROW())="","",IF(IF(INDIRECT("brand_form!X"&amp;ROW())="","",INDIRECT("brand_form!X"&amp;ROW()))&lt;&gt;"","Y",""))</f>
        <v/>
      </c>
      <c r="Z63" s="25">
        <f>IF(INDIRECT("brand_form!A"&amp;ROW())="","",IF(INDIRECT("brand_form!Y"&amp;ROW())="","",INDIRECT("brand_form!Y"&amp;ROW())))</f>
        <v/>
      </c>
      <c r="AA63" s="25">
        <f>IF(INDIRECT("brand_form!A"&amp;ROW())="","","founder")</f>
        <v/>
      </c>
    </row>
    <row r="64">
      <c r="A64" s="25">
        <f>IF(INDIRECT("brand_form!A"&amp;ROW())="","",TEXT(INDIRECT("brand_form!A"&amp;ROW()),"yyyy-mm-dd""T""hh:mm:ss"))</f>
        <v/>
      </c>
      <c r="B64" s="25">
        <f>IF(INDIRECT("brand_form!A"&amp;ROW())="","",config!$B$35)</f>
        <v/>
      </c>
      <c r="C64" s="25">
        <f>IF(INDIRECT("brand_form!A"&amp;ROW())="","",IF(INDIRECT("brand_form!B"&amp;ROW())="","",INDIRECT("brand_form!B"&amp;ROW())))</f>
        <v/>
      </c>
      <c r="D64" s="25">
        <f>IF(INDIRECT("brand_form!A"&amp;ROW())="","",IF(IF(INDIRECT("brand_form!C"&amp;ROW())="","",INDIRECT("brand_form!C"&amp;ROW()))="","",IF(LEFT(LOWER(IF(INDIRECT("brand_form!C"&amp;ROW())="","",INDIRECT("brand_form!C"&amp;ROW()))),4)="http",IF(INDIRECT("brand_form!C"&amp;ROW())="","",INDIRECT("brand_form!C"&amp;ROW())),"https://"&amp;IF(INDIRECT("brand_form!C"&amp;ROW())="","",INDIRECT("brand_form!C"&amp;ROW())))))</f>
        <v/>
      </c>
      <c r="E64" s="25">
        <f>IF(INDIRECT("brand_form!A"&amp;ROW())="","",IF(INDIRECT("brand_form!G"&amp;ROW())="","",INDIRECT("brand_form!G"&amp;ROW())))</f>
        <v/>
      </c>
      <c r="F64" s="25">
        <f>IF(INDIRECT("brand_form!A"&amp;ROW())="","",IF(INDIRECT("brand_form!H"&amp;ROW())="","",INDIRECT("brand_form!H"&amp;ROW())))</f>
        <v/>
      </c>
      <c r="G64" s="25">
        <f>IF(INDIRECT("brand_form!A"&amp;ROW())="","",IF(INDIRECT("brand_form!I"&amp;ROW())="","",INDIRECT("brand_form!I"&amp;ROW())))</f>
        <v/>
      </c>
      <c r="H64" s="25">
        <f>IF(INDIRECT("brand_form!A"&amp;ROW())="","",IF(INDIRECT("brand_form!J"&amp;ROW())="","",INDIRECT("brand_form!J"&amp;ROW())))</f>
        <v/>
      </c>
      <c r="I64" s="25">
        <f>IF(INDIRECT("brand_form!A"&amp;ROW())="","",IF(INDIRECT("brand_form!D"&amp;ROW())="","",INDIRECT("brand_form!D"&amp;ROW())))</f>
        <v/>
      </c>
      <c r="J6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4" s="25">
        <f>IF(INDIRECT("brand_form!A"&amp;ROW())="","",IF(INDIRECT("brand_form!F"&amp;ROW())="","",INDIRECT("brand_form!F"&amp;ROW())))</f>
        <v/>
      </c>
      <c r="L64" s="25">
        <f>IF(INDIRECT("brand_form!A"&amp;ROW())="","",IF(INDIRECT("brand_form!M"&amp;ROW())="","",INDIRECT("brand_form!M"&amp;ROW())))</f>
        <v/>
      </c>
      <c r="M64" s="25">
        <f>IF(INDIRECT("brand_form!A"&amp;ROW())="","",IF(IF(INDIRECT("brand_form!N"&amp;ROW())="","",INDIRECT("brand_form!N"&amp;ROW()))="","",IF(LEFT(LOWER(IF(INDIRECT("brand_form!N"&amp;ROW())="","",INDIRECT("brand_form!N"&amp;ROW()))),4)="http",IF(INDIRECT("brand_form!N"&amp;ROW())="","",INDIRECT("brand_form!N"&amp;ROW())),"https://"&amp;IF(INDIRECT("brand_form!N"&amp;ROW())="","",INDIRECT("brand_form!N"&amp;ROW())))))</f>
        <v/>
      </c>
      <c r="N64" s="25">
        <f>IF(INDIRECT("brand_form!A"&amp;ROW())="","",IF(IF(INDIRECT("brand_form!O"&amp;ROW())="","",INDIRECT("brand_form!O"&amp;ROW()))="Yes","Y",IF(IF(INDIRECT("brand_form!O"&amp;ROW())="","",INDIRECT("brand_form!O"&amp;ROW()))="No","N","")))</f>
        <v/>
      </c>
      <c r="O6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4" s="25">
        <f>IF(INDIRECT("brand_form!A"&amp;ROW())="","",IF(IF(INDIRECT("brand_form!K"&amp;ROW())="","",INDIRECT("brand_form!K"&amp;ROW()))="I do","Y",IF(IF(INDIRECT("brand_form!K"&amp;ROW())="","",INDIRECT("brand_form!K"&amp;ROW()))="Someone else","N","")))</f>
        <v/>
      </c>
      <c r="Q64" s="25">
        <f>IF(INDIRECT("brand_form!A"&amp;ROW())="","",IF($P64="Y",$E64&amp;", "&amp;$F64,IF(INDIRECT("brand_form!L"&amp;ROW())="","",INDIRECT("brand_form!L"&amp;ROW()))))</f>
        <v/>
      </c>
      <c r="R64" s="25">
        <f>IF(INDIRECT("brand_form!A"&amp;ROW())="","",IF(IF(INDIRECT("brand_form!Q"&amp;ROW())="","",INDIRECT("brand_form!Q"&amp;ROW()))="Yes","Y",IF(IF(INDIRECT("brand_form!Q"&amp;ROW())="","",INDIRECT("brand_form!Q"&amp;ROW()))="No","N",IF(IF(INDIRECT("brand_form!Q"&amp;ROW())="","",INDIRECT("brand_form!Q"&amp;ROW()))="Not sure","unsure",""))))</f>
        <v/>
      </c>
      <c r="S64" s="25">
        <f>IF(INDIRECT("brand_form!A"&amp;ROW())="","",IF(IF(INDIRECT("brand_form!R"&amp;ROW())="","",INDIRECT("brand_form!R"&amp;ROW()))="Yes","Y",IF(IF(INDIRECT("brand_form!R"&amp;ROW())="","",INDIRECT("brand_form!R"&amp;ROW()))="No","N",IF(IF(INDIRECT("brand_form!R"&amp;ROW())="","",INDIRECT("brand_form!R"&amp;ROW()))="Not sure","unsure",""))))</f>
        <v/>
      </c>
      <c r="T64" s="25">
        <f>IF(INDIRECT("brand_form!A"&amp;ROW())="","",IF(IF(INDIRECT("brand_form!S"&amp;ROW())="","",INDIRECT("brand_form!S"&amp;ROW()))="Yes","Y",IF(IF(INDIRECT("brand_form!S"&amp;ROW())="","",INDIRECT("brand_form!S"&amp;ROW()))="No","N",IF(IF(INDIRECT("brand_form!S"&amp;ROW())="","",INDIRECT("brand_form!S"&amp;ROW()))="Not sure","unsure",""))))</f>
        <v/>
      </c>
      <c r="U64" s="25">
        <f>IF(INDIRECT("brand_form!A"&amp;ROW())="","",IF(IF(INDIRECT("brand_form!T"&amp;ROW())="","",INDIRECT("brand_form!T"&amp;ROW()))="Yes","Y",IF(IF(INDIRECT("brand_form!T"&amp;ROW())="","",INDIRECT("brand_form!T"&amp;ROW()))="No","N",IF(IF(INDIRECT("brand_form!T"&amp;ROW())="","",INDIRECT("brand_form!T"&amp;ROW()))="Not sure","unsure",""))))</f>
        <v/>
      </c>
      <c r="V64" s="25">
        <f>IF(INDIRECT("brand_form!A"&amp;ROW())="","",IF(IF(INDIRECT("brand_form!U"&amp;ROW())="","",INDIRECT("brand_form!U"&amp;ROW()))="Yes","Y",IF(IF(INDIRECT("brand_form!U"&amp;ROW())="","",INDIRECT("brand_form!U"&amp;ROW()))="No","N",IF(IF(INDIRECT("brand_form!U"&amp;ROW())="","",INDIRECT("brand_form!U"&amp;ROW()))="Not sure","unsure",""))))</f>
        <v/>
      </c>
      <c r="W64" s="25">
        <f>IF(INDIRECT("brand_form!A"&amp;ROW())="","",IF(IF(INDIRECT("brand_form!V"&amp;ROW())="","",INDIRECT("brand_form!V"&amp;ROW()))="Yes","Y",IF(IF(INDIRECT("brand_form!V"&amp;ROW())="","",INDIRECT("brand_form!V"&amp;ROW()))="No","N",IF(IF(INDIRECT("brand_form!V"&amp;ROW())="","",INDIRECT("brand_form!V"&amp;ROW()))="Not sure","unsure",""))))</f>
        <v/>
      </c>
      <c r="X64" s="25">
        <f>IF(INDIRECT("brand_form!A"&amp;ROW())="","",IF(INDIRECT("brand_form!W"&amp;ROW())="","",INDIRECT("brand_form!W"&amp;ROW())))</f>
        <v/>
      </c>
      <c r="Y64" s="25">
        <f>IF(INDIRECT("brand_form!A"&amp;ROW())="","",IF(IF(INDIRECT("brand_form!X"&amp;ROW())="","",INDIRECT("brand_form!X"&amp;ROW()))&lt;&gt;"","Y",""))</f>
        <v/>
      </c>
      <c r="Z64" s="25">
        <f>IF(INDIRECT("brand_form!A"&amp;ROW())="","",IF(INDIRECT("brand_form!Y"&amp;ROW())="","",INDIRECT("brand_form!Y"&amp;ROW())))</f>
        <v/>
      </c>
      <c r="AA64" s="25">
        <f>IF(INDIRECT("brand_form!A"&amp;ROW())="","","founder")</f>
        <v/>
      </c>
    </row>
    <row r="65">
      <c r="A65" s="25">
        <f>IF(INDIRECT("brand_form!A"&amp;ROW())="","",TEXT(INDIRECT("brand_form!A"&amp;ROW()),"yyyy-mm-dd""T""hh:mm:ss"))</f>
        <v/>
      </c>
      <c r="B65" s="25">
        <f>IF(INDIRECT("brand_form!A"&amp;ROW())="","",config!$B$35)</f>
        <v/>
      </c>
      <c r="C65" s="25">
        <f>IF(INDIRECT("brand_form!A"&amp;ROW())="","",IF(INDIRECT("brand_form!B"&amp;ROW())="","",INDIRECT("brand_form!B"&amp;ROW())))</f>
        <v/>
      </c>
      <c r="D65" s="25">
        <f>IF(INDIRECT("brand_form!A"&amp;ROW())="","",IF(IF(INDIRECT("brand_form!C"&amp;ROW())="","",INDIRECT("brand_form!C"&amp;ROW()))="","",IF(LEFT(LOWER(IF(INDIRECT("brand_form!C"&amp;ROW())="","",INDIRECT("brand_form!C"&amp;ROW()))),4)="http",IF(INDIRECT("brand_form!C"&amp;ROW())="","",INDIRECT("brand_form!C"&amp;ROW())),"https://"&amp;IF(INDIRECT("brand_form!C"&amp;ROW())="","",INDIRECT("brand_form!C"&amp;ROW())))))</f>
        <v/>
      </c>
      <c r="E65" s="25">
        <f>IF(INDIRECT("brand_form!A"&amp;ROW())="","",IF(INDIRECT("brand_form!G"&amp;ROW())="","",INDIRECT("brand_form!G"&amp;ROW())))</f>
        <v/>
      </c>
      <c r="F65" s="25">
        <f>IF(INDIRECT("brand_form!A"&amp;ROW())="","",IF(INDIRECT("brand_form!H"&amp;ROW())="","",INDIRECT("brand_form!H"&amp;ROW())))</f>
        <v/>
      </c>
      <c r="G65" s="25">
        <f>IF(INDIRECT("brand_form!A"&amp;ROW())="","",IF(INDIRECT("brand_form!I"&amp;ROW())="","",INDIRECT("brand_form!I"&amp;ROW())))</f>
        <v/>
      </c>
      <c r="H65" s="25">
        <f>IF(INDIRECT("brand_form!A"&amp;ROW())="","",IF(INDIRECT("brand_form!J"&amp;ROW())="","",INDIRECT("brand_form!J"&amp;ROW())))</f>
        <v/>
      </c>
      <c r="I65" s="25">
        <f>IF(INDIRECT("brand_form!A"&amp;ROW())="","",IF(INDIRECT("brand_form!D"&amp;ROW())="","",INDIRECT("brand_form!D"&amp;ROW())))</f>
        <v/>
      </c>
      <c r="J6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5" s="25">
        <f>IF(INDIRECT("brand_form!A"&amp;ROW())="","",IF(INDIRECT("brand_form!F"&amp;ROW())="","",INDIRECT("brand_form!F"&amp;ROW())))</f>
        <v/>
      </c>
      <c r="L65" s="25">
        <f>IF(INDIRECT("brand_form!A"&amp;ROW())="","",IF(INDIRECT("brand_form!M"&amp;ROW())="","",INDIRECT("brand_form!M"&amp;ROW())))</f>
        <v/>
      </c>
      <c r="M65" s="25">
        <f>IF(INDIRECT("brand_form!A"&amp;ROW())="","",IF(IF(INDIRECT("brand_form!N"&amp;ROW())="","",INDIRECT("brand_form!N"&amp;ROW()))="","",IF(LEFT(LOWER(IF(INDIRECT("brand_form!N"&amp;ROW())="","",INDIRECT("brand_form!N"&amp;ROW()))),4)="http",IF(INDIRECT("brand_form!N"&amp;ROW())="","",INDIRECT("brand_form!N"&amp;ROW())),"https://"&amp;IF(INDIRECT("brand_form!N"&amp;ROW())="","",INDIRECT("brand_form!N"&amp;ROW())))))</f>
        <v/>
      </c>
      <c r="N65" s="25">
        <f>IF(INDIRECT("brand_form!A"&amp;ROW())="","",IF(IF(INDIRECT("brand_form!O"&amp;ROW())="","",INDIRECT("brand_form!O"&amp;ROW()))="Yes","Y",IF(IF(INDIRECT("brand_form!O"&amp;ROW())="","",INDIRECT("brand_form!O"&amp;ROW()))="No","N","")))</f>
        <v/>
      </c>
      <c r="O6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5" s="25">
        <f>IF(INDIRECT("brand_form!A"&amp;ROW())="","",IF(IF(INDIRECT("brand_form!K"&amp;ROW())="","",INDIRECT("brand_form!K"&amp;ROW()))="I do","Y",IF(IF(INDIRECT("brand_form!K"&amp;ROW())="","",INDIRECT("brand_form!K"&amp;ROW()))="Someone else","N","")))</f>
        <v/>
      </c>
      <c r="Q65" s="25">
        <f>IF(INDIRECT("brand_form!A"&amp;ROW())="","",IF($P65="Y",$E65&amp;", "&amp;$F65,IF(INDIRECT("brand_form!L"&amp;ROW())="","",INDIRECT("brand_form!L"&amp;ROW()))))</f>
        <v/>
      </c>
      <c r="R65" s="25">
        <f>IF(INDIRECT("brand_form!A"&amp;ROW())="","",IF(IF(INDIRECT("brand_form!Q"&amp;ROW())="","",INDIRECT("brand_form!Q"&amp;ROW()))="Yes","Y",IF(IF(INDIRECT("brand_form!Q"&amp;ROW())="","",INDIRECT("brand_form!Q"&amp;ROW()))="No","N",IF(IF(INDIRECT("brand_form!Q"&amp;ROW())="","",INDIRECT("brand_form!Q"&amp;ROW()))="Not sure","unsure",""))))</f>
        <v/>
      </c>
      <c r="S65" s="25">
        <f>IF(INDIRECT("brand_form!A"&amp;ROW())="","",IF(IF(INDIRECT("brand_form!R"&amp;ROW())="","",INDIRECT("brand_form!R"&amp;ROW()))="Yes","Y",IF(IF(INDIRECT("brand_form!R"&amp;ROW())="","",INDIRECT("brand_form!R"&amp;ROW()))="No","N",IF(IF(INDIRECT("brand_form!R"&amp;ROW())="","",INDIRECT("brand_form!R"&amp;ROW()))="Not sure","unsure",""))))</f>
        <v/>
      </c>
      <c r="T65" s="25">
        <f>IF(INDIRECT("brand_form!A"&amp;ROW())="","",IF(IF(INDIRECT("brand_form!S"&amp;ROW())="","",INDIRECT("brand_form!S"&amp;ROW()))="Yes","Y",IF(IF(INDIRECT("brand_form!S"&amp;ROW())="","",INDIRECT("brand_form!S"&amp;ROW()))="No","N",IF(IF(INDIRECT("brand_form!S"&amp;ROW())="","",INDIRECT("brand_form!S"&amp;ROW()))="Not sure","unsure",""))))</f>
        <v/>
      </c>
      <c r="U65" s="25">
        <f>IF(INDIRECT("brand_form!A"&amp;ROW())="","",IF(IF(INDIRECT("brand_form!T"&amp;ROW())="","",INDIRECT("brand_form!T"&amp;ROW()))="Yes","Y",IF(IF(INDIRECT("brand_form!T"&amp;ROW())="","",INDIRECT("brand_form!T"&amp;ROW()))="No","N",IF(IF(INDIRECT("brand_form!T"&amp;ROW())="","",INDIRECT("brand_form!T"&amp;ROW()))="Not sure","unsure",""))))</f>
        <v/>
      </c>
      <c r="V65" s="25">
        <f>IF(INDIRECT("brand_form!A"&amp;ROW())="","",IF(IF(INDIRECT("brand_form!U"&amp;ROW())="","",INDIRECT("brand_form!U"&amp;ROW()))="Yes","Y",IF(IF(INDIRECT("brand_form!U"&amp;ROW())="","",INDIRECT("brand_form!U"&amp;ROW()))="No","N",IF(IF(INDIRECT("brand_form!U"&amp;ROW())="","",INDIRECT("brand_form!U"&amp;ROW()))="Not sure","unsure",""))))</f>
        <v/>
      </c>
      <c r="W65" s="25">
        <f>IF(INDIRECT("brand_form!A"&amp;ROW())="","",IF(IF(INDIRECT("brand_form!V"&amp;ROW())="","",INDIRECT("brand_form!V"&amp;ROW()))="Yes","Y",IF(IF(INDIRECT("brand_form!V"&amp;ROW())="","",INDIRECT("brand_form!V"&amp;ROW()))="No","N",IF(IF(INDIRECT("brand_form!V"&amp;ROW())="","",INDIRECT("brand_form!V"&amp;ROW()))="Not sure","unsure",""))))</f>
        <v/>
      </c>
      <c r="X65" s="25">
        <f>IF(INDIRECT("brand_form!A"&amp;ROW())="","",IF(INDIRECT("brand_form!W"&amp;ROW())="","",INDIRECT("brand_form!W"&amp;ROW())))</f>
        <v/>
      </c>
      <c r="Y65" s="25">
        <f>IF(INDIRECT("brand_form!A"&amp;ROW())="","",IF(IF(INDIRECT("brand_form!X"&amp;ROW())="","",INDIRECT("brand_form!X"&amp;ROW()))&lt;&gt;"","Y",""))</f>
        <v/>
      </c>
      <c r="Z65" s="25">
        <f>IF(INDIRECT("brand_form!A"&amp;ROW())="","",IF(INDIRECT("brand_form!Y"&amp;ROW())="","",INDIRECT("brand_form!Y"&amp;ROW())))</f>
        <v/>
      </c>
      <c r="AA65" s="25">
        <f>IF(INDIRECT("brand_form!A"&amp;ROW())="","","founder")</f>
        <v/>
      </c>
    </row>
    <row r="66">
      <c r="A66" s="25">
        <f>IF(INDIRECT("brand_form!A"&amp;ROW())="","",TEXT(INDIRECT("brand_form!A"&amp;ROW()),"yyyy-mm-dd""T""hh:mm:ss"))</f>
        <v/>
      </c>
      <c r="B66" s="25">
        <f>IF(INDIRECT("brand_form!A"&amp;ROW())="","",config!$B$35)</f>
        <v/>
      </c>
      <c r="C66" s="25">
        <f>IF(INDIRECT("brand_form!A"&amp;ROW())="","",IF(INDIRECT("brand_form!B"&amp;ROW())="","",INDIRECT("brand_form!B"&amp;ROW())))</f>
        <v/>
      </c>
      <c r="D66" s="25">
        <f>IF(INDIRECT("brand_form!A"&amp;ROW())="","",IF(IF(INDIRECT("brand_form!C"&amp;ROW())="","",INDIRECT("brand_form!C"&amp;ROW()))="","",IF(LEFT(LOWER(IF(INDIRECT("brand_form!C"&amp;ROW())="","",INDIRECT("brand_form!C"&amp;ROW()))),4)="http",IF(INDIRECT("brand_form!C"&amp;ROW())="","",INDIRECT("brand_form!C"&amp;ROW())),"https://"&amp;IF(INDIRECT("brand_form!C"&amp;ROW())="","",INDIRECT("brand_form!C"&amp;ROW())))))</f>
        <v/>
      </c>
      <c r="E66" s="25">
        <f>IF(INDIRECT("brand_form!A"&amp;ROW())="","",IF(INDIRECT("brand_form!G"&amp;ROW())="","",INDIRECT("brand_form!G"&amp;ROW())))</f>
        <v/>
      </c>
      <c r="F66" s="25">
        <f>IF(INDIRECT("brand_form!A"&amp;ROW())="","",IF(INDIRECT("brand_form!H"&amp;ROW())="","",INDIRECT("brand_form!H"&amp;ROW())))</f>
        <v/>
      </c>
      <c r="G66" s="25">
        <f>IF(INDIRECT("brand_form!A"&amp;ROW())="","",IF(INDIRECT("brand_form!I"&amp;ROW())="","",INDIRECT("brand_form!I"&amp;ROW())))</f>
        <v/>
      </c>
      <c r="H66" s="25">
        <f>IF(INDIRECT("brand_form!A"&amp;ROW())="","",IF(INDIRECT("brand_form!J"&amp;ROW())="","",INDIRECT("brand_form!J"&amp;ROW())))</f>
        <v/>
      </c>
      <c r="I66" s="25">
        <f>IF(INDIRECT("brand_form!A"&amp;ROW())="","",IF(INDIRECT("brand_form!D"&amp;ROW())="","",INDIRECT("brand_form!D"&amp;ROW())))</f>
        <v/>
      </c>
      <c r="J6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6" s="25">
        <f>IF(INDIRECT("brand_form!A"&amp;ROW())="","",IF(INDIRECT("brand_form!F"&amp;ROW())="","",INDIRECT("brand_form!F"&amp;ROW())))</f>
        <v/>
      </c>
      <c r="L66" s="25">
        <f>IF(INDIRECT("brand_form!A"&amp;ROW())="","",IF(INDIRECT("brand_form!M"&amp;ROW())="","",INDIRECT("brand_form!M"&amp;ROW())))</f>
        <v/>
      </c>
      <c r="M66" s="25">
        <f>IF(INDIRECT("brand_form!A"&amp;ROW())="","",IF(IF(INDIRECT("brand_form!N"&amp;ROW())="","",INDIRECT("brand_form!N"&amp;ROW()))="","",IF(LEFT(LOWER(IF(INDIRECT("brand_form!N"&amp;ROW())="","",INDIRECT("brand_form!N"&amp;ROW()))),4)="http",IF(INDIRECT("brand_form!N"&amp;ROW())="","",INDIRECT("brand_form!N"&amp;ROW())),"https://"&amp;IF(INDIRECT("brand_form!N"&amp;ROW())="","",INDIRECT("brand_form!N"&amp;ROW())))))</f>
        <v/>
      </c>
      <c r="N66" s="25">
        <f>IF(INDIRECT("brand_form!A"&amp;ROW())="","",IF(IF(INDIRECT("brand_form!O"&amp;ROW())="","",INDIRECT("brand_form!O"&amp;ROW()))="Yes","Y",IF(IF(INDIRECT("brand_form!O"&amp;ROW())="","",INDIRECT("brand_form!O"&amp;ROW()))="No","N","")))</f>
        <v/>
      </c>
      <c r="O6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6" s="25">
        <f>IF(INDIRECT("brand_form!A"&amp;ROW())="","",IF(IF(INDIRECT("brand_form!K"&amp;ROW())="","",INDIRECT("brand_form!K"&amp;ROW()))="I do","Y",IF(IF(INDIRECT("brand_form!K"&amp;ROW())="","",INDIRECT("brand_form!K"&amp;ROW()))="Someone else","N","")))</f>
        <v/>
      </c>
      <c r="Q66" s="25">
        <f>IF(INDIRECT("brand_form!A"&amp;ROW())="","",IF($P66="Y",$E66&amp;", "&amp;$F66,IF(INDIRECT("brand_form!L"&amp;ROW())="","",INDIRECT("brand_form!L"&amp;ROW()))))</f>
        <v/>
      </c>
      <c r="R66" s="25">
        <f>IF(INDIRECT("brand_form!A"&amp;ROW())="","",IF(IF(INDIRECT("brand_form!Q"&amp;ROW())="","",INDIRECT("brand_form!Q"&amp;ROW()))="Yes","Y",IF(IF(INDIRECT("brand_form!Q"&amp;ROW())="","",INDIRECT("brand_form!Q"&amp;ROW()))="No","N",IF(IF(INDIRECT("brand_form!Q"&amp;ROW())="","",INDIRECT("brand_form!Q"&amp;ROW()))="Not sure","unsure",""))))</f>
        <v/>
      </c>
      <c r="S66" s="25">
        <f>IF(INDIRECT("brand_form!A"&amp;ROW())="","",IF(IF(INDIRECT("brand_form!R"&amp;ROW())="","",INDIRECT("brand_form!R"&amp;ROW()))="Yes","Y",IF(IF(INDIRECT("brand_form!R"&amp;ROW())="","",INDIRECT("brand_form!R"&amp;ROW()))="No","N",IF(IF(INDIRECT("brand_form!R"&amp;ROW())="","",INDIRECT("brand_form!R"&amp;ROW()))="Not sure","unsure",""))))</f>
        <v/>
      </c>
      <c r="T66" s="25">
        <f>IF(INDIRECT("brand_form!A"&amp;ROW())="","",IF(IF(INDIRECT("brand_form!S"&amp;ROW())="","",INDIRECT("brand_form!S"&amp;ROW()))="Yes","Y",IF(IF(INDIRECT("brand_form!S"&amp;ROW())="","",INDIRECT("brand_form!S"&amp;ROW()))="No","N",IF(IF(INDIRECT("brand_form!S"&amp;ROW())="","",INDIRECT("brand_form!S"&amp;ROW()))="Not sure","unsure",""))))</f>
        <v/>
      </c>
      <c r="U66" s="25">
        <f>IF(INDIRECT("brand_form!A"&amp;ROW())="","",IF(IF(INDIRECT("brand_form!T"&amp;ROW())="","",INDIRECT("brand_form!T"&amp;ROW()))="Yes","Y",IF(IF(INDIRECT("brand_form!T"&amp;ROW())="","",INDIRECT("brand_form!T"&amp;ROW()))="No","N",IF(IF(INDIRECT("brand_form!T"&amp;ROW())="","",INDIRECT("brand_form!T"&amp;ROW()))="Not sure","unsure",""))))</f>
        <v/>
      </c>
      <c r="V66" s="25">
        <f>IF(INDIRECT("brand_form!A"&amp;ROW())="","",IF(IF(INDIRECT("brand_form!U"&amp;ROW())="","",INDIRECT("brand_form!U"&amp;ROW()))="Yes","Y",IF(IF(INDIRECT("brand_form!U"&amp;ROW())="","",INDIRECT("brand_form!U"&amp;ROW()))="No","N",IF(IF(INDIRECT("brand_form!U"&amp;ROW())="","",INDIRECT("brand_form!U"&amp;ROW()))="Not sure","unsure",""))))</f>
        <v/>
      </c>
      <c r="W66" s="25">
        <f>IF(INDIRECT("brand_form!A"&amp;ROW())="","",IF(IF(INDIRECT("brand_form!V"&amp;ROW())="","",INDIRECT("brand_form!V"&amp;ROW()))="Yes","Y",IF(IF(INDIRECT("brand_form!V"&amp;ROW())="","",INDIRECT("brand_form!V"&amp;ROW()))="No","N",IF(IF(INDIRECT("brand_form!V"&amp;ROW())="","",INDIRECT("brand_form!V"&amp;ROW()))="Not sure","unsure",""))))</f>
        <v/>
      </c>
      <c r="X66" s="25">
        <f>IF(INDIRECT("brand_form!A"&amp;ROW())="","",IF(INDIRECT("brand_form!W"&amp;ROW())="","",INDIRECT("brand_form!W"&amp;ROW())))</f>
        <v/>
      </c>
      <c r="Y66" s="25">
        <f>IF(INDIRECT("brand_form!A"&amp;ROW())="","",IF(IF(INDIRECT("brand_form!X"&amp;ROW())="","",INDIRECT("brand_form!X"&amp;ROW()))&lt;&gt;"","Y",""))</f>
        <v/>
      </c>
      <c r="Z66" s="25">
        <f>IF(INDIRECT("brand_form!A"&amp;ROW())="","",IF(INDIRECT("brand_form!Y"&amp;ROW())="","",INDIRECT("brand_form!Y"&amp;ROW())))</f>
        <v/>
      </c>
      <c r="AA66" s="25">
        <f>IF(INDIRECT("brand_form!A"&amp;ROW())="","","founder")</f>
        <v/>
      </c>
    </row>
    <row r="67">
      <c r="A67" s="25">
        <f>IF(INDIRECT("brand_form!A"&amp;ROW())="","",TEXT(INDIRECT("brand_form!A"&amp;ROW()),"yyyy-mm-dd""T""hh:mm:ss"))</f>
        <v/>
      </c>
      <c r="B67" s="25">
        <f>IF(INDIRECT("brand_form!A"&amp;ROW())="","",config!$B$35)</f>
        <v/>
      </c>
      <c r="C67" s="25">
        <f>IF(INDIRECT("brand_form!A"&amp;ROW())="","",IF(INDIRECT("brand_form!B"&amp;ROW())="","",INDIRECT("brand_form!B"&amp;ROW())))</f>
        <v/>
      </c>
      <c r="D67" s="25">
        <f>IF(INDIRECT("brand_form!A"&amp;ROW())="","",IF(IF(INDIRECT("brand_form!C"&amp;ROW())="","",INDIRECT("brand_form!C"&amp;ROW()))="","",IF(LEFT(LOWER(IF(INDIRECT("brand_form!C"&amp;ROW())="","",INDIRECT("brand_form!C"&amp;ROW()))),4)="http",IF(INDIRECT("brand_form!C"&amp;ROW())="","",INDIRECT("brand_form!C"&amp;ROW())),"https://"&amp;IF(INDIRECT("brand_form!C"&amp;ROW())="","",INDIRECT("brand_form!C"&amp;ROW())))))</f>
        <v/>
      </c>
      <c r="E67" s="25">
        <f>IF(INDIRECT("brand_form!A"&amp;ROW())="","",IF(INDIRECT("brand_form!G"&amp;ROW())="","",INDIRECT("brand_form!G"&amp;ROW())))</f>
        <v/>
      </c>
      <c r="F67" s="25">
        <f>IF(INDIRECT("brand_form!A"&amp;ROW())="","",IF(INDIRECT("brand_form!H"&amp;ROW())="","",INDIRECT("brand_form!H"&amp;ROW())))</f>
        <v/>
      </c>
      <c r="G67" s="25">
        <f>IF(INDIRECT("brand_form!A"&amp;ROW())="","",IF(INDIRECT("brand_form!I"&amp;ROW())="","",INDIRECT("brand_form!I"&amp;ROW())))</f>
        <v/>
      </c>
      <c r="H67" s="25">
        <f>IF(INDIRECT("brand_form!A"&amp;ROW())="","",IF(INDIRECT("brand_form!J"&amp;ROW())="","",INDIRECT("brand_form!J"&amp;ROW())))</f>
        <v/>
      </c>
      <c r="I67" s="25">
        <f>IF(INDIRECT("brand_form!A"&amp;ROW())="","",IF(INDIRECT("brand_form!D"&amp;ROW())="","",INDIRECT("brand_form!D"&amp;ROW())))</f>
        <v/>
      </c>
      <c r="J6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7" s="25">
        <f>IF(INDIRECT("brand_form!A"&amp;ROW())="","",IF(INDIRECT("brand_form!F"&amp;ROW())="","",INDIRECT("brand_form!F"&amp;ROW())))</f>
        <v/>
      </c>
      <c r="L67" s="25">
        <f>IF(INDIRECT("brand_form!A"&amp;ROW())="","",IF(INDIRECT("brand_form!M"&amp;ROW())="","",INDIRECT("brand_form!M"&amp;ROW())))</f>
        <v/>
      </c>
      <c r="M67" s="25">
        <f>IF(INDIRECT("brand_form!A"&amp;ROW())="","",IF(IF(INDIRECT("brand_form!N"&amp;ROW())="","",INDIRECT("brand_form!N"&amp;ROW()))="","",IF(LEFT(LOWER(IF(INDIRECT("brand_form!N"&amp;ROW())="","",INDIRECT("brand_form!N"&amp;ROW()))),4)="http",IF(INDIRECT("brand_form!N"&amp;ROW())="","",INDIRECT("brand_form!N"&amp;ROW())),"https://"&amp;IF(INDIRECT("brand_form!N"&amp;ROW())="","",INDIRECT("brand_form!N"&amp;ROW())))))</f>
        <v/>
      </c>
      <c r="N67" s="25">
        <f>IF(INDIRECT("brand_form!A"&amp;ROW())="","",IF(IF(INDIRECT("brand_form!O"&amp;ROW())="","",INDIRECT("brand_form!O"&amp;ROW()))="Yes","Y",IF(IF(INDIRECT("brand_form!O"&amp;ROW())="","",INDIRECT("brand_form!O"&amp;ROW()))="No","N","")))</f>
        <v/>
      </c>
      <c r="O6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7" s="25">
        <f>IF(INDIRECT("brand_form!A"&amp;ROW())="","",IF(IF(INDIRECT("brand_form!K"&amp;ROW())="","",INDIRECT("brand_form!K"&amp;ROW()))="I do","Y",IF(IF(INDIRECT("brand_form!K"&amp;ROW())="","",INDIRECT("brand_form!K"&amp;ROW()))="Someone else","N","")))</f>
        <v/>
      </c>
      <c r="Q67" s="25">
        <f>IF(INDIRECT("brand_form!A"&amp;ROW())="","",IF($P67="Y",$E67&amp;", "&amp;$F67,IF(INDIRECT("brand_form!L"&amp;ROW())="","",INDIRECT("brand_form!L"&amp;ROW()))))</f>
        <v/>
      </c>
      <c r="R67" s="25">
        <f>IF(INDIRECT("brand_form!A"&amp;ROW())="","",IF(IF(INDIRECT("brand_form!Q"&amp;ROW())="","",INDIRECT("brand_form!Q"&amp;ROW()))="Yes","Y",IF(IF(INDIRECT("brand_form!Q"&amp;ROW())="","",INDIRECT("brand_form!Q"&amp;ROW()))="No","N",IF(IF(INDIRECT("brand_form!Q"&amp;ROW())="","",INDIRECT("brand_form!Q"&amp;ROW()))="Not sure","unsure",""))))</f>
        <v/>
      </c>
      <c r="S67" s="25">
        <f>IF(INDIRECT("brand_form!A"&amp;ROW())="","",IF(IF(INDIRECT("brand_form!R"&amp;ROW())="","",INDIRECT("brand_form!R"&amp;ROW()))="Yes","Y",IF(IF(INDIRECT("brand_form!R"&amp;ROW())="","",INDIRECT("brand_form!R"&amp;ROW()))="No","N",IF(IF(INDIRECT("brand_form!R"&amp;ROW())="","",INDIRECT("brand_form!R"&amp;ROW()))="Not sure","unsure",""))))</f>
        <v/>
      </c>
      <c r="T67" s="25">
        <f>IF(INDIRECT("brand_form!A"&amp;ROW())="","",IF(IF(INDIRECT("brand_form!S"&amp;ROW())="","",INDIRECT("brand_form!S"&amp;ROW()))="Yes","Y",IF(IF(INDIRECT("brand_form!S"&amp;ROW())="","",INDIRECT("brand_form!S"&amp;ROW()))="No","N",IF(IF(INDIRECT("brand_form!S"&amp;ROW())="","",INDIRECT("brand_form!S"&amp;ROW()))="Not sure","unsure",""))))</f>
        <v/>
      </c>
      <c r="U67" s="25">
        <f>IF(INDIRECT("brand_form!A"&amp;ROW())="","",IF(IF(INDIRECT("brand_form!T"&amp;ROW())="","",INDIRECT("brand_form!T"&amp;ROW()))="Yes","Y",IF(IF(INDIRECT("brand_form!T"&amp;ROW())="","",INDIRECT("brand_form!T"&amp;ROW()))="No","N",IF(IF(INDIRECT("brand_form!T"&amp;ROW())="","",INDIRECT("brand_form!T"&amp;ROW()))="Not sure","unsure",""))))</f>
        <v/>
      </c>
      <c r="V67" s="25">
        <f>IF(INDIRECT("brand_form!A"&amp;ROW())="","",IF(IF(INDIRECT("brand_form!U"&amp;ROW())="","",INDIRECT("brand_form!U"&amp;ROW()))="Yes","Y",IF(IF(INDIRECT("brand_form!U"&amp;ROW())="","",INDIRECT("brand_form!U"&amp;ROW()))="No","N",IF(IF(INDIRECT("brand_form!U"&amp;ROW())="","",INDIRECT("brand_form!U"&amp;ROW()))="Not sure","unsure",""))))</f>
        <v/>
      </c>
      <c r="W67" s="25">
        <f>IF(INDIRECT("brand_form!A"&amp;ROW())="","",IF(IF(INDIRECT("brand_form!V"&amp;ROW())="","",INDIRECT("brand_form!V"&amp;ROW()))="Yes","Y",IF(IF(INDIRECT("brand_form!V"&amp;ROW())="","",INDIRECT("brand_form!V"&amp;ROW()))="No","N",IF(IF(INDIRECT("brand_form!V"&amp;ROW())="","",INDIRECT("brand_form!V"&amp;ROW()))="Not sure","unsure",""))))</f>
        <v/>
      </c>
      <c r="X67" s="25">
        <f>IF(INDIRECT("brand_form!A"&amp;ROW())="","",IF(INDIRECT("brand_form!W"&amp;ROW())="","",INDIRECT("brand_form!W"&amp;ROW())))</f>
        <v/>
      </c>
      <c r="Y67" s="25">
        <f>IF(INDIRECT("brand_form!A"&amp;ROW())="","",IF(IF(INDIRECT("brand_form!X"&amp;ROW())="","",INDIRECT("brand_form!X"&amp;ROW()))&lt;&gt;"","Y",""))</f>
        <v/>
      </c>
      <c r="Z67" s="25">
        <f>IF(INDIRECT("brand_form!A"&amp;ROW())="","",IF(INDIRECT("brand_form!Y"&amp;ROW())="","",INDIRECT("brand_form!Y"&amp;ROW())))</f>
        <v/>
      </c>
      <c r="AA67" s="25">
        <f>IF(INDIRECT("brand_form!A"&amp;ROW())="","","founder")</f>
        <v/>
      </c>
    </row>
    <row r="68">
      <c r="A68" s="25">
        <f>IF(INDIRECT("brand_form!A"&amp;ROW())="","",TEXT(INDIRECT("brand_form!A"&amp;ROW()),"yyyy-mm-dd""T""hh:mm:ss"))</f>
        <v/>
      </c>
      <c r="B68" s="25">
        <f>IF(INDIRECT("brand_form!A"&amp;ROW())="","",config!$B$35)</f>
        <v/>
      </c>
      <c r="C68" s="25">
        <f>IF(INDIRECT("brand_form!A"&amp;ROW())="","",IF(INDIRECT("brand_form!B"&amp;ROW())="","",INDIRECT("brand_form!B"&amp;ROW())))</f>
        <v/>
      </c>
      <c r="D68" s="25">
        <f>IF(INDIRECT("brand_form!A"&amp;ROW())="","",IF(IF(INDIRECT("brand_form!C"&amp;ROW())="","",INDIRECT("brand_form!C"&amp;ROW()))="","",IF(LEFT(LOWER(IF(INDIRECT("brand_form!C"&amp;ROW())="","",INDIRECT("brand_form!C"&amp;ROW()))),4)="http",IF(INDIRECT("brand_form!C"&amp;ROW())="","",INDIRECT("brand_form!C"&amp;ROW())),"https://"&amp;IF(INDIRECT("brand_form!C"&amp;ROW())="","",INDIRECT("brand_form!C"&amp;ROW())))))</f>
        <v/>
      </c>
      <c r="E68" s="25">
        <f>IF(INDIRECT("brand_form!A"&amp;ROW())="","",IF(INDIRECT("brand_form!G"&amp;ROW())="","",INDIRECT("brand_form!G"&amp;ROW())))</f>
        <v/>
      </c>
      <c r="F68" s="25">
        <f>IF(INDIRECT("brand_form!A"&amp;ROW())="","",IF(INDIRECT("brand_form!H"&amp;ROW())="","",INDIRECT("brand_form!H"&amp;ROW())))</f>
        <v/>
      </c>
      <c r="G68" s="25">
        <f>IF(INDIRECT("brand_form!A"&amp;ROW())="","",IF(INDIRECT("brand_form!I"&amp;ROW())="","",INDIRECT("brand_form!I"&amp;ROW())))</f>
        <v/>
      </c>
      <c r="H68" s="25">
        <f>IF(INDIRECT("brand_form!A"&amp;ROW())="","",IF(INDIRECT("brand_form!J"&amp;ROW())="","",INDIRECT("brand_form!J"&amp;ROW())))</f>
        <v/>
      </c>
      <c r="I68" s="25">
        <f>IF(INDIRECT("brand_form!A"&amp;ROW())="","",IF(INDIRECT("brand_form!D"&amp;ROW())="","",INDIRECT("brand_form!D"&amp;ROW())))</f>
        <v/>
      </c>
      <c r="J6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8" s="25">
        <f>IF(INDIRECT("brand_form!A"&amp;ROW())="","",IF(INDIRECT("brand_form!F"&amp;ROW())="","",INDIRECT("brand_form!F"&amp;ROW())))</f>
        <v/>
      </c>
      <c r="L68" s="25">
        <f>IF(INDIRECT("brand_form!A"&amp;ROW())="","",IF(INDIRECT("brand_form!M"&amp;ROW())="","",INDIRECT("brand_form!M"&amp;ROW())))</f>
        <v/>
      </c>
      <c r="M68" s="25">
        <f>IF(INDIRECT("brand_form!A"&amp;ROW())="","",IF(IF(INDIRECT("brand_form!N"&amp;ROW())="","",INDIRECT("brand_form!N"&amp;ROW()))="","",IF(LEFT(LOWER(IF(INDIRECT("brand_form!N"&amp;ROW())="","",INDIRECT("brand_form!N"&amp;ROW()))),4)="http",IF(INDIRECT("brand_form!N"&amp;ROW())="","",INDIRECT("brand_form!N"&amp;ROW())),"https://"&amp;IF(INDIRECT("brand_form!N"&amp;ROW())="","",INDIRECT("brand_form!N"&amp;ROW())))))</f>
        <v/>
      </c>
      <c r="N68" s="25">
        <f>IF(INDIRECT("brand_form!A"&amp;ROW())="","",IF(IF(INDIRECT("brand_form!O"&amp;ROW())="","",INDIRECT("brand_form!O"&amp;ROW()))="Yes","Y",IF(IF(INDIRECT("brand_form!O"&amp;ROW())="","",INDIRECT("brand_form!O"&amp;ROW()))="No","N","")))</f>
        <v/>
      </c>
      <c r="O6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8" s="25">
        <f>IF(INDIRECT("brand_form!A"&amp;ROW())="","",IF(IF(INDIRECT("brand_form!K"&amp;ROW())="","",INDIRECT("brand_form!K"&amp;ROW()))="I do","Y",IF(IF(INDIRECT("brand_form!K"&amp;ROW())="","",INDIRECT("brand_form!K"&amp;ROW()))="Someone else","N","")))</f>
        <v/>
      </c>
      <c r="Q68" s="25">
        <f>IF(INDIRECT("brand_form!A"&amp;ROW())="","",IF($P68="Y",$E68&amp;", "&amp;$F68,IF(INDIRECT("brand_form!L"&amp;ROW())="","",INDIRECT("brand_form!L"&amp;ROW()))))</f>
        <v/>
      </c>
      <c r="R68" s="25">
        <f>IF(INDIRECT("brand_form!A"&amp;ROW())="","",IF(IF(INDIRECT("brand_form!Q"&amp;ROW())="","",INDIRECT("brand_form!Q"&amp;ROW()))="Yes","Y",IF(IF(INDIRECT("brand_form!Q"&amp;ROW())="","",INDIRECT("brand_form!Q"&amp;ROW()))="No","N",IF(IF(INDIRECT("brand_form!Q"&amp;ROW())="","",INDIRECT("brand_form!Q"&amp;ROW()))="Not sure","unsure",""))))</f>
        <v/>
      </c>
      <c r="S68" s="25">
        <f>IF(INDIRECT("brand_form!A"&amp;ROW())="","",IF(IF(INDIRECT("brand_form!R"&amp;ROW())="","",INDIRECT("brand_form!R"&amp;ROW()))="Yes","Y",IF(IF(INDIRECT("brand_form!R"&amp;ROW())="","",INDIRECT("brand_form!R"&amp;ROW()))="No","N",IF(IF(INDIRECT("brand_form!R"&amp;ROW())="","",INDIRECT("brand_form!R"&amp;ROW()))="Not sure","unsure",""))))</f>
        <v/>
      </c>
      <c r="T68" s="25">
        <f>IF(INDIRECT("brand_form!A"&amp;ROW())="","",IF(IF(INDIRECT("brand_form!S"&amp;ROW())="","",INDIRECT("brand_form!S"&amp;ROW()))="Yes","Y",IF(IF(INDIRECT("brand_form!S"&amp;ROW())="","",INDIRECT("brand_form!S"&amp;ROW()))="No","N",IF(IF(INDIRECT("brand_form!S"&amp;ROW())="","",INDIRECT("brand_form!S"&amp;ROW()))="Not sure","unsure",""))))</f>
        <v/>
      </c>
      <c r="U68" s="25">
        <f>IF(INDIRECT("brand_form!A"&amp;ROW())="","",IF(IF(INDIRECT("brand_form!T"&amp;ROW())="","",INDIRECT("brand_form!T"&amp;ROW()))="Yes","Y",IF(IF(INDIRECT("brand_form!T"&amp;ROW())="","",INDIRECT("brand_form!T"&amp;ROW()))="No","N",IF(IF(INDIRECT("brand_form!T"&amp;ROW())="","",INDIRECT("brand_form!T"&amp;ROW()))="Not sure","unsure",""))))</f>
        <v/>
      </c>
      <c r="V68" s="25">
        <f>IF(INDIRECT("brand_form!A"&amp;ROW())="","",IF(IF(INDIRECT("brand_form!U"&amp;ROW())="","",INDIRECT("brand_form!U"&amp;ROW()))="Yes","Y",IF(IF(INDIRECT("brand_form!U"&amp;ROW())="","",INDIRECT("brand_form!U"&amp;ROW()))="No","N",IF(IF(INDIRECT("brand_form!U"&amp;ROW())="","",INDIRECT("brand_form!U"&amp;ROW()))="Not sure","unsure",""))))</f>
        <v/>
      </c>
      <c r="W68" s="25">
        <f>IF(INDIRECT("brand_form!A"&amp;ROW())="","",IF(IF(INDIRECT("brand_form!V"&amp;ROW())="","",INDIRECT("brand_form!V"&amp;ROW()))="Yes","Y",IF(IF(INDIRECT("brand_form!V"&amp;ROW())="","",INDIRECT("brand_form!V"&amp;ROW()))="No","N",IF(IF(INDIRECT("brand_form!V"&amp;ROW())="","",INDIRECT("brand_form!V"&amp;ROW()))="Not sure","unsure",""))))</f>
        <v/>
      </c>
      <c r="X68" s="25">
        <f>IF(INDIRECT("brand_form!A"&amp;ROW())="","",IF(INDIRECT("brand_form!W"&amp;ROW())="","",INDIRECT("brand_form!W"&amp;ROW())))</f>
        <v/>
      </c>
      <c r="Y68" s="25">
        <f>IF(INDIRECT("brand_form!A"&amp;ROW())="","",IF(IF(INDIRECT("brand_form!X"&amp;ROW())="","",INDIRECT("brand_form!X"&amp;ROW()))&lt;&gt;"","Y",""))</f>
        <v/>
      </c>
      <c r="Z68" s="25">
        <f>IF(INDIRECT("brand_form!A"&amp;ROW())="","",IF(INDIRECT("brand_form!Y"&amp;ROW())="","",INDIRECT("brand_form!Y"&amp;ROW())))</f>
        <v/>
      </c>
      <c r="AA68" s="25">
        <f>IF(INDIRECT("brand_form!A"&amp;ROW())="","","founder")</f>
        <v/>
      </c>
    </row>
    <row r="69">
      <c r="A69" s="25">
        <f>IF(INDIRECT("brand_form!A"&amp;ROW())="","",TEXT(INDIRECT("brand_form!A"&amp;ROW()),"yyyy-mm-dd""T""hh:mm:ss"))</f>
        <v/>
      </c>
      <c r="B69" s="25">
        <f>IF(INDIRECT("brand_form!A"&amp;ROW())="","",config!$B$35)</f>
        <v/>
      </c>
      <c r="C69" s="25">
        <f>IF(INDIRECT("brand_form!A"&amp;ROW())="","",IF(INDIRECT("brand_form!B"&amp;ROW())="","",INDIRECT("brand_form!B"&amp;ROW())))</f>
        <v/>
      </c>
      <c r="D69" s="25">
        <f>IF(INDIRECT("brand_form!A"&amp;ROW())="","",IF(IF(INDIRECT("brand_form!C"&amp;ROW())="","",INDIRECT("brand_form!C"&amp;ROW()))="","",IF(LEFT(LOWER(IF(INDIRECT("brand_form!C"&amp;ROW())="","",INDIRECT("brand_form!C"&amp;ROW()))),4)="http",IF(INDIRECT("brand_form!C"&amp;ROW())="","",INDIRECT("brand_form!C"&amp;ROW())),"https://"&amp;IF(INDIRECT("brand_form!C"&amp;ROW())="","",INDIRECT("brand_form!C"&amp;ROW())))))</f>
        <v/>
      </c>
      <c r="E69" s="25">
        <f>IF(INDIRECT("brand_form!A"&amp;ROW())="","",IF(INDIRECT("brand_form!G"&amp;ROW())="","",INDIRECT("brand_form!G"&amp;ROW())))</f>
        <v/>
      </c>
      <c r="F69" s="25">
        <f>IF(INDIRECT("brand_form!A"&amp;ROW())="","",IF(INDIRECT("brand_form!H"&amp;ROW())="","",INDIRECT("brand_form!H"&amp;ROW())))</f>
        <v/>
      </c>
      <c r="G69" s="25">
        <f>IF(INDIRECT("brand_form!A"&amp;ROW())="","",IF(INDIRECT("brand_form!I"&amp;ROW())="","",INDIRECT("brand_form!I"&amp;ROW())))</f>
        <v/>
      </c>
      <c r="H69" s="25">
        <f>IF(INDIRECT("brand_form!A"&amp;ROW())="","",IF(INDIRECT("brand_form!J"&amp;ROW())="","",INDIRECT("brand_form!J"&amp;ROW())))</f>
        <v/>
      </c>
      <c r="I69" s="25">
        <f>IF(INDIRECT("brand_form!A"&amp;ROW())="","",IF(INDIRECT("brand_form!D"&amp;ROW())="","",INDIRECT("brand_form!D"&amp;ROW())))</f>
        <v/>
      </c>
      <c r="J6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9" s="25">
        <f>IF(INDIRECT("brand_form!A"&amp;ROW())="","",IF(INDIRECT("brand_form!F"&amp;ROW())="","",INDIRECT("brand_form!F"&amp;ROW())))</f>
        <v/>
      </c>
      <c r="L69" s="25">
        <f>IF(INDIRECT("brand_form!A"&amp;ROW())="","",IF(INDIRECT("brand_form!M"&amp;ROW())="","",INDIRECT("brand_form!M"&amp;ROW())))</f>
        <v/>
      </c>
      <c r="M69" s="25">
        <f>IF(INDIRECT("brand_form!A"&amp;ROW())="","",IF(IF(INDIRECT("brand_form!N"&amp;ROW())="","",INDIRECT("brand_form!N"&amp;ROW()))="","",IF(LEFT(LOWER(IF(INDIRECT("brand_form!N"&amp;ROW())="","",INDIRECT("brand_form!N"&amp;ROW()))),4)="http",IF(INDIRECT("brand_form!N"&amp;ROW())="","",INDIRECT("brand_form!N"&amp;ROW())),"https://"&amp;IF(INDIRECT("brand_form!N"&amp;ROW())="","",INDIRECT("brand_form!N"&amp;ROW())))))</f>
        <v/>
      </c>
      <c r="N69" s="25">
        <f>IF(INDIRECT("brand_form!A"&amp;ROW())="","",IF(IF(INDIRECT("brand_form!O"&amp;ROW())="","",INDIRECT("brand_form!O"&amp;ROW()))="Yes","Y",IF(IF(INDIRECT("brand_form!O"&amp;ROW())="","",INDIRECT("brand_form!O"&amp;ROW()))="No","N","")))</f>
        <v/>
      </c>
      <c r="O6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9" s="25">
        <f>IF(INDIRECT("brand_form!A"&amp;ROW())="","",IF(IF(INDIRECT("brand_form!K"&amp;ROW())="","",INDIRECT("brand_form!K"&amp;ROW()))="I do","Y",IF(IF(INDIRECT("brand_form!K"&amp;ROW())="","",INDIRECT("brand_form!K"&amp;ROW()))="Someone else","N","")))</f>
        <v/>
      </c>
      <c r="Q69" s="25">
        <f>IF(INDIRECT("brand_form!A"&amp;ROW())="","",IF($P69="Y",$E69&amp;", "&amp;$F69,IF(INDIRECT("brand_form!L"&amp;ROW())="","",INDIRECT("brand_form!L"&amp;ROW()))))</f>
        <v/>
      </c>
      <c r="R69" s="25">
        <f>IF(INDIRECT("brand_form!A"&amp;ROW())="","",IF(IF(INDIRECT("brand_form!Q"&amp;ROW())="","",INDIRECT("brand_form!Q"&amp;ROW()))="Yes","Y",IF(IF(INDIRECT("brand_form!Q"&amp;ROW())="","",INDIRECT("brand_form!Q"&amp;ROW()))="No","N",IF(IF(INDIRECT("brand_form!Q"&amp;ROW())="","",INDIRECT("brand_form!Q"&amp;ROW()))="Not sure","unsure",""))))</f>
        <v/>
      </c>
      <c r="S69" s="25">
        <f>IF(INDIRECT("brand_form!A"&amp;ROW())="","",IF(IF(INDIRECT("brand_form!R"&amp;ROW())="","",INDIRECT("brand_form!R"&amp;ROW()))="Yes","Y",IF(IF(INDIRECT("brand_form!R"&amp;ROW())="","",INDIRECT("brand_form!R"&amp;ROW()))="No","N",IF(IF(INDIRECT("brand_form!R"&amp;ROW())="","",INDIRECT("brand_form!R"&amp;ROW()))="Not sure","unsure",""))))</f>
        <v/>
      </c>
      <c r="T69" s="25">
        <f>IF(INDIRECT("brand_form!A"&amp;ROW())="","",IF(IF(INDIRECT("brand_form!S"&amp;ROW())="","",INDIRECT("brand_form!S"&amp;ROW()))="Yes","Y",IF(IF(INDIRECT("brand_form!S"&amp;ROW())="","",INDIRECT("brand_form!S"&amp;ROW()))="No","N",IF(IF(INDIRECT("brand_form!S"&amp;ROW())="","",INDIRECT("brand_form!S"&amp;ROW()))="Not sure","unsure",""))))</f>
        <v/>
      </c>
      <c r="U69" s="25">
        <f>IF(INDIRECT("brand_form!A"&amp;ROW())="","",IF(IF(INDIRECT("brand_form!T"&amp;ROW())="","",INDIRECT("brand_form!T"&amp;ROW()))="Yes","Y",IF(IF(INDIRECT("brand_form!T"&amp;ROW())="","",INDIRECT("brand_form!T"&amp;ROW()))="No","N",IF(IF(INDIRECT("brand_form!T"&amp;ROW())="","",INDIRECT("brand_form!T"&amp;ROW()))="Not sure","unsure",""))))</f>
        <v/>
      </c>
      <c r="V69" s="25">
        <f>IF(INDIRECT("brand_form!A"&amp;ROW())="","",IF(IF(INDIRECT("brand_form!U"&amp;ROW())="","",INDIRECT("brand_form!U"&amp;ROW()))="Yes","Y",IF(IF(INDIRECT("brand_form!U"&amp;ROW())="","",INDIRECT("brand_form!U"&amp;ROW()))="No","N",IF(IF(INDIRECT("brand_form!U"&amp;ROW())="","",INDIRECT("brand_form!U"&amp;ROW()))="Not sure","unsure",""))))</f>
        <v/>
      </c>
      <c r="W69" s="25">
        <f>IF(INDIRECT("brand_form!A"&amp;ROW())="","",IF(IF(INDIRECT("brand_form!V"&amp;ROW())="","",INDIRECT("brand_form!V"&amp;ROW()))="Yes","Y",IF(IF(INDIRECT("brand_form!V"&amp;ROW())="","",INDIRECT("brand_form!V"&amp;ROW()))="No","N",IF(IF(INDIRECT("brand_form!V"&amp;ROW())="","",INDIRECT("brand_form!V"&amp;ROW()))="Not sure","unsure",""))))</f>
        <v/>
      </c>
      <c r="X69" s="25">
        <f>IF(INDIRECT("brand_form!A"&amp;ROW())="","",IF(INDIRECT("brand_form!W"&amp;ROW())="","",INDIRECT("brand_form!W"&amp;ROW())))</f>
        <v/>
      </c>
      <c r="Y69" s="25">
        <f>IF(INDIRECT("brand_form!A"&amp;ROW())="","",IF(IF(INDIRECT("brand_form!X"&amp;ROW())="","",INDIRECT("brand_form!X"&amp;ROW()))&lt;&gt;"","Y",""))</f>
        <v/>
      </c>
      <c r="Z69" s="25">
        <f>IF(INDIRECT("brand_form!A"&amp;ROW())="","",IF(INDIRECT("brand_form!Y"&amp;ROW())="","",INDIRECT("brand_form!Y"&amp;ROW())))</f>
        <v/>
      </c>
      <c r="AA69" s="25">
        <f>IF(INDIRECT("brand_form!A"&amp;ROW())="","","founder")</f>
        <v/>
      </c>
    </row>
    <row r="70">
      <c r="A70" s="25">
        <f>IF(INDIRECT("brand_form!A"&amp;ROW())="","",TEXT(INDIRECT("brand_form!A"&amp;ROW()),"yyyy-mm-dd""T""hh:mm:ss"))</f>
        <v/>
      </c>
      <c r="B70" s="25">
        <f>IF(INDIRECT("brand_form!A"&amp;ROW())="","",config!$B$35)</f>
        <v/>
      </c>
      <c r="C70" s="25">
        <f>IF(INDIRECT("brand_form!A"&amp;ROW())="","",IF(INDIRECT("brand_form!B"&amp;ROW())="","",INDIRECT("brand_form!B"&amp;ROW())))</f>
        <v/>
      </c>
      <c r="D70" s="25">
        <f>IF(INDIRECT("brand_form!A"&amp;ROW())="","",IF(IF(INDIRECT("brand_form!C"&amp;ROW())="","",INDIRECT("brand_form!C"&amp;ROW()))="","",IF(LEFT(LOWER(IF(INDIRECT("brand_form!C"&amp;ROW())="","",INDIRECT("brand_form!C"&amp;ROW()))),4)="http",IF(INDIRECT("brand_form!C"&amp;ROW())="","",INDIRECT("brand_form!C"&amp;ROW())),"https://"&amp;IF(INDIRECT("brand_form!C"&amp;ROW())="","",INDIRECT("brand_form!C"&amp;ROW())))))</f>
        <v/>
      </c>
      <c r="E70" s="25">
        <f>IF(INDIRECT("brand_form!A"&amp;ROW())="","",IF(INDIRECT("brand_form!G"&amp;ROW())="","",INDIRECT("brand_form!G"&amp;ROW())))</f>
        <v/>
      </c>
      <c r="F70" s="25">
        <f>IF(INDIRECT("brand_form!A"&amp;ROW())="","",IF(INDIRECT("brand_form!H"&amp;ROW())="","",INDIRECT("brand_form!H"&amp;ROW())))</f>
        <v/>
      </c>
      <c r="G70" s="25">
        <f>IF(INDIRECT("brand_form!A"&amp;ROW())="","",IF(INDIRECT("brand_form!I"&amp;ROW())="","",INDIRECT("brand_form!I"&amp;ROW())))</f>
        <v/>
      </c>
      <c r="H70" s="25">
        <f>IF(INDIRECT("brand_form!A"&amp;ROW())="","",IF(INDIRECT("brand_form!J"&amp;ROW())="","",INDIRECT("brand_form!J"&amp;ROW())))</f>
        <v/>
      </c>
      <c r="I70" s="25">
        <f>IF(INDIRECT("brand_form!A"&amp;ROW())="","",IF(INDIRECT("brand_form!D"&amp;ROW())="","",INDIRECT("brand_form!D"&amp;ROW())))</f>
        <v/>
      </c>
      <c r="J7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0" s="25">
        <f>IF(INDIRECT("brand_form!A"&amp;ROW())="","",IF(INDIRECT("brand_form!F"&amp;ROW())="","",INDIRECT("brand_form!F"&amp;ROW())))</f>
        <v/>
      </c>
      <c r="L70" s="25">
        <f>IF(INDIRECT("brand_form!A"&amp;ROW())="","",IF(INDIRECT("brand_form!M"&amp;ROW())="","",INDIRECT("brand_form!M"&amp;ROW())))</f>
        <v/>
      </c>
      <c r="M70" s="25">
        <f>IF(INDIRECT("brand_form!A"&amp;ROW())="","",IF(IF(INDIRECT("brand_form!N"&amp;ROW())="","",INDIRECT("brand_form!N"&amp;ROW()))="","",IF(LEFT(LOWER(IF(INDIRECT("brand_form!N"&amp;ROW())="","",INDIRECT("brand_form!N"&amp;ROW()))),4)="http",IF(INDIRECT("brand_form!N"&amp;ROW())="","",INDIRECT("brand_form!N"&amp;ROW())),"https://"&amp;IF(INDIRECT("brand_form!N"&amp;ROW())="","",INDIRECT("brand_form!N"&amp;ROW())))))</f>
        <v/>
      </c>
      <c r="N70" s="25">
        <f>IF(INDIRECT("brand_form!A"&amp;ROW())="","",IF(IF(INDIRECT("brand_form!O"&amp;ROW())="","",INDIRECT("brand_form!O"&amp;ROW()))="Yes","Y",IF(IF(INDIRECT("brand_form!O"&amp;ROW())="","",INDIRECT("brand_form!O"&amp;ROW()))="No","N","")))</f>
        <v/>
      </c>
      <c r="O7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0" s="25">
        <f>IF(INDIRECT("brand_form!A"&amp;ROW())="","",IF(IF(INDIRECT("brand_form!K"&amp;ROW())="","",INDIRECT("brand_form!K"&amp;ROW()))="I do","Y",IF(IF(INDIRECT("brand_form!K"&amp;ROW())="","",INDIRECT("brand_form!K"&amp;ROW()))="Someone else","N","")))</f>
        <v/>
      </c>
      <c r="Q70" s="25">
        <f>IF(INDIRECT("brand_form!A"&amp;ROW())="","",IF($P70="Y",$E70&amp;", "&amp;$F70,IF(INDIRECT("brand_form!L"&amp;ROW())="","",INDIRECT("brand_form!L"&amp;ROW()))))</f>
        <v/>
      </c>
      <c r="R70" s="25">
        <f>IF(INDIRECT("brand_form!A"&amp;ROW())="","",IF(IF(INDIRECT("brand_form!Q"&amp;ROW())="","",INDIRECT("brand_form!Q"&amp;ROW()))="Yes","Y",IF(IF(INDIRECT("brand_form!Q"&amp;ROW())="","",INDIRECT("brand_form!Q"&amp;ROW()))="No","N",IF(IF(INDIRECT("brand_form!Q"&amp;ROW())="","",INDIRECT("brand_form!Q"&amp;ROW()))="Not sure","unsure",""))))</f>
        <v/>
      </c>
      <c r="S70" s="25">
        <f>IF(INDIRECT("brand_form!A"&amp;ROW())="","",IF(IF(INDIRECT("brand_form!R"&amp;ROW())="","",INDIRECT("brand_form!R"&amp;ROW()))="Yes","Y",IF(IF(INDIRECT("brand_form!R"&amp;ROW())="","",INDIRECT("brand_form!R"&amp;ROW()))="No","N",IF(IF(INDIRECT("brand_form!R"&amp;ROW())="","",INDIRECT("brand_form!R"&amp;ROW()))="Not sure","unsure",""))))</f>
        <v/>
      </c>
      <c r="T70" s="25">
        <f>IF(INDIRECT("brand_form!A"&amp;ROW())="","",IF(IF(INDIRECT("brand_form!S"&amp;ROW())="","",INDIRECT("brand_form!S"&amp;ROW()))="Yes","Y",IF(IF(INDIRECT("brand_form!S"&amp;ROW())="","",INDIRECT("brand_form!S"&amp;ROW()))="No","N",IF(IF(INDIRECT("brand_form!S"&amp;ROW())="","",INDIRECT("brand_form!S"&amp;ROW()))="Not sure","unsure",""))))</f>
        <v/>
      </c>
      <c r="U70" s="25">
        <f>IF(INDIRECT("brand_form!A"&amp;ROW())="","",IF(IF(INDIRECT("brand_form!T"&amp;ROW())="","",INDIRECT("brand_form!T"&amp;ROW()))="Yes","Y",IF(IF(INDIRECT("brand_form!T"&amp;ROW())="","",INDIRECT("brand_form!T"&amp;ROW()))="No","N",IF(IF(INDIRECT("brand_form!T"&amp;ROW())="","",INDIRECT("brand_form!T"&amp;ROW()))="Not sure","unsure",""))))</f>
        <v/>
      </c>
      <c r="V70" s="25">
        <f>IF(INDIRECT("brand_form!A"&amp;ROW())="","",IF(IF(INDIRECT("brand_form!U"&amp;ROW())="","",INDIRECT("brand_form!U"&amp;ROW()))="Yes","Y",IF(IF(INDIRECT("brand_form!U"&amp;ROW())="","",INDIRECT("brand_form!U"&amp;ROW()))="No","N",IF(IF(INDIRECT("brand_form!U"&amp;ROW())="","",INDIRECT("brand_form!U"&amp;ROW()))="Not sure","unsure",""))))</f>
        <v/>
      </c>
      <c r="W70" s="25">
        <f>IF(INDIRECT("brand_form!A"&amp;ROW())="","",IF(IF(INDIRECT("brand_form!V"&amp;ROW())="","",INDIRECT("brand_form!V"&amp;ROW()))="Yes","Y",IF(IF(INDIRECT("brand_form!V"&amp;ROW())="","",INDIRECT("brand_form!V"&amp;ROW()))="No","N",IF(IF(INDIRECT("brand_form!V"&amp;ROW())="","",INDIRECT("brand_form!V"&amp;ROW()))="Not sure","unsure",""))))</f>
        <v/>
      </c>
      <c r="X70" s="25">
        <f>IF(INDIRECT("brand_form!A"&amp;ROW())="","",IF(INDIRECT("brand_form!W"&amp;ROW())="","",INDIRECT("brand_form!W"&amp;ROW())))</f>
        <v/>
      </c>
      <c r="Y70" s="25">
        <f>IF(INDIRECT("brand_form!A"&amp;ROW())="","",IF(IF(INDIRECT("brand_form!X"&amp;ROW())="","",INDIRECT("brand_form!X"&amp;ROW()))&lt;&gt;"","Y",""))</f>
        <v/>
      </c>
      <c r="Z70" s="25">
        <f>IF(INDIRECT("brand_form!A"&amp;ROW())="","",IF(INDIRECT("brand_form!Y"&amp;ROW())="","",INDIRECT("brand_form!Y"&amp;ROW())))</f>
        <v/>
      </c>
      <c r="AA70" s="25">
        <f>IF(INDIRECT("brand_form!A"&amp;ROW())="","","founder")</f>
        <v/>
      </c>
    </row>
    <row r="71">
      <c r="A71" s="25">
        <f>IF(INDIRECT("brand_form!A"&amp;ROW())="","",TEXT(INDIRECT("brand_form!A"&amp;ROW()),"yyyy-mm-dd""T""hh:mm:ss"))</f>
        <v/>
      </c>
      <c r="B71" s="25">
        <f>IF(INDIRECT("brand_form!A"&amp;ROW())="","",config!$B$35)</f>
        <v/>
      </c>
      <c r="C71" s="25">
        <f>IF(INDIRECT("brand_form!A"&amp;ROW())="","",IF(INDIRECT("brand_form!B"&amp;ROW())="","",INDIRECT("brand_form!B"&amp;ROW())))</f>
        <v/>
      </c>
      <c r="D71" s="25">
        <f>IF(INDIRECT("brand_form!A"&amp;ROW())="","",IF(IF(INDIRECT("brand_form!C"&amp;ROW())="","",INDIRECT("brand_form!C"&amp;ROW()))="","",IF(LEFT(LOWER(IF(INDIRECT("brand_form!C"&amp;ROW())="","",INDIRECT("brand_form!C"&amp;ROW()))),4)="http",IF(INDIRECT("brand_form!C"&amp;ROW())="","",INDIRECT("brand_form!C"&amp;ROW())),"https://"&amp;IF(INDIRECT("brand_form!C"&amp;ROW())="","",INDIRECT("brand_form!C"&amp;ROW())))))</f>
        <v/>
      </c>
      <c r="E71" s="25">
        <f>IF(INDIRECT("brand_form!A"&amp;ROW())="","",IF(INDIRECT("brand_form!G"&amp;ROW())="","",INDIRECT("brand_form!G"&amp;ROW())))</f>
        <v/>
      </c>
      <c r="F71" s="25">
        <f>IF(INDIRECT("brand_form!A"&amp;ROW())="","",IF(INDIRECT("brand_form!H"&amp;ROW())="","",INDIRECT("brand_form!H"&amp;ROW())))</f>
        <v/>
      </c>
      <c r="G71" s="25">
        <f>IF(INDIRECT("brand_form!A"&amp;ROW())="","",IF(INDIRECT("brand_form!I"&amp;ROW())="","",INDIRECT("brand_form!I"&amp;ROW())))</f>
        <v/>
      </c>
      <c r="H71" s="25">
        <f>IF(INDIRECT("brand_form!A"&amp;ROW())="","",IF(INDIRECT("brand_form!J"&amp;ROW())="","",INDIRECT("brand_form!J"&amp;ROW())))</f>
        <v/>
      </c>
      <c r="I71" s="25">
        <f>IF(INDIRECT("brand_form!A"&amp;ROW())="","",IF(INDIRECT("brand_form!D"&amp;ROW())="","",INDIRECT("brand_form!D"&amp;ROW())))</f>
        <v/>
      </c>
      <c r="J7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1" s="25">
        <f>IF(INDIRECT("brand_form!A"&amp;ROW())="","",IF(INDIRECT("brand_form!F"&amp;ROW())="","",INDIRECT("brand_form!F"&amp;ROW())))</f>
        <v/>
      </c>
      <c r="L71" s="25">
        <f>IF(INDIRECT("brand_form!A"&amp;ROW())="","",IF(INDIRECT("brand_form!M"&amp;ROW())="","",INDIRECT("brand_form!M"&amp;ROW())))</f>
        <v/>
      </c>
      <c r="M71" s="25">
        <f>IF(INDIRECT("brand_form!A"&amp;ROW())="","",IF(IF(INDIRECT("brand_form!N"&amp;ROW())="","",INDIRECT("brand_form!N"&amp;ROW()))="","",IF(LEFT(LOWER(IF(INDIRECT("brand_form!N"&amp;ROW())="","",INDIRECT("brand_form!N"&amp;ROW()))),4)="http",IF(INDIRECT("brand_form!N"&amp;ROW())="","",INDIRECT("brand_form!N"&amp;ROW())),"https://"&amp;IF(INDIRECT("brand_form!N"&amp;ROW())="","",INDIRECT("brand_form!N"&amp;ROW())))))</f>
        <v/>
      </c>
      <c r="N71" s="25">
        <f>IF(INDIRECT("brand_form!A"&amp;ROW())="","",IF(IF(INDIRECT("brand_form!O"&amp;ROW())="","",INDIRECT("brand_form!O"&amp;ROW()))="Yes","Y",IF(IF(INDIRECT("brand_form!O"&amp;ROW())="","",INDIRECT("brand_form!O"&amp;ROW()))="No","N","")))</f>
        <v/>
      </c>
      <c r="O7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1" s="25">
        <f>IF(INDIRECT("brand_form!A"&amp;ROW())="","",IF(IF(INDIRECT("brand_form!K"&amp;ROW())="","",INDIRECT("brand_form!K"&amp;ROW()))="I do","Y",IF(IF(INDIRECT("brand_form!K"&amp;ROW())="","",INDIRECT("brand_form!K"&amp;ROW()))="Someone else","N","")))</f>
        <v/>
      </c>
      <c r="Q71" s="25">
        <f>IF(INDIRECT("brand_form!A"&amp;ROW())="","",IF($P71="Y",$E71&amp;", "&amp;$F71,IF(INDIRECT("brand_form!L"&amp;ROW())="","",INDIRECT("brand_form!L"&amp;ROW()))))</f>
        <v/>
      </c>
      <c r="R71" s="25">
        <f>IF(INDIRECT("brand_form!A"&amp;ROW())="","",IF(IF(INDIRECT("brand_form!Q"&amp;ROW())="","",INDIRECT("brand_form!Q"&amp;ROW()))="Yes","Y",IF(IF(INDIRECT("brand_form!Q"&amp;ROW())="","",INDIRECT("brand_form!Q"&amp;ROW()))="No","N",IF(IF(INDIRECT("brand_form!Q"&amp;ROW())="","",INDIRECT("brand_form!Q"&amp;ROW()))="Not sure","unsure",""))))</f>
        <v/>
      </c>
      <c r="S71" s="25">
        <f>IF(INDIRECT("brand_form!A"&amp;ROW())="","",IF(IF(INDIRECT("brand_form!R"&amp;ROW())="","",INDIRECT("brand_form!R"&amp;ROW()))="Yes","Y",IF(IF(INDIRECT("brand_form!R"&amp;ROW())="","",INDIRECT("brand_form!R"&amp;ROW()))="No","N",IF(IF(INDIRECT("brand_form!R"&amp;ROW())="","",INDIRECT("brand_form!R"&amp;ROW()))="Not sure","unsure",""))))</f>
        <v/>
      </c>
      <c r="T71" s="25">
        <f>IF(INDIRECT("brand_form!A"&amp;ROW())="","",IF(IF(INDIRECT("brand_form!S"&amp;ROW())="","",INDIRECT("brand_form!S"&amp;ROW()))="Yes","Y",IF(IF(INDIRECT("brand_form!S"&amp;ROW())="","",INDIRECT("brand_form!S"&amp;ROW()))="No","N",IF(IF(INDIRECT("brand_form!S"&amp;ROW())="","",INDIRECT("brand_form!S"&amp;ROW()))="Not sure","unsure",""))))</f>
        <v/>
      </c>
      <c r="U71" s="25">
        <f>IF(INDIRECT("brand_form!A"&amp;ROW())="","",IF(IF(INDIRECT("brand_form!T"&amp;ROW())="","",INDIRECT("brand_form!T"&amp;ROW()))="Yes","Y",IF(IF(INDIRECT("brand_form!T"&amp;ROW())="","",INDIRECT("brand_form!T"&amp;ROW()))="No","N",IF(IF(INDIRECT("brand_form!T"&amp;ROW())="","",INDIRECT("brand_form!T"&amp;ROW()))="Not sure","unsure",""))))</f>
        <v/>
      </c>
      <c r="V71" s="25">
        <f>IF(INDIRECT("brand_form!A"&amp;ROW())="","",IF(IF(INDIRECT("brand_form!U"&amp;ROW())="","",INDIRECT("brand_form!U"&amp;ROW()))="Yes","Y",IF(IF(INDIRECT("brand_form!U"&amp;ROW())="","",INDIRECT("brand_form!U"&amp;ROW()))="No","N",IF(IF(INDIRECT("brand_form!U"&amp;ROW())="","",INDIRECT("brand_form!U"&amp;ROW()))="Not sure","unsure",""))))</f>
        <v/>
      </c>
      <c r="W71" s="25">
        <f>IF(INDIRECT("brand_form!A"&amp;ROW())="","",IF(IF(INDIRECT("brand_form!V"&amp;ROW())="","",INDIRECT("brand_form!V"&amp;ROW()))="Yes","Y",IF(IF(INDIRECT("brand_form!V"&amp;ROW())="","",INDIRECT("brand_form!V"&amp;ROW()))="No","N",IF(IF(INDIRECT("brand_form!V"&amp;ROW())="","",INDIRECT("brand_form!V"&amp;ROW()))="Not sure","unsure",""))))</f>
        <v/>
      </c>
      <c r="X71" s="25">
        <f>IF(INDIRECT("brand_form!A"&amp;ROW())="","",IF(INDIRECT("brand_form!W"&amp;ROW())="","",INDIRECT("brand_form!W"&amp;ROW())))</f>
        <v/>
      </c>
      <c r="Y71" s="25">
        <f>IF(INDIRECT("brand_form!A"&amp;ROW())="","",IF(IF(INDIRECT("brand_form!X"&amp;ROW())="","",INDIRECT("brand_form!X"&amp;ROW()))&lt;&gt;"","Y",""))</f>
        <v/>
      </c>
      <c r="Z71" s="25">
        <f>IF(INDIRECT("brand_form!A"&amp;ROW())="","",IF(INDIRECT("brand_form!Y"&amp;ROW())="","",INDIRECT("brand_form!Y"&amp;ROW())))</f>
        <v/>
      </c>
      <c r="AA71" s="25">
        <f>IF(INDIRECT("brand_form!A"&amp;ROW())="","","founder")</f>
        <v/>
      </c>
    </row>
    <row r="72">
      <c r="A72" s="25">
        <f>IF(INDIRECT("brand_form!A"&amp;ROW())="","",TEXT(INDIRECT("brand_form!A"&amp;ROW()),"yyyy-mm-dd""T""hh:mm:ss"))</f>
        <v/>
      </c>
      <c r="B72" s="25">
        <f>IF(INDIRECT("brand_form!A"&amp;ROW())="","",config!$B$35)</f>
        <v/>
      </c>
      <c r="C72" s="25">
        <f>IF(INDIRECT("brand_form!A"&amp;ROW())="","",IF(INDIRECT("brand_form!B"&amp;ROW())="","",INDIRECT("brand_form!B"&amp;ROW())))</f>
        <v/>
      </c>
      <c r="D72" s="25">
        <f>IF(INDIRECT("brand_form!A"&amp;ROW())="","",IF(IF(INDIRECT("brand_form!C"&amp;ROW())="","",INDIRECT("brand_form!C"&amp;ROW()))="","",IF(LEFT(LOWER(IF(INDIRECT("brand_form!C"&amp;ROW())="","",INDIRECT("brand_form!C"&amp;ROW()))),4)="http",IF(INDIRECT("brand_form!C"&amp;ROW())="","",INDIRECT("brand_form!C"&amp;ROW())),"https://"&amp;IF(INDIRECT("brand_form!C"&amp;ROW())="","",INDIRECT("brand_form!C"&amp;ROW())))))</f>
        <v/>
      </c>
      <c r="E72" s="25">
        <f>IF(INDIRECT("brand_form!A"&amp;ROW())="","",IF(INDIRECT("brand_form!G"&amp;ROW())="","",INDIRECT("brand_form!G"&amp;ROW())))</f>
        <v/>
      </c>
      <c r="F72" s="25">
        <f>IF(INDIRECT("brand_form!A"&amp;ROW())="","",IF(INDIRECT("brand_form!H"&amp;ROW())="","",INDIRECT("brand_form!H"&amp;ROW())))</f>
        <v/>
      </c>
      <c r="G72" s="25">
        <f>IF(INDIRECT("brand_form!A"&amp;ROW())="","",IF(INDIRECT("brand_form!I"&amp;ROW())="","",INDIRECT("brand_form!I"&amp;ROW())))</f>
        <v/>
      </c>
      <c r="H72" s="25">
        <f>IF(INDIRECT("brand_form!A"&amp;ROW())="","",IF(INDIRECT("brand_form!J"&amp;ROW())="","",INDIRECT("brand_form!J"&amp;ROW())))</f>
        <v/>
      </c>
      <c r="I72" s="25">
        <f>IF(INDIRECT("brand_form!A"&amp;ROW())="","",IF(INDIRECT("brand_form!D"&amp;ROW())="","",INDIRECT("brand_form!D"&amp;ROW())))</f>
        <v/>
      </c>
      <c r="J7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2" s="25">
        <f>IF(INDIRECT("brand_form!A"&amp;ROW())="","",IF(INDIRECT("brand_form!F"&amp;ROW())="","",INDIRECT("brand_form!F"&amp;ROW())))</f>
        <v/>
      </c>
      <c r="L72" s="25">
        <f>IF(INDIRECT("brand_form!A"&amp;ROW())="","",IF(INDIRECT("brand_form!M"&amp;ROW())="","",INDIRECT("brand_form!M"&amp;ROW())))</f>
        <v/>
      </c>
      <c r="M72" s="25">
        <f>IF(INDIRECT("brand_form!A"&amp;ROW())="","",IF(IF(INDIRECT("brand_form!N"&amp;ROW())="","",INDIRECT("brand_form!N"&amp;ROW()))="","",IF(LEFT(LOWER(IF(INDIRECT("brand_form!N"&amp;ROW())="","",INDIRECT("brand_form!N"&amp;ROW()))),4)="http",IF(INDIRECT("brand_form!N"&amp;ROW())="","",INDIRECT("brand_form!N"&amp;ROW())),"https://"&amp;IF(INDIRECT("brand_form!N"&amp;ROW())="","",INDIRECT("brand_form!N"&amp;ROW())))))</f>
        <v/>
      </c>
      <c r="N72" s="25">
        <f>IF(INDIRECT("brand_form!A"&amp;ROW())="","",IF(IF(INDIRECT("brand_form!O"&amp;ROW())="","",INDIRECT("brand_form!O"&amp;ROW()))="Yes","Y",IF(IF(INDIRECT("brand_form!O"&amp;ROW())="","",INDIRECT("brand_form!O"&amp;ROW()))="No","N","")))</f>
        <v/>
      </c>
      <c r="O7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2" s="25">
        <f>IF(INDIRECT("brand_form!A"&amp;ROW())="","",IF(IF(INDIRECT("brand_form!K"&amp;ROW())="","",INDIRECT("brand_form!K"&amp;ROW()))="I do","Y",IF(IF(INDIRECT("brand_form!K"&amp;ROW())="","",INDIRECT("brand_form!K"&amp;ROW()))="Someone else","N","")))</f>
        <v/>
      </c>
      <c r="Q72" s="25">
        <f>IF(INDIRECT("brand_form!A"&amp;ROW())="","",IF($P72="Y",$E72&amp;", "&amp;$F72,IF(INDIRECT("brand_form!L"&amp;ROW())="","",INDIRECT("brand_form!L"&amp;ROW()))))</f>
        <v/>
      </c>
      <c r="R72" s="25">
        <f>IF(INDIRECT("brand_form!A"&amp;ROW())="","",IF(IF(INDIRECT("brand_form!Q"&amp;ROW())="","",INDIRECT("brand_form!Q"&amp;ROW()))="Yes","Y",IF(IF(INDIRECT("brand_form!Q"&amp;ROW())="","",INDIRECT("brand_form!Q"&amp;ROW()))="No","N",IF(IF(INDIRECT("brand_form!Q"&amp;ROW())="","",INDIRECT("brand_form!Q"&amp;ROW()))="Not sure","unsure",""))))</f>
        <v/>
      </c>
      <c r="S72" s="25">
        <f>IF(INDIRECT("brand_form!A"&amp;ROW())="","",IF(IF(INDIRECT("brand_form!R"&amp;ROW())="","",INDIRECT("brand_form!R"&amp;ROW()))="Yes","Y",IF(IF(INDIRECT("brand_form!R"&amp;ROW())="","",INDIRECT("brand_form!R"&amp;ROW()))="No","N",IF(IF(INDIRECT("brand_form!R"&amp;ROW())="","",INDIRECT("brand_form!R"&amp;ROW()))="Not sure","unsure",""))))</f>
        <v/>
      </c>
      <c r="T72" s="25">
        <f>IF(INDIRECT("brand_form!A"&amp;ROW())="","",IF(IF(INDIRECT("brand_form!S"&amp;ROW())="","",INDIRECT("brand_form!S"&amp;ROW()))="Yes","Y",IF(IF(INDIRECT("brand_form!S"&amp;ROW())="","",INDIRECT("brand_form!S"&amp;ROW()))="No","N",IF(IF(INDIRECT("brand_form!S"&amp;ROW())="","",INDIRECT("brand_form!S"&amp;ROW()))="Not sure","unsure",""))))</f>
        <v/>
      </c>
      <c r="U72" s="25">
        <f>IF(INDIRECT("brand_form!A"&amp;ROW())="","",IF(IF(INDIRECT("brand_form!T"&amp;ROW())="","",INDIRECT("brand_form!T"&amp;ROW()))="Yes","Y",IF(IF(INDIRECT("brand_form!T"&amp;ROW())="","",INDIRECT("brand_form!T"&amp;ROW()))="No","N",IF(IF(INDIRECT("brand_form!T"&amp;ROW())="","",INDIRECT("brand_form!T"&amp;ROW()))="Not sure","unsure",""))))</f>
        <v/>
      </c>
      <c r="V72" s="25">
        <f>IF(INDIRECT("brand_form!A"&amp;ROW())="","",IF(IF(INDIRECT("brand_form!U"&amp;ROW())="","",INDIRECT("brand_form!U"&amp;ROW()))="Yes","Y",IF(IF(INDIRECT("brand_form!U"&amp;ROW())="","",INDIRECT("brand_form!U"&amp;ROW()))="No","N",IF(IF(INDIRECT("brand_form!U"&amp;ROW())="","",INDIRECT("brand_form!U"&amp;ROW()))="Not sure","unsure",""))))</f>
        <v/>
      </c>
      <c r="W72" s="25">
        <f>IF(INDIRECT("brand_form!A"&amp;ROW())="","",IF(IF(INDIRECT("brand_form!V"&amp;ROW())="","",INDIRECT("brand_form!V"&amp;ROW()))="Yes","Y",IF(IF(INDIRECT("brand_form!V"&amp;ROW())="","",INDIRECT("brand_form!V"&amp;ROW()))="No","N",IF(IF(INDIRECT("brand_form!V"&amp;ROW())="","",INDIRECT("brand_form!V"&amp;ROW()))="Not sure","unsure",""))))</f>
        <v/>
      </c>
      <c r="X72" s="25">
        <f>IF(INDIRECT("brand_form!A"&amp;ROW())="","",IF(INDIRECT("brand_form!W"&amp;ROW())="","",INDIRECT("brand_form!W"&amp;ROW())))</f>
        <v/>
      </c>
      <c r="Y72" s="25">
        <f>IF(INDIRECT("brand_form!A"&amp;ROW())="","",IF(IF(INDIRECT("brand_form!X"&amp;ROW())="","",INDIRECT("brand_form!X"&amp;ROW()))&lt;&gt;"","Y",""))</f>
        <v/>
      </c>
      <c r="Z72" s="25">
        <f>IF(INDIRECT("brand_form!A"&amp;ROW())="","",IF(INDIRECT("brand_form!Y"&amp;ROW())="","",INDIRECT("brand_form!Y"&amp;ROW())))</f>
        <v/>
      </c>
      <c r="AA72" s="25">
        <f>IF(INDIRECT("brand_form!A"&amp;ROW())="","","founder")</f>
        <v/>
      </c>
    </row>
    <row r="73">
      <c r="A73" s="25">
        <f>IF(INDIRECT("brand_form!A"&amp;ROW())="","",TEXT(INDIRECT("brand_form!A"&amp;ROW()),"yyyy-mm-dd""T""hh:mm:ss"))</f>
        <v/>
      </c>
      <c r="B73" s="25">
        <f>IF(INDIRECT("brand_form!A"&amp;ROW())="","",config!$B$35)</f>
        <v/>
      </c>
      <c r="C73" s="25">
        <f>IF(INDIRECT("brand_form!A"&amp;ROW())="","",IF(INDIRECT("brand_form!B"&amp;ROW())="","",INDIRECT("brand_form!B"&amp;ROW())))</f>
        <v/>
      </c>
      <c r="D73" s="25">
        <f>IF(INDIRECT("brand_form!A"&amp;ROW())="","",IF(IF(INDIRECT("brand_form!C"&amp;ROW())="","",INDIRECT("brand_form!C"&amp;ROW()))="","",IF(LEFT(LOWER(IF(INDIRECT("brand_form!C"&amp;ROW())="","",INDIRECT("brand_form!C"&amp;ROW()))),4)="http",IF(INDIRECT("brand_form!C"&amp;ROW())="","",INDIRECT("brand_form!C"&amp;ROW())),"https://"&amp;IF(INDIRECT("brand_form!C"&amp;ROW())="","",INDIRECT("brand_form!C"&amp;ROW())))))</f>
        <v/>
      </c>
      <c r="E73" s="25">
        <f>IF(INDIRECT("brand_form!A"&amp;ROW())="","",IF(INDIRECT("brand_form!G"&amp;ROW())="","",INDIRECT("brand_form!G"&amp;ROW())))</f>
        <v/>
      </c>
      <c r="F73" s="25">
        <f>IF(INDIRECT("brand_form!A"&amp;ROW())="","",IF(INDIRECT("brand_form!H"&amp;ROW())="","",INDIRECT("brand_form!H"&amp;ROW())))</f>
        <v/>
      </c>
      <c r="G73" s="25">
        <f>IF(INDIRECT("brand_form!A"&amp;ROW())="","",IF(INDIRECT("brand_form!I"&amp;ROW())="","",INDIRECT("brand_form!I"&amp;ROW())))</f>
        <v/>
      </c>
      <c r="H73" s="25">
        <f>IF(INDIRECT("brand_form!A"&amp;ROW())="","",IF(INDIRECT("brand_form!J"&amp;ROW())="","",INDIRECT("brand_form!J"&amp;ROW())))</f>
        <v/>
      </c>
      <c r="I73" s="25">
        <f>IF(INDIRECT("brand_form!A"&amp;ROW())="","",IF(INDIRECT("brand_form!D"&amp;ROW())="","",INDIRECT("brand_form!D"&amp;ROW())))</f>
        <v/>
      </c>
      <c r="J7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3" s="25">
        <f>IF(INDIRECT("brand_form!A"&amp;ROW())="","",IF(INDIRECT("brand_form!F"&amp;ROW())="","",INDIRECT("brand_form!F"&amp;ROW())))</f>
        <v/>
      </c>
      <c r="L73" s="25">
        <f>IF(INDIRECT("brand_form!A"&amp;ROW())="","",IF(INDIRECT("brand_form!M"&amp;ROW())="","",INDIRECT("brand_form!M"&amp;ROW())))</f>
        <v/>
      </c>
      <c r="M73" s="25">
        <f>IF(INDIRECT("brand_form!A"&amp;ROW())="","",IF(IF(INDIRECT("brand_form!N"&amp;ROW())="","",INDIRECT("brand_form!N"&amp;ROW()))="","",IF(LEFT(LOWER(IF(INDIRECT("brand_form!N"&amp;ROW())="","",INDIRECT("brand_form!N"&amp;ROW()))),4)="http",IF(INDIRECT("brand_form!N"&amp;ROW())="","",INDIRECT("brand_form!N"&amp;ROW())),"https://"&amp;IF(INDIRECT("brand_form!N"&amp;ROW())="","",INDIRECT("brand_form!N"&amp;ROW())))))</f>
        <v/>
      </c>
      <c r="N73" s="25">
        <f>IF(INDIRECT("brand_form!A"&amp;ROW())="","",IF(IF(INDIRECT("brand_form!O"&amp;ROW())="","",INDIRECT("brand_form!O"&amp;ROW()))="Yes","Y",IF(IF(INDIRECT("brand_form!O"&amp;ROW())="","",INDIRECT("brand_form!O"&amp;ROW()))="No","N","")))</f>
        <v/>
      </c>
      <c r="O7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3" s="25">
        <f>IF(INDIRECT("brand_form!A"&amp;ROW())="","",IF(IF(INDIRECT("brand_form!K"&amp;ROW())="","",INDIRECT("brand_form!K"&amp;ROW()))="I do","Y",IF(IF(INDIRECT("brand_form!K"&amp;ROW())="","",INDIRECT("brand_form!K"&amp;ROW()))="Someone else","N","")))</f>
        <v/>
      </c>
      <c r="Q73" s="25">
        <f>IF(INDIRECT("brand_form!A"&amp;ROW())="","",IF($P73="Y",$E73&amp;", "&amp;$F73,IF(INDIRECT("brand_form!L"&amp;ROW())="","",INDIRECT("brand_form!L"&amp;ROW()))))</f>
        <v/>
      </c>
      <c r="R73" s="25">
        <f>IF(INDIRECT("brand_form!A"&amp;ROW())="","",IF(IF(INDIRECT("brand_form!Q"&amp;ROW())="","",INDIRECT("brand_form!Q"&amp;ROW()))="Yes","Y",IF(IF(INDIRECT("brand_form!Q"&amp;ROW())="","",INDIRECT("brand_form!Q"&amp;ROW()))="No","N",IF(IF(INDIRECT("brand_form!Q"&amp;ROW())="","",INDIRECT("brand_form!Q"&amp;ROW()))="Not sure","unsure",""))))</f>
        <v/>
      </c>
      <c r="S73" s="25">
        <f>IF(INDIRECT("brand_form!A"&amp;ROW())="","",IF(IF(INDIRECT("brand_form!R"&amp;ROW())="","",INDIRECT("brand_form!R"&amp;ROW()))="Yes","Y",IF(IF(INDIRECT("brand_form!R"&amp;ROW())="","",INDIRECT("brand_form!R"&amp;ROW()))="No","N",IF(IF(INDIRECT("brand_form!R"&amp;ROW())="","",INDIRECT("brand_form!R"&amp;ROW()))="Not sure","unsure",""))))</f>
        <v/>
      </c>
      <c r="T73" s="25">
        <f>IF(INDIRECT("brand_form!A"&amp;ROW())="","",IF(IF(INDIRECT("brand_form!S"&amp;ROW())="","",INDIRECT("brand_form!S"&amp;ROW()))="Yes","Y",IF(IF(INDIRECT("brand_form!S"&amp;ROW())="","",INDIRECT("brand_form!S"&amp;ROW()))="No","N",IF(IF(INDIRECT("brand_form!S"&amp;ROW())="","",INDIRECT("brand_form!S"&amp;ROW()))="Not sure","unsure",""))))</f>
        <v/>
      </c>
      <c r="U73" s="25">
        <f>IF(INDIRECT("brand_form!A"&amp;ROW())="","",IF(IF(INDIRECT("brand_form!T"&amp;ROW())="","",INDIRECT("brand_form!T"&amp;ROW()))="Yes","Y",IF(IF(INDIRECT("brand_form!T"&amp;ROW())="","",INDIRECT("brand_form!T"&amp;ROW()))="No","N",IF(IF(INDIRECT("brand_form!T"&amp;ROW())="","",INDIRECT("brand_form!T"&amp;ROW()))="Not sure","unsure",""))))</f>
        <v/>
      </c>
      <c r="V73" s="25">
        <f>IF(INDIRECT("brand_form!A"&amp;ROW())="","",IF(IF(INDIRECT("brand_form!U"&amp;ROW())="","",INDIRECT("brand_form!U"&amp;ROW()))="Yes","Y",IF(IF(INDIRECT("brand_form!U"&amp;ROW())="","",INDIRECT("brand_form!U"&amp;ROW()))="No","N",IF(IF(INDIRECT("brand_form!U"&amp;ROW())="","",INDIRECT("brand_form!U"&amp;ROW()))="Not sure","unsure",""))))</f>
        <v/>
      </c>
      <c r="W73" s="25">
        <f>IF(INDIRECT("brand_form!A"&amp;ROW())="","",IF(IF(INDIRECT("brand_form!V"&amp;ROW())="","",INDIRECT("brand_form!V"&amp;ROW()))="Yes","Y",IF(IF(INDIRECT("brand_form!V"&amp;ROW())="","",INDIRECT("brand_form!V"&amp;ROW()))="No","N",IF(IF(INDIRECT("brand_form!V"&amp;ROW())="","",INDIRECT("brand_form!V"&amp;ROW()))="Not sure","unsure",""))))</f>
        <v/>
      </c>
      <c r="X73" s="25">
        <f>IF(INDIRECT("brand_form!A"&amp;ROW())="","",IF(INDIRECT("brand_form!W"&amp;ROW())="","",INDIRECT("brand_form!W"&amp;ROW())))</f>
        <v/>
      </c>
      <c r="Y73" s="25">
        <f>IF(INDIRECT("brand_form!A"&amp;ROW())="","",IF(IF(INDIRECT("brand_form!X"&amp;ROW())="","",INDIRECT("brand_form!X"&amp;ROW()))&lt;&gt;"","Y",""))</f>
        <v/>
      </c>
      <c r="Z73" s="25">
        <f>IF(INDIRECT("brand_form!A"&amp;ROW())="","",IF(INDIRECT("brand_form!Y"&amp;ROW())="","",INDIRECT("brand_form!Y"&amp;ROW())))</f>
        <v/>
      </c>
      <c r="AA73" s="25">
        <f>IF(INDIRECT("brand_form!A"&amp;ROW())="","","founder")</f>
        <v/>
      </c>
    </row>
    <row r="74">
      <c r="A74" s="25">
        <f>IF(INDIRECT("brand_form!A"&amp;ROW())="","",TEXT(INDIRECT("brand_form!A"&amp;ROW()),"yyyy-mm-dd""T""hh:mm:ss"))</f>
        <v/>
      </c>
      <c r="B74" s="25">
        <f>IF(INDIRECT("brand_form!A"&amp;ROW())="","",config!$B$35)</f>
        <v/>
      </c>
      <c r="C74" s="25">
        <f>IF(INDIRECT("brand_form!A"&amp;ROW())="","",IF(INDIRECT("brand_form!B"&amp;ROW())="","",INDIRECT("brand_form!B"&amp;ROW())))</f>
        <v/>
      </c>
      <c r="D74" s="25">
        <f>IF(INDIRECT("brand_form!A"&amp;ROW())="","",IF(IF(INDIRECT("brand_form!C"&amp;ROW())="","",INDIRECT("brand_form!C"&amp;ROW()))="","",IF(LEFT(LOWER(IF(INDIRECT("brand_form!C"&amp;ROW())="","",INDIRECT("brand_form!C"&amp;ROW()))),4)="http",IF(INDIRECT("brand_form!C"&amp;ROW())="","",INDIRECT("brand_form!C"&amp;ROW())),"https://"&amp;IF(INDIRECT("brand_form!C"&amp;ROW())="","",INDIRECT("brand_form!C"&amp;ROW())))))</f>
        <v/>
      </c>
      <c r="E74" s="25">
        <f>IF(INDIRECT("brand_form!A"&amp;ROW())="","",IF(INDIRECT("brand_form!G"&amp;ROW())="","",INDIRECT("brand_form!G"&amp;ROW())))</f>
        <v/>
      </c>
      <c r="F74" s="25">
        <f>IF(INDIRECT("brand_form!A"&amp;ROW())="","",IF(INDIRECT("brand_form!H"&amp;ROW())="","",INDIRECT("brand_form!H"&amp;ROW())))</f>
        <v/>
      </c>
      <c r="G74" s="25">
        <f>IF(INDIRECT("brand_form!A"&amp;ROW())="","",IF(INDIRECT("brand_form!I"&amp;ROW())="","",INDIRECT("brand_form!I"&amp;ROW())))</f>
        <v/>
      </c>
      <c r="H74" s="25">
        <f>IF(INDIRECT("brand_form!A"&amp;ROW())="","",IF(INDIRECT("brand_form!J"&amp;ROW())="","",INDIRECT("brand_form!J"&amp;ROW())))</f>
        <v/>
      </c>
      <c r="I74" s="25">
        <f>IF(INDIRECT("brand_form!A"&amp;ROW())="","",IF(INDIRECT("brand_form!D"&amp;ROW())="","",INDIRECT("brand_form!D"&amp;ROW())))</f>
        <v/>
      </c>
      <c r="J7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4" s="25">
        <f>IF(INDIRECT("brand_form!A"&amp;ROW())="","",IF(INDIRECT("brand_form!F"&amp;ROW())="","",INDIRECT("brand_form!F"&amp;ROW())))</f>
        <v/>
      </c>
      <c r="L74" s="25">
        <f>IF(INDIRECT("brand_form!A"&amp;ROW())="","",IF(INDIRECT("brand_form!M"&amp;ROW())="","",INDIRECT("brand_form!M"&amp;ROW())))</f>
        <v/>
      </c>
      <c r="M74" s="25">
        <f>IF(INDIRECT("brand_form!A"&amp;ROW())="","",IF(IF(INDIRECT("brand_form!N"&amp;ROW())="","",INDIRECT("brand_form!N"&amp;ROW()))="","",IF(LEFT(LOWER(IF(INDIRECT("brand_form!N"&amp;ROW())="","",INDIRECT("brand_form!N"&amp;ROW()))),4)="http",IF(INDIRECT("brand_form!N"&amp;ROW())="","",INDIRECT("brand_form!N"&amp;ROW())),"https://"&amp;IF(INDIRECT("brand_form!N"&amp;ROW())="","",INDIRECT("brand_form!N"&amp;ROW())))))</f>
        <v/>
      </c>
      <c r="N74" s="25">
        <f>IF(INDIRECT("brand_form!A"&amp;ROW())="","",IF(IF(INDIRECT("brand_form!O"&amp;ROW())="","",INDIRECT("brand_form!O"&amp;ROW()))="Yes","Y",IF(IF(INDIRECT("brand_form!O"&amp;ROW())="","",INDIRECT("brand_form!O"&amp;ROW()))="No","N","")))</f>
        <v/>
      </c>
      <c r="O7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4" s="25">
        <f>IF(INDIRECT("brand_form!A"&amp;ROW())="","",IF(IF(INDIRECT("brand_form!K"&amp;ROW())="","",INDIRECT("brand_form!K"&amp;ROW()))="I do","Y",IF(IF(INDIRECT("brand_form!K"&amp;ROW())="","",INDIRECT("brand_form!K"&amp;ROW()))="Someone else","N","")))</f>
        <v/>
      </c>
      <c r="Q74" s="25">
        <f>IF(INDIRECT("brand_form!A"&amp;ROW())="","",IF($P74="Y",$E74&amp;", "&amp;$F74,IF(INDIRECT("brand_form!L"&amp;ROW())="","",INDIRECT("brand_form!L"&amp;ROW()))))</f>
        <v/>
      </c>
      <c r="R74" s="25">
        <f>IF(INDIRECT("brand_form!A"&amp;ROW())="","",IF(IF(INDIRECT("brand_form!Q"&amp;ROW())="","",INDIRECT("brand_form!Q"&amp;ROW()))="Yes","Y",IF(IF(INDIRECT("brand_form!Q"&amp;ROW())="","",INDIRECT("brand_form!Q"&amp;ROW()))="No","N",IF(IF(INDIRECT("brand_form!Q"&amp;ROW())="","",INDIRECT("brand_form!Q"&amp;ROW()))="Not sure","unsure",""))))</f>
        <v/>
      </c>
      <c r="S74" s="25">
        <f>IF(INDIRECT("brand_form!A"&amp;ROW())="","",IF(IF(INDIRECT("brand_form!R"&amp;ROW())="","",INDIRECT("brand_form!R"&amp;ROW()))="Yes","Y",IF(IF(INDIRECT("brand_form!R"&amp;ROW())="","",INDIRECT("brand_form!R"&amp;ROW()))="No","N",IF(IF(INDIRECT("brand_form!R"&amp;ROW())="","",INDIRECT("brand_form!R"&amp;ROW()))="Not sure","unsure",""))))</f>
        <v/>
      </c>
      <c r="T74" s="25">
        <f>IF(INDIRECT("brand_form!A"&amp;ROW())="","",IF(IF(INDIRECT("brand_form!S"&amp;ROW())="","",INDIRECT("brand_form!S"&amp;ROW()))="Yes","Y",IF(IF(INDIRECT("brand_form!S"&amp;ROW())="","",INDIRECT("brand_form!S"&amp;ROW()))="No","N",IF(IF(INDIRECT("brand_form!S"&amp;ROW())="","",INDIRECT("brand_form!S"&amp;ROW()))="Not sure","unsure",""))))</f>
        <v/>
      </c>
      <c r="U74" s="25">
        <f>IF(INDIRECT("brand_form!A"&amp;ROW())="","",IF(IF(INDIRECT("brand_form!T"&amp;ROW())="","",INDIRECT("brand_form!T"&amp;ROW()))="Yes","Y",IF(IF(INDIRECT("brand_form!T"&amp;ROW())="","",INDIRECT("brand_form!T"&amp;ROW()))="No","N",IF(IF(INDIRECT("brand_form!T"&amp;ROW())="","",INDIRECT("brand_form!T"&amp;ROW()))="Not sure","unsure",""))))</f>
        <v/>
      </c>
      <c r="V74" s="25">
        <f>IF(INDIRECT("brand_form!A"&amp;ROW())="","",IF(IF(INDIRECT("brand_form!U"&amp;ROW())="","",INDIRECT("brand_form!U"&amp;ROW()))="Yes","Y",IF(IF(INDIRECT("brand_form!U"&amp;ROW())="","",INDIRECT("brand_form!U"&amp;ROW()))="No","N",IF(IF(INDIRECT("brand_form!U"&amp;ROW())="","",INDIRECT("brand_form!U"&amp;ROW()))="Not sure","unsure",""))))</f>
        <v/>
      </c>
      <c r="W74" s="25">
        <f>IF(INDIRECT("brand_form!A"&amp;ROW())="","",IF(IF(INDIRECT("brand_form!V"&amp;ROW())="","",INDIRECT("brand_form!V"&amp;ROW()))="Yes","Y",IF(IF(INDIRECT("brand_form!V"&amp;ROW())="","",INDIRECT("brand_form!V"&amp;ROW()))="No","N",IF(IF(INDIRECT("brand_form!V"&amp;ROW())="","",INDIRECT("brand_form!V"&amp;ROW()))="Not sure","unsure",""))))</f>
        <v/>
      </c>
      <c r="X74" s="25">
        <f>IF(INDIRECT("brand_form!A"&amp;ROW())="","",IF(INDIRECT("brand_form!W"&amp;ROW())="","",INDIRECT("brand_form!W"&amp;ROW())))</f>
        <v/>
      </c>
      <c r="Y74" s="25">
        <f>IF(INDIRECT("brand_form!A"&amp;ROW())="","",IF(IF(INDIRECT("brand_form!X"&amp;ROW())="","",INDIRECT("brand_form!X"&amp;ROW()))&lt;&gt;"","Y",""))</f>
        <v/>
      </c>
      <c r="Z74" s="25">
        <f>IF(INDIRECT("brand_form!A"&amp;ROW())="","",IF(INDIRECT("brand_form!Y"&amp;ROW())="","",INDIRECT("brand_form!Y"&amp;ROW())))</f>
        <v/>
      </c>
      <c r="AA74" s="25">
        <f>IF(INDIRECT("brand_form!A"&amp;ROW())="","","founder")</f>
        <v/>
      </c>
    </row>
    <row r="75">
      <c r="A75" s="25">
        <f>IF(INDIRECT("brand_form!A"&amp;ROW())="","",TEXT(INDIRECT("brand_form!A"&amp;ROW()),"yyyy-mm-dd""T""hh:mm:ss"))</f>
        <v/>
      </c>
      <c r="B75" s="25">
        <f>IF(INDIRECT("brand_form!A"&amp;ROW())="","",config!$B$35)</f>
        <v/>
      </c>
      <c r="C75" s="25">
        <f>IF(INDIRECT("brand_form!A"&amp;ROW())="","",IF(INDIRECT("brand_form!B"&amp;ROW())="","",INDIRECT("brand_form!B"&amp;ROW())))</f>
        <v/>
      </c>
      <c r="D75" s="25">
        <f>IF(INDIRECT("brand_form!A"&amp;ROW())="","",IF(IF(INDIRECT("brand_form!C"&amp;ROW())="","",INDIRECT("brand_form!C"&amp;ROW()))="","",IF(LEFT(LOWER(IF(INDIRECT("brand_form!C"&amp;ROW())="","",INDIRECT("brand_form!C"&amp;ROW()))),4)="http",IF(INDIRECT("brand_form!C"&amp;ROW())="","",INDIRECT("brand_form!C"&amp;ROW())),"https://"&amp;IF(INDIRECT("brand_form!C"&amp;ROW())="","",INDIRECT("brand_form!C"&amp;ROW())))))</f>
        <v/>
      </c>
      <c r="E75" s="25">
        <f>IF(INDIRECT("brand_form!A"&amp;ROW())="","",IF(INDIRECT("brand_form!G"&amp;ROW())="","",INDIRECT("brand_form!G"&amp;ROW())))</f>
        <v/>
      </c>
      <c r="F75" s="25">
        <f>IF(INDIRECT("brand_form!A"&amp;ROW())="","",IF(INDIRECT("brand_form!H"&amp;ROW())="","",INDIRECT("brand_form!H"&amp;ROW())))</f>
        <v/>
      </c>
      <c r="G75" s="25">
        <f>IF(INDIRECT("brand_form!A"&amp;ROW())="","",IF(INDIRECT("brand_form!I"&amp;ROW())="","",INDIRECT("brand_form!I"&amp;ROW())))</f>
        <v/>
      </c>
      <c r="H75" s="25">
        <f>IF(INDIRECT("brand_form!A"&amp;ROW())="","",IF(INDIRECT("brand_form!J"&amp;ROW())="","",INDIRECT("brand_form!J"&amp;ROW())))</f>
        <v/>
      </c>
      <c r="I75" s="25">
        <f>IF(INDIRECT("brand_form!A"&amp;ROW())="","",IF(INDIRECT("brand_form!D"&amp;ROW())="","",INDIRECT("brand_form!D"&amp;ROW())))</f>
        <v/>
      </c>
      <c r="J7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5" s="25">
        <f>IF(INDIRECT("brand_form!A"&amp;ROW())="","",IF(INDIRECT("brand_form!F"&amp;ROW())="","",INDIRECT("brand_form!F"&amp;ROW())))</f>
        <v/>
      </c>
      <c r="L75" s="25">
        <f>IF(INDIRECT("brand_form!A"&amp;ROW())="","",IF(INDIRECT("brand_form!M"&amp;ROW())="","",INDIRECT("brand_form!M"&amp;ROW())))</f>
        <v/>
      </c>
      <c r="M75" s="25">
        <f>IF(INDIRECT("brand_form!A"&amp;ROW())="","",IF(IF(INDIRECT("brand_form!N"&amp;ROW())="","",INDIRECT("brand_form!N"&amp;ROW()))="","",IF(LEFT(LOWER(IF(INDIRECT("brand_form!N"&amp;ROW())="","",INDIRECT("brand_form!N"&amp;ROW()))),4)="http",IF(INDIRECT("brand_form!N"&amp;ROW())="","",INDIRECT("brand_form!N"&amp;ROW())),"https://"&amp;IF(INDIRECT("brand_form!N"&amp;ROW())="","",INDIRECT("brand_form!N"&amp;ROW())))))</f>
        <v/>
      </c>
      <c r="N75" s="25">
        <f>IF(INDIRECT("brand_form!A"&amp;ROW())="","",IF(IF(INDIRECT("brand_form!O"&amp;ROW())="","",INDIRECT("brand_form!O"&amp;ROW()))="Yes","Y",IF(IF(INDIRECT("brand_form!O"&amp;ROW())="","",INDIRECT("brand_form!O"&amp;ROW()))="No","N","")))</f>
        <v/>
      </c>
      <c r="O7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5" s="25">
        <f>IF(INDIRECT("brand_form!A"&amp;ROW())="","",IF(IF(INDIRECT("brand_form!K"&amp;ROW())="","",INDIRECT("brand_form!K"&amp;ROW()))="I do","Y",IF(IF(INDIRECT("brand_form!K"&amp;ROW())="","",INDIRECT("brand_form!K"&amp;ROW()))="Someone else","N","")))</f>
        <v/>
      </c>
      <c r="Q75" s="25">
        <f>IF(INDIRECT("brand_form!A"&amp;ROW())="","",IF($P75="Y",$E75&amp;", "&amp;$F75,IF(INDIRECT("brand_form!L"&amp;ROW())="","",INDIRECT("brand_form!L"&amp;ROW()))))</f>
        <v/>
      </c>
      <c r="R75" s="25">
        <f>IF(INDIRECT("brand_form!A"&amp;ROW())="","",IF(IF(INDIRECT("brand_form!Q"&amp;ROW())="","",INDIRECT("brand_form!Q"&amp;ROW()))="Yes","Y",IF(IF(INDIRECT("brand_form!Q"&amp;ROW())="","",INDIRECT("brand_form!Q"&amp;ROW()))="No","N",IF(IF(INDIRECT("brand_form!Q"&amp;ROW())="","",INDIRECT("brand_form!Q"&amp;ROW()))="Not sure","unsure",""))))</f>
        <v/>
      </c>
      <c r="S75" s="25">
        <f>IF(INDIRECT("brand_form!A"&amp;ROW())="","",IF(IF(INDIRECT("brand_form!R"&amp;ROW())="","",INDIRECT("brand_form!R"&amp;ROW()))="Yes","Y",IF(IF(INDIRECT("brand_form!R"&amp;ROW())="","",INDIRECT("brand_form!R"&amp;ROW()))="No","N",IF(IF(INDIRECT("brand_form!R"&amp;ROW())="","",INDIRECT("brand_form!R"&amp;ROW()))="Not sure","unsure",""))))</f>
        <v/>
      </c>
      <c r="T75" s="25">
        <f>IF(INDIRECT("brand_form!A"&amp;ROW())="","",IF(IF(INDIRECT("brand_form!S"&amp;ROW())="","",INDIRECT("brand_form!S"&amp;ROW()))="Yes","Y",IF(IF(INDIRECT("brand_form!S"&amp;ROW())="","",INDIRECT("brand_form!S"&amp;ROW()))="No","N",IF(IF(INDIRECT("brand_form!S"&amp;ROW())="","",INDIRECT("brand_form!S"&amp;ROW()))="Not sure","unsure",""))))</f>
        <v/>
      </c>
      <c r="U75" s="25">
        <f>IF(INDIRECT("brand_form!A"&amp;ROW())="","",IF(IF(INDIRECT("brand_form!T"&amp;ROW())="","",INDIRECT("brand_form!T"&amp;ROW()))="Yes","Y",IF(IF(INDIRECT("brand_form!T"&amp;ROW())="","",INDIRECT("brand_form!T"&amp;ROW()))="No","N",IF(IF(INDIRECT("brand_form!T"&amp;ROW())="","",INDIRECT("brand_form!T"&amp;ROW()))="Not sure","unsure",""))))</f>
        <v/>
      </c>
      <c r="V75" s="25">
        <f>IF(INDIRECT("brand_form!A"&amp;ROW())="","",IF(IF(INDIRECT("brand_form!U"&amp;ROW())="","",INDIRECT("brand_form!U"&amp;ROW()))="Yes","Y",IF(IF(INDIRECT("brand_form!U"&amp;ROW())="","",INDIRECT("brand_form!U"&amp;ROW()))="No","N",IF(IF(INDIRECT("brand_form!U"&amp;ROW())="","",INDIRECT("brand_form!U"&amp;ROW()))="Not sure","unsure",""))))</f>
        <v/>
      </c>
      <c r="W75" s="25">
        <f>IF(INDIRECT("brand_form!A"&amp;ROW())="","",IF(IF(INDIRECT("brand_form!V"&amp;ROW())="","",INDIRECT("brand_form!V"&amp;ROW()))="Yes","Y",IF(IF(INDIRECT("brand_form!V"&amp;ROW())="","",INDIRECT("brand_form!V"&amp;ROW()))="No","N",IF(IF(INDIRECT("brand_form!V"&amp;ROW())="","",INDIRECT("brand_form!V"&amp;ROW()))="Not sure","unsure",""))))</f>
        <v/>
      </c>
      <c r="X75" s="25">
        <f>IF(INDIRECT("brand_form!A"&amp;ROW())="","",IF(INDIRECT("brand_form!W"&amp;ROW())="","",INDIRECT("brand_form!W"&amp;ROW())))</f>
        <v/>
      </c>
      <c r="Y75" s="25">
        <f>IF(INDIRECT("brand_form!A"&amp;ROW())="","",IF(IF(INDIRECT("brand_form!X"&amp;ROW())="","",INDIRECT("brand_form!X"&amp;ROW()))&lt;&gt;"","Y",""))</f>
        <v/>
      </c>
      <c r="Z75" s="25">
        <f>IF(INDIRECT("brand_form!A"&amp;ROW())="","",IF(INDIRECT("brand_form!Y"&amp;ROW())="","",INDIRECT("brand_form!Y"&amp;ROW())))</f>
        <v/>
      </c>
      <c r="AA75" s="25">
        <f>IF(INDIRECT("brand_form!A"&amp;ROW())="","","founder")</f>
        <v/>
      </c>
    </row>
    <row r="76">
      <c r="A76" s="25">
        <f>IF(INDIRECT("brand_form!A"&amp;ROW())="","",TEXT(INDIRECT("brand_form!A"&amp;ROW()),"yyyy-mm-dd""T""hh:mm:ss"))</f>
        <v/>
      </c>
      <c r="B76" s="25">
        <f>IF(INDIRECT("brand_form!A"&amp;ROW())="","",config!$B$35)</f>
        <v/>
      </c>
      <c r="C76" s="25">
        <f>IF(INDIRECT("brand_form!A"&amp;ROW())="","",IF(INDIRECT("brand_form!B"&amp;ROW())="","",INDIRECT("brand_form!B"&amp;ROW())))</f>
        <v/>
      </c>
      <c r="D76" s="25">
        <f>IF(INDIRECT("brand_form!A"&amp;ROW())="","",IF(IF(INDIRECT("brand_form!C"&amp;ROW())="","",INDIRECT("brand_form!C"&amp;ROW()))="","",IF(LEFT(LOWER(IF(INDIRECT("brand_form!C"&amp;ROW())="","",INDIRECT("brand_form!C"&amp;ROW()))),4)="http",IF(INDIRECT("brand_form!C"&amp;ROW())="","",INDIRECT("brand_form!C"&amp;ROW())),"https://"&amp;IF(INDIRECT("brand_form!C"&amp;ROW())="","",INDIRECT("brand_form!C"&amp;ROW())))))</f>
        <v/>
      </c>
      <c r="E76" s="25">
        <f>IF(INDIRECT("brand_form!A"&amp;ROW())="","",IF(INDIRECT("brand_form!G"&amp;ROW())="","",INDIRECT("brand_form!G"&amp;ROW())))</f>
        <v/>
      </c>
      <c r="F76" s="25">
        <f>IF(INDIRECT("brand_form!A"&amp;ROW())="","",IF(INDIRECT("brand_form!H"&amp;ROW())="","",INDIRECT("brand_form!H"&amp;ROW())))</f>
        <v/>
      </c>
      <c r="G76" s="25">
        <f>IF(INDIRECT("brand_form!A"&amp;ROW())="","",IF(INDIRECT("brand_form!I"&amp;ROW())="","",INDIRECT("brand_form!I"&amp;ROW())))</f>
        <v/>
      </c>
      <c r="H76" s="25">
        <f>IF(INDIRECT("brand_form!A"&amp;ROW())="","",IF(INDIRECT("brand_form!J"&amp;ROW())="","",INDIRECT("brand_form!J"&amp;ROW())))</f>
        <v/>
      </c>
      <c r="I76" s="25">
        <f>IF(INDIRECT("brand_form!A"&amp;ROW())="","",IF(INDIRECT("brand_form!D"&amp;ROW())="","",INDIRECT("brand_form!D"&amp;ROW())))</f>
        <v/>
      </c>
      <c r="J7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6" s="25">
        <f>IF(INDIRECT("brand_form!A"&amp;ROW())="","",IF(INDIRECT("brand_form!F"&amp;ROW())="","",INDIRECT("brand_form!F"&amp;ROW())))</f>
        <v/>
      </c>
      <c r="L76" s="25">
        <f>IF(INDIRECT("brand_form!A"&amp;ROW())="","",IF(INDIRECT("brand_form!M"&amp;ROW())="","",INDIRECT("brand_form!M"&amp;ROW())))</f>
        <v/>
      </c>
      <c r="M76" s="25">
        <f>IF(INDIRECT("brand_form!A"&amp;ROW())="","",IF(IF(INDIRECT("brand_form!N"&amp;ROW())="","",INDIRECT("brand_form!N"&amp;ROW()))="","",IF(LEFT(LOWER(IF(INDIRECT("brand_form!N"&amp;ROW())="","",INDIRECT("brand_form!N"&amp;ROW()))),4)="http",IF(INDIRECT("brand_form!N"&amp;ROW())="","",INDIRECT("brand_form!N"&amp;ROW())),"https://"&amp;IF(INDIRECT("brand_form!N"&amp;ROW())="","",INDIRECT("brand_form!N"&amp;ROW())))))</f>
        <v/>
      </c>
      <c r="N76" s="25">
        <f>IF(INDIRECT("brand_form!A"&amp;ROW())="","",IF(IF(INDIRECT("brand_form!O"&amp;ROW())="","",INDIRECT("brand_form!O"&amp;ROW()))="Yes","Y",IF(IF(INDIRECT("brand_form!O"&amp;ROW())="","",INDIRECT("brand_form!O"&amp;ROW()))="No","N","")))</f>
        <v/>
      </c>
      <c r="O7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6" s="25">
        <f>IF(INDIRECT("brand_form!A"&amp;ROW())="","",IF(IF(INDIRECT("brand_form!K"&amp;ROW())="","",INDIRECT("brand_form!K"&amp;ROW()))="I do","Y",IF(IF(INDIRECT("brand_form!K"&amp;ROW())="","",INDIRECT("brand_form!K"&amp;ROW()))="Someone else","N","")))</f>
        <v/>
      </c>
      <c r="Q76" s="25">
        <f>IF(INDIRECT("brand_form!A"&amp;ROW())="","",IF($P76="Y",$E76&amp;", "&amp;$F76,IF(INDIRECT("brand_form!L"&amp;ROW())="","",INDIRECT("brand_form!L"&amp;ROW()))))</f>
        <v/>
      </c>
      <c r="R76" s="25">
        <f>IF(INDIRECT("brand_form!A"&amp;ROW())="","",IF(IF(INDIRECT("brand_form!Q"&amp;ROW())="","",INDIRECT("brand_form!Q"&amp;ROW()))="Yes","Y",IF(IF(INDIRECT("brand_form!Q"&amp;ROW())="","",INDIRECT("brand_form!Q"&amp;ROW()))="No","N",IF(IF(INDIRECT("brand_form!Q"&amp;ROW())="","",INDIRECT("brand_form!Q"&amp;ROW()))="Not sure","unsure",""))))</f>
        <v/>
      </c>
      <c r="S76" s="25">
        <f>IF(INDIRECT("brand_form!A"&amp;ROW())="","",IF(IF(INDIRECT("brand_form!R"&amp;ROW())="","",INDIRECT("brand_form!R"&amp;ROW()))="Yes","Y",IF(IF(INDIRECT("brand_form!R"&amp;ROW())="","",INDIRECT("brand_form!R"&amp;ROW()))="No","N",IF(IF(INDIRECT("brand_form!R"&amp;ROW())="","",INDIRECT("brand_form!R"&amp;ROW()))="Not sure","unsure",""))))</f>
        <v/>
      </c>
      <c r="T76" s="25">
        <f>IF(INDIRECT("brand_form!A"&amp;ROW())="","",IF(IF(INDIRECT("brand_form!S"&amp;ROW())="","",INDIRECT("brand_form!S"&amp;ROW()))="Yes","Y",IF(IF(INDIRECT("brand_form!S"&amp;ROW())="","",INDIRECT("brand_form!S"&amp;ROW()))="No","N",IF(IF(INDIRECT("brand_form!S"&amp;ROW())="","",INDIRECT("brand_form!S"&amp;ROW()))="Not sure","unsure",""))))</f>
        <v/>
      </c>
      <c r="U76" s="25">
        <f>IF(INDIRECT("brand_form!A"&amp;ROW())="","",IF(IF(INDIRECT("brand_form!T"&amp;ROW())="","",INDIRECT("brand_form!T"&amp;ROW()))="Yes","Y",IF(IF(INDIRECT("brand_form!T"&amp;ROW())="","",INDIRECT("brand_form!T"&amp;ROW()))="No","N",IF(IF(INDIRECT("brand_form!T"&amp;ROW())="","",INDIRECT("brand_form!T"&amp;ROW()))="Not sure","unsure",""))))</f>
        <v/>
      </c>
      <c r="V76" s="25">
        <f>IF(INDIRECT("brand_form!A"&amp;ROW())="","",IF(IF(INDIRECT("brand_form!U"&amp;ROW())="","",INDIRECT("brand_form!U"&amp;ROW()))="Yes","Y",IF(IF(INDIRECT("brand_form!U"&amp;ROW())="","",INDIRECT("brand_form!U"&amp;ROW()))="No","N",IF(IF(INDIRECT("brand_form!U"&amp;ROW())="","",INDIRECT("brand_form!U"&amp;ROW()))="Not sure","unsure",""))))</f>
        <v/>
      </c>
      <c r="W76" s="25">
        <f>IF(INDIRECT("brand_form!A"&amp;ROW())="","",IF(IF(INDIRECT("brand_form!V"&amp;ROW())="","",INDIRECT("brand_form!V"&amp;ROW()))="Yes","Y",IF(IF(INDIRECT("brand_form!V"&amp;ROW())="","",INDIRECT("brand_form!V"&amp;ROW()))="No","N",IF(IF(INDIRECT("brand_form!V"&amp;ROW())="","",INDIRECT("brand_form!V"&amp;ROW()))="Not sure","unsure",""))))</f>
        <v/>
      </c>
      <c r="X76" s="25">
        <f>IF(INDIRECT("brand_form!A"&amp;ROW())="","",IF(INDIRECT("brand_form!W"&amp;ROW())="","",INDIRECT("brand_form!W"&amp;ROW())))</f>
        <v/>
      </c>
      <c r="Y76" s="25">
        <f>IF(INDIRECT("brand_form!A"&amp;ROW())="","",IF(IF(INDIRECT("brand_form!X"&amp;ROW())="","",INDIRECT("brand_form!X"&amp;ROW()))&lt;&gt;"","Y",""))</f>
        <v/>
      </c>
      <c r="Z76" s="25">
        <f>IF(INDIRECT("brand_form!A"&amp;ROW())="","",IF(INDIRECT("brand_form!Y"&amp;ROW())="","",INDIRECT("brand_form!Y"&amp;ROW())))</f>
        <v/>
      </c>
      <c r="AA76" s="25">
        <f>IF(INDIRECT("brand_form!A"&amp;ROW())="","","founder")</f>
        <v/>
      </c>
    </row>
    <row r="77">
      <c r="A77" s="25">
        <f>IF(INDIRECT("brand_form!A"&amp;ROW())="","",TEXT(INDIRECT("brand_form!A"&amp;ROW()),"yyyy-mm-dd""T""hh:mm:ss"))</f>
        <v/>
      </c>
      <c r="B77" s="25">
        <f>IF(INDIRECT("brand_form!A"&amp;ROW())="","",config!$B$35)</f>
        <v/>
      </c>
      <c r="C77" s="25">
        <f>IF(INDIRECT("brand_form!A"&amp;ROW())="","",IF(INDIRECT("brand_form!B"&amp;ROW())="","",INDIRECT("brand_form!B"&amp;ROW())))</f>
        <v/>
      </c>
      <c r="D77" s="25">
        <f>IF(INDIRECT("brand_form!A"&amp;ROW())="","",IF(IF(INDIRECT("brand_form!C"&amp;ROW())="","",INDIRECT("brand_form!C"&amp;ROW()))="","",IF(LEFT(LOWER(IF(INDIRECT("brand_form!C"&amp;ROW())="","",INDIRECT("brand_form!C"&amp;ROW()))),4)="http",IF(INDIRECT("brand_form!C"&amp;ROW())="","",INDIRECT("brand_form!C"&amp;ROW())),"https://"&amp;IF(INDIRECT("brand_form!C"&amp;ROW())="","",INDIRECT("brand_form!C"&amp;ROW())))))</f>
        <v/>
      </c>
      <c r="E77" s="25">
        <f>IF(INDIRECT("brand_form!A"&amp;ROW())="","",IF(INDIRECT("brand_form!G"&amp;ROW())="","",INDIRECT("brand_form!G"&amp;ROW())))</f>
        <v/>
      </c>
      <c r="F77" s="25">
        <f>IF(INDIRECT("brand_form!A"&amp;ROW())="","",IF(INDIRECT("brand_form!H"&amp;ROW())="","",INDIRECT("brand_form!H"&amp;ROW())))</f>
        <v/>
      </c>
      <c r="G77" s="25">
        <f>IF(INDIRECT("brand_form!A"&amp;ROW())="","",IF(INDIRECT("brand_form!I"&amp;ROW())="","",INDIRECT("brand_form!I"&amp;ROW())))</f>
        <v/>
      </c>
      <c r="H77" s="25">
        <f>IF(INDIRECT("brand_form!A"&amp;ROW())="","",IF(INDIRECT("brand_form!J"&amp;ROW())="","",INDIRECT("brand_form!J"&amp;ROW())))</f>
        <v/>
      </c>
      <c r="I77" s="25">
        <f>IF(INDIRECT("brand_form!A"&amp;ROW())="","",IF(INDIRECT("brand_form!D"&amp;ROW())="","",INDIRECT("brand_form!D"&amp;ROW())))</f>
        <v/>
      </c>
      <c r="J7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7" s="25">
        <f>IF(INDIRECT("brand_form!A"&amp;ROW())="","",IF(INDIRECT("brand_form!F"&amp;ROW())="","",INDIRECT("brand_form!F"&amp;ROW())))</f>
        <v/>
      </c>
      <c r="L77" s="25">
        <f>IF(INDIRECT("brand_form!A"&amp;ROW())="","",IF(INDIRECT("brand_form!M"&amp;ROW())="","",INDIRECT("brand_form!M"&amp;ROW())))</f>
        <v/>
      </c>
      <c r="M77" s="25">
        <f>IF(INDIRECT("brand_form!A"&amp;ROW())="","",IF(IF(INDIRECT("brand_form!N"&amp;ROW())="","",INDIRECT("brand_form!N"&amp;ROW()))="","",IF(LEFT(LOWER(IF(INDIRECT("brand_form!N"&amp;ROW())="","",INDIRECT("brand_form!N"&amp;ROW()))),4)="http",IF(INDIRECT("brand_form!N"&amp;ROW())="","",INDIRECT("brand_form!N"&amp;ROW())),"https://"&amp;IF(INDIRECT("brand_form!N"&amp;ROW())="","",INDIRECT("brand_form!N"&amp;ROW())))))</f>
        <v/>
      </c>
      <c r="N77" s="25">
        <f>IF(INDIRECT("brand_form!A"&amp;ROW())="","",IF(IF(INDIRECT("brand_form!O"&amp;ROW())="","",INDIRECT("brand_form!O"&amp;ROW()))="Yes","Y",IF(IF(INDIRECT("brand_form!O"&amp;ROW())="","",INDIRECT("brand_form!O"&amp;ROW()))="No","N","")))</f>
        <v/>
      </c>
      <c r="O7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7" s="25">
        <f>IF(INDIRECT("brand_form!A"&amp;ROW())="","",IF(IF(INDIRECT("brand_form!K"&amp;ROW())="","",INDIRECT("brand_form!K"&amp;ROW()))="I do","Y",IF(IF(INDIRECT("brand_form!K"&amp;ROW())="","",INDIRECT("brand_form!K"&amp;ROW()))="Someone else","N","")))</f>
        <v/>
      </c>
      <c r="Q77" s="25">
        <f>IF(INDIRECT("brand_form!A"&amp;ROW())="","",IF($P77="Y",$E77&amp;", "&amp;$F77,IF(INDIRECT("brand_form!L"&amp;ROW())="","",INDIRECT("brand_form!L"&amp;ROW()))))</f>
        <v/>
      </c>
      <c r="R77" s="25">
        <f>IF(INDIRECT("brand_form!A"&amp;ROW())="","",IF(IF(INDIRECT("brand_form!Q"&amp;ROW())="","",INDIRECT("brand_form!Q"&amp;ROW()))="Yes","Y",IF(IF(INDIRECT("brand_form!Q"&amp;ROW())="","",INDIRECT("brand_form!Q"&amp;ROW()))="No","N",IF(IF(INDIRECT("brand_form!Q"&amp;ROW())="","",INDIRECT("brand_form!Q"&amp;ROW()))="Not sure","unsure",""))))</f>
        <v/>
      </c>
      <c r="S77" s="25">
        <f>IF(INDIRECT("brand_form!A"&amp;ROW())="","",IF(IF(INDIRECT("brand_form!R"&amp;ROW())="","",INDIRECT("brand_form!R"&amp;ROW()))="Yes","Y",IF(IF(INDIRECT("brand_form!R"&amp;ROW())="","",INDIRECT("brand_form!R"&amp;ROW()))="No","N",IF(IF(INDIRECT("brand_form!R"&amp;ROW())="","",INDIRECT("brand_form!R"&amp;ROW()))="Not sure","unsure",""))))</f>
        <v/>
      </c>
      <c r="T77" s="25">
        <f>IF(INDIRECT("brand_form!A"&amp;ROW())="","",IF(IF(INDIRECT("brand_form!S"&amp;ROW())="","",INDIRECT("brand_form!S"&amp;ROW()))="Yes","Y",IF(IF(INDIRECT("brand_form!S"&amp;ROW())="","",INDIRECT("brand_form!S"&amp;ROW()))="No","N",IF(IF(INDIRECT("brand_form!S"&amp;ROW())="","",INDIRECT("brand_form!S"&amp;ROW()))="Not sure","unsure",""))))</f>
        <v/>
      </c>
      <c r="U77" s="25">
        <f>IF(INDIRECT("brand_form!A"&amp;ROW())="","",IF(IF(INDIRECT("brand_form!T"&amp;ROW())="","",INDIRECT("brand_form!T"&amp;ROW()))="Yes","Y",IF(IF(INDIRECT("brand_form!T"&amp;ROW())="","",INDIRECT("brand_form!T"&amp;ROW()))="No","N",IF(IF(INDIRECT("brand_form!T"&amp;ROW())="","",INDIRECT("brand_form!T"&amp;ROW()))="Not sure","unsure",""))))</f>
        <v/>
      </c>
      <c r="V77" s="25">
        <f>IF(INDIRECT("brand_form!A"&amp;ROW())="","",IF(IF(INDIRECT("brand_form!U"&amp;ROW())="","",INDIRECT("brand_form!U"&amp;ROW()))="Yes","Y",IF(IF(INDIRECT("brand_form!U"&amp;ROW())="","",INDIRECT("brand_form!U"&amp;ROW()))="No","N",IF(IF(INDIRECT("brand_form!U"&amp;ROW())="","",INDIRECT("brand_form!U"&amp;ROW()))="Not sure","unsure",""))))</f>
        <v/>
      </c>
      <c r="W77" s="25">
        <f>IF(INDIRECT("brand_form!A"&amp;ROW())="","",IF(IF(INDIRECT("brand_form!V"&amp;ROW())="","",INDIRECT("brand_form!V"&amp;ROW()))="Yes","Y",IF(IF(INDIRECT("brand_form!V"&amp;ROW())="","",INDIRECT("brand_form!V"&amp;ROW()))="No","N",IF(IF(INDIRECT("brand_form!V"&amp;ROW())="","",INDIRECT("brand_form!V"&amp;ROW()))="Not sure","unsure",""))))</f>
        <v/>
      </c>
      <c r="X77" s="25">
        <f>IF(INDIRECT("brand_form!A"&amp;ROW())="","",IF(INDIRECT("brand_form!W"&amp;ROW())="","",INDIRECT("brand_form!W"&amp;ROW())))</f>
        <v/>
      </c>
      <c r="Y77" s="25">
        <f>IF(INDIRECT("brand_form!A"&amp;ROW())="","",IF(IF(INDIRECT("brand_form!X"&amp;ROW())="","",INDIRECT("brand_form!X"&amp;ROW()))&lt;&gt;"","Y",""))</f>
        <v/>
      </c>
      <c r="Z77" s="25">
        <f>IF(INDIRECT("brand_form!A"&amp;ROW())="","",IF(INDIRECT("brand_form!Y"&amp;ROW())="","",INDIRECT("brand_form!Y"&amp;ROW())))</f>
        <v/>
      </c>
      <c r="AA77" s="25">
        <f>IF(INDIRECT("brand_form!A"&amp;ROW())="","","founder")</f>
        <v/>
      </c>
    </row>
    <row r="78">
      <c r="A78" s="25">
        <f>IF(INDIRECT("brand_form!A"&amp;ROW())="","",TEXT(INDIRECT("brand_form!A"&amp;ROW()),"yyyy-mm-dd""T""hh:mm:ss"))</f>
        <v/>
      </c>
      <c r="B78" s="25">
        <f>IF(INDIRECT("brand_form!A"&amp;ROW())="","",config!$B$35)</f>
        <v/>
      </c>
      <c r="C78" s="25">
        <f>IF(INDIRECT("brand_form!A"&amp;ROW())="","",IF(INDIRECT("brand_form!B"&amp;ROW())="","",INDIRECT("brand_form!B"&amp;ROW())))</f>
        <v/>
      </c>
      <c r="D78" s="25">
        <f>IF(INDIRECT("brand_form!A"&amp;ROW())="","",IF(IF(INDIRECT("brand_form!C"&amp;ROW())="","",INDIRECT("brand_form!C"&amp;ROW()))="","",IF(LEFT(LOWER(IF(INDIRECT("brand_form!C"&amp;ROW())="","",INDIRECT("brand_form!C"&amp;ROW()))),4)="http",IF(INDIRECT("brand_form!C"&amp;ROW())="","",INDIRECT("brand_form!C"&amp;ROW())),"https://"&amp;IF(INDIRECT("brand_form!C"&amp;ROW())="","",INDIRECT("brand_form!C"&amp;ROW())))))</f>
        <v/>
      </c>
      <c r="E78" s="25">
        <f>IF(INDIRECT("brand_form!A"&amp;ROW())="","",IF(INDIRECT("brand_form!G"&amp;ROW())="","",INDIRECT("brand_form!G"&amp;ROW())))</f>
        <v/>
      </c>
      <c r="F78" s="25">
        <f>IF(INDIRECT("brand_form!A"&amp;ROW())="","",IF(INDIRECT("brand_form!H"&amp;ROW())="","",INDIRECT("brand_form!H"&amp;ROW())))</f>
        <v/>
      </c>
      <c r="G78" s="25">
        <f>IF(INDIRECT("brand_form!A"&amp;ROW())="","",IF(INDIRECT("brand_form!I"&amp;ROW())="","",INDIRECT("brand_form!I"&amp;ROW())))</f>
        <v/>
      </c>
      <c r="H78" s="25">
        <f>IF(INDIRECT("brand_form!A"&amp;ROW())="","",IF(INDIRECT("brand_form!J"&amp;ROW())="","",INDIRECT("brand_form!J"&amp;ROW())))</f>
        <v/>
      </c>
      <c r="I78" s="25">
        <f>IF(INDIRECT("brand_form!A"&amp;ROW())="","",IF(INDIRECT("brand_form!D"&amp;ROW())="","",INDIRECT("brand_form!D"&amp;ROW())))</f>
        <v/>
      </c>
      <c r="J7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8" s="25">
        <f>IF(INDIRECT("brand_form!A"&amp;ROW())="","",IF(INDIRECT("brand_form!F"&amp;ROW())="","",INDIRECT("brand_form!F"&amp;ROW())))</f>
        <v/>
      </c>
      <c r="L78" s="25">
        <f>IF(INDIRECT("brand_form!A"&amp;ROW())="","",IF(INDIRECT("brand_form!M"&amp;ROW())="","",INDIRECT("brand_form!M"&amp;ROW())))</f>
        <v/>
      </c>
      <c r="M78" s="25">
        <f>IF(INDIRECT("brand_form!A"&amp;ROW())="","",IF(IF(INDIRECT("brand_form!N"&amp;ROW())="","",INDIRECT("brand_form!N"&amp;ROW()))="","",IF(LEFT(LOWER(IF(INDIRECT("brand_form!N"&amp;ROW())="","",INDIRECT("brand_form!N"&amp;ROW()))),4)="http",IF(INDIRECT("brand_form!N"&amp;ROW())="","",INDIRECT("brand_form!N"&amp;ROW())),"https://"&amp;IF(INDIRECT("brand_form!N"&amp;ROW())="","",INDIRECT("brand_form!N"&amp;ROW())))))</f>
        <v/>
      </c>
      <c r="N78" s="25">
        <f>IF(INDIRECT("brand_form!A"&amp;ROW())="","",IF(IF(INDIRECT("brand_form!O"&amp;ROW())="","",INDIRECT("brand_form!O"&amp;ROW()))="Yes","Y",IF(IF(INDIRECT("brand_form!O"&amp;ROW())="","",INDIRECT("brand_form!O"&amp;ROW()))="No","N","")))</f>
        <v/>
      </c>
      <c r="O7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8" s="25">
        <f>IF(INDIRECT("brand_form!A"&amp;ROW())="","",IF(IF(INDIRECT("brand_form!K"&amp;ROW())="","",INDIRECT("brand_form!K"&amp;ROW()))="I do","Y",IF(IF(INDIRECT("brand_form!K"&amp;ROW())="","",INDIRECT("brand_form!K"&amp;ROW()))="Someone else","N","")))</f>
        <v/>
      </c>
      <c r="Q78" s="25">
        <f>IF(INDIRECT("brand_form!A"&amp;ROW())="","",IF($P78="Y",$E78&amp;", "&amp;$F78,IF(INDIRECT("brand_form!L"&amp;ROW())="","",INDIRECT("brand_form!L"&amp;ROW()))))</f>
        <v/>
      </c>
      <c r="R78" s="25">
        <f>IF(INDIRECT("brand_form!A"&amp;ROW())="","",IF(IF(INDIRECT("brand_form!Q"&amp;ROW())="","",INDIRECT("brand_form!Q"&amp;ROW()))="Yes","Y",IF(IF(INDIRECT("brand_form!Q"&amp;ROW())="","",INDIRECT("brand_form!Q"&amp;ROW()))="No","N",IF(IF(INDIRECT("brand_form!Q"&amp;ROW())="","",INDIRECT("brand_form!Q"&amp;ROW()))="Not sure","unsure",""))))</f>
        <v/>
      </c>
      <c r="S78" s="25">
        <f>IF(INDIRECT("brand_form!A"&amp;ROW())="","",IF(IF(INDIRECT("brand_form!R"&amp;ROW())="","",INDIRECT("brand_form!R"&amp;ROW()))="Yes","Y",IF(IF(INDIRECT("brand_form!R"&amp;ROW())="","",INDIRECT("brand_form!R"&amp;ROW()))="No","N",IF(IF(INDIRECT("brand_form!R"&amp;ROW())="","",INDIRECT("brand_form!R"&amp;ROW()))="Not sure","unsure",""))))</f>
        <v/>
      </c>
      <c r="T78" s="25">
        <f>IF(INDIRECT("brand_form!A"&amp;ROW())="","",IF(IF(INDIRECT("brand_form!S"&amp;ROW())="","",INDIRECT("brand_form!S"&amp;ROW()))="Yes","Y",IF(IF(INDIRECT("brand_form!S"&amp;ROW())="","",INDIRECT("brand_form!S"&amp;ROW()))="No","N",IF(IF(INDIRECT("brand_form!S"&amp;ROW())="","",INDIRECT("brand_form!S"&amp;ROW()))="Not sure","unsure",""))))</f>
        <v/>
      </c>
      <c r="U78" s="25">
        <f>IF(INDIRECT("brand_form!A"&amp;ROW())="","",IF(IF(INDIRECT("brand_form!T"&amp;ROW())="","",INDIRECT("brand_form!T"&amp;ROW()))="Yes","Y",IF(IF(INDIRECT("brand_form!T"&amp;ROW())="","",INDIRECT("brand_form!T"&amp;ROW()))="No","N",IF(IF(INDIRECT("brand_form!T"&amp;ROW())="","",INDIRECT("brand_form!T"&amp;ROW()))="Not sure","unsure",""))))</f>
        <v/>
      </c>
      <c r="V78" s="25">
        <f>IF(INDIRECT("brand_form!A"&amp;ROW())="","",IF(IF(INDIRECT("brand_form!U"&amp;ROW())="","",INDIRECT("brand_form!U"&amp;ROW()))="Yes","Y",IF(IF(INDIRECT("brand_form!U"&amp;ROW())="","",INDIRECT("brand_form!U"&amp;ROW()))="No","N",IF(IF(INDIRECT("brand_form!U"&amp;ROW())="","",INDIRECT("brand_form!U"&amp;ROW()))="Not sure","unsure",""))))</f>
        <v/>
      </c>
      <c r="W78" s="25">
        <f>IF(INDIRECT("brand_form!A"&amp;ROW())="","",IF(IF(INDIRECT("brand_form!V"&amp;ROW())="","",INDIRECT("brand_form!V"&amp;ROW()))="Yes","Y",IF(IF(INDIRECT("brand_form!V"&amp;ROW())="","",INDIRECT("brand_form!V"&amp;ROW()))="No","N",IF(IF(INDIRECT("brand_form!V"&amp;ROW())="","",INDIRECT("brand_form!V"&amp;ROW()))="Not sure","unsure",""))))</f>
        <v/>
      </c>
      <c r="X78" s="25">
        <f>IF(INDIRECT("brand_form!A"&amp;ROW())="","",IF(INDIRECT("brand_form!W"&amp;ROW())="","",INDIRECT("brand_form!W"&amp;ROW())))</f>
        <v/>
      </c>
      <c r="Y78" s="25">
        <f>IF(INDIRECT("brand_form!A"&amp;ROW())="","",IF(IF(INDIRECT("brand_form!X"&amp;ROW())="","",INDIRECT("brand_form!X"&amp;ROW()))&lt;&gt;"","Y",""))</f>
        <v/>
      </c>
      <c r="Z78" s="25">
        <f>IF(INDIRECT("brand_form!A"&amp;ROW())="","",IF(INDIRECT("brand_form!Y"&amp;ROW())="","",INDIRECT("brand_form!Y"&amp;ROW())))</f>
        <v/>
      </c>
      <c r="AA78" s="25">
        <f>IF(INDIRECT("brand_form!A"&amp;ROW())="","","founder")</f>
        <v/>
      </c>
    </row>
    <row r="79">
      <c r="A79" s="25">
        <f>IF(INDIRECT("brand_form!A"&amp;ROW())="","",TEXT(INDIRECT("brand_form!A"&amp;ROW()),"yyyy-mm-dd""T""hh:mm:ss"))</f>
        <v/>
      </c>
      <c r="B79" s="25">
        <f>IF(INDIRECT("brand_form!A"&amp;ROW())="","",config!$B$35)</f>
        <v/>
      </c>
      <c r="C79" s="25">
        <f>IF(INDIRECT("brand_form!A"&amp;ROW())="","",IF(INDIRECT("brand_form!B"&amp;ROW())="","",INDIRECT("brand_form!B"&amp;ROW())))</f>
        <v/>
      </c>
      <c r="D79" s="25">
        <f>IF(INDIRECT("brand_form!A"&amp;ROW())="","",IF(IF(INDIRECT("brand_form!C"&amp;ROW())="","",INDIRECT("brand_form!C"&amp;ROW()))="","",IF(LEFT(LOWER(IF(INDIRECT("brand_form!C"&amp;ROW())="","",INDIRECT("brand_form!C"&amp;ROW()))),4)="http",IF(INDIRECT("brand_form!C"&amp;ROW())="","",INDIRECT("brand_form!C"&amp;ROW())),"https://"&amp;IF(INDIRECT("brand_form!C"&amp;ROW())="","",INDIRECT("brand_form!C"&amp;ROW())))))</f>
        <v/>
      </c>
      <c r="E79" s="25">
        <f>IF(INDIRECT("brand_form!A"&amp;ROW())="","",IF(INDIRECT("brand_form!G"&amp;ROW())="","",INDIRECT("brand_form!G"&amp;ROW())))</f>
        <v/>
      </c>
      <c r="F79" s="25">
        <f>IF(INDIRECT("brand_form!A"&amp;ROW())="","",IF(INDIRECT("brand_form!H"&amp;ROW())="","",INDIRECT("brand_form!H"&amp;ROW())))</f>
        <v/>
      </c>
      <c r="G79" s="25">
        <f>IF(INDIRECT("brand_form!A"&amp;ROW())="","",IF(INDIRECT("brand_form!I"&amp;ROW())="","",INDIRECT("brand_form!I"&amp;ROW())))</f>
        <v/>
      </c>
      <c r="H79" s="25">
        <f>IF(INDIRECT("brand_form!A"&amp;ROW())="","",IF(INDIRECT("brand_form!J"&amp;ROW())="","",INDIRECT("brand_form!J"&amp;ROW())))</f>
        <v/>
      </c>
      <c r="I79" s="25">
        <f>IF(INDIRECT("brand_form!A"&amp;ROW())="","",IF(INDIRECT("brand_form!D"&amp;ROW())="","",INDIRECT("brand_form!D"&amp;ROW())))</f>
        <v/>
      </c>
      <c r="J7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9" s="25">
        <f>IF(INDIRECT("brand_form!A"&amp;ROW())="","",IF(INDIRECT("brand_form!F"&amp;ROW())="","",INDIRECT("brand_form!F"&amp;ROW())))</f>
        <v/>
      </c>
      <c r="L79" s="25">
        <f>IF(INDIRECT("brand_form!A"&amp;ROW())="","",IF(INDIRECT("brand_form!M"&amp;ROW())="","",INDIRECT("brand_form!M"&amp;ROW())))</f>
        <v/>
      </c>
      <c r="M79" s="25">
        <f>IF(INDIRECT("brand_form!A"&amp;ROW())="","",IF(IF(INDIRECT("brand_form!N"&amp;ROW())="","",INDIRECT("brand_form!N"&amp;ROW()))="","",IF(LEFT(LOWER(IF(INDIRECT("brand_form!N"&amp;ROW())="","",INDIRECT("brand_form!N"&amp;ROW()))),4)="http",IF(INDIRECT("brand_form!N"&amp;ROW())="","",INDIRECT("brand_form!N"&amp;ROW())),"https://"&amp;IF(INDIRECT("brand_form!N"&amp;ROW())="","",INDIRECT("brand_form!N"&amp;ROW())))))</f>
        <v/>
      </c>
      <c r="N79" s="25">
        <f>IF(INDIRECT("brand_form!A"&amp;ROW())="","",IF(IF(INDIRECT("brand_form!O"&amp;ROW())="","",INDIRECT("brand_form!O"&amp;ROW()))="Yes","Y",IF(IF(INDIRECT("brand_form!O"&amp;ROW())="","",INDIRECT("brand_form!O"&amp;ROW()))="No","N","")))</f>
        <v/>
      </c>
      <c r="O7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9" s="25">
        <f>IF(INDIRECT("brand_form!A"&amp;ROW())="","",IF(IF(INDIRECT("brand_form!K"&amp;ROW())="","",INDIRECT("brand_form!K"&amp;ROW()))="I do","Y",IF(IF(INDIRECT("brand_form!K"&amp;ROW())="","",INDIRECT("brand_form!K"&amp;ROW()))="Someone else","N","")))</f>
        <v/>
      </c>
      <c r="Q79" s="25">
        <f>IF(INDIRECT("brand_form!A"&amp;ROW())="","",IF($P79="Y",$E79&amp;", "&amp;$F79,IF(INDIRECT("brand_form!L"&amp;ROW())="","",INDIRECT("brand_form!L"&amp;ROW()))))</f>
        <v/>
      </c>
      <c r="R79" s="25">
        <f>IF(INDIRECT("brand_form!A"&amp;ROW())="","",IF(IF(INDIRECT("brand_form!Q"&amp;ROW())="","",INDIRECT("brand_form!Q"&amp;ROW()))="Yes","Y",IF(IF(INDIRECT("brand_form!Q"&amp;ROW())="","",INDIRECT("brand_form!Q"&amp;ROW()))="No","N",IF(IF(INDIRECT("brand_form!Q"&amp;ROW())="","",INDIRECT("brand_form!Q"&amp;ROW()))="Not sure","unsure",""))))</f>
        <v/>
      </c>
      <c r="S79" s="25">
        <f>IF(INDIRECT("brand_form!A"&amp;ROW())="","",IF(IF(INDIRECT("brand_form!R"&amp;ROW())="","",INDIRECT("brand_form!R"&amp;ROW()))="Yes","Y",IF(IF(INDIRECT("brand_form!R"&amp;ROW())="","",INDIRECT("brand_form!R"&amp;ROW()))="No","N",IF(IF(INDIRECT("brand_form!R"&amp;ROW())="","",INDIRECT("brand_form!R"&amp;ROW()))="Not sure","unsure",""))))</f>
        <v/>
      </c>
      <c r="T79" s="25">
        <f>IF(INDIRECT("brand_form!A"&amp;ROW())="","",IF(IF(INDIRECT("brand_form!S"&amp;ROW())="","",INDIRECT("brand_form!S"&amp;ROW()))="Yes","Y",IF(IF(INDIRECT("brand_form!S"&amp;ROW())="","",INDIRECT("brand_form!S"&amp;ROW()))="No","N",IF(IF(INDIRECT("brand_form!S"&amp;ROW())="","",INDIRECT("brand_form!S"&amp;ROW()))="Not sure","unsure",""))))</f>
        <v/>
      </c>
      <c r="U79" s="25">
        <f>IF(INDIRECT("brand_form!A"&amp;ROW())="","",IF(IF(INDIRECT("brand_form!T"&amp;ROW())="","",INDIRECT("brand_form!T"&amp;ROW()))="Yes","Y",IF(IF(INDIRECT("brand_form!T"&amp;ROW())="","",INDIRECT("brand_form!T"&amp;ROW()))="No","N",IF(IF(INDIRECT("brand_form!T"&amp;ROW())="","",INDIRECT("brand_form!T"&amp;ROW()))="Not sure","unsure",""))))</f>
        <v/>
      </c>
      <c r="V79" s="25">
        <f>IF(INDIRECT("brand_form!A"&amp;ROW())="","",IF(IF(INDIRECT("brand_form!U"&amp;ROW())="","",INDIRECT("brand_form!U"&amp;ROW()))="Yes","Y",IF(IF(INDIRECT("brand_form!U"&amp;ROW())="","",INDIRECT("brand_form!U"&amp;ROW()))="No","N",IF(IF(INDIRECT("brand_form!U"&amp;ROW())="","",INDIRECT("brand_form!U"&amp;ROW()))="Not sure","unsure",""))))</f>
        <v/>
      </c>
      <c r="W79" s="25">
        <f>IF(INDIRECT("brand_form!A"&amp;ROW())="","",IF(IF(INDIRECT("brand_form!V"&amp;ROW())="","",INDIRECT("brand_form!V"&amp;ROW()))="Yes","Y",IF(IF(INDIRECT("brand_form!V"&amp;ROW())="","",INDIRECT("brand_form!V"&amp;ROW()))="No","N",IF(IF(INDIRECT("brand_form!V"&amp;ROW())="","",INDIRECT("brand_form!V"&amp;ROW()))="Not sure","unsure",""))))</f>
        <v/>
      </c>
      <c r="X79" s="25">
        <f>IF(INDIRECT("brand_form!A"&amp;ROW())="","",IF(INDIRECT("brand_form!W"&amp;ROW())="","",INDIRECT("brand_form!W"&amp;ROW())))</f>
        <v/>
      </c>
      <c r="Y79" s="25">
        <f>IF(INDIRECT("brand_form!A"&amp;ROW())="","",IF(IF(INDIRECT("brand_form!X"&amp;ROW())="","",INDIRECT("brand_form!X"&amp;ROW()))&lt;&gt;"","Y",""))</f>
        <v/>
      </c>
      <c r="Z79" s="25">
        <f>IF(INDIRECT("brand_form!A"&amp;ROW())="","",IF(INDIRECT("brand_form!Y"&amp;ROW())="","",INDIRECT("brand_form!Y"&amp;ROW())))</f>
        <v/>
      </c>
      <c r="AA79" s="25">
        <f>IF(INDIRECT("brand_form!A"&amp;ROW())="","","founder")</f>
        <v/>
      </c>
    </row>
    <row r="80">
      <c r="A80" s="25">
        <f>IF(INDIRECT("brand_form!A"&amp;ROW())="","",TEXT(INDIRECT("brand_form!A"&amp;ROW()),"yyyy-mm-dd""T""hh:mm:ss"))</f>
        <v/>
      </c>
      <c r="B80" s="25">
        <f>IF(INDIRECT("brand_form!A"&amp;ROW())="","",config!$B$35)</f>
        <v/>
      </c>
      <c r="C80" s="25">
        <f>IF(INDIRECT("brand_form!A"&amp;ROW())="","",IF(INDIRECT("brand_form!B"&amp;ROW())="","",INDIRECT("brand_form!B"&amp;ROW())))</f>
        <v/>
      </c>
      <c r="D80" s="25">
        <f>IF(INDIRECT("brand_form!A"&amp;ROW())="","",IF(IF(INDIRECT("brand_form!C"&amp;ROW())="","",INDIRECT("brand_form!C"&amp;ROW()))="","",IF(LEFT(LOWER(IF(INDIRECT("brand_form!C"&amp;ROW())="","",INDIRECT("brand_form!C"&amp;ROW()))),4)="http",IF(INDIRECT("brand_form!C"&amp;ROW())="","",INDIRECT("brand_form!C"&amp;ROW())),"https://"&amp;IF(INDIRECT("brand_form!C"&amp;ROW())="","",INDIRECT("brand_form!C"&amp;ROW())))))</f>
        <v/>
      </c>
      <c r="E80" s="25">
        <f>IF(INDIRECT("brand_form!A"&amp;ROW())="","",IF(INDIRECT("brand_form!G"&amp;ROW())="","",INDIRECT("brand_form!G"&amp;ROW())))</f>
        <v/>
      </c>
      <c r="F80" s="25">
        <f>IF(INDIRECT("brand_form!A"&amp;ROW())="","",IF(INDIRECT("brand_form!H"&amp;ROW())="","",INDIRECT("brand_form!H"&amp;ROW())))</f>
        <v/>
      </c>
      <c r="G80" s="25">
        <f>IF(INDIRECT("brand_form!A"&amp;ROW())="","",IF(INDIRECT("brand_form!I"&amp;ROW())="","",INDIRECT("brand_form!I"&amp;ROW())))</f>
        <v/>
      </c>
      <c r="H80" s="25">
        <f>IF(INDIRECT("brand_form!A"&amp;ROW())="","",IF(INDIRECT("brand_form!J"&amp;ROW())="","",INDIRECT("brand_form!J"&amp;ROW())))</f>
        <v/>
      </c>
      <c r="I80" s="25">
        <f>IF(INDIRECT("brand_form!A"&amp;ROW())="","",IF(INDIRECT("brand_form!D"&amp;ROW())="","",INDIRECT("brand_form!D"&amp;ROW())))</f>
        <v/>
      </c>
      <c r="J8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0" s="25">
        <f>IF(INDIRECT("brand_form!A"&amp;ROW())="","",IF(INDIRECT("brand_form!F"&amp;ROW())="","",INDIRECT("brand_form!F"&amp;ROW())))</f>
        <v/>
      </c>
      <c r="L80" s="25">
        <f>IF(INDIRECT("brand_form!A"&amp;ROW())="","",IF(INDIRECT("brand_form!M"&amp;ROW())="","",INDIRECT("brand_form!M"&amp;ROW())))</f>
        <v/>
      </c>
      <c r="M80" s="25">
        <f>IF(INDIRECT("brand_form!A"&amp;ROW())="","",IF(IF(INDIRECT("brand_form!N"&amp;ROW())="","",INDIRECT("brand_form!N"&amp;ROW()))="","",IF(LEFT(LOWER(IF(INDIRECT("brand_form!N"&amp;ROW())="","",INDIRECT("brand_form!N"&amp;ROW()))),4)="http",IF(INDIRECT("brand_form!N"&amp;ROW())="","",INDIRECT("brand_form!N"&amp;ROW())),"https://"&amp;IF(INDIRECT("brand_form!N"&amp;ROW())="","",INDIRECT("brand_form!N"&amp;ROW())))))</f>
        <v/>
      </c>
      <c r="N80" s="25">
        <f>IF(INDIRECT("brand_form!A"&amp;ROW())="","",IF(IF(INDIRECT("brand_form!O"&amp;ROW())="","",INDIRECT("brand_form!O"&amp;ROW()))="Yes","Y",IF(IF(INDIRECT("brand_form!O"&amp;ROW())="","",INDIRECT("brand_form!O"&amp;ROW()))="No","N","")))</f>
        <v/>
      </c>
      <c r="O8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0" s="25">
        <f>IF(INDIRECT("brand_form!A"&amp;ROW())="","",IF(IF(INDIRECT("brand_form!K"&amp;ROW())="","",INDIRECT("brand_form!K"&amp;ROW()))="I do","Y",IF(IF(INDIRECT("brand_form!K"&amp;ROW())="","",INDIRECT("brand_form!K"&amp;ROW()))="Someone else","N","")))</f>
        <v/>
      </c>
      <c r="Q80" s="25">
        <f>IF(INDIRECT("brand_form!A"&amp;ROW())="","",IF($P80="Y",$E80&amp;", "&amp;$F80,IF(INDIRECT("brand_form!L"&amp;ROW())="","",INDIRECT("brand_form!L"&amp;ROW()))))</f>
        <v/>
      </c>
      <c r="R80" s="25">
        <f>IF(INDIRECT("brand_form!A"&amp;ROW())="","",IF(IF(INDIRECT("brand_form!Q"&amp;ROW())="","",INDIRECT("brand_form!Q"&amp;ROW()))="Yes","Y",IF(IF(INDIRECT("brand_form!Q"&amp;ROW())="","",INDIRECT("brand_form!Q"&amp;ROW()))="No","N",IF(IF(INDIRECT("brand_form!Q"&amp;ROW())="","",INDIRECT("brand_form!Q"&amp;ROW()))="Not sure","unsure",""))))</f>
        <v/>
      </c>
      <c r="S80" s="25">
        <f>IF(INDIRECT("brand_form!A"&amp;ROW())="","",IF(IF(INDIRECT("brand_form!R"&amp;ROW())="","",INDIRECT("brand_form!R"&amp;ROW()))="Yes","Y",IF(IF(INDIRECT("brand_form!R"&amp;ROW())="","",INDIRECT("brand_form!R"&amp;ROW()))="No","N",IF(IF(INDIRECT("brand_form!R"&amp;ROW())="","",INDIRECT("brand_form!R"&amp;ROW()))="Not sure","unsure",""))))</f>
        <v/>
      </c>
      <c r="T80" s="25">
        <f>IF(INDIRECT("brand_form!A"&amp;ROW())="","",IF(IF(INDIRECT("brand_form!S"&amp;ROW())="","",INDIRECT("brand_form!S"&amp;ROW()))="Yes","Y",IF(IF(INDIRECT("brand_form!S"&amp;ROW())="","",INDIRECT("brand_form!S"&amp;ROW()))="No","N",IF(IF(INDIRECT("brand_form!S"&amp;ROW())="","",INDIRECT("brand_form!S"&amp;ROW()))="Not sure","unsure",""))))</f>
        <v/>
      </c>
      <c r="U80" s="25">
        <f>IF(INDIRECT("brand_form!A"&amp;ROW())="","",IF(IF(INDIRECT("brand_form!T"&amp;ROW())="","",INDIRECT("brand_form!T"&amp;ROW()))="Yes","Y",IF(IF(INDIRECT("brand_form!T"&amp;ROW())="","",INDIRECT("brand_form!T"&amp;ROW()))="No","N",IF(IF(INDIRECT("brand_form!T"&amp;ROW())="","",INDIRECT("brand_form!T"&amp;ROW()))="Not sure","unsure",""))))</f>
        <v/>
      </c>
      <c r="V80" s="25">
        <f>IF(INDIRECT("brand_form!A"&amp;ROW())="","",IF(IF(INDIRECT("brand_form!U"&amp;ROW())="","",INDIRECT("brand_form!U"&amp;ROW()))="Yes","Y",IF(IF(INDIRECT("brand_form!U"&amp;ROW())="","",INDIRECT("brand_form!U"&amp;ROW()))="No","N",IF(IF(INDIRECT("brand_form!U"&amp;ROW())="","",INDIRECT("brand_form!U"&amp;ROW()))="Not sure","unsure",""))))</f>
        <v/>
      </c>
      <c r="W80" s="25">
        <f>IF(INDIRECT("brand_form!A"&amp;ROW())="","",IF(IF(INDIRECT("brand_form!V"&amp;ROW())="","",INDIRECT("brand_form!V"&amp;ROW()))="Yes","Y",IF(IF(INDIRECT("brand_form!V"&amp;ROW())="","",INDIRECT("brand_form!V"&amp;ROW()))="No","N",IF(IF(INDIRECT("brand_form!V"&amp;ROW())="","",INDIRECT("brand_form!V"&amp;ROW()))="Not sure","unsure",""))))</f>
        <v/>
      </c>
      <c r="X80" s="25">
        <f>IF(INDIRECT("brand_form!A"&amp;ROW())="","",IF(INDIRECT("brand_form!W"&amp;ROW())="","",INDIRECT("brand_form!W"&amp;ROW())))</f>
        <v/>
      </c>
      <c r="Y80" s="25">
        <f>IF(INDIRECT("brand_form!A"&amp;ROW())="","",IF(IF(INDIRECT("brand_form!X"&amp;ROW())="","",INDIRECT("brand_form!X"&amp;ROW()))&lt;&gt;"","Y",""))</f>
        <v/>
      </c>
      <c r="Z80" s="25">
        <f>IF(INDIRECT("brand_form!A"&amp;ROW())="","",IF(INDIRECT("brand_form!Y"&amp;ROW())="","",INDIRECT("brand_form!Y"&amp;ROW())))</f>
        <v/>
      </c>
      <c r="AA80" s="25">
        <f>IF(INDIRECT("brand_form!A"&amp;ROW())="","","founder")</f>
        <v/>
      </c>
    </row>
    <row r="81">
      <c r="A81" s="25">
        <f>IF(INDIRECT("brand_form!A"&amp;ROW())="","",TEXT(INDIRECT("brand_form!A"&amp;ROW()),"yyyy-mm-dd""T""hh:mm:ss"))</f>
        <v/>
      </c>
      <c r="B81" s="25">
        <f>IF(INDIRECT("brand_form!A"&amp;ROW())="","",config!$B$35)</f>
        <v/>
      </c>
      <c r="C81" s="25">
        <f>IF(INDIRECT("brand_form!A"&amp;ROW())="","",IF(INDIRECT("brand_form!B"&amp;ROW())="","",INDIRECT("brand_form!B"&amp;ROW())))</f>
        <v/>
      </c>
      <c r="D81" s="25">
        <f>IF(INDIRECT("brand_form!A"&amp;ROW())="","",IF(IF(INDIRECT("brand_form!C"&amp;ROW())="","",INDIRECT("brand_form!C"&amp;ROW()))="","",IF(LEFT(LOWER(IF(INDIRECT("brand_form!C"&amp;ROW())="","",INDIRECT("brand_form!C"&amp;ROW()))),4)="http",IF(INDIRECT("brand_form!C"&amp;ROW())="","",INDIRECT("brand_form!C"&amp;ROW())),"https://"&amp;IF(INDIRECT("brand_form!C"&amp;ROW())="","",INDIRECT("brand_form!C"&amp;ROW())))))</f>
        <v/>
      </c>
      <c r="E81" s="25">
        <f>IF(INDIRECT("brand_form!A"&amp;ROW())="","",IF(INDIRECT("brand_form!G"&amp;ROW())="","",INDIRECT("brand_form!G"&amp;ROW())))</f>
        <v/>
      </c>
      <c r="F81" s="25">
        <f>IF(INDIRECT("brand_form!A"&amp;ROW())="","",IF(INDIRECT("brand_form!H"&amp;ROW())="","",INDIRECT("brand_form!H"&amp;ROW())))</f>
        <v/>
      </c>
      <c r="G81" s="25">
        <f>IF(INDIRECT("brand_form!A"&amp;ROW())="","",IF(INDIRECT("brand_form!I"&amp;ROW())="","",INDIRECT("brand_form!I"&amp;ROW())))</f>
        <v/>
      </c>
      <c r="H81" s="25">
        <f>IF(INDIRECT("brand_form!A"&amp;ROW())="","",IF(INDIRECT("brand_form!J"&amp;ROW())="","",INDIRECT("brand_form!J"&amp;ROW())))</f>
        <v/>
      </c>
      <c r="I81" s="25">
        <f>IF(INDIRECT("brand_form!A"&amp;ROW())="","",IF(INDIRECT("brand_form!D"&amp;ROW())="","",INDIRECT("brand_form!D"&amp;ROW())))</f>
        <v/>
      </c>
      <c r="J8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1" s="25">
        <f>IF(INDIRECT("brand_form!A"&amp;ROW())="","",IF(INDIRECT("brand_form!F"&amp;ROW())="","",INDIRECT("brand_form!F"&amp;ROW())))</f>
        <v/>
      </c>
      <c r="L81" s="25">
        <f>IF(INDIRECT("brand_form!A"&amp;ROW())="","",IF(INDIRECT("brand_form!M"&amp;ROW())="","",INDIRECT("brand_form!M"&amp;ROW())))</f>
        <v/>
      </c>
      <c r="M81" s="25">
        <f>IF(INDIRECT("brand_form!A"&amp;ROW())="","",IF(IF(INDIRECT("brand_form!N"&amp;ROW())="","",INDIRECT("brand_form!N"&amp;ROW()))="","",IF(LEFT(LOWER(IF(INDIRECT("brand_form!N"&amp;ROW())="","",INDIRECT("brand_form!N"&amp;ROW()))),4)="http",IF(INDIRECT("brand_form!N"&amp;ROW())="","",INDIRECT("brand_form!N"&amp;ROW())),"https://"&amp;IF(INDIRECT("brand_form!N"&amp;ROW())="","",INDIRECT("brand_form!N"&amp;ROW())))))</f>
        <v/>
      </c>
      <c r="N81" s="25">
        <f>IF(INDIRECT("brand_form!A"&amp;ROW())="","",IF(IF(INDIRECT("brand_form!O"&amp;ROW())="","",INDIRECT("brand_form!O"&amp;ROW()))="Yes","Y",IF(IF(INDIRECT("brand_form!O"&amp;ROW())="","",INDIRECT("brand_form!O"&amp;ROW()))="No","N","")))</f>
        <v/>
      </c>
      <c r="O8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1" s="25">
        <f>IF(INDIRECT("brand_form!A"&amp;ROW())="","",IF(IF(INDIRECT("brand_form!K"&amp;ROW())="","",INDIRECT("brand_form!K"&amp;ROW()))="I do","Y",IF(IF(INDIRECT("brand_form!K"&amp;ROW())="","",INDIRECT("brand_form!K"&amp;ROW()))="Someone else","N","")))</f>
        <v/>
      </c>
      <c r="Q81" s="25">
        <f>IF(INDIRECT("brand_form!A"&amp;ROW())="","",IF($P81="Y",$E81&amp;", "&amp;$F81,IF(INDIRECT("brand_form!L"&amp;ROW())="","",INDIRECT("brand_form!L"&amp;ROW()))))</f>
        <v/>
      </c>
      <c r="R81" s="25">
        <f>IF(INDIRECT("brand_form!A"&amp;ROW())="","",IF(IF(INDIRECT("brand_form!Q"&amp;ROW())="","",INDIRECT("brand_form!Q"&amp;ROW()))="Yes","Y",IF(IF(INDIRECT("brand_form!Q"&amp;ROW())="","",INDIRECT("brand_form!Q"&amp;ROW()))="No","N",IF(IF(INDIRECT("brand_form!Q"&amp;ROW())="","",INDIRECT("brand_form!Q"&amp;ROW()))="Not sure","unsure",""))))</f>
        <v/>
      </c>
      <c r="S81" s="25">
        <f>IF(INDIRECT("brand_form!A"&amp;ROW())="","",IF(IF(INDIRECT("brand_form!R"&amp;ROW())="","",INDIRECT("brand_form!R"&amp;ROW()))="Yes","Y",IF(IF(INDIRECT("brand_form!R"&amp;ROW())="","",INDIRECT("brand_form!R"&amp;ROW()))="No","N",IF(IF(INDIRECT("brand_form!R"&amp;ROW())="","",INDIRECT("brand_form!R"&amp;ROW()))="Not sure","unsure",""))))</f>
        <v/>
      </c>
      <c r="T81" s="25">
        <f>IF(INDIRECT("brand_form!A"&amp;ROW())="","",IF(IF(INDIRECT("brand_form!S"&amp;ROW())="","",INDIRECT("brand_form!S"&amp;ROW()))="Yes","Y",IF(IF(INDIRECT("brand_form!S"&amp;ROW())="","",INDIRECT("brand_form!S"&amp;ROW()))="No","N",IF(IF(INDIRECT("brand_form!S"&amp;ROW())="","",INDIRECT("brand_form!S"&amp;ROW()))="Not sure","unsure",""))))</f>
        <v/>
      </c>
      <c r="U81" s="25">
        <f>IF(INDIRECT("brand_form!A"&amp;ROW())="","",IF(IF(INDIRECT("brand_form!T"&amp;ROW())="","",INDIRECT("brand_form!T"&amp;ROW()))="Yes","Y",IF(IF(INDIRECT("brand_form!T"&amp;ROW())="","",INDIRECT("brand_form!T"&amp;ROW()))="No","N",IF(IF(INDIRECT("brand_form!T"&amp;ROW())="","",INDIRECT("brand_form!T"&amp;ROW()))="Not sure","unsure",""))))</f>
        <v/>
      </c>
      <c r="V81" s="25">
        <f>IF(INDIRECT("brand_form!A"&amp;ROW())="","",IF(IF(INDIRECT("brand_form!U"&amp;ROW())="","",INDIRECT("brand_form!U"&amp;ROW()))="Yes","Y",IF(IF(INDIRECT("brand_form!U"&amp;ROW())="","",INDIRECT("brand_form!U"&amp;ROW()))="No","N",IF(IF(INDIRECT("brand_form!U"&amp;ROW())="","",INDIRECT("brand_form!U"&amp;ROW()))="Not sure","unsure",""))))</f>
        <v/>
      </c>
      <c r="W81" s="25">
        <f>IF(INDIRECT("brand_form!A"&amp;ROW())="","",IF(IF(INDIRECT("brand_form!V"&amp;ROW())="","",INDIRECT("brand_form!V"&amp;ROW()))="Yes","Y",IF(IF(INDIRECT("brand_form!V"&amp;ROW())="","",INDIRECT("brand_form!V"&amp;ROW()))="No","N",IF(IF(INDIRECT("brand_form!V"&amp;ROW())="","",INDIRECT("brand_form!V"&amp;ROW()))="Not sure","unsure",""))))</f>
        <v/>
      </c>
      <c r="X81" s="25">
        <f>IF(INDIRECT("brand_form!A"&amp;ROW())="","",IF(INDIRECT("brand_form!W"&amp;ROW())="","",INDIRECT("brand_form!W"&amp;ROW())))</f>
        <v/>
      </c>
      <c r="Y81" s="25">
        <f>IF(INDIRECT("brand_form!A"&amp;ROW())="","",IF(IF(INDIRECT("brand_form!X"&amp;ROW())="","",INDIRECT("brand_form!X"&amp;ROW()))&lt;&gt;"","Y",""))</f>
        <v/>
      </c>
      <c r="Z81" s="25">
        <f>IF(INDIRECT("brand_form!A"&amp;ROW())="","",IF(INDIRECT("brand_form!Y"&amp;ROW())="","",INDIRECT("brand_form!Y"&amp;ROW())))</f>
        <v/>
      </c>
      <c r="AA81" s="25">
        <f>IF(INDIRECT("brand_form!A"&amp;ROW())="","","founder")</f>
        <v/>
      </c>
    </row>
  </sheetData>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tabColor rgb="00FFF9E5"/>
    <outlinePr summaryBelow="1" summaryRight="1"/>
    <pageSetUpPr/>
  </sheetPr>
  <dimension ref="A1:AI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s>
  <sheetData>
    <row r="1">
      <c r="A1" s="34" t="inlineStr">
        <is>
          <t>submitted_at</t>
        </is>
      </c>
      <c r="B1" s="34" t="inlineStr">
        <is>
          <t>form_version</t>
        </is>
      </c>
      <c r="C1" s="34" t="inlineStr">
        <is>
          <t>company</t>
        </is>
      </c>
      <c r="D1" s="34" t="inlineStr">
        <is>
          <t>contact_name</t>
        </is>
      </c>
      <c r="E1" s="34" t="inlineStr">
        <is>
          <t>contact_title</t>
        </is>
      </c>
      <c r="F1" s="34" t="inlineStr">
        <is>
          <t>contact_email</t>
        </is>
      </c>
      <c r="G1" s="34" t="inlineStr">
        <is>
          <t>contact_phone</t>
        </is>
      </c>
      <c r="H1" s="34" t="inlineStr">
        <is>
          <t>office_address</t>
        </is>
      </c>
      <c r="I1" s="34" t="inlineStr">
        <is>
          <t>floor_suite</t>
        </is>
      </c>
      <c r="J1" s="34" t="inlineStr">
        <is>
          <t>tuesday_headcount</t>
        </is>
      </c>
      <c r="K1" s="34" t="inlineStr">
        <is>
          <t>pantry_owner_name</t>
        </is>
      </c>
      <c r="L1" s="34" t="inlineStr">
        <is>
          <t>pantry_owner_title</t>
        </is>
      </c>
      <c r="M1" s="34" t="inlineStr">
        <is>
          <t>pantry_owner_is_contact</t>
        </is>
      </c>
      <c r="N1" s="34" t="inlineStr">
        <is>
          <t>receiving_type</t>
        </is>
      </c>
      <c r="O1" s="34" t="inlineStr">
        <is>
          <t>receiving_window</t>
        </is>
      </c>
      <c r="P1" s="34" t="inlineStr">
        <is>
          <t>coi_required</t>
        </is>
      </c>
      <c r="Q1" s="34" t="inlineStr">
        <is>
          <t>survey_channel</t>
        </is>
      </c>
      <c r="R1" s="34" t="inlineStr">
        <is>
          <t>categories_wanted</t>
        </is>
      </c>
      <c r="S1" s="34" t="inlineStr">
        <is>
          <t>vetoes</t>
        </is>
      </c>
      <c r="T1" s="34" t="inlineStr">
        <is>
          <t>notes</t>
        </is>
      </c>
      <c r="U1" s="34" t="inlineStr">
        <is>
          <t>source</t>
        </is>
      </c>
      <c r="V1" s="34" t="inlineStr">
        <is>
          <t>office_id</t>
        </is>
      </c>
      <c r="W1" s="34" t="inlineStr">
        <is>
          <t>clay_row_id</t>
        </is>
      </c>
      <c r="X1" s="34" t="inlineStr">
        <is>
          <t>agreement_signed_date</t>
        </is>
      </c>
      <c r="Y1" s="34" t="inlineStr">
        <is>
          <t>agreement_file</t>
        </is>
      </c>
      <c r="Z1" s="34" t="inlineStr">
        <is>
          <t>founding_roster_named</t>
        </is>
      </c>
      <c r="AA1" s="34" t="inlineStr">
        <is>
          <t>budget_probe_verbatim</t>
        </is>
      </c>
      <c r="AB1" s="34" t="inlineStr">
        <is>
          <t>budget_probe_date</t>
        </is>
      </c>
      <c r="AC1" s="34" t="inlineStr">
        <is>
          <t>budget_probe_monthly_usd</t>
        </is>
      </c>
      <c r="AD1" s="34" t="inlineStr">
        <is>
          <t>industry</t>
        </is>
      </c>
      <c r="AE1" s="34" t="inlineStr">
        <is>
          <t>pantry_owner_phone</t>
        </is>
      </c>
      <c r="AF1" s="34" t="inlineStr">
        <is>
          <t>pantry_owner_email</t>
        </is>
      </c>
      <c r="AG1" s="34" t="inlineStr">
        <is>
          <t>public_naming_ok</t>
        </is>
      </c>
      <c r="AH1" s="34" t="inlineStr">
        <is>
          <t>agreement_version</t>
        </is>
      </c>
      <c r="AI1" s="34" t="inlineStr">
        <is>
          <t>building_id</t>
        </is>
      </c>
    </row>
    <row r="2">
      <c r="A2" t="inlineStr">
        <is>
          <t>2026-11-10T10:01:00-05:00</t>
        </is>
      </c>
      <c r="B2" t="inlineStr">
        <is>
          <t>office-1.0</t>
        </is>
      </c>
      <c r="C2" t="inlineStr">
        <is>
          <t>SAMPLE Northpoint Software</t>
        </is>
      </c>
      <c r="D2" t="inlineStr">
        <is>
          <t>SAMPLE Owner 001</t>
        </is>
      </c>
      <c r="E2" t="inlineStr">
        <is>
          <t>SAMPLE Office Manager</t>
        </is>
      </c>
      <c r="F2" t="inlineStr">
        <is>
          <t>SAMPLE-owner-001@example.com</t>
        </is>
      </c>
      <c r="G2" t="inlineStr">
        <is>
          <t>SAMPLE (212) 555-0101</t>
        </is>
      </c>
      <c r="H2" t="inlineStr">
        <is>
          <t>SAMPLE 110 Example Avenue</t>
        </is>
      </c>
      <c r="I2" t="inlineStr">
        <is>
          <t>SAMPLE Floor 3</t>
        </is>
      </c>
      <c r="J2" t="n">
        <v>52</v>
      </c>
      <c r="K2" t="inlineStr">
        <is>
          <t>SAMPLE Owner 001</t>
        </is>
      </c>
      <c r="L2" t="inlineStr">
        <is>
          <t>SAMPLE Office Manager</t>
        </is>
      </c>
      <c r="M2" t="inlineStr">
        <is>
          <t>Y</t>
        </is>
      </c>
      <c r="N2" t="inlineStr">
        <is>
          <t>walk-up</t>
        </is>
      </c>
      <c r="O2" t="inlineStr">
        <is>
          <t>8 to 10 am</t>
        </is>
      </c>
      <c r="P2" t="inlineStr">
        <is>
          <t>no</t>
        </is>
      </c>
      <c r="Q2" t="inlineStr">
        <is>
          <t>slack</t>
        </is>
      </c>
      <c r="R2" t="inlineStr">
        <is>
          <t>chips-crisps;bars;sparkling-soda;fruit-snacks</t>
        </is>
      </c>
      <c r="T2" t="inlineStr">
        <is>
          <t>SAMPLE intake note</t>
        </is>
      </c>
      <c r="U2" t="inlineStr">
        <is>
          <t>website</t>
        </is>
      </c>
      <c r="V2" t="inlineStr">
        <is>
          <t>SAMPLE-O-001</t>
        </is>
      </c>
      <c r="W2" t="inlineStr">
        <is>
          <t>SAMPLE-CLAY-O-001</t>
        </is>
      </c>
      <c r="X2" s="9" t="n">
        <v>46342</v>
      </c>
      <c r="Y2" t="inlineStr">
        <is>
          <t>SAMPLE-agreement-SAMPLE-O-001.pdf</t>
        </is>
      </c>
      <c r="Z2" t="inlineStr">
        <is>
          <t>Y</t>
        </is>
      </c>
      <c r="AA2" t="inlineStr">
        <is>
          <t>SAMPLE no budget named</t>
        </is>
      </c>
      <c r="AB2" s="9" t="n">
        <v>46336</v>
      </c>
      <c r="AD2" t="inlineStr">
        <is>
          <t>SAMPLE Software</t>
        </is>
      </c>
      <c r="AE2" t="inlineStr">
        <is>
          <t>SAMPLE (212) 555-0101</t>
        </is>
      </c>
      <c r="AF2" t="inlineStr">
        <is>
          <t>SAMPLE-owner-001@example.com</t>
        </is>
      </c>
      <c r="AG2" t="inlineStr">
        <is>
          <t>N</t>
        </is>
      </c>
      <c r="AH2" t="inlineStr">
        <is>
          <t>0.8</t>
        </is>
      </c>
    </row>
    <row r="3">
      <c r="A3" t="inlineStr">
        <is>
          <t>2026-11-12T14:02:00</t>
        </is>
      </c>
      <c r="B3" t="inlineStr">
        <is>
          <t>office-gform-1.0</t>
        </is>
      </c>
      <c r="C3" t="inlineStr">
        <is>
          <t>SAMPLE Ferro Architecture</t>
        </is>
      </c>
      <c r="D3" t="inlineStr">
        <is>
          <t>SAMPLE Owner 002</t>
        </is>
      </c>
      <c r="E3" t="inlineStr">
        <is>
          <t>SAMPLE Office Manager</t>
        </is>
      </c>
      <c r="F3" t="inlineStr">
        <is>
          <t>SAMPLE-owner-002@example.com</t>
        </is>
      </c>
      <c r="G3" t="inlineStr">
        <is>
          <t>SAMPLE (212) 555-0102</t>
        </is>
      </c>
      <c r="H3" t="inlineStr">
        <is>
          <t>SAMPLE 120 Example Avenue</t>
        </is>
      </c>
      <c r="I3" t="inlineStr">
        <is>
          <t>SAMPLE Floor 4</t>
        </is>
      </c>
      <c r="J3" t="n">
        <v>48</v>
      </c>
      <c r="K3" t="inlineStr">
        <is>
          <t>SAMPLE Owner 002</t>
        </is>
      </c>
      <c r="L3" t="inlineStr">
        <is>
          <t>SAMPLE Office Manager</t>
        </is>
      </c>
      <c r="M3" t="inlineStr">
        <is>
          <t>Y</t>
        </is>
      </c>
      <c r="N3" t="inlineStr">
        <is>
          <t>front desk</t>
        </is>
      </c>
      <c r="O3" t="inlineStr">
        <is>
          <t>9 to 11 am</t>
        </is>
      </c>
      <c r="P3" t="inlineStr">
        <is>
          <t>no</t>
        </is>
      </c>
      <c r="Q3" t="inlineStr">
        <is>
          <t>email</t>
        </is>
      </c>
      <c r="R3" t="inlineStr">
        <is>
          <t>chips-crisps;crackers-pretzels;sparkling-soda;bars;fruit-snacks</t>
        </is>
      </c>
      <c r="T3" t="inlineStr">
        <is>
          <t>SAMPLE intake note</t>
        </is>
      </c>
      <c r="U3" t="inlineStr">
        <is>
          <t>founder</t>
        </is>
      </c>
      <c r="V3" t="inlineStr">
        <is>
          <t>SAMPLE-O-002</t>
        </is>
      </c>
      <c r="W3" t="inlineStr">
        <is>
          <t>SAMPLE-CLAY-O-002</t>
        </is>
      </c>
      <c r="X3" s="9" t="n">
        <v>46344</v>
      </c>
      <c r="Y3" t="inlineStr">
        <is>
          <t>SAMPLE-agreement-SAMPLE-O-002.pdf</t>
        </is>
      </c>
      <c r="Z3" t="inlineStr">
        <is>
          <t>N</t>
        </is>
      </c>
      <c r="AA3" t="inlineStr">
        <is>
          <t>SAMPLE no budget named</t>
        </is>
      </c>
      <c r="AB3" s="9" t="n">
        <v>46338</v>
      </c>
      <c r="AD3" t="inlineStr">
        <is>
          <t>SAMPLE Architecture</t>
        </is>
      </c>
      <c r="AE3" t="inlineStr">
        <is>
          <t>SAMPLE (212) 555-0102</t>
        </is>
      </c>
      <c r="AF3" t="inlineStr">
        <is>
          <t>SAMPLE-owner-002@example.com</t>
        </is>
      </c>
      <c r="AG3" t="inlineStr">
        <is>
          <t>N</t>
        </is>
      </c>
      <c r="AH3" t="inlineStr">
        <is>
          <t>0.8</t>
        </is>
      </c>
    </row>
    <row r="4">
      <c r="A4" t="inlineStr">
        <is>
          <t>2026-11-18T10:03:00-05:00</t>
        </is>
      </c>
      <c r="B4" t="inlineStr">
        <is>
          <t>office-1.0</t>
        </is>
      </c>
      <c r="C4" t="inlineStr">
        <is>
          <t>SAMPLE Halcyon Media</t>
        </is>
      </c>
      <c r="D4" t="inlineStr">
        <is>
          <t>SAMPLE Owner 003</t>
        </is>
      </c>
      <c r="E4" t="inlineStr">
        <is>
          <t>SAMPLE Office Manager</t>
        </is>
      </c>
      <c r="F4" t="inlineStr">
        <is>
          <t>SAMPLE-owner-003@example.com</t>
        </is>
      </c>
      <c r="G4" t="inlineStr">
        <is>
          <t>SAMPLE (212) 555-0103</t>
        </is>
      </c>
      <c r="H4" t="inlineStr">
        <is>
          <t>SAMPLE 130 Example Avenue</t>
        </is>
      </c>
      <c r="I4" t="inlineStr">
        <is>
          <t>SAMPLE Floor 5</t>
        </is>
      </c>
      <c r="J4" t="n">
        <v>95</v>
      </c>
      <c r="K4" t="inlineStr">
        <is>
          <t>SAMPLE Owner 003</t>
        </is>
      </c>
      <c r="L4" t="inlineStr">
        <is>
          <t>SAMPLE Office Manager</t>
        </is>
      </c>
      <c r="M4" t="inlineStr">
        <is>
          <t>Y</t>
        </is>
      </c>
      <c r="N4" t="inlineStr">
        <is>
          <t>walk-up</t>
        </is>
      </c>
      <c r="O4" t="inlineStr">
        <is>
          <t>9 to 11 am</t>
        </is>
      </c>
      <c r="P4" t="inlineStr">
        <is>
          <t>unsure</t>
        </is>
      </c>
      <c r="Q4" t="inlineStr">
        <is>
          <t>slack</t>
        </is>
      </c>
      <c r="R4" t="inlineStr">
        <is>
          <t>chips-crisps;popcorn-puffs;sparkling-soda;tea-juice;bars;fruit-snacks</t>
        </is>
      </c>
      <c r="T4" t="inlineStr">
        <is>
          <t>SAMPLE intake note</t>
        </is>
      </c>
      <c r="U4" t="inlineStr">
        <is>
          <t>website</t>
        </is>
      </c>
      <c r="V4" t="inlineStr">
        <is>
          <t>SAMPLE-O-003</t>
        </is>
      </c>
      <c r="W4" t="inlineStr">
        <is>
          <t>SAMPLE-CLAY-O-003</t>
        </is>
      </c>
      <c r="X4" s="9" t="n">
        <v>46350</v>
      </c>
      <c r="Y4" t="inlineStr">
        <is>
          <t>SAMPLE-agreement-SAMPLE-O-003.pdf</t>
        </is>
      </c>
      <c r="Z4" t="inlineStr">
        <is>
          <t>Y</t>
        </is>
      </c>
      <c r="AA4" t="inlineStr">
        <is>
          <t>SAMPLE "maybe a couple hundred a month"</t>
        </is>
      </c>
      <c r="AB4" s="9" t="n">
        <v>46344</v>
      </c>
      <c r="AC4" t="n">
        <v>200</v>
      </c>
      <c r="AD4" t="inlineStr">
        <is>
          <t>SAMPLE Media</t>
        </is>
      </c>
      <c r="AE4" t="inlineStr">
        <is>
          <t>SAMPLE (212) 555-0103</t>
        </is>
      </c>
      <c r="AF4" t="inlineStr">
        <is>
          <t>SAMPLE-owner-003@example.com</t>
        </is>
      </c>
      <c r="AG4" t="inlineStr">
        <is>
          <t>N</t>
        </is>
      </c>
      <c r="AH4" t="inlineStr">
        <is>
          <t>0.8</t>
        </is>
      </c>
    </row>
    <row r="5">
      <c r="A5" t="inlineStr">
        <is>
          <t>2026-11-25T14:04:00</t>
        </is>
      </c>
      <c r="B5" t="inlineStr">
        <is>
          <t>office-gform-1.0</t>
        </is>
      </c>
      <c r="C5" t="inlineStr">
        <is>
          <t>SAMPLE Union Food Fund</t>
        </is>
      </c>
      <c r="D5" t="inlineStr">
        <is>
          <t>SAMPLE Owner 004</t>
        </is>
      </c>
      <c r="E5" t="inlineStr">
        <is>
          <t>SAMPLE Office Manager</t>
        </is>
      </c>
      <c r="F5" t="inlineStr">
        <is>
          <t>SAMPLE-owner-004@example.com</t>
        </is>
      </c>
      <c r="G5" t="inlineStr">
        <is>
          <t>SAMPLE (212) 555-0104</t>
        </is>
      </c>
      <c r="H5" t="inlineStr">
        <is>
          <t>SAMPLE 140 Example Avenue</t>
        </is>
      </c>
      <c r="I5" t="inlineStr">
        <is>
          <t>SAMPLE Floor 6</t>
        </is>
      </c>
      <c r="J5" t="n">
        <v>110</v>
      </c>
      <c r="K5" t="inlineStr">
        <is>
          <t>SAMPLE Owner 004</t>
        </is>
      </c>
      <c r="L5" t="inlineStr">
        <is>
          <t>SAMPLE Office Manager</t>
        </is>
      </c>
      <c r="M5" t="inlineStr">
        <is>
          <t>Y</t>
        </is>
      </c>
      <c r="N5" t="inlineStr">
        <is>
          <t>loading dock</t>
        </is>
      </c>
      <c r="O5" t="inlineStr">
        <is>
          <t>10 am to noon</t>
        </is>
      </c>
      <c r="P5" t="inlineStr">
        <is>
          <t>no</t>
        </is>
      </c>
      <c r="Q5" t="inlineStr">
        <is>
          <t>email</t>
        </is>
      </c>
      <c r="R5" t="inlineStr">
        <is>
          <t>chips-crisps;sparkling-soda;bars;fruit-snacks</t>
        </is>
      </c>
      <c r="T5" t="inlineStr">
        <is>
          <t>SAMPLE intake note</t>
        </is>
      </c>
      <c r="U5" t="inlineStr">
        <is>
          <t>founder</t>
        </is>
      </c>
      <c r="V5" t="inlineStr">
        <is>
          <t>SAMPLE-O-004</t>
        </is>
      </c>
      <c r="W5" t="inlineStr">
        <is>
          <t>SAMPLE-CLAY-O-004</t>
        </is>
      </c>
      <c r="X5" s="9" t="n">
        <v>46357</v>
      </c>
      <c r="Y5" t="inlineStr">
        <is>
          <t>SAMPLE-agreement-SAMPLE-O-004.pdf</t>
        </is>
      </c>
      <c r="Z5" t="inlineStr">
        <is>
          <t>N</t>
        </is>
      </c>
      <c r="AA5" t="inlineStr">
        <is>
          <t>SAMPLE no budget named</t>
        </is>
      </c>
      <c r="AB5" s="9" t="n">
        <v>46351</v>
      </c>
      <c r="AD5" t="inlineStr">
        <is>
          <t>SAMPLE Nonprofit</t>
        </is>
      </c>
      <c r="AE5" t="inlineStr">
        <is>
          <t>SAMPLE (212) 555-0104</t>
        </is>
      </c>
      <c r="AF5" t="inlineStr">
        <is>
          <t>SAMPLE-owner-004@example.com</t>
        </is>
      </c>
      <c r="AG5" t="inlineStr">
        <is>
          <t>N</t>
        </is>
      </c>
      <c r="AH5" t="inlineStr">
        <is>
          <t>0.8</t>
        </is>
      </c>
    </row>
    <row r="6">
      <c r="A6" t="inlineStr">
        <is>
          <t>2026-11-27T10:05:00-05:00</t>
        </is>
      </c>
      <c r="B6" t="inlineStr">
        <is>
          <t>office-1.0</t>
        </is>
      </c>
      <c r="C6" t="inlineStr">
        <is>
          <t>SAMPLE Studio Marlow</t>
        </is>
      </c>
      <c r="D6" t="inlineStr">
        <is>
          <t>SAMPLE Owner 005</t>
        </is>
      </c>
      <c r="E6" t="inlineStr">
        <is>
          <t>SAMPLE Office Manager</t>
        </is>
      </c>
      <c r="F6" t="inlineStr">
        <is>
          <t>SAMPLE-owner-005@example.com</t>
        </is>
      </c>
      <c r="G6" t="inlineStr">
        <is>
          <t>SAMPLE (212) 555-0105</t>
        </is>
      </c>
      <c r="H6" t="inlineStr">
        <is>
          <t>SAMPLE 150 Example Avenue</t>
        </is>
      </c>
      <c r="I6" t="inlineStr">
        <is>
          <t>SAMPLE Floor 7</t>
        </is>
      </c>
      <c r="J6" t="n">
        <v>190</v>
      </c>
      <c r="K6" t="inlineStr">
        <is>
          <t>SAMPLE Owner 005</t>
        </is>
      </c>
      <c r="L6" t="inlineStr">
        <is>
          <t>SAMPLE Office Manager</t>
        </is>
      </c>
      <c r="M6" t="inlineStr">
        <is>
          <t>Y</t>
        </is>
      </c>
      <c r="N6" t="inlineStr">
        <is>
          <t>front desk</t>
        </is>
      </c>
      <c r="O6" t="inlineStr">
        <is>
          <t>10 am to noon</t>
        </is>
      </c>
      <c r="P6" t="inlineStr">
        <is>
          <t>yes</t>
        </is>
      </c>
      <c r="Q6" t="inlineStr">
        <is>
          <t>slack</t>
        </is>
      </c>
      <c r="R6" t="inlineStr">
        <is>
          <t>chips-crisps;cookies-baked;sparkling-soda;coffee-rtd;bars;fruit-snacks</t>
        </is>
      </c>
      <c r="T6" t="inlineStr">
        <is>
          <t>SAMPLE intake note</t>
        </is>
      </c>
      <c r="U6" t="inlineStr">
        <is>
          <t>website</t>
        </is>
      </c>
      <c r="V6" t="inlineStr">
        <is>
          <t>SAMPLE-O-005</t>
        </is>
      </c>
      <c r="W6" t="inlineStr">
        <is>
          <t>SAMPLE-CLAY-O-005</t>
        </is>
      </c>
      <c r="X6" s="9" t="n">
        <v>46359</v>
      </c>
      <c r="Y6" t="inlineStr">
        <is>
          <t>SAMPLE-agreement-SAMPLE-O-005.pdf</t>
        </is>
      </c>
      <c r="Z6" t="inlineStr">
        <is>
          <t>N</t>
        </is>
      </c>
      <c r="AA6" t="inlineStr">
        <is>
          <t>SAMPLE no budget named</t>
        </is>
      </c>
      <c r="AB6" s="9" t="n">
        <v>46353</v>
      </c>
      <c r="AD6" t="inlineStr">
        <is>
          <t>SAMPLE Design studio</t>
        </is>
      </c>
      <c r="AE6" t="inlineStr">
        <is>
          <t>SAMPLE (212) 555-0105</t>
        </is>
      </c>
      <c r="AF6" t="inlineStr">
        <is>
          <t>SAMPLE-owner-005@example.com</t>
        </is>
      </c>
      <c r="AG6" t="inlineStr">
        <is>
          <t>N</t>
        </is>
      </c>
      <c r="AH6" t="inlineStr">
        <is>
          <t>0.8</t>
        </is>
      </c>
    </row>
    <row r="7">
      <c r="A7" t="inlineStr">
        <is>
          <t>2026-12-30T10:06:00-05:00</t>
        </is>
      </c>
      <c r="B7" t="inlineStr">
        <is>
          <t>office-1.0</t>
        </is>
      </c>
      <c r="C7" t="inlineStr">
        <is>
          <t>SAMPLE Kestrel Analytics</t>
        </is>
      </c>
      <c r="D7" t="inlineStr">
        <is>
          <t>SAMPLE Owner 006</t>
        </is>
      </c>
      <c r="E7" t="inlineStr">
        <is>
          <t>SAMPLE Office Manager</t>
        </is>
      </c>
      <c r="F7" t="inlineStr">
        <is>
          <t>SAMPLE-owner-006@example.com</t>
        </is>
      </c>
      <c r="G7" t="inlineStr">
        <is>
          <t>SAMPLE (212) 555-0106</t>
        </is>
      </c>
      <c r="H7" t="inlineStr">
        <is>
          <t>SAMPLE 160 Example Avenue</t>
        </is>
      </c>
      <c r="I7" t="inlineStr">
        <is>
          <t>SAMPLE Floor 8</t>
        </is>
      </c>
      <c r="J7" t="n">
        <v>65</v>
      </c>
      <c r="K7" t="inlineStr">
        <is>
          <t>SAMPLE Owner 006</t>
        </is>
      </c>
      <c r="L7" t="inlineStr">
        <is>
          <t>SAMPLE Office Manager</t>
        </is>
      </c>
      <c r="M7" t="inlineStr">
        <is>
          <t>Y</t>
        </is>
      </c>
      <c r="N7" t="inlineStr">
        <is>
          <t>walk-up</t>
        </is>
      </c>
      <c r="O7" t="inlineStr">
        <is>
          <t>8 to 10 am</t>
        </is>
      </c>
      <c r="P7" t="inlineStr">
        <is>
          <t>no</t>
        </is>
      </c>
      <c r="Q7" t="inlineStr">
        <is>
          <t>slack</t>
        </is>
      </c>
      <c r="R7" t="inlineStr">
        <is>
          <t>chips-crisps;bars;fruit-snacks;sparkling-soda</t>
        </is>
      </c>
      <c r="T7" t="inlineStr">
        <is>
          <t>SAMPLE intake note</t>
        </is>
      </c>
      <c r="U7" t="inlineStr">
        <is>
          <t>website</t>
        </is>
      </c>
      <c r="V7" t="inlineStr">
        <is>
          <t>SAMPLE-O-006</t>
        </is>
      </c>
      <c r="W7" t="inlineStr">
        <is>
          <t>SAMPLE-CLAY-O-006</t>
        </is>
      </c>
      <c r="X7" s="9" t="n">
        <v>46392</v>
      </c>
      <c r="Y7" t="inlineStr">
        <is>
          <t>SAMPLE-agreement-SAMPLE-O-006.pdf</t>
        </is>
      </c>
      <c r="Z7" t="inlineStr">
        <is>
          <t>N</t>
        </is>
      </c>
      <c r="AA7" t="inlineStr">
        <is>
          <t>SAMPLE no budget named</t>
        </is>
      </c>
      <c r="AB7" s="9" t="n">
        <v>46386</v>
      </c>
      <c r="AD7" t="inlineStr">
        <is>
          <t>SAMPLE Software</t>
        </is>
      </c>
      <c r="AE7" t="inlineStr">
        <is>
          <t>SAMPLE (212) 555-0106</t>
        </is>
      </c>
      <c r="AF7" t="inlineStr">
        <is>
          <t>SAMPLE-owner-006@example.com</t>
        </is>
      </c>
      <c r="AG7" t="inlineStr">
        <is>
          <t>N</t>
        </is>
      </c>
      <c r="AH7" t="inlineStr">
        <is>
          <t>0.8</t>
        </is>
      </c>
    </row>
    <row r="8">
      <c r="A8" t="inlineStr">
        <is>
          <t>2026-12-31T10:07:00-05:00</t>
        </is>
      </c>
      <c r="B8" t="inlineStr">
        <is>
          <t>office-1.0</t>
        </is>
      </c>
      <c r="C8" t="inlineStr">
        <is>
          <t>SAMPLE Brine &amp; Bell PR</t>
        </is>
      </c>
      <c r="D8" t="inlineStr">
        <is>
          <t>SAMPLE Owner 007</t>
        </is>
      </c>
      <c r="E8" t="inlineStr">
        <is>
          <t>SAMPLE Office Manager</t>
        </is>
      </c>
      <c r="F8" t="inlineStr">
        <is>
          <t>SAMPLE-owner-007@example.com</t>
        </is>
      </c>
      <c r="G8" t="inlineStr">
        <is>
          <t>SAMPLE (212) 555-0107</t>
        </is>
      </c>
      <c r="H8" t="inlineStr">
        <is>
          <t>SAMPLE 170 Example Avenue</t>
        </is>
      </c>
      <c r="I8" t="inlineStr">
        <is>
          <t>SAMPLE Floor 9</t>
        </is>
      </c>
      <c r="J8" t="n">
        <v>140</v>
      </c>
      <c r="K8" t="inlineStr">
        <is>
          <t>SAMPLE Owner 007</t>
        </is>
      </c>
      <c r="L8" t="inlineStr">
        <is>
          <t>SAMPLE Office Manager</t>
        </is>
      </c>
      <c r="M8" t="inlineStr">
        <is>
          <t>Y</t>
        </is>
      </c>
      <c r="N8" t="inlineStr">
        <is>
          <t>front desk</t>
        </is>
      </c>
      <c r="O8" t="inlineStr">
        <is>
          <t>9 to 11 am</t>
        </is>
      </c>
      <c r="P8" t="inlineStr">
        <is>
          <t>no</t>
        </is>
      </c>
      <c r="Q8" t="inlineStr">
        <is>
          <t>slack</t>
        </is>
      </c>
      <c r="R8" t="inlineStr">
        <is>
          <t>chips-crisps;bars;fruit-snacks;chocolate-candy</t>
        </is>
      </c>
      <c r="S8" t="inlineStr">
        <is>
          <t>SAMPLE no tree nuts</t>
        </is>
      </c>
      <c r="T8" t="inlineStr">
        <is>
          <t>SAMPLE intake note</t>
        </is>
      </c>
      <c r="U8" t="inlineStr">
        <is>
          <t>website</t>
        </is>
      </c>
      <c r="V8" t="inlineStr">
        <is>
          <t>SAMPLE-O-007</t>
        </is>
      </c>
      <c r="W8" t="inlineStr">
        <is>
          <t>SAMPLE-CLAY-O-007</t>
        </is>
      </c>
      <c r="X8" s="9" t="n">
        <v>46393</v>
      </c>
      <c r="Y8" t="inlineStr">
        <is>
          <t>SAMPLE-agreement-SAMPLE-O-007.pdf</t>
        </is>
      </c>
      <c r="Z8" t="inlineStr">
        <is>
          <t>N</t>
        </is>
      </c>
      <c r="AA8" t="inlineStr">
        <is>
          <t>SAMPLE no budget named</t>
        </is>
      </c>
      <c r="AB8" s="9" t="n">
        <v>46387</v>
      </c>
      <c r="AD8" t="inlineStr">
        <is>
          <t>SAMPLE Public relations</t>
        </is>
      </c>
      <c r="AE8" t="inlineStr">
        <is>
          <t>SAMPLE (212) 555-0107</t>
        </is>
      </c>
      <c r="AF8" t="inlineStr">
        <is>
          <t>SAMPLE-owner-007@example.com</t>
        </is>
      </c>
      <c r="AG8" t="inlineStr">
        <is>
          <t>N</t>
        </is>
      </c>
      <c r="AH8" t="inlineStr">
        <is>
          <t>0.8</t>
        </is>
      </c>
    </row>
    <row r="9">
      <c r="A9" t="inlineStr">
        <is>
          <t>2027-01-01T14:08:00</t>
        </is>
      </c>
      <c r="B9" t="inlineStr">
        <is>
          <t>office-gform-1.0</t>
        </is>
      </c>
      <c r="C9" t="inlineStr">
        <is>
          <t>SAMPLE Larch Legal</t>
        </is>
      </c>
      <c r="D9" t="inlineStr">
        <is>
          <t>SAMPLE Owner 008</t>
        </is>
      </c>
      <c r="E9" t="inlineStr">
        <is>
          <t>SAMPLE Office Manager</t>
        </is>
      </c>
      <c r="F9" t="inlineStr">
        <is>
          <t>SAMPLE-owner-008@example.com</t>
        </is>
      </c>
      <c r="G9" t="inlineStr">
        <is>
          <t>SAMPLE (212) 555-0108</t>
        </is>
      </c>
      <c r="H9" t="inlineStr">
        <is>
          <t>SAMPLE 180 Example Avenue</t>
        </is>
      </c>
      <c r="I9" t="inlineStr">
        <is>
          <t>SAMPLE Floor 10</t>
        </is>
      </c>
      <c r="J9" t="n">
        <v>80</v>
      </c>
      <c r="K9" t="inlineStr">
        <is>
          <t>SAMPLE Owner 008</t>
        </is>
      </c>
      <c r="L9" t="inlineStr">
        <is>
          <t>SAMPLE Office Manager</t>
        </is>
      </c>
      <c r="M9" t="inlineStr">
        <is>
          <t>Y</t>
        </is>
      </c>
      <c r="N9" t="inlineStr">
        <is>
          <t>front desk</t>
        </is>
      </c>
      <c r="O9" t="inlineStr">
        <is>
          <t>9 to 11 am</t>
        </is>
      </c>
      <c r="P9" t="inlineStr">
        <is>
          <t>yes</t>
        </is>
      </c>
      <c r="Q9" t="inlineStr">
        <is>
          <t>email</t>
        </is>
      </c>
      <c r="R9" t="inlineStr">
        <is>
          <t>chips-crisps;bars;fruit-snacks;nuts-seeds-trail</t>
        </is>
      </c>
      <c r="T9" t="inlineStr">
        <is>
          <t>SAMPLE intake note</t>
        </is>
      </c>
      <c r="U9" t="inlineStr">
        <is>
          <t>founder</t>
        </is>
      </c>
      <c r="V9" t="inlineStr">
        <is>
          <t>SAMPLE-O-008</t>
        </is>
      </c>
      <c r="W9" t="inlineStr">
        <is>
          <t>SAMPLE-CLAY-O-008</t>
        </is>
      </c>
      <c r="X9" s="9" t="n">
        <v>46394</v>
      </c>
      <c r="Y9" t="inlineStr">
        <is>
          <t>SAMPLE-agreement-SAMPLE-O-008.pdf</t>
        </is>
      </c>
      <c r="Z9" t="inlineStr">
        <is>
          <t>N</t>
        </is>
      </c>
      <c r="AA9" t="inlineStr">
        <is>
          <t>SAMPLE no budget named</t>
        </is>
      </c>
      <c r="AB9" s="9" t="n">
        <v>46388</v>
      </c>
      <c r="AD9" t="inlineStr">
        <is>
          <t>SAMPLE Law firm</t>
        </is>
      </c>
      <c r="AE9" t="inlineStr">
        <is>
          <t>SAMPLE (212) 555-0108</t>
        </is>
      </c>
      <c r="AF9" t="inlineStr">
        <is>
          <t>SAMPLE-owner-008@example.com</t>
        </is>
      </c>
      <c r="AG9" t="inlineStr">
        <is>
          <t>N</t>
        </is>
      </c>
      <c r="AH9" t="inlineStr">
        <is>
          <t>0.8</t>
        </is>
      </c>
    </row>
    <row r="10">
      <c r="A10" t="inlineStr">
        <is>
          <t>2027-01-02T10:09:00-05:00</t>
        </is>
      </c>
      <c r="B10" t="inlineStr">
        <is>
          <t>office-1.0</t>
        </is>
      </c>
      <c r="C10" t="inlineStr">
        <is>
          <t>SAMPLE Overlook Games</t>
        </is>
      </c>
      <c r="D10" t="inlineStr">
        <is>
          <t>SAMPLE Owner 009</t>
        </is>
      </c>
      <c r="E10" t="inlineStr">
        <is>
          <t>SAMPLE Office Manager</t>
        </is>
      </c>
      <c r="F10" t="inlineStr">
        <is>
          <t>SAMPLE-owner-009@example.com</t>
        </is>
      </c>
      <c r="G10" t="inlineStr">
        <is>
          <t>SAMPLE (212) 555-0109</t>
        </is>
      </c>
      <c r="H10" t="inlineStr">
        <is>
          <t>SAMPLE 190 Example Avenue</t>
        </is>
      </c>
      <c r="I10" t="inlineStr">
        <is>
          <t>SAMPLE Floor 2</t>
        </is>
      </c>
      <c r="J10" t="n">
        <v>220</v>
      </c>
      <c r="K10" t="inlineStr">
        <is>
          <t>SAMPLE Owner 009</t>
        </is>
      </c>
      <c r="L10" t="inlineStr">
        <is>
          <t>SAMPLE Office Manager</t>
        </is>
      </c>
      <c r="M10" t="inlineStr">
        <is>
          <t>Y</t>
        </is>
      </c>
      <c r="N10" t="inlineStr">
        <is>
          <t>front desk</t>
        </is>
      </c>
      <c r="O10" t="inlineStr">
        <is>
          <t>10 am to noon</t>
        </is>
      </c>
      <c r="P10" t="inlineStr">
        <is>
          <t>no</t>
        </is>
      </c>
      <c r="Q10" t="inlineStr">
        <is>
          <t>slack</t>
        </is>
      </c>
      <c r="R10" t="inlineStr">
        <is>
          <t>chips-crisps;bars;fruit-snacks;sparkling-soda;popcorn-puffs</t>
        </is>
      </c>
      <c r="T10" t="inlineStr">
        <is>
          <t>SAMPLE intake note</t>
        </is>
      </c>
      <c r="U10" t="inlineStr">
        <is>
          <t>website</t>
        </is>
      </c>
      <c r="V10" t="inlineStr">
        <is>
          <t>SAMPLE-O-009</t>
        </is>
      </c>
      <c r="W10" t="inlineStr">
        <is>
          <t>SAMPLE-CLAY-O-009</t>
        </is>
      </c>
      <c r="X10" s="9" t="n">
        <v>46395</v>
      </c>
      <c r="Y10" t="inlineStr">
        <is>
          <t>SAMPLE-agreement-SAMPLE-O-009.pdf</t>
        </is>
      </c>
      <c r="Z10" t="inlineStr">
        <is>
          <t>N</t>
        </is>
      </c>
      <c r="AA10" t="inlineStr">
        <is>
          <t>SAMPLE no budget named</t>
        </is>
      </c>
      <c r="AB10" s="9" t="n">
        <v>46389</v>
      </c>
      <c r="AD10" t="inlineStr">
        <is>
          <t>SAMPLE Games studio</t>
        </is>
      </c>
      <c r="AE10" t="inlineStr">
        <is>
          <t>SAMPLE (212) 555-0109</t>
        </is>
      </c>
      <c r="AF10" t="inlineStr">
        <is>
          <t>SAMPLE-owner-009@example.com</t>
        </is>
      </c>
      <c r="AG10" t="inlineStr">
        <is>
          <t>N</t>
        </is>
      </c>
      <c r="AH10" t="inlineStr">
        <is>
          <t>0.8</t>
        </is>
      </c>
    </row>
    <row r="11">
      <c r="A11" t="inlineStr">
        <is>
          <t>2027-01-07T14:10:00</t>
        </is>
      </c>
      <c r="B11" t="inlineStr">
        <is>
          <t>office-gform-1.0</t>
        </is>
      </c>
      <c r="C11" t="inlineStr">
        <is>
          <t>SAMPLE Quill Nonprofit Press</t>
        </is>
      </c>
      <c r="D11" t="inlineStr">
        <is>
          <t>SAMPLE Owner 010</t>
        </is>
      </c>
      <c r="E11" t="inlineStr">
        <is>
          <t>SAMPLE Office Manager</t>
        </is>
      </c>
      <c r="F11" t="inlineStr">
        <is>
          <t>SAMPLE-owner-010@example.com</t>
        </is>
      </c>
      <c r="G11" t="inlineStr">
        <is>
          <t>SAMPLE (212) 555-0110</t>
        </is>
      </c>
      <c r="H11" t="inlineStr">
        <is>
          <t>SAMPLE 200 Example Avenue</t>
        </is>
      </c>
      <c r="I11" t="inlineStr">
        <is>
          <t>SAMPLE Floor 3</t>
        </is>
      </c>
      <c r="J11" t="n">
        <v>45</v>
      </c>
      <c r="K11" t="inlineStr">
        <is>
          <t>SAMPLE Owner 010</t>
        </is>
      </c>
      <c r="L11" t="inlineStr">
        <is>
          <t>SAMPLE Office Manager</t>
        </is>
      </c>
      <c r="M11" t="inlineStr">
        <is>
          <t>Y</t>
        </is>
      </c>
      <c r="N11" t="inlineStr">
        <is>
          <t>walk-up</t>
        </is>
      </c>
      <c r="O11" t="inlineStr">
        <is>
          <t>8 to 10 am</t>
        </is>
      </c>
      <c r="P11" t="inlineStr">
        <is>
          <t>no</t>
        </is>
      </c>
      <c r="Q11" t="inlineStr">
        <is>
          <t>email</t>
        </is>
      </c>
      <c r="R11" t="inlineStr">
        <is>
          <t>chips-crisps;bars;fruit-snacks;tea-juice</t>
        </is>
      </c>
      <c r="T11" t="inlineStr">
        <is>
          <t>SAMPLE intake note</t>
        </is>
      </c>
      <c r="U11" t="inlineStr">
        <is>
          <t>founder</t>
        </is>
      </c>
      <c r="V11" t="inlineStr">
        <is>
          <t>SAMPLE-O-010</t>
        </is>
      </c>
      <c r="W11" t="inlineStr">
        <is>
          <t>SAMPLE-CLAY-O-010</t>
        </is>
      </c>
      <c r="X11" s="9" t="n">
        <v>46400</v>
      </c>
      <c r="Y11" t="inlineStr">
        <is>
          <t>SAMPLE-agreement-SAMPLE-O-010.pdf</t>
        </is>
      </c>
      <c r="Z11" t="inlineStr">
        <is>
          <t>N</t>
        </is>
      </c>
      <c r="AA11" t="inlineStr">
        <is>
          <t>SAMPLE no budget named</t>
        </is>
      </c>
      <c r="AB11" s="9" t="n">
        <v>46394</v>
      </c>
      <c r="AD11" t="inlineStr">
        <is>
          <t>SAMPLE Publishing</t>
        </is>
      </c>
      <c r="AE11" t="inlineStr">
        <is>
          <t>SAMPLE (212) 555-0110</t>
        </is>
      </c>
      <c r="AF11" t="inlineStr">
        <is>
          <t>SAMPLE-owner-010@example.com</t>
        </is>
      </c>
      <c r="AG11" t="inlineStr">
        <is>
          <t>N</t>
        </is>
      </c>
      <c r="AH11" t="inlineStr">
        <is>
          <t>0.8</t>
        </is>
      </c>
    </row>
  </sheetData>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tabColor rgb="00FFF9E5"/>
    <outlinePr summaryBelow="1" summaryRight="1"/>
    <pageSetUpPr/>
  </sheetPr>
  <dimension ref="A1:BF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s>
  <sheetData>
    <row r="1">
      <c r="A1" s="34" t="inlineStr">
        <is>
          <t>submitted_at</t>
        </is>
      </c>
      <c r="B1" s="34" t="inlineStr">
        <is>
          <t>form_version</t>
        </is>
      </c>
      <c r="C1" s="34" t="inlineStr">
        <is>
          <t>brand_name</t>
        </is>
      </c>
      <c r="D1" s="34" t="inlineStr">
        <is>
          <t>website</t>
        </is>
      </c>
      <c r="E1" s="34" t="inlineStr">
        <is>
          <t>contact_name</t>
        </is>
      </c>
      <c r="F1" s="34" t="inlineStr">
        <is>
          <t>contact_title</t>
        </is>
      </c>
      <c r="G1" s="34" t="inlineStr">
        <is>
          <t>contact_email</t>
        </is>
      </c>
      <c r="H1" s="34" t="inlineStr">
        <is>
          <t>contact_phone</t>
        </is>
      </c>
      <c r="I1" s="34" t="inlineStr">
        <is>
          <t>product_sku</t>
        </is>
      </c>
      <c r="J1" s="34" t="inlineStr">
        <is>
          <t>category</t>
        </is>
      </c>
      <c r="K1" s="34" t="inlineStr">
        <is>
          <t>hq_city</t>
        </is>
      </c>
      <c r="L1" s="34" t="inlineStr">
        <is>
          <t>nyc_retailers</t>
        </is>
      </c>
      <c r="M1" s="34" t="inlineStr">
        <is>
          <t>online_store_url</t>
        </is>
      </c>
      <c r="N1" s="34" t="inlineStr">
        <is>
          <t>can_issue_discount_code</t>
        </is>
      </c>
      <c r="O1" s="34" t="inlineStr">
        <is>
          <t>preferred_timing</t>
        </is>
      </c>
      <c r="P1" s="34" t="inlineStr">
        <is>
          <t>budget_approver_is_contact</t>
        </is>
      </c>
      <c r="Q1" s="34" t="inlineStr">
        <is>
          <t>budget_approver_name_title</t>
        </is>
      </c>
      <c r="R1" s="34" t="inlineStr">
        <is>
          <t>q1_sealed_shelf_stable_60d</t>
        </is>
      </c>
      <c r="S1" s="34" t="inlineStr">
        <is>
          <t>q2_labeled_ingredients_allergens</t>
        </is>
      </c>
      <c r="T1" s="34" t="inlineStr">
        <is>
          <t>q3_buy_path_near_cluster</t>
        </is>
      </c>
      <c r="U1" s="34" t="inlineStr">
        <is>
          <t>q4_can_ship_275_in_10bd</t>
        </is>
      </c>
      <c r="V1" s="34" t="inlineStr">
        <is>
          <t>q5_product_liability_insurance</t>
        </is>
      </c>
      <c r="W1" s="34" t="inlineStr">
        <is>
          <t>q6_contact_can_approve_600</t>
        </is>
      </c>
      <c r="X1" s="34" t="inlineStr">
        <is>
          <t>q7_why_now</t>
        </is>
      </c>
      <c r="Y1" s="34" t="inlineStr">
        <is>
          <t>excluded_category_confirmed</t>
        </is>
      </c>
      <c r="Z1" s="34" t="inlineStr">
        <is>
          <t>notes</t>
        </is>
      </c>
      <c r="AA1" s="34" t="inlineStr">
        <is>
          <t>source</t>
        </is>
      </c>
      <c r="AB1" s="34" t="inlineStr">
        <is>
          <t>brand_id</t>
        </is>
      </c>
      <c r="AC1" s="34" t="inlineStr">
        <is>
          <t>clay_row_id</t>
        </is>
      </c>
      <c r="AD1" s="34" t="inlineStr">
        <is>
          <t>tier</t>
        </is>
      </c>
      <c r="AE1" s="34" t="inlineStr">
        <is>
          <t>price_usd</t>
        </is>
      </c>
      <c r="AF1" s="34" t="inlineStr">
        <is>
          <t>offices_count</t>
        </is>
      </c>
      <c r="AG1" s="34" t="inlineStr">
        <is>
          <t>payment_terms</t>
        </is>
      </c>
      <c r="AH1" s="34" t="inlineStr">
        <is>
          <t>agreement_signed_date</t>
        </is>
      </c>
      <c r="AI1" s="34" t="inlineStr">
        <is>
          <t>invoice_id</t>
        </is>
      </c>
      <c r="AJ1" s="34" t="inlineStr">
        <is>
          <t>invoice_date</t>
        </is>
      </c>
      <c r="AK1" s="34" t="inlineStr">
        <is>
          <t>payment_received_date</t>
        </is>
      </c>
      <c r="AL1" s="34" t="inlineStr">
        <is>
          <t>coi_received_date</t>
        </is>
      </c>
      <c r="AM1" s="34" t="inlineStr">
        <is>
          <t>allergen_sheet_received_date</t>
        </is>
      </c>
      <c r="AN1" s="34" t="inlineStr">
        <is>
          <t>logo_received_date</t>
        </is>
      </c>
      <c r="AO1" s="34" t="inlineStr">
        <is>
          <t>card_sentences</t>
        </is>
      </c>
      <c r="AP1" s="34" t="inlineStr">
        <is>
          <t>allergen_line_verbatim</t>
        </is>
      </c>
      <c r="AQ1" s="34" t="inlineStr">
        <is>
          <t>retailer_line</t>
        </is>
      </c>
      <c r="AR1" s="34" t="inlineStr">
        <is>
          <t>discount_code</t>
        </is>
      </c>
      <c r="AS1" s="34" t="inlineStr">
        <is>
          <t>landing_url</t>
        </is>
      </c>
      <c r="AT1" s="34" t="inlineStr">
        <is>
          <t>unused_product_election</t>
        </is>
      </c>
      <c r="AU1" s="34" t="inlineStr">
        <is>
          <t>office_approvals</t>
        </is>
      </c>
      <c r="AV1" s="34" t="inlineStr">
        <is>
          <t>campaign_id</t>
        </is>
      </c>
      <c r="AW1" s="34" t="inlineStr">
        <is>
          <t>newsletter_option</t>
        </is>
      </c>
      <c r="AX1" s="34" t="inlineStr">
        <is>
          <t>brand_privacy_url</t>
        </is>
      </c>
      <c r="AY1" s="34" t="inlineStr">
        <is>
          <t>brand_legal_name</t>
        </is>
      </c>
      <c r="AZ1" s="34" t="inlineStr">
        <is>
          <t>billing_address</t>
        </is>
      </c>
      <c r="BA1" s="34" t="inlineStr">
        <is>
          <t>billing_email</t>
        </is>
      </c>
      <c r="BB1" s="34" t="inlineStr">
        <is>
          <t>agreement_version</t>
        </is>
      </c>
      <c r="BC1" s="34" t="inlineStr">
        <is>
          <t>coi_policy_end_date</t>
        </is>
      </c>
      <c r="BD1" s="34" t="inlineStr">
        <is>
          <t>may_contain_verbatim</t>
        </is>
      </c>
      <c r="BE1" s="34" t="inlineStr">
        <is>
          <t>allergen_source</t>
        </is>
      </c>
      <c r="BF1" s="34" t="inlineStr">
        <is>
          <t>code_site</t>
        </is>
      </c>
    </row>
  </sheetData>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tabColor rgb="00EDEDED"/>
    <outlinePr summaryBelow="1" summaryRight="1"/>
    <pageSetUpPr/>
  </sheetPr>
  <dimension ref="A1:P2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8"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14" customWidth="1" min="14" max="14"/>
    <col width="24" customWidth="1" min="15" max="15"/>
    <col width="24" customWidth="1" min="16" max="16"/>
  </cols>
  <sheetData>
    <row r="1">
      <c r="A1" s="23" t="inlineStr">
        <is>
          <t>campaign_id</t>
        </is>
      </c>
      <c r="B1" s="23" t="inlineStr">
        <is>
          <t>office_id</t>
        </is>
      </c>
      <c r="C1" s="23" t="inlineStr">
        <is>
          <t>survey_responses</t>
        </is>
      </c>
      <c r="D1" s="23" t="inlineStr">
        <is>
          <t>tried_yes</t>
        </is>
      </c>
      <c r="E1" s="23" t="inlineStr">
        <is>
          <t>tried_no_didnt_see</t>
        </is>
      </c>
      <c r="F1" s="23" t="inlineStr">
        <is>
          <t>tried_no_not_for_me</t>
        </is>
      </c>
      <c r="G1" s="23" t="inlineStr">
        <is>
          <t>tried_no_gone</t>
        </is>
      </c>
      <c r="H1" s="23" t="inlineStr">
        <is>
          <t>rating_n</t>
        </is>
      </c>
      <c r="I1" s="23" t="inlineStr">
        <is>
          <t>rating_sum</t>
        </is>
      </c>
      <c r="J1" s="23" t="inlineStr">
        <is>
          <t>buy_yes</t>
        </is>
      </c>
      <c r="K1" s="23" t="inlineStr">
        <is>
          <t>buy_maybe</t>
        </is>
      </c>
      <c r="L1" s="23" t="inlineStr">
        <is>
          <t>buy_no</t>
        </is>
      </c>
      <c r="M1" s="23" t="inlineStr">
        <is>
          <t>comments</t>
        </is>
      </c>
      <c r="N1" s="23" t="inlineStr">
        <is>
          <t>frozen_date</t>
        </is>
      </c>
      <c r="O1" s="23" t="inlineStr">
        <is>
          <t>note</t>
        </is>
      </c>
      <c r="P1" s="24" t="inlineStr">
        <is>
          <t>key</t>
        </is>
      </c>
    </row>
    <row r="2">
      <c r="N2" s="9" t="n"/>
      <c r="P2" s="25">
        <f>IF($A2="","",$A2&amp;"|"&amp;$B2)</f>
        <v/>
      </c>
    </row>
    <row r="3">
      <c r="N3" s="9" t="n"/>
      <c r="P3" s="25">
        <f>IF($A3="","",$A3&amp;"|"&amp;$B3)</f>
        <v/>
      </c>
    </row>
    <row r="4">
      <c r="N4" s="9" t="n"/>
      <c r="P4" s="25">
        <f>IF($A4="","",$A4&amp;"|"&amp;$B4)</f>
        <v/>
      </c>
    </row>
    <row r="5">
      <c r="N5" s="9" t="n"/>
      <c r="P5" s="25">
        <f>IF($A5="","",$A5&amp;"|"&amp;$B5)</f>
        <v/>
      </c>
    </row>
    <row r="6">
      <c r="N6" s="9" t="n"/>
      <c r="P6" s="25">
        <f>IF($A6="","",$A6&amp;"|"&amp;$B6)</f>
        <v/>
      </c>
    </row>
    <row r="7">
      <c r="N7" s="9" t="n"/>
      <c r="P7" s="25">
        <f>IF($A7="","",$A7&amp;"|"&amp;$B7)</f>
        <v/>
      </c>
    </row>
    <row r="8">
      <c r="N8" s="9" t="n"/>
      <c r="P8" s="25">
        <f>IF($A8="","",$A8&amp;"|"&amp;$B8)</f>
        <v/>
      </c>
    </row>
    <row r="9">
      <c r="N9" s="9" t="n"/>
      <c r="P9" s="25">
        <f>IF($A9="","",$A9&amp;"|"&amp;$B9)</f>
        <v/>
      </c>
    </row>
    <row r="10">
      <c r="N10" s="9" t="n"/>
      <c r="P10" s="25">
        <f>IF($A10="","",$A10&amp;"|"&amp;$B10)</f>
        <v/>
      </c>
    </row>
    <row r="11">
      <c r="N11" s="9" t="n"/>
      <c r="P11" s="25">
        <f>IF($A11="","",$A11&amp;"|"&amp;$B11)</f>
        <v/>
      </c>
    </row>
    <row r="12">
      <c r="N12" s="9" t="n"/>
      <c r="P12" s="25">
        <f>IF($A12="","",$A12&amp;"|"&amp;$B12)</f>
        <v/>
      </c>
    </row>
    <row r="13">
      <c r="N13" s="9" t="n"/>
      <c r="P13" s="25">
        <f>IF($A13="","",$A13&amp;"|"&amp;$B13)</f>
        <v/>
      </c>
    </row>
    <row r="14">
      <c r="N14" s="9" t="n"/>
      <c r="P14" s="25">
        <f>IF($A14="","",$A14&amp;"|"&amp;$B14)</f>
        <v/>
      </c>
    </row>
    <row r="15">
      <c r="N15" s="9" t="n"/>
      <c r="P15" s="25">
        <f>IF($A15="","",$A15&amp;"|"&amp;$B15)</f>
        <v/>
      </c>
    </row>
    <row r="16">
      <c r="N16" s="9" t="n"/>
      <c r="P16" s="25">
        <f>IF($A16="","",$A16&amp;"|"&amp;$B16)</f>
        <v/>
      </c>
    </row>
    <row r="17">
      <c r="N17" s="9" t="n"/>
      <c r="P17" s="25">
        <f>IF($A17="","",$A17&amp;"|"&amp;$B17)</f>
        <v/>
      </c>
    </row>
    <row r="18">
      <c r="N18" s="9" t="n"/>
      <c r="P18" s="25">
        <f>IF($A18="","",$A18&amp;"|"&amp;$B18)</f>
        <v/>
      </c>
    </row>
    <row r="19">
      <c r="N19" s="9" t="n"/>
      <c r="P19" s="25">
        <f>IF($A19="","",$A19&amp;"|"&amp;$B19)</f>
        <v/>
      </c>
    </row>
    <row r="20">
      <c r="N20" s="9" t="n"/>
      <c r="P20" s="25">
        <f>IF($A20="","",$A20&amp;"|"&amp;$B20)</f>
        <v/>
      </c>
    </row>
    <row r="21">
      <c r="N21" s="9" t="n"/>
      <c r="P21" s="25">
        <f>IF($A21="","",$A21&amp;"|"&amp;$B21)</f>
        <v/>
      </c>
    </row>
    <row r="22">
      <c r="N22" s="9" t="n"/>
      <c r="P22" s="25">
        <f>IF($A22="","",$A22&amp;"|"&amp;$B22)</f>
        <v/>
      </c>
    </row>
    <row r="23">
      <c r="N23" s="9" t="n"/>
      <c r="P23" s="25">
        <f>IF($A23="","",$A23&amp;"|"&amp;$B23)</f>
        <v/>
      </c>
    </row>
    <row r="24">
      <c r="N24" s="9" t="n"/>
      <c r="P24" s="25">
        <f>IF($A24="","",$A24&amp;"|"&amp;$B24)</f>
        <v/>
      </c>
    </row>
    <row r="25">
      <c r="N25" s="9" t="n"/>
      <c r="P25" s="25">
        <f>IF($A25="","",$A25&amp;"|"&amp;$B25)</f>
        <v/>
      </c>
    </row>
    <row r="26">
      <c r="N26" s="9" t="n"/>
      <c r="P26" s="25">
        <f>IF($A26="","",$A26&amp;"|"&amp;$B26)</f>
        <v/>
      </c>
    </row>
    <row r="27">
      <c r="N27" s="9" t="n"/>
      <c r="P27" s="25">
        <f>IF($A27="","",$A27&amp;"|"&amp;$B27)</f>
        <v/>
      </c>
    </row>
    <row r="28">
      <c r="N28" s="9" t="n"/>
      <c r="P28" s="25">
        <f>IF($A28="","",$A28&amp;"|"&amp;$B28)</f>
        <v/>
      </c>
    </row>
    <row r="29">
      <c r="N29" s="9" t="n"/>
      <c r="P29" s="25">
        <f>IF($A29="","",$A29&amp;"|"&amp;$B29)</f>
        <v/>
      </c>
    </row>
    <row r="30">
      <c r="N30" s="9" t="n"/>
      <c r="P30" s="25">
        <f>IF($A30="","",$A30&amp;"|"&amp;$B30)</f>
        <v/>
      </c>
    </row>
    <row r="31">
      <c r="N31" s="9" t="n"/>
      <c r="P31" s="25">
        <f>IF($A31="","",$A31&amp;"|"&amp;$B31)</f>
        <v/>
      </c>
    </row>
    <row r="32">
      <c r="N32" s="9" t="n"/>
      <c r="P32" s="25">
        <f>IF($A32="","",$A32&amp;"|"&amp;$B32)</f>
        <v/>
      </c>
    </row>
    <row r="33">
      <c r="N33" s="9" t="n"/>
      <c r="P33" s="25">
        <f>IF($A33="","",$A33&amp;"|"&amp;$B33)</f>
        <v/>
      </c>
    </row>
    <row r="34">
      <c r="N34" s="9" t="n"/>
      <c r="P34" s="25">
        <f>IF($A34="","",$A34&amp;"|"&amp;$B34)</f>
        <v/>
      </c>
    </row>
    <row r="35">
      <c r="N35" s="9" t="n"/>
      <c r="P35" s="25">
        <f>IF($A35="","",$A35&amp;"|"&amp;$B35)</f>
        <v/>
      </c>
    </row>
    <row r="36">
      <c r="N36" s="9" t="n"/>
      <c r="P36" s="25">
        <f>IF($A36="","",$A36&amp;"|"&amp;$B36)</f>
        <v/>
      </c>
    </row>
    <row r="37">
      <c r="N37" s="9" t="n"/>
      <c r="P37" s="25">
        <f>IF($A37="","",$A37&amp;"|"&amp;$B37)</f>
        <v/>
      </c>
    </row>
    <row r="38">
      <c r="N38" s="9" t="n"/>
      <c r="P38" s="25">
        <f>IF($A38="","",$A38&amp;"|"&amp;$B38)</f>
        <v/>
      </c>
    </row>
    <row r="39">
      <c r="N39" s="9" t="n"/>
      <c r="P39" s="25">
        <f>IF($A39="","",$A39&amp;"|"&amp;$B39)</f>
        <v/>
      </c>
    </row>
    <row r="40">
      <c r="N40" s="9" t="n"/>
      <c r="P40" s="25">
        <f>IF($A40="","",$A40&amp;"|"&amp;$B40)</f>
        <v/>
      </c>
    </row>
    <row r="41">
      <c r="N41" s="9" t="n"/>
      <c r="P41" s="25">
        <f>IF($A41="","",$A41&amp;"|"&amp;$B41)</f>
        <v/>
      </c>
    </row>
    <row r="42">
      <c r="N42" s="9" t="n"/>
      <c r="P42" s="25">
        <f>IF($A42="","",$A42&amp;"|"&amp;$B42)</f>
        <v/>
      </c>
    </row>
    <row r="43">
      <c r="N43" s="9" t="n"/>
      <c r="P43" s="25">
        <f>IF($A43="","",$A43&amp;"|"&amp;$B43)</f>
        <v/>
      </c>
    </row>
    <row r="44">
      <c r="N44" s="9" t="n"/>
      <c r="P44" s="25">
        <f>IF($A44="","",$A44&amp;"|"&amp;$B44)</f>
        <v/>
      </c>
    </row>
    <row r="45">
      <c r="N45" s="9" t="n"/>
      <c r="P45" s="25">
        <f>IF($A45="","",$A45&amp;"|"&amp;$B45)</f>
        <v/>
      </c>
    </row>
    <row r="46">
      <c r="N46" s="9" t="n"/>
      <c r="P46" s="25">
        <f>IF($A46="","",$A46&amp;"|"&amp;$B46)</f>
        <v/>
      </c>
    </row>
    <row r="47">
      <c r="N47" s="9" t="n"/>
      <c r="P47" s="25">
        <f>IF($A47="","",$A47&amp;"|"&amp;$B47)</f>
        <v/>
      </c>
    </row>
    <row r="48">
      <c r="N48" s="9" t="n"/>
      <c r="P48" s="25">
        <f>IF($A48="","",$A48&amp;"|"&amp;$B48)</f>
        <v/>
      </c>
    </row>
    <row r="49">
      <c r="N49" s="9" t="n"/>
      <c r="P49" s="25">
        <f>IF($A49="","",$A49&amp;"|"&amp;$B49)</f>
        <v/>
      </c>
    </row>
    <row r="50">
      <c r="N50" s="9" t="n"/>
      <c r="P50" s="25">
        <f>IF($A50="","",$A50&amp;"|"&amp;$B50)</f>
        <v/>
      </c>
    </row>
    <row r="51">
      <c r="N51" s="9" t="n"/>
      <c r="P51" s="25">
        <f>IF($A51="","",$A51&amp;"|"&amp;$B51)</f>
        <v/>
      </c>
    </row>
    <row r="52">
      <c r="N52" s="9" t="n"/>
      <c r="P52" s="25">
        <f>IF($A52="","",$A52&amp;"|"&amp;$B52)</f>
        <v/>
      </c>
    </row>
    <row r="53">
      <c r="N53" s="9" t="n"/>
      <c r="P53" s="25">
        <f>IF($A53="","",$A53&amp;"|"&amp;$B53)</f>
        <v/>
      </c>
    </row>
    <row r="54">
      <c r="N54" s="9" t="n"/>
      <c r="P54" s="25">
        <f>IF($A54="","",$A54&amp;"|"&amp;$B54)</f>
        <v/>
      </c>
    </row>
    <row r="55">
      <c r="N55" s="9" t="n"/>
      <c r="P55" s="25">
        <f>IF($A55="","",$A55&amp;"|"&amp;$B55)</f>
        <v/>
      </c>
    </row>
    <row r="56">
      <c r="N56" s="9" t="n"/>
      <c r="P56" s="25">
        <f>IF($A56="","",$A56&amp;"|"&amp;$B56)</f>
        <v/>
      </c>
    </row>
    <row r="57">
      <c r="N57" s="9" t="n"/>
      <c r="P57" s="25">
        <f>IF($A57="","",$A57&amp;"|"&amp;$B57)</f>
        <v/>
      </c>
    </row>
    <row r="58">
      <c r="N58" s="9" t="n"/>
      <c r="P58" s="25">
        <f>IF($A58="","",$A58&amp;"|"&amp;$B58)</f>
        <v/>
      </c>
    </row>
    <row r="59">
      <c r="N59" s="9" t="n"/>
      <c r="P59" s="25">
        <f>IF($A59="","",$A59&amp;"|"&amp;$B59)</f>
        <v/>
      </c>
    </row>
    <row r="60">
      <c r="N60" s="9" t="n"/>
      <c r="P60" s="25">
        <f>IF($A60="","",$A60&amp;"|"&amp;$B60)</f>
        <v/>
      </c>
    </row>
    <row r="61">
      <c r="N61" s="9" t="n"/>
      <c r="P61" s="25">
        <f>IF($A61="","",$A61&amp;"|"&amp;$B61)</f>
        <v/>
      </c>
    </row>
    <row r="62">
      <c r="N62" s="9" t="n"/>
      <c r="P62" s="25">
        <f>IF($A62="","",$A62&amp;"|"&amp;$B62)</f>
        <v/>
      </c>
    </row>
    <row r="63">
      <c r="N63" s="9" t="n"/>
      <c r="P63" s="25">
        <f>IF($A63="","",$A63&amp;"|"&amp;$B63)</f>
        <v/>
      </c>
    </row>
    <row r="64">
      <c r="N64" s="9" t="n"/>
      <c r="P64" s="25">
        <f>IF($A64="","",$A64&amp;"|"&amp;$B64)</f>
        <v/>
      </c>
    </row>
    <row r="65">
      <c r="N65" s="9" t="n"/>
      <c r="P65" s="25">
        <f>IF($A65="","",$A65&amp;"|"&amp;$B65)</f>
        <v/>
      </c>
    </row>
    <row r="66">
      <c r="N66" s="9" t="n"/>
      <c r="P66" s="25">
        <f>IF($A66="","",$A66&amp;"|"&amp;$B66)</f>
        <v/>
      </c>
    </row>
    <row r="67">
      <c r="N67" s="9" t="n"/>
      <c r="P67" s="25">
        <f>IF($A67="","",$A67&amp;"|"&amp;$B67)</f>
        <v/>
      </c>
    </row>
    <row r="68">
      <c r="N68" s="9" t="n"/>
      <c r="P68" s="25">
        <f>IF($A68="","",$A68&amp;"|"&amp;$B68)</f>
        <v/>
      </c>
    </row>
    <row r="69">
      <c r="N69" s="9" t="n"/>
      <c r="P69" s="25">
        <f>IF($A69="","",$A69&amp;"|"&amp;$B69)</f>
        <v/>
      </c>
    </row>
    <row r="70">
      <c r="N70" s="9" t="n"/>
      <c r="P70" s="25">
        <f>IF($A70="","",$A70&amp;"|"&amp;$B70)</f>
        <v/>
      </c>
    </row>
    <row r="71">
      <c r="N71" s="9" t="n"/>
      <c r="P71" s="25">
        <f>IF($A71="","",$A71&amp;"|"&amp;$B71)</f>
        <v/>
      </c>
    </row>
    <row r="72">
      <c r="N72" s="9" t="n"/>
      <c r="P72" s="25">
        <f>IF($A72="","",$A72&amp;"|"&amp;$B72)</f>
        <v/>
      </c>
    </row>
    <row r="73">
      <c r="N73" s="9" t="n"/>
      <c r="P73" s="25">
        <f>IF($A73="","",$A73&amp;"|"&amp;$B73)</f>
        <v/>
      </c>
    </row>
    <row r="74">
      <c r="N74" s="9" t="n"/>
      <c r="P74" s="25">
        <f>IF($A74="","",$A74&amp;"|"&amp;$B74)</f>
        <v/>
      </c>
    </row>
    <row r="75">
      <c r="N75" s="9" t="n"/>
      <c r="P75" s="25">
        <f>IF($A75="","",$A75&amp;"|"&amp;$B75)</f>
        <v/>
      </c>
    </row>
    <row r="76">
      <c r="N76" s="9" t="n"/>
      <c r="P76" s="25">
        <f>IF($A76="","",$A76&amp;"|"&amp;$B76)</f>
        <v/>
      </c>
    </row>
    <row r="77">
      <c r="N77" s="9" t="n"/>
      <c r="P77" s="25">
        <f>IF($A77="","",$A77&amp;"|"&amp;$B77)</f>
        <v/>
      </c>
    </row>
    <row r="78">
      <c r="N78" s="9" t="n"/>
      <c r="P78" s="25">
        <f>IF($A78="","",$A78&amp;"|"&amp;$B78)</f>
        <v/>
      </c>
    </row>
    <row r="79">
      <c r="N79" s="9" t="n"/>
      <c r="P79" s="25">
        <f>IF($A79="","",$A79&amp;"|"&amp;$B79)</f>
        <v/>
      </c>
    </row>
    <row r="80">
      <c r="N80" s="9" t="n"/>
      <c r="P80" s="25">
        <f>IF($A80="","",$A80&amp;"|"&amp;$B80)</f>
        <v/>
      </c>
    </row>
    <row r="81">
      <c r="N81" s="9" t="n"/>
      <c r="P81" s="25">
        <f>IF($A81="","",$A81&amp;"|"&amp;$B81)</f>
        <v/>
      </c>
    </row>
    <row r="82">
      <c r="N82" s="9" t="n"/>
      <c r="P82" s="25">
        <f>IF($A82="","",$A82&amp;"|"&amp;$B82)</f>
        <v/>
      </c>
    </row>
    <row r="83">
      <c r="N83" s="9" t="n"/>
      <c r="P83" s="25">
        <f>IF($A83="","",$A83&amp;"|"&amp;$B83)</f>
        <v/>
      </c>
    </row>
    <row r="84">
      <c r="N84" s="9" t="n"/>
      <c r="P84" s="25">
        <f>IF($A84="","",$A84&amp;"|"&amp;$B84)</f>
        <v/>
      </c>
    </row>
    <row r="85">
      <c r="N85" s="9" t="n"/>
      <c r="P85" s="25">
        <f>IF($A85="","",$A85&amp;"|"&amp;$B85)</f>
        <v/>
      </c>
    </row>
    <row r="86">
      <c r="N86" s="9" t="n"/>
      <c r="P86" s="25">
        <f>IF($A86="","",$A86&amp;"|"&amp;$B86)</f>
        <v/>
      </c>
    </row>
    <row r="87">
      <c r="N87" s="9" t="n"/>
      <c r="P87" s="25">
        <f>IF($A87="","",$A87&amp;"|"&amp;$B87)</f>
        <v/>
      </c>
    </row>
    <row r="88">
      <c r="N88" s="9" t="n"/>
      <c r="P88" s="25">
        <f>IF($A88="","",$A88&amp;"|"&amp;$B88)</f>
        <v/>
      </c>
    </row>
    <row r="89">
      <c r="N89" s="9" t="n"/>
      <c r="P89" s="25">
        <f>IF($A89="","",$A89&amp;"|"&amp;$B89)</f>
        <v/>
      </c>
    </row>
    <row r="90">
      <c r="N90" s="9" t="n"/>
      <c r="P90" s="25">
        <f>IF($A90="","",$A90&amp;"|"&amp;$B90)</f>
        <v/>
      </c>
    </row>
    <row r="91">
      <c r="N91" s="9" t="n"/>
      <c r="P91" s="25">
        <f>IF($A91="","",$A91&amp;"|"&amp;$B91)</f>
        <v/>
      </c>
    </row>
    <row r="92">
      <c r="N92" s="9" t="n"/>
      <c r="P92" s="25">
        <f>IF($A92="","",$A92&amp;"|"&amp;$B92)</f>
        <v/>
      </c>
    </row>
    <row r="93">
      <c r="N93" s="9" t="n"/>
      <c r="P93" s="25">
        <f>IF($A93="","",$A93&amp;"|"&amp;$B93)</f>
        <v/>
      </c>
    </row>
    <row r="94">
      <c r="N94" s="9" t="n"/>
      <c r="P94" s="25">
        <f>IF($A94="","",$A94&amp;"|"&amp;$B94)</f>
        <v/>
      </c>
    </row>
    <row r="95">
      <c r="N95" s="9" t="n"/>
      <c r="P95" s="25">
        <f>IF($A95="","",$A95&amp;"|"&amp;$B95)</f>
        <v/>
      </c>
    </row>
    <row r="96">
      <c r="N96" s="9" t="n"/>
      <c r="P96" s="25">
        <f>IF($A96="","",$A96&amp;"|"&amp;$B96)</f>
        <v/>
      </c>
    </row>
    <row r="97">
      <c r="N97" s="9" t="n"/>
      <c r="P97" s="25">
        <f>IF($A97="","",$A97&amp;"|"&amp;$B97)</f>
        <v/>
      </c>
    </row>
    <row r="98">
      <c r="N98" s="9" t="n"/>
      <c r="P98" s="25">
        <f>IF($A98="","",$A98&amp;"|"&amp;$B98)</f>
        <v/>
      </c>
    </row>
    <row r="99">
      <c r="N99" s="9" t="n"/>
      <c r="P99" s="25">
        <f>IF($A99="","",$A99&amp;"|"&amp;$B99)</f>
        <v/>
      </c>
    </row>
    <row r="100">
      <c r="N100" s="9" t="n"/>
      <c r="P100" s="25">
        <f>IF($A100="","",$A100&amp;"|"&amp;$B100)</f>
        <v/>
      </c>
    </row>
    <row r="101">
      <c r="N101" s="9" t="n"/>
      <c r="P101" s="25">
        <f>IF($A101="","",$A101&amp;"|"&amp;$B101)</f>
        <v/>
      </c>
    </row>
    <row r="102">
      <c r="N102" s="9" t="n"/>
      <c r="P102" s="25">
        <f>IF($A102="","",$A102&amp;"|"&amp;$B102)</f>
        <v/>
      </c>
    </row>
    <row r="103">
      <c r="N103" s="9" t="n"/>
      <c r="P103" s="25">
        <f>IF($A103="","",$A103&amp;"|"&amp;$B103)</f>
        <v/>
      </c>
    </row>
    <row r="104">
      <c r="N104" s="9" t="n"/>
      <c r="P104" s="25">
        <f>IF($A104="","",$A104&amp;"|"&amp;$B104)</f>
        <v/>
      </c>
    </row>
    <row r="105">
      <c r="N105" s="9" t="n"/>
      <c r="P105" s="25">
        <f>IF($A105="","",$A105&amp;"|"&amp;$B105)</f>
        <v/>
      </c>
    </row>
    <row r="106">
      <c r="N106" s="9" t="n"/>
      <c r="P106" s="25">
        <f>IF($A106="","",$A106&amp;"|"&amp;$B106)</f>
        <v/>
      </c>
    </row>
    <row r="107">
      <c r="N107" s="9" t="n"/>
      <c r="P107" s="25">
        <f>IF($A107="","",$A107&amp;"|"&amp;$B107)</f>
        <v/>
      </c>
    </row>
    <row r="108">
      <c r="N108" s="9" t="n"/>
      <c r="P108" s="25">
        <f>IF($A108="","",$A108&amp;"|"&amp;$B108)</f>
        <v/>
      </c>
    </row>
    <row r="109">
      <c r="N109" s="9" t="n"/>
      <c r="P109" s="25">
        <f>IF($A109="","",$A109&amp;"|"&amp;$B109)</f>
        <v/>
      </c>
    </row>
    <row r="110">
      <c r="N110" s="9" t="n"/>
      <c r="P110" s="25">
        <f>IF($A110="","",$A110&amp;"|"&amp;$B110)</f>
        <v/>
      </c>
    </row>
    <row r="111">
      <c r="N111" s="9" t="n"/>
      <c r="P111" s="25">
        <f>IF($A111="","",$A111&amp;"|"&amp;$B111)</f>
        <v/>
      </c>
    </row>
    <row r="112">
      <c r="N112" s="9" t="n"/>
      <c r="P112" s="25">
        <f>IF($A112="","",$A112&amp;"|"&amp;$B112)</f>
        <v/>
      </c>
    </row>
    <row r="113">
      <c r="N113" s="9" t="n"/>
      <c r="P113" s="25">
        <f>IF($A113="","",$A113&amp;"|"&amp;$B113)</f>
        <v/>
      </c>
    </row>
    <row r="114">
      <c r="N114" s="9" t="n"/>
      <c r="P114" s="25">
        <f>IF($A114="","",$A114&amp;"|"&amp;$B114)</f>
        <v/>
      </c>
    </row>
    <row r="115">
      <c r="N115" s="9" t="n"/>
      <c r="P115" s="25">
        <f>IF($A115="","",$A115&amp;"|"&amp;$B115)</f>
        <v/>
      </c>
    </row>
    <row r="116">
      <c r="N116" s="9" t="n"/>
      <c r="P116" s="25">
        <f>IF($A116="","",$A116&amp;"|"&amp;$B116)</f>
        <v/>
      </c>
    </row>
    <row r="117">
      <c r="N117" s="9" t="n"/>
      <c r="P117" s="25">
        <f>IF($A117="","",$A117&amp;"|"&amp;$B117)</f>
        <v/>
      </c>
    </row>
    <row r="118">
      <c r="N118" s="9" t="n"/>
      <c r="P118" s="25">
        <f>IF($A118="","",$A118&amp;"|"&amp;$B118)</f>
        <v/>
      </c>
    </row>
    <row r="119">
      <c r="N119" s="9" t="n"/>
      <c r="P119" s="25">
        <f>IF($A119="","",$A119&amp;"|"&amp;$B119)</f>
        <v/>
      </c>
    </row>
    <row r="120">
      <c r="N120" s="9" t="n"/>
      <c r="P120" s="25">
        <f>IF($A120="","",$A120&amp;"|"&amp;$B120)</f>
        <v/>
      </c>
    </row>
    <row r="121">
      <c r="N121" s="9" t="n"/>
      <c r="P121" s="25">
        <f>IF($A121="","",$A121&amp;"|"&amp;$B121)</f>
        <v/>
      </c>
    </row>
    <row r="122">
      <c r="N122" s="9" t="n"/>
      <c r="P122" s="25">
        <f>IF($A122="","",$A122&amp;"|"&amp;$B122)</f>
        <v/>
      </c>
    </row>
    <row r="123">
      <c r="N123" s="9" t="n"/>
      <c r="P123" s="25">
        <f>IF($A123="","",$A123&amp;"|"&amp;$B123)</f>
        <v/>
      </c>
    </row>
    <row r="124">
      <c r="N124" s="9" t="n"/>
      <c r="P124" s="25">
        <f>IF($A124="","",$A124&amp;"|"&amp;$B124)</f>
        <v/>
      </c>
    </row>
    <row r="125">
      <c r="N125" s="9" t="n"/>
      <c r="P125" s="25">
        <f>IF($A125="","",$A125&amp;"|"&amp;$B125)</f>
        <v/>
      </c>
    </row>
    <row r="126">
      <c r="N126" s="9" t="n"/>
      <c r="P126" s="25">
        <f>IF($A126="","",$A126&amp;"|"&amp;$B126)</f>
        <v/>
      </c>
    </row>
    <row r="127">
      <c r="N127" s="9" t="n"/>
      <c r="P127" s="25">
        <f>IF($A127="","",$A127&amp;"|"&amp;$B127)</f>
        <v/>
      </c>
    </row>
    <row r="128">
      <c r="N128" s="9" t="n"/>
      <c r="P128" s="25">
        <f>IF($A128="","",$A128&amp;"|"&amp;$B128)</f>
        <v/>
      </c>
    </row>
    <row r="129">
      <c r="N129" s="9" t="n"/>
      <c r="P129" s="25">
        <f>IF($A129="","",$A129&amp;"|"&amp;$B129)</f>
        <v/>
      </c>
    </row>
    <row r="130">
      <c r="N130" s="9" t="n"/>
      <c r="P130" s="25">
        <f>IF($A130="","",$A130&amp;"|"&amp;$B130)</f>
        <v/>
      </c>
    </row>
    <row r="131">
      <c r="N131" s="9" t="n"/>
      <c r="P131" s="25">
        <f>IF($A131="","",$A131&amp;"|"&amp;$B131)</f>
        <v/>
      </c>
    </row>
    <row r="132">
      <c r="N132" s="9" t="n"/>
      <c r="P132" s="25">
        <f>IF($A132="","",$A132&amp;"|"&amp;$B132)</f>
        <v/>
      </c>
    </row>
    <row r="133">
      <c r="N133" s="9" t="n"/>
      <c r="P133" s="25">
        <f>IF($A133="","",$A133&amp;"|"&amp;$B133)</f>
        <v/>
      </c>
    </row>
    <row r="134">
      <c r="N134" s="9" t="n"/>
      <c r="P134" s="25">
        <f>IF($A134="","",$A134&amp;"|"&amp;$B134)</f>
        <v/>
      </c>
    </row>
    <row r="135">
      <c r="N135" s="9" t="n"/>
      <c r="P135" s="25">
        <f>IF($A135="","",$A135&amp;"|"&amp;$B135)</f>
        <v/>
      </c>
    </row>
    <row r="136">
      <c r="N136" s="9" t="n"/>
      <c r="P136" s="25">
        <f>IF($A136="","",$A136&amp;"|"&amp;$B136)</f>
        <v/>
      </c>
    </row>
    <row r="137">
      <c r="N137" s="9" t="n"/>
      <c r="P137" s="25">
        <f>IF($A137="","",$A137&amp;"|"&amp;$B137)</f>
        <v/>
      </c>
    </row>
    <row r="138">
      <c r="N138" s="9" t="n"/>
      <c r="P138" s="25">
        <f>IF($A138="","",$A138&amp;"|"&amp;$B138)</f>
        <v/>
      </c>
    </row>
    <row r="139">
      <c r="N139" s="9" t="n"/>
      <c r="P139" s="25">
        <f>IF($A139="","",$A139&amp;"|"&amp;$B139)</f>
        <v/>
      </c>
    </row>
    <row r="140">
      <c r="N140" s="9" t="n"/>
      <c r="P140" s="25">
        <f>IF($A140="","",$A140&amp;"|"&amp;$B140)</f>
        <v/>
      </c>
    </row>
    <row r="141">
      <c r="N141" s="9" t="n"/>
      <c r="P141" s="25">
        <f>IF($A141="","",$A141&amp;"|"&amp;$B141)</f>
        <v/>
      </c>
    </row>
    <row r="142">
      <c r="N142" s="9" t="n"/>
      <c r="P142" s="25">
        <f>IF($A142="","",$A142&amp;"|"&amp;$B142)</f>
        <v/>
      </c>
    </row>
    <row r="143">
      <c r="N143" s="9" t="n"/>
      <c r="P143" s="25">
        <f>IF($A143="","",$A143&amp;"|"&amp;$B143)</f>
        <v/>
      </c>
    </row>
    <row r="144">
      <c r="N144" s="9" t="n"/>
      <c r="P144" s="25">
        <f>IF($A144="","",$A144&amp;"|"&amp;$B144)</f>
        <v/>
      </c>
    </row>
    <row r="145">
      <c r="N145" s="9" t="n"/>
      <c r="P145" s="25">
        <f>IF($A145="","",$A145&amp;"|"&amp;$B145)</f>
        <v/>
      </c>
    </row>
    <row r="146">
      <c r="N146" s="9" t="n"/>
      <c r="P146" s="25">
        <f>IF($A146="","",$A146&amp;"|"&amp;$B146)</f>
        <v/>
      </c>
    </row>
    <row r="147">
      <c r="N147" s="9" t="n"/>
      <c r="P147" s="25">
        <f>IF($A147="","",$A147&amp;"|"&amp;$B147)</f>
        <v/>
      </c>
    </row>
    <row r="148">
      <c r="N148" s="9" t="n"/>
      <c r="P148" s="25">
        <f>IF($A148="","",$A148&amp;"|"&amp;$B148)</f>
        <v/>
      </c>
    </row>
    <row r="149">
      <c r="N149" s="9" t="n"/>
      <c r="P149" s="25">
        <f>IF($A149="","",$A149&amp;"|"&amp;$B149)</f>
        <v/>
      </c>
    </row>
    <row r="150">
      <c r="N150" s="9" t="n"/>
      <c r="P150" s="25">
        <f>IF($A150="","",$A150&amp;"|"&amp;$B150)</f>
        <v/>
      </c>
    </row>
    <row r="151">
      <c r="N151" s="9" t="n"/>
      <c r="P151" s="25">
        <f>IF($A151="","",$A151&amp;"|"&amp;$B151)</f>
        <v/>
      </c>
    </row>
    <row r="152">
      <c r="N152" s="9" t="n"/>
      <c r="P152" s="25">
        <f>IF($A152="","",$A152&amp;"|"&amp;$B152)</f>
        <v/>
      </c>
    </row>
    <row r="153">
      <c r="N153" s="9" t="n"/>
      <c r="P153" s="25">
        <f>IF($A153="","",$A153&amp;"|"&amp;$B153)</f>
        <v/>
      </c>
    </row>
    <row r="154">
      <c r="N154" s="9" t="n"/>
      <c r="P154" s="25">
        <f>IF($A154="","",$A154&amp;"|"&amp;$B154)</f>
        <v/>
      </c>
    </row>
    <row r="155">
      <c r="N155" s="9" t="n"/>
      <c r="P155" s="25">
        <f>IF($A155="","",$A155&amp;"|"&amp;$B155)</f>
        <v/>
      </c>
    </row>
    <row r="156">
      <c r="N156" s="9" t="n"/>
      <c r="P156" s="25">
        <f>IF($A156="","",$A156&amp;"|"&amp;$B156)</f>
        <v/>
      </c>
    </row>
    <row r="157">
      <c r="N157" s="9" t="n"/>
      <c r="P157" s="25">
        <f>IF($A157="","",$A157&amp;"|"&amp;$B157)</f>
        <v/>
      </c>
    </row>
    <row r="158">
      <c r="N158" s="9" t="n"/>
      <c r="P158" s="25">
        <f>IF($A158="","",$A158&amp;"|"&amp;$B158)</f>
        <v/>
      </c>
    </row>
    <row r="159">
      <c r="N159" s="9" t="n"/>
      <c r="P159" s="25">
        <f>IF($A159="","",$A159&amp;"|"&amp;$B159)</f>
        <v/>
      </c>
    </row>
    <row r="160">
      <c r="N160" s="9" t="n"/>
      <c r="P160" s="25">
        <f>IF($A160="","",$A160&amp;"|"&amp;$B160)</f>
        <v/>
      </c>
    </row>
    <row r="161">
      <c r="N161" s="9" t="n"/>
      <c r="P161" s="25">
        <f>IF($A161="","",$A161&amp;"|"&amp;$B161)</f>
        <v/>
      </c>
    </row>
    <row r="162">
      <c r="N162" s="9" t="n"/>
      <c r="P162" s="25">
        <f>IF($A162="","",$A162&amp;"|"&amp;$B162)</f>
        <v/>
      </c>
    </row>
    <row r="163">
      <c r="N163" s="9" t="n"/>
      <c r="P163" s="25">
        <f>IF($A163="","",$A163&amp;"|"&amp;$B163)</f>
        <v/>
      </c>
    </row>
    <row r="164">
      <c r="N164" s="9" t="n"/>
      <c r="P164" s="25">
        <f>IF($A164="","",$A164&amp;"|"&amp;$B164)</f>
        <v/>
      </c>
    </row>
    <row r="165">
      <c r="N165" s="9" t="n"/>
      <c r="P165" s="25">
        <f>IF($A165="","",$A165&amp;"|"&amp;$B165)</f>
        <v/>
      </c>
    </row>
    <row r="166">
      <c r="N166" s="9" t="n"/>
      <c r="P166" s="25">
        <f>IF($A166="","",$A166&amp;"|"&amp;$B166)</f>
        <v/>
      </c>
    </row>
    <row r="167">
      <c r="N167" s="9" t="n"/>
      <c r="P167" s="25">
        <f>IF($A167="","",$A167&amp;"|"&amp;$B167)</f>
        <v/>
      </c>
    </row>
    <row r="168">
      <c r="N168" s="9" t="n"/>
      <c r="P168" s="25">
        <f>IF($A168="","",$A168&amp;"|"&amp;$B168)</f>
        <v/>
      </c>
    </row>
    <row r="169">
      <c r="N169" s="9" t="n"/>
      <c r="P169" s="25">
        <f>IF($A169="","",$A169&amp;"|"&amp;$B169)</f>
        <v/>
      </c>
    </row>
    <row r="170">
      <c r="N170" s="9" t="n"/>
      <c r="P170" s="25">
        <f>IF($A170="","",$A170&amp;"|"&amp;$B170)</f>
        <v/>
      </c>
    </row>
    <row r="171">
      <c r="N171" s="9" t="n"/>
      <c r="P171" s="25">
        <f>IF($A171="","",$A171&amp;"|"&amp;$B171)</f>
        <v/>
      </c>
    </row>
    <row r="172">
      <c r="N172" s="9" t="n"/>
      <c r="P172" s="25">
        <f>IF($A172="","",$A172&amp;"|"&amp;$B172)</f>
        <v/>
      </c>
    </row>
    <row r="173">
      <c r="N173" s="9" t="n"/>
      <c r="P173" s="25">
        <f>IF($A173="","",$A173&amp;"|"&amp;$B173)</f>
        <v/>
      </c>
    </row>
    <row r="174">
      <c r="N174" s="9" t="n"/>
      <c r="P174" s="25">
        <f>IF($A174="","",$A174&amp;"|"&amp;$B174)</f>
        <v/>
      </c>
    </row>
    <row r="175">
      <c r="N175" s="9" t="n"/>
      <c r="P175" s="25">
        <f>IF($A175="","",$A175&amp;"|"&amp;$B175)</f>
        <v/>
      </c>
    </row>
    <row r="176">
      <c r="N176" s="9" t="n"/>
      <c r="P176" s="25">
        <f>IF($A176="","",$A176&amp;"|"&amp;$B176)</f>
        <v/>
      </c>
    </row>
    <row r="177">
      <c r="N177" s="9" t="n"/>
      <c r="P177" s="25">
        <f>IF($A177="","",$A177&amp;"|"&amp;$B177)</f>
        <v/>
      </c>
    </row>
    <row r="178">
      <c r="N178" s="9" t="n"/>
      <c r="P178" s="25">
        <f>IF($A178="","",$A178&amp;"|"&amp;$B178)</f>
        <v/>
      </c>
    </row>
    <row r="179">
      <c r="N179" s="9" t="n"/>
      <c r="P179" s="25">
        <f>IF($A179="","",$A179&amp;"|"&amp;$B179)</f>
        <v/>
      </c>
    </row>
    <row r="180">
      <c r="N180" s="9" t="n"/>
      <c r="P180" s="25">
        <f>IF($A180="","",$A180&amp;"|"&amp;$B180)</f>
        <v/>
      </c>
    </row>
    <row r="181">
      <c r="N181" s="9" t="n"/>
      <c r="P181" s="25">
        <f>IF($A181="","",$A181&amp;"|"&amp;$B181)</f>
        <v/>
      </c>
    </row>
    <row r="182">
      <c r="N182" s="9" t="n"/>
      <c r="P182" s="25">
        <f>IF($A182="","",$A182&amp;"|"&amp;$B182)</f>
        <v/>
      </c>
    </row>
    <row r="183">
      <c r="N183" s="9" t="n"/>
      <c r="P183" s="25">
        <f>IF($A183="","",$A183&amp;"|"&amp;$B183)</f>
        <v/>
      </c>
    </row>
    <row r="184">
      <c r="N184" s="9" t="n"/>
      <c r="P184" s="25">
        <f>IF($A184="","",$A184&amp;"|"&amp;$B184)</f>
        <v/>
      </c>
    </row>
    <row r="185">
      <c r="N185" s="9" t="n"/>
      <c r="P185" s="25">
        <f>IF($A185="","",$A185&amp;"|"&amp;$B185)</f>
        <v/>
      </c>
    </row>
    <row r="186">
      <c r="N186" s="9" t="n"/>
      <c r="P186" s="25">
        <f>IF($A186="","",$A186&amp;"|"&amp;$B186)</f>
        <v/>
      </c>
    </row>
    <row r="187">
      <c r="N187" s="9" t="n"/>
      <c r="P187" s="25">
        <f>IF($A187="","",$A187&amp;"|"&amp;$B187)</f>
        <v/>
      </c>
    </row>
    <row r="188">
      <c r="N188" s="9" t="n"/>
      <c r="P188" s="25">
        <f>IF($A188="","",$A188&amp;"|"&amp;$B188)</f>
        <v/>
      </c>
    </row>
    <row r="189">
      <c r="N189" s="9" t="n"/>
      <c r="P189" s="25">
        <f>IF($A189="","",$A189&amp;"|"&amp;$B189)</f>
        <v/>
      </c>
    </row>
    <row r="190">
      <c r="N190" s="9" t="n"/>
      <c r="P190" s="25">
        <f>IF($A190="","",$A190&amp;"|"&amp;$B190)</f>
        <v/>
      </c>
    </row>
    <row r="191">
      <c r="N191" s="9" t="n"/>
      <c r="P191" s="25">
        <f>IF($A191="","",$A191&amp;"|"&amp;$B191)</f>
        <v/>
      </c>
    </row>
    <row r="192">
      <c r="N192" s="9" t="n"/>
      <c r="P192" s="25">
        <f>IF($A192="","",$A192&amp;"|"&amp;$B192)</f>
        <v/>
      </c>
    </row>
    <row r="193">
      <c r="N193" s="9" t="n"/>
      <c r="P193" s="25">
        <f>IF($A193="","",$A193&amp;"|"&amp;$B193)</f>
        <v/>
      </c>
    </row>
    <row r="194">
      <c r="N194" s="9" t="n"/>
      <c r="P194" s="25">
        <f>IF($A194="","",$A194&amp;"|"&amp;$B194)</f>
        <v/>
      </c>
    </row>
    <row r="195">
      <c r="N195" s="9" t="n"/>
      <c r="P195" s="25">
        <f>IF($A195="","",$A195&amp;"|"&amp;$B195)</f>
        <v/>
      </c>
    </row>
    <row r="196">
      <c r="N196" s="9" t="n"/>
      <c r="P196" s="25">
        <f>IF($A196="","",$A196&amp;"|"&amp;$B196)</f>
        <v/>
      </c>
    </row>
    <row r="197">
      <c r="N197" s="9" t="n"/>
      <c r="P197" s="25">
        <f>IF($A197="","",$A197&amp;"|"&amp;$B197)</f>
        <v/>
      </c>
    </row>
    <row r="198">
      <c r="N198" s="9" t="n"/>
      <c r="P198" s="25">
        <f>IF($A198="","",$A198&amp;"|"&amp;$B198)</f>
        <v/>
      </c>
    </row>
    <row r="199">
      <c r="N199" s="9" t="n"/>
      <c r="P199" s="25">
        <f>IF($A199="","",$A199&amp;"|"&amp;$B199)</f>
        <v/>
      </c>
    </row>
    <row r="200">
      <c r="N200" s="9" t="n"/>
      <c r="P200" s="25">
        <f>IF($A200="","",$A200&amp;"|"&amp;$B200)</f>
        <v/>
      </c>
    </row>
    <row r="201">
      <c r="N201" s="9" t="n"/>
      <c r="P201" s="25">
        <f>IF($A201="","",$A201&amp;"|"&amp;$B201)</f>
        <v/>
      </c>
    </row>
    <row r="202">
      <c r="N202" s="9" t="n"/>
      <c r="P202" s="25">
        <f>IF($A202="","",$A202&amp;"|"&amp;$B202)</f>
        <v/>
      </c>
    </row>
    <row r="203">
      <c r="N203" s="9" t="n"/>
      <c r="P203" s="25">
        <f>IF($A203="","",$A203&amp;"|"&amp;$B203)</f>
        <v/>
      </c>
    </row>
    <row r="204">
      <c r="N204" s="9" t="n"/>
      <c r="P204" s="25">
        <f>IF($A204="","",$A204&amp;"|"&amp;$B204)</f>
        <v/>
      </c>
    </row>
    <row r="205">
      <c r="N205" s="9" t="n"/>
      <c r="P205" s="25">
        <f>IF($A205="","",$A205&amp;"|"&amp;$B205)</f>
        <v/>
      </c>
    </row>
    <row r="206">
      <c r="N206" s="9" t="n"/>
      <c r="P206" s="25">
        <f>IF($A206="","",$A206&amp;"|"&amp;$B206)</f>
        <v/>
      </c>
    </row>
    <row r="207">
      <c r="N207" s="9" t="n"/>
      <c r="P207" s="25">
        <f>IF($A207="","",$A207&amp;"|"&amp;$B207)</f>
        <v/>
      </c>
    </row>
    <row r="208">
      <c r="N208" s="9" t="n"/>
      <c r="P208" s="25">
        <f>IF($A208="","",$A208&amp;"|"&amp;$B208)</f>
        <v/>
      </c>
    </row>
    <row r="209">
      <c r="N209" s="9" t="n"/>
      <c r="P209" s="25">
        <f>IF($A209="","",$A209&amp;"|"&amp;$B209)</f>
        <v/>
      </c>
    </row>
    <row r="210">
      <c r="N210" s="9" t="n"/>
      <c r="P210" s="25">
        <f>IF($A210="","",$A210&amp;"|"&amp;$B210)</f>
        <v/>
      </c>
    </row>
    <row r="211">
      <c r="N211" s="9" t="n"/>
      <c r="P211" s="25">
        <f>IF($A211="","",$A211&amp;"|"&amp;$B211)</f>
        <v/>
      </c>
    </row>
    <row r="212">
      <c r="N212" s="9" t="n"/>
      <c r="P212" s="25">
        <f>IF($A212="","",$A212&amp;"|"&amp;$B212)</f>
        <v/>
      </c>
    </row>
    <row r="213">
      <c r="N213" s="9" t="n"/>
      <c r="P213" s="25">
        <f>IF($A213="","",$A213&amp;"|"&amp;$B213)</f>
        <v/>
      </c>
    </row>
    <row r="214">
      <c r="N214" s="9" t="n"/>
      <c r="P214" s="25">
        <f>IF($A214="","",$A214&amp;"|"&amp;$B214)</f>
        <v/>
      </c>
    </row>
    <row r="215">
      <c r="N215" s="9" t="n"/>
      <c r="P215" s="25">
        <f>IF($A215="","",$A215&amp;"|"&amp;$B215)</f>
        <v/>
      </c>
    </row>
    <row r="216">
      <c r="N216" s="9" t="n"/>
      <c r="P216" s="25">
        <f>IF($A216="","",$A216&amp;"|"&amp;$B216)</f>
        <v/>
      </c>
    </row>
    <row r="217">
      <c r="N217" s="9" t="n"/>
      <c r="P217" s="25">
        <f>IF($A217="","",$A217&amp;"|"&amp;$B217)</f>
        <v/>
      </c>
    </row>
    <row r="218">
      <c r="N218" s="9" t="n"/>
      <c r="P218" s="25">
        <f>IF($A218="","",$A218&amp;"|"&amp;$B218)</f>
        <v/>
      </c>
    </row>
    <row r="219">
      <c r="N219" s="9" t="n"/>
      <c r="P219" s="25">
        <f>IF($A219="","",$A219&amp;"|"&amp;$B219)</f>
        <v/>
      </c>
    </row>
    <row r="220">
      <c r="N220" s="9" t="n"/>
      <c r="P220" s="25">
        <f>IF($A220="","",$A220&amp;"|"&amp;$B220)</f>
        <v/>
      </c>
    </row>
    <row r="221">
      <c r="N221" s="9" t="n"/>
      <c r="P221" s="25">
        <f>IF($A221="","",$A221&amp;"|"&amp;$B221)</f>
        <v/>
      </c>
    </row>
    <row r="222">
      <c r="N222" s="9" t="n"/>
      <c r="P222" s="25">
        <f>IF($A222="","",$A222&amp;"|"&amp;$B222)</f>
        <v/>
      </c>
    </row>
    <row r="223">
      <c r="N223" s="9" t="n"/>
      <c r="P223" s="25">
        <f>IF($A223="","",$A223&amp;"|"&amp;$B223)</f>
        <v/>
      </c>
    </row>
    <row r="224">
      <c r="N224" s="9" t="n"/>
      <c r="P224" s="25">
        <f>IF($A224="","",$A224&amp;"|"&amp;$B224)</f>
        <v/>
      </c>
    </row>
    <row r="225">
      <c r="N225" s="9" t="n"/>
      <c r="P225" s="25">
        <f>IF($A225="","",$A225&amp;"|"&amp;$B225)</f>
        <v/>
      </c>
    </row>
    <row r="226">
      <c r="N226" s="9" t="n"/>
      <c r="P226" s="25">
        <f>IF($A226="","",$A226&amp;"|"&amp;$B226)</f>
        <v/>
      </c>
    </row>
    <row r="227">
      <c r="N227" s="9" t="n"/>
      <c r="P227" s="25">
        <f>IF($A227="","",$A227&amp;"|"&amp;$B227)</f>
        <v/>
      </c>
    </row>
    <row r="228">
      <c r="N228" s="9" t="n"/>
      <c r="P228" s="25">
        <f>IF($A228="","",$A228&amp;"|"&amp;$B228)</f>
        <v/>
      </c>
    </row>
    <row r="229">
      <c r="N229" s="9" t="n"/>
      <c r="P229" s="25">
        <f>IF($A229="","",$A229&amp;"|"&amp;$B229)</f>
        <v/>
      </c>
    </row>
    <row r="230">
      <c r="N230" s="9" t="n"/>
      <c r="P230" s="25">
        <f>IF($A230="","",$A230&amp;"|"&amp;$B230)</f>
        <v/>
      </c>
    </row>
    <row r="231">
      <c r="N231" s="9" t="n"/>
      <c r="P231" s="25">
        <f>IF($A231="","",$A231&amp;"|"&amp;$B231)</f>
        <v/>
      </c>
    </row>
    <row r="232">
      <c r="N232" s="9" t="n"/>
      <c r="P232" s="25">
        <f>IF($A232="","",$A232&amp;"|"&amp;$B232)</f>
        <v/>
      </c>
    </row>
    <row r="233">
      <c r="N233" s="9" t="n"/>
      <c r="P233" s="25">
        <f>IF($A233="","",$A233&amp;"|"&amp;$B233)</f>
        <v/>
      </c>
    </row>
    <row r="234">
      <c r="N234" s="9" t="n"/>
      <c r="P234" s="25">
        <f>IF($A234="","",$A234&amp;"|"&amp;$B234)</f>
        <v/>
      </c>
    </row>
    <row r="235">
      <c r="N235" s="9" t="n"/>
      <c r="P235" s="25">
        <f>IF($A235="","",$A235&amp;"|"&amp;$B235)</f>
        <v/>
      </c>
    </row>
    <row r="236">
      <c r="N236" s="9" t="n"/>
      <c r="P236" s="25">
        <f>IF($A236="","",$A236&amp;"|"&amp;$B236)</f>
        <v/>
      </c>
    </row>
    <row r="237">
      <c r="N237" s="9" t="n"/>
      <c r="P237" s="25">
        <f>IF($A237="","",$A237&amp;"|"&amp;$B237)</f>
        <v/>
      </c>
    </row>
    <row r="238">
      <c r="N238" s="9" t="n"/>
      <c r="P238" s="25">
        <f>IF($A238="","",$A238&amp;"|"&amp;$B238)</f>
        <v/>
      </c>
    </row>
    <row r="239">
      <c r="N239" s="9" t="n"/>
      <c r="P239" s="25">
        <f>IF($A239="","",$A239&amp;"|"&amp;$B239)</f>
        <v/>
      </c>
    </row>
    <row r="240">
      <c r="N240" s="9" t="n"/>
      <c r="P240" s="25">
        <f>IF($A240="","",$A240&amp;"|"&amp;$B240)</f>
        <v/>
      </c>
    </row>
    <row r="241">
      <c r="N241" s="9" t="n"/>
      <c r="P241" s="25">
        <f>IF($A241="","",$A241&amp;"|"&amp;$B241)</f>
        <v/>
      </c>
    </row>
    <row r="242">
      <c r="N242" s="9" t="n"/>
      <c r="P242" s="25">
        <f>IF($A242="","",$A242&amp;"|"&amp;$B242)</f>
        <v/>
      </c>
    </row>
    <row r="243">
      <c r="N243" s="9" t="n"/>
      <c r="P243" s="25">
        <f>IF($A243="","",$A243&amp;"|"&amp;$B243)</f>
        <v/>
      </c>
    </row>
    <row r="244">
      <c r="N244" s="9" t="n"/>
      <c r="P244" s="25">
        <f>IF($A244="","",$A244&amp;"|"&amp;$B244)</f>
        <v/>
      </c>
    </row>
    <row r="245">
      <c r="N245" s="9" t="n"/>
      <c r="P245" s="25">
        <f>IF($A245="","",$A245&amp;"|"&amp;$B245)</f>
        <v/>
      </c>
    </row>
    <row r="246">
      <c r="N246" s="9" t="n"/>
      <c r="P246" s="25">
        <f>IF($A246="","",$A246&amp;"|"&amp;$B246)</f>
        <v/>
      </c>
    </row>
    <row r="247">
      <c r="N247" s="9" t="n"/>
      <c r="P247" s="25">
        <f>IF($A247="","",$A247&amp;"|"&amp;$B247)</f>
        <v/>
      </c>
    </row>
    <row r="248">
      <c r="N248" s="9" t="n"/>
      <c r="P248" s="25">
        <f>IF($A248="","",$A248&amp;"|"&amp;$B248)</f>
        <v/>
      </c>
    </row>
    <row r="249">
      <c r="N249" s="9" t="n"/>
      <c r="P249" s="25">
        <f>IF($A249="","",$A249&amp;"|"&amp;$B249)</f>
        <v/>
      </c>
    </row>
    <row r="250">
      <c r="N250" s="9" t="n"/>
      <c r="P250" s="25">
        <f>IF($A250="","",$A250&amp;"|"&amp;$B250)</f>
        <v/>
      </c>
    </row>
    <row r="251">
      <c r="N251" s="9" t="n"/>
      <c r="P251" s="25">
        <f>IF($A251="","",$A251&amp;"|"&amp;$B251)</f>
        <v/>
      </c>
    </row>
  </sheetData>
  <pageMargins left="0.75" right="0.75" top="1" bottom="1" header="0.5" footer="0.5"/>
  <legacyDrawing xmlns:r="http://schemas.openxmlformats.org/officeDocument/2006/relationships" r:id="anysvml"/>
</worksheet>
</file>

<file path=xl/worksheets/sheet32.xml><?xml version="1.0" encoding="utf-8"?>
<worksheet xmlns="http://schemas.openxmlformats.org/spreadsheetml/2006/main">
  <sheetPr>
    <tabColor rgb="00FFF9E5"/>
    <outlinePr summaryBelow="1" summaryRight="1"/>
    <pageSetUpPr/>
  </sheetPr>
  <dimension ref="A1:I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 width="70" customWidth="1" min="9" max="9"/>
  </cols>
  <sheetData>
    <row r="1">
      <c r="A1" s="35" t="inlineStr">
        <is>
          <t>Timestamp</t>
        </is>
      </c>
      <c r="B1" s="35" t="inlineStr">
        <is>
          <t>Card code (filled in for you)</t>
        </is>
      </c>
      <c r="C1" s="35" t="inlineStr">
        <is>
          <t>Did you try [BRAND]?</t>
        </is>
      </c>
      <c r="D1" s="35" t="inlineStr">
        <is>
          <t>How was it?</t>
        </is>
      </c>
      <c r="E1" s="35" t="inlineStr">
        <is>
          <t>Would you buy it?</t>
        </is>
      </c>
      <c r="F1" s="35" t="inlineStr">
        <is>
          <t>What happened?</t>
        </is>
      </c>
      <c r="G1" s="35" t="inlineStr">
        <is>
          <t>Anything you'd tell [BRAND]? (optional)</t>
        </is>
      </c>
      <c r="I1" s="16" t="inlineStr">
        <is>
          <t>What each campaign's survey tab looks like (columns A to G, in this order). Google writes it; you rename it to the campaign_id. Never insert or move columns in a survey tab.</t>
        </is>
      </c>
    </row>
  </sheetData>
  <pageMargins left="0.75" right="0.75" top="1" bottom="1" header="0.5" footer="0.5"/>
</worksheet>
</file>

<file path=xl/worksheets/sheet33.xml><?xml version="1.0" encoding="utf-8"?>
<worksheet xmlns="http://schemas.openxmlformats.org/spreadsheetml/2006/main">
  <sheetPr>
    <tabColor rgb="00FFF9E5"/>
    <outlinePr summaryBelow="1" summaryRight="1"/>
    <pageSetUpPr/>
  </sheetPr>
  <dimension ref="A1:G3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s>
  <sheetData>
    <row r="1">
      <c r="A1" s="35" t="inlineStr">
        <is>
          <t>Timestamp</t>
        </is>
      </c>
      <c r="B1" s="35" t="inlineStr">
        <is>
          <t>Card code (filled in for you)</t>
        </is>
      </c>
      <c r="C1" s="35" t="inlineStr">
        <is>
          <t>Did you try SAMPLE Brightside?</t>
        </is>
      </c>
      <c r="D1" s="35" t="inlineStr">
        <is>
          <t>How was it?</t>
        </is>
      </c>
      <c r="E1" s="35" t="inlineStr">
        <is>
          <t>Would you buy it?</t>
        </is>
      </c>
      <c r="F1" s="35" t="inlineStr">
        <is>
          <t>What happened?</t>
        </is>
      </c>
      <c r="G1" s="35" t="inlineStr">
        <is>
          <t>Anything you'd tell SAMPLE Brightside? (optional)</t>
        </is>
      </c>
    </row>
    <row r="2">
      <c r="A2" s="37" t="n">
        <v>46394.675</v>
      </c>
      <c r="B2" t="inlineStr">
        <is>
          <t>SAMPLE-CMP-001.SAMPLE-O-001</t>
        </is>
      </c>
      <c r="C2" t="inlineStr">
        <is>
          <t>Yes</t>
        </is>
      </c>
      <c r="D2" t="n">
        <v>5</v>
      </c>
      <c r="E2" t="inlineStr">
        <is>
          <t>Yes</t>
        </is>
      </c>
      <c r="G2" t="inlineStr">
        <is>
          <t>SAMPLE founder test at kitting</t>
        </is>
      </c>
    </row>
    <row r="3">
      <c r="A3" s="37" t="n">
        <v>46399.37569444445</v>
      </c>
      <c r="B3" t="inlineStr">
        <is>
          <t>SAMPLE-CMP-001.SAMPLE-O-004</t>
        </is>
      </c>
      <c r="C3" t="inlineStr">
        <is>
          <t>No</t>
        </is>
      </c>
      <c r="F3" t="inlineStr">
        <is>
          <t>Gone by the time I looked</t>
        </is>
      </c>
      <c r="G3" t="inlineStr">
        <is>
          <t>SAMPLE Saw it by the coffee machine and took two. Really good.</t>
        </is>
      </c>
    </row>
    <row r="4">
      <c r="A4" s="37" t="n">
        <v>46399.38611111111</v>
      </c>
      <c r="B4" t="inlineStr">
        <is>
          <t>SAMPLE-CMP-001.SAMPLE-O-003</t>
        </is>
      </c>
      <c r="C4" t="inlineStr">
        <is>
          <t>Yes</t>
        </is>
      </c>
      <c r="D4" t="n">
        <v>4</v>
      </c>
      <c r="E4" t="inlineStr">
        <is>
          <t>Yes</t>
        </is>
      </c>
      <c r="G4" t="inlineStr">
        <is>
          <t>SAMPLE Saw it by the coffee machine and took two. Really good.</t>
        </is>
      </c>
    </row>
    <row r="5">
      <c r="A5" s="37" t="n">
        <v>46399.40277777778</v>
      </c>
      <c r="B5" t="inlineStr">
        <is>
          <t>SAMPLE-CMP-001.SAMPLE-O-001</t>
        </is>
      </c>
      <c r="C5" t="inlineStr">
        <is>
          <t>Yes</t>
        </is>
      </c>
      <c r="D5" t="n">
        <v>3</v>
      </c>
      <c r="E5" t="inlineStr">
        <is>
          <t>Maybe</t>
        </is>
      </c>
      <c r="G5" t="inlineStr">
        <is>
          <t>SAMPLE A bit too salty for me.</t>
        </is>
      </c>
    </row>
    <row r="6">
      <c r="A6" s="37" t="n">
        <v>46399.44166666667</v>
      </c>
      <c r="B6" t="inlineStr">
        <is>
          <t>SAMPLE-CMP-001.SAMPLE-O-003</t>
        </is>
      </c>
      <c r="C6" t="inlineStr">
        <is>
          <t>No</t>
        </is>
      </c>
      <c r="F6" t="inlineStr">
        <is>
          <t>Didn't see it</t>
        </is>
      </c>
    </row>
    <row r="7">
      <c r="A7" s="37" t="n">
        <v>46399.45694444444</v>
      </c>
      <c r="B7" t="inlineStr">
        <is>
          <t>SAMPLE-CMP-001.SAMPLE-O-002</t>
        </is>
      </c>
      <c r="C7" t="inlineStr">
        <is>
          <t>Yes</t>
        </is>
      </c>
      <c r="D7" t="n">
        <v>5</v>
      </c>
      <c r="E7" t="inlineStr">
        <is>
          <t>Yes</t>
        </is>
      </c>
      <c r="G7" t="inlineStr">
        <is>
          <t>SAMPLE Asked Priya to save me a bag. Really good.</t>
        </is>
      </c>
    </row>
    <row r="8">
      <c r="A8" s="37" t="n">
        <v>46399.50972222222</v>
      </c>
      <c r="B8" t="inlineStr">
        <is>
          <t>SAMPLE-CMP-001.SAMPLE-O-005</t>
        </is>
      </c>
      <c r="C8" t="inlineStr">
        <is>
          <t>Yes</t>
        </is>
      </c>
      <c r="D8" t="n">
        <v>4</v>
      </c>
      <c r="E8" t="inlineStr">
        <is>
          <t>Yes</t>
        </is>
      </c>
    </row>
    <row r="9">
      <c r="A9" s="37" t="n">
        <v>46399.5375</v>
      </c>
      <c r="B9" t="inlineStr">
        <is>
          <t>SAMPLE-CMP-001.SAMPLE-O-002</t>
        </is>
      </c>
      <c r="C9" t="inlineStr">
        <is>
          <t>Yes</t>
        </is>
      </c>
      <c r="D9" t="n">
        <v>5</v>
      </c>
      <c r="E9" t="inlineStr">
        <is>
          <t>Yes</t>
        </is>
      </c>
      <c r="G9" t="inlineStr">
        <is>
          <t>SAMPLE Asked Priya to save me a bag. Really good.</t>
        </is>
      </c>
    </row>
    <row r="10">
      <c r="A10" s="37" t="n">
        <v>46399.55138888889</v>
      </c>
      <c r="B10" t="inlineStr">
        <is>
          <t>SAMPLE-CMP-001.SAMPLE-O-002</t>
        </is>
      </c>
      <c r="C10" t="inlineStr">
        <is>
          <t>Yes</t>
        </is>
      </c>
      <c r="D10" t="n">
        <v>4</v>
      </c>
      <c r="E10" t="inlineStr">
        <is>
          <t>No</t>
        </is>
      </c>
    </row>
    <row r="11">
      <c r="A11" s="37" t="n">
        <v>46399.55208333334</v>
      </c>
      <c r="B11" t="inlineStr">
        <is>
          <t>SAMPLE-CMP-001.SAMPLE-O-003</t>
        </is>
      </c>
      <c r="C11" t="inlineStr">
        <is>
          <t>No</t>
        </is>
      </c>
      <c r="F11" t="inlineStr">
        <is>
          <t>Not for me</t>
        </is>
      </c>
      <c r="G11" t="inlineStr">
        <is>
          <t>SAMPLE Gone before lunch on Wednesday.</t>
        </is>
      </c>
    </row>
    <row r="12">
      <c r="A12" s="37" t="n">
        <v>46400.37708333333</v>
      </c>
      <c r="B12" t="inlineStr">
        <is>
          <t>SAMPLE-CMP-001.SAMPLE-O-004</t>
        </is>
      </c>
      <c r="C12" t="inlineStr">
        <is>
          <t>Yes</t>
        </is>
      </c>
      <c r="D12" t="n">
        <v>4</v>
      </c>
      <c r="E12" t="inlineStr">
        <is>
          <t>Yes</t>
        </is>
      </c>
      <c r="G12" t="inlineStr">
        <is>
          <t>SAMPLE Good crunch, would pick it up at the store.</t>
        </is>
      </c>
    </row>
    <row r="13">
      <c r="A13" s="37" t="n">
        <v>46400.4</v>
      </c>
      <c r="B13" t="inlineStr">
        <is>
          <t>SAMPLE-CMP-001.SAMPLE-O-002</t>
        </is>
      </c>
      <c r="C13" t="inlineStr">
        <is>
          <t>No</t>
        </is>
      </c>
      <c r="F13" t="inlineStr">
        <is>
          <t>Not for me</t>
        </is>
      </c>
      <c r="G13" t="inlineStr">
        <is>
          <t>SAMPLE Saw it by the coffee machine and took two. Really good.</t>
        </is>
      </c>
    </row>
    <row r="14">
      <c r="A14" s="37" t="n">
        <v>46400.42847222222</v>
      </c>
      <c r="B14" t="inlineStr">
        <is>
          <t>SAMPLE-CMP-001.SAMPLE-O-001</t>
        </is>
      </c>
      <c r="C14" t="inlineStr">
        <is>
          <t>Yes</t>
        </is>
      </c>
      <c r="D14" t="n">
        <v>3</v>
      </c>
      <c r="E14" t="inlineStr">
        <is>
          <t>Maybe</t>
        </is>
      </c>
      <c r="G14" t="inlineStr">
        <is>
          <t>SAMPLE Where can I buy these near the office?</t>
        </is>
      </c>
    </row>
    <row r="15">
      <c r="A15" s="37" t="n">
        <v>46400.44166666667</v>
      </c>
      <c r="B15" t="inlineStr">
        <is>
          <t>SAMPLE-CMP-001.SAMPLE-O-005</t>
        </is>
      </c>
      <c r="C15" t="inlineStr">
        <is>
          <t>Yes</t>
        </is>
      </c>
      <c r="D15" t="n">
        <v>4</v>
      </c>
      <c r="E15" t="inlineStr">
        <is>
          <t>Maybe</t>
        </is>
      </c>
    </row>
    <row r="16">
      <c r="A16" s="37" t="n">
        <v>46400.46527777778</v>
      </c>
      <c r="B16" t="inlineStr">
        <is>
          <t>SAMPLE-CMP-001.SAMPLE-O-003</t>
        </is>
      </c>
      <c r="C16" t="inlineStr">
        <is>
          <t>No</t>
        </is>
      </c>
      <c r="F16" t="inlineStr">
        <is>
          <t>Didn't see it</t>
        </is>
      </c>
      <c r="G16" t="inlineStr">
        <is>
          <t>SAMPLE Asked Priya to save me a bag. Really good.</t>
        </is>
      </c>
    </row>
    <row r="17">
      <c r="A17" s="37" t="n">
        <v>46400.49861111111</v>
      </c>
      <c r="B17" t="inlineStr">
        <is>
          <t>SAMPLE-CMP-001.SAMPLE-O-001</t>
        </is>
      </c>
      <c r="C17" t="inlineStr">
        <is>
          <t>No</t>
        </is>
      </c>
      <c r="F17" t="inlineStr">
        <is>
          <t>Didn't see it</t>
        </is>
      </c>
    </row>
    <row r="18">
      <c r="A18" s="37" t="n">
        <v>46400.54027777778</v>
      </c>
      <c r="B18" t="inlineStr">
        <is>
          <t>SAMPLE-CMP-001.SAMPLE-O-002</t>
        </is>
      </c>
      <c r="C18" t="inlineStr">
        <is>
          <t>Yes</t>
        </is>
      </c>
      <c r="D18" t="n">
        <v>5</v>
      </c>
      <c r="E18" t="inlineStr">
        <is>
          <t>Maybe</t>
        </is>
      </c>
    </row>
    <row r="19">
      <c r="A19" s="37" t="n">
        <v>46400.54861111111</v>
      </c>
      <c r="B19" t="inlineStr">
        <is>
          <t>SAMPLE-CMP-001.SAMPLE-O-001</t>
        </is>
      </c>
      <c r="C19" t="inlineStr">
        <is>
          <t>Yes</t>
        </is>
      </c>
      <c r="D19" t="n">
        <v>4</v>
      </c>
      <c r="E19" t="inlineStr">
        <is>
          <t>Yes</t>
        </is>
      </c>
    </row>
    <row r="20">
      <c r="A20" s="37" t="n">
        <v>46400.55416666667</v>
      </c>
      <c r="B20" t="inlineStr">
        <is>
          <t>SAMPLE-CMP-001.SAMPLE-O-005</t>
        </is>
      </c>
      <c r="C20" t="inlineStr">
        <is>
          <t>Yes</t>
        </is>
      </c>
      <c r="D20" t="n">
        <v>4</v>
      </c>
      <c r="E20" t="inlineStr">
        <is>
          <t>Maybe</t>
        </is>
      </c>
    </row>
    <row r="21">
      <c r="A21" s="37" t="n">
        <v>46400.55694444444</v>
      </c>
      <c r="B21" t="inlineStr">
        <is>
          <t>SAMPLE-CMP-001.SAMPLE-O-005</t>
        </is>
      </c>
      <c r="C21" t="inlineStr">
        <is>
          <t>Yes</t>
        </is>
      </c>
      <c r="D21" t="n">
        <v>5</v>
      </c>
      <c r="E21" t="inlineStr">
        <is>
          <t>Yes</t>
        </is>
      </c>
      <c r="G21" t="inlineStr">
        <is>
          <t>SAMPLE Not my thing but my team liked it.</t>
        </is>
      </c>
    </row>
    <row r="22">
      <c r="A22" s="37" t="n">
        <v>46400.5625</v>
      </c>
      <c r="B22" t="inlineStr">
        <is>
          <t>SAMPLE-CMP-001.SAMPLE-O-005</t>
        </is>
      </c>
      <c r="C22" t="inlineStr">
        <is>
          <t>Yes</t>
        </is>
      </c>
      <c r="D22" t="n">
        <v>4</v>
      </c>
      <c r="E22" t="inlineStr">
        <is>
          <t>No</t>
        </is>
      </c>
      <c r="G22" t="inlineStr">
        <is>
          <t>SAMPLE Saw it by the coffee machine and took two. Really good.</t>
        </is>
      </c>
    </row>
    <row r="23">
      <c r="A23" s="37" t="n">
        <v>46400.57916666667</v>
      </c>
      <c r="B23" t="inlineStr">
        <is>
          <t>SAMPLE-CMP-001.SAMPLE-O-001</t>
        </is>
      </c>
      <c r="C23" t="inlineStr">
        <is>
          <t>Yes</t>
        </is>
      </c>
      <c r="D23" t="n">
        <v>5</v>
      </c>
      <c r="E23" t="inlineStr">
        <is>
          <t>No</t>
        </is>
      </c>
      <c r="G23" t="inlineStr">
        <is>
          <t>SAMPLE Gone before lunch on Wednesday.</t>
        </is>
      </c>
    </row>
    <row r="24">
      <c r="A24" s="37" t="n">
        <v>46400.59097222222</v>
      </c>
      <c r="B24" t="inlineStr">
        <is>
          <t>SAMPLE-CMP-001.SAMPLE-O-002</t>
        </is>
      </c>
      <c r="C24" t="inlineStr">
        <is>
          <t>Yes</t>
        </is>
      </c>
      <c r="D24" t="n">
        <v>5</v>
      </c>
      <c r="E24" t="inlineStr">
        <is>
          <t>Yes</t>
        </is>
      </c>
    </row>
    <row r="25">
      <c r="A25" s="37" t="n">
        <v>46400.62708333333</v>
      </c>
      <c r="B25" t="inlineStr">
        <is>
          <t>SAMPLE-CMP-001.SAMPLE-O-001</t>
        </is>
      </c>
      <c r="C25" t="inlineStr">
        <is>
          <t>Yes</t>
        </is>
      </c>
      <c r="D25" t="n">
        <v>4</v>
      </c>
      <c r="E25" t="inlineStr">
        <is>
          <t>No</t>
        </is>
      </c>
      <c r="G25" t="inlineStr">
        <is>
          <t>SAMPLE Asked Priya to save me a bag. Really good.</t>
        </is>
      </c>
    </row>
    <row r="26">
      <c r="A26" s="37" t="n">
        <v>46400.64583333334</v>
      </c>
      <c r="B26" t="inlineStr">
        <is>
          <t>SAMPLE-CMP-001.SAMPLE-O-001</t>
        </is>
      </c>
      <c r="C26" t="inlineStr">
        <is>
          <t>Yes</t>
        </is>
      </c>
      <c r="D26" t="n">
        <v>4</v>
      </c>
      <c r="E26" t="inlineStr">
        <is>
          <t>Yes</t>
        </is>
      </c>
    </row>
    <row r="27">
      <c r="A27" s="37" t="n">
        <v>46401.54375</v>
      </c>
      <c r="B27" t="inlineStr">
        <is>
          <t>SAMPLE-CMP-001.SAMPLE-O-00</t>
        </is>
      </c>
      <c r="C27" t="inlineStr">
        <is>
          <t>No</t>
        </is>
      </c>
      <c r="F27" t="inlineStr">
        <is>
          <t>Not for me</t>
        </is>
      </c>
    </row>
    <row r="28">
      <c r="A28" s="37" t="n">
        <v>46401.54444444444</v>
      </c>
      <c r="B28" t="inlineStr">
        <is>
          <t>SAMPLE-CMP-001.SAMPLE-O-003</t>
        </is>
      </c>
      <c r="C28" t="inlineStr">
        <is>
          <t>Yes</t>
        </is>
      </c>
      <c r="D28" t="n">
        <v>4</v>
      </c>
      <c r="E28" t="inlineStr">
        <is>
          <t>Yes</t>
        </is>
      </c>
      <c r="G28" t="inlineStr">
        <is>
          <t>SAMPLE Asked Priya to save me a bag. Really good.</t>
        </is>
      </c>
    </row>
    <row r="29">
      <c r="A29" s="37" t="n">
        <v>46401.60763888889</v>
      </c>
      <c r="B29" t="inlineStr">
        <is>
          <t>SAMPLE-CMP-001.SAMPLE-O-001</t>
        </is>
      </c>
      <c r="C29" t="inlineStr">
        <is>
          <t>Yes</t>
        </is>
      </c>
      <c r="D29" t="n">
        <v>4</v>
      </c>
      <c r="E29" t="inlineStr">
        <is>
          <t>No</t>
        </is>
      </c>
    </row>
    <row r="30">
      <c r="A30" s="37" t="n">
        <v>46401.69652777778</v>
      </c>
      <c r="B30" t="inlineStr">
        <is>
          <t>SAMPLE-CMP-001.SAMPLE-O-004</t>
        </is>
      </c>
      <c r="C30" t="inlineStr">
        <is>
          <t>Yes</t>
        </is>
      </c>
      <c r="D30" t="n">
        <v>4</v>
      </c>
      <c r="E30" t="inlineStr">
        <is>
          <t>Maybe</t>
        </is>
      </c>
      <c r="G30" t="inlineStr">
        <is>
          <t>SAMPLE Asked Priya to save me a bag. Really good.</t>
        </is>
      </c>
    </row>
    <row r="31">
      <c r="A31" s="37" t="n">
        <v>46401.70625</v>
      </c>
      <c r="B31" t="inlineStr">
        <is>
          <t>SAMPLE-CMP-001.SAMPLE-O-003</t>
        </is>
      </c>
      <c r="C31" t="inlineStr">
        <is>
          <t>Yes</t>
        </is>
      </c>
      <c r="D31" t="n">
        <v>5</v>
      </c>
      <c r="E31" t="inlineStr">
        <is>
          <t>No</t>
        </is>
      </c>
    </row>
    <row r="32">
      <c r="A32" s="37" t="n">
        <v>46402.40694444445</v>
      </c>
      <c r="B32" t="inlineStr">
        <is>
          <t>SAMPLE-CMP-001.SAMPLE-O-005</t>
        </is>
      </c>
      <c r="C32" t="inlineStr">
        <is>
          <t>Yes</t>
        </is>
      </c>
      <c r="D32" t="n">
        <v>4</v>
      </c>
      <c r="E32" t="inlineStr">
        <is>
          <t>Maybe</t>
        </is>
      </c>
    </row>
    <row r="33">
      <c r="A33" s="37" t="n">
        <v>46402.40972222222</v>
      </c>
      <c r="B33" t="inlineStr">
        <is>
          <t>SAMPLE-CMP-001.SAMPLE-O-004</t>
        </is>
      </c>
      <c r="C33" t="inlineStr">
        <is>
          <t>No</t>
        </is>
      </c>
      <c r="F33" t="inlineStr">
        <is>
          <t>Didn't see it</t>
        </is>
      </c>
    </row>
    <row r="34">
      <c r="A34" s="37" t="n">
        <v>46402.45555555556</v>
      </c>
      <c r="B34" t="inlineStr">
        <is>
          <t>SAMPLE-CMP-001.SAMPLE-O-003</t>
        </is>
      </c>
      <c r="C34" t="inlineStr">
        <is>
          <t>No</t>
        </is>
      </c>
      <c r="F34" t="inlineStr">
        <is>
          <t>Gone by the time I looked</t>
        </is>
      </c>
      <c r="G34" t="inlineStr">
        <is>
          <t>SAMPLE Saw it by the coffee machine and took two. Really good.</t>
        </is>
      </c>
    </row>
    <row r="35">
      <c r="A35" s="37" t="n">
        <v>46402.52291666667</v>
      </c>
      <c r="B35" t="inlineStr">
        <is>
          <t>SAMPLE-CMP-001.SAMPLE-O-003</t>
        </is>
      </c>
      <c r="C35" t="inlineStr">
        <is>
          <t>No</t>
        </is>
      </c>
      <c r="F35" t="inlineStr">
        <is>
          <t>Didn't see it</t>
        </is>
      </c>
    </row>
    <row r="36">
      <c r="A36" s="37" t="n">
        <v>46402.6</v>
      </c>
      <c r="B36" t="inlineStr">
        <is>
          <t>SAMPLE-CMP-001.SAMPLE-O-001</t>
        </is>
      </c>
      <c r="C36" t="inlineStr">
        <is>
          <t>Yes</t>
        </is>
      </c>
      <c r="D36" t="n">
        <v>4</v>
      </c>
      <c r="E36" t="inlineStr">
        <is>
          <t>Maybe</t>
        </is>
      </c>
      <c r="G36" t="inlineStr">
        <is>
          <t>SAMPLE Where can I buy these near the office?</t>
        </is>
      </c>
    </row>
    <row r="37">
      <c r="A37" s="37" t="n">
        <v>46402.69583333333</v>
      </c>
      <c r="B37" t="inlineStr">
        <is>
          <t>SAMPLE-CMP-001.SAMPLE-O-005</t>
        </is>
      </c>
      <c r="C37" t="inlineStr">
        <is>
          <t>Yes</t>
        </is>
      </c>
      <c r="D37" t="n">
        <v>5</v>
      </c>
      <c r="E37" t="inlineStr">
        <is>
          <t>No</t>
        </is>
      </c>
    </row>
  </sheetData>
  <pageMargins left="0.75" right="0.75" top="1" bottom="1" header="0.5" footer="0.5"/>
</worksheet>
</file>

<file path=xl/worksheets/sheet34.xml><?xml version="1.0" encoding="utf-8"?>
<worksheet xmlns="http://schemas.openxmlformats.org/spreadsheetml/2006/main">
  <sheetPr>
    <tabColor rgb="00FFF9E5"/>
    <outlinePr summaryBelow="1" summaryRight="1"/>
    <pageSetUpPr/>
  </sheetPr>
  <dimension ref="A1:G3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s>
  <sheetData>
    <row r="1">
      <c r="A1" s="35" t="inlineStr">
        <is>
          <t>Timestamp</t>
        </is>
      </c>
      <c r="B1" s="35" t="inlineStr">
        <is>
          <t>Card code (filled in for you)</t>
        </is>
      </c>
      <c r="C1" s="35" t="inlineStr">
        <is>
          <t>Did you try SAMPLE Northbound?</t>
        </is>
      </c>
      <c r="D1" s="35" t="inlineStr">
        <is>
          <t>How was it?</t>
        </is>
      </c>
      <c r="E1" s="35" t="inlineStr">
        <is>
          <t>Would you buy it?</t>
        </is>
      </c>
      <c r="F1" s="35" t="inlineStr">
        <is>
          <t>What happened?</t>
        </is>
      </c>
      <c r="G1" s="35" t="inlineStr">
        <is>
          <t>Anything you'd tell SAMPLE Northbound? (optional)</t>
        </is>
      </c>
    </row>
    <row r="2">
      <c r="A2" s="37" t="n">
        <v>46399.41458333333</v>
      </c>
      <c r="B2" t="inlineStr">
        <is>
          <t>SAMPLE-CMP-002.SAMPLE-O-003</t>
        </is>
      </c>
      <c r="C2" t="inlineStr">
        <is>
          <t>Yes</t>
        </is>
      </c>
      <c r="D2" t="n">
        <v>3</v>
      </c>
      <c r="E2" t="inlineStr">
        <is>
          <t>Yes</t>
        </is>
      </c>
      <c r="G2" t="inlineStr">
        <is>
          <t>SAMPLE Gone before lunch on Wednesday.</t>
        </is>
      </c>
    </row>
    <row r="3">
      <c r="A3" s="37" t="n">
        <v>46399.42152777778</v>
      </c>
      <c r="B3" t="inlineStr">
        <is>
          <t>SAMPLE-CMP-002.SAMPLE-O-003</t>
        </is>
      </c>
      <c r="C3" t="inlineStr">
        <is>
          <t>Yes</t>
        </is>
      </c>
      <c r="D3" t="n">
        <v>5</v>
      </c>
      <c r="E3" t="inlineStr">
        <is>
          <t>Maybe</t>
        </is>
      </c>
      <c r="G3" t="inlineStr">
        <is>
          <t>SAMPLE Not my thing but my team liked it.</t>
        </is>
      </c>
    </row>
    <row r="4">
      <c r="A4" s="37" t="n">
        <v>46399.46041666667</v>
      </c>
      <c r="B4" t="inlineStr">
        <is>
          <t>SAMPLE-CMP-002.SAMPLE-O-003</t>
        </is>
      </c>
      <c r="C4" t="inlineStr">
        <is>
          <t>Yes</t>
        </is>
      </c>
      <c r="D4" t="n">
        <v>5</v>
      </c>
      <c r="E4" t="inlineStr">
        <is>
          <t>No</t>
        </is>
      </c>
      <c r="G4" t="inlineStr">
        <is>
          <t>SAMPLE Nice that it lists the allergens on the card.</t>
        </is>
      </c>
    </row>
    <row r="5">
      <c r="A5" s="37" t="n">
        <v>46399.48819444444</v>
      </c>
      <c r="B5" t="inlineStr">
        <is>
          <t>SAMPLE-CMP-002.SAMPLE-O-003</t>
        </is>
      </c>
      <c r="C5" t="inlineStr">
        <is>
          <t>No</t>
        </is>
      </c>
      <c r="F5" t="inlineStr">
        <is>
          <t>Didn't see it</t>
        </is>
      </c>
      <c r="G5" t="inlineStr">
        <is>
          <t>SAMPLE Asked Priya to save me a bag. Really good.</t>
        </is>
      </c>
    </row>
    <row r="6">
      <c r="A6" s="37" t="n">
        <v>46399.49444444444</v>
      </c>
      <c r="B6" t="inlineStr">
        <is>
          <t>SAMPLE-CMP-002.SAMPLE-O-002</t>
        </is>
      </c>
      <c r="C6" t="inlineStr">
        <is>
          <t>Yes</t>
        </is>
      </c>
      <c r="D6" t="n">
        <v>4</v>
      </c>
      <c r="E6" t="inlineStr">
        <is>
          <t>Maybe</t>
        </is>
      </c>
    </row>
    <row r="7">
      <c r="A7" s="37" t="n">
        <v>46399.54722222222</v>
      </c>
      <c r="B7" t="inlineStr">
        <is>
          <t>SAMPLE-CMP-002.SAMPLE-O-004</t>
        </is>
      </c>
      <c r="C7" t="inlineStr">
        <is>
          <t>Yes</t>
        </is>
      </c>
      <c r="D7" t="n">
        <v>5</v>
      </c>
      <c r="E7" t="inlineStr">
        <is>
          <t>Yes</t>
        </is>
      </c>
    </row>
    <row r="8">
      <c r="A8" s="37" t="n">
        <v>46399.61597222222</v>
      </c>
      <c r="B8" t="inlineStr">
        <is>
          <t>SAMPLE-CMP-002.SAMPLE-O-005</t>
        </is>
      </c>
      <c r="C8" t="inlineStr">
        <is>
          <t>No</t>
        </is>
      </c>
      <c r="F8" t="inlineStr">
        <is>
          <t>Didn't see it</t>
        </is>
      </c>
    </row>
    <row r="9">
      <c r="A9" s="37" t="n">
        <v>46399.63263888889</v>
      </c>
      <c r="B9" t="inlineStr">
        <is>
          <t>SAMPLE-CMP-002.SAMPLE-O-002</t>
        </is>
      </c>
      <c r="C9" t="inlineStr">
        <is>
          <t>Yes</t>
        </is>
      </c>
      <c r="D9" t="n">
        <v>3</v>
      </c>
      <c r="E9" t="inlineStr">
        <is>
          <t>Yes</t>
        </is>
      </c>
    </row>
    <row r="10">
      <c r="A10" s="37" t="n">
        <v>46399.63333333333</v>
      </c>
      <c r="B10" t="inlineStr">
        <is>
          <t>SAMPLE-CMP-002.SAMPLE-O-004</t>
        </is>
      </c>
      <c r="C10" t="inlineStr">
        <is>
          <t>No</t>
        </is>
      </c>
      <c r="F10" t="inlineStr">
        <is>
          <t>Not for me</t>
        </is>
      </c>
    </row>
    <row r="11">
      <c r="A11" s="37" t="n">
        <v>46399.67986111111</v>
      </c>
      <c r="B11" t="inlineStr">
        <is>
          <t>SAMPLE-CMP-002.SAMPLE-O-005</t>
        </is>
      </c>
      <c r="C11" t="inlineStr">
        <is>
          <t>Yes</t>
        </is>
      </c>
      <c r="D11" t="n">
        <v>5</v>
      </c>
      <c r="E11" t="inlineStr">
        <is>
          <t>Yes</t>
        </is>
      </c>
      <c r="G11" t="inlineStr">
        <is>
          <t>SAMPLE Where can I buy these near the office?</t>
        </is>
      </c>
    </row>
    <row r="12">
      <c r="A12" s="37" t="n">
        <v>46400.37569444445</v>
      </c>
      <c r="B12" t="inlineStr">
        <is>
          <t>SAMPLE-CMP-002.SAMPLE-O-003</t>
        </is>
      </c>
      <c r="C12" t="inlineStr">
        <is>
          <t>No</t>
        </is>
      </c>
      <c r="F12" t="inlineStr">
        <is>
          <t>Gone by the time I looked</t>
        </is>
      </c>
    </row>
    <row r="13">
      <c r="A13" s="37" t="n">
        <v>46400.39791666667</v>
      </c>
      <c r="B13" t="inlineStr">
        <is>
          <t>SAMPLE-CMP-002.SAMPLE-O-002</t>
        </is>
      </c>
      <c r="C13" t="inlineStr">
        <is>
          <t>Yes</t>
        </is>
      </c>
      <c r="D13" t="n">
        <v>5</v>
      </c>
      <c r="E13" t="inlineStr">
        <is>
          <t>Maybe</t>
        </is>
      </c>
    </row>
    <row r="14">
      <c r="A14" s="37" t="n">
        <v>46400.46597222222</v>
      </c>
      <c r="B14" t="inlineStr">
        <is>
          <t>SAMPLE-CMP-002.SAMPLE-O-001</t>
        </is>
      </c>
      <c r="C14" t="inlineStr">
        <is>
          <t>No</t>
        </is>
      </c>
      <c r="F14" t="inlineStr">
        <is>
          <t>Gone by the time I looked</t>
        </is>
      </c>
    </row>
    <row r="15">
      <c r="A15" s="37" t="n">
        <v>46400.49444444444</v>
      </c>
      <c r="B15" t="inlineStr">
        <is>
          <t>SAMPLE-CMP-002.SAMPLE-O-004</t>
        </is>
      </c>
      <c r="C15" t="inlineStr">
        <is>
          <t>Yes</t>
        </is>
      </c>
      <c r="D15" t="n">
        <v>3</v>
      </c>
      <c r="E15" t="inlineStr">
        <is>
          <t>No</t>
        </is>
      </c>
      <c r="G15" t="inlineStr">
        <is>
          <t>SAMPLE Nice that it lists the allergens on the card.</t>
        </is>
      </c>
    </row>
    <row r="16">
      <c r="A16" s="37" t="n">
        <v>46400.59027777778</v>
      </c>
      <c r="B16" t="inlineStr">
        <is>
          <t>SAMPLE-CMP-002.SAMPLE-O-001</t>
        </is>
      </c>
      <c r="C16" t="inlineStr">
        <is>
          <t>Yes</t>
        </is>
      </c>
      <c r="D16" t="n">
        <v>5</v>
      </c>
      <c r="E16" t="inlineStr">
        <is>
          <t>Yes</t>
        </is>
      </c>
    </row>
    <row r="17">
      <c r="A17" s="37" t="n">
        <v>46400.61666666667</v>
      </c>
      <c r="B17" t="inlineStr">
        <is>
          <t>SAMPLE-CMP-002.SAMPLE-O-005</t>
        </is>
      </c>
      <c r="C17" t="inlineStr">
        <is>
          <t>No</t>
        </is>
      </c>
      <c r="F17" t="inlineStr">
        <is>
          <t>Didn't see it</t>
        </is>
      </c>
    </row>
    <row r="18">
      <c r="A18" s="37" t="n">
        <v>46400.64583333334</v>
      </c>
      <c r="B18" t="inlineStr">
        <is>
          <t>SAMPLE-CMP-002.SAMPLE-O-005</t>
        </is>
      </c>
      <c r="C18" t="inlineStr">
        <is>
          <t>Yes</t>
        </is>
      </c>
      <c r="D18" t="n">
        <v>4</v>
      </c>
      <c r="E18" t="inlineStr">
        <is>
          <t>No</t>
        </is>
      </c>
      <c r="G18" t="inlineStr">
        <is>
          <t>SAMPLE Gone before lunch on Wednesday.</t>
        </is>
      </c>
    </row>
    <row r="19">
      <c r="A19" s="37" t="n">
        <v>46400.66944444444</v>
      </c>
      <c r="B19" t="inlineStr">
        <is>
          <t>SAMPLE-CMP-002.SAMPLE-O-005</t>
        </is>
      </c>
      <c r="C19" t="inlineStr">
        <is>
          <t>Yes</t>
        </is>
      </c>
      <c r="D19" t="n">
        <v>5</v>
      </c>
      <c r="E19" t="inlineStr">
        <is>
          <t>Yes</t>
        </is>
      </c>
    </row>
    <row r="20">
      <c r="A20" s="37" t="n">
        <v>46400.70208333333</v>
      </c>
      <c r="B20" t="inlineStr">
        <is>
          <t>SAMPLE-CMP-002.SAMPLE-O-001</t>
        </is>
      </c>
      <c r="C20" t="inlineStr">
        <is>
          <t>No</t>
        </is>
      </c>
      <c r="F20" t="inlineStr">
        <is>
          <t>Gone by the time I looked</t>
        </is>
      </c>
      <c r="G20" t="inlineStr">
        <is>
          <t>SAMPLE Gone before lunch on Wednesday.</t>
        </is>
      </c>
    </row>
    <row r="21">
      <c r="A21" s="37" t="n">
        <v>46401.39513888889</v>
      </c>
      <c r="B21" t="inlineStr">
        <is>
          <t>SAMPLE-CMP-002.SAMPLE-O-004</t>
        </is>
      </c>
      <c r="C21" t="inlineStr">
        <is>
          <t>Yes</t>
        </is>
      </c>
      <c r="D21" t="n">
        <v>3</v>
      </c>
      <c r="E21" t="inlineStr">
        <is>
          <t>Maybe</t>
        </is>
      </c>
    </row>
    <row r="22">
      <c r="A22" s="37" t="n">
        <v>46401.42777777778</v>
      </c>
      <c r="B22" t="inlineStr">
        <is>
          <t>SAMPLE-CMP-002.SAMPLE-O-003</t>
        </is>
      </c>
      <c r="C22" t="inlineStr">
        <is>
          <t>Yes</t>
        </is>
      </c>
      <c r="D22" t="n">
        <v>4</v>
      </c>
      <c r="E22" t="inlineStr">
        <is>
          <t>Maybe</t>
        </is>
      </c>
    </row>
    <row r="23">
      <c r="A23" s="37" t="n">
        <v>46401.49027777778</v>
      </c>
      <c r="B23" t="inlineStr">
        <is>
          <t>SAMPLE-CMP-002.SAMPLE-O-003</t>
        </is>
      </c>
      <c r="C23" t="inlineStr">
        <is>
          <t>No</t>
        </is>
      </c>
      <c r="F23" t="inlineStr">
        <is>
          <t>Gone by the time I looked</t>
        </is>
      </c>
      <c r="G23" t="inlineStr">
        <is>
          <t>SAMPLE Saw it by the coffee machine and took two. Really good.</t>
        </is>
      </c>
    </row>
    <row r="24">
      <c r="A24" s="37" t="n">
        <v>46401.50208333333</v>
      </c>
      <c r="B24" t="inlineStr">
        <is>
          <t>SAMPLE-CMP-002.SAMPLE-O-003</t>
        </is>
      </c>
      <c r="C24" t="inlineStr">
        <is>
          <t>Yes</t>
        </is>
      </c>
      <c r="D24" t="n">
        <v>5</v>
      </c>
      <c r="E24" t="inlineStr">
        <is>
          <t>Yes</t>
        </is>
      </c>
    </row>
    <row r="25">
      <c r="A25" s="37" t="n">
        <v>46401.50347222222</v>
      </c>
      <c r="B25" t="inlineStr">
        <is>
          <t>SAMPLE-CMP-002.SAMPLE-O-002</t>
        </is>
      </c>
      <c r="C25" t="inlineStr">
        <is>
          <t>Yes</t>
        </is>
      </c>
      <c r="D25" t="n">
        <v>3</v>
      </c>
      <c r="E25" t="inlineStr">
        <is>
          <t>Maybe</t>
        </is>
      </c>
    </row>
    <row r="26">
      <c r="A26" s="37" t="n">
        <v>46401.62083333333</v>
      </c>
      <c r="B26" t="inlineStr">
        <is>
          <t>SAMPLE-CMP-002.SAMPLE-O-001</t>
        </is>
      </c>
      <c r="C26" t="inlineStr">
        <is>
          <t>Yes</t>
        </is>
      </c>
      <c r="D26" t="n">
        <v>3</v>
      </c>
      <c r="E26" t="inlineStr">
        <is>
          <t>No</t>
        </is>
      </c>
    </row>
    <row r="27">
      <c r="A27" s="37" t="n">
        <v>46401.69861111111</v>
      </c>
      <c r="B27" t="inlineStr">
        <is>
          <t>SAMPLE-CMP-002.SAMPLE-O-001</t>
        </is>
      </c>
      <c r="C27" t="inlineStr">
        <is>
          <t>Yes</t>
        </is>
      </c>
      <c r="D27" t="n">
        <v>4</v>
      </c>
      <c r="E27" t="inlineStr">
        <is>
          <t>Yes</t>
        </is>
      </c>
      <c r="G27" t="inlineStr">
        <is>
          <t>SAMPLE Good crunch, would pick it up at the store.</t>
        </is>
      </c>
    </row>
    <row r="28">
      <c r="A28" s="37" t="n">
        <v>46401.70555555556</v>
      </c>
      <c r="B28" t="inlineStr">
        <is>
          <t>SAMPLE-CMP-002.SAMPLE-O-001</t>
        </is>
      </c>
      <c r="C28" t="inlineStr">
        <is>
          <t>Yes</t>
        </is>
      </c>
      <c r="D28" t="n">
        <v>4</v>
      </c>
      <c r="E28" t="inlineStr">
        <is>
          <t>No</t>
        </is>
      </c>
      <c r="G28" t="inlineStr">
        <is>
          <t>SAMPLE A bit too salty for me.</t>
        </is>
      </c>
    </row>
    <row r="29">
      <c r="A29" s="37" t="n">
        <v>46402.3875</v>
      </c>
      <c r="B29" t="inlineStr">
        <is>
          <t>SAMPLE-CMP-002.SAMPLE-O-005</t>
        </is>
      </c>
      <c r="C29" t="inlineStr">
        <is>
          <t>No</t>
        </is>
      </c>
      <c r="F29" t="inlineStr">
        <is>
          <t>Didn't see it</t>
        </is>
      </c>
    </row>
    <row r="30">
      <c r="A30" s="37" t="n">
        <v>46402.41736111111</v>
      </c>
      <c r="B30" t="inlineStr">
        <is>
          <t>SAMPLE-CMP-002.SAMPLE-O-001</t>
        </is>
      </c>
      <c r="C30" t="inlineStr">
        <is>
          <t>No</t>
        </is>
      </c>
      <c r="F30" t="inlineStr">
        <is>
          <t>Didn't see it</t>
        </is>
      </c>
    </row>
    <row r="31">
      <c r="A31" s="37" t="n">
        <v>46402.62569444445</v>
      </c>
      <c r="B31" t="inlineStr">
        <is>
          <t>SAMPLE-CMP-002.SAMPLE-O-003</t>
        </is>
      </c>
      <c r="C31" t="inlineStr">
        <is>
          <t>Yes</t>
        </is>
      </c>
      <c r="D31" t="n">
        <v>4</v>
      </c>
      <c r="E31" t="inlineStr">
        <is>
          <t>Maybe</t>
        </is>
      </c>
      <c r="G31" t="inlineStr">
        <is>
          <t>SAMPLE Not my thing but my team liked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2026-10-24T10:28:03Z</dcterms:created>
  <dcterms:modified xmlns:dcterms="http://purl.org/dc/terms/" xmlns:xsi="http://www.w3.org/2001/XMLSchema-instance" xsi:type="dcterms:W3CDTF">2026-10-24T10:28:05Z</dcterms:modified>
</cp:coreProperties>
</file>